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School Players" sheetId="1" r:id="rId5"/>
    <sheet state="visible" name="StarUpdater" sheetId="2" r:id="rId6"/>
    <sheet state="visible" name="Big Board by Position" sheetId="3" r:id="rId7"/>
    <sheet state="hidden" name="Event Lists" sheetId="4" r:id="rId8"/>
    <sheet state="hidden" name="2027 Plan" sheetId="5" r:id="rId9"/>
    <sheet state="hidden" name="Fall Visit Dates 2025" sheetId="6" r:id="rId10"/>
    <sheet state="hidden" name="Sheet13" sheetId="7" r:id="rId11"/>
    <sheet state="hidden" name="Sheet12" sheetId="8" r:id="rId12"/>
    <sheet state="visible" name="Depth &amp; Recruits AUTO PULL" sheetId="9" r:id="rId13"/>
    <sheet state="hidden" name="26 Depth(2025s)" sheetId="10" r:id="rId14"/>
    <sheet state="hidden" name="27 Depth(2026s)" sheetId="11" r:id="rId15"/>
    <sheet state="hidden" name="28 Depth (2027s)" sheetId="12" r:id="rId16"/>
    <sheet state="visible" name="2026 Recruiting Schedule" sheetId="13" r:id="rId17"/>
    <sheet state="visible" name="Recruiting Budget" sheetId="14" r:id="rId18"/>
    <sheet state="hidden" name="2025 SpringSummer Schedule" sheetId="15" r:id="rId19"/>
    <sheet state="hidden" name="2024 Fall Schedule" sheetId="16" r:id="rId20"/>
    <sheet state="hidden" name="2025 Fall Recruiting Schedule" sheetId="17" r:id="rId21"/>
    <sheet state="visible" name="Recruiting Form Responses" sheetId="18" r:id="rId22"/>
    <sheet state="visible" name="Regional Recriuting" sheetId="19" r:id="rId23"/>
    <sheet state="hidden" name="Depth Chart Input" sheetId="20" r:id="rId24"/>
    <sheet state="hidden" name="VisitOffer Checklist" sheetId="21" r:id="rId25"/>
    <sheet state="hidden" name="Fall Visit Dates 2024" sheetId="22" r:id="rId26"/>
    <sheet state="hidden" name="25 Depth(2024s)" sheetId="23" r:id="rId27"/>
    <sheet state="hidden" name="2024 SpringSummer Schedule" sheetId="24" r:id="rId28"/>
    <sheet state="visible" name="Travel Program List" sheetId="25" r:id="rId29"/>
    <sheet state="hidden" name="Recruiting Calendar Import" sheetId="26" r:id="rId30"/>
    <sheet state="visible" name="Stock Text" sheetId="27" r:id="rId31"/>
  </sheets>
  <definedNames>
    <definedName hidden="1" localSheetId="0" name="_xlnm._FilterDatabase">'High School Players'!$A$3:$AK$2085</definedName>
    <definedName hidden="1" localSheetId="3" name="_xlnm._FilterDatabase">'Event Lists'!$G$2:$H$354</definedName>
    <definedName hidden="1" localSheetId="4" name="_xlnm._FilterDatabase">'2027 Plan'!$A$1:$U$989</definedName>
    <definedName hidden="1" localSheetId="6" name="_xlnm._FilterDatabase">Sheet13!$A$1:$S$204</definedName>
    <definedName hidden="1" localSheetId="7" name="_xlnm._FilterDatabase">Sheet12!$A$1:$X$331</definedName>
    <definedName hidden="1" localSheetId="17" name="_xlnm._FilterDatabase">'Recruiting Form Responses'!$A$1:$N$999</definedName>
    <definedName hidden="1" localSheetId="19" name="_xlnm._FilterDatabase">'Depth Chart Input'!$A$2:$H$991</definedName>
    <definedName hidden="1" localSheetId="24" name="_xlnm._FilterDatabase">'Travel Program List'!$A$10:$L$754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Change recruiting class year, and the Depth Chart below will Auto Populate</t>
      </text>
    </comment>
    <comment authorId="0" ref="H26">
      <text>
        <t xml:space="preserve">Change position group here and the table below will Auto Populate</t>
      </text>
    </comment>
  </commentList>
</comments>
</file>

<file path=xl/sharedStrings.xml><?xml version="1.0" encoding="utf-8"?>
<sst xmlns="http://schemas.openxmlformats.org/spreadsheetml/2006/main" count="48312" uniqueCount="10537">
  <si>
    <t>HS PLAYERS</t>
  </si>
  <si>
    <t>0.1     Committed
1        Offer
2        High Follow
3        Follow
4        Need to see
5
XX</t>
  </si>
  <si>
    <t>Filter out blanks, then copy paste changes into column K</t>
  </si>
  <si>
    <t>Filter A-Z</t>
  </si>
  <si>
    <t>AUTO PULL FROM RECRUITING FORM</t>
  </si>
  <si>
    <t>Tier</t>
  </si>
  <si>
    <t>ID</t>
  </si>
  <si>
    <t>Name</t>
  </si>
  <si>
    <t>Pos Group</t>
  </si>
  <si>
    <t>Date Added:</t>
  </si>
  <si>
    <t>By:</t>
  </si>
  <si>
    <t>First Name</t>
  </si>
  <si>
    <t>Last Name</t>
  </si>
  <si>
    <t>Class</t>
  </si>
  <si>
    <t>★</t>
  </si>
  <si>
    <t>Commit</t>
  </si>
  <si>
    <t>Pos</t>
  </si>
  <si>
    <t>POS2</t>
  </si>
  <si>
    <t>B/T</t>
  </si>
  <si>
    <t>Hometown</t>
  </si>
  <si>
    <t>State</t>
  </si>
  <si>
    <t>High School</t>
  </si>
  <si>
    <t>Summer Team</t>
  </si>
  <si>
    <t>Academic</t>
  </si>
  <si>
    <t>Email</t>
  </si>
  <si>
    <t>Phone Number</t>
  </si>
  <si>
    <t>Seen</t>
  </si>
  <si>
    <t>Visit Date</t>
  </si>
  <si>
    <t>Offer Date</t>
  </si>
  <si>
    <t>Comms</t>
  </si>
  <si>
    <t>Notes</t>
  </si>
  <si>
    <t>Baseball Statistics(Please insert HS season stats)/Accolades (High School &amp; Summer if available)</t>
  </si>
  <si>
    <t>GPA (Unweighted/Weighted)</t>
  </si>
  <si>
    <t>Test Scores (SAT/ACT or both) please list.</t>
  </si>
  <si>
    <t>Injury History - Please list any sport specific injuries and/or surgeries you have had.</t>
  </si>
  <si>
    <t>Do you have any allergies to foods and/or medications? If yes, please list them below.</t>
  </si>
  <si>
    <t>Are you currently taking any medications? If yes, please list them below.</t>
  </si>
  <si>
    <t>Do you require any academic accommodations(i.e. extra time on tests)?</t>
  </si>
  <si>
    <t>Update ★</t>
  </si>
  <si>
    <t>John</t>
  </si>
  <si>
    <t>Loudon</t>
  </si>
  <si>
    <t>NAVY</t>
  </si>
  <si>
    <t>COF</t>
  </si>
  <si>
    <t>GA</t>
  </si>
  <si>
    <t>Marist</t>
  </si>
  <si>
    <t>9th INN Royals</t>
  </si>
  <si>
    <t>8/1 Call - Asked great questions. Genuine interest, gpop was army and has talked him into servoce. Had a lot of traffoc today. Need to get on visit asap.AP: Futures. 5'11 190 avg.  +SPEED. 6.5 runner.  compact swing with decent bat speed.  strong body. TR - Lit up the WWBA in the summer. Showed power and an advanced approach at the plate. Swung it well off canes national team. Stole bases at will and had very athletic actions in the outfield.</t>
  </si>
  <si>
    <t>Noah Stead</t>
  </si>
  <si>
    <t>INF</t>
  </si>
  <si>
    <t>Noah</t>
  </si>
  <si>
    <t>Stead</t>
  </si>
  <si>
    <t>MINF</t>
  </si>
  <si>
    <t>CA</t>
  </si>
  <si>
    <t>Westlake</t>
  </si>
  <si>
    <t>So Cal Giants</t>
  </si>
  <si>
    <t>TR: Dude day. Moves well very good hands separates the ball below his knees. enough arm to play ss with a quick release. Unorthodox swing but gets on plane and has really good bat to ball. Power and extrra base hit guy. .320 with 7 HRs in HS. HS and summer coach both say all the right things about kid and parents. Going to hit 3rd and play ss at Westlake HS this year. was the only junior in an all senior d1 committed lineup last year. Ready to offer.</t>
  </si>
  <si>
    <t>Steadnoah5@gmail.com</t>
  </si>
  <si>
    <t xml:space="preserve">All Ventura County First Team/ Scholar Athlete 2 Years/ Offensive Player of the Year for Varsity </t>
  </si>
  <si>
    <t>4.0 Weighted</t>
  </si>
  <si>
    <t>None Yet. Taking in November</t>
  </si>
  <si>
    <t>None</t>
  </si>
  <si>
    <t/>
  </si>
  <si>
    <t>Owen Phypers</t>
  </si>
  <si>
    <t>RHP</t>
  </si>
  <si>
    <t>Owen</t>
  </si>
  <si>
    <t>Phypers</t>
  </si>
  <si>
    <t>FL</t>
  </si>
  <si>
    <t>St. John Neumann</t>
  </si>
  <si>
    <t>Florida Burn</t>
  </si>
  <si>
    <t>Patrick Walsh</t>
  </si>
  <si>
    <t>Patrick</t>
  </si>
  <si>
    <t>Walsh</t>
  </si>
  <si>
    <t>CINF</t>
  </si>
  <si>
    <t>NC</t>
  </si>
  <si>
    <t>Christ the king Catholic</t>
  </si>
  <si>
    <t>wow factor</t>
  </si>
  <si>
    <t>6'1 195 strong LHH. Manning comp.  Avg run 4.3 down the line. Power potential in bat.  Fringe def.  Good arm.  Was 87-89 (91) at June Navy prospect camp.   Performace history good. POTY in 1A conference.</t>
  </si>
  <si>
    <t>walsh.patrick.2025@gmail.com</t>
  </si>
  <si>
    <t>Slash Line: 0.487/0.610/1.064 2B: 10 3B: 4 HR: 9 RBI: 38 SB: 13 BB: 22 R: 36 GP:28 PA: 105 Pitching IP: 38.2 ERA: 3.44 K:56 2024 CSAC CPOY 2024 NCBA 1st Team All-State 2024 Charlotte Observer 1st Team All-Area</t>
  </si>
  <si>
    <t>SAT:1230 ACT: Not yet Taken</t>
  </si>
  <si>
    <t xml:space="preserve">No Baseball Related injuries. MLC Sprain in October 2023 playing football.  Hamstring avulsion playing football in August 2022.  </t>
  </si>
  <si>
    <t>No</t>
  </si>
  <si>
    <t>Sachin Gopal</t>
  </si>
  <si>
    <t>Sachin</t>
  </si>
  <si>
    <t>Gopal</t>
  </si>
  <si>
    <t>MA</t>
  </si>
  <si>
    <t>Dexter Southfield</t>
  </si>
  <si>
    <t>Nokona</t>
  </si>
  <si>
    <t>sachingopal@yahoo.com</t>
  </si>
  <si>
    <t>This High school season: CNEPSBL all star and All NEPSAC HM, 31IP 30K 6BB 1.58ERA .935 WHIP .200 BAA. Last Summer: 40IP (3 CG’s), 45K,  11BB, 1.75 ERA,  .950 WHIP, and a .180 BAA.</t>
  </si>
  <si>
    <t>3.7 UW</t>
  </si>
  <si>
    <t>1420 SAT</t>
  </si>
  <si>
    <t xml:space="preserve">No injuries </t>
  </si>
  <si>
    <t xml:space="preserve">No allergies </t>
  </si>
  <si>
    <t xml:space="preserve">No medication </t>
  </si>
  <si>
    <t>I am eligible for accommodations but don’t actually use them or need them</t>
  </si>
  <si>
    <t>Sinjon Lash</t>
  </si>
  <si>
    <t>Sinjon</t>
  </si>
  <si>
    <t>Lash</t>
  </si>
  <si>
    <t>LaGrange HS</t>
  </si>
  <si>
    <t xml:space="preserve">Atlanta Braves Scout </t>
  </si>
  <si>
    <t>AP: have not seen yet.  6'4 200 good frame. 85-88 w/ 75 CB, has CH.  Talked with him on the phone and he seems interested.  will see him throw this fall.  moved to GA from WA few years ago.  was with EC Astros but now with Titans (ATL Braves scout team)</t>
  </si>
  <si>
    <t>Tyler Cripe</t>
  </si>
  <si>
    <t>OF</t>
  </si>
  <si>
    <t>Tyler</t>
  </si>
  <si>
    <t>Cripe</t>
  </si>
  <si>
    <t>CF</t>
  </si>
  <si>
    <t>JK-been in touch since his vist.  High interest. Likely wants to commit. Allergy report came in on Dec 12. Looks like all allergies have subsided. Have to run up the chain. No reservations about the abililty/player. Questionable info on personality fit from HS coach. JK- Lean frame. Whippy barrel. Good runner/floats. K/F7/1b64</t>
  </si>
  <si>
    <t>Will Howard</t>
  </si>
  <si>
    <t>C</t>
  </si>
  <si>
    <t>Will</t>
  </si>
  <si>
    <t>Howard</t>
  </si>
  <si>
    <t>KS</t>
  </si>
  <si>
    <t xml:space="preserve">Royals Scout Team </t>
  </si>
  <si>
    <t>TR NPI: physical build moves well. Very good catch and throw 1.9-2.0 on the bag, quick release. Good stance and flex. Like the swing and athelticism in the box. Didn't get much offensive look need to see again. Good first call sounds very inetersted and has always wanted to serve. Very normal kid, hit .420 in HS with 4 HR. Looks like a string kid.</t>
  </si>
  <si>
    <t>Ben Baldessare</t>
  </si>
  <si>
    <t>Ben</t>
  </si>
  <si>
    <t>Baldessare</t>
  </si>
  <si>
    <t>Providence</t>
  </si>
  <si>
    <t>Richmond braves</t>
  </si>
  <si>
    <t>JK email notes: Top 500 #2 1B in NC.</t>
  </si>
  <si>
    <t>Cal Travers</t>
  </si>
  <si>
    <t>LHP</t>
  </si>
  <si>
    <t>Cal</t>
  </si>
  <si>
    <t>Travers</t>
  </si>
  <si>
    <t>VA</t>
  </si>
  <si>
    <t>Godwin</t>
  </si>
  <si>
    <t>101mph Dragum</t>
  </si>
  <si>
    <t>TR: Spoke with Cal, had an offer from VMI. Didn't have a good spring, didn't pitch much told me he's 85-87 on FB 77-78 on SL. Told me he was inconsistent. Goldy told me he has a connection to the kid and that he was coming ot camp. JK email notes: High follow pg 17 ranked in VA.  6'1" 190</t>
  </si>
  <si>
    <t>Eric Harrison</t>
  </si>
  <si>
    <t>Eric</t>
  </si>
  <si>
    <t>Harrison</t>
  </si>
  <si>
    <t>Avon Park</t>
  </si>
  <si>
    <t>Southern Squeeze</t>
  </si>
  <si>
    <t>JK: Email notes: 8 on pg. 6'2" 215. High follow as 3rd baseman.</t>
  </si>
  <si>
    <t>Jake Hooten</t>
  </si>
  <si>
    <t>Jake</t>
  </si>
  <si>
    <t>Hooten</t>
  </si>
  <si>
    <t>Gulf Breeze</t>
  </si>
  <si>
    <t>East Coast Sox Scout</t>
  </si>
  <si>
    <t>June Camp: 6'2 190 strong bodied and runs.  Ran 6.7 and 6.8 at camp.  Need to see how well bat plays</t>
  </si>
  <si>
    <t>jr3hooten@gmail.com</t>
  </si>
  <si>
    <t>22 games .375 avg, .467 obp, .998 ops, 74PA, 24/64 hits/ab, 6 doubles, 2HR, 18R, 17rbi Team MVP, Pitching: 4-1 18 innings, 29k, .79 ERA</t>
  </si>
  <si>
    <t>34 ACT 1390 SAT</t>
  </si>
  <si>
    <t>Broken ankle/screws; Broken finger</t>
  </si>
  <si>
    <t>La'akea Correa</t>
  </si>
  <si>
    <t>La'akea</t>
  </si>
  <si>
    <t>Correa</t>
  </si>
  <si>
    <t>HI</t>
  </si>
  <si>
    <t>JK: 83-85, 72-74 spin, 74-75 CH, Fb to both sides for sure. CH can be solid. Spin is avg.</t>
  </si>
  <si>
    <t>Lucas Collins</t>
  </si>
  <si>
    <t>Lucas</t>
  </si>
  <si>
    <t>Collins</t>
  </si>
  <si>
    <t>IN</t>
  </si>
  <si>
    <t>Bishop dwenger</t>
  </si>
  <si>
    <t>Canes Midwest</t>
  </si>
  <si>
    <t>JK email notes: up to 89 on pbr. #4 lhp in IN.</t>
  </si>
  <si>
    <t>Michael Fiatrone</t>
  </si>
  <si>
    <t>Michael</t>
  </si>
  <si>
    <t>Fiatrone</t>
  </si>
  <si>
    <t>CT</t>
  </si>
  <si>
    <t>Salisbury School</t>
  </si>
  <si>
    <t>JK- solid film. SS at Salisbury. Will see in spring. Saw briefly in FL. Liked the frame and actions. Didn't have a blowaway showing.</t>
  </si>
  <si>
    <t>Nathan Lake</t>
  </si>
  <si>
    <t>Nathan</t>
  </si>
  <si>
    <t>Lake</t>
  </si>
  <si>
    <t>VA Stars</t>
  </si>
  <si>
    <t>JK-3 pitch/pitchability LHP. Wont wow but can pitch a bit. High int in academy. Would like  second set of eyes on him</t>
  </si>
  <si>
    <t>Nathan.lake@outlook.com</t>
  </si>
  <si>
    <t xml:space="preserve">1.4 era 1st team all district </t>
  </si>
  <si>
    <t xml:space="preserve">Claritin </t>
  </si>
  <si>
    <t>Sam Harry</t>
  </si>
  <si>
    <t>Sam</t>
  </si>
  <si>
    <t>Harry</t>
  </si>
  <si>
    <t>CO</t>
  </si>
  <si>
    <t>Castle View</t>
  </si>
  <si>
    <t>TR: Watched at Slammers event. He has a pro body 4.6 on turn and 4.3/3 through the base. Runs and moves like a big leaguer. Swing is atheltic but was not making good contact early in the weekend when he lets it go its an atheltic and quick swing. His numbers from HS were .456 w/ 9k/6bb. Only 1 HR in CO. I'm worried about power, his approach is to drive the ball the other way and he may be able to do that well. Holz told me he was about to commit to Charleston So. and mom  dragged it out trying to get more money. They gave him 3k more and the coaching change happened. Kuhn told him they can't take his commitment now but theyre goign to watch him. Dad wears pins on his crocs.</t>
  </si>
  <si>
    <t>Tate Elliott</t>
  </si>
  <si>
    <t>Tate</t>
  </si>
  <si>
    <t>Elliott</t>
  </si>
  <si>
    <t>TX</t>
  </si>
  <si>
    <t>Midlothian</t>
  </si>
  <si>
    <t>TBT Texas</t>
  </si>
  <si>
    <t>JK: Can really throw. athletic frame. hands probably not as good as wells but throws better. avg runner. Worried about bat.</t>
  </si>
  <si>
    <t>tateelliott1131@gmail.com</t>
  </si>
  <si>
    <t>Preseason All American, All district, Texas 5a All star</t>
  </si>
  <si>
    <t>Trent Prosperi</t>
  </si>
  <si>
    <t>Trent</t>
  </si>
  <si>
    <t>Prosperi</t>
  </si>
  <si>
    <t>Boswell HS</t>
  </si>
  <si>
    <t>Cooperstown Cobras</t>
  </si>
  <si>
    <t>JK: HIt 2. Like this kid but playing 2B. Good turns, barrell contact. Does he have enough arm for left side???</t>
  </si>
  <si>
    <t>Aiden Szydlik</t>
  </si>
  <si>
    <t>Aiden</t>
  </si>
  <si>
    <t>Szydlik</t>
  </si>
  <si>
    <t>MD</t>
  </si>
  <si>
    <t>Severn School</t>
  </si>
  <si>
    <t>Canes Mid Atlantic</t>
  </si>
  <si>
    <t>JK-physical switch hitting IF/possible corner OF. Elite student. Parents are W.Point grads but the kid seems really interested in Navy</t>
  </si>
  <si>
    <t>Ayden Munoz</t>
  </si>
  <si>
    <t>Ayden</t>
  </si>
  <si>
    <t>Munoz</t>
  </si>
  <si>
    <t>Carlsbad</t>
  </si>
  <si>
    <t>AP: 5'9 170, very small.  LHH with a good swing and good bat speed.  low ceiling bc/ of size.  athletic.6.7 runner</t>
  </si>
  <si>
    <t>Benjy Cardone</t>
  </si>
  <si>
    <t>Benjy</t>
  </si>
  <si>
    <t>Cardone</t>
  </si>
  <si>
    <t>Highland HS</t>
  </si>
  <si>
    <t>Hit .276 JR yr.    AP: update: high motor,  vocal player, good skills behind the dish with quick release.  avg arm.  good swing with doubles pwr.  doesnt run. ceiling limited bc of size.  offensive comp eddie Diaz.   JK-been in contact via text/email. Dad is CIA. Solid catch/release. Arm has carry. Showed pop in BP despite more compact frame. Reminds me of Killelea a bit. Really good kid on visit. Has his shit together. JK-has continued to keep in touch.</t>
  </si>
  <si>
    <t>Bobby Herzman</t>
  </si>
  <si>
    <t>Bobby</t>
  </si>
  <si>
    <t>Herzman</t>
  </si>
  <si>
    <t>HC Wilcox</t>
  </si>
  <si>
    <t>AP: Futures. not a need right now. 6'2 235, big boy/softer body right now. 1B only:  LHH who gets his swing off.  good bat speed and good swing. looks good in the box, feel for hitting/approach.  avg def. avg arm.  7.8 not a runner.</t>
  </si>
  <si>
    <t>Braxton Graber</t>
  </si>
  <si>
    <t>Braxton</t>
  </si>
  <si>
    <t>Graber</t>
  </si>
  <si>
    <t>AR</t>
  </si>
  <si>
    <t>East Coast SandHogs</t>
  </si>
  <si>
    <t xml:space="preserve">JK-85-86/spin 72 12/6 shape. Loose arm/clean
</t>
  </si>
  <si>
    <t>Brooks Bradshaw</t>
  </si>
  <si>
    <t>Brooks</t>
  </si>
  <si>
    <t>Bradshaw</t>
  </si>
  <si>
    <t>Benedictine Military</t>
  </si>
  <si>
    <t>CBU Stofsky</t>
  </si>
  <si>
    <t>JK email notes: 6'3" 205 pg top 1000.</t>
  </si>
  <si>
    <t>Caden Davidson</t>
  </si>
  <si>
    <t>Caden</t>
  </si>
  <si>
    <t>Davidson</t>
  </si>
  <si>
    <t>USA Prime Coastal</t>
  </si>
  <si>
    <t>5 Star</t>
  </si>
  <si>
    <t>JK-physical kid. Didn't see enough to weigh in. Need to see more if interest. #7 3b in NC.</t>
  </si>
  <si>
    <t>Colton Roberts</t>
  </si>
  <si>
    <t>Colton</t>
  </si>
  <si>
    <t>Roberts</t>
  </si>
  <si>
    <t>Rose Hill</t>
  </si>
  <si>
    <t>TR- texted 1/3 to connect. Futures. 87-89 / 75. Loose quick arm. Ath feel for spin. Presence and poise.</t>
  </si>
  <si>
    <t>Cy Herkelroath</t>
  </si>
  <si>
    <t>Cy</t>
  </si>
  <si>
    <t>Herkelroath</t>
  </si>
  <si>
    <t>PA</t>
  </si>
  <si>
    <t>TOPS</t>
  </si>
  <si>
    <t>Elizabeth Forward</t>
  </si>
  <si>
    <t>JK email notes: High follow 6'3" 200. #11 lhp in state</t>
  </si>
  <si>
    <t>Davis Beilstein</t>
  </si>
  <si>
    <t>Davis</t>
  </si>
  <si>
    <t>Beilstein</t>
  </si>
  <si>
    <t>JK-strong interest in Navy. Listed as a C but likely corner OF. Physical frame. Have to see if he hits enough to even consider.</t>
  </si>
  <si>
    <t>Drew Flores</t>
  </si>
  <si>
    <t>Drew</t>
  </si>
  <si>
    <t>Flores</t>
  </si>
  <si>
    <t>5 star performance national</t>
  </si>
  <si>
    <t>JK: Could be catcher in the mix. Check in on him</t>
  </si>
  <si>
    <t>Drew Kindlon</t>
  </si>
  <si>
    <t>Kindlon</t>
  </si>
  <si>
    <t>NY</t>
  </si>
  <si>
    <t>P27 Academy</t>
  </si>
  <si>
    <t>AP: update, 82-86,  not great looking in short outing.  arm tightened up and exited game.  TR: recommended by Josh Murphy. Decommitt from UVA. Looks like a high level arm with a high level brekaign ball and plus spin on FB. 6'3" 210 pg 9. Josh told me he is coming off a back injury but recent videos look very good. Have reached out to kid. Recruiting heating up have to see Fri PBR 17U</t>
  </si>
  <si>
    <t>kindlondrew632@gmail.com</t>
  </si>
  <si>
    <t xml:space="preserve">Ucl strain Back fracture </t>
  </si>
  <si>
    <t>Drew McTagertt</t>
  </si>
  <si>
    <t>McTagertt</t>
  </si>
  <si>
    <t>William Henry Harrison</t>
  </si>
  <si>
    <t>Indiana Bulls</t>
  </si>
  <si>
    <t>AP: update: has not gotten stronger, maybe backtracked strength wise.    6'3 180 good body.  didn't see a ton from him.  Future Games kid.  their coaches like him. JK- saw briefly in FL. Good enough to reach out/gauge interest/see again if he is a fit.</t>
  </si>
  <si>
    <t>Ethan Johnson</t>
  </si>
  <si>
    <t>Ethan</t>
  </si>
  <si>
    <t>Johnson</t>
  </si>
  <si>
    <t>Kings Acdemy</t>
  </si>
  <si>
    <t>ATL Blue Jays</t>
  </si>
  <si>
    <t>JK email notes: 8.5 top 1000. C/1b 6'2" 210</t>
  </si>
  <si>
    <t>Gabe Pegues</t>
  </si>
  <si>
    <t>Gabe</t>
  </si>
  <si>
    <t>Pegues</t>
  </si>
  <si>
    <t>Stars</t>
  </si>
  <si>
    <t>McLean HS</t>
  </si>
  <si>
    <t>JK- Comfortable on balls in air. Supposedly elite runner. Physical RH hitter. Looks athletic. Below avg arm53 (4.37)/Klook.Poor rating on PG</t>
  </si>
  <si>
    <t>Grant Belcher</t>
  </si>
  <si>
    <t>Grant</t>
  </si>
  <si>
    <t>Belcher</t>
  </si>
  <si>
    <t>Ralston Valley</t>
  </si>
  <si>
    <t>Elite</t>
  </si>
  <si>
    <t>AP: update: slow start to 24 season. lots of BB's/HBP's.  not good enough  6'1 180 86-89, 73 -/+ SL, CH.  decent FB but got hit.  quick arm.  Future Gamer.  Needs to show success in 24 spring season</t>
  </si>
  <si>
    <t>Jacob Pettit</t>
  </si>
  <si>
    <t>Jacob</t>
  </si>
  <si>
    <t>Pettit</t>
  </si>
  <si>
    <t>SC</t>
  </si>
  <si>
    <t>SoChar Panthers</t>
  </si>
  <si>
    <t>JK-saw in GA. Switch hitter. May be transitioning to OF. Def. follow if interested. - 368 hitter in 33 PG games in summer.</t>
  </si>
  <si>
    <t>Jaxon Sparks</t>
  </si>
  <si>
    <t>Jaxon</t>
  </si>
  <si>
    <t>Sparks</t>
  </si>
  <si>
    <t>Carroll (IN)</t>
  </si>
  <si>
    <t>AP: rec from Dan Held (Bulls), duel guy.  6'1 215 strong build.  mid 80's with decent SL.  good HS stats as SO on mound.  Runs 6.63! LHH with juice but only hit .270 as SO.  outfielder. Future Games.  have not seen.</t>
  </si>
  <si>
    <t>JD Mace</t>
  </si>
  <si>
    <t>JD</t>
  </si>
  <si>
    <t>Mace</t>
  </si>
  <si>
    <t>Golden spikes</t>
  </si>
  <si>
    <t>burlington christian</t>
  </si>
  <si>
    <t>JK email notes: potential prep candidate. 6'6" 195 high follow pg.</t>
  </si>
  <si>
    <t>John Kosobud</t>
  </si>
  <si>
    <t>Kosobud</t>
  </si>
  <si>
    <t>9th Inn</t>
  </si>
  <si>
    <t>JK-85-86/heavy with cut. Homeschooled kid. Need to see more</t>
  </si>
  <si>
    <t>Keegan Luxem</t>
  </si>
  <si>
    <t>Keegan</t>
  </si>
  <si>
    <t>Luxem</t>
  </si>
  <si>
    <t>IL</t>
  </si>
  <si>
    <t>Hersey</t>
  </si>
  <si>
    <t>TR-texted 1/3 after checking in on twitter. '23 stats 58IP 64k/14bb / 2.88era.setting up a call. Futures. Huge frame 85-87. 76 on the slider with 22 spin.</t>
  </si>
  <si>
    <t>https://www.perfectgame.org/Players/Playerprofile.aspx?ID=988538</t>
  </si>
  <si>
    <t>Matthew Roussey</t>
  </si>
  <si>
    <t>Matthew</t>
  </si>
  <si>
    <t>Roussey</t>
  </si>
  <si>
    <t>Mid Atl Red Sox</t>
  </si>
  <si>
    <t>JK-85/shorter AA. 74 spin. Down angle. Check.</t>
  </si>
  <si>
    <t>Mickey Fox</t>
  </si>
  <si>
    <t>Mickey</t>
  </si>
  <si>
    <t>Fox</t>
  </si>
  <si>
    <t>AZ</t>
  </si>
  <si>
    <t>Yuma Catholic</t>
  </si>
  <si>
    <t>TR- Texted 1/3.  check in, 56IP/2.11/89k/29BB. Texted to connect. Futures games. 85-86/74 with 24 spin. Quick arm. Body and athleticism project.</t>
  </si>
  <si>
    <t>Robert(Lujack) Cole</t>
  </si>
  <si>
    <t>Robert(Lujack)</t>
  </si>
  <si>
    <t>Cole</t>
  </si>
  <si>
    <t>Christ Church Episcopal</t>
  </si>
  <si>
    <t>AP: update: surgery Feb 24.  Futures. 6'3 200 good build.  87-88, 80 CH, 78-79 SL short tight 2000spin.  projectable and high ceiling.  secondary stuff maybe a little short.  just a Follow. Grades aren't listed anywhere</t>
  </si>
  <si>
    <t>Rylan Moses</t>
  </si>
  <si>
    <t>Rylan</t>
  </si>
  <si>
    <t>Moses</t>
  </si>
  <si>
    <t>TN</t>
  </si>
  <si>
    <t>Goodpasture</t>
  </si>
  <si>
    <t>Knights</t>
  </si>
  <si>
    <t>AP: 6'0 175 small frame.  LHH with clean swing.   runner. 6.7.  no pwr.  fringe arm.  hit .412 in HS.  Just follow</t>
  </si>
  <si>
    <t>Thomas Allen</t>
  </si>
  <si>
    <t>Thomas</t>
  </si>
  <si>
    <t>Allen</t>
  </si>
  <si>
    <t>LA</t>
  </si>
  <si>
    <t>Benton</t>
  </si>
  <si>
    <t>Team Louisiana</t>
  </si>
  <si>
    <t>AP: 6'2 180 tall lean Fast arm!  87-90.  below avg BB.  Future gamer.  low follow.  needs to improve BB. saw at PG 17u Hoover</t>
  </si>
  <si>
    <t>Tobey Bajda</t>
  </si>
  <si>
    <t>Tobey</t>
  </si>
  <si>
    <t>Bajda</t>
  </si>
  <si>
    <t>Clubhouse</t>
  </si>
  <si>
    <t>JK-sprayed in only inning I saw. Porzio rec. Said big arm strength. Said  up to 90/91 but I saw 84-86 w/ spin at 74.</t>
  </si>
  <si>
    <t>Trent Kulig</t>
  </si>
  <si>
    <t>Kulig</t>
  </si>
  <si>
    <t>Andrean HS</t>
  </si>
  <si>
    <t>AP: update: check with HS coach spring 24 season.  6'3 200 good body. ott arm slot.  mid 80's up to 90 FB.  72-75 12/6 CB.  was a little eratic early in outing I saw but projects to be a good arm.  HS coach likes him but verified command issues. JK-didn't get to see pitch. Played on really good team. Physical/strong looking kid.</t>
  </si>
  <si>
    <t>Trey Lamay</t>
  </si>
  <si>
    <t>Trey</t>
  </si>
  <si>
    <t>Lamay</t>
  </si>
  <si>
    <t>JK-82-84 soph summer in Ft Myers. Worth a follow. Threw K's, decent spin. Lanky frame</t>
  </si>
  <si>
    <t>Tyler Baker</t>
  </si>
  <si>
    <t>Baker</t>
  </si>
  <si>
    <t>Dana Hills</t>
  </si>
  <si>
    <t>Emailed - Saw at So Cal workout, just ok but worth keeping in touch with</t>
  </si>
  <si>
    <t>Tyler Martin</t>
  </si>
  <si>
    <t>Martin</t>
  </si>
  <si>
    <t>IA</t>
  </si>
  <si>
    <t>Mount Ayr</t>
  </si>
  <si>
    <t>JK email notes: converted catcher.</t>
  </si>
  <si>
    <t>Von Pelow</t>
  </si>
  <si>
    <t>Von</t>
  </si>
  <si>
    <t>Pelow</t>
  </si>
  <si>
    <t>Cannon School</t>
  </si>
  <si>
    <t>Came to camp. Solid all around player. Nothing explosive but just solid all around, controlled the game. Spoke with him after camp, doesn't have much going on on recrutiing front. TR PBR Cup - Von was a descent catcher btwn inning throws were accurate 2.1. Not a big guy but built like a catcher. Received and blocked well. Had 3 good at bats. F9/HC 1b to RF/2B with drive to LC. He is a solid option played well good kid on the phone. Nothing jumps out as great but all around a very solid player.</t>
  </si>
  <si>
    <t>Aiden Oviendo</t>
  </si>
  <si>
    <t>Oviendo</t>
  </si>
  <si>
    <t>TR: Dug up and have had several phone calls. Video looks solid, has some offers but wants to play out fall. Good friends with Will Howard I learned after the fact. Need to see in fall asap.</t>
  </si>
  <si>
    <t>Ben Wilcox</t>
  </si>
  <si>
    <t>Wilcox</t>
  </si>
  <si>
    <t>Charlotte Christian</t>
  </si>
  <si>
    <t>Followed me on twitter check into.</t>
  </si>
  <si>
    <t>Chase Ecker</t>
  </si>
  <si>
    <t>Chase</t>
  </si>
  <si>
    <t>Ecker</t>
  </si>
  <si>
    <t>Malvern Prep</t>
  </si>
  <si>
    <t>Bellringers</t>
  </si>
  <si>
    <t>TR: Have had several phone calls. didn't prioritze as another OF but has had some real interest. Freddy said he checks all boxes not sure about bat at d1 level but elite speed. Spoke with him 8/9 has offers, had a visist cancelled to coastal. not sure his offers are right fit and hoping to play through fall.</t>
  </si>
  <si>
    <t>cecker05@malvernprep.org</t>
  </si>
  <si>
    <t xml:space="preserve">Malvern Prep Baseball- Conference Champs, State Champs, played every game most of them being leadoff hitter, earned All League in the Inter Rac. Future games invite, Carpenter Cup Team, Fastest 60 time leaderboard in PA, Best in the US MLB invite. </t>
  </si>
  <si>
    <t xml:space="preserve">Hip Flexor Freshman year and a Hand/Wrist injury my junior season. Was still able to play through both. </t>
  </si>
  <si>
    <t>Evan Martinez</t>
  </si>
  <si>
    <t>Evan</t>
  </si>
  <si>
    <t>Martinez</t>
  </si>
  <si>
    <t>Yselta</t>
  </si>
  <si>
    <t>2/3/24: Sounds like Diaz on the phone. Interested in flying. Sounds like a ball player. FB/SL/CH 83-84 up to 86 right now. Doesn't play on the circuit, local team in the summer. Might get to camp.</t>
  </si>
  <si>
    <t>Grant Winkle</t>
  </si>
  <si>
    <t>Winkle</t>
  </si>
  <si>
    <t>Kason Herlong</t>
  </si>
  <si>
    <t>Kason</t>
  </si>
  <si>
    <t>Herlong</t>
  </si>
  <si>
    <t>Canes</t>
  </si>
  <si>
    <t>Travellers Rest SC</t>
  </si>
  <si>
    <t>JK-video follow. Good enough on film to see in spring.</t>
  </si>
  <si>
    <t>rkherl67@gmail.com</t>
  </si>
  <si>
    <t>High School: .526 BA 3 HR’s 41 Hits .968 Fielding Percentage</t>
  </si>
  <si>
    <t>1210 SAT</t>
  </si>
  <si>
    <t>N/A</t>
  </si>
  <si>
    <t>Wade Hartrick</t>
  </si>
  <si>
    <t>Wade</t>
  </si>
  <si>
    <t>Hartrick</t>
  </si>
  <si>
    <t>USA Prime American</t>
  </si>
  <si>
    <t>IMG</t>
  </si>
  <si>
    <t>TR: Phone call from twitter. Interested in Academy. IMG turned him into pitcher, didn't catch much. SL 80-82. FB up to 89. Plays for USA Prime American 17U. Catching and pitching for Prime. Kind of sounds like Bibb on the phone. Wants to be two way but doesn't know where he is better yet. Has heard from AF &amp; Army. Wants Ivy and thinks he may get an offer soon. But definitely sounded interested.</t>
  </si>
  <si>
    <t>Bryce Wells</t>
  </si>
  <si>
    <t>Bryce</t>
  </si>
  <si>
    <t>Wells</t>
  </si>
  <si>
    <t>XX</t>
  </si>
  <si>
    <t>Smithson Valley</t>
  </si>
  <si>
    <t>Stix</t>
  </si>
  <si>
    <t>AP: 6'0 215 catchers body.  Thick lower half.  Ran a 4.28 on ball hit to SS.  Moves well for body type, twitter claims 6.6 run. 1.9 pop with quick release, avg arm only. Caught clean.  Definite follow to high follow to see if bat is good enough. JK: thick strong frame. strong hands good receive, confident behind dish. Hit 5. didn't love arm tool. transfer fine. moves/runs better than expected. Like him.</t>
  </si>
  <si>
    <t>Brycewells36@icloud.com</t>
  </si>
  <si>
    <t>First team all district</t>
  </si>
  <si>
    <t>1000. Going to retake in the fall</t>
  </si>
  <si>
    <t xml:space="preserve">None </t>
  </si>
  <si>
    <t>George Willis</t>
  </si>
  <si>
    <t>George</t>
  </si>
  <si>
    <t>Willis</t>
  </si>
  <si>
    <t>Kyle Chapman</t>
  </si>
  <si>
    <t>JK: Phyiscal solid catch/throw. Hit 4. Good as/carry. Like him in the mix.</t>
  </si>
  <si>
    <t>Jack Fuller</t>
  </si>
  <si>
    <t>Jack</t>
  </si>
  <si>
    <t>Fuller</t>
  </si>
  <si>
    <t>Southlake Carroll</t>
  </si>
  <si>
    <t>TR Call: Was one of SLC two main starters. 55IP sending stats was all conference. sub 2 era. Has a couple offers. Has some ineterst in Military. Says he is 87-88/89.</t>
  </si>
  <si>
    <t>jfullerlefty9@gmail.com</t>
  </si>
  <si>
    <t>4-6A All District Team, Fort Worth Area Team, PBR Futures Games, Perfect Game Junior National, #2 uncommitted pitcher in Texas (Perfect Game)</t>
  </si>
  <si>
    <t>Yes, Tree nuts</t>
  </si>
  <si>
    <t>Jackson Lee</t>
  </si>
  <si>
    <t>Jackson</t>
  </si>
  <si>
    <t>Lee</t>
  </si>
  <si>
    <t>Columbia Academy</t>
  </si>
  <si>
    <t>TR Call: Has thrown over 100 IP this year no injury history. Was 87-88/89 lost velo to 85-86 by the end of the summer. 126K in 73 IP. 2nd in K in state won state .</t>
  </si>
  <si>
    <t>Jfl82206@gmail.com</t>
  </si>
  <si>
    <t>High school stats- 73.2 IP, 126 SO, 10-2 record, 2.00 ERA, All Region Team, All State Team</t>
  </si>
  <si>
    <t>26-ACT</t>
  </si>
  <si>
    <t>Aidan Nohava</t>
  </si>
  <si>
    <t>Aidan</t>
  </si>
  <si>
    <t>Nohava</t>
  </si>
  <si>
    <t>Brother Rice</t>
  </si>
  <si>
    <t>Cangelosi Sparks</t>
  </si>
  <si>
    <t>AP: 6'0 190.  3B/1B Hitter, big leg kick and barrelled balls.  PRB has 60 at 7.3 but saw him hit a 3B and ran better than that on bases.  avg def actions and avg arm.  value is a hitter at a good HS.</t>
  </si>
  <si>
    <t>Alexander Menth</t>
  </si>
  <si>
    <t>Alexander</t>
  </si>
  <si>
    <t>Menth</t>
  </si>
  <si>
    <t>MN</t>
  </si>
  <si>
    <t>Minneapolis South</t>
  </si>
  <si>
    <t>TR: Call 2/9. Twitter video is loose and whippy. up to 86-87/88. 6'5" 200lbs. Northstar Baseball summer.</t>
  </si>
  <si>
    <t>Alexander Pearson</t>
  </si>
  <si>
    <t>Pearson</t>
  </si>
  <si>
    <t>OR</t>
  </si>
  <si>
    <t>Tigard</t>
  </si>
  <si>
    <t>Futures. Left handed stick, kid swings it. Attacks strikes and makes hard LD contact with drive. Has some pop. Also pitched - 82-84/66-67. Competes on mound has more command and velo in the tank. Zero separation or use of ground.</t>
  </si>
  <si>
    <t>Andrew Krupa</t>
  </si>
  <si>
    <t>Andrew</t>
  </si>
  <si>
    <t>Krupa</t>
  </si>
  <si>
    <t>Center Grove HS</t>
  </si>
  <si>
    <t>Team INDIANA (Bulls)</t>
  </si>
  <si>
    <t>AP: 6'4 180 long lean athlete.  6.7 runner.  LHH light w/ bat now but projects.  should have some leverage in swing. big upside guy</t>
  </si>
  <si>
    <t>Andrew Winslow</t>
  </si>
  <si>
    <t>Winslow</t>
  </si>
  <si>
    <t>Triad</t>
  </si>
  <si>
    <t>Futures. This kid is a very different look, can't see the ball. 6'6" wiry frame with a quick arm. Very low slot slinger. 88-89 21 spin. 74-75 22 spin. commands gs and feel for spin. Cmds FB to both sides and hides the ball very well. frame for added velo.</t>
  </si>
  <si>
    <t>Anthony Frobose</t>
  </si>
  <si>
    <t>Anthony</t>
  </si>
  <si>
    <t>Frobose</t>
  </si>
  <si>
    <t>Lakeland HS</t>
  </si>
  <si>
    <t>8/1 Call - Very good phone call with Anthony and Dad. Were not sure at start and seemed very interested by the end of the call. Really took to $ and setting him up for future. Kid is a ballplayer has a lot of traffic. They are extremely interested in visiting and learning more. Getting him more info today. Tim saw at two events. Del team camp and 16u GA. The kid hits, drives the ball to all fields. Extremely atheltic build, physical with QT. Runs very well with high IQ. Very good actions at SS with plenty of arm. No brainer offer Aug 1. Have spoken with coach and he is interested. Will have a good amount of quality baseball offers.</t>
  </si>
  <si>
    <t>Austin Moran</t>
  </si>
  <si>
    <t>Austin</t>
  </si>
  <si>
    <t>Moran</t>
  </si>
  <si>
    <t>SBA</t>
  </si>
  <si>
    <t>Cuthbertson HS</t>
  </si>
  <si>
    <t>JK-same team as Aldredge. More physical, possibly more offensive and more of a corner guy. Has interest. Reconnected in March 2024. Spoke with his HS coach (former D1 athlete) as well. Glowing recs. HS QB. No questions about him. Kid is close with his family/knows him well. super high character, elite level player in multiple sports</t>
  </si>
  <si>
    <t>Austin Musso</t>
  </si>
  <si>
    <t>Musso</t>
  </si>
  <si>
    <t>Mascoutah</t>
  </si>
  <si>
    <t>Call 8/2 - Some interest but leaning toward no. Sending info to follow up AP: Futures. 6'1 180. good arm speed. 86-88 and located.  75 SL good, 2200 spin. not the tallest frame but pitched really well at Futures and carried himself like he was a stud. really liked his look.</t>
  </si>
  <si>
    <t>Baylor Roberts</t>
  </si>
  <si>
    <t>Baylor</t>
  </si>
  <si>
    <t>MS</t>
  </si>
  <si>
    <t>Saltillo HS</t>
  </si>
  <si>
    <t>9/18 Call: Showed some interest.  Sent info, need to follow up next week. Not going to be playing again this fall.TR - Saw at PBR Cup. High level athletic actions at SS. Separates his hands below the knees. Runs better functionally than his 60 time. Good turn and BC at the plate. Has a frame to add strength. Plays the game like he loves it. Toldme wasn't interested in service</t>
  </si>
  <si>
    <t>Ben Pulliam</t>
  </si>
  <si>
    <t>Pulliam</t>
  </si>
  <si>
    <t>Glen Allen HS</t>
  </si>
  <si>
    <t>Richmond Braves</t>
  </si>
  <si>
    <t>TR saw in Ft. Myers. Not a fast mover, runs hunched over. Big body slow bat. Not off list but not a guy for us right now. Video from NCSA - emailed to setup call. Great phone call high interest. 6.7 runner hit 2 hole for HS and leadoff in summer. Sending me some stats. Playing for Rich braves. 4.0 in honors calc as junior.</t>
  </si>
  <si>
    <t>Ben Toft</t>
  </si>
  <si>
    <t>Toft</t>
  </si>
  <si>
    <t>New Trier</t>
  </si>
  <si>
    <t>AP: Futures. 5'10 165 very small. LHH with great swing and bat speed for size.  6.8 runner.  just a low follow at this point</t>
  </si>
  <si>
    <t>Blake Sebastian</t>
  </si>
  <si>
    <t>Blake</t>
  </si>
  <si>
    <t>Sebastian</t>
  </si>
  <si>
    <t>Blue Valley North</t>
  </si>
  <si>
    <t>TR: Call 2/10. Coach had great things to say. Made big jump over fall. Big strong tough kid could be true 2 way. Not sure he has a position but may be quality arm. max effort but velo rising. Building champions setting up a call. Video and metrics check out. Looks like a high level athlete, digging in.</t>
  </si>
  <si>
    <t>Bobby Christenson</t>
  </si>
  <si>
    <t>Christenson</t>
  </si>
  <si>
    <t>NJ</t>
  </si>
  <si>
    <t>St. Joe - Met</t>
  </si>
  <si>
    <t>TR: John Murphy recc. Hitting .517 left handed hitter. Playing ss havent seen any def video. Swing looks powerful strong. confident kid on the phone.</t>
  </si>
  <si>
    <t>Brad Marks</t>
  </si>
  <si>
    <t>Brad</t>
  </si>
  <si>
    <t>Marks</t>
  </si>
  <si>
    <t>DE</t>
  </si>
  <si>
    <t>Cape Henlopen</t>
  </si>
  <si>
    <t>AP: update: not effect at PBR 17u, stuff a tick down.  6'0 170 skinny. Fast arm.  Possible 3 pitches.  86-89 (90), 76 SL, good CH deceptive.   Fast arm and works fast.  Threw strikes and threw put-away pitches. Check performance history.  JK email notes: Top 500 #2 rhp in DE.</t>
  </si>
  <si>
    <t>Braden Polsky</t>
  </si>
  <si>
    <t>Braden</t>
  </si>
  <si>
    <t>Polsky</t>
  </si>
  <si>
    <t>Cannon</t>
  </si>
  <si>
    <t>TR - Saw twice. Not enough strikes. Has some arm speed and arm strength. looks the part and has athleticism. Have had some phone calls need to see again in spring/summer</t>
  </si>
  <si>
    <t>Brady Ferguson</t>
  </si>
  <si>
    <t>Brady</t>
  </si>
  <si>
    <t>Ferguson</t>
  </si>
  <si>
    <t>NE</t>
  </si>
  <si>
    <t>Millard West</t>
  </si>
  <si>
    <t>AP: Futures. 6'2 190 good body. 86-88 with good SL.  good tempo and delivery. 3/4 slot.  great arm speed.  easy YES</t>
  </si>
  <si>
    <t>Brady Hewitt</t>
  </si>
  <si>
    <t>Hewitt</t>
  </si>
  <si>
    <t>Royal ? Sierra Canyon HS</t>
  </si>
  <si>
    <t>SoCal Giants</t>
  </si>
  <si>
    <t>AP: 6'1 185. best bat on SoCal Giants.  strong body. +bat speed.  +swing.  = arm, = def, mayby not pure SS, stiff actions.</t>
  </si>
  <si>
    <t>Brady Kaufman</t>
  </si>
  <si>
    <t>Kaufman</t>
  </si>
  <si>
    <t>OH</t>
  </si>
  <si>
    <t>JK: 90-91 / SL 77-78. Fast arm twitchy. Athletic. showed CH.</t>
  </si>
  <si>
    <t>bradykaufman1111@yahoo.com</t>
  </si>
  <si>
    <t>Highschool pitching: 43 innings 74 K’s 8BB 0.00ERA .121BAA</t>
  </si>
  <si>
    <t>Act 22</t>
  </si>
  <si>
    <t>Brayden Mercier</t>
  </si>
  <si>
    <t>Brayden</t>
  </si>
  <si>
    <t>Mercier</t>
  </si>
  <si>
    <t>St Johns Shrews</t>
  </si>
  <si>
    <t>Nor'Easter Runbirds</t>
  </si>
  <si>
    <t>JK-spoke on phone. Solid kid. Possible low GPA. 2 C's on transcript. Film was good. Offer from HC. Maine/Bryant/Fairfield/NJIT.</t>
  </si>
  <si>
    <t>Brayton Coomer</t>
  </si>
  <si>
    <t>Brayton</t>
  </si>
  <si>
    <t>Coomer</t>
  </si>
  <si>
    <t>KY</t>
  </si>
  <si>
    <t>Adair Co HS</t>
  </si>
  <si>
    <t>Louisville legends</t>
  </si>
  <si>
    <t>AP: 6'5 210.  not a need right now. Hitter. high contact, potential pwr in there bc/ of leverage in swing.  room to fill out more.  small town country kid, raised himself.  avg run, avg arm.  only saw play 1B.   taking ACT in July.  probably a longshot to get to a 26</t>
  </si>
  <si>
    <t>b.coomer45@icloud.com</t>
  </si>
  <si>
    <t>nose surgery</t>
  </si>
  <si>
    <t>no</t>
  </si>
  <si>
    <t>Brock Ketelsen</t>
  </si>
  <si>
    <t>Brock</t>
  </si>
  <si>
    <t>Ketelsen</t>
  </si>
  <si>
    <t>Valley Christian</t>
  </si>
  <si>
    <t>AP: Futures. 6'3 185 tall lean nice body.  6.7 run, moves well.  Nice swing with good leverage.  potential for some pop.  95 EV max.  avg arm.  Need to contact HS coach to make sure he checks out</t>
  </si>
  <si>
    <t>Brody Winemiller</t>
  </si>
  <si>
    <t>Brody</t>
  </si>
  <si>
    <t>Winemiller</t>
  </si>
  <si>
    <t>Collierville</t>
  </si>
  <si>
    <t>EC Sox</t>
  </si>
  <si>
    <t>AP: 6'4 200.  BAT!  saw hit 500 ft HR.  good bat speed and good swing.  strong.  future game player.  avg run, avg def, arm needs work. played corner OF and 1B for HS.  HS coach loves the kid, faith is important to kid.  sister is in Navy</t>
  </si>
  <si>
    <t>Brodywinemiller@icloud.com</t>
  </si>
  <si>
    <t xml:space="preserve">Started varsity since freshman year. 12 total high school home runs. Led the team in RBI’s as a sophomore. Led the team in home runs with 6 as a junior. Won defensive player of the year as a junior. </t>
  </si>
  <si>
    <t>4.3 weighted</t>
  </si>
  <si>
    <t>ACT-24</t>
  </si>
  <si>
    <t>Broken foot-Baseball. Concussion-Football</t>
  </si>
  <si>
    <t>Bryce Neely</t>
  </si>
  <si>
    <t>Neely</t>
  </si>
  <si>
    <t>St Christophers</t>
  </si>
  <si>
    <t>AP: Futures. 5'11 180 strong body.  6.5 runner, +speed. gets a good swing off.  need to see more to see if he can actually hit.</t>
  </si>
  <si>
    <t>Bryce Palms</t>
  </si>
  <si>
    <t>Palms</t>
  </si>
  <si>
    <t>DeMatha Catholic</t>
  </si>
  <si>
    <t>AP: update 7/20/24 85-87 w/ no BB.  not enough for us.  6'0 180 Update: 3/13/24 85-86 arm works.  3 IP 2K, 5-6 balls got barreled.  did not throw any offspeed? needs to improve to be a guy for us.  82-85.  clean arm, clean delivery. JK-seen and spoke to. Athletic arm. Seems like avg junior year and avg student. Likely a prep candidate at best.</t>
  </si>
  <si>
    <t>Caden Blanck</t>
  </si>
  <si>
    <t>Blanck</t>
  </si>
  <si>
    <t>US Elite</t>
  </si>
  <si>
    <t>Caden Williamson</t>
  </si>
  <si>
    <t>Williamson</t>
  </si>
  <si>
    <t>Broomfield</t>
  </si>
  <si>
    <t>Slammers</t>
  </si>
  <si>
    <t>AP/TR: 5'10 maybe 175.  short but strong.  6.7 runner.  good bat speed. 2B's pop.  .365 7 2B's 21 SB's in HS '24.  saw @ PG Beast of East 6/8/24</t>
  </si>
  <si>
    <t>Caeden Cloud</t>
  </si>
  <si>
    <t>Caeden</t>
  </si>
  <si>
    <t>Cloud</t>
  </si>
  <si>
    <t>MO</t>
  </si>
  <si>
    <t>Nixa</t>
  </si>
  <si>
    <t>Futures. Very physical and athletic SS. HC kid barrels balls. Very plus actions and arm strength. High end talent. Shooter calls him best SS in country. Dad was Army.</t>
  </si>
  <si>
    <t>Caleb Sweeney</t>
  </si>
  <si>
    <t>Caleb</t>
  </si>
  <si>
    <t>Sweeney</t>
  </si>
  <si>
    <t>FS21 Stars</t>
  </si>
  <si>
    <t>AP: 6'1 200 86-87, avg SL sweeping, =/+ CH good feel.  plus pick to 1B.</t>
  </si>
  <si>
    <t>Cameron Millar</t>
  </si>
  <si>
    <t>Cameron</t>
  </si>
  <si>
    <t>Millar</t>
  </si>
  <si>
    <t>Alhambra</t>
  </si>
  <si>
    <t>AP: 6'2 175.  loose arm w/ good hand speed.  88-90, 75-76 SL, 80 CH has some feel for it.  really like the look!</t>
  </si>
  <si>
    <t>Carson Zagryn</t>
  </si>
  <si>
    <t>Carson</t>
  </si>
  <si>
    <t>Zagryn</t>
  </si>
  <si>
    <t>Blessed Trinity</t>
  </si>
  <si>
    <t>JK- no brainer offensive talent. Unclear on interest. Still uncommitted (Dec 2023). Communication gone a bit cold</t>
  </si>
  <si>
    <t>Carter Brown</t>
  </si>
  <si>
    <t>Carter</t>
  </si>
  <si>
    <t>Brown</t>
  </si>
  <si>
    <t>Cacturs Shadows</t>
  </si>
  <si>
    <t>AP: update: slow start to 24 on mound.  lots of BB's.  hitting ok though.  saw in academic game AZ fall '23.  Hit a HR.  Will be duel guy for HS.  Starter on the mound.  probably more potential on mound.  need to find out interest in military</t>
  </si>
  <si>
    <t>Carter Wilcox</t>
  </si>
  <si>
    <t>Cherokee Trail</t>
  </si>
  <si>
    <t>Futures. 85-87 20 / 70-73 25. Whippy arm ath frame. High level of pitchability. Check in on.</t>
  </si>
  <si>
    <t>Case Bosch</t>
  </si>
  <si>
    <t>Case</t>
  </si>
  <si>
    <t>Bosch</t>
  </si>
  <si>
    <t>MI</t>
  </si>
  <si>
    <t>Jenison</t>
  </si>
  <si>
    <t>TR-texted 1/3 Futures. 84-86 / 72-75.Keep an eye on. Just ok with spin but athletic and colud clean up arm action. Physical build good frame projects if he cleans some things up.</t>
  </si>
  <si>
    <t>Casey Carpenter</t>
  </si>
  <si>
    <t>Casey</t>
  </si>
  <si>
    <t>Carpenter</t>
  </si>
  <si>
    <t>BelAir</t>
  </si>
  <si>
    <t>John Carroll</t>
  </si>
  <si>
    <t>JK-Liked during soph year. Good player. Same team as Ryzbinski</t>
  </si>
  <si>
    <t>Cash McDade</t>
  </si>
  <si>
    <t>Cash</t>
  </si>
  <si>
    <t>McDade</t>
  </si>
  <si>
    <t>Gonzaga</t>
  </si>
  <si>
    <t>AP: Futures. big time arm! 1.9 pop.  Flat strong swing with good bat speed.  pwr could develop. non athlete, doesn't move well. had a fantastic future games. threw out every baserunner.</t>
  </si>
  <si>
    <t>Charlie Slabaugh</t>
  </si>
  <si>
    <t>Charlie</t>
  </si>
  <si>
    <t>Slabaugh</t>
  </si>
  <si>
    <t>Sayre</t>
  </si>
  <si>
    <t>KBC</t>
  </si>
  <si>
    <t>AP: saw at PBR INDY.  just ok.  good overall baseball player, short on tools. 6'0 180 strong build. LHH with a good swing. hit .480 in a D1 heavy league last year.   +makeup.  7.0 runner. below avg arm.   There are players on the board with way more tools to pursue first</t>
  </si>
  <si>
    <t>Chase Johnston</t>
  </si>
  <si>
    <t>Johnston</t>
  </si>
  <si>
    <t>UT</t>
  </si>
  <si>
    <t>Maple Mountain</t>
  </si>
  <si>
    <t>Futures. 84-86 22-23 / 75 22 sharp CB. plus feel for spin. FB cmd is ? OTT tough angle. 6'1"</t>
  </si>
  <si>
    <t>Chris Jalliet</t>
  </si>
  <si>
    <t>Chris</t>
  </si>
  <si>
    <t>Jalliet</t>
  </si>
  <si>
    <t>Andover</t>
  </si>
  <si>
    <t>High Int/Wants to visit</t>
  </si>
  <si>
    <t>Emailed - Just ok. JK-spoke to on phone. Liked him. Spoke to summer coach with Noreasters (Matt Feld). High rec. 83-85, feel for o/s. Hockey kid. Talking to D1's in Northeast and some high academics. Solid transcript and grades look like they will line up. 90 inn b/w HS and Summer.  Fall shutdown/but working back to bullpens. Will not be 100% by Oct 14.</t>
  </si>
  <si>
    <t>Chris Jewett</t>
  </si>
  <si>
    <t>Jewett</t>
  </si>
  <si>
    <t>Slammers Austin</t>
  </si>
  <si>
    <t>TR: Saw at Slammers workout. spiking FBs. He is huge, imposing. Arm works just looks like a thrower right now, doesn't feel like he's pitching. HS stats: 3.84/ 31IP/28H/40K/19BB/.235 OBA. AP: 6'6 220 "big country".  PBR NPI 6/8/24 raw with huge ceiling.  85-87 but will throw 95 one day.  72 SL.  sprayed balls all over.  body baby fat still.  once core strength added command should improve.  high follow due to ceiling</t>
  </si>
  <si>
    <t>CJ Deckinga</t>
  </si>
  <si>
    <t>CJ</t>
  </si>
  <si>
    <t>Deckinga</t>
  </si>
  <si>
    <t>Minooka</t>
  </si>
  <si>
    <t>OFFER!!  Futures. Very projectable body. Frame and strength. Moves well. swing turns weel with extension. Needs to connect to ground but getting drive now. 4.5T. Has BC and pop pot.</t>
  </si>
  <si>
    <t>Clayton Norrell</t>
  </si>
  <si>
    <t>Clayton</t>
  </si>
  <si>
    <t>Norrell</t>
  </si>
  <si>
    <t>Dallas Patriots</t>
  </si>
  <si>
    <t>JK: Has a shot. Crafty LHP. Slinger 3 pitch mix. 84-86. Slv spin with some feel. Showed CH.</t>
  </si>
  <si>
    <t>clayton.norrell@icloud.com</t>
  </si>
  <si>
    <t xml:space="preserve">High school stats: 65 innings, 70 strikeouts, 1.929 ERA, 19 walks </t>
  </si>
  <si>
    <t>SAT: 1050</t>
  </si>
  <si>
    <t>Cole Lasher</t>
  </si>
  <si>
    <t>Lasher</t>
  </si>
  <si>
    <t>St. Thomas Aquinas</t>
  </si>
  <si>
    <t>Florida pokers</t>
  </si>
  <si>
    <t>6'3 190 Good body. Good arm from the outfield. Moves around OK. 6.9 runner.  Light with the bat. Hudson lehnertz comp. Check in in the fall to see if he made any improvements with the bat.</t>
  </si>
  <si>
    <t>clslugger123@gmail.com</t>
  </si>
  <si>
    <t xml:space="preserve">15u summer Perfect Game 1st Team All American Hitter 2025 class. Perfect Game Junior National Showcase Attendee. Multiple Principle Honor Rolls and First Honor Rolls. </t>
  </si>
  <si>
    <t xml:space="preserve">1310 SAT </t>
  </si>
  <si>
    <t>Right elbow scope</t>
  </si>
  <si>
    <t>Amoxicillin</t>
  </si>
  <si>
    <t>Colin Oates</t>
  </si>
  <si>
    <t>Colin</t>
  </si>
  <si>
    <t>Oates</t>
  </si>
  <si>
    <t>Buford</t>
  </si>
  <si>
    <t>Call 8/1 - Very intersted sending info and pushing visit. TR have seen twice now. Made a significant jump from summer ot fall. Big physical atheltic frame. plays OF for ninth inning as well. Last start went 3 inn 4 Ks and 2 BBs FB avg 86-87/90. Had an Aidan Healy CB at 75. Was locating everything GS. Just learning how to pitch. His history of walks is a concern but the development I've seen could make him a pro talent. JK: average outing when I saw in Ft Myers. Body good/athletic. Saw 3 innings and wasn't necessarily clean. Showed flashes of good stuff, but struggled with zone/command at times</t>
  </si>
  <si>
    <t>Colton Bordick</t>
  </si>
  <si>
    <t>Bordick</t>
  </si>
  <si>
    <t>Boys Latin</t>
  </si>
  <si>
    <t>Mike Bordicks son. Need to see asap. Has interest. JK-spoke to on phone on Aug 15. Has interest in USNA. Have not seen in person. Good on phone. Committed without offer in Nov. Have to lock down/see as much as we can in the spring. Was not forthright about grades/transcripts prior to visit.  Have spoken to at length about poor transcripts/grades. Knows he must improve. Possible Prep Candiate out of the gate.</t>
  </si>
  <si>
    <t>Connor Cavo</t>
  </si>
  <si>
    <t>Connor</t>
  </si>
  <si>
    <t>Cavo</t>
  </si>
  <si>
    <t>St John Paul</t>
  </si>
  <si>
    <t>USG</t>
  </si>
  <si>
    <t>AP: 6'4 175 tall lean wide shoulders, room for more. good frame.  87-89 (90) higher spin, got s/m.  CB, CH look usable.  got s/m with those as well.  good arm speed.  FB stayed up in the zone and didn't get hit.  faced a stacked Canes lineup and threw well. saw at PG 17u hoover 4ip 3h 6k 2bb 2r.  SEE AGAIN asap!  PG BCS 17u and PBR 17u lakepoint</t>
  </si>
  <si>
    <t>Connorcavo75@gmail.com</t>
  </si>
  <si>
    <t>Summer ERA: 1.60        School ERA: 3.15–62 Innings—62 strikeouts</t>
  </si>
  <si>
    <t>ACT:27</t>
  </si>
  <si>
    <t>No surgeries</t>
  </si>
  <si>
    <t>Connor Larkin</t>
  </si>
  <si>
    <t>Larkin</t>
  </si>
  <si>
    <t>Cherry Creek</t>
  </si>
  <si>
    <t>Futures. Lefty stick. hit everything hard for 3 days. Has juice pull pop for HR. Skinny tall frame. Very balanced forward move and feel for the turn. In the zone for a long time. Abv avg barrel control.</t>
  </si>
  <si>
    <t>Cooper Auschwitz</t>
  </si>
  <si>
    <t>Cooper</t>
  </si>
  <si>
    <t>Auschwitz</t>
  </si>
  <si>
    <t>OK</t>
  </si>
  <si>
    <t>Owasso</t>
  </si>
  <si>
    <t>Futures. Hit one off the top of the scoreboard on a line. hardest ball hit all weekend. ath frame moves well. Does have a hitch in his hands, has an arm bar and showed some sm. LD to LF 4.5T runs well.</t>
  </si>
  <si>
    <t>Cooper Teeples</t>
  </si>
  <si>
    <t>Teeples</t>
  </si>
  <si>
    <t>Recc by Pete Bartelewski. Reaching out week of 8/21. Came to camp, not a good showing 10/15</t>
  </si>
  <si>
    <t>Danny Wallace</t>
  </si>
  <si>
    <t>Danny</t>
  </si>
  <si>
    <t>Wallace</t>
  </si>
  <si>
    <t>Papillian Lavista South</t>
  </si>
  <si>
    <t>TR/AP: Futures. RAKES Kept beating the Cf with LD. Very fast hands with plus drive. 4.6T</t>
  </si>
  <si>
    <t>David Pengel</t>
  </si>
  <si>
    <t>David</t>
  </si>
  <si>
    <t>Pengel</t>
  </si>
  <si>
    <t>Avon</t>
  </si>
  <si>
    <t>AP: Futures. 6'2 170 good frame.  CF'er.  6.6 runner.  good bat speed with some whip. Should develop some pwr in future.  gets the barrel out front.  avg arm.  played very confidently</t>
  </si>
  <si>
    <t>Dean Livingston</t>
  </si>
  <si>
    <t>Dean</t>
  </si>
  <si>
    <t>Livingston</t>
  </si>
  <si>
    <t>Hebron Christian Academy</t>
  </si>
  <si>
    <t>8/1 - Did not respond to text. AP: Futures. 6'3 185 good frame.  RAW looking but loose arm that works! 86-91 with life. 80 SL above avg bite.  avg command currently.</t>
  </si>
  <si>
    <t>Drew Rybinksi</t>
  </si>
  <si>
    <t>Rybinksi</t>
  </si>
  <si>
    <t>Mt. St. Joe's (MD)</t>
  </si>
  <si>
    <t>Call 8/1</t>
  </si>
  <si>
    <t>Eamon O'Gorman</t>
  </si>
  <si>
    <t>Eamon</t>
  </si>
  <si>
    <t>O'Gorman</t>
  </si>
  <si>
    <t>Elkhorn South</t>
  </si>
  <si>
    <t>AP: Futures 6'2 195 strong body.  + LHH swing with great bat speed.  7.0 runner, heavy feet.  3B def is good.  arm is avg.  value is LHH bat with pwr potential.</t>
  </si>
  <si>
    <t>Easton Nelms</t>
  </si>
  <si>
    <t>Easton</t>
  </si>
  <si>
    <t>Nelms</t>
  </si>
  <si>
    <t>AL</t>
  </si>
  <si>
    <t>Florence</t>
  </si>
  <si>
    <t>BlackSox</t>
  </si>
  <si>
    <t>AP: 6'2 190 strong body, LHH SS with a good swing. runs 6.7  arm is fine.  need to see more with the glove.  played kind of loose.  Future gamer.  dad is HS coach.  dad loves navy.  saw PG 17u hoover.  has big offer from Samford.  Will be at PBR 17u, need to see him there.  Also needs to add Pre-calculus in senior yr if he's truly interested in navy</t>
  </si>
  <si>
    <t>Eastonnelms@icloud.com</t>
  </si>
  <si>
    <t>All state 7a, All area large school UTL x2, ALABCA all star game 2x, Future games x2</t>
  </si>
  <si>
    <t>4.12 (Weighted)</t>
  </si>
  <si>
    <t>Act : 22</t>
  </si>
  <si>
    <t xml:space="preserve">Shoulder tendinitis </t>
  </si>
  <si>
    <t>Eddie Marshall</t>
  </si>
  <si>
    <t>Eddie</t>
  </si>
  <si>
    <t>Marshall</t>
  </si>
  <si>
    <t>Cardinal Gibbons</t>
  </si>
  <si>
    <t>FL pokers</t>
  </si>
  <si>
    <t>AP: 6'1 190 clean catcher with quick release. avg arm.  avgbat speed, avg pwr. hitter'sh and has bat to ball skill.  hit .380 with 5 HR's at Cardinal Gibbons, team won state title.  not a runner.  4.7 down the line to 1st.  Fitz recommended.  saw him in Cary, NC.  good catcher who can swing it.</t>
  </si>
  <si>
    <t>Eli Blair</t>
  </si>
  <si>
    <t>Eli</t>
  </si>
  <si>
    <t>Blair</t>
  </si>
  <si>
    <t>Arnold</t>
  </si>
  <si>
    <t>Call 8/2 - Zero interest. AP: Futures. 6'7 210 +frame. huge upside.  84-86 with slow SL with not much bite.  needs to improve.  value is in frame and projection</t>
  </si>
  <si>
    <t>Eli Gerdes</t>
  </si>
  <si>
    <t>Gerdes</t>
  </si>
  <si>
    <t>JK-has interest. No blowaway stuff, but feel for spin and threw multiple days in a row. Got banged around a couple times and numbers say the same.  Stays on the list for now.</t>
  </si>
  <si>
    <t>Ethan Barnes</t>
  </si>
  <si>
    <t>Barnes</t>
  </si>
  <si>
    <t>Hernanado</t>
  </si>
  <si>
    <t>TR - PBR Cup. Completely in control of the game. Rec/blk/throw. good flex and stance. Almost too smooth at times, intentionally trying to make things look easy. Took a strong swing  Barrelled a ball to LF.</t>
  </si>
  <si>
    <t>Ethan Dorsey</t>
  </si>
  <si>
    <t>Dorsey</t>
  </si>
  <si>
    <t>Catherdral</t>
  </si>
  <si>
    <t>IN Bulls</t>
  </si>
  <si>
    <t>AP: 6'2 190 good body.  clean delivery. mid 80's up to 88.  71-73 SL and likes it.  throws it well for strikes. has CH.  like his look. Update; logged 1 IP for varsity 2023?? JK-saw in Ft Myers. 85-86/Heavy ball?/Sink/velo dropped off.73-74 spin. 68Ch. LIked this guy. Would follow if int.</t>
  </si>
  <si>
    <t>Ethan Iacono</t>
  </si>
  <si>
    <t>Iacono</t>
  </si>
  <si>
    <t>Mountain Ridge HS</t>
  </si>
  <si>
    <t>Twitter video. Trosky. up to 92. 78-80 SL with good sharp hard shape.</t>
  </si>
  <si>
    <t>Finn Haines</t>
  </si>
  <si>
    <t>Finn</t>
  </si>
  <si>
    <t>Haines</t>
  </si>
  <si>
    <t>Mainland</t>
  </si>
  <si>
    <t>TR: Spoke with 7/13 still hasn't done his allergy test. I told him I was very frustrated that it has taken this long and it doesn't really show that he has interst in Navy. He was pretty adament that he does and that he just needs to get his mom to scheudle it. I told him I want an test date this week. TR: vs. Vineland... 83-85 slider was 70-72. Plus CH. 3 walks and 9 K's. Has some fight on the mound, presence through adversity. Has an offer to Army. Has nut allergy but doesn't carry his pen and hasn't been tested since he was a kid. Have had several conversations. 87-88 feel for SL 76-78. Plus CH. All reserach is he is a strike thrower. HS coach calls him number 1 over FL commit. Need to get on visit asap. Lot of heat. also talking to Army with family who attended Army</t>
  </si>
  <si>
    <t>Gabe Mathison</t>
  </si>
  <si>
    <t>Mathison</t>
  </si>
  <si>
    <t>Carmel</t>
  </si>
  <si>
    <t>6'1 185.  switch hitter.  6.8 runner w/ clean swing.  avg bat speed.  nothing wowing.</t>
  </si>
  <si>
    <t>gabe.mathison@gmail.com</t>
  </si>
  <si>
    <t>3.86 cumulative</t>
  </si>
  <si>
    <t>1140 SAT</t>
  </si>
  <si>
    <t>Left shoulder growth plate fracture in 2022, left quad tear 2023</t>
  </si>
  <si>
    <t>Garrett Hutchins</t>
  </si>
  <si>
    <t>Garrett</t>
  </si>
  <si>
    <t>Hutchins</t>
  </si>
  <si>
    <t>Lovenjoy HS</t>
  </si>
  <si>
    <t>Dulins Dodgers</t>
  </si>
  <si>
    <t>TBD/wants to visit/camp?</t>
  </si>
  <si>
    <t>JK-saw at AF camp. BIG body, but should clean up. Showed big pop from left side and has a shot on the bump. 81-84. Spoke to at the camp. Lots of military in family already. Siblings at WPoint and USMMA. Has been responsive to communication. AF may have offered already. Texted recent/Dec 2023.</t>
  </si>
  <si>
    <t>Gavin Aldredge</t>
  </si>
  <si>
    <t>Gavin</t>
  </si>
  <si>
    <t>Aldredge</t>
  </si>
  <si>
    <t>Community School of Davidson</t>
  </si>
  <si>
    <t>JK-liked in GA. LHH. Good actions. Has some interest. Need to see more on the offensive side/run etc.</t>
  </si>
  <si>
    <t>Grant Gardner</t>
  </si>
  <si>
    <t>Gardner</t>
  </si>
  <si>
    <t>Covenant Day</t>
  </si>
  <si>
    <t>Grant has 3 pitches for strikes. Saw himm 86-89/90. Plus command and shape to SL 74-76. Competes, pitches with confidence. Isn't afraid to throw SL/CH in any count. Small frame, does not project to get taller but can add strength. Has history of K's and throeing strikes.</t>
  </si>
  <si>
    <t>Grant Largen</t>
  </si>
  <si>
    <t>Largen</t>
  </si>
  <si>
    <t>JK-liked in only outing I saw. Committed on the earlier side. Tried to get for visit</t>
  </si>
  <si>
    <t>Gregory Quintana</t>
  </si>
  <si>
    <t>Gregory</t>
  </si>
  <si>
    <t>Quintana</t>
  </si>
  <si>
    <t>Paul VI</t>
  </si>
  <si>
    <t>TR - Saw at WWBA summer and camp. Summer was 85-86/87 with good feel for his SL. Smaller frame but athletic and twitchy. Was underwhelming at camp 79-81 with a big breaking ball. Will be in Ft Myers and pitching at PVI workout on Oct 4th. Has an offer to Lehigh. JK-avg/underwhelming when I saw at Ft Myers. Probably could be ok, but not a guy we need to offer right now. Up to 85 first hitter than heavy drop to 78-80. Arm looks like it works but velo not there. Spin looked solid. Could be ok but not enough to offer. Stay on.</t>
  </si>
  <si>
    <t>Hayden Willey</t>
  </si>
  <si>
    <t>Hayden</t>
  </si>
  <si>
    <t>Willey</t>
  </si>
  <si>
    <t>UTL</t>
  </si>
  <si>
    <t>Ridge Point HS</t>
  </si>
  <si>
    <t>Marucci Elite</t>
  </si>
  <si>
    <t>AP: 5'10 180 HS coach said he's more of an outfielder?  red flag.  body, short but strong'ish.  Can run well. 4.2 down line on ground ball.   Swing is good. Avg bat speed.   Low motor player.  Was told he can dog it at times. great family, and good kid overall.  Performance history?</t>
  </si>
  <si>
    <t>hjwilley0316@gmail.com</t>
  </si>
  <si>
    <t xml:space="preserve">.387 batting average with 146 PA, </t>
  </si>
  <si>
    <t xml:space="preserve">3.4 unweighted </t>
  </si>
  <si>
    <t>1080 SAT</t>
  </si>
  <si>
    <t>Henry Hebert</t>
  </si>
  <si>
    <t>Henry</t>
  </si>
  <si>
    <t>Hebert</t>
  </si>
  <si>
    <t>St. Johns</t>
  </si>
  <si>
    <t>Show Baseball New England</t>
  </si>
  <si>
    <t>Good Recc from Lomansney. Wants military 84-86/88. Hard SL best pitch. Has plus CH. Was number 1 for HS last year. Plays FB.  JK-spoke to in person. Good kid on the phone. From Haverill Mass. Mom is principle. High academic. Transferring to Brooks School. HS QB. JK: seems hell bent on USNA. Really positive visit.</t>
  </si>
  <si>
    <t>Hunter Atkins</t>
  </si>
  <si>
    <t>Hunter</t>
  </si>
  <si>
    <t>Atkins</t>
  </si>
  <si>
    <t>East cobb Astros</t>
  </si>
  <si>
    <t>AP: only saw video. decommit from UGA.  UGA guy said take him.  3 pitch mix, mid to upper 80's.</t>
  </si>
  <si>
    <t>pitch259@gmail.com</t>
  </si>
  <si>
    <t xml:space="preserve">Rockmart High School/ East Cobb Astros </t>
  </si>
  <si>
    <t>NA</t>
  </si>
  <si>
    <t xml:space="preserve">appendix surgery/ broken right ankle </t>
  </si>
  <si>
    <t>Hunter Manning</t>
  </si>
  <si>
    <t>Manning</t>
  </si>
  <si>
    <t>West Ranch</t>
  </si>
  <si>
    <t>Update: AP saw at wwba, 85-87 spray.  Call 8/2 - Has some ineterst. Knows Ty Deperno. 3.5 no calc. transferred from ND to West Ranch. Sending info but may be a stretch academically. AP: Futures. 6'5 195 great build. avg arm sp. 87-89 easy down hill.  feel for CH 80.  Slow CB 69 2400spin.  would like to see better bite on breaking ball but his potential overall should overcome this. Need to contact HS coach to make sure also check GRADES</t>
  </si>
  <si>
    <t>Huntermanning10@icloud.com</t>
  </si>
  <si>
    <t>51IP 64K 14BB 1.235 ERA. 2nd Team All Foothill League</t>
  </si>
  <si>
    <t>Have not taken them yet</t>
  </si>
  <si>
    <t>NO</t>
  </si>
  <si>
    <t>Scholar Athlete</t>
  </si>
  <si>
    <t>Hunter Vincent</t>
  </si>
  <si>
    <t>Vincent</t>
  </si>
  <si>
    <t>Prosper HS</t>
  </si>
  <si>
    <t>Dulins Dodgers Prime</t>
  </si>
  <si>
    <t>AP: update: 83-88, below avg SL and bad CH.  dulin dodgers coach,"no feel for pitching, soft".   throwing in SR Future games, need to see BB better.  JK: Long lean whippy. Up to 87. Spin can be good swing and miss. Needs to command zone a bit better but worth seeing again. High interest. TR: Wants to fly dad is a pilot. Threw 40 innings out pen this year with .048 era. Started in playoffs, will start next year. Twitter has him 88-90/91. Is coming off pnuemonia in outing Kaner saw.</t>
  </si>
  <si>
    <t>Huston Dunn</t>
  </si>
  <si>
    <t>Huston</t>
  </si>
  <si>
    <t>Dunn</t>
  </si>
  <si>
    <t>Indiana Bulls Black</t>
  </si>
  <si>
    <t>JK-physical LHH SS. Need to see more but good player on elite team. #4 SS in IN.</t>
  </si>
  <si>
    <t>Isaac Pamaran</t>
  </si>
  <si>
    <t>Isaac</t>
  </si>
  <si>
    <t>Pamaran</t>
  </si>
  <si>
    <t>Papillion LaVista</t>
  </si>
  <si>
    <t>NE Prospects</t>
  </si>
  <si>
    <t>5'10 190 short but strong.  LHH stud.  hits and runs.  easy YES!</t>
  </si>
  <si>
    <t>Isaac.pamaran@gmail.com</t>
  </si>
  <si>
    <t xml:space="preserve">Highschool first team all state. </t>
  </si>
  <si>
    <t xml:space="preserve">No </t>
  </si>
  <si>
    <t>Isaiah Reveron</t>
  </si>
  <si>
    <t>Isaiah</t>
  </si>
  <si>
    <t>Reveron</t>
  </si>
  <si>
    <t>Apple Valley HS</t>
  </si>
  <si>
    <t>TR Twitter. Like actions and swing. Looks to have some ath and power. 7.1 60. Hit .289 as soph with 4 HR. No current stats.</t>
  </si>
  <si>
    <t>Jack Pye</t>
  </si>
  <si>
    <t>Pye</t>
  </si>
  <si>
    <t>LaSalle College HS</t>
  </si>
  <si>
    <t>AP: 86 with avg SL.  Flat FB and got barreled.  👎</t>
  </si>
  <si>
    <t>Jmpye011423@gmail.com</t>
  </si>
  <si>
    <t>https://www.maxpreps.com/pa/wyndmoor/la-salle-college-explorers/athletes/jack-pye/baseball/stats/?careerid=01m1mi0b58vm6</t>
  </si>
  <si>
    <t>1240 SAT</t>
  </si>
  <si>
    <t>Jack Roventini</t>
  </si>
  <si>
    <t>Roventini</t>
  </si>
  <si>
    <t>Poly Prep</t>
  </si>
  <si>
    <t>TR have seen in 2 tournaments. lefty stick, runs very well and can affect the game with his speed. Very small and skinny, does look strong but the size scares me. I have not seen him pitch but have seen he is up to 87, no real pitching notes now. From what I know he is more of an OF. 6.6 on PBR and actually plays faster.</t>
  </si>
  <si>
    <t>Jack Swanberg</t>
  </si>
  <si>
    <t>Swanberg</t>
  </si>
  <si>
    <t>Torrey Pines</t>
  </si>
  <si>
    <t>SoCal Redbirds</t>
  </si>
  <si>
    <t>AP: AZ academic game.  6'0 160 super small frame but fast hand speed.  83-85, 70-74 CB+, CH.  should throw harder</t>
  </si>
  <si>
    <t>Jackson Cook</t>
  </si>
  <si>
    <t>Cook</t>
  </si>
  <si>
    <t>Lincoln</t>
  </si>
  <si>
    <t>NorCal Black</t>
  </si>
  <si>
    <t>AP: update: throwing well in early 24 season. #1 for HS team, coach likes him.   6'1 175 =.  86-88, 73-74 CB=.  ball came out well, =/+ hand speed.  cant find any extra info/video online?</t>
  </si>
  <si>
    <t>Jackson Peavy</t>
  </si>
  <si>
    <t>Peavy</t>
  </si>
  <si>
    <t>Peach County</t>
  </si>
  <si>
    <t>8/1 - Texted, did not respond to call. Trying again. AP: Futures. 6'2 170. 84-87, good arm speed.  67-72 slow CB 2300 spin.  smooth delivery.  avg command.  will probably be a stud.</t>
  </si>
  <si>
    <t>Jackson Rose</t>
  </si>
  <si>
    <t>Rose</t>
  </si>
  <si>
    <t>Etowah</t>
  </si>
  <si>
    <t>643dp</t>
  </si>
  <si>
    <t>AP: 6'3 210 big body LHP.  mid upper 80's with an avg BB.  confident presense.  easy yes.  probably too good.  saw in WWBA 17u</t>
  </si>
  <si>
    <t>Jake Cackovic</t>
  </si>
  <si>
    <t>Cackovic</t>
  </si>
  <si>
    <t>Holly Springs</t>
  </si>
  <si>
    <t>AP: Futures. 6'7 200 ++ frame.  very easy delivery and arm works smooth.  84-87 with more in there.  78-80 SL below avg right now.  Just a follow with huge potential, needs some work.</t>
  </si>
  <si>
    <t>Jake Finnegan</t>
  </si>
  <si>
    <t>Finnegan</t>
  </si>
  <si>
    <t>Jupiter HS</t>
  </si>
  <si>
    <t>Barwis Dragons</t>
  </si>
  <si>
    <t>AP: 6'2 190 good strong body.  Not a SS answer.  Plays 3B.  clean def (need to see more) and glove seems good.  arm is fine.  gets good swings off and has some bat speed.  looks good in the box.  7.1 runner.  Hit .300's 4HR.  Trending up says HS coach.  Cant totally stamp a tool set.  saw at PG 17u Hoover.</t>
  </si>
  <si>
    <t>Jake.Finnegan2025@gmail.com</t>
  </si>
  <si>
    <t>Jake Hallow</t>
  </si>
  <si>
    <t>Hallow</t>
  </si>
  <si>
    <t>Wilcox County</t>
  </si>
  <si>
    <t>8/1 Call - Has ineterst needs to know more sending info. AP: Futures. 6'0 175. 83-84 (86), 72 SL 2400 spin (PBR). quick tempo and delivery.  good arm speed.  saw 2 innings, spray command, took a while to dial in.  2nd inning was better. PG stats for last two summers are pretty good.</t>
  </si>
  <si>
    <t>Jake Marciano</t>
  </si>
  <si>
    <t>Marciano</t>
  </si>
  <si>
    <t>Donovan Catholic</t>
  </si>
  <si>
    <t>Had already spoken with coaches and he is out on military</t>
  </si>
  <si>
    <t>Jake Rifenburg</t>
  </si>
  <si>
    <t>Rifenburg</t>
  </si>
  <si>
    <t>Longshots Baseball Teal</t>
  </si>
  <si>
    <t>JK-saw in FL. Wasn't a slam dunk but not far off and should stay on radar. 80-82 with abv. avg feel for spin. Top 1000/#8 LHP in IL on PG</t>
  </si>
  <si>
    <t>James Hare</t>
  </si>
  <si>
    <t>James</t>
  </si>
  <si>
    <t>Hare</t>
  </si>
  <si>
    <t>Ranney</t>
  </si>
  <si>
    <t>Call 8/1 Zero interest</t>
  </si>
  <si>
    <t>Jameson Dobis</t>
  </si>
  <si>
    <t>Jameson</t>
  </si>
  <si>
    <t>Dobis</t>
  </si>
  <si>
    <t>St. Augustine Prep</t>
  </si>
  <si>
    <t>TR: Saw at BPC workout 4/3. 88-91. Hard sharp SL 76-78. Big physical body. 6'3" 220. Call: coming out of the pen for prep. 3 D1 starters uin rotation. Has been having succcess but out of pen. need to call Bylone.</t>
  </si>
  <si>
    <t>Jason Brown</t>
  </si>
  <si>
    <t>Jason</t>
  </si>
  <si>
    <t>USA Prime</t>
  </si>
  <si>
    <t>JK-need to see more. concern about speed. Unclear if he can play IF, likely transition to OF. Perf history in HS is concerning. Have liked him every time I have seen him in summer ball though. Strong ath. frame and gets off some good swings</t>
  </si>
  <si>
    <t>Jax Heid</t>
  </si>
  <si>
    <t>Jax</t>
  </si>
  <si>
    <t>Heid</t>
  </si>
  <si>
    <t>Boyd HS</t>
  </si>
  <si>
    <t>5'11 180 SS actions. Moves around at SS well.  6.9 runner. All State selection 3A tx. Had good HS stats.  Bat is a little light but handles it.  Bat will probably play as he gets stronger.</t>
  </si>
  <si>
    <t>Jheid25@boydisd.net</t>
  </si>
  <si>
    <t>.450 hs batting average, 3x 1st team all district, 1st team all state ss, all tournament state team ss, 3rd team all state ss</t>
  </si>
  <si>
    <t>Not taken</t>
  </si>
  <si>
    <t>Hamet bone</t>
  </si>
  <si>
    <t>NHS</t>
  </si>
  <si>
    <t>Jett Jones</t>
  </si>
  <si>
    <t>Jett</t>
  </si>
  <si>
    <t>Jones</t>
  </si>
  <si>
    <t>NH</t>
  </si>
  <si>
    <t>NE Expos</t>
  </si>
  <si>
    <t>TR: not enough twitch in there. big physical frame but doesn't have the strength/quickness to move efficiently. Bat was slow the day I saw. Had trouble moving in catching position. JK-1.93 in game on bag. 2.00 in game from knees. 6’3”/big frame. Dad is pilot. Need to be on this guy.. A bit of a dud on the phone. May not be academic enough, but I liked him.</t>
  </si>
  <si>
    <t>Joe Montembeau</t>
  </si>
  <si>
    <t>Joe</t>
  </si>
  <si>
    <t>Montembeau</t>
  </si>
  <si>
    <t>AP: Stricklin @ Marist recommended. 6'0 175.  Moves around like a little leaguer.  Played 1B. Have not seen catch.  LHH with clean swing. Hit .355 last year for Marist.   Unless he's unreal behind the dish I'm don't think he can help us</t>
  </si>
  <si>
    <t>Joel Lopez</t>
  </si>
  <si>
    <t>Joel</t>
  </si>
  <si>
    <t>Lopez</t>
  </si>
  <si>
    <t>8/1 Call - Very inetersted, talked about a visit this fall.</t>
  </si>
  <si>
    <t>Joey Arend</t>
  </si>
  <si>
    <t>Joey</t>
  </si>
  <si>
    <t>Arend</t>
  </si>
  <si>
    <t>St. Charles East</t>
  </si>
  <si>
    <t>AP: Futures. 6'0 160 thin build. 7.0 runner but moves really well on field.  Really good swing with bat speed.  not a lot of pop.  83-85 with a SL on the mound.  might have a chance for us there. two way</t>
  </si>
  <si>
    <t>John Bingham</t>
  </si>
  <si>
    <t>Bingham</t>
  </si>
  <si>
    <t>Lyon County HS</t>
  </si>
  <si>
    <t>TR - PBR Cup. Kid looks like an sec pitcher when he moves and warmsup. High level ath with a fast arm. Was 85-87 with a 76sl. Struggled to locate, just a thrower. Missed up a lot and struggled to feel the zone. PBR doesn't even list him as a pitcher. Might be worth keeping an eye on if he is new to pitching. Kid has the potential to be a real guy.</t>
  </si>
  <si>
    <t>John Davis</t>
  </si>
  <si>
    <t>Tift County</t>
  </si>
  <si>
    <t>AP: Futures. 5'10 155 very small.  LHH. Really good swing and bat speed for size. had some really good at-bats at Futures. 7.1 runner.  just a guy to follow</t>
  </si>
  <si>
    <t>Jordan Regulski</t>
  </si>
  <si>
    <t>Jordan</t>
  </si>
  <si>
    <t>Regulski</t>
  </si>
  <si>
    <t>North Dorchester</t>
  </si>
  <si>
    <t>AP: Futures. 6'3 160 thin wirey. loose easy arm action.  86-87, 72 SL avg.  high ceiling projectable.  slow tempo/delivery, could quicken.  just a live arm right now. JK-had seen this kid a few times, going back to early June. Not interested in Navy.</t>
  </si>
  <si>
    <t>Joseph Vaccarella</t>
  </si>
  <si>
    <t>Joseph</t>
  </si>
  <si>
    <t>Vaccarella</t>
  </si>
  <si>
    <t>Gloucester Catholic</t>
  </si>
  <si>
    <t>Joseph.p.vaccarella@gmail.com</t>
  </si>
  <si>
    <t>12-1 (8-0) in highschool for the year</t>
  </si>
  <si>
    <t>3.62 unweighted</t>
  </si>
  <si>
    <t>1200 Sat</t>
  </si>
  <si>
    <t>Josh Jannicelli</t>
  </si>
  <si>
    <t>Josh</t>
  </si>
  <si>
    <t>Jannicelli</t>
  </si>
  <si>
    <t>Cardinal Newman</t>
  </si>
  <si>
    <t>AP: 86'4 180 good frame.  88-89, 76 SL =, CH =/+.  i like his look and arm.  slow tempo but ball comes out good. high ceiling</t>
  </si>
  <si>
    <t>Julius Bagnerise</t>
  </si>
  <si>
    <t>Julius</t>
  </si>
  <si>
    <t>Bagnerise</t>
  </si>
  <si>
    <t>Colgan HS</t>
  </si>
  <si>
    <t>Justin Summers</t>
  </si>
  <si>
    <t>Justin</t>
  </si>
  <si>
    <t>Summers</t>
  </si>
  <si>
    <t>AP: 6'5 200 +body and room for more.  Very clean swing with pwr potential down the road.  avg bat speed right now.  looks fine catching and throwing.  does not run.  offensive catcher</t>
  </si>
  <si>
    <t>JW Kohlmeyer</t>
  </si>
  <si>
    <t>JW</t>
  </si>
  <si>
    <t>Kohlmeyer</t>
  </si>
  <si>
    <t>not for us.   JK-solid player. Not a slam dunk right now, but good actions and arm strength across the diamond. High int and definitely a guy we want to see a bunch in the spring and make sure to keep  up with</t>
  </si>
  <si>
    <t>Kaine Baber</t>
  </si>
  <si>
    <t>Kaine</t>
  </si>
  <si>
    <t>Baber</t>
  </si>
  <si>
    <t>JK-liked and had visit set up. Cancelled b/c Citadel offered and i was his "dream school"</t>
  </si>
  <si>
    <t>Kaleb Williams</t>
  </si>
  <si>
    <t>Kaleb</t>
  </si>
  <si>
    <t>Williams</t>
  </si>
  <si>
    <t>West Springfield</t>
  </si>
  <si>
    <t>AP: Futures. 6'1 165 thin.  plus def actions at SS.  moves well on the field. 6.7 runner.  good swing.  light with the bat but value is pure SS.</t>
  </si>
  <si>
    <t>Kevin Ruff</t>
  </si>
  <si>
    <t>Kevin</t>
  </si>
  <si>
    <t>Ruff</t>
  </si>
  <si>
    <t>Downingtown West</t>
  </si>
  <si>
    <t>PBT Bellringers</t>
  </si>
  <si>
    <t>Call 8/21 - Kind of an eccentric kid but good convo. Dad served in the Army. Isn't pitchign competitively this fall because he wants to train. A kid to stay on but can't be arush if we don't see him</t>
  </si>
  <si>
    <t>KJ Hart</t>
  </si>
  <si>
    <t>KJ</t>
  </si>
  <si>
    <t>Hart</t>
  </si>
  <si>
    <t>River Ridge</t>
  </si>
  <si>
    <t>AP: update: kid dreams of SEC right now.  Futures. 6'5 200 +frame. leverage in swing.  feel to hit.  105 EV max.  7.0 runner.  RHP: 85-88 (90) loose easy arm speed.  CH has feel.  SL 75.  legit potential 2 way player</t>
  </si>
  <si>
    <t>Landon Ludwig</t>
  </si>
  <si>
    <t>Landon</t>
  </si>
  <si>
    <t>Ludwig</t>
  </si>
  <si>
    <t>Call 10/6 - Good convo, sent info. He is interested in Navy. Coach told me there is a broken home situation with no money. Was 88-90 with a 80SL that you can compare to Healy. Threw strikes commanded the zone. Pitched with the confidence and pace we are looking for. Attacked other team and set tempo of game.</t>
  </si>
  <si>
    <t>Liam Arsich</t>
  </si>
  <si>
    <t>Liam</t>
  </si>
  <si>
    <t>Arsich</t>
  </si>
  <si>
    <t>Lincoln-Way Central</t>
  </si>
  <si>
    <t>Cangalosi Sparks</t>
  </si>
  <si>
    <t>Call 8/3 - AP: Futures. 6'3 160, very thin. 6.6 runner, moves really well on field, avg arm.  leverage in swing and good bat speed.  swing is not far from being really good.  high ceiling.  avg pop but potential for more.</t>
  </si>
  <si>
    <t>Logan Davis</t>
  </si>
  <si>
    <t>Logan</t>
  </si>
  <si>
    <t>SoChar Panters</t>
  </si>
  <si>
    <t>JK-saw in GA. Liked actions. Tim thought maybe light with the stick. Revisit. #5 SS in NC and plays short for really good team.</t>
  </si>
  <si>
    <t>Lucas Grant</t>
  </si>
  <si>
    <t>Joliet Catholic</t>
  </si>
  <si>
    <t>Chicago Elite</t>
  </si>
  <si>
    <t>TR/AP: 6'1 185 upper 80's with SL.  have not seen yet.  wants aviation.  highly ranked LHP</t>
  </si>
  <si>
    <t>Lucas Henn</t>
  </si>
  <si>
    <t>Henn</t>
  </si>
  <si>
    <t>PDG Academy (VA)</t>
  </si>
  <si>
    <t>AP: Futures. 6'3 225 big/soft body.  good arm speed and delivery.  86-88 with a nice 12/6 CB.  landed a few really nice ones that buckled hitters.  might have a SL as well.</t>
  </si>
  <si>
    <t>Lucas Shannon</t>
  </si>
  <si>
    <t>Shannon</t>
  </si>
  <si>
    <t>Salpionte</t>
  </si>
  <si>
    <t>Futures games. Big physical athletic RHP. Low 3/4 slot. Spun it well and commanded gs. Up to 87 with 79 on SL. Very athletic kid. Good bat hard LD contact. 4.7T</t>
  </si>
  <si>
    <t>Luke Holbrook</t>
  </si>
  <si>
    <t>Luke</t>
  </si>
  <si>
    <t>Holbrook</t>
  </si>
  <si>
    <t>Whiteburg</t>
  </si>
  <si>
    <t>VBA rawlings</t>
  </si>
  <si>
    <t>AP: 6'3 195, only saw one inning, but it looked pretty good. 86–88, 77SL, pretty good at pitch. Great body, long limbs, good arm speed.  Second time out saw 84-87 as a starter.  Mid 70's BB.  Didn't see CH.  High school coach had nothing but great things to say about them. Bass overall player on the field, could play at any big Huntsville Alabama high schools. Junior college offers and a couple division two offers only now.</t>
  </si>
  <si>
    <t>lcholbrook06@gmail.com</t>
  </si>
  <si>
    <t>48 innings, 78Ks, 10 walks</t>
  </si>
  <si>
    <t>27 ACT</t>
  </si>
  <si>
    <t>Mac Dawsey</t>
  </si>
  <si>
    <t>Mac</t>
  </si>
  <si>
    <t>Dawsey</t>
  </si>
  <si>
    <t>Upstate Mavs</t>
  </si>
  <si>
    <t>Camp/on own visit</t>
  </si>
  <si>
    <t>JK-elite student/valedictorian. Good kid. Reclassed to 2025. Dad was outstanding player at Clemson/pro ball. Kid has some feel and can catch a bit. Probably a program guy. Wants to be at Navy. JK-has continued to keep in touch with updates.</t>
  </si>
  <si>
    <t>Mason Braun</t>
  </si>
  <si>
    <t>Mason</t>
  </si>
  <si>
    <t>Braun</t>
  </si>
  <si>
    <t>home school</t>
  </si>
  <si>
    <t>Cubs Scout team</t>
  </si>
  <si>
    <t>AP: 6' 190 LHH 1B.  strong body.  good swing with bat speed.  probably too good for us.  highly ranked.  hit in the middle of the order for Cubs scout team w/ Klug</t>
  </si>
  <si>
    <t>Mason Scott</t>
  </si>
  <si>
    <t>Scott</t>
  </si>
  <si>
    <t>AP/TR: 6'3 175 tall lean body.  CINF only.  avg arm, avg run, avg pwr, found barrels.  projectable bat.</t>
  </si>
  <si>
    <t>Matt Hall</t>
  </si>
  <si>
    <t>Matt</t>
  </si>
  <si>
    <t>Hall</t>
  </si>
  <si>
    <t>Strawberry Crest FBH Angels</t>
  </si>
  <si>
    <t>JK email notes: 8.5 top 500 on PG. 6'4" 180. Minority candidate. Possible prep.</t>
  </si>
  <si>
    <t>Matt Richards</t>
  </si>
  <si>
    <t>Richards</t>
  </si>
  <si>
    <t>Did not impress at PBR Cup.Recc by Pete Bartelewski. Reaching out week of 8/21</t>
  </si>
  <si>
    <t>Matthew Delaney</t>
  </si>
  <si>
    <t>Delaney</t>
  </si>
  <si>
    <t>NM</t>
  </si>
  <si>
    <t>Albuquerque Academy</t>
  </si>
  <si>
    <t>Canes West</t>
  </si>
  <si>
    <t>AP: 6'1 190.  avg size. 86-88, 70-72 =/+ CB, avg CH.  potential 3 pitch mix guy.  decent presence on mound.  not a high ceiling though.  Future gamer</t>
  </si>
  <si>
    <t>Matthew Witkow</t>
  </si>
  <si>
    <t>Witkow</t>
  </si>
  <si>
    <t>Merrick Beamish</t>
  </si>
  <si>
    <t>Merrick</t>
  </si>
  <si>
    <t>Beamish</t>
  </si>
  <si>
    <t>St. Augustine</t>
  </si>
  <si>
    <t>Call 8/3 - Ath frame and string build. Quick AA. Climbs a bit stiff foward rotated trap. 85-88 with 22 pin. SL was 76-78 with 26 spin. swing and miss pitch. FB a bit flat and hittable in zone. Has plus feel for Sl and GS.</t>
  </si>
  <si>
    <t>Merrick Rapoza</t>
  </si>
  <si>
    <t>Rapoza</t>
  </si>
  <si>
    <t>Gatorball</t>
  </si>
  <si>
    <t>Clay HS</t>
  </si>
  <si>
    <t>AP: 6'2 215 LHH strong body.  Only saw one at bat.  GIRLFRIEND is going to Navy.  Hitting videos shows a good swing.  Only hit .280 JR yr.  QB of football team.  Would not put a blue chip on him.  If he gets in on own then maybe walk-on type kid</t>
  </si>
  <si>
    <t>Micah Hays</t>
  </si>
  <si>
    <t>Micah</t>
  </si>
  <si>
    <t>Hays</t>
  </si>
  <si>
    <t>8/2 Call - Not interested not a great attitude.</t>
  </si>
  <si>
    <t>Michael Clemente</t>
  </si>
  <si>
    <t>Clemente</t>
  </si>
  <si>
    <t>Cuthbertson</t>
  </si>
  <si>
    <t>SBA bolts</t>
  </si>
  <si>
    <t>AP: 6'7 215 YES!  Update: shit down leg at wwba with all eyes on him.  Might give us a shot.  worked 3 pitches.  high ceiling.  arm works.  86-88 w/ SL and CH.</t>
  </si>
  <si>
    <t>Michael Zarzana</t>
  </si>
  <si>
    <t>Zarzana</t>
  </si>
  <si>
    <t>JK/AP-saw twice in GA/PG Fall WS. Small frame but has some thump in bat. Pralgo loves him, says Tennessee was sitting on him. Find that a bit hard to believe. Solid defender/runner. Good player but need to see more.  UPDATE-AP dont like him</t>
  </si>
  <si>
    <t>Miles Mador</t>
  </si>
  <si>
    <t>Miles</t>
  </si>
  <si>
    <t>Mador</t>
  </si>
  <si>
    <t>Pace Academy</t>
  </si>
  <si>
    <t>TR NPI - Better than he was last year. Physical better shpae. Arm was plus with a quick release. Solid contact fiorst AB LD 2B to LF. Little stiff in lower half stance but blocks and throws well. Handled armside pitch well. 2nd offer kind of guy. reached out will see again. JK-plus hitter/bat tool. Lists all power 5's as interest, but uncommitted, reach out to check. Have to see more</t>
  </si>
  <si>
    <t>Nate Hawton-Henley</t>
  </si>
  <si>
    <t>Nate</t>
  </si>
  <si>
    <t>Hawton-Henley</t>
  </si>
  <si>
    <t>St. John's (DC)</t>
  </si>
  <si>
    <t>AP: Futures. 5'10 170 short but strong muscular body. +speed 6.5 runner.  short quick swing.  88 on the mound.  value is speed.</t>
  </si>
  <si>
    <t>Nate Webb</t>
  </si>
  <si>
    <t>Webb</t>
  </si>
  <si>
    <t>POPE JOHN PAUL</t>
  </si>
  <si>
    <t>AP: 6'4 220 big strong BAT.  not a need right now. good bat speed.  has some swing/miss.  4.7 home to 1st.  not a runner.  follow</t>
  </si>
  <si>
    <t>Nathan Shaffer</t>
  </si>
  <si>
    <t>Shaffer</t>
  </si>
  <si>
    <t>North Gwinnett HS</t>
  </si>
  <si>
    <t>643 DP</t>
  </si>
  <si>
    <t>AP: update, doesn't move well.  Probably not enough of a bat to warrant getting him.  JK. Thick/strong catcher for 643. Did a solid job but would have to see more. Not sure if he will run enough to be in the mix.</t>
  </si>
  <si>
    <t>Nick Manning</t>
  </si>
  <si>
    <t>Nick</t>
  </si>
  <si>
    <t>Olympic Heights</t>
  </si>
  <si>
    <t>CBU</t>
  </si>
  <si>
    <t>Nick.manning1234@icloud.com</t>
  </si>
  <si>
    <t xml:space="preserve">3.7 cumulative weighted </t>
  </si>
  <si>
    <t>Noah Hahn</t>
  </si>
  <si>
    <t>Hahn</t>
  </si>
  <si>
    <t>New Life Academy</t>
  </si>
  <si>
    <t>AP: Futures. 6'2 180.  fringe pure SS, maybe 3B/2B.  def actions were good.  avg arm.  7.0 runner.  avg swing, needs better setup, avg bat speed.  probably only avg pwr.</t>
  </si>
  <si>
    <t>Owen Elser</t>
  </si>
  <si>
    <t>Elser</t>
  </si>
  <si>
    <t>Andy Drake email</t>
  </si>
  <si>
    <t>Patrick Colbert</t>
  </si>
  <si>
    <t>Colbert</t>
  </si>
  <si>
    <t>Georgetown Prep</t>
  </si>
  <si>
    <t>set up visit</t>
  </si>
  <si>
    <t>JK-saw in person on numerous occasions. Smaller, but not weak, frame. PLUS runner bordeline burner. Plays CF. Dynamic offensive player. Like a lot. High academic. Ivy Lg etc.</t>
  </si>
  <si>
    <t>Peter Mershon</t>
  </si>
  <si>
    <t>Peter</t>
  </si>
  <si>
    <t>Mershon</t>
  </si>
  <si>
    <t>Eastside</t>
  </si>
  <si>
    <t>Future games. Big phyiscal catcher with some drive and pop in the bat. Good actions behind the dish. Plus arm strength, flexibilty and glove work.</t>
  </si>
  <si>
    <t>Porter Berryman</t>
  </si>
  <si>
    <t>Porter</t>
  </si>
  <si>
    <t>Berryman</t>
  </si>
  <si>
    <t>Parkview HS</t>
  </si>
  <si>
    <t>16u WWBA: Short look soft follow guy. Could be a crafty lefty</t>
  </si>
  <si>
    <t>Preston Yaucher</t>
  </si>
  <si>
    <t>Preston</t>
  </si>
  <si>
    <t>Yaucher</t>
  </si>
  <si>
    <t>WI</t>
  </si>
  <si>
    <t>Edgewood HS</t>
  </si>
  <si>
    <t>GRB Rays</t>
  </si>
  <si>
    <t>AP: pure SS with plus actions.  5'10 180 light w/ the bat right now but high level player. taking ACT in oct.</t>
  </si>
  <si>
    <t>Quinn Schambow</t>
  </si>
  <si>
    <t>Quinn</t>
  </si>
  <si>
    <t>Schambow</t>
  </si>
  <si>
    <t>Libertyville</t>
  </si>
  <si>
    <t>8/1 - Did not respond to text. TR/AP: Futures. Plus catch and release guy. Physical catcher with good actions. Very good arm with plus carry.  probably a P5 guy</t>
  </si>
  <si>
    <t>Rantz Payton</t>
  </si>
  <si>
    <t>Rantz</t>
  </si>
  <si>
    <t>Payton</t>
  </si>
  <si>
    <t>Lafayette HS</t>
  </si>
  <si>
    <t>Futures. 85-87 22/ 74-75 25-26. Reapeatable works quick great tempo. High level feel for spin plus pitch. FB command to all sides consistent on gs.</t>
  </si>
  <si>
    <t>Remo Indomenico</t>
  </si>
  <si>
    <t>Remo</t>
  </si>
  <si>
    <t>Indomenico</t>
  </si>
  <si>
    <t>First Academy</t>
  </si>
  <si>
    <t>scout</t>
  </si>
  <si>
    <t>team</t>
  </si>
  <si>
    <t>AP JK: 5'10 180 small runner! 6.55 run.  Might not be interest in Navy, was asked to fill out medical questionnaire and did NOT.  LHH hitter. Clean swing.  Plays the game pretty casually. Not sure if that's too cool for school or ultra high IQ.  Arm is fine.  Maybe a smaller version of Raba.</t>
  </si>
  <si>
    <t>Rindo2138@gmail.com</t>
  </si>
  <si>
    <t>Lead team in ba and obp for high school</t>
  </si>
  <si>
    <t>3.8/4</t>
  </si>
  <si>
    <t>26 act</t>
  </si>
  <si>
    <t>No injuries or surgeries fingers crossed</t>
  </si>
  <si>
    <t xml:space="preserve">Fish, dogs and cats allergies. </t>
  </si>
  <si>
    <t>Only allergy medication as needed</t>
  </si>
  <si>
    <t>Ren Devereaux</t>
  </si>
  <si>
    <t>Ren</t>
  </si>
  <si>
    <t>Devereaux</t>
  </si>
  <si>
    <t>St Johns College</t>
  </si>
  <si>
    <t>8/1 Call - Visiting Sept 9th. Have seen multiple times and has been to camp. GS cmd of FB 87-90/91. Plus feel for spin with very good shape. 74-76. Shows a CH at times to LHH. Build and athleticism are all a plus. He has intensity on the mound. Pavs saw him struggle during Futures in his 2 innings but he has been steady for two years. We know AF is also in on him. Guy we need to get in our back yard, wants to fly.</t>
  </si>
  <si>
    <t>Riley Wood</t>
  </si>
  <si>
    <t>Riley</t>
  </si>
  <si>
    <t>Wood</t>
  </si>
  <si>
    <t>Richland HS</t>
  </si>
  <si>
    <t>Midland Redskins</t>
  </si>
  <si>
    <t>Saw in Ft. Myers. Slow mover big lumbering LHP. Not a guy right now but worth keeping an eye on to see howhe develops over the winter. He emailed so has some interest.</t>
  </si>
  <si>
    <t>Rogers Stow</t>
  </si>
  <si>
    <t>Rogers</t>
  </si>
  <si>
    <t>Stow</t>
  </si>
  <si>
    <t>James Island Charter</t>
  </si>
  <si>
    <t>Future games. big frame catcher.good actions behind the dish2.1 pop good carry on throw.</t>
  </si>
  <si>
    <t>Rowen Bergeron</t>
  </si>
  <si>
    <t>Rowen</t>
  </si>
  <si>
    <t>Bergeron</t>
  </si>
  <si>
    <t>Knights Knation</t>
  </si>
  <si>
    <t>At first glance looks athletic and takes a nice swing.  We need a better eval on him. Can he play SS.  Red flag he didn't play in some games and batted 10th.</t>
  </si>
  <si>
    <t>rowenbergeron1@gmail.com</t>
  </si>
  <si>
    <t xml:space="preserve"> Highschool. AVG - .355, RBI - 36, 3B - 3, HR - 3, 2B - 8, OBP - .455, SLG - .570 1st Team All District, First Team All region</t>
  </si>
  <si>
    <t>ACT - 26</t>
  </si>
  <si>
    <t>Ryan Darrah</t>
  </si>
  <si>
    <t>Ryan</t>
  </si>
  <si>
    <t>Darrah</t>
  </si>
  <si>
    <t>Brother Martin</t>
  </si>
  <si>
    <t>8/1 Call - Very humble kid. Wants to fly and was very curious about our flight programs and opportunities after graduation. Wasn't sure if going commercial was ultimate goal. Made comment that he would see how his naval career was going and may want to stay in longer.16U WWBA/Futures. This kid is a high level talent. 6'3" runs a 6.6. Has juice and adjust in swing. stays in his legs well and has a tight turn, makes good swing decisions. I have been speaking wiht his coach and have sent flight info. He is interested in flying.</t>
  </si>
  <si>
    <t>Ryan Melton</t>
  </si>
  <si>
    <t>Melton</t>
  </si>
  <si>
    <t>Trinity Christian</t>
  </si>
  <si>
    <t>JK-multi year camp kid. HIGH interest and has been proactice in communicating since young age. Probably would commit if offered. Big Physical kid. Has some strength/pop in bat. Not sure if sold on athleticism yet.</t>
  </si>
  <si>
    <t>Ryan Penney</t>
  </si>
  <si>
    <t>Penney</t>
  </si>
  <si>
    <t>Chaparral</t>
  </si>
  <si>
    <t>AP: (no reply in multiple reach outs) 6'4 190, good frame.  86-88, 73-75, long lean look.  = arm speed.</t>
  </si>
  <si>
    <t>Ryan Rey</t>
  </si>
  <si>
    <t>Rey</t>
  </si>
  <si>
    <t>Sherwood</t>
  </si>
  <si>
    <t>Came to winter camp. Left handed stick, looks ath. Spoke with coach and he is starting to get some attention A10/CAA. Speed has improved to a 6.7 per coach.</t>
  </si>
  <si>
    <t>Ryan Strnad</t>
  </si>
  <si>
    <t>Strnad</t>
  </si>
  <si>
    <t>Kennedy Catholic Prep</t>
  </si>
  <si>
    <t>TR: Saw in summer. Swung the bat very well in PG WWBA. Futures games was underwhelming behind the dish. Did not show well as a defensivce catcher.</t>
  </si>
  <si>
    <t>Ryne Dzierzynski</t>
  </si>
  <si>
    <t>Ryne</t>
  </si>
  <si>
    <t>Dzierzynski</t>
  </si>
  <si>
    <t>Grant HS</t>
  </si>
  <si>
    <t>Hitters</t>
  </si>
  <si>
    <t>AP: 5'11 180 plays SS for HS but can play 2B or 3B.  has pwr for size.  tough kid, RJ with the Hitters loves him and says hes for us.  has some offers from local school...IL state etc.  update; hit .260 for HS team. Not good enough. JK- saw in Ft Myers. Nothing really impressive. Strong enough frame. was avg on D at 2b, and...didnt see much offensively. Weak contact F9 then a BB and HBP. Would have to come back around to him</t>
  </si>
  <si>
    <t>Sammy Saucke</t>
  </si>
  <si>
    <t>Sammy</t>
  </si>
  <si>
    <t>Saucke</t>
  </si>
  <si>
    <t>Dirtbags National</t>
  </si>
  <si>
    <t>JK-good player. Runner/offensive ability. Heard family/dad was a lot to handle. Unclear on interest level/academics</t>
  </si>
  <si>
    <t>Sawyer Deering</t>
  </si>
  <si>
    <t>Sawyer</t>
  </si>
  <si>
    <t>Deering</t>
  </si>
  <si>
    <t>Kimberly</t>
  </si>
  <si>
    <t>Futures. 88-90 22 / 76-78 hard spin. Plus feel for spin Hamill tyoe arm action. Loose whippy arm. Hand is late getting up. More in there.</t>
  </si>
  <si>
    <t>Sean Goldy</t>
  </si>
  <si>
    <t>Sean</t>
  </si>
  <si>
    <t>Goldy</t>
  </si>
  <si>
    <t>AP/TR: 5'9 155.  very small but 6.7 runner.  should stick at SS. high IQ player.  good swing.  plus def actions, avg arm.</t>
  </si>
  <si>
    <t>Slater de</t>
  </si>
  <si>
    <t>Slater</t>
  </si>
  <si>
    <t>de</t>
  </si>
  <si>
    <t>Summit</t>
  </si>
  <si>
    <t>Extremely athletic. Top end talent. Home run pop lefty stick. Game/program changer type of player. Would push to offer and get on campus soon.</t>
  </si>
  <si>
    <t>Tatem Telfer</t>
  </si>
  <si>
    <t>Tatem</t>
  </si>
  <si>
    <t>Telfer</t>
  </si>
  <si>
    <t>Cardinal</t>
  </si>
  <si>
    <t>Futures. 86-88 / 72. Funky break and stall delivery. Tall front side ott slot. Very deceptive ball gets on you.</t>
  </si>
  <si>
    <t>TJ Woodson</t>
  </si>
  <si>
    <t>TJ</t>
  </si>
  <si>
    <t>Woodson</t>
  </si>
  <si>
    <t>Hanover</t>
  </si>
  <si>
    <t>Call 8/4 - AP: Futures. 6'0 150 thin wirey. 6.9 runner, moves well on field, 4.19 home to 1st.  excellent feel for the game.  high level IQ.  SS with great actions. good bat speed for size but wont ever have much pop.  son of Tracy Woodson</t>
  </si>
  <si>
    <t>Toby Peterson</t>
  </si>
  <si>
    <t>Toby</t>
  </si>
  <si>
    <t>Peterson</t>
  </si>
  <si>
    <t>Palatine</t>
  </si>
  <si>
    <t>AP: zero response to contact. Futures. 6'2 170. 3/4 sling arm slot.  whippy arm speed. 84-87, 78 SL avg. decent looking LHP.  need to check with HS coach if he can really pitch</t>
  </si>
  <si>
    <t>Tommy Feldhake</t>
  </si>
  <si>
    <t>Tommy</t>
  </si>
  <si>
    <t>Feldhake</t>
  </si>
  <si>
    <t>AP/TR: yes, sign! Futures. Very smooth and athletic actions at SS. 5'11" 175. Frame and build. runs well and drove the ball deep. 4.26/4.6T. Short look bu there was some swing and miss. improved stock through weekend. Saw again at Fall ws. Stronger, mature build. physical and can run. smooth actions at SS with plenty of arm. Contact this week.</t>
  </si>
  <si>
    <t>Trevor Corbett</t>
  </si>
  <si>
    <t>Trevor</t>
  </si>
  <si>
    <t>Corbett</t>
  </si>
  <si>
    <t>Noblesville</t>
  </si>
  <si>
    <t>AP: update, nothing wowing.  small nice player.  Futures. 6'0 180 avg size. Very good actions at 3rd and SS. 4.44 runner.  7.11 60 time.  all county '24 honorable mention all state</t>
  </si>
  <si>
    <t>Trey Greenwell</t>
  </si>
  <si>
    <t>Greenwell</t>
  </si>
  <si>
    <t>Decatur</t>
  </si>
  <si>
    <t>VBA. Rawlings</t>
  </si>
  <si>
    <t>AP: 5'10 180. CF, short, but built pretty well, strong legs. Really runs. Swingsucks. No load, no rhythm, no stride. Hard to see how that might hit. I’m not ruling them out yet because he can really run, but I need to see more at bats.  Arm below avg.  saw at PG Hoover</t>
  </si>
  <si>
    <t>Troy Peltz</t>
  </si>
  <si>
    <t>Troy</t>
  </si>
  <si>
    <t>Peltz</t>
  </si>
  <si>
    <t>Lincoln East</t>
  </si>
  <si>
    <t>AP: Futures. 6'1 200 strong. LHH with a good swing and pwr potential.  7.0 runner and looks kind of goofy running.  haven't seen defensively but avg athlete.  OF/1B kind.  Linebacker in football</t>
  </si>
  <si>
    <t>Tyler Walton</t>
  </si>
  <si>
    <t>Walton</t>
  </si>
  <si>
    <t>Crespi</t>
  </si>
  <si>
    <t>8/3 Text - He followed up with a tweet from his outing yesterday. Seems interested, I sent info. 8/2 Call - Good convo but shaky on interest. Leaning toward yes and sending info. AP: Futures. 6'4 165 tall lean loose arm.  avg arm speed.  86-88.  75-77 SL avg.  Didn't see 3rd pitch.  High ceiling projection.  Need to contact  HS coach to see if he checks out</t>
  </si>
  <si>
    <t>Weston Lillard</t>
  </si>
  <si>
    <t>Weston</t>
  </si>
  <si>
    <t>Lillard</t>
  </si>
  <si>
    <t>Highland</t>
  </si>
  <si>
    <t>AP: Futures. 6'0 190. 88-89 flat. SL 79, 2800 spin, plus pitch.  got barrelled.  had to roll his 1st inning at Futures.  value is breaking ball</t>
  </si>
  <si>
    <t>Will Craddock</t>
  </si>
  <si>
    <t>Craddock</t>
  </si>
  <si>
    <t>TL Hanna</t>
  </si>
  <si>
    <t>AP: Futures. 6'4 190 bigger framed SS.  6.9 runner. Strong swing with pwr potential.  Drives balls nicely now.  good swing, avg to above bat speed.  avg actions at SS. Cant say yet if he sticks at SS.  possible move to 3B or a real good def 1B eventually.  Fringe grades</t>
  </si>
  <si>
    <t>Will Leahy</t>
  </si>
  <si>
    <t>Leahy</t>
  </si>
  <si>
    <t>JK-I think TR was lukewarm  on him, as was I. Worth keeping on list. Had him 82-84 with 74 on spin. PG has him topping at 87. Smaller frame, but arm worked ok.  UPDATE 12/16: AP- Angel scout contacted me and says the kid is improving and recommends</t>
  </si>
  <si>
    <t>Wyatt Hanoian</t>
  </si>
  <si>
    <t>Wyatt</t>
  </si>
  <si>
    <t>Hanoian</t>
  </si>
  <si>
    <t>Orange Lutheran</t>
  </si>
  <si>
    <t xml:space="preserve">TB So Cal </t>
  </si>
  <si>
    <t>TR: Dude day. Very good infield actions, good hands good release. Looks like enough arm to play the left side. Switch hitter coach said better from left side. Compact easy swing. Lots of body control. Showed some pop in game turned on 90 fb for hr very easily. Trying to get him to visit have talked to summer coach waiting for hs coach to return call.</t>
  </si>
  <si>
    <t>Wyatt Ruden</t>
  </si>
  <si>
    <t>Ruden</t>
  </si>
  <si>
    <t>8/2 Call - Very ineterested. Cousin goes to Army and is having positive experience. Sent info need to get to campus asap. Got alot of traffic the last few days. Futures. Goes to Nates HS. Works fast. Ath frame. Live quick arm. High level feel for spin. Can be harder but generated sm. 87-90 20-21 / 73-74 22-23. Kid was electric.</t>
  </si>
  <si>
    <t>Xavier McCoury</t>
  </si>
  <si>
    <t>Xavier</t>
  </si>
  <si>
    <t>McCoury</t>
  </si>
  <si>
    <t>Futures games. Not very big 5'10" but very athletic. Lefty stick with good adjust and balance. Doesn't chase good approach. Needs to added strength but has very athletic actions. Could be a high level player. Line drive with drive. Showed functional speed.</t>
  </si>
  <si>
    <t>Zachary Nagy</t>
  </si>
  <si>
    <t>Zachary</t>
  </si>
  <si>
    <t>Nagy</t>
  </si>
  <si>
    <t>Sandlot</t>
  </si>
  <si>
    <t>JK: Saw in GA. Bohacek 2.0. Better hitter than Jacob. TR call setup for Sunday</t>
  </si>
  <si>
    <t>Zack Aschoff</t>
  </si>
  <si>
    <t>Zack</t>
  </si>
  <si>
    <t>Aschoff</t>
  </si>
  <si>
    <t>East Forsyth</t>
  </si>
  <si>
    <t>TR - PBR Cup. Ath actions at SS. Has enough arm but not a fluid aa. Reminds me of Justin Johnson the way he plays the game. 2B to RC/1B to LC 4.7T. 5-3(4.5). Doesn't run well enough right now but I like how he plays and his hands at ss. Takes good swings and makes solid contact on some decent arms.</t>
  </si>
  <si>
    <t>Zack Hare</t>
  </si>
  <si>
    <t>Riverside Beaver Cty</t>
  </si>
  <si>
    <t>2/2: Visiting William &amp; Mary in a couple weeks, thinks they will offer. Calls Navy his dream school, if not Navy wants supply chain mgmt and is talking to D2 schools that have that??? Soft spoken kid, looks like he has some ability but question the toughness from convos.</t>
  </si>
  <si>
    <t>Cade Watson</t>
  </si>
  <si>
    <t>Cade</t>
  </si>
  <si>
    <t>Watson</t>
  </si>
  <si>
    <t>San Fran</t>
  </si>
  <si>
    <t>Punahau</t>
  </si>
  <si>
    <t>Hawaii Elite</t>
  </si>
  <si>
    <t>TR: Tracked down on mattingly roster. He sounds very interested and has a lot of heat on him but has been very responsive. Missed him on Tuesday. Need to see. Velo has been rising and looks like he can pitch.</t>
  </si>
  <si>
    <t>cwatson25@punahou.edu</t>
  </si>
  <si>
    <t>High School era 2.11. High School batting average 424</t>
  </si>
  <si>
    <t>Small surgery on my right knee in 9th grade summer to repair a part of my meniscus</t>
  </si>
  <si>
    <t>Grant Smith</t>
  </si>
  <si>
    <t>Smith</t>
  </si>
  <si>
    <t>Basha</t>
  </si>
  <si>
    <t>Futures games. 1.96 pop. Accurate quick release right on the bag every time. Good swing action. Lots of adjust. On plane.</t>
  </si>
  <si>
    <t>Kaenan Kiefer</t>
  </si>
  <si>
    <t>Kaenan</t>
  </si>
  <si>
    <t>Kiefer</t>
  </si>
  <si>
    <t>JK: Solid palyer but hit down in order. probably second option. size is an issue but plays ss for a solid team. would need to see more.</t>
  </si>
  <si>
    <t>kkiefer44dp@gmail.com</t>
  </si>
  <si>
    <t xml:space="preserve">2nd team all district SS/ 3 year starting SS </t>
  </si>
  <si>
    <t>Mason Holgerson</t>
  </si>
  <si>
    <t>Holgerson</t>
  </si>
  <si>
    <t>Milton HS</t>
  </si>
  <si>
    <t>Georgia Jackets</t>
  </si>
  <si>
    <t>Emailed with ineterst</t>
  </si>
  <si>
    <t>Mason Pickering</t>
  </si>
  <si>
    <t>Pickering</t>
  </si>
  <si>
    <t>Oktaha</t>
  </si>
  <si>
    <t>JK: Physical LHH catcher. Futures. LHH easy stroke with some juice. Ath strong build. High level actions behind the dish. Not a ton of speed 4.6</t>
  </si>
  <si>
    <t>Owen O'Toole</t>
  </si>
  <si>
    <t>O'Toole</t>
  </si>
  <si>
    <t>Rumson Fair Haven</t>
  </si>
  <si>
    <t>Called 8/1 - Very interested going to fall on the low end academcially</t>
  </si>
  <si>
    <t>Preston Armstrong</t>
  </si>
  <si>
    <t>Armstrong</t>
  </si>
  <si>
    <t>Millenium</t>
  </si>
  <si>
    <t>Future games. Slow mover but had a much better second day. Received well and had a little more juice. 2.0 pop. Drive and pop in swing. Keo.</t>
  </si>
  <si>
    <t>Ramon Corona</t>
  </si>
  <si>
    <t>Ramon</t>
  </si>
  <si>
    <t>Corona</t>
  </si>
  <si>
    <t>JK: defended threw well. avg body. didn't see enough of swing</t>
  </si>
  <si>
    <t>Tyler Bellerose</t>
  </si>
  <si>
    <t>Bellerose</t>
  </si>
  <si>
    <t>Huntington Beach</t>
  </si>
  <si>
    <t>Twitter looking into</t>
  </si>
  <si>
    <t>Ace Tarango</t>
  </si>
  <si>
    <t>Ace</t>
  </si>
  <si>
    <t>Tarango</t>
  </si>
  <si>
    <t>Mira Costa</t>
  </si>
  <si>
    <t>TB SoCal</t>
  </si>
  <si>
    <t>3.90/4.30</t>
  </si>
  <si>
    <t>aptarango@gmail.com</t>
  </si>
  <si>
    <t>.402 AVG, .478 OBP, .980 OPS, 2HR, 33R, 24SB (SB% 100). / 1st Team All-Bay League (jr. yr), 2nd Team All-Bay League(Soph. yr), 2024 MC Coaches Award, PG Preseason Underclass All American(CA Region HM)</t>
  </si>
  <si>
    <t>N/A (Results on June 20, 2025)</t>
  </si>
  <si>
    <t>Penicillin products</t>
  </si>
  <si>
    <t>Brian Mancinelli</t>
  </si>
  <si>
    <t>Brian</t>
  </si>
  <si>
    <t>Mancinelli</t>
  </si>
  <si>
    <t xml:space="preserve">3.67 weighted </t>
  </si>
  <si>
    <t>Future gamer.  Tall lean RHP mid to upper 80's</t>
  </si>
  <si>
    <t>Brianmancinelli@icloud.com</t>
  </si>
  <si>
    <t>2024 Cape and Islands All Star, Massachusetts Baseball Coaches Association All Star Game MVP, 1.86 High School ERA, Ranked #7 overall in MA on Perfect Game</t>
  </si>
  <si>
    <t xml:space="preserve">L5 Stress Fracture </t>
  </si>
  <si>
    <t>Brooks Franklin</t>
  </si>
  <si>
    <t>Franklin</t>
  </si>
  <si>
    <t>DeMatha</t>
  </si>
  <si>
    <t>8/1 Call. Have seen multiple times. Lefty hitting SS. \Not very physiacl yet but is growing and adding strength. Good runner, very good actions with arm at SS. Early offer guy. JK-liked this kid when I saw early in summer. Frame is projectable. McGowan has seen a ton and really thinks he could blow up.</t>
  </si>
  <si>
    <t>Conor Secrist</t>
  </si>
  <si>
    <t>CB</t>
  </si>
  <si>
    <t>Conor</t>
  </si>
  <si>
    <t>Secrist</t>
  </si>
  <si>
    <t>SS</t>
  </si>
  <si>
    <t>St. Johns Shrewsbury</t>
  </si>
  <si>
    <t>MWS Devils</t>
  </si>
  <si>
    <t>CB called 7/12</t>
  </si>
  <si>
    <t>CB: + defensive SS, 6.85 runner. I don’t love the swing but he finds hits.  He was at the top of our board at Northeastern last spring before an injury missed the whole summer. Having a great year. High character kid.  Offers from Holy Cross, Brown, Lowell, couple more   Cousin is ’18 Academy grad, friend’s sister plays women’s basketball here now. Very interested, wants to drive down and visit asap, working out details. Aunt/Uncle live in Severna Park.   3.7, A- in Pre-Calc, AP Calc this year. 1300 SAT</t>
  </si>
  <si>
    <t>cjsecrist@gmail.com</t>
  </si>
  <si>
    <t xml:space="preserve">I hit .411 with 30 hits, 23 RBIs, and 24 runs for Saint John’s High School.  Some of my accomplishments are Catholic Conference Champion, 2x Catholic Conference All-Star, 2x Massachusetts Baseball Coaches Association All-Star, 2x Worcester T&amp;G Superteam Nominee, Boston Herald All-Scholastic, NEBJ All-MIAA Team, and 3x MIAA Division 1 Final Four Appearances. </t>
  </si>
  <si>
    <t>3.24/3.68</t>
  </si>
  <si>
    <t>1300 SAT</t>
  </si>
  <si>
    <t>Labrum surgery in my left shoulder</t>
  </si>
  <si>
    <t>Cory Dean Carver</t>
  </si>
  <si>
    <t>Cory</t>
  </si>
  <si>
    <t>Dean Carver</t>
  </si>
  <si>
    <t>Montezuma-cortez</t>
  </si>
  <si>
    <t>Brewers Scout Team</t>
  </si>
  <si>
    <t>4 / no test yet</t>
  </si>
  <si>
    <t>called</t>
  </si>
  <si>
    <t>AP: Future Gamer. PBR#8 CO. stud!  has interest in NAVY and military route.  Brian Harper (AAA manager) coached him travel ball when younger.  small but difference maker w/ speed.  HS coach loves him. Plays SS. Best player on team. Good family. No red flags.   Hit .486 6 HR 36SB.  honorable mention all state. POTY in region.  USC, Mich, DBU have called</t>
  </si>
  <si>
    <t>Garrison Wade</t>
  </si>
  <si>
    <t>Garrison</t>
  </si>
  <si>
    <t>FL Dodgers</t>
  </si>
  <si>
    <t>4.4 gpa / no test yet</t>
  </si>
  <si>
    <t>August 3rd camper; athletic, clean on the mound, run sub 7.0 60.  Clean LHH swing but zero barrel release. No pop.  Probably arm only for us but see how he does with the bat.  Threw 90 from OF in camp. JK-camper after FR year. Was in touch with coaches leading up to Aug 3 camp.</t>
  </si>
  <si>
    <t>Hawk Stickney</t>
  </si>
  <si>
    <t>Hawk</t>
  </si>
  <si>
    <t>Stickney</t>
  </si>
  <si>
    <t>NEB</t>
  </si>
  <si>
    <t>CB: has been good this summer. Saw him last year 84-86. I saw him in a showcase setting this summer up to 89, got a lot better. Willing to fight for America</t>
  </si>
  <si>
    <t>hawk.stickney@govsacademy.org</t>
  </si>
  <si>
    <t>High school: 24 ip 35ks 14bb 14h 2.4 era</t>
  </si>
  <si>
    <t xml:space="preserve">Pars Stress fracture in L5 from football. </t>
  </si>
  <si>
    <t>Jacob Cesarz</t>
  </si>
  <si>
    <t>AP</t>
  </si>
  <si>
    <t>Cesarz</t>
  </si>
  <si>
    <t>Pro 5 Academy</t>
  </si>
  <si>
    <t>4.72/1200plus</t>
  </si>
  <si>
    <t>Need one more look at him</t>
  </si>
  <si>
    <t>TR: Man i really like this kid. Saw 3 ABs, playing ss. Kid flys 6.4 runner. Moves really well at SS, not a great look at arm but looks like enough clean hands and quick release. Handled a 92-94 arm. has some drive and strength potential. Cory Dean Carver comp. Awesome phone call. Perfect personality fit. Old HS coach is Navy alumn. Sounds interested talking to Yale but may be too expensive. Need to navigate academics-Very good student, taking precalc next year. Has had Chem and Physics but no lab with homeschooling.</t>
  </si>
  <si>
    <t>jakecesarz027@gmail.com</t>
  </si>
  <si>
    <t>Avg. 382 Obp. 590 26 hits 10 doubles 27 SB. Summer avg. 417 Obp. 542 15 hits 5 doubles 1 HR 12 SB</t>
  </si>
  <si>
    <t>Broken arm. Surgery 6 screws and a metal plate in my elbow</t>
  </si>
  <si>
    <t xml:space="preserve">Zyrtec </t>
  </si>
  <si>
    <t>Keaton Bowers</t>
  </si>
  <si>
    <t>Keaton</t>
  </si>
  <si>
    <t>Bowers</t>
  </si>
  <si>
    <t>Hiliard Bradley</t>
  </si>
  <si>
    <t>Oct 25-26</t>
  </si>
  <si>
    <t>AP: Future Gamer. PBR#21 OH. Hit .392 for his HS team. Hit well over .300 in summer.  Caught for hs team.  Very nice LHH swing.  Clean catch and throw.  Uncle and grandfather were in Navy.  saw again at Grand Park PBR.  good swing, caught clean.  not super fast twitch but fundamentally good all around.  Interested for sure.  Great rec from HS coach.  Says he's really good.  Captain as SO.  WVU offered and deadlined. Michigan on him.</t>
  </si>
  <si>
    <t>Mateu Dalmau</t>
  </si>
  <si>
    <t>Mateu</t>
  </si>
  <si>
    <t>Dalmau</t>
  </si>
  <si>
    <t>Venice</t>
  </si>
  <si>
    <t>FL Burn</t>
  </si>
  <si>
    <t>AP: 5'10 185 clean LHP.  80-82, avg CH, -/= SL.  great tempo, works fast.  athletic.  hits but probably pitcher at next level.  transfering to venice from cardinal mooney hs.  saw at FL Burn event.  has interest. TR: Ft Myers update. 80-83/84. 76-77 on the SL. I like him, athletic on the mound SL is hard to see spin.</t>
  </si>
  <si>
    <t>mattdalmau2007@gmail.com</t>
  </si>
  <si>
    <t>HS: .362 AVG, .506 OBP, SB: 1.5 ERA, 24 IP, 24 K,  5-0 W/L</t>
  </si>
  <si>
    <t>Noah Hummel</t>
  </si>
  <si>
    <t>Hummel</t>
  </si>
  <si>
    <t>Cape Henry</t>
  </si>
  <si>
    <t>4.0 / 1340</t>
  </si>
  <si>
    <t>August 3rd camper; big body low 80's with some competitiveness.  Plus CH, still working on SL.  Dad didn't let him throw breaking balls until 13 or 14.  JK- saw numerous time from freshman year forward. Young camper.</t>
  </si>
  <si>
    <t>Tyler Reeder</t>
  </si>
  <si>
    <t>Reeder</t>
  </si>
  <si>
    <t>Bishop Verot</t>
  </si>
  <si>
    <t>3.65/27</t>
  </si>
  <si>
    <t>Camp</t>
  </si>
  <si>
    <t>Committed 8/21/25</t>
  </si>
  <si>
    <t>Tyreeder18@icloud.com</t>
  </si>
  <si>
    <t>Junior year: 46.2 innings, 8-1, 1.35 ERA, 1.03 WHIP, class 3A State Semifinalists, selected to 1st Team Southwest Florida</t>
  </si>
  <si>
    <t>3.48/3.63</t>
  </si>
  <si>
    <t>ACT 27</t>
  </si>
  <si>
    <t>Santiago Arismendi</t>
  </si>
  <si>
    <t>TR</t>
  </si>
  <si>
    <t>Santiago</t>
  </si>
  <si>
    <t>Arismendi</t>
  </si>
  <si>
    <t>Chaminade Madonna Prep</t>
  </si>
  <si>
    <t>text comms</t>
  </si>
  <si>
    <t>JK-saw at BCS in FL. Plays for Mark McCoy (Navy Baseball/Grad). Liked. 3/4 slot/ASR Righty. 83-86, spun 74-75.</t>
  </si>
  <si>
    <t>sarismendir21@gmail.com</t>
  </si>
  <si>
    <t>39 IP - 28 H - 12 ER - 40 K</t>
  </si>
  <si>
    <t>3.5 UW / 4.0 W</t>
  </si>
  <si>
    <t>Alex  Pavia</t>
  </si>
  <si>
    <t xml:space="preserve">Alex </t>
  </si>
  <si>
    <t>Pavia</t>
  </si>
  <si>
    <t>5.11/1270</t>
  </si>
  <si>
    <t xml:space="preserve">5'7" Athletic actions at SS. Not sure bat will play but squared balls up. 4.22 through the base. Looks like he can run and play ss. Think there is enough there to pursue </t>
  </si>
  <si>
    <t>Blake Jay</t>
  </si>
  <si>
    <t>Jay</t>
  </si>
  <si>
    <t>Building Champions</t>
  </si>
  <si>
    <t>blakejay02@gmail.com</t>
  </si>
  <si>
    <t>High School season - AVG .300, OPS .812, 20 hits, 17 singles, 1 double, 1 triple, 1 homerun, 14 stolen bases. Summer season so far - AVG .321, OPS .945, 17 hits, 10 singles, 5 doubles, 2 triples, 6 stolen bases.</t>
  </si>
  <si>
    <t>20 ACT</t>
  </si>
  <si>
    <t xml:space="preserve">Nothing </t>
  </si>
  <si>
    <t>Connor Corlett</t>
  </si>
  <si>
    <t>Corlett</t>
  </si>
  <si>
    <t>Trosky National</t>
  </si>
  <si>
    <t>High school coach believes he'll be hitting 90s this spring and the skies the limit. Big believer in the kid because he works hard, definitely thinks he's a Division I pitcher. Plays basketball. Only has talked to division three schools right now. ￼</t>
  </si>
  <si>
    <t>Corlettc@yahoo.com</t>
  </si>
  <si>
    <t>Batting:369 AVG, .924 OPS, 24H, 17RBI, 16R, 4 2B, 1 HR   Pitching: 25.2IP, 2.73 ERA, 21K, 8BB,      Fielding: 114 TC, 1.000 FP, 4DP</t>
  </si>
  <si>
    <t>3.94/4.35</t>
  </si>
  <si>
    <t>1280 SAT</t>
  </si>
  <si>
    <t>Broken left pinky.</t>
  </si>
  <si>
    <t>Josh Weaver</t>
  </si>
  <si>
    <t>Weaver</t>
  </si>
  <si>
    <t>Fruita Monument</t>
  </si>
  <si>
    <t>rockies scout</t>
  </si>
  <si>
    <t>AP: Future gamer. PBR #18 CO.  6'1 180 good body LHH.  +/= bat speed.  7.1 run. heavy feet at SS.  probably moves to corner.  video at SS doesn't look right</t>
  </si>
  <si>
    <t>Kayden Mansell</t>
  </si>
  <si>
    <t>Kayden</t>
  </si>
  <si>
    <t>Mansell</t>
  </si>
  <si>
    <t>Lake Ridge HS</t>
  </si>
  <si>
    <t>Mattingly: 87-90 Fast arm. &amp;*-79 slider sharp and late. swing and miss slider. Has some power stuff HS stats show 3.8 era with 27IP. 18bb 29K</t>
  </si>
  <si>
    <t>km2026@kaydenmansell.com</t>
  </si>
  <si>
    <t xml:space="preserve">Spring- 28innings (started 7 games) 2W/2L 1save 19ER 28H 20bb  SUMMER- 11.2in 7H - 4ER - 11bb - 13K- 2.4 era </t>
  </si>
  <si>
    <t xml:space="preserve">1000- SAT </t>
  </si>
  <si>
    <t>Kolt Larden</t>
  </si>
  <si>
    <t>Kolt</t>
  </si>
  <si>
    <t>Larden</t>
  </si>
  <si>
    <t>Nate Pearson</t>
  </si>
  <si>
    <t>Nathan Horstmann</t>
  </si>
  <si>
    <t>Horstmann</t>
  </si>
  <si>
    <t>3B</t>
  </si>
  <si>
    <t>Rocco Pugliese</t>
  </si>
  <si>
    <t>Rocco</t>
  </si>
  <si>
    <t>Pugliese</t>
  </si>
  <si>
    <t>Temecula Valley</t>
  </si>
  <si>
    <t>Maybe see again after call</t>
  </si>
  <si>
    <t>TR: This kid looks like a dynamic athlete. His hands are lightning on the transfer. Can't find a time but he runs well in game. Looks like he has some bat to ball and drive but not sure theres alot of adjustability in there. I would have listed this guy as a 1 but his HS stats aren't great. Hit around .300 with 22 punches in 80 AB but had some HR and xtra base hits. have a call setup today. Could be a next tier guy, would be betting on athleticism.</t>
  </si>
  <si>
    <t>Roman Zabala</t>
  </si>
  <si>
    <t>Roman</t>
  </si>
  <si>
    <t>Zabala</t>
  </si>
  <si>
    <t>Original FL Pokers</t>
  </si>
  <si>
    <t>Spanish River</t>
  </si>
  <si>
    <t>AP:  5'7 165 small shifty smooth fielding SS.  ligbht with bat.  hurt ankle in palm beach classic so didn't see.  Father FSU baseball.</t>
  </si>
  <si>
    <t>Tristan Yurman</t>
  </si>
  <si>
    <t>Tristan</t>
  </si>
  <si>
    <t>Yurman</t>
  </si>
  <si>
    <t>Ty Gray</t>
  </si>
  <si>
    <t>Ty</t>
  </si>
  <si>
    <t>Gray</t>
  </si>
  <si>
    <t>Chipley HS</t>
  </si>
  <si>
    <t>Orlando Scorpions</t>
  </si>
  <si>
    <t>3.7 / no test</t>
  </si>
  <si>
    <t>texted</t>
  </si>
  <si>
    <t>AP: 6'3 175 HITS and plays SS well.  run is average.  great body.  looks like King (HC).  good swing, leverage, made the slow roller play, arm is good.  worried about grades</t>
  </si>
  <si>
    <t>tyagray27@icloud.com</t>
  </si>
  <si>
    <t xml:space="preserve">AVG. 460 / 32 Hits / 20 RBI’s </t>
  </si>
  <si>
    <t xml:space="preserve">3.3 / 3.7 </t>
  </si>
  <si>
    <t xml:space="preserve">No scores yet taking this summer </t>
  </si>
  <si>
    <t xml:space="preserve">No Injury’s </t>
  </si>
  <si>
    <t>Tyler Ramos</t>
  </si>
  <si>
    <t>Ramos</t>
  </si>
  <si>
    <t>R/R</t>
  </si>
  <si>
    <t>Texas City HS</t>
  </si>
  <si>
    <t>Texas 12 Red Sox</t>
  </si>
  <si>
    <t>TR: Mattingly. Plus arm, CS from knees. Powerful swing but slow bat, No twitch in swing. Worth keeping an eye on, good size kid, good catch and throw.</t>
  </si>
  <si>
    <t>Tyler Starling</t>
  </si>
  <si>
    <t>Starling</t>
  </si>
  <si>
    <t>L/L</t>
  </si>
  <si>
    <t>Agoura</t>
  </si>
  <si>
    <t>Agoura High School</t>
  </si>
  <si>
    <t>747-222-4825</t>
  </si>
  <si>
    <t>t89 LHP legit on the mound. FB zip, CB for strikes. Can do both!! Smashed balls LHH.</t>
  </si>
  <si>
    <t>Vince Reiss</t>
  </si>
  <si>
    <t>Vince</t>
  </si>
  <si>
    <t>Reiss</t>
  </si>
  <si>
    <t>PBR Cup '25</t>
  </si>
  <si>
    <t>Benjamin Wagnon</t>
  </si>
  <si>
    <t>Benjamin</t>
  </si>
  <si>
    <t>Wagnon</t>
  </si>
  <si>
    <t>Tallahassee</t>
  </si>
  <si>
    <t>Maclay</t>
  </si>
  <si>
    <t>MBA Scout Team - Murphy</t>
  </si>
  <si>
    <t>WWBA Jupiter</t>
  </si>
  <si>
    <t>Xander Cypher</t>
  </si>
  <si>
    <t>Xander</t>
  </si>
  <si>
    <t>Cypher</t>
  </si>
  <si>
    <t>WA</t>
  </si>
  <si>
    <t>Jack Wilhoit</t>
  </si>
  <si>
    <t>Wilhoit</t>
  </si>
  <si>
    <t>Boca Raton</t>
  </si>
  <si>
    <t>FTB Phillies</t>
  </si>
  <si>
    <t>Isaac Gutierrez</t>
  </si>
  <si>
    <t>Gutierrez</t>
  </si>
  <si>
    <t>Spring</t>
  </si>
  <si>
    <t>Klein Collins</t>
  </si>
  <si>
    <t>Chase Rhodes</t>
  </si>
  <si>
    <t>Rhodes</t>
  </si>
  <si>
    <t>Pekin</t>
  </si>
  <si>
    <t>Tremont</t>
  </si>
  <si>
    <t>Ohio Warhawks</t>
  </si>
  <si>
    <t>Spencer Adams</t>
  </si>
  <si>
    <t>Spencer</t>
  </si>
  <si>
    <t>Adams</t>
  </si>
  <si>
    <t>Jupiter</t>
  </si>
  <si>
    <t>Scorpions</t>
  </si>
  <si>
    <t>Parker Reavis</t>
  </si>
  <si>
    <t>Parker</t>
  </si>
  <si>
    <t>Reavis</t>
  </si>
  <si>
    <t>Conway</t>
  </si>
  <si>
    <t>Carolina Forest</t>
  </si>
  <si>
    <t>South Charlotte Panthers</t>
  </si>
  <si>
    <t>Alex Boyd</t>
  </si>
  <si>
    <t>Alex</t>
  </si>
  <si>
    <t>Boyd</t>
  </si>
  <si>
    <t>Ironbridge</t>
  </si>
  <si>
    <t>3.7/ not test</t>
  </si>
  <si>
    <t>alexboyd2026@gmail.com</t>
  </si>
  <si>
    <t>(.330 BA) (.1000 FPCT)</t>
  </si>
  <si>
    <t>Left knee Torn ACL. ACL reconstruction surgery.</t>
  </si>
  <si>
    <t>Cullen Crain</t>
  </si>
  <si>
    <t>Cullen</t>
  </si>
  <si>
    <t>Crain</t>
  </si>
  <si>
    <t>RI</t>
  </si>
  <si>
    <t>Bishop Hendricken</t>
  </si>
  <si>
    <t>L&amp;M Baseball</t>
  </si>
  <si>
    <t>3.72 / 1260</t>
  </si>
  <si>
    <t>CB Called</t>
  </si>
  <si>
    <t>CB: Undersized LHH, hit tool. 6.8 runner. Ball player, gamer, can play SS desipite size. Dealing with hip injury. Followed up 7/11, he's interested. Playing August 1-3 at U Maryland, should see him and visit him?</t>
  </si>
  <si>
    <t>Cullencrain@icloud.com</t>
  </si>
  <si>
    <t>.446 Avg, 41 hits, 7 2B, 23 RBI’s, 32 runs, 1st team all-state, 1st team all-region</t>
  </si>
  <si>
    <t xml:space="preserve">Wrist surgery (2021), groin (hockey), hip flexor </t>
  </si>
  <si>
    <t>Jake Gaerke</t>
  </si>
  <si>
    <t>Gaerke</t>
  </si>
  <si>
    <t>Cincinnati</t>
  </si>
  <si>
    <t>Archbishop Moeller</t>
  </si>
  <si>
    <t>jakegaerke@gmail.com</t>
  </si>
  <si>
    <t>3.99 UW 4.5 W</t>
  </si>
  <si>
    <t>Act- 26</t>
  </si>
  <si>
    <t>Elbow stress reaction, low back stress reaction</t>
  </si>
  <si>
    <t>Joey Raffo</t>
  </si>
  <si>
    <t>Raffo</t>
  </si>
  <si>
    <t>Jordan Livingston</t>
  </si>
  <si>
    <t>Spruce Creek</t>
  </si>
  <si>
    <t xml:space="preserve">Power Baseball </t>
  </si>
  <si>
    <t>6'0 RHP,  decent stuff. has a breaking ball.</t>
  </si>
  <si>
    <t>Alex Gannon</t>
  </si>
  <si>
    <t>Gannon</t>
  </si>
  <si>
    <t>Sanford</t>
  </si>
  <si>
    <t>West Chester Dragons</t>
  </si>
  <si>
    <t>AP: Future gamer. PBR#38 MD (DE).  6'1 170 lean athletic body.  6.9 run.  clean swing.  fringe actinos at SS.  mid 80's w/ SL on mound.  might end up being an arm if bat isn't enough</t>
  </si>
  <si>
    <t>Andrew Steele Thalleen</t>
  </si>
  <si>
    <t>Steele Thalleen</t>
  </si>
  <si>
    <t>Bishop Maclaughlin</t>
  </si>
  <si>
    <t>Ostingers</t>
  </si>
  <si>
    <t>3.71 ?</t>
  </si>
  <si>
    <t>AP: undersized 6'0 180 higher spin FB 2500 wasn't being touched, 72 SL 2400 spin.  Ultra swag on mound competitor.  update: saw 2025 summer, same velo, sprayed it a little.  HS '24, 1.36 ERA, 36IP 23H 23BB 47K at 2A FL .</t>
  </si>
  <si>
    <t>Braydon McKendrick</t>
  </si>
  <si>
    <t>Braydon</t>
  </si>
  <si>
    <t>McKendrick</t>
  </si>
  <si>
    <t>AP: 5'11 175 short.  84-86 FB got swing and miss.  70-71 CB slow.  HS coach said its usually a good pitch.  CH.  Looked like he just tried to throw FB by everyone.  didn't really pitch. but HS coach really likes him and says he's good.  SO yr: 3.5ERA, 40IP, 35H, 18BB, 35K.  visiting Northwestern fall.  Spring update: 83-86, CB 70-74.  stats 21 IP, 14H, 23K, 13BB.</t>
  </si>
  <si>
    <t>Caden Atkinson</t>
  </si>
  <si>
    <t>Atkinson</t>
  </si>
  <si>
    <t>Westlake HS</t>
  </si>
  <si>
    <t>TR: Saw at Dude Day. Stead HS. Will be at WWBA. Looks like a projectable arm, need to check in and see progress if possible next week.</t>
  </si>
  <si>
    <t>Camden Goetz</t>
  </si>
  <si>
    <t>Camden</t>
  </si>
  <si>
    <t>Goetz</t>
  </si>
  <si>
    <t>Canyon</t>
  </si>
  <si>
    <t>AP: Future gamer.  PBR#168 CA. 5'11 180 LHH good swing and bat speed. Yes to BAT from FG BP.   6.9 run.  hit .312 8 2B's, more bb than K's.  1 SB as sophomore.  weak arm 82 from OF.  probably a guy for us but wanting to touch base first with tier 1 guys.  SPRING update: .273 6 2B, more K's, 2 SB.</t>
  </si>
  <si>
    <t>Cohen Lafler</t>
  </si>
  <si>
    <t>Cohen</t>
  </si>
  <si>
    <t>Lafler</t>
  </si>
  <si>
    <t>Buchholz HS</t>
  </si>
  <si>
    <t>4.7 31 ACT</t>
  </si>
  <si>
    <t>AP: 5'11 180.  SHORT RHP.  85-88, flat FB.  FL powerhouse HS... stats; 47IP, 35H, 10BB, 53K.  not a huge ceiling.  tough kid, great family</t>
  </si>
  <si>
    <t>Connor Davy</t>
  </si>
  <si>
    <t>Davy</t>
  </si>
  <si>
    <t>Bainbridge-Guilford</t>
  </si>
  <si>
    <t>AP: Future gamer. PBR#74 NY. RUNS AND HITS. athletic 6.5 runner. good BAT. small but can hit. plays 2B but actions stink so move is to the outfield? cant put a position on him yet. HS stats hit .600 with 7HR. plays football</t>
  </si>
  <si>
    <t>Darren Daves</t>
  </si>
  <si>
    <t>Darren</t>
  </si>
  <si>
    <t>Daves</t>
  </si>
  <si>
    <t>Montexuma-cortez</t>
  </si>
  <si>
    <t>AP: Future Gamer. PBR#13 CO. 5'11 180, strong build.  LHH with good swing.  I like this kid's look.  3B only, -/= def actions.  6.7 run.  should reach out after 1 teir players</t>
  </si>
  <si>
    <t>Finn Breitenbach</t>
  </si>
  <si>
    <t>Breitenbach</t>
  </si>
  <si>
    <t>GPS Legends</t>
  </si>
  <si>
    <t>TR: Mattingly. Long loose arm. 87-88/90 76-77 on slider. Short hard cutterish. Lots of arm side misses but has a huge ceiling. Rumor that he has partial tear in elbow. The limbs body and arm action are enough to connect and dig more.</t>
  </si>
  <si>
    <t>Hudson Deel</t>
  </si>
  <si>
    <t>Hudson</t>
  </si>
  <si>
    <t>Deel</t>
  </si>
  <si>
    <t>Canes Central</t>
  </si>
  <si>
    <t>Jack Grossi</t>
  </si>
  <si>
    <t>Grossi</t>
  </si>
  <si>
    <t>Marucci Prospects East Coast</t>
  </si>
  <si>
    <t>Jack Powell</t>
  </si>
  <si>
    <t>Powell</t>
  </si>
  <si>
    <t>Denmark</t>
  </si>
  <si>
    <t>AP; 6'3 210 great frame. 3/4 slot guy. Sinker guy. FB 84. Slow arm, long in the back. SL 70 just ok. Good HS stats. Coach told me you can't look at radar gun with him.  Just a follow AP: 6'3 200 good body, 83-85, SL 70.  Sinker guy. Good HS stats. Not enough for us though</t>
  </si>
  <si>
    <t>Jeremy Powell</t>
  </si>
  <si>
    <t>Jeremy</t>
  </si>
  <si>
    <t>white knoll</t>
  </si>
  <si>
    <t>Charlotte Baseball Academy</t>
  </si>
  <si>
    <t>3.8 / 24 ACT</t>
  </si>
  <si>
    <t>AP: 5'10 185 clean LHP with quick tempo.  showed good CH and decent SL.  low to mid 80's.  only saw 1 inning. see again in FT MYERS wants to be a pilot.  HS coach only been at school since June so cant speak for his baseball ability.  but plans on him being his #1 or 2. TR Update... Saw in Ft Myers 80-82/67 on breaker. Everything looked slow, not a ton of juice or explosiveness in pitches or actions. Coach told me he usually has more and was very high on him. Not a guy early. TR '25: Saw again at NPI - rough outing got hit, throwing meatballs over the dish. Did flash a good CH but it was inconsistent. Coach gave me same talk "was better last week." Don't see him as a guy for us.</t>
  </si>
  <si>
    <t>Jeremy.powell2026@gmail.com</t>
  </si>
  <si>
    <t>- Diamond Prospects Palmetto Games participant (attended/invitation only)  - PBR Top Prospects Games (attended/invitation only)  - PBR Fall Top Prospects invite (not attending)  - SC Region 4 All-Region Player (only selection from your school)  - Named to a few All Tournament teams for summer appearances - touched 88 on Trackman at Virginia Tech - Varsity Letter as a Freshman &amp; Sophomore</t>
  </si>
  <si>
    <t xml:space="preserve">3.8 unweighted </t>
  </si>
  <si>
    <t>ACT: 24</t>
  </si>
  <si>
    <t>- All A's sophomore year
- Outstanding English department award for sophomore class
-National Honor Society (sophomore &amp; continuing into Jr year)
maintaining 4.75+ GPA
- Completing AP World History as a freshman with a 3 on the exam</t>
  </si>
  <si>
    <t>Reid Dadic</t>
  </si>
  <si>
    <t>Reid</t>
  </si>
  <si>
    <t>Dadic</t>
  </si>
  <si>
    <t>North Broward Prep</t>
  </si>
  <si>
    <t>FL Pokers</t>
  </si>
  <si>
    <t>3.49 / 1100 SAT</t>
  </si>
  <si>
    <t>Tim needs to see</t>
  </si>
  <si>
    <t>AP: 6'2 195 good body.  88-90, 78 SL 2400spin.  just started to pitch.  could be a monster.  Fitz likes him on mound and bat.  LHH but only hit .220 JR year.  Must see again this summer 2025!</t>
  </si>
  <si>
    <t>rwdadic@gmail.com</t>
  </si>
  <si>
    <t>High School: Hitting: AVG:.220 OBP:400 OPS:.815 SLG:415 K:11 BB:8 Pitching: IP:35.1 ERA:3.36 WHIP:1.075 K:34 BB:4 Strike%:69% Summer as of 6/15: Hitting: AVG:.391 OBP:.588 OPS:1.066 SLG:.478 K:1 BB:10 Pitching: IP:3.2 ERA:0.00 WHIP:.818 K:5 BB:1 Strike%:69%</t>
  </si>
  <si>
    <t>Unweighted: 3.5 Weighted: 4.38</t>
  </si>
  <si>
    <t>SAT:1100</t>
  </si>
  <si>
    <t>Shane Parker</t>
  </si>
  <si>
    <t>Shane</t>
  </si>
  <si>
    <t>Silas Meuli</t>
  </si>
  <si>
    <t>Silas</t>
  </si>
  <si>
    <t>Meuli</t>
  </si>
  <si>
    <t>Legend</t>
  </si>
  <si>
    <t>AP: 5'11 175 highly ranked spark plug LHH.  Saw at PBR 16u.  448PBR Nat.  #5 in CO.  SPRING update: .279 3HR, only 3 SB.  Lacking track record</t>
  </si>
  <si>
    <t>Teddy Stephenson</t>
  </si>
  <si>
    <t>Teddy</t>
  </si>
  <si>
    <t>Stephenson</t>
  </si>
  <si>
    <t>Bangor, ME</t>
  </si>
  <si>
    <t>Bangor</t>
  </si>
  <si>
    <t>MVP New England 2027's</t>
  </si>
  <si>
    <t>WWBA Ft Myers</t>
  </si>
  <si>
    <t>stephensonteddy19@gmail.com</t>
  </si>
  <si>
    <t>Ranked top 5 in New England, Named to the futures games</t>
  </si>
  <si>
    <t>Thomas Jewett</t>
  </si>
  <si>
    <t>St Paul VI</t>
  </si>
  <si>
    <t>Pavs see if possible wwba</t>
  </si>
  <si>
    <t>TR: Quick look but has actions at SS. Not great feel for swing just saw a couple ABs. Could be a next tier guy. See again
TR: Strong kid shorter stumpy build. solid baseball player. Nothing wows you but can swing the bat and has smooth actions at SS.</t>
  </si>
  <si>
    <t>Trenton Robinson</t>
  </si>
  <si>
    <t>Trenton</t>
  </si>
  <si>
    <t>Robinson</t>
  </si>
  <si>
    <t>Brunswick HS</t>
  </si>
  <si>
    <t>Burn North</t>
  </si>
  <si>
    <t>AP: 6'2 180.  Have not seen yet...coach REC.  making jump right now, upper 80's (90), 78 SL.  Try to see this summer 2025.</t>
  </si>
  <si>
    <t>William Kane</t>
  </si>
  <si>
    <t>William</t>
  </si>
  <si>
    <t>Kane</t>
  </si>
  <si>
    <t>bishop moore</t>
  </si>
  <si>
    <t>AP: saw at FL Burn tryout.  6'3 200 good frame.  great swing with bat speed. showed big pwr.  avg arm.  thinks he is a catcher, not good enough behind dish, must move to 1B.  saw lots of swing and miss at PBR CUP.  scary.  he's a threat in the box though.  SPRING update: .290 5 2B, 2 HR, K's,</t>
  </si>
  <si>
    <t>Drew Almond</t>
  </si>
  <si>
    <t>Almond</t>
  </si>
  <si>
    <t>Buchholtz</t>
  </si>
  <si>
    <t>4.8 / 26ACT</t>
  </si>
  <si>
    <t>AP: 6'1 180, Bouchard comp, good body/lower half, 6.8 runner, LHH.  no pop.  fringe bat speed.  finds hits.  miss a few chances to run balls down deep in outfield.  powerhouse HS but only got 20 atbats JR yr.  fits the runner/LHH position player we are looking to fill.  hopefully we can find something better though.</t>
  </si>
  <si>
    <t>Drew Cothren</t>
  </si>
  <si>
    <t>Cothren</t>
  </si>
  <si>
    <t>Plant city</t>
  </si>
  <si>
    <t>AP: 6'1 170 thin but room for more. light bat. 6.7 runs well, decent swing.  zero pwr.  follow only bc/ hitting leadoff for a good Ostingers 16u team.  HS '24 hit .333 4SB.</t>
  </si>
  <si>
    <t>Joseph Soto</t>
  </si>
  <si>
    <t>Soto</t>
  </si>
  <si>
    <t>Devine Baseball</t>
  </si>
  <si>
    <t>Yes</t>
  </si>
  <si>
    <t>Soft tossing LHP.  Good stats</t>
  </si>
  <si>
    <t>Riley Sherowski</t>
  </si>
  <si>
    <t>Sherowski</t>
  </si>
  <si>
    <t>Katy</t>
  </si>
  <si>
    <t>Seven Lakes</t>
  </si>
  <si>
    <t>San Diego Padres Scout Team 2026</t>
  </si>
  <si>
    <t>Lukas Harbour</t>
  </si>
  <si>
    <t>Lukas</t>
  </si>
  <si>
    <t>Harbour</t>
  </si>
  <si>
    <t>Leesburg</t>
  </si>
  <si>
    <t>Riverside</t>
  </si>
  <si>
    <t>Dirtbags</t>
  </si>
  <si>
    <t>Caden  Schlotterbeck</t>
  </si>
  <si>
    <t xml:space="preserve">Caden </t>
  </si>
  <si>
    <t>Schlotterbeck</t>
  </si>
  <si>
    <t>Top Tier</t>
  </si>
  <si>
    <t>Cole McGovern</t>
  </si>
  <si>
    <t>McGovern</t>
  </si>
  <si>
    <t>3B MIF, RHP</t>
  </si>
  <si>
    <t>Mendon, MA</t>
  </si>
  <si>
    <t>Nipmuc Regional</t>
  </si>
  <si>
    <t>L &amp; M 2027</t>
  </si>
  <si>
    <t>Gordon  Cozad</t>
  </si>
  <si>
    <t xml:space="preserve">Gordon </t>
  </si>
  <si>
    <t>Cozad</t>
  </si>
  <si>
    <t>Grant  Shepherd</t>
  </si>
  <si>
    <t xml:space="preserve">Grant </t>
  </si>
  <si>
    <t>Shepherd</t>
  </si>
  <si>
    <t>Pearland</t>
  </si>
  <si>
    <t>5.11/1300</t>
  </si>
  <si>
    <t>Isaac Sullivan</t>
  </si>
  <si>
    <t>Sullivan</t>
  </si>
  <si>
    <t>Bo Jackson Elite</t>
  </si>
  <si>
    <t>Jack Stefani</t>
  </si>
  <si>
    <t>Stefani</t>
  </si>
  <si>
    <t>Glenbrook south</t>
  </si>
  <si>
    <t>4.1/35</t>
  </si>
  <si>
    <t>Pitching at PBR Nat Champ</t>
  </si>
  <si>
    <t>jack_stefani@icloud.com</t>
  </si>
  <si>
    <t>4.1 Weighted</t>
  </si>
  <si>
    <t>1360 SAT, 30 ACT, retook ACT but don’t have results back yet. Also retaking SAT in August</t>
  </si>
  <si>
    <t>Jeremy Thompson</t>
  </si>
  <si>
    <t>Thompson</t>
  </si>
  <si>
    <t>Kenyon Oakes</t>
  </si>
  <si>
    <t>Kenyon</t>
  </si>
  <si>
    <t>Oakes</t>
  </si>
  <si>
    <t>Hoover</t>
  </si>
  <si>
    <t>3.5 gpa??</t>
  </si>
  <si>
    <t>AP: 5'9 150 might be slightly bigger, short but classic LHP. Good arm speed and feel for pitching.  Saw at PBR 16u.  UPDATE spring 25 84-87, SL 79-81, CB 74-76, CH 78</t>
  </si>
  <si>
    <t>Kye Jacobs</t>
  </si>
  <si>
    <t>Kye</t>
  </si>
  <si>
    <t>Jacobs</t>
  </si>
  <si>
    <t>CPHS</t>
  </si>
  <si>
    <t>4.0/1230</t>
  </si>
  <si>
    <t>TR: Dug up online, phone call 6/20 will be at wwba. 1st in his classhas taken precalc, ap calc next year. Has taken ap chem. hit .551 slg .900 13 2b 3 3b 3 hr with 28sb last year. 6.47 60. 5'9". Need to see early next week.</t>
  </si>
  <si>
    <t>kyejacobs@gmail.com</t>
  </si>
  <si>
    <t xml:space="preserve">HS Junior Season- .551 Avg (43/78) 19XBH .620 OBP 28 RBI 16 BB .930 SLG .1530 OPS 26 SB  </t>
  </si>
  <si>
    <t xml:space="preserve">4.097 weighted </t>
  </si>
  <si>
    <t>1230 SAT</t>
  </si>
  <si>
    <t>Closed reduction surgery on my right radius, broken left fibula (no surgery)</t>
  </si>
  <si>
    <t>Luke Gremelspacher</t>
  </si>
  <si>
    <t>Gremelspacher</t>
  </si>
  <si>
    <t>Indiana Nitro</t>
  </si>
  <si>
    <t>Luke Young</t>
  </si>
  <si>
    <t>Young</t>
  </si>
  <si>
    <t>Canes South</t>
  </si>
  <si>
    <t>Michael  Chin</t>
  </si>
  <si>
    <t xml:space="preserve">Michael </t>
  </si>
  <si>
    <t>Chin</t>
  </si>
  <si>
    <t>FTB Phillies Scout</t>
  </si>
  <si>
    <t>Nick Linares</t>
  </si>
  <si>
    <t>Linares</t>
  </si>
  <si>
    <t>Team Elite</t>
  </si>
  <si>
    <t>Will Meehan</t>
  </si>
  <si>
    <t>Meehan</t>
  </si>
  <si>
    <t>LHP 1B, OF</t>
  </si>
  <si>
    <t>Hazlet, NJ</t>
  </si>
  <si>
    <t>Raritan</t>
  </si>
  <si>
    <t>Ghost National 17U</t>
  </si>
  <si>
    <t>Ryan Rasmussen</t>
  </si>
  <si>
    <t>Rasmussen</t>
  </si>
  <si>
    <t>?</t>
  </si>
  <si>
    <t>Twitter find.  Throwing in Jupiter</t>
  </si>
  <si>
    <t>Ryan.rasmussen07@gmail.com</t>
  </si>
  <si>
    <t>ACT=19</t>
  </si>
  <si>
    <t>Brody Brandt</t>
  </si>
  <si>
    <t>Brandt</t>
  </si>
  <si>
    <t>JK-saw at AF. Athletic/medium framed kid. Looked solid at AF camp. Need to see more.</t>
  </si>
  <si>
    <t>Caleb Lear</t>
  </si>
  <si>
    <t>Lear</t>
  </si>
  <si>
    <t>Brentwood HS</t>
  </si>
  <si>
    <t>JK-camp kid freshman year. Has been a follow since. Solid athlete. Showed well as position player and on mound</t>
  </si>
  <si>
    <t>Carter Rathbun</t>
  </si>
  <si>
    <t>Rathbun</t>
  </si>
  <si>
    <t>Regis Jesuit</t>
  </si>
  <si>
    <t>JK-saw at AF camp. Solid LH swing/athlete. Definitel follow</t>
  </si>
  <si>
    <t>Evan Dillinger</t>
  </si>
  <si>
    <t>Dillinger</t>
  </si>
  <si>
    <t>Erie HS</t>
  </si>
  <si>
    <t>called. email comms. Spoke to at AF</t>
  </si>
  <si>
    <t>JK-saw at AF camp. Solid athlete/player. Good RH hack. Brother on roster at AF. High interest in Service. Trying to make it to Fall camp. Communicated with the kid and the dad</t>
  </si>
  <si>
    <t>Gavin Ruta</t>
  </si>
  <si>
    <t>Ruta</t>
  </si>
  <si>
    <t>William Penn Charter</t>
  </si>
  <si>
    <t>JK-LHH LHP/CF. Claims 6.6 runner and up to 87 on mound. Coach Rec was solid. Supposedly 3 pitch mix and a gap pop LHH. Coming off of TJ. Not coming to camp b/c still not back to 100% on mound.</t>
  </si>
  <si>
    <t>Grant Myers</t>
  </si>
  <si>
    <t>Myers</t>
  </si>
  <si>
    <t>Midlothinan HS?</t>
  </si>
  <si>
    <t>Called. email comms. Spoke to at AF</t>
  </si>
  <si>
    <t>JK-saw at AF camp. Solid physicality and RH hacks. Coming to fall camp. Spoke to on phone</t>
  </si>
  <si>
    <t>Henry Gahagan</t>
  </si>
  <si>
    <t>Gahagan</t>
  </si>
  <si>
    <t>33ACT/1350</t>
  </si>
  <si>
    <t>JK-saw in Mattingly.  Good physicality. Liked him. Wants a high academic D1. Has spoken to other high academics. Going to Showball. Slam dunk academically.  Was only soph on pitching staff at Highland Park HS with 1 draft guy and two other D1 commits (Duke/Pepperdine). Was good on phone.</t>
  </si>
  <si>
    <t>Hudson Longendyke</t>
  </si>
  <si>
    <t>Longendyke</t>
  </si>
  <si>
    <t>Loudon County HS</t>
  </si>
  <si>
    <t>JK: have not seen. 1st Team All Dist/2nd team all Region as Soph. Was supposed to come to summer camp but bailed</t>
  </si>
  <si>
    <t>Jack Stanger</t>
  </si>
  <si>
    <t>Stanger</t>
  </si>
  <si>
    <t>St Johns HS</t>
  </si>
  <si>
    <t>JK-was at summer camp 2024. Big/physical corner guy. Strong. Worth a follow. Spoke to on the phone. Good kid. In football season. Def. End. Talking to Ivy leagues and taking visits to a couple but made a point to tell me he doesn't see himself as an Ivy League guy. Wants to serve, views Navy as the best option of the three.</t>
  </si>
  <si>
    <t>Jeremy Menhennett</t>
  </si>
  <si>
    <t>Menhennett</t>
  </si>
  <si>
    <t>St. Lukes HS</t>
  </si>
  <si>
    <t>email comms. Spoke to at AF</t>
  </si>
  <si>
    <t>JK-saw at AF camp. Good enough to keep eye on. Maybe more of a future on the mound than as pos. player.</t>
  </si>
  <si>
    <t>Jordan Garza</t>
  </si>
  <si>
    <t>Garza</t>
  </si>
  <si>
    <t>Texas Twelve</t>
  </si>
  <si>
    <t>JK-saw at Mattingly and was good enough to follow up. Avg phone conversation.</t>
  </si>
  <si>
    <t>Josh Martino</t>
  </si>
  <si>
    <t>Martino</t>
  </si>
  <si>
    <t>Windham</t>
  </si>
  <si>
    <t>JK-up to 87 on mound. Bigger body/physical kid. Dad played HS football w/ my brother.</t>
  </si>
  <si>
    <t>Logan Powell</t>
  </si>
  <si>
    <t>Patuxnet</t>
  </si>
  <si>
    <t>Called</t>
  </si>
  <si>
    <t>JK-email/video follow. Plays for solid program (G's Lions) that usually pumps out some guys. Talked to for like 30 min. Seems to be more of a baseball player/normal kid. Hit 413 with 5HR. 4 hitter as a soph. Caught 163 innings last year. Said "about 10 schools" have called but no offers. Need to see asap.</t>
  </si>
  <si>
    <t>Logan Taylor</t>
  </si>
  <si>
    <t>Taylor</t>
  </si>
  <si>
    <t>Kingsway Regional HS</t>
  </si>
  <si>
    <t>JK-undersized MIF from camp. Decent actions. Swing was a bit too uphill. Really only a follow at this point. High recs from his HS coach (who I played with) and his summer ball guy (Kenny Koplove).</t>
  </si>
  <si>
    <t>Oscar Hickey</t>
  </si>
  <si>
    <t>Oscar</t>
  </si>
  <si>
    <t>Hickey</t>
  </si>
  <si>
    <t>texts</t>
  </si>
  <si>
    <t>JK: exchanged texts. PBR #13 VA. Strong frame/twitchy athlete. Showed some pop. Potential visit guy</t>
  </si>
  <si>
    <t>Ryan Steeper</t>
  </si>
  <si>
    <t>Steeper</t>
  </si>
  <si>
    <t>St. Anne's Belfield</t>
  </si>
  <si>
    <t>email comms</t>
  </si>
  <si>
    <t>JK-saw at H3 event. Marginal/medium frame 2 way guy, but consensus is future is on the mound. Need to see. Football could be a conflict</t>
  </si>
  <si>
    <t>Sam Loving</t>
  </si>
  <si>
    <t>Loving</t>
  </si>
  <si>
    <t>Fluvanna HS</t>
  </si>
  <si>
    <t>JK-underwhelming at camp.  Avg showcase in OF, did not showcase in IF. Light follow at best. High interest and good on phone.</t>
  </si>
  <si>
    <t>Steele Ingram</t>
  </si>
  <si>
    <t>Steele</t>
  </si>
  <si>
    <t>Ingram</t>
  </si>
  <si>
    <t>North Cobb HS</t>
  </si>
  <si>
    <t>JK-saw at WWBA. Plus physical ATH. Maybe too good. Above avg runner. Uncle coaced FB at Navy for 16 years.</t>
  </si>
  <si>
    <t>David Feigner</t>
  </si>
  <si>
    <t>Feigner</t>
  </si>
  <si>
    <t>AK</t>
  </si>
  <si>
    <t>couple AZ juco offers, D2 and D3 offers.. hasn't really considered high academic.  interested in navy in first call.  will double back after jupiter to see if hes really interest.</t>
  </si>
  <si>
    <t>david.f2007@yahoo.com</t>
  </si>
  <si>
    <t xml:space="preserve">46 innings, 18 hits, 10 runs (5 earned), 18 walks, 88 strikeouts, .761 era, .110 opponent batting average. All-CIC First team pitcher (CIC=Cook Inlet Conference), CIC Pitcher of the Year, CIC Strikeout record holder. </t>
  </si>
  <si>
    <t xml:space="preserve">3.83 / 3.97 </t>
  </si>
  <si>
    <t xml:space="preserve">I had an overuse injury this summer. No surgery needed, just a few weeks off of throwing. This was the conclusion from the MRI: 1. Mild flexor origin tendinopathy and strain without tear or UCL tear. 2. Mild extensor origin tendinopathy without tear. 3. Mild triceps tendinopathy without tear. 4. Mild biceps tenosynovitis without tendinosis or tear. </t>
  </si>
  <si>
    <t>No.</t>
  </si>
  <si>
    <t>Parker Hayes</t>
  </si>
  <si>
    <t>Hayes</t>
  </si>
  <si>
    <t>Mt St Mary HS</t>
  </si>
  <si>
    <t>OK Fuel</t>
  </si>
  <si>
    <t>TR: Mattingly. 6'7" lefty with some athleticism. Twitchy kid especially for size. Arm is fast, 3/4 downhill angle. 86-88 with some ride. Only threw one slider in 2 ip and it was a plus pitch 77 on slider. Need to call</t>
  </si>
  <si>
    <t>parker.r.hayes@gmail.com</t>
  </si>
  <si>
    <t>0.168 BAA, 61 IP, 244 batters faced, 7-3 W-L, 37 hits, 8 ER, 17 BB, 89 K, 0.918 ERA, 0.885 WHIP</t>
  </si>
  <si>
    <t>Unweighted 3.72 Weighted 4.01</t>
  </si>
  <si>
    <t>Inflammation due to rapid growth spurt. Temporarily put in boot. Completely healed now.</t>
  </si>
  <si>
    <t>Rocco Szambelan</t>
  </si>
  <si>
    <t>Szambelan</t>
  </si>
  <si>
    <t>rszambelan17@gmail.com</t>
  </si>
  <si>
    <t>Summer Stats - 34.2 IP 55 Ks 2.2 ERA High School - 43.2 IP 46 Ks 3 ERA</t>
  </si>
  <si>
    <t>3.72/4.34</t>
  </si>
  <si>
    <t>ACT 21</t>
  </si>
  <si>
    <t>Small elbow growth plate fracture (Freshman Year) No surgery</t>
  </si>
  <si>
    <t>Penicillin</t>
  </si>
  <si>
    <t>Daily Vitamins</t>
  </si>
  <si>
    <t>Roman Martinez</t>
  </si>
  <si>
    <t>roman.mtz2121@gmail.com</t>
  </si>
  <si>
    <t>Junior Year - Batting AVG- .353 Pitching- ERA- 1.038 SO- 95 Fielding- FPCT- .941  Accolades- 1st team all district outfield, 1st team all district pitcher, pitcher of the year</t>
  </si>
  <si>
    <t>Haven’t taken it</t>
  </si>
  <si>
    <t>No injuries</t>
  </si>
  <si>
    <t>Garrett Koshkin</t>
  </si>
  <si>
    <t>Koshkin</t>
  </si>
  <si>
    <t>Humble</t>
  </si>
  <si>
    <t>Kingwood Park</t>
  </si>
  <si>
    <t>gkoshkin3@gmail.com</t>
  </si>
  <si>
    <t>41.1 innings, 2.7 ERA, 49K</t>
  </si>
  <si>
    <t>3.944/5.386</t>
  </si>
  <si>
    <t>ACT superscore: 35  Highest single sitting ACT score: 34</t>
  </si>
  <si>
    <t>Gavin Cervantes</t>
  </si>
  <si>
    <t>Cervantes</t>
  </si>
  <si>
    <t>Downey</t>
  </si>
  <si>
    <t>St. John Bosco</t>
  </si>
  <si>
    <t>cervantesgavin377@gmail.com</t>
  </si>
  <si>
    <t>Hs Season : 58 innings, 8-0 record, 1.20 ERA</t>
  </si>
  <si>
    <t>3.6-3.7 I do not take any Ap’s/ honors classes</t>
  </si>
  <si>
    <t>Dont have</t>
  </si>
  <si>
    <t>No surgeries, had a foot injury about 2 years ago, was down for 7 months, came back April 2024</t>
  </si>
  <si>
    <t>Noah McConnell</t>
  </si>
  <si>
    <t>McConnell</t>
  </si>
  <si>
    <t>NV</t>
  </si>
  <si>
    <t>Logan Wideman</t>
  </si>
  <si>
    <t>Wideman</t>
  </si>
  <si>
    <t>Juco</t>
  </si>
  <si>
    <t>1B</t>
  </si>
  <si>
    <t>Marietta</t>
  </si>
  <si>
    <t>Kellan Tom</t>
  </si>
  <si>
    <t>Kellan</t>
  </si>
  <si>
    <t>Tom</t>
  </si>
  <si>
    <t>ASU</t>
  </si>
  <si>
    <t>Pete Ward</t>
  </si>
  <si>
    <t>Pete</t>
  </si>
  <si>
    <t>Ward</t>
  </si>
  <si>
    <t>not interested</t>
  </si>
  <si>
    <t>Zionsville</t>
  </si>
  <si>
    <t>3.9 / 1060</t>
  </si>
  <si>
    <t xml:space="preserve">HS Coach says....good kid, hard worker.  dad limits pitch counts, kid pulls himself from starts because dad says youre done.  absoluley good enough for us.  too good probably.  </t>
  </si>
  <si>
    <t>Kamden Milner</t>
  </si>
  <si>
    <t>Kamden</t>
  </si>
  <si>
    <t>Milner</t>
  </si>
  <si>
    <t>Not Intersted</t>
  </si>
  <si>
    <t>L/R</t>
  </si>
  <si>
    <t>Hastings</t>
  </si>
  <si>
    <t>Episcopal</t>
  </si>
  <si>
    <t>Chase Anderson</t>
  </si>
  <si>
    <t>Anderson</t>
  </si>
  <si>
    <t>Grades</t>
  </si>
  <si>
    <t>West Florence</t>
  </si>
  <si>
    <t>Max Tello</t>
  </si>
  <si>
    <t>Max</t>
  </si>
  <si>
    <t>Tello</t>
  </si>
  <si>
    <t>Chula Vista</t>
  </si>
  <si>
    <t>Eastlake</t>
  </si>
  <si>
    <t>GBG National 2026</t>
  </si>
  <si>
    <t>maxtello2212@gmail.com</t>
  </si>
  <si>
    <t>High School: 44IP 2.23 ERA 59K</t>
  </si>
  <si>
    <t>Luke Long</t>
  </si>
  <si>
    <t>Long</t>
  </si>
  <si>
    <t>Valrico</t>
  </si>
  <si>
    <t>Bloomingdale</t>
  </si>
  <si>
    <t>Nick Masciarelli</t>
  </si>
  <si>
    <t>Masciarelli</t>
  </si>
  <si>
    <t>Wagner</t>
  </si>
  <si>
    <t>Mahopac</t>
  </si>
  <si>
    <t>Taconic Rangers</t>
  </si>
  <si>
    <t>95 avg</t>
  </si>
  <si>
    <t>86-88, 3 pitches for strikes. 5’ 10” pretty filled in. Good athlete, competes, something to it. Stuff is not elite and not a huge upside, but he can pitch. Great HS numbers. 40 IP, 68:18 K:BB, 11 H, 3 R. No hitter in state playoffs. Got hit in PG events a few times in ‘24. Under the radar kid - Maine has offered 50%, he wants high academic and money is a factor. Throwing at GW team camp this week, possibly a chance to see him again. Then mostly Baseball Heaven.</t>
  </si>
  <si>
    <t>Gabriel Priest</t>
  </si>
  <si>
    <t>Gabriel</t>
  </si>
  <si>
    <t>Priest</t>
  </si>
  <si>
    <t>Not Interested</t>
  </si>
  <si>
    <t>SCP</t>
  </si>
  <si>
    <t>Grayden Seuferling</t>
  </si>
  <si>
    <t>Grayden</t>
  </si>
  <si>
    <t>Seuferling</t>
  </si>
  <si>
    <t>WF</t>
  </si>
  <si>
    <t>Blue Springs South</t>
  </si>
  <si>
    <t>US Nationals</t>
  </si>
  <si>
    <t>Logan Chi</t>
  </si>
  <si>
    <t>Chi</t>
  </si>
  <si>
    <t>Not interested</t>
  </si>
  <si>
    <t>Ghost</t>
  </si>
  <si>
    <t>Logan Minamyer</t>
  </si>
  <si>
    <t>Minamyer</t>
  </si>
  <si>
    <t>Hilliard Bradley</t>
  </si>
  <si>
    <t>AP: 6'3 190 Twitter find.  HS '24, 4-3 record, 1.97 ERA, 50IP 46H 6BB 38K.  UPDATE spring, avg stats, lots of BB's.  low follow now</t>
  </si>
  <si>
    <t>Adam Goldberg</t>
  </si>
  <si>
    <t>Adam</t>
  </si>
  <si>
    <t>Goldberg</t>
  </si>
  <si>
    <t>adrego02@gmail.com</t>
  </si>
  <si>
    <t>HS: 57.2 IP 54H 22R 11ER 13BB 83K 5HBP 1.34 ERA 1st Team All County, 1st Team All conference 3rd Team All Group 4, Honorable Mention All-State    Summer: 27IP 14H 4R 4ER 11BB 40K 2HBP 1.04 ERA</t>
  </si>
  <si>
    <t>3.55/3.65</t>
  </si>
  <si>
    <t>1150 SAT</t>
  </si>
  <si>
    <t>Broken Growth Plate in Ankle</t>
  </si>
  <si>
    <t>Addison Rowland</t>
  </si>
  <si>
    <t>Addison</t>
  </si>
  <si>
    <t>Rowland</t>
  </si>
  <si>
    <t>ghosted</t>
  </si>
  <si>
    <t>Palisades</t>
  </si>
  <si>
    <t>AP: Future Gamer. PBR#259 Nat. stud!  sent text message gaging interest.  hit .360 0HR SO yr.</t>
  </si>
  <si>
    <t>Aiden Moore</t>
  </si>
  <si>
    <t>Moore</t>
  </si>
  <si>
    <t>GCSU</t>
  </si>
  <si>
    <t>Hillgrove</t>
  </si>
  <si>
    <t>East Cobb Yankees</t>
  </si>
  <si>
    <t>4.3 / 1370</t>
  </si>
  <si>
    <t xml:space="preserve">AP; 6'0 170 avg size.  84-86 (87), 74-77 SL good pitch. Can really pitch. Pitch ability type guy.  HS coach says great things. Number 1 for the,  pitched in all big games. Working on CH for third pitch.  Says he's a D1 guy. Strike thrower.  Good stats.  Parents aren't sports people. Sport ignorant </t>
  </si>
  <si>
    <t>21ajmoore@gmail.com</t>
  </si>
  <si>
    <t>HS Stats: 47.2IP, 41H, 63K, 3.084 ERA, 29BB, First Team All-Region, All State Honorable Mention. Summer Stats: 26.1 IP, 13H, 37K, 1.063 ERA, 12BB</t>
  </si>
  <si>
    <t>3.85/4.33</t>
  </si>
  <si>
    <t>SAT- 1370 (1380 super score)</t>
  </si>
  <si>
    <t>Elbow Fracture (Medial Epicondyle)- Got a screw in my elbow</t>
  </si>
  <si>
    <t>Alex king</t>
  </si>
  <si>
    <t>king</t>
  </si>
  <si>
    <t>alexking.2093@gmail.com</t>
  </si>
  <si>
    <t>All Continental League Honorable Mention, Futures Games Alumni, AZ Fall Classic All-Academic Game Alumni</t>
  </si>
  <si>
    <t>Alton Ostby</t>
  </si>
  <si>
    <t>Alton</t>
  </si>
  <si>
    <t>Ostby</t>
  </si>
  <si>
    <t>Dayton</t>
  </si>
  <si>
    <t>CB: Committed to Dayton, may be re-opening (Loiseau). Funky 3/4 + SL, upside FB. Long projectable</t>
  </si>
  <si>
    <t>Anthony Marano</t>
  </si>
  <si>
    <t>Marano</t>
  </si>
  <si>
    <t>Austin Knierim</t>
  </si>
  <si>
    <t>Knierim</t>
  </si>
  <si>
    <t>Florida Gulf Coast</t>
  </si>
  <si>
    <t>Hernando</t>
  </si>
  <si>
    <t>4.37 / extended time on tests</t>
  </si>
  <si>
    <t>haven't called back after finding out extended time for tests</t>
  </si>
  <si>
    <t>AP: Future gamer. PBR #63 FL.  stud.  PG 240.  6.8 60time.  90 arm velo OF.  Spring update: .340, 9 2B, 3HR. a lot of K's s/m might be problem.</t>
  </si>
  <si>
    <t>ak34baseball@gmail.com</t>
  </si>
  <si>
    <t>summer .443avg .656slug. 27hits 13 doubles</t>
  </si>
  <si>
    <t>Bankston Walters</t>
  </si>
  <si>
    <t>Bankston</t>
  </si>
  <si>
    <t>Walters</t>
  </si>
  <si>
    <t>University of Southern Mississippi</t>
  </si>
  <si>
    <t>Presbyterian Christian</t>
  </si>
  <si>
    <t>knights knation</t>
  </si>
  <si>
    <t>6'4 225 good size kid with good arm. 86-88, 75 SL, 79 CH.   saw on Twitter</t>
  </si>
  <si>
    <t>Beckett Suh</t>
  </si>
  <si>
    <t>Beckett</t>
  </si>
  <si>
    <t>Suh</t>
  </si>
  <si>
    <t>Tulane</t>
  </si>
  <si>
    <t>University</t>
  </si>
  <si>
    <t>AP: Future Gamer. PBR#30 IN. LHH with pwr for size.  HR in game.  7.17 run. hit .246 SO yr.  more BB's than K's</t>
  </si>
  <si>
    <t>Ben Lackey</t>
  </si>
  <si>
    <t>Lackey</t>
  </si>
  <si>
    <t>SEMO</t>
  </si>
  <si>
    <t>Eureka</t>
  </si>
  <si>
    <t>STL Legacy</t>
  </si>
  <si>
    <t>3.7 / 26 ACT</t>
  </si>
  <si>
    <t>AP; has poor grades in math (D in one semester).  6'2 180 good body.  86-87 (88) flat, it's got hit when left up. Has a good SL 77-78 2600 spin.  Delivery in arm works. Fast pick move, seems athletic. Needs a little polish, but ceiling is high. ￼</t>
  </si>
  <si>
    <t>Blake Cope</t>
  </si>
  <si>
    <t>Cope</t>
  </si>
  <si>
    <t>Wichita State</t>
  </si>
  <si>
    <t>Covenant Christian</t>
  </si>
  <si>
    <t>AP: Future gamer. PBR #31.  stud.  6'1 200 strong.  6.78 run.  100EV.  sent text.  hit .370 as SO</t>
  </si>
  <si>
    <t>Braddock Raven</t>
  </si>
  <si>
    <t>Braddock</t>
  </si>
  <si>
    <t>Raven</t>
  </si>
  <si>
    <t>Toledo</t>
  </si>
  <si>
    <t>Victoria East</t>
  </si>
  <si>
    <t>3.8/1100</t>
  </si>
  <si>
    <t xml:space="preserve">TR: Mattingly. 88-90 with 77-78 slider. This is a big time arm. Long loose frame, fast whippy arm. pitches with some attitude. 1st call sounds like genuine interest. filled out form right away. says he has sink and more gb guy. more K's than IP, has K stuff. </t>
  </si>
  <si>
    <t>Bradley Mallette</t>
  </si>
  <si>
    <t>Bradley</t>
  </si>
  <si>
    <t>Mallette</t>
  </si>
  <si>
    <t xml:space="preserve">No calculus </t>
  </si>
  <si>
    <t>Self proclaimed Yep, Junior year. High school coach still believes in the kid and think he can be pretty special. I do not think he's taking a mass senior year and has never taken calculus or pre-calculus. Algebra two the farthest he got ￼</t>
  </si>
  <si>
    <t>bradleymallette@icloud.com</t>
  </si>
  <si>
    <t xml:space="preserve">2x 5a Honorable mention all state- 2x First Team all Conferance, class of 2026 Colorado Top 50 Game, Sophomore year offensive stats- .419 BA, ,12 doubles, 2HR. Junior year offensive stats- .402 BA, 6 doubles, 7 HR, .450 OBP. Sophomore year pitching stats- 3.09 ERA, 32 IP, 30K, 6BB. Freshman Year Pitching- 8 Appearances, 13 IP, 14K, 6.46 ERA. </t>
  </si>
  <si>
    <t xml:space="preserve">SAT- 1170 (am taking again this fall) </t>
  </si>
  <si>
    <t xml:space="preserve">Broken elbow 8th grade summer, broken Left Hand Freshamn year, Sprained ankle in football last year. </t>
  </si>
  <si>
    <t>Brady Elrod</t>
  </si>
  <si>
    <t>Elrod</t>
  </si>
  <si>
    <t>Virginia Tech</t>
  </si>
  <si>
    <t>AP: Saw video on Twitter. Athletic with clean swing. JK: Saw in person at H3 event. Definite follow</t>
  </si>
  <si>
    <t>Brady McKay</t>
  </si>
  <si>
    <t>McKay</t>
  </si>
  <si>
    <t>St. Marys</t>
  </si>
  <si>
    <t>Crean Lutheran</t>
  </si>
  <si>
    <t>3.7/3.9</t>
  </si>
  <si>
    <t>TR: AZ Fall classic. Got a limited look at him. Moves well at SS. Looks to have plenty of arm, didn't see a test of range but hands and feet were smooth moving to the ball. HS coach says he believes he is a SS at the next level and will play SS for them this year, will hit 1-3 in the order. Saw one AB swing was fine not enough to really eval, runs very well 6.6. Has visited St. Marys and Cal Baptist, does have some schools on him but sounds like everyone is waiting to see performance. Transferred and had to sit 5 weeks last season. Played in 8-10 games at end of year. Ranked two just bc it was limited look with no hard performance history.</t>
  </si>
  <si>
    <t>bradymckay28@gmail.com</t>
  </si>
  <si>
    <t>Brayden Schmittou</t>
  </si>
  <si>
    <t>Schmittou</t>
  </si>
  <si>
    <t>Lincoln Memorial</t>
  </si>
  <si>
    <t>PF Flyers</t>
  </si>
  <si>
    <t>CB: 19 ACT</t>
  </si>
  <si>
    <t>braydenschmittou27@gmail.com</t>
  </si>
  <si>
    <t>2022 Team MVP – PF Flyers Baseball Club 2023 1st Team All-Conference (SBAAC) – Freshman year 2023 Cincinnati Enquirer All-City (Division II) 2023 Southwest Ohio Baseball Coaches Association 2nd Team All-City 2023 Batavia High School Coaches Bulldog Award Sept 2023 – Ranked #73 in Ohio, #1 Utility by PBR Ohio Fall 2023 – Invited to PBR Ohio Fall State Games Jan 2024 – PF Flyers / Cincy Angels Scout Day standout April 2024 – Clermont Sun Athlete of the Week (pitched no-hitter vs. Goshen) Summer 2024 – USA Baseball NTIS Midwest All-Region Team; competed at Champions Cup (Cary, NC) Summer 2024 – Invited to PBR Ohio State Games 2024 season (Sophomore): .329 AVG, .459 OBP, 1.000 OPS, .974 FLD% June 2024 – PG Showcase: .500 AVG, 3 HR, 1.538 OPS in 12 AB Athletic metrics (2023–2024): 90.4 mph exit velo, 6.66 60-yard dash, 88 mph INF velo National Honor Society &amp; DECA Honor Society member</t>
  </si>
  <si>
    <t>3.789/4.105</t>
  </si>
  <si>
    <t>ACT 19 (one attempt)</t>
  </si>
  <si>
    <t>Creatine</t>
  </si>
  <si>
    <t>Braydon Bown</t>
  </si>
  <si>
    <t>Bown</t>
  </si>
  <si>
    <t>Army</t>
  </si>
  <si>
    <t>Palmyra HS</t>
  </si>
  <si>
    <t>3.4/No test</t>
  </si>
  <si>
    <t>braydonbown@icloud.com</t>
  </si>
  <si>
    <t xml:space="preserve">HS: 49 innings 8-0 record 20 walks 80 Ks 2.00 ERA First team all keystone and second team all state </t>
  </si>
  <si>
    <t>Not taken yet</t>
  </si>
  <si>
    <t xml:space="preserve">Adenoids removed </t>
  </si>
  <si>
    <t>Brodie Benefield</t>
  </si>
  <si>
    <t>Brodie</t>
  </si>
  <si>
    <t>Benefield</t>
  </si>
  <si>
    <t>Air Force</t>
  </si>
  <si>
    <t>St Xavier</t>
  </si>
  <si>
    <t>Marucci Blackhawks</t>
  </si>
  <si>
    <t>3.8 / no test yet</t>
  </si>
  <si>
    <t>AP: Future Gamer. 6'3 200 physical BAT.  6.9 run.  good arm.  Father passed away from stomach cancer in April.   Saw in Future Games and liked BP and game.  Jamie Crane called recommended him as well.  hit .320 as SO w/ some XBH's.  10 BB/22K's.  #18 PBR in KY.  has filled out survey, no issues</t>
  </si>
  <si>
    <t>bwbenefield1010@gmail.com</t>
  </si>
  <si>
    <t>Highschool all region team. Batting average over .300</t>
  </si>
  <si>
    <t>Unweighted 3.79. Weighted 4.53</t>
  </si>
  <si>
    <t>Brody Carr</t>
  </si>
  <si>
    <t>Carr</t>
  </si>
  <si>
    <t>VT commit</t>
  </si>
  <si>
    <t>Jefferson County</t>
  </si>
  <si>
    <t>TR: JK saw in Ft Myers. Sounds like a no doubt offer. Have texted tyring to get a call.</t>
  </si>
  <si>
    <t>Cade Cox</t>
  </si>
  <si>
    <t>Cox</t>
  </si>
  <si>
    <t>d2 committ</t>
  </si>
  <si>
    <t>Canes Southeast</t>
  </si>
  <si>
    <t>3.8 / no test</t>
  </si>
  <si>
    <t>cadecox09@gmail.com</t>
  </si>
  <si>
    <t>County Player of the year, Defensive player of the year, .370 BA, 20 SB’s</t>
  </si>
  <si>
    <t>Haven’t Taken</t>
  </si>
  <si>
    <t>Camden Blank</t>
  </si>
  <si>
    <t>Blank</t>
  </si>
  <si>
    <t>Liberty University</t>
  </si>
  <si>
    <t>Spotswood</t>
  </si>
  <si>
    <t>AP: 5'9 180 short but strong body.  good swing, uphill at times.  good athletic actions at SS.  .440 with xbh's.  more BB's than K's.  23 SB.  arm is good from SS.   Good on the phone. Wants to be a pilot (top gun)!</t>
  </si>
  <si>
    <t>cam1237@icloud.com</t>
  </si>
  <si>
    <t>.441 BA for High School, Summer BA .342, OBP .490, 26 Hits, 26 Runs, 23 Walks, 18 SB</t>
  </si>
  <si>
    <t>Carson Adomnik</t>
  </si>
  <si>
    <t>Adomnik</t>
  </si>
  <si>
    <t>Clemson</t>
  </si>
  <si>
    <t>South Paulding</t>
  </si>
  <si>
    <t>AP:  6'5 190 way too good for us.  good looking arm.  Ball came out well. Ranked RHP.  High ceiling.  messaged on twitter</t>
  </si>
  <si>
    <t>Carson Binder</t>
  </si>
  <si>
    <t>Binder</t>
  </si>
  <si>
    <t>Holy Cross</t>
  </si>
  <si>
    <t>Berkeley Prep</t>
  </si>
  <si>
    <t>Texted</t>
  </si>
  <si>
    <t>AP: 6'1 180, decent body.  =/+ swing, 2.0 pop, clean.  avg release.  2025 HS stats: .360, 11 2B's.   next tier catcher after Bowers</t>
  </si>
  <si>
    <t>carsondbinder27@gmail.com</t>
  </si>
  <si>
    <t>Defense player of the year for Berkeley Prep High School stats: 0.367 AVG 40 hits 25 Runs 0.450 OBP</t>
  </si>
  <si>
    <t xml:space="preserve">3.6/ 4.0 </t>
  </si>
  <si>
    <t xml:space="preserve">SAT 1070 only took it once </t>
  </si>
  <si>
    <t>No surgery. fractured ankle twice. Broken Nose.</t>
  </si>
  <si>
    <t>Carter Cox</t>
  </si>
  <si>
    <t>Florida Atlantic</t>
  </si>
  <si>
    <t>AP: 6'0 180 avg size.  Clean LHP can really pitch.  Breaking is good.  Good arm speed.  #2 for Venice.  Has pitched against big teams and has dominated.  Saw at FL Burn event.  TR: Saw in Ft Myers for 1 inning. Yes offer...Good breaking ball, late sharp action. Looks the part pitches with some confidence and intensity. Good frame and athleticism. This kid could throw really hard.</t>
  </si>
  <si>
    <t>cartercox3308@gmail.com</t>
  </si>
  <si>
    <t>In high school I batted .276 with 16 hits and an OBP of .416. On the mound in high school I had an ERA of 0.95 and struck out 53 batters over the course of 44 innings. In the summer I hit .308 with 16 hits and an OBP of .478. On the mound I had a 1.52 ERA with a strikeout to walk ratio of 47/6 in 32 innings.</t>
  </si>
  <si>
    <t>Had a minor fracture in my left foot two years ago after being hit by a pitch.</t>
  </si>
  <si>
    <t>Carter Muth</t>
  </si>
  <si>
    <t>Muth</t>
  </si>
  <si>
    <t>committed</t>
  </si>
  <si>
    <t>Charlie Firth</t>
  </si>
  <si>
    <t>Firth</t>
  </si>
  <si>
    <t>TR: Emailed , ask Oliveira. Video and metrics look good. Will be at PBR Nat Champs</t>
  </si>
  <si>
    <t>Chase Massey</t>
  </si>
  <si>
    <t>Massey</t>
  </si>
  <si>
    <t>Boston College</t>
  </si>
  <si>
    <t>regis jesuit</t>
  </si>
  <si>
    <t>AP: Future Gamer. PBR#12 CO. stud!  sent messge on twitter</t>
  </si>
  <si>
    <t>Cole Williams</t>
  </si>
  <si>
    <t>Bp Eustace</t>
  </si>
  <si>
    <t>JK-85-87 on film. Called July 1. Supposedly up to 90. TR has seen</t>
  </si>
  <si>
    <t>Coleton Brady</t>
  </si>
  <si>
    <t>Coleton</t>
  </si>
  <si>
    <t>TNXL Academy</t>
  </si>
  <si>
    <t>AP: Future Gamer. PBR#18 NY. stud!  6'3 190.  86-88, 78 2400 spin SL, 81 CH.</t>
  </si>
  <si>
    <t>Colin Sullivan</t>
  </si>
  <si>
    <t>G'Town</t>
  </si>
  <si>
    <t>ME</t>
  </si>
  <si>
    <t>SM River Rats</t>
  </si>
  <si>
    <t>3.7 / 1050</t>
  </si>
  <si>
    <t>CB: 90-93, fast arm, hard SL. + defender @ SS, runs 6.7. Bat coming along.</t>
  </si>
  <si>
    <t>Colton Baron</t>
  </si>
  <si>
    <t>Baron</t>
  </si>
  <si>
    <t>Maryland</t>
  </si>
  <si>
    <t>Rawlings SE MAD Mavericks</t>
  </si>
  <si>
    <t>Colton Hicks</t>
  </si>
  <si>
    <t>Hicks</t>
  </si>
  <si>
    <t>Gardner-Webb</t>
  </si>
  <si>
    <t>Independence</t>
  </si>
  <si>
    <t>AP: 6'1 180 strong body and frame.  saw at PBR CUP.  avg BS, decent swing.  pwr potential.  good arm.  7.0 run. didn't see any ground balls hit to him.</t>
  </si>
  <si>
    <t>Colton Sikes</t>
  </si>
  <si>
    <t>Sikes</t>
  </si>
  <si>
    <t>UTSA</t>
  </si>
  <si>
    <t>Alpha Omega Academy</t>
  </si>
  <si>
    <t>6'1" LHp for good TX team 86-87 went down to 84-85 in second inning.Slider is a sweeper at 74-75. Good break moves late, prob has high spin. Going to be tough on lefty's setting up call.</t>
  </si>
  <si>
    <t>Connor Couch</t>
  </si>
  <si>
    <t>Couch</t>
  </si>
  <si>
    <t>Asthma</t>
  </si>
  <si>
    <t>connorcouch2026@gmail.com</t>
  </si>
  <si>
    <t>42.2 IP 40 Ks 66% Strikes 2.46 ERA .292 Avg .393 OBP .893 OPS .500 SLG. Junior Year HS: Conference Indiana Champions, maintained top 25 rating through the year in 4A class, 2025 Senior Future Games Invitation</t>
  </si>
  <si>
    <t>3.8/4.4</t>
  </si>
  <si>
    <t>1500 SAT</t>
  </si>
  <si>
    <t>Fracture on Tibial Plateau 2024</t>
  </si>
  <si>
    <t>Dalton Kelley</t>
  </si>
  <si>
    <t>Dalton</t>
  </si>
  <si>
    <t>Kelley</t>
  </si>
  <si>
    <t>Columbus State</t>
  </si>
  <si>
    <t>Calvary Day</t>
  </si>
  <si>
    <t xml:space="preserve">5'9" runs a 6.5. Clean actions playing 2nd base. Took two really good swings hard contact line drives to the pull side. Has some drive off bat. </t>
  </si>
  <si>
    <t>dkelley6666@gmail.com</t>
  </si>
  <si>
    <t>40 Hits and 1.075 OPS 5 HR All State First Team 1-3A Private Summer stats .440 AVG 12 XBH 1 HR .540 OBP</t>
  </si>
  <si>
    <t>940 SAT / 19 ACT</t>
  </si>
  <si>
    <t>Dan Ockerman</t>
  </si>
  <si>
    <t>Dan</t>
  </si>
  <si>
    <t>Ockerman</t>
  </si>
  <si>
    <t>GTown</t>
  </si>
  <si>
    <t>Mclean HS</t>
  </si>
  <si>
    <t>MA Red Sox</t>
  </si>
  <si>
    <t>JK: PBR #5 LHP VA.  PG #2 LHP in VA. Kane contacted. Has interest. May be higher level guy. Need to see in fallHigh recs from Mid Atlantic RedSox coaches. Spoke to on phone. Definitiely going to check box academically. Long service history in family. PSU, NCSt, Ivy LG. TR: Ft Myers update... Did not have a good showing</t>
  </si>
  <si>
    <t>Danilo Soto</t>
  </si>
  <si>
    <t>Danilo</t>
  </si>
  <si>
    <t>Citizenship</t>
  </si>
  <si>
    <t>Northside</t>
  </si>
  <si>
    <t>AP: 5'11 170 small latin SS.  good at SS, actions and glove good.  avg arm.  high IQ player.  very competitive with the bat.  good 2K hitter.  Guthrie really likes the kid, said he can really play and hit.</t>
  </si>
  <si>
    <t>danijrsoto@gmail.com</t>
  </si>
  <si>
    <t xml:space="preserve">Avg: 542. OPS: 1.406 OBP: 677. SLG: 729. Hits: 32 XBH: 7 HR: 1 RBI: 23 </t>
  </si>
  <si>
    <t>Elbow Surgery</t>
  </si>
  <si>
    <t xml:space="preserve">National Honor Society. </t>
  </si>
  <si>
    <t>Dion Wilburn</t>
  </si>
  <si>
    <t>Dion</t>
  </si>
  <si>
    <t>Wilburn</t>
  </si>
  <si>
    <t>Jacksonville</t>
  </si>
  <si>
    <t>4.8 / extended time test taker!</t>
  </si>
  <si>
    <t>TR: WWBA easy 88-89. Realy like build and libs  smooth quyick arm. Feel for spin 75-77. Gets under it a frisbees it but when he keeps his slot it's a good pitch. Liek this alot. Pitchers mannersims/actions. AP: 6'5 190 PROJECT. best stuff on staff. big upside. 86-87, 74 CB.  more in there.  avg arm speed, threw 3 times, camp, showcase, game in like 4 days. HS stats: 35IP, 24H, 20BB, 53K.  just follow and see later in summer 2025.  huge upside though.</t>
  </si>
  <si>
    <t>dionwilburn11@outlook.com</t>
  </si>
  <si>
    <t>2.36 ERA , 4-0 W-L , 53K’s , 35.2 Innings</t>
  </si>
  <si>
    <t>3.930 / 4.826</t>
  </si>
  <si>
    <t>SAT - 1210</t>
  </si>
  <si>
    <t>Extra time on test</t>
  </si>
  <si>
    <t>Drew Payne</t>
  </si>
  <si>
    <t>Payne</t>
  </si>
  <si>
    <t>Appalachian State</t>
  </si>
  <si>
    <t>Prince Avenue</t>
  </si>
  <si>
    <t>GA Jackets</t>
  </si>
  <si>
    <t>3.8 / 1080</t>
  </si>
  <si>
    <t>AP: 5'11 205 short but strong filled out body.  good arm speed, 88-91, 76 SL =/+, sprayed FB at times, HS stats do not show BB problem.  Good stats, AA-8 Pitcher of the Year.</t>
  </si>
  <si>
    <t>Dylan Messina</t>
  </si>
  <si>
    <t>Dylan</t>
  </si>
  <si>
    <t>Messina</t>
  </si>
  <si>
    <t>Pennsylvania</t>
  </si>
  <si>
    <t>FL (from NY)</t>
  </si>
  <si>
    <t>AP: Future Gamer. PBR#56 FL. switch hitter with pop for size.  = hands and feet def.  = arm.  7.2 run.  makes routine plays.  turned his nose up to Air Force already.</t>
  </si>
  <si>
    <t>Eli Hampton</t>
  </si>
  <si>
    <t>Hampton</t>
  </si>
  <si>
    <t>John a Logan juco</t>
  </si>
  <si>
    <t>Eli Sinsabaugh</t>
  </si>
  <si>
    <t>Sinsabaugh</t>
  </si>
  <si>
    <t>Cathedral</t>
  </si>
  <si>
    <t>AP: Future Gamer. PBR#22 IN. sparkplug +runner 6.4!  Playing for cubs scout team this fall.  Played against Klug in past.  visiting ARMY sept 20th, DBU and Northwestern interest.  HS coach great rec.  Plays SS @ HS but probably a 2B or move to CF.  dad assistant coach for HS</t>
  </si>
  <si>
    <t>Eric Benner</t>
  </si>
  <si>
    <t>Benner</t>
  </si>
  <si>
    <t>Severna Park HS</t>
  </si>
  <si>
    <t>Sept 21</t>
  </si>
  <si>
    <t>JK-saw pitch during HS season. Undersized RHP/SS but has some arm strength and is an athlete. Up to 87 as a soph. Quick arm. Worth a follow, wants to visit.  JMU/Davidson/Ivy Lg. Wants to visit</t>
  </si>
  <si>
    <t>Eric McAtee</t>
  </si>
  <si>
    <t>McAtee</t>
  </si>
  <si>
    <t>St. Xavier University</t>
  </si>
  <si>
    <t>Center Grove</t>
  </si>
  <si>
    <t>AP: 6'3 190. 82-85 2500 FB spin.  72 SL =.  arm works well.  loose and fast.  projectable body. UPDATE '25 #3 on HS team.   avg stats.  avg BB</t>
  </si>
  <si>
    <t>Eric Willi</t>
  </si>
  <si>
    <t>Willi</t>
  </si>
  <si>
    <t>Bowdoin College</t>
  </si>
  <si>
    <t>Nobles</t>
  </si>
  <si>
    <t>CB: Solid defender, arm JOK. Runs okay. Has hit well and started to flash a little power. Good #2, chance to be more if takes a physical jump.</t>
  </si>
  <si>
    <t>Evan Burroughs</t>
  </si>
  <si>
    <t>Burroughs</t>
  </si>
  <si>
    <t>Duke</t>
  </si>
  <si>
    <t>S/R</t>
  </si>
  <si>
    <t>Watauga HS</t>
  </si>
  <si>
    <t>3.9 / 23 ACT</t>
  </si>
  <si>
    <t xml:space="preserve">AP;  runner that can play SS. Arm plays.  Switch hitter with good swing. See again hitting. </t>
  </si>
  <si>
    <t>Fred Bornn</t>
  </si>
  <si>
    <t>Fred</t>
  </si>
  <si>
    <t>Bornn</t>
  </si>
  <si>
    <t>Lafayette</t>
  </si>
  <si>
    <t>Northeast Pride</t>
  </si>
  <si>
    <t>CB: Interesting, the slider is very good. This was my first time seeing him. Will be at Sr. Futures Games</t>
  </si>
  <si>
    <t>Gavin Jackson</t>
  </si>
  <si>
    <t>Indiana State</t>
  </si>
  <si>
    <t>AP: Future Gamer. PBR#35 IN.  101 EV.  6'0 200.  good swing.  7.2 run.  haven't seen on defense.  AllState 2A pitcher?   sent messge on twitter</t>
  </si>
  <si>
    <t>Gavin Maryott</t>
  </si>
  <si>
    <t>Maryott</t>
  </si>
  <si>
    <t>Fordham</t>
  </si>
  <si>
    <t>Joel Barlow</t>
  </si>
  <si>
    <t>Clubhouse CT</t>
  </si>
  <si>
    <t>Need to see defense</t>
  </si>
  <si>
    <t>Bosco contacted</t>
  </si>
  <si>
    <t>AP/CB: 5'10 170 twitchy athlete. +run, good hit tool bat to ball. Not much pwr. Probably an OF. Looked slightly shaky out there on one rep. Need to see more</t>
  </si>
  <si>
    <t>gmaryott@icloud.com</t>
  </si>
  <si>
    <t>.387/.562/.680/ 29 hits, 7 2B, 5 HR, 30 RBI.</t>
  </si>
  <si>
    <t>3.8/4.1</t>
  </si>
  <si>
    <t>Sprained wrist</t>
  </si>
  <si>
    <t>Geno Goralski</t>
  </si>
  <si>
    <t>Geno</t>
  </si>
  <si>
    <t>Goralski</t>
  </si>
  <si>
    <t>Called and has interest</t>
  </si>
  <si>
    <t>AP: Future gamer. PBR #284 NAT.  stud.  6.7 run, good swing.  interested in kinesiology or real estate.  full rec from HS coach...CF'er, top of the order bat, played as a FR.  SO yr hit .500, should have won POTY.  arm is fine.  2B's pwr.  has the potential to catch?  zero red flags.    SPRING update:  .360, 10 xbh,  only 4 SB.</t>
  </si>
  <si>
    <t>Grant Gannon</t>
  </si>
  <si>
    <t>too good</t>
  </si>
  <si>
    <t>AP: 6'2 185 = size.  6.9 run, #202 PBR National rank.  played a clean SS and looks like a good hitter.  maybe too good for us? lead team in hitting as SO, hit .370 4HR more BB's than K's, 4SB.  good 4A IN.   Saw at PBR 16u.</t>
  </si>
  <si>
    <t>Hayden Yandell</t>
  </si>
  <si>
    <t>Yandell</t>
  </si>
  <si>
    <t>LMU</t>
  </si>
  <si>
    <t>Father Ryan</t>
  </si>
  <si>
    <t>AP: 6'4 175 nice frame, arm works, 84-85, 70 CB decent spin to it.  Showed a CH.  cant tell if he's cocky or a pussy.  sprayed it, 5BB in 3IP.  twitter feed has him w/ better velo. PBR TN has his CB w/ 2700 spin! someone to check back in on later in fall of 2025</t>
  </si>
  <si>
    <t>hyandell2026@gmail.com</t>
  </si>
  <si>
    <t xml:space="preserve">High School: TSSAA DII–AA All-Region team and my pitching stats are as follows: IP 60, GP 13, GS 10, BF 262, #P 955, W 4, L 3, H 55, R 35, ER 17, BB 19, SO 53, K-L 23, HBP 6, ERA 1.983, WHIP 1.233, LOB 47, BK 1, PIK 0, CS 4, SB 7, SB% 63.64, WP 3, BAA 0.239, and my top fastball velo is 88. </t>
  </si>
  <si>
    <t>3.8 GPA</t>
  </si>
  <si>
    <t>Yet to take</t>
  </si>
  <si>
    <t>Heath Klingensmith</t>
  </si>
  <si>
    <t>Heath</t>
  </si>
  <si>
    <t>Klingensmith</t>
  </si>
  <si>
    <t>The Citadel</t>
  </si>
  <si>
    <t>North Stanley HS</t>
  </si>
  <si>
    <t>4.0/22</t>
  </si>
  <si>
    <t>Chuck Needs to see/possibly sunday</t>
  </si>
  <si>
    <t>TR: WWBA: Big physical kid. Max effort. was 83-85 in the first inning and 87/89 in the 2nd. His slider backs up but he flashes one that could be very good when its glove side. Wasn't a wow performance but also looks like he could be a real guy. Need to see again. Scott Clemons Recc. Is talking to all academies, no one has seen yet, wasn't at NPI. NC 2A 2way POY. DH and pitched. Hit .436 last year 6'3" 220. Went 10-1 on the mound. Avg velo is 88-89 has been up to 91 21IVB. SL upper 70s. Has taken precalc. will be at wwba.</t>
  </si>
  <si>
    <t>Henry Moak</t>
  </si>
  <si>
    <t>Moak</t>
  </si>
  <si>
    <t>no grades</t>
  </si>
  <si>
    <t>Easley</t>
  </si>
  <si>
    <t>memphis univ school</t>
  </si>
  <si>
    <t>2.8 / no test yet. extended time</t>
  </si>
  <si>
    <t>AP: 6'6 195.  Recommended by friend.  survey listed extended time on tests.  Have not seen or looked at performance history yet.  Sounded interested and understood opportunity.  Might not throw until December ramp up.  Shutting down this fall.</t>
  </si>
  <si>
    <t>henrymoak17@iCloud.com</t>
  </si>
  <si>
    <t>Have not taken yet.</t>
  </si>
  <si>
    <t>Pars fracture lower back.</t>
  </si>
  <si>
    <t>Extended time</t>
  </si>
  <si>
    <t>Henry Verhamme</t>
  </si>
  <si>
    <t>Verhamme</t>
  </si>
  <si>
    <t>Sacramento State</t>
  </si>
  <si>
    <t>Cactus Shadows</t>
  </si>
  <si>
    <t>3.75/No test</t>
  </si>
  <si>
    <t>Pavs needs to see</t>
  </si>
  <si>
    <t>TR: Saw in AZ, also talked to dad and they sound interested. 6.5 runner, can see him turning into a Brock type player with his build. Swing works lacks a little bat speed but doesn't siwng and miss. Smooth actions and plenty of arm at ss. .380 12SB last year. Not sure academic fit but trying to dig</t>
  </si>
  <si>
    <t>ahverhamme@gmail.com</t>
  </si>
  <si>
    <t>HS .380/.479/.532, 30 hits, 39 runs scored in 25 games.  8 BB/7SO.  SS fielding percentage .979. 5.2 innings pitched 0.00 ERA</t>
  </si>
  <si>
    <t>Will take ACT or SAT if needed.</t>
  </si>
  <si>
    <t>Hogan Hawkins</t>
  </si>
  <si>
    <t>Hogan</t>
  </si>
  <si>
    <t>Hawkins</t>
  </si>
  <si>
    <t>Silverado HS</t>
  </si>
  <si>
    <t>TR: Saw small sample size in AZ. Good recc by Thompson Runs a 6.5 and is 90 across the diamond. Lefty stick 6.5 runner. Didn't play the field but the swing plays. Had him at a 4.3 on the turn. Following up. Need to see in the field.</t>
  </si>
  <si>
    <t>Hudson Reese</t>
  </si>
  <si>
    <t>Reese</t>
  </si>
  <si>
    <t>Dickinson College</t>
  </si>
  <si>
    <t>The Covenant HS</t>
  </si>
  <si>
    <t>JK-high recs from Garza. Solid film. Need to see live. Trying to get to camp</t>
  </si>
  <si>
    <t>Ian Taylor</t>
  </si>
  <si>
    <t>Ian</t>
  </si>
  <si>
    <t>Peanut allergies</t>
  </si>
  <si>
    <t>St. Theodore Guerin</t>
  </si>
  <si>
    <t>AP: 5'10 180.  small frame.  6.8 Runner. Spark plug.  good swing and good bat speed.  Has some pop for size. 100 EV.   Saw at PBR 16u.  Need to check performance history</t>
  </si>
  <si>
    <t>Ian139139@gmail.com</t>
  </si>
  <si>
    <t>HS: .365/.530/.750 20SB 9 2B 6 3B 4 HR ,26 RBI, BB/HBP 22/9, 36 Runs</t>
  </si>
  <si>
    <t>3.75/3.9</t>
  </si>
  <si>
    <t>SAT: 1200</t>
  </si>
  <si>
    <t>Bilateral stress fractures in the L4. Unlateral stress fracture L5</t>
  </si>
  <si>
    <t>Peanuts, Augmentin</t>
  </si>
  <si>
    <t>Singular</t>
  </si>
  <si>
    <t>N/a</t>
  </si>
  <si>
    <t>Isaiah Tillman</t>
  </si>
  <si>
    <t>Tillman</t>
  </si>
  <si>
    <t>san fran</t>
  </si>
  <si>
    <t>Simi Valley</t>
  </si>
  <si>
    <t>Royal High</t>
  </si>
  <si>
    <t>85-88 JOK. SL not enough, FB was sprayed.</t>
  </si>
  <si>
    <t>tillmanbaseball11@gmail.com</t>
  </si>
  <si>
    <t>24.1INP/8 hits/2ER/39Ks/ .265 batting AVG/22hits/17RBIs/.361 OBP</t>
  </si>
  <si>
    <t>3.88/4.3</t>
  </si>
  <si>
    <t>Broken femur age of 5</t>
  </si>
  <si>
    <t>Jack Champlin</t>
  </si>
  <si>
    <t>Champlin</t>
  </si>
  <si>
    <t>Washington</t>
  </si>
  <si>
    <t>St john bosco</t>
  </si>
  <si>
    <t>CBA</t>
  </si>
  <si>
    <t>AP: future gamer, 6'0 155 skinny but projectable.  PBR# 353 Nat.  good def, avg arm.  showed some instincts.  moves ok.  SPRING update: .260 not playing everyday. BUT started pitching and has good numbers.</t>
  </si>
  <si>
    <t>Jack Pritchett</t>
  </si>
  <si>
    <t>Pritchett</t>
  </si>
  <si>
    <t>Demopolis HS</t>
  </si>
  <si>
    <t>Excel Blue Wave</t>
  </si>
  <si>
    <t>4.4/31</t>
  </si>
  <si>
    <t>Hoover: 87-89 with a 77-79 slider. Good pitch. swing and miss stuff. 6'3" tall wirey frame. Flip up was a little forced not a totally nautral climb but the arm was fast and he moves well. I like this, has potential to throw hard and punch people out.</t>
  </si>
  <si>
    <t>jack.pritchett@me.com</t>
  </si>
  <si>
    <t xml:space="preserve">High School ERA-1.6 IP-26 SO-35   </t>
  </si>
  <si>
    <t>4.0/4.4</t>
  </si>
  <si>
    <t>Act-31</t>
  </si>
  <si>
    <t>Stress fracture in elbow at age 14</t>
  </si>
  <si>
    <t>Jack Rostock</t>
  </si>
  <si>
    <t>Rostock</t>
  </si>
  <si>
    <t>North Carolina State</t>
  </si>
  <si>
    <t>4.08 / 1250 SAT</t>
  </si>
  <si>
    <t>AP: 6'1 170, didn't see live, only video.  loose arm works!  88-92, 78SL.  just avg HS stats.  49IP, 49H, 28BB, 53K.  NEED TO SEE this summer 2025.</t>
  </si>
  <si>
    <t>Jack Ryan</t>
  </si>
  <si>
    <t>AP: Future Gamer. PBR#417 Nat. stud!   waiting for follow back on twitter</t>
  </si>
  <si>
    <t>jackryan3919@gmail.com</t>
  </si>
  <si>
    <t xml:space="preserve">Sub 1 ERA in summer with 0 walks and 25 strikeouts. Conference player of year. All State and have been all city 3 straight years. Hit .380 in high school. Hitting .320 with 3 homers and 8 xbhs in summer. </t>
  </si>
  <si>
    <t>26 ACT</t>
  </si>
  <si>
    <t xml:space="preserve">Have not missed games. </t>
  </si>
  <si>
    <t>Jack Woda</t>
  </si>
  <si>
    <t>Woda</t>
  </si>
  <si>
    <t>East Carolina</t>
  </si>
  <si>
    <t>BISHOP O`CONNELL</t>
  </si>
  <si>
    <t>reilly called</t>
  </si>
  <si>
    <t>AP: Canes American...saw at NPI briefly.  Plus arm 2.0 pop. Good swing 6.6 run</t>
  </si>
  <si>
    <t>Jackson Bringger</t>
  </si>
  <si>
    <t>Bringger</t>
  </si>
  <si>
    <t>Cadets</t>
  </si>
  <si>
    <t>Jackson Marshall</t>
  </si>
  <si>
    <t>UNC-Asheville</t>
  </si>
  <si>
    <t>Lake Creek</t>
  </si>
  <si>
    <t>Pavs go see wwba</t>
  </si>
  <si>
    <t>TR: Kid flys. His twitter say 6.3 PG has him at a 6.1. It plays on the field. Glides when he runs. Strong build 5'11/6ft. Squared up two balls to the pullside off a pretty decent arm from CBA. Has some rhythm gets to front foot but good b2b. Game changing speed. Setting up call.</t>
  </si>
  <si>
    <t>Jackson Zylick</t>
  </si>
  <si>
    <t>Zylick</t>
  </si>
  <si>
    <t>Masuk</t>
  </si>
  <si>
    <t>4.7 / 1450</t>
  </si>
  <si>
    <t>AP: 5'10 175 short but plus LHH swing, and bat speed. 6.5 runner listed. Maybe 6.7 but moves real well. Looks like he just started hitting this summer.</t>
  </si>
  <si>
    <t>jpzylick@icloud.com</t>
  </si>
  <si>
    <t>.410 AVG .1150 OPS 5 3B 2HR / 2x All Colonial Division</t>
  </si>
  <si>
    <t>3.77 / 4.72</t>
  </si>
  <si>
    <t>1460 SAT</t>
  </si>
  <si>
    <t>Jacob Jelinek</t>
  </si>
  <si>
    <t>Jelinek</t>
  </si>
  <si>
    <t>7.18 runner. 2 hits HR vs 94 mph arm. Plays good SS defense. Solid ball player</t>
  </si>
  <si>
    <t>James Gibbons</t>
  </si>
  <si>
    <t>Gibbons</t>
  </si>
  <si>
    <t>D3</t>
  </si>
  <si>
    <t>Roxbury Latin</t>
  </si>
  <si>
    <t>MDB Knights</t>
  </si>
  <si>
    <t>AP: Future gamer. PBR#29 MA.  6'2 190.  clean arm, good delivery.  83-84, low spin SL, avg CH.  got some swing and misses and chases.  he emailed us. just a follow right now</t>
  </si>
  <si>
    <t>Jameson Berigan</t>
  </si>
  <si>
    <t>Berigan</t>
  </si>
  <si>
    <t>Pepperdine</t>
  </si>
  <si>
    <t>Thousand Oaks</t>
  </si>
  <si>
    <t>4.0 1090</t>
  </si>
  <si>
    <t>805-558-7807</t>
  </si>
  <si>
    <t>Serious S/M FB. 90-93. Offer from Cali school but will get back to me. Navy intrests him.</t>
  </si>
  <si>
    <t>Jason Canady</t>
  </si>
  <si>
    <t>Canady</t>
  </si>
  <si>
    <t>Randolph Macon</t>
  </si>
  <si>
    <t>Benedictine</t>
  </si>
  <si>
    <t>4.0 / 1170</t>
  </si>
  <si>
    <t>AP; SINKER GUY, nice movement, 85-87 but heard he was 86-89 most of the year.  Throws a cutter and a slider.  Sweeping action.  Great rec from HS coach. Bone bruise limited HS innings.  Will be their #1.  Twin brother pitches but may be slightly behind Jason.  Coach thinks he will be 88-90 in college.  Working on CH.  SL good pitch.  Good family. Dad pitched at UVA</t>
  </si>
  <si>
    <t>jcanady35@hotmail.com</t>
  </si>
  <si>
    <t>High School - 11.2 IP, 6 H, 4 ER, 6 BB, 9 SO, 2.4 ERA, 1.1 WHIP, .146 BAA | Summer - 13 IP, 7 H, 3 ER, 9 BB, 13 SO, 1.6 ERA, .163 BAA</t>
  </si>
  <si>
    <t>3.9 Cumulative</t>
  </si>
  <si>
    <t>1120 SAT</t>
  </si>
  <si>
    <t xml:space="preserve">Olecranon Stress Reaction - Baseball - </t>
  </si>
  <si>
    <t>Jax Racht</t>
  </si>
  <si>
    <t>Racht</t>
  </si>
  <si>
    <t>Youngstown</t>
  </si>
  <si>
    <t>Niles</t>
  </si>
  <si>
    <t>4 / 1010</t>
  </si>
  <si>
    <t>Sr. Futures games 25</t>
  </si>
  <si>
    <t>Jude Matthews</t>
  </si>
  <si>
    <t>Jude</t>
  </si>
  <si>
    <t>Matthews</t>
  </si>
  <si>
    <t>out</t>
  </si>
  <si>
    <t>Lakeside</t>
  </si>
  <si>
    <t>AP: Future Gamer. clean LHP PBR#41 GA.  sent messge to agent with recruiting guide</t>
  </si>
  <si>
    <t>Jude McDonald</t>
  </si>
  <si>
    <t>McDonald</t>
  </si>
  <si>
    <t>Stony Brook</t>
  </si>
  <si>
    <t>4.0/29</t>
  </si>
  <si>
    <t>TR- Recc by Wayne Stofsky CBU. 6'2" sits 87-88 touch 89. Need to see early</t>
  </si>
  <si>
    <t>Kai'nalu Van Scoyoc</t>
  </si>
  <si>
    <t>Kai'nalu</t>
  </si>
  <si>
    <t>Van Scoyoc</t>
  </si>
  <si>
    <t>Southern Cal</t>
  </si>
  <si>
    <t>Palos Verdes</t>
  </si>
  <si>
    <t>AP: Future Gamer. PBR#49 CA. stud!  sent messge on twitter</t>
  </si>
  <si>
    <t>Lannon Nicolle</t>
  </si>
  <si>
    <t>Lannon</t>
  </si>
  <si>
    <t>Nicolle</t>
  </si>
  <si>
    <t>NO answer back</t>
  </si>
  <si>
    <t>IN Bulls Black</t>
  </si>
  <si>
    <t>AP: 6'0 185 LHH.  7.0 runner but moves well on field.  Made a ++def play up the middle.  Good LHH swing.  hit .350 w/ 1 HR 10SB in '24 HS season.  Saw at PBR 16u.  sent message on twitter</t>
  </si>
  <si>
    <t>Luc Gaca Thiele</t>
  </si>
  <si>
    <t>Luc</t>
  </si>
  <si>
    <t>Gaca Thiele</t>
  </si>
  <si>
    <t>Columbia</t>
  </si>
  <si>
    <t>fossil ridge</t>
  </si>
  <si>
    <t>Slammers Anderson</t>
  </si>
  <si>
    <t>texts w/ reilly</t>
  </si>
  <si>
    <t>AP: Future Gamer. PBR#17 CO. LHH BAT! 7.2 run.  sent messge on twitter</t>
  </si>
  <si>
    <t>Mark Metcalf</t>
  </si>
  <si>
    <t>Mark</t>
  </si>
  <si>
    <t>Metcalf</t>
  </si>
  <si>
    <t>North Florida</t>
  </si>
  <si>
    <t>Team 850</t>
  </si>
  <si>
    <t>FSU school</t>
  </si>
  <si>
    <t>2.9 yikes</t>
  </si>
  <si>
    <t>AP: 5'10 140.  Really runs.  Has good actions at SS.  Arm works and ball has enough carry.  Good bat to ball skill but weak. He is super small right now but will fill in some.  Probably a twitchy fast SS. Someone to possibly take an early shot on</t>
  </si>
  <si>
    <t>Mmetcalf11@icloud.com</t>
  </si>
  <si>
    <t>21 GP .433 Avg .530 OBP 29 H</t>
  </si>
  <si>
    <t>Taking SAT in fall</t>
  </si>
  <si>
    <t>Broken Wrist Hernia surgery in the fall</t>
  </si>
  <si>
    <t>Matthew Mansbery</t>
  </si>
  <si>
    <t>Mansbery</t>
  </si>
  <si>
    <t>Michigan</t>
  </si>
  <si>
    <t>Walsh Jesuit</t>
  </si>
  <si>
    <t>Fielders Choice</t>
  </si>
  <si>
    <t>AP: Future Gamer. PBR#15. stud!  sent messge on twitter</t>
  </si>
  <si>
    <t>Max McKenna</t>
  </si>
  <si>
    <t>McKenna</t>
  </si>
  <si>
    <t>St. Louis</t>
  </si>
  <si>
    <t>Shawnee Mission South</t>
  </si>
  <si>
    <t>4.0 / no test</t>
  </si>
  <si>
    <t>AP: 6'1 180 89-91, fast arm, 76 SL 82CH.  easy yes from only watching one game.  Didn't plan to test a ACT/SAT so thats a red flag.  probably not a high academic interested kid.  so long shot right now.</t>
  </si>
  <si>
    <t>mdubmckenna26@gmail.com</t>
  </si>
  <si>
    <t>FB 90-93 CB 73-75 CH 78-80 1.9 HS ERA</t>
  </si>
  <si>
    <t>Michael DeMaino</t>
  </si>
  <si>
    <t>DeMaino</t>
  </si>
  <si>
    <t>Allergies</t>
  </si>
  <si>
    <t>Miles Keogh</t>
  </si>
  <si>
    <t>Keogh</t>
  </si>
  <si>
    <t>Coastal Carolina</t>
  </si>
  <si>
    <t>East Coast Ghost</t>
  </si>
  <si>
    <t>4.5/21(27math)</t>
  </si>
  <si>
    <t>TR: Pavs and I saw in FL. Goes to a baseball prep where they are taking online classes. Open to military talking to coastal Oregon among others. Mentioned AF. Has taken AP clac and chem. Sounds like a fit if we can get him here. Said he's not making decision until end of summer. Has full ride offer to Seattle U with NIL. Kid runs plays a solid SS and has some bat to ball with drive. 6.5 runner 5'11 180.</t>
  </si>
  <si>
    <t>mileskeogh0@gmail.com</t>
  </si>
  <si>
    <t>.505 50 H 23 1B 14 2B 5 3B 8 HR 48 RBI 60 R 17 BB 13 SO 35 SB</t>
  </si>
  <si>
    <t>4.0/4.53</t>
  </si>
  <si>
    <t>21 ACT</t>
  </si>
  <si>
    <t xml:space="preserve">UCL surgery (thumb) hamate surgery (left hand) </t>
  </si>
  <si>
    <t>n/a</t>
  </si>
  <si>
    <t>Nate Millington</t>
  </si>
  <si>
    <t>Millington</t>
  </si>
  <si>
    <t>Nolan Gillis</t>
  </si>
  <si>
    <t>Nolan</t>
  </si>
  <si>
    <t>Gillis</t>
  </si>
  <si>
    <t>Bryant</t>
  </si>
  <si>
    <t>nolang1031@gmail.com</t>
  </si>
  <si>
    <t>Summer 19.2ip, 2.8 era, 10 hits, 29ks, 7bb, .143baa (has since changed)</t>
  </si>
  <si>
    <t>1100 Sat</t>
  </si>
  <si>
    <t>Elbow Stress fracture (2021)</t>
  </si>
  <si>
    <t>Ocean Cozart</t>
  </si>
  <si>
    <t>Ocean</t>
  </si>
  <si>
    <t>Cozart</t>
  </si>
  <si>
    <t>Newsome</t>
  </si>
  <si>
    <t>3.4/3.5</t>
  </si>
  <si>
    <t>AP: 5'11 175 HITS AND ATHLETIC 2B/3B mabye.  runs well.  Plays for good HS/travel teams.  2025 HS stats: .384, 16BB/7K, 6SB,  good short swing, not a lot of pop.  not sure where he will play in field</t>
  </si>
  <si>
    <t>Oliver Swartz</t>
  </si>
  <si>
    <t>Oliver</t>
  </si>
  <si>
    <t>Swartz</t>
  </si>
  <si>
    <t>Cary Academy</t>
  </si>
  <si>
    <t>4.0/30</t>
  </si>
  <si>
    <t>Chuck needs to see Sunday. Trying to get visit setup now</t>
  </si>
  <si>
    <t>TR: Yes!! Need to get on campus now. Stock went way up after Wednesday night. 86-88 clean quick arm pitched with some nuts. Momnet was big close gane lots of coaches and was completely in control. FB command, heavy ball. Lots of FB swing and miss against sandlot who just ran UNC commit from game. Feel for spin, SL for strikes glove side and chase down. Not big but wiry with twitch. OFFER. Josh Rudd recc. Video looks descent. Online stats have 41k in 19IP with 16BB. Doesn't look complete. Will be at WWBA. Call setup for sunday.</t>
  </si>
  <si>
    <t>oliverswartz26@gmail.com</t>
  </si>
  <si>
    <t xml:space="preserve">HS- 18in/41K 60% Strikes | Summer ball stats: 7in | 9K | 2H | 0ER </t>
  </si>
  <si>
    <t>3.9/4.0</t>
  </si>
  <si>
    <t>ACT: 30</t>
  </si>
  <si>
    <t>Hernia Surgery @ 10yr old</t>
  </si>
  <si>
    <t>Nope</t>
  </si>
  <si>
    <t>Patrick Freeman</t>
  </si>
  <si>
    <t>Freeman</t>
  </si>
  <si>
    <t>UCF</t>
  </si>
  <si>
    <t>Oakland HS</t>
  </si>
  <si>
    <t>3.85/28</t>
  </si>
  <si>
    <t>Hoover: Wiry frame fast arm. 87-90 with a 76-78 slider. Late sharp break 6'1". Has swing and miss slider and the Fb up. Good phone convo, sounds genuinely interested. Got him info need to get dates.</t>
  </si>
  <si>
    <t>Peter Jackson</t>
  </si>
  <si>
    <t>UC Santa Barbara</t>
  </si>
  <si>
    <t>Legacy Baseball</t>
  </si>
  <si>
    <t>Research Find - Attending PBR 17u?</t>
  </si>
  <si>
    <t>Pierce Quinn</t>
  </si>
  <si>
    <t>Pierce</t>
  </si>
  <si>
    <t>US Elite National</t>
  </si>
  <si>
    <t>AP: Future Gamer. PBR#323 NAT. stud!  90-91, 75 CB 3100 spin.  sent messge on twitter</t>
  </si>
  <si>
    <t>Preston Lewis</t>
  </si>
  <si>
    <t>Lewis</t>
  </si>
  <si>
    <t>University of Houston</t>
  </si>
  <si>
    <t>Rockwall Heath</t>
  </si>
  <si>
    <t>Mattingly: Heavy/Fat body but twitchy. Old school catcher build. Plus arm with carry. very good receover manipulates and moves the ball well and clean. Plus release, moves quickly from stance. Bat is strong can drive the ball, May be some swing in miss in there.</t>
  </si>
  <si>
    <t>Reed Robinson</t>
  </si>
  <si>
    <t>Reed</t>
  </si>
  <si>
    <t>New Prairie</t>
  </si>
  <si>
    <t>AP: Future Gamer. PBR#295 NAT. stud!  5'11 190.   LHH.  strong swing with bat speed. 6.9 run.  yes on pop and throw +/= arm. hit .470 5HR, 21 BB 7K, 3A Indiana.  Primary catcher, QB on football. No baseball until winter time</t>
  </si>
  <si>
    <t>rrobinson@npusc.k12.in.us</t>
  </si>
  <si>
    <t>2024 High School Stats Quality at Bats - 75.4%- (123 PA, 91 AB) Batting Average - 473 in 31 games 43 RBI's - 2nd in state all classes ОВР - .585 Slugging Percentage - 783 Hits - 43 OPS - 1.378 Only 7 Strikeouts in 123 PA's (0 K's ooking) HR's - 5, 3B - 5, 2B - 6 3A State Champions</t>
  </si>
  <si>
    <t>Neither</t>
  </si>
  <si>
    <t>I tore my quad last year that limited my summer for baseball.</t>
  </si>
  <si>
    <t>National Honors society, IHSAA Student advisory committee(first ever selected from my school) IHSAA sportsmanship award.</t>
  </si>
  <si>
    <t>Reggie Bell</t>
  </si>
  <si>
    <t>Reggie</t>
  </si>
  <si>
    <t>Bell</t>
  </si>
  <si>
    <t>3.7/no test</t>
  </si>
  <si>
    <t>TR: The guy we want. Good first phone call. Not responding to texts. .466 27stolen bases. 6.6 runner. Taking clac next year.</t>
  </si>
  <si>
    <t>Rhys Canan</t>
  </si>
  <si>
    <t>Rhys</t>
  </si>
  <si>
    <t>Canan</t>
  </si>
  <si>
    <t>Wright State</t>
  </si>
  <si>
    <t>Walnut Hills</t>
  </si>
  <si>
    <t>AP: 6'1 185 soft body.  FB 85-89 has some ride. SL 76 =/+.  CH.  PBR#14 OH. seems cocky w/ presense (not sure if he's a turd).  Sprayed FB at times but SL is a real pitch.  was in the stretch from start.  arm works well.  FB lived up in zone and got swing and miss.  HS SO yr: 2.08 ERA 40 IP, 25 H, 23BB, 51K</t>
  </si>
  <si>
    <t>Ronan O'Brien</t>
  </si>
  <si>
    <t>Ronan</t>
  </si>
  <si>
    <t>O'Brien</t>
  </si>
  <si>
    <t>Brophy</t>
  </si>
  <si>
    <t>4.4/1440</t>
  </si>
  <si>
    <t>TR: USA AZ plays for Rough Riders. Punched 7 in 5ip. Knows how to pitch. FB command good SL with depth getting swing and miss. Was prob 86-87 slider 74-5. CH to LHH. Big frame. Sounds inetersted after call. Visiting Columbia and has been in comm with Ivys. Beat out UArizona commit for starter this year 39ip 66ks and 11walks 1.2 era.</t>
  </si>
  <si>
    <t>Ronan Owens</t>
  </si>
  <si>
    <t>Owens</t>
  </si>
  <si>
    <t>UMass</t>
  </si>
  <si>
    <t>Ronin McCraw</t>
  </si>
  <si>
    <t>Ronin</t>
  </si>
  <si>
    <t>McCraw</t>
  </si>
  <si>
    <t>McLennan CC</t>
  </si>
  <si>
    <t>East Coast Sox</t>
  </si>
  <si>
    <t>4 / no test!</t>
  </si>
  <si>
    <t>TR: Pavs and I saw in FL. Runs, strength in the bat with some bs from left side. Smooth actions at SS. Arm is a little light but it gets the job done. Texas AM decommit, not sure of interest but have call setup for minday.</t>
  </si>
  <si>
    <t>ronin.mccraw@gmail.com</t>
  </si>
  <si>
    <t>.381 Avg summer, Second Team All-state, First team All District</t>
  </si>
  <si>
    <t>Hamate surgery</t>
  </si>
  <si>
    <t>Roshan Bullard</t>
  </si>
  <si>
    <t>Roshan</t>
  </si>
  <si>
    <t>Bullard</t>
  </si>
  <si>
    <t>Ryan Moreschi</t>
  </si>
  <si>
    <t>Moreschi</t>
  </si>
  <si>
    <t>Massachusetts at Lowell</t>
  </si>
  <si>
    <t>Rylan Alaniz</t>
  </si>
  <si>
    <t>Alaniz</t>
  </si>
  <si>
    <t>Texas State</t>
  </si>
  <si>
    <t>Trinity</t>
  </si>
  <si>
    <t xml:space="preserve">out on military </t>
  </si>
  <si>
    <t>Saunder Dinkelman</t>
  </si>
  <si>
    <t>Saunder</t>
  </si>
  <si>
    <t>Dinkelman</t>
  </si>
  <si>
    <t>Chiles HS</t>
  </si>
  <si>
    <t>FTB Phillies (GA)</t>
  </si>
  <si>
    <t>AP: 5'10 180.  Advanced bat for size. = pwr. +arm.   6.8 run. Saw pitch and was effective.  Saw at PBR 16u</t>
  </si>
  <si>
    <t>Sebastien Walsh</t>
  </si>
  <si>
    <t>Sebastien</t>
  </si>
  <si>
    <t>Emory</t>
  </si>
  <si>
    <t>4.1 / 34 ACT</t>
  </si>
  <si>
    <t>AP: 6'4 205 good body.  NEED TO SEE AT PBR17U JULY 83-86 but CB 74 was good against RHH and LHH.  arm works, twitter video showed some arm in the bucket action that i didnt see live.  HS coach rave reviews, no red flags, I think dad is retired Naval officer.  
CB 7/17 good outing, above avg SL is favorite pitch. Upside body, showed 3 pitches. FB 85 t87. Not sure we'd find a better LHP who can spin it.</t>
  </si>
  <si>
    <t>sebasswalsh@gmail.com</t>
  </si>
  <si>
    <t>45.1 inn 42h 19er 52 k 2.934 era</t>
  </si>
  <si>
    <t>Tanner Evans</t>
  </si>
  <si>
    <t>Tanner</t>
  </si>
  <si>
    <t>Evans</t>
  </si>
  <si>
    <t xml:space="preserve">Air Force </t>
  </si>
  <si>
    <t>Millard North</t>
  </si>
  <si>
    <t xml:space="preserve">AP: 5'11 170 athletic twitchy.  Good glove, good arm, runs, light with the bat.  PG National kid, Future Gamer, lot of hype around this kid.  probably falls to us because of bat.  </t>
  </si>
  <si>
    <t>tannerfevans2@gmail.com</t>
  </si>
  <si>
    <t>Summer: .477 AVG 11SB 17R 21Hits/Ranked#5 in NE/PG National Showcase/Future Games/Preseason PG 1st Team All Central Region</t>
  </si>
  <si>
    <t>4.0/4.02</t>
  </si>
  <si>
    <t>24 ACT</t>
  </si>
  <si>
    <t>Tanner Post</t>
  </si>
  <si>
    <t>Post</t>
  </si>
  <si>
    <t>Tommy Humphrey</t>
  </si>
  <si>
    <t>Humphrey</t>
  </si>
  <si>
    <t>reilly texts</t>
  </si>
  <si>
    <t>AP: Future gamer. PBR #17 CO.  6'2 190 yes BAT!  probably too good for us.</t>
  </si>
  <si>
    <t>Trey Deckman</t>
  </si>
  <si>
    <t>Deckman</t>
  </si>
  <si>
    <t>Ball State</t>
  </si>
  <si>
    <t>Columbia City</t>
  </si>
  <si>
    <t>Just started pitching.  Could be real good.  Decent looking hitter and SS</t>
  </si>
  <si>
    <t>Tristan Lange</t>
  </si>
  <si>
    <t>Lange</t>
  </si>
  <si>
    <t>VCU comment</t>
  </si>
  <si>
    <t>North Cross</t>
  </si>
  <si>
    <t>JK: 6'3 200. good convo, open to anything.  PBR#362 NAT #8 VA. Possibly too good</t>
  </si>
  <si>
    <t>Vaughan Steinert</t>
  </si>
  <si>
    <t>Vaughan</t>
  </si>
  <si>
    <t>Steinert</t>
  </si>
  <si>
    <t>Body Armor Titans</t>
  </si>
  <si>
    <t>CB: In on the talent. Runs well, sweet LHH swing with power. Tree nut and grades?</t>
  </si>
  <si>
    <t>lirebels.97@gmail.com</t>
  </si>
  <si>
    <t>84-85 range</t>
  </si>
  <si>
    <t>SAT: 1120</t>
  </si>
  <si>
    <t>Broken Ankle, Sprained Ankle 2x, Broken Wrist (All from Hockey)</t>
  </si>
  <si>
    <t>Tree Nuts</t>
  </si>
  <si>
    <t>Vaughn Osting</t>
  </si>
  <si>
    <t>Vaughn</t>
  </si>
  <si>
    <t>Osting</t>
  </si>
  <si>
    <t>East Tenn State</t>
  </si>
  <si>
    <t>AP: 6'0 170 small frame.  =/+ delivery, polished.  80-83 good command, 69 CB with command, 65 CH.  + competitive w/ bloodline.  watch for a jump.  decent stats as SO '24 HS season.  Saw at PBR 16u</t>
  </si>
  <si>
    <t>Walker Hudson</t>
  </si>
  <si>
    <t>Walker</t>
  </si>
  <si>
    <t>Ware County</t>
  </si>
  <si>
    <t>AP: 6'1 215 physical beast.  saw hit 2 huge tanks.  runs well for big guy.  plus arm and moves real well behind the dish.  This is an absolute offer guy after we find out BOWERS test score from 7/13 test date.</t>
  </si>
  <si>
    <t>walkerdhudson@icloud.com</t>
  </si>
  <si>
    <t xml:space="preserve">.511 AVG.  .607 OBP.  1.367 OPS.  .761 SLG. 47 H.  13 2B.  2 3B. 2 HR.  29 RBI.  24 BB </t>
  </si>
  <si>
    <t>Will take soon</t>
  </si>
  <si>
    <t>Walker Killimett</t>
  </si>
  <si>
    <t>Killimett</t>
  </si>
  <si>
    <t>643DP</t>
  </si>
  <si>
    <t>AP: 5'10 170 saw at PBR CUP.  6.6 run and speed plays on field.  clean swing but bat is light, but finds the barrel.  good summer stats, hit well.  digging up HS stats.  HS coach great rec.  very coachable, student of the game. plays hard.  will hit at D1 level.  PBR#52 GA</t>
  </si>
  <si>
    <t>walkerkillimett2026@gmail.com</t>
  </si>
  <si>
    <t>First Team All region 7a Georgia. First Team all Cobb county</t>
  </si>
  <si>
    <t xml:space="preserve">Amoxicillin </t>
  </si>
  <si>
    <t>Warren Gravely</t>
  </si>
  <si>
    <t>Warren</t>
  </si>
  <si>
    <t>Gravely</t>
  </si>
  <si>
    <t>Santa Margarita</t>
  </si>
  <si>
    <t>AP: Future Gamer. PBR#21 CA. stud!  sent messge to agent with recruiting guide</t>
  </si>
  <si>
    <t>Winston Pennant</t>
  </si>
  <si>
    <t>Winston</t>
  </si>
  <si>
    <t>Pennant</t>
  </si>
  <si>
    <t>Mississippi</t>
  </si>
  <si>
    <t>Jule F Sumner</t>
  </si>
  <si>
    <t>AP: 6'2 185 probably bigger.  BAT!  Pwr potential. #190 national rank PG.  hit .318 with 2HR in '24 HS season 7A FL.  Saw at PBR 16u.</t>
  </si>
  <si>
    <t>Wyatt Hossenlopp</t>
  </si>
  <si>
    <t>Hossenlopp</t>
  </si>
  <si>
    <t>Lakeville Cardinals</t>
  </si>
  <si>
    <t>AP: saw in hoover. Metcalf recommend: 6'0 190 strong body.  Not a twitchy mover.  BAT, good swing and strength.  Did not see play defense bc/ he pitched this game. Most likely 3B/1B BAT.  FL Burn assistant mentioned he's probably not a real guy.</t>
  </si>
  <si>
    <t>wyatthossenlopp@gmail.com</t>
  </si>
  <si>
    <t xml:space="preserve">Summer: BA: .447, OBP:491, OPS: 1.171,  H: 21 1B: 15, 2B: 3, 3B: 1 HR: 2, RBI: 10/ Highschool:  BA: .244, OBP: .337, OPS: .645, H: 19, 1B:15, 2B:3 3B:1 </t>
  </si>
  <si>
    <t xml:space="preserve">ACT on 9/14/2024 and SAT 11/2/2024 </t>
  </si>
  <si>
    <t xml:space="preserve">Surgery on my Right Knee for Torn Cartilage in 2020 </t>
  </si>
  <si>
    <t xml:space="preserve">Penicillin </t>
  </si>
  <si>
    <t xml:space="preserve">I am Not  </t>
  </si>
  <si>
    <t>Freshman and Sophomore year Honor roll and made National Honors Society</t>
  </si>
  <si>
    <t>Zach Clark</t>
  </si>
  <si>
    <t>Zach</t>
  </si>
  <si>
    <t>Clark</t>
  </si>
  <si>
    <t>Clear Creek HS</t>
  </si>
  <si>
    <t>HP 2026 Poland</t>
  </si>
  <si>
    <t>TR: Mattingly. 88-91. String build fast quick arm. Godo command of FB in the zone and got in a lot. Was throwing two BB. CB was 72 Slider was 75 and flashed 77-78. Has feel for the spin when he threw it harder it was a good pitch. Need to call and dig. Big arm.</t>
  </si>
  <si>
    <t>Zach Floyd</t>
  </si>
  <si>
    <t>Floyd</t>
  </si>
  <si>
    <t>Louisville</t>
  </si>
  <si>
    <t>AP: Future gamer. PBR#10 KY.  6.4 runner.  really moves.  LHH with good swing.  very impressive at Future Games.  didn't play much for HS team which is strange.  fringe arm from outfield.</t>
  </si>
  <si>
    <t>zach5floyd@gmail.com</t>
  </si>
  <si>
    <t>Trinity High School</t>
  </si>
  <si>
    <t>Haven’t taken yet</t>
  </si>
  <si>
    <t>Torn Calf</t>
  </si>
  <si>
    <t>Honor Roll Award</t>
  </si>
  <si>
    <t>Ty Arafet</t>
  </si>
  <si>
    <t>Arafet</t>
  </si>
  <si>
    <t>Oregon</t>
  </si>
  <si>
    <t>Windermere</t>
  </si>
  <si>
    <t>The First Academy</t>
  </si>
  <si>
    <t>6'7" 215lbs | Twitter: @TyArafet | The First Academy (Windermere, FL) 2026 3B/1B/RHP | Oregon Baseball Commit | Padres Scout Team (summer)</t>
  </si>
  <si>
    <t>J.arafet@arahull.com</t>
  </si>
  <si>
    <t xml:space="preserve">Sophomore spring 1.27 era 27.2 IP, 24ks Junior spring 2.26 era 31 IP 39ks 2a FHSAA State Champs </t>
  </si>
  <si>
    <t>3.83/4.63</t>
  </si>
  <si>
    <t>1250 SAT</t>
  </si>
  <si>
    <t xml:space="preserve">UCL repair and internal brace 7/9/25 surgery with Dr Keith Meister </t>
  </si>
  <si>
    <t>Bradley McCafferty</t>
  </si>
  <si>
    <t>McCafferty</t>
  </si>
  <si>
    <t>Reading</t>
  </si>
  <si>
    <t>Austin Prep</t>
  </si>
  <si>
    <t>3.47 GPA</t>
  </si>
  <si>
    <t>6'1" 195lbs | Twitter: @BMcCafferty17 | 2024-25 Gatorade MA Baseball POY | .367 AVG, 2 HR, 23 RBI, .474 OBP, 1.024 OPS | 36.8% CS rate | PBR New England #4, PG MA #3 | 20-2 team record | 2x All-NEPSAC | Committed to Duke</t>
  </si>
  <si>
    <t>Braden McCaffrey</t>
  </si>
  <si>
    <t>McCaffrey</t>
  </si>
  <si>
    <t>??</t>
  </si>
  <si>
    <t>Cam Swogger</t>
  </si>
  <si>
    <t>Cam</t>
  </si>
  <si>
    <t>Swogger</t>
  </si>
  <si>
    <t>Bellwood Antis HS</t>
  </si>
  <si>
    <t>Emailed</t>
  </si>
  <si>
    <t>Kolby Crosby</t>
  </si>
  <si>
    <t>Kolby</t>
  </si>
  <si>
    <t>Crosby</t>
  </si>
  <si>
    <t>TKR Reds</t>
  </si>
  <si>
    <t xml:space="preserve">Texted </t>
  </si>
  <si>
    <t>Really like it, high upside. 6’ 5”, + extension, clean FB 85-87, 89 at PG in June. Splitter, SL, CB all okay pitches that have a chance. Spins it well and SPL was + when good. Will be at Futures. 
Dad works in the White House, apparently lead investigator when that boat crashed into the bridge last year</t>
  </si>
  <si>
    <t>Jude Davidson</t>
  </si>
  <si>
    <t>Mountain Brook</t>
  </si>
  <si>
    <t>205-922-1753</t>
  </si>
  <si>
    <t>PBR Futures '27</t>
  </si>
  <si>
    <t>judethedude78@icloud.com</t>
  </si>
  <si>
    <t>8-0, 1.48 ERA in 6A HS ball, second team all metro as a sophomore. 2.54 ERA,  .428 BA in summer ball. Futures games participant</t>
  </si>
  <si>
    <t>4.0/4.6</t>
  </si>
  <si>
    <t>34 ACT</t>
  </si>
  <si>
    <t>Some growth plate issues in 7th grade, none serious or continuing</t>
  </si>
  <si>
    <t>Caleb Flannery</t>
  </si>
  <si>
    <t>Flannery</t>
  </si>
  <si>
    <t>Devon Prep</t>
  </si>
  <si>
    <t>camp</t>
  </si>
  <si>
    <t>AP: 6'0 165.  clean def clean release, good arm.  7.6 60. good swing. some leverage in swing.</t>
  </si>
  <si>
    <t>calebflannery2027@gmail.com</t>
  </si>
  <si>
    <t xml:space="preserve">.385 avg for HS, won mvp of my team, .400 avg for the summer, 57% caught stealing </t>
  </si>
  <si>
    <t xml:space="preserve">3.82 weighted </t>
  </si>
  <si>
    <t xml:space="preserve">I had an avulsion fracture in my elbow and had to get a screw put in </t>
  </si>
  <si>
    <t>Zach Madar</t>
  </si>
  <si>
    <t>Madar</t>
  </si>
  <si>
    <t>2B</t>
  </si>
  <si>
    <t>Springfield</t>
  </si>
  <si>
    <t>Davidson Academy</t>
  </si>
  <si>
    <t>FTB Tennessee</t>
  </si>
  <si>
    <t>zach.madar7@icloud.com</t>
  </si>
  <si>
    <t xml:space="preserve">Starting SS for entire 2025 season as sophomore for district champions. 16u Summer Stats: AVG: 350 OBP: 460 24R, 15RBI 13SB .940 FPCT. 17U Fall Stats AVG:410 OBP:580 OPS: 1.141. </t>
  </si>
  <si>
    <t>No test scores yet, scheduled to take in December.</t>
  </si>
  <si>
    <t>Seasonal allergies (very minor)</t>
  </si>
  <si>
    <t>Allergy (Zyrtec)</t>
  </si>
  <si>
    <t>Jack Van Gemert</t>
  </si>
  <si>
    <t>Van Gemert</t>
  </si>
  <si>
    <t>GRB Northstar</t>
  </si>
  <si>
    <t>jdvangem@gmail.com</t>
  </si>
  <si>
    <t>Spring:   15.2 IP 3-0 record  2.6 ERA 11 K 6 BB .213 BAA   Summer: CDH Team 14.2 IP .95 ERA 25K 5 BB .125 BAA</t>
  </si>
  <si>
    <t>3.78 unweighted 3.98 weighted</t>
  </si>
  <si>
    <t>Fractured wrist</t>
  </si>
  <si>
    <t xml:space="preserve">penicillin </t>
  </si>
  <si>
    <t>Doxycycline(acne medication)</t>
  </si>
  <si>
    <t>Stevie Wellens</t>
  </si>
  <si>
    <t>Stevie</t>
  </si>
  <si>
    <t>Wellens</t>
  </si>
  <si>
    <t>Brentwood</t>
  </si>
  <si>
    <t>Liberty</t>
  </si>
  <si>
    <t>925-357-5516</t>
  </si>
  <si>
    <t>TR Call: Plays all positions. SS in HS started all year varsity as soph. 5'8" 170 dad is 6'2". G2G hitter. Loves to steal. 4.0 GPA. Math hard for him. No APs yet. Good convo sounds genuinely inteersted. Following up with coaches. 6.8 runner.</t>
  </si>
  <si>
    <t>Ethan Wisler</t>
  </si>
  <si>
    <t>Wisler</t>
  </si>
  <si>
    <t>Wakefield</t>
  </si>
  <si>
    <t>Lynx Baseball</t>
  </si>
  <si>
    <t>AP: 6'2 170 good frame.  FB 85-86 (87), 70 CH, 70 SL=.  not a ton of bite on SL, but some s/m with it.  more in there.  interested in Academy!   john (lynx baseball coach) 703-380-2709</t>
  </si>
  <si>
    <t>Ejwisler@gmail.com</t>
  </si>
  <si>
    <t>HS stats: IP: 45 Record: 4-1 ERA: 2.18 K: 48 BAA: .211 WHIP: 1.36 FB max velocity: 88 mph; BA: .359 (.450 in conference play) OBP: .488 SLG: .531 OPS: 1.019 H: 23 XBH: 7 HR: 1 RBI: 17. All conference and all region</t>
  </si>
  <si>
    <t>3.91/4.375</t>
  </si>
  <si>
    <t>Conor Alvezi</t>
  </si>
  <si>
    <t>Alvezi</t>
  </si>
  <si>
    <t>King Philip</t>
  </si>
  <si>
    <t>GBG Northeast</t>
  </si>
  <si>
    <t>Jackson Bouchard</t>
  </si>
  <si>
    <t>Bouchard</t>
  </si>
  <si>
    <t>Bosco NU name - Need to vet</t>
  </si>
  <si>
    <t>Owen Burnes</t>
  </si>
  <si>
    <t>Burnes</t>
  </si>
  <si>
    <t>Elite Squad</t>
  </si>
  <si>
    <t>Jayden Campbell</t>
  </si>
  <si>
    <t>Jayden</t>
  </si>
  <si>
    <t>Campbell</t>
  </si>
  <si>
    <t>Lawrence Academy</t>
  </si>
  <si>
    <t>Northeast Lions</t>
  </si>
  <si>
    <t>Gavin Chakar</t>
  </si>
  <si>
    <t>Chakar</t>
  </si>
  <si>
    <t>CT Grind</t>
  </si>
  <si>
    <t>CB: 6' 4" t93 with good spin</t>
  </si>
  <si>
    <t>Dylan Cunningham</t>
  </si>
  <si>
    <t>Cunningham</t>
  </si>
  <si>
    <t>Peabody</t>
  </si>
  <si>
    <t>Canes New England</t>
  </si>
  <si>
    <t>Ben Dahlstedt</t>
  </si>
  <si>
    <t>Dahlstedt</t>
  </si>
  <si>
    <t>Governors</t>
  </si>
  <si>
    <t>ECNE Expos</t>
  </si>
  <si>
    <t>Texted, hasnt respoded for call</t>
  </si>
  <si>
    <t>(Stickney teammate) is interested enough to explore peanut desensitization. His allergist mentioned it to him before and seems like a minor allergy. Tim you will see him at Diamond Nation. Coming off rotator cuff injury all spring, that will be one of his first outings back.
Northeastern Bryant Yale Brown</t>
  </si>
  <si>
    <t>benjamindahlstedt@icloud.com</t>
  </si>
  <si>
    <t>Soph Year at Govs: 46.0 IP, 4-1 W/L, .761 ERA, .717 WHIP, 5 ER, 6 BB, 58 SO, .160 BAA, ISL-Pitcher of the Year, All-NEPSAC, All-ISL, Team MVP, Junior Captain</t>
  </si>
  <si>
    <t>1360 - SAT</t>
  </si>
  <si>
    <t>Rotator Cuff Tendonitis - Missed Junior Spring</t>
  </si>
  <si>
    <t>Peanuts</t>
  </si>
  <si>
    <t>Zachary DeHaas</t>
  </si>
  <si>
    <t>DeHaas</t>
  </si>
  <si>
    <t>Burner OF</t>
  </si>
  <si>
    <t>Ashland</t>
  </si>
  <si>
    <t>Southern Boone</t>
  </si>
  <si>
    <t>Parker Filipek</t>
  </si>
  <si>
    <t>Filipek</t>
  </si>
  <si>
    <t>Arden</t>
  </si>
  <si>
    <t>TC Roberson</t>
  </si>
  <si>
    <t>828-676-5114</t>
  </si>
  <si>
    <t>Parkerfili09@gmail.com</t>
  </si>
  <si>
    <t>2025 HS stats: PA:108 AB:77 AVG:390 OBP:556 OPS: 1.036 SLG: 481 H:30 RBI:25 R:30 walks/hbp: 30 SO: 7 FPCT: 962</t>
  </si>
  <si>
    <t>I don’t have access to my GPA right now through my school but it is around a 4, little higher or a little lower.</t>
  </si>
  <si>
    <t>Haven’t taken them</t>
  </si>
  <si>
    <t>Low grade UCL injury. Treated with plasma injection and rest for 5 months.</t>
  </si>
  <si>
    <t>Bodhi Fonseca</t>
  </si>
  <si>
    <t>Bodhi</t>
  </si>
  <si>
    <t>Fonseca</t>
  </si>
  <si>
    <t>Santiago Fuenmayor</t>
  </si>
  <si>
    <t>Fuenmayor</t>
  </si>
  <si>
    <t>9th Inn Royals</t>
  </si>
  <si>
    <t>Win Hoots</t>
  </si>
  <si>
    <t>Win</t>
  </si>
  <si>
    <t>Hoots</t>
  </si>
  <si>
    <t>Westfield School</t>
  </si>
  <si>
    <t>4.3 / 26 ACT</t>
  </si>
  <si>
    <t>AP: 6'1 170, super athlete, 6.4 run.  raw hitter, 3 sport athlete, has D1 football offers midmajors, Danny said he has interest in Navy.  Has hit every summer performance history. 
Looks like going to play football?</t>
  </si>
  <si>
    <t>winhoots@icloud.com</t>
  </si>
  <si>
    <t>HS: .372 BA , .457 OBP, 35 Hits in 94 At bats</t>
  </si>
  <si>
    <t>4.0 with a weighted 4.4</t>
  </si>
  <si>
    <t>Only taken pre sat and act and got a 1200 on PSAT and 26 on PACT</t>
  </si>
  <si>
    <t>Evan Koh</t>
  </si>
  <si>
    <t>Koh</t>
  </si>
  <si>
    <t>Jordan “Bam Bam” Lindsay</t>
  </si>
  <si>
    <t>Jordan “Bam Bam”</t>
  </si>
  <si>
    <t>Lindsay</t>
  </si>
  <si>
    <t>Woodland Hills</t>
  </si>
  <si>
    <t>Birmingham High School</t>
  </si>
  <si>
    <t>818-429-6134</t>
  </si>
  <si>
    <t>Prob too good. great actions and athleticism.</t>
  </si>
  <si>
    <t>Owen Ma</t>
  </si>
  <si>
    <t>Ma</t>
  </si>
  <si>
    <t>Saint Marks</t>
  </si>
  <si>
    <t>27owenm@gmail.com</t>
  </si>
  <si>
    <t>617-906-2737</t>
  </si>
  <si>
    <t>5'11" 185lbs | Twitter: @owen_m274 | 3.8 GPA | 5IP 2H 7K WIN vs Groton | Nokona Chiefs 17u | Also plays OF</t>
  </si>
  <si>
    <t>MacGuire Moore</t>
  </si>
  <si>
    <t>MacGuire</t>
  </si>
  <si>
    <t>C 3B, MIF, OF, RHP, UT</t>
  </si>
  <si>
    <t>Piney Point, MD</t>
  </si>
  <si>
    <t>St. Mary's Ryken</t>
  </si>
  <si>
    <t>FLORIDA POKERS UNDERCLASS NATIONAL powered by NIKE</t>
  </si>
  <si>
    <t>Reid Morris</t>
  </si>
  <si>
    <t>Morris</t>
  </si>
  <si>
    <t>St. Edwards School</t>
  </si>
  <si>
    <t>Gio Naples</t>
  </si>
  <si>
    <t>Gio</t>
  </si>
  <si>
    <t>Naples</t>
  </si>
  <si>
    <t>Ryan Nikiforow</t>
  </si>
  <si>
    <t>Nikiforow</t>
  </si>
  <si>
    <t>Millbury</t>
  </si>
  <si>
    <t>Rudy Preziosi</t>
  </si>
  <si>
    <t>Rudy</t>
  </si>
  <si>
    <t>Preziosi</t>
  </si>
  <si>
    <t>1</t>
  </si>
  <si>
    <t>Matt Duffy Baseball</t>
  </si>
  <si>
    <t>6'5" 230lbs | Twitter: @R_Prez4 | Dexter Southfield ‘28 1B/3B/OF | Matt Duffy Knights. Duf high rec</t>
  </si>
  <si>
    <t>Iggy Robinson</t>
  </si>
  <si>
    <t>Iggy</t>
  </si>
  <si>
    <t>Milton, MA</t>
  </si>
  <si>
    <t>Boston Prime 17U Navy</t>
  </si>
  <si>
    <t>Can really hit. Corner OF bat.</t>
  </si>
  <si>
    <t>Thomas Rousch</t>
  </si>
  <si>
    <t>Rousch</t>
  </si>
  <si>
    <t>Ryan Santo</t>
  </si>
  <si>
    <t>Santo</t>
  </si>
  <si>
    <t>Northeast Gators</t>
  </si>
  <si>
    <t>Charlie Scott</t>
  </si>
  <si>
    <t>Team Boston</t>
  </si>
  <si>
    <t>James Sullivan</t>
  </si>
  <si>
    <t>North Andover</t>
  </si>
  <si>
    <t>JT Taylor</t>
  </si>
  <si>
    <t>JT</t>
  </si>
  <si>
    <t>Dover</t>
  </si>
  <si>
    <t>Boston Prime</t>
  </si>
  <si>
    <t>jtk.taylor28@gmail.com</t>
  </si>
  <si>
    <t>978-494-9918</t>
  </si>
  <si>
    <t>CB New England</t>
  </si>
  <si>
    <t>5'11" 185lbs | Twitter: @jt_taylor49474 | Dexter Southfield 2028 C/OF/1B | 3.94 GPA | 105 EV | 1.87 Pop Time | Ghost Nat’l/Boston Prime
Slightly lower motor. Not a plus runner.</t>
  </si>
  <si>
    <t>Grady Tempesta</t>
  </si>
  <si>
    <t>Grady</t>
  </si>
  <si>
    <t>Tempesta</t>
  </si>
  <si>
    <t>-</t>
  </si>
  <si>
    <t>Tristin Ulrich</t>
  </si>
  <si>
    <t>Tristin</t>
  </si>
  <si>
    <t>Ulrich</t>
  </si>
  <si>
    <t>La Grange, TX</t>
  </si>
  <si>
    <t>La Grange</t>
  </si>
  <si>
    <t>PNT</t>
  </si>
  <si>
    <t>Nicky Vlastos</t>
  </si>
  <si>
    <t>Nicky</t>
  </si>
  <si>
    <t>Vlastos</t>
  </si>
  <si>
    <t>SPC</t>
  </si>
  <si>
    <t>Jacob Williams</t>
  </si>
  <si>
    <t>Trevor Woodworth</t>
  </si>
  <si>
    <t>Woodworth</t>
  </si>
  <si>
    <t>VENTURA</t>
  </si>
  <si>
    <t>Ventura high school</t>
  </si>
  <si>
    <t>Huge frame, threw well. Follow.</t>
  </si>
  <si>
    <t>Cameron Aguilar</t>
  </si>
  <si>
    <t>Aguilar</t>
  </si>
  <si>
    <t>St Mark’s</t>
  </si>
  <si>
    <t>774-217-4709</t>
  </si>
  <si>
    <t>cameron.aguilar04@gmail.com</t>
  </si>
  <si>
    <t>HS: .300  batting average, .951 OPS, 12 RBI, 23 RS, Jr. year captain next year.  Summer: .340 current batting average, .938 OPS, 21 RS, 11 SB</t>
  </si>
  <si>
    <t>3.95 Unweighted</t>
  </si>
  <si>
    <t>Taking the SAT in the fall of Jr. year.</t>
  </si>
  <si>
    <t>Small fracture in my wrist, 2024. Fully healthy and healed.</t>
  </si>
  <si>
    <t>Austen Ahu</t>
  </si>
  <si>
    <t>Austen</t>
  </si>
  <si>
    <t>Ahu</t>
  </si>
  <si>
    <t>Honolulu</t>
  </si>
  <si>
    <t>University laboratory school</t>
  </si>
  <si>
    <t>Good frame good swing. Follow.</t>
  </si>
  <si>
    <t>Bobby Bastek</t>
  </si>
  <si>
    <t>Bastek</t>
  </si>
  <si>
    <t>Atlanta</t>
  </si>
  <si>
    <t>Mount Vernon Presbyterian</t>
  </si>
  <si>
    <t>Jaeger Bedford</t>
  </si>
  <si>
    <t>Jaeger</t>
  </si>
  <si>
    <t>Bedford</t>
  </si>
  <si>
    <t>Tampa</t>
  </si>
  <si>
    <t>Tampa Jesuit</t>
  </si>
  <si>
    <t>Top Tier Roos</t>
  </si>
  <si>
    <t>87-88 flat, got hit some.  81 CH, 78 SL =.  potential.  good body, arm works.  from the stretch only.  pitched w/ JV in 2025.  McCoy recommneds.</t>
  </si>
  <si>
    <t>Matthew Bergin</t>
  </si>
  <si>
    <t>Bergin</t>
  </si>
  <si>
    <t>Hollis, NH</t>
  </si>
  <si>
    <t>Hollis-Brookline</t>
  </si>
  <si>
    <t>Strong kid smaller, corner OF plays fast like 6.8. Short for us tools wise probably</t>
  </si>
  <si>
    <t>Blake Bourne</t>
  </si>
  <si>
    <t>Bourne</t>
  </si>
  <si>
    <t>Glenelg</t>
  </si>
  <si>
    <t>Grant Bradley</t>
  </si>
  <si>
    <t>Holy Innocents Episcopal School, Nw</t>
  </si>
  <si>
    <t>grant1bradley@icloud.com</t>
  </si>
  <si>
    <t>.358 AVG 11HR 48RBI .521 OBP 1.10 OPS 42 H</t>
  </si>
  <si>
    <t>3.62/4.02</t>
  </si>
  <si>
    <t>24 Act (taking a couple more)</t>
  </si>
  <si>
    <t>Popped left shoulder out</t>
  </si>
  <si>
    <t>Vyvanse</t>
  </si>
  <si>
    <t>Yes 50% extended time</t>
  </si>
  <si>
    <t>Colt Bradshaw</t>
  </si>
  <si>
    <t>Colt</t>
  </si>
  <si>
    <t>Virginia Beach</t>
  </si>
  <si>
    <t>Frank W. Cox</t>
  </si>
  <si>
    <t>757-572-5320</t>
  </si>
  <si>
    <t>former HS coach said didn't gel well with teammates.  showcase type player... couldn't play the game but has the chance to figure it out.  dont give up on him</t>
  </si>
  <si>
    <t>Connor Bresler</t>
  </si>
  <si>
    <t>Bresler</t>
  </si>
  <si>
    <t>Delbarton</t>
  </si>
  <si>
    <t>Diamond Jacks</t>
  </si>
  <si>
    <t>Connor Christiansen</t>
  </si>
  <si>
    <t>Christiansen</t>
  </si>
  <si>
    <t>Indianapolis</t>
  </si>
  <si>
    <t>Caden Christianson</t>
  </si>
  <si>
    <t>Christianson</t>
  </si>
  <si>
    <t>Greenwood Village</t>
  </si>
  <si>
    <t>Mountain Vista</t>
  </si>
  <si>
    <t>East Cobb/SD Padres ST Underclass</t>
  </si>
  <si>
    <t>Lucas Collure</t>
  </si>
  <si>
    <t>Collure</t>
  </si>
  <si>
    <t>Grand Island</t>
  </si>
  <si>
    <t>716-435-8460</t>
  </si>
  <si>
    <t>Charlie Crabbe</t>
  </si>
  <si>
    <t>Crabbe</t>
  </si>
  <si>
    <t>Dover, MA</t>
  </si>
  <si>
    <t>Belmont Hill</t>
  </si>
  <si>
    <t>Both parents went to Navy. High pitchability up to 88. 
Very good breaking ball
short RHP with good arm.  knows how to pitch.  dad and mom Navy grads.  low 80's with a good slider as a SO.</t>
  </si>
  <si>
    <t>Peyton Crews</t>
  </si>
  <si>
    <t>Peyton</t>
  </si>
  <si>
    <t>Crews</t>
  </si>
  <si>
    <t>Kernersville</t>
  </si>
  <si>
    <t>Johnny Deaderick</t>
  </si>
  <si>
    <t>Johnny</t>
  </si>
  <si>
    <t>Deaderick</t>
  </si>
  <si>
    <t>Hudson December</t>
  </si>
  <si>
    <t>December</t>
  </si>
  <si>
    <t>El Camino Real</t>
  </si>
  <si>
    <t>Roman Derichsweiler</t>
  </si>
  <si>
    <t>Derichsweiler</t>
  </si>
  <si>
    <t>Dallas</t>
  </si>
  <si>
    <t>Jesuit College Prep</t>
  </si>
  <si>
    <t>Wow Factor Texas 2027</t>
  </si>
  <si>
    <t>Wesley Dewitt</t>
  </si>
  <si>
    <t>Wesley</t>
  </si>
  <si>
    <t>Dewitt</t>
  </si>
  <si>
    <t>Park City</t>
  </si>
  <si>
    <t>Park City High</t>
  </si>
  <si>
    <t>435-901-4455</t>
  </si>
  <si>
    <t>wdpc23@yahoo.com</t>
  </si>
  <si>
    <t>HS: 340 avg, 484 OBP, 574 Slg, 4 Hr, 27 RB, 41 runs, 18bb. Summer, 400 Avg, 569 OBP, 800 Slg, 11 RBi, 16 run.</t>
  </si>
  <si>
    <t>tore quad freshman year, Back stress fracture (skiing)</t>
  </si>
  <si>
    <t>Dairy</t>
  </si>
  <si>
    <t>Logan Downey</t>
  </si>
  <si>
    <t>Chesterfield</t>
  </si>
  <si>
    <t>Northern Burlington</t>
  </si>
  <si>
    <t>Ghost National 17U Mocha/Mojo</t>
  </si>
  <si>
    <t>Anthony Faletra</t>
  </si>
  <si>
    <t>Faletra</t>
  </si>
  <si>
    <t>Cade Filleman</t>
  </si>
  <si>
    <t>Filleman</t>
  </si>
  <si>
    <t>Centennial</t>
  </si>
  <si>
    <t>602-920-0160</t>
  </si>
  <si>
    <t>cadefilleman@gmail.com</t>
  </si>
  <si>
    <t>10.1 innings pitched, 2 Saves,</t>
  </si>
  <si>
    <t>Tonsillectomy, and sprained ankle</t>
  </si>
  <si>
    <t>Jackson Fulgintine</t>
  </si>
  <si>
    <t>Fulgintine</t>
  </si>
  <si>
    <t>st. sebastian's</t>
  </si>
  <si>
    <t>Rory Funke</t>
  </si>
  <si>
    <t>Rory</t>
  </si>
  <si>
    <t>Funke</t>
  </si>
  <si>
    <t>6'3" 190lbs | Twitter: @FunkeRory | Dexter Southfield ‘28 LHP/OF (also Dual Threat QB) | FB 87-88 | Football Coach Casey Day: 508-847-4238 | Baseball Coach Dan Donato: 860-309-2651</t>
  </si>
  <si>
    <t>Reid Gantenbein-Puchi</t>
  </si>
  <si>
    <t>Gantenbein-Puchi</t>
  </si>
  <si>
    <t>Aliso Viejo</t>
  </si>
  <si>
    <t>Ganesha</t>
  </si>
  <si>
    <t>BPA</t>
  </si>
  <si>
    <t>Cruz Garcia</t>
  </si>
  <si>
    <t>Cruz</t>
  </si>
  <si>
    <t>Garcia</t>
  </si>
  <si>
    <t>Brent International</t>
  </si>
  <si>
    <t>925-537-4599</t>
  </si>
  <si>
    <t>Nick Glass</t>
  </si>
  <si>
    <t>Glass</t>
  </si>
  <si>
    <t>Manchester Essex</t>
  </si>
  <si>
    <t>CB: Big LHH, pretty athletic. Good swing.</t>
  </si>
  <si>
    <t>Carson Glose</t>
  </si>
  <si>
    <t>Glose</t>
  </si>
  <si>
    <t>Harleysville</t>
  </si>
  <si>
    <t>Pope John Paul II</t>
  </si>
  <si>
    <t>215-817-5429</t>
  </si>
  <si>
    <t>cglose@outlook.com</t>
  </si>
  <si>
    <t>.400 AVG, .506 OBP, 1.136 OPS, 29 Hits, 4 2B, 2 3B, 3 HR, 19 RBI, 15 BB, 7 SB</t>
  </si>
  <si>
    <t>4.0/4.91</t>
  </si>
  <si>
    <t>Palmer Gobble</t>
  </si>
  <si>
    <t>Palmer</t>
  </si>
  <si>
    <t>Gobble</t>
  </si>
  <si>
    <t>Bristol</t>
  </si>
  <si>
    <t>John S. Battle</t>
  </si>
  <si>
    <t>Dirtbags 2027 Platinum</t>
  </si>
  <si>
    <t>Palmergobble7@gmail.com</t>
  </si>
  <si>
    <t>41 innings 6-1 WL 24H 21R 17ER 41SO 20BB 3.73 ERA</t>
  </si>
  <si>
    <t>I haven’t taken them yet</t>
  </si>
  <si>
    <t xml:space="preserve">ACL and Lateral meniscus surgery </t>
  </si>
  <si>
    <t>Brayden Goldstein</t>
  </si>
  <si>
    <t>Goldstein</t>
  </si>
  <si>
    <t>Power Bat</t>
  </si>
  <si>
    <t>Los Angeles</t>
  </si>
  <si>
    <t>Sierra Canyon HS</t>
  </si>
  <si>
    <t>(747) 230-7555</t>
  </si>
  <si>
    <t>Kyle Tucker comp. Great look, good BP. LHH w power, launched balls.</t>
  </si>
  <si>
    <t>Maddux Hasty</t>
  </si>
  <si>
    <t>Maddux</t>
  </si>
  <si>
    <t>Hasty</t>
  </si>
  <si>
    <t>Apison</t>
  </si>
  <si>
    <t>Silverdale Baptist (TN)</t>
  </si>
  <si>
    <t>423-208-8555</t>
  </si>
  <si>
    <t>TR Call: More of an arm. Uncle Navy Seal. Likes to pitch in.Top 86. HS coach was big league arm. Works with him. Lots of honors classes. 3.95. Taking precalc this year. Waiting on  ACT score. Pitching with KC Royals scout this fall/summer.</t>
  </si>
  <si>
    <t>hastymaddux24@gmail.com</t>
  </si>
  <si>
    <t xml:space="preserve">LHP- top 86 mph, 4 pitch mix in the zone, Hitting- High school hit .350 with two home runs, Summer ball- hit .500 with 20 plus doubles. </t>
  </si>
  <si>
    <t>Unweighted- 3.94, Weighted- 4.2</t>
  </si>
  <si>
    <t xml:space="preserve">Have not yet received scores back from ACT. </t>
  </si>
  <si>
    <t xml:space="preserve">No injury’s. </t>
  </si>
  <si>
    <t>Sulfa Drugs</t>
  </si>
  <si>
    <t>Creatine monohydrate</t>
  </si>
  <si>
    <t>Ryan Hawken</t>
  </si>
  <si>
    <t>Hawken</t>
  </si>
  <si>
    <t>Mahwah</t>
  </si>
  <si>
    <t>AP: 6'1 180, like his look.  strong body, 6.8 runner. good swing with some strength, hit well in HS season 2025</t>
  </si>
  <si>
    <t>Ryanhawken18@icloud.com</t>
  </si>
  <si>
    <t xml:space="preserve">AB-92 BA-.435 SLG.728  H-40 (tied for 7th in state) R-26  RBI-38 (6th in state) 1B-27  2B-5  3B-2  HR-6 (tied for 5th in state) SB-14   1st team all league 3rd team all county  </t>
  </si>
  <si>
    <t xml:space="preserve">3.7 unweighted </t>
  </si>
  <si>
    <t xml:space="preserve">Fractured left ankle </t>
  </si>
  <si>
    <t>Will Hayes</t>
  </si>
  <si>
    <t>Highlands Ranch</t>
  </si>
  <si>
    <t>Valor Christian</t>
  </si>
  <si>
    <t>720-841-6146</t>
  </si>
  <si>
    <t>whayes555@gmail.com</t>
  </si>
  <si>
    <t>3.9/4.15</t>
  </si>
  <si>
    <t>Stress Fracture on elbow</t>
  </si>
  <si>
    <t>Ryan Heerman</t>
  </si>
  <si>
    <t>Heerman</t>
  </si>
  <si>
    <t>Bridgewater, MA</t>
  </si>
  <si>
    <t>Thayer Academy</t>
  </si>
  <si>
    <t>Has grown. Old 28.</t>
  </si>
  <si>
    <t>Grant Helms</t>
  </si>
  <si>
    <t>Helms</t>
  </si>
  <si>
    <t>SBA Bolts</t>
  </si>
  <si>
    <t>Sumner Hill-Goodell</t>
  </si>
  <si>
    <t>Sumner</t>
  </si>
  <si>
    <t>Hill-Goodell</t>
  </si>
  <si>
    <t>Luke Hiromoto</t>
  </si>
  <si>
    <t>Hiromoto</t>
  </si>
  <si>
    <t>Mililani</t>
  </si>
  <si>
    <t>Punahou</t>
  </si>
  <si>
    <t>808-673-8028</t>
  </si>
  <si>
    <t>Undersize follow. Good INF actions.</t>
  </si>
  <si>
    <t>Tyler Honkomp</t>
  </si>
  <si>
    <t>Honkomp</t>
  </si>
  <si>
    <t>Iowa Sticks travel</t>
  </si>
  <si>
    <t>Waukee Northwest</t>
  </si>
  <si>
    <t>Carter Huff</t>
  </si>
  <si>
    <t>Huff</t>
  </si>
  <si>
    <t>Winston-Salem</t>
  </si>
  <si>
    <t>Ronald W Reagan High School</t>
  </si>
  <si>
    <t>Sladen Johnson</t>
  </si>
  <si>
    <t>Sladen</t>
  </si>
  <si>
    <t>Barnstable</t>
  </si>
  <si>
    <t>The Winchendon School</t>
  </si>
  <si>
    <t>508-737-6839</t>
  </si>
  <si>
    <t>Twitter: @SladenJohnson34 | The Winchendon School ‘27 LHP/1B/OF L/L | Barnstable, MA | Contact: 508-737-6839</t>
  </si>
  <si>
    <t>Thurston Kiefer</t>
  </si>
  <si>
    <t>Thurston</t>
  </si>
  <si>
    <t>Border line, checks lot of boxes had 2 good springs</t>
  </si>
  <si>
    <t>Robert Kilpatrick</t>
  </si>
  <si>
    <t>Robert</t>
  </si>
  <si>
    <t>Kilpatrick</t>
  </si>
  <si>
    <t>Arlington</t>
  </si>
  <si>
    <t>Washington Liberty</t>
  </si>
  <si>
    <t>Prime Time Aces</t>
  </si>
  <si>
    <t>Landon Klein</t>
  </si>
  <si>
    <t>Klein</t>
  </si>
  <si>
    <t>Snohomish</t>
  </si>
  <si>
    <t>Snohomish (WA)</t>
  </si>
  <si>
    <t>425-686-0332</t>
  </si>
  <si>
    <t>landonklein19@icloud.com</t>
  </si>
  <si>
    <t>https://x.com/landon_klein19/status/1926681350775480504?s=46 First team all conference 2025, Second team all state 2025</t>
  </si>
  <si>
    <t>3.96/4.2</t>
  </si>
  <si>
    <t>Little league elbow in 2023</t>
  </si>
  <si>
    <t>Chayce Kolbert</t>
  </si>
  <si>
    <t>Chayce</t>
  </si>
  <si>
    <t>Kolbert</t>
  </si>
  <si>
    <t>Lancaster</t>
  </si>
  <si>
    <t>P27 Baseball Academy</t>
  </si>
  <si>
    <t>716-289-3594</t>
  </si>
  <si>
    <t>chaycekolbert@gmail.com</t>
  </si>
  <si>
    <t>I hit 400 in high school and made all WNY first team.</t>
  </si>
  <si>
    <t>4.0, 4.3</t>
  </si>
  <si>
    <t>Haven’t taken them yet</t>
  </si>
  <si>
    <t xml:space="preserve">Doxycycline </t>
  </si>
  <si>
    <t>Chase Kume</t>
  </si>
  <si>
    <t>Kume</t>
  </si>
  <si>
    <t>Kyle, TX</t>
  </si>
  <si>
    <t>Justin Labrador</t>
  </si>
  <si>
    <t>Labrador</t>
  </si>
  <si>
    <t>Elizabeth</t>
  </si>
  <si>
    <t>Immaculata</t>
  </si>
  <si>
    <t>Diamond Jacks Super 17</t>
  </si>
  <si>
    <t>https://www.perfectgame.org/Players/Playerprofile.aspx?ID=735866</t>
  </si>
  <si>
    <t>Wyatt Libbert</t>
  </si>
  <si>
    <t>Libbert</t>
  </si>
  <si>
    <t>Blair Oaks</t>
  </si>
  <si>
    <t>3.96?</t>
  </si>
  <si>
    <t>AP: 6'4 200 big frame with high ceiling.  83-85, 71 CB.  not a ton of K's yet but can dream on it. PG #1 RHP in MO</t>
  </si>
  <si>
    <t>Ty Lomasney</t>
  </si>
  <si>
    <t>Lomasney</t>
  </si>
  <si>
    <t>Peabody, MA</t>
  </si>
  <si>
    <t>Peabody Veterans Memorial</t>
  </si>
  <si>
    <t>Show New England National</t>
  </si>
  <si>
    <t>Cameron Mares</t>
  </si>
  <si>
    <t>Mares</t>
  </si>
  <si>
    <t>Pueblo</t>
  </si>
  <si>
    <t>Pueblo West</t>
  </si>
  <si>
    <t>719-415-9704</t>
  </si>
  <si>
    <t>camerondmares27@icloud.com</t>
  </si>
  <si>
    <t>HITTING: Plate Appearances (PA): 56 At-Bats (AB): 47 Batting Average (AVG): .340 On-Base Percentage (OBP): .400 On-base Plus Slugging (OPS): .783 PITCHING:ERA (Earned Run Average): 1.18 Wins (W): 4 Losses (L): 1 Win Percentage (W%): .800 Innings Pitched (IP): 35.2 Hits Allowed (H): 27</t>
  </si>
  <si>
    <t>1070 on PSAT</t>
  </si>
  <si>
    <t>Connor McCool</t>
  </si>
  <si>
    <t>McCool</t>
  </si>
  <si>
    <t>Overland Park</t>
  </si>
  <si>
    <t>913-609-4489</t>
  </si>
  <si>
    <t>cmccool2008@gmail.com</t>
  </si>
  <si>
    <t>AB: 88 AVG: .300 OBP: .359 OPS: .813 SLG: .455 H: 29 RBI: 17 TC: 58 FPCT: 1.000 Accolades: 2025 Futures gamer, Honorable mention all Sunflower league</t>
  </si>
  <si>
    <t>3.957/ 4.535</t>
  </si>
  <si>
    <t>Act: 24</t>
  </si>
  <si>
    <t>Meniscus repair, 8th grade.</t>
  </si>
  <si>
    <t>Hayden Moore</t>
  </si>
  <si>
    <t>New London</t>
  </si>
  <si>
    <t>Grayson Morris</t>
  </si>
  <si>
    <t>Grayson</t>
  </si>
  <si>
    <t>Richmond</t>
  </si>
  <si>
    <t>Monacan High</t>
  </si>
  <si>
    <t>Maksin Neshov</t>
  </si>
  <si>
    <t>Maksin</t>
  </si>
  <si>
    <t>Neshov</t>
  </si>
  <si>
    <t>Luke Parrish</t>
  </si>
  <si>
    <t>Parrish</t>
  </si>
  <si>
    <t>Squeeze said take him.  Wants navy</t>
  </si>
  <si>
    <t>Winston Patterson</t>
  </si>
  <si>
    <t>Patterson</t>
  </si>
  <si>
    <t>Ralston Valley HS</t>
  </si>
  <si>
    <t>Franklin Scout Team</t>
  </si>
  <si>
    <t>PBR Futures '25</t>
  </si>
  <si>
    <t>6'6" 215lbs | Twitter: @WinstonPat50 | 3.8 GPA | NCAA ID#2507685028 | FB: 92.5 mph, 2190 spin, 93.2% spin efficiency | "Upside is an understatement" - Byron Embry</t>
  </si>
  <si>
    <t>Drew Pittman</t>
  </si>
  <si>
    <t>Pittman</t>
  </si>
  <si>
    <t>Blue Valley Southwest</t>
  </si>
  <si>
    <t>913-553-9868</t>
  </si>
  <si>
    <t>Nolan Plourde</t>
  </si>
  <si>
    <t>Plourde</t>
  </si>
  <si>
    <t>Amston</t>
  </si>
  <si>
    <t>Rham</t>
  </si>
  <si>
    <t>860-368-1630</t>
  </si>
  <si>
    <t>nolanplourde@gmail.com</t>
  </si>
  <si>
    <t>3.8/4.118</t>
  </si>
  <si>
    <t>na</t>
  </si>
  <si>
    <t>non throwing shoulder-labrum repair</t>
  </si>
  <si>
    <t>Patrick Prideaux</t>
  </si>
  <si>
    <t>Prideaux</t>
  </si>
  <si>
    <t>Eli Quinley</t>
  </si>
  <si>
    <t>Quinley</t>
  </si>
  <si>
    <t>Mobile</t>
  </si>
  <si>
    <t>Faith Academy</t>
  </si>
  <si>
    <t>251-895-6167</t>
  </si>
  <si>
    <t>Luke Rafferty</t>
  </si>
  <si>
    <t>Rafferty</t>
  </si>
  <si>
    <t>Up to 91. Parents from NY. Our profile. Harvard Penn. 
86-88 everything works well. Athletic, life on both pitches. SL seems to be =/+ great 2 innings.
Cousins with Boston Prime coach so throwing here, plays for Wings in Texas. Under the radar kid seems like. 
I will try to get him to camp</t>
  </si>
  <si>
    <t>Braden Richardson</t>
  </si>
  <si>
    <t>Richardson</t>
  </si>
  <si>
    <t>Tega Cay</t>
  </si>
  <si>
    <t>Fort Mill</t>
  </si>
  <si>
    <t>CBA Orioles</t>
  </si>
  <si>
    <t>Interested, setting up call. NPI</t>
  </si>
  <si>
    <t>Coastal BC Citadel Notre Dame</t>
  </si>
  <si>
    <t>Cade Rinehart</t>
  </si>
  <si>
    <t>Rinehart</t>
  </si>
  <si>
    <t>Guilford</t>
  </si>
  <si>
    <t>Tyler Roach</t>
  </si>
  <si>
    <t>Roach</t>
  </si>
  <si>
    <t>Ruston</t>
  </si>
  <si>
    <t>318-265-8738</t>
  </si>
  <si>
    <t>David Roberston</t>
  </si>
  <si>
    <t>Roberston</t>
  </si>
  <si>
    <t>Beckham Rowley</t>
  </si>
  <si>
    <t>Beckham</t>
  </si>
  <si>
    <t>Rowley</t>
  </si>
  <si>
    <t>Stansbury Park</t>
  </si>
  <si>
    <t>Stansbury</t>
  </si>
  <si>
    <t>801-915-5755</t>
  </si>
  <si>
    <t>Hudson Sapp</t>
  </si>
  <si>
    <t>Sapp</t>
  </si>
  <si>
    <t>Bode Schenewerk</t>
  </si>
  <si>
    <t>Bode</t>
  </si>
  <si>
    <t>Schenewerk</t>
  </si>
  <si>
    <t>Jefferson City</t>
  </si>
  <si>
    <t>Jefferson City (MO)</t>
  </si>
  <si>
    <t>573-789-8889</t>
  </si>
  <si>
    <t>Bode0703@icloud.com</t>
  </si>
  <si>
    <t>Hs season average .330/summer average .356</t>
  </si>
  <si>
    <t>Weighted gpa 3.560/unweighted gpa 3.548</t>
  </si>
  <si>
    <t>Owen Sieve</t>
  </si>
  <si>
    <t>Sieve</t>
  </si>
  <si>
    <t>Beaumont</t>
  </si>
  <si>
    <t>Hardin-Jefferson</t>
  </si>
  <si>
    <t>Lonestar Baseball Club 2027 National</t>
  </si>
  <si>
    <t>Philip Soltes</t>
  </si>
  <si>
    <t>Philip</t>
  </si>
  <si>
    <t>Soltes</t>
  </si>
  <si>
    <t>Stamford</t>
  </si>
  <si>
    <t>The Cheshire Academy</t>
  </si>
  <si>
    <t>MVP New England</t>
  </si>
  <si>
    <t>203-450-8837</t>
  </si>
  <si>
    <t>philipj.soltes31@gmail.com</t>
  </si>
  <si>
    <t>Mason Sowers</t>
  </si>
  <si>
    <t>Sowers</t>
  </si>
  <si>
    <t>Carter Taldo</t>
  </si>
  <si>
    <t>Taldo</t>
  </si>
  <si>
    <t>Olathe</t>
  </si>
  <si>
    <t>Olathe West</t>
  </si>
  <si>
    <t>913-605-9415</t>
  </si>
  <si>
    <t>cartertaldo15@gmail.com</t>
  </si>
  <si>
    <t>Avg 372, Obp 441, Ops 1.041, RBI 43, Slg 600, Hits 38, HR 5</t>
  </si>
  <si>
    <t>3.9/4.4</t>
  </si>
  <si>
    <t>Pre Act score 27</t>
  </si>
  <si>
    <t>Reign Taylor</t>
  </si>
  <si>
    <t>Reign</t>
  </si>
  <si>
    <t>Raleigh</t>
  </si>
  <si>
    <t>Needham Broughton High</t>
  </si>
  <si>
    <t>Joey Terhaar</t>
  </si>
  <si>
    <t>Terhaar</t>
  </si>
  <si>
    <t>Totino-Grace High School</t>
  </si>
  <si>
    <t>Spects National 2027 Marsolek</t>
  </si>
  <si>
    <t>jaterha18@icloud.com</t>
  </si>
  <si>
    <t>High School stats: 22 ab's, avg .227, obp .370, ops .643, 5 hits 4 singles and 1 double, pitching: 30.2 IP, 35 SO, 2.2 ERA, .231 BAA | Summer Stats: 40 AB, 14 hits 11 singles 1 double and 2 HR, avg .350, obp .519, ops 1.044, slg .525, Pitching 16 IP, 21 SO, 9 hits, 2.6 ERA, .158 BAA</t>
  </si>
  <si>
    <t>3.8 (not sure on waited)</t>
  </si>
  <si>
    <t>Have not taken yet</t>
  </si>
  <si>
    <t>Sully Townley</t>
  </si>
  <si>
    <t>Sully</t>
  </si>
  <si>
    <t>Townley</t>
  </si>
  <si>
    <t>Palmetto Blacksmiths SC 2027</t>
  </si>
  <si>
    <t>Walker Waggoner</t>
  </si>
  <si>
    <t>Waggoner</t>
  </si>
  <si>
    <t>Fellowhship Christian</t>
  </si>
  <si>
    <t>camp OCT</t>
  </si>
  <si>
    <t>HS coach says definitely division one player. Great instincts in the outfield. Highest upside is he's not physically developed fully yet. Genes are plus plus, hit in the nine hole as a sophomore last year but had a pretty older team. Could hit in the middle of the order this year.</t>
  </si>
  <si>
    <t>walkwagg7@gmail.com</t>
  </si>
  <si>
    <t>HS: .327 AVG, .951 OPS, 16 H, 2 HR, 14 RBI, 19 R, 11 SB; Summer: .367 AVG, .468 OBP, 1.057 OPS, 27 hits, 13 doubles, 2 Triples, 1 HR, 20 RBI, 29 R, 10 SB</t>
  </si>
  <si>
    <t xml:space="preserve">Weighted: 4.13 </t>
  </si>
  <si>
    <t>SAT: 1260</t>
  </si>
  <si>
    <t>Brennan Walters</t>
  </si>
  <si>
    <t>Brennan</t>
  </si>
  <si>
    <t>Taylorsville</t>
  </si>
  <si>
    <t>Spencer County</t>
  </si>
  <si>
    <t>502-422-0239</t>
  </si>
  <si>
    <t>waltersbren08@gmail.com</t>
  </si>
  <si>
    <t>High school: PA:140, AB:87, AVG:.349, OBP:577, HITS:30, RBI:27, RUNS:37, XBH:11, HR:3, BB:42(led state) HBP:10.              Travel ball stats: PA:77, AB:50, AVG:340, OBP:571, OPS:1.291, SLG:.720, H:17, HR:2, BB:15</t>
  </si>
  <si>
    <t>Grayson Waters</t>
  </si>
  <si>
    <t>Waters</t>
  </si>
  <si>
    <t>Oak Park</t>
  </si>
  <si>
    <t>Oak Park &amp; River Forest</t>
  </si>
  <si>
    <t>Cangelosi Sparks North 2027</t>
  </si>
  <si>
    <t>Hutch Weaver</t>
  </si>
  <si>
    <t>Hutch</t>
  </si>
  <si>
    <t>Nolensville</t>
  </si>
  <si>
    <t>FTB National 2027</t>
  </si>
  <si>
    <t>Carston Wedemeyer</t>
  </si>
  <si>
    <t>Carston</t>
  </si>
  <si>
    <t>Wedemeyer</t>
  </si>
  <si>
    <t>Wilmington</t>
  </si>
  <si>
    <t>Emsley A Laney</t>
  </si>
  <si>
    <t>SBA Bolts National 2027</t>
  </si>
  <si>
    <t>Ari Wells</t>
  </si>
  <si>
    <t>Ari</t>
  </si>
  <si>
    <t>Princeton</t>
  </si>
  <si>
    <t>Caldwell County</t>
  </si>
  <si>
    <t>4.2 but 20 ACT</t>
  </si>
  <si>
    <t>270-963-3482</t>
  </si>
  <si>
    <t>Not interested after Future games but has since emailed us on May 6</t>
  </si>
  <si>
    <t>Jackson Wood</t>
  </si>
  <si>
    <t>Omar Avalos Jr</t>
  </si>
  <si>
    <t>Omar</t>
  </si>
  <si>
    <t>Avalos Jr</t>
  </si>
  <si>
    <t>Edwardsville</t>
  </si>
  <si>
    <t>Father McGivney (IL)</t>
  </si>
  <si>
    <t>618-799-1030</t>
  </si>
  <si>
    <t>Omar Avalos Jr.</t>
  </si>
  <si>
    <t>Avalos Jr.</t>
  </si>
  <si>
    <t>Albers, IL</t>
  </si>
  <si>
    <t>Father McGivney Catholic</t>
  </si>
  <si>
    <t>Spects National 2027 Gominsky</t>
  </si>
  <si>
    <t>Thomas Barnhart</t>
  </si>
  <si>
    <t>Barnhart</t>
  </si>
  <si>
    <t>513-393-7450</t>
  </si>
  <si>
    <t>Emailed us. Texted to connect</t>
  </si>
  <si>
    <t>Greyson Bell</t>
  </si>
  <si>
    <t>Greyson</t>
  </si>
  <si>
    <t>Daniel Boone Area</t>
  </si>
  <si>
    <t>Bo Blondi</t>
  </si>
  <si>
    <t>Bo</t>
  </si>
  <si>
    <t>Blondi</t>
  </si>
  <si>
    <t xml:space="preserve">Canes American </t>
  </si>
  <si>
    <t>Cody Branham</t>
  </si>
  <si>
    <t>Cody</t>
  </si>
  <si>
    <t>Branham</t>
  </si>
  <si>
    <t>Central HS</t>
  </si>
  <si>
    <t>AP: 5'10 195 strong BAT! LHH with good swing. not a runner, #2 C in SC.  didn't see a lot of defensive stuff</t>
  </si>
  <si>
    <t>codybranham1426@gmail.com</t>
  </si>
  <si>
    <t xml:space="preserve">100 PA 75 AB .360 BA (.424 Region BA) .520 OBP 1.187 OPS .667 SLG 14 1B 7 2B 3 3B 4 HR 17 BB (3 IBB) 8 HBP / 2A All State, 2A All Region </t>
  </si>
  <si>
    <t>3.75/4.69</t>
  </si>
  <si>
    <t>Aiden Cha</t>
  </si>
  <si>
    <t>Cha</t>
  </si>
  <si>
    <t>Culter Chastain</t>
  </si>
  <si>
    <t>Culter</t>
  </si>
  <si>
    <t>Chastain</t>
  </si>
  <si>
    <t>Bedford North</t>
  </si>
  <si>
    <t>Trent Chris</t>
  </si>
  <si>
    <t>Snow Canyon</t>
  </si>
  <si>
    <t>206-227-6334</t>
  </si>
  <si>
    <t>Ryder Cielen</t>
  </si>
  <si>
    <t>Ryder</t>
  </si>
  <si>
    <t>Cielen</t>
  </si>
  <si>
    <t>714 330 6974</t>
  </si>
  <si>
    <t>Ball jumps out of hand. Spin JOK. Command avg.</t>
  </si>
  <si>
    <t>Nico Cirone</t>
  </si>
  <si>
    <t>Nico</t>
  </si>
  <si>
    <t>Cirone</t>
  </si>
  <si>
    <t>Groton</t>
  </si>
  <si>
    <t>Michael Connor</t>
  </si>
  <si>
    <t>Medway HS</t>
  </si>
  <si>
    <t>Northeast Longhorns</t>
  </si>
  <si>
    <t>Lawson Copeland</t>
  </si>
  <si>
    <t>Lawson</t>
  </si>
  <si>
    <t>Copeland</t>
  </si>
  <si>
    <t>Charlotte, NC</t>
  </si>
  <si>
    <t>Myers Park</t>
  </si>
  <si>
    <t>CBA Orioles 2027 Scout Team</t>
  </si>
  <si>
    <t>Alejandro Cordero</t>
  </si>
  <si>
    <t>Alejandro</t>
  </si>
  <si>
    <t>Cordero</t>
  </si>
  <si>
    <t>Miami</t>
  </si>
  <si>
    <t>Belen Jesuit Prep</t>
  </si>
  <si>
    <t>Original Florida Pokers 2027</t>
  </si>
  <si>
    <t>Conner Davis</t>
  </si>
  <si>
    <t>Conner</t>
  </si>
  <si>
    <t>Boyd County</t>
  </si>
  <si>
    <t>606-547-5822</t>
  </si>
  <si>
    <t>Joshua Diaz</t>
  </si>
  <si>
    <t>Joshua</t>
  </si>
  <si>
    <t>Diaz</t>
  </si>
  <si>
    <t>Wow Factor NY</t>
  </si>
  <si>
    <t>Christos Dimitrakakis</t>
  </si>
  <si>
    <t>Christos</t>
  </si>
  <si>
    <t>Dimitrakakis</t>
  </si>
  <si>
    <t>Glen Head, NY</t>
  </si>
  <si>
    <t>Chaminade</t>
  </si>
  <si>
    <t>MVP 2027 Scout</t>
  </si>
  <si>
    <t>Deven Dodge</t>
  </si>
  <si>
    <t>Deven</t>
  </si>
  <si>
    <t>Dodge</t>
  </si>
  <si>
    <t>Bethlehem, CT</t>
  </si>
  <si>
    <t>The Frederick Gunn School</t>
  </si>
  <si>
    <t>Owen Ehrenkranz</t>
  </si>
  <si>
    <t>Ehrenkranz</t>
  </si>
  <si>
    <t>Gill St Bernards</t>
  </si>
  <si>
    <t>Tre Eitniear</t>
  </si>
  <si>
    <t>Tre</t>
  </si>
  <si>
    <t>Eitniear</t>
  </si>
  <si>
    <t>Ottawa Lake</t>
  </si>
  <si>
    <t>Whiteford</t>
  </si>
  <si>
    <t>734-344-9094</t>
  </si>
  <si>
    <t>Nick Fantasia</t>
  </si>
  <si>
    <t>Fantasia</t>
  </si>
  <si>
    <t>Lexington</t>
  </si>
  <si>
    <t>Belmont Hill School</t>
  </si>
  <si>
    <t>339-999-3221</t>
  </si>
  <si>
    <t>James Fenton</t>
  </si>
  <si>
    <t>Fenton</t>
  </si>
  <si>
    <t>Carson Fuhrer</t>
  </si>
  <si>
    <t>Fuhrer</t>
  </si>
  <si>
    <t>Arch Bishop Moeller</t>
  </si>
  <si>
    <t>Indiana Mustangs</t>
  </si>
  <si>
    <t>Gavin Fuscone</t>
  </si>
  <si>
    <t>Fuscone</t>
  </si>
  <si>
    <t>Athletes HQ travel</t>
  </si>
  <si>
    <t>St Charles East</t>
  </si>
  <si>
    <t>Joshua Gertner</t>
  </si>
  <si>
    <t>Gertner</t>
  </si>
  <si>
    <t>West Hartford, CT</t>
  </si>
  <si>
    <t>Liam Gregg</t>
  </si>
  <si>
    <t>Gregg</t>
  </si>
  <si>
    <t>Lincoln Sudbury</t>
  </si>
  <si>
    <t>Cole Henebry</t>
  </si>
  <si>
    <t>Henebry</t>
  </si>
  <si>
    <t>Conner Horner</t>
  </si>
  <si>
    <t>Horner</t>
  </si>
  <si>
    <t>Burlington</t>
  </si>
  <si>
    <t>Eastern Alamance</t>
  </si>
  <si>
    <t>Anthony Huaranga</t>
  </si>
  <si>
    <t>Huaranga</t>
  </si>
  <si>
    <t>St. Peters Prep</t>
  </si>
  <si>
    <t>Ryan Huban</t>
  </si>
  <si>
    <t>Huban</t>
  </si>
  <si>
    <t>Cohoes, NY</t>
  </si>
  <si>
    <t>Christian Brothers Academy</t>
  </si>
  <si>
    <t>Allstars Academy Prodigy 16U</t>
  </si>
  <si>
    <t>Caden Jobe</t>
  </si>
  <si>
    <t>Jobe</t>
  </si>
  <si>
    <t>Prosper, TX</t>
  </si>
  <si>
    <t>Trinity Christian Academy</t>
  </si>
  <si>
    <t>Brennan Jones</t>
  </si>
  <si>
    <t>AP: 5'11 170 LHH with good swing.  good at SS.  hit .255 summer but hit well in HS season.  7.2 run?  FAU interested.  Nationally ranked kid</t>
  </si>
  <si>
    <t>brennanjones2027@gmail.com</t>
  </si>
  <si>
    <t>Freshman year: 33 hits .388avg, Sophomore year 32 hits .370avg, first team all area freshman and sophomore year, 407th player in nation according to perfect game, 2 year varsity starter.</t>
  </si>
  <si>
    <t>3.74/4.21</t>
  </si>
  <si>
    <t>Planning to take them during fall</t>
  </si>
  <si>
    <t>Drew Kittelberger</t>
  </si>
  <si>
    <t>Kittelberger</t>
  </si>
  <si>
    <t>Highland, MD</t>
  </si>
  <si>
    <t>Calvert Hall College</t>
  </si>
  <si>
    <t>US Elite Mid Atlantic National 2027 Scout</t>
  </si>
  <si>
    <t>Tyler Koski</t>
  </si>
  <si>
    <t>Koski</t>
  </si>
  <si>
    <t>Aiden Kulich</t>
  </si>
  <si>
    <t>Kulich</t>
  </si>
  <si>
    <t>Merrick Lee</t>
  </si>
  <si>
    <t>Menlo Park</t>
  </si>
  <si>
    <t>Menlo-Atherton</t>
  </si>
  <si>
    <t>650-374-9563</t>
  </si>
  <si>
    <t>Jackson Lucarelli</t>
  </si>
  <si>
    <t>Lucarelli</t>
  </si>
  <si>
    <t>Sterling, MA</t>
  </si>
  <si>
    <t>Saint John's</t>
  </si>
  <si>
    <t>Dalton Marsh</t>
  </si>
  <si>
    <t>Marsh</t>
  </si>
  <si>
    <t>Lakewood, CO</t>
  </si>
  <si>
    <t>Mullen</t>
  </si>
  <si>
    <t>Slammers Bitzer</t>
  </si>
  <si>
    <t>Elijah Martin</t>
  </si>
  <si>
    <t>Elijah</t>
  </si>
  <si>
    <t>High Point</t>
  </si>
  <si>
    <t>Wesleyan Christian Academy</t>
  </si>
  <si>
    <t>Connor Moore</t>
  </si>
  <si>
    <t>St. Marks</t>
  </si>
  <si>
    <t>Andrew Moran</t>
  </si>
  <si>
    <t>Declan Moylett</t>
  </si>
  <si>
    <t>Declan</t>
  </si>
  <si>
    <t>Moylett</t>
  </si>
  <si>
    <t>Severance</t>
  </si>
  <si>
    <t>720-727-5002</t>
  </si>
  <si>
    <t>Dominic Naylor</t>
  </si>
  <si>
    <t>Dominic</t>
  </si>
  <si>
    <t>Naylor</t>
  </si>
  <si>
    <t>Cedar Park, TX</t>
  </si>
  <si>
    <t>Cedar Park</t>
  </si>
  <si>
    <t>Ryan Nelson</t>
  </si>
  <si>
    <t>Nelson</t>
  </si>
  <si>
    <t>Billerica Memorial</t>
  </si>
  <si>
    <t>Triple Crown Kings</t>
  </si>
  <si>
    <t>Jack O'Grady</t>
  </si>
  <si>
    <t>O'Grady</t>
  </si>
  <si>
    <t>Wellesley</t>
  </si>
  <si>
    <t>Ian Palumbo</t>
  </si>
  <si>
    <t>Palumbo</t>
  </si>
  <si>
    <t>Phoenix</t>
  </si>
  <si>
    <t>Brophy College Preparatory</t>
  </si>
  <si>
    <t>Stiff LHH. Follow. Strong.</t>
  </si>
  <si>
    <t>Nakish Patel</t>
  </si>
  <si>
    <t>Nakish</t>
  </si>
  <si>
    <t>Patel</t>
  </si>
  <si>
    <t>CB: Recovering from TJ. Follow once healthy</t>
  </si>
  <si>
    <t>Caleb Penn</t>
  </si>
  <si>
    <t>Penn</t>
  </si>
  <si>
    <t>Haverhill, MA</t>
  </si>
  <si>
    <t>Phillips Academy</t>
  </si>
  <si>
    <t>Sam Reed</t>
  </si>
  <si>
    <t>Matthew Reed</t>
  </si>
  <si>
    <t>MIF</t>
  </si>
  <si>
    <t>Baytown, TX</t>
  </si>
  <si>
    <t>Goose Creek Memorial</t>
  </si>
  <si>
    <t>Tyler Reeves</t>
  </si>
  <si>
    <t>Reeves</t>
  </si>
  <si>
    <t>Englewood, CO</t>
  </si>
  <si>
    <t>Taylor Reidy</t>
  </si>
  <si>
    <t>Reidy</t>
  </si>
  <si>
    <t>Brayden Ring</t>
  </si>
  <si>
    <t>Ring</t>
  </si>
  <si>
    <t>Chicago White Sox Scout Team</t>
  </si>
  <si>
    <t>Eason Runion</t>
  </si>
  <si>
    <t>Eason</t>
  </si>
  <si>
    <t>Runion</t>
  </si>
  <si>
    <t>Cody Sawyer</t>
  </si>
  <si>
    <t>Humble, TX</t>
  </si>
  <si>
    <t>Kingwood</t>
  </si>
  <si>
    <t>Marucci Prospects Midwest Fall 2025</t>
  </si>
  <si>
    <t>Camden Spangler</t>
  </si>
  <si>
    <t>Spangler</t>
  </si>
  <si>
    <t>Roanoke</t>
  </si>
  <si>
    <t>540-816-6671</t>
  </si>
  <si>
    <t>Kyle Sweeney</t>
  </si>
  <si>
    <t>Kyle</t>
  </si>
  <si>
    <t>R/L</t>
  </si>
  <si>
    <t>Atherton</t>
  </si>
  <si>
    <t>Sacred Heart Prep</t>
  </si>
  <si>
    <t>Big projectable LHP. Tall, low release. t80. follow.</t>
  </si>
  <si>
    <t>Milo Toettcher</t>
  </si>
  <si>
    <t>Milo</t>
  </si>
  <si>
    <t>Toettcher</t>
  </si>
  <si>
    <t>CB: 81-84 long projectable body. Dad is Toucher &amp; Rich.</t>
  </si>
  <si>
    <t>Ozzy Vogel-Moore</t>
  </si>
  <si>
    <t>Ozzy</t>
  </si>
  <si>
    <t>Vogel-Moore</t>
  </si>
  <si>
    <t>Trumansburg</t>
  </si>
  <si>
    <t>Charles O Dickerson</t>
  </si>
  <si>
    <t>607-229-2662</t>
  </si>
  <si>
    <t>Sam Ward</t>
  </si>
  <si>
    <t>St. Sebastians</t>
  </si>
  <si>
    <t>Robert Wrobel</t>
  </si>
  <si>
    <t>Wrobel</t>
  </si>
  <si>
    <t>AP: 6'0 170 good frame, future gamer, 7.2 run, good actions at SS arm is good, flat swing. not sure if he can really hit.  just a follow</t>
  </si>
  <si>
    <t>Cayden Yoon</t>
  </si>
  <si>
    <t>Cayden</t>
  </si>
  <si>
    <t>Yoon</t>
  </si>
  <si>
    <t>Northern Valley Regiona;</t>
  </si>
  <si>
    <t>Canes Tri State</t>
  </si>
  <si>
    <t>Grayson Abbruzzese</t>
  </si>
  <si>
    <t>Abbruzzese</t>
  </si>
  <si>
    <t>Paramus Catholic</t>
  </si>
  <si>
    <t>TR: Emailed - Look sliek a power arm 88-90. Need to contact and see soon.</t>
  </si>
  <si>
    <t>Jake Acosta</t>
  </si>
  <si>
    <t>Acosta</t>
  </si>
  <si>
    <t>The Harvey</t>
  </si>
  <si>
    <t>Team Crush</t>
  </si>
  <si>
    <t>Rhys Adair</t>
  </si>
  <si>
    <t>Adair</t>
  </si>
  <si>
    <t>Plymouth</t>
  </si>
  <si>
    <t>US9Prospects 17U</t>
  </si>
  <si>
    <t>Masters Academy</t>
  </si>
  <si>
    <t>US9 Prospects</t>
  </si>
  <si>
    <t>Twitter: @RhysAdair? | Test score?</t>
  </si>
  <si>
    <t>Barrett Adams</t>
  </si>
  <si>
    <t>Barrett</t>
  </si>
  <si>
    <t>Deerfield Academy</t>
  </si>
  <si>
    <t>NE Ruffnecks</t>
  </si>
  <si>
    <t>3.7 GPA</t>
  </si>
  <si>
    <t>Badams27@deerfield.edu</t>
  </si>
  <si>
    <t>339-234-2921</t>
  </si>
  <si>
    <t>6'0" 220lbs | Twitter: @BarrettAdams08 | Deerfield Academy ‘27 1B/OF L/L | Dover, MA | NE Ruffnecks | Uncommitted | 3.7 GPA</t>
  </si>
  <si>
    <t>adamsbarrett08@gmail.com</t>
  </si>
  <si>
    <t>2025 season: .489AVG - .641OBP - .711SLG - 18RBI</t>
  </si>
  <si>
    <t>1310 SAT</t>
  </si>
  <si>
    <t>Pulled Hamstring 2026 HS season.</t>
  </si>
  <si>
    <t>Crews Albritton</t>
  </si>
  <si>
    <t>Albritton</t>
  </si>
  <si>
    <t>Madison</t>
  </si>
  <si>
    <t>Tri-county Academy</t>
  </si>
  <si>
    <t>601-750-3298</t>
  </si>
  <si>
    <t>Jennings Allen</t>
  </si>
  <si>
    <t>Jennings</t>
  </si>
  <si>
    <t>Pickens County</t>
  </si>
  <si>
    <t>Rec by Chris Bootcheck…actions look decent. 7.05 runner.  Left handed swing is fine.  Game video looks like he can hit</t>
  </si>
  <si>
    <t>Taylor Anchete</t>
  </si>
  <si>
    <t>Anchete</t>
  </si>
  <si>
    <t>McCoy rec: LHH 6.6 runner, 90 from OF.  swings with intent.</t>
  </si>
  <si>
    <t>Mikey Angelo</t>
  </si>
  <si>
    <t>Mikey</t>
  </si>
  <si>
    <t>Angelo</t>
  </si>
  <si>
    <t>Brian Badalamenti</t>
  </si>
  <si>
    <t>Badalamenti</t>
  </si>
  <si>
    <t>Staten Island</t>
  </si>
  <si>
    <t>2027 C/1B | Staten Island, NY | Perfect Game profile</t>
  </si>
  <si>
    <t>Jackson Bailey</t>
  </si>
  <si>
    <t>Bailey</t>
  </si>
  <si>
    <t>Duncan</t>
  </si>
  <si>
    <t>James F. Byrnes HS</t>
  </si>
  <si>
    <t>Twitter find</t>
  </si>
  <si>
    <t>Bentley Baird</t>
  </si>
  <si>
    <t>Bentley</t>
  </si>
  <si>
    <t>Baird</t>
  </si>
  <si>
    <t>Granger</t>
  </si>
  <si>
    <t>bentleybaird2028@gmail.com</t>
  </si>
  <si>
    <t>Twitter</t>
  </si>
  <si>
    <t>6'3" 230lbs | Twitter: @BentleyBaird28 | 2028 3B/RHP Penn HS (IN) | SBA Bolts American | Max EV 100.0 | PBR: FB T86.4 (2384) | INF 85</t>
  </si>
  <si>
    <t>Blake Baker</t>
  </si>
  <si>
    <t>Trophy Club</t>
  </si>
  <si>
    <t>Byron Nelson</t>
  </si>
  <si>
    <t>817-823-4293</t>
  </si>
  <si>
    <t>6'0" 190lbs | Twitter: @Blake23baker | Byron Nelson HS (Trophy Club, TX) 2027 3B/INF/OF R/R | Weighted GPA 5.55 | Texas Edge North</t>
  </si>
  <si>
    <t>Riley Barker</t>
  </si>
  <si>
    <t>Barker</t>
  </si>
  <si>
    <t>Warwick, RI</t>
  </si>
  <si>
    <t>Hugh Bassett</t>
  </si>
  <si>
    <t>Hugh</t>
  </si>
  <si>
    <t>Bassett</t>
  </si>
  <si>
    <t>Boston, MA</t>
  </si>
  <si>
    <t>Two-way - LHH | Also catcher (tool)</t>
  </si>
  <si>
    <t>Christopher Baxter</t>
  </si>
  <si>
    <t>Christopher</t>
  </si>
  <si>
    <t>Baxter</t>
  </si>
  <si>
    <t>Hopewell High School</t>
  </si>
  <si>
    <t>On Deck O's</t>
  </si>
  <si>
    <t>4.5 GPA</t>
  </si>
  <si>
    <t>chrisbaxter8@icloud.com</t>
  </si>
  <si>
    <t>704-728-9046</t>
  </si>
  <si>
    <t>6'2" 200lbs | Twitter: @Chris_Baxter08 | 1.9 pop, 78 catcher velo, 98+ EV | NCAA ID: #260282752 | Uncommitted</t>
  </si>
  <si>
    <t>Nash Beckman</t>
  </si>
  <si>
    <t>Nash</t>
  </si>
  <si>
    <t>Beckman</t>
  </si>
  <si>
    <t>Unknown</t>
  </si>
  <si>
    <t>De La Salle</t>
  </si>
  <si>
    <t>DV Baseball Club</t>
  </si>
  <si>
    <t>6'0" 180lbs | Twitter: @NashBeckman814</t>
  </si>
  <si>
    <t>Just saw on Twitter</t>
  </si>
  <si>
    <t>Cooper Benjamin</t>
  </si>
  <si>
    <t>San Rafael</t>
  </si>
  <si>
    <t>Marin Catholic</t>
  </si>
  <si>
    <t>Wildcatters</t>
  </si>
  <si>
    <t>6'0" 184lbs FB 86-88 T89 | Twitter: @cooperbbaseball | Marin Catholic HS (San Rafael, CA) 2027 LHP | Wildcatters National 2027</t>
  </si>
  <si>
    <t>Connor Bletsch</t>
  </si>
  <si>
    <t>Bletsch</t>
  </si>
  <si>
    <t>Elwood</t>
  </si>
  <si>
    <t>John Glenn HS</t>
  </si>
  <si>
    <t>3.9 GPA</t>
  </si>
  <si>
    <t>6'2" 205lbs | Twitter: @BletschConnor | 100+ EV, 6.9 60, 85 INF velo | Corner infielder | 4-year varsity | First 2 pitches of '26 season = 2 HRs</t>
  </si>
  <si>
    <t>Tucker Bliss</t>
  </si>
  <si>
    <t>Tucker</t>
  </si>
  <si>
    <t>Bliss</t>
  </si>
  <si>
    <t>Cohasset</t>
  </si>
  <si>
    <t>Phillips Andover</t>
  </si>
  <si>
    <t>tucker.bliss@icloud.com</t>
  </si>
  <si>
    <t>6'6" 205lbs | Twitter: @TuckerBliss4 | Phillips Andover ‘27 RHP from Cohasset, MA | 4.0 GPA | 60 Time: 6.75 | NE Ruffnecks 17u</t>
  </si>
  <si>
    <t>Jake Boguniecki</t>
  </si>
  <si>
    <t>Boguniecki</t>
  </si>
  <si>
    <t>Amity</t>
  </si>
  <si>
    <t>CT Dawgs</t>
  </si>
  <si>
    <t>Lucca Boyce</t>
  </si>
  <si>
    <t>Lucca</t>
  </si>
  <si>
    <t>Boyce</t>
  </si>
  <si>
    <t>Daniel Hand High School</t>
  </si>
  <si>
    <t>5'11" 195lbs | Twitter: @LuccaBoyce3 | Daniel Hand HS (Madison, CT) ‘27 OF | also football RB/DB</t>
  </si>
  <si>
    <t>Gavin Broesamle</t>
  </si>
  <si>
    <t>Broesamle</t>
  </si>
  <si>
    <t>Lake Forest</t>
  </si>
  <si>
    <t>El Toro High School</t>
  </si>
  <si>
    <t>6'0" 180lbs | Twitter: @gavinbroesamle | Friars Baseball Club 2028 | 4 IP, 1 R, 5 K (05-25-2026) | FiveTool Player of the Game x4, DOTW x1 | Uncommitted</t>
  </si>
  <si>
    <t>Gavin Bucceri</t>
  </si>
  <si>
    <t>Bucceri</t>
  </si>
  <si>
    <t>Brock Bumgardner</t>
  </si>
  <si>
    <t>Bumgardner</t>
  </si>
  <si>
    <t>Cherryville</t>
  </si>
  <si>
    <t>Cherryville High School</t>
  </si>
  <si>
    <t>704-661-2412</t>
  </si>
  <si>
    <t>6'4" 190lbs | Twitter: @BrockBumgardne3 | 2027 RHP/3B Cherryville HS (NC) | CBA Orioles | phone in bio</t>
  </si>
  <si>
    <t>Bradley Burckhardt</t>
  </si>
  <si>
    <t>Burckhardt</t>
  </si>
  <si>
    <t>Glenelg High School</t>
  </si>
  <si>
    <t>Ole Liners</t>
  </si>
  <si>
    <t>Bradley.Burckhardt@Gmail.com</t>
  </si>
  <si>
    <t>6'3" 208lbs | Twitter: @BradleyBur51946 | 102 mph Max EV</t>
  </si>
  <si>
    <t>James Callaway</t>
  </si>
  <si>
    <t>Callaway</t>
  </si>
  <si>
    <t>Alpharetta</t>
  </si>
  <si>
    <t>Denmark HS</t>
  </si>
  <si>
    <t>East Cobb Astros</t>
  </si>
  <si>
    <t>3.86 GPA</t>
  </si>
  <si>
    <t>James.callaway2@yahoo.com</t>
  </si>
  <si>
    <t>201-400-5129</t>
  </si>
  <si>
    <t>6'5" 212lbs | Twitter: @JamesCallaway28 | FB 89.9 PR (Trackman) | Braves Scout 16u | Stb = strike thrower</t>
  </si>
  <si>
    <t>Cooper Campbell</t>
  </si>
  <si>
    <t>Cherry Creek High School</t>
  </si>
  <si>
    <t>3.6 GPA</t>
  </si>
  <si>
    <t>720-520-0354</t>
  </si>
  <si>
    <t>6'0" 180lbs | Twitter: @CooperCamp28 | Cherry Creek HS (CO) 2027 2B-3B-OF | Slammers Bitzer | 3.6 GPA</t>
  </si>
  <si>
    <t>6'0" 180lbs | Twitter: @CooperCamp28 | OF</t>
  </si>
  <si>
    <t>Joseph Cardona Jr.</t>
  </si>
  <si>
    <t>Cardona Jr.</t>
  </si>
  <si>
    <t>Buda</t>
  </si>
  <si>
    <t>Jaguar HS (Buda)</t>
  </si>
  <si>
    <t>737-610-9802</t>
  </si>
  <si>
    <t>5'11" 190lbs | Twitter: @joeycardsjr | 3.97 GPA | 103 EV, 84-85 BBS, 6.6-6.0 60 | Wildcatters National '27 | Uncommitted</t>
  </si>
  <si>
    <t>Paul Chamberland</t>
  </si>
  <si>
    <t>Paul</t>
  </si>
  <si>
    <t>Chamberland</t>
  </si>
  <si>
    <t>Matthew Chin</t>
  </si>
  <si>
    <t>Mount Sinai</t>
  </si>
  <si>
    <t>East Coast Lumberjacks 2027s</t>
  </si>
  <si>
    <t>Trigg Cloward</t>
  </si>
  <si>
    <t>Trigg</t>
  </si>
  <si>
    <t>Cloward</t>
  </si>
  <si>
    <t>Francis Conners-Schmid</t>
  </si>
  <si>
    <t>Francis</t>
  </si>
  <si>
    <t>Conners-Schmid</t>
  </si>
  <si>
    <t>6'2" 220lbs | Twitter: @ConnersSky43537 | 104.6 EV, 95.6 avg EV, 403' dist, 6.99 speed, 90 arm velo | Impact 2-way LHH | Jason Kidd Select 16u | PBR NE Top Prospect Games Session 1 (June 18, Mitchell College)</t>
  </si>
  <si>
    <t>Brock Copass</t>
  </si>
  <si>
    <t>Copass</t>
  </si>
  <si>
    <t>Bixby</t>
  </si>
  <si>
    <t>Sapulpa</t>
  </si>
  <si>
    <t>580-483-5538</t>
  </si>
  <si>
    <t>William Corbin</t>
  </si>
  <si>
    <t>Corbin</t>
  </si>
  <si>
    <t>Hingham High</t>
  </si>
  <si>
    <t>Cavan Crain</t>
  </si>
  <si>
    <t>Cavan</t>
  </si>
  <si>
    <t>Mitch Culver</t>
  </si>
  <si>
    <t>Mitch</t>
  </si>
  <si>
    <t>Culver</t>
  </si>
  <si>
    <t>Robbie Daley</t>
  </si>
  <si>
    <t>Robbie</t>
  </si>
  <si>
    <t>Daley</t>
  </si>
  <si>
    <t>Governors Academy</t>
  </si>
  <si>
    <t>DJ Denney</t>
  </si>
  <si>
    <t>DJ</t>
  </si>
  <si>
    <t>Denney</t>
  </si>
  <si>
    <t>Argyle HS</t>
  </si>
  <si>
    <t>6'1" 185lbs | Twitter: @dj_denney25778 | Cobras 17u | 4-4, 3 RBI, HR in playoff Round 4</t>
  </si>
  <si>
    <t>Cooper DeWaal</t>
  </si>
  <si>
    <t>DeWaal</t>
  </si>
  <si>
    <t>Frederick</t>
  </si>
  <si>
    <t>Oakdale HS</t>
  </si>
  <si>
    <t>Canes (Raleigh, NC)</t>
  </si>
  <si>
    <t>6'2" 185lbs | Twitter: @cooperdewaal | 4.32 GPA | PBR National #122, POS #35 | MD State #2, POS #1 | Varsity basketball</t>
  </si>
  <si>
    <t>Michael Doherty</t>
  </si>
  <si>
    <t>Doherty</t>
  </si>
  <si>
    <t>Declan Doogan</t>
  </si>
  <si>
    <t>Doogan</t>
  </si>
  <si>
    <t>CJ Dornfeld</t>
  </si>
  <si>
    <t>Dornfeld</t>
  </si>
  <si>
    <t>4.0 GPA</t>
  </si>
  <si>
    <t>6'1" 185lbs | Twitter: @CJDornfeld | PG Catcher rank #9 Nation, #1 MN | USA Baseball NTDP | 1.98-2.05 pop, 84-85 mph arm, barrel | 4th rd WHL pick (@WHLHurricanes) | Also plays hockey (center) | Dec 2011 birthday | Canes MW National</t>
  </si>
  <si>
    <t>Hudson Doughty</t>
  </si>
  <si>
    <t>Doughty</t>
  </si>
  <si>
    <t>Calvert City</t>
  </si>
  <si>
    <t>Marshall County HS</t>
  </si>
  <si>
    <t>4.0 GPA / 1220 SAT</t>
  </si>
  <si>
    <t>270-252-5064</t>
  </si>
  <si>
    <t>6'0" 195lbs | Twitter: @hudson_doughty | 4.1 weighted GPA | 100+ EV, 85+ INF velo, 7.3 60 | Bench 235, Squat 375 | Uncommitted</t>
  </si>
  <si>
    <t>Anthony Dufour</t>
  </si>
  <si>
    <t>Dufour</t>
  </si>
  <si>
    <t>Damien Eastman</t>
  </si>
  <si>
    <t>Damien</t>
  </si>
  <si>
    <t>Eastman</t>
  </si>
  <si>
    <t>Wyoming Valley West</t>
  </si>
  <si>
    <t>6'1" 170lbs | Twitter: @Damiene2127 | 2028 RHP/3B Wyoming Valley West SHS (PA) | FB 79-81 | EV 91</t>
  </si>
  <si>
    <t>Deacon Evrviviades</t>
  </si>
  <si>
    <t>Deacon</t>
  </si>
  <si>
    <t>Evrviviades</t>
  </si>
  <si>
    <t>Milton Academy</t>
  </si>
  <si>
    <t>Evan Fallon</t>
  </si>
  <si>
    <t>Fallon</t>
  </si>
  <si>
    <t>Miller Place</t>
  </si>
  <si>
    <t>East Coast Lumberjacks</t>
  </si>
  <si>
    <t>Andrew Fancher</t>
  </si>
  <si>
    <t>Fancher</t>
  </si>
  <si>
    <t>Tabor Academy</t>
  </si>
  <si>
    <t>Contact Van Rogers arm</t>
  </si>
  <si>
    <t>Dominic Ferreira</t>
  </si>
  <si>
    <t>Ferreira</t>
  </si>
  <si>
    <t>McCoy rec: he's a reach, coming back from injury.  90-93, command issues</t>
  </si>
  <si>
    <t>Alex Fiore</t>
  </si>
  <si>
    <t>Fiore</t>
  </si>
  <si>
    <t>Harrison Fisher</t>
  </si>
  <si>
    <t>Fisher</t>
  </si>
  <si>
    <t>Cranston East</t>
  </si>
  <si>
    <t>RI Bandits</t>
  </si>
  <si>
    <t>Eddie Flores</t>
  </si>
  <si>
    <t>JFK Catholic</t>
  </si>
  <si>
    <t>FB Braves</t>
  </si>
  <si>
    <t>Erick Flores</t>
  </si>
  <si>
    <t>Erick</t>
  </si>
  <si>
    <t>Heritage</t>
  </si>
  <si>
    <t>NOVA Premier Baseball</t>
  </si>
  <si>
    <t>eflo23.baseball@gmail.com</t>
  </si>
  <si>
    <t>571-778-1175</t>
  </si>
  <si>
    <t>Twitter: @Eflo23_Baseball | 5'10" 182lbs | 1.86 POP | Hitting .452 with a .605 OBP</t>
  </si>
  <si>
    <t>Nathaniel Fuller</t>
  </si>
  <si>
    <t>Nathaniel</t>
  </si>
  <si>
    <t>Benjamin Fuqua</t>
  </si>
  <si>
    <t>Fuqua</t>
  </si>
  <si>
    <t>Spring Branch</t>
  </si>
  <si>
    <t>Memorial High School</t>
  </si>
  <si>
    <t>832-683-3090</t>
  </si>
  <si>
    <t>6'2" 225lbs | Twitter: @BenFuqua8 | Memorial HS (Spring Branch, TX) 2027 LHP | @mustanghardball</t>
  </si>
  <si>
    <t>Thomas Futrell</t>
  </si>
  <si>
    <t>Futrell</t>
  </si>
  <si>
    <t>Fulton</t>
  </si>
  <si>
    <t>Reservoir</t>
  </si>
  <si>
    <t>Kevin Gallagher</t>
  </si>
  <si>
    <t>Gallagher</t>
  </si>
  <si>
    <t>John Luca Gallina</t>
  </si>
  <si>
    <t>John Luca</t>
  </si>
  <si>
    <t>Gallina</t>
  </si>
  <si>
    <t>Andrew Garcia</t>
  </si>
  <si>
    <t>Ridgefield Park</t>
  </si>
  <si>
    <t>Wow Factor Northeast</t>
  </si>
  <si>
    <t>Ridgefield Park, NJ 2027 RHP/3B</t>
  </si>
  <si>
    <t>Reed Garrett</t>
  </si>
  <si>
    <t>Duxbury</t>
  </si>
  <si>
    <t>Jackson Gayer</t>
  </si>
  <si>
    <t>Gayer</t>
  </si>
  <si>
    <t>Haddonfield Memorial</t>
  </si>
  <si>
    <t>Combat</t>
  </si>
  <si>
    <t>Preston Gorski</t>
  </si>
  <si>
    <t>Gorski</t>
  </si>
  <si>
    <t>Bellaire</t>
  </si>
  <si>
    <t>Episcopal HS</t>
  </si>
  <si>
    <t>TEST</t>
  </si>
  <si>
    <t>pgorski2027@ehshouston.org</t>
  </si>
  <si>
    <t>713-829-4304</t>
  </si>
  <si>
    <t>Twitter: @PrestonGorski | T92 | All-South Zone honoree | No summer team listed</t>
  </si>
  <si>
    <t>Danny Graziano</t>
  </si>
  <si>
    <t>Graziano</t>
  </si>
  <si>
    <t>Paramus</t>
  </si>
  <si>
    <t>Bergen Catholic</t>
  </si>
  <si>
    <t>dgraz223@gmail.com</t>
  </si>
  <si>
    <t>6'0" 190lbs | Twitter: @dannygraziano0 | Bergen Catholic (Paramus, NJ) 2027 Corner IF/OF/RHP | FB 87 | 7.06 60</t>
  </si>
  <si>
    <t>Rocco Grotto</t>
  </si>
  <si>
    <t>Grotto</t>
  </si>
  <si>
    <t>Serf Guerra</t>
  </si>
  <si>
    <t>Serf</t>
  </si>
  <si>
    <t>Guerra</t>
  </si>
  <si>
    <t>Jefferson</t>
  </si>
  <si>
    <t>WV</t>
  </si>
  <si>
    <t>Jefferson High School</t>
  </si>
  <si>
    <t>Mid Atlantic Red Sox</t>
  </si>
  <si>
    <t>Twitter: @SerfsUp13 | 3 run home run</t>
  </si>
  <si>
    <t>Jacob Guevara</t>
  </si>
  <si>
    <t>Guevara</t>
  </si>
  <si>
    <t>San Antonio</t>
  </si>
  <si>
    <t>Floresville High School</t>
  </si>
  <si>
    <t>210-973-9985</t>
  </si>
  <si>
    <t>6'0" | Twitter: @JacobGu76244580 | 7 IP, 5K, 6H, 1BB, 2R, 5-2 W vs Cuero (Bi-District) | Also plays OF</t>
  </si>
  <si>
    <t>Alex Hannah</t>
  </si>
  <si>
    <t>Hannah</t>
  </si>
  <si>
    <t>West Chester</t>
  </si>
  <si>
    <t>Devon Prep HS</t>
  </si>
  <si>
    <t>alexhannah2027@gmail.com</t>
  </si>
  <si>
    <t>484-787-9190</t>
  </si>
  <si>
    <t>Mike Manning Recc. Twitter: @alexhannah2027 | 5'10" 185 lbs | 6.75 60, 105 EV, 90 mph pulldown</t>
  </si>
  <si>
    <t>Luke Hardy</t>
  </si>
  <si>
    <t>Hardy</t>
  </si>
  <si>
    <t>Brenham HS</t>
  </si>
  <si>
    <t>Twitter: @LukeOHardy | FB: 87-88, SL: 78-79, CH: 81-82 | INF velo: 87 | Max EV: 96.8 | "Heavy FB that will only continue to rise" - PBR TX</t>
  </si>
  <si>
    <t>Shane Harrington</t>
  </si>
  <si>
    <t>Harrington</t>
  </si>
  <si>
    <t>Walpole</t>
  </si>
  <si>
    <t>(781) 801-2513</t>
  </si>
  <si>
    <t>shaneharrington09@gmail.com</t>
  </si>
  <si>
    <t xml:space="preserve">AVG. 468 3hrs, 21 rbis, 8 SB, team  Massachussetts selection </t>
  </si>
  <si>
    <t>1270 SAT</t>
  </si>
  <si>
    <t xml:space="preserve">Partial labrum tear, mcl sprain, broken wrist, little leaguers elbow, only surgery I’ve had was for a broken nose </t>
  </si>
  <si>
    <t>David Harris</t>
  </si>
  <si>
    <t>Harris</t>
  </si>
  <si>
    <t>Taylor HS</t>
  </si>
  <si>
    <t>Twitter: @davidbharris8 | 5K, 1H outing | Twelve Maroon 2027 | Uncommitted</t>
  </si>
  <si>
    <t>Drew Harthcock</t>
  </si>
  <si>
    <t>Harthcock</t>
  </si>
  <si>
    <t>Round Rock High School</t>
  </si>
  <si>
    <t>4.6 GPA / 1220 SAT</t>
  </si>
  <si>
    <t>drewharthcock4@gmail.com</t>
  </si>
  <si>
    <t>512-550-1143</t>
  </si>
  <si>
    <t>Twitter: @drew_harthcock4 | Also plays 2B/3B/OF | "Compact, physical athlete...middle-of-the-diamond player at the next level with present bat speed" - Dustin McComas, Five Tool Texas</t>
  </si>
  <si>
    <t>Landon Henderlight</t>
  </si>
  <si>
    <t>Henderlight</t>
  </si>
  <si>
    <t>Goodpasture Christian School</t>
  </si>
  <si>
    <t>Emailed, setting up call. Like what I see from video.</t>
  </si>
  <si>
    <t>Jabob Hernandez</t>
  </si>
  <si>
    <t>Jabob</t>
  </si>
  <si>
    <t>Hernandez</t>
  </si>
  <si>
    <t>Alex Hernandez</t>
  </si>
  <si>
    <t>Cypress</t>
  </si>
  <si>
    <t>Cypress Ranch HS</t>
  </si>
  <si>
    <t>5'10" 180lbs | Twitter: @ahernz13 | 6.65 sec 60yd, 97 MPH pulldown | Jr year: .418 AVG, .515 OBP, .747 SLG, 1.262 OPS, 33H, 6HR, 25 RBI, 20 SB | Texas Twelve Red Sox 2027</t>
  </si>
  <si>
    <t>Kai Hernandez-Gambill</t>
  </si>
  <si>
    <t>Kai</t>
  </si>
  <si>
    <t>Hernandez-Gambill</t>
  </si>
  <si>
    <t>Savannah</t>
  </si>
  <si>
    <t>Kaihernandezgam17@gmail.com</t>
  </si>
  <si>
    <t>BA - .495 OPS - 1.456    OBP - .597    SLG - .859 HR - 8 RBI - 45 R - 38</t>
  </si>
  <si>
    <t>96.61 weighted GPA</t>
  </si>
  <si>
    <t>UCL repair 09/18/2023</t>
  </si>
  <si>
    <t>Zythromax</t>
  </si>
  <si>
    <t>Yes, I have dyslexia and require extra on tests</t>
  </si>
  <si>
    <t>Logan Hoag</t>
  </si>
  <si>
    <t>Hoag</t>
  </si>
  <si>
    <t>Merrimack</t>
  </si>
  <si>
    <t>NH Prospects</t>
  </si>
  <si>
    <t>Jackson Hornick</t>
  </si>
  <si>
    <t>Hornick</t>
  </si>
  <si>
    <t>Noah Hubert</t>
  </si>
  <si>
    <t>Hubert</t>
  </si>
  <si>
    <t>Hellertown</t>
  </si>
  <si>
    <t>Saucon Valley</t>
  </si>
  <si>
    <t>Jack Hurlburt</t>
  </si>
  <si>
    <t>Hurlburt</t>
  </si>
  <si>
    <t>McCoy rec: ss/3b, 6'3 gap to gap hitter.  plays at A3.  nothing flashing but impressive</t>
  </si>
  <si>
    <t>Anthony Indiano</t>
  </si>
  <si>
    <t>Indiano</t>
  </si>
  <si>
    <t>Churchville Chili</t>
  </si>
  <si>
    <t>NY Saints</t>
  </si>
  <si>
    <t>Luke Irwin</t>
  </si>
  <si>
    <t>Irwin</t>
  </si>
  <si>
    <t>Cedar Ridge HS</t>
  </si>
  <si>
    <t>3.5</t>
  </si>
  <si>
    <t>Rec from Joe Oliver rep.  6.9 run.  6’1 185. Decent swing on video.   Taking pre-cal JR yr</t>
  </si>
  <si>
    <t>Tanner Ivaska</t>
  </si>
  <si>
    <t>Ivaska</t>
  </si>
  <si>
    <t>Senoia, GA</t>
  </si>
  <si>
    <t>Starrs Mill</t>
  </si>
  <si>
    <t>Home Plate Chili Dogs 2027</t>
  </si>
  <si>
    <t>Brayden Jagoe</t>
  </si>
  <si>
    <t>Jagoe</t>
  </si>
  <si>
    <t>Trumbull</t>
  </si>
  <si>
    <t>Tucci Elite</t>
  </si>
  <si>
    <t>Joshua Jakubowicz</t>
  </si>
  <si>
    <t>Jakubowicz</t>
  </si>
  <si>
    <t>S/L</t>
  </si>
  <si>
    <t>Parkland</t>
  </si>
  <si>
    <t>Marjory Stoneman Douglas</t>
  </si>
  <si>
    <t>HT Jones</t>
  </si>
  <si>
    <t>HT</t>
  </si>
  <si>
    <t>St Joseph</t>
  </si>
  <si>
    <t>Will Jones</t>
  </si>
  <si>
    <t>Hingham</t>
  </si>
  <si>
    <t>Hingham High School</t>
  </si>
  <si>
    <t>willthomjones@gmail.com</t>
  </si>
  <si>
    <t>6'5" 190lbs | Twitter: @WillJones175326 | Hingham High School 2027 RHP/OF L/R | Matt Duffy Baseball | 3.5 GPA 1250 SAT</t>
  </si>
  <si>
    <t>Rylan Jordan</t>
  </si>
  <si>
    <t>John Champ HS</t>
  </si>
  <si>
    <t>Nova Premier</t>
  </si>
  <si>
    <t>rylanjordan08@gmail.com</t>
  </si>
  <si>
    <t>571-599-8910</t>
  </si>
  <si>
    <t>Twitter: @RylanJordan12 | PBR JFG Alum</t>
  </si>
  <si>
    <t>Michael Kanarek</t>
  </si>
  <si>
    <t>Kanarek</t>
  </si>
  <si>
    <t>Parkland, FL</t>
  </si>
  <si>
    <t>Broward Virtual School</t>
  </si>
  <si>
    <t>East Coast Baseball</t>
  </si>
  <si>
    <t>Cole Kantorski</t>
  </si>
  <si>
    <t>Kantorski</t>
  </si>
  <si>
    <t>White Marsh</t>
  </si>
  <si>
    <t>Justin Kauffman</t>
  </si>
  <si>
    <t>Kauffman</t>
  </si>
  <si>
    <t>Seamus Keller</t>
  </si>
  <si>
    <t>Seamus</t>
  </si>
  <si>
    <t>Keller</t>
  </si>
  <si>
    <t>Allstars Academy</t>
  </si>
  <si>
    <t>Mac Kennedy</t>
  </si>
  <si>
    <t>Kennedy</t>
  </si>
  <si>
    <t>Chatsworth</t>
  </si>
  <si>
    <t>Sierra Canyon</t>
  </si>
  <si>
    <t>4.33 GPA</t>
  </si>
  <si>
    <t>6'7" 235lbs | Twitter: @mac_kennedy_36 | Sierra Canyon 2027 LHP | 4.33 Cumulative GPA</t>
  </si>
  <si>
    <t>Nate Kessell</t>
  </si>
  <si>
    <t>Kessell</t>
  </si>
  <si>
    <t>Daniel Hand</t>
  </si>
  <si>
    <t>nate.kessell2028@gmail.com</t>
  </si>
  <si>
    <t>6'1" 190lbs | Twitter: @natekess11 | Daniel Hand HS (Madison, CT) 2028 LHP/OF L/L | MVP New England | 3.5 GPA | Regular Season: 26.1 IP, 0.26 ERA, 0.873 WHIP, 33 Ks</t>
  </si>
  <si>
    <t>Peyton Kilhoffer</t>
  </si>
  <si>
    <t>Kilhoffer</t>
  </si>
  <si>
    <t>Henryetta</t>
  </si>
  <si>
    <t>Dewar</t>
  </si>
  <si>
    <t>918-319-1299</t>
  </si>
  <si>
    <t>Justin Kirchner</t>
  </si>
  <si>
    <t>Kirchner</t>
  </si>
  <si>
    <t>Vanderbilt</t>
  </si>
  <si>
    <t>Encino</t>
  </si>
  <si>
    <t>Harvard-Westlake</t>
  </si>
  <si>
    <t>818-530-8599</t>
  </si>
  <si>
    <t>Bobby Kleinow</t>
  </si>
  <si>
    <t>Kleinow</t>
  </si>
  <si>
    <t>Tripp Kneale</t>
  </si>
  <si>
    <t>Tripp</t>
  </si>
  <si>
    <t>Kneale</t>
  </si>
  <si>
    <t>Houston</t>
  </si>
  <si>
    <t>Kinkaid School</t>
  </si>
  <si>
    <t>4.15 weighted GPA / 33 ACT</t>
  </si>
  <si>
    <t>tripp.kneale@kinkaid.org</t>
  </si>
  <si>
    <t>832-523-2948</t>
  </si>
  <si>
    <t>6'2" 170lbs | Twitter: @TrippKneale | 5.1 IP, 6K, 2H, 1BB, 0R vs Houston Christian (relief) | Test Baseball</t>
  </si>
  <si>
    <t>Max Lamonica</t>
  </si>
  <si>
    <t>Lamonica</t>
  </si>
  <si>
    <t>Mikey Landers</t>
  </si>
  <si>
    <t>Landers</t>
  </si>
  <si>
    <t>Marshfield High</t>
  </si>
  <si>
    <t>Two-way - True athlete</t>
  </si>
  <si>
    <t>Max Landers</t>
  </si>
  <si>
    <t>Young for grade - two way - 5 tool</t>
  </si>
  <si>
    <t>Will Lavelle</t>
  </si>
  <si>
    <t>Lavelle</t>
  </si>
  <si>
    <t>Noble and Greenough</t>
  </si>
  <si>
    <t>wlavelle28@nobles.edu</t>
  </si>
  <si>
    <t>781-690-9913</t>
  </si>
  <si>
    <t>Twitter: @willy_lav24 | Plays 3B | Reclassed from 2027 to 2028 (transfer from Dexter) | Outstanding 2-way spring | High academic recruit | Nokona Chiefs 17u #24</t>
  </si>
  <si>
    <t>Jack Lerro</t>
  </si>
  <si>
    <t>Lerro</t>
  </si>
  <si>
    <t>Haddon Heights</t>
  </si>
  <si>
    <t>BPC</t>
  </si>
  <si>
    <t>jacklerro0@gmail.com</t>
  </si>
  <si>
    <t>856-287-0473</t>
  </si>
  <si>
    <t>6'2" 195lbs | Twitter: @JackLerro6456 | PG Scouting: Uncommitted ‘27 RHP comes out of the ‘pen sitting 90-91 w/ ride/run profile &amp; spin up to 2300rpm. Breaker takes on 11/5 shape w/ nice depth to it. Creates downhill extension &amp; has</t>
  </si>
  <si>
    <t>Brody Libel</t>
  </si>
  <si>
    <t>Libel</t>
  </si>
  <si>
    <t>Utility</t>
  </si>
  <si>
    <t>Carol Stream</t>
  </si>
  <si>
    <t>Glenbard North</t>
  </si>
  <si>
    <t>Lynx</t>
  </si>
  <si>
    <t>brodydude80@icloud.com</t>
  </si>
  <si>
    <t>630-418-1614</t>
  </si>
  <si>
    <t>Jacob Lilienthal</t>
  </si>
  <si>
    <t>Lilienthal</t>
  </si>
  <si>
    <t>Braden Little</t>
  </si>
  <si>
    <t>Little</t>
  </si>
  <si>
    <t>USA Scout National</t>
  </si>
  <si>
    <t>Luke Loeb</t>
  </si>
  <si>
    <t>Loeb</t>
  </si>
  <si>
    <t>AP: coach rec.  6'2 180 good looking, 6.85 runner, moves well, real good swing with bat speed.</t>
  </si>
  <si>
    <t>Patrick Long</t>
  </si>
  <si>
    <t>Marcos Lopez</t>
  </si>
  <si>
    <t>Marcos</t>
  </si>
  <si>
    <t>Archbishop Molloy</t>
  </si>
  <si>
    <t>Rickee Luevano</t>
  </si>
  <si>
    <t>Rickee</t>
  </si>
  <si>
    <t>Luevano</t>
  </si>
  <si>
    <t>Sylmar Charter High School</t>
  </si>
  <si>
    <t>Twitter: @LuevanoRickee</t>
  </si>
  <si>
    <t>Sounds like Jake Hooten. pure power, man strength. Coach said first base/RF</t>
  </si>
  <si>
    <t>Wyatt Maciel</t>
  </si>
  <si>
    <t>Maciel</t>
  </si>
  <si>
    <t>DC</t>
  </si>
  <si>
    <t>St. John's College High School</t>
  </si>
  <si>
    <t>(202) 286-8308</t>
  </si>
  <si>
    <t>Twitter: @maciel_wya99430 | FB: 88.4, CB: 71, CH: 78.3 | 2025 Fall Stats: 14 IP, 0.00 ERA, .131 BAA, 82.5 WEAK%</t>
  </si>
  <si>
    <t>Dean Madden</t>
  </si>
  <si>
    <t>Madden</t>
  </si>
  <si>
    <t>Canton</t>
  </si>
  <si>
    <t>Joey Maiella</t>
  </si>
  <si>
    <t>Maiella</t>
  </si>
  <si>
    <t>4.62 GPA</t>
  </si>
  <si>
    <t>973-903-7478</t>
  </si>
  <si>
    <t>6'0" 200lbs | Twitter: @Jmaiella_16 | Seton Hall Prep 2027 C | 1.93 Pop Time | 97 EV</t>
  </si>
  <si>
    <t>Max Mandler</t>
  </si>
  <si>
    <t>Mandler</t>
  </si>
  <si>
    <t>Maynard</t>
  </si>
  <si>
    <t>Grayson Marek</t>
  </si>
  <si>
    <t>Marek</t>
  </si>
  <si>
    <t>Alvin</t>
  </si>
  <si>
    <t>Alvin HS</t>
  </si>
  <si>
    <t>346-253-5895</t>
  </si>
  <si>
    <t>Twitter: @gbmarek08 | AHS Baseball | Texas Twelve Baseball</t>
  </si>
  <si>
    <t>Braden Martin</t>
  </si>
  <si>
    <t>Jorden Marzi</t>
  </si>
  <si>
    <t>Jorden</t>
  </si>
  <si>
    <t>Marzi</t>
  </si>
  <si>
    <t>The Rivers</t>
  </si>
  <si>
    <t>5'9" 155lbs | Twitter: @JordenMarzi_16 | The Rivers HS (MA) 2029 OF/RHP | MWS Devils</t>
  </si>
  <si>
    <t>Dante Matarese</t>
  </si>
  <si>
    <t>Dante</t>
  </si>
  <si>
    <t>Matarese</t>
  </si>
  <si>
    <t>Cherry Hill</t>
  </si>
  <si>
    <t>Bishop Eustace Prep</t>
  </si>
  <si>
    <t>Carsten Matthews</t>
  </si>
  <si>
    <t>Carsten</t>
  </si>
  <si>
    <t>IF</t>
  </si>
  <si>
    <t>P</t>
  </si>
  <si>
    <t>Westminster School</t>
  </si>
  <si>
    <t>cmatthews28@westminster-school.org</t>
  </si>
  <si>
    <t>Twitter: @carsten_m09 | All-Founders League Honorable Mention 2026</t>
  </si>
  <si>
    <t>Noah McMurray</t>
  </si>
  <si>
    <t>McMurray</t>
  </si>
  <si>
    <t>Huntingtown</t>
  </si>
  <si>
    <t>Huntingtown High School</t>
  </si>
  <si>
    <t>443-761-0762</t>
  </si>
  <si>
    <t>6'3" 190lbs | Twitter: @NoahMcMurray24 | FB 86-88 T89, CB 72-74, CH 78-79 | Summer Stats: 27IP, 33ks, 13BB, 18H, opp BAA 0.186, 5ER for a 1.29 ERA</t>
  </si>
  <si>
    <t>Keegan McShea</t>
  </si>
  <si>
    <t>McShea</t>
  </si>
  <si>
    <t>West Chester Bayard Rustin HS</t>
  </si>
  <si>
    <t>Keystone State Bombers</t>
  </si>
  <si>
    <t>kmcshea12@gmail.com</t>
  </si>
  <si>
    <t>610-701-1558</t>
  </si>
  <si>
    <t>6'2" 175lbs | Twitter: @Keegan_mcshea</t>
  </si>
  <si>
    <t>Michael Mendoza</t>
  </si>
  <si>
    <t>Mendoza</t>
  </si>
  <si>
    <t>3b</t>
  </si>
  <si>
    <t>Covina</t>
  </si>
  <si>
    <t>Northview HS</t>
  </si>
  <si>
    <t>909-668-3187</t>
  </si>
  <si>
    <t>Big bat good catch and throw catcher. Has thump and excellent bat to ball. Sounds like body getting better 5'10" 210. Rutgers and Upstate on him</t>
  </si>
  <si>
    <t>Evan Mizia</t>
  </si>
  <si>
    <t>Mizia</t>
  </si>
  <si>
    <t>Pittsburgh</t>
  </si>
  <si>
    <t>Seton-La Salle HS</t>
  </si>
  <si>
    <t>5'11" 175lbs | Twitter: @EvanMizia | PBR #11 RHP in PA, #20 overall | NCAA ID: 2511759383 | 1.1 IP, 1H, 0ER, 2K, 1BB vs Penn Trafford (QF win)</t>
  </si>
  <si>
    <t>Kyle Moan</t>
  </si>
  <si>
    <t>Moan</t>
  </si>
  <si>
    <t>Lassiter</t>
  </si>
  <si>
    <t>252-665-0534</t>
  </si>
  <si>
    <t>Cal Moody</t>
  </si>
  <si>
    <t>Moody</t>
  </si>
  <si>
    <t>Avon Old Farms</t>
  </si>
  <si>
    <t>calmoody5@gmail.com</t>
  </si>
  <si>
    <t>207-251-5728</t>
  </si>
  <si>
    <t>5'11" 197lbs | Twitter: @CalMoody4 | EV: 103 | Pop Time: 1.89 | C-Velo: 83 | Wells, Maine</t>
  </si>
  <si>
    <t>Hopkinton</t>
  </si>
  <si>
    <t>Hopkinton HS</t>
  </si>
  <si>
    <t>PBR New England Rising Star | #6 ranked 2029 class | Switch hitter | "High character young man" - Nokona Baseball | Also plays 2B</t>
  </si>
  <si>
    <t>Eliu Mora</t>
  </si>
  <si>
    <t>Eliu</t>
  </si>
  <si>
    <t>Mora</t>
  </si>
  <si>
    <t>The Base</t>
  </si>
  <si>
    <t>Micah Morgan</t>
  </si>
  <si>
    <t>Morgan</t>
  </si>
  <si>
    <t>Bluffton</t>
  </si>
  <si>
    <t>May River</t>
  </si>
  <si>
    <t>Jamie Morris</t>
  </si>
  <si>
    <t>Jamie</t>
  </si>
  <si>
    <t>Rye</t>
  </si>
  <si>
    <t>Rye High School</t>
  </si>
  <si>
    <t>4.0 GPA | 1380 SAT</t>
  </si>
  <si>
    <t>jamiemorris.059@gmail.com</t>
  </si>
  <si>
    <t>6'4" 200lbs | Twitter: @JamieMorris_21 | Rye HS ‘27 C/1B/3B LHH | Clubhouse Evoshield 2027</t>
  </si>
  <si>
    <t>Teagan Moulton</t>
  </si>
  <si>
    <t>Teagan</t>
  </si>
  <si>
    <t>Moulton</t>
  </si>
  <si>
    <t>teaganmoulton27@gmail.com</t>
  </si>
  <si>
    <t>304-616-0767</t>
  </si>
  <si>
    <t>Twitter: @TeaganMoulton</t>
  </si>
  <si>
    <t>Micah Murton</t>
  </si>
  <si>
    <t>Murton</t>
  </si>
  <si>
    <t>Palm Harbor</t>
  </si>
  <si>
    <t>Calvery Christian</t>
  </si>
  <si>
    <t>guthrie recs.  dad played MLB.  strained hammy last weekend.  good pop in bat.</t>
  </si>
  <si>
    <t>Max Mylet</t>
  </si>
  <si>
    <t>Mylet</t>
  </si>
  <si>
    <t>5'11" 175lbs | Twitter: @MaxMylet11448 | 2028 OF Wyoming Valley West SHS (PA) | EV 97</t>
  </si>
  <si>
    <t>Ryan Nipper</t>
  </si>
  <si>
    <t>Nipper</t>
  </si>
  <si>
    <t>Morgantown</t>
  </si>
  <si>
    <t>Morgantown High School</t>
  </si>
  <si>
    <t>6'2" 180lbs | Twitter: @RyanBeanNipper | 6.5 60, 86+ Arm Velo, 95+ EV | 29 Games, .348 Avg, .500 OBP, 1.007 OPS, .507 SLG, 24 Hits, 8 XBH, 13 RBI, 29 runs</t>
  </si>
  <si>
    <t>Brendan O'Toole</t>
  </si>
  <si>
    <t>Brendan</t>
  </si>
  <si>
    <t>Waltham</t>
  </si>
  <si>
    <t>brendanotoole672@gmail.com</t>
  </si>
  <si>
    <t>6'3" 180lbs | Twitter: @BrendanOToole99 | Milton Academy 2029 LHP/OF | Waltham, MA | Boston Prime</t>
  </si>
  <si>
    <t>Nate Odegard</t>
  </si>
  <si>
    <t>Odegard</t>
  </si>
  <si>
    <t>ndodegard@cox.net</t>
  </si>
  <si>
    <t>860-996-4546</t>
  </si>
  <si>
    <t>6'0" 190lbs | Twitter: @Nate_Odegard | 2027 Pitcher | Velo 91 | MVP New England</t>
  </si>
  <si>
    <t>Nelson Ong</t>
  </si>
  <si>
    <t>Ong</t>
  </si>
  <si>
    <t>Key West HS</t>
  </si>
  <si>
    <t>McCoy rec: older brother SEC pitcher.  6.9 runner, 92 RHH OF.  ball player</t>
  </si>
  <si>
    <t>Matthew Ordonez</t>
  </si>
  <si>
    <t>Ordonez</t>
  </si>
  <si>
    <t>Queens</t>
  </si>
  <si>
    <t>St Francis Prep</t>
  </si>
  <si>
    <t>ordonezmathew6@gmail.com</t>
  </si>
  <si>
    <t>347-210-2522</t>
  </si>
  <si>
    <t>6'2" 200lbs | Twitter: @Matt_ord2027 | St Francis Prep (Queens, NY) 2027 C | 3.7 GPA | EV 98 | C Velo 81 | Pop Time ~2.00 | Uncommitted</t>
  </si>
  <si>
    <t>Brannan Overstreet</t>
  </si>
  <si>
    <t>Brannan</t>
  </si>
  <si>
    <t>Overstreet</t>
  </si>
  <si>
    <t>Magnolia Heights</t>
  </si>
  <si>
    <t>662-449-6197</t>
  </si>
  <si>
    <t>Ryan Pacitti</t>
  </si>
  <si>
    <t>Pacitti</t>
  </si>
  <si>
    <t>Stroudsburg</t>
  </si>
  <si>
    <t>Baseball U PA</t>
  </si>
  <si>
    <t>ryanpacitti0@gmail.com</t>
  </si>
  <si>
    <t>6'0" 180lbs | Twitter: @ryanpacitti34 | 84 OF velo, 103 exit velo, 6.81 60
Mike Guy Recc</t>
  </si>
  <si>
    <t>Nick Pascucci</t>
  </si>
  <si>
    <t>Pascucci</t>
  </si>
  <si>
    <t>Lincroft</t>
  </si>
  <si>
    <t>Christian Bro</t>
  </si>
  <si>
    <t>Matt Pedroli</t>
  </si>
  <si>
    <t>Pedroli</t>
  </si>
  <si>
    <t>MWS Devils 15u | Hopkinton 2028 OF/RHP | Twitter: @mattpedroli3</t>
  </si>
  <si>
    <t>Connor Pellerin</t>
  </si>
  <si>
    <t>Pellerin</t>
  </si>
  <si>
    <t>Ian Perez</t>
  </si>
  <si>
    <t>Perez</t>
  </si>
  <si>
    <t>Citius Prep</t>
  </si>
  <si>
    <t>Eddie Pineiro</t>
  </si>
  <si>
    <t>Pineiro</t>
  </si>
  <si>
    <t>Lincoln Pollack</t>
  </si>
  <si>
    <t>Pollack</t>
  </si>
  <si>
    <t>https://www.perfectgame.org/Players/Playerprofile.aspx?ID=533582</t>
  </si>
  <si>
    <t>Spencer Polsky</t>
  </si>
  <si>
    <t>Pelham HS</t>
  </si>
  <si>
    <t>Peyton Price</t>
  </si>
  <si>
    <t>Price</t>
  </si>
  <si>
    <t>Cedar Cliff</t>
  </si>
  <si>
    <t>717-601-8837</t>
  </si>
  <si>
    <t>James Price</t>
  </si>
  <si>
    <t>Tyler Priest</t>
  </si>
  <si>
    <t>Kanen Pritchard</t>
  </si>
  <si>
    <t>Kanen</t>
  </si>
  <si>
    <t>Pritchard</t>
  </si>
  <si>
    <t>Wake Forest</t>
  </si>
  <si>
    <t>Heritage HS</t>
  </si>
  <si>
    <t>Michael Psarros</t>
  </si>
  <si>
    <t>Psarros</t>
  </si>
  <si>
    <t>St. Francis Prep</t>
  </si>
  <si>
    <t>MVP New York</t>
  </si>
  <si>
    <t>Benicio Quinones</t>
  </si>
  <si>
    <t>Benicio</t>
  </si>
  <si>
    <t>Quinones</t>
  </si>
  <si>
    <t>Bo Raines</t>
  </si>
  <si>
    <t>Raines</t>
  </si>
  <si>
    <t>Scottsdale</t>
  </si>
  <si>
    <t>Desert Mountain HS</t>
  </si>
  <si>
    <t>NorCal U</t>
  </si>
  <si>
    <t>4.833 GPA</t>
  </si>
  <si>
    <t>bodenpatrickr@gmail.com</t>
  </si>
  <si>
    <t>6'2" 180lbs | Twitter: @2029BoRaines | #23 | 2x PG Top Prospect Team | Also plays SS/1B | 5A State Champs freshman year</t>
  </si>
  <si>
    <t>Andrew Rapose</t>
  </si>
  <si>
    <t>Rapose</t>
  </si>
  <si>
    <t>Coventry, RI</t>
  </si>
  <si>
    <t>Coventry</t>
  </si>
  <si>
    <t>Hudson Reed</t>
  </si>
  <si>
    <t>Carson Reeves</t>
  </si>
  <si>
    <t>678-672-9080</t>
  </si>
  <si>
    <t>Jack Rexwinkle</t>
  </si>
  <si>
    <t>Rexwinkle</t>
  </si>
  <si>
    <t>St John Neumann</t>
  </si>
  <si>
    <t>squeeze rec.  pitched for him.  "all in".  Elite CH, about to make a big jump bc/ slider is 82 now.  owen phyers type human</t>
  </si>
  <si>
    <t>Dylan Reynholds</t>
  </si>
  <si>
    <t>Reynholds</t>
  </si>
  <si>
    <t>Owen Richardson</t>
  </si>
  <si>
    <t>Mark Risi</t>
  </si>
  <si>
    <t>Risi</t>
  </si>
  <si>
    <t>Eddie Ritchie</t>
  </si>
  <si>
    <t>Ritchie</t>
  </si>
  <si>
    <t>Bishop Feehan</t>
  </si>
  <si>
    <t>Twitter: @eddie_ritchie | Bishop Feehan ‘28 | GBG 16U Northeast</t>
  </si>
  <si>
    <t>Jackson Ritz</t>
  </si>
  <si>
    <t>Ritz</t>
  </si>
  <si>
    <t>Clifton</t>
  </si>
  <si>
    <t>jzritz19@gmail.com</t>
  </si>
  <si>
    <t>(254)229-0880</t>
  </si>
  <si>
    <t>5'9" 165lbs | Twitter: @JacksonRitz | 4.0 GPA | Offensive MVP, 1st Team All-District, District &amp; Bi-District champs | .429 AVG, .542 OBP, 1.161 OPS, 36H, 1HR, 24 RBI, 18 SB | Also plays 2B/3B</t>
  </si>
  <si>
    <t>Brayden Rivera</t>
  </si>
  <si>
    <t>Rivera</t>
  </si>
  <si>
    <t>Calvert Hall</t>
  </si>
  <si>
    <t>US Elite Mid Atlantic</t>
  </si>
  <si>
    <t>brivera05@yahoo.com</t>
  </si>
  <si>
    <t>571-492-8760</t>
  </si>
  <si>
    <t>6'3" 210lbs | Twitter: @BraydenR0505 | Calvert Hall 2027 LHP/Utility | The Yard Wolfpack 2027</t>
  </si>
  <si>
    <t>Jack Rock</t>
  </si>
  <si>
    <t>Rock</t>
  </si>
  <si>
    <t>Cruz Romo</t>
  </si>
  <si>
    <t>Romo</t>
  </si>
  <si>
    <t>The Woodlands</t>
  </si>
  <si>
    <t>The Woodlands HS</t>
  </si>
  <si>
    <t>Banditos</t>
  </si>
  <si>
    <t>cruzromo9@yahoo.com</t>
  </si>
  <si>
    <t>6'2" 210lbs | Twitter: @cruzromo27 | 1st Team All-District 13-6A 2026 | Houston Banditos Baseball</t>
  </si>
  <si>
    <t>Tyler Ryan</t>
  </si>
  <si>
    <t>Malvern, PA</t>
  </si>
  <si>
    <t>Malvern Preparatory</t>
  </si>
  <si>
    <t>Dirtbags National 2028</t>
  </si>
  <si>
    <t>Darrian Sanders</t>
  </si>
  <si>
    <t>Darrian</t>
  </si>
  <si>
    <t>Sanders</t>
  </si>
  <si>
    <t>Mansfield High School</t>
  </si>
  <si>
    <t>(402)541-2128</t>
  </si>
  <si>
    <t>6'1" 175lbs | Twitter: @DarrianSanders4 | 1</t>
  </si>
  <si>
    <t>Nick Santobello</t>
  </si>
  <si>
    <t>Santobello</t>
  </si>
  <si>
    <t>Bronx</t>
  </si>
  <si>
    <t>The Stony Brook</t>
  </si>
  <si>
    <t>Team Elite/AZ Diamondbacks Scout Team</t>
  </si>
  <si>
    <t>Xavier Santos-Olson</t>
  </si>
  <si>
    <t>Santos-Olson</t>
  </si>
  <si>
    <t>Iona Prep</t>
  </si>
  <si>
    <t>Willis Otanz Baseball Academy</t>
  </si>
  <si>
    <t>Kevin Schlessler</t>
  </si>
  <si>
    <t>Schlessler</t>
  </si>
  <si>
    <t>Tillman Schroder</t>
  </si>
  <si>
    <t>Schroder</t>
  </si>
  <si>
    <t>Tanner Schroeck</t>
  </si>
  <si>
    <t>Schroeck</t>
  </si>
  <si>
    <t>Upper St Clair HS</t>
  </si>
  <si>
    <t>NE Padres</t>
  </si>
  <si>
    <t>4.3 GPA</t>
  </si>
  <si>
    <t>tschroeck11@gmail.com</t>
  </si>
  <si>
    <t>412-592-9765</t>
  </si>
  <si>
    <t>6'3" 195lbs | Twitter: @TannerSchroeck | NE Padres Baseball</t>
  </si>
  <si>
    <t>Boston Selig</t>
  </si>
  <si>
    <t>Boston</t>
  </si>
  <si>
    <t>Selig</t>
  </si>
  <si>
    <t>McCoy rec: 6'5 plays w/ Reeder.  good SL.  command?</t>
  </si>
  <si>
    <t>Gavin Shefsky</t>
  </si>
  <si>
    <t>Shefsky</t>
  </si>
  <si>
    <t>McCoy rec: 6'4 83-86 funky deception</t>
  </si>
  <si>
    <t>Skyler Sherman</t>
  </si>
  <si>
    <t>Skyler</t>
  </si>
  <si>
    <t>Sherman</t>
  </si>
  <si>
    <t>Lebanon</t>
  </si>
  <si>
    <t>Cedar Crest HS</t>
  </si>
  <si>
    <t>5'10" 167lbs | Twitter: @_sherman8er | EV: 95 | Also plays football (WR, CB)</t>
  </si>
  <si>
    <t xml:space="preserve">Frank Cooney recc </t>
  </si>
  <si>
    <t>Robert Sindelar</t>
  </si>
  <si>
    <t>Sindelar</t>
  </si>
  <si>
    <t>guthrie recs.  just moved to FL from AZ</t>
  </si>
  <si>
    <t>Kevin Smith</t>
  </si>
  <si>
    <t>Pittsfield</t>
  </si>
  <si>
    <t>Pittsfield HS</t>
  </si>
  <si>
    <t>Rip City</t>
  </si>
  <si>
    <t>29kdsmith@gmail.com</t>
  </si>
  <si>
    <t>5'11" 170lbs | Twitter: @KevinSmith1199 | Pittsfield HS (MA) 2029 RHP/OF | RipCity Academy | FB 88, EV 100 | "Shortens up and barrels a single into CF. Has been up to 88 MPH on the mound this spring, currently leading our 2029 class."</t>
  </si>
  <si>
    <t>Jack Snakenberg</t>
  </si>
  <si>
    <t>Snakenberg</t>
  </si>
  <si>
    <t>Dallas Tigers</t>
  </si>
  <si>
    <t>jack.snakenberg@gmail.com</t>
  </si>
  <si>
    <t>940-765-4139</t>
  </si>
  <si>
    <t>6'1" 210lbs | Twitter: @JackSnakenberg | 4.0 GPA | Dallas Tigers Beavan | Diamond Pro 5A Regional Semifinal Pitcher of the Week (May 20)</t>
  </si>
  <si>
    <t>Current High School Stats: IP: 65.1 ERA: 1.5  SO: 86 ER: 14  BAA: .170 Current velo: 86-88 T90</t>
  </si>
  <si>
    <t>SAT: 1080 (Taking again in August)</t>
  </si>
  <si>
    <t xml:space="preserve">Evulsion Fracture on Hip last year (No surgery) </t>
  </si>
  <si>
    <t>Landon Somers</t>
  </si>
  <si>
    <t>Somers</t>
  </si>
  <si>
    <t>South County</t>
  </si>
  <si>
    <t>Lsomers2027@yahoo.com</t>
  </si>
  <si>
    <t xml:space="preserve">Fall stats 19IP 3R 24K FB:89 SL:82 CB:78 </t>
  </si>
  <si>
    <t>3.3UW 3.6W</t>
  </si>
  <si>
    <t>labrum bursitis and a small supraspinatus tear</t>
  </si>
  <si>
    <t>Coi Sommers</t>
  </si>
  <si>
    <t>Coi</t>
  </si>
  <si>
    <t>Sommers</t>
  </si>
  <si>
    <t>Villa Rica</t>
  </si>
  <si>
    <t>678-350-4902</t>
  </si>
  <si>
    <t>Emailed: Mech look clean. Only says he's up to 82 but looks young for his age, played 15u this summer. Worth keeping him on list and following to see if he gets stronger.</t>
  </si>
  <si>
    <t>Kyle Soule</t>
  </si>
  <si>
    <t>Soule</t>
  </si>
  <si>
    <t>Greely</t>
  </si>
  <si>
    <t>Maine Lightning</t>
  </si>
  <si>
    <t>Grady Stevens</t>
  </si>
  <si>
    <t>Stevens</t>
  </si>
  <si>
    <t>Fernandina Beach</t>
  </si>
  <si>
    <t>Fernandina Beach High School</t>
  </si>
  <si>
    <t>4.1 GPA</t>
  </si>
  <si>
    <t>904-808-5910</t>
  </si>
  <si>
    <t>6'2" 180lbs (89 velo) | Twitter: @GradyStevens | Fernandina Beach HS (FL) 2027 LHP/1B | Power Marucci/Blue Jays Scout</t>
  </si>
  <si>
    <t>Sean Sullivan</t>
  </si>
  <si>
    <t>Cameron Swank</t>
  </si>
  <si>
    <t>Swank</t>
  </si>
  <si>
    <t>St. Paul Diocesan</t>
  </si>
  <si>
    <t>Tyce Thompson</t>
  </si>
  <si>
    <t>Tyce</t>
  </si>
  <si>
    <t>Greenville</t>
  </si>
  <si>
    <t>4.542 GPA</t>
  </si>
  <si>
    <t>252-258-0016</t>
  </si>
  <si>
    <t>6'3" 210lbs | Twitter: @TyceThompson6 | 1.81 pop, 85 catcher velo, 97.2 metal bat EV off tee, 105 BP EV | HR highlight 5/14/26</t>
  </si>
  <si>
    <t>Collin Thornburgh</t>
  </si>
  <si>
    <t>Collin</t>
  </si>
  <si>
    <t>Thornburgh</t>
  </si>
  <si>
    <t>Danvers</t>
  </si>
  <si>
    <t>St. John's Preparatory</t>
  </si>
  <si>
    <t>Blake Tyburczy</t>
  </si>
  <si>
    <t>Tyburczy</t>
  </si>
  <si>
    <t>West Milford</t>
  </si>
  <si>
    <t>West Milford HS</t>
  </si>
  <si>
    <t>Twitter: @Blake_Tyburczy | 5'11" 165 lbs | 4/7/26 Stats: 5 IP, 8 Ks, 1 ER, 3 BB; 1 R, 1 SB, 4 RBI</t>
  </si>
  <si>
    <t>Nicky Vanni</t>
  </si>
  <si>
    <t>Vanni</t>
  </si>
  <si>
    <t>The Haverford School</t>
  </si>
  <si>
    <t>Jaxson Vassallo</t>
  </si>
  <si>
    <t>Jaxson</t>
  </si>
  <si>
    <t>Vassallo</t>
  </si>
  <si>
    <t>guthrie recs.  pretty good</t>
  </si>
  <si>
    <t>Ethan Vecchione</t>
  </si>
  <si>
    <t>Vecchione</t>
  </si>
  <si>
    <t>Falmouth</t>
  </si>
  <si>
    <t>Micah Von</t>
  </si>
  <si>
    <t>Noah Wantuck</t>
  </si>
  <si>
    <t>Wantuck</t>
  </si>
  <si>
    <t>Herndon</t>
  </si>
  <si>
    <t>Herndon High</t>
  </si>
  <si>
    <t>5'8" 160lbs | Twitter: @WantuckNoa33510 | 6.97 60, 101 EV, 1.93-1.97 Pop Time</t>
  </si>
  <si>
    <t>Landry Warner</t>
  </si>
  <si>
    <t>Landry</t>
  </si>
  <si>
    <t>Warner</t>
  </si>
  <si>
    <t>TR: Holz texted me about him. Had one phone call with kid, went just ok. A kid to see when we cross them, doesn't sound urgent. Plays for Bitzer</t>
  </si>
  <si>
    <t>Ryan Waugh</t>
  </si>
  <si>
    <t>Waugh</t>
  </si>
  <si>
    <t>Archbishop Spalding HS</t>
  </si>
  <si>
    <t>6'1" 160lbs | Twitter: @Ryan_waugh34 | FB: 86-88, SL: 75-76, CH: 79-81 | Lean frame, effectively wild at times | SL feel for whiffs, above avg CH, FB jumps on hitters</t>
  </si>
  <si>
    <t>Jack Webber</t>
  </si>
  <si>
    <t>Webber</t>
  </si>
  <si>
    <t>Seton Hall Prep</t>
  </si>
  <si>
    <t>Locked In Expos</t>
  </si>
  <si>
    <t>6'2" 198lbs | R/R | 18yr 2mo | Instagram: @JACKWEBBER26</t>
  </si>
  <si>
    <t>Bob Widdop</t>
  </si>
  <si>
    <t>Bob</t>
  </si>
  <si>
    <t>Widdop</t>
  </si>
  <si>
    <t>Brady Williamson</t>
  </si>
  <si>
    <t>Waxhaw</t>
  </si>
  <si>
    <t>Cuthbertson High School</t>
  </si>
  <si>
    <t>3.5 GPA</t>
  </si>
  <si>
    <t>bradywilliamson2027@gmail.com</t>
  </si>
  <si>
    <t>704-713-2193</t>
  </si>
  <si>
    <t>6'3" 225lbs | Twitter: @bwilliamson_15 | Spring: .405 AVG, 35 H, 35 RBI, 9 HR, 7 2B | 105+ EV, 1.9 Pop, 80 Catcher Velo | Also plays football</t>
  </si>
  <si>
    <t>Ryan Wirtz</t>
  </si>
  <si>
    <t>Wirtz</t>
  </si>
  <si>
    <t>617-984-9326</t>
  </si>
  <si>
    <t>5'10" 180lbs | Twitter: @ryan_wirtz | 91 INF velo | 3.7 GPA | 2026 New England Small School Champs</t>
  </si>
  <si>
    <t>Gus Witt</t>
  </si>
  <si>
    <t>Gus</t>
  </si>
  <si>
    <t>Witt</t>
  </si>
  <si>
    <t>Cheshire</t>
  </si>
  <si>
    <t>Hopkins School</t>
  </si>
  <si>
    <t>gwitt1243@gmail.com</t>
  </si>
  <si>
    <t>475-227-5439</t>
  </si>
  <si>
    <t>6'4" 210lbs | Twitter: @GusWitt | Hopkins School ‘27 RHP (Cheshire, CT) | FB 87-89 | 1440 SAT | CT Grind</t>
  </si>
  <si>
    <t>Chase Woodring</t>
  </si>
  <si>
    <t>Woodring</t>
  </si>
  <si>
    <t>Center Valley</t>
  </si>
  <si>
    <t>Southern Lehigh</t>
  </si>
  <si>
    <t>Grady Wright</t>
  </si>
  <si>
    <t>Wright</t>
  </si>
  <si>
    <t>gradyrwright@gmail.com</t>
  </si>
  <si>
    <t>6'2" 175lbs | Twitter: @GradyWright2029 | Phillips Academy Andover 2029 SS/2B L/R | NEB | 7.1 60 | 94 Exit Velo | 83 throwing</t>
  </si>
  <si>
    <t>Connor Young</t>
  </si>
  <si>
    <t>Georgetown High School</t>
  </si>
  <si>
    <t>5.4 GPA</t>
  </si>
  <si>
    <t>cmy121008@gmail.com</t>
  </si>
  <si>
    <t>512-948-2177</t>
  </si>
  <si>
    <t>5'10" 175lbs | Twitter: @connoryoung_8 | 1.87 pop time | 2026 District 23-5A Co-MVP | Georgetown District Champs | Also plays RHP</t>
  </si>
  <si>
    <t>Joseph Young</t>
  </si>
  <si>
    <t>A&amp;M Consolidated HS</t>
  </si>
  <si>
    <t>4.45 GPA</t>
  </si>
  <si>
    <t>979-595-7054</t>
  </si>
  <si>
    <t>6'3" 210lbs | Twitter: @JosephY14769750 | Also plays TE/HB football | Power clean ME</t>
  </si>
  <si>
    <t>Matthew Zambriski</t>
  </si>
  <si>
    <t>Zambriski</t>
  </si>
  <si>
    <t>Riverhead Senior</t>
  </si>
  <si>
    <t>Owen Zartman</t>
  </si>
  <si>
    <t>Zartman</t>
  </si>
  <si>
    <t>Leonardtown</t>
  </si>
  <si>
    <t>Leonardtown HS</t>
  </si>
  <si>
    <t>owen.zartman2027@gmail.com</t>
  </si>
  <si>
    <t>240-577-4954</t>
  </si>
  <si>
    <t>Twitter: @OwenZartman | OF, RHP | .500 AVG, .580 OBP, 1.598 OPS, 1.018 SLG, 7 HR, 27 RBI, 15 XBH</t>
  </si>
  <si>
    <t>Charlie Brady</t>
  </si>
  <si>
    <t>charliebrady2027@gmail.com</t>
  </si>
  <si>
    <t>Luke Bacon</t>
  </si>
  <si>
    <t>Bacon</t>
  </si>
  <si>
    <t>951-481-9016</t>
  </si>
  <si>
    <t>lukerbacon9@gmail.com</t>
  </si>
  <si>
    <t>High school season: I batted .370, and a OBP of .514. I was 1st-Team All League catcher, and Scholar Athlete.</t>
  </si>
  <si>
    <t>3.96/4.23</t>
  </si>
  <si>
    <t>N/A haven’t attempted yet</t>
  </si>
  <si>
    <t>Gavin Stanislawski</t>
  </si>
  <si>
    <t>Stanislawski</t>
  </si>
  <si>
    <t>Wow Factor</t>
  </si>
  <si>
    <t>4.1</t>
  </si>
  <si>
    <t>James Lockwood</t>
  </si>
  <si>
    <t>Lockwood</t>
  </si>
  <si>
    <t>3</t>
  </si>
  <si>
    <t>Belmont, MA</t>
  </si>
  <si>
    <t>Charlie Acierno</t>
  </si>
  <si>
    <t>Acierno</t>
  </si>
  <si>
    <t>2028</t>
  </si>
  <si>
    <t>4</t>
  </si>
  <si>
    <t>3.97GPA  1220.  6’2 220</t>
  </si>
  <si>
    <t>Danny Beltran</t>
  </si>
  <si>
    <t>Beltran</t>
  </si>
  <si>
    <t>Jake Carruthers</t>
  </si>
  <si>
    <t>Carruthers</t>
  </si>
  <si>
    <t>2027</t>
  </si>
  <si>
    <t>Gavin Coffey</t>
  </si>
  <si>
    <t>Coffey</t>
  </si>
  <si>
    <t>Side arm 88</t>
  </si>
  <si>
    <t>Bryce Conner</t>
  </si>
  <si>
    <t>Grades?</t>
  </si>
  <si>
    <t>Jack Daggett</t>
  </si>
  <si>
    <t>Daggett</t>
  </si>
  <si>
    <t>Ander Elloriaga</t>
  </si>
  <si>
    <t>Ander</t>
  </si>
  <si>
    <t>Elloriaga</t>
  </si>
  <si>
    <t>Jackson Evans</t>
  </si>
  <si>
    <t>4.0GPA 1370. 5’11 185</t>
  </si>
  <si>
    <t>Sammy Fantauzzi</t>
  </si>
  <si>
    <t>Fantauzzi</t>
  </si>
  <si>
    <t>Grades?   LHH bat!</t>
  </si>
  <si>
    <t>Jackson Fleming</t>
  </si>
  <si>
    <t>Fleming</t>
  </si>
  <si>
    <t>Winter Park</t>
  </si>
  <si>
    <t>Runs. Hit .543 in HS 2026</t>
  </si>
  <si>
    <t>JacksonFleming2027@gmail.com</t>
  </si>
  <si>
    <t>AVG-.543 Hits-50 OPS-1.163 19 SB. FACA All State. All metro</t>
  </si>
  <si>
    <t>3.96 UW 5.412 W</t>
  </si>
  <si>
    <t xml:space="preserve">34 ACT </t>
  </si>
  <si>
    <t>Wyatt Gibson</t>
  </si>
  <si>
    <t>Gibson</t>
  </si>
  <si>
    <t>Calvary Christian</t>
  </si>
  <si>
    <t>Sam Heintz</t>
  </si>
  <si>
    <t>Heintz</t>
  </si>
  <si>
    <t>Clearwater central Catholic</t>
  </si>
  <si>
    <t>Maxwell Kaiser</t>
  </si>
  <si>
    <t>Maxwell</t>
  </si>
  <si>
    <t>Kaiser</t>
  </si>
  <si>
    <t>Grades?   P4 type guy</t>
  </si>
  <si>
    <t>Cade Kuhlmeier</t>
  </si>
  <si>
    <t>Kuhlmeier</t>
  </si>
  <si>
    <t>Nolan Parmer</t>
  </si>
  <si>
    <t>Parmer</t>
  </si>
  <si>
    <t>Someone called Chuck about him</t>
  </si>
  <si>
    <t>Xavier Perez Jr</t>
  </si>
  <si>
    <t>Perez Jr</t>
  </si>
  <si>
    <t>Hayden Ramos</t>
  </si>
  <si>
    <t>Trey Slavik</t>
  </si>
  <si>
    <t>Slavik</t>
  </si>
  <si>
    <t>Easton Stegbauer</t>
  </si>
  <si>
    <t>Stegbauer</t>
  </si>
  <si>
    <t>Gus Steve</t>
  </si>
  <si>
    <t>Steve</t>
  </si>
  <si>
    <t>Hebron Christian academy</t>
  </si>
  <si>
    <t>Kenny Sullivan</t>
  </si>
  <si>
    <t>Kenny</t>
  </si>
  <si>
    <t>North Hall</t>
  </si>
  <si>
    <t>6’5 but slow mover on video.  PG stats show lots of BB’s</t>
  </si>
  <si>
    <t>Anthony Tenuto</t>
  </si>
  <si>
    <t>Tenuto</t>
  </si>
  <si>
    <t>Canterbury</t>
  </si>
  <si>
    <t>Jerrett Vaughan</t>
  </si>
  <si>
    <t>Jerrett</t>
  </si>
  <si>
    <t>Colin Watson</t>
  </si>
  <si>
    <t>Daphne</t>
  </si>
  <si>
    <t>Madden Williams</t>
  </si>
  <si>
    <t>91-93 CH and SL</t>
  </si>
  <si>
    <t>Jaxon Alcock</t>
  </si>
  <si>
    <t>Alcock</t>
  </si>
  <si>
    <t>Oklahoma</t>
  </si>
  <si>
    <t>Cameron HS</t>
  </si>
  <si>
    <t>AP; 6'4 170 great looking SS.  yes @ SS  defense.  swing is good.  Easy offer</t>
  </si>
  <si>
    <t>Truett Allen</t>
  </si>
  <si>
    <t>Truett</t>
  </si>
  <si>
    <t>Houston, TX</t>
  </si>
  <si>
    <t>Second Baptist</t>
  </si>
  <si>
    <t>TEST Black</t>
  </si>
  <si>
    <t>Cam Arthur</t>
  </si>
  <si>
    <t>Arthur</t>
  </si>
  <si>
    <t>VCU</t>
  </si>
  <si>
    <t>Evington</t>
  </si>
  <si>
    <t xml:space="preserve">Dirtbags Platinum </t>
  </si>
  <si>
    <t>csarthur003@gmail.com</t>
  </si>
  <si>
    <t>Summer - 17 hits, 14 SB, 11 walks, 7 rbis</t>
  </si>
  <si>
    <t>SAT - 1040</t>
  </si>
  <si>
    <t>Elbow surgery</t>
  </si>
  <si>
    <t xml:space="preserve">NSAIDs </t>
  </si>
  <si>
    <t>Jacob Babcock</t>
  </si>
  <si>
    <t>Babcock</t>
  </si>
  <si>
    <t>James Madison</t>
  </si>
  <si>
    <t>804-921-5443</t>
  </si>
  <si>
    <t>jbabcock2027@gmail.com</t>
  </si>
  <si>
    <t>Summer stats combined  BA-.471 (33 for 70) OBP- .500 SLG-.814 1.314 OPS 5 -2B 6 - 3B 3-HR  17.2 innings 67% FB strike 57% CB strike .981 WHIP BAA .215</t>
  </si>
  <si>
    <t>3.6 Unweighted/4.0 weighted</t>
  </si>
  <si>
    <t>November 2024 Concussion - Football</t>
  </si>
  <si>
    <t>Colt Babic</t>
  </si>
  <si>
    <t>Babic</t>
  </si>
  <si>
    <t>Hammond</t>
  </si>
  <si>
    <t>803-427-5757</t>
  </si>
  <si>
    <t>August Backman</t>
  </si>
  <si>
    <t>August</t>
  </si>
  <si>
    <t>Backman</t>
  </si>
  <si>
    <t>AP: 5'11 180, RAKES! LHH.  plus bat speed, plus swing.  has pop. PG #479 Nat.</t>
  </si>
  <si>
    <t>Cooper Ball</t>
  </si>
  <si>
    <t>Ball</t>
  </si>
  <si>
    <t>Binghamton</t>
  </si>
  <si>
    <t>Brody Baxmann</t>
  </si>
  <si>
    <t>Baxmann</t>
  </si>
  <si>
    <t>Jacksonville State</t>
  </si>
  <si>
    <t>Fort myers</t>
  </si>
  <si>
    <t>Bishop Verot (FL)</t>
  </si>
  <si>
    <t>239-671-0473</t>
  </si>
  <si>
    <t>Charlie Beck</t>
  </si>
  <si>
    <t>Beck</t>
  </si>
  <si>
    <t>Thomasville</t>
  </si>
  <si>
    <t>Central Davidson High</t>
  </si>
  <si>
    <t>336-947-6669</t>
  </si>
  <si>
    <t>Beckett Berg</t>
  </si>
  <si>
    <t>Berg</t>
  </si>
  <si>
    <t>Texas</t>
  </si>
  <si>
    <t>Sherman Oaks</t>
  </si>
  <si>
    <t>Notre Dame</t>
  </si>
  <si>
    <t>Great body arm works very well. Got barreled.</t>
  </si>
  <si>
    <t>Jackson Bernosky</t>
  </si>
  <si>
    <t>Bernosky</t>
  </si>
  <si>
    <t>Aurora</t>
  </si>
  <si>
    <t>720-759-8290</t>
  </si>
  <si>
    <t>my favorite swing from team CO in Futures</t>
  </si>
  <si>
    <t>Ben Bianchi</t>
  </si>
  <si>
    <t>Bianchi</t>
  </si>
  <si>
    <t>Brady Bickham</t>
  </si>
  <si>
    <t>Bickham</t>
  </si>
  <si>
    <t>GA Tech</t>
  </si>
  <si>
    <t>Claremont</t>
  </si>
  <si>
    <t>Dont love swing, uphill, but 2B, 3B, 1B in game. + def SS, =/+ runner. Need to recruit him.</t>
  </si>
  <si>
    <t>bradybic@icloud.com</t>
  </si>
  <si>
    <t xml:space="preserve">ACL surgery </t>
  </si>
  <si>
    <t>Tristan Blum</t>
  </si>
  <si>
    <t>Blum</t>
  </si>
  <si>
    <t>Kent State University</t>
  </si>
  <si>
    <t>Fox Chapel</t>
  </si>
  <si>
    <t>Backyard Vangards</t>
  </si>
  <si>
    <t xml:space="preserve">CB: 84-85 pitch ability follow (summer </t>
  </si>
  <si>
    <t>Vinny Boatwright</t>
  </si>
  <si>
    <t>Vinny</t>
  </si>
  <si>
    <t>Boatwright</t>
  </si>
  <si>
    <t>Chico</t>
  </si>
  <si>
    <t>Max Boehm</t>
  </si>
  <si>
    <t>Boehm</t>
  </si>
  <si>
    <t>Harvard</t>
  </si>
  <si>
    <t>Charlie Borchard</t>
  </si>
  <si>
    <t>Borchard</t>
  </si>
  <si>
    <t>Brophy College Prep</t>
  </si>
  <si>
    <t>480-670-6311</t>
  </si>
  <si>
    <t>Great looking LHH. 6' 5". Showed pop. Smashed a 2B.</t>
  </si>
  <si>
    <t>Cason Borchardt</t>
  </si>
  <si>
    <t>Cason</t>
  </si>
  <si>
    <t>Borchardt</t>
  </si>
  <si>
    <t>Horace</t>
  </si>
  <si>
    <t>ND</t>
  </si>
  <si>
    <t>Horace (ND)</t>
  </si>
  <si>
    <t>701-306-4751</t>
  </si>
  <si>
    <t>Brady Bradford</t>
  </si>
  <si>
    <t>Bradford</t>
  </si>
  <si>
    <t>Fort Collins</t>
  </si>
  <si>
    <t>Fossil Ridge</t>
  </si>
  <si>
    <t>303-727-0741</t>
  </si>
  <si>
    <t>Evan Brand</t>
  </si>
  <si>
    <t>Brand</t>
  </si>
  <si>
    <t>Georgia Tech</t>
  </si>
  <si>
    <t>Kell</t>
  </si>
  <si>
    <t>AP: 6'1 180, switch hitting BAT! just hits.  Future Gamer, good swing, 6.95 run.  Danny doesn't think its a pure SS at D1.  PG #274 Nat.  performance history of just raking in summer.</t>
  </si>
  <si>
    <t>Andrew Brech</t>
  </si>
  <si>
    <t>Brech</t>
  </si>
  <si>
    <t>RHP MIF</t>
  </si>
  <si>
    <t>Dacula, GA</t>
  </si>
  <si>
    <t>Mountain View</t>
  </si>
  <si>
    <t>Connor Brooks</t>
  </si>
  <si>
    <t>tigercubcb5@gmail.com</t>
  </si>
  <si>
    <t>Summer Stats - 19.1 Innings, 20 strikeouts, 7 hits, 1 walk, 0.00 ERA, .41 WHIP</t>
  </si>
  <si>
    <t>Don’t know by unweighted GPA/ 4.171 weighted</t>
  </si>
  <si>
    <t>Haven’t took either</t>
  </si>
  <si>
    <t>Haven’t got hurt since 7th grade, Tendon Strain</t>
  </si>
  <si>
    <t>Pete Browand</t>
  </si>
  <si>
    <t>Browand</t>
  </si>
  <si>
    <t>Fresno State</t>
  </si>
  <si>
    <t>Gig Harbor</t>
  </si>
  <si>
    <t>Peninsula (WA)</t>
  </si>
  <si>
    <t>253-223-1043</t>
  </si>
  <si>
    <t>Boston Brown</t>
  </si>
  <si>
    <t>Auburn</t>
  </si>
  <si>
    <t>Phenix City</t>
  </si>
  <si>
    <t>706-442-8282</t>
  </si>
  <si>
    <t>brown.boston08@gmail.com</t>
  </si>
  <si>
    <t>summer stats 27IP, 45K, 16H, 4ER, 10BB: school stats 78 IP, .71 ERA, 136K, .134 OBA 38H, 8ER, 25BB</t>
  </si>
  <si>
    <t xml:space="preserve">4.2 weighted </t>
  </si>
  <si>
    <t>I haven’t taken it</t>
  </si>
  <si>
    <t xml:space="preserve">UCL sprain </t>
  </si>
  <si>
    <t>mo</t>
  </si>
  <si>
    <t>Carson Bruce</t>
  </si>
  <si>
    <t>Bruce</t>
  </si>
  <si>
    <t>South Carolina</t>
  </si>
  <si>
    <t>Powder Springs</t>
  </si>
  <si>
    <t>North Cobb Christian (GA)</t>
  </si>
  <si>
    <t>980-829-4226</t>
  </si>
  <si>
    <t>carsonmilesbruce@icloud.com</t>
  </si>
  <si>
    <t xml:space="preserve">Maxpreps Freshman all american-. This summer I hit .404 with 3 HR through 90 PA. This HS szn I hit .390 with 3 Hr as well </t>
  </si>
  <si>
    <t>have not yet taken.</t>
  </si>
  <si>
    <t>Mason Bruesch</t>
  </si>
  <si>
    <t>Bruesch</t>
  </si>
  <si>
    <t>Michigan State</t>
  </si>
  <si>
    <t>Geneva</t>
  </si>
  <si>
    <t>630-346-4167</t>
  </si>
  <si>
    <t>Easton Brunson</t>
  </si>
  <si>
    <t>Brunson</t>
  </si>
  <si>
    <t>Texas A&amp;M</t>
  </si>
  <si>
    <t>Highlands</t>
  </si>
  <si>
    <t>Goose Creek</t>
  </si>
  <si>
    <t>832-627-9378</t>
  </si>
  <si>
    <t>Patrick Bryan</t>
  </si>
  <si>
    <t>Bryan</t>
  </si>
  <si>
    <t>Stanford</t>
  </si>
  <si>
    <t>Jackie Bryant</t>
  </si>
  <si>
    <t>Jackie</t>
  </si>
  <si>
    <t>Fulshear</t>
  </si>
  <si>
    <t>The Bennett School</t>
  </si>
  <si>
    <t>832-474-2090</t>
  </si>
  <si>
    <t>Rocco Bucci</t>
  </si>
  <si>
    <t>Bucci</t>
  </si>
  <si>
    <t>Lewis Center</t>
  </si>
  <si>
    <t>Olentangy</t>
  </si>
  <si>
    <t>614-390-5101</t>
  </si>
  <si>
    <t>Trent Buckley</t>
  </si>
  <si>
    <t>Buckley</t>
  </si>
  <si>
    <t>Ole Miss</t>
  </si>
  <si>
    <t>601-674-4219</t>
  </si>
  <si>
    <t>Jacob Budarz</t>
  </si>
  <si>
    <t>Budarz</t>
  </si>
  <si>
    <t>Rutgers</t>
  </si>
  <si>
    <t>Jbudarz@internal.loomis.org</t>
  </si>
  <si>
    <t>High School stats: 78 PA .409 AVG .487 OBP 1.184 OPS .679 SLG 27 Hits 13 1B 11 2B 1 3B 2 HR 9 RBIs 21 R 8 BB 9 SB  Honors: Founders League underclass player of the year, Founders League first team, All-Nepsac honorable mention</t>
  </si>
  <si>
    <t>Cooper Burti</t>
  </si>
  <si>
    <t>Burti</t>
  </si>
  <si>
    <t>Mississippi State University</t>
  </si>
  <si>
    <t>Cherokee</t>
  </si>
  <si>
    <t>Dirtbags NY</t>
  </si>
  <si>
    <t>Kenson Buth</t>
  </si>
  <si>
    <t>Kenson</t>
  </si>
  <si>
    <t>Buth</t>
  </si>
  <si>
    <t>trophy club</t>
  </si>
  <si>
    <t>817-917-2186</t>
  </si>
  <si>
    <t>Hector Cadena</t>
  </si>
  <si>
    <t>Hector</t>
  </si>
  <si>
    <t>Cadena</t>
  </si>
  <si>
    <t>TA&amp;M</t>
  </si>
  <si>
    <t>Laredo</t>
  </si>
  <si>
    <t>United Highschool</t>
  </si>
  <si>
    <t>956-744-9875</t>
  </si>
  <si>
    <t>Bear Calvo</t>
  </si>
  <si>
    <t>Bear</t>
  </si>
  <si>
    <t>Calvo</t>
  </si>
  <si>
    <t>Arkansas</t>
  </si>
  <si>
    <t>Fullerton</t>
  </si>
  <si>
    <t>La Mirada</t>
  </si>
  <si>
    <t>Avg def.  Moves very well. Small. Like the swing.</t>
  </si>
  <si>
    <t>Jacob Carrasco</t>
  </si>
  <si>
    <t>Carrasco</t>
  </si>
  <si>
    <t>R.R</t>
  </si>
  <si>
    <t>Manheim TWP</t>
  </si>
  <si>
    <t>Eli Cash</t>
  </si>
  <si>
    <t>uncw</t>
  </si>
  <si>
    <t>Zebulon</t>
  </si>
  <si>
    <t>Corinth Holders High</t>
  </si>
  <si>
    <t>elicash08@gmail.com</t>
  </si>
  <si>
    <t xml:space="preserve">Summer stats - 25.1 inn, 24 hits, 13ER, 32Ks, 11BB, ERA 3.592 </t>
  </si>
  <si>
    <t>3.353/3.618</t>
  </si>
  <si>
    <t>No Injuries</t>
  </si>
  <si>
    <t>No allergies</t>
  </si>
  <si>
    <t>Minocycline 50mg for acne</t>
  </si>
  <si>
    <t>Alejandro Chavez</t>
  </si>
  <si>
    <t>Chavez</t>
  </si>
  <si>
    <t>Brooklyn Park</t>
  </si>
  <si>
    <t>Osseo (MN)</t>
  </si>
  <si>
    <t>612-850-9535</t>
  </si>
  <si>
    <t>Noah Chrabolowski</t>
  </si>
  <si>
    <t>Chrabolowski</t>
  </si>
  <si>
    <t>Georgia Premier</t>
  </si>
  <si>
    <t>Seacoast Pirates</t>
  </si>
  <si>
    <t>Jonah Cohen</t>
  </si>
  <si>
    <t>Jonah</t>
  </si>
  <si>
    <t>Palos Verdes Estates</t>
  </si>
  <si>
    <t>424-445-8956</t>
  </si>
  <si>
    <t>Super easy 92. ++ XL body.</t>
  </si>
  <si>
    <t>Holden Cohn</t>
  </si>
  <si>
    <t>Holden</t>
  </si>
  <si>
    <t>Cohn</t>
  </si>
  <si>
    <t>NYU</t>
  </si>
  <si>
    <t>Millburn</t>
  </si>
  <si>
    <t>Liam Collier</t>
  </si>
  <si>
    <t>Collier</t>
  </si>
  <si>
    <t>Walters State</t>
  </si>
  <si>
    <t>Mcdonough</t>
  </si>
  <si>
    <t>Locust Grove</t>
  </si>
  <si>
    <t>770-883-9870</t>
  </si>
  <si>
    <t>Brady Collins</t>
  </si>
  <si>
    <t>Lasalle Academy</t>
  </si>
  <si>
    <t>Freddy Corrado</t>
  </si>
  <si>
    <t>Freddy</t>
  </si>
  <si>
    <t>Corrado</t>
  </si>
  <si>
    <t>Hazle Township</t>
  </si>
  <si>
    <t>Hazleton Area</t>
  </si>
  <si>
    <t>570-599-7516</t>
  </si>
  <si>
    <t>Kaden Cortez</t>
  </si>
  <si>
    <t>Kaden</t>
  </si>
  <si>
    <t>Cortez</t>
  </si>
  <si>
    <t>grades</t>
  </si>
  <si>
    <t>La Salle College HS</t>
  </si>
  <si>
    <t>Jackson Crawford</t>
  </si>
  <si>
    <t>Crawford</t>
  </si>
  <si>
    <t>303-579-8413</t>
  </si>
  <si>
    <t>Luke Crawford</t>
  </si>
  <si>
    <t>Potomac</t>
  </si>
  <si>
    <t>Georgetown Preparatory School</t>
  </si>
  <si>
    <t>202-420-1263</t>
  </si>
  <si>
    <t>lukecraw28@gmail.com</t>
  </si>
  <si>
    <t>Summer stats: avg .417, OPS 1.110, 25 Hits, 4 2B, 1 3B, 2 HR</t>
  </si>
  <si>
    <t>Fractured wrist sliding into second base at 12 yrs old</t>
  </si>
  <si>
    <t>Drew Cross</t>
  </si>
  <si>
    <t>Cross</t>
  </si>
  <si>
    <t>Alabama</t>
  </si>
  <si>
    <t>Mount Pleasant</t>
  </si>
  <si>
    <t>903-285-0299</t>
  </si>
  <si>
    <t>Ike Crouser</t>
  </si>
  <si>
    <t>Ike</t>
  </si>
  <si>
    <t>Crouser</t>
  </si>
  <si>
    <t>Saint Paul</t>
  </si>
  <si>
    <t>Cretin (MN)</t>
  </si>
  <si>
    <t>651-279-3977</t>
  </si>
  <si>
    <t>Dylan Crowe</t>
  </si>
  <si>
    <t>Crowe</t>
  </si>
  <si>
    <t>Brighton</t>
  </si>
  <si>
    <t>Hartland</t>
  </si>
  <si>
    <t>248-417-8452</t>
  </si>
  <si>
    <t>Hudson Cuevas</t>
  </si>
  <si>
    <t>Cuevas</t>
  </si>
  <si>
    <t>512-969-9940</t>
  </si>
  <si>
    <t>Nate Curcio</t>
  </si>
  <si>
    <t>Curcio</t>
  </si>
  <si>
    <t>SS 3B, RHP</t>
  </si>
  <si>
    <t>Woodstock, GA</t>
  </si>
  <si>
    <t>Coby Dagata</t>
  </si>
  <si>
    <t>Coby</t>
  </si>
  <si>
    <t>Dagata</t>
  </si>
  <si>
    <t>East Carolina University (ECU)</t>
  </si>
  <si>
    <t>St. Paul Catholic</t>
  </si>
  <si>
    <t>CT Hurricanes</t>
  </si>
  <si>
    <t>Landon Dean</t>
  </si>
  <si>
    <t>South Florida</t>
  </si>
  <si>
    <t>Sarasota</t>
  </si>
  <si>
    <t>Sarasota High School</t>
  </si>
  <si>
    <t>Liam Delp</t>
  </si>
  <si>
    <t>Delp</t>
  </si>
  <si>
    <t>Bargersville</t>
  </si>
  <si>
    <t>719-338-0088</t>
  </si>
  <si>
    <t>liamdelp@yahoo.com</t>
  </si>
  <si>
    <t>Center Grove High School, Honors Student</t>
  </si>
  <si>
    <t>3.9 weighted 3.65 unweighted</t>
  </si>
  <si>
    <t xml:space="preserve">Shoulder </t>
  </si>
  <si>
    <t>Baylor Denny</t>
  </si>
  <si>
    <t>Denny</t>
  </si>
  <si>
    <t>no reply</t>
  </si>
  <si>
    <t>Queen Creek</t>
  </si>
  <si>
    <t>Casteel</t>
  </si>
  <si>
    <t>Miles Desrosiers</t>
  </si>
  <si>
    <t>Desrosiers</t>
  </si>
  <si>
    <t>Lady of Mercy Academy</t>
  </si>
  <si>
    <t>Joey DiMeo</t>
  </si>
  <si>
    <t>DiMeo</t>
  </si>
  <si>
    <t>Toms River East</t>
  </si>
  <si>
    <t>Colin DiRocco</t>
  </si>
  <si>
    <t>DiRocco</t>
  </si>
  <si>
    <t>Ladera Ranch</t>
  </si>
  <si>
    <t>JSerra</t>
  </si>
  <si>
    <t>Big time stuff, take him in a second. Zip &amp; s/m on the FB. FB 90 SL 77. Some command issues late.</t>
  </si>
  <si>
    <t>colindirocco@icloud.com</t>
  </si>
  <si>
    <t>Summer Stats: 11.2 in, 14k, 6 hits, 5 runs</t>
  </si>
  <si>
    <t>3.86/4.34</t>
  </si>
  <si>
    <t xml:space="preserve">Strained muscle in forearm </t>
  </si>
  <si>
    <t>Ethan DuBois</t>
  </si>
  <si>
    <t>DuBois</t>
  </si>
  <si>
    <t>University of Delaware</t>
  </si>
  <si>
    <t>Delsea Regional</t>
  </si>
  <si>
    <t>Koby Dues</t>
  </si>
  <si>
    <t>Koby</t>
  </si>
  <si>
    <t>Dues</t>
  </si>
  <si>
    <t>ohio state</t>
  </si>
  <si>
    <t>Vandalia Butler</t>
  </si>
  <si>
    <t>937-750-3091</t>
  </si>
  <si>
    <t>Declan Ellingwood</t>
  </si>
  <si>
    <t>Ellingwood</t>
  </si>
  <si>
    <t>Loomis Chaffee</t>
  </si>
  <si>
    <t>Mason Ellison</t>
  </si>
  <si>
    <t>Ellison</t>
  </si>
  <si>
    <t>University of Connecticut</t>
  </si>
  <si>
    <t>Trinity HS</t>
  </si>
  <si>
    <t>Brandon Emig</t>
  </si>
  <si>
    <t>Brandon</t>
  </si>
  <si>
    <t>Emig</t>
  </si>
  <si>
    <t>Not interested ￼</t>
  </si>
  <si>
    <t>Landenberg</t>
  </si>
  <si>
    <t>Salesianum (DE)</t>
  </si>
  <si>
    <t>302-377-4804</t>
  </si>
  <si>
    <t>Good second talk. Is visiting Seton Hall, Virginia Tech, Delaware, but is still interested in seeing what we have to offer. I gave him some dates for a visit waiting to hear back ￼￼</t>
  </si>
  <si>
    <t>brandon.emig@salesianum.org</t>
  </si>
  <si>
    <t>0.75 era, 9.1 in, 3 hits, 2 bbs, 11ks, 0.100 OAVG, 0.54 whip(From WWBA and UBC East). 31 in - 5 w - 1 l - 27 h - 9 er 17 bb - 42 k - 2.03 era - 1.419 whip. (High School)</t>
  </si>
  <si>
    <t>Haven’t taken them yet.</t>
  </si>
  <si>
    <t>Bicep tendinitis, concussion.</t>
  </si>
  <si>
    <t>Ni</t>
  </si>
  <si>
    <t>Lincoln Eure</t>
  </si>
  <si>
    <t>Eure</t>
  </si>
  <si>
    <t>Sandy</t>
  </si>
  <si>
    <t>Corner Canyon</t>
  </si>
  <si>
    <t>801-949-7591</t>
  </si>
  <si>
    <t>lincolneure1@gmail.com</t>
  </si>
  <si>
    <t>2nd team all region, wrestling state qualifier 2024-25, 2025 Future Game Participant</t>
  </si>
  <si>
    <t>3.98 unweighted</t>
  </si>
  <si>
    <t>Benjamin Faigin</t>
  </si>
  <si>
    <t>Faigin</t>
  </si>
  <si>
    <t>Rutgers University</t>
  </si>
  <si>
    <t>Monroe TWP</t>
  </si>
  <si>
    <t>Jon Fala</t>
  </si>
  <si>
    <t>Jon</t>
  </si>
  <si>
    <t>Fala</t>
  </si>
  <si>
    <t>marshall</t>
  </si>
  <si>
    <t>South Charleston, WV</t>
  </si>
  <si>
    <t>George Washington</t>
  </si>
  <si>
    <t>Dirtbags All Blacks</t>
  </si>
  <si>
    <t>Jeter Farina</t>
  </si>
  <si>
    <t>Jeter</t>
  </si>
  <si>
    <t>Farina</t>
  </si>
  <si>
    <t>Oakleaf HS</t>
  </si>
  <si>
    <t>AP: 5'11 185, BAT!, hits, plus bat speed, good hands, strong, hit well HS '25.  good actions at SS hands good, arm good.  doesn't run, fringe runner</t>
  </si>
  <si>
    <t>Michael Fekete</t>
  </si>
  <si>
    <t>Fekete</t>
  </si>
  <si>
    <t>Cherry Hill East</t>
  </si>
  <si>
    <t>George Ferguson</t>
  </si>
  <si>
    <t>Abilene</t>
  </si>
  <si>
    <t>325-665-7151</t>
  </si>
  <si>
    <t>Hunter Finck</t>
  </si>
  <si>
    <t>Finck</t>
  </si>
  <si>
    <t>University of Alabama</t>
  </si>
  <si>
    <t>Gorham</t>
  </si>
  <si>
    <t>Joseph Flores Jr.</t>
  </si>
  <si>
    <t>Flores Jr.</t>
  </si>
  <si>
    <t>951-205-9701</t>
  </si>
  <si>
    <t>Zach Floyd (MA)</t>
  </si>
  <si>
    <t>Floyd (MA)</t>
  </si>
  <si>
    <t>Antonelli</t>
  </si>
  <si>
    <t>CB: 88 with a 12/6 CB OT slot. Seen him throw well a few times. Projectable body.</t>
  </si>
  <si>
    <t>Dorian Fortes</t>
  </si>
  <si>
    <t>Dorian</t>
  </si>
  <si>
    <t>Fortes</t>
  </si>
  <si>
    <t>Jackson Fournier</t>
  </si>
  <si>
    <t>Fournier</t>
  </si>
  <si>
    <t>EVO</t>
  </si>
  <si>
    <t>Jackson.fournier48@gmail.com</t>
  </si>
  <si>
    <t>Sophomore season with Saint John’s high school:   82 PA .303 Avg  .427 Obp 20 Hs  5 EBH  14 RBIs  14 Runs  10/10 Sb  Summer season with Evo 17u:  67 PA .373 Avg .522 Obp 19 H 11 EBH (2HR) 18 RB 19 R 16 BB 9/9 SB</t>
  </si>
  <si>
    <t xml:space="preserve">3.26 unweighted/ 3.6 weighted </t>
  </si>
  <si>
    <t xml:space="preserve">January 2025/ stress fracture left ankle (didn’t need surgery) </t>
  </si>
  <si>
    <t>Dylan Frers</t>
  </si>
  <si>
    <t>Frers</t>
  </si>
  <si>
    <t>Kings Park</t>
  </si>
  <si>
    <t>Team Beast</t>
  </si>
  <si>
    <t>Curt Friedrich</t>
  </si>
  <si>
    <t>Curt</t>
  </si>
  <si>
    <t>Friedrich</t>
  </si>
  <si>
    <t>Penn State</t>
  </si>
  <si>
    <t>646-887-7191</t>
  </si>
  <si>
    <t>Jack Frostholm</t>
  </si>
  <si>
    <t>Frostholm</t>
  </si>
  <si>
    <t>Selvin Garrett</t>
  </si>
  <si>
    <t>Selvin</t>
  </si>
  <si>
    <t>Buda Johnson</t>
  </si>
  <si>
    <t>737-414-2553</t>
  </si>
  <si>
    <t>Connor Gavigan</t>
  </si>
  <si>
    <t>Gavigan</t>
  </si>
  <si>
    <t>Poor grades</t>
  </si>
  <si>
    <t>Riverview, FL</t>
  </si>
  <si>
    <t>East Bay</t>
  </si>
  <si>
    <t>Ostingers Baseball 2027 Green</t>
  </si>
  <si>
    <t>3.39 / some C's and a D</t>
  </si>
  <si>
    <t>mini aaron judge...BAT!</t>
  </si>
  <si>
    <t>connor.gav42@gmail.com</t>
  </si>
  <si>
    <t>HS season: 27 GP .393 AVG .475 OBP 1.094 OPS 84 AB 23 R 33 H 41 RBI 7D 4 HR 10 SB Summer ball: 29GP .333 AVG .413 OBP 1.055 OPS 81 AB 18 R 27 H 27 RBI 5 D 1T 6HR 6 SB</t>
  </si>
  <si>
    <t>UW: 3.5 W: 4? (not 100% sure, sorry)</t>
  </si>
  <si>
    <t xml:space="preserve">n/a i can’t take them until after about 2nd semester </t>
  </si>
  <si>
    <t>none</t>
  </si>
  <si>
    <t>albuterol (getting cleared soon)</t>
  </si>
  <si>
    <t>Angelo Geraldo</t>
  </si>
  <si>
    <t>Geraldo</t>
  </si>
  <si>
    <t>Not Int</t>
  </si>
  <si>
    <t>American Heritage (Plantation) (FL)</t>
  </si>
  <si>
    <t>305-815-4607</t>
  </si>
  <si>
    <t>Austin Gerken</t>
  </si>
  <si>
    <t>Gerken</t>
  </si>
  <si>
    <t>Orange</t>
  </si>
  <si>
    <t>Mater Dei</t>
  </si>
  <si>
    <t>Physical, really like the sw. Strong. Need to see do more.</t>
  </si>
  <si>
    <t>Sam Godbout</t>
  </si>
  <si>
    <t>Godbout</t>
  </si>
  <si>
    <t>Wake Forest University</t>
  </si>
  <si>
    <t>3B 2B, MIF, SS</t>
  </si>
  <si>
    <t>Brooklyn, NY</t>
  </si>
  <si>
    <t>Mariano Gonzalez</t>
  </si>
  <si>
    <t>Mariano</t>
  </si>
  <si>
    <t>Gonzalez</t>
  </si>
  <si>
    <t>Texas Tech</t>
  </si>
  <si>
    <t>Fairfield</t>
  </si>
  <si>
    <t>Vanden</t>
  </si>
  <si>
    <t>707-426-2124</t>
  </si>
  <si>
    <t>Matthew Gorman</t>
  </si>
  <si>
    <t>Gorman</t>
  </si>
  <si>
    <t>Papillion</t>
  </si>
  <si>
    <t>Papillion-La Vista South</t>
  </si>
  <si>
    <t>Jameson Gray</t>
  </si>
  <si>
    <t>Connor Greb</t>
  </si>
  <si>
    <t>Greb</t>
  </si>
  <si>
    <t>Birmingham</t>
  </si>
  <si>
    <t>Spain Park</t>
  </si>
  <si>
    <t>205-983-2183</t>
  </si>
  <si>
    <t>connorgreb@gmail.com</t>
  </si>
  <si>
    <t xml:space="preserve">Perfect game profile  </t>
  </si>
  <si>
    <t>3.85/4.00</t>
  </si>
  <si>
    <t>Have yet too take ACT</t>
  </si>
  <si>
    <t>Hand surgery broken wrist toe surgery broken collarbone</t>
  </si>
  <si>
    <t>Gavin Griffin</t>
  </si>
  <si>
    <t>Griffin</t>
  </si>
  <si>
    <t>.</t>
  </si>
  <si>
    <t>Battle Lake</t>
  </si>
  <si>
    <t>Perham (MN)</t>
  </si>
  <si>
    <t>763-229-7969</t>
  </si>
  <si>
    <t>Brady Guth</t>
  </si>
  <si>
    <t>Guth</t>
  </si>
  <si>
    <t>OKState</t>
  </si>
  <si>
    <t>Prob too good. Small. Great def actions, HR in game. + ball player.</t>
  </si>
  <si>
    <t>Cale Hackenberg</t>
  </si>
  <si>
    <t>Cale</t>
  </si>
  <si>
    <t>Hackenberg</t>
  </si>
  <si>
    <t>Eastern Kentucky</t>
  </si>
  <si>
    <t>Marcellus</t>
  </si>
  <si>
    <t>269-532-0807</t>
  </si>
  <si>
    <t>Colton Hadfield</t>
  </si>
  <si>
    <t>Hadfield</t>
  </si>
  <si>
    <t>Newark</t>
  </si>
  <si>
    <t>Valley Christian San Jose</t>
  </si>
  <si>
    <t>510-320-6479</t>
  </si>
  <si>
    <t>colton.hadfield@icloud.com</t>
  </si>
  <si>
    <t>Summer/Trosky Milwaukee Brewers Scout - 9-20 2 2B, 3B, HR, 8 RBI</t>
  </si>
  <si>
    <t>William Haggerty</t>
  </si>
  <si>
    <t>Haggerty</t>
  </si>
  <si>
    <t>Moses Brown</t>
  </si>
  <si>
    <t>NE Scorpions</t>
  </si>
  <si>
    <t>Gerad Hanle</t>
  </si>
  <si>
    <t>Gerad</t>
  </si>
  <si>
    <t>Hanle</t>
  </si>
  <si>
    <t>Clear lake</t>
  </si>
  <si>
    <t>Acellus (MN)</t>
  </si>
  <si>
    <t>612-669-6747</t>
  </si>
  <si>
    <t>Ryan Harless</t>
  </si>
  <si>
    <t>Harless</t>
  </si>
  <si>
    <t>Mosley</t>
  </si>
  <si>
    <t>TE Scout</t>
  </si>
  <si>
    <t>AP: 6'2 180 good strong body, LHH with good swing, history of hitting, flat path</t>
  </si>
  <si>
    <t>rharless0816@gmail.com</t>
  </si>
  <si>
    <t>Ba.330 obp.512 rbi.16.  Era1.13 23ks only 1bb</t>
  </si>
  <si>
    <t>Sat 1090</t>
  </si>
  <si>
    <t xml:space="preserve">Elbow </t>
  </si>
  <si>
    <t>Beckett Haselhuhn</t>
  </si>
  <si>
    <t>Haselhuhn</t>
  </si>
  <si>
    <t>Florida A&amp;M</t>
  </si>
  <si>
    <t>Rossview</t>
  </si>
  <si>
    <t>509-308-4104</t>
  </si>
  <si>
    <t>Jacob Henderson</t>
  </si>
  <si>
    <t>Henderson</t>
  </si>
  <si>
    <t>4.0 / 1490</t>
  </si>
  <si>
    <t>AP: 5'8 165 small, but strong body, athletic, good bat speed, moves well on field, had him 4.32 on 6-3, played CF and SS, not sure where he settles, HS '25 only got 25 at bats, .185.  wants NAVY, coming to AUGUST camp.</t>
  </si>
  <si>
    <t>jakehendy.27@icloud.com</t>
  </si>
  <si>
    <t>‘25 Season according to Perfect Game - 62 AB, .339 AVG, .462 OBP, .881 OPS, 10 SB (91%), 15 IP, 17 SO, 0.87 WHIP, 3 BB, .192 OAVG, 1.000 FPCT, Preseason Underclass All American</t>
  </si>
  <si>
    <t>4.0/4.58</t>
  </si>
  <si>
    <t>1490 SAT, 31 ACT</t>
  </si>
  <si>
    <t>Fractured right middle finger, fractured right thumb, fractured right wrist</t>
  </si>
  <si>
    <t>Jude Henn</t>
  </si>
  <si>
    <t>Pittstown, NJ</t>
  </si>
  <si>
    <t>North Hunterdon Reg</t>
  </si>
  <si>
    <t>jhenn1202@gmail.com</t>
  </si>
  <si>
    <t>High school- 10 innings pitched, 1.40 ERA, 14 is, 1 walk, 3 runs, and 2 earned runs</t>
  </si>
  <si>
    <t xml:space="preserve">4.0 weighted </t>
  </si>
  <si>
    <t>Accutane</t>
  </si>
  <si>
    <t>Hayden Henry</t>
  </si>
  <si>
    <t>Webster</t>
  </si>
  <si>
    <t>Breckinridge County</t>
  </si>
  <si>
    <t>502-271-9652</t>
  </si>
  <si>
    <t>Charlie Herr</t>
  </si>
  <si>
    <t>Herr</t>
  </si>
  <si>
    <t>Indiana</t>
  </si>
  <si>
    <t>Homestead</t>
  </si>
  <si>
    <t>charlesherr1@icloud.com</t>
  </si>
  <si>
    <t>1.2 innings, 0 era</t>
  </si>
  <si>
    <t>None taken</t>
  </si>
  <si>
    <t>Cooper Hillen</t>
  </si>
  <si>
    <t>Hillen</t>
  </si>
  <si>
    <t>Lampeter-Strasburg</t>
  </si>
  <si>
    <t>717-380-5334</t>
  </si>
  <si>
    <t>cooperhillen9@gmail.com</t>
  </si>
  <si>
    <t>High School Stats Sophomore Season (29 games): avg .321 obp .486 ops 1.079 SLG .593 hits 26 (14 extra base hits) rbi 27. 1st team all star</t>
  </si>
  <si>
    <t>unweighted 3.98 weighted 4.105</t>
  </si>
  <si>
    <t xml:space="preserve">not available </t>
  </si>
  <si>
    <t>Separated both AC in my shoulder joints playing football</t>
  </si>
  <si>
    <t>Lucas Hodney</t>
  </si>
  <si>
    <t>Hodney</t>
  </si>
  <si>
    <t>University of Connecticut (UConn)</t>
  </si>
  <si>
    <t>St Marks</t>
  </si>
  <si>
    <t>Payton Holinka</t>
  </si>
  <si>
    <t>Holinka</t>
  </si>
  <si>
    <t>UCSB</t>
  </si>
  <si>
    <t>Gilbert</t>
  </si>
  <si>
    <t>Perry</t>
  </si>
  <si>
    <t>Vaughn Howard</t>
  </si>
  <si>
    <t>South Alabama</t>
  </si>
  <si>
    <t>Santa Rosa Beach</t>
  </si>
  <si>
    <t>South Walton (FL)</t>
  </si>
  <si>
    <t>850-686-7882</t>
  </si>
  <si>
    <t>vhow1025@gmail.com</t>
  </si>
  <si>
    <t>I was hurt in the high school year but for summer my stats were OPS: 1.084 AVG: .397 OBP: .533 SLG: .552 23 Runs 23 Hits 5 doubles 2 triples 13RBI 9 stolen bases</t>
  </si>
  <si>
    <t>I have not took these yet</t>
  </si>
  <si>
    <t xml:space="preserve">My lower back and my throwing shoulder </t>
  </si>
  <si>
    <t>Tielor Howie</t>
  </si>
  <si>
    <t>Tielor</t>
  </si>
  <si>
    <t>Howie</t>
  </si>
  <si>
    <t>Kent State</t>
  </si>
  <si>
    <t>Madison Central</t>
  </si>
  <si>
    <t>Lucas Hubner</t>
  </si>
  <si>
    <t>Hubner</t>
  </si>
  <si>
    <t>Dartmouth</t>
  </si>
  <si>
    <t>Saint James</t>
  </si>
  <si>
    <t>Smithtown East</t>
  </si>
  <si>
    <t>Colton Hyde</t>
  </si>
  <si>
    <t>Hyde</t>
  </si>
  <si>
    <t>Cardinal Mooney</t>
  </si>
  <si>
    <t>3.6? risky</t>
  </si>
  <si>
    <t>AP: 6'2 165 room for more, high ceiling type, 85-87, below avg SL, plus feel with CH.  I dont think he's been pitching long, #1 for HS team, not a ton of K's yet but this kid will throw hard.  arm works, hand speed good.  dad Brandon Hyde</t>
  </si>
  <si>
    <t>coltonhyde@icloud.com</t>
  </si>
  <si>
    <t>61.1 innings 1.26 era 50 k 179 baa</t>
  </si>
  <si>
    <t>Jake Ivey</t>
  </si>
  <si>
    <t>Ivey</t>
  </si>
  <si>
    <t>Gunter</t>
  </si>
  <si>
    <t>469-858-1768</t>
  </si>
  <si>
    <t>Riley Jackson</t>
  </si>
  <si>
    <t>Santa Clara</t>
  </si>
  <si>
    <t>El Granada</t>
  </si>
  <si>
    <t>Half Moon Bay</t>
  </si>
  <si>
    <t>650-784-5055</t>
  </si>
  <si>
    <t>TR Call: Plays FB in fall. 6.9. Small HS team not good. hit .330 3 HR 10 sb. Taking alg 2 and chem next year 3.7. Toured academy in 8th grade. very interested.</t>
  </si>
  <si>
    <t>Riley27jackson@gmail.com</t>
  </si>
  <si>
    <t xml:space="preserve">HS/Summer combined: 45 GP, 1.259 OPS, 44 hits, 44 runs, 39 RBI’s, 6 home runs, 15 SB, </t>
  </si>
  <si>
    <t>Andrew Jimenez</t>
  </si>
  <si>
    <t>Jimenez</t>
  </si>
  <si>
    <t>Virginia</t>
  </si>
  <si>
    <t>Wildomar</t>
  </si>
  <si>
    <t>Elsinore</t>
  </si>
  <si>
    <t>951-319-1344</t>
  </si>
  <si>
    <t>Great player prob too good. 3B, HR, all over barrell.</t>
  </si>
  <si>
    <t>Dekohta Jones</t>
  </si>
  <si>
    <t>Dekohta</t>
  </si>
  <si>
    <t>Baton Rouge, LA</t>
  </si>
  <si>
    <t>Catholic High School</t>
  </si>
  <si>
    <t>Carter Kelly</t>
  </si>
  <si>
    <t>Kelly</t>
  </si>
  <si>
    <t>College of Charleston</t>
  </si>
  <si>
    <t>Simpsonville</t>
  </si>
  <si>
    <t>Fountain Inn High</t>
  </si>
  <si>
    <t>267-456-6673</t>
  </si>
  <si>
    <t>Austin Kightlinger</t>
  </si>
  <si>
    <t>Kightlinger</t>
  </si>
  <si>
    <t>IU</t>
  </si>
  <si>
    <t>Northport</t>
  </si>
  <si>
    <t>205-650-2213</t>
  </si>
  <si>
    <t>Roy Kim</t>
  </si>
  <si>
    <t>Roy</t>
  </si>
  <si>
    <t>Kim</t>
  </si>
  <si>
    <t>Great Oak</t>
  </si>
  <si>
    <t>Sandlot Baseball Club</t>
  </si>
  <si>
    <t>AP: 6'0 190 avg arm speed, 85-86, plus CH. CB: Yes would take him. SNK 84-87 plays up. Glove flash hides it. + CH, = SL. = command. S/M all 3 pitches.</t>
  </si>
  <si>
    <t>Ray Kim</t>
  </si>
  <si>
    <t>Ray</t>
  </si>
  <si>
    <t>TWP</t>
  </si>
  <si>
    <t>St. Dominic</t>
  </si>
  <si>
    <t>Showtime Select</t>
  </si>
  <si>
    <t>Everett Kincaid</t>
  </si>
  <si>
    <t>Everett</t>
  </si>
  <si>
    <t>Kincaid</t>
  </si>
  <si>
    <t>Dallas, TX</t>
  </si>
  <si>
    <t>Bishop Lynch</t>
  </si>
  <si>
    <t>Mikah Krystofolski</t>
  </si>
  <si>
    <t>Mikah</t>
  </si>
  <si>
    <t>Krystofolski</t>
  </si>
  <si>
    <t>Elon</t>
  </si>
  <si>
    <t>East Harwich, MA</t>
  </si>
  <si>
    <t>Brayden Landry</t>
  </si>
  <si>
    <t>Puyallup, WA</t>
  </si>
  <si>
    <t>Puyallup</t>
  </si>
  <si>
    <t>AJ Lasota</t>
  </si>
  <si>
    <t>AJ</t>
  </si>
  <si>
    <t>Lasota</t>
  </si>
  <si>
    <t xml:space="preserve">UVA </t>
  </si>
  <si>
    <t>AP: 6'0 170, pitched, Future Gamer, probably too good for us.  touching 90, with SL and CH. CB: Good SL, good athl frame. Everything works well. Tipping every pitch. Need to see more.</t>
  </si>
  <si>
    <t>Luke Lawson</t>
  </si>
  <si>
    <t>Central Alabama CC</t>
  </si>
  <si>
    <t>Athens</t>
  </si>
  <si>
    <t>Mcminn County</t>
  </si>
  <si>
    <t>423-333-7282</t>
  </si>
  <si>
    <t>Evan Lee</t>
  </si>
  <si>
    <t>Longwood</t>
  </si>
  <si>
    <t>Cave Spring</t>
  </si>
  <si>
    <t>540-613-7747</t>
  </si>
  <si>
    <t>Luke Leger</t>
  </si>
  <si>
    <t>Leger</t>
  </si>
  <si>
    <t>Noble And Greenough</t>
  </si>
  <si>
    <t>Parker Leoff</t>
  </si>
  <si>
    <t>Leoff</t>
  </si>
  <si>
    <t>UCLA</t>
  </si>
  <si>
    <t>Redondo Beach</t>
  </si>
  <si>
    <t>310-922-6369</t>
  </si>
  <si>
    <t>Great SS actions. Great LHH swing. Don't love setup.</t>
  </si>
  <si>
    <t>Jacob Lessman</t>
  </si>
  <si>
    <t>Lessman</t>
  </si>
  <si>
    <t>OK State</t>
  </si>
  <si>
    <t>Whitney</t>
  </si>
  <si>
    <t>China Spring</t>
  </si>
  <si>
    <t>254-855-6997</t>
  </si>
  <si>
    <t>Brett Liezert</t>
  </si>
  <si>
    <t>Brett</t>
  </si>
  <si>
    <t>Liezert</t>
  </si>
  <si>
    <t>Isaac Lockwood</t>
  </si>
  <si>
    <t>Mead</t>
  </si>
  <si>
    <t>720-724-0474</t>
  </si>
  <si>
    <t>Jackson Logan</t>
  </si>
  <si>
    <t>Cushing Accademy</t>
  </si>
  <si>
    <t>Jake Lopez</t>
  </si>
  <si>
    <t>Broken Arrow</t>
  </si>
  <si>
    <t>Broken Arrow (OK)</t>
  </si>
  <si>
    <t>760-694-5576</t>
  </si>
  <si>
    <t>227jakelopez@gmail.com</t>
  </si>
  <si>
    <t xml:space="preserve">3:28 batting average, 41 hits, 31 stolen bases,429 OBP,820 OPS summer  Stats 400 batting average ,23 hits , 18 stolen bases ,951 fielding percentage </t>
  </si>
  <si>
    <t xml:space="preserve">Ankle </t>
  </si>
  <si>
    <t xml:space="preserve">Peanuts </t>
  </si>
  <si>
    <t>Jackson Loy</t>
  </si>
  <si>
    <t>Loy</t>
  </si>
  <si>
    <t>University of Alabama-Birmingham</t>
  </si>
  <si>
    <t>Caleb Lynn</t>
  </si>
  <si>
    <t>Lynn</t>
  </si>
  <si>
    <t>Garner</t>
  </si>
  <si>
    <t>Cleveland</t>
  </si>
  <si>
    <t>919-599-1976</t>
  </si>
  <si>
    <t>Wyatt Lytle</t>
  </si>
  <si>
    <t>Lytle</t>
  </si>
  <si>
    <t>North Carolina</t>
  </si>
  <si>
    <t>Apex</t>
  </si>
  <si>
    <t>Pro5 Academy</t>
  </si>
  <si>
    <t>984-999-5751</t>
  </si>
  <si>
    <t>Nick Machusko</t>
  </si>
  <si>
    <t>Machusko</t>
  </si>
  <si>
    <t>Moon Area</t>
  </si>
  <si>
    <t>PBR Futures</t>
  </si>
  <si>
    <t>BAT!  phyical. easy yes..too good</t>
  </si>
  <si>
    <t>Braedon Mackay</t>
  </si>
  <si>
    <t>Braedon</t>
  </si>
  <si>
    <t>Mackay</t>
  </si>
  <si>
    <t>Florida</t>
  </si>
  <si>
    <t xml:space="preserve">Sarasota </t>
  </si>
  <si>
    <t>3.75?</t>
  </si>
  <si>
    <t>AP: 6'4 185 plus frame, HITS! PG #261 Nat.  good swing, history of hitting.  Offered by USF and FGCU</t>
  </si>
  <si>
    <t>braedonmackay@icloud.com</t>
  </si>
  <si>
    <t>309 BA, 29 hits, 28 RBIs, 10 Doubles, 1 homerun</t>
  </si>
  <si>
    <t>3.41 Unweighted and 4.27 Weighted</t>
  </si>
  <si>
    <t>Caden Mackey</t>
  </si>
  <si>
    <t>Mackey</t>
  </si>
  <si>
    <t>Southlake</t>
  </si>
  <si>
    <t>682-360-8826</t>
  </si>
  <si>
    <t>Ryker Mahnke</t>
  </si>
  <si>
    <t>Ryker</t>
  </si>
  <si>
    <t>Mahnke</t>
  </si>
  <si>
    <t>Missouri</t>
  </si>
  <si>
    <t>Lawrence Free State HS</t>
  </si>
  <si>
    <t>3.8?</t>
  </si>
  <si>
    <t xml:space="preserve">AP: 5'10 160 small athlete, HITS and RUNS, PBR #5 overall in KS, Future Gamer.  HS coach loves him. Second best hitter he's had in 29 years. Absolutely division 1 player. Getting calls from lots of power five schools.  6.8 Runner, but has outstanding reads and is fearless in centerfield. </t>
  </si>
  <si>
    <t>mahnkehouse@gmail.com</t>
  </si>
  <si>
    <t>.426 AVG .508 OBP 1.063 OPS .554 SLG 43 H 21 RBI 42 R 13 BB 4 SO     1st team all conference - 1st team all state - 6A state champion</t>
  </si>
  <si>
    <t>Nick Malinowski</t>
  </si>
  <si>
    <t>Malinowski</t>
  </si>
  <si>
    <t>UPenn</t>
  </si>
  <si>
    <t>Barnegat</t>
  </si>
  <si>
    <t>.9ers Baseball Club</t>
  </si>
  <si>
    <t>AP: 6'1 200 good body.  85-89, good CB, yes! arm works, plus arm speed, loose.   2025 HS stats 50IP, 1.13 ERA, 71K,</t>
  </si>
  <si>
    <t>nickmalinowski2027@gmail.com</t>
  </si>
  <si>
    <t xml:space="preserve">50.1 IP 8-1 Record (School record) 1.113 ERA 71Ks 1.013 Whip .169 BAA, C-South Division Pitcher of the Year, 3rd Team All shore, Varsity MVP </t>
  </si>
  <si>
    <t>Walnuts</t>
  </si>
  <si>
    <t>JJ Mancuso</t>
  </si>
  <si>
    <t>JJ</t>
  </si>
  <si>
    <t>Mancuso</t>
  </si>
  <si>
    <t>Seton Hall</t>
  </si>
  <si>
    <t>Bradfordwoods</t>
  </si>
  <si>
    <t>North Allegheny (PA)</t>
  </si>
  <si>
    <t>412-526-6676</t>
  </si>
  <si>
    <t>jjmancuso12@gmail.com</t>
  </si>
  <si>
    <t>-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t>
  </si>
  <si>
    <t>3.6/3.4</t>
  </si>
  <si>
    <t>Haven’t taken test yet will be doing one of them junior year.</t>
  </si>
  <si>
    <t>Max Mangum</t>
  </si>
  <si>
    <t>Mangum</t>
  </si>
  <si>
    <t>East Bernard</t>
  </si>
  <si>
    <t>979-758-1047</t>
  </si>
  <si>
    <t>Zion Martinez</t>
  </si>
  <si>
    <t>Zion</t>
  </si>
  <si>
    <t>Yucaipa</t>
  </si>
  <si>
    <t>Norco</t>
  </si>
  <si>
    <t>909-723-6176</t>
  </si>
  <si>
    <t>Plus defender, very small. HR in game.</t>
  </si>
  <si>
    <t>zionmicahjr24@gmail.com</t>
  </si>
  <si>
    <t>.407 AVG .520 OBP .542 SLG 1.062 OPS /Big VIII All-League</t>
  </si>
  <si>
    <t>4.0/4.3</t>
  </si>
  <si>
    <t>Ted Masino</t>
  </si>
  <si>
    <t>Ted</t>
  </si>
  <si>
    <t>Masino</t>
  </si>
  <si>
    <t>Maplewood</t>
  </si>
  <si>
    <t>973-768-7392</t>
  </si>
  <si>
    <t>Jonathan Mauro</t>
  </si>
  <si>
    <t>Jonathan</t>
  </si>
  <si>
    <t>Mauro</t>
  </si>
  <si>
    <t>might not have interest, didn't follow me back on twitter</t>
  </si>
  <si>
    <t>AP: 5'10 185 strong catcher body, HITS, high bat to ball skills, just hits, not a ton of pop, avg run.  catches clean, good release, avg arm.</t>
  </si>
  <si>
    <t>jmmvb14@gmail.com</t>
  </si>
  <si>
    <t>HS avg .296 obp .419 ops .912 3HR Herald Tribune Athlete of the week of the week/16u PG avg .405 obp .535 ops 1.143 2HR 11XBH PG 16u World Series tourney MVP</t>
  </si>
  <si>
    <t>3.7 4.7</t>
  </si>
  <si>
    <t>Brody Mauro</t>
  </si>
  <si>
    <t>Xavier University</t>
  </si>
  <si>
    <t>PRD</t>
  </si>
  <si>
    <t>Luke McAtee</t>
  </si>
  <si>
    <t>Town and Country</t>
  </si>
  <si>
    <t>De Smet Jesuit (MO)</t>
  </si>
  <si>
    <t>314-705-7103</t>
  </si>
  <si>
    <t>lpmcatee08@gmail.com</t>
  </si>
  <si>
    <t>HS .300/.380.700</t>
  </si>
  <si>
    <t xml:space="preserve">Not yet taken </t>
  </si>
  <si>
    <t xml:space="preserve">6th Grade broken wrist/elbow 8th grade broken scapula </t>
  </si>
  <si>
    <t>Kyle McBride</t>
  </si>
  <si>
    <t>McBride</t>
  </si>
  <si>
    <t>AP: TOO GOOD FOR US 6'2 180 good body, 86-88 2500 spin, 76-78 SL good, CH.  yes! good arm speed, loose</t>
  </si>
  <si>
    <t>Maddox McCollum</t>
  </si>
  <si>
    <t>Maddox</t>
  </si>
  <si>
    <t>McCollum</t>
  </si>
  <si>
    <t>Kennesaw State</t>
  </si>
  <si>
    <t>Wyatt McDaniels</t>
  </si>
  <si>
    <t>McDaniels</t>
  </si>
  <si>
    <t>Pearl River CC</t>
  </si>
  <si>
    <t>Tupelo</t>
  </si>
  <si>
    <t>Mooreville</t>
  </si>
  <si>
    <t>662-871-8939</t>
  </si>
  <si>
    <t>Mason McGill</t>
  </si>
  <si>
    <t>McGill</t>
  </si>
  <si>
    <t>West Virginia University (WVU)</t>
  </si>
  <si>
    <t>Hedgesville</t>
  </si>
  <si>
    <t>Ty McGinley</t>
  </si>
  <si>
    <t>McGinley</t>
  </si>
  <si>
    <t>Fairhope</t>
  </si>
  <si>
    <t>251-923-9916</t>
  </si>
  <si>
    <t>Cooper McGowan</t>
  </si>
  <si>
    <t>McGowan</t>
  </si>
  <si>
    <t>OSU</t>
  </si>
  <si>
    <t>Battle Ground</t>
  </si>
  <si>
    <t>Battle Ground (WA)</t>
  </si>
  <si>
    <t>360-667-8091</t>
  </si>
  <si>
    <t>Brennan McKenna</t>
  </si>
  <si>
    <t>Hudson Meredith</t>
  </si>
  <si>
    <t>Meredith</t>
  </si>
  <si>
    <t>UVA</t>
  </si>
  <si>
    <t>Lousiville Baseball Club National</t>
  </si>
  <si>
    <t>AP: 6'1 190 87-89, CH 77, CB 73-75.  good arm speed.  travel coach (Devin Hicks) recommends, dad in Navy?  kid has interest in Navy</t>
  </si>
  <si>
    <t>hudsonmeredith156@gmail.com</t>
  </si>
  <si>
    <t>37.0 IP, 9-0, 1.13 ERA, .892 WHIP | Hitting: 60 AB, .417 BA, 1.239 OPS, 22 RBI</t>
  </si>
  <si>
    <t>3.81 UW, 5.25 W</t>
  </si>
  <si>
    <t xml:space="preserve">Torn left meniscus, arthroscopic surgery. </t>
  </si>
  <si>
    <t>Mason Meyer</t>
  </si>
  <si>
    <t>Meyer</t>
  </si>
  <si>
    <t>Mt Vernon</t>
  </si>
  <si>
    <t>317-453-5676</t>
  </si>
  <si>
    <t>Michael Meyers</t>
  </si>
  <si>
    <t>Meyers</t>
  </si>
  <si>
    <t>St. John's University</t>
  </si>
  <si>
    <t>Bryan Miller</t>
  </si>
  <si>
    <t>Miller</t>
  </si>
  <si>
    <t>University of Central Florida</t>
  </si>
  <si>
    <t>Woodgrove HS</t>
  </si>
  <si>
    <t>AP: 5'10 smaller catcher, but moves well, good release and good arm.  LHH with good bat speed and swing.  easy yes, PBR #398 Nat.</t>
  </si>
  <si>
    <t>George Minjack</t>
  </si>
  <si>
    <t>Minjack</t>
  </si>
  <si>
    <t>Georgetown</t>
  </si>
  <si>
    <t>Alexandria</t>
  </si>
  <si>
    <t>St. Albans School</t>
  </si>
  <si>
    <t>202-492-1530</t>
  </si>
  <si>
    <t>gminjcraft@gmail.com</t>
  </si>
  <si>
    <t>HS:.284 (29-102) .384 OBP/.894 OPS/ 16 1B/7 2B/2 3B/ 4 HR/ 25 RBI/ 22 R // ALL-CONFERENCE. Summer: .436 (34-78) /9 2B/2 3B/1 HR/14 RBI/ WWBA-ALL TOURNAMENT TEAM/ PLAYER OF THE GAME PBR FUTURES GAME.</t>
  </si>
  <si>
    <t>None taken yet</t>
  </si>
  <si>
    <t>Hunter Minner</t>
  </si>
  <si>
    <t>Minner</t>
  </si>
  <si>
    <t>Ankeny</t>
  </si>
  <si>
    <t>Ankeny (IA)</t>
  </si>
  <si>
    <t>515-210-1407</t>
  </si>
  <si>
    <t>Aaron Minton</t>
  </si>
  <si>
    <t>Aaron</t>
  </si>
  <si>
    <t>Minton</t>
  </si>
  <si>
    <t>San Carlos</t>
  </si>
  <si>
    <t>Junipero Serra</t>
  </si>
  <si>
    <t>4.4 1350 (PSAT)</t>
  </si>
  <si>
    <t>Great body love the swing. Everything works, looks right.</t>
  </si>
  <si>
    <t>Hunter Mishock</t>
  </si>
  <si>
    <t>Mishock</t>
  </si>
  <si>
    <t>Monmouth</t>
  </si>
  <si>
    <t>Royersford</t>
  </si>
  <si>
    <t>Royersford Pope John Paul ll</t>
  </si>
  <si>
    <t>484-975-6500</t>
  </si>
  <si>
    <t>huntermishock@gmail.com</t>
  </si>
  <si>
    <t>HS: AB-63 AVG-333 OPS-823 SB 17</t>
  </si>
  <si>
    <t>Na</t>
  </si>
  <si>
    <t>Keith Mitchell</t>
  </si>
  <si>
    <t>Keith</t>
  </si>
  <si>
    <t>Mitchell</t>
  </si>
  <si>
    <t>Memphis</t>
  </si>
  <si>
    <t>Lagrange</t>
  </si>
  <si>
    <t>South Oldham</t>
  </si>
  <si>
    <t>502-755-9428</t>
  </si>
  <si>
    <t>keithrwmitchell@gmail.com</t>
  </si>
  <si>
    <t>Summer-.323 AVG  .497 OBP .485 SLG .982 OPS 5 XBH + 1 HR 9 RBI + 15 RS 15 BB / 9 K           School-.306 AVG .500 OBP .935 OPS 19H 5 XBH+1HR 22R 15BB</t>
  </si>
  <si>
    <t>Weighted 4.2 unweighted 3.8</t>
  </si>
  <si>
    <t xml:space="preserve">24ACT practice test </t>
  </si>
  <si>
    <t xml:space="preserve">Montekalaust- allergy medicine </t>
  </si>
  <si>
    <t>Jameson Moan</t>
  </si>
  <si>
    <t>FSU</t>
  </si>
  <si>
    <t>Saint Petersburg</t>
  </si>
  <si>
    <t>Northside Christian (FL)</t>
  </si>
  <si>
    <t>727-643-4923</t>
  </si>
  <si>
    <t>jamesonmoan2027@gmail.com</t>
  </si>
  <si>
    <t xml:space="preserve">.315 regular season BA (highschool), 1 HR, High school Outstanding season award, PBR Future Games selection, PG National Showcase, PG grade 9, 2x fireman award (heart and hustle), 1x MVP </t>
  </si>
  <si>
    <t xml:space="preserve">Not taken </t>
  </si>
  <si>
    <t>Finn Moore</t>
  </si>
  <si>
    <t>Lawrence</t>
  </si>
  <si>
    <t>Lawrence Free State</t>
  </si>
  <si>
    <t>785-760-4442</t>
  </si>
  <si>
    <t>Pratt Morley</t>
  </si>
  <si>
    <t>Pratt</t>
  </si>
  <si>
    <t>Morley</t>
  </si>
  <si>
    <t>BYU</t>
  </si>
  <si>
    <t>Spanish Fork</t>
  </si>
  <si>
    <t>Mac Morris</t>
  </si>
  <si>
    <t>Taylors</t>
  </si>
  <si>
    <t>864-999-0942</t>
  </si>
  <si>
    <t>Cody Moseman</t>
  </si>
  <si>
    <t>Moseman</t>
  </si>
  <si>
    <t>Eastlake High School</t>
  </si>
  <si>
    <t>619-253-3383</t>
  </si>
  <si>
    <t>Rips SL, his favorite pitch. Athl wiry frame.</t>
  </si>
  <si>
    <t>Jack Munson</t>
  </si>
  <si>
    <t>Munson</t>
  </si>
  <si>
    <t>Portland</t>
  </si>
  <si>
    <t>225-819-6390</t>
  </si>
  <si>
    <t>jackmunson27@gmail.com</t>
  </si>
  <si>
    <t>PA: 105  AB: 89 AVG: .371 OBP: .419 OPS: .880 H: 33 2B: 8 RBI: 22 R: 16 BB: 11 2025 Future Games, 2025 6A 1st Team All-Region, 2024 USA Baseball Southwest NTIS, 2025 Gold Glove CCHS, 2024 Rookie of the Year CCHS</t>
  </si>
  <si>
    <t>Unweighted: 3.87 (No weighted)</t>
  </si>
  <si>
    <t>ACT: 26</t>
  </si>
  <si>
    <t xml:space="preserve">Multivitamins </t>
  </si>
  <si>
    <t>Colin Murphy</t>
  </si>
  <si>
    <t>Murphy</t>
  </si>
  <si>
    <t>Cincinnatti</t>
  </si>
  <si>
    <t>Chandler High</t>
  </si>
  <si>
    <t>480-938-2100</t>
  </si>
  <si>
    <t>Great body sw works well. Good separation. 1B/OF avg defender.</t>
  </si>
  <si>
    <t>Connor Murray</t>
  </si>
  <si>
    <t>Murray</t>
  </si>
  <si>
    <t>Pennridge</t>
  </si>
  <si>
    <t>PA Shockers</t>
  </si>
  <si>
    <t>Ryan Neumann</t>
  </si>
  <si>
    <t>Neumann</t>
  </si>
  <si>
    <t>Cherry Hills Village</t>
  </si>
  <si>
    <t>720-668-3728</t>
  </si>
  <si>
    <t>ryanneumann14@icloud.com</t>
  </si>
  <si>
    <t>SUMMER 15.2 ip 2.6 ERA 19ks 6hits SPRING 19ip 4.4ERA 23ks</t>
  </si>
  <si>
    <t>3.83/3.9w</t>
  </si>
  <si>
    <t>Minor Injuries when younger, little league shoulder/elbow. No surgeries</t>
  </si>
  <si>
    <t>Peter Nickson</t>
  </si>
  <si>
    <t>Nickson</t>
  </si>
  <si>
    <t>Rockhurst</t>
  </si>
  <si>
    <t>AP: 6'0 185, Future Gamer, switch hitter but LH swing is real good, avg run (7.0) but moves well.  Def just ok hands, arm is fine, made slow roller play.  but i liked his look out there.</t>
  </si>
  <si>
    <t>peternicksonkc@gmail.com</t>
  </si>
  <si>
    <t xml:space="preserve">High school: BA: 330, OBP: 450, H:29. Summer stats: Avg: 417, OBP: 551, OPS:1.271, Slg: 720, H: 31, 2B: 9, HR: 4, BB: 20. Batted 2 hole for high school and 2 hole in summer. Can play all infield positions. Future games participant. 6.67-60. 89 inf velo. 101 EV. Vert 36 in. I compete my tail off in everything. </t>
  </si>
  <si>
    <t>N/A taking ACT this fall</t>
  </si>
  <si>
    <t>Broken thumb, broken hand, sprained ankle.</t>
  </si>
  <si>
    <t>Andrew Noe</t>
  </si>
  <si>
    <t>Noe</t>
  </si>
  <si>
    <t>Freeport, NY</t>
  </si>
  <si>
    <t>Kellenberg Memorial</t>
  </si>
  <si>
    <t>Lincoln Norris</t>
  </si>
  <si>
    <t>Norris</t>
  </si>
  <si>
    <t>Knoxville</t>
  </si>
  <si>
    <t>Knoxville (IA)</t>
  </si>
  <si>
    <t>641-205-9390</t>
  </si>
  <si>
    <t>Finnian O'Loughlin</t>
  </si>
  <si>
    <t>Finnian</t>
  </si>
  <si>
    <t>O'Loughlin</t>
  </si>
  <si>
    <t>Grady Openden</t>
  </si>
  <si>
    <t>Openden</t>
  </si>
  <si>
    <t>Arizona</t>
  </si>
  <si>
    <t>Brophy Prep</t>
  </si>
  <si>
    <t>602-413-4603</t>
  </si>
  <si>
    <t>gropenden@icloud.com</t>
  </si>
  <si>
    <t>HS: 21 IP, 21 K, 9 BB, 4.6 ERA, .315 BAA. Summer: 24.1 IP, 21 K, 5 BB</t>
  </si>
  <si>
    <t>3.6 UW, 3.6 W</t>
  </si>
  <si>
    <t>Tyrus Ostowski</t>
  </si>
  <si>
    <t>Tyrus</t>
  </si>
  <si>
    <t>Ostowski</t>
  </si>
  <si>
    <t>Brown University</t>
  </si>
  <si>
    <t>Brunswick</t>
  </si>
  <si>
    <t>Northeast Supreme</t>
  </si>
  <si>
    <t>Tyrus Ostrowski</t>
  </si>
  <si>
    <t>Ostrowski</t>
  </si>
  <si>
    <t>Port Chester</t>
  </si>
  <si>
    <t>Brunswick School</t>
  </si>
  <si>
    <t>914-565-6515</t>
  </si>
  <si>
    <t>Brady Palmer</t>
  </si>
  <si>
    <t>Maine-Endwell</t>
  </si>
  <si>
    <t>RBI Baseball</t>
  </si>
  <si>
    <t>Steven Pannullo</t>
  </si>
  <si>
    <t>Steven</t>
  </si>
  <si>
    <t>Pannullo</t>
  </si>
  <si>
    <t>Essex Fells</t>
  </si>
  <si>
    <t>201-755-6396</t>
  </si>
  <si>
    <t>Sam Pearson</t>
  </si>
  <si>
    <t>vtech</t>
  </si>
  <si>
    <t>Lexington Christian Academy</t>
  </si>
  <si>
    <t>502-542-5318</t>
  </si>
  <si>
    <t xml:space="preserve">hit .300 as sophmore.  lead in hits, runs, SB for team.  HS coach has great reviews of the kid.  great family, good kid. hard worker, great student.  football player, leads in TD's.  </t>
  </si>
  <si>
    <t>Sampearson1303@gmail.com</t>
  </si>
  <si>
    <t>All City, 2024 and 2025, Team Kentucky - Super Sophomore and Future Games</t>
  </si>
  <si>
    <t>Briar Persing</t>
  </si>
  <si>
    <t>Briar</t>
  </si>
  <si>
    <t>Persing</t>
  </si>
  <si>
    <t>Montgomery</t>
  </si>
  <si>
    <t>570-506-7759</t>
  </si>
  <si>
    <t>Jackson Phillips</t>
  </si>
  <si>
    <t>Phillips</t>
  </si>
  <si>
    <t>Ponderosa</t>
  </si>
  <si>
    <t>720-900-7224</t>
  </si>
  <si>
    <t>Dylan Poloski</t>
  </si>
  <si>
    <t>Poloski</t>
  </si>
  <si>
    <t>Northeastern University</t>
  </si>
  <si>
    <t>Carson Richter</t>
  </si>
  <si>
    <t>Richter</t>
  </si>
  <si>
    <t>Newbury Park</t>
  </si>
  <si>
    <t>805-368-4166</t>
  </si>
  <si>
    <t>Lubin Rincon</t>
  </si>
  <si>
    <t>Lubin</t>
  </si>
  <si>
    <t>Rincon</t>
  </si>
  <si>
    <t>Shadow Creek</t>
  </si>
  <si>
    <t>713-294-0312</t>
  </si>
  <si>
    <t>Justin Rodrigues</t>
  </si>
  <si>
    <t>Rodrigues</t>
  </si>
  <si>
    <t>No interest</t>
  </si>
  <si>
    <t>Las Vegas</t>
  </si>
  <si>
    <t>Bishop Gorman</t>
  </si>
  <si>
    <t>702-480-7500</t>
  </si>
  <si>
    <t>Nolan Rolloff</t>
  </si>
  <si>
    <t>Rolloff</t>
  </si>
  <si>
    <t>University of St. Thomas</t>
  </si>
  <si>
    <t>Owatonna</t>
  </si>
  <si>
    <t>Owatonna Senior (MN)</t>
  </si>
  <si>
    <t>507-363-4880</t>
  </si>
  <si>
    <t>nolanrolloff0@gmail.com</t>
  </si>
  <si>
    <t xml:space="preserve">.455BA - .571 OBP - 35 Hits - 20 RBI’s. All Conference, All Section, All State Nomination, Team MVP, Team Offensive Player of the Year, Future Games (Team MN).  </t>
  </si>
  <si>
    <t>3.75 Unweighted</t>
  </si>
  <si>
    <t xml:space="preserve">I have not taken the SAT or ACT yet. </t>
  </si>
  <si>
    <t>Quinn Rooney</t>
  </si>
  <si>
    <t>Rooney</t>
  </si>
  <si>
    <t>Elite Baseball Training</t>
  </si>
  <si>
    <t>CB: Rec from EBT guy</t>
  </si>
  <si>
    <t>qmrooney09@gmail.com</t>
  </si>
  <si>
    <t>AVG: .400 / OBP: .471 / OPS : 1.129 / 34 H, 10 2B, 3 3B, 2 HR         10 IP, 25 SO, 1ER ,6 BB</t>
  </si>
  <si>
    <t>4.0 unweighted / 4.2 weighted</t>
  </si>
  <si>
    <t xml:space="preserve">Haven’t taken yet </t>
  </si>
  <si>
    <t>Jack Runk</t>
  </si>
  <si>
    <t>Runk</t>
  </si>
  <si>
    <t>Minnesota</t>
  </si>
  <si>
    <t>Lake Elmo</t>
  </si>
  <si>
    <t>Stillwater (MN)</t>
  </si>
  <si>
    <t>651-571-6116</t>
  </si>
  <si>
    <t>Cole Ryherd</t>
  </si>
  <si>
    <t>Ryherd</t>
  </si>
  <si>
    <t>Southern Illinois-Edwardsville</t>
  </si>
  <si>
    <t>Blue Valley West High</t>
  </si>
  <si>
    <t>Brady Sack</t>
  </si>
  <si>
    <t>Sack</t>
  </si>
  <si>
    <t>334-329-2111</t>
  </si>
  <si>
    <t>Angel Salcedo</t>
  </si>
  <si>
    <t>Angel</t>
  </si>
  <si>
    <t>Salcedo</t>
  </si>
  <si>
    <t>Seton Hall University</t>
  </si>
  <si>
    <t>Union, NJ</t>
  </si>
  <si>
    <t>Seton Hall Preparatory</t>
  </si>
  <si>
    <t>Ben Samuels</t>
  </si>
  <si>
    <t>Samuels</t>
  </si>
  <si>
    <t>Daniel Sanchez</t>
  </si>
  <si>
    <t>Daniel</t>
  </si>
  <si>
    <t>Sanchez</t>
  </si>
  <si>
    <t>Broadlands</t>
  </si>
  <si>
    <t>Briar Woods</t>
  </si>
  <si>
    <t>571-521-9536</t>
  </si>
  <si>
    <t>Parker Sansone</t>
  </si>
  <si>
    <t>Sansone</t>
  </si>
  <si>
    <t>Ghosted</t>
  </si>
  <si>
    <t>Wentzville</t>
  </si>
  <si>
    <t>Timberland</t>
  </si>
  <si>
    <t>636-459-5170</t>
  </si>
  <si>
    <t>Lucas Sarno</t>
  </si>
  <si>
    <t>Sarno</t>
  </si>
  <si>
    <t>Lucas.sarno35@gmail.com</t>
  </si>
  <si>
    <t>2025 HS season: .333 AVG, .445 OBP, 16 RBI, 23 R, 11 BB, 14 SB.</t>
  </si>
  <si>
    <t>3.8/4.2</t>
  </si>
  <si>
    <t>Bicep Tendonitis, broken foot</t>
  </si>
  <si>
    <t>John Saunders</t>
  </si>
  <si>
    <t>Saunders</t>
  </si>
  <si>
    <t>Penn State University</t>
  </si>
  <si>
    <t>Gateway HS</t>
  </si>
  <si>
    <t>Team All*American</t>
  </si>
  <si>
    <t>Andrew Scarlett</t>
  </si>
  <si>
    <t>Scarlett</t>
  </si>
  <si>
    <t>CT Mets</t>
  </si>
  <si>
    <t>Ben Schaeffer</t>
  </si>
  <si>
    <t>Schaeffer</t>
  </si>
  <si>
    <t>Bellamine ￼</t>
  </si>
  <si>
    <t>McCordsville</t>
  </si>
  <si>
    <t>Mt Vernon HS</t>
  </si>
  <si>
    <t>Jackson Schilling</t>
  </si>
  <si>
    <t>Schilling</t>
  </si>
  <si>
    <t>Ohio State</t>
  </si>
  <si>
    <t>Vandalia</t>
  </si>
  <si>
    <t>Butler High School</t>
  </si>
  <si>
    <t>937-605-2868</t>
  </si>
  <si>
    <t>Jackson Shepherd</t>
  </si>
  <si>
    <t>Superior</t>
  </si>
  <si>
    <t>720-990-3199</t>
  </si>
  <si>
    <t>Owen Shirey</t>
  </si>
  <si>
    <t>Shirey</t>
  </si>
  <si>
    <t>Charlotte</t>
  </si>
  <si>
    <t>Providence Day School</t>
  </si>
  <si>
    <t>owen.shirey@providenceday.org</t>
  </si>
  <si>
    <t xml:space="preserve">Summer 2025 Perfect Game - 3.93 BA, .500 OBP I Soph YR HS, .378 OBP, 2,22 ERA over 28 innings I Fresh YR HS, .353 OBP, 4.04 ERA over 43 innings  </t>
  </si>
  <si>
    <t>3.68/3.68</t>
  </si>
  <si>
    <t>TBD</t>
  </si>
  <si>
    <t xml:space="preserve">No Surgeries; Left Wrist Scaphoid Fracture - HS Basketball, January 2025, continued to play point guard, earned MVP honors, but missed first half of baseball season, wrist was in cast and splint for 6 weeks, but i could throw with right hand. </t>
  </si>
  <si>
    <t>Yes - Zyrtec for seasonal allergies</t>
  </si>
  <si>
    <t>Judah Shirlen</t>
  </si>
  <si>
    <t>Judah</t>
  </si>
  <si>
    <t>Shirlen</t>
  </si>
  <si>
    <t>Severna Park</t>
  </si>
  <si>
    <t>Archbishop Spalding</t>
  </si>
  <si>
    <t>443-340-3278</t>
  </si>
  <si>
    <t>Cooper Sievert</t>
  </si>
  <si>
    <t>Sievert</t>
  </si>
  <si>
    <t>West Virginia</t>
  </si>
  <si>
    <t>Muskego</t>
  </si>
  <si>
    <t>Wisconsin Lutheran</t>
  </si>
  <si>
    <t>414-748-6960</t>
  </si>
  <si>
    <t>Brady Smith</t>
  </si>
  <si>
    <t>Grimes</t>
  </si>
  <si>
    <t>Dallas Center-Grimes (IA)</t>
  </si>
  <si>
    <t>515-776-2873</t>
  </si>
  <si>
    <t>Grant Stafford</t>
  </si>
  <si>
    <t>Stafford</t>
  </si>
  <si>
    <t>Lufkin</t>
  </si>
  <si>
    <t>936-208-1965</t>
  </si>
  <si>
    <t>grantstafford07@icloud.com</t>
  </si>
  <si>
    <t xml:space="preserve">Yes dyslexia </t>
  </si>
  <si>
    <t>Barrett Standley</t>
  </si>
  <si>
    <t>Standley</t>
  </si>
  <si>
    <t>Louisiana-Monroe (ULM)</t>
  </si>
  <si>
    <t>918-695-0780</t>
  </si>
  <si>
    <t>Caleb Stanton</t>
  </si>
  <si>
    <t>Stanton</t>
  </si>
  <si>
    <t>University of Cincinnati</t>
  </si>
  <si>
    <t>McCoy rec: 6'2 225. switch hitter with juice, dad played pro ball</t>
  </si>
  <si>
    <t>Reid Stanton</t>
  </si>
  <si>
    <t>Fairfield Prep</t>
  </si>
  <si>
    <t>CT Baseball Club</t>
  </si>
  <si>
    <t>Jackson Staples</t>
  </si>
  <si>
    <t>Staples</t>
  </si>
  <si>
    <t>The Hun</t>
  </si>
  <si>
    <t>Chace Staude</t>
  </si>
  <si>
    <t>Chace</t>
  </si>
  <si>
    <t>Staude</t>
  </si>
  <si>
    <t>Pewaukee</t>
  </si>
  <si>
    <t>Kettle Moraine</t>
  </si>
  <si>
    <t>262-955-9719</t>
  </si>
  <si>
    <t>Troy Stimpson</t>
  </si>
  <si>
    <t>Stimpson</t>
  </si>
  <si>
    <t>Pitt</t>
  </si>
  <si>
    <t>Canonsburg</t>
  </si>
  <si>
    <t>Canon-Mcmillan</t>
  </si>
  <si>
    <t>412-506-1154</t>
  </si>
  <si>
    <t>Collin Strickland</t>
  </si>
  <si>
    <t>Strickland</t>
  </si>
  <si>
    <t xml:space="preserve">AP: coach rec.  6'0 185 strong body.  good swing and bat speed.  saw briefly.  has had a good hitting summer '25.  7.4 runner though </t>
  </si>
  <si>
    <t>Aiden Sun</t>
  </si>
  <si>
    <t>Sun</t>
  </si>
  <si>
    <t>UC San Diego</t>
  </si>
  <si>
    <t>San Diego</t>
  </si>
  <si>
    <t>Del Norte</t>
  </si>
  <si>
    <t>858-9512921</t>
  </si>
  <si>
    <t>Strong, showed hit tool. No position, not great runner.</t>
  </si>
  <si>
    <t>Michael Suokko</t>
  </si>
  <si>
    <t>Suokko</t>
  </si>
  <si>
    <t xml:space="preserve">Not interested </t>
  </si>
  <si>
    <t>Kenosha</t>
  </si>
  <si>
    <t>Westosha Central</t>
  </si>
  <si>
    <t>Hitters 2027</t>
  </si>
  <si>
    <t>Rylan Sutton</t>
  </si>
  <si>
    <t>Sutton</t>
  </si>
  <si>
    <t>Ozark</t>
  </si>
  <si>
    <t>417-766-8235</t>
  </si>
  <si>
    <t>rylansutton2027@gmail.com</t>
  </si>
  <si>
    <t>BA-386 OBP-471 SLG-649 OPS-1.120 21H 1B-12 2B-4 3B-3 HR-2 RBI-12 R-18 BB-10 SO-7</t>
  </si>
  <si>
    <t xml:space="preserve">Unweighted-3.3 Weighted-3.5 </t>
  </si>
  <si>
    <t>Braden Swaney</t>
  </si>
  <si>
    <t>Swaney</t>
  </si>
  <si>
    <t>Kansas State</t>
  </si>
  <si>
    <t>Omaha</t>
  </si>
  <si>
    <t>Millard South (NE)</t>
  </si>
  <si>
    <t>531-203-3504</t>
  </si>
  <si>
    <t>Jack Swanson</t>
  </si>
  <si>
    <t>Swanson</t>
  </si>
  <si>
    <t>maryland</t>
  </si>
  <si>
    <t>Berlin</t>
  </si>
  <si>
    <t>Swanson Baseball</t>
  </si>
  <si>
    <t xml:space="preserve">AP: Avg body right now. Plus SS with good actions. LHH with good clean swing. Avg bat speed right now.  East Cobb Yankees coach says he's the best player on their 17u team right now.  Probably avg run tool. Didn't get any times.  Dad pro ball. They have visited Navy and really liked it.  </t>
  </si>
  <si>
    <t>jackhunter10689@gmail.com</t>
  </si>
  <si>
    <t>High School: GP 25 BA .430 RBI 13 OBP .500 H 33R 29 BB 16 SO 6 FPC .924 E 7 TC 92 A 56 PO 29</t>
  </si>
  <si>
    <t>Andrew Talbert</t>
  </si>
  <si>
    <t>Talbert</t>
  </si>
  <si>
    <t>UNC</t>
  </si>
  <si>
    <t>Byron</t>
  </si>
  <si>
    <t>815-990-5514</t>
  </si>
  <si>
    <t>Austin Tamborra</t>
  </si>
  <si>
    <t>Tamborra</t>
  </si>
  <si>
    <t>North Cobb Christian</t>
  </si>
  <si>
    <t>3.5?</t>
  </si>
  <si>
    <t>AP: 5'11 185 spark plug, easy yes!  6.5 run, with bat speed.  dad strength coach at GT. looking for big school..danny said he would entertain Navy as a fall back.</t>
  </si>
  <si>
    <t>Jack Tarbox</t>
  </si>
  <si>
    <t>Tarbox</t>
  </si>
  <si>
    <t>Northeastern</t>
  </si>
  <si>
    <t>Noah Thompson</t>
  </si>
  <si>
    <t>St. Mark's (DE)</t>
  </si>
  <si>
    <t>302-463-6988</t>
  </si>
  <si>
    <t>Jaxson Torres</t>
  </si>
  <si>
    <t>Torres</t>
  </si>
  <si>
    <t>Plainedge Senior</t>
  </si>
  <si>
    <t>jaxson2torres@gmail.com</t>
  </si>
  <si>
    <t xml:space="preserve">2026 Junior Season (Current): 8-0 record | 45.0 IP | 89 K | 1.089 ERA | 0.511 WHIP | .056 BAA | 8 H allowed | 33 consecutive innings without a walk | 24 innings of 13 pitches or fewer.  At the plate: .412 AVG | .529 OBP | 1.293 OPS | .765 SLG | 21 H | 6 2B | 4 HR | 23 RBI | 12 BB.  2025 Sophomore Season: 7-0 record | 41 IP | 64 K | 0.341 ERA | 0.561 WHIP | .088 BAA | .478 AVG | 1.308 OPS.  Accolades: All-County Selection, Conference MVP – Pitcher, Diamond Award Finalist, All-League as a Freshman on Varsity. Broke two Plainedge High School records for Lowest Single-Season ERA (0.341) and Lowest Single-Season WHIP (0.561).  Showcase/Travel Recognition: Two-time Diamond Nation MVP, MVP Pitcher – 2022 Perfect Game 13U Northeast Select Championship, MVP Pitcher – 2024 Perfect Game 15U Northeast World Series. </t>
  </si>
  <si>
    <t>Broken left wrist last football game in 2023</t>
  </si>
  <si>
    <t xml:space="preserve"> No</t>
  </si>
  <si>
    <t>Andrew Valentino</t>
  </si>
  <si>
    <t>Valentino</t>
  </si>
  <si>
    <t>Parker Vandercook</t>
  </si>
  <si>
    <t>Vandercook</t>
  </si>
  <si>
    <t>Northwestern</t>
  </si>
  <si>
    <t>331-442-9901</t>
  </si>
  <si>
    <t>Jack Vasquez</t>
  </si>
  <si>
    <t>Vasquez</t>
  </si>
  <si>
    <t>Martindale, TX</t>
  </si>
  <si>
    <t>San Marcos</t>
  </si>
  <si>
    <t>Gavin Wainwright</t>
  </si>
  <si>
    <t>Wainwright</t>
  </si>
  <si>
    <t>St Johns</t>
  </si>
  <si>
    <t>gavinwainwright73@gmail.com</t>
  </si>
  <si>
    <t xml:space="preserve">ISL MVP / Stats: NA </t>
  </si>
  <si>
    <t>Nixon Warren</t>
  </si>
  <si>
    <t>Nixon</t>
  </si>
  <si>
    <t>801-634-5238</t>
  </si>
  <si>
    <t>Nixonwarren08@gmail.com</t>
  </si>
  <si>
    <t>Sophomore (2025) High School   .358 Batting Average 43 Hits 34 Runs Scored 18 RBIs 10 Doubles 6 Triples 23 Stolen Bases (23/23 attempts) .985 Fielding Percentage  Honors &amp; Awards: State Champs First Team All-State Utah Defensive MVP First Team All-Region First Team All-Valley, Freshman season in the books.    Selected First Team All Region Grades: 3.74 GPA  GP: 28  PA: 108 AB’s: 84 BA: .417 Hits: 35 -2B: 5 -3B: 1 RBI: 20 OBP: .519 OPS: 1.109 SLG: 500 Runs: 21 BB: 18 K: 7 (6.48%) SB: 17 on 18 attempts (94%) 60 time: 6.6</t>
  </si>
  <si>
    <t>3.7 3.8</t>
  </si>
  <si>
    <t>Haven’t taken yet.</t>
  </si>
  <si>
    <t xml:space="preserve">Broken collar bone from football, broken toe from weight room </t>
  </si>
  <si>
    <t>JJ Watkins</t>
  </si>
  <si>
    <t>Watkins</t>
  </si>
  <si>
    <t>Cedar Creek</t>
  </si>
  <si>
    <t>Ricky Watt</t>
  </si>
  <si>
    <t>Ricky</t>
  </si>
  <si>
    <t>Watt</t>
  </si>
  <si>
    <t>Pittsgrove</t>
  </si>
  <si>
    <t>Schalick HS</t>
  </si>
  <si>
    <t>Twitter: @rickywatt_ | Stats: 21H, 6HR, 6 2B, 22RBI, 1.047 SLG</t>
  </si>
  <si>
    <t>6'3" 190lbs | Twitter: @ZebEngstrom2027 | 103+ EV, 93 OF velo, 6.83 60 | @SBATheShow</t>
  </si>
  <si>
    <t>rwatt@heavyhitters4.com</t>
  </si>
  <si>
    <t xml:space="preserve">High school - 75ab, 25 runs, 29 hits, 18 singles, 7 doubles, 1 triple, 3 hr, 21 rbi, .387 ba.   Summer- 46 ab, .435 ba, 21 hits, 11 singles, 6 doubles, 3 triples, 1 hr, 6 rbi, 19 runs, 6 bb, 9 sb </t>
  </si>
  <si>
    <t>3.0/3.25</t>
  </si>
  <si>
    <t xml:space="preserve">I have not taken either. </t>
  </si>
  <si>
    <t>Jake Watts</t>
  </si>
  <si>
    <t>Watts</t>
  </si>
  <si>
    <t>Arvada</t>
  </si>
  <si>
    <t>720-592-7537</t>
  </si>
  <si>
    <t>jakewatts319@gmail.com</t>
  </si>
  <si>
    <t>High School Season: 4.67 Era in 30 IP 30 Hits 32 Runs 20 ER 18 BB 45 Ks Summer Season: 1.9 ERA 25 IP 13 Runs 7 ER 24 BB 30 Ks .169 BAA 1.5 WHIP</t>
  </si>
  <si>
    <t>3.4 UW/3.76 W</t>
  </si>
  <si>
    <t>When I was younger I hurt my arm 12u Year, nothing else.</t>
  </si>
  <si>
    <t>I have a hearing loss, so I usually use extra time on in class assignments, nothing else.</t>
  </si>
  <si>
    <t>Andrew Weber</t>
  </si>
  <si>
    <t>Weber</t>
  </si>
  <si>
    <t>San Bernardino</t>
  </si>
  <si>
    <t>Upland</t>
  </si>
  <si>
    <t>909-642-5322</t>
  </si>
  <si>
    <t>Connor Wells</t>
  </si>
  <si>
    <t>LSU</t>
  </si>
  <si>
    <t>Spartanburg</t>
  </si>
  <si>
    <t>Dorman</t>
  </si>
  <si>
    <t>864-327-6853</t>
  </si>
  <si>
    <t>Hunter West</t>
  </si>
  <si>
    <t>West</t>
  </si>
  <si>
    <t>The Episcopal Academy</t>
  </si>
  <si>
    <t>610-545-9537</t>
  </si>
  <si>
    <t>DeShaun White</t>
  </si>
  <si>
    <t>DeShaun</t>
  </si>
  <si>
    <t>White</t>
  </si>
  <si>
    <t>penn state</t>
  </si>
  <si>
    <t>Williamsport HS</t>
  </si>
  <si>
    <t>AP: 6'2 195 beast LHH++ bat speed.  avg run but moves well on field.  got a 4.28 on ground ball.  YES!</t>
  </si>
  <si>
    <t>drizzybaseball23@yahoo.com</t>
  </si>
  <si>
    <t>HS .370/.508 (OBP)/1.117 , 2 HRs , 20 RBIs , 2025 Impact Player of The Year , All District 1st Hitting / Defensive Team . Summer - .400/.571/1.371 4 HRs 35 RBI</t>
  </si>
  <si>
    <t>Minor Labrum Tear 2022 (Fully Recovered)</t>
  </si>
  <si>
    <t>Inhaler for asthma</t>
  </si>
  <si>
    <t>Jamari Whitley</t>
  </si>
  <si>
    <t>Jamari</t>
  </si>
  <si>
    <t>Whitley</t>
  </si>
  <si>
    <t>Heavy Hitters</t>
  </si>
  <si>
    <t>Tosh Whitworth</t>
  </si>
  <si>
    <t>Tosh</t>
  </si>
  <si>
    <t>Whitworth</t>
  </si>
  <si>
    <t>Santa Barbara</t>
  </si>
  <si>
    <t>Big dude raw power arm. 90-92. Offspeed needs work.</t>
  </si>
  <si>
    <t>whitworthtosh@gmail.com</t>
  </si>
  <si>
    <t>HS: avg .300, OBP .365, OPS .838. 41.2 innings pitched, 16 ER, 33 SO</t>
  </si>
  <si>
    <t>3.85 UW 4.3 W</t>
  </si>
  <si>
    <t>Have not taken either</t>
  </si>
  <si>
    <t>broken thumb left hand</t>
  </si>
  <si>
    <t>no allergies</t>
  </si>
  <si>
    <t>Anthony Williams</t>
  </si>
  <si>
    <t>Nottingham, MD</t>
  </si>
  <si>
    <t>Visiting Tulane, Richmond, Georgetown, possible BC</t>
  </si>
  <si>
    <t>anthony.williams200813@gmail.com</t>
  </si>
  <si>
    <t>HS stats unavailable, 2025 exposure all star</t>
  </si>
  <si>
    <t>97.56/101.48</t>
  </si>
  <si>
    <t>Stress fracture right shoulder 2022, left inflammation in hip 2022</t>
  </si>
  <si>
    <t>Luke Winbush</t>
  </si>
  <si>
    <t>Winbush</t>
  </si>
  <si>
    <t>troy</t>
  </si>
  <si>
    <t>Pope (GA)</t>
  </si>
  <si>
    <t>ProStock Baseball Club</t>
  </si>
  <si>
    <t>678-507-8551</t>
  </si>
  <si>
    <t>Lukewinbush@gmail.com</t>
  </si>
  <si>
    <t xml:space="preserve">Hs - .300 avg, summer - .420 avg, fall - .442 avg </t>
  </si>
  <si>
    <t>3.967/ 4.467</t>
  </si>
  <si>
    <t>Austin Winge</t>
  </si>
  <si>
    <t>Winge</t>
  </si>
  <si>
    <t>awingebaseball31@gmail.com</t>
  </si>
  <si>
    <t>All Conference, All Area, 0 era in conference, 5 saves</t>
  </si>
  <si>
    <t>3.769-4.308</t>
  </si>
  <si>
    <t>Little league elbow- right arm</t>
  </si>
  <si>
    <t>Brendan Winkler</t>
  </si>
  <si>
    <t>Winkler</t>
  </si>
  <si>
    <t>Woodinville</t>
  </si>
  <si>
    <t>The Overlake</t>
  </si>
  <si>
    <t>brendan.winkler.27@gmail.com</t>
  </si>
  <si>
    <t>51 IP, 1.5 ERA, 64Ks, 26 BB, .187 BAA</t>
  </si>
  <si>
    <t>1350 SAT/30 ACT</t>
  </si>
  <si>
    <t>right forearm pronator teres strain</t>
  </si>
  <si>
    <t>yes (extra time on tests)</t>
  </si>
  <si>
    <t>Kyle Wisniewski</t>
  </si>
  <si>
    <t>Wisniewski</t>
  </si>
  <si>
    <t>United States Air Force Academy</t>
  </si>
  <si>
    <t>Campo Verde</t>
  </si>
  <si>
    <t>602-487-2772</t>
  </si>
  <si>
    <t>Mason Woods</t>
  </si>
  <si>
    <t>Woods</t>
  </si>
  <si>
    <t>Kentucky</t>
  </si>
  <si>
    <t>Moscow</t>
  </si>
  <si>
    <t>St. George's</t>
  </si>
  <si>
    <t>Trevor Yancey</t>
  </si>
  <si>
    <t>Yancey</t>
  </si>
  <si>
    <t>619-813-9071</t>
  </si>
  <si>
    <t>Brady Yates</t>
  </si>
  <si>
    <t>Yates</t>
  </si>
  <si>
    <t>MSU</t>
  </si>
  <si>
    <t>Glendale</t>
  </si>
  <si>
    <t>417-371-8915</t>
  </si>
  <si>
    <t>Beckett York</t>
  </si>
  <si>
    <t>York</t>
  </si>
  <si>
    <t>Lebanon (MO)</t>
  </si>
  <si>
    <t>417-650-5737</t>
  </si>
  <si>
    <t>Ryan Younglas</t>
  </si>
  <si>
    <t>Younglas</t>
  </si>
  <si>
    <t>Wellington</t>
  </si>
  <si>
    <t>Keystone</t>
  </si>
  <si>
    <t>440-420-8186</t>
  </si>
  <si>
    <t>Colin Zimbelman</t>
  </si>
  <si>
    <t>Zimbelman</t>
  </si>
  <si>
    <t>Dyslexic</t>
  </si>
  <si>
    <t>Basehor</t>
  </si>
  <si>
    <t>Basehor-Linwood</t>
  </si>
  <si>
    <t>913-669-8733</t>
  </si>
  <si>
    <t>colinazimbelman@gmail.com</t>
  </si>
  <si>
    <t>Summer- Avg .417, OBP .479, OPS 1.096, SLG .671, RBI 24, BB 8, SO 6, SB 7, QBA 67.61. High School - Avg .287, OBP .362, OPS .743, SLG .433, RBI 15, BB 17, SO 8, SB 23, QBA 52.51</t>
  </si>
  <si>
    <t xml:space="preserve">Haven’t taken in yet </t>
  </si>
  <si>
    <t>Roan Mohan</t>
  </si>
  <si>
    <t>Roan</t>
  </si>
  <si>
    <t>Mohan</t>
  </si>
  <si>
    <t>Burleson Centennial HS</t>
  </si>
  <si>
    <t>DFW Twins</t>
  </si>
  <si>
    <t>roanmohan@gmail.com</t>
  </si>
  <si>
    <t>817-718-6606</t>
  </si>
  <si>
    <t>Devin Montesano</t>
  </si>
  <si>
    <t>Devin</t>
  </si>
  <si>
    <t>Montesano</t>
  </si>
  <si>
    <t>Darien HS</t>
  </si>
  <si>
    <t>devin.montesano@gmail.com</t>
  </si>
  <si>
    <t xml:space="preserve">Visited on his own. Extremely interested in navy </t>
  </si>
  <si>
    <t>Nathan Gill</t>
  </si>
  <si>
    <t>Gill</t>
  </si>
  <si>
    <t>San Francisco</t>
  </si>
  <si>
    <t>Branson School</t>
  </si>
  <si>
    <t>Zoots Baseball</t>
  </si>
  <si>
    <t>6'2" 175 lbs | Twitter: @NathanGill18929 | 1560 PSAT | FB: 86-89 T91, CB: 71-7</t>
  </si>
  <si>
    <t>Found on Twitter</t>
  </si>
  <si>
    <t>Jonah Lewis</t>
  </si>
  <si>
    <t>AM</t>
  </si>
  <si>
    <t>410-294-2185</t>
  </si>
  <si>
    <t>simple swing, backsisle power</t>
  </si>
  <si>
    <t>Cooper Mengel</t>
  </si>
  <si>
    <t>Mengel</t>
  </si>
  <si>
    <t>Broadneck</t>
  </si>
  <si>
    <t>DCP</t>
  </si>
  <si>
    <t>443-221-8251</t>
  </si>
  <si>
    <t>Jake Lindsey</t>
  </si>
  <si>
    <t>Lindsey</t>
  </si>
  <si>
    <t>240-801-0983</t>
  </si>
  <si>
    <t>decent arm on mound, nice swing, long but consistent barrel</t>
  </si>
  <si>
    <t>Blake Frazier</t>
  </si>
  <si>
    <t>Frazier</t>
  </si>
  <si>
    <t>Downingtown East</t>
  </si>
  <si>
    <t>662-715-7622</t>
  </si>
  <si>
    <t>decent arm, keep eye on him</t>
  </si>
  <si>
    <t>Will Stark</t>
  </si>
  <si>
    <t>Stark</t>
  </si>
  <si>
    <t>Loyola Blakefield</t>
  </si>
  <si>
    <t>443-377-4690</t>
  </si>
  <si>
    <t>solid defense, has potential switch hitter, flying ring 3 lefter</t>
  </si>
  <si>
    <t>Christian Adams</t>
  </si>
  <si>
    <t>Christian</t>
  </si>
  <si>
    <t>240-561-2467</t>
  </si>
  <si>
    <t>has some power, upside, body power</t>
  </si>
  <si>
    <t>Caleb Lambert</t>
  </si>
  <si>
    <t>Lambert</t>
  </si>
  <si>
    <t>240-300-3694</t>
  </si>
  <si>
    <t>good size, long swing</t>
  </si>
  <si>
    <t>Caleb Sutch</t>
  </si>
  <si>
    <t>Sutch</t>
  </si>
  <si>
    <t>410-490-4354</t>
  </si>
  <si>
    <t>good arm 80-81, potential</t>
  </si>
  <si>
    <t>Ethan Noyes</t>
  </si>
  <si>
    <t>Noyes</t>
  </si>
  <si>
    <t>443-926-4717</t>
  </si>
  <si>
    <t>nice swing, potential, has power</t>
  </si>
  <si>
    <t>Brady Mamula</t>
  </si>
  <si>
    <t>Mamula</t>
  </si>
  <si>
    <t>443-597-7611</t>
  </si>
  <si>
    <t>Flat consistent swing, all line drive, good hfd, solid inf decent arm, decent swing, raw player</t>
  </si>
  <si>
    <t>Kohen Madden</t>
  </si>
  <si>
    <t>Kohen</t>
  </si>
  <si>
    <t>Allegany</t>
  </si>
  <si>
    <t>240-362-6239</t>
  </si>
  <si>
    <t>Casen Reedy</t>
  </si>
  <si>
    <t>Casen</t>
  </si>
  <si>
    <t>Reedy</t>
  </si>
  <si>
    <t>Kelly HS</t>
  </si>
  <si>
    <t>4.41 GPA</t>
  </si>
  <si>
    <t>409-719-8809</t>
  </si>
  <si>
    <t>Twitter: @casen_reedy4 | TFB 96.5 | Gladiators Baseball | Summer: PG Houston (6/11-14), Area Code Tryouts Sam Houston (6/15), VTool Connie Mack Natl Championship (6/23-28), Franklin 4GG (7/1-3), VTool Mattingly (7/7-12)</t>
  </si>
  <si>
    <t>Jackson Barker</t>
  </si>
  <si>
    <t>SMS</t>
  </si>
  <si>
    <t>913-626-1249</t>
  </si>
  <si>
    <t>6'3" 200lbs | Twitter: @jacksonbark13 | Building Champions org | SMS = St. Thomas Aquinas or Shawnee Mission South (KS)</t>
  </si>
  <si>
    <t>jackjackbarker13@gmail.com</t>
  </si>
  <si>
    <t>JR stats: 38  6ER 16BB 46ks SO stats: 47.2 12ER 14bb 58ks FR stats: 38.1 20ER 21bb 39ks</t>
  </si>
  <si>
    <t xml:space="preserve">3.8 unweighted 4.02 weighted </t>
  </si>
  <si>
    <t>19 ACT (retaking)</t>
  </si>
  <si>
    <t>Fractured growth plate in ankle 8th grade fall</t>
  </si>
  <si>
    <t>Julian Adorador</t>
  </si>
  <si>
    <t>Julian</t>
  </si>
  <si>
    <t>Adorador</t>
  </si>
  <si>
    <t>Berkeley High School</t>
  </si>
  <si>
    <t>julianadorador0@gmail.com</t>
  </si>
  <si>
    <t>6'1" 185lbs | Twitter: @JAdor0317 | EJ Sports Warriors | Area Code Game Tryout invite | 2 HRs junior year</t>
  </si>
  <si>
    <t>Ethan Walker</t>
  </si>
  <si>
    <t>Berkeley HS</t>
  </si>
  <si>
    <t>4.02 GPA</t>
  </si>
  <si>
    <t>6'0" 165lbs | Twitter: @ethanwalk_2027 | Hank Aaron Invitational &amp; HAI 44 Showcase participant | MLB Develops</t>
  </si>
  <si>
    <t>Jack Burke</t>
  </si>
  <si>
    <t>Burke</t>
  </si>
  <si>
    <t>Creekview HS</t>
  </si>
  <si>
    <t>jackdburke4@gmail.com</t>
  </si>
  <si>
    <t>470-447-7791</t>
  </si>
  <si>
    <t>6'1" 185lbs | Twitter: @jacksonburke44 | FB: 86-90, SL: 74-75 2900+ RPM | 1.1 IP, 4K, 1BB summer debut | USA Scout Team Nike U.S. | Uncommitted</t>
  </si>
  <si>
    <t>Rylin Lyemance</t>
  </si>
  <si>
    <t>Rylin</t>
  </si>
  <si>
    <t>Lyemance</t>
  </si>
  <si>
    <t>Walton HS</t>
  </si>
  <si>
    <t>4.4 GPA</t>
  </si>
  <si>
    <t>rlyemance@icloud.com</t>
  </si>
  <si>
    <t>470-572-4522</t>
  </si>
  <si>
    <t>6'6" | Twitter: @RylinL19 | "XL frame, ball jumps off barrel in linear path" - PBR GA | 2B vs St. John Bosco | USA Scout Team US | Uncommitted</t>
  </si>
  <si>
    <t>Bryce Fontenot</t>
  </si>
  <si>
    <t>Fontenot</t>
  </si>
  <si>
    <t>Flowery Branch</t>
  </si>
  <si>
    <t>6'2" 220lbs | Twitter: @BryceFont12 | Also plays 3B | Christian | USA Prime National Baseball</t>
  </si>
  <si>
    <t>Ka'alekahi Kuhaulua</t>
  </si>
  <si>
    <t>Ka'alekahi</t>
  </si>
  <si>
    <t>Kuhaulua</t>
  </si>
  <si>
    <t>Twitter: @ale_kuhaulua | 3x triple in LCF, PG Hawaii National | "Middle of order profile with big power potential" - PG Showcases</t>
  </si>
  <si>
    <t>Boston Hanna</t>
  </si>
  <si>
    <t>Hanna</t>
  </si>
  <si>
    <t>Gulf Breeze HS</t>
  </si>
  <si>
    <t>4.5 GPA / 27 ACT</t>
  </si>
  <si>
    <t>850-816-5008</t>
  </si>
  <si>
    <t>6'0" 180lbs | Twitter: @bostonhanna13 | 103.1 EV, 6.83 60, 90 OF velo | Jr year: .391 AVG, .427 OBP, .621 SLG, 1.048 OPS, 34H, 25 GP | Aces National | Uncommitted</t>
  </si>
  <si>
    <t>ianpalumbo2028@gmail.com</t>
  </si>
  <si>
    <t>602-463-6897</t>
  </si>
  <si>
    <t>6'2" 190lbs | Twitter: @ian_palumbo | 4.01 GPA | 5x PG/PBR MVP | Summer: Canes West Natl (6/3-8, Atlanta), Area Code Tryout ASU (6/9), Canes West Natl (6/12-15) | PBR NPI</t>
  </si>
  <si>
    <t>Hudson Olive</t>
  </si>
  <si>
    <t>Olive</t>
  </si>
  <si>
    <t>Bob Jones HS</t>
  </si>
  <si>
    <t>6'2" 175lbs | Twitter: @HudsonOlive2028 | Vipers Baseball | PBR NPI 16U National (starting GM1, Lakepoint Field 16)</t>
  </si>
  <si>
    <t>Brody McGaha</t>
  </si>
  <si>
    <t>McGaha</t>
  </si>
  <si>
    <t>Canes Southwest</t>
  </si>
  <si>
    <t>BrodyMcGaha2028@gmail.com</t>
  </si>
  <si>
    <t>6'0" 180lbs | Twitter: @McgahaBrody | 6.69 60, 93 EV | .406 AVG, .523 OBP, .594 SLG, .947 FP, 28H, 15 RBI, 20 SB | 21-8 team record | Mopi Baseball | Col 3:23</t>
  </si>
  <si>
    <t>Ricardo Hurtado</t>
  </si>
  <si>
    <t>Ricardo</t>
  </si>
  <si>
    <t>Hurtado</t>
  </si>
  <si>
    <t>Orange Lutheran HS</t>
  </si>
  <si>
    <t>3.93 GPA</t>
  </si>
  <si>
    <t>ricardoohurtado@gmail.com</t>
  </si>
  <si>
    <t>562-922-0018</t>
  </si>
  <si>
    <t>6'0" 190lbs | Twitter: @RicardoHurtado_ | 103 EV | HR off 96 mph FB vs St. John Bosco | 1st Team All Trinity League | Uncommitted</t>
  </si>
  <si>
    <t>Ayden Collier</t>
  </si>
  <si>
    <t>Grand Rivers HS</t>
  </si>
  <si>
    <t>aydencollier17@gmail.com</t>
  </si>
  <si>
    <t>832-465-0429</t>
  </si>
  <si>
    <t>Twitter: @aydencollier_ | 6.50 60 | "Twitchy gamer, bat-to-ball skills, Future Game standout" - Shooter Hunt | Lead-off triple at LakePoint NPI26 | @GRHSBaseball</t>
  </si>
  <si>
    <t>2x first team all district, Sophomore year District 20-6A New Comer Of The Year</t>
  </si>
  <si>
    <t xml:space="preserve">3.8 weighted 3.5 unweighted </t>
  </si>
  <si>
    <t>Peyton Bell</t>
  </si>
  <si>
    <t>22 ACT 3.8</t>
  </si>
  <si>
    <t>Came up to me wants to go to Navy CB</t>
  </si>
  <si>
    <t>Sean Creasy</t>
  </si>
  <si>
    <t>Creasy</t>
  </si>
  <si>
    <t>Aurora High School</t>
  </si>
  <si>
    <t>25 ACT, 4.2 GPA</t>
  </si>
  <si>
    <t>417-230-9127</t>
  </si>
  <si>
    <t>Harrisburg</t>
  </si>
  <si>
    <t>Hickory Ridge High School</t>
  </si>
  <si>
    <t>980-622-6328</t>
  </si>
  <si>
    <t>Kason Webb</t>
  </si>
  <si>
    <t>Desert Vista HS</t>
  </si>
  <si>
    <t>California PFA</t>
  </si>
  <si>
    <t>kasonwebb14@gmail.com</t>
  </si>
  <si>
    <t>480-469-7572</t>
  </si>
  <si>
    <t>Twitter: @kason_webb27 | 5'11" 170 lb | Sat 86, topped 87</t>
  </si>
  <si>
    <t>Max Wilkerson</t>
  </si>
  <si>
    <t>Wilkerson</t>
  </si>
  <si>
    <t>Bartram Trail HS</t>
  </si>
  <si>
    <t>NPI 2026</t>
  </si>
  <si>
    <t>5-10, 160. LH, SS solid def, too good but small. PBR #57 FL</t>
  </si>
  <si>
    <t>Trever Harmic</t>
  </si>
  <si>
    <t>Trever</t>
  </si>
  <si>
    <t>Harmic</t>
  </si>
  <si>
    <t>St John Neumann Catholic HS</t>
  </si>
  <si>
    <t>5-9, 170. SP lean; wants Navy</t>
  </si>
  <si>
    <t>Will Zyblock</t>
  </si>
  <si>
    <t>Zyblock</t>
  </si>
  <si>
    <t>DH</t>
  </si>
  <si>
    <t>IMG Academy</t>
  </si>
  <si>
    <t>5-9, 160. Small, athletic. Pos corrected to C/DH</t>
  </si>
  <si>
    <t>Evan Snyder</t>
  </si>
  <si>
    <t>Snyder</t>
  </si>
  <si>
    <t>Providence School</t>
  </si>
  <si>
    <t>5-11, 181. Absolute cannon + runner, athletic, squared up. PBR #129 FL</t>
  </si>
  <si>
    <t>Vance Tate</t>
  </si>
  <si>
    <t>Vance</t>
  </si>
  <si>
    <t>5-10, 160. Wants Navy; pen arm, spray B/C +CH, SL 71. RATING WRITTEN 2/3 - PICK ONE</t>
  </si>
  <si>
    <t>Cooper Bennett</t>
  </si>
  <si>
    <t>Bennett</t>
  </si>
  <si>
    <t>6-2, 180</t>
  </si>
  <si>
    <t>Sam Houston HS</t>
  </si>
  <si>
    <t>6-1, 160. Approached me, wants Navy; best light bat, def, singles, fun guy, 1B. PBR #47 LA</t>
  </si>
  <si>
    <t>Grant Oustalet</t>
  </si>
  <si>
    <t>Oustalet</t>
  </si>
  <si>
    <t>5-10, 200. 'Good bat', PFI power/speed; dad wants him in for service; too good. PBR #5 LA</t>
  </si>
  <si>
    <t>Reis Wascom</t>
  </si>
  <si>
    <t>Reis</t>
  </si>
  <si>
    <t>Wascom</t>
  </si>
  <si>
    <t>BH-BB + sweep SP, wiry/whippy. PBR #8 LA</t>
  </si>
  <si>
    <t>Cherokee Bluff HS</t>
  </si>
  <si>
    <t>6-1, 237. Sprayed a lot, plus arm talent; 92, SL 79 2400. PBR #31 GA / #403 Nat'l</t>
  </si>
  <si>
    <t>Chance Williams</t>
  </si>
  <si>
    <t>Chance</t>
  </si>
  <si>
    <t>North Paulding HS</t>
  </si>
  <si>
    <t>6-1, 189. 87-90 ride FB, 80-82 SL 2400, split; 6'2 RH, 26+ athletic. PBR #129 GA</t>
  </si>
  <si>
    <t>chancewilliams15@icloud.com</t>
  </si>
  <si>
    <t>9-2/1.98/63innings/74k’s/ 2 no hitters/ 1st Team All-Region/ 400 Club All-Star/ North Paulding pitcher of year/</t>
  </si>
  <si>
    <t>3.95/3.98</t>
  </si>
  <si>
    <t>Taking after summer</t>
  </si>
  <si>
    <t>6-5, 208. Really like it, huge w/ athleticism, K + ok arm. PBR #134 GA</t>
  </si>
  <si>
    <t>Makayle Moon</t>
  </si>
  <si>
    <t>Makayle</t>
  </si>
  <si>
    <t>Moon</t>
  </si>
  <si>
    <t>6-0, 185. LH great SP, 91.5, 1B, K. PBR #13 SC / #477 Nat'l</t>
  </si>
  <si>
    <t>6-1, 185. Better than Chuck on HS stats; 86-89, command, SL hat pitch, 2sk/sl. PBR #257 GA</t>
  </si>
  <si>
    <t>Shawnee Mission South High</t>
  </si>
  <si>
    <t>6-2, 200. Firm arm, SL 79 boss, good SL, + unique. PBR #17 KS</t>
  </si>
  <si>
    <t>Evan Loftis</t>
  </si>
  <si>
    <t>Loftis</t>
  </si>
  <si>
    <t>Liberty North HS</t>
  </si>
  <si>
    <t>6-3, 196. 87-89 ASR, gas from 3/4, SL 69 1400, huge slot/long, short AA, over-spray. PBR #10 MO</t>
  </si>
  <si>
    <t>Michael Killian</t>
  </si>
  <si>
    <t>Killian</t>
  </si>
  <si>
    <t>Marcus HS</t>
  </si>
  <si>
    <t>6-1, 180. LH good SP, athletic, K. PBR #106 TX</t>
  </si>
  <si>
    <t>Jameson Mayfield</t>
  </si>
  <si>
    <t>Mayfield</t>
  </si>
  <si>
    <t>6-0, 190. Smashed L7, pd SP, athletic SS, stocky, absolutely rakes. PBR #83 TX</t>
  </si>
  <si>
    <t>Jcmayfield4@icloud.com</t>
  </si>
  <si>
    <t xml:space="preserve">Batting avg. 418, 25 RBI, 7 HR, area code tryouts, 1st team all district </t>
  </si>
  <si>
    <t>Cole Schott</t>
  </si>
  <si>
    <t>Schott</t>
  </si>
  <si>
    <t>5-11, 193. EB, nice SP, HR real pop, too good?, K, rakes. PBR #67 TX. We are first phone call. Gonna need work academically</t>
  </si>
  <si>
    <t>Coleschott124@gmail.com</t>
  </si>
  <si>
    <t>2025 summer: AB: 70 AVG: .414 OBP: .558 H: 29 2B: 7 HR: 4  RBI: 24.         This year school season: AVG: .321 Hits: 17 Doubles: 4 Triples: 2  HR: 2 RBI: 12</t>
  </si>
  <si>
    <t>Unweighted 3.97. Weighted 4.5</t>
  </si>
  <si>
    <t>Grade 2 MCL tear (left)</t>
  </si>
  <si>
    <t>Reid Williams</t>
  </si>
  <si>
    <t>5-11, 175. Good HR, athletic, LH, SB, strong, BB. PBR #179 TX</t>
  </si>
  <si>
    <t>reid.catcher04@gmail.com</t>
  </si>
  <si>
    <t>Byron Nelson HS Stats - AVG: .312, OBP: .396, OPS: .805, H: 30, RBI: 20, R: 14, BB: 8, HBP: 5, SB: 12, District 4-6A 2nd Team All-District-Outfield, Byron Nelson High School Baseball Bobcat Scholar Award</t>
  </si>
  <si>
    <t>3.97/5.65</t>
  </si>
  <si>
    <t>N/A, scheduled to take them this summer</t>
  </si>
  <si>
    <t>Freshman Year Football - Pars fracture in L5, Junior Year Football - Hairline fracture in tibia/No surgeries</t>
  </si>
  <si>
    <t>Carson Roy</t>
  </si>
  <si>
    <t>Rock Hill HS</t>
  </si>
  <si>
    <t>6-0, 185. Good SP, EB, 4.5 home, pull side HR, backside B, bat recs. PBR #91 TX</t>
  </si>
  <si>
    <t>Connor Jennings</t>
  </si>
  <si>
    <t>Flower Mound HS</t>
  </si>
  <si>
    <t>6-2, 201. Good bat?, BB presence, real big; need to see hit raw. PBR #192 TX</t>
  </si>
  <si>
    <t>Landon Del Tufo</t>
  </si>
  <si>
    <t>Del Tufo</t>
  </si>
  <si>
    <t>John Carroll HS</t>
  </si>
  <si>
    <t>FBH Angels 17U Red</t>
  </si>
  <si>
    <t>6-2, 190. Good HS W's, 85-86; grades? PBR #287 FL</t>
  </si>
  <si>
    <t>Eli Primm</t>
  </si>
  <si>
    <t>Primm</t>
  </si>
  <si>
    <t>Jefferson HS</t>
  </si>
  <si>
    <t>5-8, 182. Small + runner, who knows?, K. PBR #61 GA</t>
  </si>
  <si>
    <t>Colin Bennett</t>
  </si>
  <si>
    <t>6-3, 190. Big RHP or bad CB; 87-90, getting smashed. PBR #13 MI</t>
  </si>
  <si>
    <t>Eric Tani</t>
  </si>
  <si>
    <t>Tani</t>
  </si>
  <si>
    <t>Legacy Baseball Group</t>
  </si>
  <si>
    <t>5-9, 175. Rakes, LHH, big SP, BB. PBR #213 CA</t>
  </si>
  <si>
    <t>Sebastian Grove</t>
  </si>
  <si>
    <t>Grove</t>
  </si>
  <si>
    <t>Runs well, + def 2B. STATE/SCHOOL NOT LISTED ON ROSTER - VERIFY</t>
  </si>
  <si>
    <t>Carson Caras</t>
  </si>
  <si>
    <t>Caras</t>
  </si>
  <si>
    <t>6-3, 183. 84-88, good CB. PBR #222 CA</t>
  </si>
  <si>
    <t>Peyton Landers</t>
  </si>
  <si>
    <t>Sebastian River HS</t>
  </si>
  <si>
    <t>6-1, 200. 86-85, maybe mid-90 left up?, SL 76 2000, throws well, big body; see again. (School FL, KY team - verify state)</t>
  </si>
  <si>
    <t>Max Bachmann</t>
  </si>
  <si>
    <t>Bachmann</t>
  </si>
  <si>
    <t>Prestonwood Christian Academy</t>
  </si>
  <si>
    <t>Performance Brewers Scout Team</t>
  </si>
  <si>
    <t>6-3, 204. Big SS, hits, light bat. PBR #65 TX</t>
  </si>
  <si>
    <t>Howie Donoho</t>
  </si>
  <si>
    <t>Donoho</t>
  </si>
  <si>
    <t>Chillicothe High</t>
  </si>
  <si>
    <t>6-0, 187. 3 P 2 K, CB 72, 10+ s/s CB; lost it at times, see again. PBR #41 MO</t>
  </si>
  <si>
    <t>Hudson Hardesty</t>
  </si>
  <si>
    <t>Hardesty</t>
  </si>
  <si>
    <t>Lawrence High</t>
  </si>
  <si>
    <t>6-1, 186. Big LH, good on mound too, CB, L/L 1B, 45 ss. PBR #24 MO</t>
  </si>
  <si>
    <t>Owen Lester</t>
  </si>
  <si>
    <t>Lester</t>
  </si>
  <si>
    <t>Lawrence Free State High</t>
  </si>
  <si>
    <t>6-3, 185. Big LHH good SP, really hits, 45, K, runs well. PBR #10 KS / #406 Nat'l</t>
  </si>
  <si>
    <t>Carson Reffel</t>
  </si>
  <si>
    <t>Reffel</t>
  </si>
  <si>
    <t>Legend High</t>
  </si>
  <si>
    <t>5-9, 175. 1B, small, popout, BB, K. PBR #29 CO</t>
  </si>
  <si>
    <t>Mason Borders</t>
  </si>
  <si>
    <t>Borders</t>
  </si>
  <si>
    <t>Lipscomb Academy</t>
  </si>
  <si>
    <t>6-0, 208. LHH + runner, strong, nice LH SP, 3B def, good player, more physical; prob would take. PBR #57 TN</t>
  </si>
  <si>
    <t>Ty Simms</t>
  </si>
  <si>
    <t>Simms</t>
  </si>
  <si>
    <t>Specs National MidSouth 17U</t>
  </si>
  <si>
    <t>6-0, 185. LHH OF, good SP, 4.3 home, 6.5. PBR #16 NE</t>
  </si>
  <si>
    <t>Tommy Costello</t>
  </si>
  <si>
    <t>Costello</t>
  </si>
  <si>
    <t>St Thomas Aquinas HS</t>
  </si>
  <si>
    <t>Team KC 2027</t>
  </si>
  <si>
    <t>5-10, 172. Strong body + arm, good runner, plays fast, 2B/3B. PBR #53 KS</t>
  </si>
  <si>
    <t>Ty Lange</t>
  </si>
  <si>
    <t>5-8, 165. LHH small, HR, switch, K, 3B rakes, moves really well. PBR #146 MO</t>
  </si>
  <si>
    <t>Samuel Reisenbichler</t>
  </si>
  <si>
    <t>Samuel</t>
  </si>
  <si>
    <t>Reisenbichler</t>
  </si>
  <si>
    <t>Winnetonka High</t>
  </si>
  <si>
    <t>5-10, 150. LHH good SP, moves well, 3B, burst</t>
  </si>
  <si>
    <t>Taylan Ray</t>
  </si>
  <si>
    <t>Taylan</t>
  </si>
  <si>
    <t>6-0, 185. LHH good SP, K, BB, =/+ bat. PBR #43 KS</t>
  </si>
  <si>
    <t>Cole Peterson</t>
  </si>
  <si>
    <t>Tomball Memorial HS</t>
  </si>
  <si>
    <t>5-10, 165. + arm, LHH</t>
  </si>
  <si>
    <t>Gulf Breeze High School</t>
  </si>
  <si>
    <t>USA Prime Aces National 17U</t>
  </si>
  <si>
    <t>6-1, 182. See more (Hoover HS), physical SP; in our stand? PBR #87 FL</t>
  </si>
  <si>
    <t>George Ranch High School</t>
  </si>
  <si>
    <t>5-11, 170. LHH, good SP, 6.5, 60; leadoff, top team, ++ ranger; don't love lineup setup. PBR #49 TX / #443 Nat'l</t>
  </si>
  <si>
    <t>Christopher England</t>
  </si>
  <si>
    <t>CR</t>
  </si>
  <si>
    <t>England</t>
  </si>
  <si>
    <t>Hillcrest</t>
  </si>
  <si>
    <t>17U Beast of the East 2026</t>
  </si>
  <si>
    <t>6-2, 195. PBR #71 AL / #500 PG</t>
  </si>
  <si>
    <t>Colton Sumpter</t>
  </si>
  <si>
    <t>Sumpter</t>
  </si>
  <si>
    <t>St. Pius X</t>
  </si>
  <si>
    <t>6-4, 195. PBR #302 GA</t>
  </si>
  <si>
    <t>Miles Norman</t>
  </si>
  <si>
    <t>Norman</t>
  </si>
  <si>
    <t>Parkview</t>
  </si>
  <si>
    <t>5 Star Mafia</t>
  </si>
  <si>
    <t>6-0, 160. PBR #116 GA / #500 PG</t>
  </si>
  <si>
    <t>Casey von Waldner</t>
  </si>
  <si>
    <t>von Waldner</t>
  </si>
  <si>
    <t>Stratford Academy</t>
  </si>
  <si>
    <t>6-1, 165. PBR #178 GA / #500 PG</t>
  </si>
  <si>
    <t>Gabe Grubbs</t>
  </si>
  <si>
    <t>Grubbs</t>
  </si>
  <si>
    <t>Fitzgerald</t>
  </si>
  <si>
    <t>5-11, 185. PBR #356 GA</t>
  </si>
  <si>
    <t>Kayden Pledger</t>
  </si>
  <si>
    <t>Pledger</t>
  </si>
  <si>
    <t>Clarksville</t>
  </si>
  <si>
    <t>eXposure 17U National</t>
  </si>
  <si>
    <t>6-1, 195</t>
  </si>
  <si>
    <t>Logan Grubbs</t>
  </si>
  <si>
    <t>6-6, 208. PBR #17 NV / #500 PG</t>
  </si>
  <si>
    <t>Cooper Daniel</t>
  </si>
  <si>
    <t>PBR #41 TN</t>
  </si>
  <si>
    <t>Ryan Kume</t>
  </si>
  <si>
    <t>Lonestar Baseball Club</t>
  </si>
  <si>
    <t>PBR #145 TX</t>
  </si>
  <si>
    <t>Finn Torvik</t>
  </si>
  <si>
    <t>Torvik</t>
  </si>
  <si>
    <t>Boulder</t>
  </si>
  <si>
    <t>6-2, 205. PBR #41 CO</t>
  </si>
  <si>
    <t>finntorvikbaseball@gmail.com</t>
  </si>
  <si>
    <t>First Team All Conference Junior year.  5A All State Honorable Mention Junior year.  2026 Varsity MVP Boulder High School Baseball Team.  CHSAA Academic All-State First-Team honors. High School Spring Stats: 392 AVG .554 OBP  1.298 OPS  .743 SLG  21BB 16XBH 5HR 8SB 34R</t>
  </si>
  <si>
    <t>3.66/ 4.03</t>
  </si>
  <si>
    <t>Henry Christy</t>
  </si>
  <si>
    <t>Christy</t>
  </si>
  <si>
    <t>Daelan Jones-Teasley</t>
  </si>
  <si>
    <t>Daelan</t>
  </si>
  <si>
    <t>Jones-Teasley</t>
  </si>
  <si>
    <t>6-2, 185. PBR #25 GA / #224 Nat'l / #326 PG</t>
  </si>
  <si>
    <t>Koa Peters</t>
  </si>
  <si>
    <t>Koa</t>
  </si>
  <si>
    <t>Peters</t>
  </si>
  <si>
    <t>Lambert HS</t>
  </si>
  <si>
    <t>koapeters2027@gmail.com</t>
  </si>
  <si>
    <t>404-662-0784</t>
  </si>
  <si>
    <t>Twitter: @koa_peters | USA Scout 17u National Navy | August 1st open for contact</t>
  </si>
  <si>
    <t xml:space="preserve">I hit .300 (30-100) in HS with 7 Doubles a triple and 5 Homeruns, with 29 RBI’S.      During summer I’m hitting .583 (14-24) with 8 RBI’S </t>
  </si>
  <si>
    <t xml:space="preserve">Have not taken </t>
  </si>
  <si>
    <t xml:space="preserve">Broken thumb no surgery </t>
  </si>
  <si>
    <t>Julian Solomon</t>
  </si>
  <si>
    <t>Solomon</t>
  </si>
  <si>
    <t>Interested in Navy…long lean and could project</t>
  </si>
  <si>
    <t>Gavin Greathouse</t>
  </si>
  <si>
    <t>Greathouse</t>
  </si>
  <si>
    <t>Throwing Sunday 6/7</t>
  </si>
  <si>
    <t>Bennett Johnston</t>
  </si>
  <si>
    <t>Xavier Roman-Gianuzzi</t>
  </si>
  <si>
    <t>Roman-Gianuzzi</t>
  </si>
  <si>
    <t>Dempsey rec</t>
  </si>
  <si>
    <t>Matthew Wetherell</t>
  </si>
  <si>
    <t>Wetherell</t>
  </si>
  <si>
    <t>Mason Desai</t>
  </si>
  <si>
    <t>Desai</t>
  </si>
  <si>
    <t>Coach rec</t>
  </si>
  <si>
    <t>Noah Powell</t>
  </si>
  <si>
    <t>Owen Finke</t>
  </si>
  <si>
    <t>Finke</t>
  </si>
  <si>
    <t>Jayden Morales</t>
  </si>
  <si>
    <t>Morales</t>
  </si>
  <si>
    <t>Nick Franklin</t>
  </si>
  <si>
    <t>Ttey Slavik</t>
  </si>
  <si>
    <t>Ttey</t>
  </si>
  <si>
    <t>Colton Rodgers</t>
  </si>
  <si>
    <t>Rodgers</t>
  </si>
  <si>
    <t>Croix DiBacco</t>
  </si>
  <si>
    <t>Croix</t>
  </si>
  <si>
    <t>DiBacco</t>
  </si>
  <si>
    <t>Beau Daniel</t>
  </si>
  <si>
    <t>Beau</t>
  </si>
  <si>
    <t>Power in the bat.  Played well for Venice HS</t>
  </si>
  <si>
    <t>Jackson Perkins</t>
  </si>
  <si>
    <t>Perkins</t>
  </si>
  <si>
    <t>Possible strike thrower and is good</t>
  </si>
  <si>
    <t>Hunter Simpson</t>
  </si>
  <si>
    <t>Simpson</t>
  </si>
  <si>
    <t>Impressive in hs season 2026</t>
  </si>
  <si>
    <t>Wesley Thiry</t>
  </si>
  <si>
    <t>Thiry</t>
  </si>
  <si>
    <t>Low 90’s plus SL and split</t>
  </si>
  <si>
    <t>Ezra Gandy</t>
  </si>
  <si>
    <t>Ezra</t>
  </si>
  <si>
    <t>Gandy</t>
  </si>
  <si>
    <t>Beau Day</t>
  </si>
  <si>
    <t>Day</t>
  </si>
  <si>
    <t>Mid 80’s right now</t>
  </si>
  <si>
    <t>Carson Mathews</t>
  </si>
  <si>
    <t>Mathews</t>
  </si>
  <si>
    <t>3.7 / 21 ACT</t>
  </si>
  <si>
    <t>From Becky</t>
  </si>
  <si>
    <t>Hudson Ridings</t>
  </si>
  <si>
    <t>Ridings</t>
  </si>
  <si>
    <t>Coach rec. LHH bat!</t>
  </si>
  <si>
    <t>Nate Simmons</t>
  </si>
  <si>
    <t>Simmons</t>
  </si>
  <si>
    <t>Kai Orr</t>
  </si>
  <si>
    <t>Orr</t>
  </si>
  <si>
    <t>Kyler Watson</t>
  </si>
  <si>
    <t>Kyler</t>
  </si>
  <si>
    <t>Keaton Love</t>
  </si>
  <si>
    <t>Love</t>
  </si>
  <si>
    <t>4.57</t>
  </si>
  <si>
    <t>Switch hitter.  Good body.  Coach rec</t>
  </si>
  <si>
    <t>Spencer Payne</t>
  </si>
  <si>
    <t>Coach rec.  likes the arm better</t>
  </si>
  <si>
    <t>JC Rossette</t>
  </si>
  <si>
    <t>JC</t>
  </si>
  <si>
    <t>Rossette</t>
  </si>
  <si>
    <t>LHH good bat to ball.  Undersized.  Coach rec</t>
  </si>
  <si>
    <t>Jackson King</t>
  </si>
  <si>
    <t>King</t>
  </si>
  <si>
    <t>Tyler Fletcher</t>
  </si>
  <si>
    <t>Fletcher</t>
  </si>
  <si>
    <t>Dani Jensen</t>
  </si>
  <si>
    <t>Dani</t>
  </si>
  <si>
    <t>Jensen</t>
  </si>
  <si>
    <t>Short RHP. Coach rec</t>
  </si>
  <si>
    <t>Brock Hall</t>
  </si>
  <si>
    <t>6’9! 6.6 run.  Coach rec</t>
  </si>
  <si>
    <t>PASTE UPDATED RANKINGS HERE - They will then appear in Column AJ on Player sheet</t>
  </si>
  <si>
    <t>Team</t>
  </si>
  <si>
    <t>Cur ★</t>
  </si>
  <si>
    <t>New ★</t>
  </si>
  <si>
    <t xml:space="preserve">0.1     Committed
1        Offer
2        High Follow
3        Follow
4        Need to see
XX     Commited Elsewhere
</t>
  </si>
  <si>
    <t>RECRUITING BOARD BY POSITION</t>
  </si>
  <si>
    <t>CLASS:</t>
  </si>
  <si>
    <t>NAME</t>
  </si>
  <si>
    <t>STATE</t>
  </si>
  <si>
    <t>TEAM</t>
  </si>
  <si>
    <t>PG Ft Myers</t>
  </si>
  <si>
    <t>PBR Grand Park Fall Championship</t>
  </si>
  <si>
    <t>PBR 17U '25</t>
  </si>
  <si>
    <t>@</t>
  </si>
  <si>
    <t>Mattingly</t>
  </si>
  <si>
    <t>WWBA 17U '25</t>
  </si>
  <si>
    <t>prospect SELECT palm beach classic</t>
  </si>
  <si>
    <t>Beast of East 6/5-6/9</t>
  </si>
  <si>
    <t>AZ Fall Nat. Champ. 26s</t>
  </si>
  <si>
    <t>AZ Senior Fall Classic</t>
  </si>
  <si>
    <t>PBR Grand Park 9/13-9/15</t>
  </si>
  <si>
    <t>AZ  Junior Fall Classic</t>
  </si>
  <si>
    <t>PBR 17u Lakepoint</t>
  </si>
  <si>
    <t xml:space="preserve">Mattingly </t>
  </si>
  <si>
    <t>NPI</t>
  </si>
  <si>
    <t>17U WWBA</t>
  </si>
  <si>
    <t>Super 17</t>
  </si>
  <si>
    <t xml:space="preserve">Cincinatti </t>
  </si>
  <si>
    <t>Prospect Select 17U Philly - 9/15-9/17</t>
  </si>
  <si>
    <t>AZ Senior Fall Classic - 9/28-10/1</t>
  </si>
  <si>
    <t>PLAYER</t>
  </si>
  <si>
    <t>East coast sox</t>
  </si>
  <si>
    <t>Dekhota Jones</t>
  </si>
  <si>
    <t>Roshan Bullard (4) - '26 RHP</t>
  </si>
  <si>
    <t>5 Star Ark Desola</t>
  </si>
  <si>
    <t>Will Stewart - INF</t>
  </si>
  <si>
    <t>5 Star Great Lakes Midwest</t>
  </si>
  <si>
    <t>Lucas Batrez - RHP(CA)</t>
  </si>
  <si>
    <t>FL Dodger scout</t>
  </si>
  <si>
    <t>(SAT) Mason O'Neil LHP 84-86</t>
  </si>
  <si>
    <t>CBU 26 Scout Stofsky</t>
  </si>
  <si>
    <t xml:space="preserve">Tyler Reeder-RHP </t>
  </si>
  <si>
    <t>Marucci Stng</t>
  </si>
  <si>
    <t>Eli McBryde - C-jok/spring follow</t>
  </si>
  <si>
    <t xml:space="preserve">CCB Scout Team </t>
  </si>
  <si>
    <t>Evan Bradshaw - SS--ok/maybe see again</t>
  </si>
  <si>
    <t>Swanson C (FG) #30</t>
  </si>
  <si>
    <t>Trosky</t>
  </si>
  <si>
    <t>Henry Verhamme ss</t>
  </si>
  <si>
    <t>Cincy flames</t>
  </si>
  <si>
    <t>Colin Milligan OF 6.7 run 34ACT</t>
  </si>
  <si>
    <t>David Litle SS TX</t>
  </si>
  <si>
    <t xml:space="preserve"> 5 Star Mafia Gold</t>
  </si>
  <si>
    <t>Caleb Allen LHP GA</t>
  </si>
  <si>
    <t>Nick Manning RHP FL (Sunday June 23rd 1:40pm Starr's Mill)</t>
  </si>
  <si>
    <t>9ers</t>
  </si>
  <si>
    <t>Owen otoole wed 8am</t>
  </si>
  <si>
    <t>Felix Stork LHP CA (May be coming to camp)</t>
  </si>
  <si>
    <t>Noah Stopnick RHP CO</t>
  </si>
  <si>
    <t>Gamers</t>
  </si>
  <si>
    <t>Joseph Gonzalez INF/OF '26</t>
  </si>
  <si>
    <t>Logan Minamyer (3) - '26 RHP</t>
  </si>
  <si>
    <t>ABA 26 Navy</t>
  </si>
  <si>
    <t>Rawlings SE Mad mavericks</t>
  </si>
  <si>
    <t>Caleb Lear - RHP(TN)</t>
  </si>
  <si>
    <t>coach Jon Shiver</t>
  </si>
  <si>
    <t>(SAT) Colvin Proto RHP 3pitch</t>
  </si>
  <si>
    <t>Jude McDonald-RHP</t>
  </si>
  <si>
    <t>Kyle Miller - 1B</t>
  </si>
  <si>
    <t>*Marucci Sting/2026 event</t>
  </si>
  <si>
    <t>Kelton Floan - SS (26)/Follow</t>
  </si>
  <si>
    <t>Kinnane RHP #43</t>
  </si>
  <si>
    <t>Coach Brett Harper</t>
  </si>
  <si>
    <t>Brent Sollars of</t>
  </si>
  <si>
    <t>Ayden Wall C</t>
  </si>
  <si>
    <t>Trosky Tx Ina</t>
  </si>
  <si>
    <t>Grant Winkle LHP TX</t>
  </si>
  <si>
    <t>Daniel Norbeck RHP FL</t>
  </si>
  <si>
    <t>Mason Gazaway? OF</t>
  </si>
  <si>
    <t>fl burn</t>
  </si>
  <si>
    <t>Owen Phypers RHP FL (Saturday east Cobb field 1 3pm)</t>
  </si>
  <si>
    <t xml:space="preserve">Justin MacCormick Tues </t>
  </si>
  <si>
    <t>Alex Hernandez Fri 245</t>
  </si>
  <si>
    <t>Andrew Reed RHP '27</t>
  </si>
  <si>
    <t>Luke Young (4) - '26 C</t>
  </si>
  <si>
    <t>Stix Scout</t>
  </si>
  <si>
    <t>Kolton Christie - C</t>
  </si>
  <si>
    <t>Royals Scout</t>
  </si>
  <si>
    <t>Grayton Gross - LHP(KS)</t>
  </si>
  <si>
    <t>Chase Staley CINF/RHP90</t>
  </si>
  <si>
    <t>Rough Riders National</t>
  </si>
  <si>
    <t>Henry Verhamme-ss</t>
  </si>
  <si>
    <t>Hunter Walker - 3B/2b</t>
  </si>
  <si>
    <t>Cole McCombs - RHP -just ok</t>
  </si>
  <si>
    <t>Canes National</t>
  </si>
  <si>
    <t>Denny OF #65 runs</t>
  </si>
  <si>
    <t>Colton Hicks (3) - '26 CINF</t>
  </si>
  <si>
    <t>Kyle Tanksley - SS</t>
  </si>
  <si>
    <t>5 Star Carolina</t>
  </si>
  <si>
    <t>Ben Dudash - C</t>
  </si>
  <si>
    <t>Tim Pellicer C</t>
  </si>
  <si>
    <t>Preston Burke-RHP</t>
  </si>
  <si>
    <t>Parker Rahn - 3B/not a fit/not int</t>
  </si>
  <si>
    <t>Blake Moore - LHP //Saturday due to football</t>
  </si>
  <si>
    <t>DeHart OF (FG) #24</t>
  </si>
  <si>
    <t>5 Star performance</t>
  </si>
  <si>
    <t>Aidan Avalos SS</t>
  </si>
  <si>
    <t>White Sox</t>
  </si>
  <si>
    <t>Keith Mitchell OF 27</t>
  </si>
  <si>
    <t>Gordon  Cozad (4) - '26 MINF</t>
  </si>
  <si>
    <t>Nicholas Smith - SS</t>
  </si>
  <si>
    <t>Trevor Friend - RHP</t>
  </si>
  <si>
    <t>Carter Sprague OF 6.6 CF 196FL</t>
  </si>
  <si>
    <t>Eli McBryde-C</t>
  </si>
  <si>
    <t>Britain Fox - OF</t>
  </si>
  <si>
    <t>Toby Trotter - LHP// Possible academic game</t>
  </si>
  <si>
    <t>Watson C #49</t>
  </si>
  <si>
    <t>Drew Kindlon RHP FRI 11:30 CASS</t>
  </si>
  <si>
    <t>Donovan Abel C</t>
  </si>
  <si>
    <t>Charlie Herr RHP 27. 9/13 3pm</t>
  </si>
  <si>
    <t>Reid Dadic (2) - '26 RHP</t>
  </si>
  <si>
    <t>Rylan Alaniz - SS</t>
  </si>
  <si>
    <t>Keystone Bombers</t>
  </si>
  <si>
    <t>Braydon Bown - RHP</t>
  </si>
  <si>
    <t>Carson Binder C pwr 169FL</t>
  </si>
  <si>
    <t>Reached out</t>
  </si>
  <si>
    <t>Tommy Humphrey - OF</t>
  </si>
  <si>
    <t>Admirals</t>
  </si>
  <si>
    <t>Jake Fletcher - C-jok/not enough</t>
  </si>
  <si>
    <t>Marcum RHP #48</t>
  </si>
  <si>
    <t>BBNW Green</t>
  </si>
  <si>
    <t>No arms</t>
  </si>
  <si>
    <t>Hunter Vincent LHP TH 1:40 GH</t>
  </si>
  <si>
    <t>Scorpions Black</t>
  </si>
  <si>
    <t>Gehrig Heckathorn OF TX</t>
  </si>
  <si>
    <t>Jake Finnegan SS FL</t>
  </si>
  <si>
    <t>Jackson Rose LHP</t>
  </si>
  <si>
    <t>Trey Greenwell OF AL</t>
  </si>
  <si>
    <t>Finn Hains/Dobis Tues 215 field 5</t>
  </si>
  <si>
    <t>Conor Gavigan OF military interest</t>
  </si>
  <si>
    <t>Ben Schaeffer OF 27</t>
  </si>
  <si>
    <t>Michael  Chin (4) - '26 C</t>
  </si>
  <si>
    <t>Nawrocki - LHP</t>
  </si>
  <si>
    <t>Ty Callahan - RHP</t>
  </si>
  <si>
    <t>Alec Chin OF hit n/aFL</t>
  </si>
  <si>
    <t>CBA 26 National</t>
  </si>
  <si>
    <t>Dru Gaddy '27 LHP (interest)</t>
  </si>
  <si>
    <t>Yale Johnson - C</t>
  </si>
  <si>
    <t>Caden Whitten - SS-2026 follow</t>
  </si>
  <si>
    <t>GRB Rays 26</t>
  </si>
  <si>
    <t>Hietpas RHP (FG) #24</t>
  </si>
  <si>
    <t>Ethan Swallom C</t>
  </si>
  <si>
    <t>VBA (AL)</t>
  </si>
  <si>
    <t>Luke Holbrook RHP FRI 7pm start Cass HS</t>
  </si>
  <si>
    <t>VBA 17U Black</t>
  </si>
  <si>
    <t>Luke Holbrook RHP AL</t>
  </si>
  <si>
    <t>Nathan Shaffer C</t>
  </si>
  <si>
    <t>troskey national</t>
  </si>
  <si>
    <t>Carter Brown 1B/RHP AZ</t>
  </si>
  <si>
    <t>ECNE</t>
  </si>
  <si>
    <t>Tony Silva RHP Tues 430 field 5</t>
  </si>
  <si>
    <t>Eli Hampton (4) - '26 C</t>
  </si>
  <si>
    <t>Josh Horvath - RHP</t>
  </si>
  <si>
    <t>EJ Allen - MINF</t>
  </si>
  <si>
    <t>Reid Freda OF hit/run (AF) n/aFL</t>
  </si>
  <si>
    <t>Soldier Spects</t>
  </si>
  <si>
    <t>Tanner Evans ss</t>
  </si>
  <si>
    <t>Trosky AZ Regional</t>
  </si>
  <si>
    <t>Cory Dean Carver - SS</t>
  </si>
  <si>
    <t>George Willis - C</t>
  </si>
  <si>
    <t>Hawley OF (FG) #27</t>
  </si>
  <si>
    <t>BBNW Black</t>
  </si>
  <si>
    <t>Jacob Rolling SS?</t>
  </si>
  <si>
    <t xml:space="preserve">Richmond Braves platinum prospect </t>
  </si>
  <si>
    <t xml:space="preserve">Brad Marks RHP WED F13 3pm </t>
  </si>
  <si>
    <t>Stix 2025 Scout</t>
  </si>
  <si>
    <t>Bryce Wells C TX</t>
  </si>
  <si>
    <t>Bennett Wright? (3.5) C</t>
  </si>
  <si>
    <t xml:space="preserve">643dp </t>
  </si>
  <si>
    <t>Jackson rose LHP GA</t>
  </si>
  <si>
    <t>Harssh Ramayanm Venkkat RHP/SS NJ</t>
  </si>
  <si>
    <t>Team Elite / AZ scout</t>
  </si>
  <si>
    <t>Andrew Brech RHP</t>
  </si>
  <si>
    <t>Slammers Fiscus 27</t>
  </si>
  <si>
    <t>Tyler Reeves OF 27</t>
  </si>
  <si>
    <t>Peter Jackson (4) - '26 RHP</t>
  </si>
  <si>
    <t>Lawson Behan - SS</t>
  </si>
  <si>
    <t>Jet McNelis - OF</t>
  </si>
  <si>
    <t>Ocean Cozart 2B/3B hit n/aFL</t>
  </si>
  <si>
    <t>Brent Sollars - OF-follow</t>
  </si>
  <si>
    <t>Southern Nevada</t>
  </si>
  <si>
    <t>Niko Carpenter  - RHP-2026 follow</t>
  </si>
  <si>
    <t>Brenner C (FG) #35</t>
  </si>
  <si>
    <t>Caleb Zawadzki pitching Sat 10am Mariner 4 (texted)</t>
  </si>
  <si>
    <t>Wow factor national scout</t>
  </si>
  <si>
    <t>Connor Cavo RHP SAT 3pm F13</t>
  </si>
  <si>
    <t xml:space="preserve">5 Star Performance National </t>
  </si>
  <si>
    <t>Aiden Poirier SS</t>
  </si>
  <si>
    <t>Marucci Elite Texas - Dunn</t>
  </si>
  <si>
    <t>Hayden Wiley SS TX</t>
  </si>
  <si>
    <t>James Pitts? (3.1)</t>
  </si>
  <si>
    <t>east coast sox</t>
  </si>
  <si>
    <t>Brody Winemiller 1B TN</t>
  </si>
  <si>
    <t>Show Baseball</t>
  </si>
  <si>
    <t>Henry Hebert--Thurs 215 field 3</t>
  </si>
  <si>
    <t>he doesn't know grades</t>
  </si>
  <si>
    <t>Kai Gambill LHP</t>
  </si>
  <si>
    <t>Jayden Witkamp RHP 27  6'7</t>
  </si>
  <si>
    <t>Hawk Stickney (2) - '26 RHP</t>
  </si>
  <si>
    <t>Ty Higginbotham - LHP</t>
  </si>
  <si>
    <t xml:space="preserve">Sandlot </t>
  </si>
  <si>
    <t>Caden Atkinson - RHP</t>
  </si>
  <si>
    <t>Scorpions scout</t>
  </si>
  <si>
    <t>Mikey Ramsey RHP</t>
  </si>
  <si>
    <t>Henry Verhamme - P/SS-follow</t>
  </si>
  <si>
    <t>CBA Marucci</t>
  </si>
  <si>
    <t>Trenton Uyeda - SS-jok/not enough</t>
  </si>
  <si>
    <t>Alonso SS (FG) #6</t>
  </si>
  <si>
    <t>Silas Meuli OF LHH</t>
  </si>
  <si>
    <t>Bell ringers ?</t>
  </si>
  <si>
    <t>Kevin Ruff LHP TH 2pm Allatoona</t>
  </si>
  <si>
    <t>Will McKinzie SS</t>
  </si>
  <si>
    <t>Ty Thames INF TX</t>
  </si>
  <si>
    <t>Nick Santobello RHP</t>
  </si>
  <si>
    <t>Eric Willi (2) - '26 C</t>
  </si>
  <si>
    <t>Marruci elite Holle</t>
  </si>
  <si>
    <t>Alex mayon - SS</t>
  </si>
  <si>
    <t>South Charlotte</t>
  </si>
  <si>
    <t>Heath Kilingsmen - RHP</t>
  </si>
  <si>
    <t>coach Goodrich</t>
  </si>
  <si>
    <t>Drew Boivin RHP</t>
  </si>
  <si>
    <t>RHP Ryan Popkins (Fri 1030am/Rangers 3)</t>
  </si>
  <si>
    <t>Sam GodBout SS</t>
  </si>
  <si>
    <t>SPARKS</t>
  </si>
  <si>
    <t>Carson Binder (3) - '26 C</t>
  </si>
  <si>
    <t>Grant Shepherd - LHP</t>
  </si>
  <si>
    <t>Rough Riders</t>
  </si>
  <si>
    <t>Henry Verhamme - SS</t>
  </si>
  <si>
    <t>Alex Davis CF/LF speed</t>
  </si>
  <si>
    <t>Marucci Ath Elite</t>
  </si>
  <si>
    <t>Daniel Martinez - C</t>
  </si>
  <si>
    <t>Pierson Howe - YES/visit/offer</t>
  </si>
  <si>
    <t>GBR STIKS Black</t>
  </si>
  <si>
    <t>Kawczynski SS #53</t>
  </si>
  <si>
    <t>GBG Navy American</t>
  </si>
  <si>
    <t>Chase Stewart C</t>
  </si>
  <si>
    <t xml:space="preserve">Wow factor scout </t>
  </si>
  <si>
    <t>Phoenix Williams OF</t>
  </si>
  <si>
    <t>Hunter Vincent LHP</t>
  </si>
  <si>
    <t>Eddie Marshall C</t>
  </si>
  <si>
    <t>Braves Scout</t>
  </si>
  <si>
    <t xml:space="preserve">Austin Treadwell RHP GA - </t>
  </si>
  <si>
    <t>Baseball U</t>
  </si>
  <si>
    <t xml:space="preserve">Jack Murray </t>
  </si>
  <si>
    <t>Ocean Cozart (3) - '26 MINF</t>
  </si>
  <si>
    <t>Jack herncall - lhp</t>
  </si>
  <si>
    <t>Ronan O'Brien - RHP</t>
  </si>
  <si>
    <t>Jack Fults RHP</t>
  </si>
  <si>
    <t>Thomas Pascanu - 1B/LHP/contact</t>
  </si>
  <si>
    <t>Stacked</t>
  </si>
  <si>
    <t>Issac Aguiire - RHP</t>
  </si>
  <si>
    <t>Lucas blackwood ss</t>
  </si>
  <si>
    <t>Team Indiana</t>
  </si>
  <si>
    <t>Cal Carmichael RHP 9/13  5:45pm</t>
  </si>
  <si>
    <t>Andrew Steele Thalleen (3) - '26 RHP</t>
  </si>
  <si>
    <t>Seth martin- RHP</t>
  </si>
  <si>
    <t>Power 26 Marucci</t>
  </si>
  <si>
    <t>Oliver Swartz - LHP</t>
  </si>
  <si>
    <t>Jake Helms RHP (interest)</t>
  </si>
  <si>
    <t>SS Tyler Smith-ok/not enough</t>
  </si>
  <si>
    <t>Peter Ward RHP 9/13 5:45pm relief</t>
  </si>
  <si>
    <t>Drew Cothren (4) - '26 COF</t>
  </si>
  <si>
    <t>Lonestar National</t>
  </si>
  <si>
    <t>Jack kieke - ss</t>
  </si>
  <si>
    <t>Tyler Reeder - RHP</t>
  </si>
  <si>
    <t>Tripp Rosenberger RHP</t>
  </si>
  <si>
    <t>RHP Nick Murray</t>
  </si>
  <si>
    <t>Rylan Alaniz (1) - '26 SS</t>
  </si>
  <si>
    <t>Bobby wilkinson - ss</t>
  </si>
  <si>
    <t>Max McDougal - RHP</t>
  </si>
  <si>
    <t>Derek Rubin UTL 6.7 run</t>
  </si>
  <si>
    <t>SC Birds</t>
  </si>
  <si>
    <t>SS Jagger Snitko/see again if possible</t>
  </si>
  <si>
    <t>Max weddle emailed</t>
  </si>
  <si>
    <t>Iowa sticks 27</t>
  </si>
  <si>
    <t>Brady Smith RHP 27 9/13 12:30pm Kokomo</t>
  </si>
  <si>
    <t>Preston Lewis (1) - '26 C</t>
  </si>
  <si>
    <t>Jason mazoch - rhp</t>
  </si>
  <si>
    <t xml:space="preserve">Legacy </t>
  </si>
  <si>
    <t>Brise Boop - ss</t>
  </si>
  <si>
    <t>Cooper West LHP</t>
  </si>
  <si>
    <t>RHP Jacob Janeta (Th/4pm) Royals 5</t>
  </si>
  <si>
    <t>Kanon schiller emailed</t>
  </si>
  <si>
    <t>Jack Ryan (1) - '26 RHP</t>
  </si>
  <si>
    <t>Dulins Dodgers Goodwin</t>
  </si>
  <si>
    <t>Brett Hill LHP</t>
  </si>
  <si>
    <t>Phillies American</t>
  </si>
  <si>
    <t>Landon McMahon - OF</t>
  </si>
  <si>
    <t>Chase Andress LHP (interest)</t>
  </si>
  <si>
    <t>LHP Matthew Garrison (Sun</t>
  </si>
  <si>
    <t>Jaden Taylor emailed</t>
  </si>
  <si>
    <t>Ronan Owens (4) - '26 RHP</t>
  </si>
  <si>
    <t>brenden selph rhp</t>
  </si>
  <si>
    <t>Leo Anterpen - LHP</t>
  </si>
  <si>
    <t>SS Max Biehl/just ok good little player. NAG</t>
  </si>
  <si>
    <t>Dylan Johnson emailed</t>
  </si>
  <si>
    <t>Nick Linares (4) - '26 RHP</t>
  </si>
  <si>
    <t>shane parker inf</t>
  </si>
  <si>
    <t xml:space="preserve">REB Sports Aacdemy </t>
  </si>
  <si>
    <t>Lukas Botkin - LHP</t>
  </si>
  <si>
    <t>Julian Diaz RHP</t>
  </si>
  <si>
    <t>Swarm Red Elite</t>
  </si>
  <si>
    <t>LHP Brooken Stevens-interesting</t>
  </si>
  <si>
    <t>Ruby SS (FG) #5</t>
  </si>
  <si>
    <t>Zandre Bratspis SS</t>
  </si>
  <si>
    <t>Sinjon Lash WED 3pm F10</t>
  </si>
  <si>
    <t>Houston Kyle Chapman</t>
  </si>
  <si>
    <t>George Willis C</t>
  </si>
  <si>
    <t>Harsh Venkatt SS</t>
  </si>
  <si>
    <t>Eric McAtee (3) - '26 RHP</t>
  </si>
  <si>
    <t>DFW twins scout</t>
  </si>
  <si>
    <t>will cayce ss</t>
  </si>
  <si>
    <t>Charlotte megastars</t>
  </si>
  <si>
    <t>Caden Tarr - SS</t>
  </si>
  <si>
    <t>coach Fitz</t>
  </si>
  <si>
    <t>Reggie Rodriguez 1B LHH</t>
  </si>
  <si>
    <t>LHP Michael Horne-contact</t>
  </si>
  <si>
    <t>Grulkowski RHP #9</t>
  </si>
  <si>
    <t>PrimeTime Aces-Skaggs</t>
  </si>
  <si>
    <t>Kailen Hackman RHP FRI 3pm LP</t>
  </si>
  <si>
    <t xml:space="preserve">Wow Factor National </t>
  </si>
  <si>
    <t xml:space="preserve">Brayden Mann C: </t>
  </si>
  <si>
    <t>Josh Taylor? SS</t>
  </si>
  <si>
    <t>slammers holzimer</t>
  </si>
  <si>
    <t>Sam Harry OF CO</t>
  </si>
  <si>
    <t>Team Boston rams</t>
  </si>
  <si>
    <t>Chris Klueber wed 1215 field 4</t>
  </si>
  <si>
    <t>Jack Stefani (4) - '26 RHP</t>
  </si>
  <si>
    <t>Dallas Tigers ahearne</t>
  </si>
  <si>
    <t>Broc burns rhp</t>
  </si>
  <si>
    <t>5 Star Carolina National</t>
  </si>
  <si>
    <t>Cooper Summerlin - LHP</t>
  </si>
  <si>
    <t>Roman Zavala SS</t>
  </si>
  <si>
    <t>RHP JT Price-contact/check int</t>
  </si>
  <si>
    <t>Caden  Schlotterbeck (4) - '26 LHP</t>
  </si>
  <si>
    <t>Atlanta Blue Jays</t>
  </si>
  <si>
    <t>Cameron Bergloff - LHP</t>
  </si>
  <si>
    <t>Reid Dadic LHH OF/RHP</t>
  </si>
  <si>
    <t>Top Level (CO)</t>
  </si>
  <si>
    <t>LHP Thomas Novak (Fri 11am/Royals 5)No int</t>
  </si>
  <si>
    <t>Angle OF #31</t>
  </si>
  <si>
    <t>Factory 1 Royal</t>
  </si>
  <si>
    <t>Trevelyan Podawitz C</t>
  </si>
  <si>
    <t>Hounds baseball</t>
  </si>
  <si>
    <t>Gino Zagorac RHP FRI 4pm GH</t>
  </si>
  <si>
    <t>C2 Baseball TX Scout</t>
  </si>
  <si>
    <t>Kaenen Kiefer SS</t>
  </si>
  <si>
    <t>USG/Elev8</t>
  </si>
  <si>
    <t>Connor Cavo RHP</t>
  </si>
  <si>
    <t>Tyler Fallmann? RHP</t>
  </si>
  <si>
    <t>Spike Magill C CO</t>
  </si>
  <si>
    <t xml:space="preserve">Dallas patriots 17u </t>
  </si>
  <si>
    <t>Cory Carver</t>
  </si>
  <si>
    <t>both Catchers</t>
  </si>
  <si>
    <t>Semnelmann LHP (FG) #240 Nat</t>
  </si>
  <si>
    <t>ABA Navy</t>
  </si>
  <si>
    <t>Dean Ellison LHP 745am Saturday maryvale 4</t>
  </si>
  <si>
    <t>Ryan Nelson OF TH 2pm Allatoona</t>
  </si>
  <si>
    <t>TBT Texas National</t>
  </si>
  <si>
    <t>Tate Elliott C</t>
  </si>
  <si>
    <t xml:space="preserve">Team Elite Scout </t>
  </si>
  <si>
    <t>Grayson Stroumpis???</t>
  </si>
  <si>
    <t>Brayden Antonelli? RHP</t>
  </si>
  <si>
    <t>Wow Factor Nation 17U</t>
  </si>
  <si>
    <t>Brayden Mann C VA</t>
  </si>
  <si>
    <t>5 Star Virginia</t>
  </si>
  <si>
    <t>Canes sw national</t>
  </si>
  <si>
    <t>Ronin McCraw - ss</t>
  </si>
  <si>
    <t>Cade Raley LHH 2B</t>
  </si>
  <si>
    <t>RHP Wade Hartrick (Sun 11am/Rangers 4)</t>
  </si>
  <si>
    <t>Bitter RHP (FG) #20</t>
  </si>
  <si>
    <t>Jack Byers RHP following Ellison saturday</t>
  </si>
  <si>
    <t xml:space="preserve">Austin Wings </t>
  </si>
  <si>
    <t>Matt Pazak C</t>
  </si>
  <si>
    <t>Georgia Jckets</t>
  </si>
  <si>
    <t>Ben Chatham C</t>
  </si>
  <si>
    <t>Hunter Edwards? C</t>
  </si>
  <si>
    <t xml:space="preserve">Nokona </t>
  </si>
  <si>
    <t>Sachin Gopal RHP MA (Sun 1:40 Creekview HS)</t>
  </si>
  <si>
    <t>Austin wings national</t>
  </si>
  <si>
    <t>nathan taparauskas rhp</t>
  </si>
  <si>
    <t>Ghost National</t>
  </si>
  <si>
    <t>Miles Keogh - SS</t>
  </si>
  <si>
    <t>RHP Thomas Egbert (Fri/830am/Royals 3)</t>
  </si>
  <si>
    <t>Carter RHP (FG) #14</t>
  </si>
  <si>
    <t>Cole Darnell RHP thurs 130pm</t>
  </si>
  <si>
    <t>Virginia Cardinals</t>
  </si>
  <si>
    <t>See team</t>
  </si>
  <si>
    <t>Dallas Tigers Hernandez</t>
  </si>
  <si>
    <t>Colton McClure SS</t>
  </si>
  <si>
    <t>Jackson Estes LHP</t>
  </si>
  <si>
    <t>Ty Householder? OF</t>
  </si>
  <si>
    <t>midland redskins (oh)</t>
  </si>
  <si>
    <t>Jax Heid SS TX</t>
  </si>
  <si>
    <t>Academy Baseball Canada</t>
  </si>
  <si>
    <t xml:space="preserve">5 star national </t>
  </si>
  <si>
    <t>carter hoffman lhp</t>
  </si>
  <si>
    <t>dan ditullio - lhp</t>
  </si>
  <si>
    <t>power baseball victus</t>
  </si>
  <si>
    <t>Jacob Calton 3B (interest)</t>
  </si>
  <si>
    <t>Humes RHP #48 6'5</t>
  </si>
  <si>
    <t>Kaiden Nerhood OF</t>
  </si>
  <si>
    <t>Black Sox (AL)</t>
  </si>
  <si>
    <t>FRI 10:20 LP12 Easton Nelms SS</t>
  </si>
  <si>
    <t>Landon Ammerman LHP</t>
  </si>
  <si>
    <t>USA prime SE</t>
  </si>
  <si>
    <t>Trent Wilson C.  No good</t>
  </si>
  <si>
    <t>Jarron Swick? OF</t>
  </si>
  <si>
    <t>USA Prime American 17U</t>
  </si>
  <si>
    <t>Wade Hartrick RHP CO (Sunday 5:20pm Pickens County HS)</t>
  </si>
  <si>
    <t>AquaSox</t>
  </si>
  <si>
    <t>troy alexander rhp</t>
  </si>
  <si>
    <t>LI Body Armor Titans Robles</t>
  </si>
  <si>
    <t>Vaughan Steinert - OF</t>
  </si>
  <si>
    <t>power baseball BLUE</t>
  </si>
  <si>
    <t>Logan Page RHP 82</t>
  </si>
  <si>
    <t>SS/RHP Thomas Gonzalez/threw well/too small</t>
  </si>
  <si>
    <t>Gilley LHP #37</t>
  </si>
  <si>
    <t>Legacy baseball group #2</t>
  </si>
  <si>
    <t>Drew Kostich INF</t>
  </si>
  <si>
    <t>Parker Ivy C (Stats aren't great put him on here since he's been in contact)</t>
  </si>
  <si>
    <t>Rilee Hutchinson (saw at NPI took a couple powerful swings but stiff mover. If there to see Wade take a look)</t>
  </si>
  <si>
    <t>ASBA</t>
  </si>
  <si>
    <t>Marucci elie veliquette</t>
  </si>
  <si>
    <t>matt de jager ss</t>
  </si>
  <si>
    <t>Shane Meehan-C</t>
  </si>
  <si>
    <t>power baseball Marucci</t>
  </si>
  <si>
    <t>Maddox Bultema CF 6.5</t>
  </si>
  <si>
    <t>HitDogs</t>
  </si>
  <si>
    <t>RHP Thor Pelczarski</t>
  </si>
  <si>
    <t>Francis OF (FG) #156 Nat</t>
  </si>
  <si>
    <t>Payne Cearnal OF</t>
  </si>
  <si>
    <t>Dallas Patriots 17U</t>
  </si>
  <si>
    <t>Clayton Norrell LHP</t>
  </si>
  <si>
    <t>Anthony Elezja C (Had phone call video looked good, doesn't sound like he can hit but if he's catching Hartrick take a look)</t>
  </si>
  <si>
    <t>Athletes Lab</t>
  </si>
  <si>
    <t xml:space="preserve">Dirtbags national </t>
  </si>
  <si>
    <t>Greyson Jones - RHP</t>
  </si>
  <si>
    <t>C Cooper Kruk</t>
  </si>
  <si>
    <t>cade antosca emailed</t>
  </si>
  <si>
    <t>Tyler Komorner - RHP</t>
  </si>
  <si>
    <t>Atlanta Braves Scout</t>
  </si>
  <si>
    <t>Carosn Moser - RHP</t>
  </si>
  <si>
    <t>richmond braves platinum</t>
  </si>
  <si>
    <t>Chris martinez SS</t>
  </si>
  <si>
    <t>LHP Zach Hull (2026/only 3.2 gpa listed)</t>
  </si>
  <si>
    <t>Smith SS #57</t>
  </si>
  <si>
    <t>Big Sky Baseball</t>
  </si>
  <si>
    <t>Colton Bush RHP (emailed) Fri 830am / Sat 8am</t>
  </si>
  <si>
    <t>Ben Sibert? RHP 4.44</t>
  </si>
  <si>
    <t>Tri State Arsenal Scout</t>
  </si>
  <si>
    <t>Jack Pye RHP PA Saturday 1:40 Chestatee HS/Monday 3pm East Cobb</t>
  </si>
  <si>
    <t>Bell Ringers</t>
  </si>
  <si>
    <t>Anthony Zezza - LHP</t>
  </si>
  <si>
    <t>Rhp Hayden Greene-did not see/no grades</t>
  </si>
  <si>
    <t>Top Level Baseball</t>
  </si>
  <si>
    <t>Avery Deustch - OF emailed good stats</t>
  </si>
  <si>
    <t>EC Astros Navy</t>
  </si>
  <si>
    <t>Preston Stout OF LHH</t>
  </si>
  <si>
    <t>Badlands Baseball</t>
  </si>
  <si>
    <t>SS Josh Avery/awful rec</t>
  </si>
  <si>
    <t>Lowrey RHP (FG) #30</t>
  </si>
  <si>
    <t>West coast ghost national</t>
  </si>
  <si>
    <t>Noah Gelles OF (emailed)</t>
  </si>
  <si>
    <t>Dallas Tigers Cecil</t>
  </si>
  <si>
    <t>Reese Ogden C</t>
  </si>
  <si>
    <t>Jason Brown IF</t>
  </si>
  <si>
    <t>Indiana Prospects National</t>
  </si>
  <si>
    <t>Colton Busch - RHP</t>
  </si>
  <si>
    <t>Jayden Whittlesey RHP</t>
  </si>
  <si>
    <t>Catalyst Cardinals</t>
  </si>
  <si>
    <t>SS Riley Summers-jok</t>
  </si>
  <si>
    <t>Lhp Isaac Low-did not see</t>
  </si>
  <si>
    <t>GatorBall</t>
  </si>
  <si>
    <t>Gabe Garcia SS</t>
  </si>
  <si>
    <t>SS Tyler Smith</t>
  </si>
  <si>
    <t>Schumacher SS (FG) #20</t>
  </si>
  <si>
    <t>Miles Keogh SS</t>
  </si>
  <si>
    <t>Sticks</t>
  </si>
  <si>
    <t>Dion Wilburn RHP 6'6</t>
  </si>
  <si>
    <t>Rhp Nick Murray</t>
  </si>
  <si>
    <t>Canan RHP (FG) #14</t>
  </si>
  <si>
    <t>CBA summitt 2026</t>
  </si>
  <si>
    <t>Cutter christensen (emailed)</t>
  </si>
  <si>
    <t>Grady Baetz LHP (Threw Tues)</t>
  </si>
  <si>
    <t>Dylan Prince INF FL</t>
  </si>
  <si>
    <t>Canes KY</t>
  </si>
  <si>
    <t xml:space="preserve">Devine </t>
  </si>
  <si>
    <t>Ethan Curtis - LHP</t>
  </si>
  <si>
    <t>Reed Thomas RHP</t>
  </si>
  <si>
    <t>Cade Watson-pitched poorly/cant offer</t>
  </si>
  <si>
    <t>Gaerke RHP #42</t>
  </si>
  <si>
    <t>Trinity Baseball</t>
  </si>
  <si>
    <t>Noah Darnell LHP (acadmeic tryout/ starting sat game 1)</t>
  </si>
  <si>
    <t>Hawaii Elite 2G Toro</t>
  </si>
  <si>
    <t>Cade Watson RHP (Threw Tues)</t>
  </si>
  <si>
    <t>No Roster</t>
  </si>
  <si>
    <t>.9ers</t>
  </si>
  <si>
    <t>Owen OToole RHP NJ</t>
  </si>
  <si>
    <t>Zach Diaz - SS</t>
  </si>
  <si>
    <t>Cohen Lafler RHP 88</t>
  </si>
  <si>
    <t>Norcal</t>
  </si>
  <si>
    <t>Beau Blake-follow/good player/pot. visit</t>
  </si>
  <si>
    <t>Schmittou SS #46 runs</t>
  </si>
  <si>
    <t>chase marlow C</t>
  </si>
  <si>
    <t>GPS Legends Puffer</t>
  </si>
  <si>
    <t>Xander Covar C</t>
  </si>
  <si>
    <t>Nick Russo RHP NC (Sun June 23rd 11:20am Sprayberry HS)</t>
  </si>
  <si>
    <t>Joe Soto - LHP</t>
  </si>
  <si>
    <t>maybe a few more</t>
  </si>
  <si>
    <t>BPA (Draft Bracket)</t>
  </si>
  <si>
    <t>2027 LHP Logan Schmidt/dude 90-92</t>
  </si>
  <si>
    <t>Louisville Baseball Club Nat</t>
  </si>
  <si>
    <t>Ritchie SS (FG) #15</t>
  </si>
  <si>
    <t>Luke blanchard of</t>
  </si>
  <si>
    <t>Jonas Anderson LHP (Threw Tues)</t>
  </si>
  <si>
    <t xml:space="preserve">Wow factor Atlantic </t>
  </si>
  <si>
    <t>Patrick Walsh 1B</t>
  </si>
  <si>
    <t>Canes North</t>
  </si>
  <si>
    <t>ZT Elite Midwest Black</t>
  </si>
  <si>
    <t>Kye Jacobs - SS</t>
  </si>
  <si>
    <t>TB SocCal (Draft Bracket)</t>
  </si>
  <si>
    <t>SS Hayden Woodson-good/contact</t>
  </si>
  <si>
    <t>Sizemore SS (FG) #21</t>
  </si>
  <si>
    <t>nick gifoli</t>
  </si>
  <si>
    <t>C2 Baseball Texas Scout</t>
  </si>
  <si>
    <t>Kaenan Kiefer SS</t>
  </si>
  <si>
    <t>Trosky TX - Ina</t>
  </si>
  <si>
    <t>Donovan Abel C TX</t>
  </si>
  <si>
    <t>Canes Palmetto</t>
  </si>
  <si>
    <t>Homeplate Chilidogs</t>
  </si>
  <si>
    <t>Khalon Davis - SS</t>
  </si>
  <si>
    <t>LHP Brayden Schaff-contact</t>
  </si>
  <si>
    <t>Team Elite National</t>
  </si>
  <si>
    <t>Dylan Foltz - SS</t>
  </si>
  <si>
    <t>Elite squad 17u</t>
  </si>
  <si>
    <t>SS Hank Hansen</t>
  </si>
  <si>
    <t>Lawrence OF #41 runs</t>
  </si>
  <si>
    <t>vincent milo sun</t>
  </si>
  <si>
    <t>KC royals scout</t>
  </si>
  <si>
    <t>Will Howard C TX</t>
  </si>
  <si>
    <t xml:space="preserve">Stacked America </t>
  </si>
  <si>
    <t>Trevor Deack ss</t>
  </si>
  <si>
    <t>Baseball Northwest</t>
  </si>
  <si>
    <t>SS Wyatt Minto/ good player/undersized</t>
  </si>
  <si>
    <t>Devine SS (FG) #25 runs</t>
  </si>
  <si>
    <t>tyler unter game 2 sat</t>
  </si>
  <si>
    <t>No roster</t>
  </si>
  <si>
    <t>Lucas Grant LHP IL ????</t>
  </si>
  <si>
    <t>Canes Upstate</t>
  </si>
  <si>
    <t>Ryan McCabe -C</t>
  </si>
  <si>
    <t>citius velocracy</t>
  </si>
  <si>
    <t>Cruz Banuelas C</t>
  </si>
  <si>
    <t>JGB Rockstars</t>
  </si>
  <si>
    <t>2026 RHP Jose Borregos-follow</t>
  </si>
  <si>
    <t>Grundy 3B (FG) #8</t>
  </si>
  <si>
    <t>TB Socal</t>
  </si>
  <si>
    <t>andre owens inf</t>
  </si>
  <si>
    <t>Jackson Freeman? C</t>
  </si>
  <si>
    <t>Cameron Fausset RHP CA (Area Code may be there late)</t>
  </si>
  <si>
    <t>Marucci Elite Peoria</t>
  </si>
  <si>
    <t>Cameron Davidson - SS</t>
  </si>
  <si>
    <t>Marucci Athletics</t>
  </si>
  <si>
    <t>1B Bode Acton-not enough</t>
  </si>
  <si>
    <t>Hornback OF (FG) #40</t>
  </si>
  <si>
    <t>Landon Kemp? SS</t>
  </si>
  <si>
    <t>Gabe Winans RHP TX</t>
  </si>
  <si>
    <t>Carolina Prime</t>
  </si>
  <si>
    <t xml:space="preserve">Elite National </t>
  </si>
  <si>
    <t>Sergio Hernandez- SS</t>
  </si>
  <si>
    <t>IF Brooks Fischer: not enough</t>
  </si>
  <si>
    <t>Vander Plaats RHP (FG) #27</t>
  </si>
  <si>
    <t>Brody Winemiller?</t>
  </si>
  <si>
    <t>knights knation National</t>
  </si>
  <si>
    <t>Rowen Bergereon INF LA</t>
  </si>
  <si>
    <t>SC Bombers</t>
  </si>
  <si>
    <t>SS/3b Michale Velardez-contact</t>
  </si>
  <si>
    <t>Top Tier American</t>
  </si>
  <si>
    <t>Chin LHP #39</t>
  </si>
  <si>
    <t>Micah Taguiam? C</t>
  </si>
  <si>
    <t>Micah Taguiam C CA</t>
  </si>
  <si>
    <t>CBC Marucci</t>
  </si>
  <si>
    <t>SC Giants</t>
  </si>
  <si>
    <t>LHP Nathan Pimentel-contact (no grades)</t>
  </si>
  <si>
    <t>Matise RHP #38</t>
  </si>
  <si>
    <t>Halton Donnelly? OF</t>
  </si>
  <si>
    <t>Trosky Brewers</t>
  </si>
  <si>
    <t>Hunter Manning RHP CA (Throwing Saturday 22nd/time on sheet)</t>
  </si>
  <si>
    <t>Coastal Stars</t>
  </si>
  <si>
    <t>LHP Ty Hanley-contact</t>
  </si>
  <si>
    <t>Top Tier IN</t>
  </si>
  <si>
    <t>Jackson 3B (FG) #29</t>
  </si>
  <si>
    <t>Marruccci sting</t>
  </si>
  <si>
    <t>Kyle miller</t>
  </si>
  <si>
    <t>Selects Baseball National</t>
  </si>
  <si>
    <t>Teddy Juaire RHP MN (Wednesday 8am Hank Aaron field at Gresham park. Starting)</t>
  </si>
  <si>
    <t>D Las Vegas</t>
  </si>
  <si>
    <t>LHP Enoch Yi</t>
  </si>
  <si>
    <t>Mcatee RHP #53 6'4</t>
  </si>
  <si>
    <t>hunter walker</t>
  </si>
  <si>
    <t>Caleb Hill SS TX (16U)</t>
  </si>
  <si>
    <t xml:space="preserve">SS David Aguirre-contact? </t>
  </si>
  <si>
    <t>TPR Baseball</t>
  </si>
  <si>
    <t>Check pitching rotations each day</t>
  </si>
  <si>
    <t>Noah Blackburn? C 4.3/30</t>
  </si>
  <si>
    <t>Liam Childs RHP MA --tbd</t>
  </si>
  <si>
    <t>SD Show</t>
  </si>
  <si>
    <t>RHP Gavin Kramer-not enough</t>
  </si>
  <si>
    <t xml:space="preserve">ca dukes baseball </t>
  </si>
  <si>
    <t>carson baker</t>
  </si>
  <si>
    <t>Chase Rafferty? LHP 3.8</t>
  </si>
  <si>
    <t>Alec Murray RHP CA- Sat June 22 1:40 pm Centennial HS</t>
  </si>
  <si>
    <t>DFW TWINS</t>
  </si>
  <si>
    <t>SS Noah Solano-not enough</t>
  </si>
  <si>
    <t>gbg ie</t>
  </si>
  <si>
    <t>bobby anderson emailed</t>
  </si>
  <si>
    <t>Bourke Reid NJ RHP</t>
  </si>
  <si>
    <t>Anthony Zezza LHP(Relief16th &amp; 20th)</t>
  </si>
  <si>
    <t>Bray Goode? 4.0 LHP</t>
  </si>
  <si>
    <t>NOVA Premier</t>
  </si>
  <si>
    <t>Luke Forde IF</t>
  </si>
  <si>
    <t>William Andre? RHP 4.1</t>
  </si>
  <si>
    <t>Upstate Mavz</t>
  </si>
  <si>
    <t>Aiden Brusman C VA--only if convenient</t>
  </si>
  <si>
    <t>Dulin Dodgers</t>
  </si>
  <si>
    <t>academic tryout</t>
  </si>
  <si>
    <t>tommy moro RHP</t>
  </si>
  <si>
    <t>Colby Durden? RHP</t>
  </si>
  <si>
    <t xml:space="preserve">Mac Dawsey C  SC--only </t>
  </si>
  <si>
    <t>Canes MidAtlantic Scout Gold</t>
  </si>
  <si>
    <t>Aiden Syzdlik IF/OF</t>
  </si>
  <si>
    <t>Check w/ Christman</t>
  </si>
  <si>
    <t>Brendan Lanigan RHP GA--June 24 (pen)</t>
  </si>
  <si>
    <t>MPH 101 Dragum</t>
  </si>
  <si>
    <t>Brian Archer C VA</t>
  </si>
  <si>
    <t>East Cobb Patriots</t>
  </si>
  <si>
    <t>Seth Pettett C 4.3</t>
  </si>
  <si>
    <t>Mark Windle SS MD</t>
  </si>
  <si>
    <t>Cam Vachon C MD--will see when we see Windle</t>
  </si>
  <si>
    <t>EBC</t>
  </si>
  <si>
    <t>Jackson Stanley SS/OF</t>
  </si>
  <si>
    <t>Richmond Braves Platinum</t>
  </si>
  <si>
    <t>Benjy Cardone C VA-- up to Pavs if we want to see again</t>
  </si>
  <si>
    <t>Edge Baseball</t>
  </si>
  <si>
    <t>Ean Marria 3B/RHP</t>
  </si>
  <si>
    <t>Vince Menard RHP CA</t>
  </si>
  <si>
    <t>Angels Scout (Lakeland FL)</t>
  </si>
  <si>
    <t>Matthew Hall OF (Prep Candidate)</t>
  </si>
  <si>
    <t xml:space="preserve">Excel Blue Wave National </t>
  </si>
  <si>
    <t>Jack Pritchett RHP (Need date)</t>
  </si>
  <si>
    <t>Drew Abney C</t>
  </si>
  <si>
    <t>Richmond Braves 2025 Platinum</t>
  </si>
  <si>
    <t>Brenden Moehnke RHP--Tuesday  Start</t>
  </si>
  <si>
    <t>Factory SELECT</t>
  </si>
  <si>
    <t>Charles Chappelle OF</t>
  </si>
  <si>
    <t>Fieldhouse Pirates</t>
  </si>
  <si>
    <t>David Jackson LHP</t>
  </si>
  <si>
    <t>Canes VA</t>
  </si>
  <si>
    <t>Ryan Steeper RHP (Sat June 22/2:45pm at Brook Run)</t>
  </si>
  <si>
    <t>Knox Bingham INF</t>
  </si>
  <si>
    <t>Midland Braves 17u Premier</t>
  </si>
  <si>
    <t>Eddie Tanner SS</t>
  </si>
  <si>
    <t>Florida Sluggers</t>
  </si>
  <si>
    <t>Ethan Dorsey? RHP 3.7</t>
  </si>
  <si>
    <t>Kachi Ninjas?/CrosBros?</t>
  </si>
  <si>
    <t>Landy Garcia RHP</t>
  </si>
  <si>
    <t>Trent Kulig? RHP</t>
  </si>
  <si>
    <t>Brett Kutner 1B/LHH</t>
  </si>
  <si>
    <t>Trevor Corbett? SS</t>
  </si>
  <si>
    <t>Peter Karloutsos OF</t>
  </si>
  <si>
    <t>Georgia Bombers</t>
  </si>
  <si>
    <t>Jake Murray C</t>
  </si>
  <si>
    <t>Georgia Jackets National</t>
  </si>
  <si>
    <t>Drew Payne RHP(Need Date)</t>
  </si>
  <si>
    <t>Bo Cooper C</t>
  </si>
  <si>
    <t>Brady Luyben C</t>
  </si>
  <si>
    <t>Drew McTagertt C</t>
  </si>
  <si>
    <t xml:space="preserve">XPress National 17u </t>
  </si>
  <si>
    <t>Chet Kosnar RHP-9am Monday June 24/Location TBD</t>
  </si>
  <si>
    <t>Great Lake Canadians</t>
  </si>
  <si>
    <t>9th Inn Royals Honeycutt</t>
  </si>
  <si>
    <t>Kacey Shanks C</t>
  </si>
  <si>
    <t>Halos National</t>
  </si>
  <si>
    <t>Stars VA</t>
  </si>
  <si>
    <t>Nathan Lake  LHP-Monday Start-confirming</t>
  </si>
  <si>
    <t>Hitters Black</t>
  </si>
  <si>
    <t>Connor Fuhrer RHP 4.4</t>
  </si>
  <si>
    <t>Connor Smith LHP-Sunday Start-confirming</t>
  </si>
  <si>
    <t>Bobby Gummere SS</t>
  </si>
  <si>
    <t>Ryu Johnson C-catches at Gonazaga//will see</t>
  </si>
  <si>
    <t>Lorcan Lee LHP</t>
  </si>
  <si>
    <t>Drew Reagan CIF/COF/Hitter</t>
  </si>
  <si>
    <t>Indiana Prospects</t>
  </si>
  <si>
    <t>All 24s</t>
  </si>
  <si>
    <t>Georgia Jackets 17U American</t>
  </si>
  <si>
    <t>Brayden Seabold RHP GA (Alpharetta Legion 11:20am Saturday)</t>
  </si>
  <si>
    <t>Inevitable A's</t>
  </si>
  <si>
    <t>Mason Holgerson C</t>
  </si>
  <si>
    <t>Nate Webb 1B</t>
  </si>
  <si>
    <t>Owen Graf RHP OH (High level arm from video, had a call with him. Sounded like he had a lot of heat and not sure of interest but he was responsive)</t>
  </si>
  <si>
    <t>Rylan Mose OF 6.7</t>
  </si>
  <si>
    <t>USA Prime 17u Scout</t>
  </si>
  <si>
    <t>Trent Wilson C</t>
  </si>
  <si>
    <t>Gunnar Waldrop C</t>
  </si>
  <si>
    <t>Austin Moran 3b</t>
  </si>
  <si>
    <t>Texas senators 17U Scout</t>
  </si>
  <si>
    <t>Collin Pence - RHP TX - Has talked to Army mild interest in military. Pitching in relief over two games</t>
  </si>
  <si>
    <t>Launch</t>
  </si>
  <si>
    <t>Max Reimers RHP</t>
  </si>
  <si>
    <t>Ghost Nation</t>
  </si>
  <si>
    <t>Ryan Williams - Physical Bat recommended by John Murphy</t>
  </si>
  <si>
    <t>Caleb Thatcher LHP</t>
  </si>
  <si>
    <t>On deck O's</t>
  </si>
  <si>
    <t>Caden Beaver RHP - High academic don't know anything else about him will do some digging. Starting the 6/24 monday game</t>
  </si>
  <si>
    <t>Legends Scout</t>
  </si>
  <si>
    <t>Dominic Cadiz 1B(Bat)</t>
  </si>
  <si>
    <t xml:space="preserve">Time to sign </t>
  </si>
  <si>
    <t>Julian Lemoer-Turkisher ss NY</t>
  </si>
  <si>
    <t>Lynx Scout Team</t>
  </si>
  <si>
    <t>Miguel Villegas 1B/RHP</t>
  </si>
  <si>
    <t>Michael Tight RHP FL</t>
  </si>
  <si>
    <t>Sutton Frost C/P</t>
  </si>
  <si>
    <t>Jake Finnegan ss FL</t>
  </si>
  <si>
    <t>Alex Byun C/P</t>
  </si>
  <si>
    <t>Marucci Spikes</t>
  </si>
  <si>
    <t>Jackson Alex RHP</t>
  </si>
  <si>
    <t>MASH</t>
  </si>
  <si>
    <t>Etan Price OF</t>
  </si>
  <si>
    <t>Team Elite 17U Scout</t>
  </si>
  <si>
    <t>Grayson Stroumpis(when is he pitching?)</t>
  </si>
  <si>
    <t>MBG</t>
  </si>
  <si>
    <t>Jacob Madrid RHP/C/UT</t>
  </si>
  <si>
    <t>Memphis Tigers</t>
  </si>
  <si>
    <t>Evan Alexander RHP</t>
  </si>
  <si>
    <t>Mid Atlantic Orioles</t>
  </si>
  <si>
    <t>Ju JU Diaz-Jones RHP</t>
  </si>
  <si>
    <t>Mid Ohio Bullets</t>
  </si>
  <si>
    <t>Eli Stephens 1B/RHP</t>
  </si>
  <si>
    <t>Mid-Atlantic Red Sox</t>
  </si>
  <si>
    <t>Robby Zimmerman LHP 6'6"</t>
  </si>
  <si>
    <t>MN Blizzard</t>
  </si>
  <si>
    <t>Peter Jackson RHP</t>
  </si>
  <si>
    <t>Motor City Hit Dogs</t>
  </si>
  <si>
    <t>Patrick Aranaga RHP</t>
  </si>
  <si>
    <t>Noah Cima OF 4.4</t>
  </si>
  <si>
    <t>Nelson Baseball School</t>
  </si>
  <si>
    <t>Braden Perry RHP</t>
  </si>
  <si>
    <t>Next Level Brewers</t>
  </si>
  <si>
    <t>Braden Kumar (Bat)</t>
  </si>
  <si>
    <t>Ninth Inn Royals</t>
  </si>
  <si>
    <t>Riley Wood LHP</t>
  </si>
  <si>
    <t>Matt McKnight? LHP</t>
  </si>
  <si>
    <t>NRV Tigers</t>
  </si>
  <si>
    <t>Reed Sherrard? RHP</t>
  </si>
  <si>
    <t>Ohio Hitmen</t>
  </si>
  <si>
    <t>John Loudon</t>
  </si>
  <si>
    <t>Quinn Johnson? '26</t>
  </si>
  <si>
    <t>Ontario Blue Jays</t>
  </si>
  <si>
    <t>Tyler Martin? C 4.03</t>
  </si>
  <si>
    <t>Ontario Nationals</t>
  </si>
  <si>
    <t>Dylan Sarna? OF</t>
  </si>
  <si>
    <t>Ontario Royals</t>
  </si>
  <si>
    <t>Phoenix Thompson? RHP 3.9</t>
  </si>
  <si>
    <t>Haden Terrill? RHP</t>
  </si>
  <si>
    <t>Ayden Phillip? pop 3.5</t>
  </si>
  <si>
    <t>Vince Ferrell? 6.8</t>
  </si>
  <si>
    <t>Rawlings Prospects</t>
  </si>
  <si>
    <t>Gabe Graulau?? 3.8 1230</t>
  </si>
  <si>
    <t>Keegan Deihl?</t>
  </si>
  <si>
    <t>Rhino K's</t>
  </si>
  <si>
    <t>John Lupienski? C 4.0</t>
  </si>
  <si>
    <t>Riley Furrow RHP GM5?</t>
  </si>
  <si>
    <t>Selects Baseball</t>
  </si>
  <si>
    <t>Jackson Toney?</t>
  </si>
  <si>
    <t>Braden Leed? RHP 3.9</t>
  </si>
  <si>
    <t>Show NE</t>
  </si>
  <si>
    <t>Max Berrisford? C</t>
  </si>
  <si>
    <t>Snyder Bucks</t>
  </si>
  <si>
    <t>Lots of commits</t>
  </si>
  <si>
    <t>South Jersey Young Guns</t>
  </si>
  <si>
    <t xml:space="preserve">Tanner Carson? </t>
  </si>
  <si>
    <t>Southeast Sox</t>
  </si>
  <si>
    <t>Cade Miller? RHP</t>
  </si>
  <si>
    <t>Stark Raiders</t>
  </si>
  <si>
    <t>Jackson Sammons RHP/OF</t>
  </si>
  <si>
    <t>Rylan Alanis ss / Jack Horvath RHP</t>
  </si>
  <si>
    <t>Grayson Strompus RHP</t>
  </si>
  <si>
    <t>Supreme Baseball</t>
  </si>
  <si>
    <t>Keane Hyer LHP</t>
  </si>
  <si>
    <t>Nicholas Riedel - RHP</t>
  </si>
  <si>
    <t>Ryder Warriner C</t>
  </si>
  <si>
    <t>The Dream</t>
  </si>
  <si>
    <t>Logan Koslin 3B/2B</t>
  </si>
  <si>
    <t>Tidewater Phillies</t>
  </si>
  <si>
    <t>Alex Tallo INF/OF</t>
  </si>
  <si>
    <t>Tidewater Thunderbirds</t>
  </si>
  <si>
    <t>Parker Mitzel RHP</t>
  </si>
  <si>
    <t>TL10</t>
  </si>
  <si>
    <t>Caden Schlotterbeck LHP</t>
  </si>
  <si>
    <t>Top Gun Black</t>
  </si>
  <si>
    <t>Juan Velazco C</t>
  </si>
  <si>
    <t>Top Gun White</t>
  </si>
  <si>
    <t>Nathan Diaz 2B/SS</t>
  </si>
  <si>
    <t>Top Pick Academy</t>
  </si>
  <si>
    <t>Brett Garcy 3B/2B</t>
  </si>
  <si>
    <t>Toronto Mets</t>
  </si>
  <si>
    <t>Xaviah Patch? SS</t>
  </si>
  <si>
    <t>Triple Crown Royals</t>
  </si>
  <si>
    <t>Landon James? C 3.6</t>
  </si>
  <si>
    <t>UA St. Louis Prospects</t>
  </si>
  <si>
    <t>Jay Stefansky? OF 4.0</t>
  </si>
  <si>
    <t>USA Prime Midwest</t>
  </si>
  <si>
    <t>USA Prime SC</t>
  </si>
  <si>
    <t>Text Justin Rice</t>
  </si>
  <si>
    <t>VA Seminoles</t>
  </si>
  <si>
    <t>VBA Rawlings</t>
  </si>
  <si>
    <t>Victus Vandals</t>
  </si>
  <si>
    <t>Riley Furrow RHP??</t>
  </si>
  <si>
    <t>Brett Cutner LHH 1B/OF</t>
  </si>
  <si>
    <t>West Oakland Wings</t>
  </si>
  <si>
    <t>Grayson Stroumpis</t>
  </si>
  <si>
    <t>ZT Elite Midwest</t>
  </si>
  <si>
    <t>ꓘlutch Baseball</t>
  </si>
  <si>
    <t>Text type</t>
  </si>
  <si>
    <t>Coach</t>
  </si>
  <si>
    <t>Details</t>
  </si>
  <si>
    <t>Form Filled Out?</t>
  </si>
  <si>
    <t>Red Flags</t>
  </si>
  <si>
    <t>Intrest?</t>
  </si>
  <si>
    <t>Call Date/Time</t>
  </si>
  <si>
    <t>Call Notes</t>
  </si>
  <si>
    <t>Futures</t>
  </si>
  <si>
    <t>27 RHP TX</t>
  </si>
  <si>
    <t>N</t>
  </si>
  <si>
    <t>27 LHP MN</t>
  </si>
  <si>
    <t>27 3B FL</t>
  </si>
  <si>
    <t>27 RHP IA</t>
  </si>
  <si>
    <t>27 SS CA</t>
  </si>
  <si>
    <t>27 RHP AL</t>
  </si>
  <si>
    <t>This Summer</t>
  </si>
  <si>
    <t>27 CF MA</t>
  </si>
  <si>
    <t>978-880-4692</t>
  </si>
  <si>
    <t>Personal</t>
  </si>
  <si>
    <t>27 SS MA</t>
  </si>
  <si>
    <t>Y</t>
  </si>
  <si>
    <t>Confirm Visit</t>
  </si>
  <si>
    <t>Good call interested. Talk next week. 2ND CALL: visit September 6?</t>
  </si>
  <si>
    <t>27 RHP NJ</t>
  </si>
  <si>
    <t>609-891-7759</t>
  </si>
  <si>
    <t>Walnut allergy</t>
  </si>
  <si>
    <t>coming oct 25th weekend for official visit.  Offer from Stetson, visiting UPenn sept 6.</t>
  </si>
  <si>
    <t>27 C KS</t>
  </si>
  <si>
    <t>27 SS WA</t>
  </si>
  <si>
    <t>27 INF SC</t>
  </si>
  <si>
    <t>27 C MA</t>
  </si>
  <si>
    <t>Next week</t>
  </si>
  <si>
    <t>Intro call. Need to follow up in August</t>
  </si>
  <si>
    <t>27 MINF NV</t>
  </si>
  <si>
    <t>27 OF FL</t>
  </si>
  <si>
    <t>27 RHP MO</t>
  </si>
  <si>
    <t>573-619-0017</t>
  </si>
  <si>
    <t>27 MINF KS</t>
  </si>
  <si>
    <t>27 RHP KY</t>
  </si>
  <si>
    <t xml:space="preserve">sent form, ghosted </t>
  </si>
  <si>
    <t>27 C CA</t>
  </si>
  <si>
    <t>27 RHP VA</t>
  </si>
  <si>
    <t>27 SS OK</t>
  </si>
  <si>
    <t>Severe peanut allergy</t>
  </si>
  <si>
    <t>27 3B CO</t>
  </si>
  <si>
    <t xml:space="preserve">Peanuts. No medication </t>
  </si>
  <si>
    <t>27 RHP AZ</t>
  </si>
  <si>
    <t>Follow up</t>
  </si>
  <si>
    <t xml:space="preserve">Great call. Air Force and others. Wants to visit campus soon. </t>
  </si>
  <si>
    <t>27 SS TX</t>
  </si>
  <si>
    <t>27 C OH</t>
  </si>
  <si>
    <t>27 CF IL</t>
  </si>
  <si>
    <t>Eczema</t>
  </si>
  <si>
    <t>Sounded interested. Sent eczema stuff waiting to hear.</t>
  </si>
  <si>
    <t>27 1B KY</t>
  </si>
  <si>
    <t>not coming to camp...maybe fall camp</t>
  </si>
  <si>
    <t>27 C PA</t>
  </si>
  <si>
    <t>27 RHP FL</t>
  </si>
  <si>
    <t>773-683-7095</t>
  </si>
  <si>
    <t>live arm but no breaking ball...do we go after this?</t>
  </si>
  <si>
    <t>27 MINF IN</t>
  </si>
  <si>
    <t>27 MINF NC</t>
  </si>
  <si>
    <t>336-880-6126</t>
  </si>
  <si>
    <t>27 C SC</t>
  </si>
  <si>
    <t>843-680-0298</t>
  </si>
  <si>
    <t>--</t>
  </si>
  <si>
    <t>Not a priority right now</t>
  </si>
  <si>
    <t>27 RHP CA</t>
  </si>
  <si>
    <t>530-588-5673</t>
  </si>
  <si>
    <t>27 OF NC</t>
  </si>
  <si>
    <t>27 RHP UT</t>
  </si>
  <si>
    <t xml:space="preserve">Has thought about service and is interested. I95. AZ fall classic ft. Myers, then wrestling. Money big factor. </t>
  </si>
  <si>
    <t>27 OF UT</t>
  </si>
  <si>
    <t xml:space="preserve">Has thought about academies. Wants high academic. Parents used to live in Maryland/DC. </t>
  </si>
  <si>
    <t>27 RHP MN</t>
  </si>
  <si>
    <t xml:space="preserve">Pistachios hazelnuts </t>
  </si>
  <si>
    <t>27 C MO</t>
  </si>
  <si>
    <t>908-455-4292</t>
  </si>
  <si>
    <t>Sesame allergy. Takes Ritalin</t>
  </si>
  <si>
    <t>27 OF NJ</t>
  </si>
  <si>
    <t xml:space="preserve">Will be a long shot but parents want him to really consider it. Asked good questions. Circle back next week. </t>
  </si>
  <si>
    <t>27 LHP SC</t>
  </si>
  <si>
    <t>27 C AL</t>
  </si>
  <si>
    <t>Avalos</t>
  </si>
  <si>
    <t>27 SS VA</t>
  </si>
  <si>
    <t>757-362-4010</t>
  </si>
  <si>
    <t>interested in first talk.  hamstring pull late summer.  will play richmond braves in PG ft Myers</t>
  </si>
  <si>
    <t>27 C MD</t>
  </si>
  <si>
    <t>27 3B MO</t>
  </si>
  <si>
    <t>27 MINF VA</t>
  </si>
  <si>
    <t xml:space="preserve">Interested. Need to see him play more. </t>
  </si>
  <si>
    <t>27 OF NY</t>
  </si>
  <si>
    <t xml:space="preserve">Interested. Back burner. </t>
  </si>
  <si>
    <t>27 LHP CA</t>
  </si>
  <si>
    <t>951-557-1360</t>
  </si>
  <si>
    <t>27 LHP TX</t>
  </si>
  <si>
    <t>27 INF CA</t>
  </si>
  <si>
    <t>27 SS MI</t>
  </si>
  <si>
    <t>27 RHP PA</t>
  </si>
  <si>
    <t>27 RHP IN</t>
  </si>
  <si>
    <t>Fort Wayne</t>
  </si>
  <si>
    <t>Homestead Senior</t>
  </si>
  <si>
    <t>260-415-4805</t>
  </si>
  <si>
    <t>27 OF ND</t>
  </si>
  <si>
    <t>27 MINF MO</t>
  </si>
  <si>
    <t>27 SS FL</t>
  </si>
  <si>
    <t>772-208-7544</t>
  </si>
  <si>
    <t>interested in second call.  FAU interest.  would like to visit.  possible oct 25 visit if we like him.  might need to see again.  Conch baseball in fall ball</t>
  </si>
  <si>
    <t>27 2B GA</t>
  </si>
  <si>
    <t>770-235-6962</t>
  </si>
  <si>
    <t>27 3B OH</t>
  </si>
  <si>
    <t>27 MINF IA</t>
  </si>
  <si>
    <t>Visit BOOKED</t>
  </si>
  <si>
    <t>Great talk very interested. Circle back next week. B10 schools</t>
  </si>
  <si>
    <t>27 SS PA</t>
  </si>
  <si>
    <t>27 OF KS</t>
  </si>
  <si>
    <t>785-218-4351</t>
  </si>
  <si>
    <t xml:space="preserve">good call. interested.  sent visit dates oct25. </t>
  </si>
  <si>
    <t>27 SS MO</t>
  </si>
  <si>
    <t>27 SS KY</t>
  </si>
  <si>
    <t>good call.  visiting VT, offers from Toledo, CofC.  football player</t>
  </si>
  <si>
    <t>27 MINF CA</t>
  </si>
  <si>
    <t>Very interested. Have calls with his coaches and follwoing up this week</t>
  </si>
  <si>
    <t>551-579-0901</t>
  </si>
  <si>
    <t>possibly coming to oct NAVY camp</t>
  </si>
  <si>
    <t>27 C MI</t>
  </si>
  <si>
    <t>27 RHP CO</t>
  </si>
  <si>
    <t>27 OF NE</t>
  </si>
  <si>
    <t>850-774-3154</t>
  </si>
  <si>
    <t>27 C TX</t>
  </si>
  <si>
    <t>Deaf 1 Ear</t>
  </si>
  <si>
    <t>Out with deafness</t>
  </si>
  <si>
    <t>27 OF CO</t>
  </si>
  <si>
    <t>Big on academics. Navy on the list, talking to Air Force. Circle back next week</t>
  </si>
  <si>
    <t>352-657-0093</t>
  </si>
  <si>
    <t>27 C IN</t>
  </si>
  <si>
    <t>27 OF CA</t>
  </si>
  <si>
    <t>27 RHP TN</t>
  </si>
  <si>
    <t>Have talked twice. Saying he wants to visit, sent dates. Not sure this will materialize</t>
  </si>
  <si>
    <t>27 COF PA</t>
  </si>
  <si>
    <t xml:space="preserve">Friends with Posey, grandfather in navy. Great talk. </t>
  </si>
  <si>
    <t>27 OF GA</t>
  </si>
  <si>
    <t xml:space="preserve">Grandfathers both in the Navy, has talked to Air Force. Interested. Circle back next week. </t>
  </si>
  <si>
    <t>27 INF AL</t>
  </si>
  <si>
    <t>27 C FL</t>
  </si>
  <si>
    <t xml:space="preserve">Medium interest doesn't know anything about us. Follow up next week. </t>
  </si>
  <si>
    <t>904-449-1072</t>
  </si>
  <si>
    <t>NEED</t>
  </si>
  <si>
    <t>27 OF OH</t>
  </si>
  <si>
    <t>27 SS MN</t>
  </si>
  <si>
    <t>Amoxicillin allergy</t>
  </si>
  <si>
    <t>27 OF MO</t>
  </si>
  <si>
    <t>Good call. Will circle back in a week.  ghosted me 8/18</t>
  </si>
  <si>
    <t>27 3B NY</t>
  </si>
  <si>
    <t xml:space="preserve">Short convo generic. Sounds interested </t>
  </si>
  <si>
    <t>27 SS UT</t>
  </si>
  <si>
    <t>Dairy allergy</t>
  </si>
  <si>
    <t xml:space="preserve">Wants High academic. Interested, circle back. Dairy allergy more of an intolerance, can eat it just doesn't like to. </t>
  </si>
  <si>
    <t>27 C WA</t>
  </si>
  <si>
    <t>267-450-3338</t>
  </si>
  <si>
    <t>27 OF MN</t>
  </si>
  <si>
    <t>waiting</t>
  </si>
  <si>
    <t>Camp?</t>
  </si>
  <si>
    <t>27 SS GA</t>
  </si>
  <si>
    <t>Penicillin allergy</t>
  </si>
  <si>
    <t>27 RHP NC</t>
  </si>
  <si>
    <t>27 C CO</t>
  </si>
  <si>
    <t xml:space="preserve">Fine call. Back burner. </t>
  </si>
  <si>
    <t>Not that interested</t>
  </si>
  <si>
    <t xml:space="preserve">Grandpa in navy, dad born in Maryland. Football player. Back burner </t>
  </si>
  <si>
    <t>27 RHP CT</t>
  </si>
  <si>
    <t xml:space="preserve">Money big factor. Highly considering us. </t>
  </si>
  <si>
    <t>191-370-6746</t>
  </si>
  <si>
    <t>good call, wants to visit.  Kstate, Dayton, Minnesota visits scheduled.  Visited AF already, did not like Kaz's vibe.  Grandfather's brother attended Naval academy.   wants to wait unitl winter to re-visit navy.  i think he wants to commit to Kstate.</t>
  </si>
  <si>
    <t>27 OF PA</t>
  </si>
  <si>
    <t>27 RHP LA</t>
  </si>
  <si>
    <t>Good call. has visits to delaware, and few others.  finding a visit date.  Jupiter in Oct</t>
  </si>
  <si>
    <t>Good first call circling back next week.</t>
  </si>
  <si>
    <t>27 CINF FL</t>
  </si>
  <si>
    <t>941-538-1112</t>
  </si>
  <si>
    <t>Schalick</t>
  </si>
  <si>
    <t>856-285-6524</t>
  </si>
  <si>
    <t>27 SS KS</t>
  </si>
  <si>
    <t xml:space="preserve">2nd call seems very interested.  Playing in PBR 9/20 tourney in KC.  Plays 2nd base for HS team.  Not sure what to do with this </t>
  </si>
  <si>
    <t>27 LHP TN</t>
  </si>
  <si>
    <t>Doxycycline allergy</t>
  </si>
  <si>
    <t xml:space="preserve">Super bland convo.  Back burner. </t>
  </si>
  <si>
    <t>27 OF KY</t>
  </si>
  <si>
    <t>Montekalaust- allergy medicine</t>
  </si>
  <si>
    <t xml:space="preserve">Got a few calls August 1. Only call back was from George Mason. No offers no visits yet.  Plans to play with Louisville baseball club or Chicago White Scout team for fall.  Probably a guy we need to see one more time.  Hs coach loves him. Hit .300 SO yr. More BB's than K's. Corner OF.  No stride to help shorten his swing.  Checks all the off the field boxes </t>
  </si>
  <si>
    <t>Extra time on tests</t>
  </si>
  <si>
    <t xml:space="preserve">Friends dad was captain of blue angels, knows about academy. Heavy baseball decision.  Doesn't take medication and doesn't use extra time. We are not high on his list, collecting visits? </t>
  </si>
  <si>
    <t>27 3B AL</t>
  </si>
  <si>
    <t>Good call. Will circle back in a week</t>
  </si>
  <si>
    <t>Very interested checks all boxes for him. QB1</t>
  </si>
  <si>
    <t>27 3B KY</t>
  </si>
  <si>
    <t>Down the list type guy. Doesn't run. Swing just ok</t>
  </si>
  <si>
    <t>27 OF MA</t>
  </si>
  <si>
    <t>----</t>
  </si>
  <si>
    <t xml:space="preserve">Wants high academic. Never thought about academies but is interested. Follow up next week. </t>
  </si>
  <si>
    <t>27 3B VA</t>
  </si>
  <si>
    <t>interested in visiting.  visit to Maryland, GM has interest.  he lives close.  trying to visit sept 27 or oct 25</t>
  </si>
  <si>
    <t>Sunday</t>
  </si>
  <si>
    <t xml:space="preserve">Wants engineering. Very interested. We'll see who calls </t>
  </si>
  <si>
    <t>27 RHP MA</t>
  </si>
  <si>
    <t>617-285-4527</t>
  </si>
  <si>
    <t>Probably wants P4 but says he is interested. All about baseball</t>
  </si>
  <si>
    <t>617-921-9716</t>
  </si>
  <si>
    <t>27 LHP UT</t>
  </si>
  <si>
    <t>27 MINF MN</t>
  </si>
  <si>
    <t>27 C NC</t>
  </si>
  <si>
    <t>27 OF TX</t>
  </si>
  <si>
    <t>DUKE</t>
  </si>
  <si>
    <t>27 CINF TX</t>
  </si>
  <si>
    <t>Interested. Talking to coaches this week and following up.</t>
  </si>
  <si>
    <t xml:space="preserve">Back burner. Not throwing this fall. </t>
  </si>
  <si>
    <t>27 SS OH</t>
  </si>
  <si>
    <t>941-600-8597</t>
  </si>
  <si>
    <t>802-734-2638</t>
  </si>
  <si>
    <t>offered.  invited to sept 6 football game</t>
  </si>
  <si>
    <t>617-831-9299</t>
  </si>
  <si>
    <t>478-955-8803</t>
  </si>
  <si>
    <t>Good call. Will circle back in a week.  Football</t>
  </si>
  <si>
    <t>27 RHP IL</t>
  </si>
  <si>
    <t>708-549-1337</t>
  </si>
  <si>
    <t xml:space="preserve">Mild interest. We'll see next week. </t>
  </si>
  <si>
    <t>27 C CT</t>
  </si>
  <si>
    <t>959-217-8044</t>
  </si>
  <si>
    <t xml:space="preserve">Knows the clubhouse guys at Navy. Interested. Follow up next week. </t>
  </si>
  <si>
    <t>Dude Day</t>
  </si>
  <si>
    <t>???</t>
  </si>
  <si>
    <t>Need to follow up</t>
  </si>
  <si>
    <t>27 RHP NY</t>
  </si>
  <si>
    <t>Talked to. Wants to visit in August. Call next week.</t>
  </si>
  <si>
    <t>27 LHP/1B IL</t>
  </si>
  <si>
    <t>Followed up. Wants to visit in early august</t>
  </si>
  <si>
    <t xml:space="preserve">Loves America wants high academic. </t>
  </si>
  <si>
    <t>Cody Alan</t>
  </si>
  <si>
    <t>Call</t>
  </si>
  <si>
    <t>910-742-3327</t>
  </si>
  <si>
    <t>27 C AZ</t>
  </si>
  <si>
    <t>27 C NJ</t>
  </si>
  <si>
    <t>305-767-6283</t>
  </si>
  <si>
    <t>27 1B AZ</t>
  </si>
  <si>
    <t>LaSota</t>
  </si>
  <si>
    <t>818-746-5206</t>
  </si>
  <si>
    <t xml:space="preserve"> </t>
  </si>
  <si>
    <t>Sept 13 [No Football]</t>
  </si>
  <si>
    <t>Sept 20 [No Football]</t>
  </si>
  <si>
    <t>Sept 27 Rice</t>
  </si>
  <si>
    <t>Oct 4 Air Force</t>
  </si>
  <si>
    <t>Oct 11 [No Football]</t>
  </si>
  <si>
    <t>Oct 25 FAU</t>
  </si>
  <si>
    <t>Nov 1  [No Football]</t>
  </si>
  <si>
    <t>Nov 8  [No Football]</t>
  </si>
  <si>
    <t>Nov 15 USF</t>
  </si>
  <si>
    <t>Nov 22 [No Football]</t>
  </si>
  <si>
    <t>Dec 6 [No Football]</t>
  </si>
  <si>
    <t>Caleb Flannery '27 C PA</t>
  </si>
  <si>
    <t>Lincoln Norris '27 SS IA</t>
  </si>
  <si>
    <t>Connor Brooks '27 RHP SC</t>
  </si>
  <si>
    <t>NAVY CAMP</t>
  </si>
  <si>
    <t>Ryker Mahnke '27 OF KS</t>
  </si>
  <si>
    <t>Garrett Koshkin '26 RHP</t>
  </si>
  <si>
    <t>ND Weekend</t>
  </si>
  <si>
    <t>Jack Tarbox '27 SS MA</t>
  </si>
  <si>
    <t>George Minjack '27 INF DC</t>
  </si>
  <si>
    <t>Matthew Gorman '27 LHP NE</t>
  </si>
  <si>
    <t>Jackson Phillips '27 RHP CO</t>
  </si>
  <si>
    <t>Ethan Wisler '27 P NC</t>
  </si>
  <si>
    <t>Sam Pearson '27 SS KY</t>
  </si>
  <si>
    <t>Conor Secrist '26 SS MA</t>
  </si>
  <si>
    <t>Mikah Krystofolski '27 RHP MA</t>
  </si>
  <si>
    <t>Nick Malinowski '27 RHP NJ</t>
  </si>
  <si>
    <t>Jack Van Gemert '27 RHP MN</t>
  </si>
  <si>
    <t>Braden Mackay '27 INF FL</t>
  </si>
  <si>
    <t>Kolby Crosby '27 RHP NY</t>
  </si>
  <si>
    <t>Lincoln Eure '27 RHP UT</t>
  </si>
  <si>
    <t>Hawk Stickney '26 RHP MA</t>
  </si>
  <si>
    <t>Zach Madar '27 SS TN</t>
  </si>
  <si>
    <t>Jude Davidson '27 RHP AL</t>
  </si>
  <si>
    <t>Tyler Reeder '26 RHP FL</t>
  </si>
  <si>
    <t>Stevie Wellens '27 SS CA</t>
  </si>
  <si>
    <t>Owen Shirey '27 SS SC</t>
  </si>
  <si>
    <t>Nixon Warren '27 CF UT</t>
  </si>
  <si>
    <t>Hummel 3 tickets</t>
  </si>
  <si>
    <t>Eli Cash '27 RHP NC</t>
  </si>
  <si>
    <t>Santiago Arismendi '26 RHP ITL</t>
  </si>
  <si>
    <t>Mateu Dalmau 5 tickets</t>
  </si>
  <si>
    <t xml:space="preserve">ARMS </t>
  </si>
  <si>
    <t>No Action</t>
  </si>
  <si>
    <t xml:space="preserve">Received OV Survey </t>
  </si>
  <si>
    <t>Flight Purchased</t>
  </si>
  <si>
    <t>Itinerary Recieved</t>
  </si>
  <si>
    <t>Pre Visit Form - Completed</t>
  </si>
  <si>
    <t>Post Visit Form - Completed</t>
  </si>
  <si>
    <t>First</t>
  </si>
  <si>
    <t>Last</t>
  </si>
  <si>
    <t>Rank</t>
  </si>
  <si>
    <t>Navy Pos</t>
  </si>
  <si>
    <t>Pos2</t>
  </si>
  <si>
    <t>City</t>
  </si>
  <si>
    <t>St</t>
  </si>
  <si>
    <t>School</t>
  </si>
  <si>
    <t>GPA</t>
  </si>
  <si>
    <t>Phone</t>
  </si>
  <si>
    <t>Broomall</t>
  </si>
  <si>
    <t>Devon Preparatory School (PA)</t>
  </si>
  <si>
    <t>267-252-9630</t>
  </si>
  <si>
    <t>C_Flannery2027</t>
  </si>
  <si>
    <t>Eli_quinley</t>
  </si>
  <si>
    <t>A_Kightlinger99</t>
  </si>
  <si>
    <t>Brady_Sack</t>
  </si>
  <si>
    <t>connor_greb_3</t>
  </si>
  <si>
    <t>TyMcginley</t>
  </si>
  <si>
    <t>BostonBrown24</t>
  </si>
  <si>
    <t>grady_openden</t>
  </si>
  <si>
    <t>StevieWellens16</t>
  </si>
  <si>
    <t>Colton_Hadfield</t>
  </si>
  <si>
    <t>Mariano_Gonzo22</t>
  </si>
  <si>
    <t>zion_24_</t>
  </si>
  <si>
    <t>lukebacon_8</t>
  </si>
  <si>
    <t>JosephFloresJr</t>
  </si>
  <si>
    <t>leoff_parker</t>
  </si>
  <si>
    <t>Jonah_Cohen4</t>
  </si>
  <si>
    <t>CRichter2027</t>
  </si>
  <si>
    <t>weber2027</t>
  </si>
  <si>
    <t>JacksonBernosky</t>
  </si>
  <si>
    <t>jacksonjace16</t>
  </si>
  <si>
    <t>IsaacL738720</t>
  </si>
  <si>
    <t>JacksonPhiLL22</t>
  </si>
  <si>
    <t>JacksonCraw2027</t>
  </si>
  <si>
    <t>NeumannRy14</t>
  </si>
  <si>
    <t>Manchester</t>
  </si>
  <si>
    <t>The Loomis Chaffee School</t>
  </si>
  <si>
    <t>JacobBudarzz</t>
  </si>
  <si>
    <t>Acworth</t>
  </si>
  <si>
    <t>andrewtalbert27</t>
  </si>
  <si>
    <t>mason_meyer5</t>
  </si>
  <si>
    <t>liamdelp_</t>
  </si>
  <si>
    <t>785-766-3322</t>
  </si>
  <si>
    <t>RykerMahnke2027</t>
  </si>
  <si>
    <t>SamPearson1303</t>
  </si>
  <si>
    <t>502-373-9275</t>
  </si>
  <si>
    <t>hudsonmeredith_</t>
  </si>
  <si>
    <t>AriWells22</t>
  </si>
  <si>
    <t>scout97386</t>
  </si>
  <si>
    <t>Keith_wmitchell</t>
  </si>
  <si>
    <t>brandonemig27</t>
  </si>
  <si>
    <t>judahshirlen</t>
  </si>
  <si>
    <t>camaguilar_4</t>
  </si>
  <si>
    <t>Austin Preperatory</t>
  </si>
  <si>
    <t>978-409-9404</t>
  </si>
  <si>
    <t>Lucas_Sarno33</t>
  </si>
  <si>
    <t>Quincy</t>
  </si>
  <si>
    <t>617-404-5342</t>
  </si>
  <si>
    <t>Milford</t>
  </si>
  <si>
    <t>Saint John's Shrewsbury</t>
  </si>
  <si>
    <t>508-341-4096</t>
  </si>
  <si>
    <t>jaxfourn103</t>
  </si>
  <si>
    <t>DylanCrowe02_</t>
  </si>
  <si>
    <t>LINCOLNNORRIS28</t>
  </si>
  <si>
    <t>Hunter_Minner</t>
  </si>
  <si>
    <t>GeradHanle</t>
  </si>
  <si>
    <t>AlexChavezAC21</t>
  </si>
  <si>
    <t>cason_borchardt</t>
  </si>
  <si>
    <t>ike_crouser</t>
  </si>
  <si>
    <t>GGriffy5</t>
  </si>
  <si>
    <t>580-919-0620</t>
  </si>
  <si>
    <t>DeHaasZach24</t>
  </si>
  <si>
    <t>ParkerSansone</t>
  </si>
  <si>
    <t>OF/1B</t>
  </si>
  <si>
    <t>rylansutton2027</t>
  </si>
  <si>
    <t>BradyYates8</t>
  </si>
  <si>
    <t>Jrod_2027</t>
  </si>
  <si>
    <t>curt_friedrich</t>
  </si>
  <si>
    <t>Clinton</t>
  </si>
  <si>
    <t>11_mcbride</t>
  </si>
  <si>
    <t>TedMasino</t>
  </si>
  <si>
    <t>PannulloSteven</t>
  </si>
  <si>
    <t>nickmal2027</t>
  </si>
  <si>
    <t>Endwell</t>
  </si>
  <si>
    <t>607-348-4519</t>
  </si>
  <si>
    <t>Bradycpalmer</t>
  </si>
  <si>
    <t>Moore Catholic</t>
  </si>
  <si>
    <t>347-659-4476</t>
  </si>
  <si>
    <t>kolby_crosby</t>
  </si>
  <si>
    <t>LucasCollure</t>
  </si>
  <si>
    <t>Horseheads</t>
  </si>
  <si>
    <t>CooperBall44</t>
  </si>
  <si>
    <t>@parker_filipek</t>
  </si>
  <si>
    <t>TrevorYancey_3</t>
  </si>
  <si>
    <t>wyattlytle27</t>
  </si>
  <si>
    <t>ryan_younglas</t>
  </si>
  <si>
    <t>Kobydues</t>
  </si>
  <si>
    <t>j_schill2027</t>
  </si>
  <si>
    <t>petebrowand2027</t>
  </si>
  <si>
    <t>22_cooper_</t>
  </si>
  <si>
    <t>stimpson_troy</t>
  </si>
  <si>
    <t>17hunterwest</t>
  </si>
  <si>
    <t>Freddy_Corrado1</t>
  </si>
  <si>
    <t>Jake__Lopez__2</t>
  </si>
  <si>
    <t>1B/OF/LHP</t>
  </si>
  <si>
    <t>Hinsdale</t>
  </si>
  <si>
    <t>Benet Academy (IL)</t>
  </si>
  <si>
    <t>206-660-5313</t>
  </si>
  <si>
    <t>QuinnRooney3</t>
  </si>
  <si>
    <t>macmorris152</t>
  </si>
  <si>
    <t>connorwells012</t>
  </si>
  <si>
    <t>Lukewinbush</t>
  </si>
  <si>
    <t>brody_baxmann</t>
  </si>
  <si>
    <t>VaughnHoward27</t>
  </si>
  <si>
    <t>JamesonMoan</t>
  </si>
  <si>
    <t>AngeloGeraldo6</t>
  </si>
  <si>
    <t>kbuth29</t>
  </si>
  <si>
    <t>drew10cross</t>
  </si>
  <si>
    <t>GrantStafford14</t>
  </si>
  <si>
    <t>CadenMackey2027</t>
  </si>
  <si>
    <t>ivey_jake22</t>
  </si>
  <si>
    <t>GeorgeFerg2027</t>
  </si>
  <si>
    <t>hudsoncuevas24</t>
  </si>
  <si>
    <t>jacob_lessman</t>
  </si>
  <si>
    <t>cadena_hec8</t>
  </si>
  <si>
    <t>mmangum52_</t>
  </si>
  <si>
    <t>EureLincoln_1</t>
  </si>
  <si>
    <t>NixonWarren08</t>
  </si>
  <si>
    <t>coltbradshaw45</t>
  </si>
  <si>
    <t>Bryan Miller jr</t>
  </si>
  <si>
    <t>Miller jr</t>
  </si>
  <si>
    <t>Waterford</t>
  </si>
  <si>
    <t>Woodgrove</t>
  </si>
  <si>
    <t>571-498-3538</t>
  </si>
  <si>
    <t>george_minjack</t>
  </si>
  <si>
    <t>CruzJGarcia15</t>
  </si>
  <si>
    <t>Riley_Jackson27</t>
  </si>
  <si>
    <t>BradyBradford03</t>
  </si>
  <si>
    <t>CadeFilleman</t>
  </si>
  <si>
    <t>will_hys_24</t>
  </si>
  <si>
    <t>@TyrusOstrowski</t>
  </si>
  <si>
    <t>plourde_nolan</t>
  </si>
  <si>
    <t>Charles80052524</t>
  </si>
  <si>
    <t>281-229-2732</t>
  </si>
  <si>
    <t>lucas_collins27</t>
  </si>
  <si>
    <t>Colin_zimbelman</t>
  </si>
  <si>
    <t>dwpitt288</t>
  </si>
  <si>
    <t>ConnorMcCool27</t>
  </si>
  <si>
    <t>ctaldo2027</t>
  </si>
  <si>
    <t>BrennanWalters1</t>
  </si>
  <si>
    <t>Tyler_Roach07</t>
  </si>
  <si>
    <t>luke_craw2027</t>
  </si>
  <si>
    <t>West Roxbury</t>
  </si>
  <si>
    <t>St Sebastians School</t>
  </si>
  <si>
    <t>gavin_waino</t>
  </si>
  <si>
    <t>CaleHackenberg</t>
  </si>
  <si>
    <t>brady_smith_7</t>
  </si>
  <si>
    <t>bradenswaney23</t>
  </si>
  <si>
    <t>MING</t>
  </si>
  <si>
    <t>Jackrunk0</t>
  </si>
  <si>
    <t>nolanrolloff</t>
  </si>
  <si>
    <t>PeterNickson_KC</t>
  </si>
  <si>
    <t>rickywatt_</t>
  </si>
  <si>
    <t>c_kolbert08</t>
  </si>
  <si>
    <t>Charlie_beck1</t>
  </si>
  <si>
    <t>_CalebLynn</t>
  </si>
  <si>
    <t>614-323-7900</t>
  </si>
  <si>
    <t>ejwisler</t>
  </si>
  <si>
    <t>rocco_bucci</t>
  </si>
  <si>
    <t>landon_klein19</t>
  </si>
  <si>
    <t>Cooperhillen</t>
  </si>
  <si>
    <t>@Hunter42Mishock</t>
  </si>
  <si>
    <t>cglose_27</t>
  </si>
  <si>
    <t>Avalos_omar1</t>
  </si>
  <si>
    <t>beckett_york_</t>
  </si>
  <si>
    <t>jj_mancuso</t>
  </si>
  <si>
    <t>schenewerk_bode</t>
  </si>
  <si>
    <t>LukeMcAtee08</t>
  </si>
  <si>
    <t>Perkasie</t>
  </si>
  <si>
    <t>Pennridge (PA)</t>
  </si>
  <si>
    <t>ConnorRyne6</t>
  </si>
  <si>
    <t>Carterkelly2027</t>
  </si>
  <si>
    <t>CBabic2027</t>
  </si>
  <si>
    <t>Central</t>
  </si>
  <si>
    <t>codybranham2027</t>
  </si>
  <si>
    <t>carsonbruce22</t>
  </si>
  <si>
    <t>JackieB2027</t>
  </si>
  <si>
    <t>@SelvinGarrett3</t>
  </si>
  <si>
    <t>JackMunson_27</t>
  </si>
  <si>
    <t>BeckhamRowley</t>
  </si>
  <si>
    <t>Wesley_dew_itt</t>
  </si>
  <si>
    <t>Evanlee_27</t>
  </si>
  <si>
    <t>Jacob13491</t>
  </si>
  <si>
    <t>MerrickLee2027</t>
  </si>
  <si>
    <t>declan_moylett</t>
  </si>
  <si>
    <t>Ellington</t>
  </si>
  <si>
    <t>860-924-8005</t>
  </si>
  <si>
    <t>34declan_E</t>
  </si>
  <si>
    <t>MBruesch2027</t>
  </si>
  <si>
    <t>FinnMoore2027</t>
  </si>
  <si>
    <t>connerdavis65</t>
  </si>
  <si>
    <t>noahthompson_22</t>
  </si>
  <si>
    <t>Nicholas Fantasia</t>
  </si>
  <si>
    <t>Nicholas</t>
  </si>
  <si>
    <t>Nick_fantasia7</t>
  </si>
  <si>
    <t>774-573-2568</t>
  </si>
  <si>
    <t>TreEitniear01</t>
  </si>
  <si>
    <t>ozzyvm7</t>
  </si>
  <si>
    <t>Cohoes</t>
  </si>
  <si>
    <t>CBA-Albany</t>
  </si>
  <si>
    <t>518-949-7373</t>
  </si>
  <si>
    <t>ryan_huban</t>
  </si>
  <si>
    <t>EastonBrunson</t>
  </si>
  <si>
    <t>TrentChris1221</t>
  </si>
  <si>
    <t>KyleWiz3</t>
  </si>
  <si>
    <t>_justinkirchner</t>
  </si>
  <si>
    <t>carson_reeves3</t>
  </si>
  <si>
    <t>Kyle Montgomery</t>
  </si>
  <si>
    <t>kylemonty_42</t>
  </si>
  <si>
    <t>LiamCollier2027</t>
  </si>
  <si>
    <t>trent_buckley12</t>
  </si>
  <si>
    <t>Crews_14</t>
  </si>
  <si>
    <t>wyattmcdaniels</t>
  </si>
  <si>
    <t>BrannanOverstr1</t>
  </si>
  <si>
    <t>brock_copass3</t>
  </si>
  <si>
    <t>@StandleyBarrett</t>
  </si>
  <si>
    <t>Kilhofferpeyton</t>
  </si>
  <si>
    <t>LukeL_07</t>
  </si>
  <si>
    <t>bhaselhuhn24</t>
  </si>
  <si>
    <t>Camdenspangler</t>
  </si>
  <si>
    <t>ChaceStaude</t>
  </si>
  <si>
    <t>CooperSiev</t>
  </si>
  <si>
    <t>D_Sanchez_22</t>
  </si>
  <si>
    <t>AJ LaSota</t>
  </si>
  <si>
    <t>aj_lasota</t>
  </si>
  <si>
    <t>Cumberland</t>
  </si>
  <si>
    <t>401-548-4758</t>
  </si>
  <si>
    <t>Brady_Collins18</t>
  </si>
  <si>
    <t>203-856-6345</t>
  </si>
  <si>
    <t>AndrewValbsb</t>
  </si>
  <si>
    <t>405-831-5143</t>
  </si>
  <si>
    <t>Austin_Tamborra</t>
  </si>
  <si>
    <t>508-272-0894</t>
  </si>
  <si>
    <t>JamesonG1224</t>
  </si>
  <si>
    <t>East Falmouth</t>
  </si>
  <si>
    <t>774-521-5975</t>
  </si>
  <si>
    <t>jackfrostholm27</t>
  </si>
  <si>
    <t>Keene</t>
  </si>
  <si>
    <t>Milton Academy (NH)</t>
  </si>
  <si>
    <t>603-903-2848</t>
  </si>
  <si>
    <t>Desrosiers08</t>
  </si>
  <si>
    <t>Fairhaven</t>
  </si>
  <si>
    <t>Greater New Bedford</t>
  </si>
  <si>
    <t>508-488-0940</t>
  </si>
  <si>
    <t>Dorian00384878</t>
  </si>
  <si>
    <t>Tom’s River</t>
  </si>
  <si>
    <t>732-779-1041</t>
  </si>
  <si>
    <t>joey_dimeo</t>
  </si>
  <si>
    <t>Jersey City</t>
  </si>
  <si>
    <t>917-509-5787</t>
  </si>
  <si>
    <t>FinnianOLo</t>
  </si>
  <si>
    <t>856-298-8715</t>
  </si>
  <si>
    <t>MichaelFekete27</t>
  </si>
  <si>
    <t>Manheim Township</t>
  </si>
  <si>
    <t>717-224-7802</t>
  </si>
  <si>
    <t>JD_Carrasco07</t>
  </si>
  <si>
    <t>703-475-7455</t>
  </si>
  <si>
    <t>jacksonBringger</t>
  </si>
  <si>
    <t>WT</t>
  </si>
  <si>
    <t xml:space="preserve">George </t>
  </si>
  <si>
    <t>Lamar</t>
  </si>
  <si>
    <t>Teltschik</t>
  </si>
  <si>
    <t>Colorado Springs</t>
  </si>
  <si>
    <t>Discovery Canyon Campus</t>
  </si>
  <si>
    <t>Shelar</t>
  </si>
  <si>
    <t>Cumming</t>
  </si>
  <si>
    <t xml:space="preserve">Cruz </t>
  </si>
  <si>
    <t>Luna</t>
  </si>
  <si>
    <t>Crownsville</t>
  </si>
  <si>
    <t>Mankato</t>
  </si>
  <si>
    <t>Bagley</t>
  </si>
  <si>
    <t>Whippany</t>
  </si>
  <si>
    <t>Don Bosco Prep</t>
  </si>
  <si>
    <t>Gibbstown</t>
  </si>
  <si>
    <t>Earnest</t>
  </si>
  <si>
    <t>Memorial</t>
  </si>
  <si>
    <t>Sky Kranz</t>
  </si>
  <si>
    <t>Severns</t>
  </si>
  <si>
    <t>Etiwanda High School</t>
  </si>
  <si>
    <t>Buoncristiani</t>
  </si>
  <si>
    <t>Chino Hills</t>
  </si>
  <si>
    <t>Cache</t>
  </si>
  <si>
    <t>Poulson</t>
  </si>
  <si>
    <t>American Fork</t>
  </si>
  <si>
    <t>Futures Games</t>
  </si>
  <si>
    <t>Summerlin</t>
  </si>
  <si>
    <t>Gaston Christian School</t>
  </si>
  <si>
    <t>Weaving</t>
  </si>
  <si>
    <t xml:space="preserve">Lakeview High </t>
  </si>
  <si>
    <t>Super17/Clubhouse</t>
  </si>
  <si>
    <t xml:space="preserve">Quinn </t>
  </si>
  <si>
    <t>Melson</t>
  </si>
  <si>
    <t>Lake Highlands</t>
  </si>
  <si>
    <t>Sergio</t>
  </si>
  <si>
    <t>Monsignoor Banner</t>
  </si>
  <si>
    <t>WWBA Ft.</t>
  </si>
  <si>
    <t xml:space="preserve">Evan </t>
  </si>
  <si>
    <t>McElvain</t>
  </si>
  <si>
    <t>Nolesville</t>
  </si>
  <si>
    <t>Northeastern HS</t>
  </si>
  <si>
    <t xml:space="preserve">WWBA Ft. </t>
  </si>
  <si>
    <t>Charness</t>
  </si>
  <si>
    <t>Darnell</t>
  </si>
  <si>
    <t>Reco.</t>
  </si>
  <si>
    <t>Monaca</t>
  </si>
  <si>
    <t>Central Valley</t>
  </si>
  <si>
    <t>Pittsburgh Diamond Dawgs</t>
  </si>
  <si>
    <t>Frank Mergliano reco.</t>
  </si>
  <si>
    <t>Bromley</t>
  </si>
  <si>
    <t>Lamar HS</t>
  </si>
  <si>
    <t>Off-Season Baseball</t>
  </si>
  <si>
    <t>Twitter/Phone</t>
  </si>
  <si>
    <t>Behan</t>
  </si>
  <si>
    <t>Pembroke Reco.</t>
  </si>
  <si>
    <t xml:space="preserve">Christopher </t>
  </si>
  <si>
    <t>McLaughlin</t>
  </si>
  <si>
    <t>D. Healy recommend.</t>
  </si>
  <si>
    <t>Russel</t>
  </si>
  <si>
    <t>Lakewood HS</t>
  </si>
  <si>
    <t xml:space="preserve">Patterson Reco. </t>
  </si>
  <si>
    <t>O</t>
  </si>
  <si>
    <t>Centenial HS</t>
  </si>
  <si>
    <t>Shollenberger</t>
  </si>
  <si>
    <t xml:space="preserve">Frank Cooney reco. </t>
  </si>
  <si>
    <t xml:space="preserve">Jeff Burton rec. </t>
  </si>
  <si>
    <t>North Stanly HS</t>
  </si>
  <si>
    <t>Josh Rudd</t>
  </si>
  <si>
    <t>Suslow</t>
  </si>
  <si>
    <t>Marantha HS</t>
  </si>
  <si>
    <t>Scottie T./Dude Day</t>
  </si>
  <si>
    <t>Oakton HS</t>
  </si>
  <si>
    <t xml:space="preserve">Jeff Burton recommend. </t>
  </si>
  <si>
    <t xml:space="preserve">Tayegan </t>
  </si>
  <si>
    <t>Briskey</t>
  </si>
  <si>
    <t>West Boca Raton HS</t>
  </si>
  <si>
    <t xml:space="preserve">Kaleb </t>
  </si>
  <si>
    <t>LaFavor</t>
  </si>
  <si>
    <t>Bishop Heelan</t>
  </si>
  <si>
    <t>Josh Rudd client</t>
  </si>
  <si>
    <t>Pinewood Prep</t>
  </si>
  <si>
    <t>Charles</t>
  </si>
  <si>
    <t>Chappelle</t>
  </si>
  <si>
    <t xml:space="preserve">Christian </t>
  </si>
  <si>
    <t>Haupt</t>
  </si>
  <si>
    <t>Har-Ber High School</t>
  </si>
  <si>
    <t xml:space="preserve">Gavin </t>
  </si>
  <si>
    <t>Garces Memorial</t>
  </si>
  <si>
    <t>La Miranda</t>
  </si>
  <si>
    <t>Yocaipa</t>
  </si>
  <si>
    <t>Dezi</t>
  </si>
  <si>
    <t>Delgado</t>
  </si>
  <si>
    <t>Crimson Camp</t>
  </si>
  <si>
    <t>Wellsley</t>
  </si>
  <si>
    <t xml:space="preserve">Jack </t>
  </si>
  <si>
    <t>Canterbury School</t>
  </si>
  <si>
    <t xml:space="preserve">Clubhouse Fall </t>
  </si>
  <si>
    <t>Kaiden</t>
  </si>
  <si>
    <t>McCarthy</t>
  </si>
  <si>
    <t>VT</t>
  </si>
  <si>
    <t>Vermont Academy</t>
  </si>
  <si>
    <t>Melbourne</t>
  </si>
  <si>
    <t>Rockledge Senior</t>
  </si>
  <si>
    <t>Iatarola</t>
  </si>
  <si>
    <t>Lakeland</t>
  </si>
  <si>
    <t>George W. Jenkins</t>
  </si>
  <si>
    <t xml:space="preserve">Curt </t>
  </si>
  <si>
    <t xml:space="preserve">Delbarton </t>
  </si>
  <si>
    <t>Artillery</t>
  </si>
  <si>
    <t xml:space="preserve">John Murphy reco. </t>
  </si>
  <si>
    <t>Central Bucks - West</t>
  </si>
  <si>
    <t>Malcolm</t>
  </si>
  <si>
    <t>Blaqman</t>
  </si>
  <si>
    <t>Avalon HS</t>
  </si>
  <si>
    <t xml:space="preserve">Five Star National </t>
  </si>
  <si>
    <t>Twitter/Duke Camp</t>
  </si>
  <si>
    <t>Old Town HS</t>
  </si>
  <si>
    <t>Patterson Reco.</t>
  </si>
  <si>
    <t xml:space="preserve">Kyle </t>
  </si>
  <si>
    <t>NJ Rising Rebels</t>
  </si>
  <si>
    <t>Garden State Games/Super17</t>
  </si>
  <si>
    <t>Derose</t>
  </si>
  <si>
    <t>John Murphy rec.</t>
  </si>
  <si>
    <t xml:space="preserve">Patrick </t>
  </si>
  <si>
    <t>HS Game</t>
  </si>
  <si>
    <t xml:space="preserve">Cameron </t>
  </si>
  <si>
    <t>St. Marks School</t>
  </si>
  <si>
    <t xml:space="preserve">HS Game - KD </t>
  </si>
  <si>
    <t xml:space="preserve">Owen </t>
  </si>
  <si>
    <t>Jutronich</t>
  </si>
  <si>
    <t xml:space="preserve">Ben </t>
  </si>
  <si>
    <t>Twitter/Reco.</t>
  </si>
  <si>
    <t xml:space="preserve">Dylan </t>
  </si>
  <si>
    <t>Naantai-Vlahovich</t>
  </si>
  <si>
    <t>Canada</t>
  </si>
  <si>
    <t xml:space="preserve">Missepequa </t>
  </si>
  <si>
    <t xml:space="preserve">Luca A. Reco. </t>
  </si>
  <si>
    <t>Luca</t>
  </si>
  <si>
    <t>Marucci</t>
  </si>
  <si>
    <t>Loyola</t>
  </si>
  <si>
    <t>Loyala HS</t>
  </si>
  <si>
    <t xml:space="preserve">Rob Murray recommended. </t>
  </si>
  <si>
    <t>Los Osos</t>
  </si>
  <si>
    <t xml:space="preserve">PFA </t>
  </si>
  <si>
    <t>UTIL</t>
  </si>
  <si>
    <t>Bloomington High School South</t>
  </si>
  <si>
    <t xml:space="preserve">NPI </t>
  </si>
  <si>
    <t>West Forsyth</t>
  </si>
  <si>
    <t>Surber</t>
  </si>
  <si>
    <t>Concordia Lutheran HS</t>
  </si>
  <si>
    <t>email/twitter</t>
  </si>
  <si>
    <t>Sayville</t>
  </si>
  <si>
    <t>Dacula</t>
  </si>
  <si>
    <t>Five Star GA</t>
  </si>
  <si>
    <t>Beast of East</t>
  </si>
  <si>
    <t>Otto</t>
  </si>
  <si>
    <t>Knust</t>
  </si>
  <si>
    <t>Houston Wildcatters</t>
  </si>
  <si>
    <t>Owensboro HS</t>
  </si>
  <si>
    <t>Jalen</t>
  </si>
  <si>
    <t>Bowman</t>
  </si>
  <si>
    <t>PA State Games</t>
  </si>
  <si>
    <t>North Allagheny</t>
  </si>
  <si>
    <t xml:space="preserve">Chris </t>
  </si>
  <si>
    <t>Grasso</t>
  </si>
  <si>
    <t>St. Joseph's Prep</t>
  </si>
  <si>
    <t>Graham</t>
  </si>
  <si>
    <t>Keen</t>
  </si>
  <si>
    <t>Mt. Lebanon HS</t>
  </si>
  <si>
    <t>Hazelton</t>
  </si>
  <si>
    <t>Guzzie</t>
  </si>
  <si>
    <t>Conwell-Egan Catholic</t>
  </si>
  <si>
    <t>Kuhn</t>
  </si>
  <si>
    <t>Ascent</t>
  </si>
  <si>
    <t>Garden State Games</t>
  </si>
  <si>
    <t xml:space="preserve">Nick </t>
  </si>
  <si>
    <t>Barnegat HS</t>
  </si>
  <si>
    <t xml:space="preserve">Ryan </t>
  </si>
  <si>
    <t>Wetmore</t>
  </si>
  <si>
    <t>Garden State/Super17</t>
  </si>
  <si>
    <t>Ajani</t>
  </si>
  <si>
    <t>Borwin</t>
  </si>
  <si>
    <t xml:space="preserve">West Morris Mednham </t>
  </si>
  <si>
    <t>Horseheads HS</t>
  </si>
  <si>
    <t xml:space="preserve">Hun </t>
  </si>
  <si>
    <t xml:space="preserve">Do </t>
  </si>
  <si>
    <t>SUper 17</t>
  </si>
  <si>
    <t>Area Codes</t>
  </si>
  <si>
    <t xml:space="preserve">Colin </t>
  </si>
  <si>
    <t>Raymond</t>
  </si>
  <si>
    <t>The Stony Brook School</t>
  </si>
  <si>
    <t>TRAVEL PROGRAMS</t>
  </si>
  <si>
    <t>Loomis Chaffe</t>
  </si>
  <si>
    <t>Daniel Boone</t>
  </si>
  <si>
    <t xml:space="preserve">SBA Bolts </t>
  </si>
  <si>
    <t>Area Codes/Pa Games</t>
  </si>
  <si>
    <t>Fulginite</t>
  </si>
  <si>
    <t>Tipton</t>
  </si>
  <si>
    <t>Showball</t>
  </si>
  <si>
    <t>Lane Tech</t>
  </si>
  <si>
    <t>Walter Payton</t>
  </si>
  <si>
    <t>Enzo</t>
  </si>
  <si>
    <t>DiCocco</t>
  </si>
  <si>
    <t>Brecksville</t>
  </si>
  <si>
    <t>Youngblood</t>
  </si>
  <si>
    <t xml:space="preserve">Dallas </t>
  </si>
  <si>
    <t>Francis Conners</t>
  </si>
  <si>
    <t>Schmid</t>
  </si>
  <si>
    <t>East Chatham</t>
  </si>
  <si>
    <t>East Hawthorne</t>
  </si>
  <si>
    <t>Breck</t>
  </si>
  <si>
    <t>Hemphill</t>
  </si>
  <si>
    <t>PIne Richland</t>
  </si>
  <si>
    <t xml:space="preserve">Cherokee </t>
  </si>
  <si>
    <t xml:space="preserve">Desmond </t>
  </si>
  <si>
    <t>Powers</t>
  </si>
  <si>
    <t>Uncassvile</t>
  </si>
  <si>
    <t>St. Benards</t>
  </si>
  <si>
    <t>Lesser</t>
  </si>
  <si>
    <t>Jesuit HS</t>
  </si>
  <si>
    <t>Puls</t>
  </si>
  <si>
    <t>Oaks Christian</t>
  </si>
  <si>
    <t>WWBA</t>
  </si>
  <si>
    <t>Marist School</t>
  </si>
  <si>
    <t>Sebek</t>
  </si>
  <si>
    <t xml:space="preserve">Cy-Fair </t>
  </si>
  <si>
    <t>Durben</t>
  </si>
  <si>
    <t>Desert Mountain</t>
  </si>
  <si>
    <t xml:space="preserve">Steven </t>
  </si>
  <si>
    <t>Envriviades</t>
  </si>
  <si>
    <t>Milton</t>
  </si>
  <si>
    <t xml:space="preserve">Mrowka reco. </t>
  </si>
  <si>
    <t>Kotkowski</t>
  </si>
  <si>
    <t>Jun</t>
  </si>
  <si>
    <t xml:space="preserve">An </t>
  </si>
  <si>
    <t>Flynn</t>
  </si>
  <si>
    <t xml:space="preserve">Alejandro </t>
  </si>
  <si>
    <t>Diego</t>
  </si>
  <si>
    <t>Calvary Christian HS</t>
  </si>
  <si>
    <t xml:space="preserve">Elite Squad National </t>
  </si>
  <si>
    <t>Email 12/12</t>
  </si>
  <si>
    <t>Bisceglie</t>
  </si>
  <si>
    <t>Constantino</t>
  </si>
  <si>
    <t>Brooks School</t>
  </si>
  <si>
    <t>HS Game/CBA</t>
  </si>
  <si>
    <t xml:space="preserve">Tarbox </t>
  </si>
  <si>
    <t>Belmont HIll</t>
  </si>
  <si>
    <t xml:space="preserve">Mikah </t>
  </si>
  <si>
    <t>East Harwich</t>
  </si>
  <si>
    <t xml:space="preserve">Cellacci </t>
  </si>
  <si>
    <t>Cantebury School</t>
  </si>
  <si>
    <t>Shrantz</t>
  </si>
  <si>
    <t>Jim Thorpe Area</t>
  </si>
  <si>
    <t>North Hunterdon</t>
  </si>
  <si>
    <t>Zoned Redhawks</t>
  </si>
  <si>
    <t xml:space="preserve">Ethan </t>
  </si>
  <si>
    <t>Baseball Performance Center</t>
  </si>
  <si>
    <t>Hoffman</t>
  </si>
  <si>
    <t>New Cannan</t>
  </si>
  <si>
    <t xml:space="preserve">Sam </t>
  </si>
  <si>
    <t>McLean</t>
  </si>
  <si>
    <t>The Heights</t>
  </si>
  <si>
    <t>Florida Pokers</t>
  </si>
  <si>
    <t>Sanger</t>
  </si>
  <si>
    <t>Oakland</t>
  </si>
  <si>
    <t>Head Royce</t>
  </si>
  <si>
    <t>St. Sebs</t>
  </si>
  <si>
    <t>Recruiting Class:</t>
  </si>
  <si>
    <t>Depth Chart:</t>
  </si>
  <si>
    <t>Sr.</t>
  </si>
  <si>
    <t>Jr.</t>
  </si>
  <si>
    <t>SENIOR</t>
  </si>
  <si>
    <t>So.</t>
  </si>
  <si>
    <t>JUNIOR</t>
  </si>
  <si>
    <t>Fr.</t>
  </si>
  <si>
    <t>SOPHOMORE</t>
  </si>
  <si>
    <t>FRESHMAN</t>
  </si>
  <si>
    <t>TOTAL</t>
  </si>
  <si>
    <t>Total</t>
  </si>
  <si>
    <t>0.1     Committed
1        Offer
XX</t>
  </si>
  <si>
    <t>2        High Follow
3        Follow</t>
  </si>
  <si>
    <t>4        Need to see
5</t>
  </si>
  <si>
    <t xml:space="preserve">State </t>
  </si>
  <si>
    <t>HS / Summer Team</t>
  </si>
  <si>
    <t>2026 Depth Chart - 2025 Grads</t>
  </si>
  <si>
    <t>Jackson Beattie</t>
  </si>
  <si>
    <t>Timmy Virtudes</t>
  </si>
  <si>
    <t>Mac McCommons</t>
  </si>
  <si>
    <t>Henry Mitchell</t>
  </si>
  <si>
    <t>Victor Izquierdo</t>
  </si>
  <si>
    <t>Tyler Bouchard</t>
  </si>
  <si>
    <t>Aydn Lucero</t>
  </si>
  <si>
    <t>Mike Plummer</t>
  </si>
  <si>
    <t>Jack Killelea</t>
  </si>
  <si>
    <t>Evan Brown</t>
  </si>
  <si>
    <t>Leo Mangiamele</t>
  </si>
  <si>
    <t>Andrew Manning</t>
  </si>
  <si>
    <t>Aidan Chamberlin</t>
  </si>
  <si>
    <t>Ian Brown</t>
  </si>
  <si>
    <t>Tristan Rucker</t>
  </si>
  <si>
    <t>Eric Sun</t>
  </si>
  <si>
    <t>Chris Klug</t>
  </si>
  <si>
    <t>Tyler Grenn</t>
  </si>
  <si>
    <t>Kevin Maurer</t>
  </si>
  <si>
    <t>Ty Deperno</t>
  </si>
  <si>
    <t xml:space="preserve">Noah Stead </t>
  </si>
  <si>
    <t>Julian Friedman</t>
  </si>
  <si>
    <t>Mason Ceccarelli</t>
  </si>
  <si>
    <t>Aiden Healy</t>
  </si>
  <si>
    <t xml:space="preserve">Will Howard </t>
  </si>
  <si>
    <t>Owen Peterson</t>
  </si>
  <si>
    <t>Offer</t>
  </si>
  <si>
    <t>Matt Archibald</t>
  </si>
  <si>
    <t>Spencer Stephens</t>
  </si>
  <si>
    <t>Noah Ditas</t>
  </si>
  <si>
    <t>High Follow</t>
  </si>
  <si>
    <t>Brady Bendik</t>
  </si>
  <si>
    <t>Follow</t>
  </si>
  <si>
    <t>Owen Geiger</t>
  </si>
  <si>
    <t>Need to see</t>
  </si>
  <si>
    <t>Ryan Bibb</t>
  </si>
  <si>
    <t>Rayne Fry</t>
  </si>
  <si>
    <t>David Posey</t>
  </si>
  <si>
    <t>Jackson Clark</t>
  </si>
  <si>
    <t>HS</t>
  </si>
  <si>
    <t>4.3/25</t>
  </si>
  <si>
    <t>9/7/24</t>
  </si>
  <si>
    <t xml:space="preserve">TR Call: Has thrown over 100 IP this year no injury history. Was 87-88/89 lost velo to 85-86 by the end of the summer. 126K in 73 IP. 2nd in K in state won state . </t>
  </si>
  <si>
    <t>Southlake Carroll/Stix</t>
  </si>
  <si>
    <t>4.2/1280</t>
  </si>
  <si>
    <t>JK: 83-85
72-74 spin
74-75 CH
Fb to both sides for sure. CH can be solid. Spin is avg.</t>
  </si>
  <si>
    <t>Canes Midwest/Bishop dwenger</t>
  </si>
  <si>
    <t>Godwin / 101mph Dragum</t>
  </si>
  <si>
    <t>TOPS / Elizabeth Forward</t>
  </si>
  <si>
    <t>Carroll (IN) / Bulls</t>
  </si>
  <si>
    <t xml:space="preserve">Mickey Fox </t>
  </si>
  <si>
    <t xml:space="preserve">TR- Texted 1/3.  check in, 56IP/2.11/89k/29BB. Texted to connect. Futures games. 85-86/74 with 24 spin. Quick arm. Body and athleticism project. </t>
  </si>
  <si>
    <t>3.9 / Precalc</t>
  </si>
  <si>
    <t>LaGrange HS / Braves Scout</t>
  </si>
  <si>
    <t>10/21</t>
  </si>
  <si>
    <t>Committed to USNA</t>
  </si>
  <si>
    <t>4.5/1460</t>
  </si>
  <si>
    <t>6/18/24</t>
  </si>
  <si>
    <t>John Murphy Recc. Reclass Aug 1st. Converted C. Had a lehigh offer. Wants Ivy/Navy. FB/2s/SL/CH - 86-89. Family has money. Studys pitching different kid on mound, can flip the switch, super competitive.</t>
  </si>
  <si>
    <t>St. John Neumann/Burn</t>
  </si>
  <si>
    <t>3.8 / 1330/30</t>
  </si>
  <si>
    <t>7/1/24</t>
  </si>
  <si>
    <r>
      <rPr>
        <rFont val="Arial"/>
        <color rgb="FF000000"/>
      </rPr>
      <t xml:space="preserve">AP: update, 82-86,  not great looking in short outing.  arm tightened up and exited game.  TR: recommended by Josh Murphy. Decommitt from UVA. Looks like a high level arm with a high level brekaign ball and plus spin on FB. 6'3" 210 pg 9. Josh told me he is coming off a back injury but recent videos look very good. Have reached out to kid. </t>
    </r>
    <r>
      <rPr>
        <rFont val="Arial"/>
        <b/>
        <color rgb="FF000000"/>
      </rPr>
      <t>Recruiting heating up have to see Fri PBR 17U</t>
    </r>
  </si>
  <si>
    <t>Hawaii Elite/ Punahou</t>
  </si>
  <si>
    <t>Lake View HS/Canes</t>
  </si>
  <si>
    <t>Solid fit/1160 SAT</t>
  </si>
  <si>
    <t xml:space="preserve">RHP/SS. Class rank 1 out of 82 students. 4.0 GPA. Good on the phone/Liked him. Data mentioned 88mph on bump and 88 across.  Clemson called but only as a P. Mentioined Citadel, and a bunch of other smaller/D2 schools in the area. Solid interest. Def should be on the radar for visit or to go see in SC. </t>
  </si>
  <si>
    <t>Golden spikes / burlington christian</t>
  </si>
  <si>
    <t>Mount Ayr / KS Royals Scout</t>
  </si>
  <si>
    <t>4.02 / 24</t>
  </si>
  <si>
    <t xml:space="preserve">JK email notes: converted catcher. </t>
  </si>
  <si>
    <t>Benedictine Military / CBU Stofsky</t>
  </si>
  <si>
    <t>3.9/1020</t>
  </si>
  <si>
    <t>Benton / Team Louisiana</t>
  </si>
  <si>
    <t>3.8 / 22</t>
  </si>
  <si>
    <t>Andrean HS / IN Bulls</t>
  </si>
  <si>
    <t xml:space="preserve">AP: update: check with HS coach spring 24 season.  6'3 200 good body. ott arm slot.  mid 80's up to 90 FB.  72-75 12/6 CB.  was a little eratic early in outing I saw but projects to be a good arm.  HS coach likes him but verified command issues. JK-didn't get to see pitch. Played on really good team. Physical/strong looking kid. </t>
  </si>
  <si>
    <t>Ralston Valley / Elite</t>
  </si>
  <si>
    <t>Robert (Lujack) Cole</t>
  </si>
  <si>
    <t xml:space="preserve">JK-85-86/spin 72 12/6 shape. Loose arm/clean
</t>
  </si>
  <si>
    <t xml:space="preserve">JK-sprayed in only inning I saw. Porzio rec. Said big arm strength. Said  up to 90/91 but I saw 84-86 w/ spin at 74.  </t>
  </si>
  <si>
    <t>USA Prime American / IMG</t>
  </si>
  <si>
    <t>3.97/1520/34</t>
  </si>
  <si>
    <t>royals scout team</t>
  </si>
  <si>
    <t>4.2 / 21ACT</t>
  </si>
  <si>
    <t>Smithson Valley / Stix</t>
  </si>
  <si>
    <t>4.  1000 SAT !</t>
  </si>
  <si>
    <t>TBT Texas/Midlothian</t>
  </si>
  <si>
    <t>10/22</t>
  </si>
  <si>
    <t xml:space="preserve">Hit .276 JR yr.    AP: update: high motor,  vocal player, good skills behind the dish with quick release.  avg arm.  good swing with doubles pwr.  doesnt run. ceiling limited bc of size.  offensive comp eddie Diaz.   JK-been in contact via text/email. Dad is CIA. Solid catch/release. Arm has carry. Showed pop in BP despite more compact frame. Reminds me of Killelea a bit. Really good kid on visit. Has his shit together. JK-has continued to keep in touch. </t>
  </si>
  <si>
    <t>William Henry Harrison / IN Bulls</t>
  </si>
  <si>
    <t xml:space="preserve">AP: update: has not gotten stronger, maybe backtracked strength wise.    6'3 180 good body.  didn't see a ton from him.  Future Games kid.  their coaches like him. JK- saw briefly in FL. Good enough to reach out/gauge interest/see again if he is a fit. </t>
  </si>
  <si>
    <t>Boswell HS/</t>
  </si>
  <si>
    <t xml:space="preserve">Basha </t>
  </si>
  <si>
    <t xml:space="preserve">Futures games. 1.96 pop. Accurate quick release right on the bag every time. Good swing action. Lots of adjust. On plane. </t>
  </si>
  <si>
    <t xml:space="preserve">Millenium </t>
  </si>
  <si>
    <t xml:space="preserve">Future games. Slow mover but had a much better second day. Received well and had a little more juice. 2.0 pop. Drive and pop in swing. Keo. </t>
  </si>
  <si>
    <t>Milton HS/GA Jackets</t>
  </si>
  <si>
    <t>Patrick Walsh (1B)</t>
  </si>
  <si>
    <t>Christ the king Catholic / wow factor</t>
  </si>
  <si>
    <t>4.4 / 1230 sat</t>
  </si>
  <si>
    <t xml:space="preserve">6'1 195 strong LHH. Manning comp.  Avg run 4.3 down the line. Power potential in bat.  Fringe def.  Good arm.  Was 87-89 (91) at June Navy prospect camp.   Performace history good. POTY in 1A conference.  </t>
  </si>
  <si>
    <t>Brooks Franklin (SS)</t>
  </si>
  <si>
    <t>3.5 / 1000 SAT</t>
  </si>
  <si>
    <t>9/9</t>
  </si>
  <si>
    <r>
      <rPr>
        <rFont val="Arial"/>
        <color rgb="FFFF0000"/>
      </rPr>
      <t xml:space="preserve">8/1 Call. </t>
    </r>
    <r>
      <rPr>
        <rFont val="Arial"/>
        <color theme="1"/>
      </rPr>
      <t xml:space="preserve">Have seen multiple times. Lefty hitting SS. \Not very physiacl yet but is growing and adding strength. Good runner, very good actions with arm at SS. Early offer guy. JK-liked this kid when I saw early in summer. Frame is projectable. McGowan has seen a ton and really thinks he could blow up. </t>
    </r>
  </si>
  <si>
    <t>Westlake/So Cal Giants</t>
  </si>
  <si>
    <t>4.1 / No test</t>
  </si>
  <si>
    <t>Aug 23/24</t>
  </si>
  <si>
    <t>Boswell HS/Cooperstown Cobras</t>
  </si>
  <si>
    <t>Southern Squeeze Ewing / Avon Park</t>
  </si>
  <si>
    <t>Providence/Richmond braves</t>
  </si>
  <si>
    <t xml:space="preserve">JK- solid film. SS at Salisbury. Will see in spring. Saw briefly in FL. Liked the frame and actions. Didn't have a blowaway showing. </t>
  </si>
  <si>
    <t>Kings Acdemy / ATL Blue Jays</t>
  </si>
  <si>
    <t>3.4/1030</t>
  </si>
  <si>
    <t>juco commit</t>
  </si>
  <si>
    <t>Jax Heid (SS)</t>
  </si>
  <si>
    <t xml:space="preserve">5'11 180 SS actions. Moves around at SS well.  6.9 runner. All State selection 3A tx. Had good HS stats.  Bat is a little light but handles it.  Bat will probably play as he gets stronger.  </t>
  </si>
  <si>
    <t xml:space="preserve">Aiden Szydlik </t>
  </si>
  <si>
    <t>Severn School/Canes</t>
  </si>
  <si>
    <t>Bobby Herzman (1B)</t>
  </si>
  <si>
    <t xml:space="preserve">AP: Futures. not a need right now. 6'2 235, big boy/softer body right now. 1B only:  LHH who gets his swing off.  good bat speed and good swing. looks good in the box, feel for hitting/approach.  avg def. avg arm.  7.8 not a runner. </t>
  </si>
  <si>
    <t>USA Prime Coastal/5 Star</t>
  </si>
  <si>
    <t xml:space="preserve">JK-physical kid. Didn't see enough to weigh in. Need to see more if interest. #7 3b in NC. </t>
  </si>
  <si>
    <t>Canes/Travellers Rest SC</t>
  </si>
  <si>
    <t xml:space="preserve">JK-video follow. Good enough on film to see in spring. </t>
  </si>
  <si>
    <t>Tyler Cripe (CF)</t>
  </si>
  <si>
    <t>Nov 11</t>
  </si>
  <si>
    <t>JK-been in touch since his vist.  High interest. Likely wants to commit. Allergy report came in on Dec 12. Looks like all allergies have subsided. Have to run up the chain. No reservations about the abililty/player. Questionable info on personality fit from HS coach. JK- Lean frame. Whippy barrel. Good runner/floats
K/F7/1b64</t>
  </si>
  <si>
    <t>Marist / 9th INN Royals</t>
  </si>
  <si>
    <t>3.7/1200</t>
  </si>
  <si>
    <t>10/7</t>
  </si>
  <si>
    <t xml:space="preserve">Allergy shots have been working. </t>
  </si>
  <si>
    <r>
      <rPr>
        <rFont val="Arial"/>
        <color rgb="FFFF0000"/>
      </rPr>
      <t>8/1 Call - Asked great questions. Genuine interest, gpop was army and has talked him into servoce. Had a lot of traffoc today. Need to get on visit asap.</t>
    </r>
    <r>
      <rPr>
        <rFont val="Arial"/>
        <color theme="1"/>
      </rPr>
      <t>AP: Futures. 5'11 190 avg.  +SPEED. 6.5 runner.  compact swing with decent bat speed.  strong body. TR - Lit up the WWBA in the summer. Showed power and an advanced approach at the plate. Swung it well off canes national team. Stole bases at will and had very athletic actions in the outfield.</t>
    </r>
  </si>
  <si>
    <t>Jake Hooten (CF)</t>
  </si>
  <si>
    <t>Gulf Breeze / east coast Sox Alabama</t>
  </si>
  <si>
    <t>4.8 34 ACT</t>
  </si>
  <si>
    <t xml:space="preserve">June Camp: 6'2 190 strong bodied and runs.  Ran 6.7 and 6.8 at camp.  Need to see how well bat plays </t>
  </si>
  <si>
    <t>Mclean / Stars</t>
  </si>
  <si>
    <t>JK email notes: Follow pg</t>
  </si>
  <si>
    <t>Rylan Moses (CF)</t>
  </si>
  <si>
    <t>Goodpasture / Knights</t>
  </si>
  <si>
    <t>Carlsbad / SoCal Giants</t>
  </si>
  <si>
    <t xml:space="preserve">JK-saw in GA. Switch hitter. May be transitioning to OF. Def. follow if interested. - 368 hitter in 33 PG games in summer. </t>
  </si>
  <si>
    <t xml:space="preserve">JK-strong interest in Navy. Listed as a C but likely corner OF. Physical frame. Have to see if he hits enough to even consider. </t>
  </si>
  <si>
    <t>Stars/McLean HS</t>
  </si>
  <si>
    <t>Malvern Prep/Bellringers</t>
  </si>
  <si>
    <t>Committed Elsewhere</t>
  </si>
  <si>
    <t>Out</t>
  </si>
  <si>
    <t>850-814-3279</t>
  </si>
  <si>
    <r>
      <rPr>
        <rFont val="Arial"/>
        <color rgb="FF000000"/>
      </rPr>
      <t>Call 8/2 - Zero interest</t>
    </r>
    <r>
      <rPr>
        <rFont val="Arial"/>
        <color rgb="FF000000"/>
      </rPr>
      <t>. AP: Futures. 6'7 210 +frame. huge upside.  84-86 with slow SL with not much bite.  needs to improve.  value is in frame and projection</t>
    </r>
  </si>
  <si>
    <t>732-300-5357</t>
  </si>
  <si>
    <t>Not interested about to commit</t>
  </si>
  <si>
    <t>402-917-7754</t>
  </si>
  <si>
    <t>UVA commit</t>
  </si>
  <si>
    <t>402-580-6722</t>
  </si>
  <si>
    <t>Peanut allergy</t>
  </si>
  <si>
    <t>417-576-6217</t>
  </si>
  <si>
    <t>831-346-2581</t>
  </si>
  <si>
    <t>Sent Info but not interested</t>
  </si>
  <si>
    <t>3.4 21 ACT 1000 SAT (4.2 GPA on twitter?)</t>
  </si>
  <si>
    <t>864-617-6420</t>
  </si>
  <si>
    <t>nebraska</t>
  </si>
  <si>
    <t>860-966-8536</t>
  </si>
  <si>
    <t>GA State</t>
  </si>
  <si>
    <r>
      <rPr>
        <rFont val="Arial"/>
        <color rgb="FF000000"/>
      </rPr>
      <t>8/1 Call - Has ineterst needs to know more sending info.</t>
    </r>
    <r>
      <rPr>
        <rFont val="Arial"/>
        <color rgb="FF000000"/>
      </rPr>
      <t xml:space="preserve"> AP: Futures. 6'0 175. 83-84 (86), 72 SL 2400 spin (PBR). quick tempo and delivery.  good arm speed.  saw 2 innings, spray command, took a while to dial in.  2nd inning was better. PG stats for last two summers are pretty good.</t>
    </r>
  </si>
  <si>
    <r>
      <rPr>
        <rFont val="Arial"/>
        <color rgb="FFFF0000"/>
      </rPr>
      <t>8/1 Call - Visiting Sept 9th</t>
    </r>
    <r>
      <rPr>
        <rFont val="Arial"/>
        <color rgb="FF000000"/>
      </rPr>
      <t>. Have seen multiple times and has been to camp. GS cmd of FB 87-90/91. Plus feel for spin with very good shape. 74-76. Shows a CH at times to LHH. Build and athleticism are all a plus. He has intensity on the mound. Pavs saw him struggle during Futures in his 2 innings but he has been steady for two years. We know AF is also in on him. Guy we need to get in our back yard, wants to fly.</t>
    </r>
  </si>
  <si>
    <t>No Interest</t>
  </si>
  <si>
    <t>804-229-5530</t>
  </si>
  <si>
    <r>
      <rPr>
        <rFont val="Arial"/>
        <color rgb="FFFF0000"/>
      </rPr>
      <t>Call 8/4</t>
    </r>
    <r>
      <rPr>
        <rFont val="Arial"/>
        <color rgb="FF000000"/>
      </rPr>
      <t xml:space="preserve"> - AP: Futures. 6'0 150 thin wirey. 6.9 runner, moves well on field, 4.19 home to 1st.  excellent feel for the game.  high level IQ.  SS with great actions. good bat speed for size but wont ever have much pop.  son of Tracy Woodson</t>
    </r>
  </si>
  <si>
    <r>
      <rPr>
        <rFont val="Arial"/>
        <color rgb="FF000000"/>
      </rPr>
      <t>8/1 Call - Very good phone call with Anthony and Dad. Were not sure at start and seemed very interested by the end of the call. Really took to $ and setting him up for future. Kid is a ballplayer has a lot of traffic. They are extremely interested in visiting and learning more. Getting him more info today.</t>
    </r>
    <r>
      <rPr>
        <rFont val="Arial"/>
        <color rgb="FF000000"/>
      </rPr>
      <t xml:space="preserve"> Tim saw at two events. Del team camp and 16u GA. The kid hits, drives the ball to all fields. Extremely atheltic build, physical with QT. Runs very well with high IQ. Very good actions at SS with plenty of arm. No brainer offer Aug 1. Have spoken with coach and he is interested. Will have a good amount of quality baseball offers.</t>
    </r>
  </si>
  <si>
    <t>818-422-0083</t>
  </si>
  <si>
    <r>
      <rPr>
        <rFont val="Arial"/>
        <color rgb="FF000000"/>
      </rPr>
      <t>8/3 Text - He followed up with a tweet from his outing yesterday. Seems interested, I sent info. 8/2 Call - Good convo but shaky on interest. Leaning toward yes and sending info</t>
    </r>
    <r>
      <rPr>
        <rFont val="Arial"/>
        <color rgb="FF000000"/>
      </rPr>
      <t>. AP: Futures. 6'4 165 tall lean loose arm.  avg arm speed.  86-88.  75-77 SL avg.  Didn't see 3rd pitch.  High ceiling projection.  Need to contact  HS coach to see if he checks out</t>
    </r>
  </si>
  <si>
    <t>Gtown</t>
  </si>
  <si>
    <t xml:space="preserve">Drew Rybinksi </t>
  </si>
  <si>
    <r>
      <rPr>
        <rFont val="Arial"/>
        <color rgb="FFFF0000"/>
      </rPr>
      <t xml:space="preserve">8/2 Call - Very ineterested. Cousin goes to Army and is having positive experience. Sent info need to get to campus asap. Got alot of traffic the last few days. </t>
    </r>
    <r>
      <rPr>
        <rFont val="Arial"/>
        <color theme="1"/>
      </rPr>
      <t>Futures. Goes to Nates HS. Works fast. Ath frame. Live quick arm. High level feel for spin. Can be harder but generated sm. 87-90 20-21 / 73-74 22-23. Kid was electric.</t>
    </r>
  </si>
  <si>
    <t>xavier</t>
  </si>
  <si>
    <t>Georgia southern</t>
  </si>
  <si>
    <t>Arizona St.</t>
  </si>
  <si>
    <r>
      <rPr>
        <rFont val="Arial"/>
        <color rgb="FF000000"/>
      </rPr>
      <t>8/1 Call - Very humble kid. Wants to fly and was very curious about our flight programs and opportunities after graduation. Wasn't sure if going commercial was ultimate goal. Made comment that he would see how his naval career was going and may want to stay in longer.</t>
    </r>
    <r>
      <rPr>
        <rFont val="Arial"/>
        <color rgb="FF000000"/>
      </rPr>
      <t>16U WWBA/Futures. This kid is a high level talent. 6'3" runs a 6.6. Has juice and adjust in swing. stays in his legs well and has a tight turn, makes good swing decisions. I have been speaking wiht his coach and have sent flight info. He is interested in flying.</t>
    </r>
  </si>
  <si>
    <t>George Mason</t>
  </si>
  <si>
    <t>OK ST</t>
  </si>
  <si>
    <t>847-922-0963</t>
  </si>
  <si>
    <r>
      <rPr>
        <rFont val="Arial"/>
        <color rgb="FFFF0000"/>
      </rPr>
      <t>8/1 - Did not respond to tex</t>
    </r>
    <r>
      <rPr>
        <rFont val="Arial"/>
        <color theme="1"/>
      </rPr>
      <t>t. TR/AP: Futures. Plus catch and release guy. Physical catcher with good actions. Very good arm with plus carry.  probably a P5 guy</t>
    </r>
  </si>
  <si>
    <t>no to navy</t>
  </si>
  <si>
    <t>Ball state</t>
  </si>
  <si>
    <t>Center Grove HS / Team INDIANA (Bulls)</t>
  </si>
  <si>
    <t>Michigan state</t>
  </si>
  <si>
    <t>Penn state</t>
  </si>
  <si>
    <t>Edgewood HS / GRB Rays</t>
  </si>
  <si>
    <t>3.1 ??</t>
  </si>
  <si>
    <t>Not interesetd</t>
  </si>
  <si>
    <t>Have texted twice since initial call no response.</t>
  </si>
  <si>
    <t xml:space="preserve">Gonzaga </t>
  </si>
  <si>
    <t>Valley Christian / FS21 Stars</t>
  </si>
  <si>
    <t>480-450-7284</t>
  </si>
  <si>
    <t xml:space="preserve">AP: 6'1 200 86-87, avg SL sweeping, =/+ CH good feel.  plus pick to 1B.  </t>
  </si>
  <si>
    <t>UC santa barb</t>
  </si>
  <si>
    <t>Slater de Brun</t>
  </si>
  <si>
    <t>USF</t>
  </si>
  <si>
    <t xml:space="preserve">Futures games. Not very big 5'10" but very athletic. Lefty stick with good adjust and balance. Doesn't chase good approach. Needs to added strength but has very athletic actions. Could be a high level player. Line drive with drive. Showed functional speed. </t>
  </si>
  <si>
    <t>Plus student/Ivy</t>
  </si>
  <si>
    <t xml:space="preserve">JK-saw in person on numerous occasions. Smaller, but not weak, frame. PLUS runner bordeline burner. Plays CF. Dynamic offensive player. Like a lot. High academic. Ivy Lg etc. </t>
  </si>
  <si>
    <r>
      <rPr>
        <rFont val="Arial"/>
        <color rgb="FFFF0000"/>
      </rPr>
      <t>Call 8/3 -</t>
    </r>
    <r>
      <rPr>
        <rFont val="Arial"/>
        <color theme="1"/>
      </rPr>
      <t xml:space="preserve"> Ath frame and string build. Quick AA. Climbs a bit stiff foward rotated trap. 85-88 with 22 pin. SL was 76-78 with 26 spin. swing and miss pitch. FB a bit flat and hittable in zone. Has plus feel for Sl and GS.</t>
    </r>
  </si>
  <si>
    <t>Iowa</t>
  </si>
  <si>
    <t>Out on him</t>
  </si>
  <si>
    <t>Lincoln-Way Central / Cangalosi Sparks</t>
  </si>
  <si>
    <t>708-549-5670</t>
  </si>
  <si>
    <r>
      <rPr>
        <rFont val="Arial"/>
        <color rgb="FFFF0000"/>
      </rPr>
      <t>Call 8/3 -</t>
    </r>
    <r>
      <rPr>
        <rFont val="Arial"/>
        <color theme="1"/>
      </rPr>
      <t xml:space="preserve"> AP: Futures. 6'3 160, very thin. 6.6 runner, moves really well on field, avg arm.  leverage in swing and good bat speed.  swing is not far from being really good.  high ceiling.  avg pop but potential for more.  </t>
    </r>
  </si>
  <si>
    <t xml:space="preserve">Call 10/6 - Good convo, sent info. He is interested in Navy. Coach told me there is a broken home situation with no money. Was 88-90 with a 80SL that you can compare to Healy. Threw strikes commanded the zone. Pitched with the confidence and pace we are looking for. Attacked other team and set tempo of game. </t>
  </si>
  <si>
    <t xml:space="preserve">Eastern Michigan </t>
  </si>
  <si>
    <t>Brother Rice / Cangelosi Sparks</t>
  </si>
  <si>
    <t>Kansas</t>
  </si>
  <si>
    <t>618-978-3242</t>
  </si>
  <si>
    <r>
      <rPr>
        <rFont val="Arial"/>
        <color rgb="FFFF0000"/>
      </rPr>
      <t xml:space="preserve">Call 8/2 - Some interest but leaning toward no. Sending info to follow up </t>
    </r>
    <r>
      <rPr>
        <rFont val="Arial"/>
        <color theme="1"/>
      </rPr>
      <t>AP: Futures. 6'1 180. good arm speed. 86-88 and located.  75 SL good, 2200 spin. not the tallest frame but pitched really well at Futures and carried himself like he was a stud. really liked his look.</t>
    </r>
  </si>
  <si>
    <t>4.1 listed on PG?</t>
  </si>
  <si>
    <t xml:space="preserve">AP: Futures. 6'3 160 thin wirey. loose easy arm action.  86-87, 72 SL avg.  high ceiling projectable.  slow tempo/delivery, could quicken.  just a live arm right now. JK-had seen this kid a few times, going back to early June. Not interested in Navy. </t>
  </si>
  <si>
    <t>Albuquerque Academy / Canes West</t>
  </si>
  <si>
    <t>home school / Cubs Scout team</t>
  </si>
  <si>
    <t>UGA</t>
  </si>
  <si>
    <t>478-955-3287</t>
  </si>
  <si>
    <r>
      <rPr>
        <rFont val="Arial"/>
        <color rgb="FFFF0000"/>
      </rPr>
      <t>8/1 - Texted, did not respond to call. Trying again</t>
    </r>
    <r>
      <rPr>
        <rFont val="Arial"/>
        <color theme="1"/>
      </rPr>
      <t>. AP: Futures. 6'2 170. 84-87, good arm speed.  67-72 slow CB 2300 spin.  smooth delivery.  avg command.  will probably be a stud.</t>
    </r>
  </si>
  <si>
    <t>Cherry Creek / Slammers</t>
  </si>
  <si>
    <t>11/18</t>
  </si>
  <si>
    <t>Umass</t>
  </si>
  <si>
    <t>Committed to UMass</t>
  </si>
  <si>
    <t>Out on military</t>
  </si>
  <si>
    <t>4.0/20ACT</t>
  </si>
  <si>
    <r>
      <rPr>
        <rFont val="Arial"/>
        <color rgb="FFFF0000"/>
      </rPr>
      <t>9/18 Call: Showed some interest.  Sent info, need to follow up next week. Not going to be playing again this fall</t>
    </r>
    <r>
      <rPr>
        <rFont val="Arial"/>
        <color theme="1"/>
      </rPr>
      <t>.TR - Saw at PBR Cup. High level athletic actions at SS. Separates his hands below the knees. Runs better functionally than his 60 time. Good turn and BC at the plate. Has a frame to add strength. Plays the game like he loves it. Toldme wasn't interested in service</t>
    </r>
  </si>
  <si>
    <t>AF</t>
  </si>
  <si>
    <t>Lovenjoy HS / Dulins Dodgers</t>
  </si>
  <si>
    <t xml:space="preserve">TBD/wants to visit/camp? </t>
  </si>
  <si>
    <t xml:space="preserve">JK-saw at AF camp. BIG body, but should clean up. Showed big pop from left side and has a shot on the bump. 81-84. Spoke to at the camp. Lots of military in family already. Siblings at WPoint and USMMA. Has been responsive to communication. AF may have offered already. Texted recent/Dec 2023. </t>
  </si>
  <si>
    <t>Tennessee</t>
  </si>
  <si>
    <t>Has not responded to communication</t>
  </si>
  <si>
    <t>Citadel</t>
  </si>
  <si>
    <t xml:space="preserve">Kaine Baber </t>
  </si>
  <si>
    <t>UNCW</t>
  </si>
  <si>
    <t>BelAir/John Carroll</t>
  </si>
  <si>
    <t xml:space="preserve">Samford </t>
  </si>
  <si>
    <t>Arkansas St</t>
  </si>
  <si>
    <t>470-357-3980</t>
  </si>
  <si>
    <r>
      <rPr>
        <rFont val="Arial"/>
        <color rgb="FFFF0000"/>
      </rPr>
      <t>8/1 - Did not respond to text</t>
    </r>
    <r>
      <rPr>
        <rFont val="Arial"/>
        <color theme="1"/>
      </rPr>
      <t>. AP: Futures. 6'3 185 good frame.  RAW looking but loose arm that works! 86-91 with life. 80 SL above avg bite.  avg command currently.</t>
    </r>
  </si>
  <si>
    <t>bad grades</t>
  </si>
  <si>
    <t>Catherdral / IN Bulls</t>
  </si>
  <si>
    <t>3.62 (3 D's??)</t>
  </si>
  <si>
    <t xml:space="preserve">AP: 6'2 190 good body.  clean delivery. mid 80's up to 88.  71-73 SL and likes it.  throws it well for strikes. has CH.  like his look. Update; logged 1 IP for varsity 2023?? JK-saw in Ft Myers. 85-86/Heavy ball?/Sink/velo dropped off.73-74 spin. 68Ch. LIked this guy. Would follow if int. </t>
  </si>
  <si>
    <t>Sayre / KBC</t>
  </si>
  <si>
    <r>
      <rPr>
        <rFont val="Arial"/>
        <color rgb="FFFF0000"/>
      </rPr>
      <t xml:space="preserve">AP: saw at PBR INDY.  just ok.  good overall baseball player, short on tools. </t>
    </r>
    <r>
      <rPr>
        <rFont val="Arial"/>
        <color theme="1"/>
      </rPr>
      <t>6'0 180 strong build. LHH with a good swing. hit .480 in a D1 heavy league last year.   +makeup.  7.0 runner. below avg arm.   There are players on the board with way more tools to pursue first</t>
    </r>
  </si>
  <si>
    <t>WVU</t>
  </si>
  <si>
    <t>Chaparral / FS21 Stars</t>
  </si>
  <si>
    <t xml:space="preserve">AP: (no reply in multiple reach outs) 6'4 190, good frame.  86-88, 73-75, long lean look.  = arm speed.  </t>
  </si>
  <si>
    <t>C of C</t>
  </si>
  <si>
    <t>So. carolina</t>
  </si>
  <si>
    <t>AF commit</t>
  </si>
  <si>
    <t>Torrey Pines / SoCal Redbirds</t>
  </si>
  <si>
    <t>Ball state commit</t>
  </si>
  <si>
    <t xml:space="preserve">JK-physical LHH SS. Need to see more but good player on elite team. #4 SS in IN. </t>
  </si>
  <si>
    <t>De-commit</t>
  </si>
  <si>
    <t>11/11</t>
  </si>
  <si>
    <t xml:space="preserve">Mike Bordicks son. Need to see asap. Has interest. JK-spoke to on phone on Aug 15. Has interest in USNA. Have not seen in person. Good on phone. Committed without offer in Nov. Have to lock down/see as much as we can in the spring. Was not forthright about grades/transcripts prior to visit.  Have spoken to at length about poor transcripts/grades. Knows he must improve. Possible Prep Candiate out of the gate. </t>
  </si>
  <si>
    <t>St Thomas commit</t>
  </si>
  <si>
    <t>?/22 ACT</t>
  </si>
  <si>
    <t>USCGA</t>
  </si>
  <si>
    <t xml:space="preserve">Ryan Melton </t>
  </si>
  <si>
    <t xml:space="preserve">JK-multi year camp kid. HIGH interest and has been proactice in communicating since young age. Probably would commit if offered. Big Physical kid. Has some strength/pop in bat. Not sure if sold on athleticism yet. </t>
  </si>
  <si>
    <t xml:space="preserve">JK-elite student/valedictorian. Good kid. Reclassed to 2025. Dad was outstanding player at Clemson/pro ball. Kid has some feel and can catch a bit. Probably a program guy. Wants to be at Navy. JK-has continued to keep in touch with updates. </t>
  </si>
  <si>
    <t>Villanova</t>
  </si>
  <si>
    <t>OU commit</t>
  </si>
  <si>
    <t>3.1 gpa</t>
  </si>
  <si>
    <t>Blessed Trinity/643</t>
  </si>
  <si>
    <t>not for us</t>
  </si>
  <si>
    <t>red flags</t>
  </si>
  <si>
    <t>PDG Academy (VA) / Canes</t>
  </si>
  <si>
    <t>742-814-7334</t>
  </si>
  <si>
    <t>Colin Oates (OF)</t>
  </si>
  <si>
    <r>
      <rPr>
        <rFont val="Arial"/>
        <color rgb="FF000000"/>
      </rPr>
      <t xml:space="preserve">Call 8/1 - Very intersted sending info and pushing visit. </t>
    </r>
    <r>
      <rPr>
        <rFont val="Arial"/>
        <color rgb="FF000000"/>
      </rPr>
      <t>TR have seen twice now. Made a significant jump from summer ot fall. Big physical atheltic frame. plays OF for ninth inning as well. Last start went 3 inn 4 Ks and 2 BBs FB avg 86-87/90. Had an Aidan Healy CB at 75. Was locating everything GS. Just learning how to pitch. His history of walks is a concern but the development I've seen could make him a pro talent. JK: average outing when I saw in Ft Myers. Body good/athletic. Saw 3 innings and wasn't necessarily clean. Showed flashes of good stuff, but struggled with zone/command at times</t>
    </r>
  </si>
  <si>
    <t>Oregan commit</t>
  </si>
  <si>
    <t>Royal ? Sierra Canyon HS / SoCal Giants</t>
  </si>
  <si>
    <t>Grant HS / Hitters</t>
  </si>
  <si>
    <t>Pace Academy / 9th Inn</t>
  </si>
  <si>
    <t>Papillion LaVista / NE Prospects</t>
  </si>
  <si>
    <t>Lehigh</t>
  </si>
  <si>
    <t>Not for us</t>
  </si>
  <si>
    <t>North Gwinnett HS /  643 DP</t>
  </si>
  <si>
    <t xml:space="preserve">AP: update, doesn't move well.  Probably not enough of a bat to warrant getting him.  JK. Thick/strong catcher for 643. Did a solid job but would have to see more. Not sure if he will run enough to be in the mix. </t>
  </si>
  <si>
    <t>richmond</t>
  </si>
  <si>
    <t>Severn School/US Elite</t>
  </si>
  <si>
    <t>4/1420</t>
  </si>
  <si>
    <t>NFU</t>
  </si>
  <si>
    <t>Nebraska</t>
  </si>
  <si>
    <t>Heritage HS/Dirtbags National</t>
  </si>
  <si>
    <t xml:space="preserve">JK-I think TR was lukewarm  on him, as was I. Worth keeping on list. Had him 82-84 with 74 on spin. PG has him topping at 87. Smaller frame, but arm worked ok.  UPDATE 12/16: AP- Angel scout contacted me and says the kid is improving and recommends </t>
  </si>
  <si>
    <t xml:space="preserve">Owen Elser </t>
  </si>
  <si>
    <t>USD</t>
  </si>
  <si>
    <t xml:space="preserve">JK-has interest. No blowaway stuff, but feel for spin and threw multiple days in a row. Got banged around a couple times and numbers say the same.  Stays on the list for now. </t>
  </si>
  <si>
    <t>Richland HS/Midland Redskins</t>
  </si>
  <si>
    <t>St Johns Shrews/Noreasters</t>
  </si>
  <si>
    <t xml:space="preserve">JK-spoke on phone. Solid kid. Possible low GPA. 2 C's on transcript. Film was good. Offer from HC. Maine/Bryant/Fairfield/NJIT. </t>
  </si>
  <si>
    <t>OUT</t>
  </si>
  <si>
    <t xml:space="preserve">2/2: Visiting William &amp; Mary in a couple weeks, thinks they will offer. Calls Navy his dream school, if not Navy wants supply chain mgmt and is talking to D2 schools that have that??? Soft spoken kid, looks like he has some ability but question the toughness from convos. </t>
  </si>
  <si>
    <t>St. Johns/Brooks/MA Show</t>
  </si>
  <si>
    <t>Solid fit</t>
  </si>
  <si>
    <t>Nov. 18</t>
  </si>
  <si>
    <t xml:space="preserve">Good Recc from Lomansney. Wants military 84-86/88. Hard SL best pitch. Has plus CH. Was number 1 for HS last year. Plays FB.  JK-spoke to in person. Good kid on the phone. From Haverill Mass. Mom is principle. High academic. Transferring to Brooks School. HS QB. JK: seems hell bent on USNA. Really positive visit. </t>
  </si>
  <si>
    <t>SBA/Cuthbertson HS</t>
  </si>
  <si>
    <t xml:space="preserve">JK-same team as Aldredge. More physical, possibly more offensive and more of a corner guy. Has interest. Reconnected in March 2024. Spoke with his HS coach (former D1 athlete) as well. Glowing recs. HS QB. No questions about him. Kid is close with his family/knows him well. super high character, elite level player in multiple sports </t>
  </si>
  <si>
    <t xml:space="preserve">TR - PBR Cup. Ath actions at SS. Has enough arm but not a fluid aa. Reminds me of Justin Johnson the way he plays the game. 2B to RC/1B to LC 4.7T. 5-3(4.5). Doesn't run well enough right now but I like how he plays and his hands at ss. Takes good swings and makes solid contact on some decent arms. </t>
  </si>
  <si>
    <t>Glen Allen HS/Rich Braves</t>
  </si>
  <si>
    <t>MMA</t>
  </si>
  <si>
    <t>Too good</t>
  </si>
  <si>
    <t>Etowah / 643dp</t>
  </si>
  <si>
    <t>Wofford commit</t>
  </si>
  <si>
    <t>Cuthbertson / SBA bolts</t>
  </si>
  <si>
    <t>Princeton commit</t>
  </si>
  <si>
    <t>Marist / 643dp</t>
  </si>
  <si>
    <t>WCU commit</t>
  </si>
  <si>
    <t>SBA/Community School of Davidson</t>
  </si>
  <si>
    <t xml:space="preserve">JK-liked in GA. LHH. Good actions. Has some interest. Need to see more on the offensive side/run etc. </t>
  </si>
  <si>
    <t>creighton commit</t>
  </si>
  <si>
    <t>FGCU commit</t>
  </si>
  <si>
    <t>Cole Lasher (RF)</t>
  </si>
  <si>
    <t>St. Thomas Aquinas / Florida pokers</t>
  </si>
  <si>
    <t>4.0 1310 sat</t>
  </si>
  <si>
    <t>Non Responsive</t>
  </si>
  <si>
    <t>Joliet Catholic / Chicago Elite</t>
  </si>
  <si>
    <t>Rowen Bergeron (SS)</t>
  </si>
  <si>
    <t xml:space="preserve">At first glance looks athletic and takes a nice swing.  We need a better eval on him. Can he play SS.  Red flag he didn't play in some games and batted 10th. </t>
  </si>
  <si>
    <t xml:space="preserve">TR: not enough twitch in there. big physical frame but doesn't have the strength/quickness to move efficiently. Bat was slow the day I saw. Had trouble moving in catching position. JK-1.93 in game on bag. 2.00 in game from knees. 6’3”/big frame. Dad is pilot. Need to be on this guy.. A bit of a dud on the phone. May not be academic enough, but I liked him. </t>
  </si>
  <si>
    <t xml:space="preserve">Olympic Heights/CBU </t>
  </si>
  <si>
    <t>Downingtown West/Bell ringers</t>
  </si>
  <si>
    <t>Samford</t>
  </si>
  <si>
    <t>Cardinal Gibbons / FL pokers</t>
  </si>
  <si>
    <t>4.0 / 1090 SAT</t>
  </si>
  <si>
    <t>Army commit</t>
  </si>
  <si>
    <t>Transcript</t>
  </si>
  <si>
    <t>4/20/24</t>
  </si>
  <si>
    <r>
      <rPr>
        <rFont val="Arial"/>
        <b/>
        <color rgb="FFFF0000"/>
      </rPr>
      <t>TR: Spoke with 7/13 still hasn't done his allergy test. I told him I was very frustrated that it has taken this long and it doesn't really show that he has interst in Navy. He was pretty adament that he does and that he just needs to get his mom to scheudle it. I told him I want an test date this week.</t>
    </r>
    <r>
      <rPr>
        <rFont val="Arial"/>
        <color theme="1"/>
      </rPr>
      <t xml:space="preserve"> TR: vs. Vineland... 83-85 slider was 70-72. Plus CH. 3 walks and 9 K's. Has some fight on the mound, presence through adversity. Has an offer to Army. Has nut allergy but doesn't carry his pen and hasn't been tested since he was a kid. Have had several conversations. 87-88 feel for SL 76-78. Plus CH. All reserach is he is a strike thrower. HS coach calls him number 1 over FL commit. Need to get on visit asap. Lot of heat. also talking to Army with family who attended Army</t>
    </r>
  </si>
  <si>
    <t>Samford commit</t>
  </si>
  <si>
    <t>Easton Nelms (SS)</t>
  </si>
  <si>
    <t>Florence / BlackSox</t>
  </si>
  <si>
    <t>4.12 / 22 ACT</t>
  </si>
  <si>
    <t xml:space="preserve">AP: 6'2 190 strong body, LHH SS with a good swing. runs 6.7  arm is fine.  need to see more with the glove.  played kind of loose.  Future gamer.  dad is HS coach.  dad loves navy.  saw PG 17u hoover.  has big offer from Samford.  Will be at PBR 17u, need to see him there.  Also needs to add Pre-calculus in senior yr if he's truly interested in navy </t>
  </si>
  <si>
    <t>Remo Indomenico (CF)</t>
  </si>
  <si>
    <t>First Academy / southern squeeze / team elite scout team</t>
  </si>
  <si>
    <t xml:space="preserve">AP JK: 5'10 180 small runner! 6.55 run.  Might not be interest in Navy, was asked to fill out medical questionnaire and did NOT.  LHH hitter. Clean swing.  Plays the game pretty casually. Not sure if that's too cool for school or ultra high IQ.  Arm is fine.  Maybe a smaller version of Raba. </t>
  </si>
  <si>
    <t>Morehead state commit</t>
  </si>
  <si>
    <t>Brayton Coomer (1B)</t>
  </si>
  <si>
    <t>Adair Co HS / Louisville legends</t>
  </si>
  <si>
    <t>3.8 / 19 ACT</t>
  </si>
  <si>
    <t>uah commit</t>
  </si>
  <si>
    <t>Trey Greenwell (CF)</t>
  </si>
  <si>
    <t xml:space="preserve">Decatur / VBA. Rawlings </t>
  </si>
  <si>
    <t>Hayden Willey (2B/OF?)</t>
  </si>
  <si>
    <t>Ridge Point HS / Marucci elite Dunn</t>
  </si>
  <si>
    <t>3.6 1080</t>
  </si>
  <si>
    <t>Sandlot/Royal</t>
  </si>
  <si>
    <t xml:space="preserve">TR Twitter. Like actions and swing. Looks to have some ath and power. 7.1 60. Hit .289 as soph with 4 HR. No current stats. </t>
  </si>
  <si>
    <t xml:space="preserve">Dallas Patriots </t>
  </si>
  <si>
    <t>Santa Clara commit</t>
  </si>
  <si>
    <t>Lincoln / NorCal Black</t>
  </si>
  <si>
    <t>getting transcript</t>
  </si>
  <si>
    <t>Akron commit</t>
  </si>
  <si>
    <t>Montevallo commit</t>
  </si>
  <si>
    <t>Whiteburg / VBA rawlings</t>
  </si>
  <si>
    <t>4.26 / 27 ACT</t>
  </si>
  <si>
    <t xml:space="preserve">AP: 6'3 195, only saw one inning, but it looked pretty good. 86–88, 77SL, pretty good at pitch. Great body, long limbs, good arm speed.  Second time out saw 84-87 as a starter.  Mid 70's BB.  Didn't see CH.  High school coach had nothing but great things to say about them. Bass overall player on the field, could play at any big Huntsville Alabama high schools. Junior college offers and a couple division two offers only now.  </t>
  </si>
  <si>
    <t>akron commit</t>
  </si>
  <si>
    <t>Gabe Mathison (CF)</t>
  </si>
  <si>
    <t>Carmel / IN Bulls</t>
  </si>
  <si>
    <t xml:space="preserve">6'1 185.  switch hitter.  6.8 runner w/ clean swing.  avg bat speed.  nothing wowing.  </t>
  </si>
  <si>
    <t>Brody Winemiller (1B)</t>
  </si>
  <si>
    <t>Collierville / EC Sox</t>
  </si>
  <si>
    <t>4.3 / 24 ACT</t>
  </si>
  <si>
    <t>7/1</t>
  </si>
  <si>
    <t>Orange Lutheran/TB So Cal</t>
  </si>
  <si>
    <t>4.2 / No Test</t>
  </si>
  <si>
    <t xml:space="preserve">TR: Dude day. Very good infield actions, good hands good release. Looks like enough arm to play the left side. Switch hitter coach said better from left side. Compact easy swing. Lots of body control. Showed some pop in game turned on 90 fb for hr very easily. Trying to get him to visit have talked to summer coach waiting for hs coach to return call. </t>
  </si>
  <si>
    <t>July 17</t>
  </si>
  <si>
    <t>Pepperdine commit</t>
  </si>
  <si>
    <t>GW Commit</t>
  </si>
  <si>
    <t>Cape Henlopen/Richmond braves</t>
  </si>
  <si>
    <t xml:space="preserve">UC Irvine </t>
  </si>
  <si>
    <t>Quinnipiac commit</t>
  </si>
  <si>
    <t>Caden Williamson (CF)</t>
  </si>
  <si>
    <t>Broomfield / Slammers Austin</t>
  </si>
  <si>
    <t>St Xavier ?</t>
  </si>
  <si>
    <t>ORU commit</t>
  </si>
  <si>
    <t>Prosper HS/Dulins Dodgers Prime</t>
  </si>
  <si>
    <t>1100/21</t>
  </si>
  <si>
    <t>Penn commit</t>
  </si>
  <si>
    <t>Jake Finnegan (3B)</t>
  </si>
  <si>
    <t>Jupiter HS / Barwis Dragons</t>
  </si>
  <si>
    <t>4.7 / 1140 SAT</t>
  </si>
  <si>
    <t xml:space="preserve">AP: 6'2 190 good strong body.  Not a SS answer.  Plays 3B.  clean def (need to see more) and glove seems good.  arm is fine.  gets good swings off and has some bat speed.  looks good in the box.  7.1 runner.  Hit .300's 4HR.  Trending up says HS coach.  Cant totally stamp a tool set.  saw at PG 17u Hoover. </t>
  </si>
  <si>
    <t>FGCU Commit</t>
  </si>
  <si>
    <t>Merrick Rapoza (3B)</t>
  </si>
  <si>
    <t>Gatorball / Clay HS</t>
  </si>
  <si>
    <t>4.6 / 1240 SAT</t>
  </si>
  <si>
    <t xml:space="preserve">AP: 6'2 215 LHH strong body.  Only saw one at bat.  GIRLFRIEND is going to Navy.  Hitting videos shows a good swing.  Only hit .280 JR yr.  QB of football team.  Would not put a blue chip on him.  If he gets in on own then maybe walk-on type kid </t>
  </si>
  <si>
    <t>BELMONT commit</t>
  </si>
  <si>
    <t>Nate Webb (1B)</t>
  </si>
  <si>
    <t>POPE JOHN PAUL / Knights</t>
  </si>
  <si>
    <t>3.5 / 25 ACT</t>
  </si>
  <si>
    <t>GSU committed</t>
  </si>
  <si>
    <t>3.6 / no test</t>
  </si>
  <si>
    <t xml:space="preserve">AP: only saw video. decommit from UGA.  UGA guy said take him.  3 pitch mix, mid to upper 80's.  </t>
  </si>
  <si>
    <t>YSU committed</t>
  </si>
  <si>
    <t>Dematha/Rawlings</t>
  </si>
  <si>
    <t>11/11/23</t>
  </si>
  <si>
    <t xml:space="preserve">AP: update 7/20/24 85-87 w/ no BB.  not enough for us.  6'0 180 Update: 3/13/24 85-86 arm works.  3 IP 2K, 5-6 balls got barreled.  did not throw any offspeed? needs to improve to be a guy for us.  82-85.  clean arm, clean delivery. JK-seen and spoke to. Athletic arm. Seems like avg junior year and avg student. Likely a prep candidate at best. </t>
  </si>
  <si>
    <t>TCC commit</t>
  </si>
  <si>
    <t>St John Paul / USG/Elev8 rawlings</t>
  </si>
  <si>
    <t>4.14 / 27 ACT</t>
  </si>
  <si>
    <r>
      <rPr>
        <rFont val="Arial"/>
        <color rgb="FF000000"/>
      </rPr>
      <t xml:space="preserve">AP: 6'4 175 tall lean wide shoulders, room for more. good frame.  87-89 (90) higher spin, got s/m.  CB, CH look usable.  got s/m with those as well.  good arm speed.  FB stayed up in the zone and didn't get hit.  faced a stacked Canes lineup and threw well. saw at PG 17u hoover 4ip 3h 6k 2bb 2r. </t>
    </r>
    <r>
      <rPr>
        <rFont val="Arial"/>
        <b/>
        <color rgb="FF000000"/>
      </rPr>
      <t xml:space="preserve"> SEE AGAIN asap!  PG BCS 17u and PBR 17u lakepoint</t>
    </r>
  </si>
  <si>
    <t>2027 Depth Chart - 2026 Grads</t>
  </si>
  <si>
    <t>Sachin Gopel</t>
  </si>
  <si>
    <t>Ace Turango</t>
  </si>
  <si>
    <t>FL Dodgers scout</t>
  </si>
  <si>
    <t xml:space="preserve">August 3rd camper; athletic, clean on the mound, run sub 7.0 60.  Clean LHH swing but zero barrel release. No pop.  Probably arm only for us but see how he does with the bat.  Threw 90 from OF in camp. JK-camper after FR year. Was in touch with coaches leading up to Aug 3 camp. </t>
  </si>
  <si>
    <t xml:space="preserve">Noah Hummel </t>
  </si>
  <si>
    <t xml:space="preserve">Cape Henry </t>
  </si>
  <si>
    <t xml:space="preserve">August 3rd camper; big body low 80's with some competitiveness.  Plus CH, still working on SL.  Dad didn't let him throw breaking balls until 13 or 14.  JK- saw numerous time from freshman year forward. Young camper. </t>
  </si>
  <si>
    <t>Venice / FL Burn</t>
  </si>
  <si>
    <t>Cary Academy/Power 26 Marucci</t>
  </si>
  <si>
    <t xml:space="preserve">TR: Yes!! Need to get on campus now. Stock went way up after Wednesday night. 86-88 clean quick arm pitched with some nuts. Momnet was big close gane lots of coaches and was completely in control. FB command, heavy ball. Lots of FB swing and miss against sandlot who just ran UNC commit from game. Feel for spin, SL for strikes glove side and chase down. Not big but wiry with twitch. OFFER. Josh Rudd recc. Video looks descent. Online stats have 41k in 19IP with 16BB. Doesn't look complete. Will be at WWBA. Call setup for sunday. </t>
  </si>
  <si>
    <t>Hoover / FTB Phillies (GA)</t>
  </si>
  <si>
    <t>Sparks / Brother Rice</t>
  </si>
  <si>
    <t>white knoll / Charlotte Baseball Academy</t>
  </si>
  <si>
    <t xml:space="preserve">JK-saw in Mattingly.  Good physicality. Liked him. Wants a high academic D1. Has spoken to other high academics. Going to Showball. Slam dunk academically.  Was only soph on pitching staff at Highland Park HS with 1 draft guy and two other D1 commits (Duke/Pepperdine). Was good on phone. </t>
  </si>
  <si>
    <t>Gavin Ruta (OF)</t>
  </si>
  <si>
    <t xml:space="preserve">JK-LHH LHP/CF. Claims 6.6 runner and up to 87 on mound. Coach Rec was solid. Supposedly 3 pitch mix and a gap pop LHH. Coming off of TJ. Not coming to camp b/c still not back to 100% on mound. </t>
  </si>
  <si>
    <t>Henry Humes</t>
  </si>
  <si>
    <t>Homewood Flossmoor / Hitters</t>
  </si>
  <si>
    <t>AP: 6'5 175 tall thin. plus pitchability.  3 pitch mix.  84-87, 73-76, 70 CH.  all good pitches.  Jared Weaver comp. i liked his look. HS SO yr: 2.9ERA, 50IP, 53H, 13BB, 37K.  summer stats 37IP, 6BB, 48K.  DAD was in Navy</t>
  </si>
  <si>
    <t>North Stanley HS/South Char. Panthers</t>
  </si>
  <si>
    <t xml:space="preserve">TR: USA AZ plays for Rough Riders. Punched 7 in 5ip. Knows how to pitch. FB command good SL with depth getting swing and miss. Was prob 86-87 slider 74-5. CH to LHH. Big frame. Sounds inetersted after call. Visiting Columbia and has been in comm with Ivys. Beat out UArizona commit for starter this year 39ip 66ks and 11walks 1.2 era. </t>
  </si>
  <si>
    <t>St Xavier / Team Elite</t>
  </si>
  <si>
    <t>Original FL Pokers / North Broward Prep</t>
  </si>
  <si>
    <t>3.5 / 1100 SAT</t>
  </si>
  <si>
    <t>Buchholz HS / Gatorball</t>
  </si>
  <si>
    <t>Andrew "Steele" Thalleen</t>
  </si>
  <si>
    <t>Bishop Maclaughlin / Ostingers</t>
  </si>
  <si>
    <t xml:space="preserve">AP: undersized 6'0 180 higher spin FB 2500 wasn't being touched, 72 SL 2400 spin.  Ultra swag on mound competitor.  update: saw 2025 summer, same velo, sprayed it a little.  HS '24, 1.36 ERA, 36IP 23H 23BB 47K at 2A FL . </t>
  </si>
  <si>
    <t xml:space="preserve">Hilliard Bradley / Bo Jackson Elite </t>
  </si>
  <si>
    <t>Center Grove / Top Tier IN</t>
  </si>
  <si>
    <t>Roxbury Latin / MDB Knights</t>
  </si>
  <si>
    <t>Brunswick HS / Burn North</t>
  </si>
  <si>
    <t>Palmyra HS/Keystone State Bombers</t>
  </si>
  <si>
    <t>Loudon County HS/Stars VA</t>
  </si>
  <si>
    <t xml:space="preserve">Windham </t>
  </si>
  <si>
    <t xml:space="preserve">JK-up to 87 on mound. Bigger body/physical kid. Dad played HS football w/ my brother. </t>
  </si>
  <si>
    <t>Hiliard Bradley / Canes Midwest</t>
  </si>
  <si>
    <t xml:space="preserve">AP: Future Gamer. PBR#21 OH. Hit .392 for his HS team. Hit well over .300 in summer.  Caught for hs team.  Very nice LHH swing.  Clean catch and throw.  Uncle and grandfather were in Navy.  saw again at Grand Park PBR.  good swing, caught clean.  not super fast twitch but fundamentally good all around.  Interested for sure.  Great rec from HS coach.  Says he's really good.  Captain as SO.  WVU offered and deadlined. Michigan on him.  </t>
  </si>
  <si>
    <t>Ostingers / Berkeley Prep</t>
  </si>
  <si>
    <t xml:space="preserve">Midlothinan HS? </t>
  </si>
  <si>
    <t xml:space="preserve">JK-saw at AF camp. Good enough to keep eye on. Maybe more of a future on the mound than as pos. player. </t>
  </si>
  <si>
    <t>Patuxnet/Wow Factors G's Lions</t>
  </si>
  <si>
    <t xml:space="preserve">JK-email/video follow. Plays for solid program (G's Lions) that usually pumps out some guys. Talked to for like 30 min. Seems to be more of a baseball player/normal kid. Hit 413 with 5HR. 4 hitter as a soph. Caught 163 innings last year. Said "about 10 schools" have called but no offers. Need to see asap. </t>
  </si>
  <si>
    <t xml:space="preserve">JK-saw at Mattingly and was good enough to follow up. Avg phone conversation. </t>
  </si>
  <si>
    <t xml:space="preserve">JK-saw at AF. Athletic/medium framed kid. Looked solid at AF camp. Need to see more. </t>
  </si>
  <si>
    <t>Cory Dean Carver (SS)</t>
  </si>
  <si>
    <t>Montezuma-cortez / brewers scout team</t>
  </si>
  <si>
    <t>Danilo Soto (SS)</t>
  </si>
  <si>
    <t>Northside / FL Burn</t>
  </si>
  <si>
    <t>Ty Gray (SS)</t>
  </si>
  <si>
    <t>Scorpions / Chipley HS</t>
  </si>
  <si>
    <t>Jake Cesarz</t>
  </si>
  <si>
    <t>Pro 5 Academy/TPA Nationals</t>
  </si>
  <si>
    <t xml:space="preserve">TR: Man i really like this kid. Saw 3 ABs, playing ss. Kid flys 6.4 runner. Moves really well at SS, not a great look at arm but looks like enough clean hands and quick release. Handled a 92-94 arm. has some drive and strength potential. Cory Dean Carver comp. Awesome phone call. Perfect personality fit. Old HS coach is Navy alumn. Sounds interested talking to Yale but may be too expensive. Need to navigate academics-Very good student, taking precalc next year. Has had Chem and Physics but no lab with homeschooling. </t>
  </si>
  <si>
    <t>talked to in person</t>
  </si>
  <si>
    <t>Temecula Valley/CBA</t>
  </si>
  <si>
    <t>Josh Weaver (SS?)</t>
  </si>
  <si>
    <t>Fruita Monument / rockies scout</t>
  </si>
  <si>
    <t>Darren Daves (3B)</t>
  </si>
  <si>
    <t>Roman Zabala (SS)</t>
  </si>
  <si>
    <t xml:space="preserve">Original FL Pokers / Spanish River </t>
  </si>
  <si>
    <t xml:space="preserve">AP:  5'7 165 small shifty smooth fielding SS.  ligbht with bat.  hurt ankle in palm beach classic so didn't see.  Father FSU baseball.  </t>
  </si>
  <si>
    <t>AP/TR: Quick look but has actions at SS. Not great feel for swing just saw a couple ABs. Could be a next tier guy.</t>
  </si>
  <si>
    <t>Ocean Cozart (2B)</t>
  </si>
  <si>
    <t>Newsome / Ostingers</t>
  </si>
  <si>
    <t>William Kane (1B)</t>
  </si>
  <si>
    <t>bishop moore / FL Burn</t>
  </si>
  <si>
    <t xml:space="preserve">AP: saw at FL Burn tryout.  6'3 200 good frame.  great swing with bat speed. showed big pwr.  avg arm.  thinks he is a catcher, not good enough behind dish, must move to 1B.  saw lots of swing and miss at PBR CUP.  scary.  he's a threat in the box though.  SPRING update: .290 5 2B, 2 HR, K's, </t>
  </si>
  <si>
    <t>Bangor / Maine Lightning / NEB</t>
  </si>
  <si>
    <t>3.5 / risky</t>
  </si>
  <si>
    <t>AP: Future Gamer. PBR#15 in New England.  good strong body athletic.  6.8 run.  SO yr played OF struggled at the plate, played SS in Futures.  defensive actions were good at SS.  100 EV.  will be at PG FT MYERS w/ NEB baseball.   need to see play again.</t>
  </si>
  <si>
    <t>Wyatt Hossenlopp (CINF)</t>
  </si>
  <si>
    <t>Team 850 / cardinal Mooney</t>
  </si>
  <si>
    <t>Colton Hicks (1B)</t>
  </si>
  <si>
    <t>Independence / Dirtbags</t>
  </si>
  <si>
    <t>Alex Gannon (SS?)</t>
  </si>
  <si>
    <t>Sanford / West Chester Dragons</t>
  </si>
  <si>
    <t>AP: update; wwba 17u 85-86 all over the place.  Future gamer. PBR#38 MD (DE).  6'1 170 lean athletic body.  6.9 run.  clean swing.  fringe actinos at SS.  mid 80's w/ SL on mound.  might end up being an arm if bat isn't enough</t>
  </si>
  <si>
    <t>CPHS/ZT Elite Midwest Black</t>
  </si>
  <si>
    <t>Jack Stanger (CIF)</t>
  </si>
  <si>
    <t xml:space="preserve">JK-was at summer camp 2024. Big/physical corner guy. Strong. Worth a follow. Spoke to on the phone. Good kid. In football season. Def. End. Talking to Ivy leagues and taking visits to a couple but made a point to tell me he doesn't see himself as an Ivy League guy. Wants to serve, views Navy as the best option of the three. </t>
  </si>
  <si>
    <t>Caleb Lear (SS/RHP)</t>
  </si>
  <si>
    <t>Brentwood HS/Pro5</t>
  </si>
  <si>
    <t>Mira Costa / sandlot</t>
  </si>
  <si>
    <t>3.9 / 1280</t>
  </si>
  <si>
    <t xml:space="preserve">Runs hits plays good defense.  Fits what we are looking for currently.  </t>
  </si>
  <si>
    <t xml:space="preserve">Denmark / GA Jackets </t>
  </si>
  <si>
    <t>Lake Creek/TX Scorpions</t>
  </si>
  <si>
    <t>Clubhouse / Joel Barlow</t>
  </si>
  <si>
    <t>3.9?</t>
  </si>
  <si>
    <t xml:space="preserve">Need to see defense </t>
  </si>
  <si>
    <t>AP/CB: 5'10 170 twitchy athlete. +run, good hit tool bat to ball.  Not much pwr.  Probably an OF.  Looked slightly shaky out there on one rep.  Need to see more</t>
  </si>
  <si>
    <t xml:space="preserve">Silas Meuli </t>
  </si>
  <si>
    <t>Legend / FTB Phillies (GA)</t>
  </si>
  <si>
    <t>AP: Future gamer.  PBR#74 NY. RUNS AND HITS. athletic 6.5 runner.  good BAT.  small but can hit.  plays 2B but actions stink so move is to the outfield?  cant put a position on him yet.  HS stats hit .600 with 7HR.  plays football</t>
  </si>
  <si>
    <t>Clubhouse / Masuk HS</t>
  </si>
  <si>
    <t xml:space="preserve">AP: 5'10 175 short but plus LHH swing, and bat speed.  6.5 runner listed.  Maybe 6.7 but moves real well.  Looks like he just started hitting this summer. </t>
  </si>
  <si>
    <t>Canyon / soCal birds</t>
  </si>
  <si>
    <t>Buchholtz / Gatorball</t>
  </si>
  <si>
    <t>Plant city / Ostingers</t>
  </si>
  <si>
    <t xml:space="preserve">AP: 6'1 170 thin but room for more. light bat. 6.7 runs well, decent swing.  zero pwr.  follow only bc/ hitting leadoff for a good Ostingers 16u team.  HS '24 hit .333 4SB. </t>
  </si>
  <si>
    <t xml:space="preserve">JK-saw at WWBA. Plus physical ATH. Maybe too good. Above avg runner. Uncle coaced FB at Navy for 16 years. </t>
  </si>
  <si>
    <t>Fluvanna HS/Richmond Braves</t>
  </si>
  <si>
    <t xml:space="preserve">JK-underwhelming at camp.  Avg showcase in OF, did not showcase in IF. Light follow at best. High interest and good on phone. </t>
  </si>
  <si>
    <t>Center Grove / IN Bulls</t>
  </si>
  <si>
    <t xml:space="preserve">AP: 6'2 185 = size.  6.9 run, #202 PBR National rank.  played a clean SS and looks like a good hitter.  maybe too good for us? lead team in hitting as SO, hit .370 4HR more BB's than K's, 4SB.  good 4A IN.   Saw at PBR 16u. </t>
  </si>
  <si>
    <t>Luc Gaca Thiele (3B)</t>
  </si>
  <si>
    <t>fossil ridge / Slammers Anderson</t>
  </si>
  <si>
    <t>South Paulding / 643dp</t>
  </si>
  <si>
    <t>Easley / memphis univ school</t>
  </si>
  <si>
    <t xml:space="preserve">AP: 6'6 195.  Recommended by friend.  survey listed extended time on tests.  Have not seen or looked at performance history yet.  Sounded interested and understood opportunity.  Might not throw until December ramp up.  Shutting down this fall.  </t>
  </si>
  <si>
    <t>Gavin Jackson (CINF)</t>
  </si>
  <si>
    <t>Providence / Top Tier</t>
  </si>
  <si>
    <t xml:space="preserve">Va Tech commit </t>
  </si>
  <si>
    <t xml:space="preserve">Hanover / Richmond Braves </t>
  </si>
  <si>
    <t>Covenant Christian / IN Bulls</t>
  </si>
  <si>
    <t>ARMY</t>
  </si>
  <si>
    <t xml:space="preserve">Cole Williams </t>
  </si>
  <si>
    <t>Bp Eustace/Body Armor</t>
  </si>
  <si>
    <t>US Elite National / John Carrol</t>
  </si>
  <si>
    <t>Harrison / IN Bulls Black</t>
  </si>
  <si>
    <t>PF Flyers / Walnut Hills</t>
  </si>
  <si>
    <t>Kai'nalu Van Scoyoc (SS)</t>
  </si>
  <si>
    <t>tulane commit</t>
  </si>
  <si>
    <t>Walker Killimett (CF)</t>
  </si>
  <si>
    <t>643DP / Walton</t>
  </si>
  <si>
    <t>Liberty commit</t>
  </si>
  <si>
    <t>Camden Blank (SS)</t>
  </si>
  <si>
    <t>Spotswood / Dirtbags</t>
  </si>
  <si>
    <t>Ole Miss commit</t>
  </si>
  <si>
    <t>Jule F Sumner / Ostingers</t>
  </si>
  <si>
    <t xml:space="preserve">AP: 6'2 185 probably bigger.  BAT!  Pwr potential. #190 national rank PG.  hit .318 with 2HR in '24 HS season 7A FL.  Saw at PBR 16u. </t>
  </si>
  <si>
    <t>Michigan commit</t>
  </si>
  <si>
    <t>Matthew Mansbery (SS)</t>
  </si>
  <si>
    <t>Walsh Jesuit / Fielders Choice</t>
  </si>
  <si>
    <t>Eli Sinsabaugh (2B)</t>
  </si>
  <si>
    <t>Air Force commit</t>
  </si>
  <si>
    <t>Brodie Benefield (3B)</t>
  </si>
  <si>
    <t>St Xavier / Marucci Blackhawks</t>
  </si>
  <si>
    <t>UNF commit</t>
  </si>
  <si>
    <t>Mark Metcalf (SS)</t>
  </si>
  <si>
    <t xml:space="preserve">Team 850 / FSU school </t>
  </si>
  <si>
    <t>UL commit</t>
  </si>
  <si>
    <t>Zach Floyd (CF)</t>
  </si>
  <si>
    <t xml:space="preserve">Trinity </t>
  </si>
  <si>
    <t>Chiles HS / FTB Phillies (GA)</t>
  </si>
  <si>
    <t>New Prairie / Top Tier</t>
  </si>
  <si>
    <t xml:space="preserve">AP: Future Gamer. PBR#295 NAT. stud!  5'11 190.   LHH.  strong swing with bat speed. 6.9 run.  yes on pop and throw +/= arm. hit .470 5HR, 21 BB 7K, 3A Indiana.  Primary catcher, QB on football. No baseball until winter time </t>
  </si>
  <si>
    <t>Palisades / wow factor</t>
  </si>
  <si>
    <t>penn commit</t>
  </si>
  <si>
    <t>IMG / FL Burn</t>
  </si>
  <si>
    <t>boston college commit</t>
  </si>
  <si>
    <t>Chase Massey (SS)</t>
  </si>
  <si>
    <t xml:space="preserve">Alex king </t>
  </si>
  <si>
    <t>Not interest</t>
  </si>
  <si>
    <t>North Cross / Dirtbags</t>
  </si>
  <si>
    <t>tests problems</t>
  </si>
  <si>
    <t xml:space="preserve">AP: Future gamer. PBR #63 FL.  stud.  PG 240.  6.8 60time.  90 arm velo OF.  Spring update: .340, 9 2B, 3HR. a lot of K's s/m might be problem.  </t>
  </si>
  <si>
    <t>Hudson Reese (SS)</t>
  </si>
  <si>
    <t>Bloomingdale / Ostingers</t>
  </si>
  <si>
    <t>USM commit</t>
  </si>
  <si>
    <t>Presbyterian Christian / knights knation</t>
  </si>
  <si>
    <t xml:space="preserve">6'4 225 good size kid with good arm. 86-88, 75 SL, 79 CH.   saw on Twitter </t>
  </si>
  <si>
    <t>Mclean HS / MA Red Sox</t>
  </si>
  <si>
    <t xml:space="preserve">JK: PBR #5 LHP VA.  PG #2 LHP in VA. Kane contacted. Has interest. May be higher level guy. Need to see in fallHigh recs from Mid Atlantic RedSox coaches. Spoke to on phone. Definitiely going to check box academically. Long service history in family. PSU, NCSt, Ivy LG. TR: Ft Myers update... Did not have a good showing </t>
  </si>
  <si>
    <t>Diabetes</t>
  </si>
  <si>
    <t xml:space="preserve">TR: The guy we want. Good first phone call. Not responding to texts. .466 27stolen bases. 6.6 runner. Taking clac next year. </t>
  </si>
  <si>
    <t>Jack Champlin (SS) / RHP</t>
  </si>
  <si>
    <t>St john bosco / CBA</t>
  </si>
  <si>
    <t xml:space="preserve">AP: future gamer, 6'0 155 skinny but projectable.  PBR# 353 Nat.  good def, avg arm.  showed some instincts.  moves ok.  SPRING update: .260 not playing everyday. BUT started pitching and has good numbers.  </t>
  </si>
  <si>
    <t>Silverado HS/TB SoCal</t>
  </si>
  <si>
    <t xml:space="preserve">Peanut allergies </t>
  </si>
  <si>
    <t xml:space="preserve">Ian Taylor </t>
  </si>
  <si>
    <t>St. Theodore Guerin / IN Bulls Black</t>
  </si>
  <si>
    <t>coastal carolina commit</t>
  </si>
  <si>
    <t>Ghost/Legendary Prep</t>
  </si>
  <si>
    <t xml:space="preserve">TR: Pavs and I saw in FL. Goes to a baseball prep where they are taking online classes. Open to military talking to coastal Oregon among others. Mentioned AF. Has taken AP clac and chem. Sounds like a fit if we can get him here. Said he's not making decision until end of summer. Has full ride offer to Seattle U with NIL. Kid runs plays a solid SS and has some bat to ball with drive. 6.5 runner 5'11 180. </t>
  </si>
  <si>
    <t>2028 Depth Chart - 2027 Grads</t>
  </si>
  <si>
    <t>Kody Clancy</t>
  </si>
  <si>
    <t xml:space="preserve">Henry Humes </t>
  </si>
  <si>
    <t>Trinity / Lousiville Baseball Club National</t>
  </si>
  <si>
    <t>Great Oak / Sandlot</t>
  </si>
  <si>
    <t xml:space="preserve">AP: 6'0 190 avg arm speed, 85-86, plus CH.  </t>
  </si>
  <si>
    <t>Wakefield / Lynx Baseball</t>
  </si>
  <si>
    <t>Barnegat / 9ers</t>
  </si>
  <si>
    <t xml:space="preserve">AP: 6'1 200 good body.  85-89, good CB, yes! arm works, plus arm speed, loose.   2025 HS stats 50IP, 1.13 ERA, 71K, </t>
  </si>
  <si>
    <t>Delbarton / TKR Reds 27</t>
  </si>
  <si>
    <t>AP: 6'2 180 good body, 86-88 2500 spin, 76-78 SL good, CH.  yes! good arm speed, loose</t>
  </si>
  <si>
    <t>Blair Oaks / Royals scout</t>
  </si>
  <si>
    <t>Cardinal Mooney / FL Burn</t>
  </si>
  <si>
    <t>Notre Dame / Sandlot</t>
  </si>
  <si>
    <t>AP: 6'0 170, pitched, Future Gamer, probably too good for us.  touching 90, with SL and CH.</t>
  </si>
  <si>
    <t>Central HS / Dirtbags All black</t>
  </si>
  <si>
    <t>Woodgrove HS / TE Scout</t>
  </si>
  <si>
    <t xml:space="preserve">AP: 5'10 185 strong catcher body, HITS, high bat to ball skills, just hits, not a ton of pop, avg run.  catches clean, good release, avg arm.  </t>
  </si>
  <si>
    <t>Brennan Jones (SS)</t>
  </si>
  <si>
    <t>John Carroll / FL Burn</t>
  </si>
  <si>
    <t>AP: 5'11 170 LHH with good swing.  can hit.  Faulkner recommends.  not sure if hes a SS or 2B</t>
  </si>
  <si>
    <t>Evan Brand (2B/3B)</t>
  </si>
  <si>
    <t>Kell / 643DP</t>
  </si>
  <si>
    <t>Peter Nickson (SS)</t>
  </si>
  <si>
    <t>Rockhurst / Royals scout</t>
  </si>
  <si>
    <t>Braedon Mackay (CINF)</t>
  </si>
  <si>
    <t>Sarasota / FL Burn</t>
  </si>
  <si>
    <t>AP: 6'4 185 plus frame, HITS! PG #261 Nat.  good swing, history of hitting</t>
  </si>
  <si>
    <t>Jeter Farina (SS)</t>
  </si>
  <si>
    <t xml:space="preserve">FL </t>
  </si>
  <si>
    <t>Oakleaf HS / Scorpions</t>
  </si>
  <si>
    <t>Jacob Henderson (SS)</t>
  </si>
  <si>
    <t>Calvary Christian / Scorpions</t>
  </si>
  <si>
    <t xml:space="preserve">AP: 5'8 165 small, but strong body, athletic, good bat speed, moves well on field, had him 4.32 on 6-3, played CF and SS, not sure where he settles, HS '25 only got 25 at bats, .185.  wants NAVY, coming to AUGUST camp. </t>
  </si>
  <si>
    <t>Robert Wrobel (SS)</t>
  </si>
  <si>
    <t>Ranney / Ghost National</t>
  </si>
  <si>
    <t>Spruce Creek / Scorpions</t>
  </si>
  <si>
    <t xml:space="preserve">AP: coach rec.  6'2 180 good looking, 6.85 runner, moves well, real good swing with bat speed.  </t>
  </si>
  <si>
    <t>North Cobb Christian / 643DP</t>
  </si>
  <si>
    <t>Westfield School / 643DP</t>
  </si>
  <si>
    <t>AP: 6'1 170, super athlete, 6.4 run.  raw hitter, 3 sport athlete, has D1 football offers midmajors, Danny said he has interest in Navy.  Has hit every summer performance history</t>
  </si>
  <si>
    <t>AP: coach rec.  6'0 185 strong body.  good swing and bat speed.  saw briefly</t>
  </si>
  <si>
    <t>Lawrence Free State HS / Royals scout</t>
  </si>
  <si>
    <t>AP: 5'10 160 small athlete, HITS and RUNS, PBR #5 overall in KS, Future Gamer</t>
  </si>
  <si>
    <t>Williamsport HS / Ghost National</t>
  </si>
  <si>
    <t>Mahwah / Ghost National</t>
  </si>
  <si>
    <t>Mosley / TE Scout</t>
  </si>
  <si>
    <t xml:space="preserve">AP: 5'11 180, RAKES! LHH.  plus bat speed, plus swing.  has pop. PG #479 Nat.  </t>
  </si>
  <si>
    <t>Date</t>
  </si>
  <si>
    <t>Ristano</t>
  </si>
  <si>
    <t>Bosco</t>
  </si>
  <si>
    <t>Reilly</t>
  </si>
  <si>
    <t>Pavkovich</t>
  </si>
  <si>
    <t>Moritz</t>
  </si>
  <si>
    <t>PERIOD</t>
  </si>
  <si>
    <t>All Events</t>
  </si>
  <si>
    <t>Monday</t>
  </si>
  <si>
    <t>Commissioning Week</t>
  </si>
  <si>
    <t>CONTACT</t>
  </si>
  <si>
    <t>Tuesday</t>
  </si>
  <si>
    <t>Wednesday</t>
  </si>
  <si>
    <t>Thursday</t>
  </si>
  <si>
    <t>CW / Senior Banquet</t>
  </si>
  <si>
    <t>Friday</t>
  </si>
  <si>
    <t>Graduation</t>
  </si>
  <si>
    <t>Saturday</t>
  </si>
  <si>
    <t>Selection Show</t>
  </si>
  <si>
    <t>DEAD</t>
  </si>
  <si>
    <t>NCAA Regional</t>
  </si>
  <si>
    <t>sports brief 3:45pm</t>
  </si>
  <si>
    <t>Tom Farrell Showcase (MD)</t>
  </si>
  <si>
    <t>H3 Academic/Charlottesville</t>
  </si>
  <si>
    <t>H3 Showcase/Charlottesville</t>
  </si>
  <si>
    <t>PG Beast of the East / PBR NPI (GA)</t>
  </si>
  <si>
    <t>TB SoCal Showcase &amp; NorCal World Series (CA)</t>
  </si>
  <si>
    <t>PS Palm Beach Classic (FL)</t>
  </si>
  <si>
    <t>PBR NPI Tournament</t>
  </si>
  <si>
    <t>Pros Select Palm Beach Classic - FL</t>
  </si>
  <si>
    <t>Elite National Scout Day? (PA)</t>
  </si>
  <si>
    <t>PBR PA State Games (PA)</t>
  </si>
  <si>
    <t>Prospect Camp 1</t>
  </si>
  <si>
    <t>Prospect Camp</t>
  </si>
  <si>
    <t>DJack / Northeast Pride Scout Day (NJ)</t>
  </si>
  <si>
    <t>USA 17U Nat Champ AZ</t>
  </si>
  <si>
    <t>Garden State Games (NJ)</t>
  </si>
  <si>
    <t>UBC South (Houston, TX)</t>
  </si>
  <si>
    <t>USA National Tourn 17u Cary</t>
  </si>
  <si>
    <t>PG UBC West (CA)</t>
  </si>
  <si>
    <t>UBC NE in Staten Island?
(NY)</t>
  </si>
  <si>
    <t>PBR Lakepoint Classic 16u/17u</t>
  </si>
  <si>
    <t>Last day of school in AAC</t>
  </si>
  <si>
    <t>PG UBC West 16U Irvine, CA</t>
  </si>
  <si>
    <t>Youth Camp</t>
  </si>
  <si>
    <t>DN Super 17 (NJ)</t>
  </si>
  <si>
    <t>PG UBC East (FL)</t>
  </si>
  <si>
    <t>Super 17 WK 1 Diamond Nation</t>
  </si>
  <si>
    <t>PG UBC West 17U Irvine, CA</t>
  </si>
  <si>
    <t>PG UBC 16/17U</t>
  </si>
  <si>
    <t>USA 16U Nat Champ AZ</t>
  </si>
  <si>
    <t>BodyArmour NC State Games</t>
  </si>
  <si>
    <t>Black Bear Classic</t>
  </si>
  <si>
    <t>VT - 16U Pudge (TX)</t>
  </si>
  <si>
    <t>Dig IN Baseball Showcase-Joe Cannon</t>
  </si>
  <si>
    <t>New York</t>
  </si>
  <si>
    <t>Wisconsin</t>
  </si>
  <si>
    <t>Super 17 WK 2 Diamond Nation</t>
  </si>
  <si>
    <t>WWBA 17U (GA)</t>
  </si>
  <si>
    <t>PBR MD Top Prospect//Joe Cannon</t>
  </si>
  <si>
    <t>NY State Games</t>
  </si>
  <si>
    <t>USA National Tourn 16u Cary</t>
  </si>
  <si>
    <t>Pre I-Day Meeting</t>
  </si>
  <si>
    <t>WWBA 17U Nat Champ GA</t>
  </si>
  <si>
    <t>PBR VA/DC Top Prospect Fairfax VA</t>
  </si>
  <si>
    <t>NY State Games (plus June 26)</t>
  </si>
  <si>
    <t>I-Day</t>
  </si>
  <si>
    <t>PBR 16U Nat'l Champ (GA)</t>
  </si>
  <si>
    <t>PBR Nat Champ 16U LP</t>
  </si>
  <si>
    <t>PBR 16/17U - Grand Park Sum Champ</t>
  </si>
  <si>
    <t>Omaha - Wedding</t>
  </si>
  <si>
    <t>Sadie's BDay</t>
  </si>
  <si>
    <t>PG National Elite 16U (AL)</t>
  </si>
  <si>
    <t>PBR 16U Nat'l Champ</t>
  </si>
  <si>
    <t>I95</t>
  </si>
  <si>
    <t>PG 16U Hoover Nat Elite Champ</t>
  </si>
  <si>
    <t>WWBA 16U Nat Champ GA</t>
  </si>
  <si>
    <t>Prospect Select Boston Classic</t>
  </si>
  <si>
    <t>Youth Camp 2</t>
  </si>
  <si>
    <t>Boston Classic (MA)</t>
  </si>
  <si>
    <t>Boston Classic Pros Select</t>
  </si>
  <si>
    <t>VT - 17U Mattingly (TX)</t>
  </si>
  <si>
    <t>AABC Mattingly WS, Melissa TX</t>
  </si>
  <si>
    <t>PG WWBA West (AZ)</t>
  </si>
  <si>
    <t>PG National Elite 17U (AL)</t>
  </si>
  <si>
    <t>PG 17U Hoover Nat Elite Champ</t>
  </si>
  <si>
    <t>VT - Dave Roberts (CA)</t>
  </si>
  <si>
    <t>Presley's BDay</t>
  </si>
  <si>
    <t>PBR Nat Champ 17U LP</t>
  </si>
  <si>
    <t>Jon BDay</t>
  </si>
  <si>
    <t>PG BCS 17U (FL)</t>
  </si>
  <si>
    <t>Overnight Camp</t>
  </si>
  <si>
    <t>Futures Games?</t>
  </si>
  <si>
    <t>PBR Sr. Futures (GA)</t>
  </si>
  <si>
    <t>Senior Futures Games</t>
  </si>
  <si>
    <t>PBR Futures (GA)</t>
  </si>
  <si>
    <t>PG 17u BCS - FT Myers</t>
  </si>
  <si>
    <t>PG BCS 16U (FL)</t>
  </si>
  <si>
    <t>Youth Camp 3</t>
  </si>
  <si>
    <t>PG Best of the Best New England /
PS Boston Invite (MA)</t>
  </si>
  <si>
    <t>I95 1 (NJ)</t>
  </si>
  <si>
    <t>Dude Day (CA)</t>
  </si>
  <si>
    <t>5Tool World Series</t>
  </si>
  <si>
    <t>VT - West WS (CA)</t>
  </si>
  <si>
    <t>5Tool Word Series</t>
  </si>
  <si>
    <t>Quakes (CA)</t>
  </si>
  <si>
    <t>Area Code Colorado</t>
  </si>
  <si>
    <t>Baseball U Maryland</t>
  </si>
  <si>
    <t>I95 2 (NJ)</t>
  </si>
  <si>
    <t>5 Tool World Series</t>
  </si>
  <si>
    <t>SoCal Giants (CA)</t>
  </si>
  <si>
    <t>Slammers Workout (CO)</t>
  </si>
  <si>
    <t>Slammers Workout</t>
  </si>
  <si>
    <t>Prospect Camp 2</t>
  </si>
  <si>
    <t>Fall Term Begins</t>
  </si>
  <si>
    <t>QUIET</t>
  </si>
  <si>
    <t>Grand Park</t>
  </si>
  <si>
    <t>PBR Cup</t>
  </si>
  <si>
    <t>AZFC</t>
  </si>
  <si>
    <t>Ft. Myers</t>
  </si>
  <si>
    <t>Cost</t>
  </si>
  <si>
    <t>Event</t>
  </si>
  <si>
    <t>TOTAL SPENT</t>
  </si>
  <si>
    <t>Events</t>
  </si>
  <si>
    <t>Max Bishop Camp Schedule</t>
  </si>
  <si>
    <t>Senior Banquet</t>
  </si>
  <si>
    <t>FL BURN - SOTO ft myers PG</t>
  </si>
  <si>
    <t xml:space="preserve">  </t>
  </si>
  <si>
    <t>NASS Sports Brief (345-445)</t>
  </si>
  <si>
    <t>PBR NPI Tournament/Beast of East</t>
  </si>
  <si>
    <t>PG JR National</t>
  </si>
  <si>
    <t>Last day of school arundel</t>
  </si>
  <si>
    <t>Youth Camp 1</t>
  </si>
  <si>
    <t>Youth Camp 1/                                  NASS Sports Brief/345-445 Alumni</t>
  </si>
  <si>
    <t>Dig In Showcase, Joe Canon Stadium</t>
  </si>
  <si>
    <t>NAVY Showcase Date</t>
  </si>
  <si>
    <t>Pre Iday Meeting/Gear Drop (Nick)</t>
  </si>
  <si>
    <t>WWBA 17U</t>
  </si>
  <si>
    <t>PBR Nat Champ 16u LP</t>
  </si>
  <si>
    <t>Sadie's Bday</t>
  </si>
  <si>
    <t>Prospect Select Request//1pm start</t>
  </si>
  <si>
    <t>Prospect Select Request</t>
  </si>
  <si>
    <t>Move to Annapolis</t>
  </si>
  <si>
    <t>Official 1st Day</t>
  </si>
  <si>
    <t>Navy Youth 1</t>
  </si>
  <si>
    <t>Presley's Bday</t>
  </si>
  <si>
    <t>Jon's Bday</t>
  </si>
  <si>
    <t>PG25 Staten Island Fred Bornn '26 RHP (2)</t>
  </si>
  <si>
    <t>Navy Overnight</t>
  </si>
  <si>
    <t>Senior Futures at LP///2026 Uncommitted</t>
  </si>
  <si>
    <t>Senior Futures Day 2 at LP</t>
  </si>
  <si>
    <t xml:space="preserve"> Senior Futures Games?</t>
  </si>
  <si>
    <t xml:space="preserve">Futures Games </t>
  </si>
  <si>
    <t>Giants Workout</t>
  </si>
  <si>
    <t>1st Day of class</t>
  </si>
  <si>
    <t>Sept 1</t>
  </si>
  <si>
    <t>Sept 2</t>
  </si>
  <si>
    <t>Sept 3</t>
  </si>
  <si>
    <t>Sept 4</t>
  </si>
  <si>
    <t>Sept 5</t>
  </si>
  <si>
    <t>Sept 6</t>
  </si>
  <si>
    <t>Sept 7</t>
  </si>
  <si>
    <t>Sept 8</t>
  </si>
  <si>
    <t>Sept 9</t>
  </si>
  <si>
    <t>Sept 10</t>
  </si>
  <si>
    <t>Sept 11</t>
  </si>
  <si>
    <t>Sept 12</t>
  </si>
  <si>
    <t>Sept 13</t>
  </si>
  <si>
    <t xml:space="preserve">Grand park Fall Classic PBR </t>
  </si>
  <si>
    <t>PG Fall World Series - East Cobb (10 good teams)</t>
  </si>
  <si>
    <t>Sept 14</t>
  </si>
  <si>
    <t>UMBC//4 team tourney</t>
  </si>
  <si>
    <t>FTB Invitational at UMBC</t>
  </si>
  <si>
    <t>Sept 15</t>
  </si>
  <si>
    <t>UMBC/LHP Dan Ockerman</t>
  </si>
  <si>
    <t>Sept 16</t>
  </si>
  <si>
    <t>Sept 17</t>
  </si>
  <si>
    <t>Sept 18</t>
  </si>
  <si>
    <t>Sept 19</t>
  </si>
  <si>
    <t>AZ Junior Fall Classic</t>
  </si>
  <si>
    <t>Sept 20</t>
  </si>
  <si>
    <t>PBR Cup - LP</t>
  </si>
  <si>
    <t>PBR the Rock Championship (WI)</t>
  </si>
  <si>
    <t>Home FB Game/Recruits on Campus</t>
  </si>
  <si>
    <t>Sept 22</t>
  </si>
  <si>
    <t>Sept 23</t>
  </si>
  <si>
    <t>Sept 24</t>
  </si>
  <si>
    <t>Sept 25</t>
  </si>
  <si>
    <t>Travel Day</t>
  </si>
  <si>
    <t>Sept 26</t>
  </si>
  <si>
    <t>AZ Senior Fall Classic / 2025's Academic game</t>
  </si>
  <si>
    <t>Sept 27</t>
  </si>
  <si>
    <t>PBR DC Fall Championships - Patriot Park</t>
  </si>
  <si>
    <t>Sept 28</t>
  </si>
  <si>
    <t>NAVY FALL SHOWCASE</t>
  </si>
  <si>
    <t>Sept 29</t>
  </si>
  <si>
    <t>Sept 30</t>
  </si>
  <si>
    <t>Travel Day (tbd if covering IMG)</t>
  </si>
  <si>
    <t>17U WWBA Underclass Ft. Myers</t>
  </si>
  <si>
    <t>PBR VA Fall World Series</t>
  </si>
  <si>
    <t>Travel Day (had to take AM flight)</t>
  </si>
  <si>
    <t>Grand Park Fall Championships PBR (IN)</t>
  </si>
  <si>
    <t>PBR FL State Games</t>
  </si>
  <si>
    <t>Prep Baseball Cup (GA)</t>
  </si>
  <si>
    <t>PBT Rock Fall Championships (WI)</t>
  </si>
  <si>
    <t>AZ Sr Fall Classic / Academic Game</t>
  </si>
  <si>
    <t>AZ Sr Fall Classic</t>
  </si>
  <si>
    <t>PBR Upperclass Fall World Series (GA)</t>
  </si>
  <si>
    <t>Jupiter?</t>
  </si>
  <si>
    <t>NAVY PROSPECT CAMP</t>
  </si>
  <si>
    <t>On Recruiting Board?</t>
  </si>
  <si>
    <t>REGIONAL ASSIGNMENTS</t>
  </si>
  <si>
    <t>EVENTS BY REGION</t>
  </si>
  <si>
    <t>California</t>
  </si>
  <si>
    <t>PG WWBA West, Dude Day, PG UBC West, Quakes, SoCal Giants, TB SoCal Showcase &amp; NorCal World Series, VT - Dave Roberts, VT - West WS</t>
  </si>
  <si>
    <t>PG BCS 16U, PG BCS 17U, PG UBC East, PS Palm Beach Classic</t>
  </si>
  <si>
    <t>UBC South, VT - 16U Pudge, VT - 17U Mattingly, PG Beast of the East, PBR NPI</t>
  </si>
  <si>
    <t>Mid Atlantic</t>
  </si>
  <si>
    <t>Boston Classic, PG Best of the Best New England / PS Boston Invite, DJack / Northeast Pride Scout Day, DN Super 17, Garden State Games, I95 1, I95 2, UBC NE, PBR PA State Games</t>
  </si>
  <si>
    <t>Georgia</t>
  </si>
  <si>
    <t>PG BCS 16U, PG BCS 17U, PG UBC East, PG Beast of the East, PBR NPI</t>
  </si>
  <si>
    <t>New England</t>
  </si>
  <si>
    <t>Boston Classic, PG Best of the Best New England / PS Boston Invite, DN Super 17</t>
  </si>
  <si>
    <t>DMV/NC</t>
  </si>
  <si>
    <t>PG Beast of the East / PBR NPI</t>
  </si>
  <si>
    <t>Other</t>
  </si>
  <si>
    <t>National Events</t>
  </si>
  <si>
    <t>PG National Elite 16U, PG National Elite 17U, PBR 16U Nat'l Champ, PBR Futures, PBR Sr. Futures, WWBA 17U</t>
  </si>
  <si>
    <t>Boston Classic</t>
  </si>
  <si>
    <t>PG BCS 16U</t>
  </si>
  <si>
    <t>PG National Elite 16U</t>
  </si>
  <si>
    <t>PG Best of the Best New England /
PS Boston Invite</t>
  </si>
  <si>
    <t>PG BCS 17U</t>
  </si>
  <si>
    <t>PG National Elite 17U</t>
  </si>
  <si>
    <t>DJack / Northeast Pride Scout Day</t>
  </si>
  <si>
    <t>PG UBC East</t>
  </si>
  <si>
    <t>DN Super 17</t>
  </si>
  <si>
    <t>PBR Sr. Futures</t>
  </si>
  <si>
    <t>I95 1</t>
  </si>
  <si>
    <t>I95 2</t>
  </si>
  <si>
    <t>UBC NE</t>
  </si>
  <si>
    <t>PBR PA State Games</t>
  </si>
  <si>
    <t>DEPTH CHART INPUT</t>
  </si>
  <si>
    <t>Season</t>
  </si>
  <si>
    <t>Position</t>
  </si>
  <si>
    <t>Bat/Throw</t>
  </si>
  <si>
    <t>Year</t>
  </si>
  <si>
    <t>Connor Secrist</t>
  </si>
  <si>
    <t>Connor Seacrist</t>
  </si>
  <si>
    <t>Jack VanGemert</t>
  </si>
  <si>
    <t>Recruited Position</t>
  </si>
  <si>
    <t>Statistics HS/Summer</t>
  </si>
  <si>
    <t>Ath. Accolades</t>
  </si>
  <si>
    <t>Test Scores</t>
  </si>
  <si>
    <t>HS Coach Rec</t>
  </si>
  <si>
    <t>Summer Coach Rec</t>
  </si>
  <si>
    <t>Evaluation</t>
  </si>
  <si>
    <t>Catcher</t>
  </si>
  <si>
    <t>HS - .427 avg, .527 obp, 1.140 ops, .993 fpct.</t>
  </si>
  <si>
    <t>3x All Conference</t>
  </si>
  <si>
    <t>20 ACT 24 on math. Knows he would need to take again and take a precalc. Have sent to John for his review and to find a path to admission.</t>
  </si>
  <si>
    <t>Says hes best catcher in Kansas. Coaches him in football and baseball. Very good talent hard worker. Meets and exceeds expectations. Leader high character, he is his kids favortite player. Plus arm explosive bat. moved him from 3 to 2 hole during season. Best hitter on team, has some juice very disciplined veteran hitter. 2nd team all conference. Parents are very supportive, mom works for booster club. Parents don't talk to coaches. Has a juco and D2 offer currently.</t>
  </si>
  <si>
    <t xml:space="preserve">73.2 IP, 126 SO, 10-2 record, 2.00 ERA, </t>
  </si>
  <si>
    <t>All Region Team, All State Team</t>
  </si>
  <si>
    <t>4.3 has taken a pre-calc</t>
  </si>
  <si>
    <t>25 ACT. 25 Math.</t>
  </si>
  <si>
    <t>Best stuff on team ball moves. Consistently 86-89. FB/CH guy. Breaking ball needs work. Does punch guys, broke school record for K's and was second in the state. Hard to hit his FB asr and heavy. Parenst are great people. He can get hard on himself and body language can get bad. But he is very respectful not a guy that gets in trouble. High character, no reservations in recommending him for the academy.</t>
  </si>
  <si>
    <t>arl</t>
  </si>
  <si>
    <t>Aug 31 Vs. Bucknell</t>
  </si>
  <si>
    <t>Sept. 7th Vs. Temple</t>
  </si>
  <si>
    <t>Sept. 21 Vs. Memphis</t>
  </si>
  <si>
    <t>Oct. 12th - No Game</t>
  </si>
  <si>
    <t>Oct. 19th Charlotte</t>
  </si>
  <si>
    <t>Friday Oct. 25 - No Game</t>
  </si>
  <si>
    <t>Nov 16th Vs. Tulane</t>
  </si>
  <si>
    <t>Julian Ashley-Friedman (25 SS)</t>
  </si>
  <si>
    <t>Nolan Gillis (26 RHP NY)</t>
  </si>
  <si>
    <t>Noah Hummel (Commit 26 LHP/ VA)</t>
  </si>
  <si>
    <t>Henry Humes RHP ILL (26)</t>
  </si>
  <si>
    <t>Tristan Lange (26 RHP)</t>
  </si>
  <si>
    <t>Carter Cox (26 LHP FL) - RESCHEDULED</t>
  </si>
  <si>
    <t>Jackson Lee (25 LHP TN)</t>
  </si>
  <si>
    <t>Geno Goralski (26 OF/GA)</t>
  </si>
  <si>
    <t>Cory Dean Carver (26 SS CO)</t>
  </si>
  <si>
    <t>Alex King 2026 RHP CO (OV form filled out)</t>
  </si>
  <si>
    <t>Jax Caden Heid</t>
  </si>
  <si>
    <t>Eric Benner ('26 RHP/SS-MD)</t>
  </si>
  <si>
    <t>Wilkin Lurie (26 OF/NC)</t>
  </si>
  <si>
    <t>Mateu Dalamau 2026 LHP FL (OV form sent)</t>
  </si>
  <si>
    <t>Brian Mancinelli ('26 RHP/ MA)</t>
  </si>
  <si>
    <t>Evan Daly (2025 RHP/tentative)</t>
  </si>
  <si>
    <t>Sachin Gopal (2025 Commit)</t>
  </si>
  <si>
    <t>Jake Hooten (2025 Commit)</t>
  </si>
  <si>
    <t>Noah Stead (Commit 25 SS) - Unofficial</t>
  </si>
  <si>
    <t>Patrick Walsh (2025 Commit)</t>
  </si>
  <si>
    <t>Garrison Wade (Commit 26 LHP/FL)</t>
  </si>
  <si>
    <t>Jackson Clark (football tickets only)</t>
  </si>
  <si>
    <t>2025 Depth Chart - 2024 Grads</t>
  </si>
  <si>
    <t>Liam Golden</t>
  </si>
  <si>
    <t>Brock Murtha</t>
  </si>
  <si>
    <t>Landon Kruer</t>
  </si>
  <si>
    <t>Owen Beisty</t>
  </si>
  <si>
    <t>Ivan Aguirre</t>
  </si>
  <si>
    <t>Brendan Munnelly</t>
  </si>
  <si>
    <t>Mike Plummer (OF/LHP)</t>
  </si>
  <si>
    <t>Ty Deperno (C/RHP)</t>
  </si>
  <si>
    <t>Aidan Chamberlain</t>
  </si>
  <si>
    <t>Drew Stark</t>
  </si>
  <si>
    <t>NEEDS</t>
  </si>
  <si>
    <t>1 SS</t>
  </si>
  <si>
    <t>Andre Wood</t>
  </si>
  <si>
    <t>1 C</t>
  </si>
  <si>
    <t>1 ARM</t>
  </si>
  <si>
    <t>commit</t>
  </si>
  <si>
    <t>offered</t>
  </si>
  <si>
    <t>Academic Transcript/Test Score</t>
  </si>
  <si>
    <t>The Bolles</t>
  </si>
  <si>
    <t>Top Tier Roos Red. 84-86/77-78. Big physical with quick arm.  Loses front side but has high ceiling. Commanded the zone. Good shape and speed on SL. Chuck spoke with day after appearance. Need to get to campus. Coming off Labrum surgery.</t>
  </si>
  <si>
    <t>Christian Klehr</t>
  </si>
  <si>
    <t>Lutheran HS</t>
  </si>
  <si>
    <t>Emailed and saw on twitter. Like the video</t>
  </si>
  <si>
    <t>Dane Rossi</t>
  </si>
  <si>
    <t>American Heritage HS</t>
  </si>
  <si>
    <t>AP: recommened by Todd Fitz-gerald...might see at Jupiter PG.  85-88 avg sized LHP.  starter for American Heritage.   not good enough</t>
  </si>
  <si>
    <t>Gabe Connelly</t>
  </si>
  <si>
    <t>Caldwell Academy</t>
  </si>
  <si>
    <t>Homeschool</t>
  </si>
  <si>
    <t>Prep candidate - Need to see</t>
  </si>
  <si>
    <t>Carter Hall</t>
  </si>
  <si>
    <t>Park Tudor</t>
  </si>
  <si>
    <t>Must see AZ</t>
  </si>
  <si>
    <t>Cael Clancy</t>
  </si>
  <si>
    <t>Pitching in AZ SR Fall classic. Camp on 8/8 - Threw 80% pen. Repeatedly hit the GS FB ball came out of his hand. Feel for BB. Coachable and atheltic. Body and frame project well. Need to see live this fall</t>
  </si>
  <si>
    <t>Brady Wright</t>
  </si>
  <si>
    <t>East Lake</t>
  </si>
  <si>
    <t>8/28 Call - Talked to him about possibility of foundation. Has a D in Pre-calc. Not a no but wasn't excited about the idea. Kaner got brief look in GA. 6'3" 86-88 looks part. Spoke with HS coach Zac Roper - Loves the kid going to be his #1 this year. Roper said he can realy pitch and just needed some velo which is what we started to see. Area scout told me he is very good when he is on but he can be erractic and lose command at times. labeled him more of a project but a great body velo potential and if his consistency clicks could be a guy.</t>
  </si>
  <si>
    <t>Cody Hughes</t>
  </si>
  <si>
    <t>Charles Jordan Sr. HS</t>
  </si>
  <si>
    <t>Walked way too many guys. Josh Rudd reache dout. Video looks decent, digging a bit</t>
  </si>
  <si>
    <t>Brayden Dunbar</t>
  </si>
  <si>
    <t>Keller HS</t>
  </si>
  <si>
    <t>1110 SAT/Math class issue</t>
  </si>
  <si>
    <t>7/30 - Was recc from CDR in TX. Classes are going to be an issue. Discussed coming to camp but was clear about the need to bump SAT and change his senior courses to include Precalc.</t>
  </si>
  <si>
    <t>Hampton Phillips</t>
  </si>
  <si>
    <t>Fort Bend Austin HS</t>
  </si>
  <si>
    <t xml:space="preserve">Kaner saw in Hoover. Good convo with kid and dad. Very interested. Trying to get to camp or find an opportunity to evlaute again. </t>
  </si>
  <si>
    <t>Wesley Payne</t>
  </si>
  <si>
    <t>Central Catholic</t>
  </si>
  <si>
    <t>Pierce Tewksbury</t>
  </si>
  <si>
    <t>Dawson Sweeney</t>
  </si>
  <si>
    <t xml:space="preserve">HS Coach reached out. Looks liek a late bloomer. High 85-87 guy with what looks like a sharp SL on video. </t>
  </si>
  <si>
    <t>Jace Roosien</t>
  </si>
  <si>
    <t>4.1/1270</t>
  </si>
  <si>
    <t>7/30 Call - Still committed to NW but wanst to leave. Very interested in service. Very good phone convo with him and parents. Need to see live playing in Northborough this week.</t>
  </si>
  <si>
    <t>Aiden Voyles</t>
  </si>
  <si>
    <t>Valencia HS/So cal Giants</t>
  </si>
  <si>
    <t>Dude Day: Very good actions behind the dish. Small 5'9" but powerful build 175. Very quick twitch with a poweful accuarte arm. quick release and controls the game. Enough with the bat to help us. Short line drive swing.</t>
  </si>
  <si>
    <t>Peter Dworczayk</t>
  </si>
  <si>
    <t>Tanner Reese</t>
  </si>
  <si>
    <t>Kannan Virgilio</t>
  </si>
  <si>
    <t>Emailed Call 8/29</t>
  </si>
  <si>
    <t>Milo Obradovich</t>
  </si>
  <si>
    <t>Northridge HS</t>
  </si>
  <si>
    <t xml:space="preserve">Emailed video was good. </t>
  </si>
  <si>
    <t>The Potomac HS</t>
  </si>
  <si>
    <t>American Heritage</t>
  </si>
  <si>
    <t>3.8 no test yet</t>
  </si>
  <si>
    <t>camper: looked athletic, ++runner.  yes, sign!</t>
  </si>
  <si>
    <t>Sidwell Friends</t>
  </si>
  <si>
    <t>Derek Almeda</t>
  </si>
  <si>
    <t>Rancho Cucamonga</t>
  </si>
  <si>
    <t>Dude Day: Ath frame and actions at SS. Just enough arm to play SS. Like the swing enough but stood out defensively. Wide stance athletic in the box, showed some drive.</t>
  </si>
  <si>
    <t>Daniel Spicher</t>
  </si>
  <si>
    <t>Matthew Bernath</t>
  </si>
  <si>
    <t>Nolan Naese</t>
  </si>
  <si>
    <t>Out-of-Door Academy</t>
  </si>
  <si>
    <t>Emailed - Coming to camp. Kaner good recc.</t>
  </si>
  <si>
    <t>Jack Austin</t>
  </si>
  <si>
    <t>Millbrook HS</t>
  </si>
  <si>
    <t>Emailed - Setting up phone call</t>
  </si>
  <si>
    <t>Chatard</t>
  </si>
  <si>
    <t>St. John Neuman</t>
  </si>
  <si>
    <t>9/8-9/9</t>
  </si>
  <si>
    <t>Landon Hutcheson</t>
  </si>
  <si>
    <t>4.1/1210</t>
  </si>
  <si>
    <t>Jaylon Humbles</t>
  </si>
  <si>
    <t>Dylan Whitfield</t>
  </si>
  <si>
    <t>Emailed setting up a call</t>
  </si>
  <si>
    <t>Ben Pew</t>
  </si>
  <si>
    <t>Maret HS</t>
  </si>
  <si>
    <t>3.86/1290</t>
  </si>
  <si>
    <t>Stars Baseball - Sisk. Has visited and received an offer on 7/17. Working to get hom back up to campus with his parents. Need to make sure he has applied and collect acaemic documents for read.</t>
  </si>
  <si>
    <t>William &amp; Mary</t>
  </si>
  <si>
    <t>Tyler Kelly</t>
  </si>
  <si>
    <t>Riverside HS</t>
  </si>
  <si>
    <t>Tim saw at UMBC,Chuck saw in GA. Struggled in GA, on the back burner. Did speak with him on 7/22 and is still very inetersted. May come to camp on Aug 8th but close to making decision.</t>
  </si>
  <si>
    <t>Louisiana Monroe</t>
  </si>
  <si>
    <t>Ashton Bassett</t>
  </si>
  <si>
    <t>Magnolia HS</t>
  </si>
  <si>
    <t>4.2/1210 (2.9UW)</t>
  </si>
  <si>
    <t>Kaner saw in Hoover. Good convo. Moderate interest. Pitching in AZ next week. Retaking SAT</t>
  </si>
  <si>
    <t>Parker Corbin</t>
  </si>
  <si>
    <t>Cincinatti Country Day</t>
  </si>
  <si>
    <t>7/28 - Visiting MD on Tuesday</t>
  </si>
  <si>
    <t>Christian Kleher</t>
  </si>
  <si>
    <t>Awful phone call. Emailed - Video looks good setting up a call</t>
  </si>
  <si>
    <t>UC Irvine</t>
  </si>
  <si>
    <t>Tyler Foster</t>
  </si>
  <si>
    <t>Carlsbad HS</t>
  </si>
  <si>
    <t>Called to say he wasn't interested - So Cal Giants Workout: 85-87/88. SL was a plus pitch 75-76. Kid was striking everyone out in 10 seconds. Pounded the glove side FB, incredibly impressive how many times he hit the exact same spot. SL off the FB was a plus pitch. Could throw for K and expand on command. Call him right after he left the workout. Grandfather worked for pentagon for 25 yrs. They live near camp pendleton. He is very open and excited to learn about military and the academy. HS last year 40IP/36K/13BB/1.75ERA</t>
  </si>
  <si>
    <t>Mason Phillips</t>
  </si>
  <si>
    <t>Not enough in the bat - Coming to camp on the 8th. Kaner saw breifly in Hoover. athletic kid checks alot of bboxes.</t>
  </si>
  <si>
    <t>Wofford</t>
  </si>
  <si>
    <t>Wes Estes</t>
  </si>
  <si>
    <t>Marvin Ridge</t>
  </si>
  <si>
    <t xml:space="preserve">Kaner saw in Hoover, Tim in GA. Has a lot of ineterst. Can pitch for us. strikethrower gets to his glove side withj plus command repeats well. SL is a plus pitch and he cmds both SL and CH very well. Has a partial tear in labrum. works with PT and tread. Not getting surgery can throw through. </t>
  </si>
  <si>
    <t>Murchael Turner</t>
  </si>
  <si>
    <t>Parker McDaniels</t>
  </si>
  <si>
    <t>Olentangy HS</t>
  </si>
  <si>
    <t>3.9/20</t>
  </si>
  <si>
    <r>
      <rPr>
        <rFont val="Arial"/>
        <color rgb="FFFF0000"/>
      </rPr>
      <t>7/28 Call - Starting Football speaking with parents about a time ot visit</t>
    </r>
    <r>
      <rPr>
        <rFont val="Arial"/>
        <color theme="1"/>
      </rPr>
      <t>.Top end talent catcher with cinci flames. Slam dunk talent. Has multiple offers. Miami Ohio decommit. Working to get him to campus.</t>
    </r>
  </si>
  <si>
    <t>Tyler Antwine</t>
  </si>
  <si>
    <r>
      <rPr>
        <rFont val="Arial"/>
        <color rgb="FFFF0000"/>
      </rPr>
      <t>Call 8/9 - Interested and wants to visit. I think family has $ issues and this may be a great option. School only offers AP Calc as senior and he is worried he won't do well. Taking SAT in the fall. Call 8/3</t>
    </r>
    <r>
      <rPr>
        <rFont val="Arial"/>
        <color theme="1"/>
      </rPr>
      <t xml:space="preserve"> - Dude Day - Hit two bombs. Very powerful swing with bs. in the zone and plus turn. Saw him in GA and also went oppo over RC fence. hit one out to right and one out to left at dude day. Hit .394 with 8 HRs in HS career. Hit .329 with 4HR as Junior</t>
    </r>
  </si>
  <si>
    <t>Brayden Leonard</t>
  </si>
  <si>
    <t>4.5/1310 AP calac as soph</t>
  </si>
  <si>
    <t>7/31 phone call: has ineterst. sent me academci info. wanst to visit working on a date.</t>
  </si>
  <si>
    <t>Gardner Webb</t>
  </si>
  <si>
    <t>Pat Niehus</t>
  </si>
  <si>
    <t>Prep</t>
  </si>
  <si>
    <t>Michael Fernandez</t>
  </si>
  <si>
    <t>Gaither HS/Midland Swarm</t>
  </si>
  <si>
    <t>Saw video on PBR setting up call - Disrespectful communicator, not interetsed.</t>
  </si>
  <si>
    <t>Anders Ahladas</t>
  </si>
  <si>
    <t>Liberty Univ. Online/Pro 5</t>
  </si>
  <si>
    <t>3.95/No test</t>
  </si>
  <si>
    <r>
      <rPr>
        <rFont val="Arial"/>
        <color theme="1"/>
      </rPr>
      <t>8/10 - Call: told him we have someoffers out but he is the next guy up and he should open app. 8/9 - Saw at VA/DC senior games. 82-84/71-72 sl, showed CH. Like the body and arm ath build. Didn't get much SM in the first inning. better second inning. SL was slow but shape was there. Worth keeping on the list. .</t>
    </r>
    <r>
      <rPr>
        <rFont val="Arial"/>
        <color rgb="FFFF0000"/>
      </rPr>
      <t>7/28 Pitching in the Richmond Unsigned senior games</t>
    </r>
    <r>
      <rPr>
        <rFont val="Arial"/>
        <color theme="1"/>
      </rPr>
      <t xml:space="preserve"> Saw video on PBR. Pitching at UTenn at 6:50pm Wed. Didn't finish PSAT due to time. Moderate interest</t>
    </r>
  </si>
  <si>
    <t>Aiden Dubetsky</t>
  </si>
  <si>
    <t>Kaner has seen. Great visit with dad. Like the kid and his attitude towards baseball and service. Playing in Diamond Skills at end of week and will be at camp. Has some offers and is pursuing high academic.</t>
  </si>
  <si>
    <t>Jack Grunkemeyer</t>
  </si>
  <si>
    <t>Batesville HS</t>
  </si>
  <si>
    <t>3.9  1100 SAT 560 math</t>
  </si>
  <si>
    <t>AP: 6'2 205 big physical kid.  good arm speed. 86-89 heavy ball.  low 70's CB and has CH.  offer! test score not good enough?</t>
  </si>
  <si>
    <t>Cole Norueil</t>
  </si>
  <si>
    <t>Delavan HS</t>
  </si>
  <si>
    <t>Tim spoke to as one of the top perfromers in GA. Need to tracl down an opporunity to evaluate him.</t>
  </si>
  <si>
    <t>Towson</t>
  </si>
  <si>
    <t>Vincent Salvo</t>
  </si>
  <si>
    <t>Marshall HS</t>
  </si>
  <si>
    <t>8/9 - Just ok 80-82 / 70-71. Just throwing didn't have a ton of command inthe zone, threw strikes but nothing jumped. Has ineterst but academics are going to be a stretch. Sub 1100 SAT no precalc. Pitching at JMU camp net weekend</t>
  </si>
  <si>
    <t>Ryan Perkins</t>
  </si>
  <si>
    <t>PDG Academy</t>
  </si>
  <si>
    <t xml:space="preserve">Kaner saw in Hoover, Moderate interest after call. </t>
  </si>
  <si>
    <t>Brendan Ealy</t>
  </si>
  <si>
    <t>bad test score or grades</t>
  </si>
  <si>
    <t>Walker Calvo</t>
  </si>
  <si>
    <t>WIU</t>
  </si>
  <si>
    <t>Kenny Perez</t>
  </si>
  <si>
    <t>De LaSalle HS</t>
  </si>
  <si>
    <t>3.4, no test</t>
  </si>
  <si>
    <t>AP: 5'10 180 pure SS with plus actions.  Cincy decommit.  highly ranked kid.  good swing with bat speed.  offer!  no test score...plan on taking it.   might be interested in FOUNDATION route.</t>
  </si>
  <si>
    <t>Alex Evans</t>
  </si>
  <si>
    <t>JT Stiner</t>
  </si>
  <si>
    <t>AP: VT decommit.  5'11 200 short but strong catchers body.  Cubs scout team w/ Klug.  looked good behind the dish, avg arm.  takes aggressive swings.  need to verify w/ HS coach but a good looking catcher overall. Update; hit .260 HS season.  No thanks</t>
  </si>
  <si>
    <t>Jacob Bohacek</t>
  </si>
  <si>
    <t>Marietta HS</t>
  </si>
  <si>
    <t xml:space="preserve">We have been clear that he has an offe and has to get to campus. Wanst to come when the students are back. He is the best defensive SS on board. Arm and actions at short, has shown ability to barrel balls and has some drive/pop. </t>
  </si>
  <si>
    <t>Admissions Sports Brief</t>
  </si>
  <si>
    <t>Indiana Bulls Scout Day - Grand Park</t>
  </si>
  <si>
    <t>Dirtbags 17u/Cicale at BHS</t>
  </si>
  <si>
    <t xml:space="preserve">FTB Phillies workout at Spaulding </t>
  </si>
  <si>
    <t>H3/Burton Showcase (UVA)</t>
  </si>
  <si>
    <t>Chesapeake Tides/CJ Murray at BHS</t>
  </si>
  <si>
    <t>PBR NPI</t>
  </si>
  <si>
    <t>PSL Scout Day/DC (3 days)</t>
  </si>
  <si>
    <t>WPIAL 26&amp;27s</t>
  </si>
  <si>
    <t>Prospect National Philadelphia</t>
  </si>
  <si>
    <t>V Tool Tx Club Champ</t>
  </si>
  <si>
    <t>Pros Select Palm Beach Classic</t>
  </si>
  <si>
    <t>WPIAL 25s</t>
  </si>
  <si>
    <t>PBR Mid Atlantic/Richmond</t>
  </si>
  <si>
    <t>DCP Showcase/Salisbury/// USA Baseball Cary</t>
  </si>
  <si>
    <t>MPL Grand Park</t>
  </si>
  <si>
    <t>USA Baseball Cary</t>
  </si>
  <si>
    <t>Cary / MPL ?</t>
  </si>
  <si>
    <t>Prospect National Columbia MW</t>
  </si>
  <si>
    <t>Mid-Atlantic Program Invitational - Richmond</t>
  </si>
  <si>
    <t>Mid-Atlantic Program Invitational</t>
  </si>
  <si>
    <t>Ultimate Baseball Champ West Palm FL</t>
  </si>
  <si>
    <t>Campus/Sachin Gopal Visit</t>
  </si>
  <si>
    <t>GBG Northeast Scout Day</t>
  </si>
  <si>
    <t>Summer Elite Showcase 1</t>
  </si>
  <si>
    <t>H3/Burton Showcase (ODU)</t>
  </si>
  <si>
    <t>Office/Prep</t>
  </si>
  <si>
    <t>PBR 16u</t>
  </si>
  <si>
    <t>Prospect National Mesa SW 1</t>
  </si>
  <si>
    <t>Office/Travel</t>
  </si>
  <si>
    <t>Westchester PA/2025 Tourney</t>
  </si>
  <si>
    <t>WWBA 17U/PBR 16U</t>
  </si>
  <si>
    <t>USNA I-DAY</t>
  </si>
  <si>
    <t>Prospect National Kansas City</t>
  </si>
  <si>
    <t>Westchester PA/2026 Tourney</t>
  </si>
  <si>
    <t>Prospect Select Black Bear</t>
  </si>
  <si>
    <t>WWBA 17U/PBR 16U/Hoover 16U</t>
  </si>
  <si>
    <t>PG Hoover 16U</t>
  </si>
  <si>
    <t>WWBA 17U/PBR 16U/Hoover 16U/Black Bear</t>
  </si>
  <si>
    <t>Millersville/Westchester Showcase</t>
  </si>
  <si>
    <t>Kason Herlong/Legion Game Florence SC 7:30pm</t>
  </si>
  <si>
    <t>**In Charleston/Travis 13u Tourney</t>
  </si>
  <si>
    <t>WWBA 16u</t>
  </si>
  <si>
    <t>WWBA 16U</t>
  </si>
  <si>
    <t>Prospect Select Boston Open</t>
  </si>
  <si>
    <t>Due Date</t>
  </si>
  <si>
    <t>PG Hoover 17U</t>
  </si>
  <si>
    <t>17U PG AZ WS</t>
  </si>
  <si>
    <t>AABC Mattingly/TX</t>
  </si>
  <si>
    <t>AABC Mattingly WS - Melissa, TX</t>
  </si>
  <si>
    <t>17U PG AZ WS / Prospect National Mesa SW 2</t>
  </si>
  <si>
    <t>Prospect National Mesa SW 2</t>
  </si>
  <si>
    <t>PG 17U BCS - Ft Myers</t>
  </si>
  <si>
    <t>Presley's birthday</t>
  </si>
  <si>
    <t>PBR 17U</t>
  </si>
  <si>
    <t>Prospect National Bradenton</t>
  </si>
  <si>
    <t>Hooten PG East WWBA Hoover (AL)</t>
  </si>
  <si>
    <t>Futrues</t>
  </si>
  <si>
    <t>PBR Futures Games</t>
  </si>
  <si>
    <t>Prospect National Fort Worth</t>
  </si>
  <si>
    <t>Hoover/Metcalf</t>
  </si>
  <si>
    <t>Dude Day - Conejo Creek, CA</t>
  </si>
  <si>
    <t>hoover/Metcalf</t>
  </si>
  <si>
    <t>Diamond Skills Summer All Amer. Camp</t>
  </si>
  <si>
    <t>So Cal Giants workout/Cole Williams throwing 830pm DN</t>
  </si>
  <si>
    <t>So. Cal Giants Workout</t>
  </si>
  <si>
    <t>Prospect National Knoxville</t>
  </si>
  <si>
    <t>NE Senior Games Cortland NY</t>
  </si>
  <si>
    <t>CBU - Stofsky Workout FL</t>
  </si>
  <si>
    <t>AirForce Camp//Tentative</t>
  </si>
  <si>
    <t xml:space="preserve">Reform? </t>
  </si>
  <si>
    <t>USNA Classes Begin</t>
  </si>
  <si>
    <t>Assign</t>
  </si>
  <si>
    <t>Region</t>
  </si>
  <si>
    <t>Point of Contact</t>
  </si>
  <si>
    <t>Phone #</t>
  </si>
  <si>
    <t>Website</t>
  </si>
  <si>
    <t>Social / X</t>
  </si>
  <si>
    <t>Outreach Notes</t>
  </si>
  <si>
    <t>Recruiting / operations staff</t>
  </si>
  <si>
    <t>(678) 354-3199</t>
  </si>
  <si>
    <t>info@643dpathletics.com</t>
  </si>
  <si>
    <t>643dpathletics.com</t>
  </si>
  <si>
    <t>@643dpathletics</t>
  </si>
  <si>
    <t>Call or email info@643dpathletics.com</t>
  </si>
  <si>
    <t>Alpha</t>
  </si>
  <si>
    <t>Front office / recruiting staff</t>
  </si>
  <si>
    <t>888-502-5742</t>
  </si>
  <si>
    <t>alphamovementbb@gmail.com</t>
  </si>
  <si>
    <t>alphabaseballclub.com</t>
  </si>
  <si>
    <t>Contact form on site</t>
  </si>
  <si>
    <t>Philadelphia</t>
  </si>
  <si>
    <t>PRD staff (Ajay Vulimiri key contact)</t>
  </si>
  <si>
    <t>(856) 237-3327</t>
  </si>
  <si>
    <t>via prdbaseballacademy.com</t>
  </si>
  <si>
    <t>prdbaseballacademy.com</t>
  </si>
  <si>
    <t>Support page</t>
  </si>
  <si>
    <t>Tomball</t>
  </si>
  <si>
    <t>Ray Deleon + Randy Taylor (Collegiate Advisor)</t>
  </si>
  <si>
    <t>713-249-8507</t>
  </si>
  <si>
    <t>via banditosbaseball.com form</t>
  </si>
  <si>
    <t>banditosbaseball.com</t>
  </si>
  <si>
    <t>@BanditoRecruits</t>
  </si>
  <si>
    <t>DM @BanditoRecruits on X/IG or email through site</t>
  </si>
  <si>
    <t>Watertown</t>
  </si>
  <si>
    <t>Jack McLaughlin</t>
  </si>
  <si>
    <t>bostonprime.teamsnapsites.com</t>
  </si>
  <si>
    <t>@bostonprimebb</t>
  </si>
  <si>
    <t>Call or DM Stephen McCarthy</t>
  </si>
  <si>
    <t>Pearl River</t>
  </si>
  <si>
    <t>Ed Thomas (Director) + Frankie Everitte</t>
  </si>
  <si>
    <t>646-305-8442</t>
  </si>
  <si>
    <t>info@canesbaseballny.com or frankie.everitte@canesbaseball.net</t>
  </si>
  <si>
    <t>canesbaseball.net</t>
  </si>
  <si>
    <t>Prospect form</t>
  </si>
  <si>
    <t>Cangelosi</t>
  </si>
  <si>
    <t>Chicago / Lockport</t>
  </si>
  <si>
    <t>John Cangelosi (Founder) or recruiting staff</t>
  </si>
  <si>
    <t>(815) 221-6000</t>
  </si>
  <si>
    <t>info@bojacksonselitesports.com</t>
  </si>
  <si>
    <t>bojacksonselitesports.com</t>
  </si>
  <si>
    <t>Call main line or email referencing Cangelosi program</t>
  </si>
  <si>
    <t>Temecula</t>
  </si>
  <si>
    <t>Recruiting staff</t>
  </si>
  <si>
    <t>via main office</t>
  </si>
  <si>
    <t>info@cbabaseball.org</t>
  </si>
  <si>
    <t>cbabaseball.org</t>
  </si>
  <si>
    <t>Use “Play CBA” / tryout form</t>
  </si>
  <si>
    <t>DC/VA/NC</t>
  </si>
  <si>
    <t>Fredericksburg</t>
  </si>
  <si>
    <t>Jon Paino / Bradley Harmon</t>
  </si>
  <si>
    <t>via CBA site</t>
  </si>
  <si>
    <t>via cbabaseball.com form</t>
  </si>
  <si>
    <t>cbabaseball.com</t>
  </si>
  <si>
    <t>Use “Play CBA” form on site</t>
  </si>
  <si>
    <t>Wayne Stofsky</t>
  </si>
  <si>
    <t>wayne@browardbaseballacademy.com</t>
  </si>
  <si>
    <t>browardbaseballacademy.com or cbubaseball.org</t>
  </si>
  <si>
    <t>@CBU_FL</t>
  </si>
  <si>
    <t>Email or call Wayne Stofsky directly</t>
  </si>
  <si>
    <t>Chicago Scouts Association</t>
  </si>
  <si>
    <t>Chicago</t>
  </si>
  <si>
    <t>John Sarna (Vice President of Baseball Operations)</t>
  </si>
  <si>
    <t>(847) 638-0484</t>
  </si>
  <si>
    <t>john.sarna70@gmail.com</t>
  </si>
  <si>
    <t>chicagoscoutsbaseball.com</t>
  </si>
  <si>
    <t>Call or email John Sarna directly</t>
  </si>
  <si>
    <t>Various CT</t>
  </si>
  <si>
    <t>Mike Porzio (Program Director / Owner)</t>
  </si>
  <si>
    <t>via site</t>
  </si>
  <si>
    <t>theclubhousebb@gmail.com</t>
  </si>
  <si>
    <t>theclubhousebb.com</t>
  </si>
  <si>
    <t>Direct email</t>
  </si>
  <si>
    <t>Tommy Hernandez</t>
  </si>
  <si>
    <t>tommy.hernandez@dallastigersbaseball.com</t>
  </si>
  <si>
    <t>dallastigersbaseball.com</t>
  </si>
  <si>
    <t>Email Tommy directly or use contact form</t>
  </si>
  <si>
    <t>National / various</t>
  </si>
  <si>
    <t>VA/MD</t>
  </si>
  <si>
    <t>Will James (National Recruiting Advisor)</t>
  </si>
  <si>
    <t>via thedirtbags.com</t>
  </si>
  <si>
    <t>via site contact form</t>
  </si>
  <si>
    <t>thedirtbags.com</t>
  </si>
  <si>
    <t>Submit interest form on site</t>
  </si>
  <si>
    <t>Chris Godwin / Tim Dulin</t>
  </si>
  <si>
    <t>via dulinsdodgerstx.com</t>
  </si>
  <si>
    <t>tryouts@dulinsdodgers.com</t>
  </si>
  <si>
    <t>dulinsdodgerstx.com</t>
  </si>
  <si>
    <t>@DulinsTx</t>
  </si>
  <si>
    <t>Email tryouts or X DM</t>
  </si>
  <si>
    <t>Kenny Faulk (Recruiting) or Guerry Baldwin</t>
  </si>
  <si>
    <t>(678) 238-1032 or (770) 362-0860</t>
  </si>
  <si>
    <t>kenny@eastcobbbaseball.com or guerry@eastcobbbaseball.com</t>
  </si>
  <si>
    <t>eastcobbastros.com</t>
  </si>
  <si>
    <t>Email Kenny Faulk or Guerry Baldwin directly</t>
  </si>
  <si>
    <t>Matt Van Mill / Anthony Giffe</t>
  </si>
  <si>
    <t>(773) 739-2170</t>
  </si>
  <si>
    <t>via elitebaseballtraining.com</t>
  </si>
  <si>
    <t>elitebaseballtraining.com</t>
  </si>
  <si>
    <t>Site contact form</t>
  </si>
  <si>
    <t>Sarasota / Tampa Bay</t>
  </si>
  <si>
    <t>Mark Guthrie</t>
  </si>
  <si>
    <t>(941) 545-0291</t>
  </si>
  <si>
    <t>via floridaburn.com contact form</t>
  </si>
  <si>
    <t>floridaburn.com</t>
  </si>
  <si>
    <t>Call or use contact form referencing Mark Guthrie</t>
  </si>
  <si>
    <t>GBG</t>
  </si>
  <si>
    <t>Ricki Marder (College Recruiting Coordinator)</t>
  </si>
  <si>
    <t>818-231-8010</t>
  </si>
  <si>
    <t>ricki@garciaparrabaseball.com</t>
  </si>
  <si>
    <t>garciaparrabaseball.com</t>
  </si>
  <si>
    <t>Staff page + contact form</t>
  </si>
  <si>
    <t>Foxborough</t>
  </si>
  <si>
    <t>Chris Welch / Joe Breen</t>
  </si>
  <si>
    <t>(508) 543-9595 ext 300</t>
  </si>
  <si>
    <t>via gbgsports.com</t>
  </si>
  <si>
    <t>gbgsports.com</t>
  </si>
  <si>
    <t>Phone or site contact</t>
  </si>
  <si>
    <t>Kyle Lauria (National Director)</t>
  </si>
  <si>
    <t>via PG/IG</t>
  </si>
  <si>
    <t>via site contact</t>
  </si>
  <si>
    <t>IG @coachkylelauria</t>
  </si>
  <si>
    <t>IG DM or site form</t>
  </si>
  <si>
    <t>Knightdale</t>
  </si>
  <si>
    <t>Alan Dick (GM)</t>
  </si>
  <si>
    <t>832-347-3588</t>
  </si>
  <si>
    <t>ballstate77388@yahoo.com</t>
  </si>
  <si>
    <t>lynxbaseball.org</t>
  </si>
  <si>
    <t>Contact &amp; coaches page</t>
  </si>
  <si>
    <t>Manchester / Harvard</t>
  </si>
  <si>
    <t>CT/MA</t>
  </si>
  <si>
    <t>Matt Burns (Director of College Placement)</t>
  </si>
  <si>
    <t>via mvpne.com</t>
  </si>
  <si>
    <t>mvpne.com or themvpbaseball.com</t>
  </si>
  <si>
    <t>Scott Patterson</t>
  </si>
  <si>
    <t>nebtryouts@ne-baseball.com</t>
  </si>
  <si>
    <t>ne-baseball.com or nebnh.com</t>
  </si>
  <si>
    <t>Email tryouts line</t>
  </si>
  <si>
    <t>Dan Sullivan (GM / Director)</t>
  </si>
  <si>
    <t>(508) 309-3527</t>
  </si>
  <si>
    <t>via nokonabaseballclub.com</t>
  </si>
  <si>
    <t>nokonabaseballclub.com</t>
  </si>
  <si>
    <t>Direct phone/email</t>
  </si>
  <si>
    <t>Sacramento</t>
  </si>
  <si>
    <t>Rob Bruno (GM)</t>
  </si>
  <si>
    <t>rtbruno1@gmail.com</t>
  </si>
  <si>
    <t>norcalbaseball.org</t>
  </si>
  <si>
    <t>Contact page</t>
  </si>
  <si>
    <t>Orlando</t>
  </si>
  <si>
    <t>Johnny Goodrich (High School GM)</t>
  </si>
  <si>
    <t>(386) 295-2830 or (407) 476-5938</t>
  </si>
  <si>
    <t>ScorpsGM@gmail.com or info@scorpnation.com</t>
  </si>
  <si>
    <t>scorpnation.com</t>
  </si>
  <si>
    <t>Call or email Johnny Goodrich directly</t>
  </si>
  <si>
    <t>Tommy Mayers (National Director)</t>
  </si>
  <si>
    <t>804-380-8061</t>
  </si>
  <si>
    <t>tommy@bravesmail.com</t>
  </si>
  <si>
    <t>richmondbraves.org</t>
  </si>
  <si>
    <t>@CoachMayers</t>
  </si>
  <si>
    <t>Call or email Tommy directly</t>
  </si>
  <si>
    <t>Charlotte area</t>
  </si>
  <si>
    <t>Showcase Baseball Academy staff</t>
  </si>
  <si>
    <t>(704) 882-7629</t>
  </si>
  <si>
    <t>info@showcasebaseball.org</t>
  </si>
  <si>
    <t>showcasebaseball.org</t>
  </si>
  <si>
    <t>Use main contact form/phone</t>
  </si>
  <si>
    <t>Scorpions Team EASTON</t>
  </si>
  <si>
    <t>Spring / Katy</t>
  </si>
  <si>
    <t>Wade Martinez (Club Admin / Recruiting)</t>
  </si>
  <si>
    <t>(682) 532-5753 or (832) 312-0905</t>
  </si>
  <si>
    <t>springscorpions@gmail.com</t>
  </si>
  <si>
    <t>scorpionsbaseball.org</t>
  </si>
  <si>
    <t>Text/call Wade Martinez or email</t>
  </si>
  <si>
    <t>Englewood</t>
  </si>
  <si>
    <t>Jeff Jenkins (GM)</t>
  </si>
  <si>
    <t>(303) 790-1297</t>
  </si>
  <si>
    <t>jjenkins@slammersbaseball.com or recruiting@slammersbaseball.com</t>
  </si>
  <si>
    <t>slammersbaseball.com</t>
  </si>
  <si>
    <t>Recruiting resources page</t>
  </si>
  <si>
    <t>Stars Baseball</t>
  </si>
  <si>
    <t>Manassas</t>
  </si>
  <si>
    <t>Joe Martin (GM / tryouts)</t>
  </si>
  <si>
    <t>via contact form</t>
  </si>
  <si>
    <t>VirginiaREVO.martin@gmail.com</t>
  </si>
  <si>
    <t>starsshowcasebaseball.com</t>
  </si>
  <si>
    <t>@StarsBaseballVa</t>
  </si>
  <si>
    <t>Cory Van Allen (2026 Class Director)</t>
  </si>
  <si>
    <t>(979) 777-1505</t>
  </si>
  <si>
    <t>cva@twelvebaseball.com</t>
  </si>
  <si>
    <t>twelvebaseball.com or texastwelve.com</t>
  </si>
  <si>
    <t>@twelvebaseball</t>
  </si>
  <si>
    <t>Use tryout/recruiting form on site</t>
  </si>
  <si>
    <t>Tri State Arsenal</t>
  </si>
  <si>
    <t>Philadelphia area</t>
  </si>
  <si>
    <t>Support / recruiting staff</t>
  </si>
  <si>
    <t>via tristatearsenalusa.org</t>
  </si>
  <si>
    <t>support@tristatearsenalusa.org</t>
  </si>
  <si>
    <t>tristatearsenalusa.org</t>
  </si>
  <si>
    <t>Contact form</t>
  </si>
  <si>
    <t>Walnut Creek</t>
  </si>
  <si>
    <t>Adam Varteressian (key contact)</t>
  </si>
  <si>
    <t>408-828-8313</t>
  </si>
  <si>
    <t>trosky@southbaytraining.com</t>
  </si>
  <si>
    <t>troskybaseball.com</t>
  </si>
  <si>
    <t>Teams &amp; contact page</t>
  </si>
  <si>
    <t>South Houston</t>
  </si>
  <si>
    <t>Chris Comstock (South Houston Director / Recruiting Coordinator)</t>
  </si>
  <si>
    <t>ccomstock@houstonwildcatters.com or info@houstonwildcatters.com</t>
  </si>
  <si>
    <t>houstonwildcatters.com</t>
  </si>
  <si>
    <t>Email Chris Comstock directly</t>
  </si>
  <si>
    <t>Wall</t>
  </si>
  <si>
    <t>Mike Murphy (Head Coach)</t>
  </si>
  <si>
    <t>9ersbaseballclub@gmail.com</t>
  </si>
  <si>
    <t>9ersbaseball.com</t>
  </si>
  <si>
    <t>@9ersbaseballclub</t>
  </si>
  <si>
    <t>Email or contact form</t>
  </si>
  <si>
    <t>All Star Baseball Academy</t>
  </si>
  <si>
    <t>Vincent Russomagno (President)</t>
  </si>
  <si>
    <t>484-770-8325</t>
  </si>
  <si>
    <t>allstarsportsacademy.com</t>
  </si>
  <si>
    <t>@allstar_sportsacademy</t>
  </si>
  <si>
    <t>Main office or contact form</t>
  </si>
  <si>
    <t>Baseball U CT</t>
  </si>
  <si>
    <t>Pat Vigilio (CT Director)</t>
  </si>
  <si>
    <t>via baseballu-ct.com form</t>
  </si>
  <si>
    <t>baseballu-ct.com</t>
  </si>
  <si>
    <t>Scranton / multiple</t>
  </si>
  <si>
    <t>Mike Guy (Owner / Director)</t>
  </si>
  <si>
    <t>570-878-0647</t>
  </si>
  <si>
    <t>baseballupa1@gmail.com</t>
  </si>
  <si>
    <t>baseballupa.com</t>
  </si>
  <si>
    <t>Call or email Mike Guy directly</t>
  </si>
  <si>
    <t>Baum Bat Scout Team</t>
  </si>
  <si>
    <t>Various / Kansas City</t>
  </si>
  <si>
    <t>Scout team coordinators</t>
  </si>
  <si>
    <t>888-915-2286</t>
  </si>
  <si>
    <t>guaposmanagement@gmail.com or sales@baumbat.com</t>
  </si>
  <si>
    <t>baumbat.com</t>
  </si>
  <si>
    <t>Email guaposmanagement@gmail.com for scout team tryouts</t>
  </si>
  <si>
    <t>Body Armour Titans</t>
  </si>
  <si>
    <t>Bayport</t>
  </si>
  <si>
    <t>Mike Demarest (key coach)</t>
  </si>
  <si>
    <t>(908) 284-1778</t>
  </si>
  <si>
    <t>via diamondnation.com form</t>
  </si>
  <si>
    <t>diamondnation.com</t>
  </si>
  <si>
    <t>Call main line</t>
  </si>
  <si>
    <t>Orange County</t>
  </si>
  <si>
    <t>Jared Sandler (Director)</t>
  </si>
  <si>
    <t>(800) 690-1192</t>
  </si>
  <si>
    <t>info@southocbaseball.com</t>
  </si>
  <si>
    <t>ocbaseball.com or bpabaseball.com</t>
  </si>
  <si>
    <t>@bpabaseball</t>
  </si>
  <si>
    <t>Interest form on site</t>
  </si>
  <si>
    <t>Egg Harbor Township</t>
  </si>
  <si>
    <t>Ed Charlton / Mike Adams (Owners/Scouts)</t>
  </si>
  <si>
    <t>via interest form</t>
  </si>
  <si>
    <t>via thebpcsj.com interest form</t>
  </si>
  <si>
    <t>thebpcsj.com</t>
  </si>
  <si>
    <t>Hitting/Pitching interest form</t>
  </si>
  <si>
    <t>C35</t>
  </si>
  <si>
    <t>Alex (recruiting contact)</t>
  </si>
  <si>
    <t>(732) 742-4195</t>
  </si>
  <si>
    <t>alex@c35baseball.com</t>
  </si>
  <si>
    <t>c35baseball.com</t>
  </si>
  <si>
    <t>IG/FB @c35bsbl_advisors</t>
  </si>
  <si>
    <t>Regional directors + Frankie Everitte</t>
  </si>
  <si>
    <t>via canesbaseball.net form</t>
  </si>
  <si>
    <t>info@canesbaseball.com or frankie.everitte@canesbaseball.net</t>
  </si>
  <si>
    <t>Prospect form on site</t>
  </si>
  <si>
    <t>Allan Dykstra + Frankie Everitte</t>
  </si>
  <si>
    <t>info@canesbaseballwest.com or frankie.everitte@canesbaseball.net</t>
  </si>
  <si>
    <t>Mike Moras</t>
  </si>
  <si>
    <t>via PG/site</t>
  </si>
  <si>
    <t>Perfect Game orgid=22792</t>
  </si>
  <si>
    <t>PG messaging</t>
  </si>
  <si>
    <t>Flemington</t>
  </si>
  <si>
    <t>Walt Clery</t>
  </si>
  <si>
    <t>+1 (609) 480-7959</t>
  </si>
  <si>
    <t>wcleary@diamondnation.com</t>
  </si>
  <si>
    <t>Email Walt or call</t>
  </si>
  <si>
    <t>EC Lumberjacks</t>
  </si>
  <si>
    <t>Bob Cook (Director of Baseball)</t>
  </si>
  <si>
    <t>via eastcoastlumberjacks.club form</t>
  </si>
  <si>
    <t>eastcoastlumberjacks.club</t>
  </si>
  <si>
    <t>Collin Martindale (Recruiting Coordinator)</t>
  </si>
  <si>
    <t>via elitesquadbaseball.org</t>
  </si>
  <si>
    <t>c.martindale@elitesquadbaseball.com</t>
  </si>
  <si>
    <t>elitesquadbaseball.org</t>
  </si>
  <si>
    <t>Email Collin Martindale directly</t>
  </si>
  <si>
    <t>Cedar Knolls</t>
  </si>
  <si>
    <t>Program staff</t>
  </si>
  <si>
    <t>(973) 267-0311</t>
  </si>
  <si>
    <t>lockedinbaseball@gmail.com</t>
  </si>
  <si>
    <t>lockedinbaseball.com</t>
  </si>
  <si>
    <t>@lockedin_expos</t>
  </si>
  <si>
    <t>Email or call</t>
  </si>
  <si>
    <t>Weymouth</t>
  </si>
  <si>
    <t>Matt Duffy</t>
  </si>
  <si>
    <t>mdbknights.greg@gmail.com</t>
  </si>
  <si>
    <t>mattduffybaseball.com</t>
  </si>
  <si>
    <t>Call/text or email Greg</t>
  </si>
  <si>
    <t>Metro West Sports Devils</t>
  </si>
  <si>
    <t>Joey Magnani</t>
  </si>
  <si>
    <t>(508) 735-7885</t>
  </si>
  <si>
    <t>centralmassacademy@gmail.com</t>
  </si>
  <si>
    <t>mwsportscenter.com</t>
  </si>
  <si>
    <t>Call or email Chris</t>
  </si>
  <si>
    <t>Vienna</t>
  </si>
  <si>
    <t>Allen Haines (Owner/CEO)</t>
  </si>
  <si>
    <t>via site form</t>
  </si>
  <si>
    <t>via contact form only</t>
  </si>
  <si>
    <t>midatlanticredsox.net</t>
  </si>
  <si>
    <t>Prospect form (fastest)</t>
  </si>
  <si>
    <t>Ned Brigham</t>
  </si>
  <si>
    <t>northeastgators.com</t>
  </si>
  <si>
    <t>Westchester</t>
  </si>
  <si>
    <t>Joe Curreri (GM / Founder)</t>
  </si>
  <si>
    <t>(570) 575-1515</t>
  </si>
  <si>
    <t>via nepridebaseball.com form</t>
  </si>
  <si>
    <t>nepridebaseball.com</t>
  </si>
  <si>
    <t>Call/text Joe</t>
  </si>
  <si>
    <t>Sterling</t>
  </si>
  <si>
    <t>Eddie Kim (Founder/Head Coach)</t>
  </si>
  <si>
    <t>(571) 723-6320</t>
  </si>
  <si>
    <t>novapremierbaseball.com</t>
  </si>
  <si>
    <t>@ekbaseball571</t>
  </si>
  <si>
    <t>Main line or form</t>
  </si>
  <si>
    <t>Coral Springs / Central FL</t>
  </si>
  <si>
    <t>Lenny Roberts (Owner / College Placement Advisor)</t>
  </si>
  <si>
    <t>(954) 817-1008</t>
  </si>
  <si>
    <t>c.wells@originalfloridapokers.com or via site form</t>
  </si>
  <si>
    <t>originalfloridapokers.com</t>
  </si>
  <si>
    <t>@orig_flpokers</t>
  </si>
  <si>
    <t>Email or call referencing Lenny Roberts</t>
  </si>
  <si>
    <t>Lithia / Tampa Bay</t>
  </si>
  <si>
    <t>Jim Osting (Founder / Owner)</t>
  </si>
  <si>
    <t>(813) 737-3000</t>
  </si>
  <si>
    <t>jim@ostingbaseball.com</t>
  </si>
  <si>
    <t>ostingbaseball.com</t>
  </si>
  <si>
    <t>@OstingerAcademy</t>
  </si>
  <si>
    <t>Call or email Jim Osting directly</t>
  </si>
  <si>
    <t>PFA</t>
  </si>
  <si>
    <t>Montclair</t>
  </si>
  <si>
    <t>Operations / recruiting staff</t>
  </si>
  <si>
    <t>(909) 931-4060</t>
  </si>
  <si>
    <t>ie@PFAsports.com</t>
  </si>
  <si>
    <t>pfasportsie.com</t>
  </si>
  <si>
    <t>Tryout form on site</t>
  </si>
  <si>
    <t>Primetime Aces</t>
  </si>
  <si>
    <t>John Skaggs (Director of Player Development)</t>
  </si>
  <si>
    <t>(703) 861-9717</t>
  </si>
  <si>
    <t>primetimebaseball2310@gmail.com</t>
  </si>
  <si>
    <t>primetime-baseball.com</t>
  </si>
  <si>
    <t>Call or email</t>
  </si>
  <si>
    <t>Program directors</t>
  </si>
  <si>
    <t>via contact form (714-769-0603 from posts)</t>
  </si>
  <si>
    <t>info@sandlotbaseball.com</t>
  </si>
  <si>
    <t>sandlotbaseball.com</t>
  </si>
  <si>
    <t>Recruiting section on site</t>
  </si>
  <si>
    <t>Show New England</t>
  </si>
  <si>
    <t>Steve Lomasney</t>
  </si>
  <si>
    <t>pdelani@showbba.com</t>
  </si>
  <si>
    <t>shownewengland.com</t>
  </si>
  <si>
    <t>Email Pete directly</t>
  </si>
  <si>
    <t>SoCal Birds</t>
  </si>
  <si>
    <t>Southern California</t>
  </si>
  <si>
    <t>Mike Cosgrove (Head Coach)</t>
  </si>
  <si>
    <t>(562) 367-3589</t>
  </si>
  <si>
    <t>via socalbirds.com form</t>
  </si>
  <si>
    <t>socalbirds.com</t>
  </si>
  <si>
    <t>Call/text Mike or site form</t>
  </si>
  <si>
    <t>SoCal Bombers</t>
  </si>
  <si>
    <t>Mike Mendoza / recruiting staff</t>
  </si>
  <si>
    <t>socalbombersbaseball@gmail.com</t>
  </si>
  <si>
    <t>socalbombers.com</t>
  </si>
  <si>
    <t>College placement page on site</t>
  </si>
  <si>
    <t>Chuck Fick (GM)</t>
  </si>
  <si>
    <t>(805) 443-3938</t>
  </si>
  <si>
    <t>ccfick1@hotmail.com</t>
  </si>
  <si>
    <t>fickbaseball.com</t>
  </si>
  <si>
    <t>Staff page on site</t>
  </si>
  <si>
    <t>Trevor Clemons (National Scouting Director)</t>
  </si>
  <si>
    <t>t.clemons@panthersbaseballclub.com</t>
  </si>
  <si>
    <t>panthersbaseballclub.com</t>
  </si>
  <si>
    <t>@scpanthers_</t>
  </si>
  <si>
    <t>Email Trevor or prospect form</t>
  </si>
  <si>
    <t>Ryan Thompson (VP)</t>
  </si>
  <si>
    <t>(805) 550-3833</t>
  </si>
  <si>
    <t>ryan@sportsforceonline.com or tbsocalbsbl@gmail.com</t>
  </si>
  <si>
    <t>tbsocal.com</t>
  </si>
  <si>
    <t>Tryouts page on site</t>
  </si>
  <si>
    <t>Chad Hollingsworth (Director)</t>
  </si>
  <si>
    <t>via testbaseball.com form</t>
  </si>
  <si>
    <t>testbaseball.com</t>
  </si>
  <si>
    <t>Contact form or PG messaging</t>
  </si>
  <si>
    <t>Tidewater Drillers</t>
  </si>
  <si>
    <t>tidewaterdrillers@gmail.com</t>
  </si>
  <si>
    <t>tidewaterdrillers.com</t>
  </si>
  <si>
    <t>Player Prospect Form on site</t>
  </si>
  <si>
    <t>Tampa Bay</t>
  </si>
  <si>
    <t>Jason Miller (Florida Director)</t>
  </si>
  <si>
    <t>via toptierwins.com or homeoftheroos.com forms</t>
  </si>
  <si>
    <t>via toptierwins.com/staff form</t>
  </si>
  <si>
    <t>toptierwins.com or homeoftheroos.com</t>
  </si>
  <si>
    <t>Use contact form referencing Jason Miller</t>
  </si>
  <si>
    <t>TPA Nationals</t>
  </si>
  <si>
    <t>Cary</t>
  </si>
  <si>
    <t>Ryan Girard (Director of Baseball Operations)</t>
  </si>
  <si>
    <t>(919) 303-1687</t>
  </si>
  <si>
    <t>info@tpanc.com</t>
  </si>
  <si>
    <t>tpanc.com</t>
  </si>
  <si>
    <t>Nationals Interest Form on site</t>
  </si>
  <si>
    <t>Bel Air</t>
  </si>
  <si>
    <t>Bill Goudy / Ben Pierce (Co-Directors)</t>
  </si>
  <si>
    <t>via uselitemidatlantic.com</t>
  </si>
  <si>
    <t>uselitemidatlantic@gmail.com</t>
  </si>
  <si>
    <t>uselitemidatlantic.com</t>
  </si>
  <si>
    <t>Email or site form</t>
  </si>
  <si>
    <t>River Vale</t>
  </si>
  <si>
    <t>Jered Verebey (Northeast Director)</t>
  </si>
  <si>
    <t>wowfactorne@gmail.com</t>
  </si>
  <si>
    <t>wowfactorbaseball.com</t>
  </si>
  <si>
    <t>@wowfactor_northeast</t>
  </si>
  <si>
    <t>Email or IG DM</t>
  </si>
  <si>
    <t>Warner Robins</t>
  </si>
  <si>
    <t>Coach Chris (Southside lead)</t>
  </si>
  <si>
    <t>(912) 438-2256</t>
  </si>
  <si>
    <t>Via 5starbaseball.com form</t>
  </si>
  <si>
    <t>5starbaseball.com</t>
  </si>
  <si>
    <t>@5starnational</t>
  </si>
  <si>
    <t>Text/call Coach Chris or use national form</t>
  </si>
  <si>
    <t>5 Star National West</t>
  </si>
  <si>
    <t>California / West</t>
  </si>
  <si>
    <t>National 5 Star staff</t>
  </si>
  <si>
    <t>via 5starbaseball.com form</t>
  </si>
  <si>
    <t>via 5starbaseball.com contact form</t>
  </si>
  <si>
    <t>Use contact/tryout form referencing 5 Star National West</t>
  </si>
  <si>
    <t>5 Star Texas</t>
  </si>
  <si>
    <t>Houston / DFW</t>
  </si>
  <si>
    <t>5 Star National staff</t>
  </si>
  <si>
    <t>Use contact/tryout form referencing 5 Star Texas</t>
  </si>
  <si>
    <t>9th Inning Royals</t>
  </si>
  <si>
    <t>Chamblee</t>
  </si>
  <si>
    <t>Heath Honeycutt (Owner / Director of Recruiting)</t>
  </si>
  <si>
    <t>(678) 691-5917</t>
  </si>
  <si>
    <t>justin@ninthinningbaseball.com</t>
  </si>
  <si>
    <t>ninthinningbaseball.com</t>
  </si>
  <si>
    <t>Call or email Justin Edwards referencing Heath Honeycutt</t>
  </si>
  <si>
    <t>ABA</t>
  </si>
  <si>
    <t>Albuquerque</t>
  </si>
  <si>
    <t>Matt Foote (High School Director)</t>
  </si>
  <si>
    <t>505-856-2255</t>
  </si>
  <si>
    <t>info@ababaseball.com or 12foote@gmail.com</t>
  </si>
  <si>
    <t>ababaseball.com</t>
  </si>
  <si>
    <t>Email Matt Foote or info@ababaseball.com</t>
  </si>
  <si>
    <t>Action</t>
  </si>
  <si>
    <t>Leander / Austin</t>
  </si>
  <si>
    <t>Keith Jackson (Executive Director)</t>
  </si>
  <si>
    <t>(512) 686-1420</t>
  </si>
  <si>
    <t>staff@actionbaseballclub.org</t>
  </si>
  <si>
    <t>actionbaseballclub.org</t>
  </si>
  <si>
    <t>Email or call Keith Jackson</t>
  </si>
  <si>
    <t>ATL Lightning</t>
  </si>
  <si>
    <t>Dan Giordano / Josh Kornblum</t>
  </si>
  <si>
    <t>Via site form</t>
  </si>
  <si>
    <t>DGiordano@atllightning.com or JKornblum@atllightning.com</t>
  </si>
  <si>
    <t>atllightning.com</t>
  </si>
  <si>
    <t>Email Dan or Josh directly</t>
  </si>
  <si>
    <t>Austin Wings</t>
  </si>
  <si>
    <t>Team coaches (George Hauser / Jose Sierra)</t>
  </si>
  <si>
    <t>via PG</t>
  </si>
  <si>
    <t>via Perfect Game org messaging</t>
  </si>
  <si>
    <t>Perfect Game orgid=60680</t>
  </si>
  <si>
    <t>Message via Perfect Game org page</t>
  </si>
  <si>
    <t>BEAST</t>
  </si>
  <si>
    <t>Dave / Greg Ross (Co-Owners)</t>
  </si>
  <si>
    <t>info@beastbaseballmd.com</t>
  </si>
  <si>
    <t>beastbaseballmd.com</t>
  </si>
  <si>
    <t>@BEASTbaseballMD</t>
  </si>
  <si>
    <t>Email info@beastbaseballmd.com</t>
  </si>
  <si>
    <t>Ryan (Primary contact)</t>
  </si>
  <si>
    <t>ryan@bojacksonselitesports.com</t>
  </si>
  <si>
    <t>bjeslockport.com</t>
  </si>
  <si>
    <t>Call main line or email Ryan</t>
  </si>
  <si>
    <t>Bushback</t>
  </si>
  <si>
    <t>Local staff</t>
  </si>
  <si>
    <t>via PG org page</t>
  </si>
  <si>
    <t>Perfect Game org page</t>
  </si>
  <si>
    <t>Perfect Game org page or Bay Area FB groups</t>
  </si>
  <si>
    <t>Dallas / San Antonio</t>
  </si>
  <si>
    <t>Jonathan Paiz / Mike Hamilton</t>
  </si>
  <si>
    <t>admin@canessouthwest.com or coachhamilton@canessouthwest.com</t>
  </si>
  <si>
    <t>canessouthwest.com</t>
  </si>
  <si>
    <t>Canes network</t>
  </si>
  <si>
    <t>Email directors or use prospect form</t>
  </si>
  <si>
    <t>Cherry Creek HS / Diamond Club</t>
  </si>
  <si>
    <t>Chris Strouse</t>
  </si>
  <si>
    <t>215-563-3367</t>
  </si>
  <si>
    <t>CherryCreekDC@gmail.com</t>
  </si>
  <si>
    <t>cherrycreekbaseball.org</t>
  </si>
  <si>
    <t>Email CherryCreekDC@gmail.com</t>
  </si>
  <si>
    <t>Coastal Prospects</t>
  </si>
  <si>
    <t>Dan Corsi (Owner / Head Coach)</t>
  </si>
  <si>
    <t>(912) 574-5116</t>
  </si>
  <si>
    <t>coachcorsi@coastalprospects.com</t>
  </si>
  <si>
    <t>coastalprospects.com</t>
  </si>
  <si>
    <t>Email or call Dan Corsi directly</t>
  </si>
  <si>
    <t>CPBA</t>
  </si>
  <si>
    <t>Totowa</t>
  </si>
  <si>
    <t>Charlie Giachetti / Joe Gambardella</t>
  </si>
  <si>
    <t>201-741-1035</t>
  </si>
  <si>
    <t>completeperformancebaseball@gmail.com</t>
  </si>
  <si>
    <t>completeperformancebaseball.com</t>
  </si>
  <si>
    <t>Call or email Joe Gambardella</t>
  </si>
  <si>
    <t>Dallas Mustangs</t>
  </si>
  <si>
    <t>Sam Carpenter / Barry Hoffpauir</t>
  </si>
  <si>
    <t>(214) 707-3680 or (214) 500-3830</t>
  </si>
  <si>
    <t>samc1942@swbell.net</t>
  </si>
  <si>
    <t>dallasmustangsbaseball.com</t>
  </si>
  <si>
    <t>Call or email Sam Carpenter</t>
  </si>
  <si>
    <t>Frisco / Dallas</t>
  </si>
  <si>
    <t>Cody Semler (Director of Recruiting)</t>
  </si>
  <si>
    <t>(214) 501-0556</t>
  </si>
  <si>
    <t>codysemler@dallaspatriots.com</t>
  </si>
  <si>
    <t>dallaspatriots.com</t>
  </si>
  <si>
    <t>Email Cody Semler directly</t>
  </si>
  <si>
    <t>Devine</t>
  </si>
  <si>
    <t>Becky</t>
  </si>
  <si>
    <t>(678) 471-0646</t>
  </si>
  <si>
    <t>devinebaseball@gmail.com</t>
  </si>
  <si>
    <t>devinebaseball.com</t>
  </si>
  <si>
    <t>Call or email referencing Becky</t>
  </si>
  <si>
    <t>East Bay Bandits</t>
  </si>
  <si>
    <t>Hayward / Union City</t>
  </si>
  <si>
    <t>Gerry Martinez / Darwin R Palomo</t>
  </si>
  <si>
    <t>Perfect Game messages or Bay Area FB groups</t>
  </si>
  <si>
    <t>Niceville</t>
  </si>
  <si>
    <t>Joe Caruso (Owner / Tryout Director)</t>
  </si>
  <si>
    <t>901-620-1746</t>
  </si>
  <si>
    <t>jcaruso@eastcoastbaseball.org</t>
  </si>
  <si>
    <t>eastcoastbaseball.org</t>
  </si>
  <si>
    <t>Email or call Joe Caruso directly</t>
  </si>
  <si>
    <t>Orange Park</t>
  </si>
  <si>
    <t>Program staff / head coaches</t>
  </si>
  <si>
    <t>Not publicly listed</t>
  </si>
  <si>
    <t>contact@floridadodgersscoutteam.com</t>
  </si>
  <si>
    <t>floridadodgersscoutteam.org</t>
  </si>
  <si>
    <t>Email contact@floridadodgersscoutteam.com</t>
  </si>
  <si>
    <t>GA Bombers</t>
  </si>
  <si>
    <t>Atlanta / Johns Creek</t>
  </si>
  <si>
    <t>Jordan Hill / general staff</t>
  </si>
  <si>
    <t>(770) 664-8211</t>
  </si>
  <si>
    <t>georgiabombersbaseball@gmail.com</t>
  </si>
  <si>
    <t>georgiabombersbaseball.com</t>
  </si>
  <si>
    <t>Call main line or email</t>
  </si>
  <si>
    <t>Mark Gallion (Program Director)</t>
  </si>
  <si>
    <t>(314) 406-3196</t>
  </si>
  <si>
    <t>mark.gallion@gmail.com</t>
  </si>
  <si>
    <t>stlgamers.net</t>
  </si>
  <si>
    <t>@stlgamers</t>
  </si>
  <si>
    <t>Email Mark Gallion</t>
  </si>
  <si>
    <t>Windsor</t>
  </si>
  <si>
    <t>Alec Crawford (Owner)</t>
  </si>
  <si>
    <t>(563) 260-8707</t>
  </si>
  <si>
    <t>alec@northstarbaseball.com</t>
  </si>
  <si>
    <t>northstarbaseball.sportngin.com</t>
  </si>
  <si>
    <t>Call or email Alec Crawford</t>
  </si>
  <si>
    <t>info@hawaiibaseball.org</t>
  </si>
  <si>
    <t>hawaiibaseball.org</t>
  </si>
  <si>
    <t>Email info@hawaiibaseball.org</t>
  </si>
  <si>
    <t>Racine / Caledonia</t>
  </si>
  <si>
    <t>Tim Schultz (Recruiting Liaison)</t>
  </si>
  <si>
    <t>(262) 835-1801</t>
  </si>
  <si>
    <t>hittersbaseball@wi.rr.com</t>
  </si>
  <si>
    <t>hittersbaseballacademy.com</t>
  </si>
  <si>
    <t>Call main line or email recruiting liaison</t>
  </si>
  <si>
    <t>Hunter Pence Baseball</t>
  </si>
  <si>
    <t>Hunter Pence Academy staff</t>
  </si>
  <si>
    <t>832-478-5313</t>
  </si>
  <si>
    <t>info@hunterpencebaseball.com</t>
  </si>
  <si>
    <t>hunterpencebaseball.com</t>
  </si>
  <si>
    <t>Call or email info@hunterpencebaseball.com</t>
  </si>
  <si>
    <t>Indianapolis / Westfield</t>
  </si>
  <si>
    <t>Via indianabulls.org form</t>
  </si>
  <si>
    <t>indianabulls.org</t>
  </si>
  <si>
    <t>@indianabulls</t>
  </si>
  <si>
    <t>Use contact form on site</t>
  </si>
  <si>
    <t>Westfield</t>
  </si>
  <si>
    <t>Aaron Scholl (Key staff)</t>
  </si>
  <si>
    <t>(317) 339-3055</t>
  </si>
  <si>
    <t>Via mustangsnation.com form</t>
  </si>
  <si>
    <t>mustangsnation.com</t>
  </si>
  <si>
    <t>@1mustangsnation</t>
  </si>
  <si>
    <t>Call/text Aaron Scholl</t>
  </si>
  <si>
    <t>Westfield / Indianapolis</t>
  </si>
  <si>
    <t>Chad Hinds (Executive Director)</t>
  </si>
  <si>
    <t>(317) 429-7492</t>
  </si>
  <si>
    <t>chadhinds@marucciprospects.com</t>
  </si>
  <si>
    <t>marucciprospects.com/indianaprospects</t>
  </si>
  <si>
    <t>Email Chad Hinds</t>
  </si>
  <si>
    <t>Jeff Smith Baseball</t>
  </si>
  <si>
    <t>Jeff Smith (Director / Head Coach)</t>
  </si>
  <si>
    <t>239-269-8742</t>
  </si>
  <si>
    <t>Jsmithbaseball@aol.com</t>
  </si>
  <si>
    <t>jeffsmithcamp.com</t>
  </si>
  <si>
    <t>Call or email Jeff Smith directly</t>
  </si>
  <si>
    <t>Manheim</t>
  </si>
  <si>
    <t>Frank Cooney (Director of College Recruiting)</t>
  </si>
  <si>
    <t>(717) 665-0901</t>
  </si>
  <si>
    <t>keystonestatebombers.com</t>
  </si>
  <si>
    <t>Call main line and reference Frank Cooney</t>
  </si>
  <si>
    <t>Legacy Baseball Club</t>
  </si>
  <si>
    <t>Van Nuys</t>
  </si>
  <si>
    <t>(818) 730-8883</t>
  </si>
  <si>
    <t>mlacour@legacybbgroup.com</t>
  </si>
  <si>
    <t>legacybbgroup.com</t>
  </si>
  <si>
    <t>Email or call referencing Navy recruiting</t>
  </si>
  <si>
    <t>Austin / Central Texas</t>
  </si>
  <si>
    <t>Brad Dydalewicz</t>
  </si>
  <si>
    <t>(512) 829-4790</t>
  </si>
  <si>
    <t>via lonestarbaseballclub.com form</t>
  </si>
  <si>
    <t>lonestarbaseballclub.com</t>
  </si>
  <si>
    <t>Use contact form referencing Brad Dydalewicz</t>
  </si>
  <si>
    <t>Houston / NW Houston</t>
  </si>
  <si>
    <t>Chris Schultea / Kyle Holle (College Placement)</t>
  </si>
  <si>
    <t>(713) 690-5564</t>
  </si>
  <si>
    <t>cschultea@maruccielite.com or kholle@maruccielite.com</t>
  </si>
  <si>
    <t>maruccielitetexas.com</t>
  </si>
  <si>
    <t>Email Kyle Holle or Chris Schultea</t>
  </si>
  <si>
    <t>MVP Steel</t>
  </si>
  <si>
    <t>MVP Baseball staff</t>
  </si>
  <si>
    <t>Via themvpbaseball.com form</t>
  </si>
  <si>
    <t>themvpbaseball.com</t>
  </si>
  <si>
    <t>Use contact form referencing MVP Steel</t>
  </si>
  <si>
    <t>New Level (NLSG)</t>
  </si>
  <si>
    <t>Heath Welch (Owner)</t>
  </si>
  <si>
    <t>(214) 302-7698</t>
  </si>
  <si>
    <t>info@nlsportsgroup.com</t>
  </si>
  <si>
    <t>nlsportsgroup.com</t>
  </si>
  <si>
    <t>Call or email Heath Welch</t>
  </si>
  <si>
    <t>Next Level Baseball</t>
  </si>
  <si>
    <t>832-577-0726</t>
  </si>
  <si>
    <t>nextlevelbaseball00@gmail.com</t>
  </si>
  <si>
    <t>next-levelbaseball.godaddysites.com</t>
  </si>
  <si>
    <t>@nextlevelbaseball</t>
  </si>
  <si>
    <t>Call or email directly</t>
  </si>
  <si>
    <t>Nor’Easters</t>
  </si>
  <si>
    <t>Tewksbury</t>
  </si>
  <si>
    <t>Kevin Barnaby</t>
  </si>
  <si>
    <t>noreastersbaseball.com</t>
  </si>
  <si>
    <t>Email kharring@noreastersbaseball.com</t>
  </si>
  <si>
    <t>O’s Scout</t>
  </si>
  <si>
    <t>Michael Ohlman (Head Coach / Program Director)</t>
  </si>
  <si>
    <t>Via site/PG</t>
  </si>
  <si>
    <t>Via ohlmanbaseball.com form</t>
  </si>
  <si>
    <t>ohlmanbaseball.com</t>
  </si>
  <si>
    <t>Use contact form or PG messaging</t>
  </si>
  <si>
    <t>On Deck O’s</t>
  </si>
  <si>
    <t>Lindo Javelona (Director of Teams)</t>
  </si>
  <si>
    <t>(704) 889-2287</t>
  </si>
  <si>
    <t>info@ondeckacademy.com</t>
  </si>
  <si>
    <t>ondeckacademy.com</t>
  </si>
  <si>
    <t>@ondeckacademy</t>
  </si>
  <si>
    <t>PA Bellringers</t>
  </si>
  <si>
    <t>Newtown Square</t>
  </si>
  <si>
    <t>267-473-6280 or (484) 420-6110</t>
  </si>
  <si>
    <t>info@phillybaseballtraining.com</t>
  </si>
  <si>
    <t>pbtbellringers.com</t>
  </si>
  <si>
    <t>@bellringersbaseball</t>
  </si>
  <si>
    <t>Call or email main office</t>
  </si>
  <si>
    <t>PA Rebels</t>
  </si>
  <si>
    <t>West Chester area</t>
  </si>
  <si>
    <t>Jerry Oakes (Director of Recruiting)</t>
  </si>
  <si>
    <t>via parebels.com</t>
  </si>
  <si>
    <t>PaRebelsTeamDirector@gmail.com</t>
  </si>
  <si>
    <t>parebels.com</t>
  </si>
  <si>
    <t>@parebelsbaseball</t>
  </si>
  <si>
    <t>Email PaRebelsTeamDirector@gmail.com referencing Jerry Oakes</t>
  </si>
  <si>
    <t>Philly Bandits</t>
  </si>
  <si>
    <t>David Amaro (Founder / GM)</t>
  </si>
  <si>
    <t>90feet@comcast.net</t>
  </si>
  <si>
    <t>phillybanditsbaseball.com</t>
  </si>
  <si>
    <t>Email David Amaro directly</t>
  </si>
  <si>
    <t>Prosteck Baseball Club</t>
  </si>
  <si>
    <t>Woodstock / Marietta</t>
  </si>
  <si>
    <t>Travis Alston (Board / Primary Contact)</t>
  </si>
  <si>
    <t>(256) 426-3000</t>
  </si>
  <si>
    <t>travisalston@comcast.net</t>
  </si>
  <si>
    <t>prostockbc.com</t>
  </si>
  <si>
    <t>Call or email Travis Alston directly</t>
  </si>
  <si>
    <t>Rockies / SWFL Rockies</t>
  </si>
  <si>
    <t>Fort Myers</t>
  </si>
  <si>
    <t>John Cedarburg (Founder / President)</t>
  </si>
  <si>
    <t>239-839-2028</t>
  </si>
  <si>
    <t>cedarball@aol.com</t>
  </si>
  <si>
    <t>swflbaseball.com</t>
  </si>
  <si>
    <t>Email or call John Cedarburg directly</t>
  </si>
  <si>
    <t>Route 2 Blue Sox</t>
  </si>
  <si>
    <t>Jon Morse</t>
  </si>
  <si>
    <t>(781) 820-6185</t>
  </si>
  <si>
    <t>morse.j27@gmail.com</t>
  </si>
  <si>
    <t>route2athletics.com</t>
  </si>
  <si>
    <t>@route2athletics</t>
  </si>
  <si>
    <t>Email or text Jonathan Morse directly</t>
  </si>
  <si>
    <t>Wade Martinez</t>
  </si>
  <si>
    <t>(682) 532-5753</t>
  </si>
  <si>
    <t>Text/call Wade Martinez</t>
  </si>
  <si>
    <t>hector@sandiegoshowbaseball.com</t>
  </si>
  <si>
    <t>sandiegoshowbaseball.com</t>
  </si>
  <si>
    <t>@sandiegoshowbaseball</t>
  </si>
  <si>
    <t>Email Hector directly</t>
  </si>
  <si>
    <t>Service Baseball</t>
  </si>
  <si>
    <t>Cumming / Atlanta</t>
  </si>
  <si>
    <t>Johnny Hernandez (Key Staff)</t>
  </si>
  <si>
    <t>(770) 765-7199</t>
  </si>
  <si>
    <t>jhernandez@servicebaseball.com</t>
  </si>
  <si>
    <t>servicebaseball.com</t>
  </si>
  <si>
    <t>Call or email Johnny Hernandez</t>
  </si>
  <si>
    <t>Smartense</t>
  </si>
  <si>
    <t>Canton / Alpharetta</t>
  </si>
  <si>
    <t>Jarrett Northcutt / Cam West (Recruiter)</t>
  </si>
  <si>
    <t>(678) 825-2734</t>
  </si>
  <si>
    <t>Jarrett@SmarTenseTraining.com or Cam@SmarTenseTraining.com</t>
  </si>
  <si>
    <t>smartense.org</t>
  </si>
  <si>
    <t>Email Cam West or Jarrett Northcutt</t>
  </si>
  <si>
    <t>South Texas Sliders</t>
  </si>
  <si>
    <t>Mike Garcia (Director)</t>
  </si>
  <si>
    <t>slidersbaseball@gmail.com</t>
  </si>
  <si>
    <t>southtexassliders.com</t>
  </si>
  <si>
    <t>Email slidersbaseball@gmail.com</t>
  </si>
  <si>
    <t>Canyon Lake</t>
  </si>
  <si>
    <t>Kevin (Head Coach)</t>
  </si>
  <si>
    <t>(949) 307-4640</t>
  </si>
  <si>
    <t>info@stackedbaseballacademy.com</t>
  </si>
  <si>
    <t>stackedbaseballacademy.com</t>
  </si>
  <si>
    <t>@StackedBaseballClub</t>
  </si>
  <si>
    <t>Call/text Kevin or email</t>
  </si>
  <si>
    <t>Dallas / Mesquite</t>
  </si>
  <si>
    <t>Texas regional staff</t>
  </si>
  <si>
    <t>(682) 244-2696</t>
  </si>
  <si>
    <t>Rawlingsvelocitybaseball@gmail.com</t>
  </si>
  <si>
    <t>tbtballers.com</t>
  </si>
  <si>
    <t>Email or call the Texas line</t>
  </si>
  <si>
    <t>Texas Oilers</t>
  </si>
  <si>
    <t>Rockwall / Dallas</t>
  </si>
  <si>
    <t>Danny Hamblin / Kyle Hancock</t>
  </si>
  <si>
    <t>oilersbaseball@texasoilersbaseball.com</t>
  </si>
  <si>
    <t>texasoilersbaseball.com</t>
  </si>
  <si>
    <t>Email oilersbaseball@texasoilersbaseball.com</t>
  </si>
  <si>
    <t>Texas Stix</t>
  </si>
  <si>
    <t>Dallas / DFW</t>
  </si>
  <si>
    <t>Nick Heitz / Evan Mistich</t>
  </si>
  <si>
    <t>nheitz@texasstix.com or info@texasstix.com</t>
  </si>
  <si>
    <t>texasstix.com</t>
  </si>
  <si>
    <t>@StixBaseballTX</t>
  </si>
  <si>
    <t>Email Nick Heitz or Evan Mistich</t>
  </si>
  <si>
    <t>Tom Kain (Owner / Recruiting Director)</t>
  </si>
  <si>
    <t>(646) 330-9009 or (917) 560-0553</t>
  </si>
  <si>
    <t>Tommykain9@gmail.com</t>
  </si>
  <si>
    <t>tkrreds.com</t>
  </si>
  <si>
    <t>@tkrreds</t>
  </si>
  <si>
    <t>Text/call or email Tom directly</t>
  </si>
  <si>
    <t>Top Tier IL</t>
  </si>
  <si>
    <t>Dave Wuis (Illinois Director)</t>
  </si>
  <si>
    <t>(708) 387-2400</t>
  </si>
  <si>
    <t>Wuis@toptierwins.com</t>
  </si>
  <si>
    <t>toptierwins.com</t>
  </si>
  <si>
    <t>@toptierbaseball</t>
  </si>
  <si>
    <t>Email Dave Wuis directly</t>
  </si>
  <si>
    <t>UBC</t>
  </si>
  <si>
    <t>UBC staff</t>
  </si>
  <si>
    <t>(713) 899-1999</t>
  </si>
  <si>
    <t>info@ubcbaseball.com</t>
  </si>
  <si>
    <t>ubcbaseball.com</t>
  </si>
  <si>
    <t>Call or email info@ubcbaseball.com</t>
  </si>
  <si>
    <t>USA Prime Scout</t>
  </si>
  <si>
    <t>Atlanta / Emerson</t>
  </si>
  <si>
    <t>USA Scout Baseball staff</t>
  </si>
  <si>
    <t>(404) 644-6746</t>
  </si>
  <si>
    <t>Via usascoutbaseball.com form</t>
  </si>
  <si>
    <t>usascoutbaseball.com</t>
  </si>
  <si>
    <t>Call or use contact form</t>
  </si>
  <si>
    <t>West Coast Blackdogs</t>
  </si>
  <si>
    <t>Chino</t>
  </si>
  <si>
    <t>Mike Rouse</t>
  </si>
  <si>
    <t>(909) 247-8386</t>
  </si>
  <si>
    <t>wcblackdogs@gmail.com</t>
  </si>
  <si>
    <t>westcoastblackdogs.com</t>
  </si>
  <si>
    <t>Email or call Mike Rouse directly</t>
  </si>
  <si>
    <t>Chris Comstock</t>
  </si>
  <si>
    <t>ccomstock@houstonwildcatters.com</t>
  </si>
  <si>
    <t>Wladyka</t>
  </si>
  <si>
    <t>Rutherford</t>
  </si>
  <si>
    <t>Joe Wladyka (President)</t>
  </si>
  <si>
    <t>(201) 852-0768 or (201) 618-3743</t>
  </si>
  <si>
    <t>wladykabaseball.com</t>
  </si>
  <si>
    <t>Call Joe Wladyka directly</t>
  </si>
  <si>
    <t>Wow Factor North</t>
  </si>
  <si>
    <t>Cole Hartley (Illinois contact)</t>
  </si>
  <si>
    <t>WowFactorIllinois@gmail.com</t>
  </si>
  <si>
    <t>@wowfactorbaseball</t>
  </si>
  <si>
    <t>Email WowFactorIllinois@gmail.com</t>
  </si>
  <si>
    <t>Wow Factor Texas</t>
  </si>
  <si>
    <t>Collin Reynolds (Director of Operations)</t>
  </si>
  <si>
    <t>(972) 821-6108</t>
  </si>
  <si>
    <t>collinreynoldsdfw@gmail.com</t>
  </si>
  <si>
    <t>wowfactorbaseball.com/texas</t>
  </si>
  <si>
    <t>@WowFactor_DFW</t>
  </si>
  <si>
    <t>Email or text Collin Reynolds</t>
  </si>
  <si>
    <t>X Team</t>
  </si>
  <si>
    <t>Brandon Cooney (Director of Operations)</t>
  </si>
  <si>
    <t>Via xteambaseball.com form</t>
  </si>
  <si>
    <t>xteambaseball.com</t>
  </si>
  <si>
    <t>@xteambaseball</t>
  </si>
  <si>
    <t>Site form or IG DM</t>
  </si>
  <si>
    <t>Lake Elsinore</t>
  </si>
  <si>
    <t>5 Star National NY/NJ</t>
  </si>
  <si>
    <t>Akadema Prospects</t>
  </si>
  <si>
    <t>All In</t>
  </si>
  <si>
    <t>All Out</t>
  </si>
  <si>
    <t>Anderson Monarchs</t>
  </si>
  <si>
    <t>Atalntic Baseball Club (14u Under)</t>
  </si>
  <si>
    <t>Baseball U Central CT</t>
  </si>
  <si>
    <t>Baseball Warehouse</t>
  </si>
  <si>
    <t>Bases Loaded Bulldogs</t>
  </si>
  <si>
    <t>Bay Sox</t>
  </si>
  <si>
    <t>Beaver Valley</t>
  </si>
  <si>
    <t>Blacksawks</t>
  </si>
  <si>
    <t>Boomer Baseball</t>
  </si>
  <si>
    <t>Boston Blue Jays</t>
  </si>
  <si>
    <t>Boston Bombers</t>
  </si>
  <si>
    <t>Boston Braves</t>
  </si>
  <si>
    <t>Bronx Bombers</t>
  </si>
  <si>
    <t>Bucks County Generals</t>
  </si>
  <si>
    <t xml:space="preserve">Building Champions </t>
  </si>
  <si>
    <t>Caballos</t>
  </si>
  <si>
    <t>Cadets Baseball Academy (5 Star Nat'l Metro)</t>
  </si>
  <si>
    <t>Cayuga Bombers</t>
  </si>
  <si>
    <t>Charlotte Mustangs</t>
  </si>
  <si>
    <t>Chelmsford Lions</t>
  </si>
  <si>
    <t>Cincinatti Reds Scout Team</t>
  </si>
  <si>
    <t>Coastal Riptide</t>
  </si>
  <si>
    <t>Colonie Raiders</t>
  </si>
  <si>
    <t>Complete Game Colonials</t>
  </si>
  <si>
    <t>Concord Cannons</t>
  </si>
  <si>
    <t>Crossbridge Raiders</t>
  </si>
  <si>
    <t>CT Capitals</t>
  </si>
  <si>
    <t>CT Crush</t>
  </si>
  <si>
    <t>CT Edge</t>
  </si>
  <si>
    <t>CT Mayhem</t>
  </si>
  <si>
    <t>CT Rage</t>
  </si>
  <si>
    <t>CT Wolfpack</t>
  </si>
  <si>
    <t>Danbury Westerners</t>
  </si>
  <si>
    <t>DB Razorbacks</t>
  </si>
  <si>
    <t>Deck Dogs</t>
  </si>
  <si>
    <t>Diamond Pro</t>
  </si>
  <si>
    <t>DMV Prospects</t>
  </si>
  <si>
    <t>Dodgers Scout Team WV</t>
  </si>
  <si>
    <t>Downington Baseball Club Bandits</t>
  </si>
  <si>
    <t>Easely Baseball Club</t>
  </si>
  <si>
    <t>East Coast Clippers</t>
  </si>
  <si>
    <t>East Coast Eagles</t>
  </si>
  <si>
    <t>Eastern Elite</t>
  </si>
  <si>
    <t>Falcons Baseball 2.0</t>
  </si>
  <si>
    <t>Flood City Elite</t>
  </si>
  <si>
    <t>Force Ohio</t>
  </si>
  <si>
    <t>Freedom</t>
  </si>
  <si>
    <t>FTB Falcons - NY</t>
  </si>
  <si>
    <t>FTB Tucci</t>
  </si>
  <si>
    <t>Future Giants</t>
  </si>
  <si>
    <t>Gap2Gap</t>
  </si>
  <si>
    <t>Gowags Brawlers</t>
  </si>
  <si>
    <t>Hayner Academy</t>
  </si>
  <si>
    <t>Hudson A's</t>
  </si>
  <si>
    <t>Hunter Pence Baseball Academy</t>
  </si>
  <si>
    <t>Hustle Baseball</t>
  </si>
  <si>
    <t>HV Bulldogs</t>
  </si>
  <si>
    <t>Interstate Baseball</t>
  </si>
  <si>
    <t>J&amp;M Baseball Academy</t>
  </si>
  <si>
    <t>Jersey Shore Wildcats</t>
  </si>
  <si>
    <t>JG Baseball</t>
  </si>
  <si>
    <t xml:space="preserve">John Murphy </t>
  </si>
  <si>
    <t>Jr. WooSox</t>
  </si>
  <si>
    <t xml:space="preserve">JSB Elite </t>
  </si>
  <si>
    <t>Ken Ryan Express</t>
  </si>
  <si>
    <t>Keyston State Bombers</t>
  </si>
  <si>
    <t>Keystone War Eagles</t>
  </si>
  <si>
    <t>LA Dodgers Scout Team</t>
  </si>
  <si>
    <t>LAB</t>
  </si>
  <si>
    <t>Lake Champlain Brewers</t>
  </si>
  <si>
    <t>Legends Scout Team</t>
  </si>
  <si>
    <t>Locked In Baseball Expos</t>
  </si>
  <si>
    <t>Long Island Beast</t>
  </si>
  <si>
    <t>Louisville Legends</t>
  </si>
  <si>
    <t>MA Hurricanes</t>
  </si>
  <si>
    <t>Maine Guides</t>
  </si>
  <si>
    <t>Mass Rebels Baseball</t>
  </si>
  <si>
    <t>Mid Atlantic Hurricanes</t>
  </si>
  <si>
    <t>Middlesex Reds</t>
  </si>
  <si>
    <t>MLB Breakthrough</t>
  </si>
  <si>
    <t>Montreal Titans</t>
  </si>
  <si>
    <t>Morris County Cubs</t>
  </si>
  <si>
    <t>MSI</t>
  </si>
  <si>
    <t>MVP Beast</t>
  </si>
  <si>
    <t>MVP East End</t>
  </si>
  <si>
    <t>MVP Grindtime</t>
  </si>
  <si>
    <t>MVP Hustle</t>
  </si>
  <si>
    <t>NE Elite</t>
  </si>
  <si>
    <t>Needham Rockets</t>
  </si>
  <si>
    <t>New England Premier</t>
  </si>
  <si>
    <t>New Jersey Nationals</t>
  </si>
  <si>
    <t>Next Level Scout</t>
  </si>
  <si>
    <t>NH Grizzlies</t>
  </si>
  <si>
    <t>Niagara Jr. Thunderwolves</t>
  </si>
  <si>
    <t>NJ Giants</t>
  </si>
  <si>
    <t>NJ Marlins</t>
  </si>
  <si>
    <t xml:space="preserve">NorCal </t>
  </si>
  <si>
    <t>North Shore Freedom</t>
  </si>
  <si>
    <t>Northeast Clutch</t>
  </si>
  <si>
    <t>Northeast Eagles</t>
  </si>
  <si>
    <t>Northern Nevada Baseball Club</t>
  </si>
  <si>
    <t xml:space="preserve">Nova Premiere </t>
  </si>
  <si>
    <t>NY Gothams</t>
  </si>
  <si>
    <t>NY Stingers</t>
  </si>
  <si>
    <t>NYC Rising Stars</t>
  </si>
  <si>
    <t>NYC Titans</t>
  </si>
  <si>
    <t>Oakville A's</t>
  </si>
  <si>
    <t>Ocean State Makos</t>
  </si>
  <si>
    <t>Ocean State Outlaws</t>
  </si>
  <si>
    <t>Phenom NY</t>
  </si>
  <si>
    <t>Philadelphia Reds</t>
  </si>
  <si>
    <t>Philadelphia Wiz Kids</t>
  </si>
  <si>
    <t xml:space="preserve">Power Arm </t>
  </si>
  <si>
    <t>Powerhouse Bulldogs</t>
  </si>
  <si>
    <t>PPH</t>
  </si>
  <si>
    <t>Providence Sports &amp; Leadership</t>
  </si>
  <si>
    <t>Real Ballers</t>
  </si>
  <si>
    <t>RI Devils</t>
  </si>
  <si>
    <t>RI Prospects</t>
  </si>
  <si>
    <t>Rochester Cougars</t>
  </si>
  <si>
    <t>Rockies Scout</t>
  </si>
  <si>
    <t>Sam Sharf</t>
  </si>
  <si>
    <t>Samuri Baseball Acadmey</t>
  </si>
  <si>
    <t>Scanzano Combat</t>
  </si>
  <si>
    <t>Seneca All-Stars</t>
  </si>
  <si>
    <t>South Troy Dodgers</t>
  </si>
  <si>
    <t>Sportika Baseball</t>
  </si>
  <si>
    <t>Stacked Baseball</t>
  </si>
  <si>
    <t xml:space="preserve">Sticks Baseball </t>
  </si>
  <si>
    <t>Sussex County Miners</t>
  </si>
  <si>
    <t xml:space="preserve">Swarm Red Elite </t>
  </si>
  <si>
    <t>Syracuse Jr. Cheifs</t>
  </si>
  <si>
    <t>Syracuse Sports Zone</t>
  </si>
  <si>
    <t>TBT Ballers</t>
  </si>
  <si>
    <t>Team Citius</t>
  </si>
  <si>
    <t>Team Francisco Notorious 9</t>
  </si>
  <si>
    <t>Team Steele</t>
  </si>
  <si>
    <t>Technique Tigers</t>
  </si>
  <si>
    <t>Time To Sign</t>
  </si>
  <si>
    <t xml:space="preserve">Titus </t>
  </si>
  <si>
    <t>Top Gun</t>
  </si>
  <si>
    <t>Tops</t>
  </si>
  <si>
    <t>Uncommon Baseball</t>
  </si>
  <si>
    <t>US Elite MA</t>
  </si>
  <si>
    <t>USA Prime Northeast</t>
  </si>
  <si>
    <t>Vikings</t>
  </si>
  <si>
    <t>Warehouse Mariachis</t>
  </si>
  <si>
    <t>Warehouse Yard Goats</t>
  </si>
  <si>
    <t>Western Maine Mountaineers</t>
  </si>
  <si>
    <t>Wladyka Baseball</t>
  </si>
  <si>
    <t>XPosure 17u National</t>
  </si>
  <si>
    <t>York Revs</t>
  </si>
  <si>
    <t>Zone Select</t>
  </si>
  <si>
    <t>Dallas, TX, USA</t>
  </si>
  <si>
    <t>Anthony Juare</t>
  </si>
  <si>
    <t>Title</t>
  </si>
  <si>
    <t>Start Time</t>
  </si>
  <si>
    <t>End Time</t>
  </si>
  <si>
    <t>All Day?</t>
  </si>
  <si>
    <t>Description</t>
  </si>
  <si>
    <t>Location</t>
  </si>
  <si>
    <t>Guests</t>
  </si>
  <si>
    <t>Event ID</t>
  </si>
  <si>
    <t>Recurring?</t>
  </si>
  <si>
    <t>DEAD PERIOD</t>
  </si>
  <si>
    <t>4qq3eud6862r814r7hl2ik9899@google.com</t>
  </si>
  <si>
    <t>PG National Select (Texas)</t>
  </si>
  <si>
    <t>2027, 2028, 2029</t>
  </si>
  <si>
    <t>CSVConverta5bb70845cbbbe84fd0a59b2b463ef05</t>
  </si>
  <si>
    <t>PG Beast of the East (National)</t>
  </si>
  <si>
    <t>CSVConvert1cb3840688b72878a7f40d02df28cc25</t>
  </si>
  <si>
    <t>PBR NPI (National)</t>
  </si>
  <si>
    <t>CSVConvert5bee227a7b4a2b835821fd31ea2230d4</t>
  </si>
  <si>
    <t>VT - North TX Classic (Texas)</t>
  </si>
  <si>
    <t>CSVConvertaade2b96d465ba3ea81151f990b54e6e</t>
  </si>
  <si>
    <t>PS Palm Beach Classic (Florida)</t>
  </si>
  <si>
    <t>CSVConvertf45f4a648ab231cb0d488933aefb0bce</t>
  </si>
  <si>
    <t>NorCal World Series (California)</t>
  </si>
  <si>
    <t>CSVConvert147d31005f0794e985c9f4ef5dfd6994</t>
  </si>
  <si>
    <t>Alpha Games (California)</t>
  </si>
  <si>
    <t>CSVConvertc7e32bba7a8a47a42eb3a6a909ec2977</t>
  </si>
  <si>
    <t>3br6esjp01bq6o8vml60lora54@google.com</t>
  </si>
  <si>
    <t>PBR PA State Games (Mid Atlantic)</t>
  </si>
  <si>
    <t>CSVConvert8aaf1e129bd2783f373428618a8920d1</t>
  </si>
  <si>
    <t>2841tetmli1ifksq8o1crm3rp1@google.com</t>
  </si>
  <si>
    <t>USA National Team Championship 17U (National)</t>
  </si>
  <si>
    <t>CSVConvert112cc43ad3477a0c0e1e6ea8bb85134e</t>
  </si>
  <si>
    <t>UBC South (Texas)</t>
  </si>
  <si>
    <t>58kjbij30atjhr0bfjo97pgehl@google.com</t>
  </si>
  <si>
    <t>Garden State Games (Mid Atlantic)</t>
  </si>
  <si>
    <t>CSVConvert67688d3ef55287b9606f53b2fa1c9bd0</t>
  </si>
  <si>
    <t>PBR Texas Program Invitational (Texas)</t>
  </si>
  <si>
    <t>CSVConvert26b6c358685687da72a42b929a6b9674</t>
  </si>
  <si>
    <t>VT - LA Show (California)</t>
  </si>
  <si>
    <t>CSVConvert9c87b877df6afbe0c6d1400d4bef5269</t>
  </si>
  <si>
    <t>PG UBC West (California)</t>
  </si>
  <si>
    <t>CSVConvertaaf275f3e0a0fc552545f719affb3f59</t>
  </si>
  <si>
    <t>Prep Baseball Classic (Georgia)</t>
  </si>
  <si>
    <t>CSVConvert6d8375695280ead9a4dc44b773e6eddd</t>
  </si>
  <si>
    <t>3fses3q9m6f0skj12ll8hlcl7g@google.com</t>
  </si>
  <si>
    <t>PG UBC East (Florida)</t>
  </si>
  <si>
    <t>CSVConvertc8dc660c2a1f2012862e0521c495d8b9</t>
  </si>
  <si>
    <t>Diamond Nation Super 17 (Mid Atlantic)</t>
  </si>
  <si>
    <t>2027, 2028</t>
  </si>
  <si>
    <t>CSVConverte61947b788a37b73c23e950229961117</t>
  </si>
  <si>
    <t>Body Armour NC State Games (DC/VA/NC)</t>
  </si>
  <si>
    <t>CSVConvert0e8654e2ca7cfc1a2daacf356955aa0f</t>
  </si>
  <si>
    <t>VT - Pudge (Texas)</t>
  </si>
  <si>
    <t>2028, 2029</t>
  </si>
  <si>
    <t>CSVConvert39a6983c7ba6dd5615cbe57650834bff</t>
  </si>
  <si>
    <t>Virginia State Games (DC/VA/NC)</t>
  </si>
  <si>
    <t>CSVConvertd51f9e576b39c206054c56d44fabfb9f</t>
  </si>
  <si>
    <t>PG Midwest World Series (Other)</t>
  </si>
  <si>
    <t>CSVConvertbea614a6b1bf496e2e5c60711f67d067</t>
  </si>
  <si>
    <t>PG Southeast Select Championship (Georgia)</t>
  </si>
  <si>
    <t>CSVConvert30b73ebae6239b39bf7f8878a98a1955</t>
  </si>
  <si>
    <t>PBR Mid Atlantic Program Invite (DC/VA/NC)</t>
  </si>
  <si>
    <t>CSVConvert5ccde389fe79fbeb6361eae712bc4493</t>
  </si>
  <si>
    <t>PBR Midwest Premier Super 16 (Texas)</t>
  </si>
  <si>
    <t>CSVConvert837a21003773eb710f446ac3f016c45f</t>
  </si>
  <si>
    <t>PG WWBA New England Championship (New England)</t>
  </si>
  <si>
    <t>CSVConverte7fd2ea8eb9b4d91b0c8bac015da275b</t>
  </si>
  <si>
    <t>702qpksvcv34c40k55lp65vunq@google.com</t>
  </si>
  <si>
    <t>PG 17U WWBA National Championship (National)</t>
  </si>
  <si>
    <t>CSVConverta0cc2fb9b0a0849f646fcaae4333ad60</t>
  </si>
  <si>
    <t>Diamond Nation Super 17 2 (Mid Atlantic)</t>
  </si>
  <si>
    <t>dh72r47aqdt99qaag00ib6sia0@google.com</t>
  </si>
  <si>
    <t>USA National Team Championship 16U (National)</t>
  </si>
  <si>
    <t>CSVConvert05831eedfc75b9320a8e8c7c2d4dd08c</t>
  </si>
  <si>
    <t>PBR NY State Games (Mid Atlantic)</t>
  </si>
  <si>
    <t>CSVConvertfad2d26e41e4a7d3dd5a19f8e4c2627c</t>
  </si>
  <si>
    <t>PBR 16U National Championship (National)</t>
  </si>
  <si>
    <t>CSVConvert0c06836370eeaac588678a509bbf088b</t>
  </si>
  <si>
    <t>PG WWBA Central Elite (Texas)</t>
  </si>
  <si>
    <t>CSVConvert092bbc8959fcc3488227a8b05e448c27</t>
  </si>
  <si>
    <t>PBR Grand Park Summer Championships (Other)</t>
  </si>
  <si>
    <t>CSVConvert2a8bd7d2f29d5b55ff0904542287f638</t>
  </si>
  <si>
    <t>PS Blackbear Classic (DC/VA/NC)</t>
  </si>
  <si>
    <t>CSVConvert3826e6fc039f95fbe290bf8f552ba14c</t>
  </si>
  <si>
    <t>PBR Midwest Premier Super 17 (Other)</t>
  </si>
  <si>
    <t>CSVConvert40b7398d49fd4e8175fc83db8a26cb1c</t>
  </si>
  <si>
    <t>VT - CA SoCal OC Summer Classic (California)</t>
  </si>
  <si>
    <t>CSVConvert73f5faff0b74190351e5deeb60df2c00</t>
  </si>
  <si>
    <t>PG National Elite 16U (National)</t>
  </si>
  <si>
    <t>CSVConvert309ab1be1fac9c33425359ab7242fb74</t>
  </si>
  <si>
    <t>4cu3g1l95ip30brdr4mvn6krv1@google.com</t>
  </si>
  <si>
    <t>1pl8tavov12he6l7d449d798o0@google.com</t>
  </si>
  <si>
    <t>PG 16U WWBA National Championship (National)</t>
  </si>
  <si>
    <t>CSVConvert64e23bf113da75db160f58b114d3ed4b</t>
  </si>
  <si>
    <t>PS Boston Classic (New England)</t>
  </si>
  <si>
    <t>CSVConvertf022ef03c47fc1f2cb2d17d7701612b4</t>
  </si>
  <si>
    <t>VT - Mattingly (Texas)</t>
  </si>
  <si>
    <t>CSVConvert6d91f216b39c7e270a005579c6fc4fdc</t>
  </si>
  <si>
    <t>PG 17U WWBA West National Championship (California)</t>
  </si>
  <si>
    <t>CSVConvert7b568ae1c63ddffe56dec4d5290bda36</t>
  </si>
  <si>
    <t>PG WWBA South Elite (Texas)</t>
  </si>
  <si>
    <t>CSVConvert2dd6643cd8dfca21450d3e4d3dd47c21</t>
  </si>
  <si>
    <t>PBR Southeast Select (Georgia)</t>
  </si>
  <si>
    <t>CSVConvert41956df8d182e6db698811a91ff1ae95</t>
  </si>
  <si>
    <t>PG WWBA Midwest Championship (Other)</t>
  </si>
  <si>
    <t>CSVConvertf26dad6b0e4600b244db63f55d8a88f4</t>
  </si>
  <si>
    <t>PG National Elite 17U (National)</t>
  </si>
  <si>
    <t>Hoover, AL, USA</t>
  </si>
  <si>
    <t>CSVConverta5c20f682adfce80b5aef659663663c8</t>
  </si>
  <si>
    <t>PG Southeast Summer Showdown (Georgia)</t>
  </si>
  <si>
    <t>CSVConvert0eb5479b87b6d94fe91e775b79305c79</t>
  </si>
  <si>
    <t>VT - Mantle (Texas)</t>
  </si>
  <si>
    <t>CSVConvertca7e430eda12d250b11cb59d4ca72c42</t>
  </si>
  <si>
    <t>PG 16U WWBA West National Championship</t>
  </si>
  <si>
    <t>3t56v8esstk1bhckmuemo08oth@google.com</t>
  </si>
  <si>
    <t>PBR 17U National Championship (National)</t>
  </si>
  <si>
    <t>CSVConvert389cb4842c536be07ccab6dc38058404</t>
  </si>
  <si>
    <t>VT - Dave Roberts (California)</t>
  </si>
  <si>
    <t>CSVConvert9149e51a59e962e12dbdb29121f9a61e</t>
  </si>
  <si>
    <t>PG New England World Series (New England)</t>
  </si>
  <si>
    <t>CSVConvert98b9bf12cca99862d0008a8be336c602</t>
  </si>
  <si>
    <t>PG 16U World Series FL (National)</t>
  </si>
  <si>
    <t>CSVConverta85e7899e6f63c252da92133ba82b892</t>
  </si>
  <si>
    <t>PG BCS 17U (Florida)</t>
  </si>
  <si>
    <t>22sh7kt2hhdujn4seivi3786hh@google.com</t>
  </si>
  <si>
    <t>PG Mid Atlantic Select Championship (Mid Atlantic)</t>
  </si>
  <si>
    <t>CSVConvert38619fb1ebf354927415c753b459ae99</t>
  </si>
  <si>
    <t>3jmpprjrbodu9gp0m82vpipulc@google.com</t>
  </si>
  <si>
    <t>PBR Sr. Futures (National)</t>
  </si>
  <si>
    <t>CSVConvertb4a95b452c777c091bef0af4ba3c58d4</t>
  </si>
  <si>
    <t>PBR Futures (National)</t>
  </si>
  <si>
    <t>CSVConvert32a02671bed9b5503074f93ba4477ecb</t>
  </si>
  <si>
    <t>PG BCS 16U (Florida)</t>
  </si>
  <si>
    <t>CSVConvertc06e650e3eaa5b7f68f2379f2aaa2817</t>
  </si>
  <si>
    <t>PG 17U World Series AZ (California)</t>
  </si>
  <si>
    <t>CSVConverte6dd92c2579a095607cf652b8f67973f</t>
  </si>
  <si>
    <t>PG Northeast World Series (Mid Atlantic)</t>
  </si>
  <si>
    <t>CSVConvert1a1a3e6bb0baf00924020dba5b500179</t>
  </si>
  <si>
    <t>3f4ajqfk06r0detk17ov38into@google.com</t>
  </si>
  <si>
    <t>PG Best of the Best (New England)</t>
  </si>
  <si>
    <t>CSVConvert3899dd95d10a5653f5f22c3aabd1cb0c</t>
  </si>
  <si>
    <t>VT - West World Series (California)</t>
  </si>
  <si>
    <t>CSVConvertd473da9a22a45414d2fa24506c063480</t>
  </si>
  <si>
    <t>PG Tournament of Champions (Other)</t>
  </si>
  <si>
    <t>CSVConverte45a6d5adc6db242ba522e32241ef316</t>
  </si>
  <si>
    <t>PBR California State Games (California)</t>
  </si>
  <si>
    <t>CSVConverte6395b91f5d6b5840393a6421484a7a3</t>
  </si>
  <si>
    <t>Dude Day (California)</t>
  </si>
  <si>
    <t>CSVConverte953d8314ba1ec111dd0c48697aecf7d</t>
  </si>
  <si>
    <t>Area Code Games (National)</t>
  </si>
  <si>
    <t>CSVConvert377745cf9a80bf0444e908244cb331e4</t>
  </si>
  <si>
    <t>Quakes (California)</t>
  </si>
  <si>
    <t>CSVConvertbcfe6362df2536c16049529aa51c722a</t>
  </si>
  <si>
    <t>6aveqfqsdr195rnr2a8bb7bcdu@google.com</t>
  </si>
  <si>
    <t>Label</t>
  </si>
  <si>
    <t>Message</t>
  </si>
  <si>
    <t>CB - Player</t>
  </si>
  <si>
    <t>Hey NAME, this is Coach Bosco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</si>
  <si>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AP - Player</t>
  </si>
  <si>
    <t>Hey NAME, this is Coach Pavkovich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</si>
  <si>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TR - Player</t>
  </si>
  <si>
    <t>Hey NAME, this is Coach Reilly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</si>
  <si>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CB - Coach Rec</t>
  </si>
  <si>
    <t>Hey coach! This is Chris Bosco from Navy baseball. I’d love to get your thoughts on PLAYER as a pitcher but mainly as a student and as a kid. I’m around all day today if you’ve got some time, otherwise let me know when works for you!</t>
  </si>
  <si>
    <t>Links</t>
  </si>
  <si>
    <t>https://new.express.adobe.com/webpage/5EONCqYFzXTMe
https://forms.gle/8eMF2UrPNRqsEQVu6</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</si>
</sst>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d"/>
    <numFmt numFmtId="165" formatCode="mmm d/yy"/>
    <numFmt numFmtId="166" formatCode="m/d/yy"/>
    <numFmt numFmtId="167" formatCode="mmm d"/>
    <numFmt numFmtId="168" formatCode="mmmm d"/>
    <numFmt numFmtId="169" formatCode="mmm. d"/>
    <numFmt numFmtId="170" formatCode="m-d"/>
    <numFmt numFmtId="171" formatCode="mm/dd/yyyy"/>
    <numFmt numFmtId="172" formatCode="m/d/yyyy"/>
    <numFmt numFmtId="173" formatCode="m/d h:mm am/pm"/>
    <numFmt numFmtId="174" formatCode="m&quot;/&quot;d"/>
    <numFmt numFmtId="175" formatCode="0.0"/>
    <numFmt numFmtId="176" formatCode="m/yyyy"/>
    <numFmt numFmtId="177" formatCode="_(&quot;$&quot;* #,##0_);_(&quot;$&quot;* \(#,##0\);_(&quot;$&quot;* &quot;-&quot;??_);_(@_)"/>
    <numFmt numFmtId="178" formatCode="mmmm&quot; &quot;d"/>
    <numFmt numFmtId="179" formatCode="m/d/yyyy h:mm:ss"/>
  </numFmts>
  <fonts count="109">
    <font>
      <sz val="10.0"/>
      <color rgb="FF000000"/>
      <name val="Arial"/>
      <scheme val="minor"/>
    </font>
    <font>
      <sz val="10.0"/>
      <color theme="1"/>
      <name val="Arial"/>
    </font>
    <font>
      <b/>
      <sz val="24.0"/>
      <color theme="1"/>
      <name val="Arial"/>
    </font>
    <font>
      <b/>
      <sz val="6.0"/>
      <color theme="1"/>
      <name val="Arial"/>
    </font>
    <font>
      <sz val="7.0"/>
      <color theme="1"/>
      <name val="Arial"/>
    </font>
    <font>
      <b/>
      <sz val="7.0"/>
      <color theme="1"/>
      <name val="Arial"/>
    </font>
    <font>
      <b/>
      <sz val="9.0"/>
      <color theme="1"/>
      <name val="Arial"/>
    </font>
    <font>
      <b/>
      <i/>
      <sz val="7.0"/>
      <color theme="1"/>
      <name val="Arial"/>
    </font>
    <font>
      <b/>
      <sz val="10.0"/>
      <color theme="1"/>
      <name val="Arial"/>
    </font>
    <font>
      <sz val="6.0"/>
      <color theme="1"/>
      <name val="Arial"/>
    </font>
    <font>
      <color theme="1"/>
      <name val="Arial"/>
      <scheme val="minor"/>
    </font>
    <font>
      <b/>
      <sz val="8.0"/>
      <color theme="1"/>
      <name val="Arial"/>
    </font>
    <font/>
    <font>
      <b/>
      <sz val="10.0"/>
      <color rgb="FF000000"/>
      <name val="Arial"/>
    </font>
    <font>
      <sz val="6.0"/>
      <color rgb="FFCCCCCC"/>
      <name val="Arial"/>
    </font>
    <font>
      <sz val="10.0"/>
      <color rgb="FF000000"/>
      <name val="Arial"/>
    </font>
    <font>
      <sz val="6.0"/>
      <color rgb="FF000000"/>
      <name val="Arial"/>
    </font>
    <font>
      <color theme="1"/>
      <name val="Arial"/>
    </font>
    <font>
      <sz val="9.0"/>
      <color theme="1"/>
      <name val="Arial"/>
    </font>
    <font>
      <u/>
      <sz val="6.0"/>
      <color rgb="FFCCCCCC"/>
      <name val="Arial"/>
    </font>
    <font>
      <b/>
      <color theme="1"/>
      <name val="Arial"/>
    </font>
    <font>
      <u/>
      <sz val="6.0"/>
      <color rgb="FFCCCCCC"/>
      <name val="Arial"/>
    </font>
    <font>
      <u/>
      <sz val="6.0"/>
      <color rgb="FFCCCCCC"/>
      <name val="Arial"/>
    </font>
    <font>
      <sz val="11.0"/>
      <color rgb="FF555555"/>
      <name val="Arial"/>
    </font>
    <font>
      <sz val="11.0"/>
      <color rgb="FFC2121F"/>
      <name val="Jaf-facitweb"/>
    </font>
    <font>
      <u/>
      <sz val="6.0"/>
      <color rgb="FF0000FF"/>
      <name val="Arial"/>
    </font>
    <font>
      <sz val="11.0"/>
      <color rgb="FF17181B"/>
      <name val="Jaf-facitweb"/>
    </font>
    <font>
      <sz val="14.0"/>
      <color rgb="FF333333"/>
      <name val="ProfileBolder"/>
    </font>
    <font>
      <u/>
      <sz val="10.0"/>
      <color rgb="FF000000"/>
      <name val="Arial"/>
    </font>
    <font>
      <sz val="13.0"/>
      <color theme="1"/>
      <name val="'UICTFontTextStyleBody'"/>
    </font>
    <font>
      <color rgb="FF000000"/>
      <name val="Arial"/>
    </font>
    <font>
      <b/>
      <sz val="13.0"/>
      <color theme="1"/>
      <name val="Arial"/>
      <scheme val="minor"/>
    </font>
    <font>
      <b/>
      <color theme="1"/>
      <name val="Arial"/>
      <scheme val="minor"/>
    </font>
    <font>
      <b/>
      <sz val="24.0"/>
      <color rgb="FF00225B"/>
      <name val="Arial"/>
    </font>
    <font>
      <sz val="17.0"/>
      <color theme="1"/>
      <name val="Arial"/>
      <scheme val="minor"/>
    </font>
    <font>
      <sz val="8.0"/>
      <color theme="1"/>
      <name val="Arial"/>
      <scheme val="minor"/>
    </font>
    <font>
      <b/>
      <sz val="12.0"/>
      <color theme="1"/>
      <name val="Arial"/>
      <scheme val="minor"/>
    </font>
    <font>
      <b/>
      <sz val="12.0"/>
      <color rgb="FFB5A67C"/>
      <name val="Arial"/>
      <scheme val="minor"/>
    </font>
    <font>
      <sz val="5.0"/>
      <color theme="1"/>
      <name val="Arial"/>
      <scheme val="minor"/>
    </font>
    <font>
      <color rgb="FF000000"/>
      <name val="Arial"/>
      <scheme val="minor"/>
    </font>
    <font>
      <sz val="8.0"/>
      <color rgb="FF000000"/>
      <name val="Arial"/>
      <scheme val="minor"/>
    </font>
    <font>
      <sz val="5.0"/>
      <color rgb="FF000000"/>
      <name val="Arial"/>
      <scheme val="minor"/>
    </font>
    <font>
      <b/>
      <i/>
      <sz val="14.0"/>
      <color rgb="FFFFFFFF"/>
      <name val="Arial"/>
    </font>
    <font>
      <b/>
      <i/>
      <sz val="14.0"/>
      <color rgb="FFFFFFFF"/>
      <name val="Arial"/>
      <scheme val="minor"/>
    </font>
    <font>
      <b/>
      <sz val="12.0"/>
      <color theme="1"/>
      <name val="Arial"/>
    </font>
    <font>
      <b/>
      <color rgb="FF980000"/>
      <name val="Arial"/>
      <scheme val="minor"/>
    </font>
    <font>
      <b/>
      <color rgb="FF0000FF"/>
      <name val="Arial"/>
      <scheme val="minor"/>
    </font>
    <font>
      <b/>
      <color rgb="FF6AA84F"/>
      <name val="Arial"/>
    </font>
    <font>
      <b/>
      <color rgb="FF0000FF"/>
      <name val="Arial"/>
    </font>
    <font>
      <b/>
      <color rgb="FFFF0000"/>
      <name val="Arial"/>
    </font>
    <font>
      <b/>
      <color rgb="FF980000"/>
      <name val="Arial"/>
    </font>
    <font>
      <b/>
      <color rgb="FFFFFFFF"/>
      <name val="Arial"/>
      <scheme val="minor"/>
    </font>
    <font>
      <strike/>
      <color theme="1"/>
      <name val="Arial"/>
      <scheme val="minor"/>
    </font>
    <font>
      <strike/>
      <sz val="8.0"/>
      <color theme="1"/>
      <name val="Arial"/>
      <scheme val="minor"/>
    </font>
    <font>
      <b/>
      <sz val="11.0"/>
      <color rgb="FFFFFFFF"/>
      <name val="Arial"/>
    </font>
    <font>
      <color rgb="FFFF0000"/>
      <name val="Arial"/>
    </font>
    <font>
      <b/>
      <strike/>
      <color theme="1"/>
      <name val="Arial"/>
    </font>
    <font>
      <strike/>
      <color theme="1"/>
      <name val="Arial"/>
    </font>
    <font>
      <b/>
      <sz val="14.0"/>
      <color theme="1"/>
      <name val="Arial"/>
      <scheme val="minor"/>
    </font>
    <font>
      <b/>
      <sz val="15.0"/>
      <color theme="1"/>
      <name val="Arial"/>
    </font>
    <font>
      <b/>
      <sz val="14.0"/>
      <color theme="1"/>
      <name val="Arial"/>
    </font>
    <font>
      <b/>
      <sz val="20.0"/>
      <color theme="1"/>
      <name val="Arial"/>
    </font>
    <font>
      <b/>
      <sz val="11.0"/>
      <color rgb="FFB5A67C"/>
      <name val="Arial"/>
    </font>
    <font>
      <b/>
      <sz val="16.0"/>
      <color theme="1"/>
      <name val="Arial"/>
    </font>
    <font>
      <sz val="11.0"/>
      <color theme="1"/>
      <name val="Arial"/>
    </font>
    <font>
      <sz val="5.0"/>
      <color theme="1"/>
      <name val="Arial"/>
    </font>
    <font>
      <b/>
      <sz val="13.0"/>
      <color rgb="FF00225B"/>
      <name val="Arial"/>
    </font>
    <font>
      <sz val="7.0"/>
      <color theme="1"/>
      <name val="Arial"/>
      <scheme val="minor"/>
    </font>
    <font>
      <b/>
      <sz val="11.0"/>
      <color rgb="FF00225B"/>
      <name val="Arial"/>
    </font>
    <font>
      <b/>
      <sz val="23.0"/>
      <color rgb="FFFFFFFF"/>
      <name val="Arial"/>
    </font>
    <font>
      <b/>
      <sz val="21.0"/>
      <color rgb="FFFFFFFF"/>
      <name val="Arial"/>
    </font>
    <font>
      <b/>
      <sz val="10.0"/>
      <color rgb="FFFFFFFF"/>
      <name val="Arial"/>
    </font>
    <font>
      <b/>
      <sz val="7.0"/>
      <color rgb="FFFFFFFF"/>
      <name val="Arial"/>
    </font>
    <font>
      <sz val="9.0"/>
      <color rgb="FF000000"/>
      <name val="Arial"/>
    </font>
    <font>
      <sz val="8.0"/>
      <color rgb="FF000000"/>
      <name val="Arial"/>
    </font>
    <font>
      <sz val="7.0"/>
      <color rgb="FF000000"/>
      <name val="Arial"/>
    </font>
    <font>
      <b/>
      <u/>
      <sz val="20.0"/>
      <color theme="1"/>
      <name val="Arial"/>
    </font>
    <font>
      <b/>
      <sz val="11.0"/>
      <color theme="1"/>
      <name val="Calibri"/>
    </font>
    <font>
      <b/>
      <sz val="16.0"/>
      <color theme="1"/>
      <name val="Calibri"/>
    </font>
    <font>
      <sz val="11.0"/>
      <color theme="1"/>
      <name val="Arial"/>
      <scheme val="minor"/>
    </font>
    <font>
      <b/>
      <sz val="13.0"/>
      <color theme="1"/>
      <name val="Arial"/>
    </font>
    <font>
      <b/>
      <sz val="21.0"/>
      <color rgb="FFFFFFFF"/>
      <name val="Arial"/>
      <scheme val="minor"/>
    </font>
    <font>
      <color rgb="FF222222"/>
      <name val="Arial"/>
    </font>
    <font>
      <color rgb="FFFF0000"/>
      <name val="Arial"/>
      <scheme val="minor"/>
    </font>
    <font>
      <sz val="11.0"/>
      <color rgb="FF17181B"/>
      <name val="Arial"/>
    </font>
    <font>
      <sz val="8.0"/>
      <color rgb="FFFFFFFF"/>
      <name val="Arial"/>
      <scheme val="minor"/>
    </font>
    <font>
      <sz val="11.0"/>
      <color rgb="FF000000"/>
      <name val="Arial"/>
      <scheme val="minor"/>
    </font>
    <font>
      <i/>
      <sz val="9.0"/>
      <color theme="1"/>
      <name val="Arial"/>
      <scheme val="minor"/>
    </font>
    <font>
      <i/>
      <sz val="9.0"/>
      <color theme="1"/>
      <name val="Arial"/>
    </font>
    <font>
      <sz val="9.0"/>
      <color rgb="FFFFFFFF"/>
      <name val="Arial"/>
    </font>
    <font>
      <u/>
      <color rgb="FF0000FF"/>
      <name val="Arial"/>
    </font>
    <font>
      <sz val="12.0"/>
      <color theme="1"/>
      <name val="Arial"/>
      <scheme val="minor"/>
    </font>
    <font>
      <b/>
      <color rgb="FF000000"/>
      <name val="Arial"/>
    </font>
    <font>
      <b/>
      <color rgb="FFFF9900"/>
      <name val="Arial"/>
    </font>
    <font>
      <b/>
      <u/>
      <color rgb="FF000000"/>
      <name val="Arial"/>
    </font>
    <font>
      <sz val="8.0"/>
      <color theme="1"/>
      <name val="Arial"/>
    </font>
    <font>
      <u/>
      <color rgb="FF0000FF"/>
      <name val="Arial"/>
    </font>
    <font>
      <u/>
      <color rgb="FF0000FF"/>
      <name val="Arial"/>
    </font>
    <font>
      <u/>
      <color rgb="FF0000FF"/>
      <name val="Arial"/>
    </font>
    <font>
      <u/>
      <color rgb="FF0000FF"/>
    </font>
    <font>
      <sz val="9.0"/>
      <color theme="1"/>
      <name val="Arial"/>
      <scheme val="minor"/>
    </font>
    <font>
      <b/>
      <sz val="15.0"/>
      <color theme="1"/>
      <name val="Helvetica"/>
    </font>
    <font>
      <color theme="1"/>
      <name val="Helvetica"/>
    </font>
    <font>
      <b/>
      <color theme="1"/>
      <name val="Helvetica"/>
    </font>
    <font>
      <b/>
      <sz val="13.0"/>
      <color theme="1"/>
      <name val="Helvetica"/>
    </font>
    <font>
      <color rgb="FFCCCCCC"/>
      <name val="Helvetica"/>
    </font>
    <font>
      <b/>
      <sz val="11.0"/>
      <color theme="1"/>
      <name val="Helvetica"/>
    </font>
    <font>
      <sz val="11.0"/>
      <color theme="1"/>
      <name val="Helvetica"/>
    </font>
    <font>
      <b/>
      <sz val="14.0"/>
      <color theme="1"/>
      <name val="Calibri"/>
    </font>
  </fonts>
  <fills count="32">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B7B7B7"/>
        <bgColor rgb="FFB7B7B7"/>
      </patternFill>
    </fill>
    <fill>
      <patternFill patternType="solid">
        <fgColor rgb="FFFFFFFF"/>
        <bgColor rgb="FFFFFFFF"/>
      </patternFill>
    </fill>
    <fill>
      <patternFill patternType="solid">
        <fgColor rgb="FFF3F3F3"/>
        <bgColor rgb="FFF3F3F3"/>
      </patternFill>
    </fill>
    <fill>
      <patternFill patternType="solid">
        <fgColor rgb="FF00225B"/>
        <bgColor rgb="FF00225B"/>
      </patternFill>
    </fill>
    <fill>
      <patternFill patternType="solid">
        <fgColor rgb="FF0B5394"/>
        <bgColor rgb="FF0B5394"/>
      </patternFill>
    </fill>
    <fill>
      <patternFill patternType="solid">
        <fgColor rgb="FF000000"/>
        <bgColor rgb="FF000000"/>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FFF2CC"/>
        <bgColor rgb="FFFFF2CC"/>
      </patternFill>
    </fill>
    <fill>
      <patternFill patternType="solid">
        <fgColor rgb="FFFCE5CD"/>
        <bgColor rgb="FFFCE5CD"/>
      </patternFill>
    </fill>
    <fill>
      <patternFill patternType="solid">
        <fgColor rgb="FFEFEFEF"/>
        <bgColor rgb="FFEFEFEF"/>
      </patternFill>
    </fill>
    <fill>
      <patternFill patternType="solid">
        <fgColor rgb="FF073763"/>
        <bgColor rgb="FF073763"/>
      </patternFill>
    </fill>
    <fill>
      <patternFill patternType="solid">
        <fgColor rgb="FFD9D9D9"/>
        <bgColor rgb="FFD9D9D9"/>
      </patternFill>
    </fill>
    <fill>
      <patternFill patternType="solid">
        <fgColor rgb="FFFF00FF"/>
        <bgColor rgb="FFFF00FF"/>
      </patternFill>
    </fill>
    <fill>
      <patternFill patternType="solid">
        <fgColor rgb="FF00FFFF"/>
        <bgColor rgb="FF00FFFF"/>
      </patternFill>
    </fill>
    <fill>
      <patternFill patternType="solid">
        <fgColor rgb="FFD9D2E9"/>
        <bgColor rgb="FFD9D2E9"/>
      </patternFill>
    </fill>
    <fill>
      <patternFill patternType="solid">
        <fgColor rgb="FFCFE2F3"/>
        <bgColor rgb="FFCFE2F3"/>
      </patternFill>
    </fill>
    <fill>
      <patternFill patternType="solid">
        <fgColor theme="0"/>
        <bgColor theme="0"/>
      </patternFill>
    </fill>
    <fill>
      <patternFill patternType="solid">
        <fgColor rgb="FFB5A67C"/>
        <bgColor rgb="FFB5A67C"/>
      </patternFill>
    </fill>
    <fill>
      <patternFill patternType="solid">
        <fgColor rgb="FFC9DAF8"/>
        <bgColor rgb="FFC9DAF8"/>
      </patternFill>
    </fill>
    <fill>
      <patternFill patternType="solid">
        <fgColor rgb="FFB7E1CD"/>
        <bgColor rgb="FFB7E1CD"/>
      </patternFill>
    </fill>
    <fill>
      <patternFill patternType="solid">
        <fgColor rgb="FF4A86E8"/>
        <bgColor rgb="FF4A86E8"/>
      </patternFill>
    </fill>
    <fill>
      <patternFill patternType="solid">
        <fgColor rgb="FFFFD966"/>
        <bgColor rgb="FFFFD966"/>
      </patternFill>
    </fill>
    <fill>
      <patternFill patternType="solid">
        <fgColor rgb="FFFFE599"/>
        <bgColor rgb="FFFFE599"/>
      </patternFill>
    </fill>
    <fill>
      <patternFill patternType="solid">
        <fgColor rgb="FFCCCCCC"/>
        <bgColor rgb="FFCCCCCC"/>
      </patternFill>
    </fill>
    <fill>
      <patternFill patternType="solid">
        <fgColor rgb="FFBDBDBD"/>
        <bgColor rgb="FFBDBDBD"/>
      </patternFill>
    </fill>
  </fills>
  <borders count="66">
    <border/>
    <border>
      <left style="thin">
        <color rgb="FF000000"/>
      </left>
    </border>
    <border>
      <right style="thin">
        <color rgb="FF000000"/>
      </right>
    </border>
    <border>
      <left style="medium">
        <color rgb="FF000000"/>
      </left>
      <top style="medium">
        <color rgb="FF000000"/>
      </top>
    </border>
    <border>
      <left style="medium">
        <color rgb="FF000000"/>
      </left>
      <right style="medium">
        <color rgb="FF000000"/>
      </right>
      <top style="medium">
        <color rgb="FF000000"/>
      </top>
    </border>
    <border>
      <left style="thin">
        <color rgb="FFD9D9D9"/>
      </left>
      <top style="thin">
        <color rgb="FF000000"/>
      </top>
      <bottom style="thin">
        <color rgb="FFD9D9D9"/>
      </bottom>
    </border>
    <border>
      <left style="thin">
        <color rgb="FFD9D9D9"/>
      </left>
      <right style="thin">
        <color rgb="FFD9D9D9"/>
      </right>
      <top style="thin">
        <color rgb="FF000000"/>
      </top>
      <bottom style="thin">
        <color rgb="FFD9D9D9"/>
      </bottom>
    </border>
    <border>
      <left style="thin">
        <color rgb="FF000000"/>
      </left>
      <right style="thin">
        <color rgb="FFD9D9D9"/>
      </right>
      <bottom style="thin">
        <color rgb="FFD9D9D9"/>
      </bottom>
    </border>
    <border>
      <left style="thin">
        <color rgb="FFD9D9D9"/>
      </left>
      <right style="thin">
        <color rgb="FFD9D9D9"/>
      </right>
      <bottom style="thin">
        <color rgb="FFD9D9D9"/>
      </bottom>
    </border>
    <border>
      <left style="medium">
        <color rgb="FF000000"/>
      </left>
      <right style="medium">
        <color rgb="FF000000"/>
      </right>
      <bottom style="medium">
        <color rgb="FF000000"/>
      </bottom>
    </border>
    <border>
      <right style="thin">
        <color rgb="FFD9D9D9"/>
      </right>
      <top style="thin">
        <color rgb="FF000000"/>
      </top>
      <bottom style="thin">
        <color rgb="FFD9D9D9"/>
      </bottom>
    </border>
    <border>
      <left style="thin">
        <color rgb="FF000000"/>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left style="thin">
        <color rgb="FFD9D9D9"/>
      </left>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000000"/>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AAAAAA"/>
      </left>
      <right style="thin">
        <color rgb="FFAAAAAA"/>
      </right>
      <top style="thin">
        <color rgb="FFAAAAAA"/>
      </top>
      <bottom style="thin">
        <color rgb="FFAAAAAA"/>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medium">
        <color rgb="FF000000"/>
      </left>
      <top style="thin">
        <color rgb="FF000000"/>
      </top>
      <bottom style="medium">
        <color rgb="FF000000"/>
      </bottom>
    </border>
    <border>
      <right style="medium">
        <color rgb="FF000000"/>
      </right>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B7B7B7"/>
      </right>
      <top style="thin">
        <color rgb="FF000000"/>
      </top>
      <bottom style="thin">
        <color rgb="FF000000"/>
      </bottom>
    </border>
    <border>
      <left style="thin">
        <color rgb="FFB7B7B7"/>
      </left>
      <right style="thin">
        <color rgb="FFB7B7B7"/>
      </right>
      <top style="thin">
        <color rgb="FF000000"/>
      </top>
      <bottom style="thin">
        <color rgb="FF000000"/>
      </bottom>
    </border>
    <border>
      <left style="thin">
        <color rgb="FFB7B7B7"/>
      </left>
      <top style="thin">
        <color rgb="FF000000"/>
      </top>
      <bottom style="thin">
        <color rgb="FF000000"/>
      </bottom>
    </border>
    <border>
      <left style="thin">
        <color rgb="FFB7B7B7"/>
      </left>
      <right style="thin">
        <color rgb="FFB7B7B7"/>
      </right>
      <bottom style="thin">
        <color rgb="FF000000"/>
      </bottom>
    </border>
    <border>
      <left style="thin">
        <color rgb="FFB7B7B7"/>
      </left>
      <bottom style="thin">
        <color rgb="FF000000"/>
      </bottom>
    </border>
    <border>
      <top style="medium">
        <color rgb="FF000000"/>
      </top>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thin">
        <color rgb="FF000000"/>
      </bottom>
    </border>
    <border>
      <right style="medium">
        <color rgb="FF000000"/>
      </right>
      <top style="medium">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11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4" numFmtId="1" xfId="0" applyAlignment="1" applyFont="1" applyNumberFormat="1">
      <alignment horizontal="left" readingOrder="0" shrinkToFit="0" vertical="center" wrapText="0"/>
    </xf>
    <xf borderId="1" fillId="0" fontId="5"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2" fillId="0" fontId="3" numFmtId="0" xfId="0" applyAlignment="1" applyBorder="1" applyFont="1">
      <alignment horizontal="left" readingOrder="0" shrinkToFit="0" vertical="center" wrapText="1"/>
    </xf>
    <xf borderId="0" fillId="0" fontId="7"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3" fillId="0" fontId="8" numFmtId="0" xfId="0" applyAlignment="1" applyBorder="1" applyFont="1">
      <alignment horizontal="center" readingOrder="0" shrinkToFit="0" vertical="center" wrapText="0"/>
    </xf>
    <xf borderId="0" fillId="0" fontId="9" numFmtId="0" xfId="0" applyAlignment="1" applyFont="1">
      <alignment horizontal="center" readingOrder="0" shrinkToFit="0" vertical="center" wrapText="0"/>
    </xf>
    <xf borderId="0" fillId="0" fontId="10" numFmtId="0" xfId="0" applyAlignment="1" applyFont="1">
      <alignment shrinkToFit="0" vertical="center" wrapText="0"/>
    </xf>
    <xf borderId="4" fillId="2" fontId="8" numFmtId="1" xfId="0" applyAlignment="1" applyBorder="1" applyFill="1" applyFont="1" applyNumberFormat="1">
      <alignment horizontal="center" readingOrder="0" shrinkToFit="0" vertical="center" wrapText="0"/>
    </xf>
    <xf borderId="0" fillId="0" fontId="1" numFmtId="0" xfId="0" applyAlignment="1" applyFont="1">
      <alignment horizontal="left" readingOrder="0" shrinkToFit="0" vertical="center" wrapText="0"/>
    </xf>
    <xf borderId="1" fillId="3" fontId="11" numFmtId="0" xfId="0" applyAlignment="1" applyBorder="1" applyFill="1" applyFont="1">
      <alignment horizontal="center" readingOrder="0" shrinkToFit="0" vertical="center" wrapText="1"/>
    </xf>
    <xf borderId="2" fillId="0" fontId="12" numFmtId="0" xfId="0" applyBorder="1" applyFont="1"/>
    <xf borderId="5" fillId="2" fontId="8" numFmtId="0" xfId="0" applyAlignment="1" applyBorder="1" applyFont="1">
      <alignment horizontal="center" readingOrder="0" shrinkToFit="0" vertical="center" wrapText="0"/>
    </xf>
    <xf borderId="6" fillId="4" fontId="1" numFmtId="0" xfId="0" applyAlignment="1" applyBorder="1" applyFill="1" applyFont="1">
      <alignment horizontal="center" readingOrder="0" shrinkToFit="0" vertical="center" wrapText="0"/>
    </xf>
    <xf borderId="0" fillId="4" fontId="10" numFmtId="0" xfId="0" applyAlignment="1" applyFont="1">
      <alignment readingOrder="0"/>
    </xf>
    <xf borderId="0" fillId="4" fontId="4" numFmtId="0" xfId="0" applyAlignment="1" applyFont="1">
      <alignment horizontal="center" readingOrder="0" shrinkToFit="0" vertical="center" wrapText="0"/>
    </xf>
    <xf borderId="7" fillId="4" fontId="1" numFmtId="0" xfId="0" applyAlignment="1" applyBorder="1" applyFont="1">
      <alignment horizontal="center" readingOrder="0" shrinkToFit="0" vertical="center" wrapText="0"/>
    </xf>
    <xf borderId="8" fillId="4" fontId="1" numFmtId="0" xfId="0" applyAlignment="1" applyBorder="1" applyFont="1">
      <alignment horizontal="center" readingOrder="0" shrinkToFit="0" vertical="center" wrapText="0"/>
    </xf>
    <xf borderId="9" fillId="2" fontId="13" numFmtId="1" xfId="0" applyAlignment="1" applyBorder="1" applyFont="1" applyNumberFormat="1">
      <alignment horizontal="center" readingOrder="0" shrinkToFit="0" vertical="center" wrapText="0"/>
    </xf>
    <xf borderId="10" fillId="4" fontId="1" numFmtId="0" xfId="0" applyAlignment="1" applyBorder="1" applyFont="1">
      <alignment horizontal="center" readingOrder="0" shrinkToFit="0" vertical="center" wrapText="0"/>
    </xf>
    <xf borderId="6" fillId="4" fontId="1" numFmtId="0" xfId="0" applyAlignment="1" applyBorder="1" applyFont="1">
      <alignment horizontal="left" readingOrder="0" shrinkToFit="0" vertical="center" wrapText="0"/>
    </xf>
    <xf borderId="5" fillId="4" fontId="1" numFmtId="0" xfId="0" applyAlignment="1" applyBorder="1" applyFont="1">
      <alignment horizontal="left" readingOrder="0" shrinkToFit="0" vertical="center" wrapText="0"/>
    </xf>
    <xf borderId="10" fillId="4" fontId="1" numFmtId="0" xfId="0" applyAlignment="1" applyBorder="1" applyFont="1">
      <alignment horizontal="left" readingOrder="0" shrinkToFit="0" vertical="center" wrapText="0"/>
    </xf>
    <xf borderId="11" fillId="3" fontId="1" numFmtId="0" xfId="0" applyAlignment="1" applyBorder="1" applyFont="1">
      <alignment horizontal="left" shrinkToFit="0" vertical="center" wrapText="0"/>
    </xf>
    <xf borderId="6" fillId="3" fontId="1" numFmtId="0" xfId="0" applyAlignment="1" applyBorder="1" applyFont="1">
      <alignment horizontal="left" shrinkToFit="0" vertical="center" wrapText="0"/>
    </xf>
    <xf borderId="12" fillId="3" fontId="1" numFmtId="0" xfId="0" applyAlignment="1" applyBorder="1" applyFont="1">
      <alignment horizontal="left" shrinkToFit="0" vertical="center" wrapText="0"/>
    </xf>
    <xf borderId="8" fillId="4" fontId="8" numFmtId="0" xfId="0" applyAlignment="1" applyBorder="1" applyFont="1">
      <alignment horizontal="center" readingOrder="0" shrinkToFit="0" vertical="center" wrapText="0"/>
    </xf>
    <xf borderId="13" fillId="4" fontId="1" numFmtId="0" xfId="0" applyAlignment="1" applyBorder="1" applyFont="1">
      <alignment horizontal="left" readingOrder="0" shrinkToFit="0" vertical="center" wrapText="0"/>
    </xf>
    <xf borderId="0" fillId="0" fontId="14" numFmtId="0" xfId="0" applyAlignment="1" applyFont="1">
      <alignment horizontal="center" readingOrder="0" shrinkToFit="0" vertical="center" wrapText="0"/>
    </xf>
    <xf borderId="14" fillId="0" fontId="15" numFmtId="0" xfId="0" applyAlignment="1" applyBorder="1" applyFont="1">
      <alignment horizontal="center" readingOrder="0" shrinkToFit="0" vertical="center" wrapText="0"/>
    </xf>
    <xf borderId="0" fillId="0" fontId="9" numFmtId="0" xfId="0" applyAlignment="1" applyFont="1">
      <alignment horizontal="center" readingOrder="0" shrinkToFit="0" vertical="center" wrapText="0"/>
    </xf>
    <xf borderId="0" fillId="0" fontId="16" numFmtId="0" xfId="0" applyAlignment="1" applyFont="1">
      <alignment horizontal="center" readingOrder="0" shrinkToFit="0" vertical="center" wrapText="0"/>
    </xf>
    <xf borderId="14" fillId="5" fontId="1" numFmtId="0" xfId="0" applyAlignment="1" applyBorder="1" applyFill="1" applyFont="1">
      <alignment horizontal="center" readingOrder="0" shrinkToFit="0" vertical="center" wrapText="0"/>
    </xf>
    <xf borderId="15" fillId="5" fontId="15" numFmtId="0" xfId="0" applyAlignment="1" applyBorder="1" applyFont="1">
      <alignment horizontal="center" readingOrder="0" shrinkToFit="0" vertical="center" wrapText="0"/>
    </xf>
    <xf borderId="13" fillId="5" fontId="15" numFmtId="0" xfId="0" applyAlignment="1" applyBorder="1" applyFont="1">
      <alignment horizontal="center" readingOrder="0" shrinkToFit="0" vertical="center" wrapText="0"/>
    </xf>
    <xf borderId="16" fillId="5" fontId="15" numFmtId="0" xfId="0" applyAlignment="1" applyBorder="1" applyFont="1">
      <alignment horizontal="center" readingOrder="0" shrinkToFit="0" vertical="center" wrapText="0"/>
    </xf>
    <xf borderId="14" fillId="5" fontId="15" numFmtId="0" xfId="0" applyAlignment="1" applyBorder="1" applyFont="1">
      <alignment horizontal="center" readingOrder="0" shrinkToFit="0" vertical="center" wrapText="0"/>
    </xf>
    <xf borderId="14" fillId="5" fontId="15" numFmtId="0" xfId="0" applyAlignment="1" applyBorder="1" applyFont="1">
      <alignment horizontal="left" readingOrder="0" shrinkToFit="0" vertical="center" wrapText="0"/>
    </xf>
    <xf borderId="14" fillId="5" fontId="1" numFmtId="164" xfId="0" applyAlignment="1" applyBorder="1" applyFont="1" applyNumberFormat="1">
      <alignment horizontal="center" readingOrder="0" shrinkToFit="0" vertical="center" wrapText="0"/>
    </xf>
    <xf borderId="17" fillId="5" fontId="1" numFmtId="0" xfId="0" applyAlignment="1" applyBorder="1" applyFont="1">
      <alignment horizontal="left" readingOrder="0" shrinkToFit="0" vertical="center" wrapText="0"/>
    </xf>
    <xf borderId="18" fillId="5" fontId="1" numFmtId="0" xfId="0" applyAlignment="1" applyBorder="1" applyFont="1">
      <alignment horizontal="left" readingOrder="0" shrinkToFit="0" vertical="center" wrapText="0"/>
    </xf>
    <xf borderId="16" fillId="5" fontId="4" numFmtId="0" xfId="0" applyAlignment="1" applyBorder="1" applyFont="1">
      <alignment horizontal="left" readingOrder="0" shrinkToFit="0" vertical="center" wrapText="1"/>
    </xf>
    <xf borderId="14" fillId="5" fontId="8" numFmtId="0" xfId="0" applyAlignment="1" applyBorder="1" applyFont="1">
      <alignment horizontal="center" readingOrder="0" shrinkToFit="0" vertical="center" wrapText="0"/>
    </xf>
    <xf borderId="0" fillId="0" fontId="9" numFmtId="0" xfId="0" applyAlignment="1" applyFont="1">
      <alignment horizontal="center" readingOrder="0" shrinkToFit="0" vertical="center" wrapText="0"/>
    </xf>
    <xf borderId="14" fillId="6" fontId="1" numFmtId="0" xfId="0" applyAlignment="1" applyBorder="1" applyFill="1" applyFont="1">
      <alignment horizontal="center" readingOrder="0" shrinkToFit="0" vertical="center" wrapText="0"/>
    </xf>
    <xf borderId="15" fillId="6" fontId="15" numFmtId="0" xfId="0" applyAlignment="1" applyBorder="1" applyFont="1">
      <alignment horizontal="center" readingOrder="0" shrinkToFit="0" vertical="center" wrapText="0"/>
    </xf>
    <xf borderId="13" fillId="6" fontId="15" numFmtId="0" xfId="0" applyAlignment="1" applyBorder="1" applyFont="1">
      <alignment horizontal="center" readingOrder="0" shrinkToFit="0" vertical="center" wrapText="0"/>
    </xf>
    <xf borderId="16" fillId="6" fontId="15" numFmtId="0" xfId="0" applyAlignment="1" applyBorder="1" applyFont="1">
      <alignment horizontal="center" readingOrder="0" shrinkToFit="0" vertical="center" wrapText="0"/>
    </xf>
    <xf borderId="14" fillId="6" fontId="15" numFmtId="0" xfId="0" applyAlignment="1" applyBorder="1" applyFont="1">
      <alignment horizontal="center" readingOrder="0" shrinkToFit="0" vertical="center" wrapText="0"/>
    </xf>
    <xf borderId="8" fillId="6" fontId="15" numFmtId="0" xfId="0" applyAlignment="1" applyBorder="1" applyFont="1">
      <alignment horizontal="center" readingOrder="0" shrinkToFit="0" vertical="center" wrapText="0"/>
    </xf>
    <xf borderId="14" fillId="6" fontId="15" numFmtId="0" xfId="0" applyAlignment="1" applyBorder="1" applyFont="1">
      <alignment horizontal="center" shrinkToFit="0" vertical="center" wrapText="0"/>
    </xf>
    <xf borderId="14" fillId="6" fontId="15" numFmtId="0" xfId="0" applyAlignment="1" applyBorder="1" applyFont="1">
      <alignment horizontal="left" readingOrder="0" shrinkToFit="0" vertical="center" wrapText="0"/>
    </xf>
    <xf borderId="14" fillId="6" fontId="1" numFmtId="165" xfId="0" applyAlignment="1" applyBorder="1" applyFont="1" applyNumberFormat="1">
      <alignment horizontal="center" readingOrder="0" shrinkToFit="0" vertical="center" wrapText="0"/>
    </xf>
    <xf borderId="17" fillId="6" fontId="1" numFmtId="0" xfId="0" applyAlignment="1" applyBorder="1" applyFont="1">
      <alignment horizontal="left" readingOrder="0" shrinkToFit="0" vertical="center" wrapText="0"/>
    </xf>
    <xf borderId="18" fillId="6" fontId="17" numFmtId="0" xfId="0" applyAlignment="1" applyBorder="1" applyFont="1">
      <alignment horizontal="left" readingOrder="0" shrinkToFit="0" vertical="center" wrapText="0"/>
    </xf>
    <xf borderId="16" fillId="6" fontId="4" numFmtId="0" xfId="0" applyAlignment="1" applyBorder="1" applyFont="1">
      <alignment horizontal="left" readingOrder="0" shrinkToFit="0" vertical="center" wrapText="1"/>
    </xf>
    <xf borderId="14" fillId="6" fontId="9" numFmtId="0" xfId="0" applyAlignment="1" applyBorder="1" applyFont="1">
      <alignment horizontal="left" readingOrder="0" shrinkToFit="0" vertical="center" wrapText="1"/>
    </xf>
    <xf borderId="14" fillId="6" fontId="18" numFmtId="0" xfId="0" applyAlignment="1" applyBorder="1" applyFont="1">
      <alignment horizontal="left" readingOrder="0" shrinkToFit="0" vertical="center" wrapText="1"/>
    </xf>
    <xf borderId="19" fillId="6" fontId="9" numFmtId="0" xfId="0" applyAlignment="1" applyBorder="1" applyFont="1">
      <alignment horizontal="left" readingOrder="0" shrinkToFit="0" vertical="center" wrapText="1"/>
    </xf>
    <xf borderId="14" fillId="6" fontId="8" numFmtId="0" xfId="0" applyAlignment="1" applyBorder="1" applyFont="1">
      <alignment horizontal="center" readingOrder="0" shrinkToFit="0" vertical="center" wrapText="0"/>
    </xf>
    <xf borderId="14" fillId="5" fontId="1" numFmtId="166" xfId="0" applyAlignment="1" applyBorder="1" applyFont="1" applyNumberFormat="1">
      <alignment horizontal="center" readingOrder="0" shrinkToFit="0" vertical="center" wrapText="0"/>
    </xf>
    <xf borderId="14" fillId="5" fontId="9" numFmtId="0" xfId="0" applyAlignment="1" applyBorder="1" applyFont="1">
      <alignment horizontal="left" readingOrder="0" shrinkToFit="0" vertical="center" wrapText="1"/>
    </xf>
    <xf borderId="14" fillId="5" fontId="18" numFmtId="0" xfId="0" applyAlignment="1" applyBorder="1" applyFont="1">
      <alignment horizontal="left" readingOrder="0" shrinkToFit="0" vertical="center" wrapText="1"/>
    </xf>
    <xf borderId="19" fillId="5" fontId="9" numFmtId="0" xfId="0" applyAlignment="1" applyBorder="1" applyFont="1">
      <alignment horizontal="left" readingOrder="0" shrinkToFit="0" vertical="center" wrapText="1"/>
    </xf>
    <xf borderId="0" fillId="0" fontId="19" numFmtId="0" xfId="0" applyAlignment="1" applyFont="1">
      <alignment horizontal="center" readingOrder="0" shrinkToFit="0" vertical="center" wrapText="0"/>
    </xf>
    <xf borderId="14" fillId="6" fontId="15" numFmtId="0" xfId="0" applyAlignment="1" applyBorder="1" applyFont="1">
      <alignment horizontal="center" shrinkToFit="0" vertical="center" wrapText="0"/>
    </xf>
    <xf borderId="18" fillId="6" fontId="1" numFmtId="0" xfId="0" applyAlignment="1" applyBorder="1" applyFont="1">
      <alignment horizontal="left" readingOrder="0" shrinkToFit="0" vertical="center" wrapText="0"/>
    </xf>
    <xf borderId="14" fillId="6" fontId="1" numFmtId="0" xfId="0" applyAlignment="1" applyBorder="1" applyFont="1">
      <alignment horizontal="center" shrinkToFit="0" vertical="center" wrapText="0"/>
    </xf>
    <xf borderId="14" fillId="6" fontId="1" numFmtId="164" xfId="0" applyAlignment="1" applyBorder="1" applyFont="1" applyNumberFormat="1">
      <alignment horizontal="center" readingOrder="0" shrinkToFit="0" vertical="center" wrapText="0"/>
    </xf>
    <xf borderId="17" fillId="6" fontId="1" numFmtId="0" xfId="0" applyAlignment="1" applyBorder="1" applyFont="1">
      <alignment horizontal="left" shrinkToFit="0" vertical="center" wrapText="0"/>
    </xf>
    <xf borderId="14" fillId="5" fontId="1" numFmtId="167" xfId="0" applyAlignment="1" applyBorder="1" applyFont="1" applyNumberFormat="1">
      <alignment horizontal="center" readingOrder="0" shrinkToFit="0" vertical="center" wrapText="0"/>
    </xf>
    <xf borderId="14" fillId="5" fontId="20" numFmtId="0" xfId="0" applyAlignment="1" applyBorder="1" applyFont="1">
      <alignment horizontal="center" readingOrder="0" shrinkToFit="0" vertical="center" wrapText="0"/>
    </xf>
    <xf borderId="17" fillId="5" fontId="17" numFmtId="0" xfId="0" applyAlignment="1" applyBorder="1" applyFont="1">
      <alignment horizontal="left" readingOrder="0" shrinkToFit="0" vertical="center" wrapText="0"/>
    </xf>
    <xf borderId="14" fillId="5" fontId="15" numFmtId="0" xfId="0" applyAlignment="1" applyBorder="1" applyFont="1">
      <alignment horizontal="center" shrinkToFit="0" vertical="center" wrapText="0"/>
    </xf>
    <xf borderId="14" fillId="5" fontId="1" numFmtId="0" xfId="0" applyAlignment="1" applyBorder="1" applyFont="1">
      <alignment horizontal="center" shrinkToFit="0" vertical="center" wrapText="0"/>
    </xf>
    <xf borderId="17" fillId="5" fontId="1" numFmtId="0" xfId="0" applyAlignment="1" applyBorder="1" applyFont="1">
      <alignment horizontal="left" shrinkToFit="0" vertical="center" wrapText="0"/>
    </xf>
    <xf borderId="0" fillId="0" fontId="21" numFmtId="0" xfId="0" applyAlignment="1" applyFont="1">
      <alignment horizontal="left" readingOrder="0" shrinkToFit="0" vertical="center" wrapText="0"/>
    </xf>
    <xf borderId="0" fillId="5" fontId="14" numFmtId="0" xfId="0" applyAlignment="1" applyFont="1">
      <alignment horizontal="center" readingOrder="0" shrinkToFit="0" vertical="center" wrapText="0"/>
    </xf>
    <xf borderId="0" fillId="5" fontId="9" numFmtId="0" xfId="0" applyAlignment="1" applyFont="1">
      <alignment horizontal="center" readingOrder="0" shrinkToFit="0" vertical="center" wrapText="0"/>
    </xf>
    <xf borderId="0" fillId="6" fontId="14" numFmtId="0" xfId="0" applyAlignment="1" applyFont="1">
      <alignment horizontal="center" readingOrder="0" shrinkToFit="0" vertical="center" wrapText="0"/>
    </xf>
    <xf borderId="0" fillId="6" fontId="9" numFmtId="0" xfId="0" applyAlignment="1" applyFont="1">
      <alignment horizontal="center" readingOrder="0" shrinkToFit="0" vertical="center" wrapText="0"/>
    </xf>
    <xf borderId="0" fillId="0" fontId="22" numFmtId="0" xfId="0" applyAlignment="1" applyFont="1">
      <alignment horizontal="center" shrinkToFit="0" vertical="center" wrapText="0"/>
    </xf>
    <xf borderId="0" fillId="0" fontId="16" numFmtId="0" xfId="0" applyAlignment="1" applyFont="1">
      <alignment horizontal="center" readingOrder="0" shrinkToFit="0" vertical="center" wrapText="0"/>
    </xf>
    <xf borderId="14" fillId="5" fontId="10" numFmtId="0" xfId="0" applyAlignment="1" applyBorder="1" applyFont="1">
      <alignment shrinkToFit="0" vertical="center" wrapText="0"/>
    </xf>
    <xf borderId="17" fillId="5" fontId="23" numFmtId="0" xfId="0" applyAlignment="1" applyBorder="1" applyFont="1">
      <alignment horizontal="left" readingOrder="0" shrinkToFit="0" vertical="center" wrapText="0"/>
    </xf>
    <xf borderId="14" fillId="6" fontId="1" numFmtId="166" xfId="0" applyAlignment="1" applyBorder="1" applyFont="1" applyNumberFormat="1">
      <alignment horizontal="center" readingOrder="0" shrinkToFit="0" vertical="center" wrapText="0"/>
    </xf>
    <xf borderId="0" fillId="0" fontId="14" numFmtId="0" xfId="0" applyAlignment="1" applyFont="1">
      <alignment horizontal="center" shrinkToFit="0" vertical="center" wrapText="0"/>
    </xf>
    <xf borderId="14" fillId="5" fontId="1" numFmtId="0" xfId="0" applyAlignment="1" applyBorder="1" applyFont="1">
      <alignment horizontal="left" readingOrder="0" shrinkToFit="0" vertical="center" wrapText="0"/>
    </xf>
    <xf borderId="14" fillId="5" fontId="15" numFmtId="0" xfId="0" applyAlignment="1" applyBorder="1" applyFont="1">
      <alignment horizontal="center" shrinkToFit="0" vertical="center" wrapText="0"/>
    </xf>
    <xf borderId="14" fillId="6" fontId="17" numFmtId="0" xfId="0" applyAlignment="1" applyBorder="1" applyFont="1">
      <alignment horizontal="center" readingOrder="0" shrinkToFit="0" vertical="center" wrapText="0"/>
    </xf>
    <xf borderId="14" fillId="6" fontId="17" numFmtId="0" xfId="0" applyAlignment="1" applyBorder="1" applyFont="1">
      <alignment horizontal="left" readingOrder="0" shrinkToFit="0" vertical="center" wrapText="0"/>
    </xf>
    <xf borderId="14" fillId="6" fontId="1" numFmtId="168" xfId="0" applyAlignment="1" applyBorder="1" applyFont="1" applyNumberFormat="1">
      <alignment horizontal="center" readingOrder="0" shrinkToFit="0" vertical="center" wrapText="0"/>
    </xf>
    <xf borderId="18" fillId="5" fontId="1" numFmtId="0" xfId="0" applyAlignment="1" applyBorder="1" applyFont="1">
      <alignment horizontal="left" shrinkToFit="0" vertical="center" wrapText="0"/>
    </xf>
    <xf borderId="14" fillId="6" fontId="1" numFmtId="0" xfId="0" applyAlignment="1" applyBorder="1" applyFont="1">
      <alignment horizontal="left" shrinkToFit="0" vertical="center" wrapText="0"/>
    </xf>
    <xf borderId="14" fillId="5" fontId="1" numFmtId="0" xfId="0" applyAlignment="1" applyBorder="1" applyFont="1">
      <alignment horizontal="center" shrinkToFit="0" vertical="center" wrapText="0"/>
    </xf>
    <xf borderId="14" fillId="6" fontId="1" numFmtId="0" xfId="0" applyAlignment="1" applyBorder="1" applyFont="1">
      <alignment horizontal="left" readingOrder="0" shrinkToFit="0" vertical="center" wrapText="0"/>
    </xf>
    <xf borderId="14" fillId="6" fontId="1" numFmtId="164" xfId="0" applyAlignment="1" applyBorder="1" applyFont="1" applyNumberFormat="1">
      <alignment horizontal="left" readingOrder="0" shrinkToFit="0" vertical="center" wrapText="0"/>
    </xf>
    <xf borderId="17" fillId="6" fontId="24" numFmtId="0" xfId="0" applyAlignment="1" applyBorder="1" applyFont="1">
      <alignment horizontal="left" readingOrder="0" shrinkToFit="0" vertical="center" wrapText="0"/>
    </xf>
    <xf borderId="14" fillId="6" fontId="8" numFmtId="0" xfId="0" applyAlignment="1" applyBorder="1" applyFont="1">
      <alignment horizontal="center" shrinkToFit="0" vertical="center" wrapText="0"/>
    </xf>
    <xf borderId="14" fillId="5" fontId="1" numFmtId="169" xfId="0" applyAlignment="1" applyBorder="1" applyFont="1" applyNumberFormat="1">
      <alignment horizontal="center" readingOrder="0" shrinkToFit="0" vertical="center" wrapText="0"/>
    </xf>
    <xf borderId="14" fillId="6" fontId="25" numFmtId="0" xfId="0" applyAlignment="1" applyBorder="1" applyFont="1">
      <alignment horizontal="left" readingOrder="0" shrinkToFit="0" vertical="center" wrapText="1"/>
    </xf>
    <xf borderId="17" fillId="5" fontId="26" numFmtId="0" xfId="0" applyAlignment="1" applyBorder="1" applyFont="1">
      <alignment horizontal="left" shrinkToFit="0" vertical="center" wrapText="0"/>
    </xf>
    <xf borderId="14" fillId="5" fontId="1" numFmtId="0" xfId="0" applyAlignment="1" applyBorder="1" applyFont="1">
      <alignment horizontal="left" shrinkToFit="0" vertical="center" wrapText="0"/>
    </xf>
    <xf borderId="17" fillId="6" fontId="27" numFmtId="0" xfId="0" applyAlignment="1" applyBorder="1" applyFont="1">
      <alignment horizontal="left" shrinkToFit="0" vertical="center" wrapText="0"/>
    </xf>
    <xf borderId="14" fillId="6" fontId="10" numFmtId="0" xfId="0" applyAlignment="1" applyBorder="1" applyFont="1">
      <alignment shrinkToFit="0" vertical="center" wrapText="0"/>
    </xf>
    <xf borderId="18" fillId="5" fontId="15" numFmtId="0" xfId="0" applyAlignment="1" applyBorder="1" applyFont="1">
      <alignment horizontal="center" readingOrder="0" shrinkToFit="0" vertical="center" wrapText="0"/>
    </xf>
    <xf borderId="17" fillId="5" fontId="15" numFmtId="0" xfId="0" applyAlignment="1" applyBorder="1" applyFont="1">
      <alignment horizontal="center" readingOrder="0" shrinkToFit="0" vertical="center" wrapText="0"/>
    </xf>
    <xf borderId="14" fillId="5" fontId="8" numFmtId="0" xfId="0" applyAlignment="1" applyBorder="1" applyFont="1">
      <alignment horizontal="center" shrinkToFit="0" vertical="center" wrapText="0"/>
    </xf>
    <xf borderId="18" fillId="6" fontId="15" numFmtId="0" xfId="0" applyAlignment="1" applyBorder="1" applyFont="1">
      <alignment horizontal="center" readingOrder="0" shrinkToFit="0" vertical="center" wrapText="0"/>
    </xf>
    <xf borderId="17" fillId="6" fontId="15" numFmtId="0" xfId="0" applyAlignment="1" applyBorder="1" applyFont="1">
      <alignment horizontal="center" readingOrder="0" shrinkToFit="0" vertical="center" wrapText="0"/>
    </xf>
    <xf borderId="14" fillId="5" fontId="15" numFmtId="0" xfId="0" applyAlignment="1" applyBorder="1" applyFont="1">
      <alignment horizontal="left" shrinkToFit="0" vertical="center" wrapText="0"/>
    </xf>
    <xf borderId="18" fillId="5" fontId="15" numFmtId="164" xfId="0" applyAlignment="1" applyBorder="1" applyFont="1" applyNumberFormat="1">
      <alignment horizontal="center" readingOrder="0" shrinkToFit="0" vertical="center" wrapText="0"/>
    </xf>
    <xf borderId="18" fillId="6" fontId="15" numFmtId="164" xfId="0" applyAlignment="1" applyBorder="1" applyFont="1" applyNumberFormat="1">
      <alignment horizontal="center" readingOrder="0" shrinkToFit="0" vertical="center" wrapText="0"/>
    </xf>
    <xf borderId="14" fillId="6" fontId="1" numFmtId="167" xfId="0" applyAlignment="1" applyBorder="1" applyFont="1" applyNumberFormat="1">
      <alignment horizontal="center" readingOrder="0" shrinkToFit="0" vertical="center" wrapText="0"/>
    </xf>
    <xf borderId="18" fillId="5" fontId="15" numFmtId="0" xfId="0" applyAlignment="1" applyBorder="1" applyFont="1">
      <alignment horizontal="center" shrinkToFit="0" vertical="center" wrapText="0"/>
    </xf>
    <xf borderId="17" fillId="5" fontId="15" numFmtId="0" xfId="0" applyAlignment="1" applyBorder="1" applyFont="1">
      <alignment horizontal="center" shrinkToFit="0" vertical="center" wrapText="0"/>
    </xf>
    <xf borderId="0" fillId="5" fontId="15" numFmtId="0" xfId="0" applyAlignment="1" applyFont="1">
      <alignment horizontal="center" readingOrder="0" shrinkToFit="0" vertical="center" wrapText="0"/>
    </xf>
    <xf borderId="18" fillId="5" fontId="15" numFmtId="166" xfId="0" applyAlignment="1" applyBorder="1" applyFont="1" applyNumberFormat="1">
      <alignment horizontal="center" readingOrder="0" shrinkToFit="0" vertical="center" wrapText="0"/>
    </xf>
    <xf borderId="0" fillId="0" fontId="14" numFmtId="0" xfId="0" applyAlignment="1" applyFont="1">
      <alignment horizontal="left" shrinkToFit="0" vertical="center" wrapText="0"/>
    </xf>
    <xf borderId="20" fillId="6" fontId="15" numFmtId="0" xfId="0" applyAlignment="1" applyBorder="1" applyFont="1">
      <alignment horizontal="center" readingOrder="0" shrinkToFit="0" vertical="center" wrapText="0"/>
    </xf>
    <xf borderId="14" fillId="6" fontId="20" numFmtId="0" xfId="0" applyAlignment="1" applyBorder="1" applyFont="1">
      <alignment horizontal="center" readingOrder="0" shrinkToFit="0" vertical="center" wrapText="0"/>
    </xf>
    <xf borderId="17" fillId="6" fontId="17" numFmtId="0" xfId="0" applyAlignment="1" applyBorder="1" applyFont="1">
      <alignment horizontal="left" readingOrder="0" shrinkToFit="0" vertical="center" wrapText="0"/>
    </xf>
    <xf borderId="0" fillId="0" fontId="14" numFmtId="0" xfId="0" applyAlignment="1" applyFont="1">
      <alignment horizontal="left" readingOrder="0" shrinkToFit="0" vertical="center" wrapText="0"/>
    </xf>
    <xf borderId="20" fillId="5" fontId="15" numFmtId="0" xfId="0" applyAlignment="1" applyBorder="1" applyFont="1">
      <alignment horizontal="center" readingOrder="0" shrinkToFit="0" vertical="center" wrapText="0"/>
    </xf>
    <xf borderId="20" fillId="6" fontId="15" numFmtId="0" xfId="0" applyAlignment="1" applyBorder="1" applyFont="1">
      <alignment horizontal="center" shrinkToFit="0" vertical="center" wrapText="0"/>
    </xf>
    <xf borderId="14" fillId="6" fontId="15" numFmtId="0" xfId="0" applyAlignment="1" applyBorder="1" applyFont="1">
      <alignment horizontal="left" shrinkToFit="0" vertical="center" wrapText="0"/>
    </xf>
    <xf borderId="17" fillId="6" fontId="15" numFmtId="0" xfId="0" applyAlignment="1" applyBorder="1" applyFont="1">
      <alignment horizontal="center" shrinkToFit="0" vertical="center" wrapText="0"/>
    </xf>
    <xf borderId="18" fillId="6" fontId="1" numFmtId="0" xfId="0" applyAlignment="1" applyBorder="1" applyFont="1">
      <alignment horizontal="left" shrinkToFit="0" vertical="center" wrapText="0"/>
    </xf>
    <xf borderId="18" fillId="5" fontId="13" numFmtId="0" xfId="0" applyAlignment="1" applyBorder="1" applyFont="1">
      <alignment horizontal="center" readingOrder="0" shrinkToFit="0" vertical="center" wrapText="0"/>
    </xf>
    <xf borderId="17" fillId="5" fontId="13" numFmtId="0" xfId="0" applyAlignment="1" applyBorder="1" applyFont="1">
      <alignment horizontal="center" readingOrder="0" shrinkToFit="0" vertical="center" wrapText="0"/>
    </xf>
    <xf borderId="18" fillId="6" fontId="15" numFmtId="0" xfId="0" applyAlignment="1" applyBorder="1" applyFont="1">
      <alignment horizontal="center" shrinkToFit="0" vertical="center" wrapText="0"/>
    </xf>
    <xf borderId="16" fillId="5" fontId="15" numFmtId="0" xfId="0" applyAlignment="1" applyBorder="1" applyFont="1">
      <alignment horizontal="center" shrinkToFit="0" vertical="center" wrapText="0"/>
    </xf>
    <xf borderId="14" fillId="6" fontId="1" numFmtId="170" xfId="0" applyAlignment="1" applyBorder="1" applyFont="1" applyNumberFormat="1">
      <alignment horizontal="center" readingOrder="0" shrinkToFit="0" vertical="center" wrapText="0"/>
    </xf>
    <xf borderId="18" fillId="6" fontId="15" numFmtId="166" xfId="0" applyAlignment="1" applyBorder="1" applyFont="1" applyNumberFormat="1">
      <alignment horizontal="center" readingOrder="0" shrinkToFit="0" vertical="center" wrapText="0"/>
    </xf>
    <xf borderId="16" fillId="6" fontId="15" numFmtId="0" xfId="0" applyAlignment="1" applyBorder="1" applyFont="1">
      <alignment horizontal="center" shrinkToFit="0" vertical="center" wrapText="0"/>
    </xf>
    <xf borderId="14" fillId="5" fontId="17" numFmtId="0" xfId="0" applyAlignment="1" applyBorder="1" applyFont="1">
      <alignment horizontal="center" readingOrder="0" shrinkToFit="0" vertical="center" wrapText="0"/>
    </xf>
    <xf borderId="14" fillId="5" fontId="17" numFmtId="0" xfId="0" applyAlignment="1" applyBorder="1" applyFont="1">
      <alignment horizontal="left" readingOrder="0" shrinkToFit="0" vertical="center" wrapText="0"/>
    </xf>
    <xf borderId="14" fillId="5" fontId="28" numFmtId="0" xfId="0" applyAlignment="1" applyBorder="1" applyFont="1">
      <alignment shrinkToFit="0" vertical="center" wrapText="0"/>
    </xf>
    <xf borderId="14" fillId="6" fontId="29" numFmtId="0" xfId="0" applyAlignment="1" applyBorder="1" applyFont="1">
      <alignment readingOrder="0" vertical="top"/>
    </xf>
    <xf borderId="14" fillId="5" fontId="29" numFmtId="0" xfId="0" applyAlignment="1" applyBorder="1" applyFont="1">
      <alignment readingOrder="0" vertical="top"/>
    </xf>
    <xf borderId="14" fillId="5" fontId="15" numFmtId="0" xfId="0" applyAlignment="1" applyBorder="1" applyFont="1">
      <alignment horizontal="center" readingOrder="0" shrinkToFit="0" vertical="center" wrapText="0"/>
    </xf>
    <xf borderId="20" fillId="6" fontId="29" numFmtId="0" xfId="0" applyAlignment="1" applyBorder="1" applyFont="1">
      <alignment readingOrder="0" vertical="top"/>
    </xf>
    <xf borderId="14" fillId="6" fontId="1" numFmtId="166" xfId="0" applyAlignment="1" applyBorder="1" applyFont="1" applyNumberFormat="1">
      <alignment horizontal="left" readingOrder="0" shrinkToFit="0" vertical="center" wrapText="0"/>
    </xf>
    <xf borderId="0" fillId="0" fontId="17" numFmtId="0" xfId="0" applyAlignment="1" applyFont="1">
      <alignment horizontal="center" readingOrder="0" shrinkToFit="0" vertical="center" wrapText="0"/>
    </xf>
    <xf borderId="18" fillId="5" fontId="15" numFmtId="0" xfId="0" applyAlignment="1" applyBorder="1" applyFont="1">
      <alignment horizontal="center" shrinkToFit="0" vertical="center" wrapText="0"/>
    </xf>
    <xf borderId="17" fillId="5" fontId="15" numFmtId="0" xfId="0" applyAlignment="1" applyBorder="1" applyFont="1">
      <alignment horizontal="center" shrinkToFit="0" vertical="center" wrapText="0"/>
    </xf>
    <xf borderId="14" fillId="6" fontId="1" numFmtId="167" xfId="0" applyAlignment="1" applyBorder="1" applyFont="1" applyNumberFormat="1">
      <alignment horizontal="left" readingOrder="0" shrinkToFit="0" vertical="center" wrapText="0"/>
    </xf>
    <xf borderId="18" fillId="6" fontId="15" numFmtId="171" xfId="0" applyAlignment="1" applyBorder="1" applyFont="1" applyNumberFormat="1">
      <alignment horizontal="center" readingOrder="0" shrinkToFit="0" vertical="center" wrapText="0"/>
    </xf>
    <xf borderId="18" fillId="6" fontId="4" numFmtId="0" xfId="0" applyAlignment="1" applyBorder="1" applyFont="1">
      <alignment horizontal="left" readingOrder="0" shrinkToFit="0" vertical="center" wrapText="1"/>
    </xf>
    <xf borderId="18" fillId="5" fontId="15" numFmtId="171" xfId="0" applyAlignment="1" applyBorder="1" applyFont="1" applyNumberFormat="1">
      <alignment horizontal="center" readingOrder="0" shrinkToFit="0" vertical="center" wrapText="0"/>
    </xf>
    <xf borderId="14" fillId="5" fontId="1" numFmtId="170" xfId="0" applyAlignment="1" applyBorder="1" applyFont="1" applyNumberFormat="1">
      <alignment horizontal="center" readingOrder="0" shrinkToFit="0" vertical="center" wrapText="0"/>
    </xf>
    <xf borderId="14" fillId="5" fontId="15" numFmtId="0" xfId="0" applyAlignment="1" applyBorder="1" applyFont="1">
      <alignment horizontal="left" readingOrder="0" shrinkToFit="0" vertical="center" wrapText="0"/>
    </xf>
    <xf borderId="14" fillId="6" fontId="15" numFmtId="0" xfId="0" applyAlignment="1" applyBorder="1" applyFont="1">
      <alignment horizontal="center" readingOrder="0" shrinkToFit="0" vertical="center" wrapText="0"/>
    </xf>
    <xf borderId="14" fillId="5" fontId="15" numFmtId="0" xfId="0" applyAlignment="1" applyBorder="1" applyFont="1">
      <alignment horizontal="center" readingOrder="0" shrinkToFit="0" vertical="center" wrapText="0"/>
    </xf>
    <xf borderId="18" fillId="5" fontId="4" numFmtId="0" xfId="0" applyAlignment="1" applyBorder="1" applyFont="1">
      <alignment horizontal="left" readingOrder="0" shrinkToFit="0" vertical="center" wrapText="1"/>
    </xf>
    <xf quotePrefix="1" borderId="14" fillId="6" fontId="15" numFmtId="0" xfId="0" applyAlignment="1" applyBorder="1" applyFont="1">
      <alignment horizontal="center" readingOrder="0" shrinkToFit="0" vertical="center" wrapText="0"/>
    </xf>
    <xf borderId="18" fillId="6" fontId="1" numFmtId="0" xfId="0" applyAlignment="1" applyBorder="1" applyFont="1">
      <alignment horizontal="center" readingOrder="0" shrinkToFit="0" vertical="center" wrapText="0"/>
    </xf>
    <xf borderId="14" fillId="5" fontId="20" numFmtId="0" xfId="0" applyAlignment="1" applyBorder="1" applyFont="1">
      <alignment horizontal="center" shrinkToFit="0" vertical="center" wrapText="0"/>
    </xf>
    <xf borderId="17" fillId="5" fontId="17" numFmtId="0" xfId="0" applyAlignment="1" applyBorder="1" applyFont="1">
      <alignment horizontal="left" shrinkToFit="0" vertical="center" wrapText="0"/>
    </xf>
    <xf borderId="20" fillId="5" fontId="15" numFmtId="0" xfId="0" applyAlignment="1" applyBorder="1" applyFont="1">
      <alignment horizontal="left" readingOrder="0" shrinkToFit="0" vertical="center" wrapText="0"/>
    </xf>
    <xf borderId="20" fillId="6" fontId="15" numFmtId="0" xfId="0" applyAlignment="1" applyBorder="1" applyFont="1">
      <alignment horizontal="center" readingOrder="0" shrinkToFit="0" vertical="center" wrapText="0"/>
    </xf>
    <xf borderId="20" fillId="5" fontId="15" numFmtId="0" xfId="0" applyAlignment="1" applyBorder="1" applyFont="1">
      <alignment horizontal="center" readingOrder="0" shrinkToFit="0" vertical="center" wrapText="0"/>
    </xf>
    <xf borderId="18" fillId="6" fontId="9" numFmtId="0" xfId="0" applyAlignment="1" applyBorder="1" applyFont="1">
      <alignment horizontal="left" readingOrder="0" shrinkToFit="0" vertical="center" wrapText="1"/>
    </xf>
    <xf borderId="14" fillId="5" fontId="15" numFmtId="0" xfId="0" applyAlignment="1" applyBorder="1" applyFont="1">
      <alignment horizontal="left" shrinkToFit="0" vertical="center" wrapText="0"/>
    </xf>
    <xf borderId="14" fillId="6" fontId="15" numFmtId="0" xfId="0" applyAlignment="1" applyBorder="1" applyFont="1">
      <alignment horizontal="left" readingOrder="0" shrinkToFit="0" vertical="center" wrapText="0"/>
    </xf>
    <xf borderId="14" fillId="6" fontId="15" numFmtId="0" xfId="0" applyAlignment="1" applyBorder="1" applyFont="1">
      <alignment horizontal="left" shrinkToFit="0" vertical="center" wrapText="0"/>
    </xf>
    <xf borderId="18" fillId="5" fontId="17" numFmtId="0" xfId="0" applyAlignment="1" applyBorder="1" applyFont="1">
      <alignment horizontal="center" readingOrder="0" shrinkToFit="0" vertical="center" wrapText="0"/>
    </xf>
    <xf borderId="17" fillId="5" fontId="17" numFmtId="0" xfId="0" applyAlignment="1" applyBorder="1" applyFont="1">
      <alignment horizontal="center" readingOrder="0" shrinkToFit="0" vertical="center" wrapText="0"/>
    </xf>
    <xf borderId="16" fillId="5" fontId="17" numFmtId="0" xfId="0" applyAlignment="1" applyBorder="1" applyFont="1">
      <alignment horizontal="center" readingOrder="0" shrinkToFit="0" vertical="center" wrapText="0"/>
    </xf>
    <xf borderId="14" fillId="6" fontId="30" numFmtId="0" xfId="0" applyAlignment="1" applyBorder="1" applyFont="1">
      <alignment horizontal="center" readingOrder="0" shrinkToFit="0" vertical="center" wrapText="0"/>
    </xf>
    <xf borderId="20" fillId="6" fontId="15" numFmtId="0" xfId="0" applyAlignment="1" applyBorder="1" applyFont="1">
      <alignment horizontal="left" readingOrder="0" shrinkToFit="0" vertical="center" wrapText="0"/>
    </xf>
    <xf borderId="20" fillId="5" fontId="15" numFmtId="0" xfId="0" applyAlignment="1" applyBorder="1" applyFont="1">
      <alignment horizontal="center" shrinkToFit="0" vertical="center" wrapText="0"/>
    </xf>
    <xf borderId="14" fillId="5" fontId="10" numFmtId="0" xfId="0" applyBorder="1" applyFont="1"/>
    <xf borderId="18" fillId="5" fontId="1" numFmtId="0" xfId="0" applyAlignment="1" applyBorder="1" applyFont="1">
      <alignment horizontal="center" readingOrder="0" shrinkToFit="0" vertical="center" wrapText="0"/>
    </xf>
    <xf borderId="16" fillId="6" fontId="1" numFmtId="0" xfId="0" applyAlignment="1" applyBorder="1" applyFont="1">
      <alignment horizontal="left" readingOrder="0" shrinkToFit="0" vertical="center" wrapText="0"/>
    </xf>
    <xf borderId="14" fillId="6" fontId="1" numFmtId="0" xfId="0" applyAlignment="1" applyBorder="1" applyFont="1">
      <alignment horizontal="center" shrinkToFit="0" vertical="center" wrapText="0"/>
    </xf>
    <xf borderId="17" fillId="6" fontId="1" numFmtId="0" xfId="0" applyAlignment="1" applyBorder="1" applyFont="1">
      <alignment horizontal="left" shrinkToFit="0" vertical="center" wrapText="0"/>
    </xf>
    <xf borderId="18" fillId="6" fontId="1" numFmtId="0" xfId="0" applyAlignment="1" applyBorder="1" applyFont="1">
      <alignment horizontal="left" shrinkToFit="0" vertical="center" wrapText="0"/>
    </xf>
    <xf quotePrefix="1" borderId="14" fillId="5" fontId="1" numFmtId="0" xfId="0" applyAlignment="1" applyBorder="1" applyFont="1">
      <alignment horizontal="center" shrinkToFit="0" vertical="center" wrapText="0"/>
    </xf>
    <xf borderId="18" fillId="5" fontId="15" numFmtId="172" xfId="0" applyAlignment="1" applyBorder="1" applyFont="1" applyNumberFormat="1">
      <alignment horizontal="center" readingOrder="0" shrinkToFit="0" vertical="center" wrapText="0"/>
    </xf>
    <xf quotePrefix="1" borderId="14" fillId="5" fontId="15" numFmtId="0" xfId="0" applyAlignment="1" applyBorder="1" applyFont="1">
      <alignment horizontal="center" readingOrder="0" shrinkToFit="0" vertical="center" wrapText="0"/>
    </xf>
    <xf quotePrefix="1" borderId="14" fillId="5" fontId="1" numFmtId="0" xfId="0" applyAlignment="1" applyBorder="1" applyFont="1">
      <alignment horizontal="center" readingOrder="0" shrinkToFit="0" vertical="center" wrapText="0"/>
    </xf>
    <xf quotePrefix="1" borderId="14" fillId="0" fontId="15" numFmtId="0" xfId="0" applyAlignment="1" applyBorder="1" applyFont="1">
      <alignment horizontal="center" readingOrder="0" shrinkToFit="0" vertical="center" wrapText="0"/>
    </xf>
    <xf quotePrefix="1" borderId="14" fillId="5" fontId="15" numFmtId="0" xfId="0" applyAlignment="1" applyBorder="1" applyFont="1">
      <alignment horizontal="center" shrinkToFit="0" vertical="center" wrapText="0"/>
    </xf>
    <xf quotePrefix="1" borderId="14" fillId="5" fontId="15" numFmtId="0" xfId="0" applyAlignment="1" applyBorder="1" applyFont="1">
      <alignment horizontal="center" shrinkToFit="0" vertical="center" wrapText="0"/>
    </xf>
    <xf quotePrefix="1" borderId="14" fillId="6" fontId="15" numFmtId="0" xfId="0" applyAlignment="1" applyBorder="1" applyFont="1">
      <alignment horizontal="center" shrinkToFit="0" vertical="center" wrapText="0"/>
    </xf>
    <xf quotePrefix="1" borderId="14" fillId="6" fontId="15" numFmtId="0" xfId="0" applyAlignment="1" applyBorder="1" applyFont="1">
      <alignment horizontal="center" shrinkToFit="0" vertical="center" wrapText="0"/>
    </xf>
    <xf borderId="18" fillId="6" fontId="15" numFmtId="172" xfId="0" applyAlignment="1" applyBorder="1" applyFont="1" applyNumberFormat="1">
      <alignment horizontal="center" readingOrder="0" shrinkToFit="0" vertical="center" wrapText="0"/>
    </xf>
    <xf borderId="14" fillId="5" fontId="30" numFmtId="0" xfId="0" applyAlignment="1" applyBorder="1" applyFont="1">
      <alignment horizontal="center" readingOrder="0" shrinkToFit="0" vertical="center" wrapText="0"/>
    </xf>
    <xf borderId="14" fillId="5" fontId="18" numFmtId="9" xfId="0" applyAlignment="1" applyBorder="1" applyFont="1" applyNumberFormat="1">
      <alignment horizontal="left" readingOrder="0" shrinkToFit="0" vertical="center" wrapText="1"/>
    </xf>
    <xf borderId="16" fillId="6" fontId="1" numFmtId="0" xfId="0" applyAlignment="1" applyBorder="1" applyFont="1">
      <alignment horizontal="left" shrinkToFit="0" vertical="center" wrapText="0"/>
    </xf>
    <xf borderId="16" fillId="5" fontId="1" numFmtId="0" xfId="0" applyAlignment="1" applyBorder="1" applyFont="1">
      <alignment horizontal="left" shrinkToFit="0" vertical="center" wrapText="0"/>
    </xf>
    <xf borderId="0" fillId="6" fontId="15" numFmtId="0" xfId="0" applyAlignment="1" applyFont="1">
      <alignment horizontal="center" readingOrder="0" shrinkToFit="0" vertical="center" wrapText="0"/>
    </xf>
    <xf borderId="18" fillId="6" fontId="1" numFmtId="0" xfId="0" applyAlignment="1" applyBorder="1" applyFont="1">
      <alignment horizontal="center" shrinkToFit="0" vertical="center" wrapText="0"/>
    </xf>
    <xf borderId="14" fillId="6" fontId="10" numFmtId="0" xfId="0" applyBorder="1" applyFont="1"/>
    <xf borderId="14" fillId="5" fontId="15" numFmtId="164" xfId="0" applyAlignment="1" applyBorder="1" applyFont="1" applyNumberFormat="1">
      <alignment horizontal="center" readingOrder="0" shrinkToFit="0" vertical="center" wrapText="0"/>
    </xf>
    <xf borderId="17" fillId="5" fontId="17" numFmtId="0" xfId="0" applyBorder="1" applyFont="1"/>
    <xf borderId="16" fillId="5" fontId="17" numFmtId="0" xfId="0" applyBorder="1" applyFont="1"/>
    <xf borderId="14" fillId="5" fontId="17" numFmtId="0" xfId="0" applyBorder="1" applyFont="1"/>
    <xf borderId="14" fillId="5" fontId="17" numFmtId="0" xfId="0" applyBorder="1" applyFont="1"/>
    <xf borderId="18" fillId="5" fontId="17" numFmtId="0" xfId="0" applyBorder="1" applyFont="1"/>
    <xf borderId="16" fillId="5" fontId="17" numFmtId="0" xfId="0" applyBorder="1" applyFont="1"/>
    <xf borderId="19" fillId="5" fontId="17" numFmtId="0" xfId="0" applyBorder="1" applyFont="1"/>
    <xf borderId="14" fillId="5" fontId="20" numFmtId="0" xfId="0" applyAlignment="1" applyBorder="1" applyFont="1">
      <alignment horizontal="center"/>
    </xf>
    <xf quotePrefix="1" borderId="0" fillId="0" fontId="15" numFmtId="0" xfId="0" applyAlignment="1" applyFont="1">
      <alignment horizontal="center" readingOrder="0" shrinkToFit="0" vertical="center" wrapText="0"/>
    </xf>
    <xf borderId="0" fillId="6" fontId="1" numFmtId="0" xfId="0" applyAlignment="1" applyFont="1">
      <alignment horizontal="center" readingOrder="0" shrinkToFit="0" vertical="center" wrapText="0"/>
    </xf>
    <xf borderId="0" fillId="6" fontId="15" numFmtId="171" xfId="0" applyAlignment="1" applyFont="1" applyNumberFormat="1">
      <alignment horizontal="center" readingOrder="0" shrinkToFit="0" vertical="center" wrapText="0"/>
    </xf>
    <xf quotePrefix="1" borderId="0" fillId="6" fontId="15" numFmtId="0" xfId="0" applyAlignment="1" applyFont="1">
      <alignment horizontal="center" readingOrder="0" shrinkToFit="0" vertical="center" wrapText="0"/>
    </xf>
    <xf borderId="0" fillId="6" fontId="15" numFmtId="0" xfId="0" applyAlignment="1" applyFont="1">
      <alignment horizontal="center" shrinkToFit="0" vertical="center" wrapText="0"/>
    </xf>
    <xf borderId="0" fillId="6" fontId="15" numFmtId="0" xfId="0" applyAlignment="1" applyFont="1">
      <alignment horizontal="left" readingOrder="0" shrinkToFit="0" vertical="center" wrapText="0"/>
    </xf>
    <xf borderId="0" fillId="6" fontId="1" numFmtId="0" xfId="0" applyAlignment="1" applyFont="1">
      <alignment horizontal="center" shrinkToFit="0" vertical="center" wrapText="0"/>
    </xf>
    <xf borderId="0" fillId="6" fontId="1" numFmtId="0" xfId="0" applyAlignment="1" applyFont="1">
      <alignment horizontal="left" shrinkToFit="0" vertical="center" wrapText="0"/>
    </xf>
    <xf borderId="0" fillId="6" fontId="1" numFmtId="0" xfId="0" applyAlignment="1" applyFont="1">
      <alignment horizontal="left" readingOrder="0" shrinkToFit="0" vertical="center" wrapText="0"/>
    </xf>
    <xf borderId="0" fillId="6" fontId="4" numFmtId="0" xfId="0" applyAlignment="1" applyFont="1">
      <alignment horizontal="left" readingOrder="0" shrinkToFit="0" vertical="center" wrapText="1"/>
    </xf>
    <xf borderId="0" fillId="6" fontId="9" numFmtId="0" xfId="0" applyAlignment="1" applyFont="1">
      <alignment horizontal="left" readingOrder="0" shrinkToFit="0" vertical="center" wrapText="1"/>
    </xf>
    <xf borderId="0" fillId="6" fontId="18" numFmtId="0" xfId="0" applyAlignment="1" applyFont="1">
      <alignment horizontal="left" readingOrder="0" shrinkToFit="0" vertical="center" wrapText="1"/>
    </xf>
    <xf borderId="0" fillId="6" fontId="8" numFmtId="0" xfId="0" applyAlignment="1" applyFont="1">
      <alignment horizontal="center" shrinkToFit="0" vertical="center" wrapText="0"/>
    </xf>
    <xf borderId="0" fillId="5" fontId="1" numFmtId="0" xfId="0" applyAlignment="1" applyFont="1">
      <alignment horizontal="center" readingOrder="0" shrinkToFit="0" vertical="center" wrapText="0"/>
    </xf>
    <xf borderId="0" fillId="5" fontId="15" numFmtId="171" xfId="0" applyAlignment="1" applyFont="1" applyNumberFormat="1">
      <alignment horizontal="center" readingOrder="0" shrinkToFit="0" vertical="center" wrapText="0"/>
    </xf>
    <xf quotePrefix="1" borderId="0" fillId="5" fontId="15" numFmtId="0" xfId="0" applyAlignment="1" applyFont="1">
      <alignment horizontal="center" readingOrder="0" shrinkToFit="0" vertical="center" wrapText="0"/>
    </xf>
    <xf borderId="0" fillId="5" fontId="15" numFmtId="0" xfId="0" applyAlignment="1" applyFont="1">
      <alignment horizontal="center" shrinkToFit="0" vertical="center" wrapText="0"/>
    </xf>
    <xf borderId="0" fillId="5" fontId="15" numFmtId="0" xfId="0" applyAlignment="1" applyFont="1">
      <alignment horizontal="left" readingOrder="0" shrinkToFit="0" vertical="center" wrapText="0"/>
    </xf>
    <xf borderId="0" fillId="5" fontId="1" numFmtId="0" xfId="0" applyAlignment="1" applyFont="1">
      <alignment horizontal="center" shrinkToFit="0" vertical="center" wrapText="0"/>
    </xf>
    <xf borderId="0" fillId="5" fontId="1" numFmtId="0" xfId="0" applyAlignment="1" applyFont="1">
      <alignment horizontal="left" shrinkToFit="0" vertical="center" wrapText="0"/>
    </xf>
    <xf borderId="0" fillId="5" fontId="1" numFmtId="0" xfId="0" applyAlignment="1" applyFont="1">
      <alignment horizontal="left" readingOrder="0" shrinkToFit="0" vertical="center" wrapText="0"/>
    </xf>
    <xf borderId="0" fillId="5" fontId="4" numFmtId="0" xfId="0" applyAlignment="1" applyFont="1">
      <alignment horizontal="left" readingOrder="0" shrinkToFit="0" vertical="center" wrapText="1"/>
    </xf>
    <xf borderId="0" fillId="5" fontId="9" numFmtId="0" xfId="0" applyAlignment="1" applyFont="1">
      <alignment horizontal="left" readingOrder="0" shrinkToFit="0" vertical="center" wrapText="1"/>
    </xf>
    <xf borderId="0" fillId="5" fontId="18" numFmtId="0" xfId="0" applyAlignment="1" applyFont="1">
      <alignment horizontal="left" readingOrder="0" shrinkToFit="0" vertical="center" wrapText="1"/>
    </xf>
    <xf borderId="0" fillId="5" fontId="8" numFmtId="0" xfId="0" applyAlignment="1" applyFont="1">
      <alignment horizontal="center" shrinkToFit="0" vertical="center" wrapText="0"/>
    </xf>
    <xf quotePrefix="1" borderId="0" fillId="6" fontId="1" numFmtId="0" xfId="0" applyAlignment="1" applyFont="1">
      <alignment horizontal="center" readingOrder="0" shrinkToFit="0" vertical="center" wrapText="0"/>
    </xf>
    <xf borderId="0" fillId="0" fontId="31" numFmtId="0" xfId="0" applyAlignment="1" applyFont="1">
      <alignment horizontal="center" readingOrder="0" shrinkToFit="0" wrapText="1"/>
    </xf>
    <xf borderId="21" fillId="0" fontId="32" numFmtId="0" xfId="0" applyAlignment="1" applyBorder="1" applyFont="1">
      <alignment readingOrder="0"/>
    </xf>
    <xf borderId="0" fillId="0" fontId="10" numFmtId="0" xfId="0" applyAlignment="1" applyFont="1">
      <alignment shrinkToFit="0" wrapText="0"/>
    </xf>
    <xf borderId="0" fillId="0" fontId="1" numFmtId="0" xfId="0" applyAlignment="1" applyFont="1">
      <alignment horizontal="center" readingOrder="0" shrinkToFit="0" wrapText="0"/>
    </xf>
    <xf borderId="0" fillId="0" fontId="2" numFmtId="0" xfId="0" applyAlignment="1" applyFont="1">
      <alignment horizontal="center" readingOrder="0" shrinkToFit="0" vertical="center" wrapText="0"/>
    </xf>
    <xf borderId="0" fillId="0" fontId="33" numFmtId="0" xfId="0" applyAlignment="1" applyFont="1">
      <alignment horizontal="center" readingOrder="0" shrinkToFit="0" vertical="center" wrapText="0"/>
    </xf>
    <xf borderId="0" fillId="0" fontId="34"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32" numFmtId="0" xfId="0" applyAlignment="1" applyFont="1">
      <alignment horizontal="right" readingOrder="0" shrinkToFit="0" vertical="center" wrapText="0"/>
    </xf>
    <xf borderId="0" fillId="0" fontId="35" numFmtId="0" xfId="0" applyAlignment="1" applyFont="1">
      <alignment shrinkToFit="0" vertical="center" wrapText="0"/>
    </xf>
    <xf borderId="0" fillId="0" fontId="36" numFmtId="0" xfId="0" applyAlignment="1" applyFont="1">
      <alignment horizontal="center" readingOrder="0" shrinkToFit="0" vertical="center" wrapText="0"/>
    </xf>
    <xf borderId="22" fillId="7" fontId="37" numFmtId="0" xfId="0" applyAlignment="1" applyBorder="1" applyFill="1" applyFont="1">
      <alignment horizontal="center" readingOrder="0" shrinkToFit="0" vertical="center" wrapText="0"/>
    </xf>
    <xf borderId="23" fillId="0" fontId="12" numFmtId="0" xfId="0" applyBorder="1" applyFont="1"/>
    <xf borderId="24" fillId="0" fontId="12" numFmtId="0" xfId="0" applyBorder="1" applyFont="1"/>
    <xf borderId="0" fillId="0" fontId="35" numFmtId="0" xfId="0" applyAlignment="1" applyFont="1">
      <alignment horizontal="center" readingOrder="0" shrinkToFit="0" vertical="center" wrapText="0"/>
    </xf>
    <xf borderId="22" fillId="0" fontId="35" numFmtId="0" xfId="0" applyAlignment="1" applyBorder="1" applyFont="1">
      <alignment horizontal="center" readingOrder="0" shrinkToFit="0" vertical="center" wrapText="0"/>
    </xf>
    <xf borderId="23" fillId="0" fontId="35" numFmtId="0" xfId="0" applyAlignment="1" applyBorder="1" applyFont="1">
      <alignment horizontal="center" readingOrder="0" shrinkToFit="0" vertical="center" wrapText="0"/>
    </xf>
    <xf borderId="24" fillId="0" fontId="35" numFmtId="0" xfId="0" applyAlignment="1" applyBorder="1" applyFont="1">
      <alignment horizontal="center" readingOrder="0" shrinkToFit="0" vertical="center" wrapText="0"/>
    </xf>
    <xf borderId="22" fillId="5" fontId="10" numFmtId="0" xfId="0" applyAlignment="1" applyBorder="1" applyFont="1">
      <alignment horizontal="left" readingOrder="0" shrinkToFit="0" vertical="center" wrapText="0"/>
    </xf>
    <xf borderId="25" fillId="5" fontId="10" numFmtId="0" xfId="0" applyAlignment="1" applyBorder="1" applyFont="1">
      <alignment horizontal="center" readingOrder="0" shrinkToFit="0" vertical="center" wrapText="0"/>
    </xf>
    <xf borderId="25" fillId="5" fontId="38" numFmtId="0" xfId="0" applyAlignment="1" applyBorder="1" applyFont="1">
      <alignment horizontal="center" readingOrder="0" shrinkToFit="0" vertical="center" wrapText="0"/>
    </xf>
    <xf borderId="25" fillId="5" fontId="10" numFmtId="1" xfId="0" applyAlignment="1" applyBorder="1" applyFont="1" applyNumberFormat="1">
      <alignment horizontal="center" shrinkToFit="0" vertical="center" wrapText="0"/>
    </xf>
    <xf borderId="22" fillId="0" fontId="10" numFmtId="0" xfId="0" applyAlignment="1" applyBorder="1" applyFont="1">
      <alignment horizontal="left" readingOrder="0" shrinkToFit="0" vertical="center" wrapText="0"/>
    </xf>
    <xf borderId="25" fillId="0" fontId="10" numFmtId="0" xfId="0" applyAlignment="1" applyBorder="1" applyFont="1">
      <alignment horizontal="center" readingOrder="0" shrinkToFit="0" vertical="center" wrapText="0"/>
    </xf>
    <xf borderId="25" fillId="0" fontId="38" numFmtId="0" xfId="0" applyAlignment="1" applyBorder="1" applyFont="1">
      <alignment horizontal="center" readingOrder="0" shrinkToFit="0" vertical="center" wrapText="0"/>
    </xf>
    <xf borderId="25" fillId="0" fontId="10" numFmtId="1" xfId="0" applyAlignment="1" applyBorder="1" applyFont="1" applyNumberFormat="1">
      <alignment horizontal="center" shrinkToFit="0" vertical="center" wrapText="0"/>
    </xf>
    <xf borderId="25" fillId="5" fontId="35" numFmtId="0" xfId="0" applyAlignment="1" applyBorder="1" applyFont="1">
      <alignment horizontal="center" shrinkToFit="0" vertical="center" wrapText="0"/>
    </xf>
    <xf borderId="25" fillId="5" fontId="10" numFmtId="0" xfId="0" applyAlignment="1" applyBorder="1" applyFont="1">
      <alignment horizontal="center" shrinkToFit="0" vertical="center" wrapText="0"/>
    </xf>
    <xf borderId="25" fillId="5" fontId="38" numFmtId="0" xfId="0" applyAlignment="1" applyBorder="1" applyFont="1">
      <alignment horizontal="center" shrinkToFit="0" vertical="center" wrapText="0"/>
    </xf>
    <xf borderId="0" fillId="0" fontId="10" numFmtId="0" xfId="0" applyAlignment="1" applyFont="1">
      <alignment horizontal="center" shrinkToFit="0" vertical="center" wrapText="0"/>
    </xf>
    <xf borderId="22" fillId="5" fontId="39" numFmtId="0" xfId="0" applyAlignment="1" applyBorder="1" applyFont="1">
      <alignment horizontal="left" readingOrder="0" shrinkToFit="0" vertical="center" wrapText="0"/>
    </xf>
    <xf borderId="25" fillId="5" fontId="40" numFmtId="0" xfId="0" applyAlignment="1" applyBorder="1" applyFont="1">
      <alignment horizontal="center" shrinkToFit="0" vertical="center" wrapText="0"/>
    </xf>
    <xf borderId="25" fillId="5" fontId="39" numFmtId="0" xfId="0" applyAlignment="1" applyBorder="1" applyFont="1">
      <alignment horizontal="center" shrinkToFit="0" vertical="center" wrapText="0"/>
    </xf>
    <xf borderId="25" fillId="5" fontId="41" numFmtId="0" xfId="0" applyAlignment="1" applyBorder="1" applyFont="1">
      <alignment horizontal="center" shrinkToFit="0" vertical="center" wrapText="0"/>
    </xf>
    <xf borderId="25" fillId="5" fontId="39" numFmtId="1" xfId="0" applyAlignment="1" applyBorder="1" applyFont="1" applyNumberFormat="1">
      <alignment horizontal="center" shrinkToFit="0" vertical="center" wrapText="0"/>
    </xf>
    <xf borderId="0" fillId="5" fontId="10" numFmtId="0" xfId="0" applyAlignment="1" applyFont="1">
      <alignment shrinkToFit="0" vertical="center" wrapText="0"/>
    </xf>
    <xf borderId="25" fillId="0" fontId="35" numFmtId="0" xfId="0" applyAlignment="1" applyBorder="1" applyFont="1">
      <alignment horizontal="center" shrinkToFit="0" vertical="center" wrapText="0"/>
    </xf>
    <xf borderId="25" fillId="0" fontId="10" numFmtId="0" xfId="0" applyAlignment="1" applyBorder="1" applyFont="1">
      <alignment horizontal="center" shrinkToFit="0" vertical="center" wrapText="0"/>
    </xf>
    <xf borderId="25" fillId="0" fontId="38" numFmtId="0" xfId="0" applyAlignment="1" applyBorder="1" applyFont="1">
      <alignment horizontal="center" shrinkToFit="0" vertical="center" wrapText="0"/>
    </xf>
    <xf borderId="22" fillId="0" fontId="10" numFmtId="0" xfId="0" applyAlignment="1" applyBorder="1" applyFont="1">
      <alignment shrinkToFit="0" vertical="center" wrapText="0"/>
    </xf>
    <xf borderId="25" fillId="0" fontId="10" numFmtId="1" xfId="0" applyAlignment="1" applyBorder="1" applyFont="1" applyNumberFormat="1">
      <alignment horizontal="center" readingOrder="0" shrinkToFit="0" vertical="center" wrapText="0"/>
    </xf>
    <xf borderId="22" fillId="0" fontId="10" numFmtId="0" xfId="0" applyAlignment="1" applyBorder="1" applyFont="1">
      <alignment horizontal="left" shrinkToFit="0" vertical="center" wrapText="0"/>
    </xf>
    <xf borderId="25" fillId="5" fontId="35" numFmtId="0" xfId="0" applyAlignment="1" applyBorder="1" applyFont="1">
      <alignment horizontal="center" readingOrder="0" shrinkToFit="0" vertical="center" wrapText="0"/>
    </xf>
    <xf borderId="25" fillId="5" fontId="10" numFmtId="1" xfId="0" applyAlignment="1" applyBorder="1" applyFont="1" applyNumberFormat="1">
      <alignment horizontal="center" readingOrder="0" shrinkToFit="0" vertical="center" wrapText="0"/>
    </xf>
    <xf borderId="22" fillId="5" fontId="10" numFmtId="0" xfId="0" applyAlignment="1" applyBorder="1" applyFont="1">
      <alignment horizontal="left" shrinkToFit="0" vertical="center" wrapText="0"/>
    </xf>
    <xf borderId="0" fillId="5" fontId="10" numFmtId="0" xfId="0" applyAlignment="1" applyFont="1">
      <alignment horizontal="center" shrinkToFit="0" vertical="center" wrapText="0"/>
    </xf>
    <xf borderId="0" fillId="0" fontId="10" numFmtId="0" xfId="0" applyAlignment="1" applyFont="1">
      <alignment horizontal="center" shrinkToFit="0" wrapText="0"/>
    </xf>
    <xf borderId="0" fillId="8" fontId="42" numFmtId="0" xfId="0" applyAlignment="1" applyFill="1" applyFont="1">
      <alignment horizontal="center" readingOrder="0" vertical="center"/>
    </xf>
    <xf borderId="0" fillId="9" fontId="42" numFmtId="0" xfId="0" applyAlignment="1" applyFill="1" applyFont="1">
      <alignment horizontal="center" readingOrder="0" vertical="center"/>
    </xf>
    <xf borderId="0" fillId="9" fontId="17" numFmtId="0" xfId="0" applyAlignment="1" applyFont="1">
      <alignment horizontal="center" vertical="center"/>
    </xf>
    <xf borderId="0" fillId="8" fontId="43" numFmtId="0" xfId="0" applyAlignment="1" applyFont="1">
      <alignment horizontal="center" readingOrder="0" vertical="center"/>
    </xf>
    <xf borderId="0" fillId="9" fontId="43" numFmtId="0" xfId="0" applyAlignment="1" applyFont="1">
      <alignment horizontal="center" readingOrder="0" vertical="center"/>
    </xf>
    <xf borderId="0" fillId="9" fontId="10" numFmtId="0" xfId="0" applyAlignment="1" applyFont="1">
      <alignment horizontal="center" vertical="center"/>
    </xf>
    <xf borderId="0" fillId="0" fontId="10" numFmtId="0" xfId="0" applyAlignment="1" applyFont="1">
      <alignment horizontal="center" vertical="center"/>
    </xf>
    <xf borderId="26" fillId="0" fontId="44" numFmtId="0" xfId="0" applyAlignment="1" applyBorder="1" applyFont="1">
      <alignment horizontal="center" readingOrder="0" vertical="center"/>
    </xf>
    <xf borderId="0" fillId="9" fontId="44" numFmtId="0" xfId="0" applyAlignment="1" applyFont="1">
      <alignment horizontal="center" readingOrder="0" vertical="center"/>
    </xf>
    <xf borderId="0" fillId="0" fontId="17" numFmtId="0" xfId="0" applyAlignment="1" applyFont="1">
      <alignment readingOrder="0" vertical="bottom"/>
    </xf>
    <xf borderId="0" fillId="9" fontId="17" numFmtId="0" xfId="0" applyAlignment="1" applyFont="1">
      <alignment readingOrder="0" vertical="bottom"/>
    </xf>
    <xf borderId="0" fillId="10" fontId="17" numFmtId="0" xfId="0" applyAlignment="1" applyFill="1" applyFont="1">
      <alignment readingOrder="0" vertical="bottom"/>
    </xf>
    <xf borderId="0" fillId="0" fontId="20" numFmtId="0" xfId="0" applyAlignment="1" applyFont="1">
      <alignment readingOrder="0" vertical="bottom"/>
    </xf>
    <xf borderId="0" fillId="11" fontId="30" numFmtId="0" xfId="0" applyAlignment="1" applyFill="1" applyFont="1">
      <alignment readingOrder="0" vertical="bottom"/>
    </xf>
    <xf borderId="0" fillId="9" fontId="17" numFmtId="0" xfId="0" applyAlignment="1" applyFont="1">
      <alignment vertical="bottom"/>
    </xf>
    <xf borderId="0" fillId="2" fontId="17" numFmtId="0" xfId="0" applyAlignment="1" applyFont="1">
      <alignment readingOrder="0" vertical="bottom"/>
    </xf>
    <xf borderId="0" fillId="0" fontId="10" numFmtId="0" xfId="0" applyAlignment="1" applyFont="1">
      <alignment readingOrder="0"/>
    </xf>
    <xf borderId="0" fillId="12" fontId="17" numFmtId="0" xfId="0" applyAlignment="1" applyFill="1" applyFont="1">
      <alignment readingOrder="0" vertical="bottom"/>
    </xf>
    <xf borderId="0" fillId="0" fontId="10" numFmtId="0" xfId="0" applyAlignment="1" applyFont="1">
      <alignment readingOrder="0" vertical="bottom"/>
    </xf>
    <xf borderId="0" fillId="2" fontId="10" numFmtId="0" xfId="0" applyAlignment="1" applyFont="1">
      <alignment readingOrder="0" shrinkToFit="0" vertical="bottom" wrapText="1"/>
    </xf>
    <xf borderId="0" fillId="9" fontId="10" numFmtId="0" xfId="0" applyAlignment="1" applyFont="1">
      <alignment readingOrder="0"/>
    </xf>
    <xf borderId="0" fillId="0" fontId="39" numFmtId="0" xfId="0" applyAlignment="1" applyFont="1">
      <alignment readingOrder="0" vertical="bottom"/>
    </xf>
    <xf borderId="0" fillId="2" fontId="39" numFmtId="0" xfId="0" applyAlignment="1" applyFont="1">
      <alignment readingOrder="0" vertical="bottom"/>
    </xf>
    <xf borderId="0" fillId="9" fontId="10" numFmtId="0" xfId="0" applyFont="1"/>
    <xf borderId="0" fillId="0" fontId="10" numFmtId="0" xfId="0" applyAlignment="1" applyFont="1">
      <alignment readingOrder="0" vertical="center"/>
    </xf>
    <xf borderId="0" fillId="0" fontId="10" numFmtId="0" xfId="0" applyAlignment="1" applyFont="1">
      <alignment readingOrder="0" shrinkToFit="0" wrapText="1"/>
    </xf>
    <xf borderId="0" fillId="13" fontId="30" numFmtId="0" xfId="0" applyAlignment="1" applyFill="1" applyFont="1">
      <alignment readingOrder="0" vertical="bottom"/>
    </xf>
    <xf borderId="0" fillId="10" fontId="17" numFmtId="0" xfId="0" applyAlignment="1" applyFont="1">
      <alignment readingOrder="0" shrinkToFit="0" vertical="bottom" wrapText="1"/>
    </xf>
    <xf borderId="0" fillId="0" fontId="17" numFmtId="0" xfId="0" applyAlignment="1" applyFont="1">
      <alignment readingOrder="0"/>
    </xf>
    <xf borderId="0" fillId="2" fontId="10" numFmtId="0" xfId="0" applyAlignment="1" applyFont="1">
      <alignment readingOrder="0" shrinkToFit="0" vertical="center" wrapText="1"/>
    </xf>
    <xf borderId="0" fillId="0" fontId="39" numFmtId="0" xfId="0" applyAlignment="1" applyFont="1">
      <alignment readingOrder="0" vertical="center"/>
    </xf>
    <xf borderId="0" fillId="2" fontId="39" numFmtId="0" xfId="0" applyAlignment="1" applyFont="1">
      <alignment readingOrder="0" vertical="center"/>
    </xf>
    <xf borderId="0" fillId="14" fontId="17" numFmtId="0" xfId="0" applyAlignment="1" applyFill="1" applyFont="1">
      <alignment readingOrder="0" vertical="bottom"/>
    </xf>
    <xf borderId="0" fillId="5" fontId="17" numFmtId="0" xfId="0" applyAlignment="1" applyFont="1">
      <alignment readingOrder="0" vertical="bottom"/>
    </xf>
    <xf borderId="0" fillId="12" fontId="30" numFmtId="0" xfId="0" applyAlignment="1" applyFont="1">
      <alignment readingOrder="0" vertical="bottom"/>
    </xf>
    <xf borderId="0" fillId="0" fontId="45" numFmtId="0" xfId="0" applyAlignment="1" applyFont="1">
      <alignment readingOrder="0"/>
    </xf>
    <xf borderId="0" fillId="0" fontId="10" numFmtId="0" xfId="0" applyAlignment="1" applyFont="1">
      <alignment readingOrder="0" shrinkToFit="0" vertical="center" wrapText="1"/>
    </xf>
    <xf borderId="0" fillId="0" fontId="30" numFmtId="0" xfId="0" applyAlignment="1" applyFont="1">
      <alignment readingOrder="0" vertical="bottom"/>
    </xf>
    <xf borderId="0" fillId="5" fontId="30" numFmtId="0" xfId="0" applyAlignment="1" applyFont="1">
      <alignment readingOrder="0" vertical="bottom"/>
    </xf>
    <xf borderId="0" fillId="0" fontId="17" numFmtId="0" xfId="0" applyAlignment="1" applyFont="1">
      <alignment vertical="bottom"/>
    </xf>
    <xf borderId="0" fillId="0" fontId="46" numFmtId="0" xfId="0" applyAlignment="1" applyFont="1">
      <alignment readingOrder="0"/>
    </xf>
    <xf borderId="0" fillId="15" fontId="17" numFmtId="0" xfId="0" applyAlignment="1" applyFill="1" applyFont="1">
      <alignment readingOrder="0" vertical="bottom"/>
    </xf>
    <xf borderId="0" fillId="10" fontId="10" numFmtId="0" xfId="0" applyAlignment="1" applyFont="1">
      <alignment readingOrder="0"/>
    </xf>
    <xf borderId="0" fillId="9" fontId="17" numFmtId="0" xfId="0" applyAlignment="1" applyFont="1">
      <alignment vertical="bottom"/>
    </xf>
    <xf borderId="0" fillId="3" fontId="17" numFmtId="0" xfId="0" applyAlignment="1" applyFont="1">
      <alignment readingOrder="0" vertical="bottom"/>
    </xf>
    <xf borderId="0" fillId="10" fontId="17" numFmtId="0" xfId="0" applyAlignment="1" applyFont="1">
      <alignment readingOrder="0"/>
    </xf>
    <xf borderId="0" fillId="0" fontId="32" numFmtId="0" xfId="0" applyAlignment="1" applyFont="1">
      <alignment readingOrder="0"/>
    </xf>
    <xf borderId="0" fillId="0" fontId="10" numFmtId="0" xfId="0" applyAlignment="1" applyFont="1">
      <alignment readingOrder="0" vertical="top"/>
    </xf>
    <xf borderId="0" fillId="2" fontId="17" numFmtId="0" xfId="0" applyAlignment="1" applyFont="1">
      <alignment readingOrder="0" vertical="top"/>
    </xf>
    <xf borderId="0" fillId="0" fontId="47" numFmtId="0" xfId="0" applyAlignment="1" applyFont="1">
      <alignment readingOrder="0" vertical="bottom"/>
    </xf>
    <xf borderId="0" fillId="0" fontId="48" numFmtId="0" xfId="0" applyAlignment="1" applyFont="1">
      <alignment readingOrder="0" vertical="bottom"/>
    </xf>
    <xf borderId="0" fillId="0" fontId="17" numFmtId="0" xfId="0" applyFont="1"/>
    <xf borderId="0" fillId="11" fontId="30" numFmtId="0" xfId="0" applyAlignment="1" applyFont="1">
      <alignment readingOrder="0" shrinkToFit="0" vertical="bottom" wrapText="1"/>
    </xf>
    <xf borderId="0" fillId="13" fontId="30" numFmtId="0" xfId="0" applyAlignment="1" applyFont="1">
      <alignment readingOrder="0" shrinkToFit="0" vertical="bottom" wrapText="1"/>
    </xf>
    <xf borderId="0" fillId="12" fontId="30" numFmtId="0" xfId="0" applyAlignment="1" applyFont="1">
      <alignment readingOrder="0" shrinkToFit="0" vertical="bottom" wrapText="1"/>
    </xf>
    <xf borderId="0" fillId="3" fontId="17" numFmtId="0" xfId="0" applyAlignment="1" applyFont="1">
      <alignment readingOrder="0"/>
    </xf>
    <xf borderId="0" fillId="0" fontId="39" numFmtId="0" xfId="0" applyAlignment="1" applyFont="1">
      <alignment readingOrder="0" shrinkToFit="0" vertical="center" wrapText="1"/>
    </xf>
    <xf borderId="0" fillId="0" fontId="32" numFmtId="0" xfId="0" applyAlignment="1" applyFont="1">
      <alignment readingOrder="0" shrinkToFit="0" wrapText="1"/>
    </xf>
    <xf borderId="0" fillId="13" fontId="17" numFmtId="0" xfId="0" applyAlignment="1" applyFont="1">
      <alignment readingOrder="0" vertical="bottom"/>
    </xf>
    <xf borderId="0" fillId="2" fontId="10" numFmtId="0" xfId="0" applyAlignment="1" applyFont="1">
      <alignment readingOrder="0"/>
    </xf>
    <xf borderId="0" fillId="5" fontId="17" numFmtId="0" xfId="0" applyAlignment="1" applyFont="1">
      <alignment vertical="bottom"/>
    </xf>
    <xf borderId="0" fillId="0" fontId="17" numFmtId="0" xfId="0" applyAlignment="1" applyFont="1">
      <alignment vertical="top"/>
    </xf>
    <xf borderId="0" fillId="0" fontId="49" numFmtId="0" xfId="0" applyAlignment="1" applyFont="1">
      <alignment readingOrder="0" vertical="bottom"/>
    </xf>
    <xf borderId="0" fillId="0" fontId="17" numFmtId="0" xfId="0" applyAlignment="1" applyFont="1">
      <alignment readingOrder="0" vertical="top"/>
    </xf>
    <xf borderId="0" fillId="10" fontId="17" numFmtId="0" xfId="0" applyAlignment="1" applyFont="1">
      <alignment readingOrder="0" shrinkToFit="0" vertical="top" wrapText="1"/>
    </xf>
    <xf borderId="0" fillId="3" fontId="10" numFmtId="0" xfId="0" applyAlignment="1" applyFont="1">
      <alignment readingOrder="0" shrinkToFit="0" vertical="center" wrapText="1"/>
    </xf>
    <xf borderId="0" fillId="0" fontId="50" numFmtId="0" xfId="0" applyAlignment="1" applyFont="1">
      <alignment readingOrder="0" vertical="bottom"/>
    </xf>
    <xf borderId="0" fillId="0" fontId="39" numFmtId="0" xfId="0" applyAlignment="1" applyFont="1">
      <alignment vertical="center"/>
    </xf>
    <xf borderId="0" fillId="0" fontId="17" numFmtId="0" xfId="0" applyAlignment="1" applyFont="1">
      <alignment vertical="bottom"/>
    </xf>
    <xf borderId="0" fillId="10" fontId="17" numFmtId="0" xfId="0" applyAlignment="1" applyFont="1">
      <alignment readingOrder="0" vertical="top"/>
    </xf>
    <xf borderId="0" fillId="2" fontId="17" numFmtId="0" xfId="0" applyAlignment="1" applyFont="1">
      <alignment readingOrder="0" shrinkToFit="0" vertical="bottom" wrapText="1"/>
    </xf>
    <xf borderId="0" fillId="0" fontId="30" numFmtId="0" xfId="0" applyAlignment="1" applyFont="1">
      <alignment vertical="bottom"/>
    </xf>
    <xf borderId="0" fillId="0" fontId="30" numFmtId="0" xfId="0" applyAlignment="1" applyFont="1">
      <alignment shrinkToFit="0" vertical="bottom" wrapText="1"/>
    </xf>
    <xf borderId="0" fillId="2" fontId="30" numFmtId="0" xfId="0" applyAlignment="1" applyFont="1">
      <alignment readingOrder="0" shrinkToFit="0" vertical="bottom" wrapText="1"/>
    </xf>
    <xf borderId="0" fillId="0" fontId="30" numFmtId="0" xfId="0" applyAlignment="1" applyFont="1">
      <alignment vertical="bottom"/>
    </xf>
    <xf borderId="0" fillId="0" fontId="30" numFmtId="0" xfId="0" applyAlignment="1" applyFont="1">
      <alignment shrinkToFit="0" vertical="bottom" wrapText="1"/>
    </xf>
    <xf borderId="0" fillId="5" fontId="17" numFmtId="0" xfId="0" applyAlignment="1" applyFont="1">
      <alignment vertical="bottom"/>
    </xf>
    <xf borderId="0" fillId="3" fontId="17" numFmtId="0" xfId="0" applyAlignment="1" applyFont="1">
      <alignment readingOrder="0" shrinkToFit="0" vertical="bottom" wrapText="1"/>
    </xf>
    <xf borderId="0" fillId="0" fontId="17" numFmtId="0" xfId="0" applyAlignment="1" applyFont="1">
      <alignment readingOrder="0" shrinkToFit="0" vertical="bottom" wrapText="1"/>
    </xf>
    <xf borderId="0" fillId="5" fontId="17" numFmtId="0" xfId="0" applyAlignment="1" applyFont="1">
      <alignment readingOrder="0" shrinkToFit="0" vertical="bottom" wrapText="1"/>
    </xf>
    <xf borderId="0" fillId="0" fontId="30" numFmtId="0" xfId="0" applyAlignment="1" applyFont="1">
      <alignment readingOrder="0" shrinkToFit="0" vertical="bottom" wrapText="1"/>
    </xf>
    <xf borderId="0" fillId="0" fontId="10" numFmtId="0" xfId="0" applyAlignment="1" applyFont="1">
      <alignment vertical="center"/>
    </xf>
    <xf borderId="0" fillId="0" fontId="10" numFmtId="0" xfId="0" applyAlignment="1" applyFont="1">
      <alignment shrinkToFit="0" wrapText="1"/>
    </xf>
    <xf borderId="0" fillId="5" fontId="51" numFmtId="0" xfId="0" applyAlignment="1" applyFont="1">
      <alignment readingOrder="0"/>
    </xf>
    <xf borderId="0" fillId="11" fontId="17" numFmtId="0" xfId="0" applyAlignment="1" applyFont="1">
      <alignment readingOrder="0" vertical="bottom"/>
    </xf>
    <xf borderId="0" fillId="5" fontId="10" numFmtId="0" xfId="0" applyAlignment="1" applyFont="1">
      <alignment readingOrder="0"/>
    </xf>
    <xf borderId="0" fillId="2" fontId="10" numFmtId="0" xfId="0" applyAlignment="1" applyFont="1">
      <alignment readingOrder="0" vertical="center"/>
    </xf>
    <xf borderId="0" fillId="3" fontId="10" numFmtId="0" xfId="0" applyAlignment="1" applyFont="1">
      <alignment readingOrder="0" vertical="center"/>
    </xf>
    <xf borderId="0" fillId="5" fontId="17" numFmtId="0" xfId="0" applyAlignment="1" applyFont="1">
      <alignment readingOrder="0"/>
    </xf>
    <xf borderId="0" fillId="2" fontId="10" numFmtId="0" xfId="0" applyAlignment="1" applyFont="1">
      <alignment readingOrder="0" shrinkToFit="0" wrapText="1"/>
    </xf>
    <xf borderId="0" fillId="14" fontId="20" numFmtId="0" xfId="0" applyAlignment="1" applyFont="1">
      <alignment readingOrder="0" vertical="bottom"/>
    </xf>
    <xf borderId="0" fillId="0" fontId="10" numFmtId="0" xfId="0" applyAlignment="1" applyFont="1">
      <alignment horizontal="center" readingOrder="0" shrinkToFit="0" wrapText="0"/>
    </xf>
    <xf borderId="0" fillId="0" fontId="10" numFmtId="1" xfId="0" applyAlignment="1" applyFont="1" applyNumberFormat="1">
      <alignment horizontal="center" readingOrder="0" shrinkToFit="0" wrapText="0"/>
    </xf>
    <xf borderId="0" fillId="0" fontId="10" numFmtId="164" xfId="0" applyAlignment="1" applyFont="1" applyNumberFormat="1">
      <alignment horizontal="center" readingOrder="0" shrinkToFit="0" wrapText="0"/>
    </xf>
    <xf borderId="0" fillId="0" fontId="35" numFmtId="0" xfId="0" applyAlignment="1" applyFont="1">
      <alignment horizontal="center" readingOrder="0" shrinkToFit="0" wrapText="0"/>
    </xf>
    <xf borderId="0" fillId="0" fontId="32" numFmtId="0" xfId="0" applyAlignment="1" applyFont="1">
      <alignment horizontal="center" readingOrder="0" shrinkToFit="0" wrapText="0"/>
    </xf>
    <xf borderId="0" fillId="0" fontId="10" numFmtId="173" xfId="0" applyAlignment="1" applyFont="1" applyNumberFormat="1">
      <alignment horizontal="center" readingOrder="0" shrinkToFit="0" wrapText="0"/>
    </xf>
    <xf borderId="0" fillId="0" fontId="35" numFmtId="0" xfId="0" applyAlignment="1" applyFont="1">
      <alignment horizontal="center" readingOrder="0" shrinkToFit="0" vertical="center" wrapText="1"/>
    </xf>
    <xf borderId="0" fillId="3" fontId="10" numFmtId="164" xfId="0" applyAlignment="1" applyFont="1" applyNumberFormat="1">
      <alignment horizontal="center" readingOrder="0" shrinkToFit="0" wrapText="0"/>
    </xf>
    <xf borderId="0" fillId="3" fontId="10" numFmtId="0" xfId="0" applyAlignment="1" applyFont="1">
      <alignment horizontal="center" readingOrder="0" shrinkToFit="0" wrapText="0"/>
    </xf>
    <xf borderId="0" fillId="16" fontId="52" numFmtId="164" xfId="0" applyAlignment="1" applyFill="1" applyFont="1" applyNumberFormat="1">
      <alignment horizontal="center" readingOrder="0" shrinkToFit="0" wrapText="0"/>
    </xf>
    <xf borderId="0" fillId="16" fontId="52" numFmtId="0" xfId="0" applyAlignment="1" applyFont="1">
      <alignment horizontal="center" readingOrder="0" shrinkToFit="0" wrapText="0"/>
    </xf>
    <xf borderId="0" fillId="16" fontId="52" numFmtId="0" xfId="0" applyAlignment="1" applyFont="1">
      <alignment horizontal="center" shrinkToFit="0" wrapText="0"/>
    </xf>
    <xf borderId="0" fillId="16" fontId="53" numFmtId="0" xfId="0" applyAlignment="1" applyFont="1">
      <alignment horizontal="center" readingOrder="0" shrinkToFit="0" wrapText="0"/>
    </xf>
    <xf borderId="0" fillId="0" fontId="10" numFmtId="0" xfId="0" applyAlignment="1" applyFont="1">
      <alignment horizontal="center" readingOrder="0"/>
    </xf>
    <xf borderId="0" fillId="0" fontId="10" numFmtId="0" xfId="0" applyAlignment="1" applyFont="1">
      <alignment horizontal="center" shrinkToFit="0" wrapText="0"/>
    </xf>
    <xf borderId="0" fillId="3" fontId="10" numFmtId="0" xfId="0" applyAlignment="1" applyFont="1">
      <alignment horizontal="center" shrinkToFit="0" wrapText="0"/>
    </xf>
    <xf borderId="0" fillId="0" fontId="10" numFmtId="0" xfId="0" applyAlignment="1" applyFont="1">
      <alignment horizontal="center"/>
    </xf>
    <xf borderId="0" fillId="17" fontId="51" numFmtId="0" xfId="0" applyAlignment="1" applyFill="1" applyFont="1">
      <alignment horizontal="center" readingOrder="0"/>
    </xf>
    <xf borderId="0" fillId="17" fontId="51" numFmtId="167" xfId="0" applyAlignment="1" applyFont="1" applyNumberFormat="1">
      <alignment horizontal="center" readingOrder="0"/>
    </xf>
    <xf borderId="0" fillId="17" fontId="51" numFmtId="168" xfId="0" applyAlignment="1" applyFont="1" applyNumberFormat="1">
      <alignment horizontal="center" readingOrder="0"/>
    </xf>
    <xf borderId="25" fillId="0" fontId="10" numFmtId="0" xfId="0" applyAlignment="1" applyBorder="1" applyFont="1">
      <alignment horizontal="center" readingOrder="0"/>
    </xf>
    <xf borderId="25" fillId="11" fontId="52" numFmtId="0" xfId="0" applyAlignment="1" applyBorder="1" applyFont="1">
      <alignment horizontal="center" readingOrder="0"/>
    </xf>
    <xf borderId="25" fillId="11" fontId="10" numFmtId="0" xfId="0" applyAlignment="1" applyBorder="1" applyFont="1">
      <alignment horizontal="center" readingOrder="0"/>
    </xf>
    <xf borderId="25" fillId="0" fontId="10" numFmtId="0" xfId="0" applyAlignment="1" applyBorder="1" applyFont="1">
      <alignment horizontal="center"/>
    </xf>
    <xf borderId="27" fillId="18" fontId="32" numFmtId="0" xfId="0" applyAlignment="1" applyBorder="1" applyFill="1" applyFont="1">
      <alignment horizontal="center" readingOrder="0" vertical="top"/>
    </xf>
    <xf borderId="25" fillId="0" fontId="52" numFmtId="0" xfId="0" applyAlignment="1" applyBorder="1" applyFont="1">
      <alignment horizontal="center" readingOrder="0"/>
    </xf>
    <xf borderId="28" fillId="0" fontId="12" numFmtId="0" xfId="0" applyBorder="1" applyFont="1"/>
    <xf borderId="0" fillId="11" fontId="10" numFmtId="0" xfId="0" applyAlignment="1" applyFont="1">
      <alignment horizontal="center" readingOrder="0"/>
    </xf>
    <xf borderId="29" fillId="0" fontId="12" numFmtId="0" xfId="0" applyBorder="1" applyFont="1"/>
    <xf borderId="0" fillId="5" fontId="10" numFmtId="0" xfId="0" applyAlignment="1" applyFont="1">
      <alignment horizontal="center" readingOrder="0"/>
    </xf>
    <xf borderId="0" fillId="2" fontId="10" numFmtId="0" xfId="0" applyAlignment="1" applyFont="1">
      <alignment horizontal="center" readingOrder="0"/>
    </xf>
    <xf borderId="0" fillId="19" fontId="10" numFmtId="0" xfId="0" applyAlignment="1" applyFill="1" applyFont="1">
      <alignment horizontal="center" readingOrder="0"/>
    </xf>
    <xf borderId="0" fillId="20" fontId="10" numFmtId="0" xfId="0" applyAlignment="1" applyFill="1" applyFont="1">
      <alignment horizontal="center" readingOrder="0"/>
    </xf>
    <xf borderId="0" fillId="13" fontId="10" numFmtId="0" xfId="0" applyAlignment="1" applyFont="1">
      <alignment horizontal="center" readingOrder="0"/>
    </xf>
    <xf borderId="0" fillId="9" fontId="54" numFmtId="0" xfId="0" applyAlignment="1" applyFont="1">
      <alignment horizontal="center" vertical="top"/>
    </xf>
    <xf borderId="25" fillId="9" fontId="54" numFmtId="0" xfId="0" applyAlignment="1" applyBorder="1" applyFont="1">
      <alignment horizontal="center" vertical="top"/>
    </xf>
    <xf borderId="25" fillId="9" fontId="54" numFmtId="0" xfId="0" applyAlignment="1" applyBorder="1" applyFont="1">
      <alignment horizontal="center" readingOrder="0" vertical="top"/>
    </xf>
    <xf borderId="25" fillId="9" fontId="54" numFmtId="0" xfId="0" applyAlignment="1" applyBorder="1" applyFont="1">
      <alignment horizontal="center" vertical="top"/>
    </xf>
    <xf borderId="1" fillId="4" fontId="20" numFmtId="0" xfId="0" applyAlignment="1" applyBorder="1" applyFont="1">
      <alignment horizontal="center" vertical="bottom"/>
    </xf>
    <xf borderId="2" fillId="4" fontId="20" numFmtId="0" xfId="0" applyAlignment="1" applyBorder="1" applyFont="1">
      <alignment horizontal="center" vertical="bottom"/>
    </xf>
    <xf borderId="30" fillId="4" fontId="17" numFmtId="0" xfId="0" applyAlignment="1" applyBorder="1" applyFont="1">
      <alignment vertical="bottom"/>
    </xf>
    <xf borderId="30" fillId="4" fontId="20" numFmtId="0" xfId="0" applyAlignment="1" applyBorder="1" applyFont="1">
      <alignment horizontal="center" vertical="bottom"/>
    </xf>
    <xf borderId="31" fillId="4" fontId="20" numFmtId="0" xfId="0" applyAlignment="1" applyBorder="1" applyFont="1">
      <alignment horizontal="center" vertical="bottom"/>
    </xf>
    <xf borderId="32" fillId="4" fontId="20" numFmtId="0" xfId="0" applyAlignment="1" applyBorder="1" applyFont="1">
      <alignment horizontal="center" vertical="bottom"/>
    </xf>
    <xf borderId="1" fillId="5" fontId="17" numFmtId="0" xfId="0" applyAlignment="1" applyBorder="1" applyFont="1">
      <alignment horizontal="center" vertical="bottom"/>
    </xf>
    <xf borderId="2" fillId="5" fontId="17" numFmtId="0" xfId="0" applyAlignment="1" applyBorder="1" applyFont="1">
      <alignment horizontal="center" vertical="bottom"/>
    </xf>
    <xf borderId="0" fillId="5" fontId="17" numFmtId="0" xfId="0" applyAlignment="1" applyFont="1">
      <alignment horizontal="center" vertical="bottom"/>
    </xf>
    <xf borderId="0" fillId="5" fontId="55" numFmtId="0" xfId="0" applyAlignment="1" applyFont="1">
      <alignment horizontal="center" vertical="bottom"/>
    </xf>
    <xf borderId="0" fillId="5" fontId="17" numFmtId="0" xfId="0" applyAlignment="1" applyFont="1">
      <alignment horizontal="center" shrinkToFit="0" vertical="bottom" wrapText="0"/>
    </xf>
    <xf borderId="1" fillId="6" fontId="17" numFmtId="0" xfId="0" applyAlignment="1" applyBorder="1" applyFont="1">
      <alignment horizontal="center" vertical="bottom"/>
    </xf>
    <xf borderId="2" fillId="6" fontId="17" numFmtId="0" xfId="0" applyAlignment="1" applyBorder="1" applyFont="1">
      <alignment horizontal="center" vertical="bottom"/>
    </xf>
    <xf borderId="0" fillId="6" fontId="17" numFmtId="0" xfId="0" applyAlignment="1" applyFont="1">
      <alignment vertical="bottom"/>
    </xf>
    <xf borderId="0" fillId="6" fontId="17" numFmtId="0" xfId="0" applyAlignment="1" applyFont="1">
      <alignment horizontal="center" vertical="bottom"/>
    </xf>
    <xf borderId="0" fillId="6" fontId="17" numFmtId="0" xfId="0" applyAlignment="1" applyFont="1">
      <alignment horizontal="center" shrinkToFit="0" vertical="bottom" wrapText="0"/>
    </xf>
    <xf borderId="0" fillId="6" fontId="55" numFmtId="0" xfId="0" applyAlignment="1" applyFont="1">
      <alignment horizontal="center" vertical="bottom"/>
    </xf>
    <xf borderId="1" fillId="6" fontId="20" numFmtId="0" xfId="0" applyAlignment="1" applyBorder="1" applyFont="1">
      <alignment horizontal="center" vertical="bottom"/>
    </xf>
    <xf borderId="0" fillId="5" fontId="17" numFmtId="0" xfId="0" applyAlignment="1" applyFont="1">
      <alignment horizontal="center" readingOrder="0" vertical="bottom"/>
    </xf>
    <xf borderId="0" fillId="6" fontId="17" numFmtId="0" xfId="0" applyAlignment="1" applyFont="1">
      <alignment horizontal="center" readingOrder="0" vertical="bottom"/>
    </xf>
    <xf borderId="0" fillId="5" fontId="17" numFmtId="0" xfId="0" applyAlignment="1" applyFont="1">
      <alignment shrinkToFit="0" vertical="bottom" wrapText="0"/>
    </xf>
    <xf borderId="1" fillId="5" fontId="20" numFmtId="0" xfId="0" applyAlignment="1" applyBorder="1" applyFont="1">
      <alignment horizontal="center" vertical="bottom"/>
    </xf>
    <xf borderId="1" fillId="5" fontId="56" numFmtId="0" xfId="0" applyAlignment="1" applyBorder="1" applyFont="1">
      <alignment horizontal="center" vertical="bottom"/>
    </xf>
    <xf borderId="2" fillId="5" fontId="57" numFmtId="0" xfId="0" applyAlignment="1" applyBorder="1" applyFont="1">
      <alignment horizontal="center" vertical="bottom"/>
    </xf>
    <xf borderId="0" fillId="5" fontId="57" numFmtId="0" xfId="0" applyAlignment="1" applyFont="1">
      <alignment horizontal="center" vertical="bottom"/>
    </xf>
    <xf borderId="0" fillId="0" fontId="10" numFmtId="0" xfId="0" applyFont="1"/>
    <xf borderId="0" fillId="0" fontId="17" numFmtId="0" xfId="0" applyAlignment="1" applyFont="1">
      <alignment horizontal="center" shrinkToFit="0" vertical="center" wrapText="0"/>
    </xf>
    <xf borderId="0" fillId="0" fontId="4" numFmtId="0" xfId="0" applyAlignment="1" applyFont="1">
      <alignment horizontal="center" shrinkToFit="0" vertical="center" wrapText="0"/>
    </xf>
    <xf borderId="0" fillId="0" fontId="58" numFmtId="0" xfId="0" applyAlignment="1" applyFont="1">
      <alignment horizontal="center" readingOrder="0" vertical="center"/>
    </xf>
    <xf borderId="0" fillId="0" fontId="59" numFmtId="0" xfId="0" applyAlignment="1" applyFont="1">
      <alignment horizontal="center" readingOrder="0" shrinkToFit="0" vertical="center" wrapText="0"/>
    </xf>
    <xf borderId="0" fillId="0" fontId="60" numFmtId="0" xfId="0" applyAlignment="1" applyFont="1">
      <alignment horizontal="center" readingOrder="0" shrinkToFit="0" vertical="center" wrapText="0"/>
    </xf>
    <xf borderId="0" fillId="0" fontId="44" numFmtId="0" xfId="0" applyAlignment="1" applyFont="1">
      <alignment horizontal="center" readingOrder="0" shrinkToFit="0" vertical="center" wrapText="0"/>
    </xf>
    <xf borderId="0" fillId="0" fontId="61" numFmtId="0" xfId="0" applyAlignment="1" applyFont="1">
      <alignment horizontal="center" readingOrder="0" shrinkToFit="0" vertical="center" wrapText="0"/>
    </xf>
    <xf borderId="0" fillId="0" fontId="17" numFmtId="0" xfId="0" applyAlignment="1" applyFont="1">
      <alignment horizontal="center" vertical="center"/>
    </xf>
    <xf borderId="33" fillId="0" fontId="20" numFmtId="0" xfId="0" applyAlignment="1" applyBorder="1" applyFont="1">
      <alignment horizontal="center" readingOrder="0" shrinkToFit="0" vertical="center" wrapText="0"/>
    </xf>
    <xf borderId="27" fillId="0" fontId="59" numFmtId="0" xfId="0" applyAlignment="1" applyBorder="1" applyFont="1">
      <alignment horizontal="center" readingOrder="0" shrinkToFit="0" vertical="center" wrapText="0"/>
    </xf>
    <xf borderId="22" fillId="7" fontId="62" numFmtId="0" xfId="0" applyAlignment="1" applyBorder="1" applyFont="1">
      <alignment horizontal="center" shrinkToFit="0" vertical="center" wrapText="0"/>
    </xf>
    <xf borderId="22" fillId="7" fontId="62" numFmtId="0" xfId="0" applyAlignment="1" applyBorder="1" applyFont="1">
      <alignment horizontal="center" readingOrder="0" shrinkToFit="0" vertical="center" wrapText="0"/>
    </xf>
    <xf borderId="33" fillId="7" fontId="62" numFmtId="0" xfId="0" applyAlignment="1" applyBorder="1" applyFont="1">
      <alignment horizontal="center" shrinkToFit="0" vertical="center" wrapText="0"/>
    </xf>
    <xf borderId="30" fillId="0" fontId="12" numFmtId="0" xfId="0" applyBorder="1" applyFont="1"/>
    <xf borderId="34" fillId="0" fontId="12" numFmtId="0" xfId="0" applyBorder="1" applyFont="1"/>
    <xf borderId="1" fillId="0" fontId="20" numFmtId="0" xfId="0" applyAlignment="1" applyBorder="1" applyFont="1">
      <alignment horizontal="center" readingOrder="0" shrinkToFit="0" vertical="center" wrapText="0"/>
    </xf>
    <xf borderId="0" fillId="0" fontId="63" numFmtId="0" xfId="0" applyAlignment="1" applyFont="1">
      <alignment horizontal="center" shrinkToFit="0" vertical="center" wrapText="0"/>
    </xf>
    <xf borderId="0" fillId="0" fontId="5" numFmtId="0" xfId="0" applyAlignment="1" applyFont="1">
      <alignment horizontal="center" shrinkToFit="0" vertical="center" wrapText="0"/>
    </xf>
    <xf borderId="22" fillId="0" fontId="64" numFmtId="0" xfId="0" applyAlignment="1" applyBorder="1" applyFont="1">
      <alignment horizontal="center" readingOrder="0" shrinkToFit="0" vertical="center" wrapText="0"/>
    </xf>
    <xf borderId="25" fillId="0" fontId="64" numFmtId="0" xfId="0" applyAlignment="1" applyBorder="1" applyFont="1">
      <alignment horizontal="center" readingOrder="0" shrinkToFit="0" vertical="center" wrapText="0"/>
    </xf>
    <xf borderId="24" fillId="0" fontId="65" numFmtId="0" xfId="0" applyAlignment="1" applyBorder="1" applyFont="1">
      <alignment horizontal="center" readingOrder="0" shrinkToFit="0" vertical="center" wrapText="0"/>
    </xf>
    <xf borderId="23" fillId="0" fontId="64" numFmtId="0" xfId="0" applyAlignment="1" applyBorder="1" applyFont="1">
      <alignment horizontal="center" readingOrder="0" shrinkToFit="0" vertical="center" wrapText="0"/>
    </xf>
    <xf borderId="24" fillId="0" fontId="64" numFmtId="0" xfId="0" applyAlignment="1" applyBorder="1" applyFont="1">
      <alignment horizontal="center" readingOrder="0" shrinkToFit="0" vertical="center" wrapText="0"/>
    </xf>
    <xf borderId="22" fillId="21" fontId="20" numFmtId="0" xfId="0" applyAlignment="1" applyBorder="1" applyFill="1" applyFont="1">
      <alignment horizontal="center" readingOrder="0" shrinkToFit="0" vertical="center" wrapText="0"/>
    </xf>
    <xf borderId="25" fillId="0" fontId="17" numFmtId="0" xfId="0" applyAlignment="1" applyBorder="1" applyFont="1">
      <alignment horizontal="center" readingOrder="0" shrinkToFit="0" vertical="center" wrapText="0"/>
    </xf>
    <xf borderId="22" fillId="22" fontId="20" numFmtId="0" xfId="0" applyAlignment="1" applyBorder="1" applyFill="1" applyFont="1">
      <alignment horizontal="center" readingOrder="0" shrinkToFit="0" vertical="center" wrapText="0"/>
    </xf>
    <xf borderId="35" fillId="0" fontId="20" numFmtId="0" xfId="0" applyAlignment="1" applyBorder="1" applyFont="1">
      <alignment horizontal="center" readingOrder="0" shrinkToFit="0" vertical="center" wrapText="0"/>
    </xf>
    <xf borderId="22" fillId="14" fontId="20" numFmtId="0" xfId="0" applyAlignment="1" applyBorder="1" applyFont="1">
      <alignment horizontal="center" readingOrder="0" shrinkToFit="0" vertical="center" wrapText="0"/>
    </xf>
    <xf borderId="22" fillId="3" fontId="20"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22" fillId="23" fontId="17" numFmtId="0" xfId="0" applyAlignment="1" applyBorder="1" applyFill="1" applyFont="1">
      <alignment horizontal="center" shrinkToFit="0" vertical="center" wrapText="0"/>
    </xf>
    <xf borderId="25" fillId="23" fontId="17" numFmtId="0" xfId="0" applyAlignment="1" applyBorder="1" applyFont="1">
      <alignment horizontal="center" shrinkToFit="0" vertical="center" wrapText="0"/>
    </xf>
    <xf borderId="23" fillId="23" fontId="17" numFmtId="0" xfId="0" applyAlignment="1" applyBorder="1" applyFont="1">
      <alignment horizontal="center" shrinkToFit="0" vertical="center" wrapText="0"/>
    </xf>
    <xf borderId="24" fillId="23" fontId="17" numFmtId="0" xfId="0" applyAlignment="1" applyBorder="1" applyFont="1">
      <alignment horizontal="center" shrinkToFit="0" vertical="center" wrapText="0"/>
    </xf>
    <xf borderId="33" fillId="0" fontId="66" numFmtId="0" xfId="0" applyAlignment="1" applyBorder="1" applyFont="1">
      <alignment horizontal="center" readingOrder="0" shrinkToFit="0" vertical="center" wrapText="0"/>
    </xf>
    <xf borderId="0" fillId="0" fontId="67" numFmtId="0" xfId="0" applyFont="1"/>
    <xf borderId="25" fillId="24" fontId="68" numFmtId="0" xfId="0" applyAlignment="1" applyBorder="1" applyFill="1" applyFont="1">
      <alignment horizontal="center" shrinkToFit="0" vertical="center" wrapText="0"/>
    </xf>
    <xf borderId="22" fillId="24" fontId="68" numFmtId="0" xfId="0" applyAlignment="1" applyBorder="1" applyFont="1">
      <alignment horizontal="center" shrinkToFit="0" vertical="center" wrapText="0"/>
    </xf>
    <xf borderId="35" fillId="24" fontId="68" numFmtId="0" xfId="0" applyAlignment="1" applyBorder="1" applyFont="1">
      <alignment horizontal="center" shrinkToFit="0" vertical="center" wrapText="0"/>
    </xf>
    <xf borderId="21" fillId="0" fontId="12" numFmtId="0" xfId="0" applyBorder="1" applyFont="1"/>
    <xf borderId="36" fillId="0" fontId="12" numFmtId="0" xfId="0" applyBorder="1" applyFont="1"/>
    <xf borderId="21" fillId="24" fontId="68" numFmtId="0" xfId="0" applyAlignment="1" applyBorder="1" applyFont="1">
      <alignment horizontal="center" shrinkToFit="0" vertical="center" wrapText="0"/>
    </xf>
    <xf borderId="36" fillId="24" fontId="68" numFmtId="0" xfId="0" applyAlignment="1" applyBorder="1" applyFont="1">
      <alignment horizontal="center" shrinkToFit="0" vertical="center" wrapText="0"/>
    </xf>
    <xf borderId="0" fillId="24" fontId="68" numFmtId="0" xfId="0" applyAlignment="1" applyFont="1">
      <alignment horizontal="center" shrinkToFit="0" vertical="center" wrapText="0"/>
    </xf>
    <xf borderId="35" fillId="0" fontId="66" numFmtId="0" xfId="0" applyAlignment="1" applyBorder="1" applyFont="1">
      <alignment horizontal="center" shrinkToFit="0" vertical="center" wrapText="0"/>
    </xf>
    <xf borderId="0" fillId="0" fontId="9" numFmtId="1" xfId="0" applyAlignment="1" applyFont="1" applyNumberFormat="1">
      <alignment horizontal="left" readingOrder="0" shrinkToFit="0" vertical="center" wrapText="0"/>
    </xf>
    <xf borderId="0" fillId="0" fontId="17" numFmtId="0" xfId="0" applyAlignment="1" applyFont="1">
      <alignment horizontal="center" shrinkToFit="0" vertical="center" wrapText="1"/>
    </xf>
    <xf borderId="0" fillId="9" fontId="67" numFmtId="0" xfId="0" applyAlignment="1" applyFont="1">
      <alignment horizontal="center" vertical="center"/>
    </xf>
    <xf borderId="37" fillId="9" fontId="69" numFmtId="0" xfId="0" applyAlignment="1" applyBorder="1" applyFont="1">
      <alignment horizontal="center" readingOrder="0" vertical="center"/>
    </xf>
    <xf borderId="38" fillId="0" fontId="12" numFmtId="0" xfId="0" applyBorder="1" applyFont="1"/>
    <xf borderId="39" fillId="0" fontId="12" numFmtId="0" xfId="0" applyBorder="1" applyFont="1"/>
    <xf borderId="0" fillId="9" fontId="69" numFmtId="0" xfId="0" applyAlignment="1" applyFont="1">
      <alignment horizontal="center" readingOrder="0" vertical="center"/>
    </xf>
    <xf borderId="0" fillId="9" fontId="70" numFmtId="0" xfId="0" applyAlignment="1" applyFont="1">
      <alignment horizontal="center" readingOrder="0" vertical="center"/>
    </xf>
    <xf borderId="40" fillId="0" fontId="12" numFmtId="0" xfId="0" applyBorder="1" applyFont="1"/>
    <xf borderId="41" fillId="0" fontId="12" numFmtId="0" xfId="0" applyBorder="1" applyFont="1"/>
    <xf borderId="42" fillId="0" fontId="12" numFmtId="0" xfId="0" applyBorder="1" applyFont="1"/>
    <xf borderId="0" fillId="9" fontId="71" numFmtId="0" xfId="0" applyAlignment="1" applyFont="1">
      <alignment horizontal="center" readingOrder="0" vertical="center"/>
    </xf>
    <xf borderId="0" fillId="9" fontId="72" numFmtId="0" xfId="0" applyAlignment="1" applyFont="1">
      <alignment horizontal="center" readingOrder="0" vertical="center"/>
    </xf>
    <xf borderId="0" fillId="9" fontId="71" numFmtId="0" xfId="0" applyAlignment="1" applyFont="1">
      <alignment horizontal="center" readingOrder="0" shrinkToFit="0" vertical="center" wrapText="1"/>
    </xf>
    <xf borderId="25" fillId="0" fontId="73" numFmtId="0" xfId="0" applyAlignment="1" applyBorder="1" applyFont="1">
      <alignment horizontal="center" readingOrder="0" vertical="center"/>
    </xf>
    <xf borderId="25" fillId="0" fontId="73" numFmtId="0" xfId="0" applyAlignment="1" applyBorder="1" applyFont="1">
      <alignment horizontal="center" readingOrder="0" shrinkToFit="0" vertical="center" wrapText="1"/>
    </xf>
    <xf borderId="22" fillId="0" fontId="15" numFmtId="0" xfId="0" applyAlignment="1" applyBorder="1" applyFont="1">
      <alignment horizontal="center" readingOrder="0" vertical="center"/>
    </xf>
    <xf borderId="0" fillId="0" fontId="15" numFmtId="0" xfId="0" applyAlignment="1" applyFont="1">
      <alignment horizontal="center" readingOrder="0" vertical="center"/>
    </xf>
    <xf borderId="0" fillId="0" fontId="67" numFmtId="0" xfId="0" applyAlignment="1" applyFont="1">
      <alignment horizontal="center" vertical="center"/>
    </xf>
    <xf borderId="25" fillId="0" fontId="15" numFmtId="0" xfId="0" applyAlignment="1" applyBorder="1" applyFont="1">
      <alignment horizontal="center" readingOrder="0" vertical="center"/>
    </xf>
    <xf borderId="22" fillId="0" fontId="74" numFmtId="0" xfId="0" applyAlignment="1" applyBorder="1" applyFont="1">
      <alignment horizontal="center" readingOrder="0" vertical="center"/>
    </xf>
    <xf borderId="43" fillId="0" fontId="12" numFmtId="0" xfId="0" applyBorder="1" applyFont="1"/>
    <xf borderId="44" fillId="0" fontId="74" numFmtId="0" xfId="0" applyAlignment="1" applyBorder="1" applyFont="1">
      <alignment horizontal="center" readingOrder="0" vertical="center"/>
    </xf>
    <xf borderId="45" fillId="0" fontId="74" numFmtId="0" xfId="0" applyAlignment="1" applyBorder="1" applyFont="1">
      <alignment horizontal="center" readingOrder="0" vertical="center"/>
    </xf>
    <xf borderId="24" fillId="0" fontId="74" numFmtId="0" xfId="0" applyAlignment="1" applyBorder="1" applyFont="1">
      <alignment horizontal="center" readingOrder="0" vertical="center"/>
    </xf>
    <xf borderId="22" fillId="0" fontId="15" numFmtId="0" xfId="0" applyAlignment="1" applyBorder="1" applyFont="1">
      <alignment horizontal="center" readingOrder="0" shrinkToFit="0" vertical="center" wrapText="1"/>
    </xf>
    <xf borderId="25" fillId="0" fontId="15" numFmtId="0" xfId="0" applyAlignment="1" applyBorder="1" applyFont="1">
      <alignment horizontal="center" readingOrder="0" shrinkToFit="0" vertical="center" wrapText="1"/>
    </xf>
    <xf borderId="25" fillId="0" fontId="15" numFmtId="174" xfId="0" applyAlignment="1" applyBorder="1" applyFont="1" applyNumberFormat="1">
      <alignment horizontal="center" readingOrder="0" shrinkToFit="0" vertical="center" wrapText="1"/>
    </xf>
    <xf borderId="22" fillId="0" fontId="15" numFmtId="174" xfId="0" applyAlignment="1" applyBorder="1" applyFont="1" applyNumberFormat="1">
      <alignment horizontal="center" readingOrder="0" shrinkToFit="0" vertical="center" wrapText="1"/>
    </xf>
    <xf borderId="22" fillId="0" fontId="73" numFmtId="0" xfId="0" applyAlignment="1" applyBorder="1" applyFont="1">
      <alignment horizontal="left" readingOrder="0" shrinkToFit="0" vertical="center" wrapText="1"/>
    </xf>
    <xf borderId="0" fillId="0" fontId="30" numFmtId="0" xfId="0" applyAlignment="1" applyFont="1">
      <alignment horizontal="center" vertical="center"/>
    </xf>
    <xf borderId="24" fillId="0" fontId="15" numFmtId="0" xfId="0" applyAlignment="1" applyBorder="1" applyFont="1">
      <alignment horizontal="center" readingOrder="0" vertical="center"/>
    </xf>
    <xf borderId="24" fillId="0" fontId="75" numFmtId="0" xfId="0" applyAlignment="1" applyBorder="1" applyFont="1">
      <alignment horizontal="center" readingOrder="0" vertical="center"/>
    </xf>
    <xf borderId="46" fillId="0" fontId="74" numFmtId="0" xfId="0" applyAlignment="1" applyBorder="1" applyFont="1">
      <alignment horizontal="center" readingOrder="0" vertical="center"/>
    </xf>
    <xf borderId="47" fillId="0" fontId="35" numFmtId="0" xfId="0" applyAlignment="1" applyBorder="1" applyFont="1">
      <alignment horizontal="center" vertical="center"/>
    </xf>
    <xf borderId="36" fillId="0" fontId="35" numFmtId="0" xfId="0" applyAlignment="1" applyBorder="1" applyFont="1">
      <alignment horizontal="center" vertical="center"/>
    </xf>
    <xf borderId="0" fillId="0" fontId="75" numFmtId="0" xfId="0" applyAlignment="1" applyFont="1">
      <alignment horizontal="center" vertical="center"/>
    </xf>
    <xf borderId="0" fillId="0" fontId="30" numFmtId="0" xfId="0" applyAlignment="1" applyFont="1">
      <alignment horizontal="center" shrinkToFit="0" vertical="center" wrapText="1"/>
    </xf>
    <xf borderId="0" fillId="0" fontId="76" numFmtId="0" xfId="0" applyAlignment="1" applyFont="1">
      <alignment horizontal="center" readingOrder="0" vertical="bottom"/>
    </xf>
    <xf borderId="0" fillId="0" fontId="17" numFmtId="0" xfId="0" applyAlignment="1" applyFont="1">
      <alignment shrinkToFit="0" vertical="bottom" wrapText="1"/>
    </xf>
    <xf borderId="25" fillId="4" fontId="77" numFmtId="0" xfId="0" applyAlignment="1" applyBorder="1" applyFont="1">
      <alignment horizontal="center" vertical="bottom"/>
    </xf>
    <xf borderId="25" fillId="4" fontId="77" numFmtId="0" xfId="0" applyAlignment="1" applyBorder="1" applyFont="1">
      <alignment horizontal="center" shrinkToFit="0" vertical="bottom" wrapText="1"/>
    </xf>
    <xf borderId="25" fillId="4" fontId="77" numFmtId="49" xfId="0" applyAlignment="1" applyBorder="1" applyFont="1" applyNumberFormat="1">
      <alignment horizontal="center" vertical="bottom"/>
    </xf>
    <xf borderId="27" fillId="0" fontId="78" numFmtId="0" xfId="0" applyAlignment="1" applyBorder="1" applyFont="1">
      <alignment horizontal="center" shrinkToFit="0" vertical="center" wrapText="1"/>
    </xf>
    <xf borderId="25" fillId="21" fontId="64" numFmtId="0" xfId="0" applyAlignment="1" applyBorder="1" applyFont="1">
      <alignment horizontal="center" readingOrder="0" vertical="bottom"/>
    </xf>
    <xf borderId="25" fillId="22" fontId="64" numFmtId="0" xfId="0" applyAlignment="1" applyBorder="1" applyFont="1">
      <alignment horizontal="center" readingOrder="0" vertical="bottom"/>
    </xf>
    <xf borderId="0" fillId="0" fontId="79" numFmtId="0" xfId="0" applyAlignment="1" applyFont="1">
      <alignment shrinkToFit="0" wrapText="1"/>
    </xf>
    <xf borderId="25" fillId="15" fontId="64" numFmtId="0" xfId="0" applyAlignment="1" applyBorder="1" applyFont="1">
      <alignment horizontal="center" readingOrder="0" vertical="bottom"/>
    </xf>
    <xf borderId="25" fillId="5" fontId="64" numFmtId="0" xfId="0" applyAlignment="1" applyBorder="1" applyFont="1">
      <alignment horizontal="center" readingOrder="0" shrinkToFit="0" vertical="bottom" wrapText="1"/>
    </xf>
    <xf borderId="25" fillId="22" fontId="64" numFmtId="49" xfId="0" applyAlignment="1" applyBorder="1" applyFont="1" applyNumberFormat="1">
      <alignment horizontal="center" readingOrder="0" vertical="bottom"/>
    </xf>
    <xf borderId="25" fillId="15" fontId="64" numFmtId="49" xfId="0" applyAlignment="1" applyBorder="1" applyFont="1" applyNumberFormat="1">
      <alignment horizontal="center" readingOrder="0" vertical="bottom"/>
    </xf>
    <xf borderId="25" fillId="3" fontId="64" numFmtId="0" xfId="0" applyAlignment="1" applyBorder="1" applyFont="1">
      <alignment horizontal="center" readingOrder="0" vertical="bottom"/>
    </xf>
    <xf borderId="0" fillId="0" fontId="32" numFmtId="0" xfId="0" applyAlignment="1" applyFont="1">
      <alignment horizontal="center" readingOrder="0"/>
    </xf>
    <xf borderId="25" fillId="3" fontId="64" numFmtId="49" xfId="0" applyAlignment="1" applyBorder="1" applyFont="1" applyNumberFormat="1">
      <alignment horizontal="center" readingOrder="0" vertical="bottom"/>
    </xf>
    <xf borderId="0" fillId="0" fontId="79" numFmtId="0" xfId="0" applyAlignment="1" applyFont="1">
      <alignment readingOrder="0"/>
    </xf>
    <xf borderId="25" fillId="5" fontId="64" numFmtId="0" xfId="0" applyAlignment="1" applyBorder="1" applyFont="1">
      <alignment horizontal="center" shrinkToFit="0" vertical="bottom" wrapText="1"/>
    </xf>
    <xf borderId="25" fillId="0" fontId="10" numFmtId="0" xfId="0" applyBorder="1" applyFont="1"/>
    <xf borderId="25" fillId="5" fontId="64" numFmtId="0" xfId="0" applyAlignment="1" applyBorder="1" applyFont="1">
      <alignment shrinkToFit="0" vertical="bottom" wrapText="1"/>
    </xf>
    <xf borderId="25" fillId="5" fontId="64" numFmtId="0" xfId="0" applyAlignment="1" applyBorder="1" applyFont="1">
      <alignment horizontal="center" vertical="bottom"/>
    </xf>
    <xf borderId="25" fillId="0" fontId="64" numFmtId="49" xfId="0" applyAlignment="1" applyBorder="1" applyFont="1" applyNumberFormat="1">
      <alignment horizontal="center" readingOrder="0" vertical="bottom"/>
    </xf>
    <xf borderId="25" fillId="23" fontId="64" numFmtId="0" xfId="0" applyAlignment="1" applyBorder="1" applyFont="1">
      <alignment vertical="bottom"/>
    </xf>
    <xf borderId="25" fillId="5" fontId="64" numFmtId="0" xfId="0" applyAlignment="1" applyBorder="1" applyFont="1">
      <alignment vertical="bottom"/>
    </xf>
    <xf borderId="25" fillId="23" fontId="64" numFmtId="49" xfId="0" applyAlignment="1" applyBorder="1" applyFont="1" applyNumberFormat="1">
      <alignment vertical="bottom"/>
    </xf>
    <xf borderId="25" fillId="23" fontId="17" numFmtId="0" xfId="0" applyAlignment="1" applyBorder="1" applyFont="1">
      <alignment vertical="bottom"/>
    </xf>
    <xf borderId="25" fillId="23" fontId="17" numFmtId="0" xfId="0" applyAlignment="1" applyBorder="1" applyFont="1">
      <alignment shrinkToFit="0" vertical="bottom" wrapText="1"/>
    </xf>
    <xf borderId="25" fillId="21" fontId="17" numFmtId="0" xfId="0" applyAlignment="1" applyBorder="1" applyFont="1">
      <alignment horizontal="center" readingOrder="0" vertical="bottom"/>
    </xf>
    <xf borderId="25" fillId="23" fontId="17" numFmtId="49" xfId="0" applyAlignment="1" applyBorder="1" applyFont="1" applyNumberFormat="1">
      <alignment vertical="bottom"/>
    </xf>
    <xf borderId="25" fillId="22" fontId="17" numFmtId="0" xfId="0" applyAlignment="1" applyBorder="1" applyFont="1">
      <alignment horizontal="center" readingOrder="0" vertical="bottom"/>
    </xf>
    <xf borderId="25" fillId="3" fontId="64" numFmtId="0" xfId="0" applyAlignment="1" applyBorder="1" applyFont="1">
      <alignment horizontal="center" readingOrder="0" vertical="center"/>
    </xf>
    <xf borderId="25" fillId="15" fontId="17" numFmtId="0" xfId="0" applyAlignment="1" applyBorder="1" applyFont="1">
      <alignment horizontal="center" readingOrder="0" vertical="bottom"/>
    </xf>
    <xf borderId="25" fillId="23" fontId="17" numFmtId="0" xfId="0" applyAlignment="1" applyBorder="1" applyFont="1">
      <alignment horizontal="center" vertical="bottom"/>
    </xf>
    <xf borderId="25" fillId="3" fontId="17" numFmtId="0" xfId="0" applyAlignment="1" applyBorder="1" applyFont="1">
      <alignment horizontal="center" readingOrder="0" vertical="bottom"/>
    </xf>
    <xf borderId="0" fillId="0" fontId="17" numFmtId="0" xfId="0" applyAlignment="1" applyFont="1">
      <alignment horizontal="right" vertical="bottom"/>
    </xf>
    <xf borderId="25" fillId="23" fontId="17" numFmtId="0" xfId="0" applyAlignment="1" applyBorder="1" applyFont="1">
      <alignment horizontal="center" shrinkToFit="0" vertical="bottom" wrapText="1"/>
    </xf>
    <xf borderId="25" fillId="23" fontId="17" numFmtId="49" xfId="0" applyAlignment="1" applyBorder="1" applyFont="1" applyNumberFormat="1">
      <alignment horizontal="center" vertical="bottom"/>
    </xf>
    <xf borderId="0" fillId="0" fontId="60" numFmtId="0" xfId="0" applyAlignment="1" applyFont="1">
      <alignment horizontal="center" readingOrder="0" vertical="bottom"/>
    </xf>
    <xf borderId="25" fillId="4" fontId="20" numFmtId="0" xfId="0" applyAlignment="1" applyBorder="1" applyFont="1">
      <alignment horizontal="center" shrinkToFit="0" wrapText="1"/>
    </xf>
    <xf borderId="25" fillId="4" fontId="80" numFmtId="0" xfId="0" applyAlignment="1" applyBorder="1" applyFont="1">
      <alignment horizontal="center" vertical="bottom"/>
    </xf>
    <xf borderId="25" fillId="4" fontId="80" numFmtId="0" xfId="0" applyAlignment="1" applyBorder="1" applyFont="1">
      <alignment horizontal="center" shrinkToFit="0" vertical="bottom" wrapText="1"/>
    </xf>
    <xf borderId="25" fillId="4" fontId="80" numFmtId="49" xfId="0" applyAlignment="1" applyBorder="1" applyFont="1" applyNumberFormat="1">
      <alignment horizontal="center" readingOrder="0" vertical="bottom"/>
    </xf>
    <xf borderId="0" fillId="0" fontId="60" numFmtId="0" xfId="0" applyAlignment="1" applyFont="1">
      <alignment horizontal="center" vertical="bottom"/>
    </xf>
    <xf borderId="0" fillId="0" fontId="10" numFmtId="49" xfId="0" applyFont="1" applyNumberFormat="1"/>
    <xf borderId="0" fillId="9" fontId="81" numFmtId="0" xfId="0" applyAlignment="1" applyFont="1">
      <alignment horizontal="center" readingOrder="0" shrinkToFit="0" vertical="center" wrapText="1"/>
    </xf>
    <xf borderId="0" fillId="9" fontId="51" numFmtId="0" xfId="0" applyAlignment="1" applyFont="1">
      <alignment horizontal="center" readingOrder="0" vertical="center"/>
    </xf>
    <xf borderId="0" fillId="9" fontId="51" numFmtId="0" xfId="0" applyAlignment="1" applyFont="1">
      <alignment horizontal="center" readingOrder="0" shrinkToFit="0" vertical="center" wrapText="1"/>
    </xf>
    <xf borderId="0" fillId="9" fontId="51" numFmtId="49" xfId="0" applyAlignment="1" applyFont="1" applyNumberFormat="1">
      <alignment horizontal="center" readingOrder="0" vertical="center"/>
    </xf>
    <xf borderId="0" fillId="22" fontId="10" numFmtId="0" xfId="0" applyAlignment="1" applyFont="1">
      <alignment horizontal="center" readingOrder="0" vertical="center"/>
    </xf>
    <xf borderId="0" fillId="22" fontId="32" numFmtId="0" xfId="0" applyAlignment="1" applyFont="1">
      <alignment horizontal="center" readingOrder="0" vertical="center"/>
    </xf>
    <xf borderId="0" fillId="22" fontId="79" numFmtId="49" xfId="0" applyAlignment="1" applyFont="1" applyNumberFormat="1">
      <alignment horizontal="center" readingOrder="0" vertical="center"/>
    </xf>
    <xf borderId="0" fillId="22" fontId="10" numFmtId="0" xfId="0" applyAlignment="1" applyFont="1">
      <alignment horizontal="center" vertical="center"/>
    </xf>
    <xf borderId="0" fillId="22" fontId="10" numFmtId="0" xfId="0" applyAlignment="1" applyFont="1">
      <alignment horizontal="left" readingOrder="0" shrinkToFit="0" vertical="center" wrapText="1"/>
    </xf>
    <xf borderId="0" fillId="0" fontId="10" numFmtId="0" xfId="0" applyAlignment="1" applyFont="1">
      <alignment horizontal="center" readingOrder="0" vertical="center"/>
    </xf>
    <xf borderId="0" fillId="0" fontId="10" numFmtId="49" xfId="0" applyAlignment="1" applyFont="1" applyNumberFormat="1">
      <alignment horizontal="center" vertical="center"/>
    </xf>
    <xf borderId="0" fillId="0" fontId="10" numFmtId="0" xfId="0" applyAlignment="1" applyFont="1">
      <alignment horizontal="left" readingOrder="0" shrinkToFit="0" vertical="center" wrapText="1"/>
    </xf>
    <xf borderId="0" fillId="0" fontId="79"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center" readingOrder="0" vertical="center"/>
    </xf>
    <xf borderId="0" fillId="0" fontId="10" numFmtId="49" xfId="0" applyAlignment="1" applyFont="1" applyNumberFormat="1">
      <alignment horizontal="center" readingOrder="0" vertical="center"/>
    </xf>
    <xf borderId="0" fillId="0" fontId="17" numFmtId="0" xfId="0" applyAlignment="1" applyFont="1">
      <alignment horizontal="left" readingOrder="0" shrinkToFit="0" vertical="center" wrapText="1"/>
    </xf>
    <xf borderId="48" fillId="0" fontId="79" numFmtId="0" xfId="0" applyAlignment="1" applyBorder="1" applyFont="1">
      <alignment horizontal="center" readingOrder="0" shrinkToFit="0" vertical="center" wrapText="1"/>
    </xf>
    <xf borderId="48" fillId="0" fontId="10" numFmtId="0" xfId="0" applyAlignment="1" applyBorder="1" applyFont="1">
      <alignment horizontal="center" readingOrder="0" vertical="center"/>
    </xf>
    <xf borderId="48" fillId="0" fontId="17" numFmtId="0" xfId="0" applyAlignment="1" applyBorder="1" applyFont="1">
      <alignment horizontal="center" readingOrder="0" shrinkToFit="0" vertical="center" wrapText="1"/>
    </xf>
    <xf borderId="48" fillId="0" fontId="17" numFmtId="0" xfId="0" applyAlignment="1" applyBorder="1" applyFont="1">
      <alignment horizontal="center" readingOrder="0" vertical="center"/>
    </xf>
    <xf borderId="48" fillId="0" fontId="10" numFmtId="49" xfId="0" applyAlignment="1" applyBorder="1" applyFont="1" applyNumberFormat="1">
      <alignment horizontal="center" readingOrder="0" vertical="center"/>
    </xf>
    <xf borderId="48" fillId="0" fontId="17" numFmtId="0" xfId="0" applyAlignment="1" applyBorder="1" applyFont="1">
      <alignment horizontal="center" vertical="center"/>
    </xf>
    <xf borderId="48" fillId="0" fontId="17" numFmtId="0" xfId="0" applyAlignment="1" applyBorder="1" applyFont="1">
      <alignment horizontal="left" readingOrder="0" shrinkToFit="0" vertical="center" wrapText="1"/>
    </xf>
    <xf borderId="48" fillId="0" fontId="12" numFmtId="0" xfId="0" applyBorder="1" applyFont="1"/>
    <xf borderId="48" fillId="0" fontId="10" numFmtId="0" xfId="0" applyBorder="1" applyFont="1"/>
    <xf borderId="0" fillId="5" fontId="82" numFmtId="0" xfId="0" applyAlignment="1" applyFont="1">
      <alignment horizontal="center" readingOrder="0"/>
    </xf>
    <xf borderId="0" fillId="0" fontId="10"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0" fillId="5" fontId="10" numFmtId="0" xfId="0" applyAlignment="1" applyFont="1">
      <alignment horizontal="center" readingOrder="0" vertical="center"/>
    </xf>
    <xf borderId="0" fillId="5" fontId="10" numFmtId="49" xfId="0" applyAlignment="1" applyFont="1" applyNumberFormat="1">
      <alignment horizontal="center" vertical="center"/>
    </xf>
    <xf borderId="0" fillId="5" fontId="10" numFmtId="0" xfId="0" applyAlignment="1" applyFont="1">
      <alignment horizontal="center" vertical="center"/>
    </xf>
    <xf borderId="0" fillId="3" fontId="10" numFmtId="0" xfId="0" applyAlignment="1" applyFont="1">
      <alignment horizontal="center" readingOrder="0" shrinkToFit="0" vertical="center" wrapText="1"/>
    </xf>
    <xf borderId="0" fillId="3" fontId="10" numFmtId="0" xfId="0" applyAlignment="1" applyFont="1">
      <alignment horizontal="center" readingOrder="0" vertical="center"/>
    </xf>
    <xf borderId="0" fillId="3" fontId="10" numFmtId="49" xfId="0" applyAlignment="1" applyFont="1" applyNumberFormat="1">
      <alignment horizontal="center" readingOrder="0" vertical="center"/>
    </xf>
    <xf borderId="0" fillId="3" fontId="10" numFmtId="0" xfId="0" applyAlignment="1" applyFont="1">
      <alignment readingOrder="0" shrinkToFit="0" wrapText="1"/>
    </xf>
    <xf borderId="0" fillId="3" fontId="10" numFmtId="0" xfId="0" applyFont="1"/>
    <xf borderId="0" fillId="3" fontId="10" numFmtId="164" xfId="0" applyAlignment="1" applyFont="1" applyNumberFormat="1">
      <alignment horizontal="center" readingOrder="0" vertical="center"/>
    </xf>
    <xf borderId="0" fillId="3" fontId="79" numFmtId="49" xfId="0" applyAlignment="1" applyFont="1" applyNumberFormat="1">
      <alignment horizontal="center" readingOrder="0" vertical="center"/>
    </xf>
    <xf borderId="0" fillId="3" fontId="39" numFmtId="0" xfId="0" applyAlignment="1" applyFont="1">
      <alignment horizontal="left" readingOrder="0" shrinkToFit="0" wrapText="1"/>
    </xf>
    <xf borderId="0" fillId="0" fontId="39" numFmtId="0" xfId="0" applyAlignment="1" applyFont="1">
      <alignment horizontal="left" readingOrder="0" shrinkToFit="0" wrapText="1"/>
    </xf>
    <xf borderId="48" fillId="0" fontId="10" numFmtId="0" xfId="0" applyAlignment="1" applyBorder="1" applyFont="1">
      <alignment horizontal="center" readingOrder="0" shrinkToFit="0" vertical="center" wrapText="1"/>
    </xf>
    <xf borderId="48" fillId="0" fontId="10" numFmtId="49" xfId="0" applyAlignment="1" applyBorder="1" applyFont="1" applyNumberFormat="1">
      <alignment horizontal="center" vertical="center"/>
    </xf>
    <xf borderId="48" fillId="0" fontId="39" numFmtId="0" xfId="0" applyAlignment="1" applyBorder="1" applyFont="1">
      <alignment horizontal="left" readingOrder="0" shrinkToFit="0" wrapText="1"/>
    </xf>
    <xf borderId="0" fillId="0" fontId="10" numFmtId="0" xfId="0" applyAlignment="1" applyFont="1">
      <alignment horizontal="left" readingOrder="0" shrinkToFit="0" wrapText="1"/>
    </xf>
    <xf borderId="0" fillId="5" fontId="10" numFmtId="0" xfId="0" applyFont="1"/>
    <xf borderId="0" fillId="0" fontId="10" numFmtId="0" xfId="0" applyAlignment="1" applyFont="1">
      <alignment horizontal="center" shrinkToFit="0" vertical="center" wrapText="1"/>
    </xf>
    <xf borderId="0" fillId="0" fontId="83" numFmtId="0" xfId="0" applyAlignment="1" applyFont="1">
      <alignment horizontal="left" readingOrder="0" shrinkToFit="0" wrapText="1"/>
    </xf>
    <xf borderId="0" fillId="3" fontId="10" numFmtId="49" xfId="0" applyAlignment="1" applyFont="1" applyNumberFormat="1">
      <alignment horizontal="center" vertical="center"/>
    </xf>
    <xf borderId="0" fillId="3" fontId="10" numFmtId="0" xfId="0" applyAlignment="1" applyFont="1">
      <alignment horizontal="center" vertical="center"/>
    </xf>
    <xf borderId="0" fillId="10" fontId="10" numFmtId="0" xfId="0" applyAlignment="1" applyFont="1">
      <alignment horizontal="center" readingOrder="0" vertical="center"/>
    </xf>
    <xf borderId="48" fillId="0" fontId="10" numFmtId="0" xfId="0" applyAlignment="1" applyBorder="1" applyFont="1">
      <alignment horizontal="center" vertical="center"/>
    </xf>
    <xf borderId="48" fillId="0" fontId="10" numFmtId="0" xfId="0" applyAlignment="1" applyBorder="1" applyFont="1">
      <alignment readingOrder="0" shrinkToFit="0" vertical="center" wrapText="1"/>
    </xf>
    <xf borderId="0" fillId="0" fontId="10" numFmtId="0" xfId="0" applyAlignment="1" applyFont="1">
      <alignment readingOrder="0" shrinkToFit="0" wrapText="1"/>
    </xf>
    <xf borderId="0" fillId="0" fontId="10" numFmtId="0" xfId="0" applyAlignment="1" applyFont="1">
      <alignment horizontal="center" readingOrder="0" shrinkToFit="0" wrapText="1"/>
    </xf>
    <xf borderId="0" fillId="5" fontId="10" numFmtId="0" xfId="0" applyAlignment="1" applyFont="1">
      <alignment horizontal="center" shrinkToFit="0" vertical="center" wrapText="1"/>
    </xf>
    <xf borderId="0" fillId="3" fontId="10" numFmtId="0" xfId="0" applyAlignment="1" applyFont="1">
      <alignment horizontal="left" readingOrder="0" shrinkToFit="0" wrapText="1"/>
    </xf>
    <xf borderId="0" fillId="3" fontId="79" numFmtId="0" xfId="0" applyAlignment="1" applyFont="1">
      <alignment horizontal="center" readingOrder="0" shrinkToFit="0" vertical="center" wrapText="1"/>
    </xf>
    <xf borderId="0" fillId="3" fontId="79" numFmtId="0" xfId="0" applyAlignment="1" applyFont="1">
      <alignment horizontal="center" readingOrder="0" vertical="center"/>
    </xf>
    <xf borderId="0" fillId="0" fontId="79" numFmtId="0" xfId="0" applyAlignment="1" applyFont="1">
      <alignment horizontal="center" readingOrder="0" vertical="center"/>
    </xf>
    <xf borderId="48" fillId="0" fontId="79" numFmtId="0" xfId="0" applyAlignment="1" applyBorder="1" applyFont="1">
      <alignment horizontal="center" readingOrder="0" vertical="center"/>
    </xf>
    <xf borderId="48" fillId="0" fontId="10" numFmtId="0" xfId="0" applyAlignment="1" applyBorder="1" applyFont="1">
      <alignment readingOrder="0" shrinkToFit="0" wrapText="1"/>
    </xf>
    <xf borderId="0" fillId="5" fontId="84" numFmtId="0" xfId="0" applyAlignment="1" applyFont="1">
      <alignment horizontal="center" readingOrder="0" shrinkToFit="0" vertical="center" wrapText="1"/>
    </xf>
    <xf borderId="0" fillId="10" fontId="79" numFmtId="0" xfId="0" applyAlignment="1" applyFont="1">
      <alignment horizontal="center" readingOrder="0" shrinkToFit="0" vertical="center" wrapText="1"/>
    </xf>
    <xf borderId="0" fillId="10" fontId="84" numFmtId="0" xfId="0" applyAlignment="1" applyFont="1">
      <alignment horizontal="center" readingOrder="0" shrinkToFit="0" vertical="center" wrapText="1"/>
    </xf>
    <xf borderId="0" fillId="10" fontId="79" numFmtId="49" xfId="0" applyAlignment="1" applyFont="1" applyNumberFormat="1">
      <alignment horizontal="center" readingOrder="0" vertical="center"/>
    </xf>
    <xf borderId="0" fillId="10" fontId="10" numFmtId="0" xfId="0" applyAlignment="1" applyFont="1">
      <alignment horizontal="center" vertical="center"/>
    </xf>
    <xf borderId="0" fillId="10" fontId="10" numFmtId="0" xfId="0" applyAlignment="1" applyFont="1">
      <alignment readingOrder="0" shrinkToFit="0" vertical="center" wrapText="1"/>
    </xf>
    <xf borderId="0" fillId="10" fontId="10" numFmtId="0" xfId="0" applyAlignment="1" applyFont="1">
      <alignment vertical="center"/>
    </xf>
    <xf borderId="0" fillId="5" fontId="82" numFmtId="0" xfId="0" applyAlignment="1" applyFont="1">
      <alignment horizontal="center" readingOrder="0" shrinkToFit="0" vertical="center" wrapText="1"/>
    </xf>
    <xf borderId="0" fillId="5" fontId="85" numFmtId="0" xfId="0" applyAlignment="1" applyFont="1">
      <alignment horizontal="center" readingOrder="0" shrinkToFit="0" vertical="center" wrapText="1"/>
    </xf>
    <xf borderId="0" fillId="9" fontId="85" numFmtId="0" xfId="0" applyAlignment="1" applyFont="1">
      <alignment horizontal="center" readingOrder="0" shrinkToFit="0" wrapText="1"/>
    </xf>
    <xf borderId="0" fillId="9" fontId="10" numFmtId="0" xfId="0" applyAlignment="1" applyFont="1">
      <alignment shrinkToFit="0" wrapText="1"/>
    </xf>
    <xf borderId="0" fillId="9" fontId="10" numFmtId="0" xfId="0" applyAlignment="1" applyFont="1">
      <alignment horizontal="center"/>
    </xf>
    <xf borderId="0" fillId="9" fontId="10" numFmtId="49" xfId="0" applyFont="1" applyNumberFormat="1"/>
    <xf borderId="0" fillId="9" fontId="82" numFmtId="0" xfId="0" applyAlignment="1" applyFont="1">
      <alignment readingOrder="0"/>
    </xf>
    <xf borderId="0" fillId="9" fontId="10" numFmtId="0" xfId="0" applyAlignment="1" applyFont="1">
      <alignment readingOrder="0" shrinkToFit="0" wrapText="1"/>
    </xf>
    <xf borderId="0" fillId="10" fontId="39" numFmtId="0" xfId="0" applyAlignment="1" applyFont="1">
      <alignment readingOrder="0" shrinkToFit="0" vertical="center" wrapText="1"/>
    </xf>
    <xf borderId="0" fillId="10" fontId="39" numFmtId="0" xfId="0" applyAlignment="1" applyFont="1">
      <alignment readingOrder="0" vertical="center"/>
    </xf>
    <xf borderId="0" fillId="10" fontId="39" numFmtId="0" xfId="0" applyAlignment="1" applyFont="1">
      <alignment horizontal="center" readingOrder="0" vertical="center"/>
    </xf>
    <xf borderId="0" fillId="10" fontId="39" numFmtId="49" xfId="0" applyAlignment="1" applyFont="1" applyNumberFormat="1">
      <alignment horizontal="center" vertical="center"/>
    </xf>
    <xf borderId="0" fillId="10" fontId="39" numFmtId="0" xfId="0" applyAlignment="1" applyFont="1">
      <alignment horizontal="left" readingOrder="0" shrinkToFit="0" vertical="center" wrapText="1"/>
    </xf>
    <xf borderId="0" fillId="10" fontId="39" numFmtId="0" xfId="0" applyFont="1"/>
    <xf borderId="0" fillId="10" fontId="39" numFmtId="0" xfId="0" applyAlignment="1" applyFont="1">
      <alignment horizontal="center" vertical="center"/>
    </xf>
    <xf borderId="0" fillId="10" fontId="10" numFmtId="0" xfId="0" applyAlignment="1" applyFont="1">
      <alignment readingOrder="0" vertical="center"/>
    </xf>
    <xf borderId="0" fillId="10" fontId="10" numFmtId="49" xfId="0" applyAlignment="1" applyFont="1" applyNumberFormat="1">
      <alignment horizontal="center" vertical="center"/>
    </xf>
    <xf borderId="0" fillId="10" fontId="10" numFmtId="0" xfId="0" applyFont="1"/>
    <xf borderId="0" fillId="10" fontId="17" numFmtId="0" xfId="0" applyAlignment="1" applyFont="1">
      <alignment shrinkToFit="0" vertical="center" wrapText="1"/>
    </xf>
    <xf borderId="0" fillId="10" fontId="20" numFmtId="0" xfId="0" applyAlignment="1" applyFont="1">
      <alignment horizontal="center" vertical="center"/>
    </xf>
    <xf borderId="0" fillId="10" fontId="10" numFmtId="49" xfId="0" applyAlignment="1" applyFont="1" applyNumberFormat="1">
      <alignment horizontal="center" readingOrder="0" vertical="center"/>
    </xf>
    <xf borderId="0" fillId="10" fontId="20" numFmtId="164" xfId="0" applyAlignment="1" applyFont="1" applyNumberFormat="1">
      <alignment horizontal="center" readingOrder="0" vertical="center"/>
    </xf>
    <xf borderId="0" fillId="10" fontId="10" numFmtId="0" xfId="0" applyAlignment="1" applyFont="1">
      <alignment shrinkToFit="0" vertical="center" wrapText="1"/>
    </xf>
    <xf borderId="0" fillId="10" fontId="10" numFmtId="164" xfId="0" applyAlignment="1" applyFont="1" applyNumberFormat="1">
      <alignment horizontal="center" readingOrder="0" vertical="center"/>
    </xf>
    <xf borderId="0" fillId="10" fontId="10" numFmtId="49" xfId="0" applyAlignment="1" applyFont="1" applyNumberFormat="1">
      <alignment vertical="center"/>
    </xf>
    <xf borderId="0" fillId="10" fontId="67" numFmtId="0" xfId="0" applyAlignment="1" applyFont="1">
      <alignment horizontal="center" readingOrder="0" vertical="center"/>
    </xf>
    <xf borderId="0" fillId="10" fontId="10" numFmtId="49" xfId="0" applyAlignment="1" applyFont="1" applyNumberFormat="1">
      <alignment readingOrder="0" vertical="center"/>
    </xf>
    <xf borderId="0" fillId="10" fontId="30" numFmtId="0" xfId="0" applyAlignment="1" applyFont="1">
      <alignment readingOrder="0" shrinkToFit="0" vertical="center" wrapText="1"/>
    </xf>
    <xf borderId="0" fillId="10" fontId="30" numFmtId="0" xfId="0" applyAlignment="1" applyFont="1">
      <alignment horizontal="center" readingOrder="0" vertical="center"/>
    </xf>
    <xf borderId="0" fillId="10" fontId="30" numFmtId="0" xfId="0" applyAlignment="1" applyFont="1">
      <alignment horizontal="center" vertical="center"/>
    </xf>
    <xf borderId="0" fillId="10" fontId="39" numFmtId="49" xfId="0" applyAlignment="1" applyFont="1" applyNumberFormat="1">
      <alignment horizontal="center" readingOrder="0" vertical="center"/>
    </xf>
    <xf borderId="0" fillId="10" fontId="10" numFmtId="0" xfId="0" applyAlignment="1" applyFont="1">
      <alignment horizontal="center" readingOrder="0" shrinkToFit="0" vertical="center" wrapText="1"/>
    </xf>
    <xf borderId="0" fillId="10" fontId="10" numFmtId="0" xfId="0" applyAlignment="1" applyFont="1">
      <alignment horizontal="left" readingOrder="0" shrinkToFit="0" wrapText="1"/>
    </xf>
    <xf borderId="0" fillId="10" fontId="10" numFmtId="0" xfId="0" applyAlignment="1" applyFont="1">
      <alignment shrinkToFit="0" wrapText="1"/>
    </xf>
    <xf borderId="0" fillId="10" fontId="10" numFmtId="0" xfId="0" applyAlignment="1" applyFont="1">
      <alignment readingOrder="0" shrinkToFit="0" wrapText="1"/>
    </xf>
    <xf borderId="0" fillId="10" fontId="39" numFmtId="0" xfId="0" applyAlignment="1" applyFont="1">
      <alignment horizontal="center" readingOrder="0" shrinkToFit="0" vertical="center" wrapText="1"/>
    </xf>
    <xf borderId="0" fillId="10" fontId="39" numFmtId="0" xfId="0" applyAlignment="1" applyFont="1">
      <alignment horizontal="left" readingOrder="0" shrinkToFit="0" wrapText="1"/>
    </xf>
    <xf borderId="0" fillId="10" fontId="10" numFmtId="0" xfId="0" applyAlignment="1" applyFont="1">
      <alignment horizontal="left" readingOrder="0" shrinkToFit="0" vertical="center" wrapText="1"/>
    </xf>
    <xf borderId="0" fillId="10" fontId="10" numFmtId="0" xfId="0" applyAlignment="1" applyFont="1">
      <alignment horizontal="center" shrinkToFit="0" vertical="center" wrapText="1"/>
    </xf>
    <xf borderId="0" fillId="10" fontId="83" numFmtId="0" xfId="0" applyAlignment="1" applyFont="1">
      <alignment horizontal="left" readingOrder="0" shrinkToFit="0" wrapText="1"/>
    </xf>
    <xf borderId="0" fillId="10" fontId="17" numFmtId="0" xfId="0" applyAlignment="1" applyFont="1">
      <alignment horizontal="left" readingOrder="0" shrinkToFit="0" vertical="center" wrapText="1"/>
    </xf>
    <xf borderId="0" fillId="10" fontId="17" numFmtId="0" xfId="0" applyAlignment="1" applyFont="1">
      <alignment horizontal="center" readingOrder="0" shrinkToFit="0" vertical="center" wrapText="1"/>
    </xf>
    <xf borderId="0" fillId="10" fontId="17" numFmtId="0" xfId="0" applyAlignment="1" applyFont="1">
      <alignment horizontal="center" readingOrder="0" vertical="center"/>
    </xf>
    <xf borderId="0" fillId="10" fontId="17" numFmtId="0" xfId="0" applyAlignment="1" applyFont="1">
      <alignment horizontal="center" vertical="center"/>
    </xf>
    <xf borderId="0" fillId="10" fontId="17" numFmtId="0" xfId="0" applyAlignment="1" applyFont="1">
      <alignment horizontal="left" readingOrder="0" vertical="center"/>
    </xf>
    <xf borderId="0" fillId="10" fontId="10" numFmtId="0" xfId="0" applyAlignment="1" applyFont="1">
      <alignment horizontal="center" readingOrder="0" shrinkToFit="0" wrapText="1"/>
    </xf>
    <xf borderId="0" fillId="10" fontId="10" numFmtId="0" xfId="0" applyAlignment="1" applyFont="1">
      <alignment horizontal="center" readingOrder="0"/>
    </xf>
    <xf borderId="0" fillId="10" fontId="10" numFmtId="0" xfId="0" applyAlignment="1" applyFont="1">
      <alignment horizontal="center" shrinkToFit="0" wrapText="1"/>
    </xf>
    <xf borderId="0" fillId="10" fontId="10" numFmtId="0" xfId="0" applyAlignment="1" applyFont="1">
      <alignment horizontal="center"/>
    </xf>
    <xf borderId="0" fillId="10" fontId="10" numFmtId="49" xfId="0" applyAlignment="1" applyFont="1" applyNumberFormat="1">
      <alignment horizontal="center"/>
    </xf>
    <xf borderId="0" fillId="10" fontId="10" numFmtId="175" xfId="0" applyAlignment="1" applyFont="1" applyNumberFormat="1">
      <alignment horizontal="center" readingOrder="0" vertical="center"/>
    </xf>
    <xf borderId="0" fillId="10" fontId="79" numFmtId="0" xfId="0" applyAlignment="1" applyFont="1">
      <alignment horizontal="center" readingOrder="0" vertical="center"/>
    </xf>
    <xf borderId="0" fillId="10" fontId="10" numFmtId="176" xfId="0" applyAlignment="1" applyFont="1" applyNumberFormat="1">
      <alignment horizontal="center" readingOrder="0" vertical="center"/>
    </xf>
    <xf borderId="0" fillId="10" fontId="86" numFmtId="0" xfId="0" applyAlignment="1" applyFont="1">
      <alignment horizontal="left" readingOrder="0" shrinkToFit="0" wrapText="1"/>
    </xf>
    <xf borderId="0" fillId="10" fontId="79" numFmtId="0" xfId="0" applyAlignment="1" applyFont="1">
      <alignment readingOrder="0" shrinkToFit="0" vertical="center" wrapText="1"/>
    </xf>
    <xf borderId="0" fillId="10" fontId="79" numFmtId="0" xfId="0" applyAlignment="1" applyFont="1">
      <alignment readingOrder="0" shrinkToFit="0" wrapText="1"/>
    </xf>
    <xf borderId="0" fillId="10" fontId="17" numFmtId="164" xfId="0" applyAlignment="1" applyFont="1" applyNumberFormat="1">
      <alignment horizontal="center" readingOrder="0" vertical="center"/>
    </xf>
    <xf borderId="0" fillId="10" fontId="39" numFmtId="164" xfId="0" applyAlignment="1" applyFont="1" applyNumberFormat="1">
      <alignment horizontal="center" readingOrder="0" shrinkToFit="0" vertical="center" wrapText="1"/>
    </xf>
    <xf borderId="0" fillId="10" fontId="32" numFmtId="0" xfId="0" applyAlignment="1" applyFont="1">
      <alignment horizontal="center" readingOrder="0" vertical="center"/>
    </xf>
    <xf borderId="27" fillId="0" fontId="78" numFmtId="0" xfId="0" applyAlignment="1" applyBorder="1" applyFont="1">
      <alignment horizontal="center" vertical="center"/>
    </xf>
    <xf borderId="25" fillId="21" fontId="64" numFmtId="0" xfId="0" applyAlignment="1" applyBorder="1" applyFont="1">
      <alignment horizontal="center" readingOrder="0" shrinkToFit="0" vertical="bottom" wrapText="1"/>
    </xf>
    <xf borderId="25" fillId="5" fontId="64" numFmtId="0" xfId="0" applyAlignment="1" applyBorder="1" applyFont="1">
      <alignment horizontal="center" readingOrder="0" vertical="bottom"/>
    </xf>
    <xf borderId="25" fillId="22" fontId="64" numFmtId="0" xfId="0" applyAlignment="1" applyBorder="1" applyFont="1">
      <alignment horizontal="center" readingOrder="0" shrinkToFit="0" vertical="bottom" wrapText="1"/>
    </xf>
    <xf borderId="25" fillId="15" fontId="64" numFmtId="0" xfId="0" applyAlignment="1" applyBorder="1" applyFont="1">
      <alignment horizontal="center" readingOrder="0" shrinkToFit="0" vertical="bottom" wrapText="1"/>
    </xf>
    <xf borderId="25" fillId="23" fontId="64" numFmtId="0" xfId="0" applyAlignment="1" applyBorder="1" applyFont="1">
      <alignment horizontal="center" vertical="bottom"/>
    </xf>
    <xf borderId="25" fillId="5" fontId="17" numFmtId="0" xfId="0" applyAlignment="1" applyBorder="1" applyFont="1">
      <alignment vertical="bottom"/>
    </xf>
    <xf borderId="25" fillId="23" fontId="64" numFmtId="0" xfId="0" applyAlignment="1" applyBorder="1" applyFont="1">
      <alignment horizontal="center" readingOrder="0" vertical="bottom"/>
    </xf>
    <xf borderId="25" fillId="5" fontId="17" numFmtId="0" xfId="0" applyAlignment="1" applyBorder="1" applyFont="1">
      <alignment shrinkToFit="0" vertical="bottom" wrapText="1"/>
    </xf>
    <xf borderId="25" fillId="3" fontId="64" numFmtId="0" xfId="0" applyAlignment="1" applyBorder="1" applyFont="1">
      <alignment horizontal="center" readingOrder="0" shrinkToFit="0" vertical="bottom" wrapText="1"/>
    </xf>
    <xf borderId="25" fillId="4" fontId="20" numFmtId="0" xfId="0" applyAlignment="1" applyBorder="1" applyFont="1">
      <alignment horizontal="center"/>
    </xf>
    <xf borderId="25" fillId="4" fontId="80" numFmtId="0" xfId="0" applyAlignment="1" applyBorder="1" applyFont="1">
      <alignment horizontal="center" readingOrder="0" vertical="bottom"/>
    </xf>
    <xf borderId="0" fillId="9" fontId="81" numFmtId="0" xfId="0" applyAlignment="1" applyFont="1">
      <alignment horizontal="center" readingOrder="0" vertical="center"/>
    </xf>
    <xf borderId="0" fillId="13" fontId="10" numFmtId="0" xfId="0" applyAlignment="1" applyFont="1">
      <alignment horizontal="center" readingOrder="0" vertical="center"/>
    </xf>
    <xf borderId="0" fillId="13" fontId="17" numFmtId="0" xfId="0" applyAlignment="1" applyFont="1">
      <alignment horizontal="center" readingOrder="0" shrinkToFit="0" vertical="center" wrapText="1"/>
    </xf>
    <xf borderId="0" fillId="13" fontId="17" numFmtId="0" xfId="0" applyAlignment="1" applyFont="1">
      <alignment horizontal="center" vertical="center"/>
    </xf>
    <xf borderId="0" fillId="13" fontId="17" numFmtId="0" xfId="0" applyAlignment="1" applyFont="1">
      <alignment horizontal="left" readingOrder="0" shrinkToFit="0" vertical="center" wrapText="1"/>
    </xf>
    <xf borderId="0" fillId="13" fontId="10" numFmtId="0" xfId="0" applyAlignment="1" applyFont="1">
      <alignment vertical="center"/>
    </xf>
    <xf borderId="0" fillId="13" fontId="10" numFmtId="0" xfId="0" applyFont="1"/>
    <xf borderId="0" fillId="13" fontId="10" numFmtId="0" xfId="0" applyAlignment="1" applyFont="1">
      <alignment horizontal="center" vertical="center"/>
    </xf>
    <xf borderId="0" fillId="13" fontId="17" numFmtId="166" xfId="0" applyAlignment="1" applyFont="1" applyNumberFormat="1">
      <alignment horizontal="center" readingOrder="0" vertical="center"/>
    </xf>
    <xf borderId="0" fillId="13" fontId="10" numFmtId="0" xfId="0" applyAlignment="1" applyFont="1">
      <alignment readingOrder="0" vertical="center"/>
    </xf>
    <xf borderId="0" fillId="2" fontId="10" numFmtId="0" xfId="0" applyAlignment="1" applyFont="1">
      <alignment horizontal="center" readingOrder="0" vertical="center"/>
    </xf>
    <xf borderId="0" fillId="2" fontId="17"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2" fontId="17" numFmtId="0" xfId="0" applyAlignment="1" applyFont="1">
      <alignment horizontal="center" vertical="center"/>
    </xf>
    <xf borderId="0" fillId="2" fontId="17" numFmtId="0" xfId="0" applyAlignment="1" applyFont="1">
      <alignment horizontal="left" readingOrder="0" shrinkToFit="0" vertical="center" wrapText="1"/>
    </xf>
    <xf borderId="0" fillId="2" fontId="10" numFmtId="0" xfId="0" applyAlignment="1" applyFont="1">
      <alignment vertical="center"/>
    </xf>
    <xf borderId="0" fillId="2" fontId="10" numFmtId="0" xfId="0" applyFont="1"/>
    <xf borderId="0" fillId="22" fontId="17" numFmtId="0" xfId="0" applyAlignment="1" applyFont="1">
      <alignment horizontal="center" readingOrder="0" shrinkToFit="0" vertical="center" wrapText="1"/>
    </xf>
    <xf borderId="0" fillId="22" fontId="17" numFmtId="0" xfId="0" applyAlignment="1" applyFont="1">
      <alignment horizontal="center" vertical="center"/>
    </xf>
    <xf borderId="0" fillId="22" fontId="17" numFmtId="0" xfId="0" applyAlignment="1" applyFont="1">
      <alignment horizontal="left" readingOrder="0" shrinkToFit="0" vertical="center" wrapText="1"/>
    </xf>
    <xf borderId="0" fillId="22" fontId="10" numFmtId="0" xfId="0" applyAlignment="1" applyFont="1">
      <alignment readingOrder="0" vertical="center"/>
    </xf>
    <xf borderId="0" fillId="22" fontId="10" numFmtId="0" xfId="0" applyFont="1"/>
    <xf borderId="0" fillId="5" fontId="17" numFmtId="0" xfId="0" applyAlignment="1" applyFont="1">
      <alignment horizontal="center" readingOrder="0" shrinkToFit="0" vertical="center" wrapText="1"/>
    </xf>
    <xf borderId="0" fillId="5" fontId="17" numFmtId="0" xfId="0" applyAlignment="1" applyFont="1">
      <alignment horizontal="center" vertical="center"/>
    </xf>
    <xf borderId="0" fillId="5" fontId="17" numFmtId="0" xfId="0" applyAlignment="1" applyFont="1">
      <alignment horizontal="left" readingOrder="0" shrinkToFit="0" vertical="center" wrapText="1"/>
    </xf>
    <xf borderId="0" fillId="5" fontId="10" numFmtId="0" xfId="0" applyAlignment="1" applyFont="1">
      <alignment vertical="center"/>
    </xf>
    <xf borderId="0" fillId="15" fontId="10" numFmtId="0" xfId="0" applyAlignment="1" applyFont="1">
      <alignment horizontal="center" readingOrder="0" vertical="center"/>
    </xf>
    <xf borderId="0" fillId="15" fontId="17" numFmtId="0" xfId="0" applyAlignment="1" applyFont="1">
      <alignment horizontal="center" readingOrder="0" shrinkToFit="0" vertical="center" wrapText="1"/>
    </xf>
    <xf borderId="0" fillId="15" fontId="10" numFmtId="0" xfId="0" applyAlignment="1" applyFont="1">
      <alignment horizontal="center" vertical="center"/>
    </xf>
    <xf borderId="0" fillId="15" fontId="17" numFmtId="0" xfId="0" applyAlignment="1" applyFont="1">
      <alignment horizontal="center" vertical="center"/>
    </xf>
    <xf borderId="0" fillId="15" fontId="17" numFmtId="0" xfId="0" applyAlignment="1" applyFont="1">
      <alignment horizontal="left" readingOrder="0" shrinkToFit="0" vertical="center" wrapText="1"/>
    </xf>
    <xf borderId="0" fillId="15" fontId="10" numFmtId="0" xfId="0" applyAlignment="1" applyFont="1">
      <alignment vertical="center"/>
    </xf>
    <xf borderId="0" fillId="15" fontId="10" numFmtId="0" xfId="0" applyFont="1"/>
    <xf borderId="0" fillId="13" fontId="10" numFmtId="167" xfId="0" applyAlignment="1" applyFont="1" applyNumberFormat="1">
      <alignment horizontal="center" readingOrder="0" vertical="center"/>
    </xf>
    <xf borderId="0" fillId="0" fontId="17" numFmtId="0" xfId="0" applyAlignment="1" applyFont="1">
      <alignment readingOrder="0" shrinkToFit="0" wrapText="1"/>
    </xf>
    <xf borderId="0" fillId="25" fontId="10" numFmtId="0" xfId="0" applyAlignment="1" applyFill="1" applyFont="1">
      <alignment horizontal="center" readingOrder="0" vertical="center"/>
    </xf>
    <xf borderId="0" fillId="25" fontId="32" numFmtId="0" xfId="0" applyAlignment="1" applyFont="1">
      <alignment horizontal="center" readingOrder="0" vertical="center"/>
    </xf>
    <xf borderId="0" fillId="25" fontId="17" numFmtId="0" xfId="0" applyAlignment="1" applyFont="1">
      <alignment horizontal="center" readingOrder="0" shrinkToFit="0" vertical="center" wrapText="1"/>
    </xf>
    <xf borderId="0" fillId="25" fontId="17" numFmtId="0" xfId="0" applyAlignment="1" applyFont="1">
      <alignment horizontal="center" vertical="center"/>
    </xf>
    <xf borderId="0" fillId="25" fontId="17" numFmtId="0" xfId="0" applyAlignment="1" applyFont="1">
      <alignment horizontal="left" readingOrder="0" shrinkToFit="0" vertical="center" wrapText="1"/>
    </xf>
    <xf borderId="0" fillId="25" fontId="10" numFmtId="0" xfId="0" applyAlignment="1" applyFont="1">
      <alignment readingOrder="0" vertical="center"/>
    </xf>
    <xf borderId="0" fillId="25" fontId="10" numFmtId="0" xfId="0" applyFont="1"/>
    <xf borderId="0" fillId="10" fontId="64" numFmtId="0" xfId="0" applyAlignment="1" applyFont="1">
      <alignment horizontal="center" readingOrder="0" shrinkToFit="0" vertical="center" wrapText="1"/>
    </xf>
    <xf borderId="0" fillId="25" fontId="10" numFmtId="0" xfId="0" applyAlignment="1" applyFont="1">
      <alignment horizontal="center" vertical="center"/>
    </xf>
    <xf borderId="0" fillId="25" fontId="10" numFmtId="0" xfId="0" applyAlignment="1" applyFont="1">
      <alignment vertical="center"/>
    </xf>
    <xf borderId="0" fillId="15" fontId="32" numFmtId="0" xfId="0" applyAlignment="1" applyFont="1">
      <alignment horizontal="center" readingOrder="0" vertical="center"/>
    </xf>
    <xf borderId="0" fillId="15" fontId="10" numFmtId="0" xfId="0" applyAlignment="1" applyFont="1">
      <alignment readingOrder="0" vertical="center"/>
    </xf>
    <xf borderId="0" fillId="13" fontId="17" numFmtId="167" xfId="0" applyAlignment="1" applyFont="1" applyNumberFormat="1">
      <alignment horizontal="center" readingOrder="0" vertical="center"/>
    </xf>
    <xf borderId="0" fillId="13" fontId="17" numFmtId="0" xfId="0" applyAlignment="1" applyFont="1">
      <alignment readingOrder="0" shrinkToFit="0" wrapText="1"/>
    </xf>
    <xf borderId="0" fillId="13" fontId="10" numFmtId="166" xfId="0" applyAlignment="1" applyFont="1" applyNumberFormat="1">
      <alignment horizontal="center" readingOrder="0" vertical="center"/>
    </xf>
    <xf borderId="0" fillId="25" fontId="10" numFmtId="0" xfId="0" applyAlignment="1" applyFont="1">
      <alignment horizontal="left" readingOrder="0" shrinkToFit="0" vertical="center" wrapText="1"/>
    </xf>
    <xf borderId="0" fillId="2" fontId="10" numFmtId="0" xfId="0" applyAlignment="1" applyFont="1">
      <alignment horizontal="center" vertical="center"/>
    </xf>
    <xf borderId="0" fillId="13" fontId="32" numFmtId="0" xfId="0" applyAlignment="1" applyFont="1">
      <alignment horizontal="center" readingOrder="0" vertical="center"/>
    </xf>
    <xf borderId="0" fillId="2" fontId="32" numFmtId="0" xfId="0" applyAlignment="1" applyFont="1">
      <alignment horizontal="center" readingOrder="0" vertical="center"/>
    </xf>
    <xf borderId="0" fillId="2" fontId="10" numFmtId="166" xfId="0" applyAlignment="1" applyFont="1" applyNumberFormat="1">
      <alignment horizontal="center" readingOrder="0" vertical="center"/>
    </xf>
    <xf borderId="0" fillId="2" fontId="17" numFmtId="166" xfId="0" applyAlignment="1" applyFont="1" applyNumberFormat="1">
      <alignment horizontal="center" readingOrder="0" vertical="center"/>
    </xf>
    <xf borderId="0" fillId="9" fontId="10" numFmtId="0" xfId="0" applyAlignment="1" applyFont="1">
      <alignment horizontal="center" shrinkToFit="0" wrapText="1"/>
    </xf>
    <xf borderId="0" fillId="10" fontId="30" numFmtId="0" xfId="0" applyAlignment="1" applyFont="1">
      <alignment horizontal="center" readingOrder="0" shrinkToFit="0" vertical="center" wrapText="1"/>
    </xf>
    <xf borderId="0" fillId="10" fontId="30" numFmtId="0" xfId="0" applyAlignment="1" applyFont="1">
      <alignment horizontal="left" readingOrder="0" shrinkToFit="0" vertical="center" wrapText="1"/>
    </xf>
    <xf borderId="0" fillId="10" fontId="17" numFmtId="166" xfId="0" applyAlignment="1" applyFont="1" applyNumberFormat="1">
      <alignment horizontal="center" readingOrder="0" vertical="center"/>
    </xf>
    <xf borderId="0" fillId="10" fontId="10" numFmtId="167" xfId="0" applyAlignment="1" applyFont="1" applyNumberFormat="1">
      <alignment horizontal="center" readingOrder="0" vertical="center"/>
    </xf>
    <xf borderId="0" fillId="10" fontId="79" numFmtId="166" xfId="0" applyAlignment="1" applyFont="1" applyNumberFormat="1">
      <alignment horizontal="center" readingOrder="0" vertical="center"/>
    </xf>
    <xf borderId="0" fillId="0" fontId="10" numFmtId="0" xfId="0" applyAlignment="1" applyFont="1">
      <alignment shrinkToFit="0" vertical="center" wrapText="1"/>
    </xf>
    <xf borderId="0" fillId="13" fontId="10" numFmtId="0" xfId="0" applyAlignment="1" applyFont="1">
      <alignment shrinkToFit="0" vertical="center" wrapText="1"/>
    </xf>
    <xf borderId="0" fillId="0" fontId="87" numFmtId="0" xfId="0" applyAlignment="1" applyFont="1">
      <alignment readingOrder="0" shrinkToFit="0" vertical="center" wrapText="1"/>
    </xf>
    <xf borderId="0" fillId="26" fontId="44" numFmtId="0" xfId="0" applyAlignment="1" applyFill="1" applyFont="1">
      <alignment horizontal="center" vertical="center"/>
    </xf>
    <xf borderId="0" fillId="26" fontId="44" numFmtId="0" xfId="0" applyAlignment="1" applyFont="1">
      <alignment horizontal="center" readingOrder="0" vertical="center"/>
    </xf>
    <xf borderId="0" fillId="26" fontId="5" numFmtId="0" xfId="0" applyAlignment="1" applyFont="1">
      <alignment horizontal="center" readingOrder="0" vertical="center"/>
    </xf>
    <xf borderId="0" fillId="26" fontId="44" numFmtId="14" xfId="0" applyAlignment="1" applyFont="1" applyNumberFormat="1">
      <alignment horizontal="center" vertical="center"/>
    </xf>
    <xf borderId="25" fillId="26" fontId="44" numFmtId="0" xfId="0" applyAlignment="1" applyBorder="1" applyFont="1">
      <alignment horizontal="center" vertical="center"/>
    </xf>
    <xf borderId="49" fillId="26" fontId="44" numFmtId="0" xfId="0" applyAlignment="1" applyBorder="1" applyFont="1">
      <alignment horizontal="center" readingOrder="0" vertical="center"/>
    </xf>
    <xf borderId="24" fillId="26" fontId="44" numFmtId="0" xfId="0" applyAlignment="1" applyBorder="1" applyFont="1">
      <alignment horizontal="center" readingOrder="0" vertical="center"/>
    </xf>
    <xf borderId="25" fillId="26" fontId="44" numFmtId="0" xfId="0" applyAlignment="1" applyBorder="1" applyFont="1">
      <alignment horizontal="center" readingOrder="0" vertical="center"/>
    </xf>
    <xf borderId="25" fillId="26" fontId="5" numFmtId="0" xfId="0" applyAlignment="1" applyBorder="1" applyFont="1">
      <alignment horizontal="center" readingOrder="0" vertical="center"/>
    </xf>
    <xf borderId="22" fillId="26" fontId="44" numFmtId="0" xfId="0" applyAlignment="1" applyBorder="1" applyFont="1">
      <alignment horizontal="left" readingOrder="0" vertical="center"/>
    </xf>
    <xf borderId="0" fillId="26" fontId="20" numFmtId="0" xfId="0" applyAlignment="1" applyFont="1">
      <alignment horizontal="center" readingOrder="0" vertical="center"/>
    </xf>
    <xf borderId="25" fillId="26" fontId="20" numFmtId="0" xfId="0" applyAlignment="1" applyBorder="1" applyFont="1">
      <alignment horizontal="center" readingOrder="0" vertical="center"/>
    </xf>
    <xf borderId="25" fillId="26" fontId="20" numFmtId="168" xfId="0" applyAlignment="1" applyBorder="1" applyFont="1" applyNumberFormat="1">
      <alignment horizontal="center" readingOrder="0" vertical="center"/>
    </xf>
    <xf borderId="49" fillId="5" fontId="18" numFmtId="0" xfId="0" applyAlignment="1" applyBorder="1" applyFont="1">
      <alignment horizontal="center" readingOrder="0" vertical="center"/>
    </xf>
    <xf borderId="24" fillId="5" fontId="18" numFmtId="0" xfId="0" applyAlignment="1" applyBorder="1" applyFont="1">
      <alignment horizontal="center" readingOrder="0" vertical="center"/>
    </xf>
    <xf borderId="25" fillId="5" fontId="18" numFmtId="0" xfId="0" applyAlignment="1" applyBorder="1" applyFont="1">
      <alignment horizontal="center" readingOrder="0" vertical="center"/>
    </xf>
    <xf borderId="25" fillId="5" fontId="18" numFmtId="0" xfId="0" applyAlignment="1" applyBorder="1" applyFont="1">
      <alignment horizontal="center" vertical="center"/>
    </xf>
    <xf borderId="25" fillId="23" fontId="4" numFmtId="0" xfId="0" applyAlignment="1" applyBorder="1" applyFont="1">
      <alignment horizontal="center" readingOrder="0" vertical="center"/>
    </xf>
    <xf borderId="25" fillId="23" fontId="17" numFmtId="0" xfId="0" applyAlignment="1" applyBorder="1" applyFont="1">
      <alignment horizontal="center" vertical="center"/>
    </xf>
    <xf borderId="24" fillId="5" fontId="18" numFmtId="0" xfId="0" applyAlignment="1" applyBorder="1" applyFont="1">
      <alignment horizontal="center" vertical="center"/>
    </xf>
    <xf borderId="25" fillId="5" fontId="4" numFmtId="0" xfId="0" applyAlignment="1" applyBorder="1" applyFont="1">
      <alignment horizontal="center" readingOrder="0" vertical="center"/>
    </xf>
    <xf borderId="27" fillId="5" fontId="18" numFmtId="0" xfId="0" applyAlignment="1" applyBorder="1" applyFont="1">
      <alignment horizontal="center" readingOrder="0" vertical="center"/>
    </xf>
    <xf borderId="27" fillId="5" fontId="18" numFmtId="0" xfId="0" applyAlignment="1" applyBorder="1" applyFont="1">
      <alignment horizontal="center" vertical="center"/>
    </xf>
    <xf borderId="4" fillId="0" fontId="18" numFmtId="0" xfId="0" applyAlignment="1" applyBorder="1" applyFont="1">
      <alignment horizontal="center" readingOrder="0" shrinkToFit="0" vertical="center" wrapText="1"/>
    </xf>
    <xf borderId="4" fillId="5" fontId="18" numFmtId="0" xfId="0" applyAlignment="1" applyBorder="1" applyFont="1">
      <alignment horizontal="center" readingOrder="0" shrinkToFit="0" vertical="center" wrapText="1"/>
    </xf>
    <xf borderId="34" fillId="5" fontId="18" numFmtId="0" xfId="0" applyAlignment="1" applyBorder="1" applyFont="1">
      <alignment horizontal="center" vertical="center"/>
    </xf>
    <xf borderId="24" fillId="26" fontId="20" numFmtId="168" xfId="0" applyAlignment="1" applyBorder="1" applyFont="1" applyNumberFormat="1">
      <alignment horizontal="center" readingOrder="0" vertical="center"/>
    </xf>
    <xf borderId="25" fillId="23" fontId="17" numFmtId="0" xfId="0" applyAlignment="1" applyBorder="1" applyFont="1">
      <alignment horizontal="center" readingOrder="0" vertical="center"/>
    </xf>
    <xf borderId="50" fillId="0" fontId="12" numFmtId="0" xfId="0" applyBorder="1" applyFont="1"/>
    <xf borderId="34" fillId="5" fontId="9" numFmtId="0" xfId="0" applyAlignment="1" applyBorder="1" applyFont="1">
      <alignment horizontal="center" readingOrder="0" vertical="center"/>
    </xf>
    <xf borderId="9" fillId="0" fontId="12" numFmtId="0" xfId="0" applyBorder="1" applyFont="1"/>
    <xf borderId="23" fillId="5" fontId="18" numFmtId="0" xfId="0" applyAlignment="1" applyBorder="1" applyFont="1">
      <alignment horizontal="center" readingOrder="0" vertical="center"/>
    </xf>
    <xf borderId="51" fillId="5" fontId="88" numFmtId="0" xfId="0" applyAlignment="1" applyBorder="1" applyFont="1">
      <alignment horizontal="center" readingOrder="0" shrinkToFit="0" vertical="center" wrapText="1"/>
    </xf>
    <xf borderId="52" fillId="5" fontId="88" numFmtId="0" xfId="0" applyAlignment="1" applyBorder="1" applyFont="1">
      <alignment horizontal="center" readingOrder="0" shrinkToFit="0" vertical="center" wrapText="1"/>
    </xf>
    <xf borderId="2" fillId="5" fontId="18" numFmtId="0" xfId="0" applyAlignment="1" applyBorder="1" applyFont="1">
      <alignment horizontal="center" shrinkToFit="0" vertical="center" wrapText="1"/>
    </xf>
    <xf borderId="49" fillId="17" fontId="89" numFmtId="0" xfId="0" applyAlignment="1" applyBorder="1" applyFont="1">
      <alignment horizontal="center" readingOrder="0" vertical="center"/>
    </xf>
    <xf borderId="53" fillId="5" fontId="18" numFmtId="0" xfId="0" applyAlignment="1" applyBorder="1" applyFont="1">
      <alignment horizontal="center" readingOrder="0" shrinkToFit="0" vertical="center" wrapText="1"/>
    </xf>
    <xf borderId="49" fillId="17" fontId="89" numFmtId="0" xfId="0" applyAlignment="1" applyBorder="1" applyFont="1">
      <alignment horizontal="center" readingOrder="0" shrinkToFit="0" vertical="center" wrapText="1"/>
    </xf>
    <xf borderId="25" fillId="23" fontId="90" numFmtId="0" xfId="0" applyAlignment="1" applyBorder="1" applyFont="1">
      <alignment horizontal="center" vertical="center"/>
    </xf>
    <xf borderId="50" fillId="5" fontId="18" numFmtId="0" xfId="0" applyAlignment="1" applyBorder="1" applyFont="1">
      <alignment horizontal="center" readingOrder="0" shrinkToFit="0" vertical="center" wrapText="1"/>
    </xf>
    <xf borderId="2" fillId="5" fontId="18" numFmtId="0" xfId="0" applyAlignment="1" applyBorder="1" applyFont="1">
      <alignment horizontal="center" readingOrder="0" shrinkToFit="0" vertical="center" wrapText="1"/>
    </xf>
    <xf borderId="54" fillId="5" fontId="18" numFmtId="0" xfId="0" applyAlignment="1" applyBorder="1" applyFont="1">
      <alignment horizontal="center" readingOrder="0" vertical="center"/>
    </xf>
    <xf borderId="55" fillId="0" fontId="12" numFmtId="0" xfId="0" applyBorder="1" applyFont="1"/>
    <xf borderId="56" fillId="0" fontId="12" numFmtId="0" xfId="0" applyBorder="1" applyFont="1"/>
    <xf borderId="49" fillId="5" fontId="18" numFmtId="168" xfId="0" applyAlignment="1" applyBorder="1" applyFont="1" applyNumberFormat="1">
      <alignment horizontal="center" vertical="center"/>
    </xf>
    <xf borderId="36" fillId="5" fontId="18" numFmtId="0" xfId="0" applyAlignment="1" applyBorder="1" applyFont="1">
      <alignment horizontal="center" shrinkToFit="0" vertical="center" wrapText="1"/>
    </xf>
    <xf borderId="25" fillId="2" fontId="18" numFmtId="0" xfId="0" applyAlignment="1" applyBorder="1" applyFont="1">
      <alignment horizontal="center" readingOrder="0" vertical="center"/>
    </xf>
    <xf borderId="35" fillId="2" fontId="18" numFmtId="0" xfId="0" applyAlignment="1" applyBorder="1" applyFont="1">
      <alignment horizontal="center" readingOrder="0" shrinkToFit="0" vertical="center" wrapText="1"/>
    </xf>
    <xf borderId="29" fillId="5" fontId="18" numFmtId="0" xfId="0" applyAlignment="1" applyBorder="1" applyFont="1">
      <alignment horizontal="center" shrinkToFit="0" vertical="center" wrapText="1"/>
    </xf>
    <xf borderId="25" fillId="5" fontId="18" numFmtId="0" xfId="0" applyAlignment="1" applyBorder="1" applyFont="1">
      <alignment horizontal="center" shrinkToFit="0" vertical="center" wrapText="1"/>
    </xf>
    <xf borderId="27" fillId="5" fontId="18"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36" fillId="2" fontId="18" numFmtId="0" xfId="0" applyAlignment="1" applyBorder="1" applyFont="1">
      <alignment horizontal="center" readingOrder="0" shrinkToFit="0" vertical="center" wrapText="1"/>
    </xf>
    <xf borderId="57" fillId="5" fontId="18" numFmtId="0" xfId="0" applyAlignment="1" applyBorder="1" applyFont="1">
      <alignment horizontal="center" readingOrder="0" shrinkToFit="0" vertical="center" wrapText="1"/>
    </xf>
    <xf borderId="24" fillId="2" fontId="18" numFmtId="0" xfId="0" applyAlignment="1" applyBorder="1" applyFont="1">
      <alignment horizontal="center" readingOrder="0" shrinkToFit="0" vertical="center" wrapText="1"/>
    </xf>
    <xf borderId="58" fillId="0" fontId="12" numFmtId="0" xfId="0" applyBorder="1" applyFont="1"/>
    <xf borderId="59" fillId="0" fontId="12" numFmtId="0" xfId="0" applyBorder="1" applyFont="1"/>
    <xf borderId="25" fillId="5" fontId="18" numFmtId="0" xfId="0" applyAlignment="1" applyBorder="1" applyFont="1">
      <alignment horizontal="center" readingOrder="0" shrinkToFit="0" vertical="center" wrapText="1"/>
    </xf>
    <xf borderId="25" fillId="5" fontId="17" numFmtId="0" xfId="0" applyAlignment="1" applyBorder="1" applyFont="1">
      <alignment horizontal="center" vertical="center"/>
    </xf>
    <xf borderId="60" fillId="5" fontId="18" numFmtId="0" xfId="0" applyAlignment="1" applyBorder="1" applyFont="1">
      <alignment horizontal="center" readingOrder="0" shrinkToFit="0" vertical="center" wrapText="1"/>
    </xf>
    <xf borderId="61" fillId="0" fontId="12" numFmtId="0" xfId="0" applyBorder="1" applyFont="1"/>
    <xf borderId="2" fillId="2" fontId="18" numFmtId="0" xfId="0" applyAlignment="1" applyBorder="1" applyFont="1">
      <alignment horizontal="center" readingOrder="0" shrinkToFit="0" vertical="center" wrapText="1"/>
    </xf>
    <xf borderId="34" fillId="2" fontId="18" numFmtId="0" xfId="0" applyAlignment="1" applyBorder="1" applyFont="1">
      <alignment horizontal="center" vertical="center"/>
    </xf>
    <xf borderId="34" fillId="5" fontId="18" numFmtId="0" xfId="0" applyAlignment="1" applyBorder="1" applyFont="1">
      <alignment horizontal="center" shrinkToFit="0" vertical="center" wrapText="1"/>
    </xf>
    <xf borderId="34" fillId="0" fontId="18" numFmtId="0" xfId="0" applyAlignment="1" applyBorder="1" applyFont="1">
      <alignment horizontal="center" vertical="center"/>
    </xf>
    <xf borderId="51" fillId="0" fontId="12" numFmtId="0" xfId="0" applyBorder="1" applyFont="1"/>
    <xf borderId="56" fillId="17" fontId="89" numFmtId="0" xfId="0" applyAlignment="1" applyBorder="1" applyFont="1">
      <alignment horizontal="center" readingOrder="0" shrinkToFit="0" vertical="center" wrapText="1"/>
    </xf>
    <xf borderId="30" fillId="5" fontId="18" numFmtId="0" xfId="0" applyAlignment="1" applyBorder="1" applyFont="1">
      <alignment horizontal="center" readingOrder="0" vertical="center"/>
    </xf>
    <xf borderId="3" fillId="5" fontId="18" numFmtId="0" xfId="0" applyAlignment="1" applyBorder="1" applyFont="1">
      <alignment horizontal="center" readingOrder="0" shrinkToFit="0" vertical="center" wrapText="1"/>
    </xf>
    <xf borderId="54" fillId="17" fontId="89" numFmtId="0" xfId="0" applyAlignment="1" applyBorder="1" applyFont="1">
      <alignment horizontal="center" readingOrder="0" shrinkToFit="0" vertical="center" wrapText="1"/>
    </xf>
    <xf borderId="62" fillId="0" fontId="12" numFmtId="0" xfId="0" applyBorder="1" applyFont="1"/>
    <xf borderId="63" fillId="0" fontId="12" numFmtId="0" xfId="0" applyBorder="1" applyFont="1"/>
    <xf borderId="28" fillId="5" fontId="18" numFmtId="0" xfId="0" applyAlignment="1" applyBorder="1" applyFont="1">
      <alignment horizontal="center" readingOrder="0" shrinkToFit="0" vertical="center" wrapText="1"/>
    </xf>
    <xf borderId="35" fillId="5" fontId="18" numFmtId="0" xfId="0" applyAlignment="1" applyBorder="1" applyFont="1">
      <alignment horizontal="center" shrinkToFit="0" vertical="center" wrapText="1"/>
    </xf>
    <xf borderId="24" fillId="5" fontId="18" numFmtId="0" xfId="0" applyAlignment="1" applyBorder="1" applyFont="1">
      <alignment horizontal="center" shrinkToFit="0" vertical="center" wrapText="1"/>
    </xf>
    <xf borderId="28" fillId="5" fontId="18" numFmtId="0" xfId="0" applyAlignment="1" applyBorder="1" applyFont="1">
      <alignment horizontal="center" shrinkToFit="0" vertical="center" wrapText="1"/>
    </xf>
    <xf borderId="54" fillId="0" fontId="18" numFmtId="0" xfId="0" applyAlignment="1" applyBorder="1" applyFont="1">
      <alignment horizontal="center" readingOrder="0" vertical="center"/>
    </xf>
    <xf borderId="4" fillId="20" fontId="88" numFmtId="0" xfId="0" applyAlignment="1" applyBorder="1" applyFont="1">
      <alignment horizontal="center" readingOrder="0" vertical="center"/>
    </xf>
    <xf borderId="32" fillId="0" fontId="12" numFmtId="0" xfId="0" applyBorder="1" applyFont="1"/>
    <xf borderId="23" fillId="2" fontId="18" numFmtId="0" xfId="0" applyAlignment="1" applyBorder="1" applyFont="1">
      <alignment horizontal="center" readingOrder="0" vertical="center"/>
    </xf>
    <xf borderId="34" fillId="20" fontId="88" numFmtId="0" xfId="0" applyAlignment="1" applyBorder="1" applyFont="1">
      <alignment horizontal="center" readingOrder="0" vertical="center"/>
    </xf>
    <xf borderId="64" fillId="5" fontId="18" numFmtId="0" xfId="0" applyAlignment="1" applyBorder="1" applyFont="1">
      <alignment horizontal="center" readingOrder="0" shrinkToFit="0" vertical="center" wrapText="1"/>
    </xf>
    <xf borderId="28" fillId="5" fontId="18" numFmtId="0" xfId="0" applyAlignment="1" applyBorder="1" applyFont="1">
      <alignment horizontal="center" vertical="center"/>
    </xf>
    <xf borderId="24" fillId="2" fontId="18" numFmtId="0" xfId="0" applyAlignment="1" applyBorder="1" applyFont="1">
      <alignment horizontal="center" readingOrder="0" vertical="center"/>
    </xf>
    <xf borderId="29" fillId="5" fontId="18" numFmtId="0" xfId="0" applyAlignment="1" applyBorder="1" applyFont="1">
      <alignment horizontal="center" readingOrder="0" vertical="center"/>
    </xf>
    <xf borderId="24" fillId="5" fontId="18" numFmtId="168" xfId="0" applyAlignment="1" applyBorder="1" applyFont="1" applyNumberFormat="1">
      <alignment horizontal="center" vertical="center"/>
    </xf>
    <xf borderId="25" fillId="5" fontId="18" numFmtId="168" xfId="0" applyAlignment="1" applyBorder="1" applyFont="1" applyNumberFormat="1">
      <alignment horizontal="center" vertical="center"/>
    </xf>
    <xf borderId="27" fillId="5" fontId="18" numFmtId="168" xfId="0" applyAlignment="1" applyBorder="1" applyFont="1" applyNumberFormat="1">
      <alignment horizontal="center" vertical="center"/>
    </xf>
    <xf borderId="61" fillId="0" fontId="17" numFmtId="0" xfId="0" applyAlignment="1" applyBorder="1" applyFont="1">
      <alignment horizontal="center" vertical="center"/>
    </xf>
    <xf borderId="0" fillId="0" fontId="4" numFmtId="0" xfId="0" applyAlignment="1" applyFont="1">
      <alignment horizontal="center" vertical="center"/>
    </xf>
    <xf borderId="25" fillId="18" fontId="32" numFmtId="0" xfId="0" applyAlignment="1" applyBorder="1" applyFont="1">
      <alignment horizontal="center" readingOrder="0"/>
    </xf>
    <xf borderId="25" fillId="0" fontId="10" numFmtId="168" xfId="0" applyAlignment="1" applyBorder="1" applyFont="1" applyNumberFormat="1">
      <alignment horizontal="center" readingOrder="0"/>
    </xf>
    <xf borderId="25" fillId="0" fontId="10" numFmtId="177" xfId="0" applyAlignment="1" applyBorder="1" applyFont="1" applyNumberFormat="1">
      <alignment horizontal="center" readingOrder="0"/>
    </xf>
    <xf borderId="0" fillId="0" fontId="36" numFmtId="0" xfId="0" applyAlignment="1" applyFont="1">
      <alignment horizontal="center" readingOrder="0"/>
    </xf>
    <xf borderId="0" fillId="0" fontId="91" numFmtId="0" xfId="0" applyAlignment="1" applyFont="1">
      <alignment horizontal="center"/>
    </xf>
    <xf borderId="0" fillId="0" fontId="91" numFmtId="177" xfId="0" applyAlignment="1" applyFont="1" applyNumberFormat="1">
      <alignment horizontal="center"/>
    </xf>
    <xf borderId="0" fillId="26" fontId="44" numFmtId="14" xfId="0" applyAlignment="1" applyFont="1" applyNumberFormat="1">
      <alignment horizontal="center"/>
    </xf>
    <xf borderId="25" fillId="26" fontId="44" numFmtId="0" xfId="0" applyAlignment="1" applyBorder="1" applyFont="1">
      <alignment horizontal="center"/>
    </xf>
    <xf borderId="22" fillId="26" fontId="44" numFmtId="0" xfId="0" applyAlignment="1" applyBorder="1" applyFont="1">
      <alignment horizontal="center" readingOrder="0"/>
    </xf>
    <xf borderId="22" fillId="26" fontId="44" numFmtId="0" xfId="0" applyAlignment="1" applyBorder="1" applyFont="1">
      <alignment horizontal="center"/>
    </xf>
    <xf borderId="0" fillId="26" fontId="20" numFmtId="0" xfId="0" applyAlignment="1" applyFont="1">
      <alignment horizontal="center" readingOrder="0" vertical="bottom"/>
    </xf>
    <xf borderId="25" fillId="26" fontId="20" numFmtId="0" xfId="0" applyAlignment="1" applyBorder="1" applyFont="1">
      <alignment horizontal="center" readingOrder="0" vertical="bottom"/>
    </xf>
    <xf borderId="25" fillId="26" fontId="20" numFmtId="168" xfId="0" applyAlignment="1" applyBorder="1" applyFont="1" applyNumberFormat="1">
      <alignment horizontal="center" readingOrder="0" vertical="bottom"/>
    </xf>
    <xf borderId="22" fillId="5" fontId="17" numFmtId="0" xfId="0" applyAlignment="1" applyBorder="1" applyFont="1">
      <alignment readingOrder="0" vertical="bottom"/>
    </xf>
    <xf borderId="22" fillId="5" fontId="17" numFmtId="0" xfId="0" applyAlignment="1" applyBorder="1" applyFont="1">
      <alignment horizontal="center" readingOrder="0" vertical="bottom"/>
    </xf>
    <xf borderId="22" fillId="5" fontId="17" numFmtId="0" xfId="0" applyAlignment="1" applyBorder="1" applyFont="1">
      <alignment horizontal="center" vertical="bottom"/>
    </xf>
    <xf borderId="22" fillId="5" fontId="17" numFmtId="0" xfId="0" applyAlignment="1" applyBorder="1" applyFont="1">
      <alignment vertical="bottom"/>
    </xf>
    <xf borderId="25" fillId="26" fontId="20" numFmtId="168" xfId="0" applyAlignment="1" applyBorder="1" applyFont="1" applyNumberFormat="1">
      <alignment horizontal="center" vertical="bottom"/>
    </xf>
    <xf borderId="22" fillId="5" fontId="17" numFmtId="168" xfId="0" applyAlignment="1" applyBorder="1" applyFont="1" applyNumberFormat="1">
      <alignment vertical="bottom"/>
    </xf>
    <xf borderId="22" fillId="5" fontId="10" numFmtId="0" xfId="0" applyAlignment="1" applyBorder="1" applyFont="1">
      <alignment readingOrder="0"/>
    </xf>
    <xf borderId="25" fillId="23" fontId="17" numFmtId="0" xfId="0" applyAlignment="1" applyBorder="1" applyFont="1">
      <alignment readingOrder="0" vertical="bottom"/>
    </xf>
    <xf borderId="22" fillId="5" fontId="17" numFmtId="0" xfId="0" applyAlignment="1" applyBorder="1" applyFont="1">
      <alignment horizontal="center" readingOrder="0" shrinkToFit="0" vertical="bottom" wrapText="1"/>
    </xf>
    <xf borderId="22" fillId="5" fontId="10" numFmtId="0" xfId="0" applyBorder="1" applyFont="1"/>
    <xf borderId="22" fillId="5" fontId="20" numFmtId="0" xfId="0" applyAlignment="1" applyBorder="1" applyFont="1">
      <alignment readingOrder="0" vertical="bottom"/>
    </xf>
    <xf borderId="22" fillId="12" fontId="17" numFmtId="0" xfId="0" applyAlignment="1" applyBorder="1" applyFont="1">
      <alignment readingOrder="0" vertical="bottom"/>
    </xf>
    <xf borderId="22" fillId="12" fontId="17" numFmtId="0" xfId="0" applyAlignment="1" applyBorder="1" applyFont="1">
      <alignment horizontal="center" vertical="bottom"/>
    </xf>
    <xf borderId="22" fillId="12" fontId="17" numFmtId="0" xfId="0" applyAlignment="1" applyBorder="1" applyFont="1">
      <alignment vertical="bottom"/>
    </xf>
    <xf borderId="25" fillId="12" fontId="17" numFmtId="0" xfId="0" applyAlignment="1" applyBorder="1" applyFont="1">
      <alignment vertical="bottom"/>
    </xf>
    <xf borderId="22" fillId="12" fontId="17" numFmtId="168" xfId="0" applyAlignment="1" applyBorder="1" applyFont="1" applyNumberFormat="1">
      <alignment vertical="bottom"/>
    </xf>
    <xf borderId="22" fillId="12" fontId="10" numFmtId="0" xfId="0" applyBorder="1" applyFont="1"/>
    <xf borderId="22" fillId="12" fontId="17" numFmtId="0" xfId="0" applyAlignment="1" applyBorder="1" applyFont="1">
      <alignment horizontal="center" readingOrder="0" vertical="bottom"/>
    </xf>
    <xf borderId="22" fillId="5" fontId="10" numFmtId="0" xfId="0" applyAlignment="1" applyBorder="1" applyFont="1">
      <alignment horizontal="center" readingOrder="0"/>
    </xf>
    <xf borderId="25" fillId="5" fontId="17" numFmtId="0" xfId="0" applyAlignment="1" applyBorder="1" applyFont="1">
      <alignment readingOrder="0" vertical="bottom"/>
    </xf>
    <xf borderId="25" fillId="5" fontId="17" numFmtId="0" xfId="0" applyAlignment="1" applyBorder="1" applyFont="1">
      <alignment horizontal="center" readingOrder="0" vertical="bottom"/>
    </xf>
    <xf borderId="22" fillId="5" fontId="92" numFmtId="0" xfId="0" applyAlignment="1" applyBorder="1" applyFont="1">
      <alignment readingOrder="0" vertical="bottom"/>
    </xf>
    <xf borderId="25" fillId="5" fontId="30" numFmtId="0" xfId="0" applyAlignment="1" applyBorder="1" applyFont="1">
      <alignment readingOrder="0" vertical="bottom"/>
    </xf>
    <xf borderId="22" fillId="23" fontId="17" numFmtId="168" xfId="0" applyAlignment="1" applyBorder="1" applyFont="1" applyNumberFormat="1">
      <alignment vertical="bottom"/>
    </xf>
    <xf borderId="22" fillId="23" fontId="10" numFmtId="0" xfId="0" applyBorder="1" applyFont="1"/>
    <xf borderId="25" fillId="5" fontId="30" numFmtId="0" xfId="0" applyAlignment="1" applyBorder="1" applyFont="1">
      <alignment horizontal="center" readingOrder="0" vertical="bottom"/>
    </xf>
    <xf borderId="22" fillId="0" fontId="10" numFmtId="0" xfId="0" applyAlignment="1" applyBorder="1" applyFont="1">
      <alignment readingOrder="0"/>
    </xf>
    <xf borderId="22" fillId="5" fontId="93" numFmtId="0" xfId="0" applyAlignment="1" applyBorder="1" applyFont="1">
      <alignment horizontal="center" readingOrder="0" shrinkToFit="0" vertical="bottom" wrapText="1"/>
    </xf>
    <xf borderId="25" fillId="12" fontId="17" numFmtId="0" xfId="0" applyAlignment="1" applyBorder="1" applyFont="1">
      <alignment horizontal="center" readingOrder="0" vertical="bottom"/>
    </xf>
    <xf borderId="25" fillId="12" fontId="17" numFmtId="0" xfId="0" applyAlignment="1" applyBorder="1" applyFont="1">
      <alignment readingOrder="0" vertical="bottom"/>
    </xf>
    <xf borderId="22" fillId="27" fontId="17" numFmtId="0" xfId="0" applyAlignment="1" applyBorder="1" applyFill="1" applyFont="1">
      <alignment readingOrder="0" vertical="bottom"/>
    </xf>
    <xf borderId="22" fillId="27" fontId="17" numFmtId="0" xfId="0" applyAlignment="1" applyBorder="1" applyFont="1">
      <alignment readingOrder="0" shrinkToFit="0" vertical="bottom" wrapText="1"/>
    </xf>
    <xf borderId="22" fillId="23" fontId="94" numFmtId="0" xfId="0" applyAlignment="1" applyBorder="1" applyFont="1">
      <alignment readingOrder="0" vertical="bottom"/>
    </xf>
    <xf borderId="22" fillId="27" fontId="30" numFmtId="0" xfId="0" applyAlignment="1" applyBorder="1" applyFont="1">
      <alignment readingOrder="0" vertical="bottom"/>
    </xf>
    <xf borderId="22" fillId="11" fontId="17" numFmtId="0" xfId="0" applyAlignment="1" applyBorder="1" applyFont="1">
      <alignment readingOrder="0" vertical="bottom"/>
    </xf>
    <xf borderId="22" fillId="5" fontId="30" numFmtId="0" xfId="0" applyAlignment="1" applyBorder="1" applyFont="1">
      <alignment readingOrder="0" vertical="bottom"/>
    </xf>
    <xf borderId="22" fillId="5" fontId="30" numFmtId="0" xfId="0" applyAlignment="1" applyBorder="1" applyFont="1">
      <alignment horizontal="center" readingOrder="0" shrinkToFit="0" vertical="bottom" wrapText="1"/>
    </xf>
    <xf borderId="25" fillId="5" fontId="20" numFmtId="0" xfId="0" applyAlignment="1" applyBorder="1" applyFont="1">
      <alignment readingOrder="0" vertical="bottom"/>
    </xf>
    <xf borderId="22" fillId="5" fontId="30" numFmtId="0" xfId="0" applyAlignment="1" applyBorder="1" applyFont="1">
      <alignment readingOrder="0" shrinkToFit="0" vertical="bottom" wrapText="1"/>
    </xf>
    <xf borderId="22" fillId="2" fontId="17" numFmtId="0" xfId="0" applyAlignment="1" applyBorder="1" applyFont="1">
      <alignment horizontal="center" readingOrder="0" vertical="bottom"/>
    </xf>
    <xf borderId="25" fillId="5" fontId="20" numFmtId="0" xfId="0" applyAlignment="1" applyBorder="1" applyFont="1">
      <alignment horizontal="center" readingOrder="0" vertical="bottom"/>
    </xf>
    <xf borderId="22" fillId="0" fontId="17" numFmtId="0" xfId="0" applyAlignment="1" applyBorder="1" applyFont="1">
      <alignment vertical="bottom"/>
    </xf>
    <xf borderId="25" fillId="0" fontId="32" numFmtId="0" xfId="0" applyAlignment="1" applyBorder="1" applyFont="1">
      <alignment readingOrder="0"/>
    </xf>
    <xf borderId="22" fillId="28" fontId="17" numFmtId="0" xfId="0" applyAlignment="1" applyBorder="1" applyFill="1" applyFont="1">
      <alignment readingOrder="0" vertical="bottom"/>
    </xf>
    <xf borderId="22" fillId="0" fontId="17" numFmtId="0" xfId="0" applyAlignment="1" applyBorder="1" applyFont="1">
      <alignment horizontal="center" readingOrder="0" vertical="bottom"/>
    </xf>
    <xf borderId="22" fillId="2" fontId="17" numFmtId="0" xfId="0" applyAlignment="1" applyBorder="1" applyFont="1">
      <alignment vertical="bottom"/>
    </xf>
    <xf borderId="25" fillId="12" fontId="20" numFmtId="0" xfId="0" applyAlignment="1" applyBorder="1" applyFont="1">
      <alignment vertical="bottom"/>
    </xf>
    <xf borderId="25" fillId="12" fontId="20" numFmtId="0" xfId="0" applyAlignment="1" applyBorder="1" applyFont="1">
      <alignment readingOrder="0" vertical="bottom"/>
    </xf>
    <xf borderId="35" fillId="5" fontId="10" numFmtId="0" xfId="0" applyAlignment="1" applyBorder="1" applyFont="1">
      <alignment horizontal="center" readingOrder="0"/>
    </xf>
    <xf borderId="25" fillId="5" fontId="17" numFmtId="0" xfId="0" applyAlignment="1" applyBorder="1" applyFont="1">
      <alignment horizontal="center" vertical="bottom"/>
    </xf>
    <xf borderId="25" fillId="23" fontId="17" numFmtId="0" xfId="0" applyAlignment="1" applyBorder="1" applyFont="1">
      <alignment horizontal="center" readingOrder="0" vertical="bottom"/>
    </xf>
    <xf borderId="22" fillId="11" fontId="10" numFmtId="0" xfId="0" applyAlignment="1" applyBorder="1" applyFont="1">
      <alignment readingOrder="0"/>
    </xf>
    <xf borderId="25" fillId="5" fontId="30" numFmtId="0" xfId="0" applyAlignment="1" applyBorder="1" applyFont="1">
      <alignment horizontal="left" readingOrder="0"/>
    </xf>
    <xf borderId="22" fillId="0" fontId="17" numFmtId="0" xfId="0" applyAlignment="1" applyBorder="1" applyFont="1">
      <alignment readingOrder="0" vertical="bottom"/>
    </xf>
    <xf borderId="22" fillId="0" fontId="10" numFmtId="0" xfId="0" applyBorder="1" applyFont="1"/>
    <xf borderId="25" fillId="23" fontId="20" numFmtId="0" xfId="0" applyAlignment="1" applyBorder="1" applyFont="1">
      <alignment horizontal="center" readingOrder="0" vertical="bottom"/>
    </xf>
    <xf borderId="35" fillId="2" fontId="10" numFmtId="0" xfId="0" applyAlignment="1" applyBorder="1" applyFont="1">
      <alignment horizontal="center" readingOrder="0"/>
    </xf>
    <xf borderId="35" fillId="5" fontId="10" numFmtId="0" xfId="0" applyAlignment="1" applyBorder="1" applyFont="1">
      <alignment horizontal="center"/>
    </xf>
    <xf borderId="35" fillId="14" fontId="10" numFmtId="0" xfId="0" applyAlignment="1" applyBorder="1" applyFont="1">
      <alignment horizontal="center" readingOrder="0"/>
    </xf>
    <xf borderId="22" fillId="14" fontId="17" numFmtId="0" xfId="0" applyAlignment="1" applyBorder="1" applyFont="1">
      <alignment horizontal="center" readingOrder="0" vertical="bottom"/>
    </xf>
    <xf borderId="25" fillId="14" fontId="17" numFmtId="0" xfId="0" applyAlignment="1" applyBorder="1" applyFont="1">
      <alignment horizontal="center" readingOrder="0" vertical="bottom"/>
    </xf>
    <xf borderId="22" fillId="5" fontId="20" numFmtId="0" xfId="0" applyAlignment="1" applyBorder="1" applyFont="1">
      <alignment horizontal="center" vertical="bottom"/>
    </xf>
    <xf borderId="29" fillId="5" fontId="17" numFmtId="0" xfId="0" applyAlignment="1" applyBorder="1" applyFont="1">
      <alignment horizontal="center" vertical="bottom"/>
    </xf>
    <xf borderId="29" fillId="5" fontId="17" numFmtId="0" xfId="0" applyAlignment="1" applyBorder="1" applyFont="1">
      <alignment horizontal="center" vertical="bottom"/>
    </xf>
    <xf borderId="35" fillId="5" fontId="17" numFmtId="0" xfId="0" applyAlignment="1" applyBorder="1" applyFont="1">
      <alignment horizontal="center" readingOrder="0" vertical="bottom"/>
    </xf>
    <xf borderId="29" fillId="5" fontId="20" numFmtId="0" xfId="0" applyAlignment="1" applyBorder="1" applyFont="1">
      <alignment horizontal="center" vertical="bottom"/>
    </xf>
    <xf borderId="25" fillId="23" fontId="20" numFmtId="0" xfId="0" applyAlignment="1" applyBorder="1" applyFont="1">
      <alignment readingOrder="0" vertical="bottom"/>
    </xf>
    <xf borderId="29" fillId="5" fontId="17" numFmtId="0" xfId="0" applyAlignment="1" applyBorder="1" applyFont="1">
      <alignment horizontal="center" readingOrder="0" vertical="bottom"/>
    </xf>
    <xf borderId="35" fillId="5" fontId="17" numFmtId="0" xfId="0" applyAlignment="1" applyBorder="1" applyFont="1">
      <alignment horizontal="center" vertical="bottom"/>
    </xf>
    <xf borderId="22" fillId="5" fontId="20" numFmtId="0" xfId="0" applyAlignment="1" applyBorder="1" applyFont="1">
      <alignment horizontal="center" readingOrder="0" vertical="bottom"/>
    </xf>
    <xf borderId="22" fillId="5" fontId="64" numFmtId="0" xfId="0" applyAlignment="1" applyBorder="1" applyFont="1">
      <alignment horizontal="center" vertical="bottom"/>
    </xf>
    <xf borderId="22" fillId="5" fontId="17" numFmtId="0" xfId="0" applyBorder="1" applyFont="1"/>
    <xf borderId="22" fillId="29" fontId="17" numFmtId="168" xfId="0" applyAlignment="1" applyBorder="1" applyFill="1" applyFont="1" applyNumberFormat="1">
      <alignment vertical="bottom"/>
    </xf>
    <xf borderId="22" fillId="29" fontId="17" numFmtId="0" xfId="0" applyAlignment="1" applyBorder="1" applyFont="1">
      <alignment readingOrder="0" vertical="bottom"/>
    </xf>
    <xf borderId="22" fillId="14" fontId="17" numFmtId="0" xfId="0" applyAlignment="1" applyBorder="1" applyFont="1">
      <alignment readingOrder="0" vertical="bottom"/>
    </xf>
    <xf borderId="22" fillId="14" fontId="17" numFmtId="0" xfId="0" applyAlignment="1" applyBorder="1" applyFont="1">
      <alignment horizontal="center" vertical="bottom"/>
    </xf>
    <xf borderId="22" fillId="14" fontId="10" numFmtId="0" xfId="0" applyAlignment="1" applyBorder="1" applyFont="1">
      <alignment readingOrder="0"/>
    </xf>
    <xf borderId="22" fillId="14" fontId="17" numFmtId="0" xfId="0" applyAlignment="1" applyBorder="1" applyFont="1">
      <alignment vertical="bottom"/>
    </xf>
    <xf borderId="22" fillId="14" fontId="17" numFmtId="0" xfId="0" applyAlignment="1" applyBorder="1" applyFont="1">
      <alignment horizontal="center" readingOrder="0" shrinkToFit="0" vertical="bottom" wrapText="1"/>
    </xf>
    <xf borderId="22" fillId="14" fontId="18" numFmtId="0" xfId="0" applyAlignment="1" applyBorder="1" applyFont="1">
      <alignment horizontal="center" vertical="bottom"/>
    </xf>
    <xf borderId="22" fillId="14" fontId="95" numFmtId="0" xfId="0" applyAlignment="1" applyBorder="1" applyFont="1">
      <alignment horizontal="center" vertical="bottom"/>
    </xf>
    <xf borderId="22" fillId="14" fontId="10" numFmtId="0" xfId="0" applyBorder="1" applyFont="1"/>
    <xf borderId="22" fillId="5" fontId="96" numFmtId="0" xfId="0" applyAlignment="1" applyBorder="1" applyFont="1">
      <alignment readingOrder="0" vertical="bottom"/>
    </xf>
    <xf borderId="22" fillId="2" fontId="97" numFmtId="0" xfId="0" applyAlignment="1" applyBorder="1" applyFont="1">
      <alignment readingOrder="0" vertical="bottom"/>
    </xf>
    <xf borderId="22" fillId="2" fontId="17" numFmtId="0" xfId="0" applyAlignment="1" applyBorder="1" applyFont="1">
      <alignment readingOrder="0" vertical="bottom"/>
    </xf>
    <xf borderId="25" fillId="26" fontId="20" numFmtId="167" xfId="0" applyAlignment="1" applyBorder="1" applyFont="1" applyNumberFormat="1">
      <alignment horizontal="center" readingOrder="0" vertical="bottom"/>
    </xf>
    <xf borderId="22" fillId="5" fontId="17" numFmtId="0" xfId="0" applyAlignment="1" applyBorder="1" applyFont="1">
      <alignment readingOrder="0" vertical="bottom"/>
    </xf>
    <xf borderId="25" fillId="26" fontId="20" numFmtId="178" xfId="0" applyAlignment="1" applyBorder="1" applyFont="1" applyNumberFormat="1">
      <alignment horizontal="center" readingOrder="0" vertical="bottom"/>
    </xf>
    <xf borderId="22" fillId="14" fontId="10" numFmtId="0" xfId="0" applyAlignment="1" applyBorder="1" applyFont="1">
      <alignment horizontal="center" readingOrder="0"/>
    </xf>
    <xf borderId="22" fillId="14" fontId="10" numFmtId="0" xfId="0" applyAlignment="1" applyBorder="1" applyFont="1">
      <alignment horizontal="center"/>
    </xf>
    <xf borderId="22" fillId="5" fontId="10" numFmtId="0" xfId="0" applyAlignment="1" applyBorder="1" applyFont="1">
      <alignment horizontal="center"/>
    </xf>
    <xf borderId="22" fillId="0" fontId="98" numFmtId="0" xfId="0" applyAlignment="1" applyBorder="1" applyFont="1">
      <alignment readingOrder="0" vertical="bottom"/>
    </xf>
    <xf borderId="22" fillId="5" fontId="17" numFmtId="0" xfId="0" applyAlignment="1" applyBorder="1" applyFont="1">
      <alignment horizontal="center" readingOrder="0" vertical="bottom"/>
    </xf>
    <xf borderId="22" fillId="0" fontId="10" numFmtId="0" xfId="0" applyAlignment="1" applyBorder="1" applyFont="1">
      <alignment horizontal="center" readingOrder="0"/>
    </xf>
    <xf borderId="22" fillId="0" fontId="17" numFmtId="0" xfId="0" applyAlignment="1" applyBorder="1" applyFont="1">
      <alignment readingOrder="0" vertical="bottom"/>
    </xf>
    <xf borderId="22" fillId="0" fontId="10" numFmtId="0" xfId="0" applyAlignment="1" applyBorder="1" applyFont="1">
      <alignment horizontal="center"/>
    </xf>
    <xf borderId="22" fillId="12" fontId="20" numFmtId="0" xfId="0" applyAlignment="1" applyBorder="1" applyFont="1">
      <alignment horizontal="center" readingOrder="0" vertical="bottom"/>
    </xf>
    <xf borderId="22" fillId="12" fontId="20" numFmtId="0" xfId="0" applyAlignment="1" applyBorder="1" applyFont="1">
      <alignment readingOrder="0" vertical="bottom"/>
    </xf>
    <xf borderId="0" fillId="0" fontId="17" numFmtId="0" xfId="0" applyAlignment="1" applyFont="1">
      <alignment horizontal="center" vertical="bottom"/>
    </xf>
    <xf borderId="21" fillId="0" fontId="10" numFmtId="0" xfId="0" applyAlignment="1" applyBorder="1" applyFont="1">
      <alignment readingOrder="0" shrinkToFit="0" vertical="center" wrapText="1"/>
    </xf>
    <xf borderId="21" fillId="0" fontId="10" numFmtId="0" xfId="0" applyAlignment="1" applyBorder="1" applyFont="1">
      <alignment shrinkToFit="0" vertical="center" wrapText="1"/>
    </xf>
    <xf borderId="0" fillId="0" fontId="10" numFmtId="179" xfId="0" applyAlignment="1" applyFont="1" applyNumberFormat="1">
      <alignment shrinkToFit="0" vertical="center" wrapText="1"/>
    </xf>
    <xf borderId="0" fillId="0" fontId="99" numFmtId="0" xfId="0" applyAlignment="1" applyFont="1">
      <alignment shrinkToFit="0" vertical="center" wrapText="1"/>
    </xf>
    <xf borderId="30" fillId="0" fontId="10" numFmtId="0" xfId="0" applyAlignment="1" applyBorder="1" applyFont="1">
      <alignment shrinkToFit="0" vertical="center" wrapText="1"/>
    </xf>
    <xf borderId="30" fillId="0" fontId="10" numFmtId="179" xfId="0" applyAlignment="1" applyBorder="1" applyFont="1" applyNumberFormat="1">
      <alignment shrinkToFit="0" vertical="center" wrapText="1"/>
    </xf>
    <xf borderId="0" fillId="0" fontId="10" numFmtId="9" xfId="0" applyAlignment="1" applyFont="1" applyNumberFormat="1">
      <alignment shrinkToFit="0" vertical="center" wrapText="1"/>
    </xf>
    <xf borderId="22" fillId="30" fontId="11" numFmtId="0" xfId="0" applyAlignment="1" applyBorder="1" applyFill="1" applyFont="1">
      <alignment horizontal="center" readingOrder="0" vertical="center"/>
    </xf>
    <xf borderId="25" fillId="30" fontId="11" numFmtId="0" xfId="0" applyAlignment="1" applyBorder="1" applyFont="1">
      <alignment horizontal="center" readingOrder="0" vertical="center"/>
    </xf>
    <xf borderId="25" fillId="0" fontId="100" numFmtId="0" xfId="0" applyAlignment="1" applyBorder="1" applyFont="1">
      <alignment horizontal="center" readingOrder="0" vertical="center"/>
    </xf>
    <xf borderId="25" fillId="0" fontId="18" numFmtId="0" xfId="0" applyAlignment="1" applyBorder="1" applyFont="1">
      <alignment horizontal="center" readingOrder="0" vertical="center"/>
    </xf>
    <xf borderId="25" fillId="0" fontId="95" numFmtId="0" xfId="0" applyAlignment="1" applyBorder="1" applyFont="1">
      <alignment horizontal="left" readingOrder="0" shrinkToFit="0" vertical="center" wrapText="1"/>
    </xf>
    <xf borderId="0" fillId="0" fontId="10" numFmtId="0" xfId="0" applyFont="1"/>
    <xf borderId="0" fillId="2" fontId="101" numFmtId="0" xfId="0" applyAlignment="1" applyFont="1">
      <alignment horizontal="center" readingOrder="0" vertical="center"/>
    </xf>
    <xf borderId="0" fillId="0" fontId="102" numFmtId="0" xfId="0" applyAlignment="1" applyFont="1">
      <alignment horizontal="center" readingOrder="0" vertical="center"/>
    </xf>
    <xf borderId="0" fillId="0" fontId="103" numFmtId="0" xfId="0" applyAlignment="1" applyFont="1">
      <alignment horizontal="center" readingOrder="0" vertical="center"/>
    </xf>
    <xf borderId="0" fillId="0" fontId="102" numFmtId="0" xfId="0" applyAlignment="1" applyFont="1">
      <alignment horizontal="center" vertical="center"/>
    </xf>
    <xf borderId="0" fillId="2" fontId="102" numFmtId="0" xfId="0" applyAlignment="1" applyFont="1">
      <alignment horizontal="center" readingOrder="0" vertical="center"/>
    </xf>
    <xf borderId="0" fillId="0" fontId="104" numFmtId="0" xfId="0" applyAlignment="1" applyFont="1">
      <alignment horizontal="center" readingOrder="0" vertical="center"/>
    </xf>
    <xf borderId="0" fillId="0" fontId="105" numFmtId="0" xfId="0" applyAlignment="1" applyFont="1">
      <alignment horizontal="center" readingOrder="0" vertical="center"/>
    </xf>
    <xf borderId="25" fillId="4" fontId="106" numFmtId="0" xfId="0" applyAlignment="1" applyBorder="1" applyFont="1">
      <alignment horizontal="center" vertical="center"/>
    </xf>
    <xf borderId="25" fillId="4" fontId="106" numFmtId="0" xfId="0" applyAlignment="1" applyBorder="1" applyFont="1">
      <alignment horizontal="center" readingOrder="0" shrinkToFit="0" vertical="center" wrapText="1"/>
    </xf>
    <xf borderId="25" fillId="4" fontId="106" numFmtId="49" xfId="0" applyAlignment="1" applyBorder="1" applyFont="1" applyNumberFormat="1">
      <alignment horizontal="center" vertical="center"/>
    </xf>
    <xf borderId="25" fillId="21" fontId="107" numFmtId="0" xfId="0" applyAlignment="1" applyBorder="1" applyFont="1">
      <alignment horizontal="center" readingOrder="0" vertical="center"/>
    </xf>
    <xf borderId="25" fillId="22" fontId="107" numFmtId="0" xfId="0" applyAlignment="1" applyBorder="1" applyFont="1">
      <alignment horizontal="center" readingOrder="0" vertical="center"/>
    </xf>
    <xf borderId="0" fillId="0" fontId="107" numFmtId="0" xfId="0" applyAlignment="1" applyFont="1">
      <alignment horizontal="center" shrinkToFit="0" vertical="center" wrapText="1"/>
    </xf>
    <xf borderId="25" fillId="15" fontId="107" numFmtId="0" xfId="0" applyAlignment="1" applyBorder="1" applyFont="1">
      <alignment horizontal="center" readingOrder="0" vertical="center"/>
    </xf>
    <xf borderId="25" fillId="5" fontId="107" numFmtId="0" xfId="0" applyAlignment="1" applyBorder="1" applyFont="1">
      <alignment horizontal="center" readingOrder="0" shrinkToFit="0" vertical="center" wrapText="1"/>
    </xf>
    <xf borderId="25" fillId="22" fontId="107" numFmtId="49" xfId="0" applyAlignment="1" applyBorder="1" applyFont="1" applyNumberFormat="1">
      <alignment horizontal="center" readingOrder="0" vertical="center"/>
    </xf>
    <xf borderId="25" fillId="15" fontId="107" numFmtId="49" xfId="0" applyAlignment="1" applyBorder="1" applyFont="1" applyNumberFormat="1">
      <alignment horizontal="center" readingOrder="0" vertical="center"/>
    </xf>
    <xf borderId="25" fillId="3" fontId="107" numFmtId="0" xfId="0" applyAlignment="1" applyBorder="1" applyFont="1">
      <alignment horizontal="center" readingOrder="0" vertical="center"/>
    </xf>
    <xf borderId="25" fillId="3" fontId="107" numFmtId="49" xfId="0" applyAlignment="1" applyBorder="1" applyFont="1" applyNumberFormat="1">
      <alignment horizontal="center" readingOrder="0" vertical="center"/>
    </xf>
    <xf borderId="25" fillId="5" fontId="107" numFmtId="0" xfId="0" applyAlignment="1" applyBorder="1" applyFont="1">
      <alignment horizontal="center" shrinkToFit="0" vertical="center" wrapText="1"/>
    </xf>
    <xf borderId="25" fillId="0" fontId="107" numFmtId="49" xfId="0" applyAlignment="1" applyBorder="1" applyFont="1" applyNumberFormat="1">
      <alignment horizontal="center" readingOrder="0" vertical="center"/>
    </xf>
    <xf borderId="25" fillId="0" fontId="102" numFmtId="0" xfId="0" applyAlignment="1" applyBorder="1" applyFont="1">
      <alignment horizontal="center" vertical="center"/>
    </xf>
    <xf borderId="25" fillId="5" fontId="107" numFmtId="0" xfId="0" applyAlignment="1" applyBorder="1" applyFont="1">
      <alignment horizontal="center" vertical="center"/>
    </xf>
    <xf borderId="25" fillId="23" fontId="107" numFmtId="0" xfId="0" applyAlignment="1" applyBorder="1" applyFont="1">
      <alignment horizontal="center" vertical="center"/>
    </xf>
    <xf borderId="25" fillId="23" fontId="107" numFmtId="49" xfId="0" applyAlignment="1" applyBorder="1" applyFont="1" applyNumberFormat="1">
      <alignment horizontal="center" vertical="center"/>
    </xf>
    <xf borderId="25" fillId="23" fontId="102" numFmtId="0" xfId="0" applyAlignment="1" applyBorder="1" applyFont="1">
      <alignment horizontal="center" vertical="center"/>
    </xf>
    <xf borderId="25" fillId="23" fontId="102" numFmtId="0" xfId="0" applyAlignment="1" applyBorder="1" applyFont="1">
      <alignment horizontal="center" shrinkToFit="0" vertical="center" wrapText="1"/>
    </xf>
    <xf borderId="25" fillId="21" fontId="102" numFmtId="0" xfId="0" applyAlignment="1" applyBorder="1" applyFont="1">
      <alignment horizontal="center" readingOrder="0" vertical="center"/>
    </xf>
    <xf borderId="25" fillId="23" fontId="102" numFmtId="49" xfId="0" applyAlignment="1" applyBorder="1" applyFont="1" applyNumberFormat="1">
      <alignment horizontal="center" vertical="center"/>
    </xf>
    <xf borderId="25" fillId="22" fontId="102" numFmtId="0" xfId="0" applyAlignment="1" applyBorder="1" applyFont="1">
      <alignment horizontal="center" readingOrder="0" vertical="center"/>
    </xf>
    <xf borderId="25" fillId="15" fontId="102" numFmtId="0" xfId="0" applyAlignment="1" applyBorder="1" applyFont="1">
      <alignment horizontal="center" readingOrder="0" vertical="center"/>
    </xf>
    <xf borderId="25" fillId="3" fontId="102" numFmtId="0" xfId="0" applyAlignment="1" applyBorder="1" applyFont="1">
      <alignment horizontal="center" readingOrder="0" vertical="center"/>
    </xf>
    <xf borderId="25" fillId="21" fontId="107" numFmtId="0" xfId="0" applyAlignment="1" applyBorder="1" applyFont="1">
      <alignment horizontal="center" readingOrder="0" shrinkToFit="0" vertical="center" wrapText="1"/>
    </xf>
    <xf borderId="25" fillId="5" fontId="107" numFmtId="0" xfId="0" applyAlignment="1" applyBorder="1" applyFont="1">
      <alignment horizontal="center" readingOrder="0" vertical="center"/>
    </xf>
    <xf borderId="25" fillId="22" fontId="107" numFmtId="0" xfId="0" applyAlignment="1" applyBorder="1" applyFont="1">
      <alignment horizontal="center" readingOrder="0" shrinkToFit="0" vertical="center" wrapText="1"/>
    </xf>
    <xf borderId="25" fillId="15" fontId="107" numFmtId="0" xfId="0" applyAlignment="1" applyBorder="1" applyFont="1">
      <alignment horizontal="center" readingOrder="0" shrinkToFit="0" vertical="center" wrapText="1"/>
    </xf>
    <xf borderId="25" fillId="5" fontId="102" numFmtId="0" xfId="0" applyAlignment="1" applyBorder="1" applyFont="1">
      <alignment horizontal="center" vertical="center"/>
    </xf>
    <xf borderId="25" fillId="5" fontId="102" numFmtId="0" xfId="0" applyAlignment="1" applyBorder="1" applyFont="1">
      <alignment horizontal="center" shrinkToFit="0" vertical="center" wrapText="1"/>
    </xf>
    <xf borderId="25" fillId="23" fontId="107" numFmtId="0" xfId="0" applyAlignment="1" applyBorder="1" applyFont="1">
      <alignment horizontal="center" readingOrder="0" vertical="center"/>
    </xf>
    <xf borderId="0" fillId="0" fontId="32" numFmtId="0" xfId="0" applyAlignment="1" applyFont="1">
      <alignment horizontal="center" readingOrder="0"/>
    </xf>
    <xf borderId="0" fillId="0" fontId="32" numFmtId="0" xfId="0" applyFont="1"/>
    <xf borderId="0" fillId="30" fontId="10" numFmtId="0" xfId="0" applyAlignment="1" applyFont="1">
      <alignment horizontal="center" readingOrder="0" vertical="center"/>
    </xf>
    <xf borderId="0" fillId="30" fontId="10" numFmtId="0" xfId="0" applyAlignment="1" applyFont="1">
      <alignment horizontal="center" readingOrder="0" shrinkToFit="0" vertical="center" wrapText="1"/>
    </xf>
    <xf borderId="0" fillId="30" fontId="10" numFmtId="0" xfId="0" applyAlignment="1" applyFont="1">
      <alignment horizontal="center" vertical="center"/>
    </xf>
    <xf borderId="0" fillId="30" fontId="10" numFmtId="0" xfId="0" applyFont="1"/>
    <xf borderId="25" fillId="13" fontId="10" numFmtId="0" xfId="0" applyAlignment="1" applyBorder="1" applyFont="1">
      <alignment readingOrder="0"/>
    </xf>
    <xf borderId="25" fillId="20" fontId="10" numFmtId="0" xfId="0" applyAlignment="1" applyBorder="1" applyFont="1">
      <alignment readingOrder="0"/>
    </xf>
    <xf borderId="25" fillId="0" fontId="10" numFmtId="0" xfId="0" applyAlignment="1" applyBorder="1" applyFont="1">
      <alignment readingOrder="0"/>
    </xf>
    <xf borderId="65" fillId="0" fontId="10" numFmtId="0" xfId="0" applyBorder="1" applyFont="1"/>
    <xf borderId="29" fillId="20" fontId="10" numFmtId="0" xfId="0" applyAlignment="1" applyBorder="1" applyFont="1">
      <alignment readingOrder="0"/>
    </xf>
    <xf borderId="0" fillId="11" fontId="10" numFmtId="0" xfId="0" applyAlignment="1" applyFont="1">
      <alignment readingOrder="0"/>
    </xf>
    <xf borderId="0" fillId="19" fontId="10" numFmtId="0" xfId="0" applyAlignment="1" applyFont="1">
      <alignment readingOrder="0"/>
    </xf>
    <xf borderId="0" fillId="20" fontId="10" numFmtId="0" xfId="0" applyAlignment="1" applyFont="1">
      <alignment readingOrder="0"/>
    </xf>
    <xf borderId="0" fillId="13" fontId="10" numFmtId="0" xfId="0" applyAlignment="1" applyFont="1">
      <alignment readingOrder="0"/>
    </xf>
    <xf borderId="0" fillId="0" fontId="1" numFmtId="0" xfId="0" applyAlignment="1" applyFont="1">
      <alignment horizontal="center" vertical="bottom"/>
    </xf>
    <xf borderId="25" fillId="4" fontId="108" numFmtId="0" xfId="0" applyAlignment="1" applyBorder="1" applyFont="1">
      <alignment horizontal="center" vertical="bottom"/>
    </xf>
    <xf borderId="25" fillId="12" fontId="64" numFmtId="0" xfId="0" applyAlignment="1" applyBorder="1" applyFont="1">
      <alignment horizontal="center" readingOrder="0" vertical="bottom"/>
    </xf>
    <xf borderId="0" fillId="3" fontId="17" numFmtId="0" xfId="0" applyAlignment="1" applyFont="1">
      <alignment horizontal="center" readingOrder="0" vertical="center"/>
    </xf>
    <xf borderId="0" fillId="3" fontId="17" numFmtId="164" xfId="0" applyAlignment="1" applyFont="1" applyNumberFormat="1">
      <alignment horizontal="center" readingOrder="0" vertical="center"/>
    </xf>
    <xf borderId="0" fillId="3" fontId="17" numFmtId="0" xfId="0" applyAlignment="1" applyFont="1">
      <alignment horizontal="center" readingOrder="0" shrinkToFit="0" vertical="center" wrapText="1"/>
    </xf>
    <xf borderId="0" fillId="0" fontId="83" numFmtId="0" xfId="0" applyAlignment="1" applyFont="1">
      <alignment readingOrder="0" shrinkToFit="0" vertical="center" wrapText="1"/>
    </xf>
    <xf borderId="0" fillId="0" fontId="79" numFmtId="0" xfId="0" applyAlignment="1" applyFont="1">
      <alignment horizontal="left" readingOrder="0" shrinkToFit="0" vertical="center" wrapText="1"/>
    </xf>
    <xf borderId="0" fillId="3" fontId="10" numFmtId="0" xfId="0" applyAlignment="1" applyFont="1">
      <alignment horizontal="left" shrinkToFit="0" vertical="center" wrapText="1"/>
    </xf>
    <xf borderId="0" fillId="3" fontId="79" numFmtId="0" xfId="0" applyAlignment="1" applyFont="1">
      <alignment horizontal="left" readingOrder="0" shrinkToFit="0" vertical="center" wrapText="1"/>
    </xf>
    <xf borderId="0" fillId="5" fontId="10" numFmtId="0" xfId="0" applyAlignment="1" applyFont="1">
      <alignment horizontal="left" readingOrder="0" vertical="center"/>
    </xf>
    <xf borderId="0" fillId="3" fontId="10" numFmtId="0" xfId="0" applyAlignment="1" applyFont="1">
      <alignment horizontal="left" readingOrder="0" shrinkToFit="0" vertical="center" wrapText="1"/>
    </xf>
    <xf borderId="0" fillId="9" fontId="85" numFmtId="0" xfId="0" applyAlignment="1" applyFont="1">
      <alignment horizontal="center" readingOrder="0" vertical="center"/>
    </xf>
    <xf borderId="0" fillId="10" fontId="79" numFmtId="0" xfId="0" applyAlignment="1" applyFont="1">
      <alignment horizontal="left" readingOrder="0" shrinkToFit="0" vertical="center" wrapText="1"/>
    </xf>
    <xf borderId="22" fillId="23" fontId="17" numFmtId="0" xfId="0" applyAlignment="1" applyBorder="1" applyFont="1">
      <alignment readingOrder="0" vertical="bottom"/>
    </xf>
    <xf borderId="22" fillId="23" fontId="17" numFmtId="0" xfId="0" applyAlignment="1" applyBorder="1" applyFont="1">
      <alignment vertical="bottom"/>
    </xf>
    <xf borderId="22" fillId="0" fontId="17" numFmtId="0" xfId="0" applyAlignment="1" applyBorder="1" applyFont="1">
      <alignment horizontal="center" vertical="bottom"/>
    </xf>
    <xf borderId="22" fillId="9" fontId="17" numFmtId="0" xfId="0" applyAlignment="1" applyBorder="1" applyFont="1">
      <alignment vertical="bottom"/>
    </xf>
    <xf borderId="22" fillId="5" fontId="20" numFmtId="0" xfId="0" applyAlignment="1" applyBorder="1" applyFont="1">
      <alignment vertical="bottom"/>
    </xf>
    <xf borderId="22" fillId="0" fontId="20" numFmtId="0" xfId="0" applyAlignment="1" applyBorder="1" applyFont="1">
      <alignment horizontal="center" readingOrder="0" vertical="bottom"/>
    </xf>
    <xf borderId="22" fillId="11" fontId="20" numFmtId="0" xfId="0" applyAlignment="1" applyBorder="1" applyFont="1">
      <alignment readingOrder="0" vertical="bottom"/>
    </xf>
    <xf borderId="24" fillId="0" fontId="17" numFmtId="0" xfId="0" applyAlignment="1" applyBorder="1" applyFont="1">
      <alignment horizontal="center" readingOrder="0" vertical="bottom"/>
    </xf>
    <xf borderId="24" fillId="5" fontId="17" numFmtId="0" xfId="0" applyAlignment="1" applyBorder="1" applyFont="1">
      <alignment readingOrder="0" vertical="bottom"/>
    </xf>
    <xf borderId="22" fillId="12" fontId="20" numFmtId="0" xfId="0" applyAlignment="1" applyBorder="1" applyFont="1">
      <alignment vertical="bottom"/>
    </xf>
    <xf borderId="22" fillId="23" fontId="20" numFmtId="0" xfId="0" applyAlignment="1" applyBorder="1" applyFont="1">
      <alignment readingOrder="0" vertical="bottom"/>
    </xf>
    <xf borderId="22" fillId="5" fontId="30" numFmtId="0" xfId="0" applyAlignment="1" applyBorder="1" applyFont="1">
      <alignment horizontal="left" readingOrder="0"/>
    </xf>
    <xf borderId="23" fillId="23" fontId="17" numFmtId="0" xfId="0" applyAlignment="1" applyBorder="1" applyFont="1">
      <alignment vertical="bottom"/>
    </xf>
    <xf borderId="24" fillId="23" fontId="17" numFmtId="0" xfId="0" applyAlignment="1" applyBorder="1" applyFont="1">
      <alignment vertical="bottom"/>
    </xf>
    <xf borderId="22" fillId="2" fontId="10" numFmtId="0" xfId="0" applyBorder="1" applyFont="1"/>
    <xf borderId="35" fillId="5" fontId="10" numFmtId="0" xfId="0" applyAlignment="1" applyBorder="1" applyFont="1">
      <alignment horizontal="center"/>
    </xf>
    <xf borderId="35" fillId="2" fontId="10" numFmtId="0" xfId="0" applyAlignment="1" applyBorder="1" applyFont="1">
      <alignment horizontal="center"/>
    </xf>
    <xf borderId="22" fillId="23" fontId="20" numFmtId="0" xfId="0" applyAlignment="1" applyBorder="1" applyFont="1">
      <alignment horizontal="center" readingOrder="0" vertical="bottom"/>
    </xf>
    <xf borderId="22" fillId="0" fontId="64" numFmtId="0" xfId="0" applyAlignment="1" applyBorder="1" applyFont="1">
      <alignment horizontal="center" readingOrder="0" vertical="bottom"/>
    </xf>
    <xf borderId="22" fillId="5" fontId="17" numFmtId="0" xfId="0" applyAlignment="1" applyBorder="1" applyFont="1">
      <alignment horizontal="center" vertical="bottom"/>
    </xf>
    <xf borderId="35" fillId="5" fontId="20" numFmtId="0" xfId="0" applyAlignment="1" applyBorder="1" applyFont="1">
      <alignment horizontal="center" vertical="bottom"/>
    </xf>
    <xf borderId="35" fillId="5" fontId="20" numFmtId="0" xfId="0" applyAlignment="1" applyBorder="1" applyFont="1">
      <alignment horizontal="center" vertical="bottom"/>
    </xf>
    <xf borderId="35" fillId="5" fontId="17" numFmtId="0" xfId="0" applyAlignment="1" applyBorder="1" applyFont="1">
      <alignment horizontal="center" vertical="bottom"/>
    </xf>
    <xf borderId="22" fillId="0" fontId="64" numFmtId="0" xfId="0" applyAlignment="1" applyBorder="1" applyFont="1">
      <alignment readingOrder="0" vertical="bottom"/>
    </xf>
    <xf borderId="35" fillId="21" fontId="17" numFmtId="0" xfId="0" applyAlignment="1" applyBorder="1" applyFont="1">
      <alignment horizontal="center" vertical="bottom"/>
    </xf>
    <xf borderId="22" fillId="2" fontId="20" numFmtId="0" xfId="0" applyAlignment="1" applyBorder="1" applyFont="1">
      <alignment horizontal="center" readingOrder="0" vertical="bottom"/>
    </xf>
    <xf borderId="0" fillId="0" fontId="2" numFmtId="3" xfId="0" applyAlignment="1" applyFont="1" applyNumberFormat="1">
      <alignment horizontal="left" readingOrder="0" vertical="center"/>
    </xf>
    <xf borderId="0" fillId="0" fontId="10" numFmtId="3" xfId="0" applyFont="1" applyNumberFormat="1"/>
    <xf borderId="0" fillId="0" fontId="1" numFmtId="0" xfId="0" applyAlignment="1" applyFont="1">
      <alignment horizontal="left"/>
    </xf>
    <xf borderId="0" fillId="0" fontId="1" numFmtId="0" xfId="0" applyAlignment="1" applyFont="1">
      <alignment horizontal="center" readingOrder="0" vertical="bottom"/>
    </xf>
    <xf borderId="25" fillId="0" fontId="35" numFmtId="0" xfId="0" applyAlignment="1" applyBorder="1" applyFont="1">
      <alignment horizontal="right" readingOrder="0" vertical="center"/>
    </xf>
    <xf borderId="25" fillId="0" fontId="95" numFmtId="0" xfId="0" applyAlignment="1" applyBorder="1" applyFont="1">
      <alignment horizontal="left" readingOrder="0" vertical="center"/>
    </xf>
    <xf borderId="25" fillId="0" fontId="95" numFmtId="0" xfId="0" applyAlignment="1" applyBorder="1" applyFont="1">
      <alignment horizontal="center" readingOrder="0" vertical="center"/>
    </xf>
    <xf borderId="0" fillId="0" fontId="1" numFmtId="0" xfId="0" applyAlignment="1" applyFont="1">
      <alignment horizontal="center"/>
    </xf>
    <xf borderId="0" fillId="0" fontId="95" numFmtId="0" xfId="0" applyAlignment="1" applyFont="1">
      <alignment horizontal="center" readingOrder="0" vertical="bottom"/>
    </xf>
    <xf borderId="25" fillId="0" fontId="95" numFmtId="0" xfId="0" applyAlignment="1" applyBorder="1" applyFont="1">
      <alignment horizontal="right" readingOrder="0" vertical="center"/>
    </xf>
    <xf borderId="25" fillId="31" fontId="18" numFmtId="0" xfId="0" applyAlignment="1" applyBorder="1" applyFill="1" applyFont="1">
      <alignment horizontal="center" readingOrder="0" vertical="center"/>
    </xf>
    <xf borderId="25" fillId="5" fontId="1" numFmtId="0" xfId="0" applyAlignment="1" applyBorder="1" applyFont="1">
      <alignment horizontal="center" readingOrder="0"/>
    </xf>
    <xf borderId="25" fillId="5" fontId="10" numFmtId="0" xfId="0" applyAlignment="1" applyBorder="1" applyFont="1">
      <alignment readingOrder="0"/>
    </xf>
    <xf borderId="25" fillId="5" fontId="1" numFmtId="0" xfId="0" applyAlignment="1" applyBorder="1" applyFont="1">
      <alignment horizontal="left" readingOrder="0"/>
    </xf>
    <xf borderId="25" fillId="6" fontId="1" numFmtId="0" xfId="0" applyAlignment="1" applyBorder="1" applyFont="1">
      <alignment horizontal="center" readingOrder="0"/>
    </xf>
    <xf borderId="25" fillId="6" fontId="10" numFmtId="0" xfId="0" applyAlignment="1" applyBorder="1" applyFont="1">
      <alignment readingOrder="0"/>
    </xf>
    <xf borderId="25" fillId="6" fontId="1" numFmtId="0" xfId="0" applyAlignment="1" applyBorder="1" applyFont="1">
      <alignment horizontal="left" readingOrder="0"/>
    </xf>
    <xf borderId="25" fillId="6" fontId="1" numFmtId="3" xfId="0" applyAlignment="1" applyBorder="1" applyFont="1" applyNumberFormat="1">
      <alignment horizontal="center" readingOrder="0"/>
    </xf>
    <xf quotePrefix="1" borderId="25" fillId="5" fontId="1" numFmtId="0" xfId="0" applyAlignment="1" applyBorder="1" applyFont="1">
      <alignment horizontal="center" readingOrder="0"/>
    </xf>
    <xf borderId="25" fillId="6" fontId="1" numFmtId="0" xfId="0" applyAlignment="1" applyBorder="1" applyFont="1">
      <alignment horizontal="center" readingOrder="0" vertical="bottom"/>
    </xf>
    <xf borderId="25" fillId="6" fontId="1" numFmtId="0" xfId="0" applyAlignment="1" applyBorder="1" applyFont="1">
      <alignment horizontal="center" vertical="bottom"/>
    </xf>
    <xf borderId="25" fillId="6" fontId="1" numFmtId="0" xfId="0" applyAlignment="1" applyBorder="1" applyFont="1">
      <alignment horizontal="left"/>
    </xf>
    <xf borderId="25" fillId="6" fontId="10" numFmtId="0" xfId="0" applyBorder="1" applyFont="1"/>
    <xf borderId="25" fillId="5" fontId="1" numFmtId="0" xfId="0" applyAlignment="1" applyBorder="1" applyFont="1">
      <alignment horizontal="center" readingOrder="0"/>
    </xf>
    <xf borderId="25" fillId="5" fontId="10" numFmtId="0" xfId="0" applyBorder="1" applyFont="1"/>
    <xf borderId="25" fillId="5" fontId="1" numFmtId="0" xfId="0" applyAlignment="1" applyBorder="1" applyFont="1">
      <alignment horizontal="left"/>
    </xf>
    <xf borderId="25" fillId="6" fontId="1" numFmtId="0" xfId="0" applyAlignment="1" applyBorder="1" applyFont="1">
      <alignment horizontal="center" readingOrder="0"/>
    </xf>
    <xf borderId="25" fillId="5" fontId="1" numFmtId="0" xfId="0" applyAlignment="1" applyBorder="1" applyFont="1">
      <alignment horizontal="center" readingOrder="0" vertical="bottom"/>
    </xf>
    <xf borderId="25" fillId="5" fontId="1" numFmtId="0" xfId="0" applyAlignment="1" applyBorder="1" applyFont="1">
      <alignment horizontal="left" readingOrder="0" vertical="bottom"/>
    </xf>
    <xf borderId="25" fillId="5" fontId="1" numFmtId="0" xfId="0" applyAlignment="1" applyBorder="1" applyFont="1">
      <alignment horizontal="center" readingOrder="0" vertical="bottom"/>
    </xf>
    <xf borderId="25" fillId="6" fontId="1" numFmtId="0" xfId="0" applyAlignment="1" applyBorder="1" applyFont="1">
      <alignment horizontal="left" readingOrder="0" vertical="bottom"/>
    </xf>
    <xf borderId="25" fillId="6" fontId="1" numFmtId="0" xfId="0" applyAlignment="1" applyBorder="1" applyFont="1">
      <alignment horizontal="center" readingOrder="0" vertical="bottom"/>
    </xf>
    <xf borderId="25" fillId="5" fontId="1" numFmtId="0" xfId="0" applyAlignment="1" applyBorder="1" applyFont="1">
      <alignment horizontal="center" vertical="bottom"/>
    </xf>
    <xf borderId="25" fillId="5" fontId="1" numFmtId="0" xfId="0" applyAlignment="1" applyBorder="1" applyFont="1">
      <alignment horizontal="left" vertical="bottom"/>
    </xf>
    <xf borderId="25" fillId="6" fontId="1" numFmtId="0" xfId="0" applyAlignment="1" applyBorder="1" applyFont="1">
      <alignment horizontal="left" vertical="bottom"/>
    </xf>
    <xf borderId="25" fillId="5" fontId="1" numFmtId="0" xfId="0" applyAlignment="1" applyBorder="1" applyFont="1">
      <alignment horizontal="center" vertical="bottom"/>
    </xf>
    <xf borderId="25" fillId="6" fontId="1" numFmtId="0" xfId="0" applyAlignment="1" applyBorder="1" applyFont="1">
      <alignment horizontal="center"/>
    </xf>
    <xf borderId="25" fillId="5" fontId="1" numFmtId="0" xfId="0" applyAlignment="1" applyBorder="1" applyFont="1">
      <alignment horizontal="center"/>
    </xf>
    <xf borderId="25" fillId="6" fontId="1" numFmtId="0" xfId="0" applyAlignment="1" applyBorder="1" applyFont="1">
      <alignment horizontal="center"/>
    </xf>
    <xf borderId="25" fillId="6" fontId="1" numFmtId="0" xfId="0" applyAlignment="1" applyBorder="1" applyFont="1">
      <alignment horizontal="center" vertical="bottom"/>
    </xf>
    <xf borderId="25" fillId="5" fontId="1" numFmtId="0" xfId="0" applyAlignment="1" applyBorder="1" applyFont="1">
      <alignment horizontal="center"/>
    </xf>
    <xf borderId="25" fillId="5" fontId="1" numFmtId="3" xfId="0" applyAlignment="1" applyBorder="1" applyFont="1" applyNumberFormat="1">
      <alignment horizontal="left"/>
    </xf>
    <xf borderId="25" fillId="6" fontId="10" numFmtId="3" xfId="0" applyBorder="1" applyFont="1" applyNumberFormat="1"/>
    <xf borderId="0" fillId="0" fontId="10" numFmtId="14" xfId="0" applyAlignment="1" applyFont="1" applyNumberFormat="1">
      <alignment readingOrder="0"/>
    </xf>
  </cellXfs>
  <cellStyles count="1">
    <cellStyle xfId="0" name="Normal" builtinId="0"/>
  </cellStyles>
  <dxfs count="21">
    <dxf>
      <font/>
      <fill>
        <patternFill patternType="none"/>
      </fill>
      <border/>
    </dxf>
    <dxf>
      <font>
        <color rgb="FFFF0000"/>
      </font>
      <fill>
        <patternFill patternType="solid">
          <fgColor rgb="FFFFF2CC"/>
          <bgColor rgb="FFFFF2CC"/>
        </patternFill>
      </fill>
      <border/>
    </dxf>
    <dxf>
      <font/>
      <fill>
        <patternFill patternType="solid">
          <fgColor rgb="FFFFF2CC"/>
          <bgColor rgb="FFFFF2CC"/>
        </patternFill>
      </fill>
      <border/>
    </dxf>
    <dxf>
      <font>
        <color rgb="FFFF0000"/>
      </font>
      <fill>
        <patternFill patternType="none"/>
      </fill>
      <border/>
    </dxf>
    <dxf>
      <font>
        <color rgb="FF0000FF"/>
      </font>
      <fill>
        <patternFill patternType="none"/>
      </fill>
      <border/>
    </dxf>
    <dxf>
      <font/>
      <fill>
        <patternFill patternType="solid">
          <fgColor rgb="FF00FF00"/>
          <bgColor rgb="FF00FF00"/>
        </patternFill>
      </fill>
      <border/>
    </dxf>
    <dxf>
      <font>
        <strike/>
        <color rgb="FFD9D9D9"/>
      </font>
      <fill>
        <patternFill patternType="none"/>
      </fill>
      <border/>
    </dxf>
    <dxf>
      <font>
        <b/>
        <color rgb="FFB5A67C"/>
      </font>
      <fill>
        <patternFill patternType="solid">
          <fgColor rgb="FF00225B"/>
          <bgColor rgb="FF00225B"/>
        </patternFill>
      </fill>
      <border/>
    </dxf>
    <dxf>
      <font>
        <strike/>
        <color rgb="FF999999"/>
      </font>
      <fill>
        <patternFill patternType="none"/>
      </fill>
      <border/>
    </dxf>
    <dxf>
      <font/>
      <fill>
        <patternFill patternType="solid">
          <fgColor rgb="FFFF0000"/>
          <bgColor rgb="FFFF0000"/>
        </patternFill>
      </fill>
      <border/>
    </dxf>
    <dxf>
      <font>
        <strike/>
        <color rgb="FFCCCCCC"/>
      </font>
      <fill>
        <patternFill patternType="none"/>
      </fill>
      <border/>
    </dxf>
    <dxf>
      <font/>
      <fill>
        <patternFill patternType="solid">
          <fgColor rgb="FFE06666"/>
          <bgColor rgb="FFE06666"/>
        </patternFill>
      </fill>
      <border/>
    </dxf>
    <dxf>
      <font/>
      <fill>
        <patternFill patternType="solid">
          <fgColor rgb="FFD9EAD3"/>
          <bgColor rgb="FFD9EAD3"/>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FFFF00"/>
          <bgColor rgb="FFFFFF00"/>
        </patternFill>
      </fill>
      <border/>
    </dxf>
    <dxf>
      <font>
        <color rgb="FF666666"/>
      </font>
      <fill>
        <patternFill patternType="solid">
          <fgColor rgb="FFEFEFEF"/>
          <bgColor rgb="FFEFEFEF"/>
        </patternFill>
      </fill>
      <border/>
    </dxf>
    <dxf>
      <font>
        <strike/>
        <color rgb="FF000000"/>
      </font>
      <fill>
        <patternFill patternType="solid">
          <fgColor rgb="FFCC0000"/>
          <bgColor rgb="FFCC0000"/>
        </patternFill>
      </fill>
      <border/>
    </dxf>
    <dxf>
      <font>
        <color rgb="FF000000"/>
      </font>
      <fill>
        <patternFill patternType="solid">
          <fgColor rgb="FFFFF2CC"/>
          <bgColor rgb="FFFFF2CC"/>
        </patternFill>
      </fill>
      <border/>
    </dxf>
    <dxf>
      <font>
        <color rgb="FFFFFFFF"/>
      </font>
      <fill>
        <patternFill patternType="solid">
          <fgColor rgb="FF073763"/>
          <bgColor rgb="FF073763"/>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495300"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xpreps.com/pa/wyndmoor/la-salle-college-explorers/athletes/jack-pye/baseball/stats/?careerid=01m1mi0b58vm6" TargetMode="External"/><Relationship Id="rId2" Type="http://schemas.openxmlformats.org/officeDocument/2006/relationships/hyperlink" Target="https://www.perfectgame.org/Players/Playerprofile.aspx?ID=73586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sabaseball.com/events/arizona-championships/fan-guide"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play.ps-baseball.com/events/palm-beach-classic-palm-beach-fl-06-06-2025" TargetMode="External"/><Relationship Id="rId2" Type="http://schemas.openxmlformats.org/officeDocument/2006/relationships/hyperlink" Target="https://play.ps-baseball.com/events/palm-beach-classic-palm-beach-fl-06-06-2025" TargetMode="External"/><Relationship Id="rId3" Type="http://schemas.openxmlformats.org/officeDocument/2006/relationships/hyperlink" Target="https://play.ps-baseball.com/events/palm-beach-classic-palm-beach-fl-06-06-2025" TargetMode="External"/><Relationship Id="rId4" Type="http://schemas.openxmlformats.org/officeDocument/2006/relationships/hyperlink" Target="https://play.ps-baseball.com/events/palm-beach-classic-palm-beach-fl-06-06-2025" TargetMode="External"/><Relationship Id="rId11" Type="http://schemas.openxmlformats.org/officeDocument/2006/relationships/drawing" Target="../drawings/drawing15.xml"/><Relationship Id="rId10" Type="http://schemas.openxmlformats.org/officeDocument/2006/relationships/hyperlink" Target="https://www.perfectgame.org/Events/TournamentTeams.aspx?event=99742" TargetMode="External"/><Relationship Id="rId9" Type="http://schemas.openxmlformats.org/officeDocument/2006/relationships/hyperlink" Target="https://www.perfectgame.org/Events/TournamentTeams.aspx?event=99742" TargetMode="External"/><Relationship Id="rId5" Type="http://schemas.openxmlformats.org/officeDocument/2006/relationships/hyperlink" Target="https://play.ps-baseball.com/events/palm-beach-classic-palm-beach-fl-06-06-2025" TargetMode="External"/><Relationship Id="rId6" Type="http://schemas.openxmlformats.org/officeDocument/2006/relationships/hyperlink" Target="https://www.usabaseball.com/events/arizona-championships/fan-guide" TargetMode="External"/><Relationship Id="rId7" Type="http://schemas.openxmlformats.org/officeDocument/2006/relationships/hyperlink" Target="https://play.ps-baseball.com/events/palm-beach-classic-palm-beach-fl-06-06-2025" TargetMode="External"/><Relationship Id="rId8" Type="http://schemas.openxmlformats.org/officeDocument/2006/relationships/hyperlink" Target="https://www.perfectgame.org/Events/TournamentTeams.aspx?event=99742" TargetMode="Externa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perfectgame.org/Events/Default.aspx?event=84466" TargetMode="External"/><Relationship Id="rId22" Type="http://schemas.openxmlformats.org/officeDocument/2006/relationships/hyperlink" Target="https://www.perfectgame.org/Events/Default.aspx?event=84466" TargetMode="External"/><Relationship Id="rId21" Type="http://schemas.openxmlformats.org/officeDocument/2006/relationships/hyperlink" Target="https://www.perfectgame.org/Events/Default.aspx?event=84466" TargetMode="External"/><Relationship Id="rId24" Type="http://schemas.openxmlformats.org/officeDocument/2006/relationships/hyperlink" Target="https://www.perfectgame.org/Events/Default.aspx?event=84466" TargetMode="External"/><Relationship Id="rId23" Type="http://schemas.openxmlformats.org/officeDocument/2006/relationships/hyperlink" Target="https://www.perfectgame.org/Events/Default.aspx?event=84466" TargetMode="External"/><Relationship Id="rId1" Type="http://schemas.openxmlformats.org/officeDocument/2006/relationships/hyperlink" Target="https://azfallclassic.com/" TargetMode="External"/><Relationship Id="rId2" Type="http://schemas.openxmlformats.org/officeDocument/2006/relationships/hyperlink" Target="https://azfallclassic.com/" TargetMode="External"/><Relationship Id="rId3" Type="http://schemas.openxmlformats.org/officeDocument/2006/relationships/hyperlink" Target="https://azfallclassic.com/" TargetMode="External"/><Relationship Id="rId4" Type="http://schemas.openxmlformats.org/officeDocument/2006/relationships/hyperlink" Target="https://azfallclassic.com/" TargetMode="External"/><Relationship Id="rId9" Type="http://schemas.openxmlformats.org/officeDocument/2006/relationships/hyperlink" Target="https://azfallclassic.com/" TargetMode="External"/><Relationship Id="rId26" Type="http://schemas.openxmlformats.org/officeDocument/2006/relationships/hyperlink" Target="https://www.perfectgame.org/Events/Default.aspx?event=84466" TargetMode="External"/><Relationship Id="rId25" Type="http://schemas.openxmlformats.org/officeDocument/2006/relationships/hyperlink" Target="https://www.perfectgame.org/Events/Default.aspx?event=84466" TargetMode="External"/><Relationship Id="rId28" Type="http://schemas.openxmlformats.org/officeDocument/2006/relationships/hyperlink" Target="https://www.perfectgame.org/Events/Default.aspx?event=84466" TargetMode="External"/><Relationship Id="rId27" Type="http://schemas.openxmlformats.org/officeDocument/2006/relationships/hyperlink" Target="https://www.perfectgame.org/Events/Default.aspx?event=84466" TargetMode="External"/><Relationship Id="rId5" Type="http://schemas.openxmlformats.org/officeDocument/2006/relationships/hyperlink" Target="https://azfallclassic.com/" TargetMode="External"/><Relationship Id="rId6" Type="http://schemas.openxmlformats.org/officeDocument/2006/relationships/hyperlink" Target="https://azfallclassic.com/" TargetMode="External"/><Relationship Id="rId29" Type="http://schemas.openxmlformats.org/officeDocument/2006/relationships/hyperlink" Target="https://www.perfectgame.org/events/TournamentTeams.aspx?event=84479" TargetMode="External"/><Relationship Id="rId7" Type="http://schemas.openxmlformats.org/officeDocument/2006/relationships/hyperlink" Target="https://azfallclassic.com/" TargetMode="External"/><Relationship Id="rId8" Type="http://schemas.openxmlformats.org/officeDocument/2006/relationships/hyperlink" Target="https://azfallclassic.com/" TargetMode="External"/><Relationship Id="rId31" Type="http://schemas.openxmlformats.org/officeDocument/2006/relationships/hyperlink" Target="https://www.perfectgame.org/events/TournamentTeams.aspx?event=84479" TargetMode="External"/><Relationship Id="rId30" Type="http://schemas.openxmlformats.org/officeDocument/2006/relationships/hyperlink" Target="https://www.perfectgame.org/events/TournamentTeams.aspx?event=84479" TargetMode="External"/><Relationship Id="rId11" Type="http://schemas.openxmlformats.org/officeDocument/2006/relationships/hyperlink" Target="https://azfallclassic.com/" TargetMode="External"/><Relationship Id="rId33" Type="http://schemas.openxmlformats.org/officeDocument/2006/relationships/hyperlink" Target="https://www.perfectgame.org/events/TournamentTeams.aspx?event=84479" TargetMode="External"/><Relationship Id="rId10" Type="http://schemas.openxmlformats.org/officeDocument/2006/relationships/hyperlink" Target="https://azfallclassic.com/" TargetMode="External"/><Relationship Id="rId32" Type="http://schemas.openxmlformats.org/officeDocument/2006/relationships/hyperlink" Target="https://www.perfectgame.org/events/TournamentTeams.aspx?event=84479" TargetMode="External"/><Relationship Id="rId13" Type="http://schemas.openxmlformats.org/officeDocument/2006/relationships/hyperlink" Target="https://azfallclassic.com/" TargetMode="External"/><Relationship Id="rId35" Type="http://schemas.openxmlformats.org/officeDocument/2006/relationships/hyperlink" Target="https://www.perfectgame.org/events/TournamentTeams.aspx?event=84479" TargetMode="External"/><Relationship Id="rId12" Type="http://schemas.openxmlformats.org/officeDocument/2006/relationships/hyperlink" Target="https://azfallclassic.com/" TargetMode="External"/><Relationship Id="rId34" Type="http://schemas.openxmlformats.org/officeDocument/2006/relationships/hyperlink" Target="https://www.perfectgame.org/events/TournamentTeams.aspx?event=84479" TargetMode="External"/><Relationship Id="rId15" Type="http://schemas.openxmlformats.org/officeDocument/2006/relationships/hyperlink" Target="https://azfallclassic.com/" TargetMode="External"/><Relationship Id="rId37" Type="http://schemas.openxmlformats.org/officeDocument/2006/relationships/hyperlink" Target="https://www.perfectgame.org/events/TournamentTeams.aspx?event=84479" TargetMode="External"/><Relationship Id="rId14" Type="http://schemas.openxmlformats.org/officeDocument/2006/relationships/hyperlink" Target="https://azfallclassic.com/" TargetMode="External"/><Relationship Id="rId36" Type="http://schemas.openxmlformats.org/officeDocument/2006/relationships/hyperlink" Target="https://www.perfectgame.org/events/TournamentTeams.aspx?event=84479" TargetMode="External"/><Relationship Id="rId17" Type="http://schemas.openxmlformats.org/officeDocument/2006/relationships/hyperlink" Target="https://www.perfectgame.org/Events/Default.aspx?event=84466" TargetMode="External"/><Relationship Id="rId16" Type="http://schemas.openxmlformats.org/officeDocument/2006/relationships/hyperlink" Target="https://azfallclassic.com/" TargetMode="External"/><Relationship Id="rId38" Type="http://schemas.openxmlformats.org/officeDocument/2006/relationships/drawing" Target="../drawings/drawing16.xml"/><Relationship Id="rId19" Type="http://schemas.openxmlformats.org/officeDocument/2006/relationships/hyperlink" Target="https://www.perfectgame.org/Events/Default.aspx?event=84466" TargetMode="External"/><Relationship Id="rId18" Type="http://schemas.openxmlformats.org/officeDocument/2006/relationships/hyperlink" Target="https://www.perfectgame.org/Events/Default.aspx?event=8446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zfallclassic.com/" TargetMode="External"/><Relationship Id="rId2" Type="http://schemas.openxmlformats.org/officeDocument/2006/relationships/hyperlink" Target="https://azfallclassic.com/" TargetMode="External"/><Relationship Id="rId3" Type="http://schemas.openxmlformats.org/officeDocument/2006/relationships/hyperlink" Target="https://azfallclassic.com/" TargetMode="External"/><Relationship Id="rId4" Type="http://schemas.openxmlformats.org/officeDocument/2006/relationships/hyperlink" Target="https://azfallclassic.com/" TargetMode="External"/><Relationship Id="rId9" Type="http://schemas.openxmlformats.org/officeDocument/2006/relationships/hyperlink" Target="https://www.perfectgame.org/Events/Default.aspx?event=84466" TargetMode="External"/><Relationship Id="rId5" Type="http://schemas.openxmlformats.org/officeDocument/2006/relationships/hyperlink" Target="https://azfallclassic.com/" TargetMode="External"/><Relationship Id="rId6" Type="http://schemas.openxmlformats.org/officeDocument/2006/relationships/hyperlink" Target="https://azfallclassic.com/" TargetMode="External"/><Relationship Id="rId7" Type="http://schemas.openxmlformats.org/officeDocument/2006/relationships/hyperlink" Target="https://azfallclassic.com/" TargetMode="External"/><Relationship Id="rId8" Type="http://schemas.openxmlformats.org/officeDocument/2006/relationships/hyperlink" Target="https://azfallclassic.com/" TargetMode="External"/><Relationship Id="rId11" Type="http://schemas.openxmlformats.org/officeDocument/2006/relationships/hyperlink" Target="https://www.perfectgame.org/Events/Default.aspx?event=84466" TargetMode="External"/><Relationship Id="rId10" Type="http://schemas.openxmlformats.org/officeDocument/2006/relationships/hyperlink" Target="https://www.perfectgame.org/Events/Default.aspx?event=84466" TargetMode="External"/><Relationship Id="rId13" Type="http://schemas.openxmlformats.org/officeDocument/2006/relationships/hyperlink" Target="https://www.perfectgame.org/Events/Default.aspx?event=84466" TargetMode="External"/><Relationship Id="rId12" Type="http://schemas.openxmlformats.org/officeDocument/2006/relationships/hyperlink" Target="https://www.perfectgame.org/Events/Default.aspx?event=84466" TargetMode="External"/><Relationship Id="rId15" Type="http://schemas.openxmlformats.org/officeDocument/2006/relationships/hyperlink" Target="https://www.perfectgame.org/events/TournamentTeams.aspx?event=84479" TargetMode="External"/><Relationship Id="rId14" Type="http://schemas.openxmlformats.org/officeDocument/2006/relationships/hyperlink" Target="https://www.perfectgame.org/events/TournamentTeams.aspx?event=84479" TargetMode="External"/><Relationship Id="rId17" Type="http://schemas.openxmlformats.org/officeDocument/2006/relationships/hyperlink" Target="https://www.perfectgame.org/events/TournamentTeams.aspx?event=84479" TargetMode="External"/><Relationship Id="rId16" Type="http://schemas.openxmlformats.org/officeDocument/2006/relationships/hyperlink" Target="https://www.perfectgame.org/events/TournamentTeams.aspx?event=84479" TargetMode="External"/><Relationship Id="rId19" Type="http://schemas.openxmlformats.org/officeDocument/2006/relationships/drawing" Target="../drawings/drawing17.xml"/><Relationship Id="rId18" Type="http://schemas.openxmlformats.org/officeDocument/2006/relationships/hyperlink" Target="https://www.perfectgame.org/events/TournamentTeams.aspx?event=84479"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axpreps.com/pa/wyndmoor/la-salle-college-explorers/athletes/jack-pye/baseball/stats/?careerid=01m1mi0b58vm6"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hidden="1" min="1" max="2" width="0.38"/>
    <col customWidth="1" hidden="1" min="3" max="3" width="15.5"/>
    <col customWidth="1" hidden="1" min="4" max="4" width="9.75"/>
    <col customWidth="1" hidden="1" min="5" max="5" width="8.75"/>
    <col customWidth="1" min="6" max="6" width="9.0"/>
    <col customWidth="1" min="7" max="7" width="6.0"/>
    <col customWidth="1" min="8" max="9" width="17.5"/>
    <col customWidth="1" min="10" max="10" width="8.75"/>
    <col customWidth="1" min="11" max="11" width="12.0"/>
    <col customWidth="1" min="12" max="12" width="18.63"/>
    <col customWidth="1" min="13" max="15" width="8.75"/>
    <col customWidth="1" min="16" max="16" width="17.5"/>
    <col customWidth="1" min="17" max="17" width="8.75"/>
    <col customWidth="1" min="18" max="19" width="17.5"/>
    <col customWidth="1" min="20" max="20" width="15.38"/>
    <col customWidth="1" min="21" max="23" width="17.5"/>
    <col customWidth="1" min="24" max="25" width="13.38"/>
    <col customWidth="1" min="26" max="26" width="17.5"/>
    <col customWidth="1" min="27" max="27" width="70.25"/>
    <col customWidth="1" min="28" max="28" width="18.5"/>
    <col customWidth="1" min="29" max="29" width="37.75"/>
    <col customWidth="1" min="30" max="30" width="7.88"/>
    <col customWidth="1" min="31" max="31" width="12.25"/>
    <col customWidth="1" min="32" max="32" width="25.88"/>
    <col customWidth="1" min="33" max="34" width="7.88"/>
    <col customWidth="1" min="35" max="35" width="13.38"/>
    <col customWidth="1" min="36" max="36" width="14.63"/>
    <col customWidth="1" hidden="1" min="37" max="37" width="10.0"/>
  </cols>
  <sheetData>
    <row r="1" ht="45.0" customHeight="1">
      <c r="A1" s="1"/>
      <c r="B1" s="2"/>
      <c r="C1" s="1"/>
      <c r="D1" s="3"/>
      <c r="E1" s="4" t="str">
        <f>iferror(IFS(M1="RHP","RHP",M1="LHP","LHP",M1="C","C",M1="CINF","INF",M1="MINF","INF",M1="COF","OF",M1="CF","OF",M1="1B","INF",M1="2B","INF",M1="3B","INF",M1="OF","OF",M1="INF","INF",M1="SS","INF"),"")</f>
        <v/>
      </c>
      <c r="F1" s="2"/>
      <c r="G1" s="2"/>
      <c r="H1" s="2" t="s">
        <v>0</v>
      </c>
      <c r="J1" s="4"/>
      <c r="K1" s="5" t="s">
        <v>1</v>
      </c>
      <c r="L1" s="2"/>
      <c r="M1" s="2"/>
      <c r="N1" s="2"/>
      <c r="O1" s="2"/>
      <c r="P1" s="2"/>
      <c r="Q1" s="2"/>
      <c r="R1" s="2"/>
      <c r="S1" s="2"/>
      <c r="T1" s="2"/>
      <c r="U1" s="2"/>
      <c r="V1" s="2"/>
      <c r="W1" s="2"/>
      <c r="X1" s="2"/>
      <c r="Y1" s="2"/>
      <c r="Z1" s="2"/>
      <c r="AA1" s="2"/>
      <c r="AB1" s="6"/>
      <c r="AC1" s="7"/>
      <c r="AD1" s="8"/>
      <c r="AE1" s="8"/>
      <c r="AF1" s="7"/>
      <c r="AG1" s="7"/>
      <c r="AH1" s="7"/>
      <c r="AI1" s="9"/>
      <c r="AJ1" s="10" t="s">
        <v>2</v>
      </c>
      <c r="AK1" s="2"/>
    </row>
    <row r="2">
      <c r="A2" s="11"/>
      <c r="B2" s="12"/>
      <c r="C2" s="11"/>
      <c r="D2" s="13"/>
      <c r="E2" s="4"/>
      <c r="F2" s="4"/>
      <c r="G2" s="4"/>
      <c r="H2" s="4"/>
      <c r="I2" s="4"/>
      <c r="J2" s="14"/>
      <c r="K2" s="15" t="s">
        <v>3</v>
      </c>
      <c r="L2" s="4"/>
      <c r="M2" s="4"/>
      <c r="N2" s="16"/>
      <c r="O2" s="4"/>
      <c r="P2" s="4"/>
      <c r="Q2" s="4"/>
      <c r="R2" s="4"/>
      <c r="S2" s="2"/>
      <c r="T2" s="4"/>
      <c r="U2" s="4"/>
      <c r="V2" s="4"/>
      <c r="W2" s="4"/>
      <c r="X2" s="4"/>
      <c r="Y2" s="4"/>
      <c r="Z2" s="16"/>
      <c r="AA2" s="16"/>
      <c r="AB2" s="17" t="s">
        <v>4</v>
      </c>
      <c r="AI2" s="18"/>
      <c r="AK2" s="16"/>
    </row>
    <row r="3">
      <c r="A3" s="11"/>
      <c r="B3" s="19" t="s">
        <v>5</v>
      </c>
      <c r="C3" s="11" t="s">
        <v>6</v>
      </c>
      <c r="D3" s="13" t="s">
        <v>7</v>
      </c>
      <c r="E3" s="20" t="s">
        <v>8</v>
      </c>
      <c r="F3" s="21" t="s">
        <v>9</v>
      </c>
      <c r="G3" s="22" t="s">
        <v>10</v>
      </c>
      <c r="H3" s="23" t="s">
        <v>11</v>
      </c>
      <c r="I3" s="24" t="s">
        <v>12</v>
      </c>
      <c r="J3" s="20" t="s">
        <v>13</v>
      </c>
      <c r="K3" s="25" t="s">
        <v>14</v>
      </c>
      <c r="L3" s="26" t="s">
        <v>15</v>
      </c>
      <c r="M3" s="20" t="s">
        <v>16</v>
      </c>
      <c r="N3" s="27" t="s">
        <v>17</v>
      </c>
      <c r="O3" s="20" t="s">
        <v>18</v>
      </c>
      <c r="P3" s="20" t="s">
        <v>19</v>
      </c>
      <c r="Q3" s="20" t="s">
        <v>20</v>
      </c>
      <c r="R3" s="20" t="s">
        <v>21</v>
      </c>
      <c r="S3" s="20" t="s">
        <v>22</v>
      </c>
      <c r="T3" s="20" t="s">
        <v>23</v>
      </c>
      <c r="U3" s="20" t="s">
        <v>24</v>
      </c>
      <c r="V3" s="20" t="s">
        <v>25</v>
      </c>
      <c r="W3" s="20" t="s">
        <v>26</v>
      </c>
      <c r="X3" s="20" t="s">
        <v>27</v>
      </c>
      <c r="Y3" s="20" t="s">
        <v>28</v>
      </c>
      <c r="Z3" s="28" t="s">
        <v>29</v>
      </c>
      <c r="AA3" s="29" t="s">
        <v>30</v>
      </c>
      <c r="AB3" s="30" t="s">
        <v>24</v>
      </c>
      <c r="AC3" s="31" t="s">
        <v>31</v>
      </c>
      <c r="AD3" s="31" t="s">
        <v>32</v>
      </c>
      <c r="AE3" s="31" t="s">
        <v>33</v>
      </c>
      <c r="AF3" s="31" t="s">
        <v>34</v>
      </c>
      <c r="AG3" s="31" t="s">
        <v>35</v>
      </c>
      <c r="AH3" s="31" t="s">
        <v>36</v>
      </c>
      <c r="AI3" s="32" t="s">
        <v>37</v>
      </c>
      <c r="AJ3" s="33" t="s">
        <v>38</v>
      </c>
      <c r="AK3" s="34"/>
    </row>
    <row r="4" ht="24.0" customHeight="1">
      <c r="A4" s="35"/>
      <c r="B4" s="36">
        <v>1.0</v>
      </c>
      <c r="C4" s="37" t="str">
        <f>IFERROR(__xludf.DUMMYFUNCTION("MAP(D4:D2085, K4:K2085, J4:J2085, M4:M2085, Q4:Q2085, 
   LAMBDA(c, k, j, m, q, 
     IF(c="""", """", 
       IFERROR(c &amp; "" ("" &amp; k &amp; "") - "" &amp; ""'2"" &amp; SPLIT(j,""20"") &amp; "" "" &amp; m) &amp; "" "" &amp; q
     )
   )
)"),"John Loudon (0.1) - '25 COF GA")</f>
        <v>John Loudon (0.1) - '25 COF GA</v>
      </c>
      <c r="D4" s="38" t="str">
        <f t="array" ref="D4:D2085">MAP(H4:H2085, I4:I2085, 
   LAMBDA(h, i, 
     IF(h="", "", h &amp; " " &amp; i)
   )
)</f>
        <v>John Loudon</v>
      </c>
      <c r="E4" s="39" t="str">
        <f t="array" ref="E4:E2085">MAP(M4:M2085, 
   LAMBDA(m, 
     IF(m="", "", 
       IFERROR(IFS(
         m="RHP","RHP",
         m="LHP","LHP",
         m="C","C",
         m="CINF","INF",
         m="MINF","INF",
         m="COF","OF",
         m="CF","OF",
         m="1B","INF",
         m="2B","INF",
         m="3B","INF",
         m="OF","OF",
         m="INF","INF",
         m="SS","INF"
       ),"")
     )
   )
)</f>
        <v>OF</v>
      </c>
      <c r="F4" s="40"/>
      <c r="G4" s="41"/>
      <c r="H4" s="42" t="s">
        <v>39</v>
      </c>
      <c r="I4" s="43" t="s">
        <v>40</v>
      </c>
      <c r="J4" s="43">
        <v>2025.0</v>
      </c>
      <c r="K4" s="43">
        <v>0.1</v>
      </c>
      <c r="L4" s="43" t="s">
        <v>41</v>
      </c>
      <c r="M4" s="43" t="s">
        <v>42</v>
      </c>
      <c r="N4" s="43"/>
      <c r="O4" s="43"/>
      <c r="P4" s="43"/>
      <c r="Q4" s="43" t="s">
        <v>43</v>
      </c>
      <c r="R4" s="43" t="s">
        <v>44</v>
      </c>
      <c r="S4" s="44" t="s">
        <v>45</v>
      </c>
      <c r="T4" s="43"/>
      <c r="U4" s="43"/>
      <c r="V4" s="39"/>
      <c r="W4" s="39"/>
      <c r="X4" s="45">
        <v>45937.0</v>
      </c>
      <c r="Y4" s="39"/>
      <c r="Z4" s="46"/>
      <c r="AA4" s="47" t="s">
        <v>46</v>
      </c>
      <c r="AB4" s="48" t="str">
        <f t="array" ref="AB4:AB2085">MAP($D4:$D2085, 
   LAMBDA(d, 
     IF(d="", "", 
       XLOOKUP(d, 'Recruiting Form Responses'!$C:$C, 'Recruiting Form Responses'!D:D, "", 0, 1)
     )
   )
)</f>
        <v/>
      </c>
      <c r="AC4" s="48" t="str">
        <f t="array" ref="AC4:AC2085">MAP($D4:$D2085, 
   LAMBDA(d, 
     IF(d="", "", 
       XLOOKUP(d, 'Recruiting Form Responses'!$C:$C, 'Recruiting Form Responses'!G:G, "", 0, 1)
     )
   )
)</f>
        <v/>
      </c>
      <c r="AD4" s="48" t="str">
        <f t="array" ref="AD4:AD2085">MAP($D4:$D2085, 
   LAMBDA(d, 
     IF(d="", "", 
       XLOOKUP(d, 'Recruiting Form Responses'!$C:$C, 'Recruiting Form Responses'!H:H, "", 0, 1)
     )
   )
)</f>
        <v/>
      </c>
      <c r="AE4" s="48" t="str">
        <f t="array" ref="AE4:AE2085">MAP($D4:$D2085, 
   LAMBDA(d, 
     IF(d="", "", 
       XLOOKUP(d, 'Recruiting Form Responses'!$C:$C, 'Recruiting Form Responses'!I:I, "", 0, 1)
     )
   )
)</f>
        <v/>
      </c>
      <c r="AF4" s="48" t="str">
        <f t="array" ref="AF4:AF2085">MAP($D4:$D2085, 
   LAMBDA(d, 
     IF(d="", "", 
       XLOOKUP(d, 'Recruiting Form Responses'!$C:$C, 'Recruiting Form Responses'!J:J, "", 0, 1)
     )
   )
)</f>
        <v/>
      </c>
      <c r="AG4" s="48" t="str">
        <f t="array" ref="AG4:AG2085">MAP($D4:$D2085, 
   LAMBDA(d, 
     IF(d="", "", 
       XLOOKUP(d, 'Recruiting Form Responses'!$C:$C, 'Recruiting Form Responses'!K:K, "", 0, 1)
     )
   )
)</f>
        <v/>
      </c>
      <c r="AH4" s="48" t="str">
        <f t="array" ref="AH4:AH2085">MAP($D4:$D2085, 
   LAMBDA(d, 
     IF(d="", "", 
       XLOOKUP(d, 'Recruiting Form Responses'!$C:$C, 'Recruiting Form Responses'!L:L, "", 0, 1)
     )
   )
)</f>
        <v/>
      </c>
      <c r="AI4" s="48" t="str">
        <f t="array" ref="AI4:AI2085">MAP($D4:$D2085, 
   LAMBDA(d, 
     IF(d="", "", 
       XLOOKUP(d, 'Recruiting Form Responses'!$C:$C, 'Recruiting Form Responses'!M:M, "", 0, 1)
     )
   )
)</f>
        <v/>
      </c>
      <c r="AJ4" s="49" t="str">
        <f t="array" ref="AJ4:AJ2085">MAP($D4:$D2085, 
   LAMBDA(d, 
     IF(d="", "", 
       XLOOKUP(d, StarUpdater!$A:$A, StarUpdater!D:D, "", 0, 1)
     )
   )
)</f>
        <v/>
      </c>
      <c r="AK4" s="46"/>
    </row>
    <row r="5" ht="24.0" customHeight="1">
      <c r="A5" s="50"/>
      <c r="B5" s="36">
        <v>1.0</v>
      </c>
      <c r="C5" s="37" t="str">
        <f>IFERROR(__xludf.DUMMYFUNCTION("""COMPUTED_VALUE"""),"Noah Stead (0.1) - '25 MINF CA")</f>
        <v>Noah Stead (0.1) - '25 MINF CA</v>
      </c>
      <c r="D5" s="38" t="s">
        <v>47</v>
      </c>
      <c r="E5" s="51" t="s">
        <v>48</v>
      </c>
      <c r="F5" s="52"/>
      <c r="G5" s="53"/>
      <c r="H5" s="54" t="s">
        <v>49</v>
      </c>
      <c r="I5" s="55" t="s">
        <v>50</v>
      </c>
      <c r="J5" s="55">
        <v>2025.0</v>
      </c>
      <c r="K5" s="56">
        <v>0.1</v>
      </c>
      <c r="L5" s="55" t="s">
        <v>41</v>
      </c>
      <c r="M5" s="55" t="s">
        <v>51</v>
      </c>
      <c r="N5" s="55"/>
      <c r="O5" s="55"/>
      <c r="P5" s="57"/>
      <c r="Q5" s="55" t="s">
        <v>52</v>
      </c>
      <c r="R5" s="55" t="s">
        <v>53</v>
      </c>
      <c r="S5" s="58" t="s">
        <v>54</v>
      </c>
      <c r="T5" s="55"/>
      <c r="U5" s="55"/>
      <c r="V5" s="51"/>
      <c r="W5" s="51"/>
      <c r="X5" s="59">
        <v>45527.0</v>
      </c>
      <c r="Y5" s="51"/>
      <c r="Z5" s="60"/>
      <c r="AA5" s="61" t="s">
        <v>55</v>
      </c>
      <c r="AB5" s="62" t="s">
        <v>56</v>
      </c>
      <c r="AC5" s="63" t="s">
        <v>57</v>
      </c>
      <c r="AD5" s="64" t="s">
        <v>58</v>
      </c>
      <c r="AE5" s="64" t="s">
        <v>59</v>
      </c>
      <c r="AF5" s="63" t="s">
        <v>60</v>
      </c>
      <c r="AG5" s="63" t="s">
        <v>60</v>
      </c>
      <c r="AH5" s="63" t="s">
        <v>60</v>
      </c>
      <c r="AI5" s="65" t="s">
        <v>60</v>
      </c>
      <c r="AJ5" s="66" t="s">
        <v>61</v>
      </c>
      <c r="AK5" s="60"/>
    </row>
    <row r="6" ht="24.0" customHeight="1">
      <c r="A6" s="35"/>
      <c r="B6" s="36">
        <v>1.0</v>
      </c>
      <c r="C6" s="37" t="str">
        <f>IFERROR(__xludf.DUMMYFUNCTION("""COMPUTED_VALUE"""),"Owen Phypers (0.1) - '25 RHP FL")</f>
        <v>Owen Phypers (0.1) - '25 RHP FL</v>
      </c>
      <c r="D6" s="38" t="s">
        <v>62</v>
      </c>
      <c r="E6" s="39" t="s">
        <v>63</v>
      </c>
      <c r="F6" s="40"/>
      <c r="G6" s="41"/>
      <c r="H6" s="42" t="s">
        <v>64</v>
      </c>
      <c r="I6" s="43" t="s">
        <v>65</v>
      </c>
      <c r="J6" s="43">
        <v>2025.0</v>
      </c>
      <c r="K6" s="43">
        <v>0.1</v>
      </c>
      <c r="L6" s="43" t="s">
        <v>41</v>
      </c>
      <c r="M6" s="43" t="s">
        <v>63</v>
      </c>
      <c r="N6" s="43"/>
      <c r="O6" s="43"/>
      <c r="P6" s="43"/>
      <c r="Q6" s="43" t="s">
        <v>66</v>
      </c>
      <c r="R6" s="43" t="s">
        <v>67</v>
      </c>
      <c r="S6" s="44" t="s">
        <v>68</v>
      </c>
      <c r="T6" s="43"/>
      <c r="U6" s="43"/>
      <c r="V6" s="39"/>
      <c r="W6" s="39"/>
      <c r="X6" s="67">
        <v>45474.0</v>
      </c>
      <c r="Y6" s="39"/>
      <c r="Z6" s="46"/>
      <c r="AA6" s="47"/>
      <c r="AB6" s="48" t="s">
        <v>61</v>
      </c>
      <c r="AC6" s="68" t="s">
        <v>61</v>
      </c>
      <c r="AD6" s="69" t="s">
        <v>61</v>
      </c>
      <c r="AE6" s="69" t="s">
        <v>61</v>
      </c>
      <c r="AF6" s="68" t="s">
        <v>61</v>
      </c>
      <c r="AG6" s="68" t="s">
        <v>61</v>
      </c>
      <c r="AH6" s="68" t="s">
        <v>61</v>
      </c>
      <c r="AI6" s="70" t="s">
        <v>61</v>
      </c>
      <c r="AJ6" s="49" t="s">
        <v>61</v>
      </c>
      <c r="AK6" s="46"/>
    </row>
    <row r="7" ht="24.0" customHeight="1">
      <c r="A7" s="71"/>
      <c r="B7" s="36">
        <v>1.0</v>
      </c>
      <c r="C7" s="37" t="str">
        <f>IFERROR(__xludf.DUMMYFUNCTION("""COMPUTED_VALUE"""),"Patrick Walsh (0.1) - '25 CINF NC")</f>
        <v>Patrick Walsh (0.1) - '25 CINF NC</v>
      </c>
      <c r="D7" s="38" t="s">
        <v>69</v>
      </c>
      <c r="E7" s="51" t="s">
        <v>48</v>
      </c>
      <c r="F7" s="52"/>
      <c r="G7" s="53"/>
      <c r="H7" s="54" t="s">
        <v>70</v>
      </c>
      <c r="I7" s="55" t="s">
        <v>71</v>
      </c>
      <c r="J7" s="55">
        <v>2025.0</v>
      </c>
      <c r="K7" s="55">
        <v>0.1</v>
      </c>
      <c r="L7" s="55" t="s">
        <v>41</v>
      </c>
      <c r="M7" s="55" t="s">
        <v>72</v>
      </c>
      <c r="N7" s="72"/>
      <c r="O7" s="55"/>
      <c r="P7" s="57"/>
      <c r="Q7" s="55" t="s">
        <v>73</v>
      </c>
      <c r="R7" s="55" t="s">
        <v>74</v>
      </c>
      <c r="S7" s="58" t="s">
        <v>75</v>
      </c>
      <c r="T7" s="55"/>
      <c r="U7" s="55"/>
      <c r="V7" s="51"/>
      <c r="W7" s="51"/>
      <c r="X7" s="51"/>
      <c r="Y7" s="51"/>
      <c r="Z7" s="60"/>
      <c r="AA7" s="73" t="s">
        <v>76</v>
      </c>
      <c r="AB7" s="62" t="s">
        <v>77</v>
      </c>
      <c r="AC7" s="63" t="s">
        <v>78</v>
      </c>
      <c r="AD7" s="64">
        <v>4.44</v>
      </c>
      <c r="AE7" s="64" t="s">
        <v>79</v>
      </c>
      <c r="AF7" s="63" t="s">
        <v>80</v>
      </c>
      <c r="AG7" s="63" t="s">
        <v>81</v>
      </c>
      <c r="AH7" s="63" t="s">
        <v>81</v>
      </c>
      <c r="AI7" s="65" t="s">
        <v>81</v>
      </c>
      <c r="AJ7" s="66" t="s">
        <v>61</v>
      </c>
      <c r="AK7" s="60"/>
    </row>
    <row r="8" ht="24.0" customHeight="1">
      <c r="A8" s="35"/>
      <c r="B8" s="36">
        <v>1.0</v>
      </c>
      <c r="C8" s="37" t="str">
        <f>IFERROR(__xludf.DUMMYFUNCTION("""COMPUTED_VALUE"""),"Sachin Gopal (0.1) - '25 RHP MA")</f>
        <v>Sachin Gopal (0.1) - '25 RHP MA</v>
      </c>
      <c r="D8" s="38" t="s">
        <v>82</v>
      </c>
      <c r="E8" s="39" t="s">
        <v>63</v>
      </c>
      <c r="F8" s="40"/>
      <c r="G8" s="41"/>
      <c r="H8" s="42" t="s">
        <v>83</v>
      </c>
      <c r="I8" s="43" t="s">
        <v>84</v>
      </c>
      <c r="J8" s="43">
        <v>2025.0</v>
      </c>
      <c r="K8" s="43">
        <v>0.1</v>
      </c>
      <c r="L8" s="43" t="s">
        <v>41</v>
      </c>
      <c r="M8" s="43" t="s">
        <v>63</v>
      </c>
      <c r="N8" s="43"/>
      <c r="O8" s="43"/>
      <c r="P8" s="43"/>
      <c r="Q8" s="43" t="s">
        <v>85</v>
      </c>
      <c r="R8" s="43" t="s">
        <v>86</v>
      </c>
      <c r="S8" s="44" t="s">
        <v>87</v>
      </c>
      <c r="T8" s="43"/>
      <c r="U8" s="43"/>
      <c r="V8" s="39"/>
      <c r="W8" s="39"/>
      <c r="X8" s="67">
        <v>45461.0</v>
      </c>
      <c r="Y8" s="39"/>
      <c r="Z8" s="46"/>
      <c r="AA8" s="47"/>
      <c r="AB8" s="48" t="s">
        <v>88</v>
      </c>
      <c r="AC8" s="68" t="s">
        <v>89</v>
      </c>
      <c r="AD8" s="69" t="s">
        <v>90</v>
      </c>
      <c r="AE8" s="69" t="s">
        <v>91</v>
      </c>
      <c r="AF8" s="68" t="s">
        <v>92</v>
      </c>
      <c r="AG8" s="68" t="s">
        <v>93</v>
      </c>
      <c r="AH8" s="68" t="s">
        <v>94</v>
      </c>
      <c r="AI8" s="70" t="s">
        <v>95</v>
      </c>
      <c r="AJ8" s="49" t="s">
        <v>61</v>
      </c>
      <c r="AK8" s="46"/>
    </row>
    <row r="9" ht="24.0" customHeight="1">
      <c r="A9" s="35"/>
      <c r="B9" s="36">
        <v>1.0</v>
      </c>
      <c r="C9" s="37" t="str">
        <f>IFERROR(__xludf.DUMMYFUNCTION("""COMPUTED_VALUE"""),"Sinjon Lash (0.1) - '25 RHP GA")</f>
        <v>Sinjon Lash (0.1) - '25 RHP GA</v>
      </c>
      <c r="D9" s="38" t="s">
        <v>96</v>
      </c>
      <c r="E9" s="51" t="s">
        <v>63</v>
      </c>
      <c r="F9" s="52"/>
      <c r="G9" s="53"/>
      <c r="H9" s="54" t="s">
        <v>97</v>
      </c>
      <c r="I9" s="55" t="s">
        <v>98</v>
      </c>
      <c r="J9" s="55">
        <v>2025.0</v>
      </c>
      <c r="K9" s="55">
        <v>0.1</v>
      </c>
      <c r="L9" s="55" t="s">
        <v>41</v>
      </c>
      <c r="M9" s="55" t="s">
        <v>63</v>
      </c>
      <c r="N9" s="55"/>
      <c r="O9" s="55"/>
      <c r="P9" s="55"/>
      <c r="Q9" s="55" t="s">
        <v>43</v>
      </c>
      <c r="R9" s="55" t="s">
        <v>99</v>
      </c>
      <c r="S9" s="58" t="s">
        <v>100</v>
      </c>
      <c r="T9" s="55"/>
      <c r="U9" s="55"/>
      <c r="V9" s="51"/>
      <c r="W9" s="74"/>
      <c r="X9" s="75">
        <v>45951.0</v>
      </c>
      <c r="Y9" s="74"/>
      <c r="Z9" s="76"/>
      <c r="AA9" s="73" t="s">
        <v>101</v>
      </c>
      <c r="AB9" s="62" t="s">
        <v>61</v>
      </c>
      <c r="AC9" s="63" t="s">
        <v>61</v>
      </c>
      <c r="AD9" s="64" t="s">
        <v>61</v>
      </c>
      <c r="AE9" s="64" t="s">
        <v>61</v>
      </c>
      <c r="AF9" s="63" t="s">
        <v>61</v>
      </c>
      <c r="AG9" s="63" t="s">
        <v>61</v>
      </c>
      <c r="AH9" s="63" t="s">
        <v>61</v>
      </c>
      <c r="AI9" s="65" t="s">
        <v>61</v>
      </c>
      <c r="AJ9" s="66" t="s">
        <v>61</v>
      </c>
      <c r="AK9" s="60"/>
    </row>
    <row r="10" ht="24.0" customHeight="1">
      <c r="A10" s="35"/>
      <c r="B10" s="36">
        <v>1.0</v>
      </c>
      <c r="C10" s="37" t="str">
        <f>IFERROR(__xludf.DUMMYFUNCTION("""COMPUTED_VALUE"""),"Tyler Cripe (0.1) - '25 CF FL")</f>
        <v>Tyler Cripe (0.1) - '25 CF FL</v>
      </c>
      <c r="D10" s="38" t="s">
        <v>102</v>
      </c>
      <c r="E10" s="39" t="s">
        <v>103</v>
      </c>
      <c r="F10" s="40"/>
      <c r="G10" s="41"/>
      <c r="H10" s="42" t="s">
        <v>104</v>
      </c>
      <c r="I10" s="43" t="s">
        <v>105</v>
      </c>
      <c r="J10" s="43">
        <v>2025.0</v>
      </c>
      <c r="K10" s="43">
        <v>0.1</v>
      </c>
      <c r="L10" s="43" t="s">
        <v>41</v>
      </c>
      <c r="M10" s="43" t="s">
        <v>106</v>
      </c>
      <c r="N10" s="43"/>
      <c r="O10" s="43"/>
      <c r="P10" s="43"/>
      <c r="Q10" s="43" t="s">
        <v>66</v>
      </c>
      <c r="R10" s="43" t="s">
        <v>68</v>
      </c>
      <c r="S10" s="44"/>
      <c r="T10" s="43"/>
      <c r="U10" s="43"/>
      <c r="V10" s="39"/>
      <c r="W10" s="39"/>
      <c r="X10" s="77">
        <v>45972.0</v>
      </c>
      <c r="Y10" s="39"/>
      <c r="Z10" s="46"/>
      <c r="AA10" s="47" t="s">
        <v>107</v>
      </c>
      <c r="AB10" s="48" t="s">
        <v>61</v>
      </c>
      <c r="AC10" s="68" t="s">
        <v>61</v>
      </c>
      <c r="AD10" s="69" t="s">
        <v>61</v>
      </c>
      <c r="AE10" s="69" t="s">
        <v>61</v>
      </c>
      <c r="AF10" s="68" t="s">
        <v>61</v>
      </c>
      <c r="AG10" s="68" t="s">
        <v>61</v>
      </c>
      <c r="AH10" s="68" t="s">
        <v>61</v>
      </c>
      <c r="AI10" s="70" t="s">
        <v>61</v>
      </c>
      <c r="AJ10" s="78" t="s">
        <v>61</v>
      </c>
      <c r="AK10" s="79"/>
    </row>
    <row r="11" ht="24.0" customHeight="1">
      <c r="A11" s="35"/>
      <c r="B11" s="36">
        <v>1.0</v>
      </c>
      <c r="C11" s="37" t="str">
        <f>IFERROR(__xludf.DUMMYFUNCTION("""COMPUTED_VALUE"""),"Will Howard (0.1) - '25 C KS")</f>
        <v>Will Howard (0.1) - '25 C KS</v>
      </c>
      <c r="D11" s="38" t="s">
        <v>108</v>
      </c>
      <c r="E11" s="51" t="s">
        <v>109</v>
      </c>
      <c r="F11" s="52"/>
      <c r="G11" s="53"/>
      <c r="H11" s="54" t="s">
        <v>110</v>
      </c>
      <c r="I11" s="55" t="s">
        <v>111</v>
      </c>
      <c r="J11" s="55">
        <v>2025.0</v>
      </c>
      <c r="K11" s="55">
        <v>0.1</v>
      </c>
      <c r="L11" s="55" t="s">
        <v>41</v>
      </c>
      <c r="M11" s="55" t="s">
        <v>109</v>
      </c>
      <c r="N11" s="55"/>
      <c r="O11" s="55"/>
      <c r="P11" s="55"/>
      <c r="Q11" s="55" t="s">
        <v>112</v>
      </c>
      <c r="R11" s="55"/>
      <c r="S11" s="58" t="s">
        <v>113</v>
      </c>
      <c r="T11" s="55"/>
      <c r="U11" s="55"/>
      <c r="V11" s="51"/>
      <c r="W11" s="51"/>
      <c r="X11" s="51"/>
      <c r="Y11" s="51"/>
      <c r="Z11" s="60"/>
      <c r="AA11" s="73" t="s">
        <v>114</v>
      </c>
      <c r="AB11" s="62" t="s">
        <v>61</v>
      </c>
      <c r="AC11" s="63" t="s">
        <v>61</v>
      </c>
      <c r="AD11" s="64" t="s">
        <v>61</v>
      </c>
      <c r="AE11" s="64" t="s">
        <v>61</v>
      </c>
      <c r="AF11" s="63" t="s">
        <v>61</v>
      </c>
      <c r="AG11" s="63" t="s">
        <v>61</v>
      </c>
      <c r="AH11" s="63" t="s">
        <v>61</v>
      </c>
      <c r="AI11" s="65" t="s">
        <v>61</v>
      </c>
      <c r="AJ11" s="66" t="s">
        <v>61</v>
      </c>
      <c r="AK11" s="60"/>
    </row>
    <row r="12" ht="24.0" customHeight="1">
      <c r="A12" s="35"/>
      <c r="B12" s="36">
        <v>1.0</v>
      </c>
      <c r="C12" s="37" t="str">
        <f>IFERROR(__xludf.DUMMYFUNCTION("""COMPUTED_VALUE"""),"Ben Baldessare (2) - '25 MINF NC")</f>
        <v>Ben Baldessare (2) - '25 MINF NC</v>
      </c>
      <c r="D12" s="38" t="s">
        <v>115</v>
      </c>
      <c r="E12" s="39" t="s">
        <v>48</v>
      </c>
      <c r="F12" s="40"/>
      <c r="G12" s="41"/>
      <c r="H12" s="42" t="s">
        <v>116</v>
      </c>
      <c r="I12" s="43" t="s">
        <v>117</v>
      </c>
      <c r="J12" s="43">
        <v>2025.0</v>
      </c>
      <c r="K12" s="43">
        <v>2.0</v>
      </c>
      <c r="L12" s="80"/>
      <c r="M12" s="43" t="s">
        <v>51</v>
      </c>
      <c r="N12" s="43"/>
      <c r="O12" s="43"/>
      <c r="P12" s="80"/>
      <c r="Q12" s="43" t="s">
        <v>73</v>
      </c>
      <c r="R12" s="43" t="s">
        <v>118</v>
      </c>
      <c r="S12" s="44" t="s">
        <v>119</v>
      </c>
      <c r="T12" s="43"/>
      <c r="U12" s="43"/>
      <c r="V12" s="81"/>
      <c r="W12" s="39"/>
      <c r="X12" s="81"/>
      <c r="Y12" s="81"/>
      <c r="Z12" s="82"/>
      <c r="AA12" s="47" t="s">
        <v>120</v>
      </c>
      <c r="AB12" s="48" t="s">
        <v>61</v>
      </c>
      <c r="AC12" s="68" t="s">
        <v>61</v>
      </c>
      <c r="AD12" s="69" t="s">
        <v>61</v>
      </c>
      <c r="AE12" s="69" t="s">
        <v>61</v>
      </c>
      <c r="AF12" s="68" t="s">
        <v>61</v>
      </c>
      <c r="AG12" s="68" t="s">
        <v>61</v>
      </c>
      <c r="AH12" s="68" t="s">
        <v>61</v>
      </c>
      <c r="AI12" s="70" t="s">
        <v>61</v>
      </c>
      <c r="AJ12" s="49" t="s">
        <v>61</v>
      </c>
      <c r="AK12" s="46"/>
    </row>
    <row r="13" ht="24.0" customHeight="1">
      <c r="A13" s="35"/>
      <c r="B13" s="36">
        <v>1.0</v>
      </c>
      <c r="C13" s="37" t="str">
        <f>IFERROR(__xludf.DUMMYFUNCTION("""COMPUTED_VALUE"""),"Cal Travers (2) - '25 LHP VA")</f>
        <v>Cal Travers (2) - '25 LHP VA</v>
      </c>
      <c r="D13" s="38" t="s">
        <v>121</v>
      </c>
      <c r="E13" s="51" t="s">
        <v>122</v>
      </c>
      <c r="F13" s="52"/>
      <c r="G13" s="53"/>
      <c r="H13" s="54" t="s">
        <v>123</v>
      </c>
      <c r="I13" s="55" t="s">
        <v>124</v>
      </c>
      <c r="J13" s="55">
        <v>2025.0</v>
      </c>
      <c r="K13" s="55">
        <v>2.0</v>
      </c>
      <c r="L13" s="55"/>
      <c r="M13" s="55" t="s">
        <v>122</v>
      </c>
      <c r="N13" s="55"/>
      <c r="O13" s="55"/>
      <c r="P13" s="55"/>
      <c r="Q13" s="55" t="s">
        <v>125</v>
      </c>
      <c r="R13" s="55" t="s">
        <v>126</v>
      </c>
      <c r="S13" s="58" t="s">
        <v>127</v>
      </c>
      <c r="T13" s="55"/>
      <c r="U13" s="55"/>
      <c r="V13" s="51"/>
      <c r="W13" s="51"/>
      <c r="X13" s="51"/>
      <c r="Y13" s="51"/>
      <c r="Z13" s="60"/>
      <c r="AA13" s="73" t="s">
        <v>128</v>
      </c>
      <c r="AB13" s="62" t="s">
        <v>61</v>
      </c>
      <c r="AC13" s="63" t="s">
        <v>61</v>
      </c>
      <c r="AD13" s="64" t="s">
        <v>61</v>
      </c>
      <c r="AE13" s="64" t="s">
        <v>61</v>
      </c>
      <c r="AF13" s="63" t="s">
        <v>61</v>
      </c>
      <c r="AG13" s="63" t="s">
        <v>61</v>
      </c>
      <c r="AH13" s="63" t="s">
        <v>61</v>
      </c>
      <c r="AI13" s="65" t="s">
        <v>61</v>
      </c>
      <c r="AJ13" s="66" t="s">
        <v>61</v>
      </c>
      <c r="AK13" s="60"/>
    </row>
    <row r="14" ht="24.0" customHeight="1">
      <c r="A14" s="35"/>
      <c r="B14" s="36">
        <v>1.0</v>
      </c>
      <c r="C14" s="37" t="str">
        <f>IFERROR(__xludf.DUMMYFUNCTION("""COMPUTED_VALUE"""),"Eric Harrison (2) - '25 MINF FL")</f>
        <v>Eric Harrison (2) - '25 MINF FL</v>
      </c>
      <c r="D14" s="38" t="s">
        <v>129</v>
      </c>
      <c r="E14" s="39" t="s">
        <v>48</v>
      </c>
      <c r="F14" s="40"/>
      <c r="G14" s="41"/>
      <c r="H14" s="42" t="s">
        <v>130</v>
      </c>
      <c r="I14" s="43" t="s">
        <v>131</v>
      </c>
      <c r="J14" s="43">
        <v>2025.0</v>
      </c>
      <c r="K14" s="43">
        <v>2.0</v>
      </c>
      <c r="L14" s="43"/>
      <c r="M14" s="43" t="s">
        <v>51</v>
      </c>
      <c r="N14" s="43"/>
      <c r="O14" s="43"/>
      <c r="P14" s="80"/>
      <c r="Q14" s="43" t="s">
        <v>66</v>
      </c>
      <c r="R14" s="43" t="s">
        <v>132</v>
      </c>
      <c r="S14" s="44" t="s">
        <v>133</v>
      </c>
      <c r="T14" s="43"/>
      <c r="U14" s="43"/>
      <c r="V14" s="39"/>
      <c r="W14" s="39"/>
      <c r="X14" s="39"/>
      <c r="Y14" s="39"/>
      <c r="Z14" s="46"/>
      <c r="AA14" s="47" t="s">
        <v>134</v>
      </c>
      <c r="AB14" s="48" t="s">
        <v>61</v>
      </c>
      <c r="AC14" s="68" t="s">
        <v>61</v>
      </c>
      <c r="AD14" s="69" t="s">
        <v>61</v>
      </c>
      <c r="AE14" s="69" t="s">
        <v>61</v>
      </c>
      <c r="AF14" s="68" t="s">
        <v>61</v>
      </c>
      <c r="AG14" s="68" t="s">
        <v>61</v>
      </c>
      <c r="AH14" s="68" t="s">
        <v>61</v>
      </c>
      <c r="AI14" s="70" t="s">
        <v>61</v>
      </c>
      <c r="AJ14" s="49" t="s">
        <v>61</v>
      </c>
      <c r="AK14" s="46"/>
    </row>
    <row r="15" ht="24.0" customHeight="1">
      <c r="A15" s="35"/>
      <c r="B15" s="36">
        <v>1.0</v>
      </c>
      <c r="C15" s="37" t="str">
        <f>IFERROR(__xludf.DUMMYFUNCTION("""COMPUTED_VALUE"""),"Jake Hooten (2) - '25 CF FL")</f>
        <v>Jake Hooten (2) - '25 CF FL</v>
      </c>
      <c r="D15" s="38" t="s">
        <v>135</v>
      </c>
      <c r="E15" s="51" t="s">
        <v>103</v>
      </c>
      <c r="F15" s="52"/>
      <c r="G15" s="53"/>
      <c r="H15" s="54" t="s">
        <v>136</v>
      </c>
      <c r="I15" s="55" t="s">
        <v>137</v>
      </c>
      <c r="J15" s="55">
        <v>2025.0</v>
      </c>
      <c r="K15" s="55">
        <v>2.0</v>
      </c>
      <c r="L15" s="55"/>
      <c r="M15" s="55" t="s">
        <v>106</v>
      </c>
      <c r="N15" s="55"/>
      <c r="O15" s="55"/>
      <c r="P15" s="55"/>
      <c r="Q15" s="55" t="s">
        <v>66</v>
      </c>
      <c r="R15" s="55" t="s">
        <v>138</v>
      </c>
      <c r="S15" s="58" t="s">
        <v>139</v>
      </c>
      <c r="T15" s="55"/>
      <c r="U15" s="55"/>
      <c r="V15" s="51"/>
      <c r="W15" s="51"/>
      <c r="X15" s="51"/>
      <c r="Y15" s="51"/>
      <c r="Z15" s="60"/>
      <c r="AA15" s="73" t="s">
        <v>140</v>
      </c>
      <c r="AB15" s="62" t="s">
        <v>141</v>
      </c>
      <c r="AC15" s="63" t="s">
        <v>142</v>
      </c>
      <c r="AD15" s="64">
        <v>4.83</v>
      </c>
      <c r="AE15" s="64" t="s">
        <v>143</v>
      </c>
      <c r="AF15" s="63" t="s">
        <v>144</v>
      </c>
      <c r="AG15" s="63" t="s">
        <v>81</v>
      </c>
      <c r="AH15" s="63" t="s">
        <v>81</v>
      </c>
      <c r="AI15" s="65" t="s">
        <v>81</v>
      </c>
      <c r="AJ15" s="66" t="s">
        <v>61</v>
      </c>
      <c r="AK15" s="60"/>
    </row>
    <row r="16" ht="24.0" customHeight="1">
      <c r="A16" s="35"/>
      <c r="B16" s="36">
        <v>1.0</v>
      </c>
      <c r="C16" s="37" t="str">
        <f>IFERROR(__xludf.DUMMYFUNCTION("""COMPUTED_VALUE"""),"La'akea Correa (2) - '25 LHP HI")</f>
        <v>La'akea Correa (2) - '25 LHP HI</v>
      </c>
      <c r="D16" s="38" t="s">
        <v>145</v>
      </c>
      <c r="E16" s="39" t="s">
        <v>122</v>
      </c>
      <c r="F16" s="40"/>
      <c r="G16" s="41"/>
      <c r="H16" s="42" t="s">
        <v>146</v>
      </c>
      <c r="I16" s="43" t="s">
        <v>147</v>
      </c>
      <c r="J16" s="43">
        <v>2025.0</v>
      </c>
      <c r="K16" s="43">
        <v>2.0</v>
      </c>
      <c r="L16" s="43"/>
      <c r="M16" s="43" t="s">
        <v>122</v>
      </c>
      <c r="N16" s="43"/>
      <c r="O16" s="43"/>
      <c r="P16" s="43"/>
      <c r="Q16" s="43" t="s">
        <v>148</v>
      </c>
      <c r="R16" s="43"/>
      <c r="S16" s="44"/>
      <c r="T16" s="43"/>
      <c r="U16" s="43"/>
      <c r="V16" s="39"/>
      <c r="W16" s="39"/>
      <c r="X16" s="39"/>
      <c r="Y16" s="39"/>
      <c r="Z16" s="46"/>
      <c r="AA16" s="47" t="s">
        <v>149</v>
      </c>
      <c r="AB16" s="48" t="s">
        <v>61</v>
      </c>
      <c r="AC16" s="68" t="s">
        <v>61</v>
      </c>
      <c r="AD16" s="69" t="s">
        <v>61</v>
      </c>
      <c r="AE16" s="69" t="s">
        <v>61</v>
      </c>
      <c r="AF16" s="68" t="s">
        <v>61</v>
      </c>
      <c r="AG16" s="68" t="s">
        <v>61</v>
      </c>
      <c r="AH16" s="68" t="s">
        <v>61</v>
      </c>
      <c r="AI16" s="70" t="s">
        <v>61</v>
      </c>
      <c r="AJ16" s="49" t="s">
        <v>61</v>
      </c>
      <c r="AK16" s="46"/>
    </row>
    <row r="17" ht="24.0" customHeight="1">
      <c r="A17" s="83"/>
      <c r="B17" s="36">
        <v>1.0</v>
      </c>
      <c r="C17" s="37" t="str">
        <f>IFERROR(__xludf.DUMMYFUNCTION("""COMPUTED_VALUE"""),"Lucas Collins (2) - '25 LHP IN")</f>
        <v>Lucas Collins (2) - '25 LHP IN</v>
      </c>
      <c r="D17" s="38" t="s">
        <v>150</v>
      </c>
      <c r="E17" s="51" t="s">
        <v>122</v>
      </c>
      <c r="F17" s="52"/>
      <c r="G17" s="53"/>
      <c r="H17" s="54" t="s">
        <v>151</v>
      </c>
      <c r="I17" s="55" t="s">
        <v>152</v>
      </c>
      <c r="J17" s="55">
        <v>2025.0</v>
      </c>
      <c r="K17" s="55">
        <v>2.0</v>
      </c>
      <c r="L17" s="55"/>
      <c r="M17" s="55" t="s">
        <v>122</v>
      </c>
      <c r="N17" s="55"/>
      <c r="O17" s="55"/>
      <c r="P17" s="55"/>
      <c r="Q17" s="55" t="s">
        <v>153</v>
      </c>
      <c r="R17" s="55" t="s">
        <v>154</v>
      </c>
      <c r="S17" s="58" t="s">
        <v>155</v>
      </c>
      <c r="T17" s="55"/>
      <c r="U17" s="55"/>
      <c r="V17" s="51"/>
      <c r="W17" s="51"/>
      <c r="X17" s="51"/>
      <c r="Y17" s="51"/>
      <c r="Z17" s="60"/>
      <c r="AA17" s="73" t="s">
        <v>156</v>
      </c>
      <c r="AB17" s="62" t="s">
        <v>61</v>
      </c>
      <c r="AC17" s="63" t="s">
        <v>61</v>
      </c>
      <c r="AD17" s="64" t="s">
        <v>61</v>
      </c>
      <c r="AE17" s="64" t="s">
        <v>61</v>
      </c>
      <c r="AF17" s="63" t="s">
        <v>61</v>
      </c>
      <c r="AG17" s="63" t="s">
        <v>61</v>
      </c>
      <c r="AH17" s="63" t="s">
        <v>61</v>
      </c>
      <c r="AI17" s="65" t="s">
        <v>61</v>
      </c>
      <c r="AJ17" s="66" t="s">
        <v>61</v>
      </c>
      <c r="AK17" s="60"/>
    </row>
    <row r="18" ht="24.0" customHeight="1">
      <c r="A18" s="35"/>
      <c r="B18" s="36">
        <v>1.0</v>
      </c>
      <c r="C18" s="37" t="str">
        <f>IFERROR(__xludf.DUMMYFUNCTION("""COMPUTED_VALUE"""),"Michael Fiatrone (2) - '25 MINF CT")</f>
        <v>Michael Fiatrone (2) - '25 MINF CT</v>
      </c>
      <c r="D18" s="38" t="s">
        <v>157</v>
      </c>
      <c r="E18" s="39" t="s">
        <v>48</v>
      </c>
      <c r="F18" s="40"/>
      <c r="G18" s="41"/>
      <c r="H18" s="42" t="s">
        <v>158</v>
      </c>
      <c r="I18" s="43" t="s">
        <v>159</v>
      </c>
      <c r="J18" s="43">
        <v>2025.0</v>
      </c>
      <c r="K18" s="43">
        <v>2.0</v>
      </c>
      <c r="L18" s="80"/>
      <c r="M18" s="43" t="s">
        <v>51</v>
      </c>
      <c r="N18" s="43"/>
      <c r="O18" s="43"/>
      <c r="P18" s="80"/>
      <c r="Q18" s="43" t="s">
        <v>160</v>
      </c>
      <c r="R18" s="43" t="s">
        <v>161</v>
      </c>
      <c r="S18" s="44"/>
      <c r="T18" s="43"/>
      <c r="U18" s="43"/>
      <c r="V18" s="81"/>
      <c r="W18" s="39"/>
      <c r="X18" s="81"/>
      <c r="Y18" s="81"/>
      <c r="Z18" s="82"/>
      <c r="AA18" s="47" t="s">
        <v>162</v>
      </c>
      <c r="AB18" s="48" t="s">
        <v>61</v>
      </c>
      <c r="AC18" s="68" t="s">
        <v>61</v>
      </c>
      <c r="AD18" s="69" t="s">
        <v>61</v>
      </c>
      <c r="AE18" s="69" t="s">
        <v>61</v>
      </c>
      <c r="AF18" s="68" t="s">
        <v>61</v>
      </c>
      <c r="AG18" s="68" t="s">
        <v>61</v>
      </c>
      <c r="AH18" s="68" t="s">
        <v>61</v>
      </c>
      <c r="AI18" s="70" t="s">
        <v>61</v>
      </c>
      <c r="AJ18" s="49" t="s">
        <v>61</v>
      </c>
      <c r="AK18" s="46"/>
    </row>
    <row r="19" ht="24.0" customHeight="1">
      <c r="A19" s="84"/>
      <c r="B19" s="43">
        <v>1.0</v>
      </c>
      <c r="C19" s="85" t="str">
        <f>IFERROR(__xludf.DUMMYFUNCTION("""COMPUTED_VALUE"""),"Nathan Lake (2) - '25 LHP VA")</f>
        <v>Nathan Lake (2) - '25 LHP VA</v>
      </c>
      <c r="D19" s="38" t="s">
        <v>163</v>
      </c>
      <c r="E19" s="51" t="s">
        <v>122</v>
      </c>
      <c r="F19" s="52"/>
      <c r="G19" s="53"/>
      <c r="H19" s="54" t="s">
        <v>164</v>
      </c>
      <c r="I19" s="55" t="s">
        <v>165</v>
      </c>
      <c r="J19" s="55">
        <v>2025.0</v>
      </c>
      <c r="K19" s="55">
        <v>2.0</v>
      </c>
      <c r="L19" s="55"/>
      <c r="M19" s="55" t="s">
        <v>122</v>
      </c>
      <c r="N19" s="55"/>
      <c r="O19" s="55"/>
      <c r="P19" s="55"/>
      <c r="Q19" s="55" t="s">
        <v>125</v>
      </c>
      <c r="R19" s="55"/>
      <c r="S19" s="58" t="s">
        <v>166</v>
      </c>
      <c r="T19" s="55"/>
      <c r="U19" s="55"/>
      <c r="V19" s="51"/>
      <c r="W19" s="51"/>
      <c r="X19" s="51"/>
      <c r="Y19" s="51"/>
      <c r="Z19" s="60"/>
      <c r="AA19" s="73" t="s">
        <v>167</v>
      </c>
      <c r="AB19" s="62" t="s">
        <v>168</v>
      </c>
      <c r="AC19" s="63" t="s">
        <v>169</v>
      </c>
      <c r="AD19" s="64">
        <v>3.8</v>
      </c>
      <c r="AE19" s="64">
        <v>1180.0</v>
      </c>
      <c r="AF19" s="63"/>
      <c r="AG19" s="63" t="s">
        <v>81</v>
      </c>
      <c r="AH19" s="63" t="s">
        <v>170</v>
      </c>
      <c r="AI19" s="65" t="s">
        <v>81</v>
      </c>
      <c r="AJ19" s="66" t="s">
        <v>61</v>
      </c>
      <c r="AK19" s="60"/>
    </row>
    <row r="20" ht="24.0" customHeight="1">
      <c r="A20" s="86"/>
      <c r="B20" s="55">
        <v>1.0</v>
      </c>
      <c r="C20" s="87" t="str">
        <f>IFERROR(__xludf.DUMMYFUNCTION("""COMPUTED_VALUE"""),"Sam Harry (2) - '25 COF CO")</f>
        <v>Sam Harry (2) - '25 COF CO</v>
      </c>
      <c r="D20" s="38" t="s">
        <v>171</v>
      </c>
      <c r="E20" s="39" t="s">
        <v>103</v>
      </c>
      <c r="F20" s="40"/>
      <c r="G20" s="41"/>
      <c r="H20" s="42" t="s">
        <v>172</v>
      </c>
      <c r="I20" s="43" t="s">
        <v>173</v>
      </c>
      <c r="J20" s="43">
        <v>2025.0</v>
      </c>
      <c r="K20" s="43">
        <v>2.0</v>
      </c>
      <c r="L20" s="43"/>
      <c r="M20" s="43" t="s">
        <v>42</v>
      </c>
      <c r="N20" s="43"/>
      <c r="O20" s="43"/>
      <c r="P20" s="43"/>
      <c r="Q20" s="43" t="s">
        <v>174</v>
      </c>
      <c r="R20" s="43" t="s">
        <v>175</v>
      </c>
      <c r="S20" s="44"/>
      <c r="T20" s="43"/>
      <c r="U20" s="43"/>
      <c r="V20" s="39"/>
      <c r="W20" s="39"/>
      <c r="X20" s="39"/>
      <c r="Y20" s="39"/>
      <c r="Z20" s="46"/>
      <c r="AA20" s="47" t="s">
        <v>176</v>
      </c>
      <c r="AB20" s="48" t="s">
        <v>61</v>
      </c>
      <c r="AC20" s="68" t="s">
        <v>61</v>
      </c>
      <c r="AD20" s="69" t="s">
        <v>61</v>
      </c>
      <c r="AE20" s="69" t="s">
        <v>61</v>
      </c>
      <c r="AF20" s="68" t="s">
        <v>61</v>
      </c>
      <c r="AG20" s="68" t="s">
        <v>61</v>
      </c>
      <c r="AH20" s="68" t="s">
        <v>61</v>
      </c>
      <c r="AI20" s="70" t="s">
        <v>61</v>
      </c>
      <c r="AJ20" s="49" t="s">
        <v>61</v>
      </c>
      <c r="AK20" s="46"/>
    </row>
    <row r="21" ht="24.0" customHeight="1">
      <c r="A21" s="35"/>
      <c r="B21" s="36">
        <v>1.0</v>
      </c>
      <c r="C21" s="37" t="str">
        <f>IFERROR(__xludf.DUMMYFUNCTION("""COMPUTED_VALUE"""),"Tate Elliott (2) - '25 C TX")</f>
        <v>Tate Elliott (2) - '25 C TX</v>
      </c>
      <c r="D21" s="38" t="s">
        <v>177</v>
      </c>
      <c r="E21" s="51" t="s">
        <v>109</v>
      </c>
      <c r="F21" s="52"/>
      <c r="G21" s="53"/>
      <c r="H21" s="54" t="s">
        <v>178</v>
      </c>
      <c r="I21" s="55" t="s">
        <v>179</v>
      </c>
      <c r="J21" s="55">
        <v>2025.0</v>
      </c>
      <c r="K21" s="55">
        <v>2.0</v>
      </c>
      <c r="L21" s="57"/>
      <c r="M21" s="55" t="s">
        <v>109</v>
      </c>
      <c r="N21" s="55"/>
      <c r="O21" s="55"/>
      <c r="P21" s="55"/>
      <c r="Q21" s="55" t="s">
        <v>180</v>
      </c>
      <c r="R21" s="55" t="s">
        <v>181</v>
      </c>
      <c r="S21" s="58" t="s">
        <v>182</v>
      </c>
      <c r="T21" s="55"/>
      <c r="U21" s="55"/>
      <c r="V21" s="51"/>
      <c r="W21" s="51"/>
      <c r="X21" s="51"/>
      <c r="Y21" s="51"/>
      <c r="Z21" s="60"/>
      <c r="AA21" s="73" t="s">
        <v>183</v>
      </c>
      <c r="AB21" s="62" t="s">
        <v>184</v>
      </c>
      <c r="AC21" s="63" t="s">
        <v>185</v>
      </c>
      <c r="AD21" s="64">
        <v>3.5</v>
      </c>
      <c r="AE21" s="64">
        <v>1070.0</v>
      </c>
      <c r="AF21" s="63"/>
      <c r="AG21" s="63"/>
      <c r="AH21" s="63"/>
      <c r="AI21" s="65"/>
      <c r="AJ21" s="66" t="s">
        <v>61</v>
      </c>
      <c r="AK21" s="60"/>
    </row>
    <row r="22" ht="24.0" customHeight="1">
      <c r="A22" s="35"/>
      <c r="B22" s="36">
        <v>1.0</v>
      </c>
      <c r="C22" s="37" t="str">
        <f>IFERROR(__xludf.DUMMYFUNCTION("""COMPUTED_VALUE"""),"Trent Prosperi (2) - '25 MINF TX")</f>
        <v>Trent Prosperi (2) - '25 MINF TX</v>
      </c>
      <c r="D22" s="38" t="s">
        <v>186</v>
      </c>
      <c r="E22" s="39" t="s">
        <v>48</v>
      </c>
      <c r="F22" s="40"/>
      <c r="G22" s="41"/>
      <c r="H22" s="42" t="s">
        <v>187</v>
      </c>
      <c r="I22" s="43" t="s">
        <v>188</v>
      </c>
      <c r="J22" s="43">
        <v>2025.0</v>
      </c>
      <c r="K22" s="43">
        <v>2.0</v>
      </c>
      <c r="L22" s="43"/>
      <c r="M22" s="43" t="s">
        <v>51</v>
      </c>
      <c r="N22" s="43"/>
      <c r="O22" s="43"/>
      <c r="P22" s="43"/>
      <c r="Q22" s="43" t="s">
        <v>180</v>
      </c>
      <c r="R22" s="43" t="s">
        <v>189</v>
      </c>
      <c r="S22" s="44" t="s">
        <v>190</v>
      </c>
      <c r="T22" s="43"/>
      <c r="U22" s="43"/>
      <c r="V22" s="39"/>
      <c r="W22" s="39"/>
      <c r="X22" s="39"/>
      <c r="Y22" s="39"/>
      <c r="Z22" s="46"/>
      <c r="AA22" s="47" t="s">
        <v>191</v>
      </c>
      <c r="AB22" s="48" t="s">
        <v>61</v>
      </c>
      <c r="AC22" s="68" t="s">
        <v>61</v>
      </c>
      <c r="AD22" s="69" t="s">
        <v>61</v>
      </c>
      <c r="AE22" s="69" t="s">
        <v>61</v>
      </c>
      <c r="AF22" s="68" t="s">
        <v>61</v>
      </c>
      <c r="AG22" s="68" t="s">
        <v>61</v>
      </c>
      <c r="AH22" s="68" t="s">
        <v>61</v>
      </c>
      <c r="AI22" s="70" t="s">
        <v>61</v>
      </c>
      <c r="AJ22" s="49" t="s">
        <v>61</v>
      </c>
      <c r="AK22" s="46"/>
    </row>
    <row r="23" ht="24.0" customHeight="1">
      <c r="A23" s="35"/>
      <c r="B23" s="36">
        <v>1.0</v>
      </c>
      <c r="C23" s="37" t="str">
        <f>IFERROR(__xludf.DUMMYFUNCTION("""COMPUTED_VALUE"""),"Aiden Szydlik (3) - '25 MINF MD")</f>
        <v>Aiden Szydlik (3) - '25 MINF MD</v>
      </c>
      <c r="D23" s="38" t="s">
        <v>192</v>
      </c>
      <c r="E23" s="51" t="s">
        <v>48</v>
      </c>
      <c r="F23" s="52"/>
      <c r="G23" s="53"/>
      <c r="H23" s="54" t="s">
        <v>193</v>
      </c>
      <c r="I23" s="55" t="s">
        <v>194</v>
      </c>
      <c r="J23" s="55">
        <v>2025.0</v>
      </c>
      <c r="K23" s="55">
        <v>3.0</v>
      </c>
      <c r="L23" s="55"/>
      <c r="M23" s="55" t="s">
        <v>51</v>
      </c>
      <c r="N23" s="55"/>
      <c r="O23" s="55"/>
      <c r="P23" s="55"/>
      <c r="Q23" s="55" t="s">
        <v>195</v>
      </c>
      <c r="R23" s="55" t="s">
        <v>196</v>
      </c>
      <c r="S23" s="58" t="s">
        <v>197</v>
      </c>
      <c r="T23" s="55"/>
      <c r="U23" s="55"/>
      <c r="V23" s="51"/>
      <c r="W23" s="51"/>
      <c r="X23" s="51"/>
      <c r="Y23" s="51"/>
      <c r="Z23" s="60"/>
      <c r="AA23" s="73" t="s">
        <v>198</v>
      </c>
      <c r="AB23" s="62" t="s">
        <v>61</v>
      </c>
      <c r="AC23" s="63" t="s">
        <v>61</v>
      </c>
      <c r="AD23" s="64" t="s">
        <v>61</v>
      </c>
      <c r="AE23" s="64" t="s">
        <v>61</v>
      </c>
      <c r="AF23" s="63" t="s">
        <v>61</v>
      </c>
      <c r="AG23" s="63" t="s">
        <v>61</v>
      </c>
      <c r="AH23" s="63" t="s">
        <v>61</v>
      </c>
      <c r="AI23" s="65" t="s">
        <v>61</v>
      </c>
      <c r="AJ23" s="66" t="s">
        <v>61</v>
      </c>
      <c r="AK23" s="60"/>
    </row>
    <row r="24" ht="24.0" customHeight="1">
      <c r="A24" s="83"/>
      <c r="B24" s="36">
        <v>1.0</v>
      </c>
      <c r="C24" s="37" t="str">
        <f>IFERROR(__xludf.DUMMYFUNCTION("""COMPUTED_VALUE"""),"Ayden Munoz (3) - '25 COF CA")</f>
        <v>Ayden Munoz (3) - '25 COF CA</v>
      </c>
      <c r="D24" s="38" t="s">
        <v>199</v>
      </c>
      <c r="E24" s="39" t="s">
        <v>103</v>
      </c>
      <c r="F24" s="40"/>
      <c r="G24" s="41"/>
      <c r="H24" s="42" t="s">
        <v>200</v>
      </c>
      <c r="I24" s="43" t="s">
        <v>201</v>
      </c>
      <c r="J24" s="43">
        <v>2025.0</v>
      </c>
      <c r="K24" s="43">
        <v>3.0</v>
      </c>
      <c r="L24" s="80"/>
      <c r="M24" s="43" t="s">
        <v>42</v>
      </c>
      <c r="N24" s="43"/>
      <c r="O24" s="43"/>
      <c r="P24" s="80"/>
      <c r="Q24" s="43" t="s">
        <v>52</v>
      </c>
      <c r="R24" s="43" t="s">
        <v>202</v>
      </c>
      <c r="S24" s="44" t="s">
        <v>54</v>
      </c>
      <c r="T24" s="43"/>
      <c r="U24" s="43"/>
      <c r="V24" s="39"/>
      <c r="W24" s="39"/>
      <c r="X24" s="81"/>
      <c r="Y24" s="81"/>
      <c r="Z24" s="82"/>
      <c r="AA24" s="47" t="s">
        <v>203</v>
      </c>
      <c r="AB24" s="48" t="s">
        <v>61</v>
      </c>
      <c r="AC24" s="68" t="s">
        <v>61</v>
      </c>
      <c r="AD24" s="69" t="s">
        <v>61</v>
      </c>
      <c r="AE24" s="69" t="s">
        <v>61</v>
      </c>
      <c r="AF24" s="68" t="s">
        <v>61</v>
      </c>
      <c r="AG24" s="68" t="s">
        <v>61</v>
      </c>
      <c r="AH24" s="68" t="s">
        <v>61</v>
      </c>
      <c r="AI24" s="70" t="s">
        <v>61</v>
      </c>
      <c r="AJ24" s="49" t="s">
        <v>61</v>
      </c>
      <c r="AK24" s="46"/>
    </row>
    <row r="25" ht="24.0" customHeight="1">
      <c r="A25" s="35"/>
      <c r="B25" s="36">
        <v>1.0</v>
      </c>
      <c r="C25" s="37" t="str">
        <f>IFERROR(__xludf.DUMMYFUNCTION("""COMPUTED_VALUE"""),"Benjy Cardone (3) - '25 C VA")</f>
        <v>Benjy Cardone (3) - '25 C VA</v>
      </c>
      <c r="D25" s="38" t="s">
        <v>204</v>
      </c>
      <c r="E25" s="51" t="s">
        <v>109</v>
      </c>
      <c r="F25" s="52"/>
      <c r="G25" s="53"/>
      <c r="H25" s="54" t="s">
        <v>205</v>
      </c>
      <c r="I25" s="55" t="s">
        <v>206</v>
      </c>
      <c r="J25" s="55">
        <v>2025.0</v>
      </c>
      <c r="K25" s="55">
        <v>3.0</v>
      </c>
      <c r="L25" s="57"/>
      <c r="M25" s="55" t="s">
        <v>109</v>
      </c>
      <c r="N25" s="55"/>
      <c r="O25" s="55"/>
      <c r="P25" s="55"/>
      <c r="Q25" s="55" t="s">
        <v>125</v>
      </c>
      <c r="R25" s="55" t="s">
        <v>207</v>
      </c>
      <c r="S25" s="58"/>
      <c r="T25" s="55"/>
      <c r="U25" s="55"/>
      <c r="V25" s="51"/>
      <c r="W25" s="51"/>
      <c r="X25" s="75">
        <v>45952.0</v>
      </c>
      <c r="Y25" s="51"/>
      <c r="Z25" s="60"/>
      <c r="AA25" s="73" t="s">
        <v>208</v>
      </c>
      <c r="AB25" s="62" t="s">
        <v>61</v>
      </c>
      <c r="AC25" s="63" t="s">
        <v>61</v>
      </c>
      <c r="AD25" s="64" t="s">
        <v>61</v>
      </c>
      <c r="AE25" s="64" t="s">
        <v>61</v>
      </c>
      <c r="AF25" s="63" t="s">
        <v>61</v>
      </c>
      <c r="AG25" s="63" t="s">
        <v>61</v>
      </c>
      <c r="AH25" s="63" t="s">
        <v>61</v>
      </c>
      <c r="AI25" s="65" t="s">
        <v>61</v>
      </c>
      <c r="AJ25" s="66" t="s">
        <v>61</v>
      </c>
      <c r="AK25" s="60"/>
    </row>
    <row r="26" ht="24.0" customHeight="1">
      <c r="A26" s="35"/>
      <c r="B26" s="36">
        <v>1.0</v>
      </c>
      <c r="C26" s="37" t="str">
        <f>IFERROR(__xludf.DUMMYFUNCTION("""COMPUTED_VALUE"""),"Bobby Herzman (3) - '25 CINF CT")</f>
        <v>Bobby Herzman (3) - '25 CINF CT</v>
      </c>
      <c r="D26" s="38" t="s">
        <v>209</v>
      </c>
      <c r="E26" s="39" t="s">
        <v>48</v>
      </c>
      <c r="F26" s="40"/>
      <c r="G26" s="41"/>
      <c r="H26" s="42" t="s">
        <v>210</v>
      </c>
      <c r="I26" s="43" t="s">
        <v>211</v>
      </c>
      <c r="J26" s="43">
        <v>2025.0</v>
      </c>
      <c r="K26" s="43">
        <v>3.0</v>
      </c>
      <c r="L26" s="80"/>
      <c r="M26" s="43" t="s">
        <v>72</v>
      </c>
      <c r="N26" s="43"/>
      <c r="O26" s="43"/>
      <c r="P26" s="80"/>
      <c r="Q26" s="43" t="s">
        <v>160</v>
      </c>
      <c r="R26" s="43" t="s">
        <v>212</v>
      </c>
      <c r="S26" s="44"/>
      <c r="T26" s="43"/>
      <c r="U26" s="43"/>
      <c r="V26" s="39"/>
      <c r="W26" s="39"/>
      <c r="X26" s="81"/>
      <c r="Y26" s="81"/>
      <c r="Z26" s="82"/>
      <c r="AA26" s="47" t="s">
        <v>213</v>
      </c>
      <c r="AB26" s="48" t="s">
        <v>61</v>
      </c>
      <c r="AC26" s="68" t="s">
        <v>61</v>
      </c>
      <c r="AD26" s="69" t="s">
        <v>61</v>
      </c>
      <c r="AE26" s="69" t="s">
        <v>61</v>
      </c>
      <c r="AF26" s="68" t="s">
        <v>61</v>
      </c>
      <c r="AG26" s="68" t="s">
        <v>61</v>
      </c>
      <c r="AH26" s="68" t="s">
        <v>61</v>
      </c>
      <c r="AI26" s="70" t="s">
        <v>61</v>
      </c>
      <c r="AJ26" s="49" t="s">
        <v>61</v>
      </c>
      <c r="AK26" s="46"/>
    </row>
    <row r="27" ht="24.0" customHeight="1">
      <c r="A27" s="35"/>
      <c r="B27" s="36">
        <v>1.0</v>
      </c>
      <c r="C27" s="37" t="str">
        <f>IFERROR(__xludf.DUMMYFUNCTION("""COMPUTED_VALUE"""),"Braxton Graber (3) - '25 RHP AR")</f>
        <v>Braxton Graber (3) - '25 RHP AR</v>
      </c>
      <c r="D27" s="38" t="s">
        <v>214</v>
      </c>
      <c r="E27" s="51" t="s">
        <v>63</v>
      </c>
      <c r="F27" s="52"/>
      <c r="G27" s="53"/>
      <c r="H27" s="54" t="s">
        <v>215</v>
      </c>
      <c r="I27" s="55" t="s">
        <v>216</v>
      </c>
      <c r="J27" s="55">
        <v>2025.0</v>
      </c>
      <c r="K27" s="55">
        <v>3.0</v>
      </c>
      <c r="L27" s="57"/>
      <c r="M27" s="55" t="s">
        <v>63</v>
      </c>
      <c r="N27" s="55"/>
      <c r="O27" s="55"/>
      <c r="P27" s="55"/>
      <c r="Q27" s="55" t="s">
        <v>217</v>
      </c>
      <c r="R27" s="55" t="s">
        <v>218</v>
      </c>
      <c r="S27" s="58"/>
      <c r="T27" s="55"/>
      <c r="U27" s="55"/>
      <c r="V27" s="51"/>
      <c r="W27" s="51"/>
      <c r="X27" s="74"/>
      <c r="Y27" s="74"/>
      <c r="Z27" s="76"/>
      <c r="AA27" s="73" t="s">
        <v>219</v>
      </c>
      <c r="AB27" s="62" t="s">
        <v>61</v>
      </c>
      <c r="AC27" s="63" t="s">
        <v>61</v>
      </c>
      <c r="AD27" s="64" t="s">
        <v>61</v>
      </c>
      <c r="AE27" s="64" t="s">
        <v>61</v>
      </c>
      <c r="AF27" s="63" t="s">
        <v>61</v>
      </c>
      <c r="AG27" s="63" t="s">
        <v>61</v>
      </c>
      <c r="AH27" s="63" t="s">
        <v>61</v>
      </c>
      <c r="AI27" s="65" t="s">
        <v>61</v>
      </c>
      <c r="AJ27" s="66" t="s">
        <v>61</v>
      </c>
      <c r="AK27" s="60"/>
    </row>
    <row r="28" ht="24.0" customHeight="1">
      <c r="A28" s="35"/>
      <c r="B28" s="36">
        <v>1.0</v>
      </c>
      <c r="C28" s="37" t="str">
        <f>IFERROR(__xludf.DUMMYFUNCTION("""COMPUTED_VALUE"""),"Brooks Bradshaw (3) - '25 RHP GA")</f>
        <v>Brooks Bradshaw (3) - '25 RHP GA</v>
      </c>
      <c r="D28" s="38" t="s">
        <v>220</v>
      </c>
      <c r="E28" s="39" t="s">
        <v>63</v>
      </c>
      <c r="F28" s="40"/>
      <c r="G28" s="41"/>
      <c r="H28" s="42" t="s">
        <v>221</v>
      </c>
      <c r="I28" s="43" t="s">
        <v>222</v>
      </c>
      <c r="J28" s="43">
        <v>2025.0</v>
      </c>
      <c r="K28" s="43">
        <v>3.0</v>
      </c>
      <c r="L28" s="80"/>
      <c r="M28" s="43" t="s">
        <v>63</v>
      </c>
      <c r="N28" s="43"/>
      <c r="O28" s="43"/>
      <c r="P28" s="43"/>
      <c r="Q28" s="43" t="s">
        <v>43</v>
      </c>
      <c r="R28" s="43" t="s">
        <v>223</v>
      </c>
      <c r="S28" s="44" t="s">
        <v>224</v>
      </c>
      <c r="T28" s="43"/>
      <c r="U28" s="43"/>
      <c r="V28" s="39"/>
      <c r="W28" s="81"/>
      <c r="X28" s="81"/>
      <c r="Y28" s="81"/>
      <c r="Z28" s="82"/>
      <c r="AA28" s="47" t="s">
        <v>225</v>
      </c>
      <c r="AB28" s="48" t="s">
        <v>61</v>
      </c>
      <c r="AC28" s="68" t="s">
        <v>61</v>
      </c>
      <c r="AD28" s="69" t="s">
        <v>61</v>
      </c>
      <c r="AE28" s="69" t="s">
        <v>61</v>
      </c>
      <c r="AF28" s="68" t="s">
        <v>61</v>
      </c>
      <c r="AG28" s="68" t="s">
        <v>61</v>
      </c>
      <c r="AH28" s="68" t="s">
        <v>61</v>
      </c>
      <c r="AI28" s="70" t="s">
        <v>61</v>
      </c>
      <c r="AJ28" s="49" t="s">
        <v>61</v>
      </c>
      <c r="AK28" s="46"/>
    </row>
    <row r="29" ht="24.0" customHeight="1">
      <c r="A29" s="35"/>
      <c r="B29" s="36">
        <v>1.0</v>
      </c>
      <c r="C29" s="37" t="str">
        <f>IFERROR(__xludf.DUMMYFUNCTION("""COMPUTED_VALUE"""),"Caden Davidson (3) - '25 MINF NC")</f>
        <v>Caden Davidson (3) - '25 MINF NC</v>
      </c>
      <c r="D29" s="38" t="s">
        <v>226</v>
      </c>
      <c r="E29" s="51" t="s">
        <v>48</v>
      </c>
      <c r="F29" s="52"/>
      <c r="G29" s="53"/>
      <c r="H29" s="54" t="s">
        <v>227</v>
      </c>
      <c r="I29" s="55" t="s">
        <v>228</v>
      </c>
      <c r="J29" s="55">
        <v>2025.0</v>
      </c>
      <c r="K29" s="55">
        <v>3.0</v>
      </c>
      <c r="L29" s="57"/>
      <c r="M29" s="55" t="s">
        <v>51</v>
      </c>
      <c r="N29" s="55"/>
      <c r="O29" s="55"/>
      <c r="P29" s="57"/>
      <c r="Q29" s="55" t="s">
        <v>73</v>
      </c>
      <c r="R29" s="55" t="s">
        <v>229</v>
      </c>
      <c r="S29" s="58" t="s">
        <v>230</v>
      </c>
      <c r="T29" s="55"/>
      <c r="U29" s="55"/>
      <c r="V29" s="51"/>
      <c r="W29" s="51"/>
      <c r="X29" s="74"/>
      <c r="Y29" s="74"/>
      <c r="Z29" s="76"/>
      <c r="AA29" s="73" t="s">
        <v>231</v>
      </c>
      <c r="AB29" s="62" t="s">
        <v>61</v>
      </c>
      <c r="AC29" s="63" t="s">
        <v>61</v>
      </c>
      <c r="AD29" s="64" t="s">
        <v>61</v>
      </c>
      <c r="AE29" s="64" t="s">
        <v>61</v>
      </c>
      <c r="AF29" s="63" t="s">
        <v>61</v>
      </c>
      <c r="AG29" s="63" t="s">
        <v>61</v>
      </c>
      <c r="AH29" s="63" t="s">
        <v>61</v>
      </c>
      <c r="AI29" s="65" t="s">
        <v>61</v>
      </c>
      <c r="AJ29" s="66" t="s">
        <v>61</v>
      </c>
      <c r="AK29" s="60"/>
    </row>
    <row r="30" ht="24.0" customHeight="1">
      <c r="A30" s="35"/>
      <c r="B30" s="36">
        <v>1.0</v>
      </c>
      <c r="C30" s="37" t="str">
        <f>IFERROR(__xludf.DUMMYFUNCTION("""COMPUTED_VALUE"""),"Colton Roberts (3) - '25 RHP KS")</f>
        <v>Colton Roberts (3) - '25 RHP KS</v>
      </c>
      <c r="D30" s="38" t="s">
        <v>232</v>
      </c>
      <c r="E30" s="39" t="s">
        <v>63</v>
      </c>
      <c r="F30" s="40"/>
      <c r="G30" s="41"/>
      <c r="H30" s="42" t="s">
        <v>233</v>
      </c>
      <c r="I30" s="43" t="s">
        <v>234</v>
      </c>
      <c r="J30" s="43">
        <v>2025.0</v>
      </c>
      <c r="K30" s="43">
        <v>3.0</v>
      </c>
      <c r="L30" s="80"/>
      <c r="M30" s="43" t="s">
        <v>63</v>
      </c>
      <c r="N30" s="80"/>
      <c r="O30" s="43"/>
      <c r="P30" s="43"/>
      <c r="Q30" s="43" t="s">
        <v>112</v>
      </c>
      <c r="R30" s="43" t="s">
        <v>235</v>
      </c>
      <c r="S30" s="44"/>
      <c r="T30" s="43"/>
      <c r="U30" s="43"/>
      <c r="V30" s="39"/>
      <c r="W30" s="39"/>
      <c r="X30" s="39"/>
      <c r="Y30" s="39"/>
      <c r="Z30" s="46"/>
      <c r="AA30" s="47" t="s">
        <v>236</v>
      </c>
      <c r="AB30" s="48" t="s">
        <v>61</v>
      </c>
      <c r="AC30" s="68" t="s">
        <v>61</v>
      </c>
      <c r="AD30" s="69" t="s">
        <v>61</v>
      </c>
      <c r="AE30" s="69" t="s">
        <v>61</v>
      </c>
      <c r="AF30" s="68" t="s">
        <v>61</v>
      </c>
      <c r="AG30" s="68" t="s">
        <v>61</v>
      </c>
      <c r="AH30" s="68" t="s">
        <v>61</v>
      </c>
      <c r="AI30" s="70" t="s">
        <v>61</v>
      </c>
      <c r="AJ30" s="49" t="s">
        <v>61</v>
      </c>
      <c r="AK30" s="46"/>
    </row>
    <row r="31" ht="24.0" customHeight="1">
      <c r="A31" s="35"/>
      <c r="B31" s="36">
        <v>1.0</v>
      </c>
      <c r="C31" s="37" t="str">
        <f>IFERROR(__xludf.DUMMYFUNCTION("""COMPUTED_VALUE"""),"Cy Herkelroath (3) - '25 LHP PA")</f>
        <v>Cy Herkelroath (3) - '25 LHP PA</v>
      </c>
      <c r="D31" s="38" t="s">
        <v>237</v>
      </c>
      <c r="E31" s="51" t="s">
        <v>122</v>
      </c>
      <c r="F31" s="52"/>
      <c r="G31" s="53"/>
      <c r="H31" s="54" t="s">
        <v>238</v>
      </c>
      <c r="I31" s="55" t="s">
        <v>239</v>
      </c>
      <c r="J31" s="55">
        <v>2025.0</v>
      </c>
      <c r="K31" s="55">
        <v>3.0</v>
      </c>
      <c r="L31" s="55"/>
      <c r="M31" s="55" t="s">
        <v>122</v>
      </c>
      <c r="N31" s="55"/>
      <c r="O31" s="55"/>
      <c r="P31" s="55"/>
      <c r="Q31" s="55" t="s">
        <v>240</v>
      </c>
      <c r="R31" s="55" t="s">
        <v>241</v>
      </c>
      <c r="S31" s="58" t="s">
        <v>242</v>
      </c>
      <c r="T31" s="55"/>
      <c r="U31" s="55"/>
      <c r="V31" s="51"/>
      <c r="W31" s="51"/>
      <c r="X31" s="51"/>
      <c r="Y31" s="51"/>
      <c r="Z31" s="60"/>
      <c r="AA31" s="73" t="s">
        <v>243</v>
      </c>
      <c r="AB31" s="62" t="s">
        <v>61</v>
      </c>
      <c r="AC31" s="63" t="s">
        <v>61</v>
      </c>
      <c r="AD31" s="64" t="s">
        <v>61</v>
      </c>
      <c r="AE31" s="64" t="s">
        <v>61</v>
      </c>
      <c r="AF31" s="63" t="s">
        <v>61</v>
      </c>
      <c r="AG31" s="63" t="s">
        <v>61</v>
      </c>
      <c r="AH31" s="63" t="s">
        <v>61</v>
      </c>
      <c r="AI31" s="65" t="s">
        <v>61</v>
      </c>
      <c r="AJ31" s="66" t="s">
        <v>61</v>
      </c>
      <c r="AK31" s="60"/>
    </row>
    <row r="32" ht="24.0" customHeight="1">
      <c r="A32" s="71"/>
      <c r="B32" s="36">
        <v>1.0</v>
      </c>
      <c r="C32" s="37" t="str">
        <f>IFERROR(__xludf.DUMMYFUNCTION("""COMPUTED_VALUE"""),"Davis Beilstein (3) - '25 COF GA")</f>
        <v>Davis Beilstein (3) - '25 COF GA</v>
      </c>
      <c r="D32" s="38" t="s">
        <v>244</v>
      </c>
      <c r="E32" s="39" t="s">
        <v>103</v>
      </c>
      <c r="F32" s="40"/>
      <c r="G32" s="41"/>
      <c r="H32" s="42" t="s">
        <v>245</v>
      </c>
      <c r="I32" s="43" t="s">
        <v>246</v>
      </c>
      <c r="J32" s="43">
        <v>2025.0</v>
      </c>
      <c r="K32" s="43">
        <v>3.0</v>
      </c>
      <c r="L32" s="43"/>
      <c r="M32" s="43" t="s">
        <v>42</v>
      </c>
      <c r="N32" s="43"/>
      <c r="O32" s="43"/>
      <c r="P32" s="43"/>
      <c r="Q32" s="43" t="s">
        <v>43</v>
      </c>
      <c r="R32" s="43">
        <v>643.0</v>
      </c>
      <c r="S32" s="44"/>
      <c r="T32" s="43"/>
      <c r="U32" s="43"/>
      <c r="V32" s="39"/>
      <c r="W32" s="39"/>
      <c r="X32" s="39"/>
      <c r="Y32" s="39"/>
      <c r="Z32" s="46"/>
      <c r="AA32" s="47" t="s">
        <v>247</v>
      </c>
      <c r="AB32" s="48" t="s">
        <v>61</v>
      </c>
      <c r="AC32" s="68" t="s">
        <v>61</v>
      </c>
      <c r="AD32" s="69" t="s">
        <v>61</v>
      </c>
      <c r="AE32" s="69" t="s">
        <v>61</v>
      </c>
      <c r="AF32" s="68" t="s">
        <v>61</v>
      </c>
      <c r="AG32" s="68" t="s">
        <v>61</v>
      </c>
      <c r="AH32" s="68" t="s">
        <v>61</v>
      </c>
      <c r="AI32" s="70" t="s">
        <v>61</v>
      </c>
      <c r="AJ32" s="49" t="s">
        <v>61</v>
      </c>
      <c r="AK32" s="46"/>
    </row>
    <row r="33" ht="24.0" customHeight="1">
      <c r="A33" s="35"/>
      <c r="B33" s="36">
        <v>1.0</v>
      </c>
      <c r="C33" s="37" t="str">
        <f>IFERROR(__xludf.DUMMYFUNCTION("""COMPUTED_VALUE"""),"Drew Flores (3) - '25 C TX")</f>
        <v>Drew Flores (3) - '25 C TX</v>
      </c>
      <c r="D33" s="38" t="s">
        <v>248</v>
      </c>
      <c r="E33" s="51" t="s">
        <v>109</v>
      </c>
      <c r="F33" s="52"/>
      <c r="G33" s="53"/>
      <c r="H33" s="54" t="s">
        <v>249</v>
      </c>
      <c r="I33" s="55" t="s">
        <v>250</v>
      </c>
      <c r="J33" s="55">
        <v>2025.0</v>
      </c>
      <c r="K33" s="55">
        <v>3.0</v>
      </c>
      <c r="L33" s="55"/>
      <c r="M33" s="55" t="s">
        <v>109</v>
      </c>
      <c r="N33" s="55"/>
      <c r="O33" s="55"/>
      <c r="P33" s="55"/>
      <c r="Q33" s="55" t="s">
        <v>180</v>
      </c>
      <c r="R33" s="55" t="s">
        <v>251</v>
      </c>
      <c r="S33" s="58"/>
      <c r="T33" s="55"/>
      <c r="U33" s="55"/>
      <c r="V33" s="51"/>
      <c r="W33" s="51"/>
      <c r="X33" s="51"/>
      <c r="Y33" s="51"/>
      <c r="Z33" s="60"/>
      <c r="AA33" s="73" t="s">
        <v>252</v>
      </c>
      <c r="AB33" s="62" t="s">
        <v>61</v>
      </c>
      <c r="AC33" s="63" t="s">
        <v>61</v>
      </c>
      <c r="AD33" s="64" t="s">
        <v>61</v>
      </c>
      <c r="AE33" s="64" t="s">
        <v>61</v>
      </c>
      <c r="AF33" s="63" t="s">
        <v>61</v>
      </c>
      <c r="AG33" s="63" t="s">
        <v>61</v>
      </c>
      <c r="AH33" s="63" t="s">
        <v>61</v>
      </c>
      <c r="AI33" s="65" t="s">
        <v>61</v>
      </c>
      <c r="AJ33" s="66" t="s">
        <v>61</v>
      </c>
      <c r="AK33" s="60"/>
    </row>
    <row r="34" ht="24.0" customHeight="1">
      <c r="A34" s="35"/>
      <c r="B34" s="36">
        <v>1.0</v>
      </c>
      <c r="C34" s="37" t="str">
        <f>IFERROR(__xludf.DUMMYFUNCTION("""COMPUTED_VALUE"""),"Drew Kindlon (3) - '25 RHP NY")</f>
        <v>Drew Kindlon (3) - '25 RHP NY</v>
      </c>
      <c r="D34" s="38" t="s">
        <v>253</v>
      </c>
      <c r="E34" s="39" t="s">
        <v>63</v>
      </c>
      <c r="F34" s="40"/>
      <c r="G34" s="41"/>
      <c r="H34" s="42" t="s">
        <v>249</v>
      </c>
      <c r="I34" s="43" t="s">
        <v>254</v>
      </c>
      <c r="J34" s="43">
        <v>2025.0</v>
      </c>
      <c r="K34" s="43">
        <v>3.0</v>
      </c>
      <c r="L34" s="43"/>
      <c r="M34" s="43" t="s">
        <v>63</v>
      </c>
      <c r="N34" s="43"/>
      <c r="O34" s="43"/>
      <c r="P34" s="43"/>
      <c r="Q34" s="43" t="s">
        <v>255</v>
      </c>
      <c r="R34" s="43" t="s">
        <v>256</v>
      </c>
      <c r="S34" s="44"/>
      <c r="T34" s="43"/>
      <c r="U34" s="43"/>
      <c r="V34" s="39"/>
      <c r="W34" s="39"/>
      <c r="X34" s="39"/>
      <c r="Y34" s="39"/>
      <c r="Z34" s="46"/>
      <c r="AA34" s="47" t="s">
        <v>257</v>
      </c>
      <c r="AB34" s="48" t="s">
        <v>258</v>
      </c>
      <c r="AC34" s="68"/>
      <c r="AD34" s="69">
        <v>3.8</v>
      </c>
      <c r="AE34" s="69">
        <v>1240.0</v>
      </c>
      <c r="AF34" s="68" t="s">
        <v>259</v>
      </c>
      <c r="AG34" s="68" t="s">
        <v>81</v>
      </c>
      <c r="AH34" s="68" t="s">
        <v>81</v>
      </c>
      <c r="AI34" s="70" t="s">
        <v>81</v>
      </c>
      <c r="AJ34" s="49" t="s">
        <v>61</v>
      </c>
      <c r="AK34" s="46"/>
    </row>
    <row r="35" ht="24.0" customHeight="1">
      <c r="A35" s="35"/>
      <c r="B35" s="36">
        <v>1.0</v>
      </c>
      <c r="C35" s="37" t="str">
        <f>IFERROR(__xludf.DUMMYFUNCTION("""COMPUTED_VALUE"""),"Drew McTagertt (3) - '25 C IN")</f>
        <v>Drew McTagertt (3) - '25 C IN</v>
      </c>
      <c r="D35" s="38" t="s">
        <v>260</v>
      </c>
      <c r="E35" s="51" t="s">
        <v>109</v>
      </c>
      <c r="F35" s="52"/>
      <c r="G35" s="53"/>
      <c r="H35" s="54" t="s">
        <v>249</v>
      </c>
      <c r="I35" s="55" t="s">
        <v>261</v>
      </c>
      <c r="J35" s="55">
        <v>2025.0</v>
      </c>
      <c r="K35" s="55">
        <v>3.0</v>
      </c>
      <c r="L35" s="55"/>
      <c r="M35" s="55" t="s">
        <v>109</v>
      </c>
      <c r="N35" s="55"/>
      <c r="O35" s="55"/>
      <c r="P35" s="55"/>
      <c r="Q35" s="55" t="s">
        <v>153</v>
      </c>
      <c r="R35" s="55" t="s">
        <v>262</v>
      </c>
      <c r="S35" s="58" t="s">
        <v>263</v>
      </c>
      <c r="T35" s="55"/>
      <c r="U35" s="55"/>
      <c r="V35" s="51"/>
      <c r="W35" s="51"/>
      <c r="X35" s="51"/>
      <c r="Y35" s="51"/>
      <c r="Z35" s="60"/>
      <c r="AA35" s="73" t="s">
        <v>264</v>
      </c>
      <c r="AB35" s="62" t="s">
        <v>61</v>
      </c>
      <c r="AC35" s="63" t="s">
        <v>61</v>
      </c>
      <c r="AD35" s="64" t="s">
        <v>61</v>
      </c>
      <c r="AE35" s="64" t="s">
        <v>61</v>
      </c>
      <c r="AF35" s="63" t="s">
        <v>61</v>
      </c>
      <c r="AG35" s="63" t="s">
        <v>61</v>
      </c>
      <c r="AH35" s="63" t="s">
        <v>61</v>
      </c>
      <c r="AI35" s="65" t="s">
        <v>61</v>
      </c>
      <c r="AJ35" s="66" t="s">
        <v>61</v>
      </c>
      <c r="AK35" s="60"/>
    </row>
    <row r="36" ht="24.0" customHeight="1">
      <c r="A36" s="35"/>
      <c r="B36" s="36">
        <v>1.0</v>
      </c>
      <c r="C36" s="37" t="str">
        <f>IFERROR(__xludf.DUMMYFUNCTION("""COMPUTED_VALUE"""),"Ethan Johnson (3) - '25 MINF CA")</f>
        <v>Ethan Johnson (3) - '25 MINF CA</v>
      </c>
      <c r="D36" s="38" t="s">
        <v>265</v>
      </c>
      <c r="E36" s="39" t="s">
        <v>48</v>
      </c>
      <c r="F36" s="40"/>
      <c r="G36" s="41"/>
      <c r="H36" s="42" t="s">
        <v>266</v>
      </c>
      <c r="I36" s="43" t="s">
        <v>267</v>
      </c>
      <c r="J36" s="43">
        <v>2025.0</v>
      </c>
      <c r="K36" s="43">
        <v>3.0</v>
      </c>
      <c r="L36" s="80"/>
      <c r="M36" s="43" t="s">
        <v>51</v>
      </c>
      <c r="N36" s="43"/>
      <c r="O36" s="43"/>
      <c r="P36" s="43"/>
      <c r="Q36" s="43" t="s">
        <v>52</v>
      </c>
      <c r="R36" s="43" t="s">
        <v>268</v>
      </c>
      <c r="S36" s="44" t="s">
        <v>269</v>
      </c>
      <c r="T36" s="43"/>
      <c r="U36" s="43"/>
      <c r="V36" s="81"/>
      <c r="W36" s="39"/>
      <c r="X36" s="81"/>
      <c r="Y36" s="81"/>
      <c r="Z36" s="82"/>
      <c r="AA36" s="47" t="s">
        <v>270</v>
      </c>
      <c r="AB36" s="48" t="s">
        <v>61</v>
      </c>
      <c r="AC36" s="68" t="s">
        <v>61</v>
      </c>
      <c r="AD36" s="69" t="s">
        <v>61</v>
      </c>
      <c r="AE36" s="69" t="s">
        <v>61</v>
      </c>
      <c r="AF36" s="68" t="s">
        <v>61</v>
      </c>
      <c r="AG36" s="68" t="s">
        <v>61</v>
      </c>
      <c r="AH36" s="68" t="s">
        <v>61</v>
      </c>
      <c r="AI36" s="70" t="s">
        <v>61</v>
      </c>
      <c r="AJ36" s="49" t="s">
        <v>61</v>
      </c>
      <c r="AK36" s="46"/>
    </row>
    <row r="37" ht="24.0" customHeight="1">
      <c r="A37" s="35"/>
      <c r="B37" s="36">
        <v>1.0</v>
      </c>
      <c r="C37" s="37" t="str">
        <f>IFERROR(__xludf.DUMMYFUNCTION("""COMPUTED_VALUE"""),"Gabe Pegues (3) - '25 COF VA")</f>
        <v>Gabe Pegues (3) - '25 COF VA</v>
      </c>
      <c r="D37" s="38" t="s">
        <v>271</v>
      </c>
      <c r="E37" s="51" t="s">
        <v>103</v>
      </c>
      <c r="F37" s="52"/>
      <c r="G37" s="53"/>
      <c r="H37" s="54" t="s">
        <v>272</v>
      </c>
      <c r="I37" s="55" t="s">
        <v>273</v>
      </c>
      <c r="J37" s="55">
        <v>2025.0</v>
      </c>
      <c r="K37" s="55">
        <v>3.0</v>
      </c>
      <c r="L37" s="55"/>
      <c r="M37" s="55" t="s">
        <v>42</v>
      </c>
      <c r="N37" s="55"/>
      <c r="O37" s="55"/>
      <c r="P37" s="55"/>
      <c r="Q37" s="55" t="s">
        <v>125</v>
      </c>
      <c r="R37" s="55" t="s">
        <v>274</v>
      </c>
      <c r="S37" s="58" t="s">
        <v>275</v>
      </c>
      <c r="T37" s="55"/>
      <c r="U37" s="55"/>
      <c r="V37" s="51"/>
      <c r="W37" s="51"/>
      <c r="X37" s="51"/>
      <c r="Y37" s="51"/>
      <c r="Z37" s="60"/>
      <c r="AA37" s="73" t="s">
        <v>276</v>
      </c>
      <c r="AB37" s="62" t="s">
        <v>61</v>
      </c>
      <c r="AC37" s="63" t="s">
        <v>61</v>
      </c>
      <c r="AD37" s="64" t="s">
        <v>61</v>
      </c>
      <c r="AE37" s="64" t="s">
        <v>61</v>
      </c>
      <c r="AF37" s="63" t="s">
        <v>61</v>
      </c>
      <c r="AG37" s="63" t="s">
        <v>61</v>
      </c>
      <c r="AH37" s="63" t="s">
        <v>61</v>
      </c>
      <c r="AI37" s="65" t="s">
        <v>61</v>
      </c>
      <c r="AJ37" s="66" t="s">
        <v>61</v>
      </c>
      <c r="AK37" s="60"/>
    </row>
    <row r="38" ht="24.0" customHeight="1">
      <c r="A38" s="35"/>
      <c r="B38" s="36">
        <v>1.0</v>
      </c>
      <c r="C38" s="37" t="str">
        <f>IFERROR(__xludf.DUMMYFUNCTION("""COMPUTED_VALUE"""),"Grant Belcher (3) - '25 RHP CO")</f>
        <v>Grant Belcher (3) - '25 RHP CO</v>
      </c>
      <c r="D38" s="38" t="s">
        <v>277</v>
      </c>
      <c r="E38" s="39" t="s">
        <v>63</v>
      </c>
      <c r="F38" s="40"/>
      <c r="G38" s="41"/>
      <c r="H38" s="42" t="s">
        <v>278</v>
      </c>
      <c r="I38" s="43" t="s">
        <v>279</v>
      </c>
      <c r="J38" s="43">
        <v>2025.0</v>
      </c>
      <c r="K38" s="43">
        <v>3.0</v>
      </c>
      <c r="L38" s="80"/>
      <c r="M38" s="43" t="s">
        <v>63</v>
      </c>
      <c r="N38" s="43"/>
      <c r="O38" s="43"/>
      <c r="P38" s="43"/>
      <c r="Q38" s="43" t="s">
        <v>174</v>
      </c>
      <c r="R38" s="43" t="s">
        <v>280</v>
      </c>
      <c r="S38" s="44" t="s">
        <v>281</v>
      </c>
      <c r="T38" s="43"/>
      <c r="U38" s="43"/>
      <c r="V38" s="81"/>
      <c r="W38" s="39"/>
      <c r="X38" s="81"/>
      <c r="Y38" s="81"/>
      <c r="Z38" s="82"/>
      <c r="AA38" s="47" t="s">
        <v>282</v>
      </c>
      <c r="AB38" s="48" t="s">
        <v>61</v>
      </c>
      <c r="AC38" s="68" t="s">
        <v>61</v>
      </c>
      <c r="AD38" s="69" t="s">
        <v>61</v>
      </c>
      <c r="AE38" s="69" t="s">
        <v>61</v>
      </c>
      <c r="AF38" s="68" t="s">
        <v>61</v>
      </c>
      <c r="AG38" s="68" t="s">
        <v>61</v>
      </c>
      <c r="AH38" s="68" t="s">
        <v>61</v>
      </c>
      <c r="AI38" s="70" t="s">
        <v>61</v>
      </c>
      <c r="AJ38" s="49" t="s">
        <v>61</v>
      </c>
      <c r="AK38" s="46"/>
    </row>
    <row r="39" ht="24.0" customHeight="1">
      <c r="A39" s="35"/>
      <c r="B39" s="36">
        <v>1.0</v>
      </c>
      <c r="C39" s="37" t="str">
        <f>IFERROR(__xludf.DUMMYFUNCTION("""COMPUTED_VALUE"""),"Jacob Pettit (3) - '25 COF SC")</f>
        <v>Jacob Pettit (3) - '25 COF SC</v>
      </c>
      <c r="D39" s="38" t="s">
        <v>283</v>
      </c>
      <c r="E39" s="51" t="s">
        <v>103</v>
      </c>
      <c r="F39" s="52"/>
      <c r="G39" s="53"/>
      <c r="H39" s="54" t="s">
        <v>284</v>
      </c>
      <c r="I39" s="55" t="s">
        <v>285</v>
      </c>
      <c r="J39" s="55">
        <v>2025.0</v>
      </c>
      <c r="K39" s="55">
        <v>3.0</v>
      </c>
      <c r="L39" s="55"/>
      <c r="M39" s="55" t="s">
        <v>42</v>
      </c>
      <c r="N39" s="55"/>
      <c r="O39" s="55"/>
      <c r="P39" s="55"/>
      <c r="Q39" s="55" t="s">
        <v>286</v>
      </c>
      <c r="R39" s="55" t="s">
        <v>287</v>
      </c>
      <c r="S39" s="58"/>
      <c r="T39" s="55"/>
      <c r="U39" s="55"/>
      <c r="V39" s="51"/>
      <c r="W39" s="51"/>
      <c r="X39" s="51"/>
      <c r="Y39" s="51"/>
      <c r="Z39" s="60"/>
      <c r="AA39" s="73" t="s">
        <v>288</v>
      </c>
      <c r="AB39" s="62" t="s">
        <v>61</v>
      </c>
      <c r="AC39" s="63" t="s">
        <v>61</v>
      </c>
      <c r="AD39" s="64" t="s">
        <v>61</v>
      </c>
      <c r="AE39" s="64" t="s">
        <v>61</v>
      </c>
      <c r="AF39" s="63" t="s">
        <v>61</v>
      </c>
      <c r="AG39" s="63" t="s">
        <v>61</v>
      </c>
      <c r="AH39" s="63" t="s">
        <v>61</v>
      </c>
      <c r="AI39" s="65" t="s">
        <v>61</v>
      </c>
      <c r="AJ39" s="66" t="s">
        <v>61</v>
      </c>
      <c r="AK39" s="60"/>
    </row>
    <row r="40" ht="24.0" customHeight="1">
      <c r="A40" s="35"/>
      <c r="B40" s="36">
        <v>1.0</v>
      </c>
      <c r="C40" s="37" t="str">
        <f>IFERROR(__xludf.DUMMYFUNCTION("""COMPUTED_VALUE"""),"Jaxon Sparks (3) - '25 LHP IN")</f>
        <v>Jaxon Sparks (3) - '25 LHP IN</v>
      </c>
      <c r="D40" s="38" t="s">
        <v>289</v>
      </c>
      <c r="E40" s="39" t="s">
        <v>122</v>
      </c>
      <c r="F40" s="40"/>
      <c r="G40" s="41"/>
      <c r="H40" s="42" t="s">
        <v>290</v>
      </c>
      <c r="I40" s="43" t="s">
        <v>291</v>
      </c>
      <c r="J40" s="43">
        <v>2025.0</v>
      </c>
      <c r="K40" s="43">
        <v>3.0</v>
      </c>
      <c r="L40" s="43"/>
      <c r="M40" s="43" t="s">
        <v>122</v>
      </c>
      <c r="N40" s="43"/>
      <c r="O40" s="43"/>
      <c r="P40" s="43"/>
      <c r="Q40" s="43" t="s">
        <v>153</v>
      </c>
      <c r="R40" s="43" t="s">
        <v>292</v>
      </c>
      <c r="S40" s="44" t="s">
        <v>263</v>
      </c>
      <c r="T40" s="43"/>
      <c r="U40" s="43"/>
      <c r="V40" s="39"/>
      <c r="W40" s="39"/>
      <c r="X40" s="39"/>
      <c r="Y40" s="39"/>
      <c r="Z40" s="46"/>
      <c r="AA40" s="47" t="s">
        <v>293</v>
      </c>
      <c r="AB40" s="48" t="s">
        <v>61</v>
      </c>
      <c r="AC40" s="68" t="s">
        <v>61</v>
      </c>
      <c r="AD40" s="69" t="s">
        <v>61</v>
      </c>
      <c r="AE40" s="69" t="s">
        <v>61</v>
      </c>
      <c r="AF40" s="68" t="s">
        <v>61</v>
      </c>
      <c r="AG40" s="68" t="s">
        <v>61</v>
      </c>
      <c r="AH40" s="68" t="s">
        <v>61</v>
      </c>
      <c r="AI40" s="70" t="s">
        <v>61</v>
      </c>
      <c r="AJ40" s="49" t="s">
        <v>61</v>
      </c>
      <c r="AK40" s="46"/>
    </row>
    <row r="41" ht="24.0" customHeight="1">
      <c r="A41" s="35"/>
      <c r="B41" s="36">
        <v>1.0</v>
      </c>
      <c r="C41" s="37" t="str">
        <f>IFERROR(__xludf.DUMMYFUNCTION("""COMPUTED_VALUE"""),"JD Mace (3) - '25 RHP NC")</f>
        <v>JD Mace (3) - '25 RHP NC</v>
      </c>
      <c r="D41" s="38" t="s">
        <v>294</v>
      </c>
      <c r="E41" s="51" t="s">
        <v>63</v>
      </c>
      <c r="F41" s="52"/>
      <c r="G41" s="53"/>
      <c r="H41" s="54" t="s">
        <v>295</v>
      </c>
      <c r="I41" s="55" t="s">
        <v>296</v>
      </c>
      <c r="J41" s="55">
        <v>2025.0</v>
      </c>
      <c r="K41" s="55">
        <v>3.0</v>
      </c>
      <c r="L41" s="55"/>
      <c r="M41" s="55" t="s">
        <v>63</v>
      </c>
      <c r="N41" s="55"/>
      <c r="O41" s="55"/>
      <c r="P41" s="55"/>
      <c r="Q41" s="55" t="s">
        <v>73</v>
      </c>
      <c r="R41" s="55" t="s">
        <v>297</v>
      </c>
      <c r="S41" s="58" t="s">
        <v>298</v>
      </c>
      <c r="T41" s="55"/>
      <c r="U41" s="55"/>
      <c r="V41" s="51"/>
      <c r="W41" s="51"/>
      <c r="X41" s="51"/>
      <c r="Y41" s="51"/>
      <c r="Z41" s="60"/>
      <c r="AA41" s="73" t="s">
        <v>299</v>
      </c>
      <c r="AB41" s="62" t="s">
        <v>61</v>
      </c>
      <c r="AC41" s="63" t="s">
        <v>61</v>
      </c>
      <c r="AD41" s="64" t="s">
        <v>61</v>
      </c>
      <c r="AE41" s="64" t="s">
        <v>61</v>
      </c>
      <c r="AF41" s="63" t="s">
        <v>61</v>
      </c>
      <c r="AG41" s="63" t="s">
        <v>61</v>
      </c>
      <c r="AH41" s="63" t="s">
        <v>61</v>
      </c>
      <c r="AI41" s="65" t="s">
        <v>61</v>
      </c>
      <c r="AJ41" s="66" t="s">
        <v>61</v>
      </c>
      <c r="AK41" s="60"/>
    </row>
    <row r="42" ht="24.0" customHeight="1">
      <c r="A42" s="35"/>
      <c r="B42" s="36">
        <v>1.0</v>
      </c>
      <c r="C42" s="37" t="str">
        <f>IFERROR(__xludf.DUMMYFUNCTION("""COMPUTED_VALUE"""),"John Kosobud (3) - '25 RHP GA")</f>
        <v>John Kosobud (3) - '25 RHP GA</v>
      </c>
      <c r="D42" s="38" t="s">
        <v>300</v>
      </c>
      <c r="E42" s="39" t="s">
        <v>63</v>
      </c>
      <c r="F42" s="40"/>
      <c r="G42" s="41"/>
      <c r="H42" s="42" t="s">
        <v>39</v>
      </c>
      <c r="I42" s="43" t="s">
        <v>301</v>
      </c>
      <c r="J42" s="43">
        <v>2025.0</v>
      </c>
      <c r="K42" s="43">
        <v>3.0</v>
      </c>
      <c r="L42" s="43"/>
      <c r="M42" s="43" t="s">
        <v>63</v>
      </c>
      <c r="N42" s="43"/>
      <c r="O42" s="43"/>
      <c r="P42" s="80"/>
      <c r="Q42" s="43" t="s">
        <v>43</v>
      </c>
      <c r="R42" s="43" t="s">
        <v>302</v>
      </c>
      <c r="S42" s="44"/>
      <c r="T42" s="43"/>
      <c r="U42" s="43"/>
      <c r="V42" s="39"/>
      <c r="W42" s="39"/>
      <c r="X42" s="39"/>
      <c r="Y42" s="39"/>
      <c r="Z42" s="46"/>
      <c r="AA42" s="47" t="s">
        <v>303</v>
      </c>
      <c r="AB42" s="48" t="s">
        <v>61</v>
      </c>
      <c r="AC42" s="68" t="s">
        <v>61</v>
      </c>
      <c r="AD42" s="69" t="s">
        <v>61</v>
      </c>
      <c r="AE42" s="69" t="s">
        <v>61</v>
      </c>
      <c r="AF42" s="68" t="s">
        <v>61</v>
      </c>
      <c r="AG42" s="68" t="s">
        <v>61</v>
      </c>
      <c r="AH42" s="68" t="s">
        <v>61</v>
      </c>
      <c r="AI42" s="70" t="s">
        <v>61</v>
      </c>
      <c r="AJ42" s="49" t="s">
        <v>61</v>
      </c>
      <c r="AK42" s="46"/>
    </row>
    <row r="43" ht="24.0" customHeight="1">
      <c r="A43" s="35"/>
      <c r="B43" s="36">
        <v>1.0</v>
      </c>
      <c r="C43" s="37" t="str">
        <f>IFERROR(__xludf.DUMMYFUNCTION("""COMPUTED_VALUE"""),"Keegan Luxem (3) - '25 RHP IL")</f>
        <v>Keegan Luxem (3) - '25 RHP IL</v>
      </c>
      <c r="D43" s="38" t="s">
        <v>304</v>
      </c>
      <c r="E43" s="51" t="s">
        <v>63</v>
      </c>
      <c r="F43" s="52"/>
      <c r="G43" s="53"/>
      <c r="H43" s="54" t="s">
        <v>305</v>
      </c>
      <c r="I43" s="55" t="s">
        <v>306</v>
      </c>
      <c r="J43" s="55">
        <v>2025.0</v>
      </c>
      <c r="K43" s="55">
        <v>3.0</v>
      </c>
      <c r="L43" s="55"/>
      <c r="M43" s="55" t="s">
        <v>63</v>
      </c>
      <c r="N43" s="55"/>
      <c r="O43" s="55"/>
      <c r="P43" s="55"/>
      <c r="Q43" s="55" t="s">
        <v>307</v>
      </c>
      <c r="R43" s="55" t="s">
        <v>308</v>
      </c>
      <c r="S43" s="58"/>
      <c r="T43" s="55"/>
      <c r="U43" s="55"/>
      <c r="V43" s="51"/>
      <c r="W43" s="51"/>
      <c r="X43" s="51"/>
      <c r="Y43" s="51"/>
      <c r="Z43" s="60"/>
      <c r="AA43" s="73" t="s">
        <v>309</v>
      </c>
      <c r="AB43" s="62" t="s">
        <v>61</v>
      </c>
      <c r="AC43" s="63" t="s">
        <v>61</v>
      </c>
      <c r="AD43" s="64" t="s">
        <v>61</v>
      </c>
      <c r="AE43" s="64" t="s">
        <v>61</v>
      </c>
      <c r="AF43" s="63" t="s">
        <v>61</v>
      </c>
      <c r="AG43" s="63" t="s">
        <v>61</v>
      </c>
      <c r="AH43" s="63" t="s">
        <v>61</v>
      </c>
      <c r="AI43" s="65" t="s">
        <v>61</v>
      </c>
      <c r="AJ43" s="66" t="s">
        <v>61</v>
      </c>
      <c r="AK43" s="60"/>
    </row>
    <row r="44" ht="24.0" customHeight="1">
      <c r="A44" s="88" t="s">
        <v>310</v>
      </c>
      <c r="B44" s="36">
        <v>1.0</v>
      </c>
      <c r="C44" s="37" t="str">
        <f>IFERROR(__xludf.DUMMYFUNCTION("""COMPUTED_VALUE"""),"Matthew Roussey (3) - '25 RHP VA")</f>
        <v>Matthew Roussey (3) - '25 RHP VA</v>
      </c>
      <c r="D44" s="38" t="s">
        <v>311</v>
      </c>
      <c r="E44" s="39" t="s">
        <v>63</v>
      </c>
      <c r="F44" s="40"/>
      <c r="G44" s="41"/>
      <c r="H44" s="42" t="s">
        <v>312</v>
      </c>
      <c r="I44" s="43" t="s">
        <v>313</v>
      </c>
      <c r="J44" s="43">
        <v>2025.0</v>
      </c>
      <c r="K44" s="43">
        <v>3.0</v>
      </c>
      <c r="L44" s="80"/>
      <c r="M44" s="43" t="s">
        <v>63</v>
      </c>
      <c r="N44" s="43"/>
      <c r="O44" s="43"/>
      <c r="P44" s="43"/>
      <c r="Q44" s="43" t="s">
        <v>125</v>
      </c>
      <c r="R44" s="43" t="s">
        <v>314</v>
      </c>
      <c r="S44" s="44"/>
      <c r="T44" s="43"/>
      <c r="U44" s="43"/>
      <c r="V44" s="81"/>
      <c r="W44" s="39"/>
      <c r="X44" s="81"/>
      <c r="Y44" s="81"/>
      <c r="Z44" s="82"/>
      <c r="AA44" s="47" t="s">
        <v>315</v>
      </c>
      <c r="AB44" s="48" t="s">
        <v>61</v>
      </c>
      <c r="AC44" s="68" t="s">
        <v>61</v>
      </c>
      <c r="AD44" s="69" t="s">
        <v>61</v>
      </c>
      <c r="AE44" s="69" t="s">
        <v>61</v>
      </c>
      <c r="AF44" s="68" t="s">
        <v>61</v>
      </c>
      <c r="AG44" s="68" t="s">
        <v>61</v>
      </c>
      <c r="AH44" s="68" t="s">
        <v>61</v>
      </c>
      <c r="AI44" s="70" t="s">
        <v>61</v>
      </c>
      <c r="AJ44" s="49" t="s">
        <v>61</v>
      </c>
      <c r="AK44" s="46"/>
    </row>
    <row r="45" ht="24.0" customHeight="1">
      <c r="A45" s="35"/>
      <c r="B45" s="36">
        <v>1.0</v>
      </c>
      <c r="C45" s="37" t="str">
        <f>IFERROR(__xludf.DUMMYFUNCTION("""COMPUTED_VALUE"""),"Mickey Fox (3) - '25 LHP AZ")</f>
        <v>Mickey Fox (3) - '25 LHP AZ</v>
      </c>
      <c r="D45" s="38" t="s">
        <v>316</v>
      </c>
      <c r="E45" s="51" t="s">
        <v>122</v>
      </c>
      <c r="F45" s="52"/>
      <c r="G45" s="53"/>
      <c r="H45" s="54" t="s">
        <v>317</v>
      </c>
      <c r="I45" s="55" t="s">
        <v>318</v>
      </c>
      <c r="J45" s="55">
        <v>2025.0</v>
      </c>
      <c r="K45" s="55">
        <v>3.0</v>
      </c>
      <c r="L45" s="55"/>
      <c r="M45" s="55" t="s">
        <v>122</v>
      </c>
      <c r="N45" s="55"/>
      <c r="O45" s="55"/>
      <c r="P45" s="57"/>
      <c r="Q45" s="55" t="s">
        <v>319</v>
      </c>
      <c r="R45" s="55" t="s">
        <v>320</v>
      </c>
      <c r="S45" s="58"/>
      <c r="T45" s="55"/>
      <c r="U45" s="55"/>
      <c r="V45" s="51"/>
      <c r="W45" s="51"/>
      <c r="X45" s="51"/>
      <c r="Y45" s="51"/>
      <c r="Z45" s="60"/>
      <c r="AA45" s="73" t="s">
        <v>321</v>
      </c>
      <c r="AB45" s="62" t="s">
        <v>61</v>
      </c>
      <c r="AC45" s="63" t="s">
        <v>61</v>
      </c>
      <c r="AD45" s="64" t="s">
        <v>61</v>
      </c>
      <c r="AE45" s="64" t="s">
        <v>61</v>
      </c>
      <c r="AF45" s="63" t="s">
        <v>61</v>
      </c>
      <c r="AG45" s="63" t="s">
        <v>61</v>
      </c>
      <c r="AH45" s="63" t="s">
        <v>61</v>
      </c>
      <c r="AI45" s="65" t="s">
        <v>61</v>
      </c>
      <c r="AJ45" s="66" t="s">
        <v>61</v>
      </c>
      <c r="AK45" s="60"/>
    </row>
    <row r="46" ht="24.0" customHeight="1">
      <c r="A46" s="71"/>
      <c r="B46" s="36">
        <v>1.0</v>
      </c>
      <c r="C46" s="37" t="str">
        <f>IFERROR(__xludf.DUMMYFUNCTION("""COMPUTED_VALUE"""),"Robert(Lujack) Cole (3) - '25 RHP SC")</f>
        <v>Robert(Lujack) Cole (3) - '25 RHP SC</v>
      </c>
      <c r="D46" s="38" t="s">
        <v>322</v>
      </c>
      <c r="E46" s="39" t="s">
        <v>63</v>
      </c>
      <c r="F46" s="40"/>
      <c r="G46" s="41"/>
      <c r="H46" s="42" t="s">
        <v>323</v>
      </c>
      <c r="I46" s="43" t="s">
        <v>324</v>
      </c>
      <c r="J46" s="43">
        <v>2025.0</v>
      </c>
      <c r="K46" s="43">
        <v>3.0</v>
      </c>
      <c r="L46" s="80"/>
      <c r="M46" s="43" t="s">
        <v>63</v>
      </c>
      <c r="N46" s="43"/>
      <c r="O46" s="43"/>
      <c r="P46" s="80"/>
      <c r="Q46" s="43" t="s">
        <v>286</v>
      </c>
      <c r="R46" s="43" t="s">
        <v>325</v>
      </c>
      <c r="S46" s="44"/>
      <c r="T46" s="43"/>
      <c r="U46" s="43"/>
      <c r="V46" s="81"/>
      <c r="W46" s="39"/>
      <c r="X46" s="81"/>
      <c r="Y46" s="81"/>
      <c r="Z46" s="82"/>
      <c r="AA46" s="47" t="s">
        <v>326</v>
      </c>
      <c r="AB46" s="48" t="s">
        <v>61</v>
      </c>
      <c r="AC46" s="68" t="s">
        <v>61</v>
      </c>
      <c r="AD46" s="69" t="s">
        <v>61</v>
      </c>
      <c r="AE46" s="69" t="s">
        <v>61</v>
      </c>
      <c r="AF46" s="68" t="s">
        <v>61</v>
      </c>
      <c r="AG46" s="68" t="s">
        <v>61</v>
      </c>
      <c r="AH46" s="68" t="s">
        <v>61</v>
      </c>
      <c r="AI46" s="70" t="s">
        <v>61</v>
      </c>
      <c r="AJ46" s="49" t="s">
        <v>61</v>
      </c>
      <c r="AK46" s="46"/>
    </row>
    <row r="47" ht="24.0" customHeight="1">
      <c r="A47" s="35"/>
      <c r="B47" s="36">
        <v>1.0</v>
      </c>
      <c r="C47" s="37" t="str">
        <f>IFERROR(__xludf.DUMMYFUNCTION("""COMPUTED_VALUE"""),"Rylan Moses (3) - '25 CF TN")</f>
        <v>Rylan Moses (3) - '25 CF TN</v>
      </c>
      <c r="D47" s="38" t="s">
        <v>327</v>
      </c>
      <c r="E47" s="51" t="s">
        <v>103</v>
      </c>
      <c r="F47" s="52"/>
      <c r="G47" s="53"/>
      <c r="H47" s="54" t="s">
        <v>328</v>
      </c>
      <c r="I47" s="55" t="s">
        <v>329</v>
      </c>
      <c r="J47" s="55">
        <v>2025.0</v>
      </c>
      <c r="K47" s="55">
        <v>3.0</v>
      </c>
      <c r="L47" s="55"/>
      <c r="M47" s="55" t="s">
        <v>106</v>
      </c>
      <c r="N47" s="55"/>
      <c r="O47" s="55"/>
      <c r="P47" s="55"/>
      <c r="Q47" s="55" t="s">
        <v>330</v>
      </c>
      <c r="R47" s="55" t="s">
        <v>331</v>
      </c>
      <c r="S47" s="58" t="s">
        <v>332</v>
      </c>
      <c r="T47" s="55"/>
      <c r="U47" s="55"/>
      <c r="V47" s="51"/>
      <c r="W47" s="51"/>
      <c r="X47" s="51"/>
      <c r="Y47" s="51"/>
      <c r="Z47" s="60"/>
      <c r="AA47" s="73" t="s">
        <v>333</v>
      </c>
      <c r="AB47" s="62" t="s">
        <v>61</v>
      </c>
      <c r="AC47" s="63" t="s">
        <v>61</v>
      </c>
      <c r="AD47" s="64" t="s">
        <v>61</v>
      </c>
      <c r="AE47" s="64" t="s">
        <v>61</v>
      </c>
      <c r="AF47" s="63" t="s">
        <v>61</v>
      </c>
      <c r="AG47" s="63" t="s">
        <v>61</v>
      </c>
      <c r="AH47" s="63" t="s">
        <v>61</v>
      </c>
      <c r="AI47" s="65" t="s">
        <v>61</v>
      </c>
      <c r="AJ47" s="66" t="s">
        <v>61</v>
      </c>
      <c r="AK47" s="60"/>
    </row>
    <row r="48" ht="24.0" customHeight="1">
      <c r="A48" s="35"/>
      <c r="B48" s="36">
        <v>1.0</v>
      </c>
      <c r="C48" s="37" t="str">
        <f>IFERROR(__xludf.DUMMYFUNCTION("""COMPUTED_VALUE"""),"Thomas Allen (3) - '25 RHP LA")</f>
        <v>Thomas Allen (3) - '25 RHP LA</v>
      </c>
      <c r="D48" s="89" t="s">
        <v>334</v>
      </c>
      <c r="E48" s="39" t="s">
        <v>63</v>
      </c>
      <c r="F48" s="40"/>
      <c r="G48" s="41"/>
      <c r="H48" s="42" t="s">
        <v>335</v>
      </c>
      <c r="I48" s="43" t="s">
        <v>336</v>
      </c>
      <c r="J48" s="43">
        <v>2025.0</v>
      </c>
      <c r="K48" s="43">
        <v>3.0</v>
      </c>
      <c r="L48" s="80"/>
      <c r="M48" s="43" t="s">
        <v>63</v>
      </c>
      <c r="N48" s="43"/>
      <c r="O48" s="43"/>
      <c r="P48" s="90"/>
      <c r="Q48" s="43" t="s">
        <v>337</v>
      </c>
      <c r="R48" s="43" t="s">
        <v>338</v>
      </c>
      <c r="S48" s="44" t="s">
        <v>339</v>
      </c>
      <c r="T48" s="43"/>
      <c r="U48" s="43"/>
      <c r="V48" s="39"/>
      <c r="W48" s="81"/>
      <c r="X48" s="81"/>
      <c r="Y48" s="81"/>
      <c r="Z48" s="82"/>
      <c r="AA48" s="47" t="s">
        <v>340</v>
      </c>
      <c r="AB48" s="48" t="s">
        <v>61</v>
      </c>
      <c r="AC48" s="68" t="s">
        <v>61</v>
      </c>
      <c r="AD48" s="69" t="s">
        <v>61</v>
      </c>
      <c r="AE48" s="69" t="s">
        <v>61</v>
      </c>
      <c r="AF48" s="68" t="s">
        <v>61</v>
      </c>
      <c r="AG48" s="68" t="s">
        <v>61</v>
      </c>
      <c r="AH48" s="68" t="s">
        <v>61</v>
      </c>
      <c r="AI48" s="70" t="s">
        <v>61</v>
      </c>
      <c r="AJ48" s="49" t="s">
        <v>61</v>
      </c>
      <c r="AK48" s="46"/>
    </row>
    <row r="49" ht="24.0" customHeight="1">
      <c r="A49" s="35"/>
      <c r="B49" s="36">
        <v>1.0</v>
      </c>
      <c r="C49" s="37" t="str">
        <f>IFERROR(__xludf.DUMMYFUNCTION("""COMPUTED_VALUE"""),"Tobey Bajda (3) - '25 RHP CT")</f>
        <v>Tobey Bajda (3) - '25 RHP CT</v>
      </c>
      <c r="D49" s="38" t="s">
        <v>341</v>
      </c>
      <c r="E49" s="51" t="s">
        <v>63</v>
      </c>
      <c r="F49" s="52"/>
      <c r="G49" s="53"/>
      <c r="H49" s="54" t="s">
        <v>342</v>
      </c>
      <c r="I49" s="55" t="s">
        <v>343</v>
      </c>
      <c r="J49" s="55">
        <v>2025.0</v>
      </c>
      <c r="K49" s="55">
        <v>3.0</v>
      </c>
      <c r="L49" s="57"/>
      <c r="M49" s="55" t="s">
        <v>63</v>
      </c>
      <c r="N49" s="55"/>
      <c r="O49" s="55"/>
      <c r="P49" s="57"/>
      <c r="Q49" s="55" t="s">
        <v>160</v>
      </c>
      <c r="R49" s="55" t="s">
        <v>344</v>
      </c>
      <c r="S49" s="58"/>
      <c r="T49" s="55"/>
      <c r="U49" s="55"/>
      <c r="V49" s="74"/>
      <c r="W49" s="51"/>
      <c r="X49" s="74"/>
      <c r="Y49" s="74"/>
      <c r="Z49" s="76"/>
      <c r="AA49" s="73" t="s">
        <v>345</v>
      </c>
      <c r="AB49" s="62" t="s">
        <v>61</v>
      </c>
      <c r="AC49" s="63" t="s">
        <v>61</v>
      </c>
      <c r="AD49" s="64" t="s">
        <v>61</v>
      </c>
      <c r="AE49" s="64" t="s">
        <v>61</v>
      </c>
      <c r="AF49" s="63" t="s">
        <v>61</v>
      </c>
      <c r="AG49" s="63" t="s">
        <v>61</v>
      </c>
      <c r="AH49" s="63" t="s">
        <v>61</v>
      </c>
      <c r="AI49" s="65" t="s">
        <v>61</v>
      </c>
      <c r="AJ49" s="66" t="s">
        <v>61</v>
      </c>
      <c r="AK49" s="60"/>
    </row>
    <row r="50" ht="24.0" customHeight="1">
      <c r="A50" s="35"/>
      <c r="B50" s="36">
        <v>1.0</v>
      </c>
      <c r="C50" s="37" t="str">
        <f>IFERROR(__xludf.DUMMYFUNCTION("""COMPUTED_VALUE"""),"Trent Kulig (3) - '25 RHP IN")</f>
        <v>Trent Kulig (3) - '25 RHP IN</v>
      </c>
      <c r="D50" s="89" t="s">
        <v>346</v>
      </c>
      <c r="E50" s="39" t="s">
        <v>63</v>
      </c>
      <c r="F50" s="40"/>
      <c r="G50" s="41"/>
      <c r="H50" s="42" t="s">
        <v>187</v>
      </c>
      <c r="I50" s="43" t="s">
        <v>347</v>
      </c>
      <c r="J50" s="43">
        <v>2025.0</v>
      </c>
      <c r="K50" s="43">
        <v>3.0</v>
      </c>
      <c r="L50" s="43"/>
      <c r="M50" s="43" t="s">
        <v>63</v>
      </c>
      <c r="N50" s="43"/>
      <c r="O50" s="43"/>
      <c r="P50" s="80"/>
      <c r="Q50" s="43" t="s">
        <v>153</v>
      </c>
      <c r="R50" s="43" t="s">
        <v>348</v>
      </c>
      <c r="S50" s="44" t="s">
        <v>263</v>
      </c>
      <c r="T50" s="43"/>
      <c r="U50" s="43"/>
      <c r="V50" s="39"/>
      <c r="W50" s="81"/>
      <c r="X50" s="81"/>
      <c r="Y50" s="81"/>
      <c r="Z50" s="82"/>
      <c r="AA50" s="47" t="s">
        <v>349</v>
      </c>
      <c r="AB50" s="48" t="s">
        <v>61</v>
      </c>
      <c r="AC50" s="68" t="s">
        <v>61</v>
      </c>
      <c r="AD50" s="69" t="s">
        <v>61</v>
      </c>
      <c r="AE50" s="69" t="s">
        <v>61</v>
      </c>
      <c r="AF50" s="68" t="s">
        <v>61</v>
      </c>
      <c r="AG50" s="68" t="s">
        <v>61</v>
      </c>
      <c r="AH50" s="68" t="s">
        <v>61</v>
      </c>
      <c r="AI50" s="70" t="s">
        <v>61</v>
      </c>
      <c r="AJ50" s="49" t="s">
        <v>61</v>
      </c>
      <c r="AK50" s="46"/>
    </row>
    <row r="51" ht="24.0" customHeight="1">
      <c r="A51" s="35"/>
      <c r="B51" s="36">
        <v>1.0</v>
      </c>
      <c r="C51" s="37" t="str">
        <f>IFERROR(__xludf.DUMMYFUNCTION("""COMPUTED_VALUE"""),"Trey Lamay (3) - '25 RHP CT")</f>
        <v>Trey Lamay (3) - '25 RHP CT</v>
      </c>
      <c r="D51" s="89" t="s">
        <v>350</v>
      </c>
      <c r="E51" s="51" t="s">
        <v>63</v>
      </c>
      <c r="F51" s="52"/>
      <c r="G51" s="53"/>
      <c r="H51" s="54" t="s">
        <v>351</v>
      </c>
      <c r="I51" s="55" t="s">
        <v>352</v>
      </c>
      <c r="J51" s="55">
        <v>2025.0</v>
      </c>
      <c r="K51" s="55">
        <v>3.0</v>
      </c>
      <c r="L51" s="57"/>
      <c r="M51" s="55" t="s">
        <v>63</v>
      </c>
      <c r="N51" s="55"/>
      <c r="O51" s="55"/>
      <c r="P51" s="57"/>
      <c r="Q51" s="55" t="s">
        <v>160</v>
      </c>
      <c r="R51" s="55" t="s">
        <v>344</v>
      </c>
      <c r="S51" s="58"/>
      <c r="T51" s="55"/>
      <c r="U51" s="55"/>
      <c r="V51" s="74"/>
      <c r="W51" s="51"/>
      <c r="X51" s="74"/>
      <c r="Y51" s="74"/>
      <c r="Z51" s="76"/>
      <c r="AA51" s="73" t="s">
        <v>353</v>
      </c>
      <c r="AB51" s="62" t="s">
        <v>61</v>
      </c>
      <c r="AC51" s="63" t="s">
        <v>61</v>
      </c>
      <c r="AD51" s="64" t="s">
        <v>61</v>
      </c>
      <c r="AE51" s="64" t="s">
        <v>61</v>
      </c>
      <c r="AF51" s="63" t="s">
        <v>61</v>
      </c>
      <c r="AG51" s="63" t="s">
        <v>61</v>
      </c>
      <c r="AH51" s="63" t="s">
        <v>61</v>
      </c>
      <c r="AI51" s="65" t="s">
        <v>61</v>
      </c>
      <c r="AJ51" s="66" t="s">
        <v>61</v>
      </c>
      <c r="AK51" s="60"/>
    </row>
    <row r="52" ht="24.0" customHeight="1">
      <c r="A52" s="35"/>
      <c r="B52" s="36">
        <v>1.0</v>
      </c>
      <c r="C52" s="37" t="str">
        <f>IFERROR(__xludf.DUMMYFUNCTION("""COMPUTED_VALUE"""),"Tyler Baker (3) - '25 COF CA")</f>
        <v>Tyler Baker (3) - '25 COF CA</v>
      </c>
      <c r="D52" s="38" t="s">
        <v>354</v>
      </c>
      <c r="E52" s="39" t="s">
        <v>103</v>
      </c>
      <c r="F52" s="40"/>
      <c r="G52" s="41"/>
      <c r="H52" s="42" t="s">
        <v>104</v>
      </c>
      <c r="I52" s="43" t="s">
        <v>355</v>
      </c>
      <c r="J52" s="43">
        <v>2025.0</v>
      </c>
      <c r="K52" s="43">
        <v>3.0</v>
      </c>
      <c r="L52" s="43"/>
      <c r="M52" s="43" t="s">
        <v>42</v>
      </c>
      <c r="N52" s="43"/>
      <c r="O52" s="43"/>
      <c r="P52" s="43"/>
      <c r="Q52" s="43" t="s">
        <v>52</v>
      </c>
      <c r="R52" s="43" t="s">
        <v>356</v>
      </c>
      <c r="S52" s="44"/>
      <c r="T52" s="43"/>
      <c r="U52" s="43"/>
      <c r="V52" s="39"/>
      <c r="W52" s="39"/>
      <c r="X52" s="39"/>
      <c r="Y52" s="39"/>
      <c r="Z52" s="46"/>
      <c r="AA52" s="47" t="s">
        <v>357</v>
      </c>
      <c r="AB52" s="48" t="s">
        <v>61</v>
      </c>
      <c r="AC52" s="68" t="s">
        <v>61</v>
      </c>
      <c r="AD52" s="69" t="s">
        <v>61</v>
      </c>
      <c r="AE52" s="69" t="s">
        <v>61</v>
      </c>
      <c r="AF52" s="68" t="s">
        <v>61</v>
      </c>
      <c r="AG52" s="68" t="s">
        <v>61</v>
      </c>
      <c r="AH52" s="68" t="s">
        <v>61</v>
      </c>
      <c r="AI52" s="70" t="s">
        <v>61</v>
      </c>
      <c r="AJ52" s="49" t="s">
        <v>61</v>
      </c>
      <c r="AK52" s="46"/>
    </row>
    <row r="53" ht="24.0" customHeight="1">
      <c r="A53" s="35"/>
      <c r="B53" s="36">
        <v>1.0</v>
      </c>
      <c r="C53" s="37" t="str">
        <f>IFERROR(__xludf.DUMMYFUNCTION("""COMPUTED_VALUE"""),"Tyler Martin (3) - '25 RHP IA")</f>
        <v>Tyler Martin (3) - '25 RHP IA</v>
      </c>
      <c r="D53" s="89" t="s">
        <v>358</v>
      </c>
      <c r="E53" s="51" t="s">
        <v>63</v>
      </c>
      <c r="F53" s="52"/>
      <c r="G53" s="53"/>
      <c r="H53" s="54" t="s">
        <v>104</v>
      </c>
      <c r="I53" s="55" t="s">
        <v>359</v>
      </c>
      <c r="J53" s="55">
        <v>2025.0</v>
      </c>
      <c r="K53" s="55">
        <v>3.0</v>
      </c>
      <c r="L53" s="57"/>
      <c r="M53" s="55" t="s">
        <v>63</v>
      </c>
      <c r="N53" s="55"/>
      <c r="O53" s="55"/>
      <c r="P53" s="55"/>
      <c r="Q53" s="55" t="s">
        <v>360</v>
      </c>
      <c r="R53" s="55" t="s">
        <v>361</v>
      </c>
      <c r="S53" s="58" t="s">
        <v>113</v>
      </c>
      <c r="T53" s="55"/>
      <c r="U53" s="55"/>
      <c r="V53" s="51"/>
      <c r="W53" s="74"/>
      <c r="X53" s="74"/>
      <c r="Y53" s="74"/>
      <c r="Z53" s="76"/>
      <c r="AA53" s="73" t="s">
        <v>362</v>
      </c>
      <c r="AB53" s="62" t="s">
        <v>61</v>
      </c>
      <c r="AC53" s="63" t="s">
        <v>61</v>
      </c>
      <c r="AD53" s="64" t="s">
        <v>61</v>
      </c>
      <c r="AE53" s="64" t="s">
        <v>61</v>
      </c>
      <c r="AF53" s="63" t="s">
        <v>61</v>
      </c>
      <c r="AG53" s="63" t="s">
        <v>61</v>
      </c>
      <c r="AH53" s="63" t="s">
        <v>61</v>
      </c>
      <c r="AI53" s="65" t="s">
        <v>61</v>
      </c>
      <c r="AJ53" s="66" t="s">
        <v>61</v>
      </c>
      <c r="AK53" s="60"/>
    </row>
    <row r="54" ht="24.0" customHeight="1">
      <c r="A54" s="71"/>
      <c r="B54" s="36">
        <v>1.0</v>
      </c>
      <c r="C54" s="37" t="str">
        <f>IFERROR(__xludf.DUMMYFUNCTION("""COMPUTED_VALUE"""),"Von Pelow (3) - '25 C NC")</f>
        <v>Von Pelow (3) - '25 C NC</v>
      </c>
      <c r="D54" s="38" t="s">
        <v>363</v>
      </c>
      <c r="E54" s="39" t="s">
        <v>109</v>
      </c>
      <c r="F54" s="40"/>
      <c r="G54" s="41"/>
      <c r="H54" s="42" t="s">
        <v>364</v>
      </c>
      <c r="I54" s="43" t="s">
        <v>365</v>
      </c>
      <c r="J54" s="43">
        <v>2025.0</v>
      </c>
      <c r="K54" s="43">
        <v>3.0</v>
      </c>
      <c r="L54" s="43"/>
      <c r="M54" s="43" t="s">
        <v>109</v>
      </c>
      <c r="N54" s="43"/>
      <c r="O54" s="43"/>
      <c r="P54" s="43"/>
      <c r="Q54" s="43" t="s">
        <v>73</v>
      </c>
      <c r="R54" s="43" t="s">
        <v>366</v>
      </c>
      <c r="S54" s="44"/>
      <c r="T54" s="43"/>
      <c r="U54" s="43"/>
      <c r="V54" s="39"/>
      <c r="W54" s="39"/>
      <c r="X54" s="39"/>
      <c r="Y54" s="39"/>
      <c r="Z54" s="46"/>
      <c r="AA54" s="47" t="s">
        <v>367</v>
      </c>
      <c r="AB54" s="48" t="s">
        <v>61</v>
      </c>
      <c r="AC54" s="68" t="s">
        <v>61</v>
      </c>
      <c r="AD54" s="69" t="s">
        <v>61</v>
      </c>
      <c r="AE54" s="69" t="s">
        <v>61</v>
      </c>
      <c r="AF54" s="68" t="s">
        <v>61</v>
      </c>
      <c r="AG54" s="68" t="s">
        <v>61</v>
      </c>
      <c r="AH54" s="68" t="s">
        <v>61</v>
      </c>
      <c r="AI54" s="70" t="s">
        <v>61</v>
      </c>
      <c r="AJ54" s="49" t="s">
        <v>61</v>
      </c>
      <c r="AK54" s="46"/>
    </row>
    <row r="55" ht="24.0" customHeight="1">
      <c r="A55" s="35"/>
      <c r="B55" s="36">
        <v>1.0</v>
      </c>
      <c r="C55" s="37" t="str">
        <f>IFERROR(__xludf.DUMMYFUNCTION("""COMPUTED_VALUE"""),"Aiden Oviendo (4) - '25 MINF KS")</f>
        <v>Aiden Oviendo (4) - '25 MINF KS</v>
      </c>
      <c r="D55" s="89" t="s">
        <v>368</v>
      </c>
      <c r="E55" s="51" t="s">
        <v>48</v>
      </c>
      <c r="F55" s="52"/>
      <c r="G55" s="53"/>
      <c r="H55" s="54" t="s">
        <v>193</v>
      </c>
      <c r="I55" s="55" t="s">
        <v>369</v>
      </c>
      <c r="J55" s="55">
        <v>2025.0</v>
      </c>
      <c r="K55" s="55">
        <v>4.0</v>
      </c>
      <c r="L55" s="55"/>
      <c r="M55" s="55" t="s">
        <v>51</v>
      </c>
      <c r="N55" s="55"/>
      <c r="O55" s="55"/>
      <c r="P55" s="57"/>
      <c r="Q55" s="55" t="s">
        <v>112</v>
      </c>
      <c r="R55" s="55"/>
      <c r="S55" s="58"/>
      <c r="T55" s="55"/>
      <c r="U55" s="55"/>
      <c r="V55" s="51"/>
      <c r="W55" s="51"/>
      <c r="X55" s="51"/>
      <c r="Y55" s="51"/>
      <c r="Z55" s="60"/>
      <c r="AA55" s="73" t="s">
        <v>370</v>
      </c>
      <c r="AB55" s="62" t="s">
        <v>61</v>
      </c>
      <c r="AC55" s="63" t="s">
        <v>61</v>
      </c>
      <c r="AD55" s="64" t="s">
        <v>61</v>
      </c>
      <c r="AE55" s="64" t="s">
        <v>61</v>
      </c>
      <c r="AF55" s="63" t="s">
        <v>61</v>
      </c>
      <c r="AG55" s="63" t="s">
        <v>61</v>
      </c>
      <c r="AH55" s="63" t="s">
        <v>61</v>
      </c>
      <c r="AI55" s="65" t="s">
        <v>61</v>
      </c>
      <c r="AJ55" s="66" t="s">
        <v>61</v>
      </c>
      <c r="AK55" s="60"/>
    </row>
    <row r="56" ht="24.0" customHeight="1">
      <c r="A56" s="35"/>
      <c r="B56" s="36">
        <v>1.0</v>
      </c>
      <c r="C56" s="37" t="str">
        <f>IFERROR(__xludf.DUMMYFUNCTION("""COMPUTED_VALUE"""),"Ben Wilcox (4) - '25 LHP NC")</f>
        <v>Ben Wilcox (4) - '25 LHP NC</v>
      </c>
      <c r="D56" s="89" t="s">
        <v>371</v>
      </c>
      <c r="E56" s="39" t="s">
        <v>122</v>
      </c>
      <c r="F56" s="40"/>
      <c r="G56" s="41"/>
      <c r="H56" s="42" t="s">
        <v>116</v>
      </c>
      <c r="I56" s="43" t="s">
        <v>372</v>
      </c>
      <c r="J56" s="43">
        <v>2025.0</v>
      </c>
      <c r="K56" s="43">
        <v>4.0</v>
      </c>
      <c r="L56" s="43"/>
      <c r="M56" s="43" t="s">
        <v>122</v>
      </c>
      <c r="N56" s="43"/>
      <c r="O56" s="43"/>
      <c r="P56" s="43"/>
      <c r="Q56" s="43" t="s">
        <v>73</v>
      </c>
      <c r="R56" s="43" t="s">
        <v>373</v>
      </c>
      <c r="S56" s="44"/>
      <c r="T56" s="43"/>
      <c r="U56" s="43"/>
      <c r="V56" s="39"/>
      <c r="W56" s="39"/>
      <c r="X56" s="39"/>
      <c r="Y56" s="39"/>
      <c r="Z56" s="46"/>
      <c r="AA56" s="47" t="s">
        <v>374</v>
      </c>
      <c r="AB56" s="48" t="s">
        <v>61</v>
      </c>
      <c r="AC56" s="68" t="s">
        <v>61</v>
      </c>
      <c r="AD56" s="69" t="s">
        <v>61</v>
      </c>
      <c r="AE56" s="69" t="s">
        <v>61</v>
      </c>
      <c r="AF56" s="68" t="s">
        <v>61</v>
      </c>
      <c r="AG56" s="68" t="s">
        <v>61</v>
      </c>
      <c r="AH56" s="68" t="s">
        <v>61</v>
      </c>
      <c r="AI56" s="70" t="s">
        <v>61</v>
      </c>
      <c r="AJ56" s="49" t="s">
        <v>61</v>
      </c>
      <c r="AK56" s="46"/>
    </row>
    <row r="57" ht="24.0" customHeight="1">
      <c r="A57" s="35"/>
      <c r="B57" s="36">
        <v>1.0</v>
      </c>
      <c r="C57" s="37" t="str">
        <f>IFERROR(__xludf.DUMMYFUNCTION("""COMPUTED_VALUE"""),"Chase Ecker (4) - '25 COF PA")</f>
        <v>Chase Ecker (4) - '25 COF PA</v>
      </c>
      <c r="D57" s="89" t="s">
        <v>375</v>
      </c>
      <c r="E57" s="51" t="s">
        <v>103</v>
      </c>
      <c r="F57" s="52"/>
      <c r="G57" s="53"/>
      <c r="H57" s="54" t="s">
        <v>376</v>
      </c>
      <c r="I57" s="55" t="s">
        <v>377</v>
      </c>
      <c r="J57" s="55">
        <v>2025.0</v>
      </c>
      <c r="K57" s="55">
        <v>4.0</v>
      </c>
      <c r="L57" s="57"/>
      <c r="M57" s="55" t="s">
        <v>42</v>
      </c>
      <c r="N57" s="55"/>
      <c r="O57" s="55"/>
      <c r="P57" s="57"/>
      <c r="Q57" s="55" t="s">
        <v>240</v>
      </c>
      <c r="R57" s="55" t="s">
        <v>378</v>
      </c>
      <c r="S57" s="58" t="s">
        <v>379</v>
      </c>
      <c r="T57" s="55"/>
      <c r="U57" s="55"/>
      <c r="V57" s="74"/>
      <c r="W57" s="51"/>
      <c r="X57" s="74"/>
      <c r="Y57" s="74"/>
      <c r="Z57" s="76"/>
      <c r="AA57" s="73" t="s">
        <v>380</v>
      </c>
      <c r="AB57" s="62" t="s">
        <v>381</v>
      </c>
      <c r="AC57" s="63" t="s">
        <v>382</v>
      </c>
      <c r="AD57" s="64">
        <v>4.0</v>
      </c>
      <c r="AE57" s="64"/>
      <c r="AF57" s="63" t="s">
        <v>383</v>
      </c>
      <c r="AG57" s="63" t="s">
        <v>81</v>
      </c>
      <c r="AH57" s="63" t="s">
        <v>81</v>
      </c>
      <c r="AI57" s="65" t="s">
        <v>81</v>
      </c>
      <c r="AJ57" s="66" t="s">
        <v>61</v>
      </c>
      <c r="AK57" s="60"/>
    </row>
    <row r="58" ht="24.0" customHeight="1">
      <c r="A58" s="35"/>
      <c r="B58" s="36">
        <v>1.0</v>
      </c>
      <c r="C58" s="37" t="str">
        <f>IFERROR(__xludf.DUMMYFUNCTION("""COMPUTED_VALUE"""),"Evan Martinez (4) - '25 LHP TX")</f>
        <v>Evan Martinez (4) - '25 LHP TX</v>
      </c>
      <c r="D58" s="89" t="s">
        <v>384</v>
      </c>
      <c r="E58" s="39" t="s">
        <v>122</v>
      </c>
      <c r="F58" s="40"/>
      <c r="G58" s="41"/>
      <c r="H58" s="42" t="s">
        <v>385</v>
      </c>
      <c r="I58" s="43" t="s">
        <v>386</v>
      </c>
      <c r="J58" s="43">
        <v>2025.0</v>
      </c>
      <c r="K58" s="43">
        <v>4.0</v>
      </c>
      <c r="L58" s="43"/>
      <c r="M58" s="43" t="s">
        <v>122</v>
      </c>
      <c r="N58" s="43"/>
      <c r="O58" s="43"/>
      <c r="P58" s="43"/>
      <c r="Q58" s="43" t="s">
        <v>180</v>
      </c>
      <c r="R58" s="43" t="s">
        <v>387</v>
      </c>
      <c r="S58" s="44"/>
      <c r="T58" s="43"/>
      <c r="U58" s="43"/>
      <c r="V58" s="39"/>
      <c r="W58" s="39"/>
      <c r="X58" s="39"/>
      <c r="Y58" s="39"/>
      <c r="Z58" s="46"/>
      <c r="AA58" s="47" t="s">
        <v>388</v>
      </c>
      <c r="AB58" s="48" t="s">
        <v>61</v>
      </c>
      <c r="AC58" s="68" t="s">
        <v>61</v>
      </c>
      <c r="AD58" s="69" t="s">
        <v>61</v>
      </c>
      <c r="AE58" s="69" t="s">
        <v>61</v>
      </c>
      <c r="AF58" s="68" t="s">
        <v>61</v>
      </c>
      <c r="AG58" s="68" t="s">
        <v>61</v>
      </c>
      <c r="AH58" s="68" t="s">
        <v>61</v>
      </c>
      <c r="AI58" s="70" t="s">
        <v>61</v>
      </c>
      <c r="AJ58" s="49" t="s">
        <v>61</v>
      </c>
      <c r="AK58" s="46"/>
    </row>
    <row r="59" ht="24.0" customHeight="1">
      <c r="A59" s="35"/>
      <c r="B59" s="36">
        <v>1.0</v>
      </c>
      <c r="C59" s="37" t="str">
        <f>IFERROR(__xludf.DUMMYFUNCTION("""COMPUTED_VALUE"""),"Grant Winkle (4) - '25 LHP TX")</f>
        <v>Grant Winkle (4) - '25 LHP TX</v>
      </c>
      <c r="D59" s="89" t="s">
        <v>389</v>
      </c>
      <c r="E59" s="51" t="s">
        <v>122</v>
      </c>
      <c r="F59" s="52"/>
      <c r="G59" s="53"/>
      <c r="H59" s="54" t="s">
        <v>278</v>
      </c>
      <c r="I59" s="55" t="s">
        <v>390</v>
      </c>
      <c r="J59" s="55">
        <v>2025.0</v>
      </c>
      <c r="K59" s="55">
        <v>4.0</v>
      </c>
      <c r="L59" s="55"/>
      <c r="M59" s="55" t="s">
        <v>122</v>
      </c>
      <c r="N59" s="55"/>
      <c r="O59" s="55"/>
      <c r="P59" s="55"/>
      <c r="Q59" s="55" t="s">
        <v>180</v>
      </c>
      <c r="R59" s="55"/>
      <c r="S59" s="58"/>
      <c r="T59" s="55"/>
      <c r="U59" s="55"/>
      <c r="V59" s="51"/>
      <c r="W59" s="51"/>
      <c r="X59" s="51"/>
      <c r="Y59" s="51"/>
      <c r="Z59" s="60"/>
      <c r="AA59" s="73"/>
      <c r="AB59" s="62" t="s">
        <v>61</v>
      </c>
      <c r="AC59" s="63" t="s">
        <v>61</v>
      </c>
      <c r="AD59" s="64" t="s">
        <v>61</v>
      </c>
      <c r="AE59" s="64" t="s">
        <v>61</v>
      </c>
      <c r="AF59" s="63" t="s">
        <v>61</v>
      </c>
      <c r="AG59" s="63" t="s">
        <v>61</v>
      </c>
      <c r="AH59" s="63" t="s">
        <v>61</v>
      </c>
      <c r="AI59" s="65" t="s">
        <v>61</v>
      </c>
      <c r="AJ59" s="66" t="s">
        <v>61</v>
      </c>
      <c r="AK59" s="60"/>
    </row>
    <row r="60" ht="24.0" customHeight="1">
      <c r="A60" s="35"/>
      <c r="B60" s="36">
        <v>1.0</v>
      </c>
      <c r="C60" s="37" t="str">
        <f>IFERROR(__xludf.DUMMYFUNCTION("""COMPUTED_VALUE"""),"Kason Herlong (4) - '25 MINF SC")</f>
        <v>Kason Herlong (4) - '25 MINF SC</v>
      </c>
      <c r="D60" s="89" t="s">
        <v>391</v>
      </c>
      <c r="E60" s="39" t="s">
        <v>48</v>
      </c>
      <c r="F60" s="40"/>
      <c r="G60" s="41"/>
      <c r="H60" s="42" t="s">
        <v>392</v>
      </c>
      <c r="I60" s="43" t="s">
        <v>393</v>
      </c>
      <c r="J60" s="43">
        <v>2025.0</v>
      </c>
      <c r="K60" s="43">
        <v>4.0</v>
      </c>
      <c r="L60" s="80"/>
      <c r="M60" s="43" t="s">
        <v>51</v>
      </c>
      <c r="N60" s="43"/>
      <c r="O60" s="43"/>
      <c r="P60" s="80"/>
      <c r="Q60" s="43" t="s">
        <v>286</v>
      </c>
      <c r="R60" s="43" t="s">
        <v>394</v>
      </c>
      <c r="S60" s="44" t="s">
        <v>395</v>
      </c>
      <c r="T60" s="43"/>
      <c r="U60" s="43"/>
      <c r="V60" s="39"/>
      <c r="W60" s="39"/>
      <c r="X60" s="81"/>
      <c r="Y60" s="81"/>
      <c r="Z60" s="91"/>
      <c r="AA60" s="47" t="s">
        <v>396</v>
      </c>
      <c r="AB60" s="48" t="s">
        <v>397</v>
      </c>
      <c r="AC60" s="68" t="s">
        <v>398</v>
      </c>
      <c r="AD60" s="69">
        <v>5.23</v>
      </c>
      <c r="AE60" s="69" t="s">
        <v>399</v>
      </c>
      <c r="AF60" s="68" t="s">
        <v>400</v>
      </c>
      <c r="AG60" s="68" t="s">
        <v>400</v>
      </c>
      <c r="AH60" s="68" t="s">
        <v>400</v>
      </c>
      <c r="AI60" s="70" t="s">
        <v>400</v>
      </c>
      <c r="AJ60" s="49" t="s">
        <v>61</v>
      </c>
      <c r="AK60" s="46"/>
    </row>
    <row r="61" ht="24.0" customHeight="1">
      <c r="A61" s="35"/>
      <c r="B61" s="36">
        <v>1.0</v>
      </c>
      <c r="C61" s="37" t="str">
        <f>IFERROR(__xludf.DUMMYFUNCTION("""COMPUTED_VALUE"""),"Wade Hartrick (4) - '25 RHP CO")</f>
        <v>Wade Hartrick (4) - '25 RHP CO</v>
      </c>
      <c r="D61" s="89" t="s">
        <v>401</v>
      </c>
      <c r="E61" s="51" t="s">
        <v>63</v>
      </c>
      <c r="F61" s="52"/>
      <c r="G61" s="53"/>
      <c r="H61" s="54" t="s">
        <v>402</v>
      </c>
      <c r="I61" s="55" t="s">
        <v>403</v>
      </c>
      <c r="J61" s="55">
        <v>2025.0</v>
      </c>
      <c r="K61" s="55">
        <v>4.0</v>
      </c>
      <c r="L61" s="55"/>
      <c r="M61" s="55" t="s">
        <v>63</v>
      </c>
      <c r="N61" s="55"/>
      <c r="O61" s="55"/>
      <c r="P61" s="55"/>
      <c r="Q61" s="55" t="s">
        <v>174</v>
      </c>
      <c r="R61" s="55" t="s">
        <v>404</v>
      </c>
      <c r="S61" s="58" t="s">
        <v>405</v>
      </c>
      <c r="T61" s="55"/>
      <c r="U61" s="55"/>
      <c r="V61" s="51"/>
      <c r="W61" s="51"/>
      <c r="X61" s="51"/>
      <c r="Y61" s="51"/>
      <c r="Z61" s="60"/>
      <c r="AA61" s="73" t="s">
        <v>406</v>
      </c>
      <c r="AB61" s="62" t="s">
        <v>61</v>
      </c>
      <c r="AC61" s="63" t="s">
        <v>61</v>
      </c>
      <c r="AD61" s="64" t="s">
        <v>61</v>
      </c>
      <c r="AE61" s="64" t="s">
        <v>61</v>
      </c>
      <c r="AF61" s="63" t="s">
        <v>61</v>
      </c>
      <c r="AG61" s="63" t="s">
        <v>61</v>
      </c>
      <c r="AH61" s="63" t="s">
        <v>61</v>
      </c>
      <c r="AI61" s="65" t="s">
        <v>61</v>
      </c>
      <c r="AJ61" s="66" t="s">
        <v>61</v>
      </c>
      <c r="AK61" s="60"/>
    </row>
    <row r="62" ht="24.0" customHeight="1">
      <c r="A62" s="35"/>
      <c r="B62" s="36">
        <v>1.0</v>
      </c>
      <c r="C62" s="37" t="str">
        <f>IFERROR(__xludf.DUMMYFUNCTION("""COMPUTED_VALUE"""),"Bryce Wells (XX) - '25 C TX")</f>
        <v>Bryce Wells (XX) - '25 C TX</v>
      </c>
      <c r="D62" s="38" t="s">
        <v>407</v>
      </c>
      <c r="E62" s="39" t="s">
        <v>109</v>
      </c>
      <c r="F62" s="40"/>
      <c r="G62" s="41"/>
      <c r="H62" s="42" t="s">
        <v>408</v>
      </c>
      <c r="I62" s="43" t="s">
        <v>409</v>
      </c>
      <c r="J62" s="43">
        <v>2025.0</v>
      </c>
      <c r="K62" s="43" t="s">
        <v>410</v>
      </c>
      <c r="L62" s="80"/>
      <c r="M62" s="43" t="s">
        <v>109</v>
      </c>
      <c r="N62" s="43"/>
      <c r="O62" s="43"/>
      <c r="P62" s="43"/>
      <c r="Q62" s="43" t="s">
        <v>180</v>
      </c>
      <c r="R62" s="43" t="s">
        <v>411</v>
      </c>
      <c r="S62" s="44" t="s">
        <v>412</v>
      </c>
      <c r="T62" s="43"/>
      <c r="U62" s="43"/>
      <c r="V62" s="81"/>
      <c r="W62" s="39"/>
      <c r="X62" s="81"/>
      <c r="Y62" s="81"/>
      <c r="Z62" s="82"/>
      <c r="AA62" s="47" t="s">
        <v>413</v>
      </c>
      <c r="AB62" s="48" t="s">
        <v>414</v>
      </c>
      <c r="AC62" s="68" t="s">
        <v>415</v>
      </c>
      <c r="AD62" s="69">
        <v>3.75</v>
      </c>
      <c r="AE62" s="69" t="s">
        <v>416</v>
      </c>
      <c r="AF62" s="68" t="s">
        <v>417</v>
      </c>
      <c r="AG62" s="68" t="s">
        <v>60</v>
      </c>
      <c r="AH62" s="68" t="s">
        <v>60</v>
      </c>
      <c r="AI62" s="70" t="s">
        <v>60</v>
      </c>
      <c r="AJ62" s="49" t="s">
        <v>61</v>
      </c>
      <c r="AK62" s="46"/>
    </row>
    <row r="63" ht="24.0" customHeight="1">
      <c r="A63" s="35"/>
      <c r="B63" s="36">
        <v>1.0</v>
      </c>
      <c r="C63" s="37" t="str">
        <f>IFERROR(__xludf.DUMMYFUNCTION("""COMPUTED_VALUE"""),"George Willis (XX) - '25 C TX")</f>
        <v>George Willis (XX) - '25 C TX</v>
      </c>
      <c r="D63" s="38" t="s">
        <v>418</v>
      </c>
      <c r="E63" s="51" t="s">
        <v>109</v>
      </c>
      <c r="F63" s="52"/>
      <c r="G63" s="53"/>
      <c r="H63" s="54" t="s">
        <v>419</v>
      </c>
      <c r="I63" s="55" t="s">
        <v>420</v>
      </c>
      <c r="J63" s="55">
        <v>2025.0</v>
      </c>
      <c r="K63" s="55" t="s">
        <v>410</v>
      </c>
      <c r="L63" s="55"/>
      <c r="M63" s="55" t="s">
        <v>109</v>
      </c>
      <c r="N63" s="55"/>
      <c r="O63" s="55"/>
      <c r="P63" s="55"/>
      <c r="Q63" s="55" t="s">
        <v>180</v>
      </c>
      <c r="R63" s="55" t="s">
        <v>421</v>
      </c>
      <c r="S63" s="58"/>
      <c r="T63" s="55"/>
      <c r="U63" s="55"/>
      <c r="V63" s="51"/>
      <c r="W63" s="51"/>
      <c r="X63" s="51"/>
      <c r="Y63" s="51"/>
      <c r="Z63" s="60"/>
      <c r="AA63" s="73" t="s">
        <v>422</v>
      </c>
      <c r="AB63" s="62" t="s">
        <v>61</v>
      </c>
      <c r="AC63" s="63" t="s">
        <v>61</v>
      </c>
      <c r="AD63" s="64" t="s">
        <v>61</v>
      </c>
      <c r="AE63" s="64" t="s">
        <v>61</v>
      </c>
      <c r="AF63" s="63" t="s">
        <v>61</v>
      </c>
      <c r="AG63" s="63" t="s">
        <v>61</v>
      </c>
      <c r="AH63" s="63" t="s">
        <v>61</v>
      </c>
      <c r="AI63" s="65" t="s">
        <v>61</v>
      </c>
      <c r="AJ63" s="66" t="s">
        <v>61</v>
      </c>
      <c r="AK63" s="60"/>
    </row>
    <row r="64" ht="24.0" customHeight="1">
      <c r="A64" s="35"/>
      <c r="B64" s="36">
        <v>1.0</v>
      </c>
      <c r="C64" s="37" t="str">
        <f>IFERROR(__xludf.DUMMYFUNCTION("""COMPUTED_VALUE"""),"Jack Fuller (XX) - '25 LHP TX")</f>
        <v>Jack Fuller (XX) - '25 LHP TX</v>
      </c>
      <c r="D64" s="38" t="s">
        <v>423</v>
      </c>
      <c r="E64" s="39" t="s">
        <v>122</v>
      </c>
      <c r="F64" s="40"/>
      <c r="G64" s="41"/>
      <c r="H64" s="42" t="s">
        <v>424</v>
      </c>
      <c r="I64" s="43" t="s">
        <v>425</v>
      </c>
      <c r="J64" s="43">
        <v>2025.0</v>
      </c>
      <c r="K64" s="43" t="s">
        <v>410</v>
      </c>
      <c r="L64" s="43"/>
      <c r="M64" s="43" t="s">
        <v>122</v>
      </c>
      <c r="N64" s="43"/>
      <c r="O64" s="43"/>
      <c r="P64" s="43"/>
      <c r="Q64" s="43" t="s">
        <v>180</v>
      </c>
      <c r="R64" s="43" t="s">
        <v>426</v>
      </c>
      <c r="S64" s="44" t="s">
        <v>412</v>
      </c>
      <c r="T64" s="43"/>
      <c r="U64" s="43"/>
      <c r="V64" s="39"/>
      <c r="W64" s="39"/>
      <c r="X64" s="39"/>
      <c r="Y64" s="39"/>
      <c r="Z64" s="46"/>
      <c r="AA64" s="47" t="s">
        <v>427</v>
      </c>
      <c r="AB64" s="48" t="s">
        <v>428</v>
      </c>
      <c r="AC64" s="68" t="s">
        <v>429</v>
      </c>
      <c r="AD64" s="69">
        <v>94.86</v>
      </c>
      <c r="AE64" s="69">
        <v>1280.0</v>
      </c>
      <c r="AF64" s="68"/>
      <c r="AG64" s="68" t="s">
        <v>430</v>
      </c>
      <c r="AH64" s="68" t="s">
        <v>81</v>
      </c>
      <c r="AI64" s="70" t="s">
        <v>81</v>
      </c>
      <c r="AJ64" s="49" t="s">
        <v>61</v>
      </c>
      <c r="AK64" s="46"/>
    </row>
    <row r="65" ht="24.0" customHeight="1">
      <c r="A65" s="35"/>
      <c r="B65" s="36">
        <v>1.0</v>
      </c>
      <c r="C65" s="37" t="str">
        <f>IFERROR(__xludf.DUMMYFUNCTION("""COMPUTED_VALUE"""),"Jackson Lee (XX) - '25 LHP TN")</f>
        <v>Jackson Lee (XX) - '25 LHP TN</v>
      </c>
      <c r="D65" s="38" t="s">
        <v>431</v>
      </c>
      <c r="E65" s="51" t="s">
        <v>122</v>
      </c>
      <c r="F65" s="52"/>
      <c r="G65" s="53"/>
      <c r="H65" s="54" t="s">
        <v>432</v>
      </c>
      <c r="I65" s="55" t="s">
        <v>433</v>
      </c>
      <c r="J65" s="55">
        <v>2025.0</v>
      </c>
      <c r="K65" s="55" t="s">
        <v>410</v>
      </c>
      <c r="L65" s="55"/>
      <c r="M65" s="55" t="s">
        <v>122</v>
      </c>
      <c r="N65" s="55"/>
      <c r="O65" s="55"/>
      <c r="P65" s="55"/>
      <c r="Q65" s="55" t="s">
        <v>330</v>
      </c>
      <c r="R65" s="55" t="s">
        <v>434</v>
      </c>
      <c r="S65" s="58"/>
      <c r="T65" s="55"/>
      <c r="U65" s="55"/>
      <c r="V65" s="51"/>
      <c r="W65" s="51"/>
      <c r="X65" s="92">
        <v>45542.0</v>
      </c>
      <c r="Y65" s="92"/>
      <c r="Z65" s="60"/>
      <c r="AA65" s="73" t="s">
        <v>435</v>
      </c>
      <c r="AB65" s="62" t="s">
        <v>436</v>
      </c>
      <c r="AC65" s="63" t="s">
        <v>437</v>
      </c>
      <c r="AD65" s="64">
        <v>4.3</v>
      </c>
      <c r="AE65" s="64" t="s">
        <v>438</v>
      </c>
      <c r="AF65" s="63" t="s">
        <v>60</v>
      </c>
      <c r="AG65" s="63" t="s">
        <v>60</v>
      </c>
      <c r="AH65" s="63" t="s">
        <v>60</v>
      </c>
      <c r="AI65" s="65" t="s">
        <v>81</v>
      </c>
      <c r="AJ65" s="66" t="s">
        <v>61</v>
      </c>
      <c r="AK65" s="60"/>
    </row>
    <row r="66" ht="24.0" customHeight="1">
      <c r="A66" s="93"/>
      <c r="B66" s="36">
        <v>1.0</v>
      </c>
      <c r="C66" s="37" t="str">
        <f>IFERROR(__xludf.DUMMYFUNCTION("""COMPUTED_VALUE"""),"Aidan Nohava (XX) - '25  IL")</f>
        <v>Aidan Nohava (XX) - '25  IL</v>
      </c>
      <c r="D66" s="38" t="s">
        <v>439</v>
      </c>
      <c r="E66" s="39" t="s">
        <v>61</v>
      </c>
      <c r="F66" s="40"/>
      <c r="G66" s="41"/>
      <c r="H66" s="42" t="s">
        <v>440</v>
      </c>
      <c r="I66" s="43" t="s">
        <v>441</v>
      </c>
      <c r="J66" s="43">
        <v>2025.0</v>
      </c>
      <c r="K66" s="43" t="s">
        <v>410</v>
      </c>
      <c r="L66" s="43"/>
      <c r="M66" s="43"/>
      <c r="N66" s="43"/>
      <c r="O66" s="43"/>
      <c r="P66" s="43"/>
      <c r="Q66" s="43" t="s">
        <v>307</v>
      </c>
      <c r="R66" s="43" t="s">
        <v>442</v>
      </c>
      <c r="S66" s="44" t="s">
        <v>443</v>
      </c>
      <c r="T66" s="43"/>
      <c r="U66" s="43"/>
      <c r="V66" s="39"/>
      <c r="W66" s="39"/>
      <c r="X66" s="39"/>
      <c r="Y66" s="39"/>
      <c r="Z66" s="46"/>
      <c r="AA66" s="47" t="s">
        <v>444</v>
      </c>
      <c r="AB66" s="48" t="s">
        <v>61</v>
      </c>
      <c r="AC66" s="68" t="s">
        <v>61</v>
      </c>
      <c r="AD66" s="69" t="s">
        <v>61</v>
      </c>
      <c r="AE66" s="69" t="s">
        <v>61</v>
      </c>
      <c r="AF66" s="68" t="s">
        <v>61</v>
      </c>
      <c r="AG66" s="68" t="s">
        <v>61</v>
      </c>
      <c r="AH66" s="68" t="s">
        <v>61</v>
      </c>
      <c r="AI66" s="70" t="s">
        <v>61</v>
      </c>
      <c r="AJ66" s="49" t="s">
        <v>61</v>
      </c>
      <c r="AK66" s="46"/>
    </row>
    <row r="67" ht="24.0" customHeight="1">
      <c r="A67" s="35"/>
      <c r="B67" s="36">
        <v>1.0</v>
      </c>
      <c r="C67" s="37" t="str">
        <f>IFERROR(__xludf.DUMMYFUNCTION("""COMPUTED_VALUE"""),"Alexander Menth (XX) - '25  MN")</f>
        <v>Alexander Menth (XX) - '25  MN</v>
      </c>
      <c r="D67" s="38" t="s">
        <v>445</v>
      </c>
      <c r="E67" s="51" t="s">
        <v>61</v>
      </c>
      <c r="F67" s="52"/>
      <c r="G67" s="53"/>
      <c r="H67" s="54" t="s">
        <v>446</v>
      </c>
      <c r="I67" s="55" t="s">
        <v>447</v>
      </c>
      <c r="J67" s="55">
        <v>2025.0</v>
      </c>
      <c r="K67" s="55" t="s">
        <v>410</v>
      </c>
      <c r="L67" s="55"/>
      <c r="M67" s="55"/>
      <c r="N67" s="55"/>
      <c r="O67" s="55"/>
      <c r="P67" s="57"/>
      <c r="Q67" s="55" t="s">
        <v>448</v>
      </c>
      <c r="R67" s="55" t="s">
        <v>449</v>
      </c>
      <c r="S67" s="58"/>
      <c r="T67" s="55"/>
      <c r="U67" s="55"/>
      <c r="V67" s="51"/>
      <c r="W67" s="51"/>
      <c r="X67" s="51"/>
      <c r="Y67" s="51"/>
      <c r="Z67" s="60"/>
      <c r="AA67" s="73" t="s">
        <v>450</v>
      </c>
      <c r="AB67" s="62" t="s">
        <v>61</v>
      </c>
      <c r="AC67" s="63" t="s">
        <v>61</v>
      </c>
      <c r="AD67" s="64" t="s">
        <v>61</v>
      </c>
      <c r="AE67" s="64" t="s">
        <v>61</v>
      </c>
      <c r="AF67" s="63" t="s">
        <v>61</v>
      </c>
      <c r="AG67" s="63" t="s">
        <v>61</v>
      </c>
      <c r="AH67" s="63" t="s">
        <v>61</v>
      </c>
      <c r="AI67" s="65" t="s">
        <v>61</v>
      </c>
      <c r="AJ67" s="66" t="s">
        <v>61</v>
      </c>
      <c r="AK67" s="60"/>
    </row>
    <row r="68" ht="24.0" customHeight="1">
      <c r="A68" s="35"/>
      <c r="B68" s="36">
        <v>1.0</v>
      </c>
      <c r="C68" s="37" t="str">
        <f>IFERROR(__xludf.DUMMYFUNCTION("""COMPUTED_VALUE"""),"Alexander Pearson (XX) - '25  OR")</f>
        <v>Alexander Pearson (XX) - '25  OR</v>
      </c>
      <c r="D68" s="38" t="s">
        <v>451</v>
      </c>
      <c r="E68" s="39" t="s">
        <v>61</v>
      </c>
      <c r="F68" s="40"/>
      <c r="G68" s="41"/>
      <c r="H68" s="42" t="s">
        <v>446</v>
      </c>
      <c r="I68" s="43" t="s">
        <v>452</v>
      </c>
      <c r="J68" s="43">
        <v>2025.0</v>
      </c>
      <c r="K68" s="43" t="s">
        <v>410</v>
      </c>
      <c r="L68" s="43"/>
      <c r="M68" s="43"/>
      <c r="N68" s="43"/>
      <c r="O68" s="43"/>
      <c r="P68" s="43"/>
      <c r="Q68" s="43" t="s">
        <v>453</v>
      </c>
      <c r="R68" s="43" t="s">
        <v>454</v>
      </c>
      <c r="S68" s="44"/>
      <c r="T68" s="43"/>
      <c r="U68" s="43"/>
      <c r="V68" s="94"/>
      <c r="W68" s="39"/>
      <c r="X68" s="94"/>
      <c r="Y68" s="94"/>
      <c r="Z68" s="46"/>
      <c r="AA68" s="47" t="s">
        <v>455</v>
      </c>
      <c r="AB68" s="48" t="s">
        <v>61</v>
      </c>
      <c r="AC68" s="68" t="s">
        <v>61</v>
      </c>
      <c r="AD68" s="69" t="s">
        <v>61</v>
      </c>
      <c r="AE68" s="69" t="s">
        <v>61</v>
      </c>
      <c r="AF68" s="68" t="s">
        <v>61</v>
      </c>
      <c r="AG68" s="68" t="s">
        <v>61</v>
      </c>
      <c r="AH68" s="68" t="s">
        <v>61</v>
      </c>
      <c r="AI68" s="70" t="s">
        <v>61</v>
      </c>
      <c r="AJ68" s="49" t="s">
        <v>61</v>
      </c>
      <c r="AK68" s="46"/>
    </row>
    <row r="69" ht="24.0" customHeight="1">
      <c r="A69" s="35"/>
      <c r="B69" s="36">
        <v>1.0</v>
      </c>
      <c r="C69" s="37" t="str">
        <f>IFERROR(__xludf.DUMMYFUNCTION("""COMPUTED_VALUE"""),"Andrew Krupa (XX) - '25  IN")</f>
        <v>Andrew Krupa (XX) - '25  IN</v>
      </c>
      <c r="D69" s="38" t="s">
        <v>456</v>
      </c>
      <c r="E69" s="51" t="s">
        <v>61</v>
      </c>
      <c r="F69" s="52"/>
      <c r="G69" s="53"/>
      <c r="H69" s="54" t="s">
        <v>457</v>
      </c>
      <c r="I69" s="55" t="s">
        <v>458</v>
      </c>
      <c r="J69" s="55">
        <v>2025.0</v>
      </c>
      <c r="K69" s="55" t="s">
        <v>410</v>
      </c>
      <c r="L69" s="57"/>
      <c r="M69" s="55"/>
      <c r="N69" s="55"/>
      <c r="O69" s="55"/>
      <c r="P69" s="55"/>
      <c r="Q69" s="55" t="s">
        <v>153</v>
      </c>
      <c r="R69" s="55" t="s">
        <v>459</v>
      </c>
      <c r="S69" s="58" t="s">
        <v>460</v>
      </c>
      <c r="T69" s="55"/>
      <c r="U69" s="55"/>
      <c r="V69" s="51"/>
      <c r="W69" s="51"/>
      <c r="X69" s="51"/>
      <c r="Y69" s="51"/>
      <c r="Z69" s="60"/>
      <c r="AA69" s="73" t="s">
        <v>461</v>
      </c>
      <c r="AB69" s="62" t="s">
        <v>61</v>
      </c>
      <c r="AC69" s="63" t="s">
        <v>61</v>
      </c>
      <c r="AD69" s="64" t="s">
        <v>61</v>
      </c>
      <c r="AE69" s="64" t="s">
        <v>61</v>
      </c>
      <c r="AF69" s="63" t="s">
        <v>61</v>
      </c>
      <c r="AG69" s="63" t="s">
        <v>61</v>
      </c>
      <c r="AH69" s="63" t="s">
        <v>61</v>
      </c>
      <c r="AI69" s="65" t="s">
        <v>61</v>
      </c>
      <c r="AJ69" s="66" t="s">
        <v>61</v>
      </c>
      <c r="AK69" s="60"/>
    </row>
    <row r="70" ht="24.0" customHeight="1">
      <c r="A70" s="35"/>
      <c r="B70" s="36">
        <v>1.0</v>
      </c>
      <c r="C70" s="37" t="str">
        <f>IFERROR(__xludf.DUMMYFUNCTION("""COMPUTED_VALUE"""),"Andrew Winslow (XX) - '25  IL")</f>
        <v>Andrew Winslow (XX) - '25  IL</v>
      </c>
      <c r="D70" s="38" t="s">
        <v>462</v>
      </c>
      <c r="E70" s="39" t="s">
        <v>61</v>
      </c>
      <c r="F70" s="40"/>
      <c r="G70" s="41"/>
      <c r="H70" s="42" t="s">
        <v>457</v>
      </c>
      <c r="I70" s="43" t="s">
        <v>463</v>
      </c>
      <c r="J70" s="43">
        <v>2025.0</v>
      </c>
      <c r="K70" s="43" t="s">
        <v>410</v>
      </c>
      <c r="L70" s="80"/>
      <c r="M70" s="43"/>
      <c r="N70" s="43"/>
      <c r="O70" s="43"/>
      <c r="P70" s="95"/>
      <c r="Q70" s="43" t="s">
        <v>307</v>
      </c>
      <c r="R70" s="43" t="s">
        <v>464</v>
      </c>
      <c r="S70" s="44"/>
      <c r="T70" s="43"/>
      <c r="U70" s="43"/>
      <c r="V70" s="94"/>
      <c r="W70" s="39"/>
      <c r="X70" s="94"/>
      <c r="Y70" s="94"/>
      <c r="Z70" s="46"/>
      <c r="AA70" s="47" t="s">
        <v>465</v>
      </c>
      <c r="AB70" s="48" t="s">
        <v>61</v>
      </c>
      <c r="AC70" s="68" t="s">
        <v>61</v>
      </c>
      <c r="AD70" s="69" t="s">
        <v>61</v>
      </c>
      <c r="AE70" s="69" t="s">
        <v>61</v>
      </c>
      <c r="AF70" s="68" t="s">
        <v>61</v>
      </c>
      <c r="AG70" s="68" t="s">
        <v>61</v>
      </c>
      <c r="AH70" s="68" t="s">
        <v>61</v>
      </c>
      <c r="AI70" s="70" t="s">
        <v>61</v>
      </c>
      <c r="AJ70" s="49" t="s">
        <v>61</v>
      </c>
      <c r="AK70" s="46"/>
    </row>
    <row r="71" ht="24.0" customHeight="1">
      <c r="A71" s="35"/>
      <c r="B71" s="36">
        <v>1.0</v>
      </c>
      <c r="C71" s="37" t="str">
        <f>IFERROR(__xludf.DUMMYFUNCTION("""COMPUTED_VALUE"""),"Anthony Frobose (XX) - '25  NY")</f>
        <v>Anthony Frobose (XX) - '25  NY</v>
      </c>
      <c r="D71" s="38" t="s">
        <v>466</v>
      </c>
      <c r="E71" s="51" t="s">
        <v>61</v>
      </c>
      <c r="F71" s="52"/>
      <c r="G71" s="53"/>
      <c r="H71" s="54" t="s">
        <v>467</v>
      </c>
      <c r="I71" s="55" t="s">
        <v>468</v>
      </c>
      <c r="J71" s="55">
        <v>2025.0</v>
      </c>
      <c r="K71" s="55" t="s">
        <v>410</v>
      </c>
      <c r="L71" s="55"/>
      <c r="M71" s="55"/>
      <c r="N71" s="55"/>
      <c r="O71" s="55"/>
      <c r="P71" s="55"/>
      <c r="Q71" s="55" t="s">
        <v>255</v>
      </c>
      <c r="R71" s="55" t="s">
        <v>469</v>
      </c>
      <c r="S71" s="58"/>
      <c r="T71" s="55"/>
      <c r="U71" s="55"/>
      <c r="V71" s="51"/>
      <c r="W71" s="51"/>
      <c r="X71" s="51"/>
      <c r="Y71" s="51"/>
      <c r="Z71" s="60"/>
      <c r="AA71" s="73" t="s">
        <v>470</v>
      </c>
      <c r="AB71" s="62" t="s">
        <v>61</v>
      </c>
      <c r="AC71" s="63" t="s">
        <v>61</v>
      </c>
      <c r="AD71" s="64" t="s">
        <v>61</v>
      </c>
      <c r="AE71" s="64" t="s">
        <v>61</v>
      </c>
      <c r="AF71" s="63" t="s">
        <v>61</v>
      </c>
      <c r="AG71" s="63" t="s">
        <v>61</v>
      </c>
      <c r="AH71" s="63" t="s">
        <v>61</v>
      </c>
      <c r="AI71" s="65" t="s">
        <v>61</v>
      </c>
      <c r="AJ71" s="66" t="s">
        <v>61</v>
      </c>
      <c r="AK71" s="60"/>
    </row>
    <row r="72" ht="24.0" customHeight="1">
      <c r="A72" s="71"/>
      <c r="B72" s="36">
        <v>1.0</v>
      </c>
      <c r="C72" s="37" t="str">
        <f>IFERROR(__xludf.DUMMYFUNCTION("""COMPUTED_VALUE"""),"Austin Moran (XX) - '25  NC")</f>
        <v>Austin Moran (XX) - '25  NC</v>
      </c>
      <c r="D72" s="38" t="s">
        <v>471</v>
      </c>
      <c r="E72" s="39" t="s">
        <v>61</v>
      </c>
      <c r="F72" s="40"/>
      <c r="G72" s="41"/>
      <c r="H72" s="42" t="s">
        <v>472</v>
      </c>
      <c r="I72" s="43" t="s">
        <v>473</v>
      </c>
      <c r="J72" s="43">
        <v>2025.0</v>
      </c>
      <c r="K72" s="43" t="s">
        <v>410</v>
      </c>
      <c r="L72" s="43"/>
      <c r="M72" s="43"/>
      <c r="N72" s="43"/>
      <c r="O72" s="43"/>
      <c r="P72" s="43"/>
      <c r="Q72" s="43" t="s">
        <v>73</v>
      </c>
      <c r="R72" s="43" t="s">
        <v>474</v>
      </c>
      <c r="S72" s="44" t="s">
        <v>475</v>
      </c>
      <c r="T72" s="43"/>
      <c r="U72" s="43"/>
      <c r="V72" s="39"/>
      <c r="W72" s="39"/>
      <c r="X72" s="39"/>
      <c r="Y72" s="39"/>
      <c r="Z72" s="46"/>
      <c r="AA72" s="47" t="s">
        <v>476</v>
      </c>
      <c r="AB72" s="48" t="s">
        <v>61</v>
      </c>
      <c r="AC72" s="68" t="s">
        <v>61</v>
      </c>
      <c r="AD72" s="69" t="s">
        <v>61</v>
      </c>
      <c r="AE72" s="69" t="s">
        <v>61</v>
      </c>
      <c r="AF72" s="68" t="s">
        <v>61</v>
      </c>
      <c r="AG72" s="68" t="s">
        <v>61</v>
      </c>
      <c r="AH72" s="68" t="s">
        <v>61</v>
      </c>
      <c r="AI72" s="70" t="s">
        <v>61</v>
      </c>
      <c r="AJ72" s="49" t="s">
        <v>61</v>
      </c>
      <c r="AK72" s="46"/>
    </row>
    <row r="73" ht="24.0" customHeight="1">
      <c r="A73" s="35"/>
      <c r="B73" s="36">
        <v>1.0</v>
      </c>
      <c r="C73" s="37" t="str">
        <f>IFERROR(__xludf.DUMMYFUNCTION("""COMPUTED_VALUE"""),"Austin Musso (XX) - '25  IL")</f>
        <v>Austin Musso (XX) - '25  IL</v>
      </c>
      <c r="D73" s="38" t="s">
        <v>477</v>
      </c>
      <c r="E73" s="51" t="s">
        <v>61</v>
      </c>
      <c r="F73" s="52"/>
      <c r="G73" s="53"/>
      <c r="H73" s="54" t="s">
        <v>472</v>
      </c>
      <c r="I73" s="55" t="s">
        <v>478</v>
      </c>
      <c r="J73" s="55">
        <v>2025.0</v>
      </c>
      <c r="K73" s="55" t="s">
        <v>410</v>
      </c>
      <c r="L73" s="55"/>
      <c r="M73" s="55"/>
      <c r="N73" s="55"/>
      <c r="O73" s="55"/>
      <c r="P73" s="57"/>
      <c r="Q73" s="55" t="s">
        <v>307</v>
      </c>
      <c r="R73" s="55" t="s">
        <v>479</v>
      </c>
      <c r="S73" s="58"/>
      <c r="T73" s="55"/>
      <c r="U73" s="55"/>
      <c r="V73" s="51"/>
      <c r="W73" s="51"/>
      <c r="X73" s="51"/>
      <c r="Y73" s="51"/>
      <c r="Z73" s="60"/>
      <c r="AA73" s="73" t="s">
        <v>480</v>
      </c>
      <c r="AB73" s="62" t="s">
        <v>61</v>
      </c>
      <c r="AC73" s="63" t="s">
        <v>61</v>
      </c>
      <c r="AD73" s="64" t="s">
        <v>61</v>
      </c>
      <c r="AE73" s="64" t="s">
        <v>61</v>
      </c>
      <c r="AF73" s="63" t="s">
        <v>61</v>
      </c>
      <c r="AG73" s="63" t="s">
        <v>61</v>
      </c>
      <c r="AH73" s="63" t="s">
        <v>61</v>
      </c>
      <c r="AI73" s="65" t="s">
        <v>61</v>
      </c>
      <c r="AJ73" s="66" t="s">
        <v>61</v>
      </c>
      <c r="AK73" s="60"/>
    </row>
    <row r="74" ht="24.0" customHeight="1">
      <c r="A74" s="71"/>
      <c r="B74" s="36">
        <v>1.0</v>
      </c>
      <c r="C74" s="37" t="str">
        <f>IFERROR(__xludf.DUMMYFUNCTION("""COMPUTED_VALUE"""),"Baylor Roberts (XX) - '25  MS")</f>
        <v>Baylor Roberts (XX) - '25  MS</v>
      </c>
      <c r="D74" s="38" t="s">
        <v>481</v>
      </c>
      <c r="E74" s="39" t="s">
        <v>61</v>
      </c>
      <c r="F74" s="40"/>
      <c r="G74" s="41"/>
      <c r="H74" s="42" t="s">
        <v>482</v>
      </c>
      <c r="I74" s="43" t="s">
        <v>234</v>
      </c>
      <c r="J74" s="43">
        <v>2025.0</v>
      </c>
      <c r="K74" s="43" t="s">
        <v>410</v>
      </c>
      <c r="L74" s="43"/>
      <c r="M74" s="43"/>
      <c r="N74" s="43"/>
      <c r="O74" s="43"/>
      <c r="P74" s="43"/>
      <c r="Q74" s="43" t="s">
        <v>483</v>
      </c>
      <c r="R74" s="43" t="s">
        <v>484</v>
      </c>
      <c r="S74" s="44"/>
      <c r="T74" s="43"/>
      <c r="U74" s="43"/>
      <c r="V74" s="39"/>
      <c r="W74" s="39"/>
      <c r="X74" s="39"/>
      <c r="Y74" s="39"/>
      <c r="Z74" s="46"/>
      <c r="AA74" s="47" t="s">
        <v>485</v>
      </c>
      <c r="AB74" s="48" t="s">
        <v>61</v>
      </c>
      <c r="AC74" s="68" t="s">
        <v>61</v>
      </c>
      <c r="AD74" s="69" t="s">
        <v>61</v>
      </c>
      <c r="AE74" s="69" t="s">
        <v>61</v>
      </c>
      <c r="AF74" s="68" t="s">
        <v>61</v>
      </c>
      <c r="AG74" s="68" t="s">
        <v>61</v>
      </c>
      <c r="AH74" s="68" t="s">
        <v>61</v>
      </c>
      <c r="AI74" s="70" t="s">
        <v>61</v>
      </c>
      <c r="AJ74" s="49" t="s">
        <v>61</v>
      </c>
      <c r="AK74" s="46"/>
    </row>
    <row r="75" ht="24.0" customHeight="1">
      <c r="A75" s="93"/>
      <c r="B75" s="36">
        <v>1.0</v>
      </c>
      <c r="C75" s="37" t="str">
        <f>IFERROR(__xludf.DUMMYFUNCTION("""COMPUTED_VALUE"""),"Ben Pulliam (XX) - '25  VA")</f>
        <v>Ben Pulliam (XX) - '25  VA</v>
      </c>
      <c r="D75" s="38" t="s">
        <v>486</v>
      </c>
      <c r="E75" s="51" t="s">
        <v>61</v>
      </c>
      <c r="F75" s="52"/>
      <c r="G75" s="53"/>
      <c r="H75" s="54" t="s">
        <v>116</v>
      </c>
      <c r="I75" s="55" t="s">
        <v>487</v>
      </c>
      <c r="J75" s="55">
        <v>2025.0</v>
      </c>
      <c r="K75" s="55" t="s">
        <v>410</v>
      </c>
      <c r="L75" s="57"/>
      <c r="M75" s="55"/>
      <c r="N75" s="55"/>
      <c r="O75" s="55"/>
      <c r="P75" s="57"/>
      <c r="Q75" s="96" t="s">
        <v>125</v>
      </c>
      <c r="R75" s="96" t="s">
        <v>488</v>
      </c>
      <c r="S75" s="97" t="s">
        <v>489</v>
      </c>
      <c r="T75" s="96"/>
      <c r="U75" s="96"/>
      <c r="V75" s="74"/>
      <c r="W75" s="51"/>
      <c r="X75" s="74"/>
      <c r="Y75" s="74"/>
      <c r="Z75" s="76"/>
      <c r="AA75" s="73" t="s">
        <v>490</v>
      </c>
      <c r="AB75" s="62" t="s">
        <v>61</v>
      </c>
      <c r="AC75" s="63" t="s">
        <v>61</v>
      </c>
      <c r="AD75" s="64" t="s">
        <v>61</v>
      </c>
      <c r="AE75" s="64" t="s">
        <v>61</v>
      </c>
      <c r="AF75" s="63" t="s">
        <v>61</v>
      </c>
      <c r="AG75" s="63" t="s">
        <v>61</v>
      </c>
      <c r="AH75" s="63" t="s">
        <v>61</v>
      </c>
      <c r="AI75" s="65" t="s">
        <v>61</v>
      </c>
      <c r="AJ75" s="66" t="s">
        <v>61</v>
      </c>
      <c r="AK75" s="60"/>
    </row>
    <row r="76" ht="24.0" customHeight="1">
      <c r="A76" s="93"/>
      <c r="B76" s="36">
        <v>1.0</v>
      </c>
      <c r="C76" s="37" t="str">
        <f>IFERROR(__xludf.DUMMYFUNCTION("""COMPUTED_VALUE"""),"Ben Toft (XX) - '25  IL")</f>
        <v>Ben Toft (XX) - '25  IL</v>
      </c>
      <c r="D76" s="38" t="s">
        <v>491</v>
      </c>
      <c r="E76" s="39" t="s">
        <v>61</v>
      </c>
      <c r="F76" s="40"/>
      <c r="G76" s="41"/>
      <c r="H76" s="42" t="s">
        <v>116</v>
      </c>
      <c r="I76" s="43" t="s">
        <v>492</v>
      </c>
      <c r="J76" s="43">
        <v>2025.0</v>
      </c>
      <c r="K76" s="43" t="s">
        <v>410</v>
      </c>
      <c r="L76" s="80"/>
      <c r="M76" s="43"/>
      <c r="N76" s="43"/>
      <c r="O76" s="43"/>
      <c r="P76" s="43"/>
      <c r="Q76" s="43" t="s">
        <v>307</v>
      </c>
      <c r="R76" s="43" t="s">
        <v>493</v>
      </c>
      <c r="S76" s="44"/>
      <c r="T76" s="43"/>
      <c r="U76" s="43"/>
      <c r="V76" s="94"/>
      <c r="W76" s="39"/>
      <c r="X76" s="94"/>
      <c r="Y76" s="94"/>
      <c r="Z76" s="46"/>
      <c r="AA76" s="47" t="s">
        <v>494</v>
      </c>
      <c r="AB76" s="48" t="s">
        <v>61</v>
      </c>
      <c r="AC76" s="68" t="s">
        <v>61</v>
      </c>
      <c r="AD76" s="69" t="s">
        <v>61</v>
      </c>
      <c r="AE76" s="69" t="s">
        <v>61</v>
      </c>
      <c r="AF76" s="68" t="s">
        <v>61</v>
      </c>
      <c r="AG76" s="68" t="s">
        <v>61</v>
      </c>
      <c r="AH76" s="68" t="s">
        <v>61</v>
      </c>
      <c r="AI76" s="70" t="s">
        <v>61</v>
      </c>
      <c r="AJ76" s="49" t="s">
        <v>61</v>
      </c>
      <c r="AK76" s="46"/>
    </row>
    <row r="77" ht="24.0" customHeight="1">
      <c r="A77" s="71"/>
      <c r="B77" s="36">
        <v>1.0</v>
      </c>
      <c r="C77" s="37" t="str">
        <f>IFERROR(__xludf.DUMMYFUNCTION("""COMPUTED_VALUE"""),"Blake Sebastian (XX) - '25  KS")</f>
        <v>Blake Sebastian (XX) - '25  KS</v>
      </c>
      <c r="D77" s="38" t="s">
        <v>495</v>
      </c>
      <c r="E77" s="51" t="s">
        <v>61</v>
      </c>
      <c r="F77" s="52"/>
      <c r="G77" s="53"/>
      <c r="H77" s="54" t="s">
        <v>496</v>
      </c>
      <c r="I77" s="55" t="s">
        <v>497</v>
      </c>
      <c r="J77" s="55">
        <v>2025.0</v>
      </c>
      <c r="K77" s="55" t="s">
        <v>410</v>
      </c>
      <c r="L77" s="55"/>
      <c r="M77" s="55"/>
      <c r="N77" s="55"/>
      <c r="O77" s="55"/>
      <c r="P77" s="55"/>
      <c r="Q77" s="55" t="s">
        <v>112</v>
      </c>
      <c r="R77" s="55" t="s">
        <v>498</v>
      </c>
      <c r="S77" s="58"/>
      <c r="T77" s="55"/>
      <c r="U77" s="55"/>
      <c r="V77" s="51"/>
      <c r="W77" s="51"/>
      <c r="X77" s="51"/>
      <c r="Y77" s="51"/>
      <c r="Z77" s="60"/>
      <c r="AA77" s="73" t="s">
        <v>499</v>
      </c>
      <c r="AB77" s="62" t="s">
        <v>61</v>
      </c>
      <c r="AC77" s="63" t="s">
        <v>61</v>
      </c>
      <c r="AD77" s="64" t="s">
        <v>61</v>
      </c>
      <c r="AE77" s="64" t="s">
        <v>61</v>
      </c>
      <c r="AF77" s="63" t="s">
        <v>61</v>
      </c>
      <c r="AG77" s="63" t="s">
        <v>61</v>
      </c>
      <c r="AH77" s="63" t="s">
        <v>61</v>
      </c>
      <c r="AI77" s="65" t="s">
        <v>61</v>
      </c>
      <c r="AJ77" s="66" t="s">
        <v>61</v>
      </c>
      <c r="AK77" s="60"/>
    </row>
    <row r="78" ht="24.0" customHeight="1">
      <c r="A78" s="93"/>
      <c r="B78" s="36">
        <v>1.0</v>
      </c>
      <c r="C78" s="37" t="str">
        <f>IFERROR(__xludf.DUMMYFUNCTION("""COMPUTED_VALUE"""),"Bobby Christenson (XX) - '25  NJ")</f>
        <v>Bobby Christenson (XX) - '25  NJ</v>
      </c>
      <c r="D78" s="38" t="s">
        <v>500</v>
      </c>
      <c r="E78" s="39" t="s">
        <v>61</v>
      </c>
      <c r="F78" s="40"/>
      <c r="G78" s="41"/>
      <c r="H78" s="42" t="s">
        <v>210</v>
      </c>
      <c r="I78" s="43" t="s">
        <v>501</v>
      </c>
      <c r="J78" s="43">
        <v>2025.0</v>
      </c>
      <c r="K78" s="43" t="s">
        <v>410</v>
      </c>
      <c r="L78" s="43"/>
      <c r="M78" s="43"/>
      <c r="N78" s="43"/>
      <c r="O78" s="43"/>
      <c r="P78" s="80"/>
      <c r="Q78" s="43" t="s">
        <v>502</v>
      </c>
      <c r="R78" s="43" t="s">
        <v>503</v>
      </c>
      <c r="S78" s="44"/>
      <c r="T78" s="43"/>
      <c r="U78" s="43"/>
      <c r="V78" s="39"/>
      <c r="W78" s="39"/>
      <c r="X78" s="39"/>
      <c r="Y78" s="39"/>
      <c r="Z78" s="46"/>
      <c r="AA78" s="47" t="s">
        <v>504</v>
      </c>
      <c r="AB78" s="48" t="s">
        <v>61</v>
      </c>
      <c r="AC78" s="68" t="s">
        <v>61</v>
      </c>
      <c r="AD78" s="69" t="s">
        <v>61</v>
      </c>
      <c r="AE78" s="69" t="s">
        <v>61</v>
      </c>
      <c r="AF78" s="68" t="s">
        <v>61</v>
      </c>
      <c r="AG78" s="68" t="s">
        <v>61</v>
      </c>
      <c r="AH78" s="68" t="s">
        <v>61</v>
      </c>
      <c r="AI78" s="70" t="s">
        <v>61</v>
      </c>
      <c r="AJ78" s="49" t="s">
        <v>61</v>
      </c>
      <c r="AK78" s="46"/>
    </row>
    <row r="79" ht="24.0" customHeight="1">
      <c r="A79" s="88"/>
      <c r="B79" s="36">
        <v>1.0</v>
      </c>
      <c r="C79" s="37" t="str">
        <f>IFERROR(__xludf.DUMMYFUNCTION("""COMPUTED_VALUE"""),"Brad Marks (XX) - '25  DE")</f>
        <v>Brad Marks (XX) - '25  DE</v>
      </c>
      <c r="D79" s="38" t="s">
        <v>505</v>
      </c>
      <c r="E79" s="51" t="s">
        <v>61</v>
      </c>
      <c r="F79" s="52"/>
      <c r="G79" s="53"/>
      <c r="H79" s="54" t="s">
        <v>506</v>
      </c>
      <c r="I79" s="55" t="s">
        <v>507</v>
      </c>
      <c r="J79" s="55">
        <v>2025.0</v>
      </c>
      <c r="K79" s="55" t="s">
        <v>410</v>
      </c>
      <c r="L79" s="55"/>
      <c r="M79" s="55"/>
      <c r="N79" s="55"/>
      <c r="O79" s="55"/>
      <c r="P79" s="55"/>
      <c r="Q79" s="55" t="s">
        <v>508</v>
      </c>
      <c r="R79" s="55" t="s">
        <v>509</v>
      </c>
      <c r="S79" s="58" t="s">
        <v>119</v>
      </c>
      <c r="T79" s="55"/>
      <c r="U79" s="55"/>
      <c r="V79" s="51"/>
      <c r="W79" s="51"/>
      <c r="X79" s="51"/>
      <c r="Y79" s="51"/>
      <c r="Z79" s="60"/>
      <c r="AA79" s="73" t="s">
        <v>510</v>
      </c>
      <c r="AB79" s="62" t="s">
        <v>61</v>
      </c>
      <c r="AC79" s="63" t="s">
        <v>61</v>
      </c>
      <c r="AD79" s="64" t="s">
        <v>61</v>
      </c>
      <c r="AE79" s="64" t="s">
        <v>61</v>
      </c>
      <c r="AF79" s="63" t="s">
        <v>61</v>
      </c>
      <c r="AG79" s="63" t="s">
        <v>61</v>
      </c>
      <c r="AH79" s="63" t="s">
        <v>61</v>
      </c>
      <c r="AI79" s="65" t="s">
        <v>61</v>
      </c>
      <c r="AJ79" s="66" t="s">
        <v>61</v>
      </c>
      <c r="AK79" s="60"/>
    </row>
    <row r="80" ht="24.0" customHeight="1">
      <c r="A80" s="71"/>
      <c r="B80" s="36">
        <v>1.0</v>
      </c>
      <c r="C80" s="37" t="str">
        <f>IFERROR(__xludf.DUMMYFUNCTION("""COMPUTED_VALUE"""),"Braden Polsky (XX) - '25  NC")</f>
        <v>Braden Polsky (XX) - '25  NC</v>
      </c>
      <c r="D80" s="38" t="s">
        <v>511</v>
      </c>
      <c r="E80" s="39" t="s">
        <v>61</v>
      </c>
      <c r="F80" s="40"/>
      <c r="G80" s="41"/>
      <c r="H80" s="42" t="s">
        <v>512</v>
      </c>
      <c r="I80" s="43" t="s">
        <v>513</v>
      </c>
      <c r="J80" s="43">
        <v>2025.0</v>
      </c>
      <c r="K80" s="43" t="s">
        <v>410</v>
      </c>
      <c r="L80" s="43"/>
      <c r="M80" s="43"/>
      <c r="N80" s="43"/>
      <c r="O80" s="43"/>
      <c r="P80" s="43"/>
      <c r="Q80" s="43" t="s">
        <v>73</v>
      </c>
      <c r="R80" s="43" t="s">
        <v>514</v>
      </c>
      <c r="S80" s="44"/>
      <c r="T80" s="43"/>
      <c r="U80" s="43"/>
      <c r="V80" s="39"/>
      <c r="W80" s="39"/>
      <c r="X80" s="39"/>
      <c r="Y80" s="39"/>
      <c r="Z80" s="46"/>
      <c r="AA80" s="47" t="s">
        <v>515</v>
      </c>
      <c r="AB80" s="48" t="s">
        <v>61</v>
      </c>
      <c r="AC80" s="68" t="s">
        <v>61</v>
      </c>
      <c r="AD80" s="69" t="s">
        <v>61</v>
      </c>
      <c r="AE80" s="69" t="s">
        <v>61</v>
      </c>
      <c r="AF80" s="68" t="s">
        <v>61</v>
      </c>
      <c r="AG80" s="68" t="s">
        <v>61</v>
      </c>
      <c r="AH80" s="68" t="s">
        <v>61</v>
      </c>
      <c r="AI80" s="70" t="s">
        <v>61</v>
      </c>
      <c r="AJ80" s="49" t="s">
        <v>61</v>
      </c>
      <c r="AK80" s="46"/>
    </row>
    <row r="81" ht="24.0" customHeight="1">
      <c r="A81" s="35"/>
      <c r="B81" s="36">
        <v>1.0</v>
      </c>
      <c r="C81" s="37" t="str">
        <f>IFERROR(__xludf.DUMMYFUNCTION("""COMPUTED_VALUE"""),"Brady Ferguson (XX) - '25  NE")</f>
        <v>Brady Ferguson (XX) - '25  NE</v>
      </c>
      <c r="D81" s="38" t="s">
        <v>516</v>
      </c>
      <c r="E81" s="51" t="s">
        <v>61</v>
      </c>
      <c r="F81" s="52"/>
      <c r="G81" s="53"/>
      <c r="H81" s="54" t="s">
        <v>517</v>
      </c>
      <c r="I81" s="55" t="s">
        <v>518</v>
      </c>
      <c r="J81" s="55">
        <v>2025.0</v>
      </c>
      <c r="K81" s="55" t="s">
        <v>410</v>
      </c>
      <c r="L81" s="55"/>
      <c r="M81" s="55"/>
      <c r="N81" s="55"/>
      <c r="O81" s="55"/>
      <c r="P81" s="55"/>
      <c r="Q81" s="55" t="s">
        <v>519</v>
      </c>
      <c r="R81" s="55" t="s">
        <v>520</v>
      </c>
      <c r="S81" s="58"/>
      <c r="T81" s="55"/>
      <c r="U81" s="55"/>
      <c r="V81" s="51"/>
      <c r="W81" s="51"/>
      <c r="X81" s="51"/>
      <c r="Y81" s="51"/>
      <c r="Z81" s="60"/>
      <c r="AA81" s="73" t="s">
        <v>521</v>
      </c>
      <c r="AB81" s="62" t="s">
        <v>61</v>
      </c>
      <c r="AC81" s="63" t="s">
        <v>61</v>
      </c>
      <c r="AD81" s="64" t="s">
        <v>61</v>
      </c>
      <c r="AE81" s="64" t="s">
        <v>61</v>
      </c>
      <c r="AF81" s="63" t="s">
        <v>61</v>
      </c>
      <c r="AG81" s="63" t="s">
        <v>61</v>
      </c>
      <c r="AH81" s="63" t="s">
        <v>61</v>
      </c>
      <c r="AI81" s="65" t="s">
        <v>61</v>
      </c>
      <c r="AJ81" s="66" t="s">
        <v>61</v>
      </c>
      <c r="AK81" s="60"/>
    </row>
    <row r="82" ht="24.0" customHeight="1">
      <c r="A82" s="71"/>
      <c r="B82" s="36">
        <v>1.0</v>
      </c>
      <c r="C82" s="37" t="str">
        <f>IFERROR(__xludf.DUMMYFUNCTION("""COMPUTED_VALUE"""),"Brady Hewitt (XX) - '25  CA")</f>
        <v>Brady Hewitt (XX) - '25  CA</v>
      </c>
      <c r="D82" s="38" t="s">
        <v>522</v>
      </c>
      <c r="E82" s="39" t="s">
        <v>61</v>
      </c>
      <c r="F82" s="40"/>
      <c r="G82" s="41"/>
      <c r="H82" s="42" t="s">
        <v>517</v>
      </c>
      <c r="I82" s="43" t="s">
        <v>523</v>
      </c>
      <c r="J82" s="43">
        <v>2025.0</v>
      </c>
      <c r="K82" s="43" t="s">
        <v>410</v>
      </c>
      <c r="L82" s="43"/>
      <c r="M82" s="43"/>
      <c r="N82" s="43"/>
      <c r="O82" s="43"/>
      <c r="P82" s="43"/>
      <c r="Q82" s="43" t="s">
        <v>52</v>
      </c>
      <c r="R82" s="43" t="s">
        <v>524</v>
      </c>
      <c r="S82" s="44" t="s">
        <v>525</v>
      </c>
      <c r="T82" s="43"/>
      <c r="U82" s="43"/>
      <c r="V82" s="39"/>
      <c r="W82" s="39"/>
      <c r="X82" s="39"/>
      <c r="Y82" s="39"/>
      <c r="Z82" s="46"/>
      <c r="AA82" s="47" t="s">
        <v>526</v>
      </c>
      <c r="AB82" s="48" t="s">
        <v>61</v>
      </c>
      <c r="AC82" s="68" t="s">
        <v>61</v>
      </c>
      <c r="AD82" s="69" t="s">
        <v>61</v>
      </c>
      <c r="AE82" s="69" t="s">
        <v>61</v>
      </c>
      <c r="AF82" s="68" t="s">
        <v>61</v>
      </c>
      <c r="AG82" s="68" t="s">
        <v>61</v>
      </c>
      <c r="AH82" s="68" t="s">
        <v>61</v>
      </c>
      <c r="AI82" s="70" t="s">
        <v>61</v>
      </c>
      <c r="AJ82" s="49" t="s">
        <v>61</v>
      </c>
      <c r="AK82" s="46"/>
    </row>
    <row r="83" ht="24.0" customHeight="1">
      <c r="A83" s="93"/>
      <c r="B83" s="36">
        <v>1.0</v>
      </c>
      <c r="C83" s="37" t="str">
        <f>IFERROR(__xludf.DUMMYFUNCTION("""COMPUTED_VALUE"""),"Brady Kaufman (XX) - '25  OH")</f>
        <v>Brady Kaufman (XX) - '25  OH</v>
      </c>
      <c r="D83" s="38" t="s">
        <v>527</v>
      </c>
      <c r="E83" s="51" t="s">
        <v>61</v>
      </c>
      <c r="F83" s="52"/>
      <c r="G83" s="53"/>
      <c r="H83" s="54" t="s">
        <v>517</v>
      </c>
      <c r="I83" s="55" t="s">
        <v>528</v>
      </c>
      <c r="J83" s="55">
        <v>2025.0</v>
      </c>
      <c r="K83" s="55" t="s">
        <v>410</v>
      </c>
      <c r="L83" s="57"/>
      <c r="M83" s="55"/>
      <c r="N83" s="57"/>
      <c r="O83" s="55"/>
      <c r="P83" s="55"/>
      <c r="Q83" s="55" t="s">
        <v>529</v>
      </c>
      <c r="R83" s="55"/>
      <c r="S83" s="58"/>
      <c r="T83" s="55"/>
      <c r="U83" s="55"/>
      <c r="V83" s="51"/>
      <c r="W83" s="51"/>
      <c r="X83" s="98">
        <v>45855.0</v>
      </c>
      <c r="Y83" s="51"/>
      <c r="Z83" s="60"/>
      <c r="AA83" s="73" t="s">
        <v>530</v>
      </c>
      <c r="AB83" s="62" t="s">
        <v>531</v>
      </c>
      <c r="AC83" s="63" t="s">
        <v>532</v>
      </c>
      <c r="AD83" s="64">
        <v>3.95</v>
      </c>
      <c r="AE83" s="64" t="s">
        <v>533</v>
      </c>
      <c r="AF83" s="63" t="s">
        <v>60</v>
      </c>
      <c r="AG83" s="63" t="s">
        <v>60</v>
      </c>
      <c r="AH83" s="63" t="s">
        <v>417</v>
      </c>
      <c r="AI83" s="65" t="s">
        <v>60</v>
      </c>
      <c r="AJ83" s="66" t="s">
        <v>61</v>
      </c>
      <c r="AK83" s="60"/>
    </row>
    <row r="84" ht="24.0" customHeight="1">
      <c r="A84" s="35"/>
      <c r="B84" s="36">
        <v>1.0</v>
      </c>
      <c r="C84" s="37" t="str">
        <f>IFERROR(__xludf.DUMMYFUNCTION("""COMPUTED_VALUE"""),"Brayden Mercier (XX) - '25  MA")</f>
        <v>Brayden Mercier (XX) - '25  MA</v>
      </c>
      <c r="D84" s="89" t="s">
        <v>534</v>
      </c>
      <c r="E84" s="39" t="s">
        <v>61</v>
      </c>
      <c r="F84" s="40"/>
      <c r="G84" s="41"/>
      <c r="H84" s="42" t="s">
        <v>535</v>
      </c>
      <c r="I84" s="43" t="s">
        <v>536</v>
      </c>
      <c r="J84" s="43">
        <v>2025.0</v>
      </c>
      <c r="K84" s="43" t="s">
        <v>410</v>
      </c>
      <c r="L84" s="43"/>
      <c r="M84" s="43"/>
      <c r="N84" s="43"/>
      <c r="O84" s="43"/>
      <c r="P84" s="43"/>
      <c r="Q84" s="43" t="s">
        <v>85</v>
      </c>
      <c r="R84" s="43" t="s">
        <v>537</v>
      </c>
      <c r="S84" s="44" t="s">
        <v>538</v>
      </c>
      <c r="T84" s="43"/>
      <c r="U84" s="43"/>
      <c r="V84" s="39"/>
      <c r="W84" s="39"/>
      <c r="X84" s="39"/>
      <c r="Y84" s="39"/>
      <c r="Z84" s="46"/>
      <c r="AA84" s="47" t="s">
        <v>539</v>
      </c>
      <c r="AB84" s="48" t="s">
        <v>61</v>
      </c>
      <c r="AC84" s="68" t="s">
        <v>61</v>
      </c>
      <c r="AD84" s="69" t="s">
        <v>61</v>
      </c>
      <c r="AE84" s="69" t="s">
        <v>61</v>
      </c>
      <c r="AF84" s="68" t="s">
        <v>61</v>
      </c>
      <c r="AG84" s="68" t="s">
        <v>61</v>
      </c>
      <c r="AH84" s="68" t="s">
        <v>61</v>
      </c>
      <c r="AI84" s="70" t="s">
        <v>61</v>
      </c>
      <c r="AJ84" s="49" t="s">
        <v>61</v>
      </c>
      <c r="AK84" s="46"/>
    </row>
    <row r="85" ht="24.0" customHeight="1">
      <c r="A85" s="35"/>
      <c r="B85" s="36">
        <v>1.0</v>
      </c>
      <c r="C85" s="37" t="str">
        <f>IFERROR(__xludf.DUMMYFUNCTION("""COMPUTED_VALUE"""),"Brayton Coomer (XX) - '25 CINF KY")</f>
        <v>Brayton Coomer (XX) - '25 CINF KY</v>
      </c>
      <c r="D85" s="89" t="s">
        <v>540</v>
      </c>
      <c r="E85" s="51" t="s">
        <v>48</v>
      </c>
      <c r="F85" s="52"/>
      <c r="G85" s="53"/>
      <c r="H85" s="54" t="s">
        <v>541</v>
      </c>
      <c r="I85" s="55" t="s">
        <v>542</v>
      </c>
      <c r="J85" s="55">
        <v>2025.0</v>
      </c>
      <c r="K85" s="55" t="s">
        <v>410</v>
      </c>
      <c r="L85" s="57"/>
      <c r="M85" s="55" t="s">
        <v>72</v>
      </c>
      <c r="N85" s="55"/>
      <c r="O85" s="55"/>
      <c r="P85" s="55"/>
      <c r="Q85" s="55" t="s">
        <v>543</v>
      </c>
      <c r="R85" s="55" t="s">
        <v>544</v>
      </c>
      <c r="S85" s="58" t="s">
        <v>545</v>
      </c>
      <c r="T85" s="55"/>
      <c r="U85" s="55"/>
      <c r="V85" s="51"/>
      <c r="W85" s="51"/>
      <c r="X85" s="51"/>
      <c r="Y85" s="51"/>
      <c r="Z85" s="60"/>
      <c r="AA85" s="73" t="s">
        <v>546</v>
      </c>
      <c r="AB85" s="62" t="s">
        <v>547</v>
      </c>
      <c r="AC85" s="63"/>
      <c r="AD85" s="64">
        <v>3.8</v>
      </c>
      <c r="AE85" s="64">
        <v>19.0</v>
      </c>
      <c r="AF85" s="63" t="s">
        <v>548</v>
      </c>
      <c r="AG85" s="63" t="s">
        <v>549</v>
      </c>
      <c r="AH85" s="63" t="s">
        <v>549</v>
      </c>
      <c r="AI85" s="65" t="s">
        <v>549</v>
      </c>
      <c r="AJ85" s="66" t="s">
        <v>61</v>
      </c>
      <c r="AK85" s="60"/>
    </row>
    <row r="86" ht="24.0" customHeight="1">
      <c r="A86" s="35"/>
      <c r="B86" s="36">
        <v>1.0</v>
      </c>
      <c r="C86" s="37" t="str">
        <f>IFERROR(__xludf.DUMMYFUNCTION("""COMPUTED_VALUE"""),"Brock Ketelsen (XX) - '25  CA")</f>
        <v>Brock Ketelsen (XX) - '25  CA</v>
      </c>
      <c r="D86" s="89" t="s">
        <v>550</v>
      </c>
      <c r="E86" s="39" t="s">
        <v>61</v>
      </c>
      <c r="F86" s="40"/>
      <c r="G86" s="41"/>
      <c r="H86" s="42" t="s">
        <v>551</v>
      </c>
      <c r="I86" s="43" t="s">
        <v>552</v>
      </c>
      <c r="J86" s="43">
        <v>2025.0</v>
      </c>
      <c r="K86" s="43" t="s">
        <v>410</v>
      </c>
      <c r="L86" s="80"/>
      <c r="M86" s="43"/>
      <c r="N86" s="43"/>
      <c r="O86" s="43"/>
      <c r="P86" s="43"/>
      <c r="Q86" s="43" t="s">
        <v>52</v>
      </c>
      <c r="R86" s="43" t="s">
        <v>553</v>
      </c>
      <c r="S86" s="44"/>
      <c r="T86" s="43"/>
      <c r="U86" s="43"/>
      <c r="V86" s="39"/>
      <c r="W86" s="39"/>
      <c r="X86" s="39"/>
      <c r="Y86" s="39"/>
      <c r="Z86" s="46"/>
      <c r="AA86" s="47" t="s">
        <v>554</v>
      </c>
      <c r="AB86" s="48" t="s">
        <v>61</v>
      </c>
      <c r="AC86" s="68" t="s">
        <v>61</v>
      </c>
      <c r="AD86" s="69" t="s">
        <v>61</v>
      </c>
      <c r="AE86" s="69" t="s">
        <v>61</v>
      </c>
      <c r="AF86" s="68" t="s">
        <v>61</v>
      </c>
      <c r="AG86" s="68" t="s">
        <v>61</v>
      </c>
      <c r="AH86" s="68" t="s">
        <v>61</v>
      </c>
      <c r="AI86" s="70" t="s">
        <v>61</v>
      </c>
      <c r="AJ86" s="49" t="s">
        <v>61</v>
      </c>
      <c r="AK86" s="46"/>
    </row>
    <row r="87" ht="24.0" customHeight="1">
      <c r="A87" s="35"/>
      <c r="B87" s="36">
        <v>1.0</v>
      </c>
      <c r="C87" s="37" t="str">
        <f>IFERROR(__xludf.DUMMYFUNCTION("""COMPUTED_VALUE"""),"Brody Winemiller (XX) - '25 CINF TN")</f>
        <v>Brody Winemiller (XX) - '25 CINF TN</v>
      </c>
      <c r="D87" s="89" t="s">
        <v>555</v>
      </c>
      <c r="E87" s="51" t="s">
        <v>48</v>
      </c>
      <c r="F87" s="52"/>
      <c r="G87" s="53"/>
      <c r="H87" s="54" t="s">
        <v>556</v>
      </c>
      <c r="I87" s="55" t="s">
        <v>557</v>
      </c>
      <c r="J87" s="55">
        <v>2025.0</v>
      </c>
      <c r="K87" s="55" t="s">
        <v>410</v>
      </c>
      <c r="L87" s="55"/>
      <c r="M87" s="55" t="s">
        <v>72</v>
      </c>
      <c r="N87" s="55"/>
      <c r="O87" s="55"/>
      <c r="P87" s="55"/>
      <c r="Q87" s="55" t="s">
        <v>330</v>
      </c>
      <c r="R87" s="55" t="s">
        <v>558</v>
      </c>
      <c r="S87" s="58" t="s">
        <v>559</v>
      </c>
      <c r="T87" s="55"/>
      <c r="U87" s="55"/>
      <c r="V87" s="51"/>
      <c r="W87" s="51"/>
      <c r="X87" s="75">
        <v>45839.0</v>
      </c>
      <c r="Y87" s="51"/>
      <c r="Z87" s="60"/>
      <c r="AA87" s="73" t="s">
        <v>560</v>
      </c>
      <c r="AB87" s="62" t="s">
        <v>561</v>
      </c>
      <c r="AC87" s="63" t="s">
        <v>562</v>
      </c>
      <c r="AD87" s="64" t="s">
        <v>563</v>
      </c>
      <c r="AE87" s="64" t="s">
        <v>564</v>
      </c>
      <c r="AF87" s="63" t="s">
        <v>565</v>
      </c>
      <c r="AG87" s="63" t="s">
        <v>81</v>
      </c>
      <c r="AH87" s="63" t="s">
        <v>81</v>
      </c>
      <c r="AI87" s="65" t="s">
        <v>81</v>
      </c>
      <c r="AJ87" s="66" t="s">
        <v>61</v>
      </c>
      <c r="AK87" s="60"/>
    </row>
    <row r="88" ht="24.0" customHeight="1">
      <c r="A88" s="35"/>
      <c r="B88" s="36">
        <v>1.0</v>
      </c>
      <c r="C88" s="37" t="str">
        <f>IFERROR(__xludf.DUMMYFUNCTION("""COMPUTED_VALUE"""),"Bryce Neely (XX) - '25  VA")</f>
        <v>Bryce Neely (XX) - '25  VA</v>
      </c>
      <c r="D88" s="89" t="s">
        <v>566</v>
      </c>
      <c r="E88" s="39" t="s">
        <v>61</v>
      </c>
      <c r="F88" s="40"/>
      <c r="G88" s="41"/>
      <c r="H88" s="42" t="s">
        <v>408</v>
      </c>
      <c r="I88" s="43" t="s">
        <v>567</v>
      </c>
      <c r="J88" s="43">
        <v>2025.0</v>
      </c>
      <c r="K88" s="43" t="s">
        <v>410</v>
      </c>
      <c r="L88" s="43"/>
      <c r="M88" s="43"/>
      <c r="N88" s="43"/>
      <c r="O88" s="43"/>
      <c r="P88" s="43"/>
      <c r="Q88" s="43" t="s">
        <v>125</v>
      </c>
      <c r="R88" s="43" t="s">
        <v>568</v>
      </c>
      <c r="S88" s="44"/>
      <c r="T88" s="43"/>
      <c r="U88" s="43"/>
      <c r="V88" s="39"/>
      <c r="W88" s="39"/>
      <c r="X88" s="39"/>
      <c r="Y88" s="39"/>
      <c r="Z88" s="46"/>
      <c r="AA88" s="47" t="s">
        <v>569</v>
      </c>
      <c r="AB88" s="48" t="s">
        <v>61</v>
      </c>
      <c r="AC88" s="68" t="s">
        <v>61</v>
      </c>
      <c r="AD88" s="69" t="s">
        <v>61</v>
      </c>
      <c r="AE88" s="69" t="s">
        <v>61</v>
      </c>
      <c r="AF88" s="68" t="s">
        <v>61</v>
      </c>
      <c r="AG88" s="68" t="s">
        <v>61</v>
      </c>
      <c r="AH88" s="68" t="s">
        <v>61</v>
      </c>
      <c r="AI88" s="70" t="s">
        <v>61</v>
      </c>
      <c r="AJ88" s="49" t="s">
        <v>61</v>
      </c>
      <c r="AK88" s="46"/>
    </row>
    <row r="89" ht="24.0" customHeight="1">
      <c r="A89" s="35"/>
      <c r="B89" s="36">
        <v>1.0</v>
      </c>
      <c r="C89" s="37" t="str">
        <f>IFERROR(__xludf.DUMMYFUNCTION("""COMPUTED_VALUE"""),"Bryce Palms (XX) - '25  MD")</f>
        <v>Bryce Palms (XX) - '25  MD</v>
      </c>
      <c r="D89" s="38" t="s">
        <v>570</v>
      </c>
      <c r="E89" s="51" t="s">
        <v>61</v>
      </c>
      <c r="F89" s="52"/>
      <c r="G89" s="53"/>
      <c r="H89" s="54" t="s">
        <v>408</v>
      </c>
      <c r="I89" s="55" t="s">
        <v>571</v>
      </c>
      <c r="J89" s="55">
        <v>2025.0</v>
      </c>
      <c r="K89" s="55" t="s">
        <v>410</v>
      </c>
      <c r="L89" s="55"/>
      <c r="M89" s="55"/>
      <c r="N89" s="55"/>
      <c r="O89" s="55"/>
      <c r="P89" s="55"/>
      <c r="Q89" s="55" t="s">
        <v>195</v>
      </c>
      <c r="R89" s="55" t="s">
        <v>572</v>
      </c>
      <c r="S89" s="58"/>
      <c r="T89" s="55"/>
      <c r="U89" s="55"/>
      <c r="V89" s="51"/>
      <c r="W89" s="51"/>
      <c r="X89" s="92">
        <v>45241.0</v>
      </c>
      <c r="Y89" s="51"/>
      <c r="Z89" s="60"/>
      <c r="AA89" s="73" t="s">
        <v>573</v>
      </c>
      <c r="AB89" s="62" t="s">
        <v>61</v>
      </c>
      <c r="AC89" s="63" t="s">
        <v>61</v>
      </c>
      <c r="AD89" s="64" t="s">
        <v>61</v>
      </c>
      <c r="AE89" s="64" t="s">
        <v>61</v>
      </c>
      <c r="AF89" s="63" t="s">
        <v>61</v>
      </c>
      <c r="AG89" s="63" t="s">
        <v>61</v>
      </c>
      <c r="AH89" s="63" t="s">
        <v>61</v>
      </c>
      <c r="AI89" s="65" t="s">
        <v>61</v>
      </c>
      <c r="AJ89" s="66" t="s">
        <v>61</v>
      </c>
      <c r="AK89" s="60"/>
    </row>
    <row r="90" ht="24.0" customHeight="1">
      <c r="A90" s="35"/>
      <c r="B90" s="36">
        <v>1.0</v>
      </c>
      <c r="C90" s="37" t="str">
        <f>IFERROR(__xludf.DUMMYFUNCTION("""COMPUTED_VALUE"""),"Caden Blanck (XX) - '25  MD")</f>
        <v>Caden Blanck (XX) - '25  MD</v>
      </c>
      <c r="D90" s="38" t="s">
        <v>574</v>
      </c>
      <c r="E90" s="39" t="s">
        <v>61</v>
      </c>
      <c r="F90" s="40"/>
      <c r="G90" s="41"/>
      <c r="H90" s="42" t="s">
        <v>227</v>
      </c>
      <c r="I90" s="43" t="s">
        <v>575</v>
      </c>
      <c r="J90" s="43">
        <v>2025.0</v>
      </c>
      <c r="K90" s="43" t="s">
        <v>410</v>
      </c>
      <c r="L90" s="80"/>
      <c r="M90" s="43"/>
      <c r="N90" s="43"/>
      <c r="O90" s="43"/>
      <c r="P90" s="80"/>
      <c r="Q90" s="43" t="s">
        <v>195</v>
      </c>
      <c r="R90" s="43" t="s">
        <v>196</v>
      </c>
      <c r="S90" s="44" t="s">
        <v>576</v>
      </c>
      <c r="T90" s="43"/>
      <c r="U90" s="43"/>
      <c r="V90" s="81"/>
      <c r="W90" s="39"/>
      <c r="X90" s="81"/>
      <c r="Y90" s="81"/>
      <c r="Z90" s="82"/>
      <c r="AA90" s="99"/>
      <c r="AB90" s="48" t="s">
        <v>61</v>
      </c>
      <c r="AC90" s="68" t="s">
        <v>61</v>
      </c>
      <c r="AD90" s="69" t="s">
        <v>61</v>
      </c>
      <c r="AE90" s="69" t="s">
        <v>61</v>
      </c>
      <c r="AF90" s="68" t="s">
        <v>61</v>
      </c>
      <c r="AG90" s="68" t="s">
        <v>61</v>
      </c>
      <c r="AH90" s="68" t="s">
        <v>61</v>
      </c>
      <c r="AI90" s="70" t="s">
        <v>61</v>
      </c>
      <c r="AJ90" s="49" t="s">
        <v>61</v>
      </c>
      <c r="AK90" s="46"/>
    </row>
    <row r="91" ht="24.0" customHeight="1">
      <c r="A91" s="35"/>
      <c r="B91" s="36">
        <v>1.0</v>
      </c>
      <c r="C91" s="37" t="str">
        <f>IFERROR(__xludf.DUMMYFUNCTION("""COMPUTED_VALUE"""),"Caden Williamson (XX) - '25 CF CO")</f>
        <v>Caden Williamson (XX) - '25 CF CO</v>
      </c>
      <c r="D91" s="89" t="s">
        <v>577</v>
      </c>
      <c r="E91" s="51" t="s">
        <v>103</v>
      </c>
      <c r="F91" s="52"/>
      <c r="G91" s="53"/>
      <c r="H91" s="54" t="s">
        <v>227</v>
      </c>
      <c r="I91" s="55" t="s">
        <v>578</v>
      </c>
      <c r="J91" s="55">
        <v>2025.0</v>
      </c>
      <c r="K91" s="55" t="s">
        <v>410</v>
      </c>
      <c r="L91" s="55"/>
      <c r="M91" s="55" t="s">
        <v>106</v>
      </c>
      <c r="N91" s="55"/>
      <c r="O91" s="55"/>
      <c r="P91" s="55"/>
      <c r="Q91" s="55" t="s">
        <v>174</v>
      </c>
      <c r="R91" s="55" t="s">
        <v>579</v>
      </c>
      <c r="S91" s="58" t="s">
        <v>580</v>
      </c>
      <c r="T91" s="55"/>
      <c r="U91" s="55"/>
      <c r="V91" s="51"/>
      <c r="W91" s="51"/>
      <c r="X91" s="51"/>
      <c r="Y91" s="51"/>
      <c r="Z91" s="60"/>
      <c r="AA91" s="73" t="s">
        <v>581</v>
      </c>
      <c r="AB91" s="62" t="s">
        <v>61</v>
      </c>
      <c r="AC91" s="63" t="s">
        <v>61</v>
      </c>
      <c r="AD91" s="64" t="s">
        <v>61</v>
      </c>
      <c r="AE91" s="64" t="s">
        <v>61</v>
      </c>
      <c r="AF91" s="63" t="s">
        <v>61</v>
      </c>
      <c r="AG91" s="63" t="s">
        <v>61</v>
      </c>
      <c r="AH91" s="63" t="s">
        <v>61</v>
      </c>
      <c r="AI91" s="65" t="s">
        <v>61</v>
      </c>
      <c r="AJ91" s="66" t="s">
        <v>61</v>
      </c>
      <c r="AK91" s="60"/>
    </row>
    <row r="92" ht="24.0" customHeight="1">
      <c r="A92" s="35"/>
      <c r="B92" s="36">
        <v>1.0</v>
      </c>
      <c r="C92" s="37" t="str">
        <f>IFERROR(__xludf.DUMMYFUNCTION("""COMPUTED_VALUE"""),"Caeden Cloud (XX) - '25  MO")</f>
        <v>Caeden Cloud (XX) - '25  MO</v>
      </c>
      <c r="D92" s="89" t="s">
        <v>582</v>
      </c>
      <c r="E92" s="39" t="s">
        <v>61</v>
      </c>
      <c r="F92" s="40"/>
      <c r="G92" s="41"/>
      <c r="H92" s="42" t="s">
        <v>583</v>
      </c>
      <c r="I92" s="43" t="s">
        <v>584</v>
      </c>
      <c r="J92" s="43">
        <v>2025.0</v>
      </c>
      <c r="K92" s="43" t="s">
        <v>410</v>
      </c>
      <c r="L92" s="43"/>
      <c r="M92" s="43"/>
      <c r="N92" s="43"/>
      <c r="O92" s="43"/>
      <c r="P92" s="43"/>
      <c r="Q92" s="43" t="s">
        <v>585</v>
      </c>
      <c r="R92" s="43" t="s">
        <v>586</v>
      </c>
      <c r="S92" s="44"/>
      <c r="T92" s="43"/>
      <c r="U92" s="43"/>
      <c r="V92" s="39"/>
      <c r="W92" s="39"/>
      <c r="X92" s="39"/>
      <c r="Y92" s="39"/>
      <c r="Z92" s="46"/>
      <c r="AA92" s="47" t="s">
        <v>587</v>
      </c>
      <c r="AB92" s="48" t="s">
        <v>61</v>
      </c>
      <c r="AC92" s="68" t="s">
        <v>61</v>
      </c>
      <c r="AD92" s="69" t="s">
        <v>61</v>
      </c>
      <c r="AE92" s="69" t="s">
        <v>61</v>
      </c>
      <c r="AF92" s="68" t="s">
        <v>61</v>
      </c>
      <c r="AG92" s="68" t="s">
        <v>61</v>
      </c>
      <c r="AH92" s="68" t="s">
        <v>61</v>
      </c>
      <c r="AI92" s="70" t="s">
        <v>61</v>
      </c>
      <c r="AJ92" s="49" t="s">
        <v>61</v>
      </c>
      <c r="AK92" s="46"/>
    </row>
    <row r="93" ht="24.0" customHeight="1">
      <c r="A93" s="35"/>
      <c r="B93" s="36">
        <v>1.0</v>
      </c>
      <c r="C93" s="37" t="str">
        <f>IFERROR(__xludf.DUMMYFUNCTION("""COMPUTED_VALUE"""),"Caleb Sweeney (XX) - '25  AZ")</f>
        <v>Caleb Sweeney (XX) - '25  AZ</v>
      </c>
      <c r="D93" s="38" t="s">
        <v>588</v>
      </c>
      <c r="E93" s="51" t="s">
        <v>61</v>
      </c>
      <c r="F93" s="52"/>
      <c r="G93" s="53"/>
      <c r="H93" s="54" t="s">
        <v>589</v>
      </c>
      <c r="I93" s="55" t="s">
        <v>590</v>
      </c>
      <c r="J93" s="55">
        <v>2025.0</v>
      </c>
      <c r="K93" s="55" t="s">
        <v>410</v>
      </c>
      <c r="L93" s="57"/>
      <c r="M93" s="55"/>
      <c r="N93" s="72"/>
      <c r="O93" s="55"/>
      <c r="P93" s="57"/>
      <c r="Q93" s="55" t="s">
        <v>319</v>
      </c>
      <c r="R93" s="55" t="s">
        <v>553</v>
      </c>
      <c r="S93" s="58" t="s">
        <v>591</v>
      </c>
      <c r="T93" s="55"/>
      <c r="U93" s="55"/>
      <c r="V93" s="100"/>
      <c r="W93" s="51"/>
      <c r="X93" s="100"/>
      <c r="Y93" s="100"/>
      <c r="Z93" s="76"/>
      <c r="AA93" s="73" t="s">
        <v>592</v>
      </c>
      <c r="AB93" s="62" t="s">
        <v>61</v>
      </c>
      <c r="AC93" s="63" t="s">
        <v>61</v>
      </c>
      <c r="AD93" s="64" t="s">
        <v>61</v>
      </c>
      <c r="AE93" s="64" t="s">
        <v>61</v>
      </c>
      <c r="AF93" s="63" t="s">
        <v>61</v>
      </c>
      <c r="AG93" s="63" t="s">
        <v>61</v>
      </c>
      <c r="AH93" s="63" t="s">
        <v>61</v>
      </c>
      <c r="AI93" s="65" t="s">
        <v>61</v>
      </c>
      <c r="AJ93" s="66" t="s">
        <v>61</v>
      </c>
      <c r="AK93" s="60"/>
    </row>
    <row r="94" ht="24.0" customHeight="1">
      <c r="A94" s="35"/>
      <c r="B94" s="36">
        <v>1.0</v>
      </c>
      <c r="C94" s="37" t="str">
        <f>IFERROR(__xludf.DUMMYFUNCTION("""COMPUTED_VALUE"""),"Cameron Millar (XX) - '25  CA")</f>
        <v>Cameron Millar (XX) - '25  CA</v>
      </c>
      <c r="D94" s="38" t="s">
        <v>593</v>
      </c>
      <c r="E94" s="39" t="s">
        <v>61</v>
      </c>
      <c r="F94" s="40"/>
      <c r="G94" s="41"/>
      <c r="H94" s="42" t="s">
        <v>594</v>
      </c>
      <c r="I94" s="43" t="s">
        <v>595</v>
      </c>
      <c r="J94" s="43">
        <v>2025.0</v>
      </c>
      <c r="K94" s="43" t="s">
        <v>410</v>
      </c>
      <c r="L94" s="43"/>
      <c r="M94" s="43"/>
      <c r="N94" s="43"/>
      <c r="O94" s="43"/>
      <c r="P94" s="43"/>
      <c r="Q94" s="43" t="s">
        <v>52</v>
      </c>
      <c r="R94" s="43" t="s">
        <v>596</v>
      </c>
      <c r="S94" s="44"/>
      <c r="T94" s="43"/>
      <c r="U94" s="43"/>
      <c r="V94" s="39"/>
      <c r="W94" s="39"/>
      <c r="X94" s="39"/>
      <c r="Y94" s="39"/>
      <c r="Z94" s="46"/>
      <c r="AA94" s="47" t="s">
        <v>597</v>
      </c>
      <c r="AB94" s="48" t="s">
        <v>61</v>
      </c>
      <c r="AC94" s="68" t="s">
        <v>61</v>
      </c>
      <c r="AD94" s="69" t="s">
        <v>61</v>
      </c>
      <c r="AE94" s="69" t="s">
        <v>61</v>
      </c>
      <c r="AF94" s="68" t="s">
        <v>61</v>
      </c>
      <c r="AG94" s="68" t="s">
        <v>61</v>
      </c>
      <c r="AH94" s="68" t="s">
        <v>61</v>
      </c>
      <c r="AI94" s="70" t="s">
        <v>61</v>
      </c>
      <c r="AJ94" s="49" t="s">
        <v>61</v>
      </c>
      <c r="AK94" s="46"/>
    </row>
    <row r="95" ht="24.0" customHeight="1">
      <c r="A95" s="35"/>
      <c r="B95" s="36">
        <v>1.0</v>
      </c>
      <c r="C95" s="37" t="str">
        <f>IFERROR(__xludf.DUMMYFUNCTION("""COMPUTED_VALUE"""),"Carson Zagryn (XX) - '25  GA")</f>
        <v>Carson Zagryn (XX) - '25  GA</v>
      </c>
      <c r="D95" s="38" t="s">
        <v>598</v>
      </c>
      <c r="E95" s="51" t="s">
        <v>61</v>
      </c>
      <c r="F95" s="52"/>
      <c r="G95" s="53"/>
      <c r="H95" s="54" t="s">
        <v>599</v>
      </c>
      <c r="I95" s="55" t="s">
        <v>600</v>
      </c>
      <c r="J95" s="55">
        <v>2025.0</v>
      </c>
      <c r="K95" s="55" t="s">
        <v>410</v>
      </c>
      <c r="L95" s="57"/>
      <c r="M95" s="55"/>
      <c r="N95" s="55"/>
      <c r="O95" s="55"/>
      <c r="P95" s="55"/>
      <c r="Q95" s="55" t="s">
        <v>43</v>
      </c>
      <c r="R95" s="55" t="s">
        <v>601</v>
      </c>
      <c r="S95" s="58">
        <v>643.0</v>
      </c>
      <c r="T95" s="55"/>
      <c r="U95" s="55"/>
      <c r="V95" s="51"/>
      <c r="W95" s="74"/>
      <c r="X95" s="74"/>
      <c r="Y95" s="74"/>
      <c r="Z95" s="76"/>
      <c r="AA95" s="73" t="s">
        <v>602</v>
      </c>
      <c r="AB95" s="62" t="s">
        <v>61</v>
      </c>
      <c r="AC95" s="63" t="s">
        <v>61</v>
      </c>
      <c r="AD95" s="64" t="s">
        <v>61</v>
      </c>
      <c r="AE95" s="64" t="s">
        <v>61</v>
      </c>
      <c r="AF95" s="63" t="s">
        <v>61</v>
      </c>
      <c r="AG95" s="63" t="s">
        <v>61</v>
      </c>
      <c r="AH95" s="63" t="s">
        <v>61</v>
      </c>
      <c r="AI95" s="65" t="s">
        <v>61</v>
      </c>
      <c r="AJ95" s="66" t="s">
        <v>61</v>
      </c>
      <c r="AK95" s="60"/>
    </row>
    <row r="96" ht="24.0" customHeight="1">
      <c r="A96" s="35"/>
      <c r="B96" s="36">
        <v>1.0</v>
      </c>
      <c r="C96" s="37" t="str">
        <f>IFERROR(__xludf.DUMMYFUNCTION("""COMPUTED_VALUE"""),"Carter Brown (XX) - '25  AZ")</f>
        <v>Carter Brown (XX) - '25  AZ</v>
      </c>
      <c r="D96" s="89" t="s">
        <v>603</v>
      </c>
      <c r="E96" s="39" t="s">
        <v>61</v>
      </c>
      <c r="F96" s="40"/>
      <c r="G96" s="41"/>
      <c r="H96" s="42" t="s">
        <v>604</v>
      </c>
      <c r="I96" s="43" t="s">
        <v>605</v>
      </c>
      <c r="J96" s="43">
        <v>2025.0</v>
      </c>
      <c r="K96" s="43" t="s">
        <v>410</v>
      </c>
      <c r="L96" s="80"/>
      <c r="M96" s="43"/>
      <c r="N96" s="80"/>
      <c r="O96" s="43"/>
      <c r="P96" s="43"/>
      <c r="Q96" s="43" t="s">
        <v>319</v>
      </c>
      <c r="R96" s="43" t="s">
        <v>606</v>
      </c>
      <c r="S96" s="44"/>
      <c r="T96" s="43"/>
      <c r="U96" s="43"/>
      <c r="V96" s="39"/>
      <c r="W96" s="39"/>
      <c r="X96" s="39"/>
      <c r="Y96" s="39"/>
      <c r="Z96" s="46"/>
      <c r="AA96" s="47" t="s">
        <v>607</v>
      </c>
      <c r="AB96" s="48" t="s">
        <v>61</v>
      </c>
      <c r="AC96" s="68" t="s">
        <v>61</v>
      </c>
      <c r="AD96" s="69" t="s">
        <v>61</v>
      </c>
      <c r="AE96" s="69" t="s">
        <v>61</v>
      </c>
      <c r="AF96" s="68" t="s">
        <v>61</v>
      </c>
      <c r="AG96" s="68" t="s">
        <v>61</v>
      </c>
      <c r="AH96" s="68" t="s">
        <v>61</v>
      </c>
      <c r="AI96" s="70" t="s">
        <v>61</v>
      </c>
      <c r="AJ96" s="49" t="s">
        <v>61</v>
      </c>
      <c r="AK96" s="46"/>
    </row>
    <row r="97" ht="24.0" customHeight="1">
      <c r="A97" s="35"/>
      <c r="B97" s="36">
        <v>1.0</v>
      </c>
      <c r="C97" s="37" t="str">
        <f>IFERROR(__xludf.DUMMYFUNCTION("""COMPUTED_VALUE"""),"Carter Wilcox (XX) - '25  CO")</f>
        <v>Carter Wilcox (XX) - '25  CO</v>
      </c>
      <c r="D97" s="89" t="s">
        <v>608</v>
      </c>
      <c r="E97" s="51" t="s">
        <v>61</v>
      </c>
      <c r="F97" s="52"/>
      <c r="G97" s="53"/>
      <c r="H97" s="54" t="s">
        <v>604</v>
      </c>
      <c r="I97" s="55" t="s">
        <v>372</v>
      </c>
      <c r="J97" s="55">
        <v>2025.0</v>
      </c>
      <c r="K97" s="55" t="s">
        <v>410</v>
      </c>
      <c r="L97" s="57"/>
      <c r="M97" s="55"/>
      <c r="N97" s="55"/>
      <c r="O97" s="55"/>
      <c r="P97" s="55"/>
      <c r="Q97" s="55" t="s">
        <v>174</v>
      </c>
      <c r="R97" s="55" t="s">
        <v>609</v>
      </c>
      <c r="S97" s="58"/>
      <c r="T97" s="55"/>
      <c r="U97" s="55"/>
      <c r="V97" s="51"/>
      <c r="W97" s="51"/>
      <c r="X97" s="51"/>
      <c r="Y97" s="51"/>
      <c r="Z97" s="60"/>
      <c r="AA97" s="73" t="s">
        <v>610</v>
      </c>
      <c r="AB97" s="62" t="s">
        <v>61</v>
      </c>
      <c r="AC97" s="63" t="s">
        <v>61</v>
      </c>
      <c r="AD97" s="64" t="s">
        <v>61</v>
      </c>
      <c r="AE97" s="64" t="s">
        <v>61</v>
      </c>
      <c r="AF97" s="63" t="s">
        <v>61</v>
      </c>
      <c r="AG97" s="63" t="s">
        <v>61</v>
      </c>
      <c r="AH97" s="63" t="s">
        <v>61</v>
      </c>
      <c r="AI97" s="65" t="s">
        <v>61</v>
      </c>
      <c r="AJ97" s="66" t="s">
        <v>61</v>
      </c>
      <c r="AK97" s="60"/>
    </row>
    <row r="98" ht="24.0" customHeight="1">
      <c r="A98" s="35"/>
      <c r="B98" s="36">
        <v>1.0</v>
      </c>
      <c r="C98" s="37" t="str">
        <f>IFERROR(__xludf.DUMMYFUNCTION("""COMPUTED_VALUE"""),"Case Bosch (XX) - '25  MI")</f>
        <v>Case Bosch (XX) - '25  MI</v>
      </c>
      <c r="D98" s="89" t="s">
        <v>611</v>
      </c>
      <c r="E98" s="39" t="s">
        <v>61</v>
      </c>
      <c r="F98" s="40"/>
      <c r="G98" s="41"/>
      <c r="H98" s="42" t="s">
        <v>612</v>
      </c>
      <c r="I98" s="43" t="s">
        <v>613</v>
      </c>
      <c r="J98" s="43">
        <v>2025.0</v>
      </c>
      <c r="K98" s="43" t="s">
        <v>410</v>
      </c>
      <c r="L98" s="80"/>
      <c r="M98" s="43"/>
      <c r="N98" s="43"/>
      <c r="O98" s="43"/>
      <c r="P98" s="43"/>
      <c r="Q98" s="43" t="s">
        <v>614</v>
      </c>
      <c r="R98" s="43" t="s">
        <v>615</v>
      </c>
      <c r="S98" s="44"/>
      <c r="T98" s="43"/>
      <c r="U98" s="43"/>
      <c r="V98" s="81"/>
      <c r="W98" s="39"/>
      <c r="X98" s="81"/>
      <c r="Y98" s="81"/>
      <c r="Z98" s="82"/>
      <c r="AA98" s="47" t="s">
        <v>616</v>
      </c>
      <c r="AB98" s="48" t="s">
        <v>61</v>
      </c>
      <c r="AC98" s="68" t="s">
        <v>61</v>
      </c>
      <c r="AD98" s="69" t="s">
        <v>61</v>
      </c>
      <c r="AE98" s="69" t="s">
        <v>61</v>
      </c>
      <c r="AF98" s="68" t="s">
        <v>61</v>
      </c>
      <c r="AG98" s="68" t="s">
        <v>61</v>
      </c>
      <c r="AH98" s="68" t="s">
        <v>61</v>
      </c>
      <c r="AI98" s="70" t="s">
        <v>61</v>
      </c>
      <c r="AJ98" s="49" t="s">
        <v>61</v>
      </c>
      <c r="AK98" s="46"/>
    </row>
    <row r="99" ht="24.0" customHeight="1">
      <c r="A99" s="35"/>
      <c r="B99" s="36">
        <v>1.0</v>
      </c>
      <c r="C99" s="37" t="str">
        <f>IFERROR(__xludf.DUMMYFUNCTION("""COMPUTED_VALUE"""),"Casey Carpenter (XX) - '25  MD")</f>
        <v>Casey Carpenter (XX) - '25  MD</v>
      </c>
      <c r="D99" s="89" t="s">
        <v>617</v>
      </c>
      <c r="E99" s="51" t="s">
        <v>61</v>
      </c>
      <c r="F99" s="52"/>
      <c r="G99" s="53"/>
      <c r="H99" s="54" t="s">
        <v>618</v>
      </c>
      <c r="I99" s="55" t="s">
        <v>619</v>
      </c>
      <c r="J99" s="55">
        <v>2025.0</v>
      </c>
      <c r="K99" s="55" t="s">
        <v>410</v>
      </c>
      <c r="L99" s="57"/>
      <c r="M99" s="55"/>
      <c r="N99" s="57"/>
      <c r="O99" s="55"/>
      <c r="P99" s="55"/>
      <c r="Q99" s="55" t="s">
        <v>195</v>
      </c>
      <c r="R99" s="55" t="s">
        <v>620</v>
      </c>
      <c r="S99" s="58" t="s">
        <v>621</v>
      </c>
      <c r="T99" s="55"/>
      <c r="U99" s="55"/>
      <c r="V99" s="51"/>
      <c r="W99" s="51"/>
      <c r="X99" s="51"/>
      <c r="Y99" s="51"/>
      <c r="Z99" s="60"/>
      <c r="AA99" s="73" t="s">
        <v>622</v>
      </c>
      <c r="AB99" s="62" t="s">
        <v>61</v>
      </c>
      <c r="AC99" s="63" t="s">
        <v>61</v>
      </c>
      <c r="AD99" s="64" t="s">
        <v>61</v>
      </c>
      <c r="AE99" s="64" t="s">
        <v>61</v>
      </c>
      <c r="AF99" s="63" t="s">
        <v>61</v>
      </c>
      <c r="AG99" s="63" t="s">
        <v>61</v>
      </c>
      <c r="AH99" s="63" t="s">
        <v>61</v>
      </c>
      <c r="AI99" s="65" t="s">
        <v>61</v>
      </c>
      <c r="AJ99" s="66" t="s">
        <v>61</v>
      </c>
      <c r="AK99" s="60"/>
    </row>
    <row r="100" ht="24.0" customHeight="1">
      <c r="A100" s="35"/>
      <c r="B100" s="36">
        <v>1.0</v>
      </c>
      <c r="C100" s="37" t="str">
        <f>IFERROR(__xludf.DUMMYFUNCTION("""COMPUTED_VALUE"""),"Cash McDade (XX) - '25  VA")</f>
        <v>Cash McDade (XX) - '25  VA</v>
      </c>
      <c r="D100" s="38" t="s">
        <v>623</v>
      </c>
      <c r="E100" s="39" t="s">
        <v>61</v>
      </c>
      <c r="F100" s="40"/>
      <c r="G100" s="41"/>
      <c r="H100" s="42" t="s">
        <v>624</v>
      </c>
      <c r="I100" s="43" t="s">
        <v>625</v>
      </c>
      <c r="J100" s="43">
        <v>2025.0</v>
      </c>
      <c r="K100" s="43" t="s">
        <v>410</v>
      </c>
      <c r="L100" s="80"/>
      <c r="M100" s="43"/>
      <c r="N100" s="43"/>
      <c r="O100" s="43"/>
      <c r="P100" s="95"/>
      <c r="Q100" s="43" t="s">
        <v>125</v>
      </c>
      <c r="R100" s="43" t="s">
        <v>626</v>
      </c>
      <c r="S100" s="44"/>
      <c r="T100" s="43"/>
      <c r="U100" s="43"/>
      <c r="V100" s="94"/>
      <c r="W100" s="39"/>
      <c r="X100" s="94"/>
      <c r="Y100" s="94"/>
      <c r="Z100" s="46"/>
      <c r="AA100" s="47" t="s">
        <v>627</v>
      </c>
      <c r="AB100" s="48" t="s">
        <v>61</v>
      </c>
      <c r="AC100" s="68" t="s">
        <v>61</v>
      </c>
      <c r="AD100" s="69" t="s">
        <v>61</v>
      </c>
      <c r="AE100" s="69" t="s">
        <v>61</v>
      </c>
      <c r="AF100" s="68" t="s">
        <v>61</v>
      </c>
      <c r="AG100" s="68" t="s">
        <v>61</v>
      </c>
      <c r="AH100" s="68" t="s">
        <v>61</v>
      </c>
      <c r="AI100" s="70" t="s">
        <v>61</v>
      </c>
      <c r="AJ100" s="49" t="s">
        <v>61</v>
      </c>
      <c r="AK100" s="46"/>
    </row>
    <row r="101" ht="24.0" customHeight="1">
      <c r="A101" s="35"/>
      <c r="B101" s="36">
        <v>1.0</v>
      </c>
      <c r="C101" s="37" t="str">
        <f>IFERROR(__xludf.DUMMYFUNCTION("""COMPUTED_VALUE"""),"Charlie Slabaugh (XX) - '25  KY")</f>
        <v>Charlie Slabaugh (XX) - '25  KY</v>
      </c>
      <c r="D101" s="89" t="s">
        <v>628</v>
      </c>
      <c r="E101" s="51" t="s">
        <v>61</v>
      </c>
      <c r="F101" s="52"/>
      <c r="G101" s="53"/>
      <c r="H101" s="54" t="s">
        <v>629</v>
      </c>
      <c r="I101" s="55" t="s">
        <v>630</v>
      </c>
      <c r="J101" s="55">
        <v>2025.0</v>
      </c>
      <c r="K101" s="55" t="s">
        <v>410</v>
      </c>
      <c r="L101" s="55"/>
      <c r="M101" s="55"/>
      <c r="N101" s="55"/>
      <c r="O101" s="55"/>
      <c r="P101" s="55"/>
      <c r="Q101" s="55" t="s">
        <v>543</v>
      </c>
      <c r="R101" s="55" t="s">
        <v>631</v>
      </c>
      <c r="S101" s="58" t="s">
        <v>632</v>
      </c>
      <c r="T101" s="55"/>
      <c r="U101" s="55"/>
      <c r="V101" s="51"/>
      <c r="W101" s="51"/>
      <c r="X101" s="51"/>
      <c r="Y101" s="51"/>
      <c r="Z101" s="60"/>
      <c r="AA101" s="73" t="s">
        <v>633</v>
      </c>
      <c r="AB101" s="62" t="s">
        <v>61</v>
      </c>
      <c r="AC101" s="63" t="s">
        <v>61</v>
      </c>
      <c r="AD101" s="64" t="s">
        <v>61</v>
      </c>
      <c r="AE101" s="64" t="s">
        <v>61</v>
      </c>
      <c r="AF101" s="63" t="s">
        <v>61</v>
      </c>
      <c r="AG101" s="63" t="s">
        <v>61</v>
      </c>
      <c r="AH101" s="63" t="s">
        <v>61</v>
      </c>
      <c r="AI101" s="65" t="s">
        <v>61</v>
      </c>
      <c r="AJ101" s="66" t="s">
        <v>61</v>
      </c>
      <c r="AK101" s="60"/>
    </row>
    <row r="102" ht="24.0" customHeight="1">
      <c r="A102" s="93"/>
      <c r="B102" s="36">
        <v>1.0</v>
      </c>
      <c r="C102" s="37" t="str">
        <f>IFERROR(__xludf.DUMMYFUNCTION("""COMPUTED_VALUE"""),"Chase Johnston (XX) - '25  UT")</f>
        <v>Chase Johnston (XX) - '25  UT</v>
      </c>
      <c r="D102" s="38" t="s">
        <v>634</v>
      </c>
      <c r="E102" s="39" t="s">
        <v>61</v>
      </c>
      <c r="F102" s="40"/>
      <c r="G102" s="41"/>
      <c r="H102" s="42" t="s">
        <v>376</v>
      </c>
      <c r="I102" s="43" t="s">
        <v>635</v>
      </c>
      <c r="J102" s="43">
        <v>2025.0</v>
      </c>
      <c r="K102" s="43" t="s">
        <v>410</v>
      </c>
      <c r="L102" s="43"/>
      <c r="M102" s="43"/>
      <c r="N102" s="43"/>
      <c r="O102" s="43"/>
      <c r="P102" s="43"/>
      <c r="Q102" s="43" t="s">
        <v>636</v>
      </c>
      <c r="R102" s="43" t="s">
        <v>637</v>
      </c>
      <c r="S102" s="44"/>
      <c r="T102" s="43"/>
      <c r="U102" s="43"/>
      <c r="V102" s="39"/>
      <c r="W102" s="39"/>
      <c r="X102" s="39"/>
      <c r="Y102" s="39"/>
      <c r="Z102" s="46"/>
      <c r="AA102" s="47" t="s">
        <v>638</v>
      </c>
      <c r="AB102" s="48" t="s">
        <v>61</v>
      </c>
      <c r="AC102" s="68" t="s">
        <v>61</v>
      </c>
      <c r="AD102" s="69" t="s">
        <v>61</v>
      </c>
      <c r="AE102" s="69" t="s">
        <v>61</v>
      </c>
      <c r="AF102" s="68" t="s">
        <v>61</v>
      </c>
      <c r="AG102" s="68" t="s">
        <v>61</v>
      </c>
      <c r="AH102" s="68" t="s">
        <v>61</v>
      </c>
      <c r="AI102" s="70" t="s">
        <v>61</v>
      </c>
      <c r="AJ102" s="49" t="s">
        <v>61</v>
      </c>
      <c r="AK102" s="46"/>
    </row>
    <row r="103" ht="24.0" customHeight="1">
      <c r="A103" s="35"/>
      <c r="B103" s="36">
        <v>1.0</v>
      </c>
      <c r="C103" s="37" t="str">
        <f>IFERROR(__xludf.DUMMYFUNCTION("""COMPUTED_VALUE"""),"Chris Jalliet (XX) - '25  MA")</f>
        <v>Chris Jalliet (XX) - '25  MA</v>
      </c>
      <c r="D103" s="89" t="s">
        <v>639</v>
      </c>
      <c r="E103" s="51" t="s">
        <v>61</v>
      </c>
      <c r="F103" s="52"/>
      <c r="G103" s="53"/>
      <c r="H103" s="54" t="s">
        <v>640</v>
      </c>
      <c r="I103" s="55" t="s">
        <v>641</v>
      </c>
      <c r="J103" s="55">
        <v>2025.0</v>
      </c>
      <c r="K103" s="55" t="s">
        <v>410</v>
      </c>
      <c r="L103" s="57"/>
      <c r="M103" s="55"/>
      <c r="N103" s="55"/>
      <c r="O103" s="55"/>
      <c r="P103" s="57"/>
      <c r="Q103" s="55" t="s">
        <v>85</v>
      </c>
      <c r="R103" s="55" t="s">
        <v>642</v>
      </c>
      <c r="S103" s="58"/>
      <c r="T103" s="55"/>
      <c r="U103" s="55"/>
      <c r="V103" s="51"/>
      <c r="W103" s="51"/>
      <c r="X103" s="51" t="s">
        <v>643</v>
      </c>
      <c r="Y103" s="74"/>
      <c r="Z103" s="76"/>
      <c r="AA103" s="73" t="s">
        <v>644</v>
      </c>
      <c r="AB103" s="62" t="s">
        <v>61</v>
      </c>
      <c r="AC103" s="63" t="s">
        <v>61</v>
      </c>
      <c r="AD103" s="64" t="s">
        <v>61</v>
      </c>
      <c r="AE103" s="64" t="s">
        <v>61</v>
      </c>
      <c r="AF103" s="63" t="s">
        <v>61</v>
      </c>
      <c r="AG103" s="63" t="s">
        <v>61</v>
      </c>
      <c r="AH103" s="63" t="s">
        <v>61</v>
      </c>
      <c r="AI103" s="65" t="s">
        <v>61</v>
      </c>
      <c r="AJ103" s="66" t="s">
        <v>61</v>
      </c>
      <c r="AK103" s="60"/>
    </row>
    <row r="104" ht="24.0" customHeight="1">
      <c r="A104" s="35"/>
      <c r="B104" s="36">
        <v>1.0</v>
      </c>
      <c r="C104" s="37" t="str">
        <f>IFERROR(__xludf.DUMMYFUNCTION("""COMPUTED_VALUE"""),"Chris Jewett (XX) - '25  CO")</f>
        <v>Chris Jewett (XX) - '25  CO</v>
      </c>
      <c r="D104" s="38" t="s">
        <v>645</v>
      </c>
      <c r="E104" s="39" t="s">
        <v>61</v>
      </c>
      <c r="F104" s="40"/>
      <c r="G104" s="41"/>
      <c r="H104" s="42" t="s">
        <v>640</v>
      </c>
      <c r="I104" s="43" t="s">
        <v>646</v>
      </c>
      <c r="J104" s="43">
        <v>2025.0</v>
      </c>
      <c r="K104" s="43" t="s">
        <v>410</v>
      </c>
      <c r="L104" s="80"/>
      <c r="M104" s="43"/>
      <c r="N104" s="80"/>
      <c r="O104" s="43"/>
      <c r="P104" s="43"/>
      <c r="Q104" s="43" t="s">
        <v>174</v>
      </c>
      <c r="R104" s="43" t="s">
        <v>647</v>
      </c>
      <c r="S104" s="44"/>
      <c r="T104" s="43"/>
      <c r="U104" s="43"/>
      <c r="V104" s="101"/>
      <c r="W104" s="39"/>
      <c r="X104" s="39"/>
      <c r="Y104" s="39"/>
      <c r="Z104" s="46"/>
      <c r="AA104" s="47" t="s">
        <v>648</v>
      </c>
      <c r="AB104" s="48" t="s">
        <v>61</v>
      </c>
      <c r="AC104" s="68" t="s">
        <v>61</v>
      </c>
      <c r="AD104" s="69" t="s">
        <v>61</v>
      </c>
      <c r="AE104" s="69" t="s">
        <v>61</v>
      </c>
      <c r="AF104" s="68" t="s">
        <v>61</v>
      </c>
      <c r="AG104" s="68" t="s">
        <v>61</v>
      </c>
      <c r="AH104" s="68" t="s">
        <v>61</v>
      </c>
      <c r="AI104" s="70" t="s">
        <v>61</v>
      </c>
      <c r="AJ104" s="49" t="s">
        <v>61</v>
      </c>
      <c r="AK104" s="46"/>
    </row>
    <row r="105" ht="24.0" customHeight="1">
      <c r="A105" s="35"/>
      <c r="B105" s="36">
        <v>1.0</v>
      </c>
      <c r="C105" s="37" t="str">
        <f>IFERROR(__xludf.DUMMYFUNCTION("""COMPUTED_VALUE"""),"CJ Deckinga (XX) - '25  IL")</f>
        <v>CJ Deckinga (XX) - '25  IL</v>
      </c>
      <c r="D105" s="89" t="s">
        <v>649</v>
      </c>
      <c r="E105" s="51" t="s">
        <v>61</v>
      </c>
      <c r="F105" s="52"/>
      <c r="G105" s="53"/>
      <c r="H105" s="54" t="s">
        <v>650</v>
      </c>
      <c r="I105" s="55" t="s">
        <v>651</v>
      </c>
      <c r="J105" s="55">
        <v>2025.0</v>
      </c>
      <c r="K105" s="55" t="s">
        <v>410</v>
      </c>
      <c r="L105" s="55"/>
      <c r="M105" s="55"/>
      <c r="N105" s="55"/>
      <c r="O105" s="55"/>
      <c r="P105" s="55"/>
      <c r="Q105" s="55" t="s">
        <v>307</v>
      </c>
      <c r="R105" s="55" t="s">
        <v>652</v>
      </c>
      <c r="S105" s="58"/>
      <c r="T105" s="55"/>
      <c r="U105" s="55"/>
      <c r="V105" s="51"/>
      <c r="W105" s="51"/>
      <c r="X105" s="51"/>
      <c r="Y105" s="51"/>
      <c r="Z105" s="60"/>
      <c r="AA105" s="73" t="s">
        <v>653</v>
      </c>
      <c r="AB105" s="62" t="s">
        <v>61</v>
      </c>
      <c r="AC105" s="63" t="s">
        <v>61</v>
      </c>
      <c r="AD105" s="64" t="s">
        <v>61</v>
      </c>
      <c r="AE105" s="64" t="s">
        <v>61</v>
      </c>
      <c r="AF105" s="63" t="s">
        <v>61</v>
      </c>
      <c r="AG105" s="63" t="s">
        <v>61</v>
      </c>
      <c r="AH105" s="63" t="s">
        <v>61</v>
      </c>
      <c r="AI105" s="65" t="s">
        <v>61</v>
      </c>
      <c r="AJ105" s="66" t="s">
        <v>61</v>
      </c>
      <c r="AK105" s="60"/>
    </row>
    <row r="106" ht="24.0" customHeight="1">
      <c r="A106" s="71"/>
      <c r="B106" s="36">
        <v>1.0</v>
      </c>
      <c r="C106" s="37" t="str">
        <f>IFERROR(__xludf.DUMMYFUNCTION("""COMPUTED_VALUE"""),"Clayton Norrell (XX) - '25  TX")</f>
        <v>Clayton Norrell (XX) - '25  TX</v>
      </c>
      <c r="D106" s="38" t="s">
        <v>654</v>
      </c>
      <c r="E106" s="39" t="s">
        <v>61</v>
      </c>
      <c r="F106" s="40"/>
      <c r="G106" s="41"/>
      <c r="H106" s="42" t="s">
        <v>655</v>
      </c>
      <c r="I106" s="43" t="s">
        <v>656</v>
      </c>
      <c r="J106" s="43">
        <v>2025.0</v>
      </c>
      <c r="K106" s="43" t="s">
        <v>410</v>
      </c>
      <c r="L106" s="80"/>
      <c r="M106" s="43"/>
      <c r="N106" s="80"/>
      <c r="O106" s="43"/>
      <c r="P106" s="43"/>
      <c r="Q106" s="43" t="s">
        <v>180</v>
      </c>
      <c r="R106" s="43" t="s">
        <v>657</v>
      </c>
      <c r="S106" s="44"/>
      <c r="T106" s="43"/>
      <c r="U106" s="43"/>
      <c r="V106" s="39"/>
      <c r="W106" s="39"/>
      <c r="X106" s="39"/>
      <c r="Y106" s="39"/>
      <c r="Z106" s="46"/>
      <c r="AA106" s="47" t="s">
        <v>658</v>
      </c>
      <c r="AB106" s="48" t="s">
        <v>659</v>
      </c>
      <c r="AC106" s="68" t="s">
        <v>660</v>
      </c>
      <c r="AD106" s="69">
        <v>3.8</v>
      </c>
      <c r="AE106" s="69" t="s">
        <v>661</v>
      </c>
      <c r="AF106" s="68" t="s">
        <v>400</v>
      </c>
      <c r="AG106" s="68" t="s">
        <v>400</v>
      </c>
      <c r="AH106" s="68" t="s">
        <v>400</v>
      </c>
      <c r="AI106" s="70" t="s">
        <v>400</v>
      </c>
      <c r="AJ106" s="49" t="s">
        <v>61</v>
      </c>
      <c r="AK106" s="46"/>
    </row>
    <row r="107" ht="24.0" customHeight="1">
      <c r="A107" s="35"/>
      <c r="B107" s="36">
        <v>1.0</v>
      </c>
      <c r="C107" s="37" t="str">
        <f>IFERROR(__xludf.DUMMYFUNCTION("""COMPUTED_VALUE"""),"Cole Lasher (XX) - '25 COF FL")</f>
        <v>Cole Lasher (XX) - '25 COF FL</v>
      </c>
      <c r="D107" s="38" t="s">
        <v>662</v>
      </c>
      <c r="E107" s="51" t="s">
        <v>103</v>
      </c>
      <c r="F107" s="52"/>
      <c r="G107" s="53"/>
      <c r="H107" s="54" t="s">
        <v>324</v>
      </c>
      <c r="I107" s="55" t="s">
        <v>663</v>
      </c>
      <c r="J107" s="55">
        <v>2025.0</v>
      </c>
      <c r="K107" s="55" t="s">
        <v>410</v>
      </c>
      <c r="L107" s="57"/>
      <c r="M107" s="55" t="s">
        <v>42</v>
      </c>
      <c r="N107" s="57"/>
      <c r="O107" s="55"/>
      <c r="P107" s="55"/>
      <c r="Q107" s="55" t="s">
        <v>66</v>
      </c>
      <c r="R107" s="55" t="s">
        <v>664</v>
      </c>
      <c r="S107" s="58" t="s">
        <v>665</v>
      </c>
      <c r="T107" s="55"/>
      <c r="U107" s="55"/>
      <c r="V107" s="51"/>
      <c r="W107" s="51"/>
      <c r="X107" s="51"/>
      <c r="Y107" s="51"/>
      <c r="Z107" s="60"/>
      <c r="AA107" s="73" t="s">
        <v>666</v>
      </c>
      <c r="AB107" s="62" t="s">
        <v>667</v>
      </c>
      <c r="AC107" s="63" t="s">
        <v>668</v>
      </c>
      <c r="AD107" s="64">
        <v>4.2</v>
      </c>
      <c r="AE107" s="64" t="s">
        <v>669</v>
      </c>
      <c r="AF107" s="63" t="s">
        <v>670</v>
      </c>
      <c r="AG107" s="63" t="s">
        <v>671</v>
      </c>
      <c r="AH107" s="63" t="s">
        <v>60</v>
      </c>
      <c r="AI107" s="65" t="s">
        <v>60</v>
      </c>
      <c r="AJ107" s="66" t="s">
        <v>61</v>
      </c>
      <c r="AK107" s="60"/>
    </row>
    <row r="108" ht="24.0" customHeight="1">
      <c r="A108" s="35"/>
      <c r="B108" s="36">
        <v>1.0</v>
      </c>
      <c r="C108" s="37" t="str">
        <f>IFERROR(__xludf.DUMMYFUNCTION("""COMPUTED_VALUE"""),"Colin Oates (XX) - '25 COF GA")</f>
        <v>Colin Oates (XX) - '25 COF GA</v>
      </c>
      <c r="D108" s="38" t="s">
        <v>672</v>
      </c>
      <c r="E108" s="39" t="s">
        <v>103</v>
      </c>
      <c r="F108" s="40"/>
      <c r="G108" s="41"/>
      <c r="H108" s="42" t="s">
        <v>673</v>
      </c>
      <c r="I108" s="43" t="s">
        <v>674</v>
      </c>
      <c r="J108" s="43">
        <v>2025.0</v>
      </c>
      <c r="K108" s="43" t="s">
        <v>410</v>
      </c>
      <c r="L108" s="43"/>
      <c r="M108" s="43" t="s">
        <v>42</v>
      </c>
      <c r="N108" s="43"/>
      <c r="O108" s="43"/>
      <c r="P108" s="43"/>
      <c r="Q108" s="43" t="s">
        <v>43</v>
      </c>
      <c r="R108" s="43" t="s">
        <v>675</v>
      </c>
      <c r="S108" s="44"/>
      <c r="T108" s="43"/>
      <c r="U108" s="43"/>
      <c r="V108" s="39"/>
      <c r="W108" s="39"/>
      <c r="X108" s="39"/>
      <c r="Y108" s="39"/>
      <c r="Z108" s="46"/>
      <c r="AA108" s="47" t="s">
        <v>676</v>
      </c>
      <c r="AB108" s="48" t="s">
        <v>61</v>
      </c>
      <c r="AC108" s="68" t="s">
        <v>61</v>
      </c>
      <c r="AD108" s="69" t="s">
        <v>61</v>
      </c>
      <c r="AE108" s="69" t="s">
        <v>61</v>
      </c>
      <c r="AF108" s="68" t="s">
        <v>61</v>
      </c>
      <c r="AG108" s="68" t="s">
        <v>61</v>
      </c>
      <c r="AH108" s="68" t="s">
        <v>61</v>
      </c>
      <c r="AI108" s="70" t="s">
        <v>61</v>
      </c>
      <c r="AJ108" s="49" t="s">
        <v>61</v>
      </c>
      <c r="AK108" s="46"/>
    </row>
    <row r="109" ht="24.0" customHeight="1">
      <c r="A109" s="35"/>
      <c r="B109" s="36">
        <v>1.0</v>
      </c>
      <c r="C109" s="37" t="str">
        <f>IFERROR(__xludf.DUMMYFUNCTION("""COMPUTED_VALUE"""),"Colton Bordick (XX) - '25  MD")</f>
        <v>Colton Bordick (XX) - '25  MD</v>
      </c>
      <c r="D109" s="38" t="s">
        <v>677</v>
      </c>
      <c r="E109" s="51" t="s">
        <v>61</v>
      </c>
      <c r="F109" s="52"/>
      <c r="G109" s="53"/>
      <c r="H109" s="54" t="s">
        <v>233</v>
      </c>
      <c r="I109" s="55" t="s">
        <v>678</v>
      </c>
      <c r="J109" s="55">
        <v>2025.0</v>
      </c>
      <c r="K109" s="55" t="s">
        <v>410</v>
      </c>
      <c r="L109" s="55"/>
      <c r="M109" s="55"/>
      <c r="N109" s="55"/>
      <c r="O109" s="55"/>
      <c r="P109" s="55"/>
      <c r="Q109" s="55" t="s">
        <v>195</v>
      </c>
      <c r="R109" s="55" t="s">
        <v>679</v>
      </c>
      <c r="S109" s="58"/>
      <c r="T109" s="55"/>
      <c r="U109" s="55"/>
      <c r="V109" s="102"/>
      <c r="W109" s="102"/>
      <c r="X109" s="103">
        <v>45972.0</v>
      </c>
      <c r="Y109" s="102"/>
      <c r="Z109" s="60"/>
      <c r="AA109" s="73" t="s">
        <v>680</v>
      </c>
      <c r="AB109" s="62" t="s">
        <v>61</v>
      </c>
      <c r="AC109" s="63" t="s">
        <v>61</v>
      </c>
      <c r="AD109" s="64" t="s">
        <v>61</v>
      </c>
      <c r="AE109" s="64" t="s">
        <v>61</v>
      </c>
      <c r="AF109" s="63" t="s">
        <v>61</v>
      </c>
      <c r="AG109" s="63" t="s">
        <v>61</v>
      </c>
      <c r="AH109" s="63" t="s">
        <v>61</v>
      </c>
      <c r="AI109" s="65" t="s">
        <v>61</v>
      </c>
      <c r="AJ109" s="66" t="s">
        <v>61</v>
      </c>
      <c r="AK109" s="60"/>
    </row>
    <row r="110" ht="24.0" customHeight="1">
      <c r="A110" s="35"/>
      <c r="B110" s="36">
        <v>1.0</v>
      </c>
      <c r="C110" s="37" t="str">
        <f>IFERROR(__xludf.DUMMYFUNCTION("""COMPUTED_VALUE"""),"Connor Cavo (XX) - '25  FL")</f>
        <v>Connor Cavo (XX) - '25  FL</v>
      </c>
      <c r="D110" s="38" t="s">
        <v>681</v>
      </c>
      <c r="E110" s="39" t="s">
        <v>61</v>
      </c>
      <c r="F110" s="40"/>
      <c r="G110" s="41"/>
      <c r="H110" s="42" t="s">
        <v>682</v>
      </c>
      <c r="I110" s="43" t="s">
        <v>683</v>
      </c>
      <c r="J110" s="43">
        <v>2025.0</v>
      </c>
      <c r="K110" s="43" t="s">
        <v>410</v>
      </c>
      <c r="L110" s="43"/>
      <c r="M110" s="43"/>
      <c r="N110" s="43"/>
      <c r="O110" s="43"/>
      <c r="P110" s="43"/>
      <c r="Q110" s="43" t="s">
        <v>66</v>
      </c>
      <c r="R110" s="43" t="s">
        <v>684</v>
      </c>
      <c r="S110" s="44" t="s">
        <v>685</v>
      </c>
      <c r="T110" s="43"/>
      <c r="U110" s="43"/>
      <c r="V110" s="39"/>
      <c r="W110" s="39"/>
      <c r="X110" s="39"/>
      <c r="Y110" s="39"/>
      <c r="Z110" s="46"/>
      <c r="AA110" s="47" t="s">
        <v>686</v>
      </c>
      <c r="AB110" s="48" t="s">
        <v>687</v>
      </c>
      <c r="AC110" s="68" t="s">
        <v>688</v>
      </c>
      <c r="AD110" s="69">
        <v>4.14</v>
      </c>
      <c r="AE110" s="69" t="s">
        <v>689</v>
      </c>
      <c r="AF110" s="68" t="s">
        <v>690</v>
      </c>
      <c r="AG110" s="68" t="s">
        <v>81</v>
      </c>
      <c r="AH110" s="68" t="s">
        <v>81</v>
      </c>
      <c r="AI110" s="70" t="s">
        <v>81</v>
      </c>
      <c r="AJ110" s="49" t="s">
        <v>61</v>
      </c>
      <c r="AK110" s="46"/>
    </row>
    <row r="111" ht="24.0" customHeight="1">
      <c r="A111" s="35"/>
      <c r="B111" s="36">
        <v>1.0</v>
      </c>
      <c r="C111" s="37" t="str">
        <f>IFERROR(__xludf.DUMMYFUNCTION("""COMPUTED_VALUE"""),"Connor Larkin (XX) - '25  CO")</f>
        <v>Connor Larkin (XX) - '25  CO</v>
      </c>
      <c r="D111" s="38" t="s">
        <v>691</v>
      </c>
      <c r="E111" s="51" t="s">
        <v>61</v>
      </c>
      <c r="F111" s="52"/>
      <c r="G111" s="53"/>
      <c r="H111" s="54" t="s">
        <v>682</v>
      </c>
      <c r="I111" s="55" t="s">
        <v>692</v>
      </c>
      <c r="J111" s="55">
        <v>2025.0</v>
      </c>
      <c r="K111" s="55" t="s">
        <v>410</v>
      </c>
      <c r="L111" s="55"/>
      <c r="M111" s="55"/>
      <c r="N111" s="55"/>
      <c r="O111" s="55"/>
      <c r="P111" s="55"/>
      <c r="Q111" s="55" t="s">
        <v>174</v>
      </c>
      <c r="R111" s="55" t="s">
        <v>693</v>
      </c>
      <c r="S111" s="58"/>
      <c r="T111" s="55"/>
      <c r="U111" s="55"/>
      <c r="V111" s="51"/>
      <c r="W111" s="51"/>
      <c r="X111" s="51"/>
      <c r="Y111" s="51"/>
      <c r="Z111" s="60"/>
      <c r="AA111" s="73" t="s">
        <v>694</v>
      </c>
      <c r="AB111" s="62" t="s">
        <v>61</v>
      </c>
      <c r="AC111" s="63" t="s">
        <v>61</v>
      </c>
      <c r="AD111" s="64" t="s">
        <v>61</v>
      </c>
      <c r="AE111" s="64" t="s">
        <v>61</v>
      </c>
      <c r="AF111" s="63" t="s">
        <v>61</v>
      </c>
      <c r="AG111" s="63" t="s">
        <v>61</v>
      </c>
      <c r="AH111" s="63" t="s">
        <v>61</v>
      </c>
      <c r="AI111" s="65" t="s">
        <v>61</v>
      </c>
      <c r="AJ111" s="66" t="s">
        <v>61</v>
      </c>
      <c r="AK111" s="60"/>
    </row>
    <row r="112" ht="24.0" customHeight="1">
      <c r="A112" s="35"/>
      <c r="B112" s="36">
        <v>1.0</v>
      </c>
      <c r="C112" s="37" t="str">
        <f>IFERROR(__xludf.DUMMYFUNCTION("""COMPUTED_VALUE"""),"Cooper Auschwitz (XX) - '25  OK")</f>
        <v>Cooper Auschwitz (XX) - '25  OK</v>
      </c>
      <c r="D112" s="38" t="s">
        <v>695</v>
      </c>
      <c r="E112" s="39" t="s">
        <v>61</v>
      </c>
      <c r="F112" s="40"/>
      <c r="G112" s="41"/>
      <c r="H112" s="42" t="s">
        <v>696</v>
      </c>
      <c r="I112" s="43" t="s">
        <v>697</v>
      </c>
      <c r="J112" s="43">
        <v>2025.0</v>
      </c>
      <c r="K112" s="43" t="s">
        <v>410</v>
      </c>
      <c r="L112" s="43"/>
      <c r="M112" s="43"/>
      <c r="N112" s="43"/>
      <c r="O112" s="43"/>
      <c r="P112" s="43"/>
      <c r="Q112" s="43" t="s">
        <v>698</v>
      </c>
      <c r="R112" s="43" t="s">
        <v>699</v>
      </c>
      <c r="S112" s="44"/>
      <c r="T112" s="43"/>
      <c r="U112" s="43"/>
      <c r="V112" s="39"/>
      <c r="W112" s="39"/>
      <c r="X112" s="39"/>
      <c r="Y112" s="39"/>
      <c r="Z112" s="46"/>
      <c r="AA112" s="47" t="s">
        <v>700</v>
      </c>
      <c r="AB112" s="48" t="s">
        <v>61</v>
      </c>
      <c r="AC112" s="68" t="s">
        <v>61</v>
      </c>
      <c r="AD112" s="69" t="s">
        <v>61</v>
      </c>
      <c r="AE112" s="69" t="s">
        <v>61</v>
      </c>
      <c r="AF112" s="68" t="s">
        <v>61</v>
      </c>
      <c r="AG112" s="68" t="s">
        <v>61</v>
      </c>
      <c r="AH112" s="68" t="s">
        <v>61</v>
      </c>
      <c r="AI112" s="70" t="s">
        <v>61</v>
      </c>
      <c r="AJ112" s="49" t="s">
        <v>61</v>
      </c>
      <c r="AK112" s="46"/>
    </row>
    <row r="113" ht="24.0" customHeight="1">
      <c r="A113" s="71"/>
      <c r="B113" s="36">
        <v>1.0</v>
      </c>
      <c r="C113" s="37" t="str">
        <f>IFERROR(__xludf.DUMMYFUNCTION("""COMPUTED_VALUE"""),"Cooper Teeples (XX) - '25  GA")</f>
        <v>Cooper Teeples (XX) - '25  GA</v>
      </c>
      <c r="D113" s="38" t="s">
        <v>701</v>
      </c>
      <c r="E113" s="51" t="s">
        <v>61</v>
      </c>
      <c r="F113" s="52"/>
      <c r="G113" s="53"/>
      <c r="H113" s="54" t="s">
        <v>696</v>
      </c>
      <c r="I113" s="55" t="s">
        <v>702</v>
      </c>
      <c r="J113" s="55">
        <v>2025.0</v>
      </c>
      <c r="K113" s="55" t="s">
        <v>410</v>
      </c>
      <c r="L113" s="57"/>
      <c r="M113" s="55"/>
      <c r="N113" s="55"/>
      <c r="O113" s="55"/>
      <c r="P113" s="57"/>
      <c r="Q113" s="55" t="s">
        <v>43</v>
      </c>
      <c r="R113" s="55"/>
      <c r="S113" s="58"/>
      <c r="T113" s="55"/>
      <c r="U113" s="55"/>
      <c r="V113" s="100"/>
      <c r="W113" s="51"/>
      <c r="X113" s="100"/>
      <c r="Y113" s="100"/>
      <c r="Z113" s="76"/>
      <c r="AA113" s="73" t="s">
        <v>703</v>
      </c>
      <c r="AB113" s="62" t="s">
        <v>61</v>
      </c>
      <c r="AC113" s="63" t="s">
        <v>61</v>
      </c>
      <c r="AD113" s="64" t="s">
        <v>61</v>
      </c>
      <c r="AE113" s="64" t="s">
        <v>61</v>
      </c>
      <c r="AF113" s="63" t="s">
        <v>61</v>
      </c>
      <c r="AG113" s="63" t="s">
        <v>61</v>
      </c>
      <c r="AH113" s="63" t="s">
        <v>61</v>
      </c>
      <c r="AI113" s="65" t="s">
        <v>61</v>
      </c>
      <c r="AJ113" s="66" t="s">
        <v>61</v>
      </c>
      <c r="AK113" s="60"/>
    </row>
    <row r="114" ht="24.0" customHeight="1">
      <c r="A114" s="71"/>
      <c r="B114" s="36">
        <v>1.0</v>
      </c>
      <c r="C114" s="37" t="str">
        <f>IFERROR(__xludf.DUMMYFUNCTION("""COMPUTED_VALUE"""),"Danny Wallace (XX) - '25  NE")</f>
        <v>Danny Wallace (XX) - '25  NE</v>
      </c>
      <c r="D114" s="38" t="s">
        <v>704</v>
      </c>
      <c r="E114" s="39" t="s">
        <v>61</v>
      </c>
      <c r="F114" s="40"/>
      <c r="G114" s="41"/>
      <c r="H114" s="42" t="s">
        <v>705</v>
      </c>
      <c r="I114" s="43" t="s">
        <v>706</v>
      </c>
      <c r="J114" s="43">
        <v>2025.0</v>
      </c>
      <c r="K114" s="43" t="s">
        <v>410</v>
      </c>
      <c r="L114" s="80"/>
      <c r="M114" s="43"/>
      <c r="N114" s="80"/>
      <c r="O114" s="43"/>
      <c r="P114" s="43"/>
      <c r="Q114" s="43" t="s">
        <v>519</v>
      </c>
      <c r="R114" s="43" t="s">
        <v>707</v>
      </c>
      <c r="S114" s="44"/>
      <c r="T114" s="43"/>
      <c r="U114" s="43"/>
      <c r="V114" s="39"/>
      <c r="W114" s="39"/>
      <c r="X114" s="39"/>
      <c r="Y114" s="39"/>
      <c r="Z114" s="46"/>
      <c r="AA114" s="47" t="s">
        <v>708</v>
      </c>
      <c r="AB114" s="48" t="s">
        <v>61</v>
      </c>
      <c r="AC114" s="68" t="s">
        <v>61</v>
      </c>
      <c r="AD114" s="69" t="s">
        <v>61</v>
      </c>
      <c r="AE114" s="69" t="s">
        <v>61</v>
      </c>
      <c r="AF114" s="68" t="s">
        <v>61</v>
      </c>
      <c r="AG114" s="68" t="s">
        <v>61</v>
      </c>
      <c r="AH114" s="68" t="s">
        <v>61</v>
      </c>
      <c r="AI114" s="70" t="s">
        <v>61</v>
      </c>
      <c r="AJ114" s="49" t="s">
        <v>61</v>
      </c>
      <c r="AK114" s="46"/>
    </row>
    <row r="115" ht="24.0" customHeight="1">
      <c r="A115" s="35"/>
      <c r="B115" s="36">
        <v>1.0</v>
      </c>
      <c r="C115" s="37" t="str">
        <f>IFERROR(__xludf.DUMMYFUNCTION("""COMPUTED_VALUE"""),"David Pengel (XX) - '25  CT")</f>
        <v>David Pengel (XX) - '25  CT</v>
      </c>
      <c r="D115" s="38" t="s">
        <v>709</v>
      </c>
      <c r="E115" s="51" t="s">
        <v>61</v>
      </c>
      <c r="F115" s="52"/>
      <c r="G115" s="53"/>
      <c r="H115" s="54" t="s">
        <v>710</v>
      </c>
      <c r="I115" s="55" t="s">
        <v>711</v>
      </c>
      <c r="J115" s="55">
        <v>2025.0</v>
      </c>
      <c r="K115" s="55" t="s">
        <v>410</v>
      </c>
      <c r="L115" s="55"/>
      <c r="M115" s="55"/>
      <c r="N115" s="55"/>
      <c r="O115" s="55"/>
      <c r="P115" s="55"/>
      <c r="Q115" s="55" t="s">
        <v>160</v>
      </c>
      <c r="R115" s="55" t="s">
        <v>712</v>
      </c>
      <c r="S115" s="58"/>
      <c r="T115" s="55"/>
      <c r="U115" s="55"/>
      <c r="V115" s="51"/>
      <c r="W115" s="51"/>
      <c r="X115" s="51"/>
      <c r="Y115" s="51"/>
      <c r="Z115" s="60"/>
      <c r="AA115" s="73" t="s">
        <v>713</v>
      </c>
      <c r="AB115" s="62" t="s">
        <v>61</v>
      </c>
      <c r="AC115" s="63" t="s">
        <v>61</v>
      </c>
      <c r="AD115" s="64" t="s">
        <v>61</v>
      </c>
      <c r="AE115" s="64" t="s">
        <v>61</v>
      </c>
      <c r="AF115" s="63" t="s">
        <v>61</v>
      </c>
      <c r="AG115" s="63" t="s">
        <v>61</v>
      </c>
      <c r="AH115" s="63" t="s">
        <v>61</v>
      </c>
      <c r="AI115" s="65" t="s">
        <v>61</v>
      </c>
      <c r="AJ115" s="66" t="s">
        <v>61</v>
      </c>
      <c r="AK115" s="60"/>
    </row>
    <row r="116" ht="24.0" customHeight="1">
      <c r="A116" s="35"/>
      <c r="B116" s="36">
        <v>1.0</v>
      </c>
      <c r="C116" s="37" t="str">
        <f>IFERROR(__xludf.DUMMYFUNCTION("""COMPUTED_VALUE"""),"Dean Livingston (XX) - '25  GA")</f>
        <v>Dean Livingston (XX) - '25  GA</v>
      </c>
      <c r="D116" s="38" t="s">
        <v>714</v>
      </c>
      <c r="E116" s="39" t="s">
        <v>61</v>
      </c>
      <c r="F116" s="40"/>
      <c r="G116" s="41"/>
      <c r="H116" s="42" t="s">
        <v>715</v>
      </c>
      <c r="I116" s="43" t="s">
        <v>716</v>
      </c>
      <c r="J116" s="43">
        <v>2025.0</v>
      </c>
      <c r="K116" s="43" t="s">
        <v>410</v>
      </c>
      <c r="L116" s="80"/>
      <c r="M116" s="43"/>
      <c r="N116" s="80"/>
      <c r="O116" s="43"/>
      <c r="P116" s="43"/>
      <c r="Q116" s="43" t="s">
        <v>43</v>
      </c>
      <c r="R116" s="43" t="s">
        <v>717</v>
      </c>
      <c r="S116" s="44"/>
      <c r="T116" s="43"/>
      <c r="U116" s="43"/>
      <c r="V116" s="39"/>
      <c r="W116" s="39"/>
      <c r="X116" s="39"/>
      <c r="Y116" s="39"/>
      <c r="Z116" s="46"/>
      <c r="AA116" s="47" t="s">
        <v>718</v>
      </c>
      <c r="AB116" s="48" t="s">
        <v>61</v>
      </c>
      <c r="AC116" s="68" t="s">
        <v>61</v>
      </c>
      <c r="AD116" s="69" t="s">
        <v>61</v>
      </c>
      <c r="AE116" s="69" t="s">
        <v>61</v>
      </c>
      <c r="AF116" s="68" t="s">
        <v>61</v>
      </c>
      <c r="AG116" s="68" t="s">
        <v>61</v>
      </c>
      <c r="AH116" s="68" t="s">
        <v>61</v>
      </c>
      <c r="AI116" s="70" t="s">
        <v>61</v>
      </c>
      <c r="AJ116" s="49" t="s">
        <v>61</v>
      </c>
      <c r="AK116" s="46"/>
    </row>
    <row r="117" ht="24.0" customHeight="1">
      <c r="A117" s="35"/>
      <c r="B117" s="36">
        <v>1.0</v>
      </c>
      <c r="C117" s="37" t="str">
        <f>IFERROR(__xludf.DUMMYFUNCTION("""COMPUTED_VALUE"""),"Drew Rybinksi (XX) - '25  MD")</f>
        <v>Drew Rybinksi (XX) - '25  MD</v>
      </c>
      <c r="D117" s="89" t="s">
        <v>719</v>
      </c>
      <c r="E117" s="51" t="s">
        <v>61</v>
      </c>
      <c r="F117" s="52"/>
      <c r="G117" s="53"/>
      <c r="H117" s="54" t="s">
        <v>249</v>
      </c>
      <c r="I117" s="55" t="s">
        <v>720</v>
      </c>
      <c r="J117" s="55">
        <v>2025.0</v>
      </c>
      <c r="K117" s="55" t="s">
        <v>410</v>
      </c>
      <c r="L117" s="55"/>
      <c r="M117" s="55"/>
      <c r="N117" s="55"/>
      <c r="O117" s="55"/>
      <c r="P117" s="55"/>
      <c r="Q117" s="55" t="s">
        <v>195</v>
      </c>
      <c r="R117" s="55" t="s">
        <v>721</v>
      </c>
      <c r="S117" s="58"/>
      <c r="T117" s="55"/>
      <c r="U117" s="55"/>
      <c r="V117" s="51"/>
      <c r="W117" s="51"/>
      <c r="X117" s="75">
        <v>45909.0</v>
      </c>
      <c r="Y117" s="51"/>
      <c r="Z117" s="60"/>
      <c r="AA117" s="73" t="s">
        <v>722</v>
      </c>
      <c r="AB117" s="62" t="s">
        <v>61</v>
      </c>
      <c r="AC117" s="63" t="s">
        <v>61</v>
      </c>
      <c r="AD117" s="64" t="s">
        <v>61</v>
      </c>
      <c r="AE117" s="64" t="s">
        <v>61</v>
      </c>
      <c r="AF117" s="63" t="s">
        <v>61</v>
      </c>
      <c r="AG117" s="63" t="s">
        <v>61</v>
      </c>
      <c r="AH117" s="63" t="s">
        <v>61</v>
      </c>
      <c r="AI117" s="65" t="s">
        <v>61</v>
      </c>
      <c r="AJ117" s="66" t="s">
        <v>61</v>
      </c>
      <c r="AK117" s="60"/>
    </row>
    <row r="118" ht="24.0" customHeight="1">
      <c r="A118" s="35"/>
      <c r="B118" s="36">
        <v>1.0</v>
      </c>
      <c r="C118" s="37" t="str">
        <f>IFERROR(__xludf.DUMMYFUNCTION("""COMPUTED_VALUE"""),"Eamon O'Gorman (XX) - '25  NE")</f>
        <v>Eamon O'Gorman (XX) - '25  NE</v>
      </c>
      <c r="D118" s="89" t="s">
        <v>723</v>
      </c>
      <c r="E118" s="39" t="s">
        <v>61</v>
      </c>
      <c r="F118" s="40"/>
      <c r="G118" s="41"/>
      <c r="H118" s="42" t="s">
        <v>724</v>
      </c>
      <c r="I118" s="43" t="s">
        <v>725</v>
      </c>
      <c r="J118" s="43">
        <v>2025.0</v>
      </c>
      <c r="K118" s="43" t="s">
        <v>410</v>
      </c>
      <c r="L118" s="43"/>
      <c r="M118" s="43"/>
      <c r="N118" s="43"/>
      <c r="O118" s="43"/>
      <c r="P118" s="43"/>
      <c r="Q118" s="43" t="s">
        <v>519</v>
      </c>
      <c r="R118" s="43" t="s">
        <v>726</v>
      </c>
      <c r="S118" s="44"/>
      <c r="T118" s="43"/>
      <c r="U118" s="43"/>
      <c r="V118" s="39"/>
      <c r="W118" s="39"/>
      <c r="X118" s="39"/>
      <c r="Y118" s="39"/>
      <c r="Z118" s="46"/>
      <c r="AA118" s="47" t="s">
        <v>727</v>
      </c>
      <c r="AB118" s="48" t="s">
        <v>61</v>
      </c>
      <c r="AC118" s="68" t="s">
        <v>61</v>
      </c>
      <c r="AD118" s="69" t="s">
        <v>61</v>
      </c>
      <c r="AE118" s="69" t="s">
        <v>61</v>
      </c>
      <c r="AF118" s="68" t="s">
        <v>61</v>
      </c>
      <c r="AG118" s="68" t="s">
        <v>61</v>
      </c>
      <c r="AH118" s="68" t="s">
        <v>61</v>
      </c>
      <c r="AI118" s="70" t="s">
        <v>61</v>
      </c>
      <c r="AJ118" s="49" t="s">
        <v>61</v>
      </c>
      <c r="AK118" s="46"/>
    </row>
    <row r="119" ht="24.0" customHeight="1">
      <c r="A119" s="35"/>
      <c r="B119" s="36">
        <v>1.0</v>
      </c>
      <c r="C119" s="37" t="str">
        <f>IFERROR(__xludf.DUMMYFUNCTION("""COMPUTED_VALUE"""),"Easton Nelms (XX) - '25 MINF AL")</f>
        <v>Easton Nelms (XX) - '25 MINF AL</v>
      </c>
      <c r="D119" s="89" t="s">
        <v>728</v>
      </c>
      <c r="E119" s="51" t="s">
        <v>48</v>
      </c>
      <c r="F119" s="52"/>
      <c r="G119" s="53"/>
      <c r="H119" s="54" t="s">
        <v>729</v>
      </c>
      <c r="I119" s="55" t="s">
        <v>730</v>
      </c>
      <c r="J119" s="55">
        <v>2025.0</v>
      </c>
      <c r="K119" s="55" t="s">
        <v>410</v>
      </c>
      <c r="L119" s="55"/>
      <c r="M119" s="55" t="s">
        <v>51</v>
      </c>
      <c r="N119" s="55"/>
      <c r="O119" s="55"/>
      <c r="P119" s="57"/>
      <c r="Q119" s="55" t="s">
        <v>731</v>
      </c>
      <c r="R119" s="55" t="s">
        <v>732</v>
      </c>
      <c r="S119" s="58" t="s">
        <v>733</v>
      </c>
      <c r="T119" s="55"/>
      <c r="U119" s="55"/>
      <c r="V119" s="51"/>
      <c r="W119" s="51"/>
      <c r="X119" s="51"/>
      <c r="Y119" s="51"/>
      <c r="Z119" s="104"/>
      <c r="AA119" s="73" t="s">
        <v>734</v>
      </c>
      <c r="AB119" s="62" t="s">
        <v>735</v>
      </c>
      <c r="AC119" s="63" t="s">
        <v>736</v>
      </c>
      <c r="AD119" s="64" t="s">
        <v>737</v>
      </c>
      <c r="AE119" s="64" t="s">
        <v>738</v>
      </c>
      <c r="AF119" s="63" t="s">
        <v>739</v>
      </c>
      <c r="AG119" s="63"/>
      <c r="AH119" s="63"/>
      <c r="AI119" s="65"/>
      <c r="AJ119" s="105" t="s">
        <v>61</v>
      </c>
      <c r="AK119" s="76"/>
    </row>
    <row r="120" ht="24.0" customHeight="1">
      <c r="A120" s="35"/>
      <c r="B120" s="36">
        <v>1.0</v>
      </c>
      <c r="C120" s="37" t="str">
        <f>IFERROR(__xludf.DUMMYFUNCTION("""COMPUTED_VALUE"""),"Eddie Marshall (XX) - '25  FL")</f>
        <v>Eddie Marshall (XX) - '25  FL</v>
      </c>
      <c r="D120" s="89" t="s">
        <v>740</v>
      </c>
      <c r="E120" s="39" t="s">
        <v>61</v>
      </c>
      <c r="F120" s="40"/>
      <c r="G120" s="41"/>
      <c r="H120" s="42" t="s">
        <v>741</v>
      </c>
      <c r="I120" s="43" t="s">
        <v>742</v>
      </c>
      <c r="J120" s="43">
        <v>2025.0</v>
      </c>
      <c r="K120" s="43" t="s">
        <v>410</v>
      </c>
      <c r="L120" s="43"/>
      <c r="M120" s="43"/>
      <c r="N120" s="43"/>
      <c r="O120" s="43"/>
      <c r="P120" s="43"/>
      <c r="Q120" s="43" t="s">
        <v>66</v>
      </c>
      <c r="R120" s="43" t="s">
        <v>743</v>
      </c>
      <c r="S120" s="44" t="s">
        <v>744</v>
      </c>
      <c r="T120" s="43"/>
      <c r="U120" s="43"/>
      <c r="V120" s="39"/>
      <c r="W120" s="39"/>
      <c r="X120" s="39"/>
      <c r="Y120" s="39"/>
      <c r="Z120" s="46"/>
      <c r="AA120" s="47" t="s">
        <v>745</v>
      </c>
      <c r="AB120" s="48" t="s">
        <v>61</v>
      </c>
      <c r="AC120" s="68" t="s">
        <v>61</v>
      </c>
      <c r="AD120" s="69" t="s">
        <v>61</v>
      </c>
      <c r="AE120" s="69" t="s">
        <v>61</v>
      </c>
      <c r="AF120" s="68" t="s">
        <v>61</v>
      </c>
      <c r="AG120" s="68" t="s">
        <v>61</v>
      </c>
      <c r="AH120" s="68" t="s">
        <v>61</v>
      </c>
      <c r="AI120" s="70" t="s">
        <v>61</v>
      </c>
      <c r="AJ120" s="49" t="s">
        <v>61</v>
      </c>
      <c r="AK120" s="46"/>
    </row>
    <row r="121" ht="24.0" customHeight="1">
      <c r="A121" s="35"/>
      <c r="B121" s="36">
        <v>1.0</v>
      </c>
      <c r="C121" s="37" t="str">
        <f>IFERROR(__xludf.DUMMYFUNCTION("""COMPUTED_VALUE"""),"Eli Blair (XX) - '25  FL")</f>
        <v>Eli Blair (XX) - '25  FL</v>
      </c>
      <c r="D121" s="89" t="s">
        <v>746</v>
      </c>
      <c r="E121" s="51" t="s">
        <v>61</v>
      </c>
      <c r="F121" s="52"/>
      <c r="G121" s="53"/>
      <c r="H121" s="54" t="s">
        <v>747</v>
      </c>
      <c r="I121" s="55" t="s">
        <v>748</v>
      </c>
      <c r="J121" s="55">
        <v>2025.0</v>
      </c>
      <c r="K121" s="55" t="s">
        <v>410</v>
      </c>
      <c r="L121" s="57"/>
      <c r="M121" s="55"/>
      <c r="N121" s="55"/>
      <c r="O121" s="55"/>
      <c r="P121" s="55"/>
      <c r="Q121" s="55" t="s">
        <v>66</v>
      </c>
      <c r="R121" s="55" t="s">
        <v>749</v>
      </c>
      <c r="S121" s="58"/>
      <c r="T121" s="55"/>
      <c r="U121" s="55"/>
      <c r="V121" s="51"/>
      <c r="W121" s="51"/>
      <c r="X121" s="51"/>
      <c r="Y121" s="51"/>
      <c r="Z121" s="60"/>
      <c r="AA121" s="73" t="s">
        <v>750</v>
      </c>
      <c r="AB121" s="62" t="s">
        <v>61</v>
      </c>
      <c r="AC121" s="63" t="s">
        <v>61</v>
      </c>
      <c r="AD121" s="64" t="s">
        <v>61</v>
      </c>
      <c r="AE121" s="64" t="s">
        <v>61</v>
      </c>
      <c r="AF121" s="63" t="s">
        <v>61</v>
      </c>
      <c r="AG121" s="63" t="s">
        <v>61</v>
      </c>
      <c r="AH121" s="63" t="s">
        <v>61</v>
      </c>
      <c r="AI121" s="65" t="s">
        <v>61</v>
      </c>
      <c r="AJ121" s="66" t="s">
        <v>61</v>
      </c>
      <c r="AK121" s="60"/>
    </row>
    <row r="122" ht="24.0" customHeight="1">
      <c r="A122" s="35"/>
      <c r="B122" s="36">
        <v>1.0</v>
      </c>
      <c r="C122" s="37" t="str">
        <f>IFERROR(__xludf.DUMMYFUNCTION("""COMPUTED_VALUE"""),"Eli Gerdes (XX) - '25  GA")</f>
        <v>Eli Gerdes (XX) - '25  GA</v>
      </c>
      <c r="D122" s="38" t="s">
        <v>751</v>
      </c>
      <c r="E122" s="39" t="s">
        <v>61</v>
      </c>
      <c r="F122" s="40"/>
      <c r="G122" s="41"/>
      <c r="H122" s="42" t="s">
        <v>747</v>
      </c>
      <c r="I122" s="43" t="s">
        <v>752</v>
      </c>
      <c r="J122" s="43">
        <v>2025.0</v>
      </c>
      <c r="K122" s="43" t="s">
        <v>410</v>
      </c>
      <c r="L122" s="43"/>
      <c r="M122" s="43"/>
      <c r="N122" s="43"/>
      <c r="O122" s="43"/>
      <c r="P122" s="43"/>
      <c r="Q122" s="43" t="s">
        <v>43</v>
      </c>
      <c r="R122" s="43" t="s">
        <v>302</v>
      </c>
      <c r="S122" s="44"/>
      <c r="T122" s="43"/>
      <c r="U122" s="43"/>
      <c r="V122" s="39"/>
      <c r="W122" s="39"/>
      <c r="X122" s="39"/>
      <c r="Y122" s="39"/>
      <c r="Z122" s="46"/>
      <c r="AA122" s="47" t="s">
        <v>753</v>
      </c>
      <c r="AB122" s="48" t="s">
        <v>61</v>
      </c>
      <c r="AC122" s="68" t="s">
        <v>61</v>
      </c>
      <c r="AD122" s="69" t="s">
        <v>61</v>
      </c>
      <c r="AE122" s="69" t="s">
        <v>61</v>
      </c>
      <c r="AF122" s="68" t="s">
        <v>61</v>
      </c>
      <c r="AG122" s="68" t="s">
        <v>61</v>
      </c>
      <c r="AH122" s="68" t="s">
        <v>61</v>
      </c>
      <c r="AI122" s="70" t="s">
        <v>61</v>
      </c>
      <c r="AJ122" s="49" t="s">
        <v>61</v>
      </c>
      <c r="AK122" s="46"/>
    </row>
    <row r="123" ht="24.0" customHeight="1">
      <c r="A123" s="35"/>
      <c r="B123" s="36">
        <v>1.0</v>
      </c>
      <c r="C123" s="37" t="str">
        <f>IFERROR(__xludf.DUMMYFUNCTION("""COMPUTED_VALUE"""),"Ethan Barnes (XX) - '25  MS")</f>
        <v>Ethan Barnes (XX) - '25  MS</v>
      </c>
      <c r="D123" s="89" t="s">
        <v>754</v>
      </c>
      <c r="E123" s="51" t="s">
        <v>61</v>
      </c>
      <c r="F123" s="52"/>
      <c r="G123" s="53"/>
      <c r="H123" s="54" t="s">
        <v>266</v>
      </c>
      <c r="I123" s="55" t="s">
        <v>755</v>
      </c>
      <c r="J123" s="55">
        <v>2025.0</v>
      </c>
      <c r="K123" s="55" t="s">
        <v>410</v>
      </c>
      <c r="L123" s="55"/>
      <c r="M123" s="55"/>
      <c r="N123" s="55"/>
      <c r="O123" s="55"/>
      <c r="P123" s="55"/>
      <c r="Q123" s="55" t="s">
        <v>483</v>
      </c>
      <c r="R123" s="55" t="s">
        <v>756</v>
      </c>
      <c r="S123" s="58"/>
      <c r="T123" s="55"/>
      <c r="U123" s="55"/>
      <c r="V123" s="51"/>
      <c r="W123" s="51"/>
      <c r="X123" s="51"/>
      <c r="Y123" s="51"/>
      <c r="Z123" s="60"/>
      <c r="AA123" s="73" t="s">
        <v>757</v>
      </c>
      <c r="AB123" s="62" t="s">
        <v>61</v>
      </c>
      <c r="AC123" s="63" t="s">
        <v>61</v>
      </c>
      <c r="AD123" s="64" t="s">
        <v>61</v>
      </c>
      <c r="AE123" s="64" t="s">
        <v>61</v>
      </c>
      <c r="AF123" s="63" t="s">
        <v>61</v>
      </c>
      <c r="AG123" s="63" t="s">
        <v>61</v>
      </c>
      <c r="AH123" s="63" t="s">
        <v>61</v>
      </c>
      <c r="AI123" s="65" t="s">
        <v>61</v>
      </c>
      <c r="AJ123" s="66" t="s">
        <v>61</v>
      </c>
      <c r="AK123" s="60"/>
    </row>
    <row r="124" ht="24.0" customHeight="1">
      <c r="A124" s="35"/>
      <c r="B124" s="36">
        <v>1.0</v>
      </c>
      <c r="C124" s="37" t="str">
        <f>IFERROR(__xludf.DUMMYFUNCTION("""COMPUTED_VALUE"""),"Ethan Dorsey (XX) - '25  IN")</f>
        <v>Ethan Dorsey (XX) - '25  IN</v>
      </c>
      <c r="D124" s="38" t="s">
        <v>758</v>
      </c>
      <c r="E124" s="39" t="s">
        <v>61</v>
      </c>
      <c r="F124" s="40"/>
      <c r="G124" s="41"/>
      <c r="H124" s="42" t="s">
        <v>266</v>
      </c>
      <c r="I124" s="43" t="s">
        <v>759</v>
      </c>
      <c r="J124" s="43">
        <v>2025.0</v>
      </c>
      <c r="K124" s="43" t="s">
        <v>410</v>
      </c>
      <c r="L124" s="43"/>
      <c r="M124" s="43"/>
      <c r="N124" s="43"/>
      <c r="O124" s="43"/>
      <c r="P124" s="43"/>
      <c r="Q124" s="43" t="s">
        <v>153</v>
      </c>
      <c r="R124" s="43" t="s">
        <v>760</v>
      </c>
      <c r="S124" s="44" t="s">
        <v>761</v>
      </c>
      <c r="T124" s="43"/>
      <c r="U124" s="43"/>
      <c r="V124" s="39"/>
      <c r="W124" s="39"/>
      <c r="X124" s="39"/>
      <c r="Y124" s="39"/>
      <c r="Z124" s="46"/>
      <c r="AA124" s="47" t="s">
        <v>762</v>
      </c>
      <c r="AB124" s="48" t="s">
        <v>61</v>
      </c>
      <c r="AC124" s="68" t="s">
        <v>61</v>
      </c>
      <c r="AD124" s="69" t="s">
        <v>61</v>
      </c>
      <c r="AE124" s="69" t="s">
        <v>61</v>
      </c>
      <c r="AF124" s="68" t="s">
        <v>61</v>
      </c>
      <c r="AG124" s="68" t="s">
        <v>61</v>
      </c>
      <c r="AH124" s="68" t="s">
        <v>61</v>
      </c>
      <c r="AI124" s="70" t="s">
        <v>61</v>
      </c>
      <c r="AJ124" s="49" t="s">
        <v>61</v>
      </c>
      <c r="AK124" s="46"/>
    </row>
    <row r="125" ht="24.0" customHeight="1">
      <c r="A125" s="35"/>
      <c r="B125" s="36">
        <v>1.0</v>
      </c>
      <c r="C125" s="37" t="str">
        <f>IFERROR(__xludf.DUMMYFUNCTION("""COMPUTED_VALUE"""),"Ethan Iacono (XX) - '25  UT")</f>
        <v>Ethan Iacono (XX) - '25  UT</v>
      </c>
      <c r="D125" s="38" t="s">
        <v>763</v>
      </c>
      <c r="E125" s="51" t="s">
        <v>61</v>
      </c>
      <c r="F125" s="52"/>
      <c r="G125" s="53"/>
      <c r="H125" s="54" t="s">
        <v>266</v>
      </c>
      <c r="I125" s="55" t="s">
        <v>764</v>
      </c>
      <c r="J125" s="55">
        <v>2025.0</v>
      </c>
      <c r="K125" s="55" t="s">
        <v>410</v>
      </c>
      <c r="L125" s="55"/>
      <c r="M125" s="55"/>
      <c r="N125" s="55"/>
      <c r="O125" s="55"/>
      <c r="P125" s="55"/>
      <c r="Q125" s="55" t="s">
        <v>636</v>
      </c>
      <c r="R125" s="55" t="s">
        <v>765</v>
      </c>
      <c r="S125" s="58"/>
      <c r="T125" s="55"/>
      <c r="U125" s="55"/>
      <c r="V125" s="51"/>
      <c r="W125" s="51"/>
      <c r="X125" s="51"/>
      <c r="Y125" s="51"/>
      <c r="Z125" s="60"/>
      <c r="AA125" s="73" t="s">
        <v>766</v>
      </c>
      <c r="AB125" s="62" t="s">
        <v>61</v>
      </c>
      <c r="AC125" s="63" t="s">
        <v>61</v>
      </c>
      <c r="AD125" s="64" t="s">
        <v>61</v>
      </c>
      <c r="AE125" s="64" t="s">
        <v>61</v>
      </c>
      <c r="AF125" s="63" t="s">
        <v>61</v>
      </c>
      <c r="AG125" s="63" t="s">
        <v>61</v>
      </c>
      <c r="AH125" s="63" t="s">
        <v>61</v>
      </c>
      <c r="AI125" s="65" t="s">
        <v>61</v>
      </c>
      <c r="AJ125" s="66" t="s">
        <v>61</v>
      </c>
      <c r="AK125" s="60"/>
    </row>
    <row r="126" ht="24.0" customHeight="1">
      <c r="A126" s="35"/>
      <c r="B126" s="36">
        <v>1.0</v>
      </c>
      <c r="C126" s="37" t="str">
        <f>IFERROR(__xludf.DUMMYFUNCTION("""COMPUTED_VALUE"""),"Finn Haines (XX) - '25  NJ")</f>
        <v>Finn Haines (XX) - '25  NJ</v>
      </c>
      <c r="D126" s="89" t="s">
        <v>767</v>
      </c>
      <c r="E126" s="39" t="s">
        <v>61</v>
      </c>
      <c r="F126" s="40"/>
      <c r="G126" s="41"/>
      <c r="H126" s="42" t="s">
        <v>768</v>
      </c>
      <c r="I126" s="43" t="s">
        <v>769</v>
      </c>
      <c r="J126" s="43">
        <v>2025.0</v>
      </c>
      <c r="K126" s="43" t="s">
        <v>410</v>
      </c>
      <c r="L126" s="43"/>
      <c r="M126" s="43"/>
      <c r="N126" s="43"/>
      <c r="O126" s="43"/>
      <c r="P126" s="43"/>
      <c r="Q126" s="43" t="s">
        <v>502</v>
      </c>
      <c r="R126" s="43" t="s">
        <v>770</v>
      </c>
      <c r="S126" s="44"/>
      <c r="T126" s="43"/>
      <c r="U126" s="43"/>
      <c r="V126" s="39"/>
      <c r="W126" s="39"/>
      <c r="X126" s="67">
        <v>45402.0</v>
      </c>
      <c r="Y126" s="39"/>
      <c r="Z126" s="46"/>
      <c r="AA126" s="47" t="s">
        <v>771</v>
      </c>
      <c r="AB126" s="48" t="s">
        <v>61</v>
      </c>
      <c r="AC126" s="68" t="s">
        <v>61</v>
      </c>
      <c r="AD126" s="69" t="s">
        <v>61</v>
      </c>
      <c r="AE126" s="69" t="s">
        <v>61</v>
      </c>
      <c r="AF126" s="68" t="s">
        <v>61</v>
      </c>
      <c r="AG126" s="68" t="s">
        <v>61</v>
      </c>
      <c r="AH126" s="68" t="s">
        <v>61</v>
      </c>
      <c r="AI126" s="70" t="s">
        <v>61</v>
      </c>
      <c r="AJ126" s="49" t="s">
        <v>61</v>
      </c>
      <c r="AK126" s="46"/>
    </row>
    <row r="127" ht="24.0" customHeight="1">
      <c r="A127" s="35"/>
      <c r="B127" s="36">
        <v>1.0</v>
      </c>
      <c r="C127" s="37" t="str">
        <f>IFERROR(__xludf.DUMMYFUNCTION("""COMPUTED_VALUE"""),"Gabe Mathison (XX) - '25 CF IN")</f>
        <v>Gabe Mathison (XX) - '25 CF IN</v>
      </c>
      <c r="D127" s="38" t="s">
        <v>772</v>
      </c>
      <c r="E127" s="51" t="s">
        <v>103</v>
      </c>
      <c r="F127" s="52"/>
      <c r="G127" s="53"/>
      <c r="H127" s="54" t="s">
        <v>272</v>
      </c>
      <c r="I127" s="55" t="s">
        <v>773</v>
      </c>
      <c r="J127" s="55">
        <v>2025.0</v>
      </c>
      <c r="K127" s="55" t="s">
        <v>410</v>
      </c>
      <c r="L127" s="55"/>
      <c r="M127" s="55" t="s">
        <v>106</v>
      </c>
      <c r="N127" s="55"/>
      <c r="O127" s="55"/>
      <c r="P127" s="55"/>
      <c r="Q127" s="55" t="s">
        <v>153</v>
      </c>
      <c r="R127" s="55" t="s">
        <v>774</v>
      </c>
      <c r="S127" s="58" t="s">
        <v>761</v>
      </c>
      <c r="T127" s="55"/>
      <c r="U127" s="55"/>
      <c r="V127" s="51"/>
      <c r="W127" s="51"/>
      <c r="X127" s="51"/>
      <c r="Y127" s="51"/>
      <c r="Z127" s="60"/>
      <c r="AA127" s="73" t="s">
        <v>775</v>
      </c>
      <c r="AB127" s="62" t="s">
        <v>776</v>
      </c>
      <c r="AC127" s="63"/>
      <c r="AD127" s="64" t="s">
        <v>777</v>
      </c>
      <c r="AE127" s="64" t="s">
        <v>778</v>
      </c>
      <c r="AF127" s="63" t="s">
        <v>779</v>
      </c>
      <c r="AG127" s="63" t="s">
        <v>60</v>
      </c>
      <c r="AH127" s="63" t="s">
        <v>60</v>
      </c>
      <c r="AI127" s="65" t="s">
        <v>81</v>
      </c>
      <c r="AJ127" s="66" t="s">
        <v>61</v>
      </c>
      <c r="AK127" s="60"/>
    </row>
    <row r="128" ht="24.0" customHeight="1">
      <c r="A128" s="35"/>
      <c r="B128" s="36">
        <v>1.0</v>
      </c>
      <c r="C128" s="37" t="str">
        <f>IFERROR(__xludf.DUMMYFUNCTION("""COMPUTED_VALUE"""),"Garrett Hutchins (XX) - '25  TX")</f>
        <v>Garrett Hutchins (XX) - '25  TX</v>
      </c>
      <c r="D128" s="38" t="s">
        <v>780</v>
      </c>
      <c r="E128" s="39" t="s">
        <v>61</v>
      </c>
      <c r="F128" s="40"/>
      <c r="G128" s="41"/>
      <c r="H128" s="42" t="s">
        <v>781</v>
      </c>
      <c r="I128" s="43" t="s">
        <v>782</v>
      </c>
      <c r="J128" s="43">
        <v>2025.0</v>
      </c>
      <c r="K128" s="43" t="s">
        <v>410</v>
      </c>
      <c r="L128" s="43"/>
      <c r="M128" s="43"/>
      <c r="N128" s="43"/>
      <c r="O128" s="43"/>
      <c r="P128" s="43"/>
      <c r="Q128" s="43" t="s">
        <v>180</v>
      </c>
      <c r="R128" s="43" t="s">
        <v>783</v>
      </c>
      <c r="S128" s="44" t="s">
        <v>784</v>
      </c>
      <c r="T128" s="43"/>
      <c r="U128" s="43"/>
      <c r="V128" s="39"/>
      <c r="W128" s="39"/>
      <c r="X128" s="39" t="s">
        <v>785</v>
      </c>
      <c r="Y128" s="39"/>
      <c r="Z128" s="46"/>
      <c r="AA128" s="47" t="s">
        <v>786</v>
      </c>
      <c r="AB128" s="48" t="s">
        <v>61</v>
      </c>
      <c r="AC128" s="68" t="s">
        <v>61</v>
      </c>
      <c r="AD128" s="69" t="s">
        <v>61</v>
      </c>
      <c r="AE128" s="69" t="s">
        <v>61</v>
      </c>
      <c r="AF128" s="68" t="s">
        <v>61</v>
      </c>
      <c r="AG128" s="68" t="s">
        <v>61</v>
      </c>
      <c r="AH128" s="68" t="s">
        <v>61</v>
      </c>
      <c r="AI128" s="70" t="s">
        <v>61</v>
      </c>
      <c r="AJ128" s="49" t="s">
        <v>61</v>
      </c>
      <c r="AK128" s="46"/>
    </row>
    <row r="129" ht="24.0" customHeight="1">
      <c r="A129" s="35"/>
      <c r="B129" s="36">
        <v>1.0</v>
      </c>
      <c r="C129" s="37" t="str">
        <f>IFERROR(__xludf.DUMMYFUNCTION("""COMPUTED_VALUE"""),"Gavin Aldredge (XX) - '25  NC")</f>
        <v>Gavin Aldredge (XX) - '25  NC</v>
      </c>
      <c r="D129" s="38" t="s">
        <v>787</v>
      </c>
      <c r="E129" s="51" t="s">
        <v>61</v>
      </c>
      <c r="F129" s="52"/>
      <c r="G129" s="53"/>
      <c r="H129" s="54" t="s">
        <v>788</v>
      </c>
      <c r="I129" s="55" t="s">
        <v>789</v>
      </c>
      <c r="J129" s="55">
        <v>2025.0</v>
      </c>
      <c r="K129" s="55" t="s">
        <v>410</v>
      </c>
      <c r="L129" s="55"/>
      <c r="M129" s="55"/>
      <c r="N129" s="55"/>
      <c r="O129" s="55"/>
      <c r="P129" s="55"/>
      <c r="Q129" s="55" t="s">
        <v>73</v>
      </c>
      <c r="R129" s="55" t="s">
        <v>474</v>
      </c>
      <c r="S129" s="58" t="s">
        <v>790</v>
      </c>
      <c r="T129" s="55"/>
      <c r="U129" s="55"/>
      <c r="V129" s="51"/>
      <c r="W129" s="51"/>
      <c r="X129" s="51"/>
      <c r="Y129" s="51"/>
      <c r="Z129" s="60"/>
      <c r="AA129" s="73" t="s">
        <v>791</v>
      </c>
      <c r="AB129" s="62" t="s">
        <v>61</v>
      </c>
      <c r="AC129" s="63" t="s">
        <v>61</v>
      </c>
      <c r="AD129" s="64" t="s">
        <v>61</v>
      </c>
      <c r="AE129" s="64" t="s">
        <v>61</v>
      </c>
      <c r="AF129" s="63" t="s">
        <v>61</v>
      </c>
      <c r="AG129" s="63" t="s">
        <v>61</v>
      </c>
      <c r="AH129" s="63" t="s">
        <v>61</v>
      </c>
      <c r="AI129" s="65" t="s">
        <v>61</v>
      </c>
      <c r="AJ129" s="66" t="s">
        <v>61</v>
      </c>
      <c r="AK129" s="60"/>
    </row>
    <row r="130" ht="24.0" customHeight="1">
      <c r="A130" s="35"/>
      <c r="B130" s="36">
        <v>1.0</v>
      </c>
      <c r="C130" s="37" t="str">
        <f>IFERROR(__xludf.DUMMYFUNCTION("""COMPUTED_VALUE"""),"Grant Gardner (XX) - '25  NC")</f>
        <v>Grant Gardner (XX) - '25  NC</v>
      </c>
      <c r="D130" s="89" t="s">
        <v>792</v>
      </c>
      <c r="E130" s="39" t="s">
        <v>61</v>
      </c>
      <c r="F130" s="40"/>
      <c r="G130" s="41"/>
      <c r="H130" s="42" t="s">
        <v>278</v>
      </c>
      <c r="I130" s="43" t="s">
        <v>793</v>
      </c>
      <c r="J130" s="43">
        <v>2025.0</v>
      </c>
      <c r="K130" s="43" t="s">
        <v>410</v>
      </c>
      <c r="L130" s="43"/>
      <c r="M130" s="43"/>
      <c r="N130" s="43"/>
      <c r="O130" s="43"/>
      <c r="P130" s="43"/>
      <c r="Q130" s="43" t="s">
        <v>73</v>
      </c>
      <c r="R130" s="43" t="s">
        <v>794</v>
      </c>
      <c r="S130" s="44"/>
      <c r="T130" s="43"/>
      <c r="U130" s="43"/>
      <c r="V130" s="39"/>
      <c r="W130" s="39"/>
      <c r="X130" s="45">
        <v>45952.0</v>
      </c>
      <c r="Y130" s="39"/>
      <c r="Z130" s="46"/>
      <c r="AA130" s="47" t="s">
        <v>795</v>
      </c>
      <c r="AB130" s="48" t="s">
        <v>61</v>
      </c>
      <c r="AC130" s="68" t="s">
        <v>61</v>
      </c>
      <c r="AD130" s="69" t="s">
        <v>61</v>
      </c>
      <c r="AE130" s="69" t="s">
        <v>61</v>
      </c>
      <c r="AF130" s="68" t="s">
        <v>61</v>
      </c>
      <c r="AG130" s="68" t="s">
        <v>61</v>
      </c>
      <c r="AH130" s="68" t="s">
        <v>61</v>
      </c>
      <c r="AI130" s="70" t="s">
        <v>61</v>
      </c>
      <c r="AJ130" s="49" t="s">
        <v>61</v>
      </c>
      <c r="AK130" s="46"/>
    </row>
    <row r="131" ht="24.0" customHeight="1">
      <c r="A131" s="71"/>
      <c r="B131" s="36">
        <v>1.0</v>
      </c>
      <c r="C131" s="37" t="str">
        <f>IFERROR(__xludf.DUMMYFUNCTION("""COMPUTED_VALUE"""),"Grant Largen (XX) - '25  GA")</f>
        <v>Grant Largen (XX) - '25  GA</v>
      </c>
      <c r="D131" s="38" t="s">
        <v>796</v>
      </c>
      <c r="E131" s="51" t="s">
        <v>61</v>
      </c>
      <c r="F131" s="52"/>
      <c r="G131" s="53"/>
      <c r="H131" s="54" t="s">
        <v>278</v>
      </c>
      <c r="I131" s="55" t="s">
        <v>797</v>
      </c>
      <c r="J131" s="55">
        <v>2025.0</v>
      </c>
      <c r="K131" s="55" t="s">
        <v>410</v>
      </c>
      <c r="L131" s="55"/>
      <c r="M131" s="55"/>
      <c r="N131" s="55"/>
      <c r="O131" s="55"/>
      <c r="P131" s="55"/>
      <c r="Q131" s="55" t="s">
        <v>43</v>
      </c>
      <c r="R131" s="55">
        <v>643.0</v>
      </c>
      <c r="S131" s="58"/>
      <c r="T131" s="55"/>
      <c r="U131" s="55"/>
      <c r="V131" s="51"/>
      <c r="W131" s="51"/>
      <c r="X131" s="51"/>
      <c r="Y131" s="51"/>
      <c r="Z131" s="60"/>
      <c r="AA131" s="73" t="s">
        <v>798</v>
      </c>
      <c r="AB131" s="62" t="s">
        <v>61</v>
      </c>
      <c r="AC131" s="63" t="s">
        <v>61</v>
      </c>
      <c r="AD131" s="64" t="s">
        <v>61</v>
      </c>
      <c r="AE131" s="64" t="s">
        <v>61</v>
      </c>
      <c r="AF131" s="63" t="s">
        <v>61</v>
      </c>
      <c r="AG131" s="63" t="s">
        <v>61</v>
      </c>
      <c r="AH131" s="63" t="s">
        <v>61</v>
      </c>
      <c r="AI131" s="65" t="s">
        <v>61</v>
      </c>
      <c r="AJ131" s="66" t="s">
        <v>61</v>
      </c>
      <c r="AK131" s="60"/>
    </row>
    <row r="132" ht="24.0" customHeight="1">
      <c r="A132" s="35"/>
      <c r="B132" s="36">
        <v>1.0</v>
      </c>
      <c r="C132" s="37" t="str">
        <f>IFERROR(__xludf.DUMMYFUNCTION("""COMPUTED_VALUE"""),"Gregory Quintana (XX) - '25  VA")</f>
        <v>Gregory Quintana (XX) - '25  VA</v>
      </c>
      <c r="D132" s="89" t="s">
        <v>799</v>
      </c>
      <c r="E132" s="39" t="s">
        <v>61</v>
      </c>
      <c r="F132" s="40"/>
      <c r="G132" s="41"/>
      <c r="H132" s="42" t="s">
        <v>800</v>
      </c>
      <c r="I132" s="43" t="s">
        <v>801</v>
      </c>
      <c r="J132" s="43">
        <v>2025.0</v>
      </c>
      <c r="K132" s="43" t="s">
        <v>410</v>
      </c>
      <c r="L132" s="80"/>
      <c r="M132" s="43"/>
      <c r="N132" s="43"/>
      <c r="O132" s="43"/>
      <c r="P132" s="43"/>
      <c r="Q132" s="43" t="s">
        <v>125</v>
      </c>
      <c r="R132" s="43" t="s">
        <v>802</v>
      </c>
      <c r="S132" s="44"/>
      <c r="T132" s="43"/>
      <c r="U132" s="43"/>
      <c r="V132" s="81"/>
      <c r="W132" s="39"/>
      <c r="X132" s="81"/>
      <c r="Y132" s="81"/>
      <c r="Z132" s="82"/>
      <c r="AA132" s="47" t="s">
        <v>803</v>
      </c>
      <c r="AB132" s="48" t="s">
        <v>61</v>
      </c>
      <c r="AC132" s="68" t="s">
        <v>61</v>
      </c>
      <c r="AD132" s="69" t="s">
        <v>61</v>
      </c>
      <c r="AE132" s="69" t="s">
        <v>61</v>
      </c>
      <c r="AF132" s="68" t="s">
        <v>61</v>
      </c>
      <c r="AG132" s="68" t="s">
        <v>61</v>
      </c>
      <c r="AH132" s="68" t="s">
        <v>61</v>
      </c>
      <c r="AI132" s="70" t="s">
        <v>61</v>
      </c>
      <c r="AJ132" s="49" t="s">
        <v>61</v>
      </c>
      <c r="AK132" s="46"/>
    </row>
    <row r="133" ht="24.0" customHeight="1">
      <c r="A133" s="35"/>
      <c r="B133" s="36">
        <v>1.0</v>
      </c>
      <c r="C133" s="37" t="str">
        <f>IFERROR(__xludf.DUMMYFUNCTION("""COMPUTED_VALUE"""),"Hayden Willey (XX) - '25 UTL TX")</f>
        <v>Hayden Willey (XX) - '25 UTL TX</v>
      </c>
      <c r="D133" s="89" t="s">
        <v>804</v>
      </c>
      <c r="E133" s="51"/>
      <c r="F133" s="52"/>
      <c r="G133" s="53"/>
      <c r="H133" s="54" t="s">
        <v>805</v>
      </c>
      <c r="I133" s="55" t="s">
        <v>806</v>
      </c>
      <c r="J133" s="55">
        <v>2025.0</v>
      </c>
      <c r="K133" s="55" t="s">
        <v>410</v>
      </c>
      <c r="L133" s="55"/>
      <c r="M133" s="55" t="s">
        <v>807</v>
      </c>
      <c r="N133" s="55"/>
      <c r="O133" s="55"/>
      <c r="P133" s="55"/>
      <c r="Q133" s="55" t="s">
        <v>180</v>
      </c>
      <c r="R133" s="55" t="s">
        <v>808</v>
      </c>
      <c r="S133" s="58" t="s">
        <v>809</v>
      </c>
      <c r="T133" s="55"/>
      <c r="U133" s="55"/>
      <c r="V133" s="51"/>
      <c r="W133" s="51"/>
      <c r="X133" s="51"/>
      <c r="Y133" s="51"/>
      <c r="Z133" s="60"/>
      <c r="AA133" s="73" t="s">
        <v>810</v>
      </c>
      <c r="AB133" s="62" t="s">
        <v>811</v>
      </c>
      <c r="AC133" s="63" t="s">
        <v>812</v>
      </c>
      <c r="AD133" s="64" t="s">
        <v>813</v>
      </c>
      <c r="AE133" s="64" t="s">
        <v>814</v>
      </c>
      <c r="AF133" s="63" t="s">
        <v>60</v>
      </c>
      <c r="AG133" s="63" t="s">
        <v>81</v>
      </c>
      <c r="AH133" s="63" t="s">
        <v>81</v>
      </c>
      <c r="AI133" s="65" t="s">
        <v>81</v>
      </c>
      <c r="AJ133" s="66" t="s">
        <v>61</v>
      </c>
      <c r="AK133" s="60"/>
    </row>
    <row r="134" ht="24.0" customHeight="1">
      <c r="A134" s="35"/>
      <c r="B134" s="36">
        <v>1.0</v>
      </c>
      <c r="C134" s="37" t="str">
        <f>IFERROR(__xludf.DUMMYFUNCTION("""COMPUTED_VALUE"""),"Henry Hebert (XX) - '25  MA")</f>
        <v>Henry Hebert (XX) - '25  MA</v>
      </c>
      <c r="D134" s="89" t="s">
        <v>815</v>
      </c>
      <c r="E134" s="39" t="s">
        <v>61</v>
      </c>
      <c r="F134" s="40"/>
      <c r="G134" s="41"/>
      <c r="H134" s="42" t="s">
        <v>816</v>
      </c>
      <c r="I134" s="43" t="s">
        <v>817</v>
      </c>
      <c r="J134" s="43">
        <v>2025.0</v>
      </c>
      <c r="K134" s="43" t="s">
        <v>410</v>
      </c>
      <c r="L134" s="43"/>
      <c r="M134" s="43"/>
      <c r="N134" s="43"/>
      <c r="O134" s="43"/>
      <c r="P134" s="43"/>
      <c r="Q134" s="43" t="s">
        <v>85</v>
      </c>
      <c r="R134" s="43" t="s">
        <v>818</v>
      </c>
      <c r="S134" s="44" t="s">
        <v>819</v>
      </c>
      <c r="T134" s="43"/>
      <c r="U134" s="43"/>
      <c r="V134" s="39"/>
      <c r="W134" s="39"/>
      <c r="X134" s="106">
        <v>45979.0</v>
      </c>
      <c r="Y134" s="39"/>
      <c r="Z134" s="46"/>
      <c r="AA134" s="47" t="s">
        <v>820</v>
      </c>
      <c r="AB134" s="48" t="s">
        <v>61</v>
      </c>
      <c r="AC134" s="68" t="s">
        <v>61</v>
      </c>
      <c r="AD134" s="69" t="s">
        <v>61</v>
      </c>
      <c r="AE134" s="69" t="s">
        <v>61</v>
      </c>
      <c r="AF134" s="68" t="s">
        <v>61</v>
      </c>
      <c r="AG134" s="68" t="s">
        <v>61</v>
      </c>
      <c r="AH134" s="68" t="s">
        <v>61</v>
      </c>
      <c r="AI134" s="70" t="s">
        <v>61</v>
      </c>
      <c r="AJ134" s="49" t="s">
        <v>61</v>
      </c>
      <c r="AK134" s="46"/>
    </row>
    <row r="135" ht="24.0" customHeight="1">
      <c r="A135" s="35"/>
      <c r="B135" s="36">
        <v>1.0</v>
      </c>
      <c r="C135" s="37" t="str">
        <f>IFERROR(__xludf.DUMMYFUNCTION("""COMPUTED_VALUE"""),"Hunter Atkins (XX) - '25  GA")</f>
        <v>Hunter Atkins (XX) - '25  GA</v>
      </c>
      <c r="D135" s="89" t="s">
        <v>821</v>
      </c>
      <c r="E135" s="51" t="s">
        <v>61</v>
      </c>
      <c r="F135" s="52"/>
      <c r="G135" s="53"/>
      <c r="H135" s="54" t="s">
        <v>822</v>
      </c>
      <c r="I135" s="55" t="s">
        <v>823</v>
      </c>
      <c r="J135" s="55">
        <v>2025.0</v>
      </c>
      <c r="K135" s="55" t="s">
        <v>410</v>
      </c>
      <c r="L135" s="55"/>
      <c r="M135" s="55"/>
      <c r="N135" s="55"/>
      <c r="O135" s="55"/>
      <c r="P135" s="55"/>
      <c r="Q135" s="55" t="s">
        <v>43</v>
      </c>
      <c r="R135" s="55" t="s">
        <v>824</v>
      </c>
      <c r="S135" s="58"/>
      <c r="T135" s="55"/>
      <c r="U135" s="55"/>
      <c r="V135" s="51"/>
      <c r="W135" s="51"/>
      <c r="X135" s="51"/>
      <c r="Y135" s="51"/>
      <c r="Z135" s="60"/>
      <c r="AA135" s="73" t="s">
        <v>825</v>
      </c>
      <c r="AB135" s="62" t="s">
        <v>826</v>
      </c>
      <c r="AC135" s="63" t="s">
        <v>827</v>
      </c>
      <c r="AD135" s="64">
        <v>3.667</v>
      </c>
      <c r="AE135" s="64" t="s">
        <v>828</v>
      </c>
      <c r="AF135" s="63" t="s">
        <v>829</v>
      </c>
      <c r="AG135" s="63" t="s">
        <v>81</v>
      </c>
      <c r="AH135" s="63" t="s">
        <v>81</v>
      </c>
      <c r="AI135" s="65" t="s">
        <v>81</v>
      </c>
      <c r="AJ135" s="66" t="s">
        <v>61</v>
      </c>
      <c r="AK135" s="60"/>
    </row>
    <row r="136" ht="24.0" customHeight="1">
      <c r="A136" s="35"/>
      <c r="B136" s="36">
        <v>1.0</v>
      </c>
      <c r="C136" s="37" t="str">
        <f>IFERROR(__xludf.DUMMYFUNCTION("""COMPUTED_VALUE"""),"Hunter Manning (XX) - '25  CA")</f>
        <v>Hunter Manning (XX) - '25  CA</v>
      </c>
      <c r="D136" s="89" t="s">
        <v>830</v>
      </c>
      <c r="E136" s="39" t="s">
        <v>61</v>
      </c>
      <c r="F136" s="40"/>
      <c r="G136" s="41"/>
      <c r="H136" s="42" t="s">
        <v>822</v>
      </c>
      <c r="I136" s="43" t="s">
        <v>831</v>
      </c>
      <c r="J136" s="43">
        <v>2025.0</v>
      </c>
      <c r="K136" s="43" t="s">
        <v>410</v>
      </c>
      <c r="L136" s="43"/>
      <c r="M136" s="43"/>
      <c r="N136" s="43"/>
      <c r="O136" s="43"/>
      <c r="P136" s="43"/>
      <c r="Q136" s="43" t="s">
        <v>52</v>
      </c>
      <c r="R136" s="43" t="s">
        <v>832</v>
      </c>
      <c r="S136" s="44"/>
      <c r="T136" s="43"/>
      <c r="U136" s="43"/>
      <c r="V136" s="39"/>
      <c r="W136" s="39"/>
      <c r="X136" s="39"/>
      <c r="Y136" s="39"/>
      <c r="Z136" s="46"/>
      <c r="AA136" s="47" t="s">
        <v>833</v>
      </c>
      <c r="AB136" s="48" t="s">
        <v>834</v>
      </c>
      <c r="AC136" s="68" t="s">
        <v>835</v>
      </c>
      <c r="AD136" s="69">
        <v>3.7</v>
      </c>
      <c r="AE136" s="69" t="s">
        <v>836</v>
      </c>
      <c r="AF136" s="68" t="s">
        <v>400</v>
      </c>
      <c r="AG136" s="68" t="s">
        <v>837</v>
      </c>
      <c r="AH136" s="68" t="s">
        <v>837</v>
      </c>
      <c r="AI136" s="70" t="s">
        <v>838</v>
      </c>
      <c r="AJ136" s="49" t="s">
        <v>61</v>
      </c>
      <c r="AK136" s="46"/>
    </row>
    <row r="137" ht="24.0" customHeight="1">
      <c r="A137" s="35"/>
      <c r="B137" s="36">
        <v>1.0</v>
      </c>
      <c r="C137" s="37" t="str">
        <f>IFERROR(__xludf.DUMMYFUNCTION("""COMPUTED_VALUE"""),"Hunter Vincent (XX) - '25  TX")</f>
        <v>Hunter Vincent (XX) - '25  TX</v>
      </c>
      <c r="D137" s="89" t="s">
        <v>839</v>
      </c>
      <c r="E137" s="51" t="s">
        <v>61</v>
      </c>
      <c r="F137" s="52"/>
      <c r="G137" s="53"/>
      <c r="H137" s="54" t="s">
        <v>822</v>
      </c>
      <c r="I137" s="55" t="s">
        <v>840</v>
      </c>
      <c r="J137" s="55">
        <v>2025.0</v>
      </c>
      <c r="K137" s="55" t="s">
        <v>410</v>
      </c>
      <c r="L137" s="55"/>
      <c r="M137" s="55"/>
      <c r="N137" s="55"/>
      <c r="O137" s="55"/>
      <c r="P137" s="55"/>
      <c r="Q137" s="55" t="s">
        <v>180</v>
      </c>
      <c r="R137" s="55" t="s">
        <v>841</v>
      </c>
      <c r="S137" s="58" t="s">
        <v>842</v>
      </c>
      <c r="T137" s="55"/>
      <c r="U137" s="55"/>
      <c r="V137" s="51"/>
      <c r="W137" s="51"/>
      <c r="X137" s="51"/>
      <c r="Y137" s="51"/>
      <c r="Z137" s="60"/>
      <c r="AA137" s="73" t="s">
        <v>843</v>
      </c>
      <c r="AB137" s="62" t="s">
        <v>61</v>
      </c>
      <c r="AC137" s="63" t="s">
        <v>61</v>
      </c>
      <c r="AD137" s="64" t="s">
        <v>61</v>
      </c>
      <c r="AE137" s="64" t="s">
        <v>61</v>
      </c>
      <c r="AF137" s="63" t="s">
        <v>61</v>
      </c>
      <c r="AG137" s="63" t="s">
        <v>61</v>
      </c>
      <c r="AH137" s="63" t="s">
        <v>61</v>
      </c>
      <c r="AI137" s="65" t="s">
        <v>61</v>
      </c>
      <c r="AJ137" s="66" t="s">
        <v>61</v>
      </c>
      <c r="AK137" s="60"/>
    </row>
    <row r="138" ht="24.0" customHeight="1">
      <c r="A138" s="35"/>
      <c r="B138" s="36">
        <v>1.0</v>
      </c>
      <c r="C138" s="37" t="str">
        <f>IFERROR(__xludf.DUMMYFUNCTION("""COMPUTED_VALUE"""),"Huston Dunn (XX) - '25  IN")</f>
        <v>Huston Dunn (XX) - '25  IN</v>
      </c>
      <c r="D138" s="89" t="s">
        <v>844</v>
      </c>
      <c r="E138" s="39" t="s">
        <v>61</v>
      </c>
      <c r="F138" s="40"/>
      <c r="G138" s="41"/>
      <c r="H138" s="42" t="s">
        <v>845</v>
      </c>
      <c r="I138" s="43" t="s">
        <v>846</v>
      </c>
      <c r="J138" s="43">
        <v>2025.0</v>
      </c>
      <c r="K138" s="43" t="s">
        <v>410</v>
      </c>
      <c r="L138" s="43"/>
      <c r="M138" s="43"/>
      <c r="N138" s="95"/>
      <c r="O138" s="43"/>
      <c r="P138" s="43"/>
      <c r="Q138" s="43" t="s">
        <v>153</v>
      </c>
      <c r="R138" s="43" t="s">
        <v>847</v>
      </c>
      <c r="S138" s="44"/>
      <c r="T138" s="43"/>
      <c r="U138" s="43"/>
      <c r="V138" s="94"/>
      <c r="W138" s="94"/>
      <c r="X138" s="94"/>
      <c r="Y138" s="94"/>
      <c r="Z138" s="46"/>
      <c r="AA138" s="47" t="s">
        <v>848</v>
      </c>
      <c r="AB138" s="48" t="s">
        <v>61</v>
      </c>
      <c r="AC138" s="68" t="s">
        <v>61</v>
      </c>
      <c r="AD138" s="69" t="s">
        <v>61</v>
      </c>
      <c r="AE138" s="69" t="s">
        <v>61</v>
      </c>
      <c r="AF138" s="68" t="s">
        <v>61</v>
      </c>
      <c r="AG138" s="68" t="s">
        <v>61</v>
      </c>
      <c r="AH138" s="68" t="s">
        <v>61</v>
      </c>
      <c r="AI138" s="70" t="s">
        <v>61</v>
      </c>
      <c r="AJ138" s="49" t="s">
        <v>61</v>
      </c>
      <c r="AK138" s="46"/>
    </row>
    <row r="139" ht="24.0" customHeight="1">
      <c r="A139" s="35"/>
      <c r="B139" s="36">
        <v>1.0</v>
      </c>
      <c r="C139" s="37" t="str">
        <f>IFERROR(__xludf.DUMMYFUNCTION("""COMPUTED_VALUE"""),"Isaac Pamaran (XX) - '25  NE")</f>
        <v>Isaac Pamaran (XX) - '25  NE</v>
      </c>
      <c r="D139" s="38" t="s">
        <v>849</v>
      </c>
      <c r="E139" s="51" t="s">
        <v>61</v>
      </c>
      <c r="F139" s="52"/>
      <c r="G139" s="53"/>
      <c r="H139" s="54" t="s">
        <v>850</v>
      </c>
      <c r="I139" s="55" t="s">
        <v>851</v>
      </c>
      <c r="J139" s="55">
        <v>2025.0</v>
      </c>
      <c r="K139" s="55" t="s">
        <v>410</v>
      </c>
      <c r="L139" s="57"/>
      <c r="M139" s="55"/>
      <c r="N139" s="55"/>
      <c r="O139" s="55"/>
      <c r="P139" s="57"/>
      <c r="Q139" s="55" t="s">
        <v>519</v>
      </c>
      <c r="R139" s="55" t="s">
        <v>852</v>
      </c>
      <c r="S139" s="58" t="s">
        <v>853</v>
      </c>
      <c r="T139" s="55"/>
      <c r="U139" s="55"/>
      <c r="V139" s="74"/>
      <c r="W139" s="74"/>
      <c r="X139" s="74"/>
      <c r="Y139" s="74"/>
      <c r="Z139" s="76"/>
      <c r="AA139" s="73" t="s">
        <v>854</v>
      </c>
      <c r="AB139" s="62" t="s">
        <v>855</v>
      </c>
      <c r="AC139" s="63" t="s">
        <v>856</v>
      </c>
      <c r="AD139" s="64">
        <v>4.0</v>
      </c>
      <c r="AE139" s="64">
        <v>24.0</v>
      </c>
      <c r="AF139" s="63" t="s">
        <v>60</v>
      </c>
      <c r="AG139" s="63" t="s">
        <v>60</v>
      </c>
      <c r="AH139" s="63" t="s">
        <v>81</v>
      </c>
      <c r="AI139" s="65" t="s">
        <v>857</v>
      </c>
      <c r="AJ139" s="66" t="s">
        <v>61</v>
      </c>
      <c r="AK139" s="60"/>
    </row>
    <row r="140" ht="24.0" customHeight="1">
      <c r="A140" s="35"/>
      <c r="B140" s="36">
        <v>1.0</v>
      </c>
      <c r="C140" s="37" t="str">
        <f>IFERROR(__xludf.DUMMYFUNCTION("""COMPUTED_VALUE"""),"Isaiah Reveron (XX) - '25  CA")</f>
        <v>Isaiah Reveron (XX) - '25  CA</v>
      </c>
      <c r="D140" s="89" t="s">
        <v>858</v>
      </c>
      <c r="E140" s="39" t="s">
        <v>61</v>
      </c>
      <c r="F140" s="40"/>
      <c r="G140" s="41"/>
      <c r="H140" s="42" t="s">
        <v>859</v>
      </c>
      <c r="I140" s="43" t="s">
        <v>860</v>
      </c>
      <c r="J140" s="43">
        <v>2025.0</v>
      </c>
      <c r="K140" s="43" t="s">
        <v>410</v>
      </c>
      <c r="L140" s="80"/>
      <c r="M140" s="43"/>
      <c r="N140" s="80"/>
      <c r="O140" s="43"/>
      <c r="P140" s="43"/>
      <c r="Q140" s="43" t="s">
        <v>52</v>
      </c>
      <c r="R140" s="43" t="s">
        <v>861</v>
      </c>
      <c r="S140" s="44"/>
      <c r="T140" s="43"/>
      <c r="U140" s="43"/>
      <c r="V140" s="39"/>
      <c r="W140" s="39"/>
      <c r="X140" s="39"/>
      <c r="Y140" s="39"/>
      <c r="Z140" s="46"/>
      <c r="AA140" s="47" t="s">
        <v>862</v>
      </c>
      <c r="AB140" s="48" t="s">
        <v>61</v>
      </c>
      <c r="AC140" s="68" t="s">
        <v>61</v>
      </c>
      <c r="AD140" s="69" t="s">
        <v>61</v>
      </c>
      <c r="AE140" s="69" t="s">
        <v>61</v>
      </c>
      <c r="AF140" s="68" t="s">
        <v>61</v>
      </c>
      <c r="AG140" s="68" t="s">
        <v>61</v>
      </c>
      <c r="AH140" s="68" t="s">
        <v>61</v>
      </c>
      <c r="AI140" s="70" t="s">
        <v>61</v>
      </c>
      <c r="AJ140" s="49" t="s">
        <v>61</v>
      </c>
      <c r="AK140" s="46"/>
    </row>
    <row r="141" ht="24.0" customHeight="1">
      <c r="A141" s="35"/>
      <c r="B141" s="36">
        <v>1.0</v>
      </c>
      <c r="C141" s="37" t="str">
        <f>IFERROR(__xludf.DUMMYFUNCTION("""COMPUTED_VALUE"""),"Jack Pye (XX) - '25  PA")</f>
        <v>Jack Pye (XX) - '25  PA</v>
      </c>
      <c r="D141" s="89" t="s">
        <v>863</v>
      </c>
      <c r="E141" s="51" t="s">
        <v>61</v>
      </c>
      <c r="F141" s="52"/>
      <c r="G141" s="53"/>
      <c r="H141" s="54" t="s">
        <v>424</v>
      </c>
      <c r="I141" s="55" t="s">
        <v>864</v>
      </c>
      <c r="J141" s="55">
        <v>2025.0</v>
      </c>
      <c r="K141" s="55" t="s">
        <v>410</v>
      </c>
      <c r="L141" s="55"/>
      <c r="M141" s="55"/>
      <c r="N141" s="55"/>
      <c r="O141" s="55"/>
      <c r="P141" s="57"/>
      <c r="Q141" s="55" t="s">
        <v>240</v>
      </c>
      <c r="R141" s="55" t="s">
        <v>865</v>
      </c>
      <c r="S141" s="58"/>
      <c r="T141" s="55"/>
      <c r="U141" s="55"/>
      <c r="V141" s="51"/>
      <c r="W141" s="51"/>
      <c r="X141" s="51"/>
      <c r="Y141" s="51"/>
      <c r="Z141" s="60"/>
      <c r="AA141" s="73" t="s">
        <v>866</v>
      </c>
      <c r="AB141" s="62" t="s">
        <v>867</v>
      </c>
      <c r="AC141" s="107" t="s">
        <v>868</v>
      </c>
      <c r="AD141" s="64">
        <v>3.75</v>
      </c>
      <c r="AE141" s="64" t="s">
        <v>869</v>
      </c>
      <c r="AF141" s="63" t="s">
        <v>60</v>
      </c>
      <c r="AG141" s="63" t="s">
        <v>60</v>
      </c>
      <c r="AH141" s="63" t="s">
        <v>60</v>
      </c>
      <c r="AI141" s="65" t="s">
        <v>81</v>
      </c>
      <c r="AJ141" s="66" t="s">
        <v>61</v>
      </c>
      <c r="AK141" s="60"/>
    </row>
    <row r="142" ht="24.0" customHeight="1">
      <c r="A142" s="35"/>
      <c r="B142" s="36">
        <v>1.0</v>
      </c>
      <c r="C142" s="37" t="str">
        <f>IFERROR(__xludf.DUMMYFUNCTION("""COMPUTED_VALUE"""),"Jack Roventini (XX) - '25  NY")</f>
        <v>Jack Roventini (XX) - '25  NY</v>
      </c>
      <c r="D142" s="89" t="s">
        <v>870</v>
      </c>
      <c r="E142" s="39" t="s">
        <v>61</v>
      </c>
      <c r="F142" s="40"/>
      <c r="G142" s="41"/>
      <c r="H142" s="42" t="s">
        <v>424</v>
      </c>
      <c r="I142" s="43" t="s">
        <v>871</v>
      </c>
      <c r="J142" s="43">
        <v>2025.0</v>
      </c>
      <c r="K142" s="43" t="s">
        <v>410</v>
      </c>
      <c r="L142" s="43"/>
      <c r="M142" s="43"/>
      <c r="N142" s="43"/>
      <c r="O142" s="43"/>
      <c r="P142" s="43"/>
      <c r="Q142" s="43" t="s">
        <v>255</v>
      </c>
      <c r="R142" s="43" t="s">
        <v>872</v>
      </c>
      <c r="S142" s="44"/>
      <c r="T142" s="43"/>
      <c r="U142" s="43"/>
      <c r="V142" s="39"/>
      <c r="W142" s="39"/>
      <c r="X142" s="39"/>
      <c r="Y142" s="39"/>
      <c r="Z142" s="46"/>
      <c r="AA142" s="47" t="s">
        <v>873</v>
      </c>
      <c r="AB142" s="48" t="s">
        <v>61</v>
      </c>
      <c r="AC142" s="68" t="s">
        <v>61</v>
      </c>
      <c r="AD142" s="69" t="s">
        <v>61</v>
      </c>
      <c r="AE142" s="69" t="s">
        <v>61</v>
      </c>
      <c r="AF142" s="68" t="s">
        <v>61</v>
      </c>
      <c r="AG142" s="68" t="s">
        <v>61</v>
      </c>
      <c r="AH142" s="68" t="s">
        <v>61</v>
      </c>
      <c r="AI142" s="70" t="s">
        <v>61</v>
      </c>
      <c r="AJ142" s="49" t="s">
        <v>61</v>
      </c>
      <c r="AK142" s="46"/>
    </row>
    <row r="143" ht="24.0" customHeight="1">
      <c r="A143" s="35"/>
      <c r="B143" s="36">
        <v>1.0</v>
      </c>
      <c r="C143" s="37" t="str">
        <f>IFERROR(__xludf.DUMMYFUNCTION("""COMPUTED_VALUE"""),"Jack Swanberg (XX) - '25  CA")</f>
        <v>Jack Swanberg (XX) - '25  CA</v>
      </c>
      <c r="D143" s="89" t="s">
        <v>874</v>
      </c>
      <c r="E143" s="51" t="s">
        <v>61</v>
      </c>
      <c r="F143" s="52"/>
      <c r="G143" s="53"/>
      <c r="H143" s="54" t="s">
        <v>424</v>
      </c>
      <c r="I143" s="55" t="s">
        <v>875</v>
      </c>
      <c r="J143" s="55">
        <v>2025.0</v>
      </c>
      <c r="K143" s="55" t="s">
        <v>410</v>
      </c>
      <c r="L143" s="55"/>
      <c r="M143" s="55"/>
      <c r="N143" s="55"/>
      <c r="O143" s="55"/>
      <c r="P143" s="55"/>
      <c r="Q143" s="55" t="s">
        <v>52</v>
      </c>
      <c r="R143" s="55" t="s">
        <v>876</v>
      </c>
      <c r="S143" s="58" t="s">
        <v>877</v>
      </c>
      <c r="T143" s="55"/>
      <c r="U143" s="55"/>
      <c r="V143" s="51"/>
      <c r="W143" s="51"/>
      <c r="X143" s="51"/>
      <c r="Y143" s="51"/>
      <c r="Z143" s="60"/>
      <c r="AA143" s="73" t="s">
        <v>878</v>
      </c>
      <c r="AB143" s="62" t="s">
        <v>61</v>
      </c>
      <c r="AC143" s="63" t="s">
        <v>61</v>
      </c>
      <c r="AD143" s="64" t="s">
        <v>61</v>
      </c>
      <c r="AE143" s="64" t="s">
        <v>61</v>
      </c>
      <c r="AF143" s="63" t="s">
        <v>61</v>
      </c>
      <c r="AG143" s="63" t="s">
        <v>61</v>
      </c>
      <c r="AH143" s="63" t="s">
        <v>61</v>
      </c>
      <c r="AI143" s="65" t="s">
        <v>61</v>
      </c>
      <c r="AJ143" s="66" t="s">
        <v>61</v>
      </c>
      <c r="AK143" s="60"/>
    </row>
    <row r="144" ht="24.0" customHeight="1">
      <c r="A144" s="35"/>
      <c r="B144" s="36">
        <v>1.0</v>
      </c>
      <c r="C144" s="37" t="str">
        <f>IFERROR(__xludf.DUMMYFUNCTION("""COMPUTED_VALUE"""),"Jackson Cook (XX) - '25  CA")</f>
        <v>Jackson Cook (XX) - '25  CA</v>
      </c>
      <c r="D144" s="89" t="s">
        <v>879</v>
      </c>
      <c r="E144" s="39" t="s">
        <v>61</v>
      </c>
      <c r="F144" s="40"/>
      <c r="G144" s="41"/>
      <c r="H144" s="42" t="s">
        <v>432</v>
      </c>
      <c r="I144" s="43" t="s">
        <v>880</v>
      </c>
      <c r="J144" s="43">
        <v>2025.0</v>
      </c>
      <c r="K144" s="43" t="s">
        <v>410</v>
      </c>
      <c r="L144" s="43"/>
      <c r="M144" s="43"/>
      <c r="N144" s="43"/>
      <c r="O144" s="43"/>
      <c r="P144" s="43"/>
      <c r="Q144" s="43" t="s">
        <v>52</v>
      </c>
      <c r="R144" s="43" t="s">
        <v>881</v>
      </c>
      <c r="S144" s="44" t="s">
        <v>882</v>
      </c>
      <c r="T144" s="43"/>
      <c r="U144" s="43"/>
      <c r="V144" s="39"/>
      <c r="W144" s="39"/>
      <c r="X144" s="39"/>
      <c r="Y144" s="39"/>
      <c r="Z144" s="46"/>
      <c r="AA144" s="47" t="s">
        <v>883</v>
      </c>
      <c r="AB144" s="48" t="s">
        <v>61</v>
      </c>
      <c r="AC144" s="68" t="s">
        <v>61</v>
      </c>
      <c r="AD144" s="69" t="s">
        <v>61</v>
      </c>
      <c r="AE144" s="69" t="s">
        <v>61</v>
      </c>
      <c r="AF144" s="68" t="s">
        <v>61</v>
      </c>
      <c r="AG144" s="68" t="s">
        <v>61</v>
      </c>
      <c r="AH144" s="68" t="s">
        <v>61</v>
      </c>
      <c r="AI144" s="70" t="s">
        <v>61</v>
      </c>
      <c r="AJ144" s="49" t="s">
        <v>61</v>
      </c>
      <c r="AK144" s="46"/>
    </row>
    <row r="145" ht="24.0" customHeight="1">
      <c r="A145" s="35"/>
      <c r="B145" s="36">
        <v>1.0</v>
      </c>
      <c r="C145" s="37" t="str">
        <f>IFERROR(__xludf.DUMMYFUNCTION("""COMPUTED_VALUE"""),"Jackson Peavy (XX) - '25  GA")</f>
        <v>Jackson Peavy (XX) - '25  GA</v>
      </c>
      <c r="D145" s="38" t="s">
        <v>884</v>
      </c>
      <c r="E145" s="51" t="s">
        <v>61</v>
      </c>
      <c r="F145" s="52"/>
      <c r="G145" s="53"/>
      <c r="H145" s="54" t="s">
        <v>432</v>
      </c>
      <c r="I145" s="55" t="s">
        <v>885</v>
      </c>
      <c r="J145" s="55">
        <v>2025.0</v>
      </c>
      <c r="K145" s="55" t="s">
        <v>410</v>
      </c>
      <c r="L145" s="55"/>
      <c r="M145" s="55"/>
      <c r="N145" s="55"/>
      <c r="O145" s="55"/>
      <c r="P145" s="55"/>
      <c r="Q145" s="55" t="s">
        <v>43</v>
      </c>
      <c r="R145" s="55" t="s">
        <v>886</v>
      </c>
      <c r="S145" s="58"/>
      <c r="T145" s="55"/>
      <c r="U145" s="55"/>
      <c r="V145" s="51"/>
      <c r="W145" s="51"/>
      <c r="X145" s="51"/>
      <c r="Y145" s="51"/>
      <c r="Z145" s="60"/>
      <c r="AA145" s="73" t="s">
        <v>887</v>
      </c>
      <c r="AB145" s="62" t="s">
        <v>61</v>
      </c>
      <c r="AC145" s="63" t="s">
        <v>61</v>
      </c>
      <c r="AD145" s="64" t="s">
        <v>61</v>
      </c>
      <c r="AE145" s="64" t="s">
        <v>61</v>
      </c>
      <c r="AF145" s="63" t="s">
        <v>61</v>
      </c>
      <c r="AG145" s="63" t="s">
        <v>61</v>
      </c>
      <c r="AH145" s="63" t="s">
        <v>61</v>
      </c>
      <c r="AI145" s="65" t="s">
        <v>61</v>
      </c>
      <c r="AJ145" s="66" t="s">
        <v>61</v>
      </c>
      <c r="AK145" s="60"/>
    </row>
    <row r="146" ht="24.0" customHeight="1">
      <c r="A146" s="35"/>
      <c r="B146" s="36">
        <v>1.0</v>
      </c>
      <c r="C146" s="37" t="str">
        <f>IFERROR(__xludf.DUMMYFUNCTION("""COMPUTED_VALUE"""),"Jackson Rose (XX) - '25  GA")</f>
        <v>Jackson Rose (XX) - '25  GA</v>
      </c>
      <c r="D146" s="38" t="s">
        <v>888</v>
      </c>
      <c r="E146" s="39" t="s">
        <v>61</v>
      </c>
      <c r="F146" s="40"/>
      <c r="G146" s="41"/>
      <c r="H146" s="42" t="s">
        <v>432</v>
      </c>
      <c r="I146" s="43" t="s">
        <v>889</v>
      </c>
      <c r="J146" s="43">
        <v>2025.0</v>
      </c>
      <c r="K146" s="43" t="s">
        <v>410</v>
      </c>
      <c r="L146" s="43"/>
      <c r="M146" s="43"/>
      <c r="N146" s="43"/>
      <c r="O146" s="43"/>
      <c r="P146" s="43"/>
      <c r="Q146" s="43" t="s">
        <v>43</v>
      </c>
      <c r="R146" s="43" t="s">
        <v>890</v>
      </c>
      <c r="S146" s="44" t="s">
        <v>891</v>
      </c>
      <c r="T146" s="43"/>
      <c r="U146" s="43"/>
      <c r="V146" s="39"/>
      <c r="W146" s="39"/>
      <c r="X146" s="39"/>
      <c r="Y146" s="39"/>
      <c r="Z146" s="108"/>
      <c r="AA146" s="47" t="s">
        <v>892</v>
      </c>
      <c r="AB146" s="48" t="s">
        <v>61</v>
      </c>
      <c r="AC146" s="68" t="s">
        <v>61</v>
      </c>
      <c r="AD146" s="69" t="s">
        <v>61</v>
      </c>
      <c r="AE146" s="69" t="s">
        <v>61</v>
      </c>
      <c r="AF146" s="68" t="s">
        <v>61</v>
      </c>
      <c r="AG146" s="68" t="s">
        <v>61</v>
      </c>
      <c r="AH146" s="68" t="s">
        <v>61</v>
      </c>
      <c r="AI146" s="70" t="s">
        <v>61</v>
      </c>
      <c r="AJ146" s="49" t="s">
        <v>61</v>
      </c>
      <c r="AK146" s="46"/>
    </row>
    <row r="147" ht="24.0" customHeight="1">
      <c r="A147" s="35"/>
      <c r="B147" s="36">
        <v>1.0</v>
      </c>
      <c r="C147" s="37" t="str">
        <f>IFERROR(__xludf.DUMMYFUNCTION("""COMPUTED_VALUE"""),"Jake Cackovic (XX) - '25  NC")</f>
        <v>Jake Cackovic (XX) - '25  NC</v>
      </c>
      <c r="D147" s="38" t="s">
        <v>893</v>
      </c>
      <c r="E147" s="51" t="s">
        <v>61</v>
      </c>
      <c r="F147" s="52"/>
      <c r="G147" s="53"/>
      <c r="H147" s="54" t="s">
        <v>136</v>
      </c>
      <c r="I147" s="55" t="s">
        <v>894</v>
      </c>
      <c r="J147" s="55">
        <v>2025.0</v>
      </c>
      <c r="K147" s="55" t="s">
        <v>410</v>
      </c>
      <c r="L147" s="55"/>
      <c r="M147" s="55"/>
      <c r="N147" s="55"/>
      <c r="O147" s="55"/>
      <c r="P147" s="55"/>
      <c r="Q147" s="55" t="s">
        <v>73</v>
      </c>
      <c r="R147" s="55" t="s">
        <v>895</v>
      </c>
      <c r="S147" s="58"/>
      <c r="T147" s="55"/>
      <c r="U147" s="55"/>
      <c r="V147" s="51"/>
      <c r="W147" s="51"/>
      <c r="X147" s="51"/>
      <c r="Y147" s="51"/>
      <c r="Z147" s="60"/>
      <c r="AA147" s="73" t="s">
        <v>896</v>
      </c>
      <c r="AB147" s="62" t="s">
        <v>61</v>
      </c>
      <c r="AC147" s="63" t="s">
        <v>61</v>
      </c>
      <c r="AD147" s="64" t="s">
        <v>61</v>
      </c>
      <c r="AE147" s="64" t="s">
        <v>61</v>
      </c>
      <c r="AF147" s="63" t="s">
        <v>61</v>
      </c>
      <c r="AG147" s="63" t="s">
        <v>61</v>
      </c>
      <c r="AH147" s="63" t="s">
        <v>61</v>
      </c>
      <c r="AI147" s="65" t="s">
        <v>61</v>
      </c>
      <c r="AJ147" s="66" t="s">
        <v>61</v>
      </c>
      <c r="AK147" s="60"/>
    </row>
    <row r="148" ht="24.0" customHeight="1">
      <c r="A148" s="35"/>
      <c r="B148" s="36">
        <v>1.0</v>
      </c>
      <c r="C148" s="37" t="str">
        <f>IFERROR(__xludf.DUMMYFUNCTION("""COMPUTED_VALUE"""),"Jake Finnegan (XX) - '25 CINF FL")</f>
        <v>Jake Finnegan (XX) - '25 CINF FL</v>
      </c>
      <c r="D148" s="38" t="s">
        <v>897</v>
      </c>
      <c r="E148" s="39" t="s">
        <v>48</v>
      </c>
      <c r="F148" s="40"/>
      <c r="G148" s="41"/>
      <c r="H148" s="42" t="s">
        <v>136</v>
      </c>
      <c r="I148" s="43" t="s">
        <v>898</v>
      </c>
      <c r="J148" s="43">
        <v>2025.0</v>
      </c>
      <c r="K148" s="43" t="s">
        <v>410</v>
      </c>
      <c r="L148" s="80"/>
      <c r="M148" s="43" t="s">
        <v>72</v>
      </c>
      <c r="N148" s="80"/>
      <c r="O148" s="43"/>
      <c r="P148" s="43"/>
      <c r="Q148" s="43" t="s">
        <v>66</v>
      </c>
      <c r="R148" s="43" t="s">
        <v>899</v>
      </c>
      <c r="S148" s="44" t="s">
        <v>900</v>
      </c>
      <c r="T148" s="43"/>
      <c r="U148" s="43"/>
      <c r="V148" s="39"/>
      <c r="W148" s="39"/>
      <c r="X148" s="39"/>
      <c r="Y148" s="39"/>
      <c r="Z148" s="46"/>
      <c r="AA148" s="47" t="s">
        <v>901</v>
      </c>
      <c r="AB148" s="48" t="s">
        <v>902</v>
      </c>
      <c r="AC148" s="68"/>
      <c r="AD148" s="69"/>
      <c r="AE148" s="69">
        <v>1140.0</v>
      </c>
      <c r="AF148" s="68"/>
      <c r="AG148" s="68" t="s">
        <v>400</v>
      </c>
      <c r="AH148" s="68" t="s">
        <v>400</v>
      </c>
      <c r="AI148" s="70" t="s">
        <v>400</v>
      </c>
      <c r="AJ148" s="49" t="s">
        <v>61</v>
      </c>
      <c r="AK148" s="46"/>
    </row>
    <row r="149" ht="24.0" customHeight="1">
      <c r="A149" s="35"/>
      <c r="B149" s="36">
        <v>1.0</v>
      </c>
      <c r="C149" s="37" t="str">
        <f>IFERROR(__xludf.DUMMYFUNCTION("""COMPUTED_VALUE"""),"Jake Hallow (XX) - '25  GA")</f>
        <v>Jake Hallow (XX) - '25  GA</v>
      </c>
      <c r="D149" s="89" t="s">
        <v>903</v>
      </c>
      <c r="E149" s="51" t="s">
        <v>61</v>
      </c>
      <c r="F149" s="52"/>
      <c r="G149" s="53"/>
      <c r="H149" s="54" t="s">
        <v>136</v>
      </c>
      <c r="I149" s="55" t="s">
        <v>904</v>
      </c>
      <c r="J149" s="55">
        <v>2025.0</v>
      </c>
      <c r="K149" s="55" t="s">
        <v>410</v>
      </c>
      <c r="L149" s="55"/>
      <c r="M149" s="55"/>
      <c r="N149" s="55"/>
      <c r="O149" s="55"/>
      <c r="P149" s="55"/>
      <c r="Q149" s="55" t="s">
        <v>43</v>
      </c>
      <c r="R149" s="55" t="s">
        <v>905</v>
      </c>
      <c r="S149" s="58"/>
      <c r="T149" s="55"/>
      <c r="U149" s="55"/>
      <c r="V149" s="51"/>
      <c r="W149" s="51"/>
      <c r="X149" s="51"/>
      <c r="Y149" s="51"/>
      <c r="Z149" s="60"/>
      <c r="AA149" s="73" t="s">
        <v>906</v>
      </c>
      <c r="AB149" s="62" t="s">
        <v>61</v>
      </c>
      <c r="AC149" s="63" t="s">
        <v>61</v>
      </c>
      <c r="AD149" s="64" t="s">
        <v>61</v>
      </c>
      <c r="AE149" s="64" t="s">
        <v>61</v>
      </c>
      <c r="AF149" s="63" t="s">
        <v>61</v>
      </c>
      <c r="AG149" s="63" t="s">
        <v>61</v>
      </c>
      <c r="AH149" s="63" t="s">
        <v>61</v>
      </c>
      <c r="AI149" s="65" t="s">
        <v>61</v>
      </c>
      <c r="AJ149" s="66" t="s">
        <v>61</v>
      </c>
      <c r="AK149" s="60"/>
    </row>
    <row r="150" ht="24.0" customHeight="1">
      <c r="A150" s="35"/>
      <c r="B150" s="36">
        <v>1.0</v>
      </c>
      <c r="C150" s="37" t="str">
        <f>IFERROR(__xludf.DUMMYFUNCTION("""COMPUTED_VALUE"""),"Jake Marciano (XX) - '25  NJ")</f>
        <v>Jake Marciano (XX) - '25  NJ</v>
      </c>
      <c r="D150" s="89" t="s">
        <v>907</v>
      </c>
      <c r="E150" s="39" t="s">
        <v>61</v>
      </c>
      <c r="F150" s="40"/>
      <c r="G150" s="41"/>
      <c r="H150" s="42" t="s">
        <v>136</v>
      </c>
      <c r="I150" s="43" t="s">
        <v>908</v>
      </c>
      <c r="J150" s="43">
        <v>2025.0</v>
      </c>
      <c r="K150" s="43" t="s">
        <v>410</v>
      </c>
      <c r="L150" s="43"/>
      <c r="M150" s="43"/>
      <c r="N150" s="43"/>
      <c r="O150" s="43"/>
      <c r="P150" s="43"/>
      <c r="Q150" s="43" t="s">
        <v>502</v>
      </c>
      <c r="R150" s="43" t="s">
        <v>909</v>
      </c>
      <c r="S150" s="44"/>
      <c r="T150" s="43"/>
      <c r="U150" s="43"/>
      <c r="V150" s="39"/>
      <c r="W150" s="39"/>
      <c r="X150" s="39"/>
      <c r="Y150" s="39"/>
      <c r="Z150" s="46"/>
      <c r="AA150" s="47" t="s">
        <v>910</v>
      </c>
      <c r="AB150" s="48" t="s">
        <v>61</v>
      </c>
      <c r="AC150" s="68" t="s">
        <v>61</v>
      </c>
      <c r="AD150" s="69" t="s">
        <v>61</v>
      </c>
      <c r="AE150" s="69" t="s">
        <v>61</v>
      </c>
      <c r="AF150" s="68" t="s">
        <v>61</v>
      </c>
      <c r="AG150" s="68" t="s">
        <v>61</v>
      </c>
      <c r="AH150" s="68" t="s">
        <v>61</v>
      </c>
      <c r="AI150" s="70" t="s">
        <v>61</v>
      </c>
      <c r="AJ150" s="49" t="s">
        <v>61</v>
      </c>
      <c r="AK150" s="46"/>
    </row>
    <row r="151" ht="24.0" customHeight="1">
      <c r="A151" s="35"/>
      <c r="B151" s="36">
        <v>1.0</v>
      </c>
      <c r="C151" s="37" t="str">
        <f>IFERROR(__xludf.DUMMYFUNCTION("""COMPUTED_VALUE"""),"Jake Rifenburg (XX) - '25  IL")</f>
        <v>Jake Rifenburg (XX) - '25  IL</v>
      </c>
      <c r="D151" s="38" t="s">
        <v>911</v>
      </c>
      <c r="E151" s="51" t="s">
        <v>61</v>
      </c>
      <c r="F151" s="52"/>
      <c r="G151" s="53"/>
      <c r="H151" s="54" t="s">
        <v>136</v>
      </c>
      <c r="I151" s="55" t="s">
        <v>912</v>
      </c>
      <c r="J151" s="55">
        <v>2025.0</v>
      </c>
      <c r="K151" s="55" t="s">
        <v>410</v>
      </c>
      <c r="L151" s="55"/>
      <c r="M151" s="55"/>
      <c r="N151" s="55"/>
      <c r="O151" s="55"/>
      <c r="P151" s="55"/>
      <c r="Q151" s="55" t="s">
        <v>307</v>
      </c>
      <c r="R151" s="55" t="s">
        <v>913</v>
      </c>
      <c r="S151" s="58"/>
      <c r="T151" s="55"/>
      <c r="U151" s="55"/>
      <c r="V151" s="51"/>
      <c r="W151" s="51"/>
      <c r="X151" s="51"/>
      <c r="Y151" s="51"/>
      <c r="Z151" s="60"/>
      <c r="AA151" s="73" t="s">
        <v>914</v>
      </c>
      <c r="AB151" s="62" t="s">
        <v>61</v>
      </c>
      <c r="AC151" s="63" t="s">
        <v>61</v>
      </c>
      <c r="AD151" s="64" t="s">
        <v>61</v>
      </c>
      <c r="AE151" s="64" t="s">
        <v>61</v>
      </c>
      <c r="AF151" s="63" t="s">
        <v>61</v>
      </c>
      <c r="AG151" s="63" t="s">
        <v>61</v>
      </c>
      <c r="AH151" s="63" t="s">
        <v>61</v>
      </c>
      <c r="AI151" s="65" t="s">
        <v>61</v>
      </c>
      <c r="AJ151" s="66" t="s">
        <v>61</v>
      </c>
      <c r="AK151" s="60"/>
    </row>
    <row r="152" ht="24.0" customHeight="1">
      <c r="A152" s="35"/>
      <c r="B152" s="36">
        <v>1.0</v>
      </c>
      <c r="C152" s="37" t="str">
        <f>IFERROR(__xludf.DUMMYFUNCTION("""COMPUTED_VALUE"""),"James Hare (XX) - '25  NJ")</f>
        <v>James Hare (XX) - '25  NJ</v>
      </c>
      <c r="D152" s="89" t="s">
        <v>915</v>
      </c>
      <c r="E152" s="39" t="s">
        <v>61</v>
      </c>
      <c r="F152" s="40"/>
      <c r="G152" s="41"/>
      <c r="H152" s="42" t="s">
        <v>916</v>
      </c>
      <c r="I152" s="43" t="s">
        <v>917</v>
      </c>
      <c r="J152" s="43">
        <v>2025.0</v>
      </c>
      <c r="K152" s="43" t="s">
        <v>410</v>
      </c>
      <c r="L152" s="43"/>
      <c r="M152" s="43"/>
      <c r="N152" s="43"/>
      <c r="O152" s="43"/>
      <c r="P152" s="43"/>
      <c r="Q152" s="43" t="s">
        <v>502</v>
      </c>
      <c r="R152" s="43" t="s">
        <v>918</v>
      </c>
      <c r="S152" s="44"/>
      <c r="T152" s="43"/>
      <c r="U152" s="43"/>
      <c r="V152" s="39"/>
      <c r="W152" s="39"/>
      <c r="X152" s="39"/>
      <c r="Y152" s="39"/>
      <c r="Z152" s="46"/>
      <c r="AA152" s="47" t="s">
        <v>919</v>
      </c>
      <c r="AB152" s="48" t="s">
        <v>61</v>
      </c>
      <c r="AC152" s="68" t="s">
        <v>61</v>
      </c>
      <c r="AD152" s="69" t="s">
        <v>61</v>
      </c>
      <c r="AE152" s="69" t="s">
        <v>61</v>
      </c>
      <c r="AF152" s="68" t="s">
        <v>61</v>
      </c>
      <c r="AG152" s="68" t="s">
        <v>61</v>
      </c>
      <c r="AH152" s="68" t="s">
        <v>61</v>
      </c>
      <c r="AI152" s="70" t="s">
        <v>61</v>
      </c>
      <c r="AJ152" s="49" t="s">
        <v>61</v>
      </c>
      <c r="AK152" s="46"/>
    </row>
    <row r="153" ht="24.0" customHeight="1">
      <c r="A153" s="35"/>
      <c r="B153" s="36">
        <v>1.0</v>
      </c>
      <c r="C153" s="37" t="str">
        <f>IFERROR(__xludf.DUMMYFUNCTION("""COMPUTED_VALUE"""),"Jameson Dobis (XX) - '25  NJ")</f>
        <v>Jameson Dobis (XX) - '25  NJ</v>
      </c>
      <c r="D153" s="89" t="s">
        <v>920</v>
      </c>
      <c r="E153" s="51" t="s">
        <v>61</v>
      </c>
      <c r="F153" s="52"/>
      <c r="G153" s="53"/>
      <c r="H153" s="54" t="s">
        <v>921</v>
      </c>
      <c r="I153" s="55" t="s">
        <v>922</v>
      </c>
      <c r="J153" s="55">
        <v>2025.0</v>
      </c>
      <c r="K153" s="55" t="s">
        <v>410</v>
      </c>
      <c r="L153" s="55"/>
      <c r="M153" s="55"/>
      <c r="N153" s="55"/>
      <c r="O153" s="55"/>
      <c r="P153" s="55"/>
      <c r="Q153" s="55" t="s">
        <v>502</v>
      </c>
      <c r="R153" s="55" t="s">
        <v>923</v>
      </c>
      <c r="S153" s="58"/>
      <c r="T153" s="55"/>
      <c r="U153" s="55"/>
      <c r="V153" s="51"/>
      <c r="W153" s="51"/>
      <c r="X153" s="51"/>
      <c r="Y153" s="51"/>
      <c r="Z153" s="60"/>
      <c r="AA153" s="73" t="s">
        <v>924</v>
      </c>
      <c r="AB153" s="62" t="s">
        <v>61</v>
      </c>
      <c r="AC153" s="63" t="s">
        <v>61</v>
      </c>
      <c r="AD153" s="64" t="s">
        <v>61</v>
      </c>
      <c r="AE153" s="64" t="s">
        <v>61</v>
      </c>
      <c r="AF153" s="63" t="s">
        <v>61</v>
      </c>
      <c r="AG153" s="63" t="s">
        <v>61</v>
      </c>
      <c r="AH153" s="63" t="s">
        <v>61</v>
      </c>
      <c r="AI153" s="65" t="s">
        <v>61</v>
      </c>
      <c r="AJ153" s="66" t="s">
        <v>61</v>
      </c>
      <c r="AK153" s="60"/>
    </row>
    <row r="154" ht="24.0" customHeight="1">
      <c r="A154" s="35"/>
      <c r="B154" s="36">
        <v>1.0</v>
      </c>
      <c r="C154" s="37" t="str">
        <f>IFERROR(__xludf.DUMMYFUNCTION("""COMPUTED_VALUE"""),"Jason Brown (XX) - '25  NJ")</f>
        <v>Jason Brown (XX) - '25  NJ</v>
      </c>
      <c r="D154" s="38" t="s">
        <v>925</v>
      </c>
      <c r="E154" s="39" t="s">
        <v>61</v>
      </c>
      <c r="F154" s="40"/>
      <c r="G154" s="41"/>
      <c r="H154" s="42" t="s">
        <v>926</v>
      </c>
      <c r="I154" s="43" t="s">
        <v>605</v>
      </c>
      <c r="J154" s="43">
        <v>2025.0</v>
      </c>
      <c r="K154" s="43" t="s">
        <v>410</v>
      </c>
      <c r="L154" s="43"/>
      <c r="M154" s="43"/>
      <c r="N154" s="43"/>
      <c r="O154" s="43"/>
      <c r="P154" s="43"/>
      <c r="Q154" s="43" t="s">
        <v>502</v>
      </c>
      <c r="R154" s="43" t="s">
        <v>927</v>
      </c>
      <c r="S154" s="44"/>
      <c r="T154" s="43"/>
      <c r="U154" s="43"/>
      <c r="V154" s="39"/>
      <c r="W154" s="39"/>
      <c r="X154" s="39"/>
      <c r="Y154" s="39"/>
      <c r="Z154" s="46"/>
      <c r="AA154" s="47" t="s">
        <v>928</v>
      </c>
      <c r="AB154" s="48" t="s">
        <v>61</v>
      </c>
      <c r="AC154" s="68" t="s">
        <v>61</v>
      </c>
      <c r="AD154" s="69" t="s">
        <v>61</v>
      </c>
      <c r="AE154" s="69" t="s">
        <v>61</v>
      </c>
      <c r="AF154" s="68" t="s">
        <v>61</v>
      </c>
      <c r="AG154" s="68" t="s">
        <v>61</v>
      </c>
      <c r="AH154" s="68" t="s">
        <v>61</v>
      </c>
      <c r="AI154" s="70" t="s">
        <v>61</v>
      </c>
      <c r="AJ154" s="49" t="s">
        <v>61</v>
      </c>
      <c r="AK154" s="46"/>
    </row>
    <row r="155" ht="24.0" customHeight="1">
      <c r="A155" s="35"/>
      <c r="B155" s="36">
        <v>1.0</v>
      </c>
      <c r="C155" s="37" t="str">
        <f>IFERROR(__xludf.DUMMYFUNCTION("""COMPUTED_VALUE"""),"Jax Heid (XX) - '25 MINF TX")</f>
        <v>Jax Heid (XX) - '25 MINF TX</v>
      </c>
      <c r="D155" s="89" t="s">
        <v>929</v>
      </c>
      <c r="E155" s="51" t="s">
        <v>48</v>
      </c>
      <c r="F155" s="52"/>
      <c r="G155" s="53"/>
      <c r="H155" s="54" t="s">
        <v>930</v>
      </c>
      <c r="I155" s="55" t="s">
        <v>931</v>
      </c>
      <c r="J155" s="55">
        <v>2025.0</v>
      </c>
      <c r="K155" s="55" t="s">
        <v>410</v>
      </c>
      <c r="L155" s="57"/>
      <c r="M155" s="55" t="s">
        <v>51</v>
      </c>
      <c r="N155" s="55"/>
      <c r="O155" s="55"/>
      <c r="P155" s="55"/>
      <c r="Q155" s="55" t="s">
        <v>180</v>
      </c>
      <c r="R155" s="55" t="s">
        <v>932</v>
      </c>
      <c r="S155" s="58"/>
      <c r="T155" s="55"/>
      <c r="U155" s="55"/>
      <c r="V155" s="51"/>
      <c r="W155" s="51"/>
      <c r="X155" s="92">
        <v>45542.0</v>
      </c>
      <c r="Y155" s="74"/>
      <c r="Z155" s="76"/>
      <c r="AA155" s="73" t="s">
        <v>933</v>
      </c>
      <c r="AB155" s="62" t="s">
        <v>934</v>
      </c>
      <c r="AC155" s="63" t="s">
        <v>935</v>
      </c>
      <c r="AD155" s="64">
        <v>4.0</v>
      </c>
      <c r="AE155" s="64" t="s">
        <v>936</v>
      </c>
      <c r="AF155" s="63" t="s">
        <v>937</v>
      </c>
      <c r="AG155" s="63"/>
      <c r="AH155" s="63"/>
      <c r="AI155" s="65" t="s">
        <v>938</v>
      </c>
      <c r="AJ155" s="66" t="s">
        <v>61</v>
      </c>
      <c r="AK155" s="60"/>
    </row>
    <row r="156" ht="24.0" customHeight="1">
      <c r="A156" s="35"/>
      <c r="B156" s="36">
        <v>1.0</v>
      </c>
      <c r="C156" s="37" t="str">
        <f>IFERROR(__xludf.DUMMYFUNCTION("""COMPUTED_VALUE"""),"Jett Jones (XX) - '25  NH")</f>
        <v>Jett Jones (XX) - '25  NH</v>
      </c>
      <c r="D156" s="89" t="s">
        <v>939</v>
      </c>
      <c r="E156" s="39" t="s">
        <v>61</v>
      </c>
      <c r="F156" s="40"/>
      <c r="G156" s="41"/>
      <c r="H156" s="42" t="s">
        <v>940</v>
      </c>
      <c r="I156" s="43" t="s">
        <v>941</v>
      </c>
      <c r="J156" s="43">
        <v>2025.0</v>
      </c>
      <c r="K156" s="43" t="s">
        <v>410</v>
      </c>
      <c r="L156" s="43"/>
      <c r="M156" s="43"/>
      <c r="N156" s="43"/>
      <c r="O156" s="43"/>
      <c r="P156" s="43"/>
      <c r="Q156" s="43" t="s">
        <v>942</v>
      </c>
      <c r="R156" s="43" t="s">
        <v>943</v>
      </c>
      <c r="S156" s="44"/>
      <c r="T156" s="43"/>
      <c r="U156" s="43"/>
      <c r="V156" s="39"/>
      <c r="W156" s="39"/>
      <c r="X156" s="39"/>
      <c r="Y156" s="39"/>
      <c r="Z156" s="46"/>
      <c r="AA156" s="47" t="s">
        <v>944</v>
      </c>
      <c r="AB156" s="48" t="s">
        <v>61</v>
      </c>
      <c r="AC156" s="68" t="s">
        <v>61</v>
      </c>
      <c r="AD156" s="69" t="s">
        <v>61</v>
      </c>
      <c r="AE156" s="69" t="s">
        <v>61</v>
      </c>
      <c r="AF156" s="68" t="s">
        <v>61</v>
      </c>
      <c r="AG156" s="68" t="s">
        <v>61</v>
      </c>
      <c r="AH156" s="68" t="s">
        <v>61</v>
      </c>
      <c r="AI156" s="70" t="s">
        <v>61</v>
      </c>
      <c r="AJ156" s="49" t="s">
        <v>61</v>
      </c>
      <c r="AK156" s="46"/>
    </row>
    <row r="157" ht="24.0" customHeight="1">
      <c r="A157" s="88"/>
      <c r="B157" s="36">
        <v>1.0</v>
      </c>
      <c r="C157" s="37" t="str">
        <f>IFERROR(__xludf.DUMMYFUNCTION("""COMPUTED_VALUE"""),"Joe Montembeau (XX) - '25  GA")</f>
        <v>Joe Montembeau (XX) - '25  GA</v>
      </c>
      <c r="D157" s="38" t="s">
        <v>945</v>
      </c>
      <c r="E157" s="51" t="s">
        <v>61</v>
      </c>
      <c r="F157" s="52"/>
      <c r="G157" s="53"/>
      <c r="H157" s="54" t="s">
        <v>946</v>
      </c>
      <c r="I157" s="55" t="s">
        <v>947</v>
      </c>
      <c r="J157" s="55">
        <v>2025.0</v>
      </c>
      <c r="K157" s="55" t="s">
        <v>410</v>
      </c>
      <c r="L157" s="55"/>
      <c r="M157" s="55"/>
      <c r="N157" s="55"/>
      <c r="O157" s="55"/>
      <c r="P157" s="55"/>
      <c r="Q157" s="55" t="s">
        <v>43</v>
      </c>
      <c r="R157" s="55" t="s">
        <v>44</v>
      </c>
      <c r="S157" s="58" t="s">
        <v>891</v>
      </c>
      <c r="T157" s="55"/>
      <c r="U157" s="55"/>
      <c r="V157" s="51"/>
      <c r="W157" s="51"/>
      <c r="X157" s="51"/>
      <c r="Y157" s="51"/>
      <c r="Z157" s="60"/>
      <c r="AA157" s="73" t="s">
        <v>948</v>
      </c>
      <c r="AB157" s="62" t="s">
        <v>61</v>
      </c>
      <c r="AC157" s="63" t="s">
        <v>61</v>
      </c>
      <c r="AD157" s="64" t="s">
        <v>61</v>
      </c>
      <c r="AE157" s="64" t="s">
        <v>61</v>
      </c>
      <c r="AF157" s="63" t="s">
        <v>61</v>
      </c>
      <c r="AG157" s="63" t="s">
        <v>61</v>
      </c>
      <c r="AH157" s="63" t="s">
        <v>61</v>
      </c>
      <c r="AI157" s="65" t="s">
        <v>61</v>
      </c>
      <c r="AJ157" s="66" t="s">
        <v>61</v>
      </c>
      <c r="AK157" s="60"/>
    </row>
    <row r="158" ht="24.0" customHeight="1">
      <c r="A158" s="35"/>
      <c r="B158" s="36">
        <v>1.0</v>
      </c>
      <c r="C158" s="37" t="str">
        <f>IFERROR(__xludf.DUMMYFUNCTION("""COMPUTED_VALUE"""),"Joel Lopez (XX) - '25  GA")</f>
        <v>Joel Lopez (XX) - '25  GA</v>
      </c>
      <c r="D158" s="38" t="s">
        <v>949</v>
      </c>
      <c r="E158" s="39" t="s">
        <v>61</v>
      </c>
      <c r="F158" s="40"/>
      <c r="G158" s="41"/>
      <c r="H158" s="42" t="s">
        <v>950</v>
      </c>
      <c r="I158" s="43" t="s">
        <v>951</v>
      </c>
      <c r="J158" s="43">
        <v>2025.0</v>
      </c>
      <c r="K158" s="43" t="s">
        <v>410</v>
      </c>
      <c r="L158" s="80"/>
      <c r="M158" s="43"/>
      <c r="N158" s="43"/>
      <c r="O158" s="43"/>
      <c r="P158" s="80"/>
      <c r="Q158" s="43" t="s">
        <v>43</v>
      </c>
      <c r="R158" s="43"/>
      <c r="S158" s="44"/>
      <c r="T158" s="43"/>
      <c r="U158" s="43"/>
      <c r="V158" s="94"/>
      <c r="W158" s="39"/>
      <c r="X158" s="94"/>
      <c r="Y158" s="94"/>
      <c r="Z158" s="46"/>
      <c r="AA158" s="47" t="s">
        <v>952</v>
      </c>
      <c r="AB158" s="48" t="s">
        <v>61</v>
      </c>
      <c r="AC158" s="68" t="s">
        <v>61</v>
      </c>
      <c r="AD158" s="69" t="s">
        <v>61</v>
      </c>
      <c r="AE158" s="69" t="s">
        <v>61</v>
      </c>
      <c r="AF158" s="68" t="s">
        <v>61</v>
      </c>
      <c r="AG158" s="68" t="s">
        <v>61</v>
      </c>
      <c r="AH158" s="68" t="s">
        <v>61</v>
      </c>
      <c r="AI158" s="70" t="s">
        <v>61</v>
      </c>
      <c r="AJ158" s="49" t="s">
        <v>61</v>
      </c>
      <c r="AK158" s="46"/>
    </row>
    <row r="159" ht="24.0" customHeight="1">
      <c r="A159" s="35"/>
      <c r="B159" s="36">
        <v>1.0</v>
      </c>
      <c r="C159" s="37" t="str">
        <f>IFERROR(__xludf.DUMMYFUNCTION("""COMPUTED_VALUE"""),"Joey Arend (XX) - '25  IL")</f>
        <v>Joey Arend (XX) - '25  IL</v>
      </c>
      <c r="D159" s="38" t="s">
        <v>953</v>
      </c>
      <c r="E159" s="51" t="s">
        <v>61</v>
      </c>
      <c r="F159" s="52"/>
      <c r="G159" s="53"/>
      <c r="H159" s="54" t="s">
        <v>954</v>
      </c>
      <c r="I159" s="55" t="s">
        <v>955</v>
      </c>
      <c r="J159" s="55">
        <v>2025.0</v>
      </c>
      <c r="K159" s="55" t="s">
        <v>410</v>
      </c>
      <c r="L159" s="55"/>
      <c r="M159" s="55"/>
      <c r="N159" s="55"/>
      <c r="O159" s="55"/>
      <c r="P159" s="55"/>
      <c r="Q159" s="55" t="s">
        <v>307</v>
      </c>
      <c r="R159" s="55" t="s">
        <v>956</v>
      </c>
      <c r="S159" s="58"/>
      <c r="T159" s="55"/>
      <c r="U159" s="55"/>
      <c r="V159" s="51"/>
      <c r="W159" s="51"/>
      <c r="X159" s="51"/>
      <c r="Y159" s="51"/>
      <c r="Z159" s="60"/>
      <c r="AA159" s="73" t="s">
        <v>957</v>
      </c>
      <c r="AB159" s="62" t="s">
        <v>61</v>
      </c>
      <c r="AC159" s="63" t="s">
        <v>61</v>
      </c>
      <c r="AD159" s="64" t="s">
        <v>61</v>
      </c>
      <c r="AE159" s="64" t="s">
        <v>61</v>
      </c>
      <c r="AF159" s="63" t="s">
        <v>61</v>
      </c>
      <c r="AG159" s="63" t="s">
        <v>61</v>
      </c>
      <c r="AH159" s="63" t="s">
        <v>61</v>
      </c>
      <c r="AI159" s="65" t="s">
        <v>61</v>
      </c>
      <c r="AJ159" s="66" t="s">
        <v>61</v>
      </c>
      <c r="AK159" s="60"/>
    </row>
    <row r="160" ht="24.0" customHeight="1">
      <c r="A160" s="35"/>
      <c r="B160" s="36">
        <v>1.0</v>
      </c>
      <c r="C160" s="37" t="str">
        <f>IFERROR(__xludf.DUMMYFUNCTION("""COMPUTED_VALUE"""),"John Bingham (XX) - '25  KY")</f>
        <v>John Bingham (XX) - '25  KY</v>
      </c>
      <c r="D160" s="38" t="s">
        <v>958</v>
      </c>
      <c r="E160" s="39" t="s">
        <v>61</v>
      </c>
      <c r="F160" s="40"/>
      <c r="G160" s="41"/>
      <c r="H160" s="42" t="s">
        <v>39</v>
      </c>
      <c r="I160" s="43" t="s">
        <v>959</v>
      </c>
      <c r="J160" s="43">
        <v>2025.0</v>
      </c>
      <c r="K160" s="43" t="s">
        <v>410</v>
      </c>
      <c r="L160" s="80"/>
      <c r="M160" s="43"/>
      <c r="N160" s="95"/>
      <c r="O160" s="43"/>
      <c r="P160" s="80"/>
      <c r="Q160" s="43" t="s">
        <v>543</v>
      </c>
      <c r="R160" s="43" t="s">
        <v>960</v>
      </c>
      <c r="S160" s="44"/>
      <c r="T160" s="43"/>
      <c r="U160" s="43"/>
      <c r="V160" s="94"/>
      <c r="W160" s="39"/>
      <c r="X160" s="94"/>
      <c r="Y160" s="94"/>
      <c r="Z160" s="46"/>
      <c r="AA160" s="47" t="s">
        <v>961</v>
      </c>
      <c r="AB160" s="48" t="s">
        <v>61</v>
      </c>
      <c r="AC160" s="68" t="s">
        <v>61</v>
      </c>
      <c r="AD160" s="69" t="s">
        <v>61</v>
      </c>
      <c r="AE160" s="69" t="s">
        <v>61</v>
      </c>
      <c r="AF160" s="68" t="s">
        <v>61</v>
      </c>
      <c r="AG160" s="68" t="s">
        <v>61</v>
      </c>
      <c r="AH160" s="68" t="s">
        <v>61</v>
      </c>
      <c r="AI160" s="70" t="s">
        <v>61</v>
      </c>
      <c r="AJ160" s="49" t="s">
        <v>61</v>
      </c>
      <c r="AK160" s="46"/>
    </row>
    <row r="161" ht="24.0" customHeight="1">
      <c r="A161" s="35"/>
      <c r="B161" s="36">
        <v>1.0</v>
      </c>
      <c r="C161" s="37" t="str">
        <f>IFERROR(__xludf.DUMMYFUNCTION("""COMPUTED_VALUE"""),"John Davis (XX) - '25  GA")</f>
        <v>John Davis (XX) - '25  GA</v>
      </c>
      <c r="D161" s="38" t="s">
        <v>962</v>
      </c>
      <c r="E161" s="51" t="s">
        <v>61</v>
      </c>
      <c r="F161" s="52"/>
      <c r="G161" s="53"/>
      <c r="H161" s="54" t="s">
        <v>39</v>
      </c>
      <c r="I161" s="55" t="s">
        <v>245</v>
      </c>
      <c r="J161" s="55">
        <v>2025.0</v>
      </c>
      <c r="K161" s="55" t="s">
        <v>410</v>
      </c>
      <c r="L161" s="57"/>
      <c r="M161" s="55"/>
      <c r="N161" s="57"/>
      <c r="O161" s="55"/>
      <c r="P161" s="55"/>
      <c r="Q161" s="55" t="s">
        <v>43</v>
      </c>
      <c r="R161" s="55" t="s">
        <v>963</v>
      </c>
      <c r="S161" s="58"/>
      <c r="T161" s="55"/>
      <c r="U161" s="55"/>
      <c r="V161" s="51"/>
      <c r="W161" s="51"/>
      <c r="X161" s="51"/>
      <c r="Y161" s="51"/>
      <c r="Z161" s="60"/>
      <c r="AA161" s="73" t="s">
        <v>964</v>
      </c>
      <c r="AB161" s="62" t="s">
        <v>61</v>
      </c>
      <c r="AC161" s="63" t="s">
        <v>61</v>
      </c>
      <c r="AD161" s="64" t="s">
        <v>61</v>
      </c>
      <c r="AE161" s="64" t="s">
        <v>61</v>
      </c>
      <c r="AF161" s="63" t="s">
        <v>61</v>
      </c>
      <c r="AG161" s="63" t="s">
        <v>61</v>
      </c>
      <c r="AH161" s="63" t="s">
        <v>61</v>
      </c>
      <c r="AI161" s="65" t="s">
        <v>61</v>
      </c>
      <c r="AJ161" s="66" t="s">
        <v>61</v>
      </c>
      <c r="AK161" s="60"/>
    </row>
    <row r="162" ht="24.0" customHeight="1">
      <c r="A162" s="35"/>
      <c r="B162" s="36">
        <v>1.0</v>
      </c>
      <c r="C162" s="37" t="str">
        <f>IFERROR(__xludf.DUMMYFUNCTION("""COMPUTED_VALUE"""),"Jordan Regulski (XX) - '25  MD")</f>
        <v>Jordan Regulski (XX) - '25  MD</v>
      </c>
      <c r="D162" s="38" t="s">
        <v>965</v>
      </c>
      <c r="E162" s="39" t="s">
        <v>61</v>
      </c>
      <c r="F162" s="40"/>
      <c r="G162" s="41"/>
      <c r="H162" s="42" t="s">
        <v>966</v>
      </c>
      <c r="I162" s="43" t="s">
        <v>967</v>
      </c>
      <c r="J162" s="43">
        <v>2025.0</v>
      </c>
      <c r="K162" s="43" t="s">
        <v>410</v>
      </c>
      <c r="L162" s="43"/>
      <c r="M162" s="43"/>
      <c r="N162" s="43"/>
      <c r="O162" s="43"/>
      <c r="P162" s="43"/>
      <c r="Q162" s="43" t="s">
        <v>195</v>
      </c>
      <c r="R162" s="43" t="s">
        <v>968</v>
      </c>
      <c r="S162" s="44"/>
      <c r="T162" s="43"/>
      <c r="U162" s="43"/>
      <c r="V162" s="39"/>
      <c r="W162" s="39"/>
      <c r="X162" s="39"/>
      <c r="Y162" s="39"/>
      <c r="Z162" s="46"/>
      <c r="AA162" s="47" t="s">
        <v>969</v>
      </c>
      <c r="AB162" s="48" t="s">
        <v>61</v>
      </c>
      <c r="AC162" s="68" t="s">
        <v>61</v>
      </c>
      <c r="AD162" s="69" t="s">
        <v>61</v>
      </c>
      <c r="AE162" s="69" t="s">
        <v>61</v>
      </c>
      <c r="AF162" s="68" t="s">
        <v>61</v>
      </c>
      <c r="AG162" s="68" t="s">
        <v>61</v>
      </c>
      <c r="AH162" s="68" t="s">
        <v>61</v>
      </c>
      <c r="AI162" s="70" t="s">
        <v>61</v>
      </c>
      <c r="AJ162" s="49" t="s">
        <v>61</v>
      </c>
      <c r="AK162" s="46"/>
    </row>
    <row r="163" ht="24.0" customHeight="1">
      <c r="A163" s="35"/>
      <c r="B163" s="36">
        <v>1.0</v>
      </c>
      <c r="C163" s="37" t="str">
        <f>IFERROR(__xludf.DUMMYFUNCTION("""COMPUTED_VALUE"""),"Joseph Vaccarella (XX) - '25  NJ")</f>
        <v>Joseph Vaccarella (XX) - '25  NJ</v>
      </c>
      <c r="D163" s="38" t="s">
        <v>970</v>
      </c>
      <c r="E163" s="51" t="s">
        <v>61</v>
      </c>
      <c r="F163" s="52"/>
      <c r="G163" s="53"/>
      <c r="H163" s="54" t="s">
        <v>971</v>
      </c>
      <c r="I163" s="55" t="s">
        <v>972</v>
      </c>
      <c r="J163" s="55">
        <v>2025.0</v>
      </c>
      <c r="K163" s="55" t="s">
        <v>410</v>
      </c>
      <c r="L163" s="55"/>
      <c r="M163" s="55"/>
      <c r="N163" s="55"/>
      <c r="O163" s="55"/>
      <c r="P163" s="55"/>
      <c r="Q163" s="55" t="s">
        <v>502</v>
      </c>
      <c r="R163" s="55" t="s">
        <v>973</v>
      </c>
      <c r="S163" s="58"/>
      <c r="T163" s="55"/>
      <c r="U163" s="55"/>
      <c r="V163" s="51"/>
      <c r="W163" s="51"/>
      <c r="X163" s="51"/>
      <c r="Y163" s="51"/>
      <c r="Z163" s="60"/>
      <c r="AA163" s="73"/>
      <c r="AB163" s="62" t="s">
        <v>974</v>
      </c>
      <c r="AC163" s="63" t="s">
        <v>975</v>
      </c>
      <c r="AD163" s="64" t="s">
        <v>976</v>
      </c>
      <c r="AE163" s="64" t="s">
        <v>977</v>
      </c>
      <c r="AF163" s="63" t="s">
        <v>60</v>
      </c>
      <c r="AG163" s="63" t="s">
        <v>81</v>
      </c>
      <c r="AH163" s="63" t="s">
        <v>81</v>
      </c>
      <c r="AI163" s="65" t="s">
        <v>81</v>
      </c>
      <c r="AJ163" s="66" t="s">
        <v>61</v>
      </c>
      <c r="AK163" s="60"/>
    </row>
    <row r="164" ht="24.0" customHeight="1">
      <c r="A164" s="35"/>
      <c r="B164" s="36">
        <v>1.0</v>
      </c>
      <c r="C164" s="37" t="str">
        <f>IFERROR(__xludf.DUMMYFUNCTION("""COMPUTED_VALUE"""),"Josh Jannicelli (XX) - '25  CA")</f>
        <v>Josh Jannicelli (XX) - '25  CA</v>
      </c>
      <c r="D164" s="89" t="s">
        <v>978</v>
      </c>
      <c r="E164" s="39" t="s">
        <v>61</v>
      </c>
      <c r="F164" s="40"/>
      <c r="G164" s="41"/>
      <c r="H164" s="42" t="s">
        <v>979</v>
      </c>
      <c r="I164" s="43" t="s">
        <v>980</v>
      </c>
      <c r="J164" s="43">
        <v>2025.0</v>
      </c>
      <c r="K164" s="43" t="s">
        <v>410</v>
      </c>
      <c r="L164" s="80"/>
      <c r="M164" s="43"/>
      <c r="N164" s="43"/>
      <c r="O164" s="43"/>
      <c r="P164" s="80"/>
      <c r="Q164" s="43" t="s">
        <v>52</v>
      </c>
      <c r="R164" s="43" t="s">
        <v>981</v>
      </c>
      <c r="S164" s="44"/>
      <c r="T164" s="43"/>
      <c r="U164" s="43"/>
      <c r="V164" s="109"/>
      <c r="W164" s="39"/>
      <c r="X164" s="109"/>
      <c r="Y164" s="109"/>
      <c r="Z164" s="82"/>
      <c r="AA164" s="47" t="s">
        <v>982</v>
      </c>
      <c r="AB164" s="48" t="s">
        <v>61</v>
      </c>
      <c r="AC164" s="68" t="s">
        <v>61</v>
      </c>
      <c r="AD164" s="69" t="s">
        <v>61</v>
      </c>
      <c r="AE164" s="69" t="s">
        <v>61</v>
      </c>
      <c r="AF164" s="68" t="s">
        <v>61</v>
      </c>
      <c r="AG164" s="68" t="s">
        <v>61</v>
      </c>
      <c r="AH164" s="68" t="s">
        <v>61</v>
      </c>
      <c r="AI164" s="70" t="s">
        <v>61</v>
      </c>
      <c r="AJ164" s="49" t="s">
        <v>61</v>
      </c>
      <c r="AK164" s="46"/>
    </row>
    <row r="165" ht="24.0" customHeight="1">
      <c r="A165" s="35"/>
      <c r="B165" s="36">
        <v>1.0</v>
      </c>
      <c r="C165" s="37" t="str">
        <f>IFERROR(__xludf.DUMMYFUNCTION("""COMPUTED_VALUE"""),"Julius Bagnerise (XX) - '25  VA")</f>
        <v>Julius Bagnerise (XX) - '25  VA</v>
      </c>
      <c r="D165" s="38" t="s">
        <v>983</v>
      </c>
      <c r="E165" s="51" t="s">
        <v>61</v>
      </c>
      <c r="F165" s="52"/>
      <c r="G165" s="53"/>
      <c r="H165" s="54" t="s">
        <v>984</v>
      </c>
      <c r="I165" s="55" t="s">
        <v>985</v>
      </c>
      <c r="J165" s="55">
        <v>2025.0</v>
      </c>
      <c r="K165" s="55" t="s">
        <v>410</v>
      </c>
      <c r="L165" s="55"/>
      <c r="M165" s="55"/>
      <c r="N165" s="55"/>
      <c r="O165" s="55"/>
      <c r="P165" s="55"/>
      <c r="Q165" s="55" t="s">
        <v>125</v>
      </c>
      <c r="R165" s="55" t="s">
        <v>986</v>
      </c>
      <c r="S165" s="58"/>
      <c r="T165" s="55"/>
      <c r="U165" s="55"/>
      <c r="V165" s="51"/>
      <c r="W165" s="51"/>
      <c r="X165" s="51"/>
      <c r="Y165" s="51"/>
      <c r="Z165" s="60"/>
      <c r="AA165" s="73"/>
      <c r="AB165" s="62" t="s">
        <v>61</v>
      </c>
      <c r="AC165" s="63" t="s">
        <v>61</v>
      </c>
      <c r="AD165" s="64" t="s">
        <v>61</v>
      </c>
      <c r="AE165" s="64" t="s">
        <v>61</v>
      </c>
      <c r="AF165" s="63" t="s">
        <v>61</v>
      </c>
      <c r="AG165" s="63" t="s">
        <v>61</v>
      </c>
      <c r="AH165" s="63" t="s">
        <v>61</v>
      </c>
      <c r="AI165" s="65" t="s">
        <v>61</v>
      </c>
      <c r="AJ165" s="66" t="s">
        <v>61</v>
      </c>
      <c r="AK165" s="60"/>
    </row>
    <row r="166" ht="24.0" customHeight="1">
      <c r="A166" s="35"/>
      <c r="B166" s="36">
        <v>1.0</v>
      </c>
      <c r="C166" s="37" t="str">
        <f>IFERROR(__xludf.DUMMYFUNCTION("""COMPUTED_VALUE"""),"Justin Summers (XX) - '25  VA")</f>
        <v>Justin Summers (XX) - '25  VA</v>
      </c>
      <c r="D166" s="38" t="s">
        <v>987</v>
      </c>
      <c r="E166" s="39" t="s">
        <v>61</v>
      </c>
      <c r="F166" s="40"/>
      <c r="G166" s="41"/>
      <c r="H166" s="42" t="s">
        <v>988</v>
      </c>
      <c r="I166" s="43" t="s">
        <v>989</v>
      </c>
      <c r="J166" s="43">
        <v>2025.0</v>
      </c>
      <c r="K166" s="43" t="s">
        <v>410</v>
      </c>
      <c r="L166" s="80"/>
      <c r="M166" s="43"/>
      <c r="N166" s="43"/>
      <c r="O166" s="43"/>
      <c r="P166" s="80"/>
      <c r="Q166" s="43" t="s">
        <v>125</v>
      </c>
      <c r="R166" s="43" t="s">
        <v>207</v>
      </c>
      <c r="S166" s="44"/>
      <c r="T166" s="43"/>
      <c r="U166" s="43"/>
      <c r="V166" s="81"/>
      <c r="W166" s="81"/>
      <c r="X166" s="81"/>
      <c r="Y166" s="81"/>
      <c r="Z166" s="82"/>
      <c r="AA166" s="47" t="s">
        <v>990</v>
      </c>
      <c r="AB166" s="48" t="s">
        <v>61</v>
      </c>
      <c r="AC166" s="68" t="s">
        <v>61</v>
      </c>
      <c r="AD166" s="69" t="s">
        <v>61</v>
      </c>
      <c r="AE166" s="69" t="s">
        <v>61</v>
      </c>
      <c r="AF166" s="68" t="s">
        <v>61</v>
      </c>
      <c r="AG166" s="68" t="s">
        <v>61</v>
      </c>
      <c r="AH166" s="68" t="s">
        <v>61</v>
      </c>
      <c r="AI166" s="70" t="s">
        <v>61</v>
      </c>
      <c r="AJ166" s="49" t="s">
        <v>61</v>
      </c>
      <c r="AK166" s="46"/>
    </row>
    <row r="167" ht="24.0" customHeight="1">
      <c r="A167" s="88"/>
      <c r="B167" s="36">
        <v>1.0</v>
      </c>
      <c r="C167" s="37" t="str">
        <f>IFERROR(__xludf.DUMMYFUNCTION("""COMPUTED_VALUE"""),"JW Kohlmeyer (XX) - '25  VA")</f>
        <v>JW Kohlmeyer (XX) - '25  VA</v>
      </c>
      <c r="D167" s="38" t="s">
        <v>991</v>
      </c>
      <c r="E167" s="51" t="s">
        <v>61</v>
      </c>
      <c r="F167" s="52"/>
      <c r="G167" s="53"/>
      <c r="H167" s="54" t="s">
        <v>992</v>
      </c>
      <c r="I167" s="55" t="s">
        <v>993</v>
      </c>
      <c r="J167" s="55">
        <v>2025.0</v>
      </c>
      <c r="K167" s="55" t="s">
        <v>410</v>
      </c>
      <c r="L167" s="57"/>
      <c r="M167" s="55"/>
      <c r="N167" s="55"/>
      <c r="O167" s="55"/>
      <c r="P167" s="57"/>
      <c r="Q167" s="55" t="s">
        <v>125</v>
      </c>
      <c r="R167" s="55" t="s">
        <v>166</v>
      </c>
      <c r="S167" s="58"/>
      <c r="T167" s="55"/>
      <c r="U167" s="55"/>
      <c r="V167" s="51"/>
      <c r="W167" s="74"/>
      <c r="X167" s="75">
        <v>45979.0</v>
      </c>
      <c r="Y167" s="74"/>
      <c r="Z167" s="76"/>
      <c r="AA167" s="73" t="s">
        <v>994</v>
      </c>
      <c r="AB167" s="62" t="s">
        <v>61</v>
      </c>
      <c r="AC167" s="63" t="s">
        <v>61</v>
      </c>
      <c r="AD167" s="64" t="s">
        <v>61</v>
      </c>
      <c r="AE167" s="64" t="s">
        <v>61</v>
      </c>
      <c r="AF167" s="63" t="s">
        <v>61</v>
      </c>
      <c r="AG167" s="63" t="s">
        <v>61</v>
      </c>
      <c r="AH167" s="63" t="s">
        <v>61</v>
      </c>
      <c r="AI167" s="65" t="s">
        <v>61</v>
      </c>
      <c r="AJ167" s="66" t="s">
        <v>61</v>
      </c>
      <c r="AK167" s="60"/>
    </row>
    <row r="168" ht="24.0" customHeight="1">
      <c r="A168" s="35"/>
      <c r="B168" s="36">
        <v>1.0</v>
      </c>
      <c r="C168" s="37" t="str">
        <f>IFERROR(__xludf.DUMMYFUNCTION("""COMPUTED_VALUE"""),"Kaine Baber (XX) - '25  NC")</f>
        <v>Kaine Baber (XX) - '25  NC</v>
      </c>
      <c r="D168" s="38" t="s">
        <v>995</v>
      </c>
      <c r="E168" s="39" t="s">
        <v>61</v>
      </c>
      <c r="F168" s="40"/>
      <c r="G168" s="41"/>
      <c r="H168" s="42" t="s">
        <v>996</v>
      </c>
      <c r="I168" s="43" t="s">
        <v>997</v>
      </c>
      <c r="J168" s="43">
        <v>2025.0</v>
      </c>
      <c r="K168" s="43" t="s">
        <v>410</v>
      </c>
      <c r="L168" s="80"/>
      <c r="M168" s="43"/>
      <c r="N168" s="80"/>
      <c r="O168" s="43"/>
      <c r="P168" s="43"/>
      <c r="Q168" s="43" t="s">
        <v>73</v>
      </c>
      <c r="R168" s="43"/>
      <c r="S168" s="44"/>
      <c r="T168" s="43"/>
      <c r="U168" s="43"/>
      <c r="V168" s="39"/>
      <c r="W168" s="39"/>
      <c r="X168" s="39"/>
      <c r="Y168" s="39"/>
      <c r="Z168" s="46"/>
      <c r="AA168" s="47" t="s">
        <v>998</v>
      </c>
      <c r="AB168" s="48" t="s">
        <v>61</v>
      </c>
      <c r="AC168" s="68" t="s">
        <v>61</v>
      </c>
      <c r="AD168" s="69" t="s">
        <v>61</v>
      </c>
      <c r="AE168" s="69" t="s">
        <v>61</v>
      </c>
      <c r="AF168" s="68" t="s">
        <v>61</v>
      </c>
      <c r="AG168" s="68" t="s">
        <v>61</v>
      </c>
      <c r="AH168" s="68" t="s">
        <v>61</v>
      </c>
      <c r="AI168" s="70" t="s">
        <v>61</v>
      </c>
      <c r="AJ168" s="49" t="s">
        <v>61</v>
      </c>
      <c r="AK168" s="46"/>
    </row>
    <row r="169" ht="24.0" customHeight="1">
      <c r="A169" s="35"/>
      <c r="B169" s="36">
        <v>1.0</v>
      </c>
      <c r="C169" s="37" t="str">
        <f>IFERROR(__xludf.DUMMYFUNCTION("""COMPUTED_VALUE"""),"Kaleb Williams (XX) - '25  VA")</f>
        <v>Kaleb Williams (XX) - '25  VA</v>
      </c>
      <c r="D169" s="38" t="s">
        <v>999</v>
      </c>
      <c r="E169" s="51" t="s">
        <v>61</v>
      </c>
      <c r="F169" s="52"/>
      <c r="G169" s="53"/>
      <c r="H169" s="54" t="s">
        <v>1000</v>
      </c>
      <c r="I169" s="55" t="s">
        <v>1001</v>
      </c>
      <c r="J169" s="55">
        <v>2025.0</v>
      </c>
      <c r="K169" s="55" t="s">
        <v>410</v>
      </c>
      <c r="L169" s="55"/>
      <c r="M169" s="55"/>
      <c r="N169" s="55"/>
      <c r="O169" s="55"/>
      <c r="P169" s="55"/>
      <c r="Q169" s="55" t="s">
        <v>125</v>
      </c>
      <c r="R169" s="55" t="s">
        <v>1002</v>
      </c>
      <c r="S169" s="58"/>
      <c r="T169" s="55"/>
      <c r="U169" s="55"/>
      <c r="V169" s="51"/>
      <c r="W169" s="51"/>
      <c r="X169" s="51"/>
      <c r="Y169" s="51"/>
      <c r="Z169" s="60"/>
      <c r="AA169" s="73" t="s">
        <v>1003</v>
      </c>
      <c r="AB169" s="62" t="s">
        <v>61</v>
      </c>
      <c r="AC169" s="63" t="s">
        <v>61</v>
      </c>
      <c r="AD169" s="64" t="s">
        <v>61</v>
      </c>
      <c r="AE169" s="64" t="s">
        <v>61</v>
      </c>
      <c r="AF169" s="63" t="s">
        <v>61</v>
      </c>
      <c r="AG169" s="63" t="s">
        <v>61</v>
      </c>
      <c r="AH169" s="63" t="s">
        <v>61</v>
      </c>
      <c r="AI169" s="65" t="s">
        <v>61</v>
      </c>
      <c r="AJ169" s="66" t="s">
        <v>61</v>
      </c>
      <c r="AK169" s="60"/>
    </row>
    <row r="170" ht="24.0" customHeight="1">
      <c r="A170" s="35"/>
      <c r="B170" s="36">
        <v>1.0</v>
      </c>
      <c r="C170" s="37" t="str">
        <f>IFERROR(__xludf.DUMMYFUNCTION("""COMPUTED_VALUE"""),"Kevin Ruff (XX) - '25  PA")</f>
        <v>Kevin Ruff (XX) - '25  PA</v>
      </c>
      <c r="D170" s="38" t="s">
        <v>1004</v>
      </c>
      <c r="E170" s="39" t="s">
        <v>61</v>
      </c>
      <c r="F170" s="40"/>
      <c r="G170" s="41"/>
      <c r="H170" s="42" t="s">
        <v>1005</v>
      </c>
      <c r="I170" s="43" t="s">
        <v>1006</v>
      </c>
      <c r="J170" s="43">
        <v>2025.0</v>
      </c>
      <c r="K170" s="43" t="s">
        <v>410</v>
      </c>
      <c r="L170" s="43"/>
      <c r="M170" s="43"/>
      <c r="N170" s="43"/>
      <c r="O170" s="43"/>
      <c r="P170" s="43"/>
      <c r="Q170" s="43" t="s">
        <v>240</v>
      </c>
      <c r="R170" s="43" t="s">
        <v>1007</v>
      </c>
      <c r="S170" s="44" t="s">
        <v>1008</v>
      </c>
      <c r="T170" s="43"/>
      <c r="U170" s="43"/>
      <c r="V170" s="39"/>
      <c r="W170" s="39"/>
      <c r="X170" s="39"/>
      <c r="Y170" s="39"/>
      <c r="Z170" s="46"/>
      <c r="AA170" s="47" t="s">
        <v>1009</v>
      </c>
      <c r="AB170" s="48" t="s">
        <v>61</v>
      </c>
      <c r="AC170" s="68" t="s">
        <v>61</v>
      </c>
      <c r="AD170" s="69" t="s">
        <v>61</v>
      </c>
      <c r="AE170" s="69" t="s">
        <v>61</v>
      </c>
      <c r="AF170" s="68" t="s">
        <v>61</v>
      </c>
      <c r="AG170" s="68" t="s">
        <v>61</v>
      </c>
      <c r="AH170" s="68" t="s">
        <v>61</v>
      </c>
      <c r="AI170" s="70" t="s">
        <v>61</v>
      </c>
      <c r="AJ170" s="49" t="s">
        <v>61</v>
      </c>
      <c r="AK170" s="46"/>
    </row>
    <row r="171" ht="24.0" customHeight="1">
      <c r="A171" s="35"/>
      <c r="B171" s="36">
        <v>1.0</v>
      </c>
      <c r="C171" s="37" t="str">
        <f>IFERROR(__xludf.DUMMYFUNCTION("""COMPUTED_VALUE"""),"KJ Hart (XX) - '25  GA")</f>
        <v>KJ Hart (XX) - '25  GA</v>
      </c>
      <c r="D171" s="38" t="s">
        <v>1010</v>
      </c>
      <c r="E171" s="51" t="s">
        <v>61</v>
      </c>
      <c r="F171" s="52"/>
      <c r="G171" s="53"/>
      <c r="H171" s="54" t="s">
        <v>1011</v>
      </c>
      <c r="I171" s="55" t="s">
        <v>1012</v>
      </c>
      <c r="J171" s="55">
        <v>2025.0</v>
      </c>
      <c r="K171" s="55" t="s">
        <v>410</v>
      </c>
      <c r="L171" s="55"/>
      <c r="M171" s="55"/>
      <c r="N171" s="55"/>
      <c r="O171" s="55"/>
      <c r="P171" s="55"/>
      <c r="Q171" s="55" t="s">
        <v>43</v>
      </c>
      <c r="R171" s="55" t="s">
        <v>1013</v>
      </c>
      <c r="S171" s="58"/>
      <c r="T171" s="55"/>
      <c r="U171" s="55"/>
      <c r="V171" s="51"/>
      <c r="W171" s="51"/>
      <c r="X171" s="51"/>
      <c r="Y171" s="51"/>
      <c r="Z171" s="60"/>
      <c r="AA171" s="73" t="s">
        <v>1014</v>
      </c>
      <c r="AB171" s="62" t="s">
        <v>61</v>
      </c>
      <c r="AC171" s="63" t="s">
        <v>61</v>
      </c>
      <c r="AD171" s="64" t="s">
        <v>61</v>
      </c>
      <c r="AE171" s="64" t="s">
        <v>61</v>
      </c>
      <c r="AF171" s="63" t="s">
        <v>61</v>
      </c>
      <c r="AG171" s="63" t="s">
        <v>61</v>
      </c>
      <c r="AH171" s="63" t="s">
        <v>61</v>
      </c>
      <c r="AI171" s="65" t="s">
        <v>61</v>
      </c>
      <c r="AJ171" s="66" t="s">
        <v>61</v>
      </c>
      <c r="AK171" s="60"/>
    </row>
    <row r="172" ht="24.0" customHeight="1">
      <c r="A172" s="35"/>
      <c r="B172" s="36">
        <v>1.0</v>
      </c>
      <c r="C172" s="37" t="str">
        <f>IFERROR(__xludf.DUMMYFUNCTION("""COMPUTED_VALUE"""),"Landon Ludwig (XX) - '25  GA")</f>
        <v>Landon Ludwig (XX) - '25  GA</v>
      </c>
      <c r="D172" s="38" t="s">
        <v>1015</v>
      </c>
      <c r="E172" s="39" t="s">
        <v>61</v>
      </c>
      <c r="F172" s="40"/>
      <c r="G172" s="41"/>
      <c r="H172" s="42" t="s">
        <v>1016</v>
      </c>
      <c r="I172" s="43" t="s">
        <v>1017</v>
      </c>
      <c r="J172" s="43">
        <v>2025.0</v>
      </c>
      <c r="K172" s="43" t="s">
        <v>410</v>
      </c>
      <c r="L172" s="43"/>
      <c r="M172" s="43"/>
      <c r="N172" s="43"/>
      <c r="O172" s="43"/>
      <c r="P172" s="43"/>
      <c r="Q172" s="43" t="s">
        <v>43</v>
      </c>
      <c r="R172" s="43" t="s">
        <v>223</v>
      </c>
      <c r="S172" s="44"/>
      <c r="T172" s="43"/>
      <c r="U172" s="43"/>
      <c r="V172" s="39"/>
      <c r="W172" s="39"/>
      <c r="X172" s="39"/>
      <c r="Y172" s="39"/>
      <c r="Z172" s="46"/>
      <c r="AA172" s="47" t="s">
        <v>1018</v>
      </c>
      <c r="AB172" s="48" t="s">
        <v>61</v>
      </c>
      <c r="AC172" s="68" t="s">
        <v>61</v>
      </c>
      <c r="AD172" s="69" t="s">
        <v>61</v>
      </c>
      <c r="AE172" s="69" t="s">
        <v>61</v>
      </c>
      <c r="AF172" s="68" t="s">
        <v>61</v>
      </c>
      <c r="AG172" s="68" t="s">
        <v>61</v>
      </c>
      <c r="AH172" s="68" t="s">
        <v>61</v>
      </c>
      <c r="AI172" s="70" t="s">
        <v>61</v>
      </c>
      <c r="AJ172" s="49" t="s">
        <v>61</v>
      </c>
      <c r="AK172" s="46"/>
    </row>
    <row r="173" ht="24.0" customHeight="1">
      <c r="A173" s="35"/>
      <c r="B173" s="36">
        <v>1.0</v>
      </c>
      <c r="C173" s="37" t="str">
        <f>IFERROR(__xludf.DUMMYFUNCTION("""COMPUTED_VALUE"""),"Liam Arsich (XX) - '25  IL")</f>
        <v>Liam Arsich (XX) - '25  IL</v>
      </c>
      <c r="D173" s="89" t="s">
        <v>1019</v>
      </c>
      <c r="E173" s="51" t="s">
        <v>61</v>
      </c>
      <c r="F173" s="52"/>
      <c r="G173" s="53"/>
      <c r="H173" s="54" t="s">
        <v>1020</v>
      </c>
      <c r="I173" s="55" t="s">
        <v>1021</v>
      </c>
      <c r="J173" s="55">
        <v>2025.0</v>
      </c>
      <c r="K173" s="55" t="s">
        <v>410</v>
      </c>
      <c r="L173" s="55"/>
      <c r="M173" s="55"/>
      <c r="N173" s="55"/>
      <c r="O173" s="55"/>
      <c r="P173" s="57"/>
      <c r="Q173" s="55" t="s">
        <v>307</v>
      </c>
      <c r="R173" s="55" t="s">
        <v>1022</v>
      </c>
      <c r="S173" s="58" t="s">
        <v>1023</v>
      </c>
      <c r="T173" s="55"/>
      <c r="U173" s="55"/>
      <c r="V173" s="51"/>
      <c r="W173" s="51"/>
      <c r="X173" s="51"/>
      <c r="Y173" s="51"/>
      <c r="Z173" s="60"/>
      <c r="AA173" s="73" t="s">
        <v>1024</v>
      </c>
      <c r="AB173" s="62" t="s">
        <v>61</v>
      </c>
      <c r="AC173" s="63" t="s">
        <v>61</v>
      </c>
      <c r="AD173" s="64" t="s">
        <v>61</v>
      </c>
      <c r="AE173" s="64" t="s">
        <v>61</v>
      </c>
      <c r="AF173" s="63" t="s">
        <v>61</v>
      </c>
      <c r="AG173" s="63" t="s">
        <v>61</v>
      </c>
      <c r="AH173" s="63" t="s">
        <v>61</v>
      </c>
      <c r="AI173" s="65" t="s">
        <v>61</v>
      </c>
      <c r="AJ173" s="66" t="s">
        <v>61</v>
      </c>
      <c r="AK173" s="60"/>
    </row>
    <row r="174" ht="24.0" customHeight="1">
      <c r="A174" s="35"/>
      <c r="B174" s="36">
        <v>1.0</v>
      </c>
      <c r="C174" s="37" t="str">
        <f>IFERROR(__xludf.DUMMYFUNCTION("""COMPUTED_VALUE"""),"Logan Davis (XX) - '25  NC")</f>
        <v>Logan Davis (XX) - '25  NC</v>
      </c>
      <c r="D174" s="38" t="s">
        <v>1025</v>
      </c>
      <c r="E174" s="39" t="s">
        <v>61</v>
      </c>
      <c r="F174" s="40"/>
      <c r="G174" s="41"/>
      <c r="H174" s="42" t="s">
        <v>1026</v>
      </c>
      <c r="I174" s="43" t="s">
        <v>245</v>
      </c>
      <c r="J174" s="43">
        <v>2025.0</v>
      </c>
      <c r="K174" s="43" t="s">
        <v>410</v>
      </c>
      <c r="L174" s="43"/>
      <c r="M174" s="43"/>
      <c r="N174" s="43"/>
      <c r="O174" s="43"/>
      <c r="P174" s="80"/>
      <c r="Q174" s="43" t="s">
        <v>73</v>
      </c>
      <c r="R174" s="43" t="s">
        <v>1027</v>
      </c>
      <c r="S174" s="44"/>
      <c r="T174" s="43"/>
      <c r="U174" s="43"/>
      <c r="V174" s="39"/>
      <c r="W174" s="39"/>
      <c r="X174" s="39"/>
      <c r="Y174" s="39"/>
      <c r="Z174" s="46"/>
      <c r="AA174" s="47" t="s">
        <v>1028</v>
      </c>
      <c r="AB174" s="48" t="s">
        <v>61</v>
      </c>
      <c r="AC174" s="68" t="s">
        <v>61</v>
      </c>
      <c r="AD174" s="69" t="s">
        <v>61</v>
      </c>
      <c r="AE174" s="69" t="s">
        <v>61</v>
      </c>
      <c r="AF174" s="68" t="s">
        <v>61</v>
      </c>
      <c r="AG174" s="68" t="s">
        <v>61</v>
      </c>
      <c r="AH174" s="68" t="s">
        <v>61</v>
      </c>
      <c r="AI174" s="70" t="s">
        <v>61</v>
      </c>
      <c r="AJ174" s="49" t="s">
        <v>61</v>
      </c>
      <c r="AK174" s="46"/>
    </row>
    <row r="175" ht="24.0" customHeight="1">
      <c r="A175" s="35"/>
      <c r="B175" s="36">
        <v>1.0</v>
      </c>
      <c r="C175" s="37" t="str">
        <f>IFERROR(__xludf.DUMMYFUNCTION("""COMPUTED_VALUE"""),"Lucas Grant (XX) - '25  IL")</f>
        <v>Lucas Grant (XX) - '25  IL</v>
      </c>
      <c r="D175" s="38" t="s">
        <v>1029</v>
      </c>
      <c r="E175" s="51" t="s">
        <v>61</v>
      </c>
      <c r="F175" s="52"/>
      <c r="G175" s="53"/>
      <c r="H175" s="54" t="s">
        <v>151</v>
      </c>
      <c r="I175" s="55" t="s">
        <v>278</v>
      </c>
      <c r="J175" s="55">
        <v>2025.0</v>
      </c>
      <c r="K175" s="55" t="s">
        <v>410</v>
      </c>
      <c r="L175" s="55"/>
      <c r="M175" s="55"/>
      <c r="N175" s="55"/>
      <c r="O175" s="55"/>
      <c r="P175" s="55"/>
      <c r="Q175" s="55" t="s">
        <v>307</v>
      </c>
      <c r="R175" s="55" t="s">
        <v>1030</v>
      </c>
      <c r="S175" s="58" t="s">
        <v>1031</v>
      </c>
      <c r="T175" s="55"/>
      <c r="U175" s="55"/>
      <c r="V175" s="51"/>
      <c r="W175" s="51"/>
      <c r="X175" s="51"/>
      <c r="Y175" s="51"/>
      <c r="Z175" s="60"/>
      <c r="AA175" s="73" t="s">
        <v>1032</v>
      </c>
      <c r="AB175" s="62" t="s">
        <v>61</v>
      </c>
      <c r="AC175" s="63" t="s">
        <v>61</v>
      </c>
      <c r="AD175" s="64" t="s">
        <v>61</v>
      </c>
      <c r="AE175" s="64" t="s">
        <v>61</v>
      </c>
      <c r="AF175" s="63" t="s">
        <v>61</v>
      </c>
      <c r="AG175" s="63" t="s">
        <v>61</v>
      </c>
      <c r="AH175" s="63" t="s">
        <v>61</v>
      </c>
      <c r="AI175" s="65" t="s">
        <v>61</v>
      </c>
      <c r="AJ175" s="66" t="s">
        <v>61</v>
      </c>
      <c r="AK175" s="60"/>
    </row>
    <row r="176" ht="24.0" customHeight="1">
      <c r="A176" s="35"/>
      <c r="B176" s="36">
        <v>1.0</v>
      </c>
      <c r="C176" s="37" t="str">
        <f>IFERROR(__xludf.DUMMYFUNCTION("""COMPUTED_VALUE"""),"Lucas Henn (XX) - '25  PA")</f>
        <v>Lucas Henn (XX) - '25  PA</v>
      </c>
      <c r="D176" s="38" t="s">
        <v>1033</v>
      </c>
      <c r="E176" s="39" t="s">
        <v>61</v>
      </c>
      <c r="F176" s="40"/>
      <c r="G176" s="41"/>
      <c r="H176" s="42" t="s">
        <v>151</v>
      </c>
      <c r="I176" s="43" t="s">
        <v>1034</v>
      </c>
      <c r="J176" s="43">
        <v>2025.0</v>
      </c>
      <c r="K176" s="43" t="s">
        <v>410</v>
      </c>
      <c r="L176" s="43"/>
      <c r="M176" s="43"/>
      <c r="N176" s="43"/>
      <c r="O176" s="43"/>
      <c r="P176" s="43"/>
      <c r="Q176" s="43" t="s">
        <v>240</v>
      </c>
      <c r="R176" s="43" t="s">
        <v>1035</v>
      </c>
      <c r="S176" s="44" t="s">
        <v>394</v>
      </c>
      <c r="T176" s="43"/>
      <c r="U176" s="43"/>
      <c r="V176" s="39"/>
      <c r="W176" s="39"/>
      <c r="X176" s="39"/>
      <c r="Y176" s="39"/>
      <c r="Z176" s="46"/>
      <c r="AA176" s="47" t="s">
        <v>1036</v>
      </c>
      <c r="AB176" s="48" t="s">
        <v>61</v>
      </c>
      <c r="AC176" s="68" t="s">
        <v>61</v>
      </c>
      <c r="AD176" s="69" t="s">
        <v>61</v>
      </c>
      <c r="AE176" s="69" t="s">
        <v>61</v>
      </c>
      <c r="AF176" s="68" t="s">
        <v>61</v>
      </c>
      <c r="AG176" s="68" t="s">
        <v>61</v>
      </c>
      <c r="AH176" s="68" t="s">
        <v>61</v>
      </c>
      <c r="AI176" s="70" t="s">
        <v>61</v>
      </c>
      <c r="AJ176" s="49" t="s">
        <v>61</v>
      </c>
      <c r="AK176" s="46"/>
    </row>
    <row r="177" ht="24.0" customHeight="1">
      <c r="A177" s="35"/>
      <c r="B177" s="36">
        <v>1.0</v>
      </c>
      <c r="C177" s="37" t="str">
        <f>IFERROR(__xludf.DUMMYFUNCTION("""COMPUTED_VALUE"""),"Lucas Shannon (XX) - '25  AZ")</f>
        <v>Lucas Shannon (XX) - '25  AZ</v>
      </c>
      <c r="D177" s="38" t="s">
        <v>1037</v>
      </c>
      <c r="E177" s="51" t="s">
        <v>61</v>
      </c>
      <c r="F177" s="52"/>
      <c r="G177" s="53"/>
      <c r="H177" s="54" t="s">
        <v>151</v>
      </c>
      <c r="I177" s="55" t="s">
        <v>1038</v>
      </c>
      <c r="J177" s="55">
        <v>2025.0</v>
      </c>
      <c r="K177" s="55" t="s">
        <v>410</v>
      </c>
      <c r="L177" s="55"/>
      <c r="M177" s="55"/>
      <c r="N177" s="55"/>
      <c r="O177" s="55"/>
      <c r="P177" s="57"/>
      <c r="Q177" s="55" t="s">
        <v>319</v>
      </c>
      <c r="R177" s="55" t="s">
        <v>1039</v>
      </c>
      <c r="S177" s="58"/>
      <c r="T177" s="55"/>
      <c r="U177" s="55"/>
      <c r="V177" s="51"/>
      <c r="W177" s="51"/>
      <c r="X177" s="51"/>
      <c r="Y177" s="51"/>
      <c r="Z177" s="110"/>
      <c r="AA177" s="73" t="s">
        <v>1040</v>
      </c>
      <c r="AB177" s="62" t="s">
        <v>61</v>
      </c>
      <c r="AC177" s="63" t="s">
        <v>61</v>
      </c>
      <c r="AD177" s="64" t="s">
        <v>61</v>
      </c>
      <c r="AE177" s="64" t="s">
        <v>61</v>
      </c>
      <c r="AF177" s="63" t="s">
        <v>61</v>
      </c>
      <c r="AG177" s="63" t="s">
        <v>61</v>
      </c>
      <c r="AH177" s="63" t="s">
        <v>61</v>
      </c>
      <c r="AI177" s="65" t="s">
        <v>61</v>
      </c>
      <c r="AJ177" s="66" t="s">
        <v>61</v>
      </c>
      <c r="AK177" s="60"/>
    </row>
    <row r="178" ht="24.0" customHeight="1">
      <c r="A178" s="35"/>
      <c r="B178" s="36">
        <v>1.0</v>
      </c>
      <c r="C178" s="37" t="str">
        <f>IFERROR(__xludf.DUMMYFUNCTION("""COMPUTED_VALUE"""),"Luke Holbrook (XX) - '25  AL")</f>
        <v>Luke Holbrook (XX) - '25  AL</v>
      </c>
      <c r="D178" s="89" t="s">
        <v>1041</v>
      </c>
      <c r="E178" s="39" t="s">
        <v>61</v>
      </c>
      <c r="F178" s="40"/>
      <c r="G178" s="41"/>
      <c r="H178" s="42" t="s">
        <v>1042</v>
      </c>
      <c r="I178" s="43" t="s">
        <v>1043</v>
      </c>
      <c r="J178" s="43">
        <v>2025.0</v>
      </c>
      <c r="K178" s="43" t="s">
        <v>410</v>
      </c>
      <c r="L178" s="80"/>
      <c r="M178" s="43"/>
      <c r="N178" s="43"/>
      <c r="O178" s="43"/>
      <c r="P178" s="43"/>
      <c r="Q178" s="43" t="s">
        <v>731</v>
      </c>
      <c r="R178" s="43" t="s">
        <v>1044</v>
      </c>
      <c r="S178" s="44" t="s">
        <v>1045</v>
      </c>
      <c r="T178" s="43"/>
      <c r="U178" s="43"/>
      <c r="V178" s="39"/>
      <c r="W178" s="39"/>
      <c r="X178" s="39"/>
      <c r="Y178" s="39"/>
      <c r="Z178" s="46"/>
      <c r="AA178" s="47" t="s">
        <v>1046</v>
      </c>
      <c r="AB178" s="48" t="s">
        <v>1047</v>
      </c>
      <c r="AC178" s="68" t="s">
        <v>1048</v>
      </c>
      <c r="AD178" s="69">
        <v>4.26</v>
      </c>
      <c r="AE178" s="69" t="s">
        <v>1049</v>
      </c>
      <c r="AF178" s="68"/>
      <c r="AG178" s="68"/>
      <c r="AH178" s="68"/>
      <c r="AI178" s="70"/>
      <c r="AJ178" s="49" t="s">
        <v>61</v>
      </c>
      <c r="AK178" s="46"/>
    </row>
    <row r="179" ht="24.0" customHeight="1">
      <c r="A179" s="35"/>
      <c r="B179" s="36">
        <v>1.0</v>
      </c>
      <c r="C179" s="37" t="str">
        <f>IFERROR(__xludf.DUMMYFUNCTION("""COMPUTED_VALUE"""),"Mac Dawsey (XX) - '25  SC")</f>
        <v>Mac Dawsey (XX) - '25  SC</v>
      </c>
      <c r="D179" s="38" t="s">
        <v>1050</v>
      </c>
      <c r="E179" s="51" t="s">
        <v>61</v>
      </c>
      <c r="F179" s="52"/>
      <c r="G179" s="53"/>
      <c r="H179" s="54" t="s">
        <v>1051</v>
      </c>
      <c r="I179" s="55" t="s">
        <v>1052</v>
      </c>
      <c r="J179" s="55">
        <v>2025.0</v>
      </c>
      <c r="K179" s="55" t="s">
        <v>410</v>
      </c>
      <c r="L179" s="55"/>
      <c r="M179" s="55"/>
      <c r="N179" s="55"/>
      <c r="O179" s="55"/>
      <c r="P179" s="55"/>
      <c r="Q179" s="55" t="s">
        <v>286</v>
      </c>
      <c r="R179" s="55" t="s">
        <v>1053</v>
      </c>
      <c r="S179" s="58"/>
      <c r="T179" s="55"/>
      <c r="U179" s="55"/>
      <c r="V179" s="51"/>
      <c r="W179" s="51"/>
      <c r="X179" s="51" t="s">
        <v>1054</v>
      </c>
      <c r="Y179" s="51"/>
      <c r="Z179" s="60"/>
      <c r="AA179" s="73" t="s">
        <v>1055</v>
      </c>
      <c r="AB179" s="62" t="s">
        <v>61</v>
      </c>
      <c r="AC179" s="63" t="s">
        <v>61</v>
      </c>
      <c r="AD179" s="64" t="s">
        <v>61</v>
      </c>
      <c r="AE179" s="64" t="s">
        <v>61</v>
      </c>
      <c r="AF179" s="63" t="s">
        <v>61</v>
      </c>
      <c r="AG179" s="63" t="s">
        <v>61</v>
      </c>
      <c r="AH179" s="63" t="s">
        <v>61</v>
      </c>
      <c r="AI179" s="65" t="s">
        <v>61</v>
      </c>
      <c r="AJ179" s="66" t="s">
        <v>61</v>
      </c>
      <c r="AK179" s="60"/>
    </row>
    <row r="180" ht="24.0" customHeight="1">
      <c r="A180" s="71"/>
      <c r="B180" s="36">
        <v>1.0</v>
      </c>
      <c r="C180" s="37" t="str">
        <f>IFERROR(__xludf.DUMMYFUNCTION("""COMPUTED_VALUE"""),"Mason Braun (XX) - '25  IN")</f>
        <v>Mason Braun (XX) - '25  IN</v>
      </c>
      <c r="D180" s="38" t="s">
        <v>1056</v>
      </c>
      <c r="E180" s="39" t="s">
        <v>61</v>
      </c>
      <c r="F180" s="40"/>
      <c r="G180" s="41"/>
      <c r="H180" s="42" t="s">
        <v>1057</v>
      </c>
      <c r="I180" s="43" t="s">
        <v>1058</v>
      </c>
      <c r="J180" s="43">
        <v>2025.0</v>
      </c>
      <c r="K180" s="43" t="s">
        <v>410</v>
      </c>
      <c r="L180" s="43"/>
      <c r="M180" s="43"/>
      <c r="N180" s="43"/>
      <c r="O180" s="43"/>
      <c r="P180" s="43"/>
      <c r="Q180" s="43" t="s">
        <v>153</v>
      </c>
      <c r="R180" s="43" t="s">
        <v>1059</v>
      </c>
      <c r="S180" s="44" t="s">
        <v>1060</v>
      </c>
      <c r="T180" s="43"/>
      <c r="U180" s="43"/>
      <c r="V180" s="39"/>
      <c r="W180" s="39"/>
      <c r="X180" s="39"/>
      <c r="Y180" s="39"/>
      <c r="Z180" s="46"/>
      <c r="AA180" s="47" t="s">
        <v>1061</v>
      </c>
      <c r="AB180" s="48" t="s">
        <v>61</v>
      </c>
      <c r="AC180" s="68" t="s">
        <v>61</v>
      </c>
      <c r="AD180" s="69" t="s">
        <v>61</v>
      </c>
      <c r="AE180" s="69" t="s">
        <v>61</v>
      </c>
      <c r="AF180" s="68" t="s">
        <v>61</v>
      </c>
      <c r="AG180" s="68" t="s">
        <v>61</v>
      </c>
      <c r="AH180" s="68" t="s">
        <v>61</v>
      </c>
      <c r="AI180" s="70" t="s">
        <v>61</v>
      </c>
      <c r="AJ180" s="49" t="s">
        <v>61</v>
      </c>
      <c r="AK180" s="46"/>
    </row>
    <row r="181" ht="24.0" customHeight="1">
      <c r="A181" s="35"/>
      <c r="B181" s="36">
        <v>1.0</v>
      </c>
      <c r="C181" s="37" t="str">
        <f>IFERROR(__xludf.DUMMYFUNCTION("""COMPUTED_VALUE"""),"Mason Scott (XX) - '25  CO")</f>
        <v>Mason Scott (XX) - '25  CO</v>
      </c>
      <c r="D181" s="38" t="s">
        <v>1062</v>
      </c>
      <c r="E181" s="51" t="s">
        <v>61</v>
      </c>
      <c r="F181" s="52"/>
      <c r="G181" s="53"/>
      <c r="H181" s="54" t="s">
        <v>1057</v>
      </c>
      <c r="I181" s="55" t="s">
        <v>1063</v>
      </c>
      <c r="J181" s="55">
        <v>2025.0</v>
      </c>
      <c r="K181" s="55" t="s">
        <v>410</v>
      </c>
      <c r="L181" s="55"/>
      <c r="M181" s="55"/>
      <c r="N181" s="55"/>
      <c r="O181" s="55"/>
      <c r="P181" s="55"/>
      <c r="Q181" s="55" t="s">
        <v>174</v>
      </c>
      <c r="R181" s="55" t="s">
        <v>693</v>
      </c>
      <c r="S181" s="58" t="s">
        <v>580</v>
      </c>
      <c r="T181" s="55"/>
      <c r="U181" s="55"/>
      <c r="V181" s="51"/>
      <c r="W181" s="51"/>
      <c r="X181" s="75">
        <v>45979.0</v>
      </c>
      <c r="Y181" s="51"/>
      <c r="Z181" s="60"/>
      <c r="AA181" s="73" t="s">
        <v>1064</v>
      </c>
      <c r="AB181" s="62" t="s">
        <v>61</v>
      </c>
      <c r="AC181" s="63" t="s">
        <v>61</v>
      </c>
      <c r="AD181" s="64" t="s">
        <v>61</v>
      </c>
      <c r="AE181" s="64" t="s">
        <v>61</v>
      </c>
      <c r="AF181" s="63" t="s">
        <v>61</v>
      </c>
      <c r="AG181" s="63" t="s">
        <v>61</v>
      </c>
      <c r="AH181" s="63" t="s">
        <v>61</v>
      </c>
      <c r="AI181" s="65" t="s">
        <v>61</v>
      </c>
      <c r="AJ181" s="66" t="s">
        <v>61</v>
      </c>
      <c r="AK181" s="60"/>
    </row>
    <row r="182" ht="24.0" customHeight="1">
      <c r="A182" s="35"/>
      <c r="B182" s="36">
        <v>1.0</v>
      </c>
      <c r="C182" s="37" t="str">
        <f>IFERROR(__xludf.DUMMYFUNCTION("""COMPUTED_VALUE"""),"Matt Hall (XX) - '25  FL")</f>
        <v>Matt Hall (XX) - '25  FL</v>
      </c>
      <c r="D182" s="38" t="s">
        <v>1065</v>
      </c>
      <c r="E182" s="39" t="s">
        <v>61</v>
      </c>
      <c r="F182" s="40"/>
      <c r="G182" s="41"/>
      <c r="H182" s="42" t="s">
        <v>1066</v>
      </c>
      <c r="I182" s="43" t="s">
        <v>1067</v>
      </c>
      <c r="J182" s="43">
        <v>2025.0</v>
      </c>
      <c r="K182" s="43" t="s">
        <v>410</v>
      </c>
      <c r="L182" s="43"/>
      <c r="M182" s="43"/>
      <c r="N182" s="43"/>
      <c r="O182" s="43"/>
      <c r="P182" s="43"/>
      <c r="Q182" s="43" t="s">
        <v>66</v>
      </c>
      <c r="R182" s="43" t="s">
        <v>1068</v>
      </c>
      <c r="S182" s="44"/>
      <c r="T182" s="43"/>
      <c r="U182" s="43"/>
      <c r="V182" s="39"/>
      <c r="W182" s="39"/>
      <c r="X182" s="39"/>
      <c r="Y182" s="39"/>
      <c r="Z182" s="46"/>
      <c r="AA182" s="47" t="s">
        <v>1069</v>
      </c>
      <c r="AB182" s="48" t="s">
        <v>61</v>
      </c>
      <c r="AC182" s="68" t="s">
        <v>61</v>
      </c>
      <c r="AD182" s="69" t="s">
        <v>61</v>
      </c>
      <c r="AE182" s="69" t="s">
        <v>61</v>
      </c>
      <c r="AF182" s="68" t="s">
        <v>61</v>
      </c>
      <c r="AG182" s="68" t="s">
        <v>61</v>
      </c>
      <c r="AH182" s="68" t="s">
        <v>61</v>
      </c>
      <c r="AI182" s="70" t="s">
        <v>61</v>
      </c>
      <c r="AJ182" s="49" t="s">
        <v>61</v>
      </c>
      <c r="AK182" s="46"/>
    </row>
    <row r="183" ht="24.0" customHeight="1">
      <c r="A183" s="35"/>
      <c r="B183" s="36">
        <v>1.0</v>
      </c>
      <c r="C183" s="37" t="str">
        <f>IFERROR(__xludf.DUMMYFUNCTION("""COMPUTED_VALUE"""),"Matt Richards (XX) - '25  GA")</f>
        <v>Matt Richards (XX) - '25  GA</v>
      </c>
      <c r="D183" s="38" t="s">
        <v>1070</v>
      </c>
      <c r="E183" s="51" t="s">
        <v>61</v>
      </c>
      <c r="F183" s="52"/>
      <c r="G183" s="53"/>
      <c r="H183" s="54" t="s">
        <v>1066</v>
      </c>
      <c r="I183" s="55" t="s">
        <v>1071</v>
      </c>
      <c r="J183" s="55">
        <v>2025.0</v>
      </c>
      <c r="K183" s="55" t="s">
        <v>410</v>
      </c>
      <c r="L183" s="55"/>
      <c r="M183" s="55"/>
      <c r="N183" s="55"/>
      <c r="O183" s="55"/>
      <c r="P183" s="57"/>
      <c r="Q183" s="55" t="s">
        <v>43</v>
      </c>
      <c r="R183" s="55"/>
      <c r="S183" s="58"/>
      <c r="T183" s="55"/>
      <c r="U183" s="55"/>
      <c r="V183" s="51"/>
      <c r="W183" s="51"/>
      <c r="X183" s="51"/>
      <c r="Y183" s="51"/>
      <c r="Z183" s="60"/>
      <c r="AA183" s="73" t="s">
        <v>1072</v>
      </c>
      <c r="AB183" s="62" t="s">
        <v>61</v>
      </c>
      <c r="AC183" s="63" t="s">
        <v>61</v>
      </c>
      <c r="AD183" s="64" t="s">
        <v>61</v>
      </c>
      <c r="AE183" s="64" t="s">
        <v>61</v>
      </c>
      <c r="AF183" s="63" t="s">
        <v>61</v>
      </c>
      <c r="AG183" s="63" t="s">
        <v>61</v>
      </c>
      <c r="AH183" s="63" t="s">
        <v>61</v>
      </c>
      <c r="AI183" s="65" t="s">
        <v>61</v>
      </c>
      <c r="AJ183" s="66" t="s">
        <v>61</v>
      </c>
      <c r="AK183" s="60"/>
    </row>
    <row r="184" ht="24.0" customHeight="1">
      <c r="A184" s="35"/>
      <c r="B184" s="36">
        <v>1.0</v>
      </c>
      <c r="C184" s="37" t="str">
        <f>IFERROR(__xludf.DUMMYFUNCTION("""COMPUTED_VALUE"""),"Matthew Delaney (XX) - '25  NM")</f>
        <v>Matthew Delaney (XX) - '25  NM</v>
      </c>
      <c r="D184" s="89" t="s">
        <v>1073</v>
      </c>
      <c r="E184" s="39" t="s">
        <v>61</v>
      </c>
      <c r="F184" s="40"/>
      <c r="G184" s="41"/>
      <c r="H184" s="42" t="s">
        <v>312</v>
      </c>
      <c r="I184" s="43" t="s">
        <v>1074</v>
      </c>
      <c r="J184" s="43">
        <v>2025.0</v>
      </c>
      <c r="K184" s="43" t="s">
        <v>410</v>
      </c>
      <c r="L184" s="43"/>
      <c r="M184" s="43"/>
      <c r="N184" s="43"/>
      <c r="O184" s="43"/>
      <c r="P184" s="80"/>
      <c r="Q184" s="43" t="s">
        <v>1075</v>
      </c>
      <c r="R184" s="43" t="s">
        <v>1076</v>
      </c>
      <c r="S184" s="44" t="s">
        <v>1077</v>
      </c>
      <c r="T184" s="43"/>
      <c r="U184" s="43"/>
      <c r="V184" s="39"/>
      <c r="W184" s="39"/>
      <c r="X184" s="39"/>
      <c r="Y184" s="39"/>
      <c r="Z184" s="46"/>
      <c r="AA184" s="47" t="s">
        <v>1078</v>
      </c>
      <c r="AB184" s="48" t="s">
        <v>61</v>
      </c>
      <c r="AC184" s="68" t="s">
        <v>61</v>
      </c>
      <c r="AD184" s="69" t="s">
        <v>61</v>
      </c>
      <c r="AE184" s="69" t="s">
        <v>61</v>
      </c>
      <c r="AF184" s="68" t="s">
        <v>61</v>
      </c>
      <c r="AG184" s="68" t="s">
        <v>61</v>
      </c>
      <c r="AH184" s="68" t="s">
        <v>61</v>
      </c>
      <c r="AI184" s="70" t="s">
        <v>61</v>
      </c>
      <c r="AJ184" s="49" t="s">
        <v>61</v>
      </c>
      <c r="AK184" s="46"/>
    </row>
    <row r="185" ht="24.0" customHeight="1">
      <c r="A185" s="35"/>
      <c r="B185" s="36">
        <v>1.0</v>
      </c>
      <c r="C185" s="37" t="str">
        <f>IFERROR(__xludf.DUMMYFUNCTION("""COMPUTED_VALUE"""),"Matthew Witkow (XX) - '25  CA")</f>
        <v>Matthew Witkow (XX) - '25  CA</v>
      </c>
      <c r="D185" s="38" t="s">
        <v>1079</v>
      </c>
      <c r="E185" s="51" t="s">
        <v>61</v>
      </c>
      <c r="F185" s="52"/>
      <c r="G185" s="53"/>
      <c r="H185" s="54" t="s">
        <v>312</v>
      </c>
      <c r="I185" s="55" t="s">
        <v>1080</v>
      </c>
      <c r="J185" s="55">
        <v>2025.0</v>
      </c>
      <c r="K185" s="55" t="s">
        <v>410</v>
      </c>
      <c r="L185" s="55"/>
      <c r="M185" s="55"/>
      <c r="N185" s="55"/>
      <c r="O185" s="55"/>
      <c r="P185" s="55"/>
      <c r="Q185" s="55" t="s">
        <v>52</v>
      </c>
      <c r="R185" s="55"/>
      <c r="S185" s="58"/>
      <c r="T185" s="55"/>
      <c r="U185" s="55"/>
      <c r="V185" s="51"/>
      <c r="W185" s="51"/>
      <c r="X185" s="51"/>
      <c r="Y185" s="51"/>
      <c r="Z185" s="60"/>
      <c r="AA185" s="73"/>
      <c r="AB185" s="62" t="s">
        <v>61</v>
      </c>
      <c r="AC185" s="63" t="s">
        <v>61</v>
      </c>
      <c r="AD185" s="64" t="s">
        <v>61</v>
      </c>
      <c r="AE185" s="64" t="s">
        <v>61</v>
      </c>
      <c r="AF185" s="63" t="s">
        <v>61</v>
      </c>
      <c r="AG185" s="63" t="s">
        <v>61</v>
      </c>
      <c r="AH185" s="63" t="s">
        <v>61</v>
      </c>
      <c r="AI185" s="65" t="s">
        <v>61</v>
      </c>
      <c r="AJ185" s="66" t="s">
        <v>61</v>
      </c>
      <c r="AK185" s="60"/>
    </row>
    <row r="186" ht="24.0" customHeight="1">
      <c r="A186" s="35"/>
      <c r="B186" s="36">
        <v>1.0</v>
      </c>
      <c r="C186" s="37" t="str">
        <f>IFERROR(__xludf.DUMMYFUNCTION("""COMPUTED_VALUE"""),"Merrick Beamish (XX) - '25  FL")</f>
        <v>Merrick Beamish (XX) - '25  FL</v>
      </c>
      <c r="D186" s="38" t="s">
        <v>1081</v>
      </c>
      <c r="E186" s="39" t="s">
        <v>61</v>
      </c>
      <c r="F186" s="40"/>
      <c r="G186" s="41"/>
      <c r="H186" s="42" t="s">
        <v>1082</v>
      </c>
      <c r="I186" s="43" t="s">
        <v>1083</v>
      </c>
      <c r="J186" s="43">
        <v>2025.0</v>
      </c>
      <c r="K186" s="43" t="s">
        <v>410</v>
      </c>
      <c r="L186" s="43"/>
      <c r="M186" s="43"/>
      <c r="N186" s="43"/>
      <c r="O186" s="43"/>
      <c r="P186" s="43"/>
      <c r="Q186" s="43" t="s">
        <v>66</v>
      </c>
      <c r="R186" s="43" t="s">
        <v>1084</v>
      </c>
      <c r="S186" s="44"/>
      <c r="T186" s="43"/>
      <c r="U186" s="43"/>
      <c r="V186" s="39"/>
      <c r="W186" s="39"/>
      <c r="X186" s="39"/>
      <c r="Y186" s="39"/>
      <c r="Z186" s="46"/>
      <c r="AA186" s="47" t="s">
        <v>1085</v>
      </c>
      <c r="AB186" s="48" t="s">
        <v>61</v>
      </c>
      <c r="AC186" s="68" t="s">
        <v>61</v>
      </c>
      <c r="AD186" s="69" t="s">
        <v>61</v>
      </c>
      <c r="AE186" s="69" t="s">
        <v>61</v>
      </c>
      <c r="AF186" s="68" t="s">
        <v>61</v>
      </c>
      <c r="AG186" s="68" t="s">
        <v>61</v>
      </c>
      <c r="AH186" s="68" t="s">
        <v>61</v>
      </c>
      <c r="AI186" s="70" t="s">
        <v>61</v>
      </c>
      <c r="AJ186" s="49" t="s">
        <v>61</v>
      </c>
      <c r="AK186" s="46"/>
    </row>
    <row r="187" ht="24.0" customHeight="1">
      <c r="A187" s="35"/>
      <c r="B187" s="36">
        <v>1.0</v>
      </c>
      <c r="C187" s="37" t="str">
        <f>IFERROR(__xludf.DUMMYFUNCTION("""COMPUTED_VALUE"""),"Merrick Rapoza (XX) - '25 CINF FL")</f>
        <v>Merrick Rapoza (XX) - '25 CINF FL</v>
      </c>
      <c r="D187" s="38" t="s">
        <v>1086</v>
      </c>
      <c r="E187" s="51" t="s">
        <v>48</v>
      </c>
      <c r="F187" s="52"/>
      <c r="G187" s="53"/>
      <c r="H187" s="54" t="s">
        <v>1082</v>
      </c>
      <c r="I187" s="55" t="s">
        <v>1087</v>
      </c>
      <c r="J187" s="55">
        <v>2025.0</v>
      </c>
      <c r="K187" s="55" t="s">
        <v>410</v>
      </c>
      <c r="L187" s="57"/>
      <c r="M187" s="55" t="s">
        <v>72</v>
      </c>
      <c r="N187" s="72"/>
      <c r="O187" s="55"/>
      <c r="P187" s="57"/>
      <c r="Q187" s="55" t="s">
        <v>66</v>
      </c>
      <c r="R187" s="55" t="s">
        <v>1088</v>
      </c>
      <c r="S187" s="58" t="s">
        <v>1089</v>
      </c>
      <c r="T187" s="55"/>
      <c r="U187" s="55"/>
      <c r="V187" s="100"/>
      <c r="W187" s="51"/>
      <c r="X187" s="100"/>
      <c r="Y187" s="100"/>
      <c r="Z187" s="76"/>
      <c r="AA187" s="73" t="s">
        <v>1090</v>
      </c>
      <c r="AB187" s="62" t="s">
        <v>61</v>
      </c>
      <c r="AC187" s="63" t="s">
        <v>61</v>
      </c>
      <c r="AD187" s="64" t="s">
        <v>61</v>
      </c>
      <c r="AE187" s="64" t="s">
        <v>61</v>
      </c>
      <c r="AF187" s="63" t="s">
        <v>61</v>
      </c>
      <c r="AG187" s="63" t="s">
        <v>61</v>
      </c>
      <c r="AH187" s="63" t="s">
        <v>61</v>
      </c>
      <c r="AI187" s="65" t="s">
        <v>61</v>
      </c>
      <c r="AJ187" s="66" t="s">
        <v>61</v>
      </c>
      <c r="AK187" s="60"/>
    </row>
    <row r="188" ht="24.0" customHeight="1">
      <c r="A188" s="35"/>
      <c r="B188" s="36">
        <v>1.0</v>
      </c>
      <c r="C188" s="37" t="str">
        <f>IFERROR(__xludf.DUMMYFUNCTION("""COMPUTED_VALUE"""),"Micah Hays (XX) - '25  PA")</f>
        <v>Micah Hays (XX) - '25  PA</v>
      </c>
      <c r="D188" s="38" t="s">
        <v>1091</v>
      </c>
      <c r="E188" s="39" t="s">
        <v>61</v>
      </c>
      <c r="F188" s="40"/>
      <c r="G188" s="41"/>
      <c r="H188" s="42" t="s">
        <v>1092</v>
      </c>
      <c r="I188" s="43" t="s">
        <v>1093</v>
      </c>
      <c r="J188" s="43">
        <v>2025.0</v>
      </c>
      <c r="K188" s="43" t="s">
        <v>410</v>
      </c>
      <c r="L188" s="80"/>
      <c r="M188" s="43"/>
      <c r="N188" s="80"/>
      <c r="O188" s="43"/>
      <c r="P188" s="43"/>
      <c r="Q188" s="43" t="s">
        <v>240</v>
      </c>
      <c r="R188" s="43"/>
      <c r="S188" s="44"/>
      <c r="T188" s="43"/>
      <c r="U188" s="43"/>
      <c r="V188" s="39"/>
      <c r="W188" s="39"/>
      <c r="X188" s="39"/>
      <c r="Y188" s="39"/>
      <c r="Z188" s="46"/>
      <c r="AA188" s="47" t="s">
        <v>1094</v>
      </c>
      <c r="AB188" s="48" t="s">
        <v>61</v>
      </c>
      <c r="AC188" s="68" t="s">
        <v>61</v>
      </c>
      <c r="AD188" s="69" t="s">
        <v>61</v>
      </c>
      <c r="AE188" s="69" t="s">
        <v>61</v>
      </c>
      <c r="AF188" s="68" t="s">
        <v>61</v>
      </c>
      <c r="AG188" s="68" t="s">
        <v>61</v>
      </c>
      <c r="AH188" s="68" t="s">
        <v>61</v>
      </c>
      <c r="AI188" s="70" t="s">
        <v>61</v>
      </c>
      <c r="AJ188" s="49" t="s">
        <v>61</v>
      </c>
      <c r="AK188" s="46"/>
    </row>
    <row r="189" ht="24.0" customHeight="1">
      <c r="A189" s="35"/>
      <c r="B189" s="36">
        <v>1.0</v>
      </c>
      <c r="C189" s="37" t="str">
        <f>IFERROR(__xludf.DUMMYFUNCTION("""COMPUTED_VALUE"""),"Michael Clemente (XX) - '25  NC")</f>
        <v>Michael Clemente (XX) - '25  NC</v>
      </c>
      <c r="D189" s="38" t="s">
        <v>1095</v>
      </c>
      <c r="E189" s="51" t="s">
        <v>61</v>
      </c>
      <c r="F189" s="52"/>
      <c r="G189" s="53"/>
      <c r="H189" s="54" t="s">
        <v>158</v>
      </c>
      <c r="I189" s="55" t="s">
        <v>1096</v>
      </c>
      <c r="J189" s="55">
        <v>2025.0</v>
      </c>
      <c r="K189" s="55" t="s">
        <v>410</v>
      </c>
      <c r="L189" s="55"/>
      <c r="M189" s="55"/>
      <c r="N189" s="55"/>
      <c r="O189" s="55"/>
      <c r="P189" s="55"/>
      <c r="Q189" s="55" t="s">
        <v>73</v>
      </c>
      <c r="R189" s="55" t="s">
        <v>1097</v>
      </c>
      <c r="S189" s="58" t="s">
        <v>1098</v>
      </c>
      <c r="T189" s="55"/>
      <c r="U189" s="55"/>
      <c r="V189" s="51"/>
      <c r="W189" s="51"/>
      <c r="X189" s="51"/>
      <c r="Y189" s="51"/>
      <c r="Z189" s="60"/>
      <c r="AA189" s="73" t="s">
        <v>1099</v>
      </c>
      <c r="AB189" s="62" t="s">
        <v>61</v>
      </c>
      <c r="AC189" s="63" t="s">
        <v>61</v>
      </c>
      <c r="AD189" s="64" t="s">
        <v>61</v>
      </c>
      <c r="AE189" s="64" t="s">
        <v>61</v>
      </c>
      <c r="AF189" s="63" t="s">
        <v>61</v>
      </c>
      <c r="AG189" s="63" t="s">
        <v>61</v>
      </c>
      <c r="AH189" s="63" t="s">
        <v>61</v>
      </c>
      <c r="AI189" s="65" t="s">
        <v>61</v>
      </c>
      <c r="AJ189" s="66" t="s">
        <v>61</v>
      </c>
      <c r="AK189" s="60"/>
    </row>
    <row r="190" ht="24.0" customHeight="1">
      <c r="A190" s="35"/>
      <c r="B190" s="36">
        <v>1.0</v>
      </c>
      <c r="C190" s="37" t="str">
        <f>IFERROR(__xludf.DUMMYFUNCTION("""COMPUTED_VALUE"""),"Michael Zarzana (XX) - '25  GA")</f>
        <v>Michael Zarzana (XX) - '25  GA</v>
      </c>
      <c r="D190" s="89" t="s">
        <v>1100</v>
      </c>
      <c r="E190" s="39" t="s">
        <v>61</v>
      </c>
      <c r="F190" s="40"/>
      <c r="G190" s="41"/>
      <c r="H190" s="42" t="s">
        <v>158</v>
      </c>
      <c r="I190" s="43" t="s">
        <v>1101</v>
      </c>
      <c r="J190" s="43">
        <v>2025.0</v>
      </c>
      <c r="K190" s="43" t="s">
        <v>410</v>
      </c>
      <c r="L190" s="43"/>
      <c r="M190" s="43"/>
      <c r="N190" s="43"/>
      <c r="O190" s="43"/>
      <c r="P190" s="43"/>
      <c r="Q190" s="43" t="s">
        <v>43</v>
      </c>
      <c r="R190" s="43">
        <v>643.0</v>
      </c>
      <c r="S190" s="44"/>
      <c r="T190" s="43"/>
      <c r="U190" s="43"/>
      <c r="V190" s="39"/>
      <c r="W190" s="39"/>
      <c r="X190" s="39"/>
      <c r="Y190" s="39"/>
      <c r="Z190" s="46"/>
      <c r="AA190" s="47" t="s">
        <v>1102</v>
      </c>
      <c r="AB190" s="48" t="s">
        <v>61</v>
      </c>
      <c r="AC190" s="68" t="s">
        <v>61</v>
      </c>
      <c r="AD190" s="69" t="s">
        <v>61</v>
      </c>
      <c r="AE190" s="69" t="s">
        <v>61</v>
      </c>
      <c r="AF190" s="68" t="s">
        <v>61</v>
      </c>
      <c r="AG190" s="68" t="s">
        <v>61</v>
      </c>
      <c r="AH190" s="68" t="s">
        <v>61</v>
      </c>
      <c r="AI190" s="70" t="s">
        <v>61</v>
      </c>
      <c r="AJ190" s="49" t="s">
        <v>61</v>
      </c>
      <c r="AK190" s="46"/>
    </row>
    <row r="191" ht="24.0" customHeight="1">
      <c r="A191" s="35"/>
      <c r="B191" s="36">
        <v>1.0</v>
      </c>
      <c r="C191" s="37" t="str">
        <f>IFERROR(__xludf.DUMMYFUNCTION("""COMPUTED_VALUE"""),"Miles Mador (XX) - '25  GA")</f>
        <v>Miles Mador (XX) - '25  GA</v>
      </c>
      <c r="D191" s="89" t="s">
        <v>1103</v>
      </c>
      <c r="E191" s="51" t="s">
        <v>61</v>
      </c>
      <c r="F191" s="52"/>
      <c r="G191" s="53"/>
      <c r="H191" s="54" t="s">
        <v>1104</v>
      </c>
      <c r="I191" s="55" t="s">
        <v>1105</v>
      </c>
      <c r="J191" s="55">
        <v>2025.0</v>
      </c>
      <c r="K191" s="55" t="s">
        <v>410</v>
      </c>
      <c r="L191" s="57"/>
      <c r="M191" s="55"/>
      <c r="N191" s="55"/>
      <c r="O191" s="55"/>
      <c r="P191" s="55"/>
      <c r="Q191" s="55" t="s">
        <v>43</v>
      </c>
      <c r="R191" s="55" t="s">
        <v>1106</v>
      </c>
      <c r="S191" s="58" t="s">
        <v>302</v>
      </c>
      <c r="T191" s="55"/>
      <c r="U191" s="55"/>
      <c r="V191" s="51"/>
      <c r="W191" s="51"/>
      <c r="X191" s="74"/>
      <c r="Y191" s="74"/>
      <c r="Z191" s="76"/>
      <c r="AA191" s="73" t="s">
        <v>1107</v>
      </c>
      <c r="AB191" s="62" t="s">
        <v>61</v>
      </c>
      <c r="AC191" s="63" t="s">
        <v>61</v>
      </c>
      <c r="AD191" s="64" t="s">
        <v>61</v>
      </c>
      <c r="AE191" s="64" t="s">
        <v>61</v>
      </c>
      <c r="AF191" s="63" t="s">
        <v>61</v>
      </c>
      <c r="AG191" s="63" t="s">
        <v>61</v>
      </c>
      <c r="AH191" s="63" t="s">
        <v>61</v>
      </c>
      <c r="AI191" s="65" t="s">
        <v>61</v>
      </c>
      <c r="AJ191" s="66" t="s">
        <v>61</v>
      </c>
      <c r="AK191" s="60"/>
    </row>
    <row r="192" ht="24.0" customHeight="1">
      <c r="A192" s="35"/>
      <c r="B192" s="36">
        <v>1.0</v>
      </c>
      <c r="C192" s="37" t="str">
        <f>IFERROR(__xludf.DUMMYFUNCTION("""COMPUTED_VALUE"""),"Nate Hawton-Henley (XX) - '25  VA")</f>
        <v>Nate Hawton-Henley (XX) - '25  VA</v>
      </c>
      <c r="D192" s="38" t="s">
        <v>1108</v>
      </c>
      <c r="E192" s="39" t="s">
        <v>61</v>
      </c>
      <c r="F192" s="40"/>
      <c r="G192" s="41"/>
      <c r="H192" s="42" t="s">
        <v>1109</v>
      </c>
      <c r="I192" s="43" t="s">
        <v>1110</v>
      </c>
      <c r="J192" s="43">
        <v>2025.0</v>
      </c>
      <c r="K192" s="43" t="s">
        <v>410</v>
      </c>
      <c r="L192" s="43"/>
      <c r="M192" s="43"/>
      <c r="N192" s="43"/>
      <c r="O192" s="43"/>
      <c r="P192" s="43"/>
      <c r="Q192" s="43" t="s">
        <v>125</v>
      </c>
      <c r="R192" s="43" t="s">
        <v>1111</v>
      </c>
      <c r="S192" s="44"/>
      <c r="T192" s="43"/>
      <c r="U192" s="43"/>
      <c r="V192" s="39"/>
      <c r="W192" s="39"/>
      <c r="X192" s="39"/>
      <c r="Y192" s="39"/>
      <c r="Z192" s="46"/>
      <c r="AA192" s="47" t="s">
        <v>1112</v>
      </c>
      <c r="AB192" s="48" t="s">
        <v>61</v>
      </c>
      <c r="AC192" s="68" t="s">
        <v>61</v>
      </c>
      <c r="AD192" s="69" t="s">
        <v>61</v>
      </c>
      <c r="AE192" s="69" t="s">
        <v>61</v>
      </c>
      <c r="AF192" s="68" t="s">
        <v>61</v>
      </c>
      <c r="AG192" s="68" t="s">
        <v>61</v>
      </c>
      <c r="AH192" s="68" t="s">
        <v>61</v>
      </c>
      <c r="AI192" s="70" t="s">
        <v>61</v>
      </c>
      <c r="AJ192" s="49" t="s">
        <v>61</v>
      </c>
      <c r="AK192" s="46"/>
    </row>
    <row r="193" ht="24.0" customHeight="1">
      <c r="A193" s="35"/>
      <c r="B193" s="36">
        <v>1.0</v>
      </c>
      <c r="C193" s="37" t="str">
        <f>IFERROR(__xludf.DUMMYFUNCTION("""COMPUTED_VALUE"""),"Nate Webb (XX) - '25 CINF TN")</f>
        <v>Nate Webb (XX) - '25 CINF TN</v>
      </c>
      <c r="D193" s="38" t="s">
        <v>1113</v>
      </c>
      <c r="E193" s="51" t="s">
        <v>48</v>
      </c>
      <c r="F193" s="52"/>
      <c r="G193" s="53"/>
      <c r="H193" s="54" t="s">
        <v>1109</v>
      </c>
      <c r="I193" s="55" t="s">
        <v>1114</v>
      </c>
      <c r="J193" s="55">
        <v>2025.0</v>
      </c>
      <c r="K193" s="55" t="s">
        <v>410</v>
      </c>
      <c r="L193" s="55"/>
      <c r="M193" s="55" t="s">
        <v>72</v>
      </c>
      <c r="N193" s="55"/>
      <c r="O193" s="55"/>
      <c r="P193" s="55"/>
      <c r="Q193" s="55" t="s">
        <v>330</v>
      </c>
      <c r="R193" s="55" t="s">
        <v>1115</v>
      </c>
      <c r="S193" s="58" t="s">
        <v>332</v>
      </c>
      <c r="T193" s="55"/>
      <c r="U193" s="55"/>
      <c r="V193" s="51"/>
      <c r="W193" s="51"/>
      <c r="X193" s="51"/>
      <c r="Y193" s="51"/>
      <c r="Z193" s="60"/>
      <c r="AA193" s="73" t="s">
        <v>1116</v>
      </c>
      <c r="AB193" s="62" t="s">
        <v>61</v>
      </c>
      <c r="AC193" s="63" t="s">
        <v>61</v>
      </c>
      <c r="AD193" s="64" t="s">
        <v>61</v>
      </c>
      <c r="AE193" s="64" t="s">
        <v>61</v>
      </c>
      <c r="AF193" s="63" t="s">
        <v>61</v>
      </c>
      <c r="AG193" s="63" t="s">
        <v>61</v>
      </c>
      <c r="AH193" s="63" t="s">
        <v>61</v>
      </c>
      <c r="AI193" s="65" t="s">
        <v>61</v>
      </c>
      <c r="AJ193" s="66" t="s">
        <v>61</v>
      </c>
      <c r="AK193" s="60"/>
    </row>
    <row r="194" ht="24.0" customHeight="1">
      <c r="A194" s="71"/>
      <c r="B194" s="36">
        <v>1.0</v>
      </c>
      <c r="C194" s="37" t="str">
        <f>IFERROR(__xludf.DUMMYFUNCTION("""COMPUTED_VALUE"""),"Nathan Shaffer (XX) - '25  GA")</f>
        <v>Nathan Shaffer (XX) - '25  GA</v>
      </c>
      <c r="D194" s="38" t="s">
        <v>1117</v>
      </c>
      <c r="E194" s="39" t="s">
        <v>61</v>
      </c>
      <c r="F194" s="40"/>
      <c r="G194" s="41"/>
      <c r="H194" s="42" t="s">
        <v>164</v>
      </c>
      <c r="I194" s="43" t="s">
        <v>1118</v>
      </c>
      <c r="J194" s="43">
        <v>2025.0</v>
      </c>
      <c r="K194" s="43" t="s">
        <v>410</v>
      </c>
      <c r="L194" s="80"/>
      <c r="M194" s="43"/>
      <c r="N194" s="43"/>
      <c r="O194" s="43"/>
      <c r="P194" s="80"/>
      <c r="Q194" s="43" t="s">
        <v>43</v>
      </c>
      <c r="R194" s="43" t="s">
        <v>1119</v>
      </c>
      <c r="S194" s="44" t="s">
        <v>1120</v>
      </c>
      <c r="T194" s="43"/>
      <c r="U194" s="43"/>
      <c r="V194" s="81"/>
      <c r="W194" s="39"/>
      <c r="X194" s="81"/>
      <c r="Y194" s="81"/>
      <c r="Z194" s="82"/>
      <c r="AA194" s="47" t="s">
        <v>1121</v>
      </c>
      <c r="AB194" s="48" t="s">
        <v>61</v>
      </c>
      <c r="AC194" s="68" t="s">
        <v>61</v>
      </c>
      <c r="AD194" s="69" t="s">
        <v>61</v>
      </c>
      <c r="AE194" s="69" t="s">
        <v>61</v>
      </c>
      <c r="AF194" s="68" t="s">
        <v>61</v>
      </c>
      <c r="AG194" s="68" t="s">
        <v>61</v>
      </c>
      <c r="AH194" s="68" t="s">
        <v>61</v>
      </c>
      <c r="AI194" s="70" t="s">
        <v>61</v>
      </c>
      <c r="AJ194" s="49" t="s">
        <v>61</v>
      </c>
      <c r="AK194" s="46"/>
    </row>
    <row r="195" ht="24.0" customHeight="1">
      <c r="A195" s="35"/>
      <c r="B195" s="36">
        <v>1.0</v>
      </c>
      <c r="C195" s="37" t="str">
        <f>IFERROR(__xludf.DUMMYFUNCTION("""COMPUTED_VALUE"""),"Nick Manning (XX) - '25  FL")</f>
        <v>Nick Manning (XX) - '25  FL</v>
      </c>
      <c r="D195" s="89" t="s">
        <v>1122</v>
      </c>
      <c r="E195" s="51" t="s">
        <v>61</v>
      </c>
      <c r="F195" s="52"/>
      <c r="G195" s="53"/>
      <c r="H195" s="54" t="s">
        <v>1123</v>
      </c>
      <c r="I195" s="55" t="s">
        <v>831</v>
      </c>
      <c r="J195" s="55">
        <v>2025.0</v>
      </c>
      <c r="K195" s="55" t="s">
        <v>410</v>
      </c>
      <c r="L195" s="57"/>
      <c r="M195" s="55"/>
      <c r="N195" s="57"/>
      <c r="O195" s="55"/>
      <c r="P195" s="55"/>
      <c r="Q195" s="55" t="s">
        <v>66</v>
      </c>
      <c r="R195" s="55" t="s">
        <v>1124</v>
      </c>
      <c r="S195" s="58" t="s">
        <v>1125</v>
      </c>
      <c r="T195" s="55"/>
      <c r="U195" s="55"/>
      <c r="V195" s="51"/>
      <c r="W195" s="51"/>
      <c r="X195" s="51"/>
      <c r="Y195" s="51"/>
      <c r="Z195" s="60"/>
      <c r="AA195" s="73"/>
      <c r="AB195" s="62" t="s">
        <v>1126</v>
      </c>
      <c r="AC195" s="63"/>
      <c r="AD195" s="64" t="s">
        <v>1127</v>
      </c>
      <c r="AE195" s="64" t="s">
        <v>936</v>
      </c>
      <c r="AF195" s="63" t="s">
        <v>81</v>
      </c>
      <c r="AG195" s="63" t="s">
        <v>81</v>
      </c>
      <c r="AH195" s="63" t="s">
        <v>81</v>
      </c>
      <c r="AI195" s="65" t="s">
        <v>81</v>
      </c>
      <c r="AJ195" s="66" t="s">
        <v>61</v>
      </c>
      <c r="AK195" s="60"/>
    </row>
    <row r="196" ht="24.0" customHeight="1">
      <c r="A196" s="35"/>
      <c r="B196" s="36">
        <v>1.0</v>
      </c>
      <c r="C196" s="37" t="str">
        <f>IFERROR(__xludf.DUMMYFUNCTION("""COMPUTED_VALUE"""),"Noah Hahn (XX) - '25  MN")</f>
        <v>Noah Hahn (XX) - '25  MN</v>
      </c>
      <c r="D196" s="38" t="s">
        <v>1128</v>
      </c>
      <c r="E196" s="39" t="s">
        <v>61</v>
      </c>
      <c r="F196" s="40"/>
      <c r="G196" s="41"/>
      <c r="H196" s="42" t="s">
        <v>49</v>
      </c>
      <c r="I196" s="43" t="s">
        <v>1129</v>
      </c>
      <c r="J196" s="43">
        <v>2025.0</v>
      </c>
      <c r="K196" s="43" t="s">
        <v>410</v>
      </c>
      <c r="L196" s="43"/>
      <c r="M196" s="43"/>
      <c r="N196" s="43"/>
      <c r="O196" s="43"/>
      <c r="P196" s="80"/>
      <c r="Q196" s="43" t="s">
        <v>448</v>
      </c>
      <c r="R196" s="43" t="s">
        <v>1130</v>
      </c>
      <c r="S196" s="44"/>
      <c r="T196" s="43"/>
      <c r="U196" s="43"/>
      <c r="V196" s="39"/>
      <c r="W196" s="39"/>
      <c r="X196" s="39"/>
      <c r="Y196" s="39"/>
      <c r="Z196" s="46"/>
      <c r="AA196" s="47" t="s">
        <v>1131</v>
      </c>
      <c r="AB196" s="48" t="s">
        <v>61</v>
      </c>
      <c r="AC196" s="68" t="s">
        <v>61</v>
      </c>
      <c r="AD196" s="69" t="s">
        <v>61</v>
      </c>
      <c r="AE196" s="69" t="s">
        <v>61</v>
      </c>
      <c r="AF196" s="68" t="s">
        <v>61</v>
      </c>
      <c r="AG196" s="68" t="s">
        <v>61</v>
      </c>
      <c r="AH196" s="68" t="s">
        <v>61</v>
      </c>
      <c r="AI196" s="70" t="s">
        <v>61</v>
      </c>
      <c r="AJ196" s="49" t="s">
        <v>61</v>
      </c>
      <c r="AK196" s="46"/>
    </row>
    <row r="197" ht="24.0" customHeight="1">
      <c r="A197" s="35"/>
      <c r="B197" s="36">
        <v>1.0</v>
      </c>
      <c r="C197" s="37" t="str">
        <f>IFERROR(__xludf.DUMMYFUNCTION("""COMPUTED_VALUE"""),"Owen Elser (XX) - '25  CO")</f>
        <v>Owen Elser (XX) - '25  CO</v>
      </c>
      <c r="D197" s="38" t="s">
        <v>1132</v>
      </c>
      <c r="E197" s="51" t="s">
        <v>61</v>
      </c>
      <c r="F197" s="52"/>
      <c r="G197" s="53"/>
      <c r="H197" s="54" t="s">
        <v>64</v>
      </c>
      <c r="I197" s="55" t="s">
        <v>1133</v>
      </c>
      <c r="J197" s="55">
        <v>2025.0</v>
      </c>
      <c r="K197" s="55" t="s">
        <v>410</v>
      </c>
      <c r="L197" s="55"/>
      <c r="M197" s="55"/>
      <c r="N197" s="55"/>
      <c r="O197" s="55"/>
      <c r="P197" s="55"/>
      <c r="Q197" s="55" t="s">
        <v>174</v>
      </c>
      <c r="R197" s="55" t="s">
        <v>693</v>
      </c>
      <c r="S197" s="58"/>
      <c r="T197" s="55"/>
      <c r="U197" s="55"/>
      <c r="V197" s="51"/>
      <c r="W197" s="51"/>
      <c r="X197" s="51"/>
      <c r="Y197" s="51"/>
      <c r="Z197" s="60"/>
      <c r="AA197" s="73" t="s">
        <v>1134</v>
      </c>
      <c r="AB197" s="62" t="s">
        <v>61</v>
      </c>
      <c r="AC197" s="63" t="s">
        <v>61</v>
      </c>
      <c r="AD197" s="64" t="s">
        <v>61</v>
      </c>
      <c r="AE197" s="64" t="s">
        <v>61</v>
      </c>
      <c r="AF197" s="63" t="s">
        <v>61</v>
      </c>
      <c r="AG197" s="63" t="s">
        <v>61</v>
      </c>
      <c r="AH197" s="63" t="s">
        <v>61</v>
      </c>
      <c r="AI197" s="65" t="s">
        <v>61</v>
      </c>
      <c r="AJ197" s="66" t="s">
        <v>61</v>
      </c>
      <c r="AK197" s="60"/>
    </row>
    <row r="198" ht="24.0" customHeight="1">
      <c r="A198" s="35"/>
      <c r="B198" s="36">
        <v>1.0</v>
      </c>
      <c r="C198" s="37" t="str">
        <f>IFERROR(__xludf.DUMMYFUNCTION("""COMPUTED_VALUE"""),"Patrick Colbert (XX) - '25  MD")</f>
        <v>Patrick Colbert (XX) - '25  MD</v>
      </c>
      <c r="D198" s="38" t="s">
        <v>1135</v>
      </c>
      <c r="E198" s="39" t="s">
        <v>61</v>
      </c>
      <c r="F198" s="40"/>
      <c r="G198" s="41"/>
      <c r="H198" s="42" t="s">
        <v>70</v>
      </c>
      <c r="I198" s="43" t="s">
        <v>1136</v>
      </c>
      <c r="J198" s="43">
        <v>2025.0</v>
      </c>
      <c r="K198" s="43" t="s">
        <v>410</v>
      </c>
      <c r="L198" s="80"/>
      <c r="M198" s="43"/>
      <c r="N198" s="95"/>
      <c r="O198" s="43"/>
      <c r="P198" s="80"/>
      <c r="Q198" s="43" t="s">
        <v>195</v>
      </c>
      <c r="R198" s="43" t="s">
        <v>1137</v>
      </c>
      <c r="S198" s="44"/>
      <c r="T198" s="43"/>
      <c r="U198" s="43"/>
      <c r="V198" s="94"/>
      <c r="W198" s="39"/>
      <c r="X198" s="94" t="s">
        <v>1138</v>
      </c>
      <c r="Y198" s="94"/>
      <c r="Z198" s="46"/>
      <c r="AA198" s="47" t="s">
        <v>1139</v>
      </c>
      <c r="AB198" s="48" t="s">
        <v>61</v>
      </c>
      <c r="AC198" s="68" t="s">
        <v>61</v>
      </c>
      <c r="AD198" s="69" t="s">
        <v>61</v>
      </c>
      <c r="AE198" s="69" t="s">
        <v>61</v>
      </c>
      <c r="AF198" s="68" t="s">
        <v>61</v>
      </c>
      <c r="AG198" s="68" t="s">
        <v>61</v>
      </c>
      <c r="AH198" s="68" t="s">
        <v>61</v>
      </c>
      <c r="AI198" s="70" t="s">
        <v>61</v>
      </c>
      <c r="AJ198" s="49" t="s">
        <v>61</v>
      </c>
      <c r="AK198" s="46"/>
    </row>
    <row r="199" ht="24.0" customHeight="1">
      <c r="A199" s="35"/>
      <c r="B199" s="36">
        <v>1.0</v>
      </c>
      <c r="C199" s="37" t="str">
        <f>IFERROR(__xludf.DUMMYFUNCTION("""COMPUTED_VALUE"""),"Peter Mershon (XX) - '25  SC")</f>
        <v>Peter Mershon (XX) - '25  SC</v>
      </c>
      <c r="D199" s="89" t="s">
        <v>1140</v>
      </c>
      <c r="E199" s="51" t="s">
        <v>61</v>
      </c>
      <c r="F199" s="52"/>
      <c r="G199" s="53"/>
      <c r="H199" s="54" t="s">
        <v>1141</v>
      </c>
      <c r="I199" s="55" t="s">
        <v>1142</v>
      </c>
      <c r="J199" s="55">
        <v>2025.0</v>
      </c>
      <c r="K199" s="55" t="s">
        <v>410</v>
      </c>
      <c r="L199" s="55"/>
      <c r="M199" s="55"/>
      <c r="N199" s="55"/>
      <c r="O199" s="55"/>
      <c r="P199" s="55"/>
      <c r="Q199" s="55" t="s">
        <v>286</v>
      </c>
      <c r="R199" s="55" t="s">
        <v>1143</v>
      </c>
      <c r="S199" s="58"/>
      <c r="T199" s="55"/>
      <c r="U199" s="55"/>
      <c r="V199" s="51"/>
      <c r="W199" s="51"/>
      <c r="X199" s="51"/>
      <c r="Y199" s="51"/>
      <c r="Z199" s="60"/>
      <c r="AA199" s="73" t="s">
        <v>1144</v>
      </c>
      <c r="AB199" s="62" t="s">
        <v>61</v>
      </c>
      <c r="AC199" s="63" t="s">
        <v>61</v>
      </c>
      <c r="AD199" s="64" t="s">
        <v>61</v>
      </c>
      <c r="AE199" s="64" t="s">
        <v>61</v>
      </c>
      <c r="AF199" s="63" t="s">
        <v>61</v>
      </c>
      <c r="AG199" s="63" t="s">
        <v>61</v>
      </c>
      <c r="AH199" s="63" t="s">
        <v>61</v>
      </c>
      <c r="AI199" s="65" t="s">
        <v>61</v>
      </c>
      <c r="AJ199" s="66" t="s">
        <v>61</v>
      </c>
      <c r="AK199" s="60"/>
    </row>
    <row r="200" ht="24.0" customHeight="1">
      <c r="A200" s="35"/>
      <c r="B200" s="36">
        <v>1.0</v>
      </c>
      <c r="C200" s="37" t="str">
        <f>IFERROR(__xludf.DUMMYFUNCTION("""COMPUTED_VALUE"""),"Porter Berryman (XX) - '25  GA")</f>
        <v>Porter Berryman (XX) - '25  GA</v>
      </c>
      <c r="D200" s="89" t="s">
        <v>1145</v>
      </c>
      <c r="E200" s="39" t="s">
        <v>61</v>
      </c>
      <c r="F200" s="40"/>
      <c r="G200" s="41"/>
      <c r="H200" s="42" t="s">
        <v>1146</v>
      </c>
      <c r="I200" s="43" t="s">
        <v>1147</v>
      </c>
      <c r="J200" s="43">
        <v>2025.0</v>
      </c>
      <c r="K200" s="43" t="s">
        <v>410</v>
      </c>
      <c r="L200" s="43"/>
      <c r="M200" s="43"/>
      <c r="N200" s="43"/>
      <c r="O200" s="43"/>
      <c r="P200" s="43"/>
      <c r="Q200" s="43" t="s">
        <v>43</v>
      </c>
      <c r="R200" s="43" t="s">
        <v>1148</v>
      </c>
      <c r="S200" s="44"/>
      <c r="T200" s="43"/>
      <c r="U200" s="43"/>
      <c r="V200" s="39"/>
      <c r="W200" s="39"/>
      <c r="X200" s="39"/>
      <c r="Y200" s="39"/>
      <c r="Z200" s="46"/>
      <c r="AA200" s="47" t="s">
        <v>1149</v>
      </c>
      <c r="AB200" s="48" t="s">
        <v>61</v>
      </c>
      <c r="AC200" s="68" t="s">
        <v>61</v>
      </c>
      <c r="AD200" s="69" t="s">
        <v>61</v>
      </c>
      <c r="AE200" s="69" t="s">
        <v>61</v>
      </c>
      <c r="AF200" s="68" t="s">
        <v>61</v>
      </c>
      <c r="AG200" s="68" t="s">
        <v>61</v>
      </c>
      <c r="AH200" s="68" t="s">
        <v>61</v>
      </c>
      <c r="AI200" s="70" t="s">
        <v>61</v>
      </c>
      <c r="AJ200" s="49" t="s">
        <v>61</v>
      </c>
      <c r="AK200" s="46"/>
    </row>
    <row r="201" ht="24.0" customHeight="1">
      <c r="A201" s="35"/>
      <c r="B201" s="36">
        <v>1.0</v>
      </c>
      <c r="C201" s="37" t="str">
        <f>IFERROR(__xludf.DUMMYFUNCTION("""COMPUTED_VALUE"""),"Preston Yaucher (XX) - '25  WI")</f>
        <v>Preston Yaucher (XX) - '25  WI</v>
      </c>
      <c r="D201" s="38" t="s">
        <v>1150</v>
      </c>
      <c r="E201" s="51" t="s">
        <v>61</v>
      </c>
      <c r="F201" s="52"/>
      <c r="G201" s="53"/>
      <c r="H201" s="54" t="s">
        <v>1151</v>
      </c>
      <c r="I201" s="55" t="s">
        <v>1152</v>
      </c>
      <c r="J201" s="55">
        <v>2025.0</v>
      </c>
      <c r="K201" s="55" t="s">
        <v>410</v>
      </c>
      <c r="L201" s="57"/>
      <c r="M201" s="55"/>
      <c r="N201" s="55"/>
      <c r="O201" s="55"/>
      <c r="P201" s="72"/>
      <c r="Q201" s="55" t="s">
        <v>1153</v>
      </c>
      <c r="R201" s="55" t="s">
        <v>1154</v>
      </c>
      <c r="S201" s="58" t="s">
        <v>1155</v>
      </c>
      <c r="T201" s="55"/>
      <c r="U201" s="55"/>
      <c r="V201" s="102"/>
      <c r="W201" s="51"/>
      <c r="X201" s="102"/>
      <c r="Y201" s="102"/>
      <c r="Z201" s="60"/>
      <c r="AA201" s="73" t="s">
        <v>1156</v>
      </c>
      <c r="AB201" s="62" t="s">
        <v>61</v>
      </c>
      <c r="AC201" s="63" t="s">
        <v>61</v>
      </c>
      <c r="AD201" s="64" t="s">
        <v>61</v>
      </c>
      <c r="AE201" s="64" t="s">
        <v>61</v>
      </c>
      <c r="AF201" s="63" t="s">
        <v>61</v>
      </c>
      <c r="AG201" s="63" t="s">
        <v>61</v>
      </c>
      <c r="AH201" s="63" t="s">
        <v>61</v>
      </c>
      <c r="AI201" s="65" t="s">
        <v>61</v>
      </c>
      <c r="AJ201" s="66" t="s">
        <v>61</v>
      </c>
      <c r="AK201" s="60"/>
    </row>
    <row r="202" ht="24.0" customHeight="1">
      <c r="A202" s="35"/>
      <c r="B202" s="36">
        <v>1.0</v>
      </c>
      <c r="C202" s="37" t="str">
        <f>IFERROR(__xludf.DUMMYFUNCTION("""COMPUTED_VALUE"""),"Quinn Schambow (XX) - '25  IL")</f>
        <v>Quinn Schambow (XX) - '25  IL</v>
      </c>
      <c r="D202" s="38" t="s">
        <v>1157</v>
      </c>
      <c r="E202" s="39" t="s">
        <v>61</v>
      </c>
      <c r="F202" s="40"/>
      <c r="G202" s="41"/>
      <c r="H202" s="42" t="s">
        <v>1158</v>
      </c>
      <c r="I202" s="43" t="s">
        <v>1159</v>
      </c>
      <c r="J202" s="43">
        <v>2025.0</v>
      </c>
      <c r="K202" s="43" t="s">
        <v>410</v>
      </c>
      <c r="L202" s="43"/>
      <c r="M202" s="43"/>
      <c r="N202" s="43"/>
      <c r="O202" s="43"/>
      <c r="P202" s="43"/>
      <c r="Q202" s="43" t="s">
        <v>307</v>
      </c>
      <c r="R202" s="43" t="s">
        <v>1160</v>
      </c>
      <c r="S202" s="44"/>
      <c r="T202" s="43"/>
      <c r="U202" s="43"/>
      <c r="V202" s="39"/>
      <c r="W202" s="39"/>
      <c r="X202" s="39"/>
      <c r="Y202" s="39"/>
      <c r="Z202" s="46"/>
      <c r="AA202" s="47" t="s">
        <v>1161</v>
      </c>
      <c r="AB202" s="48" t="s">
        <v>61</v>
      </c>
      <c r="AC202" s="68" t="s">
        <v>61</v>
      </c>
      <c r="AD202" s="69" t="s">
        <v>61</v>
      </c>
      <c r="AE202" s="69" t="s">
        <v>61</v>
      </c>
      <c r="AF202" s="68" t="s">
        <v>61</v>
      </c>
      <c r="AG202" s="68" t="s">
        <v>61</v>
      </c>
      <c r="AH202" s="68" t="s">
        <v>61</v>
      </c>
      <c r="AI202" s="70" t="s">
        <v>61</v>
      </c>
      <c r="AJ202" s="49" t="s">
        <v>61</v>
      </c>
      <c r="AK202" s="46"/>
    </row>
    <row r="203" ht="24.0" customHeight="1">
      <c r="A203" s="35"/>
      <c r="B203" s="36">
        <v>1.0</v>
      </c>
      <c r="C203" s="37" t="str">
        <f>IFERROR(__xludf.DUMMYFUNCTION("""COMPUTED_VALUE"""),"Rantz Payton (XX) - '25  KY")</f>
        <v>Rantz Payton (XX) - '25  KY</v>
      </c>
      <c r="D203" s="38" t="s">
        <v>1162</v>
      </c>
      <c r="E203" s="51" t="s">
        <v>61</v>
      </c>
      <c r="F203" s="52"/>
      <c r="G203" s="53"/>
      <c r="H203" s="54" t="s">
        <v>1163</v>
      </c>
      <c r="I203" s="55" t="s">
        <v>1164</v>
      </c>
      <c r="J203" s="55">
        <v>2025.0</v>
      </c>
      <c r="K203" s="55" t="s">
        <v>410</v>
      </c>
      <c r="L203" s="55"/>
      <c r="M203" s="55"/>
      <c r="N203" s="55"/>
      <c r="O203" s="55"/>
      <c r="P203" s="55"/>
      <c r="Q203" s="55" t="s">
        <v>543</v>
      </c>
      <c r="R203" s="55" t="s">
        <v>1165</v>
      </c>
      <c r="S203" s="58"/>
      <c r="T203" s="55"/>
      <c r="U203" s="55"/>
      <c r="V203" s="51"/>
      <c r="W203" s="51"/>
      <c r="X203" s="51"/>
      <c r="Y203" s="51"/>
      <c r="Z203" s="60"/>
      <c r="AA203" s="73" t="s">
        <v>1166</v>
      </c>
      <c r="AB203" s="62" t="s">
        <v>61</v>
      </c>
      <c r="AC203" s="63" t="s">
        <v>61</v>
      </c>
      <c r="AD203" s="64" t="s">
        <v>61</v>
      </c>
      <c r="AE203" s="64" t="s">
        <v>61</v>
      </c>
      <c r="AF203" s="63" t="s">
        <v>61</v>
      </c>
      <c r="AG203" s="63" t="s">
        <v>61</v>
      </c>
      <c r="AH203" s="63" t="s">
        <v>61</v>
      </c>
      <c r="AI203" s="65" t="s">
        <v>61</v>
      </c>
      <c r="AJ203" s="66" t="s">
        <v>61</v>
      </c>
      <c r="AK203" s="60"/>
    </row>
    <row r="204" ht="24.0" customHeight="1">
      <c r="A204" s="35"/>
      <c r="B204" s="36">
        <v>1.0</v>
      </c>
      <c r="C204" s="37" t="str">
        <f>IFERROR(__xludf.DUMMYFUNCTION("""COMPUTED_VALUE"""),"Remo Indomenico (XX) - '25 CF FL")</f>
        <v>Remo Indomenico (XX) - '25 CF FL</v>
      </c>
      <c r="D204" s="38" t="s">
        <v>1167</v>
      </c>
      <c r="E204" s="39" t="s">
        <v>103</v>
      </c>
      <c r="F204" s="40"/>
      <c r="G204" s="41"/>
      <c r="H204" s="42" t="s">
        <v>1168</v>
      </c>
      <c r="I204" s="43" t="s">
        <v>1169</v>
      </c>
      <c r="J204" s="43">
        <v>2025.0</v>
      </c>
      <c r="K204" s="43" t="s">
        <v>410</v>
      </c>
      <c r="L204" s="80"/>
      <c r="M204" s="43" t="s">
        <v>106</v>
      </c>
      <c r="N204" s="80"/>
      <c r="O204" s="43"/>
      <c r="P204" s="43"/>
      <c r="Q204" s="43" t="s">
        <v>66</v>
      </c>
      <c r="R204" s="43" t="s">
        <v>1170</v>
      </c>
      <c r="S204" s="44" t="s">
        <v>133</v>
      </c>
      <c r="T204" s="43" t="s">
        <v>1171</v>
      </c>
      <c r="U204" s="43" t="s">
        <v>1172</v>
      </c>
      <c r="V204" s="39"/>
      <c r="W204" s="39"/>
      <c r="X204" s="39"/>
      <c r="Y204" s="39"/>
      <c r="Z204" s="46"/>
      <c r="AA204" s="47" t="s">
        <v>1173</v>
      </c>
      <c r="AB204" s="48" t="s">
        <v>1174</v>
      </c>
      <c r="AC204" s="68" t="s">
        <v>1175</v>
      </c>
      <c r="AD204" s="69" t="s">
        <v>1176</v>
      </c>
      <c r="AE204" s="69" t="s">
        <v>1177</v>
      </c>
      <c r="AF204" s="68" t="s">
        <v>1178</v>
      </c>
      <c r="AG204" s="68" t="s">
        <v>1179</v>
      </c>
      <c r="AH204" s="68" t="s">
        <v>1180</v>
      </c>
      <c r="AI204" s="70" t="s">
        <v>81</v>
      </c>
      <c r="AJ204" s="49" t="s">
        <v>61</v>
      </c>
      <c r="AK204" s="46"/>
    </row>
    <row r="205" ht="24.0" customHeight="1">
      <c r="A205" s="35"/>
      <c r="B205" s="36">
        <v>1.0</v>
      </c>
      <c r="C205" s="37" t="str">
        <f>IFERROR(__xludf.DUMMYFUNCTION("""COMPUTED_VALUE"""),"Ren Devereaux (XX) - '25  MD")</f>
        <v>Ren Devereaux (XX) - '25  MD</v>
      </c>
      <c r="D205" s="38" t="s">
        <v>1181</v>
      </c>
      <c r="E205" s="51" t="s">
        <v>61</v>
      </c>
      <c r="F205" s="52"/>
      <c r="G205" s="53"/>
      <c r="H205" s="54" t="s">
        <v>1182</v>
      </c>
      <c r="I205" s="55" t="s">
        <v>1183</v>
      </c>
      <c r="J205" s="55">
        <v>2025.0</v>
      </c>
      <c r="K205" s="55" t="s">
        <v>410</v>
      </c>
      <c r="L205" s="57"/>
      <c r="M205" s="55"/>
      <c r="N205" s="57"/>
      <c r="O205" s="55"/>
      <c r="P205" s="55"/>
      <c r="Q205" s="55" t="s">
        <v>195</v>
      </c>
      <c r="R205" s="55" t="s">
        <v>1184</v>
      </c>
      <c r="S205" s="58"/>
      <c r="T205" s="55"/>
      <c r="U205" s="55"/>
      <c r="V205" s="51"/>
      <c r="W205" s="51"/>
      <c r="X205" s="75">
        <v>45909.0</v>
      </c>
      <c r="Y205" s="51"/>
      <c r="Z205" s="60"/>
      <c r="AA205" s="73" t="s">
        <v>1185</v>
      </c>
      <c r="AB205" s="62" t="s">
        <v>61</v>
      </c>
      <c r="AC205" s="63" t="s">
        <v>61</v>
      </c>
      <c r="AD205" s="64" t="s">
        <v>61</v>
      </c>
      <c r="AE205" s="64" t="s">
        <v>61</v>
      </c>
      <c r="AF205" s="63" t="s">
        <v>61</v>
      </c>
      <c r="AG205" s="63" t="s">
        <v>61</v>
      </c>
      <c r="AH205" s="63" t="s">
        <v>61</v>
      </c>
      <c r="AI205" s="65" t="s">
        <v>61</v>
      </c>
      <c r="AJ205" s="66" t="s">
        <v>61</v>
      </c>
      <c r="AK205" s="60"/>
    </row>
    <row r="206" ht="24.0" customHeight="1">
      <c r="A206" s="93"/>
      <c r="B206" s="36">
        <v>1.0</v>
      </c>
      <c r="C206" s="37" t="str">
        <f>IFERROR(__xludf.DUMMYFUNCTION("""COMPUTED_VALUE"""),"Riley Wood (XX) - '25  TX")</f>
        <v>Riley Wood (XX) - '25  TX</v>
      </c>
      <c r="D206" s="38" t="s">
        <v>1186</v>
      </c>
      <c r="E206" s="39" t="s">
        <v>61</v>
      </c>
      <c r="F206" s="40"/>
      <c r="G206" s="41"/>
      <c r="H206" s="42" t="s">
        <v>1187</v>
      </c>
      <c r="I206" s="43" t="s">
        <v>1188</v>
      </c>
      <c r="J206" s="43">
        <v>2025.0</v>
      </c>
      <c r="K206" s="43" t="s">
        <v>410</v>
      </c>
      <c r="L206" s="80"/>
      <c r="M206" s="43"/>
      <c r="N206" s="43"/>
      <c r="O206" s="43"/>
      <c r="P206" s="43"/>
      <c r="Q206" s="43" t="s">
        <v>180</v>
      </c>
      <c r="R206" s="43" t="s">
        <v>1189</v>
      </c>
      <c r="S206" s="44" t="s">
        <v>1190</v>
      </c>
      <c r="T206" s="43"/>
      <c r="U206" s="43"/>
      <c r="V206" s="39"/>
      <c r="W206" s="39"/>
      <c r="X206" s="39"/>
      <c r="Y206" s="39"/>
      <c r="Z206" s="46"/>
      <c r="AA206" s="47" t="s">
        <v>1191</v>
      </c>
      <c r="AB206" s="48" t="s">
        <v>61</v>
      </c>
      <c r="AC206" s="68" t="s">
        <v>61</v>
      </c>
      <c r="AD206" s="69" t="s">
        <v>61</v>
      </c>
      <c r="AE206" s="69" t="s">
        <v>61</v>
      </c>
      <c r="AF206" s="68" t="s">
        <v>61</v>
      </c>
      <c r="AG206" s="68" t="s">
        <v>61</v>
      </c>
      <c r="AH206" s="68" t="s">
        <v>61</v>
      </c>
      <c r="AI206" s="70" t="s">
        <v>61</v>
      </c>
      <c r="AJ206" s="49" t="s">
        <v>61</v>
      </c>
      <c r="AK206" s="46"/>
    </row>
    <row r="207" ht="24.0" customHeight="1">
      <c r="A207" s="35"/>
      <c r="B207" s="36">
        <v>1.0</v>
      </c>
      <c r="C207" s="37" t="str">
        <f>IFERROR(__xludf.DUMMYFUNCTION("""COMPUTED_VALUE"""),"Rogers Stow (XX) - '25  SC")</f>
        <v>Rogers Stow (XX) - '25  SC</v>
      </c>
      <c r="D207" s="38" t="s">
        <v>1192</v>
      </c>
      <c r="E207" s="51" t="s">
        <v>61</v>
      </c>
      <c r="F207" s="52"/>
      <c r="G207" s="53"/>
      <c r="H207" s="54" t="s">
        <v>1193</v>
      </c>
      <c r="I207" s="55" t="s">
        <v>1194</v>
      </c>
      <c r="J207" s="55">
        <v>2025.0</v>
      </c>
      <c r="K207" s="55" t="s">
        <v>410</v>
      </c>
      <c r="L207" s="55"/>
      <c r="M207" s="55"/>
      <c r="N207" s="55"/>
      <c r="O207" s="55"/>
      <c r="P207" s="55"/>
      <c r="Q207" s="55" t="s">
        <v>286</v>
      </c>
      <c r="R207" s="55" t="s">
        <v>1195</v>
      </c>
      <c r="S207" s="58"/>
      <c r="T207" s="55"/>
      <c r="U207" s="55"/>
      <c r="V207" s="51"/>
      <c r="W207" s="51"/>
      <c r="X207" s="51"/>
      <c r="Y207" s="51"/>
      <c r="Z207" s="60"/>
      <c r="AA207" s="73" t="s">
        <v>1196</v>
      </c>
      <c r="AB207" s="62" t="s">
        <v>61</v>
      </c>
      <c r="AC207" s="63" t="s">
        <v>61</v>
      </c>
      <c r="AD207" s="64" t="s">
        <v>61</v>
      </c>
      <c r="AE207" s="64" t="s">
        <v>61</v>
      </c>
      <c r="AF207" s="63" t="s">
        <v>61</v>
      </c>
      <c r="AG207" s="63" t="s">
        <v>61</v>
      </c>
      <c r="AH207" s="63" t="s">
        <v>61</v>
      </c>
      <c r="AI207" s="65" t="s">
        <v>61</v>
      </c>
      <c r="AJ207" s="66" t="s">
        <v>61</v>
      </c>
      <c r="AK207" s="60"/>
    </row>
    <row r="208" ht="24.0" customHeight="1">
      <c r="A208" s="35"/>
      <c r="B208" s="36">
        <v>1.0</v>
      </c>
      <c r="C208" s="37" t="str">
        <f>IFERROR(__xludf.DUMMYFUNCTION("""COMPUTED_VALUE"""),"Rowen Bergeron (XX) - '25 MINF LA")</f>
        <v>Rowen Bergeron (XX) - '25 MINF LA</v>
      </c>
      <c r="D208" s="38" t="s">
        <v>1197</v>
      </c>
      <c r="E208" s="39" t="s">
        <v>48</v>
      </c>
      <c r="F208" s="40"/>
      <c r="G208" s="41"/>
      <c r="H208" s="42" t="s">
        <v>1198</v>
      </c>
      <c r="I208" s="43" t="s">
        <v>1199</v>
      </c>
      <c r="J208" s="43">
        <v>2025.0</v>
      </c>
      <c r="K208" s="43" t="s">
        <v>410</v>
      </c>
      <c r="L208" s="43"/>
      <c r="M208" s="43" t="s">
        <v>51</v>
      </c>
      <c r="N208" s="43"/>
      <c r="O208" s="43"/>
      <c r="P208" s="43"/>
      <c r="Q208" s="43" t="s">
        <v>337</v>
      </c>
      <c r="R208" s="43" t="s">
        <v>1200</v>
      </c>
      <c r="S208" s="44"/>
      <c r="T208" s="43"/>
      <c r="U208" s="43"/>
      <c r="V208" s="39"/>
      <c r="W208" s="39"/>
      <c r="X208" s="39"/>
      <c r="Y208" s="39"/>
      <c r="Z208" s="46"/>
      <c r="AA208" s="47" t="s">
        <v>1201</v>
      </c>
      <c r="AB208" s="48" t="s">
        <v>1202</v>
      </c>
      <c r="AC208" s="68" t="s">
        <v>1203</v>
      </c>
      <c r="AD208" s="69">
        <v>4.0</v>
      </c>
      <c r="AE208" s="69" t="s">
        <v>1204</v>
      </c>
      <c r="AF208" s="68" t="s">
        <v>60</v>
      </c>
      <c r="AG208" s="68" t="s">
        <v>60</v>
      </c>
      <c r="AH208" s="68" t="s">
        <v>60</v>
      </c>
      <c r="AI208" s="70" t="s">
        <v>60</v>
      </c>
      <c r="AJ208" s="49" t="s">
        <v>61</v>
      </c>
      <c r="AK208" s="46"/>
    </row>
    <row r="209" ht="24.0" customHeight="1">
      <c r="A209" s="35"/>
      <c r="B209" s="36">
        <v>1.0</v>
      </c>
      <c r="C209" s="37" t="str">
        <f>IFERROR(__xludf.DUMMYFUNCTION("""COMPUTED_VALUE"""),"Ryan Darrah (XX) - '25  LA")</f>
        <v>Ryan Darrah (XX) - '25  LA</v>
      </c>
      <c r="D209" s="38" t="s">
        <v>1205</v>
      </c>
      <c r="E209" s="51" t="s">
        <v>61</v>
      </c>
      <c r="F209" s="52"/>
      <c r="G209" s="53"/>
      <c r="H209" s="54" t="s">
        <v>1206</v>
      </c>
      <c r="I209" s="55" t="s">
        <v>1207</v>
      </c>
      <c r="J209" s="55">
        <v>2025.0</v>
      </c>
      <c r="K209" s="55" t="s">
        <v>410</v>
      </c>
      <c r="L209" s="55"/>
      <c r="M209" s="55"/>
      <c r="N209" s="55"/>
      <c r="O209" s="55"/>
      <c r="P209" s="55"/>
      <c r="Q209" s="55" t="s">
        <v>337</v>
      </c>
      <c r="R209" s="55" t="s">
        <v>1208</v>
      </c>
      <c r="S209" s="58"/>
      <c r="T209" s="55"/>
      <c r="U209" s="55"/>
      <c r="V209" s="51"/>
      <c r="W209" s="51"/>
      <c r="X209" s="51"/>
      <c r="Y209" s="51"/>
      <c r="Z209" s="60"/>
      <c r="AA209" s="73" t="s">
        <v>1209</v>
      </c>
      <c r="AB209" s="62" t="s">
        <v>61</v>
      </c>
      <c r="AC209" s="63" t="s">
        <v>61</v>
      </c>
      <c r="AD209" s="64" t="s">
        <v>61</v>
      </c>
      <c r="AE209" s="64" t="s">
        <v>61</v>
      </c>
      <c r="AF209" s="63" t="s">
        <v>61</v>
      </c>
      <c r="AG209" s="63" t="s">
        <v>61</v>
      </c>
      <c r="AH209" s="63" t="s">
        <v>61</v>
      </c>
      <c r="AI209" s="65" t="s">
        <v>61</v>
      </c>
      <c r="AJ209" s="66" t="s">
        <v>61</v>
      </c>
      <c r="AK209" s="60"/>
    </row>
    <row r="210" ht="24.0" customHeight="1">
      <c r="A210" s="35"/>
      <c r="B210" s="36">
        <v>1.0</v>
      </c>
      <c r="C210" s="37" t="str">
        <f>IFERROR(__xludf.DUMMYFUNCTION("""COMPUTED_VALUE"""),"Ryan Melton (XX) - '25  TX")</f>
        <v>Ryan Melton (XX) - '25  TX</v>
      </c>
      <c r="D210" s="89" t="s">
        <v>1210</v>
      </c>
      <c r="E210" s="39" t="s">
        <v>61</v>
      </c>
      <c r="F210" s="40"/>
      <c r="G210" s="41"/>
      <c r="H210" s="42" t="s">
        <v>1206</v>
      </c>
      <c r="I210" s="43" t="s">
        <v>1211</v>
      </c>
      <c r="J210" s="43">
        <v>2025.0</v>
      </c>
      <c r="K210" s="43" t="s">
        <v>410</v>
      </c>
      <c r="L210" s="43"/>
      <c r="M210" s="43"/>
      <c r="N210" s="43"/>
      <c r="O210" s="43"/>
      <c r="P210" s="43"/>
      <c r="Q210" s="43" t="s">
        <v>180</v>
      </c>
      <c r="R210" s="43" t="s">
        <v>1212</v>
      </c>
      <c r="S210" s="44"/>
      <c r="T210" s="43"/>
      <c r="U210" s="43"/>
      <c r="V210" s="39"/>
      <c r="W210" s="39"/>
      <c r="X210" s="39"/>
      <c r="Y210" s="39"/>
      <c r="Z210" s="46"/>
      <c r="AA210" s="47" t="s">
        <v>1213</v>
      </c>
      <c r="AB210" s="48" t="s">
        <v>61</v>
      </c>
      <c r="AC210" s="68" t="s">
        <v>61</v>
      </c>
      <c r="AD210" s="69" t="s">
        <v>61</v>
      </c>
      <c r="AE210" s="69" t="s">
        <v>61</v>
      </c>
      <c r="AF210" s="68" t="s">
        <v>61</v>
      </c>
      <c r="AG210" s="68" t="s">
        <v>61</v>
      </c>
      <c r="AH210" s="68" t="s">
        <v>61</v>
      </c>
      <c r="AI210" s="70" t="s">
        <v>61</v>
      </c>
      <c r="AJ210" s="49" t="s">
        <v>61</v>
      </c>
      <c r="AK210" s="46"/>
    </row>
    <row r="211" ht="24.0" customHeight="1">
      <c r="A211" s="35"/>
      <c r="B211" s="36">
        <v>1.0</v>
      </c>
      <c r="C211" s="37" t="str">
        <f>IFERROR(__xludf.DUMMYFUNCTION("""COMPUTED_VALUE"""),"Ryan Penney (XX) - '25  AZ")</f>
        <v>Ryan Penney (XX) - '25  AZ</v>
      </c>
      <c r="D211" s="89" t="s">
        <v>1214</v>
      </c>
      <c r="E211" s="51" t="s">
        <v>61</v>
      </c>
      <c r="F211" s="52"/>
      <c r="G211" s="53"/>
      <c r="H211" s="54" t="s">
        <v>1206</v>
      </c>
      <c r="I211" s="55" t="s">
        <v>1215</v>
      </c>
      <c r="J211" s="55">
        <v>2025.0</v>
      </c>
      <c r="K211" s="55" t="s">
        <v>410</v>
      </c>
      <c r="L211" s="55"/>
      <c r="M211" s="55"/>
      <c r="N211" s="55"/>
      <c r="O211" s="55"/>
      <c r="P211" s="55"/>
      <c r="Q211" s="55" t="s">
        <v>319</v>
      </c>
      <c r="R211" s="55" t="s">
        <v>1216</v>
      </c>
      <c r="S211" s="58" t="s">
        <v>591</v>
      </c>
      <c r="T211" s="55"/>
      <c r="U211" s="55"/>
      <c r="V211" s="51"/>
      <c r="W211" s="51"/>
      <c r="X211" s="51"/>
      <c r="Y211" s="51"/>
      <c r="Z211" s="60"/>
      <c r="AA211" s="73" t="s">
        <v>1217</v>
      </c>
      <c r="AB211" s="62" t="s">
        <v>61</v>
      </c>
      <c r="AC211" s="63" t="s">
        <v>61</v>
      </c>
      <c r="AD211" s="64" t="s">
        <v>61</v>
      </c>
      <c r="AE211" s="64" t="s">
        <v>61</v>
      </c>
      <c r="AF211" s="63" t="s">
        <v>61</v>
      </c>
      <c r="AG211" s="63" t="s">
        <v>61</v>
      </c>
      <c r="AH211" s="63" t="s">
        <v>61</v>
      </c>
      <c r="AI211" s="65" t="s">
        <v>61</v>
      </c>
      <c r="AJ211" s="66" t="s">
        <v>61</v>
      </c>
      <c r="AK211" s="60"/>
    </row>
    <row r="212" ht="24.0" customHeight="1">
      <c r="A212" s="35"/>
      <c r="B212" s="36">
        <v>1.0</v>
      </c>
      <c r="C212" s="37" t="str">
        <f>IFERROR(__xludf.DUMMYFUNCTION("""COMPUTED_VALUE"""),"Ryan Rey (XX) - '25  MD")</f>
        <v>Ryan Rey (XX) - '25  MD</v>
      </c>
      <c r="D212" s="38" t="s">
        <v>1218</v>
      </c>
      <c r="E212" s="39" t="s">
        <v>61</v>
      </c>
      <c r="F212" s="40"/>
      <c r="G212" s="41"/>
      <c r="H212" s="42" t="s">
        <v>1206</v>
      </c>
      <c r="I212" s="43" t="s">
        <v>1219</v>
      </c>
      <c r="J212" s="43">
        <v>2025.0</v>
      </c>
      <c r="K212" s="43" t="s">
        <v>410</v>
      </c>
      <c r="L212" s="43"/>
      <c r="M212" s="43"/>
      <c r="N212" s="43"/>
      <c r="O212" s="43"/>
      <c r="P212" s="43"/>
      <c r="Q212" s="43" t="s">
        <v>195</v>
      </c>
      <c r="R212" s="43" t="s">
        <v>1220</v>
      </c>
      <c r="S212" s="44"/>
      <c r="T212" s="43"/>
      <c r="U212" s="43"/>
      <c r="V212" s="39"/>
      <c r="W212" s="39"/>
      <c r="X212" s="39"/>
      <c r="Y212" s="39"/>
      <c r="Z212" s="46"/>
      <c r="AA212" s="47" t="s">
        <v>1221</v>
      </c>
      <c r="AB212" s="48" t="s">
        <v>61</v>
      </c>
      <c r="AC212" s="68" t="s">
        <v>61</v>
      </c>
      <c r="AD212" s="69" t="s">
        <v>61</v>
      </c>
      <c r="AE212" s="69" t="s">
        <v>61</v>
      </c>
      <c r="AF212" s="68" t="s">
        <v>61</v>
      </c>
      <c r="AG212" s="68" t="s">
        <v>61</v>
      </c>
      <c r="AH212" s="68" t="s">
        <v>61</v>
      </c>
      <c r="AI212" s="70" t="s">
        <v>61</v>
      </c>
      <c r="AJ212" s="49" t="s">
        <v>61</v>
      </c>
      <c r="AK212" s="46"/>
    </row>
    <row r="213" ht="24.0" customHeight="1">
      <c r="A213" s="88"/>
      <c r="B213" s="36">
        <v>1.0</v>
      </c>
      <c r="C213" s="37" t="str">
        <f>IFERROR(__xludf.DUMMYFUNCTION("""COMPUTED_VALUE"""),"Ryan Strnad (XX) - '25  NY")</f>
        <v>Ryan Strnad (XX) - '25  NY</v>
      </c>
      <c r="D213" s="38" t="s">
        <v>1222</v>
      </c>
      <c r="E213" s="51" t="s">
        <v>61</v>
      </c>
      <c r="F213" s="52"/>
      <c r="G213" s="53"/>
      <c r="H213" s="54" t="s">
        <v>1206</v>
      </c>
      <c r="I213" s="55" t="s">
        <v>1223</v>
      </c>
      <c r="J213" s="55">
        <v>2025.0</v>
      </c>
      <c r="K213" s="55" t="s">
        <v>410</v>
      </c>
      <c r="L213" s="55"/>
      <c r="M213" s="55"/>
      <c r="N213" s="55"/>
      <c r="O213" s="55"/>
      <c r="P213" s="55"/>
      <c r="Q213" s="55" t="s">
        <v>255</v>
      </c>
      <c r="R213" s="55" t="s">
        <v>1224</v>
      </c>
      <c r="S213" s="58"/>
      <c r="T213" s="55"/>
      <c r="U213" s="55"/>
      <c r="V213" s="51"/>
      <c r="W213" s="51"/>
      <c r="X213" s="51"/>
      <c r="Y213" s="51"/>
      <c r="Z213" s="60"/>
      <c r="AA213" s="73" t="s">
        <v>1225</v>
      </c>
      <c r="AB213" s="62" t="s">
        <v>61</v>
      </c>
      <c r="AC213" s="63" t="s">
        <v>61</v>
      </c>
      <c r="AD213" s="64" t="s">
        <v>61</v>
      </c>
      <c r="AE213" s="64" t="s">
        <v>61</v>
      </c>
      <c r="AF213" s="63" t="s">
        <v>61</v>
      </c>
      <c r="AG213" s="63" t="s">
        <v>61</v>
      </c>
      <c r="AH213" s="63" t="s">
        <v>61</v>
      </c>
      <c r="AI213" s="65" t="s">
        <v>61</v>
      </c>
      <c r="AJ213" s="66" t="s">
        <v>61</v>
      </c>
      <c r="AK213" s="60"/>
    </row>
    <row r="214" ht="24.0" customHeight="1">
      <c r="A214" s="71"/>
      <c r="B214" s="36">
        <v>1.0</v>
      </c>
      <c r="C214" s="37" t="str">
        <f>IFERROR(__xludf.DUMMYFUNCTION("""COMPUTED_VALUE"""),"Ryne Dzierzynski (XX) - '25  IL")</f>
        <v>Ryne Dzierzynski (XX) - '25  IL</v>
      </c>
      <c r="D214" s="38" t="s">
        <v>1226</v>
      </c>
      <c r="E214" s="39" t="s">
        <v>61</v>
      </c>
      <c r="F214" s="40"/>
      <c r="G214" s="41"/>
      <c r="H214" s="42" t="s">
        <v>1227</v>
      </c>
      <c r="I214" s="43" t="s">
        <v>1228</v>
      </c>
      <c r="J214" s="43">
        <v>2025.0</v>
      </c>
      <c r="K214" s="43" t="s">
        <v>410</v>
      </c>
      <c r="L214" s="80"/>
      <c r="M214" s="43"/>
      <c r="N214" s="43"/>
      <c r="O214" s="43"/>
      <c r="P214" s="43"/>
      <c r="Q214" s="43" t="s">
        <v>307</v>
      </c>
      <c r="R214" s="43" t="s">
        <v>1229</v>
      </c>
      <c r="S214" s="44" t="s">
        <v>1230</v>
      </c>
      <c r="T214" s="43"/>
      <c r="U214" s="43"/>
      <c r="V214" s="39"/>
      <c r="W214" s="81"/>
      <c r="X214" s="81"/>
      <c r="Y214" s="81"/>
      <c r="Z214" s="82"/>
      <c r="AA214" s="47" t="s">
        <v>1231</v>
      </c>
      <c r="AB214" s="48" t="s">
        <v>61</v>
      </c>
      <c r="AC214" s="68" t="s">
        <v>61</v>
      </c>
      <c r="AD214" s="69" t="s">
        <v>61</v>
      </c>
      <c r="AE214" s="69" t="s">
        <v>61</v>
      </c>
      <c r="AF214" s="68" t="s">
        <v>61</v>
      </c>
      <c r="AG214" s="68" t="s">
        <v>61</v>
      </c>
      <c r="AH214" s="68" t="s">
        <v>61</v>
      </c>
      <c r="AI214" s="70" t="s">
        <v>61</v>
      </c>
      <c r="AJ214" s="49" t="s">
        <v>61</v>
      </c>
      <c r="AK214" s="46"/>
    </row>
    <row r="215" ht="24.0" customHeight="1">
      <c r="A215" s="35"/>
      <c r="B215" s="36">
        <v>1.0</v>
      </c>
      <c r="C215" s="37" t="str">
        <f>IFERROR(__xludf.DUMMYFUNCTION("""COMPUTED_VALUE"""),"Sammy Saucke (XX) - '25  NY")</f>
        <v>Sammy Saucke (XX) - '25  NY</v>
      </c>
      <c r="D215" s="38" t="s">
        <v>1232</v>
      </c>
      <c r="E215" s="51" t="s">
        <v>61</v>
      </c>
      <c r="F215" s="52"/>
      <c r="G215" s="53"/>
      <c r="H215" s="54" t="s">
        <v>1233</v>
      </c>
      <c r="I215" s="55" t="s">
        <v>1234</v>
      </c>
      <c r="J215" s="55">
        <v>2025.0</v>
      </c>
      <c r="K215" s="55" t="s">
        <v>410</v>
      </c>
      <c r="L215" s="55"/>
      <c r="M215" s="55"/>
      <c r="N215" s="55"/>
      <c r="O215" s="55"/>
      <c r="P215" s="55"/>
      <c r="Q215" s="55" t="s">
        <v>255</v>
      </c>
      <c r="R215" s="55" t="s">
        <v>1235</v>
      </c>
      <c r="S215" s="58"/>
      <c r="T215" s="55"/>
      <c r="U215" s="55"/>
      <c r="V215" s="51"/>
      <c r="W215" s="51"/>
      <c r="X215" s="51"/>
      <c r="Y215" s="51"/>
      <c r="Z215" s="60"/>
      <c r="AA215" s="73" t="s">
        <v>1236</v>
      </c>
      <c r="AB215" s="62" t="s">
        <v>61</v>
      </c>
      <c r="AC215" s="63" t="s">
        <v>61</v>
      </c>
      <c r="AD215" s="64" t="s">
        <v>61</v>
      </c>
      <c r="AE215" s="64" t="s">
        <v>61</v>
      </c>
      <c r="AF215" s="63" t="s">
        <v>61</v>
      </c>
      <c r="AG215" s="63" t="s">
        <v>61</v>
      </c>
      <c r="AH215" s="63" t="s">
        <v>61</v>
      </c>
      <c r="AI215" s="65" t="s">
        <v>61</v>
      </c>
      <c r="AJ215" s="66" t="s">
        <v>61</v>
      </c>
      <c r="AK215" s="60"/>
    </row>
    <row r="216" ht="24.0" customHeight="1">
      <c r="A216" s="35"/>
      <c r="B216" s="36">
        <v>1.0</v>
      </c>
      <c r="C216" s="37" t="str">
        <f>IFERROR(__xludf.DUMMYFUNCTION("""COMPUTED_VALUE"""),"Sawyer Deering (XX) - '25  WI")</f>
        <v>Sawyer Deering (XX) - '25  WI</v>
      </c>
      <c r="D216" s="38" t="s">
        <v>1237</v>
      </c>
      <c r="E216" s="39" t="s">
        <v>61</v>
      </c>
      <c r="F216" s="40"/>
      <c r="G216" s="41"/>
      <c r="H216" s="42" t="s">
        <v>1238</v>
      </c>
      <c r="I216" s="43" t="s">
        <v>1239</v>
      </c>
      <c r="J216" s="43">
        <v>2025.0</v>
      </c>
      <c r="K216" s="43" t="s">
        <v>410</v>
      </c>
      <c r="L216" s="80"/>
      <c r="M216" s="43"/>
      <c r="N216" s="80"/>
      <c r="O216" s="43"/>
      <c r="P216" s="43"/>
      <c r="Q216" s="43" t="s">
        <v>1153</v>
      </c>
      <c r="R216" s="43" t="s">
        <v>1240</v>
      </c>
      <c r="S216" s="44"/>
      <c r="T216" s="43"/>
      <c r="U216" s="43"/>
      <c r="V216" s="39"/>
      <c r="W216" s="39"/>
      <c r="X216" s="39"/>
      <c r="Y216" s="39"/>
      <c r="Z216" s="46"/>
      <c r="AA216" s="47" t="s">
        <v>1241</v>
      </c>
      <c r="AB216" s="48" t="s">
        <v>61</v>
      </c>
      <c r="AC216" s="68" t="s">
        <v>61</v>
      </c>
      <c r="AD216" s="69" t="s">
        <v>61</v>
      </c>
      <c r="AE216" s="69" t="s">
        <v>61</v>
      </c>
      <c r="AF216" s="68" t="s">
        <v>61</v>
      </c>
      <c r="AG216" s="68" t="s">
        <v>61</v>
      </c>
      <c r="AH216" s="68" t="s">
        <v>61</v>
      </c>
      <c r="AI216" s="70" t="s">
        <v>61</v>
      </c>
      <c r="AJ216" s="49" t="s">
        <v>61</v>
      </c>
      <c r="AK216" s="46"/>
    </row>
    <row r="217" ht="24.0" customHeight="1">
      <c r="A217" s="35"/>
      <c r="B217" s="36">
        <v>1.0</v>
      </c>
      <c r="C217" s="37" t="str">
        <f>IFERROR(__xludf.DUMMYFUNCTION("""COMPUTED_VALUE"""),"Sean Goldy (XX) - '25  CO")</f>
        <v>Sean Goldy (XX) - '25  CO</v>
      </c>
      <c r="D217" s="38" t="s">
        <v>1242</v>
      </c>
      <c r="E217" s="51" t="s">
        <v>61</v>
      </c>
      <c r="F217" s="52"/>
      <c r="G217" s="53"/>
      <c r="H217" s="54" t="s">
        <v>1243</v>
      </c>
      <c r="I217" s="55" t="s">
        <v>1244</v>
      </c>
      <c r="J217" s="55">
        <v>2025.0</v>
      </c>
      <c r="K217" s="55" t="s">
        <v>410</v>
      </c>
      <c r="L217" s="57"/>
      <c r="M217" s="55"/>
      <c r="N217" s="55"/>
      <c r="O217" s="55"/>
      <c r="P217" s="111"/>
      <c r="Q217" s="55" t="s">
        <v>174</v>
      </c>
      <c r="R217" s="55" t="s">
        <v>693</v>
      </c>
      <c r="S217" s="58" t="s">
        <v>580</v>
      </c>
      <c r="T217" s="55"/>
      <c r="U217" s="55"/>
      <c r="V217" s="74"/>
      <c r="W217" s="74"/>
      <c r="X217" s="74"/>
      <c r="Y217" s="74"/>
      <c r="Z217" s="76"/>
      <c r="AA217" s="73" t="s">
        <v>1245</v>
      </c>
      <c r="AB217" s="62" t="s">
        <v>61</v>
      </c>
      <c r="AC217" s="63" t="s">
        <v>61</v>
      </c>
      <c r="AD217" s="64" t="s">
        <v>61</v>
      </c>
      <c r="AE217" s="64" t="s">
        <v>61</v>
      </c>
      <c r="AF217" s="63" t="s">
        <v>61</v>
      </c>
      <c r="AG217" s="63" t="s">
        <v>61</v>
      </c>
      <c r="AH217" s="63" t="s">
        <v>61</v>
      </c>
      <c r="AI217" s="65" t="s">
        <v>61</v>
      </c>
      <c r="AJ217" s="66" t="s">
        <v>61</v>
      </c>
      <c r="AK217" s="60"/>
    </row>
    <row r="218" ht="24.0" customHeight="1">
      <c r="A218" s="35"/>
      <c r="B218" s="36">
        <v>1.0</v>
      </c>
      <c r="C218" s="37" t="str">
        <f>IFERROR(__xludf.DUMMYFUNCTION("""COMPUTED_VALUE"""),"Slater de (XX) - '25  OR")</f>
        <v>Slater de (XX) - '25  OR</v>
      </c>
      <c r="D218" s="89" t="s">
        <v>1246</v>
      </c>
      <c r="E218" s="39" t="s">
        <v>61</v>
      </c>
      <c r="F218" s="40"/>
      <c r="G218" s="41"/>
      <c r="H218" s="42" t="s">
        <v>1247</v>
      </c>
      <c r="I218" s="43" t="s">
        <v>1248</v>
      </c>
      <c r="J218" s="43">
        <v>2025.0</v>
      </c>
      <c r="K218" s="43" t="s">
        <v>410</v>
      </c>
      <c r="L218" s="80"/>
      <c r="M218" s="43"/>
      <c r="N218" s="43"/>
      <c r="O218" s="43"/>
      <c r="P218" s="80"/>
      <c r="Q218" s="43" t="s">
        <v>453</v>
      </c>
      <c r="R218" s="43" t="s">
        <v>1249</v>
      </c>
      <c r="S218" s="44"/>
      <c r="T218" s="43"/>
      <c r="U218" s="43"/>
      <c r="V218" s="109"/>
      <c r="W218" s="39"/>
      <c r="X218" s="109"/>
      <c r="Y218" s="109"/>
      <c r="Z218" s="82"/>
      <c r="AA218" s="47" t="s">
        <v>1250</v>
      </c>
      <c r="AB218" s="48" t="s">
        <v>61</v>
      </c>
      <c r="AC218" s="68" t="s">
        <v>61</v>
      </c>
      <c r="AD218" s="69" t="s">
        <v>61</v>
      </c>
      <c r="AE218" s="69" t="s">
        <v>61</v>
      </c>
      <c r="AF218" s="68" t="s">
        <v>61</v>
      </c>
      <c r="AG218" s="68" t="s">
        <v>61</v>
      </c>
      <c r="AH218" s="68" t="s">
        <v>61</v>
      </c>
      <c r="AI218" s="70" t="s">
        <v>61</v>
      </c>
      <c r="AJ218" s="49" t="s">
        <v>61</v>
      </c>
      <c r="AK218" s="46"/>
    </row>
    <row r="219" ht="24.0" customHeight="1">
      <c r="A219" s="35"/>
      <c r="B219" s="36">
        <v>1.0</v>
      </c>
      <c r="C219" s="37" t="str">
        <f>IFERROR(__xludf.DUMMYFUNCTION("""COMPUTED_VALUE"""),"Tatem Telfer (XX) - '25  IA")</f>
        <v>Tatem Telfer (XX) - '25  IA</v>
      </c>
      <c r="D219" s="38" t="s">
        <v>1251</v>
      </c>
      <c r="E219" s="51" t="s">
        <v>61</v>
      </c>
      <c r="F219" s="52"/>
      <c r="G219" s="53"/>
      <c r="H219" s="54" t="s">
        <v>1252</v>
      </c>
      <c r="I219" s="55" t="s">
        <v>1253</v>
      </c>
      <c r="J219" s="55">
        <v>2025.0</v>
      </c>
      <c r="K219" s="55" t="s">
        <v>410</v>
      </c>
      <c r="L219" s="55"/>
      <c r="M219" s="55"/>
      <c r="N219" s="57"/>
      <c r="O219" s="55"/>
      <c r="P219" s="57"/>
      <c r="Q219" s="55" t="s">
        <v>360</v>
      </c>
      <c r="R219" s="55" t="s">
        <v>1254</v>
      </c>
      <c r="S219" s="58"/>
      <c r="T219" s="55"/>
      <c r="U219" s="55"/>
      <c r="V219" s="51"/>
      <c r="W219" s="51"/>
      <c r="X219" s="51"/>
      <c r="Y219" s="51"/>
      <c r="Z219" s="60"/>
      <c r="AA219" s="73" t="s">
        <v>1255</v>
      </c>
      <c r="AB219" s="62" t="s">
        <v>61</v>
      </c>
      <c r="AC219" s="63" t="s">
        <v>61</v>
      </c>
      <c r="AD219" s="64" t="s">
        <v>61</v>
      </c>
      <c r="AE219" s="64" t="s">
        <v>61</v>
      </c>
      <c r="AF219" s="63" t="s">
        <v>61</v>
      </c>
      <c r="AG219" s="63" t="s">
        <v>61</v>
      </c>
      <c r="AH219" s="63" t="s">
        <v>61</v>
      </c>
      <c r="AI219" s="65" t="s">
        <v>61</v>
      </c>
      <c r="AJ219" s="66" t="s">
        <v>61</v>
      </c>
      <c r="AK219" s="60"/>
    </row>
    <row r="220" ht="24.0" customHeight="1">
      <c r="A220" s="35"/>
      <c r="B220" s="36">
        <v>1.0</v>
      </c>
      <c r="C220" s="37" t="str">
        <f>IFERROR(__xludf.DUMMYFUNCTION("""COMPUTED_VALUE"""),"TJ Woodson (XX) - '25  VA")</f>
        <v>TJ Woodson (XX) - '25  VA</v>
      </c>
      <c r="D220" s="89" t="s">
        <v>1256</v>
      </c>
      <c r="E220" s="39" t="s">
        <v>61</v>
      </c>
      <c r="F220" s="40"/>
      <c r="G220" s="41"/>
      <c r="H220" s="42" t="s">
        <v>1257</v>
      </c>
      <c r="I220" s="43" t="s">
        <v>1258</v>
      </c>
      <c r="J220" s="43">
        <v>2025.0</v>
      </c>
      <c r="K220" s="43" t="s">
        <v>410</v>
      </c>
      <c r="L220" s="43"/>
      <c r="M220" s="43"/>
      <c r="N220" s="43"/>
      <c r="O220" s="43"/>
      <c r="P220" s="43"/>
      <c r="Q220" s="43" t="s">
        <v>125</v>
      </c>
      <c r="R220" s="43" t="s">
        <v>1259</v>
      </c>
      <c r="S220" s="44"/>
      <c r="T220" s="43"/>
      <c r="U220" s="43"/>
      <c r="V220" s="39"/>
      <c r="W220" s="39"/>
      <c r="X220" s="39"/>
      <c r="Y220" s="39"/>
      <c r="Z220" s="46"/>
      <c r="AA220" s="47" t="s">
        <v>1260</v>
      </c>
      <c r="AB220" s="48" t="s">
        <v>61</v>
      </c>
      <c r="AC220" s="68" t="s">
        <v>61</v>
      </c>
      <c r="AD220" s="69" t="s">
        <v>61</v>
      </c>
      <c r="AE220" s="69" t="s">
        <v>61</v>
      </c>
      <c r="AF220" s="68" t="s">
        <v>61</v>
      </c>
      <c r="AG220" s="68" t="s">
        <v>61</v>
      </c>
      <c r="AH220" s="68" t="s">
        <v>61</v>
      </c>
      <c r="AI220" s="70" t="s">
        <v>61</v>
      </c>
      <c r="AJ220" s="49" t="s">
        <v>61</v>
      </c>
      <c r="AK220" s="46"/>
    </row>
    <row r="221" ht="24.0" customHeight="1">
      <c r="A221" s="35"/>
      <c r="B221" s="36">
        <v>1.0</v>
      </c>
      <c r="C221" s="37" t="str">
        <f>IFERROR(__xludf.DUMMYFUNCTION("""COMPUTED_VALUE"""),"Toby Peterson (XX) - '25  IL")</f>
        <v>Toby Peterson (XX) - '25  IL</v>
      </c>
      <c r="D221" s="38" t="s">
        <v>1261</v>
      </c>
      <c r="E221" s="51" t="s">
        <v>61</v>
      </c>
      <c r="F221" s="52"/>
      <c r="G221" s="53"/>
      <c r="H221" s="54" t="s">
        <v>1262</v>
      </c>
      <c r="I221" s="55" t="s">
        <v>1263</v>
      </c>
      <c r="J221" s="55">
        <v>2025.0</v>
      </c>
      <c r="K221" s="55" t="s">
        <v>410</v>
      </c>
      <c r="L221" s="55"/>
      <c r="M221" s="55"/>
      <c r="N221" s="55"/>
      <c r="O221" s="55"/>
      <c r="P221" s="55"/>
      <c r="Q221" s="55" t="s">
        <v>307</v>
      </c>
      <c r="R221" s="55" t="s">
        <v>1264</v>
      </c>
      <c r="S221" s="58"/>
      <c r="T221" s="55"/>
      <c r="U221" s="55"/>
      <c r="V221" s="51"/>
      <c r="W221" s="51"/>
      <c r="X221" s="51"/>
      <c r="Y221" s="51"/>
      <c r="Z221" s="60"/>
      <c r="AA221" s="73" t="s">
        <v>1265</v>
      </c>
      <c r="AB221" s="62" t="s">
        <v>61</v>
      </c>
      <c r="AC221" s="63" t="s">
        <v>61</v>
      </c>
      <c r="AD221" s="64" t="s">
        <v>61</v>
      </c>
      <c r="AE221" s="64" t="s">
        <v>61</v>
      </c>
      <c r="AF221" s="63" t="s">
        <v>61</v>
      </c>
      <c r="AG221" s="63" t="s">
        <v>61</v>
      </c>
      <c r="AH221" s="63" t="s">
        <v>61</v>
      </c>
      <c r="AI221" s="65" t="s">
        <v>61</v>
      </c>
      <c r="AJ221" s="66" t="s">
        <v>61</v>
      </c>
      <c r="AK221" s="60"/>
    </row>
    <row r="222" ht="24.0" customHeight="1">
      <c r="A222" s="35"/>
      <c r="B222" s="36">
        <v>1.0</v>
      </c>
      <c r="C222" s="37" t="str">
        <f>IFERROR(__xludf.DUMMYFUNCTION("""COMPUTED_VALUE"""),"Tommy Feldhake (XX) - '25  CO")</f>
        <v>Tommy Feldhake (XX) - '25  CO</v>
      </c>
      <c r="D222" s="38" t="s">
        <v>1266</v>
      </c>
      <c r="E222" s="39" t="s">
        <v>61</v>
      </c>
      <c r="F222" s="40"/>
      <c r="G222" s="41"/>
      <c r="H222" s="42" t="s">
        <v>1267</v>
      </c>
      <c r="I222" s="43" t="s">
        <v>1268</v>
      </c>
      <c r="J222" s="43">
        <v>2025.0</v>
      </c>
      <c r="K222" s="43" t="s">
        <v>410</v>
      </c>
      <c r="L222" s="43"/>
      <c r="M222" s="43"/>
      <c r="N222" s="43"/>
      <c r="O222" s="43"/>
      <c r="P222" s="43"/>
      <c r="Q222" s="43" t="s">
        <v>174</v>
      </c>
      <c r="R222" s="43" t="s">
        <v>175</v>
      </c>
      <c r="S222" s="44"/>
      <c r="T222" s="43"/>
      <c r="U222" s="43"/>
      <c r="V222" s="39"/>
      <c r="W222" s="39"/>
      <c r="X222" s="39"/>
      <c r="Y222" s="39"/>
      <c r="Z222" s="46"/>
      <c r="AA222" s="47" t="s">
        <v>1269</v>
      </c>
      <c r="AB222" s="48" t="s">
        <v>61</v>
      </c>
      <c r="AC222" s="68" t="s">
        <v>61</v>
      </c>
      <c r="AD222" s="69" t="s">
        <v>61</v>
      </c>
      <c r="AE222" s="69" t="s">
        <v>61</v>
      </c>
      <c r="AF222" s="68" t="s">
        <v>61</v>
      </c>
      <c r="AG222" s="68" t="s">
        <v>61</v>
      </c>
      <c r="AH222" s="68" t="s">
        <v>61</v>
      </c>
      <c r="AI222" s="70" t="s">
        <v>61</v>
      </c>
      <c r="AJ222" s="49" t="s">
        <v>61</v>
      </c>
      <c r="AK222" s="46"/>
    </row>
    <row r="223" ht="24.0" customHeight="1">
      <c r="A223" s="35"/>
      <c r="B223" s="36">
        <v>1.0</v>
      </c>
      <c r="C223" s="37" t="str">
        <f>IFERROR(__xludf.DUMMYFUNCTION("""COMPUTED_VALUE"""),"Trevor Corbett (XX) - '25  IN")</f>
        <v>Trevor Corbett (XX) - '25  IN</v>
      </c>
      <c r="D223" s="89" t="s">
        <v>1270</v>
      </c>
      <c r="E223" s="51" t="s">
        <v>61</v>
      </c>
      <c r="F223" s="52"/>
      <c r="G223" s="53"/>
      <c r="H223" s="54" t="s">
        <v>1271</v>
      </c>
      <c r="I223" s="55" t="s">
        <v>1272</v>
      </c>
      <c r="J223" s="55">
        <v>2025.0</v>
      </c>
      <c r="K223" s="55" t="s">
        <v>410</v>
      </c>
      <c r="L223" s="55"/>
      <c r="M223" s="55"/>
      <c r="N223" s="55"/>
      <c r="O223" s="55"/>
      <c r="P223" s="55"/>
      <c r="Q223" s="55" t="s">
        <v>153</v>
      </c>
      <c r="R223" s="55" t="s">
        <v>1273</v>
      </c>
      <c r="S223" s="58"/>
      <c r="T223" s="55"/>
      <c r="U223" s="55"/>
      <c r="V223" s="51"/>
      <c r="W223" s="51"/>
      <c r="X223" s="51"/>
      <c r="Y223" s="51"/>
      <c r="Z223" s="60"/>
      <c r="AA223" s="73" t="s">
        <v>1274</v>
      </c>
      <c r="AB223" s="62" t="s">
        <v>61</v>
      </c>
      <c r="AC223" s="63" t="s">
        <v>61</v>
      </c>
      <c r="AD223" s="64" t="s">
        <v>61</v>
      </c>
      <c r="AE223" s="64" t="s">
        <v>61</v>
      </c>
      <c r="AF223" s="63" t="s">
        <v>61</v>
      </c>
      <c r="AG223" s="63" t="s">
        <v>61</v>
      </c>
      <c r="AH223" s="63" t="s">
        <v>61</v>
      </c>
      <c r="AI223" s="65" t="s">
        <v>61</v>
      </c>
      <c r="AJ223" s="66" t="s">
        <v>61</v>
      </c>
      <c r="AK223" s="60"/>
    </row>
    <row r="224" ht="24.0" customHeight="1">
      <c r="A224" s="35"/>
      <c r="B224" s="36">
        <v>1.0</v>
      </c>
      <c r="C224" s="37" t="str">
        <f>IFERROR(__xludf.DUMMYFUNCTION("""COMPUTED_VALUE"""),"Trey Greenwell (XX) - '25 CF AL")</f>
        <v>Trey Greenwell (XX) - '25 CF AL</v>
      </c>
      <c r="D224" s="89" t="s">
        <v>1275</v>
      </c>
      <c r="E224" s="39" t="s">
        <v>103</v>
      </c>
      <c r="F224" s="40"/>
      <c r="G224" s="41"/>
      <c r="H224" s="42" t="s">
        <v>351</v>
      </c>
      <c r="I224" s="43" t="s">
        <v>1276</v>
      </c>
      <c r="J224" s="43">
        <v>2025.0</v>
      </c>
      <c r="K224" s="43" t="s">
        <v>410</v>
      </c>
      <c r="L224" s="43"/>
      <c r="M224" s="43" t="s">
        <v>106</v>
      </c>
      <c r="N224" s="43"/>
      <c r="O224" s="43"/>
      <c r="P224" s="43"/>
      <c r="Q224" s="43" t="s">
        <v>731</v>
      </c>
      <c r="R224" s="43" t="s">
        <v>1277</v>
      </c>
      <c r="S224" s="44" t="s">
        <v>1278</v>
      </c>
      <c r="T224" s="43"/>
      <c r="U224" s="43"/>
      <c r="V224" s="39"/>
      <c r="W224" s="39"/>
      <c r="X224" s="39"/>
      <c r="Y224" s="39"/>
      <c r="Z224" s="46"/>
      <c r="AA224" s="47" t="s">
        <v>1279</v>
      </c>
      <c r="AB224" s="48" t="s">
        <v>61</v>
      </c>
      <c r="AC224" s="68" t="s">
        <v>61</v>
      </c>
      <c r="AD224" s="69" t="s">
        <v>61</v>
      </c>
      <c r="AE224" s="69" t="s">
        <v>61</v>
      </c>
      <c r="AF224" s="68" t="s">
        <v>61</v>
      </c>
      <c r="AG224" s="68" t="s">
        <v>61</v>
      </c>
      <c r="AH224" s="68" t="s">
        <v>61</v>
      </c>
      <c r="AI224" s="70" t="s">
        <v>61</v>
      </c>
      <c r="AJ224" s="49" t="s">
        <v>61</v>
      </c>
      <c r="AK224" s="46"/>
    </row>
    <row r="225" ht="24.0" customHeight="1">
      <c r="A225" s="35"/>
      <c r="B225" s="36">
        <v>1.0</v>
      </c>
      <c r="C225" s="37" t="str">
        <f>IFERROR(__xludf.DUMMYFUNCTION("""COMPUTED_VALUE"""),"Troy Peltz (XX) - '25  NE")</f>
        <v>Troy Peltz (XX) - '25  NE</v>
      </c>
      <c r="D225" s="38" t="s">
        <v>1280</v>
      </c>
      <c r="E225" s="51" t="s">
        <v>61</v>
      </c>
      <c r="F225" s="52"/>
      <c r="G225" s="53"/>
      <c r="H225" s="54" t="s">
        <v>1281</v>
      </c>
      <c r="I225" s="55" t="s">
        <v>1282</v>
      </c>
      <c r="J225" s="55">
        <v>2025.0</v>
      </c>
      <c r="K225" s="55" t="s">
        <v>410</v>
      </c>
      <c r="L225" s="55"/>
      <c r="M225" s="55"/>
      <c r="N225" s="55"/>
      <c r="O225" s="55"/>
      <c r="P225" s="55"/>
      <c r="Q225" s="55" t="s">
        <v>519</v>
      </c>
      <c r="R225" s="55" t="s">
        <v>1283</v>
      </c>
      <c r="S225" s="58"/>
      <c r="T225" s="55"/>
      <c r="U225" s="55"/>
      <c r="V225" s="51"/>
      <c r="W225" s="51"/>
      <c r="X225" s="51"/>
      <c r="Y225" s="51"/>
      <c r="Z225" s="60"/>
      <c r="AA225" s="73" t="s">
        <v>1284</v>
      </c>
      <c r="AB225" s="62" t="s">
        <v>61</v>
      </c>
      <c r="AC225" s="63" t="s">
        <v>61</v>
      </c>
      <c r="AD225" s="64" t="s">
        <v>61</v>
      </c>
      <c r="AE225" s="64" t="s">
        <v>61</v>
      </c>
      <c r="AF225" s="63" t="s">
        <v>61</v>
      </c>
      <c r="AG225" s="63" t="s">
        <v>61</v>
      </c>
      <c r="AH225" s="63" t="s">
        <v>61</v>
      </c>
      <c r="AI225" s="65" t="s">
        <v>61</v>
      </c>
      <c r="AJ225" s="66" t="s">
        <v>61</v>
      </c>
      <c r="AK225" s="60"/>
    </row>
    <row r="226" ht="24.0" customHeight="1">
      <c r="A226" s="35"/>
      <c r="B226" s="36">
        <v>1.0</v>
      </c>
      <c r="C226" s="37" t="str">
        <f>IFERROR(__xludf.DUMMYFUNCTION("""COMPUTED_VALUE"""),"Tyler Walton (XX) - '25  CA")</f>
        <v>Tyler Walton (XX) - '25  CA</v>
      </c>
      <c r="D226" s="38" t="s">
        <v>1285</v>
      </c>
      <c r="E226" s="39" t="s">
        <v>61</v>
      </c>
      <c r="F226" s="40"/>
      <c r="G226" s="41"/>
      <c r="H226" s="42" t="s">
        <v>104</v>
      </c>
      <c r="I226" s="43" t="s">
        <v>1286</v>
      </c>
      <c r="J226" s="43">
        <v>2025.0</v>
      </c>
      <c r="K226" s="43" t="s">
        <v>410</v>
      </c>
      <c r="L226" s="80"/>
      <c r="M226" s="43"/>
      <c r="N226" s="43"/>
      <c r="O226" s="43"/>
      <c r="P226" s="43"/>
      <c r="Q226" s="43" t="s">
        <v>52</v>
      </c>
      <c r="R226" s="43" t="s">
        <v>1287</v>
      </c>
      <c r="S226" s="44"/>
      <c r="T226" s="43"/>
      <c r="U226" s="43"/>
      <c r="V226" s="39"/>
      <c r="W226" s="39"/>
      <c r="X226" s="39"/>
      <c r="Y226" s="39"/>
      <c r="Z226" s="46"/>
      <c r="AA226" s="47" t="s">
        <v>1288</v>
      </c>
      <c r="AB226" s="48" t="s">
        <v>61</v>
      </c>
      <c r="AC226" s="68" t="s">
        <v>61</v>
      </c>
      <c r="AD226" s="69" t="s">
        <v>61</v>
      </c>
      <c r="AE226" s="69" t="s">
        <v>61</v>
      </c>
      <c r="AF226" s="68" t="s">
        <v>61</v>
      </c>
      <c r="AG226" s="68" t="s">
        <v>61</v>
      </c>
      <c r="AH226" s="68" t="s">
        <v>61</v>
      </c>
      <c r="AI226" s="70" t="s">
        <v>61</v>
      </c>
      <c r="AJ226" s="49" t="s">
        <v>61</v>
      </c>
      <c r="AK226" s="46"/>
    </row>
    <row r="227" ht="24.0" customHeight="1">
      <c r="A227" s="35"/>
      <c r="B227" s="36">
        <v>1.0</v>
      </c>
      <c r="C227" s="37" t="str">
        <f>IFERROR(__xludf.DUMMYFUNCTION("""COMPUTED_VALUE"""),"Weston Lillard (XX) - '25  VA")</f>
        <v>Weston Lillard (XX) - '25  VA</v>
      </c>
      <c r="D227" s="38" t="s">
        <v>1289</v>
      </c>
      <c r="E227" s="51" t="s">
        <v>61</v>
      </c>
      <c r="F227" s="52"/>
      <c r="G227" s="53"/>
      <c r="H227" s="54" t="s">
        <v>1290</v>
      </c>
      <c r="I227" s="55" t="s">
        <v>1291</v>
      </c>
      <c r="J227" s="55">
        <v>2025.0</v>
      </c>
      <c r="K227" s="55" t="s">
        <v>410</v>
      </c>
      <c r="L227" s="55"/>
      <c r="M227" s="55"/>
      <c r="N227" s="55"/>
      <c r="O227" s="55"/>
      <c r="P227" s="55"/>
      <c r="Q227" s="55" t="s">
        <v>125</v>
      </c>
      <c r="R227" s="55" t="s">
        <v>1292</v>
      </c>
      <c r="S227" s="58"/>
      <c r="T227" s="55"/>
      <c r="U227" s="55"/>
      <c r="V227" s="51"/>
      <c r="W227" s="51"/>
      <c r="X227" s="51"/>
      <c r="Y227" s="51"/>
      <c r="Z227" s="60"/>
      <c r="AA227" s="73" t="s">
        <v>1293</v>
      </c>
      <c r="AB227" s="62" t="s">
        <v>61</v>
      </c>
      <c r="AC227" s="63" t="s">
        <v>61</v>
      </c>
      <c r="AD227" s="64" t="s">
        <v>61</v>
      </c>
      <c r="AE227" s="64" t="s">
        <v>61</v>
      </c>
      <c r="AF227" s="63" t="s">
        <v>61</v>
      </c>
      <c r="AG227" s="63" t="s">
        <v>61</v>
      </c>
      <c r="AH227" s="63" t="s">
        <v>61</v>
      </c>
      <c r="AI227" s="65" t="s">
        <v>61</v>
      </c>
      <c r="AJ227" s="66" t="s">
        <v>61</v>
      </c>
      <c r="AK227" s="60"/>
    </row>
    <row r="228" ht="24.0" customHeight="1">
      <c r="A228" s="35"/>
      <c r="B228" s="36">
        <v>1.0</v>
      </c>
      <c r="C228" s="37" t="str">
        <f>IFERROR(__xludf.DUMMYFUNCTION("""COMPUTED_VALUE"""),"Will Craddock (XX) - '25  SC")</f>
        <v>Will Craddock (XX) - '25  SC</v>
      </c>
      <c r="D228" s="38" t="s">
        <v>1294</v>
      </c>
      <c r="E228" s="39" t="s">
        <v>61</v>
      </c>
      <c r="F228" s="40"/>
      <c r="G228" s="41"/>
      <c r="H228" s="42" t="s">
        <v>110</v>
      </c>
      <c r="I228" s="43" t="s">
        <v>1295</v>
      </c>
      <c r="J228" s="43">
        <v>2025.0</v>
      </c>
      <c r="K228" s="43" t="s">
        <v>410</v>
      </c>
      <c r="L228" s="80"/>
      <c r="M228" s="43"/>
      <c r="N228" s="80"/>
      <c r="O228" s="43"/>
      <c r="P228" s="43"/>
      <c r="Q228" s="43" t="s">
        <v>286</v>
      </c>
      <c r="R228" s="43" t="s">
        <v>1296</v>
      </c>
      <c r="S228" s="44"/>
      <c r="T228" s="43"/>
      <c r="U228" s="43"/>
      <c r="V228" s="39"/>
      <c r="W228" s="39"/>
      <c r="X228" s="39"/>
      <c r="Y228" s="39"/>
      <c r="Z228" s="46"/>
      <c r="AA228" s="47" t="s">
        <v>1297</v>
      </c>
      <c r="AB228" s="48" t="s">
        <v>61</v>
      </c>
      <c r="AC228" s="68" t="s">
        <v>61</v>
      </c>
      <c r="AD228" s="69" t="s">
        <v>61</v>
      </c>
      <c r="AE228" s="69" t="s">
        <v>61</v>
      </c>
      <c r="AF228" s="68" t="s">
        <v>61</v>
      </c>
      <c r="AG228" s="68" t="s">
        <v>61</v>
      </c>
      <c r="AH228" s="68" t="s">
        <v>61</v>
      </c>
      <c r="AI228" s="70" t="s">
        <v>61</v>
      </c>
      <c r="AJ228" s="49" t="s">
        <v>61</v>
      </c>
      <c r="AK228" s="46"/>
    </row>
    <row r="229" ht="24.0" customHeight="1">
      <c r="A229" s="35"/>
      <c r="B229" s="36">
        <v>1.0</v>
      </c>
      <c r="C229" s="37" t="str">
        <f>IFERROR(__xludf.DUMMYFUNCTION("""COMPUTED_VALUE"""),"Will Leahy (XX) - '25  NC")</f>
        <v>Will Leahy (XX) - '25  NC</v>
      </c>
      <c r="D229" s="89" t="s">
        <v>1298</v>
      </c>
      <c r="E229" s="51" t="s">
        <v>61</v>
      </c>
      <c r="F229" s="52"/>
      <c r="G229" s="53"/>
      <c r="H229" s="54" t="s">
        <v>110</v>
      </c>
      <c r="I229" s="55" t="s">
        <v>1299</v>
      </c>
      <c r="J229" s="55">
        <v>2025.0</v>
      </c>
      <c r="K229" s="55" t="s">
        <v>410</v>
      </c>
      <c r="L229" s="55"/>
      <c r="M229" s="55"/>
      <c r="N229" s="55"/>
      <c r="O229" s="55"/>
      <c r="P229" s="55"/>
      <c r="Q229" s="55" t="s">
        <v>73</v>
      </c>
      <c r="R229" s="55" t="s">
        <v>1235</v>
      </c>
      <c r="S229" s="58"/>
      <c r="T229" s="55"/>
      <c r="U229" s="55"/>
      <c r="V229" s="51"/>
      <c r="W229" s="51"/>
      <c r="X229" s="51"/>
      <c r="Y229" s="51"/>
      <c r="Z229" s="60"/>
      <c r="AA229" s="73" t="s">
        <v>1300</v>
      </c>
      <c r="AB229" s="62" t="s">
        <v>61</v>
      </c>
      <c r="AC229" s="63" t="s">
        <v>61</v>
      </c>
      <c r="AD229" s="64" t="s">
        <v>61</v>
      </c>
      <c r="AE229" s="64" t="s">
        <v>61</v>
      </c>
      <c r="AF229" s="63" t="s">
        <v>61</v>
      </c>
      <c r="AG229" s="63" t="s">
        <v>61</v>
      </c>
      <c r="AH229" s="63" t="s">
        <v>61</v>
      </c>
      <c r="AI229" s="65" t="s">
        <v>61</v>
      </c>
      <c r="AJ229" s="66" t="s">
        <v>61</v>
      </c>
      <c r="AK229" s="60"/>
    </row>
    <row r="230" ht="24.0" customHeight="1">
      <c r="A230" s="35"/>
      <c r="B230" s="36">
        <v>1.0</v>
      </c>
      <c r="C230" s="37" t="str">
        <f>IFERROR(__xludf.DUMMYFUNCTION("""COMPUTED_VALUE"""),"Wyatt Hanoian (XX) - '25  CA")</f>
        <v>Wyatt Hanoian (XX) - '25  CA</v>
      </c>
      <c r="D230" s="38" t="s">
        <v>1301</v>
      </c>
      <c r="E230" s="39" t="s">
        <v>61</v>
      </c>
      <c r="F230" s="40"/>
      <c r="G230" s="41"/>
      <c r="H230" s="42" t="s">
        <v>1302</v>
      </c>
      <c r="I230" s="43" t="s">
        <v>1303</v>
      </c>
      <c r="J230" s="43">
        <v>2025.0</v>
      </c>
      <c r="K230" s="43" t="s">
        <v>410</v>
      </c>
      <c r="L230" s="43"/>
      <c r="M230" s="43"/>
      <c r="N230" s="43"/>
      <c r="O230" s="43"/>
      <c r="P230" s="43"/>
      <c r="Q230" s="43" t="s">
        <v>52</v>
      </c>
      <c r="R230" s="43" t="s">
        <v>1304</v>
      </c>
      <c r="S230" s="44" t="s">
        <v>1305</v>
      </c>
      <c r="T230" s="43"/>
      <c r="U230" s="43"/>
      <c r="V230" s="39"/>
      <c r="W230" s="39"/>
      <c r="X230" s="39"/>
      <c r="Y230" s="39"/>
      <c r="Z230" s="46"/>
      <c r="AA230" s="47" t="s">
        <v>1306</v>
      </c>
      <c r="AB230" s="48" t="s">
        <v>61</v>
      </c>
      <c r="AC230" s="68" t="s">
        <v>61</v>
      </c>
      <c r="AD230" s="69" t="s">
        <v>61</v>
      </c>
      <c r="AE230" s="69" t="s">
        <v>61</v>
      </c>
      <c r="AF230" s="68" t="s">
        <v>61</v>
      </c>
      <c r="AG230" s="68" t="s">
        <v>61</v>
      </c>
      <c r="AH230" s="68" t="s">
        <v>61</v>
      </c>
      <c r="AI230" s="70" t="s">
        <v>61</v>
      </c>
      <c r="AJ230" s="49" t="s">
        <v>61</v>
      </c>
      <c r="AK230" s="46"/>
    </row>
    <row r="231" ht="24.0" customHeight="1">
      <c r="A231" s="35"/>
      <c r="B231" s="36">
        <v>1.0</v>
      </c>
      <c r="C231" s="37" t="str">
        <f>IFERROR(__xludf.DUMMYFUNCTION("""COMPUTED_VALUE"""),"Wyatt Ruden (XX) - '25  CO")</f>
        <v>Wyatt Ruden (XX) - '25  CO</v>
      </c>
      <c r="D231" s="38" t="s">
        <v>1307</v>
      </c>
      <c r="E231" s="51" t="s">
        <v>61</v>
      </c>
      <c r="F231" s="52"/>
      <c r="G231" s="53"/>
      <c r="H231" s="54" t="s">
        <v>1302</v>
      </c>
      <c r="I231" s="55" t="s">
        <v>1308</v>
      </c>
      <c r="J231" s="55">
        <v>2025.0</v>
      </c>
      <c r="K231" s="55" t="s">
        <v>410</v>
      </c>
      <c r="L231" s="55"/>
      <c r="M231" s="55"/>
      <c r="N231" s="55"/>
      <c r="O231" s="55"/>
      <c r="P231" s="55"/>
      <c r="Q231" s="55" t="s">
        <v>174</v>
      </c>
      <c r="R231" s="55" t="s">
        <v>693</v>
      </c>
      <c r="S231" s="58"/>
      <c r="T231" s="55"/>
      <c r="U231" s="55"/>
      <c r="V231" s="51"/>
      <c r="W231" s="51"/>
      <c r="X231" s="51"/>
      <c r="Y231" s="51"/>
      <c r="Z231" s="60"/>
      <c r="AA231" s="73" t="s">
        <v>1309</v>
      </c>
      <c r="AB231" s="62" t="s">
        <v>61</v>
      </c>
      <c r="AC231" s="63" t="s">
        <v>61</v>
      </c>
      <c r="AD231" s="64" t="s">
        <v>61</v>
      </c>
      <c r="AE231" s="64" t="s">
        <v>61</v>
      </c>
      <c r="AF231" s="63" t="s">
        <v>61</v>
      </c>
      <c r="AG231" s="63" t="s">
        <v>61</v>
      </c>
      <c r="AH231" s="63" t="s">
        <v>61</v>
      </c>
      <c r="AI231" s="65" t="s">
        <v>61</v>
      </c>
      <c r="AJ231" s="66" t="s">
        <v>61</v>
      </c>
      <c r="AK231" s="60"/>
    </row>
    <row r="232" ht="24.0" customHeight="1">
      <c r="A232" s="35"/>
      <c r="B232" s="36">
        <v>1.0</v>
      </c>
      <c r="C232" s="37" t="str">
        <f>IFERROR(__xludf.DUMMYFUNCTION("""COMPUTED_VALUE"""),"Xavier McCoury (XX) - '25  NC")</f>
        <v>Xavier McCoury (XX) - '25  NC</v>
      </c>
      <c r="D232" s="38" t="s">
        <v>1310</v>
      </c>
      <c r="E232" s="39" t="s">
        <v>61</v>
      </c>
      <c r="F232" s="40"/>
      <c r="G232" s="41"/>
      <c r="H232" s="42" t="s">
        <v>1311</v>
      </c>
      <c r="I232" s="43" t="s">
        <v>1312</v>
      </c>
      <c r="J232" s="43">
        <v>2025.0</v>
      </c>
      <c r="K232" s="43" t="s">
        <v>410</v>
      </c>
      <c r="L232" s="80"/>
      <c r="M232" s="43"/>
      <c r="N232" s="95"/>
      <c r="O232" s="43"/>
      <c r="P232" s="80"/>
      <c r="Q232" s="43" t="s">
        <v>73</v>
      </c>
      <c r="R232" s="43" t="s">
        <v>118</v>
      </c>
      <c r="S232" s="44"/>
      <c r="T232" s="43"/>
      <c r="U232" s="43"/>
      <c r="V232" s="109"/>
      <c r="W232" s="39"/>
      <c r="X232" s="109"/>
      <c r="Y232" s="109"/>
      <c r="Z232" s="82"/>
      <c r="AA232" s="47" t="s">
        <v>1313</v>
      </c>
      <c r="AB232" s="48" t="s">
        <v>61</v>
      </c>
      <c r="AC232" s="68" t="s">
        <v>61</v>
      </c>
      <c r="AD232" s="69" t="s">
        <v>61</v>
      </c>
      <c r="AE232" s="69" t="s">
        <v>61</v>
      </c>
      <c r="AF232" s="68" t="s">
        <v>61</v>
      </c>
      <c r="AG232" s="68" t="s">
        <v>61</v>
      </c>
      <c r="AH232" s="68" t="s">
        <v>61</v>
      </c>
      <c r="AI232" s="70" t="s">
        <v>61</v>
      </c>
      <c r="AJ232" s="49" t="s">
        <v>61</v>
      </c>
      <c r="AK232" s="46"/>
    </row>
    <row r="233" ht="24.0" customHeight="1">
      <c r="A233" s="35"/>
      <c r="B233" s="36">
        <v>1.0</v>
      </c>
      <c r="C233" s="37" t="str">
        <f>IFERROR(__xludf.DUMMYFUNCTION("""COMPUTED_VALUE"""),"Zachary Nagy (XX) - '25  CA")</f>
        <v>Zachary Nagy (XX) - '25  CA</v>
      </c>
      <c r="D233" s="38" t="s">
        <v>1314</v>
      </c>
      <c r="E233" s="51" t="s">
        <v>61</v>
      </c>
      <c r="F233" s="52"/>
      <c r="G233" s="53"/>
      <c r="H233" s="54" t="s">
        <v>1315</v>
      </c>
      <c r="I233" s="55" t="s">
        <v>1316</v>
      </c>
      <c r="J233" s="55">
        <v>2025.0</v>
      </c>
      <c r="K233" s="55" t="s">
        <v>410</v>
      </c>
      <c r="L233" s="55"/>
      <c r="M233" s="55"/>
      <c r="N233" s="55"/>
      <c r="O233" s="55"/>
      <c r="P233" s="55"/>
      <c r="Q233" s="55" t="s">
        <v>52</v>
      </c>
      <c r="R233" s="55" t="s">
        <v>1317</v>
      </c>
      <c r="S233" s="58" t="s">
        <v>113</v>
      </c>
      <c r="T233" s="55"/>
      <c r="U233" s="55"/>
      <c r="V233" s="51"/>
      <c r="W233" s="51"/>
      <c r="X233" s="51"/>
      <c r="Y233" s="51"/>
      <c r="Z233" s="60"/>
      <c r="AA233" s="73" t="s">
        <v>1318</v>
      </c>
      <c r="AB233" s="62" t="s">
        <v>61</v>
      </c>
      <c r="AC233" s="63" t="s">
        <v>61</v>
      </c>
      <c r="AD233" s="64" t="s">
        <v>61</v>
      </c>
      <c r="AE233" s="64" t="s">
        <v>61</v>
      </c>
      <c r="AF233" s="63" t="s">
        <v>61</v>
      </c>
      <c r="AG233" s="63" t="s">
        <v>61</v>
      </c>
      <c r="AH233" s="63" t="s">
        <v>61</v>
      </c>
      <c r="AI233" s="65" t="s">
        <v>61</v>
      </c>
      <c r="AJ233" s="66" t="s">
        <v>61</v>
      </c>
      <c r="AK233" s="60"/>
    </row>
    <row r="234" ht="24.0" customHeight="1">
      <c r="A234" s="35"/>
      <c r="B234" s="36">
        <v>1.0</v>
      </c>
      <c r="C234" s="37" t="str">
        <f>IFERROR(__xludf.DUMMYFUNCTION("""COMPUTED_VALUE"""),"Zack Aschoff (XX) - '25  GA")</f>
        <v>Zack Aschoff (XX) - '25  GA</v>
      </c>
      <c r="D234" s="38" t="s">
        <v>1319</v>
      </c>
      <c r="E234" s="39" t="s">
        <v>61</v>
      </c>
      <c r="F234" s="40"/>
      <c r="G234" s="41"/>
      <c r="H234" s="42" t="s">
        <v>1320</v>
      </c>
      <c r="I234" s="43" t="s">
        <v>1321</v>
      </c>
      <c r="J234" s="43">
        <v>2025.0</v>
      </c>
      <c r="K234" s="43" t="s">
        <v>410</v>
      </c>
      <c r="L234" s="43"/>
      <c r="M234" s="43"/>
      <c r="N234" s="43"/>
      <c r="O234" s="43"/>
      <c r="P234" s="80"/>
      <c r="Q234" s="43" t="s">
        <v>43</v>
      </c>
      <c r="R234" s="43" t="s">
        <v>1322</v>
      </c>
      <c r="S234" s="44"/>
      <c r="T234" s="43"/>
      <c r="U234" s="43"/>
      <c r="V234" s="39"/>
      <c r="W234" s="39"/>
      <c r="X234" s="39"/>
      <c r="Y234" s="39"/>
      <c r="Z234" s="46"/>
      <c r="AA234" s="47" t="s">
        <v>1323</v>
      </c>
      <c r="AB234" s="48" t="s">
        <v>61</v>
      </c>
      <c r="AC234" s="68" t="s">
        <v>61</v>
      </c>
      <c r="AD234" s="69" t="s">
        <v>61</v>
      </c>
      <c r="AE234" s="69" t="s">
        <v>61</v>
      </c>
      <c r="AF234" s="68" t="s">
        <v>61</v>
      </c>
      <c r="AG234" s="68" t="s">
        <v>61</v>
      </c>
      <c r="AH234" s="68" t="s">
        <v>61</v>
      </c>
      <c r="AI234" s="70" t="s">
        <v>61</v>
      </c>
      <c r="AJ234" s="49" t="s">
        <v>61</v>
      </c>
      <c r="AK234" s="46"/>
    </row>
    <row r="235" ht="24.0" customHeight="1">
      <c r="A235" s="35"/>
      <c r="B235" s="36">
        <v>1.0</v>
      </c>
      <c r="C235" s="37" t="str">
        <f>IFERROR(__xludf.DUMMYFUNCTION("""COMPUTED_VALUE"""),"Zack Hare (XX) - '25  PA")</f>
        <v>Zack Hare (XX) - '25  PA</v>
      </c>
      <c r="D235" s="38" t="s">
        <v>1324</v>
      </c>
      <c r="E235" s="51" t="s">
        <v>61</v>
      </c>
      <c r="F235" s="52"/>
      <c r="G235" s="53"/>
      <c r="H235" s="54" t="s">
        <v>1320</v>
      </c>
      <c r="I235" s="55" t="s">
        <v>917</v>
      </c>
      <c r="J235" s="55">
        <v>2025.0</v>
      </c>
      <c r="K235" s="55" t="s">
        <v>410</v>
      </c>
      <c r="L235" s="55"/>
      <c r="M235" s="55"/>
      <c r="N235" s="55"/>
      <c r="O235" s="55"/>
      <c r="P235" s="55"/>
      <c r="Q235" s="55" t="s">
        <v>240</v>
      </c>
      <c r="R235" s="55" t="s">
        <v>1325</v>
      </c>
      <c r="S235" s="58"/>
      <c r="T235" s="55"/>
      <c r="U235" s="55"/>
      <c r="V235" s="51"/>
      <c r="W235" s="51"/>
      <c r="X235" s="51"/>
      <c r="Y235" s="51"/>
      <c r="Z235" s="60"/>
      <c r="AA235" s="73" t="s">
        <v>1326</v>
      </c>
      <c r="AB235" s="62" t="s">
        <v>61</v>
      </c>
      <c r="AC235" s="63" t="s">
        <v>61</v>
      </c>
      <c r="AD235" s="64" t="s">
        <v>61</v>
      </c>
      <c r="AE235" s="64" t="s">
        <v>61</v>
      </c>
      <c r="AF235" s="63" t="s">
        <v>61</v>
      </c>
      <c r="AG235" s="63" t="s">
        <v>61</v>
      </c>
      <c r="AH235" s="63" t="s">
        <v>61</v>
      </c>
      <c r="AI235" s="65" t="s">
        <v>61</v>
      </c>
      <c r="AJ235" s="66" t="s">
        <v>61</v>
      </c>
      <c r="AK235" s="60"/>
    </row>
    <row r="236" ht="24.0" customHeight="1">
      <c r="A236" s="35"/>
      <c r="B236" s="36">
        <v>1.0</v>
      </c>
      <c r="C236" s="37" t="str">
        <f>IFERROR(__xludf.DUMMYFUNCTION("""COMPUTED_VALUE"""),"Cade Watson () - '25 RHP HI")</f>
        <v>Cade Watson () - '25 RHP HI</v>
      </c>
      <c r="D236" s="89" t="s">
        <v>1327</v>
      </c>
      <c r="E236" s="39" t="s">
        <v>63</v>
      </c>
      <c r="F236" s="40"/>
      <c r="G236" s="41"/>
      <c r="H236" s="42" t="s">
        <v>1328</v>
      </c>
      <c r="I236" s="43" t="s">
        <v>1329</v>
      </c>
      <c r="J236" s="43">
        <v>2025.0</v>
      </c>
      <c r="K236" s="43"/>
      <c r="L236" s="43" t="s">
        <v>1330</v>
      </c>
      <c r="M236" s="43" t="s">
        <v>63</v>
      </c>
      <c r="N236" s="43"/>
      <c r="O236" s="43"/>
      <c r="P236" s="43"/>
      <c r="Q236" s="43" t="s">
        <v>148</v>
      </c>
      <c r="R236" s="43" t="s">
        <v>1331</v>
      </c>
      <c r="S236" s="44" t="s">
        <v>1332</v>
      </c>
      <c r="T236" s="43"/>
      <c r="U236" s="43"/>
      <c r="V236" s="39"/>
      <c r="W236" s="81"/>
      <c r="X236" s="81"/>
      <c r="Y236" s="81"/>
      <c r="Z236" s="82"/>
      <c r="AA236" s="47" t="s">
        <v>1333</v>
      </c>
      <c r="AB236" s="48" t="s">
        <v>1334</v>
      </c>
      <c r="AC236" s="68" t="s">
        <v>1335</v>
      </c>
      <c r="AD236" s="69">
        <v>3.7</v>
      </c>
      <c r="AE236" s="69"/>
      <c r="AF236" s="68" t="s">
        <v>1336</v>
      </c>
      <c r="AG236" s="68" t="s">
        <v>81</v>
      </c>
      <c r="AH236" s="68" t="s">
        <v>81</v>
      </c>
      <c r="AI236" s="70" t="s">
        <v>81</v>
      </c>
      <c r="AJ236" s="49" t="s">
        <v>61</v>
      </c>
      <c r="AK236" s="46"/>
    </row>
    <row r="237" ht="24.0" customHeight="1">
      <c r="A237" s="35"/>
      <c r="B237" s="36">
        <v>1.0</v>
      </c>
      <c r="C237" s="37" t="str">
        <f>IFERROR(__xludf.DUMMYFUNCTION("""COMPUTED_VALUE"""),"Grant Smith () - '25 C AZ")</f>
        <v>Grant Smith () - '25 C AZ</v>
      </c>
      <c r="D237" s="89" t="s">
        <v>1337</v>
      </c>
      <c r="E237" s="51" t="s">
        <v>109</v>
      </c>
      <c r="F237" s="52"/>
      <c r="G237" s="53"/>
      <c r="H237" s="54" t="s">
        <v>278</v>
      </c>
      <c r="I237" s="55" t="s">
        <v>1338</v>
      </c>
      <c r="J237" s="55">
        <v>2025.0</v>
      </c>
      <c r="K237" s="55"/>
      <c r="L237" s="55"/>
      <c r="M237" s="55" t="s">
        <v>109</v>
      </c>
      <c r="N237" s="55"/>
      <c r="O237" s="55"/>
      <c r="P237" s="55"/>
      <c r="Q237" s="55" t="s">
        <v>319</v>
      </c>
      <c r="R237" s="55" t="s">
        <v>1339</v>
      </c>
      <c r="S237" s="58"/>
      <c r="T237" s="55"/>
      <c r="U237" s="55"/>
      <c r="V237" s="51"/>
      <c r="W237" s="51"/>
      <c r="X237" s="51"/>
      <c r="Y237" s="51"/>
      <c r="Z237" s="60"/>
      <c r="AA237" s="73" t="s">
        <v>1340</v>
      </c>
      <c r="AB237" s="62" t="s">
        <v>61</v>
      </c>
      <c r="AC237" s="63" t="s">
        <v>61</v>
      </c>
      <c r="AD237" s="64" t="s">
        <v>61</v>
      </c>
      <c r="AE237" s="64" t="s">
        <v>61</v>
      </c>
      <c r="AF237" s="63" t="s">
        <v>61</v>
      </c>
      <c r="AG237" s="63" t="s">
        <v>61</v>
      </c>
      <c r="AH237" s="63" t="s">
        <v>61</v>
      </c>
      <c r="AI237" s="65" t="s">
        <v>61</v>
      </c>
      <c r="AJ237" s="66" t="s">
        <v>61</v>
      </c>
      <c r="AK237" s="60"/>
    </row>
    <row r="238" ht="24.0" customHeight="1">
      <c r="A238" s="35"/>
      <c r="B238" s="36">
        <v>1.0</v>
      </c>
      <c r="C238" s="37" t="str">
        <f>IFERROR(__xludf.DUMMYFUNCTION("""COMPUTED_VALUE"""),"Kaenan Kiefer () - '25 MINF TX")</f>
        <v>Kaenan Kiefer () - '25 MINF TX</v>
      </c>
      <c r="D238" s="89" t="s">
        <v>1341</v>
      </c>
      <c r="E238" s="39" t="s">
        <v>48</v>
      </c>
      <c r="F238" s="40"/>
      <c r="G238" s="41"/>
      <c r="H238" s="42" t="s">
        <v>1342</v>
      </c>
      <c r="I238" s="43" t="s">
        <v>1343</v>
      </c>
      <c r="J238" s="43">
        <v>2025.0</v>
      </c>
      <c r="K238" s="43"/>
      <c r="L238" s="43"/>
      <c r="M238" s="43" t="s">
        <v>51</v>
      </c>
      <c r="N238" s="43"/>
      <c r="O238" s="43"/>
      <c r="P238" s="80"/>
      <c r="Q238" s="43" t="s">
        <v>180</v>
      </c>
      <c r="R238" s="43"/>
      <c r="S238" s="44"/>
      <c r="T238" s="81"/>
      <c r="U238" s="39"/>
      <c r="V238" s="39"/>
      <c r="W238" s="39"/>
      <c r="X238" s="39"/>
      <c r="Y238" s="39"/>
      <c r="Z238" s="46"/>
      <c r="AA238" s="47" t="s">
        <v>1344</v>
      </c>
      <c r="AB238" s="48" t="s">
        <v>1345</v>
      </c>
      <c r="AC238" s="68" t="s">
        <v>1346</v>
      </c>
      <c r="AD238" s="69">
        <v>3.6</v>
      </c>
      <c r="AE238" s="69" t="s">
        <v>400</v>
      </c>
      <c r="AF238" s="68" t="s">
        <v>400</v>
      </c>
      <c r="AG238" s="68" t="s">
        <v>400</v>
      </c>
      <c r="AH238" s="68" t="s">
        <v>400</v>
      </c>
      <c r="AI238" s="70" t="s">
        <v>400</v>
      </c>
      <c r="AJ238" s="49" t="s">
        <v>61</v>
      </c>
      <c r="AK238" s="46"/>
    </row>
    <row r="239" ht="24.0" customHeight="1">
      <c r="A239" s="35"/>
      <c r="B239" s="36">
        <v>1.0</v>
      </c>
      <c r="C239" s="37" t="str">
        <f>IFERROR(__xludf.DUMMYFUNCTION("""COMPUTED_VALUE"""),"Mason Holgerson () - '25 C GA")</f>
        <v>Mason Holgerson () - '25 C GA</v>
      </c>
      <c r="D239" s="89" t="s">
        <v>1347</v>
      </c>
      <c r="E239" s="51" t="s">
        <v>109</v>
      </c>
      <c r="F239" s="52"/>
      <c r="G239" s="53"/>
      <c r="H239" s="54" t="s">
        <v>1057</v>
      </c>
      <c r="I239" s="55" t="s">
        <v>1348</v>
      </c>
      <c r="J239" s="55">
        <v>2025.0</v>
      </c>
      <c r="K239" s="55"/>
      <c r="L239" s="55"/>
      <c r="M239" s="55" t="s">
        <v>109</v>
      </c>
      <c r="N239" s="55"/>
      <c r="O239" s="55"/>
      <c r="P239" s="55"/>
      <c r="Q239" s="55" t="s">
        <v>43</v>
      </c>
      <c r="R239" s="55" t="s">
        <v>1349</v>
      </c>
      <c r="S239" s="58" t="s">
        <v>1350</v>
      </c>
      <c r="T239" s="55"/>
      <c r="U239" s="55"/>
      <c r="V239" s="51"/>
      <c r="W239" s="51"/>
      <c r="X239" s="51"/>
      <c r="Y239" s="51"/>
      <c r="Z239" s="60"/>
      <c r="AA239" s="73" t="s">
        <v>1351</v>
      </c>
      <c r="AB239" s="62" t="s">
        <v>61</v>
      </c>
      <c r="AC239" s="63" t="s">
        <v>61</v>
      </c>
      <c r="AD239" s="64" t="s">
        <v>61</v>
      </c>
      <c r="AE239" s="64" t="s">
        <v>61</v>
      </c>
      <c r="AF239" s="63" t="s">
        <v>61</v>
      </c>
      <c r="AG239" s="63" t="s">
        <v>61</v>
      </c>
      <c r="AH239" s="63" t="s">
        <v>61</v>
      </c>
      <c r="AI239" s="65" t="s">
        <v>61</v>
      </c>
      <c r="AJ239" s="66" t="s">
        <v>61</v>
      </c>
      <c r="AK239" s="60"/>
    </row>
    <row r="240" ht="24.0" customHeight="1">
      <c r="A240" s="35"/>
      <c r="B240" s="36">
        <v>1.0</v>
      </c>
      <c r="C240" s="37" t="str">
        <f>IFERROR(__xludf.DUMMYFUNCTION("""COMPUTED_VALUE"""),"Mason Pickering () - '25 C OK")</f>
        <v>Mason Pickering () - '25 C OK</v>
      </c>
      <c r="D240" s="89" t="s">
        <v>1352</v>
      </c>
      <c r="E240" s="39" t="s">
        <v>109</v>
      </c>
      <c r="F240" s="40"/>
      <c r="G240" s="41"/>
      <c r="H240" s="42" t="s">
        <v>1057</v>
      </c>
      <c r="I240" s="43" t="s">
        <v>1353</v>
      </c>
      <c r="J240" s="43">
        <v>2025.0</v>
      </c>
      <c r="K240" s="43"/>
      <c r="L240" s="43"/>
      <c r="M240" s="43" t="s">
        <v>109</v>
      </c>
      <c r="N240" s="43"/>
      <c r="O240" s="43"/>
      <c r="P240" s="43"/>
      <c r="Q240" s="43" t="s">
        <v>698</v>
      </c>
      <c r="R240" s="43" t="s">
        <v>1354</v>
      </c>
      <c r="S240" s="44"/>
      <c r="T240" s="43"/>
      <c r="U240" s="43"/>
      <c r="V240" s="39"/>
      <c r="W240" s="39"/>
      <c r="X240" s="39"/>
      <c r="Y240" s="39"/>
      <c r="Z240" s="46"/>
      <c r="AA240" s="47" t="s">
        <v>1355</v>
      </c>
      <c r="AB240" s="48" t="s">
        <v>61</v>
      </c>
      <c r="AC240" s="68" t="s">
        <v>61</v>
      </c>
      <c r="AD240" s="69" t="s">
        <v>61</v>
      </c>
      <c r="AE240" s="69" t="s">
        <v>61</v>
      </c>
      <c r="AF240" s="68" t="s">
        <v>61</v>
      </c>
      <c r="AG240" s="68" t="s">
        <v>61</v>
      </c>
      <c r="AH240" s="68" t="s">
        <v>61</v>
      </c>
      <c r="AI240" s="70" t="s">
        <v>61</v>
      </c>
      <c r="AJ240" s="49" t="s">
        <v>61</v>
      </c>
      <c r="AK240" s="46"/>
    </row>
    <row r="241" ht="24.0" customHeight="1">
      <c r="A241" s="35"/>
      <c r="B241" s="36">
        <v>1.0</v>
      </c>
      <c r="C241" s="37" t="str">
        <f>IFERROR(__xludf.DUMMYFUNCTION("""COMPUTED_VALUE"""),"Owen O'Toole () - '25 RHP NJ")</f>
        <v>Owen O'Toole () - '25 RHP NJ</v>
      </c>
      <c r="D241" s="89" t="s">
        <v>1356</v>
      </c>
      <c r="E241" s="51" t="s">
        <v>63</v>
      </c>
      <c r="F241" s="52"/>
      <c r="G241" s="53"/>
      <c r="H241" s="54" t="s">
        <v>64</v>
      </c>
      <c r="I241" s="55" t="s">
        <v>1357</v>
      </c>
      <c r="J241" s="55">
        <v>2025.0</v>
      </c>
      <c r="K241" s="55"/>
      <c r="L241" s="55"/>
      <c r="M241" s="55" t="s">
        <v>63</v>
      </c>
      <c r="N241" s="55"/>
      <c r="O241" s="55"/>
      <c r="P241" s="55"/>
      <c r="Q241" s="55" t="s">
        <v>502</v>
      </c>
      <c r="R241" s="55" t="s">
        <v>1358</v>
      </c>
      <c r="S241" s="58"/>
      <c r="T241" s="55"/>
      <c r="U241" s="55"/>
      <c r="V241" s="51"/>
      <c r="W241" s="51"/>
      <c r="X241" s="51"/>
      <c r="Y241" s="51"/>
      <c r="Z241" s="60"/>
      <c r="AA241" s="73" t="s">
        <v>1359</v>
      </c>
      <c r="AB241" s="62" t="s">
        <v>61</v>
      </c>
      <c r="AC241" s="63" t="s">
        <v>61</v>
      </c>
      <c r="AD241" s="64" t="s">
        <v>61</v>
      </c>
      <c r="AE241" s="64" t="s">
        <v>61</v>
      </c>
      <c r="AF241" s="63" t="s">
        <v>61</v>
      </c>
      <c r="AG241" s="63" t="s">
        <v>61</v>
      </c>
      <c r="AH241" s="63" t="s">
        <v>61</v>
      </c>
      <c r="AI241" s="65" t="s">
        <v>61</v>
      </c>
      <c r="AJ241" s="66" t="s">
        <v>61</v>
      </c>
      <c r="AK241" s="60"/>
    </row>
    <row r="242" ht="24.0" customHeight="1">
      <c r="A242" s="35"/>
      <c r="B242" s="36">
        <v>1.0</v>
      </c>
      <c r="C242" s="37" t="str">
        <f>IFERROR(__xludf.DUMMYFUNCTION("""COMPUTED_VALUE"""),"Preston Armstrong () - '25 C AZ")</f>
        <v>Preston Armstrong () - '25 C AZ</v>
      </c>
      <c r="D242" s="89" t="s">
        <v>1360</v>
      </c>
      <c r="E242" s="39" t="s">
        <v>109</v>
      </c>
      <c r="F242" s="112"/>
      <c r="G242" s="113"/>
      <c r="H242" s="42" t="s">
        <v>1151</v>
      </c>
      <c r="I242" s="43" t="s">
        <v>1361</v>
      </c>
      <c r="J242" s="43">
        <v>2025.0</v>
      </c>
      <c r="K242" s="43"/>
      <c r="L242" s="43"/>
      <c r="M242" s="43" t="s">
        <v>109</v>
      </c>
      <c r="N242" s="43"/>
      <c r="O242" s="43"/>
      <c r="P242" s="43"/>
      <c r="Q242" s="43" t="s">
        <v>319</v>
      </c>
      <c r="R242" s="43" t="s">
        <v>1362</v>
      </c>
      <c r="S242" s="44"/>
      <c r="T242" s="43"/>
      <c r="U242" s="43"/>
      <c r="V242" s="39"/>
      <c r="W242" s="39"/>
      <c r="X242" s="39"/>
      <c r="Y242" s="39"/>
      <c r="Z242" s="46"/>
      <c r="AA242" s="47" t="s">
        <v>1363</v>
      </c>
      <c r="AB242" s="48" t="s">
        <v>61</v>
      </c>
      <c r="AC242" s="68" t="s">
        <v>61</v>
      </c>
      <c r="AD242" s="69" t="s">
        <v>61</v>
      </c>
      <c r="AE242" s="69" t="s">
        <v>61</v>
      </c>
      <c r="AF242" s="68" t="s">
        <v>61</v>
      </c>
      <c r="AG242" s="68" t="s">
        <v>61</v>
      </c>
      <c r="AH242" s="68" t="s">
        <v>61</v>
      </c>
      <c r="AI242" s="70" t="s">
        <v>61</v>
      </c>
      <c r="AJ242" s="114" t="s">
        <v>61</v>
      </c>
      <c r="AK242" s="82"/>
    </row>
    <row r="243" ht="24.0" customHeight="1">
      <c r="A243" s="35"/>
      <c r="B243" s="36">
        <v>1.0</v>
      </c>
      <c r="C243" s="37" t="str">
        <f>IFERROR(__xludf.DUMMYFUNCTION("""COMPUTED_VALUE"""),"Ramon Corona () - '25 C TX")</f>
        <v>Ramon Corona () - '25 C TX</v>
      </c>
      <c r="D243" s="89" t="s">
        <v>1364</v>
      </c>
      <c r="E243" s="51" t="s">
        <v>109</v>
      </c>
      <c r="F243" s="115"/>
      <c r="G243" s="116"/>
      <c r="H243" s="54" t="s">
        <v>1365</v>
      </c>
      <c r="I243" s="55" t="s">
        <v>1366</v>
      </c>
      <c r="J243" s="55">
        <v>2025.0</v>
      </c>
      <c r="K243" s="55"/>
      <c r="L243" s="55"/>
      <c r="M243" s="55" t="s">
        <v>109</v>
      </c>
      <c r="N243" s="55"/>
      <c r="O243" s="55"/>
      <c r="P243" s="57"/>
      <c r="Q243" s="55" t="s">
        <v>180</v>
      </c>
      <c r="R243" s="55" t="s">
        <v>189</v>
      </c>
      <c r="S243" s="58" t="s">
        <v>61</v>
      </c>
      <c r="T243" s="55"/>
      <c r="U243" s="55"/>
      <c r="V243" s="51"/>
      <c r="W243" s="51"/>
      <c r="X243" s="51"/>
      <c r="Y243" s="51"/>
      <c r="Z243" s="60"/>
      <c r="AA243" s="73" t="s">
        <v>1367</v>
      </c>
      <c r="AB243" s="62" t="s">
        <v>61</v>
      </c>
      <c r="AC243" s="63" t="s">
        <v>61</v>
      </c>
      <c r="AD243" s="64" t="s">
        <v>61</v>
      </c>
      <c r="AE243" s="64" t="s">
        <v>61</v>
      </c>
      <c r="AF243" s="63" t="s">
        <v>61</v>
      </c>
      <c r="AG243" s="63" t="s">
        <v>61</v>
      </c>
      <c r="AH243" s="63" t="s">
        <v>61</v>
      </c>
      <c r="AI243" s="65" t="s">
        <v>61</v>
      </c>
      <c r="AJ243" s="66" t="s">
        <v>61</v>
      </c>
      <c r="AK243" s="60"/>
    </row>
    <row r="244" ht="24.0" customHeight="1">
      <c r="A244" s="35"/>
      <c r="B244" s="36">
        <v>1.0</v>
      </c>
      <c r="C244" s="37" t="str">
        <f>IFERROR(__xludf.DUMMYFUNCTION("""COMPUTED_VALUE"""),"Tyler Bellerose () - '25 RHP CA")</f>
        <v>Tyler Bellerose () - '25 RHP CA</v>
      </c>
      <c r="D244" s="89" t="s">
        <v>1368</v>
      </c>
      <c r="E244" s="39" t="s">
        <v>63</v>
      </c>
      <c r="F244" s="112"/>
      <c r="G244" s="113"/>
      <c r="H244" s="42" t="s">
        <v>104</v>
      </c>
      <c r="I244" s="43" t="s">
        <v>1369</v>
      </c>
      <c r="J244" s="43">
        <v>2025.0</v>
      </c>
      <c r="K244" s="43"/>
      <c r="L244" s="43"/>
      <c r="M244" s="43" t="s">
        <v>63</v>
      </c>
      <c r="N244" s="43"/>
      <c r="O244" s="43"/>
      <c r="P244" s="43"/>
      <c r="Q244" s="43" t="s">
        <v>52</v>
      </c>
      <c r="R244" s="43" t="s">
        <v>1370</v>
      </c>
      <c r="S244" s="44"/>
      <c r="T244" s="43"/>
      <c r="U244" s="43"/>
      <c r="V244" s="39"/>
      <c r="W244" s="39"/>
      <c r="X244" s="39"/>
      <c r="Y244" s="39"/>
      <c r="Z244" s="46"/>
      <c r="AA244" s="47" t="s">
        <v>1371</v>
      </c>
      <c r="AB244" s="48" t="s">
        <v>61</v>
      </c>
      <c r="AC244" s="68" t="s">
        <v>61</v>
      </c>
      <c r="AD244" s="69" t="s">
        <v>61</v>
      </c>
      <c r="AE244" s="69" t="s">
        <v>61</v>
      </c>
      <c r="AF244" s="68" t="s">
        <v>61</v>
      </c>
      <c r="AG244" s="68" t="s">
        <v>61</v>
      </c>
      <c r="AH244" s="68" t="s">
        <v>61</v>
      </c>
      <c r="AI244" s="70" t="s">
        <v>61</v>
      </c>
      <c r="AJ244" s="49" t="s">
        <v>61</v>
      </c>
      <c r="AK244" s="46"/>
    </row>
    <row r="245" ht="24.0" customHeight="1">
      <c r="A245" s="35"/>
      <c r="B245" s="36">
        <v>1.0</v>
      </c>
      <c r="C245" s="37" t="str">
        <f>IFERROR(__xludf.DUMMYFUNCTION("""COMPUTED_VALUE"""),"Ace Tarango (0.1) - '26 OF CA")</f>
        <v>Ace Tarango (0.1) - '26 OF CA</v>
      </c>
      <c r="D245" s="38" t="s">
        <v>1372</v>
      </c>
      <c r="E245" s="51" t="s">
        <v>103</v>
      </c>
      <c r="F245" s="115"/>
      <c r="G245" s="116"/>
      <c r="H245" s="54" t="s">
        <v>1373</v>
      </c>
      <c r="I245" s="55" t="s">
        <v>1374</v>
      </c>
      <c r="J245" s="55">
        <v>2026.0</v>
      </c>
      <c r="K245" s="55">
        <v>0.1</v>
      </c>
      <c r="L245" s="55" t="s">
        <v>41</v>
      </c>
      <c r="M245" s="55" t="s">
        <v>103</v>
      </c>
      <c r="N245" s="57"/>
      <c r="O245" s="55"/>
      <c r="P245" s="57"/>
      <c r="Q245" s="55" t="s">
        <v>52</v>
      </c>
      <c r="R245" s="55" t="s">
        <v>1375</v>
      </c>
      <c r="S245" s="58" t="s">
        <v>1376</v>
      </c>
      <c r="T245" s="51" t="s">
        <v>1377</v>
      </c>
      <c r="U245" s="74"/>
      <c r="V245" s="74"/>
      <c r="W245" s="74"/>
      <c r="X245" s="74"/>
      <c r="Y245" s="74"/>
      <c r="Z245" s="76"/>
      <c r="AA245" s="73"/>
      <c r="AB245" s="62" t="s">
        <v>1378</v>
      </c>
      <c r="AC245" s="63" t="s">
        <v>1379</v>
      </c>
      <c r="AD245" s="64" t="s">
        <v>1377</v>
      </c>
      <c r="AE245" s="64" t="s">
        <v>1380</v>
      </c>
      <c r="AF245" s="63"/>
      <c r="AG245" s="63" t="s">
        <v>1381</v>
      </c>
      <c r="AH245" s="63" t="s">
        <v>400</v>
      </c>
      <c r="AI245" s="65" t="s">
        <v>549</v>
      </c>
      <c r="AJ245" s="66" t="s">
        <v>61</v>
      </c>
      <c r="AK245" s="60"/>
    </row>
    <row r="246" ht="24.0" customHeight="1">
      <c r="A246" s="35"/>
      <c r="B246" s="36">
        <v>1.0</v>
      </c>
      <c r="C246" s="37" t="str">
        <f>IFERROR(__xludf.DUMMYFUNCTION("""COMPUTED_VALUE"""),"Brian Mancinelli (0.1) - '26 RHP MA")</f>
        <v>Brian Mancinelli (0.1) - '26 RHP MA</v>
      </c>
      <c r="D246" s="38" t="s">
        <v>1382</v>
      </c>
      <c r="E246" s="39" t="s">
        <v>63</v>
      </c>
      <c r="F246" s="112"/>
      <c r="G246" s="113"/>
      <c r="H246" s="42" t="s">
        <v>1383</v>
      </c>
      <c r="I246" s="43" t="s">
        <v>1384</v>
      </c>
      <c r="J246" s="43">
        <v>2026.0</v>
      </c>
      <c r="K246" s="43">
        <v>0.1</v>
      </c>
      <c r="L246" s="43" t="s">
        <v>41</v>
      </c>
      <c r="M246" s="43" t="s">
        <v>63</v>
      </c>
      <c r="N246" s="80"/>
      <c r="O246" s="80"/>
      <c r="P246" s="80"/>
      <c r="Q246" s="43" t="s">
        <v>85</v>
      </c>
      <c r="R246" s="80"/>
      <c r="S246" s="117"/>
      <c r="T246" s="39" t="s">
        <v>1385</v>
      </c>
      <c r="U246" s="81"/>
      <c r="V246" s="81"/>
      <c r="W246" s="81"/>
      <c r="X246" s="81"/>
      <c r="Y246" s="81"/>
      <c r="Z246" s="82"/>
      <c r="AA246" s="47" t="s">
        <v>1386</v>
      </c>
      <c r="AB246" s="48" t="s">
        <v>1387</v>
      </c>
      <c r="AC246" s="68" t="s">
        <v>1388</v>
      </c>
      <c r="AD246" s="69" t="s">
        <v>1385</v>
      </c>
      <c r="AE246" s="69"/>
      <c r="AF246" s="68" t="s">
        <v>1389</v>
      </c>
      <c r="AG246" s="68"/>
      <c r="AH246" s="68"/>
      <c r="AI246" s="70"/>
      <c r="AJ246" s="49" t="s">
        <v>61</v>
      </c>
      <c r="AK246" s="46"/>
    </row>
    <row r="247" ht="24.0" customHeight="1">
      <c r="A247" s="35"/>
      <c r="B247" s="36">
        <v>1.0</v>
      </c>
      <c r="C247" s="37" t="str">
        <f>IFERROR(__xludf.DUMMYFUNCTION("""COMPUTED_VALUE"""),"Brooks Franklin (0.1) - '26 MINF MD")</f>
        <v>Brooks Franklin (0.1) - '26 MINF MD</v>
      </c>
      <c r="D247" s="38" t="s">
        <v>1390</v>
      </c>
      <c r="E247" s="51" t="s">
        <v>48</v>
      </c>
      <c r="F247" s="115"/>
      <c r="G247" s="116"/>
      <c r="H247" s="54" t="s">
        <v>221</v>
      </c>
      <c r="I247" s="55" t="s">
        <v>1391</v>
      </c>
      <c r="J247" s="55">
        <v>2026.0</v>
      </c>
      <c r="K247" s="55">
        <v>0.1</v>
      </c>
      <c r="L247" s="55" t="s">
        <v>41</v>
      </c>
      <c r="M247" s="55" t="s">
        <v>51</v>
      </c>
      <c r="N247" s="55"/>
      <c r="O247" s="55"/>
      <c r="P247" s="55"/>
      <c r="Q247" s="55" t="s">
        <v>195</v>
      </c>
      <c r="R247" s="55" t="s">
        <v>1392</v>
      </c>
      <c r="S247" s="58"/>
      <c r="T247" s="55"/>
      <c r="U247" s="55"/>
      <c r="V247" s="51"/>
      <c r="W247" s="51"/>
      <c r="X247" s="75">
        <v>45909.0</v>
      </c>
      <c r="Y247" s="51"/>
      <c r="Z247" s="60"/>
      <c r="AA247" s="73" t="s">
        <v>1393</v>
      </c>
      <c r="AB247" s="62" t="s">
        <v>61</v>
      </c>
      <c r="AC247" s="63" t="s">
        <v>61</v>
      </c>
      <c r="AD247" s="64" t="s">
        <v>61</v>
      </c>
      <c r="AE247" s="64" t="s">
        <v>61</v>
      </c>
      <c r="AF247" s="63" t="s">
        <v>61</v>
      </c>
      <c r="AG247" s="63" t="s">
        <v>61</v>
      </c>
      <c r="AH247" s="63" t="s">
        <v>61</v>
      </c>
      <c r="AI247" s="65" t="s">
        <v>61</v>
      </c>
      <c r="AJ247" s="66" t="s">
        <v>61</v>
      </c>
      <c r="AK247" s="60"/>
    </row>
    <row r="248" ht="24.0" customHeight="1">
      <c r="A248" s="35"/>
      <c r="B248" s="36">
        <v>1.0</v>
      </c>
      <c r="C248" s="37" t="str">
        <f>IFERROR(__xludf.DUMMYFUNCTION("""COMPUTED_VALUE"""),"Conor Secrist (0.1) - '26 SS MA")</f>
        <v>Conor Secrist (0.1) - '26 SS MA</v>
      </c>
      <c r="D248" s="38" t="s">
        <v>1394</v>
      </c>
      <c r="E248" s="39" t="s">
        <v>48</v>
      </c>
      <c r="F248" s="118">
        <v>45849.0</v>
      </c>
      <c r="G248" s="113" t="s">
        <v>1395</v>
      </c>
      <c r="H248" s="42" t="s">
        <v>1396</v>
      </c>
      <c r="I248" s="43" t="s">
        <v>1397</v>
      </c>
      <c r="J248" s="43">
        <v>2026.0</v>
      </c>
      <c r="K248" s="43">
        <v>0.1</v>
      </c>
      <c r="L248" s="43" t="s">
        <v>41</v>
      </c>
      <c r="M248" s="43" t="s">
        <v>1398</v>
      </c>
      <c r="N248" s="80"/>
      <c r="O248" s="80"/>
      <c r="P248" s="43"/>
      <c r="Q248" s="43" t="s">
        <v>85</v>
      </c>
      <c r="R248" s="43" t="s">
        <v>1399</v>
      </c>
      <c r="S248" s="44" t="s">
        <v>1400</v>
      </c>
      <c r="T248" s="81"/>
      <c r="U248" s="39"/>
      <c r="V248" s="39"/>
      <c r="W248" s="39"/>
      <c r="X248" s="39"/>
      <c r="Y248" s="39"/>
      <c r="Z248" s="46" t="s">
        <v>1401</v>
      </c>
      <c r="AA248" s="47" t="s">
        <v>1402</v>
      </c>
      <c r="AB248" s="48" t="s">
        <v>1403</v>
      </c>
      <c r="AC248" s="68" t="s">
        <v>1404</v>
      </c>
      <c r="AD248" s="69" t="s">
        <v>1405</v>
      </c>
      <c r="AE248" s="69" t="s">
        <v>1406</v>
      </c>
      <c r="AF248" s="68" t="s">
        <v>1407</v>
      </c>
      <c r="AG248" s="68"/>
      <c r="AH248" s="68"/>
      <c r="AI248" s="70"/>
      <c r="AJ248" s="49" t="s">
        <v>61</v>
      </c>
      <c r="AK248" s="46"/>
    </row>
    <row r="249" ht="24.0" customHeight="1">
      <c r="A249" s="35"/>
      <c r="B249" s="36">
        <v>1.0</v>
      </c>
      <c r="C249" s="37" t="str">
        <f>IFERROR(__xludf.DUMMYFUNCTION("""COMPUTED_VALUE"""),"Cory Dean Carver (0.1) - '26 MINF CO")</f>
        <v>Cory Dean Carver (0.1) - '26 MINF CO</v>
      </c>
      <c r="D249" s="38" t="s">
        <v>1408</v>
      </c>
      <c r="E249" s="51" t="s">
        <v>48</v>
      </c>
      <c r="F249" s="115"/>
      <c r="G249" s="116"/>
      <c r="H249" s="54" t="s">
        <v>1409</v>
      </c>
      <c r="I249" s="55" t="s">
        <v>1410</v>
      </c>
      <c r="J249" s="55">
        <v>2026.0</v>
      </c>
      <c r="K249" s="55">
        <v>0.1</v>
      </c>
      <c r="L249" s="55" t="s">
        <v>41</v>
      </c>
      <c r="M249" s="55" t="s">
        <v>51</v>
      </c>
      <c r="N249" s="57"/>
      <c r="O249" s="57"/>
      <c r="P249" s="57"/>
      <c r="Q249" s="55" t="s">
        <v>174</v>
      </c>
      <c r="R249" s="55" t="s">
        <v>1411</v>
      </c>
      <c r="S249" s="58" t="s">
        <v>1412</v>
      </c>
      <c r="T249" s="51" t="s">
        <v>1413</v>
      </c>
      <c r="U249" s="74"/>
      <c r="V249" s="74"/>
      <c r="W249" s="74"/>
      <c r="X249" s="92">
        <v>45583.0</v>
      </c>
      <c r="Y249" s="92">
        <v>45584.0</v>
      </c>
      <c r="Z249" s="60" t="s">
        <v>1414</v>
      </c>
      <c r="AA249" s="73" t="s">
        <v>1415</v>
      </c>
      <c r="AB249" s="62" t="s">
        <v>61</v>
      </c>
      <c r="AC249" s="63" t="s">
        <v>61</v>
      </c>
      <c r="AD249" s="64" t="s">
        <v>61</v>
      </c>
      <c r="AE249" s="64" t="s">
        <v>61</v>
      </c>
      <c r="AF249" s="63" t="s">
        <v>61</v>
      </c>
      <c r="AG249" s="63" t="s">
        <v>61</v>
      </c>
      <c r="AH249" s="63" t="s">
        <v>61</v>
      </c>
      <c r="AI249" s="65" t="s">
        <v>61</v>
      </c>
      <c r="AJ249" s="66" t="s">
        <v>61</v>
      </c>
      <c r="AK249" s="60"/>
    </row>
    <row r="250" ht="24.0" customHeight="1">
      <c r="A250" s="35"/>
      <c r="B250" s="36">
        <v>1.0</v>
      </c>
      <c r="C250" s="37" t="str">
        <f>IFERROR(__xludf.DUMMYFUNCTION("""COMPUTED_VALUE"""),"Garrison Wade (0.1) - '26 LHP FL")</f>
        <v>Garrison Wade (0.1) - '26 LHP FL</v>
      </c>
      <c r="D250" s="38" t="s">
        <v>1416</v>
      </c>
      <c r="E250" s="39" t="s">
        <v>122</v>
      </c>
      <c r="F250" s="112"/>
      <c r="G250" s="113"/>
      <c r="H250" s="42" t="s">
        <v>1417</v>
      </c>
      <c r="I250" s="43" t="s">
        <v>402</v>
      </c>
      <c r="J250" s="43">
        <v>2026.0</v>
      </c>
      <c r="K250" s="43">
        <v>0.1</v>
      </c>
      <c r="L250" s="43" t="s">
        <v>41</v>
      </c>
      <c r="M250" s="43" t="s">
        <v>122</v>
      </c>
      <c r="N250" s="43" t="s">
        <v>103</v>
      </c>
      <c r="O250" s="80"/>
      <c r="P250" s="80"/>
      <c r="Q250" s="43" t="s">
        <v>66</v>
      </c>
      <c r="R250" s="43"/>
      <c r="S250" s="44" t="s">
        <v>1418</v>
      </c>
      <c r="T250" s="39" t="s">
        <v>1419</v>
      </c>
      <c r="U250" s="81"/>
      <c r="V250" s="81"/>
      <c r="W250" s="81"/>
      <c r="X250" s="81"/>
      <c r="Y250" s="81"/>
      <c r="Z250" s="82"/>
      <c r="AA250" s="47" t="s">
        <v>1420</v>
      </c>
      <c r="AB250" s="48" t="s">
        <v>61</v>
      </c>
      <c r="AC250" s="68" t="s">
        <v>61</v>
      </c>
      <c r="AD250" s="69" t="s">
        <v>61</v>
      </c>
      <c r="AE250" s="69" t="s">
        <v>61</v>
      </c>
      <c r="AF250" s="68" t="s">
        <v>61</v>
      </c>
      <c r="AG250" s="68" t="s">
        <v>61</v>
      </c>
      <c r="AH250" s="68" t="s">
        <v>61</v>
      </c>
      <c r="AI250" s="70" t="s">
        <v>61</v>
      </c>
      <c r="AJ250" s="49" t="s">
        <v>61</v>
      </c>
      <c r="AK250" s="46"/>
    </row>
    <row r="251" ht="24.0" customHeight="1">
      <c r="A251" s="35"/>
      <c r="B251" s="36">
        <v>1.0</v>
      </c>
      <c r="C251" s="37" t="str">
        <f>IFERROR(__xludf.DUMMYFUNCTION("""COMPUTED_VALUE"""),"Hawk Stickney (0.1) - '26 RHP MA")</f>
        <v>Hawk Stickney (0.1) - '26 RHP MA</v>
      </c>
      <c r="D251" s="38" t="s">
        <v>1421</v>
      </c>
      <c r="E251" s="51" t="s">
        <v>63</v>
      </c>
      <c r="F251" s="119">
        <v>45849.0</v>
      </c>
      <c r="G251" s="116" t="s">
        <v>1395</v>
      </c>
      <c r="H251" s="54" t="s">
        <v>1422</v>
      </c>
      <c r="I251" s="55" t="s">
        <v>1423</v>
      </c>
      <c r="J251" s="55">
        <v>2026.0</v>
      </c>
      <c r="K251" s="55">
        <v>0.1</v>
      </c>
      <c r="L251" s="55" t="s">
        <v>41</v>
      </c>
      <c r="M251" s="55" t="s">
        <v>63</v>
      </c>
      <c r="N251" s="55"/>
      <c r="O251" s="55"/>
      <c r="P251" s="55"/>
      <c r="Q251" s="55" t="s">
        <v>85</v>
      </c>
      <c r="R251" s="55"/>
      <c r="S251" s="58" t="s">
        <v>1424</v>
      </c>
      <c r="T251" s="51">
        <v>3.7</v>
      </c>
      <c r="U251" s="51"/>
      <c r="V251" s="51"/>
      <c r="W251" s="51"/>
      <c r="X251" s="51"/>
      <c r="Y251" s="51"/>
      <c r="Z251" s="60"/>
      <c r="AA251" s="73" t="s">
        <v>1425</v>
      </c>
      <c r="AB251" s="62" t="s">
        <v>1426</v>
      </c>
      <c r="AC251" s="63" t="s">
        <v>1427</v>
      </c>
      <c r="AD251" s="64">
        <v>3.7</v>
      </c>
      <c r="AE251" s="64" t="s">
        <v>828</v>
      </c>
      <c r="AF251" s="63" t="s">
        <v>1428</v>
      </c>
      <c r="AG251" s="63" t="s">
        <v>828</v>
      </c>
      <c r="AH251" s="63" t="s">
        <v>828</v>
      </c>
      <c r="AI251" s="65" t="s">
        <v>81</v>
      </c>
      <c r="AJ251" s="66" t="s">
        <v>61</v>
      </c>
      <c r="AK251" s="60"/>
    </row>
    <row r="252" ht="24.0" customHeight="1">
      <c r="A252" s="35"/>
      <c r="B252" s="36">
        <v>1.0</v>
      </c>
      <c r="C252" s="37" t="str">
        <f>IFERROR(__xludf.DUMMYFUNCTION("""COMPUTED_VALUE"""),"Jacob Cesarz (0.1) - '26 SS NC")</f>
        <v>Jacob Cesarz (0.1) - '26 SS NC</v>
      </c>
      <c r="D252" s="38" t="s">
        <v>1429</v>
      </c>
      <c r="E252" s="39" t="s">
        <v>48</v>
      </c>
      <c r="F252" s="112"/>
      <c r="G252" s="113" t="s">
        <v>1430</v>
      </c>
      <c r="H252" s="42" t="s">
        <v>284</v>
      </c>
      <c r="I252" s="43" t="s">
        <v>1431</v>
      </c>
      <c r="J252" s="43">
        <v>2026.0</v>
      </c>
      <c r="K252" s="43">
        <v>0.1</v>
      </c>
      <c r="L252" s="43" t="s">
        <v>41</v>
      </c>
      <c r="M252" s="43" t="s">
        <v>1398</v>
      </c>
      <c r="N252" s="80"/>
      <c r="O252" s="80"/>
      <c r="P252" s="80"/>
      <c r="Q252" s="43" t="s">
        <v>73</v>
      </c>
      <c r="R252" s="43" t="s">
        <v>1432</v>
      </c>
      <c r="S252" s="44"/>
      <c r="T252" s="39" t="s">
        <v>1433</v>
      </c>
      <c r="U252" s="81"/>
      <c r="V252" s="81"/>
      <c r="W252" s="81"/>
      <c r="X252" s="39" t="s">
        <v>1434</v>
      </c>
      <c r="Y252" s="81"/>
      <c r="Z252" s="82"/>
      <c r="AA252" s="47" t="s">
        <v>1435</v>
      </c>
      <c r="AB252" s="48" t="s">
        <v>1436</v>
      </c>
      <c r="AC252" s="68" t="s">
        <v>1437</v>
      </c>
      <c r="AD252" s="69">
        <v>4.72</v>
      </c>
      <c r="AE252" s="69">
        <v>1100.0</v>
      </c>
      <c r="AF252" s="68" t="s">
        <v>1438</v>
      </c>
      <c r="AG252" s="68" t="s">
        <v>81</v>
      </c>
      <c r="AH252" s="68" t="s">
        <v>1439</v>
      </c>
      <c r="AI252" s="70" t="s">
        <v>81</v>
      </c>
      <c r="AJ252" s="49" t="s">
        <v>61</v>
      </c>
      <c r="AK252" s="46"/>
    </row>
    <row r="253" ht="24.0" customHeight="1">
      <c r="A253" s="35"/>
      <c r="B253" s="36">
        <v>1.0</v>
      </c>
      <c r="C253" s="37" t="str">
        <f>IFERROR(__xludf.DUMMYFUNCTION("""COMPUTED_VALUE"""),"Keaton Bowers (0.1) - '26 C OH")</f>
        <v>Keaton Bowers (0.1) - '26 C OH</v>
      </c>
      <c r="D253" s="38" t="s">
        <v>1440</v>
      </c>
      <c r="E253" s="51" t="s">
        <v>109</v>
      </c>
      <c r="F253" s="115"/>
      <c r="G253" s="116"/>
      <c r="H253" s="54" t="s">
        <v>1441</v>
      </c>
      <c r="I253" s="55" t="s">
        <v>1442</v>
      </c>
      <c r="J253" s="55">
        <v>2026.0</v>
      </c>
      <c r="K253" s="55">
        <v>0.1</v>
      </c>
      <c r="L253" s="55" t="s">
        <v>41</v>
      </c>
      <c r="M253" s="55" t="s">
        <v>109</v>
      </c>
      <c r="N253" s="57"/>
      <c r="O253" s="57"/>
      <c r="P253" s="57"/>
      <c r="Q253" s="55" t="s">
        <v>529</v>
      </c>
      <c r="R253" s="55" t="s">
        <v>1443</v>
      </c>
      <c r="S253" s="58" t="s">
        <v>155</v>
      </c>
      <c r="T253" s="51">
        <v>3.6</v>
      </c>
      <c r="U253" s="74"/>
      <c r="V253" s="74"/>
      <c r="W253" s="74"/>
      <c r="X253" s="51" t="s">
        <v>1444</v>
      </c>
      <c r="Y253" s="120">
        <v>45955.0</v>
      </c>
      <c r="Z253" s="60" t="s">
        <v>1414</v>
      </c>
      <c r="AA253" s="73" t="s">
        <v>1445</v>
      </c>
      <c r="AB253" s="62" t="s">
        <v>61</v>
      </c>
      <c r="AC253" s="63" t="s">
        <v>61</v>
      </c>
      <c r="AD253" s="64" t="s">
        <v>61</v>
      </c>
      <c r="AE253" s="64" t="s">
        <v>61</v>
      </c>
      <c r="AF253" s="63" t="s">
        <v>61</v>
      </c>
      <c r="AG253" s="63" t="s">
        <v>61</v>
      </c>
      <c r="AH253" s="63" t="s">
        <v>61</v>
      </c>
      <c r="AI253" s="65" t="s">
        <v>61</v>
      </c>
      <c r="AJ253" s="66" t="s">
        <v>61</v>
      </c>
      <c r="AK253" s="60"/>
    </row>
    <row r="254" ht="24.0" customHeight="1">
      <c r="A254" s="35"/>
      <c r="B254" s="36">
        <v>1.0</v>
      </c>
      <c r="C254" s="37" t="str">
        <f>IFERROR(__xludf.DUMMYFUNCTION("""COMPUTED_VALUE"""),"Mateu Dalmau (0.1) - '26 LHP FL")</f>
        <v>Mateu Dalmau (0.1) - '26 LHP FL</v>
      </c>
      <c r="D254" s="38" t="s">
        <v>1446</v>
      </c>
      <c r="E254" s="39" t="s">
        <v>122</v>
      </c>
      <c r="F254" s="112"/>
      <c r="G254" s="113"/>
      <c r="H254" s="42" t="s">
        <v>1447</v>
      </c>
      <c r="I254" s="43" t="s">
        <v>1448</v>
      </c>
      <c r="J254" s="43">
        <v>2026.0</v>
      </c>
      <c r="K254" s="43">
        <v>0.1</v>
      </c>
      <c r="L254" s="43" t="s">
        <v>41</v>
      </c>
      <c r="M254" s="43" t="s">
        <v>122</v>
      </c>
      <c r="N254" s="80"/>
      <c r="O254" s="80"/>
      <c r="P254" s="80"/>
      <c r="Q254" s="43" t="s">
        <v>66</v>
      </c>
      <c r="R254" s="43" t="s">
        <v>1449</v>
      </c>
      <c r="S254" s="44" t="s">
        <v>1450</v>
      </c>
      <c r="T254" s="39">
        <v>4.2</v>
      </c>
      <c r="U254" s="81"/>
      <c r="V254" s="81"/>
      <c r="W254" s="81"/>
      <c r="X254" s="81"/>
      <c r="Y254" s="67">
        <v>45611.0</v>
      </c>
      <c r="Z254" s="46" t="s">
        <v>1414</v>
      </c>
      <c r="AA254" s="47" t="s">
        <v>1451</v>
      </c>
      <c r="AB254" s="48" t="s">
        <v>1452</v>
      </c>
      <c r="AC254" s="68" t="s">
        <v>1453</v>
      </c>
      <c r="AD254" s="69">
        <v>4.3</v>
      </c>
      <c r="AE254" s="69" t="s">
        <v>828</v>
      </c>
      <c r="AF254" s="68" t="s">
        <v>828</v>
      </c>
      <c r="AG254" s="68" t="s">
        <v>828</v>
      </c>
      <c r="AH254" s="68" t="s">
        <v>828</v>
      </c>
      <c r="AI254" s="70" t="s">
        <v>828</v>
      </c>
      <c r="AJ254" s="49" t="s">
        <v>61</v>
      </c>
      <c r="AK254" s="46"/>
    </row>
    <row r="255" ht="24.0" customHeight="1">
      <c r="A255" s="35"/>
      <c r="B255" s="36">
        <v>1.0</v>
      </c>
      <c r="C255" s="37" t="str">
        <f>IFERROR(__xludf.DUMMYFUNCTION("""COMPUTED_VALUE"""),"Noah Hummel (0.1) - '26 LHP VA")</f>
        <v>Noah Hummel (0.1) - '26 LHP VA</v>
      </c>
      <c r="D255" s="38" t="s">
        <v>1454</v>
      </c>
      <c r="E255" s="51" t="s">
        <v>122</v>
      </c>
      <c r="F255" s="115"/>
      <c r="G255" s="116"/>
      <c r="H255" s="54" t="s">
        <v>49</v>
      </c>
      <c r="I255" s="55" t="s">
        <v>1455</v>
      </c>
      <c r="J255" s="55">
        <v>2026.0</v>
      </c>
      <c r="K255" s="55">
        <v>0.1</v>
      </c>
      <c r="L255" s="55" t="s">
        <v>41</v>
      </c>
      <c r="M255" s="55" t="s">
        <v>122</v>
      </c>
      <c r="N255" s="57"/>
      <c r="O255" s="57"/>
      <c r="P255" s="57"/>
      <c r="Q255" s="55" t="s">
        <v>125</v>
      </c>
      <c r="R255" s="55" t="s">
        <v>1456</v>
      </c>
      <c r="S255" s="58"/>
      <c r="T255" s="51" t="s">
        <v>1457</v>
      </c>
      <c r="U255" s="74"/>
      <c r="V255" s="74"/>
      <c r="W255" s="74"/>
      <c r="X255" s="74"/>
      <c r="Y255" s="74"/>
      <c r="Z255" s="76"/>
      <c r="AA255" s="73" t="s">
        <v>1458</v>
      </c>
      <c r="AB255" s="62" t="s">
        <v>61</v>
      </c>
      <c r="AC255" s="63" t="s">
        <v>61</v>
      </c>
      <c r="AD255" s="64" t="s">
        <v>61</v>
      </c>
      <c r="AE255" s="64" t="s">
        <v>61</v>
      </c>
      <c r="AF255" s="63" t="s">
        <v>61</v>
      </c>
      <c r="AG255" s="63" t="s">
        <v>61</v>
      </c>
      <c r="AH255" s="63" t="s">
        <v>61</v>
      </c>
      <c r="AI255" s="65" t="s">
        <v>61</v>
      </c>
      <c r="AJ255" s="66" t="s">
        <v>61</v>
      </c>
      <c r="AK255" s="60"/>
    </row>
    <row r="256" ht="24.0" customHeight="1">
      <c r="A256" s="35"/>
      <c r="B256" s="36">
        <v>1.0</v>
      </c>
      <c r="C256" s="37" t="str">
        <f>IFERROR(__xludf.DUMMYFUNCTION("""COMPUTED_VALUE"""),"Tyler Reeder (0.1) - '26 RHP FL")</f>
        <v>Tyler Reeder (0.1) - '26 RHP FL</v>
      </c>
      <c r="D256" s="38" t="s">
        <v>1459</v>
      </c>
      <c r="E256" s="39" t="s">
        <v>63</v>
      </c>
      <c r="F256" s="121"/>
      <c r="G256" s="122"/>
      <c r="H256" s="42" t="s">
        <v>104</v>
      </c>
      <c r="I256" s="43" t="s">
        <v>1460</v>
      </c>
      <c r="J256" s="43">
        <v>2026.0</v>
      </c>
      <c r="K256" s="123">
        <v>0.1</v>
      </c>
      <c r="L256" s="43" t="s">
        <v>41</v>
      </c>
      <c r="M256" s="43" t="s">
        <v>63</v>
      </c>
      <c r="N256" s="43"/>
      <c r="O256" s="80"/>
      <c r="P256" s="80"/>
      <c r="Q256" s="43" t="s">
        <v>66</v>
      </c>
      <c r="R256" s="43" t="s">
        <v>1461</v>
      </c>
      <c r="S256" s="44" t="s">
        <v>224</v>
      </c>
      <c r="T256" s="39" t="s">
        <v>1462</v>
      </c>
      <c r="U256" s="81"/>
      <c r="V256" s="81"/>
      <c r="W256" s="39" t="s">
        <v>1463</v>
      </c>
      <c r="X256" s="81"/>
      <c r="Y256" s="81"/>
      <c r="Z256" s="82"/>
      <c r="AA256" s="47" t="s">
        <v>1464</v>
      </c>
      <c r="AB256" s="48" t="s">
        <v>1465</v>
      </c>
      <c r="AC256" s="68" t="s">
        <v>1466</v>
      </c>
      <c r="AD256" s="69" t="s">
        <v>1467</v>
      </c>
      <c r="AE256" s="69" t="s">
        <v>1468</v>
      </c>
      <c r="AF256" s="68" t="s">
        <v>60</v>
      </c>
      <c r="AG256" s="68" t="s">
        <v>81</v>
      </c>
      <c r="AH256" s="68" t="s">
        <v>81</v>
      </c>
      <c r="AI256" s="70" t="s">
        <v>81</v>
      </c>
      <c r="AJ256" s="49" t="s">
        <v>61</v>
      </c>
      <c r="AK256" s="46"/>
    </row>
    <row r="257" ht="24.0" customHeight="1">
      <c r="A257" s="71"/>
      <c r="B257" s="36">
        <v>1.0</v>
      </c>
      <c r="C257" s="37" t="str">
        <f>IFERROR(__xludf.DUMMYFUNCTION("""COMPUTED_VALUE"""),"Santiago Arismendi (0.1) - '26 RHP FL")</f>
        <v>Santiago Arismendi (0.1) - '26 RHP FL</v>
      </c>
      <c r="D257" s="38" t="s">
        <v>1469</v>
      </c>
      <c r="E257" s="51" t="s">
        <v>63</v>
      </c>
      <c r="F257" s="115"/>
      <c r="G257" s="116" t="s">
        <v>1470</v>
      </c>
      <c r="H257" s="54" t="s">
        <v>1471</v>
      </c>
      <c r="I257" s="55" t="s">
        <v>1472</v>
      </c>
      <c r="J257" s="55">
        <v>2026.0</v>
      </c>
      <c r="K257" s="55">
        <v>0.1</v>
      </c>
      <c r="L257" s="57"/>
      <c r="M257" s="55" t="s">
        <v>63</v>
      </c>
      <c r="N257" s="57"/>
      <c r="O257" s="57"/>
      <c r="P257" s="57"/>
      <c r="Q257" s="55" t="s">
        <v>66</v>
      </c>
      <c r="R257" s="55" t="s">
        <v>1473</v>
      </c>
      <c r="S257" s="58"/>
      <c r="T257" s="74"/>
      <c r="U257" s="74"/>
      <c r="V257" s="74"/>
      <c r="W257" s="74"/>
      <c r="X257" s="74"/>
      <c r="Y257" s="74"/>
      <c r="Z257" s="60" t="s">
        <v>1474</v>
      </c>
      <c r="AA257" s="73" t="s">
        <v>1475</v>
      </c>
      <c r="AB257" s="62" t="s">
        <v>1476</v>
      </c>
      <c r="AC257" s="63" t="s">
        <v>1477</v>
      </c>
      <c r="AD257" s="64" t="s">
        <v>1478</v>
      </c>
      <c r="AE257" s="64" t="s">
        <v>400</v>
      </c>
      <c r="AF257" s="63" t="s">
        <v>400</v>
      </c>
      <c r="AG257" s="63" t="s">
        <v>400</v>
      </c>
      <c r="AH257" s="63" t="s">
        <v>400</v>
      </c>
      <c r="AI257" s="65" t="s">
        <v>81</v>
      </c>
      <c r="AJ257" s="66" t="s">
        <v>61</v>
      </c>
      <c r="AK257" s="60"/>
    </row>
    <row r="258" ht="24.0" customHeight="1">
      <c r="A258" s="35"/>
      <c r="B258" s="36">
        <v>1.0</v>
      </c>
      <c r="C258" s="37" t="str">
        <f>IFERROR(__xludf.DUMMYFUNCTION("""COMPUTED_VALUE"""),"Alex  Pavia (2) - '26 SS TX")</f>
        <v>Alex  Pavia (2) - '26 SS TX</v>
      </c>
      <c r="D258" s="38" t="s">
        <v>1479</v>
      </c>
      <c r="E258" s="39" t="s">
        <v>48</v>
      </c>
      <c r="F258" s="124">
        <v>45849.0</v>
      </c>
      <c r="G258" s="113" t="s">
        <v>1470</v>
      </c>
      <c r="H258" s="42" t="s">
        <v>1480</v>
      </c>
      <c r="I258" s="43" t="s">
        <v>1481</v>
      </c>
      <c r="J258" s="43">
        <v>2026.0</v>
      </c>
      <c r="K258" s="43">
        <v>2.0</v>
      </c>
      <c r="L258" s="43"/>
      <c r="M258" s="43" t="s">
        <v>1398</v>
      </c>
      <c r="N258" s="43"/>
      <c r="O258" s="43"/>
      <c r="P258" s="43"/>
      <c r="Q258" s="43" t="s">
        <v>180</v>
      </c>
      <c r="R258" s="43" t="s">
        <v>841</v>
      </c>
      <c r="S258" s="44"/>
      <c r="T258" s="39" t="s">
        <v>1482</v>
      </c>
      <c r="U258" s="39"/>
      <c r="V258" s="39"/>
      <c r="W258" s="39"/>
      <c r="X258" s="39"/>
      <c r="Y258" s="39"/>
      <c r="Z258" s="46"/>
      <c r="AA258" s="47" t="s">
        <v>1483</v>
      </c>
      <c r="AB258" s="48" t="s">
        <v>61</v>
      </c>
      <c r="AC258" s="68" t="s">
        <v>61</v>
      </c>
      <c r="AD258" s="69" t="s">
        <v>61</v>
      </c>
      <c r="AE258" s="69" t="s">
        <v>61</v>
      </c>
      <c r="AF258" s="68" t="s">
        <v>61</v>
      </c>
      <c r="AG258" s="68" t="s">
        <v>61</v>
      </c>
      <c r="AH258" s="68" t="s">
        <v>61</v>
      </c>
      <c r="AI258" s="70" t="s">
        <v>61</v>
      </c>
      <c r="AJ258" s="49" t="s">
        <v>61</v>
      </c>
      <c r="AK258" s="46"/>
    </row>
    <row r="259" ht="24.0" customHeight="1">
      <c r="A259" s="125"/>
      <c r="B259" s="36">
        <v>1.0</v>
      </c>
      <c r="C259" s="37" t="str">
        <f>IFERROR(__xludf.DUMMYFUNCTION("""COMPUTED_VALUE"""),"Blake Jay (2) - '26 SS ")</f>
        <v>Blake Jay (2) - '26 SS </v>
      </c>
      <c r="D259" s="38" t="s">
        <v>1484</v>
      </c>
      <c r="E259" s="51" t="s">
        <v>48</v>
      </c>
      <c r="F259" s="119">
        <v>45855.0</v>
      </c>
      <c r="G259" s="116" t="s">
        <v>1395</v>
      </c>
      <c r="H259" s="54" t="s">
        <v>496</v>
      </c>
      <c r="I259" s="55" t="s">
        <v>1485</v>
      </c>
      <c r="J259" s="55">
        <v>2026.0</v>
      </c>
      <c r="K259" s="55">
        <v>2.0</v>
      </c>
      <c r="L259" s="126"/>
      <c r="M259" s="55" t="s">
        <v>1398</v>
      </c>
      <c r="N259" s="55"/>
      <c r="O259" s="55"/>
      <c r="P259" s="55"/>
      <c r="Q259" s="55"/>
      <c r="R259" s="55"/>
      <c r="S259" s="58" t="s">
        <v>1486</v>
      </c>
      <c r="T259" s="51"/>
      <c r="U259" s="51"/>
      <c r="V259" s="51"/>
      <c r="W259" s="51"/>
      <c r="X259" s="51"/>
      <c r="Y259" s="51"/>
      <c r="Z259" s="60"/>
      <c r="AA259" s="73"/>
      <c r="AB259" s="62" t="s">
        <v>1487</v>
      </c>
      <c r="AC259" s="63" t="s">
        <v>1488</v>
      </c>
      <c r="AD259" s="64">
        <v>3.6</v>
      </c>
      <c r="AE259" s="64" t="s">
        <v>1489</v>
      </c>
      <c r="AF259" s="63" t="s">
        <v>1490</v>
      </c>
      <c r="AG259" s="63" t="s">
        <v>81</v>
      </c>
      <c r="AH259" s="63" t="s">
        <v>81</v>
      </c>
      <c r="AI259" s="65" t="s">
        <v>81</v>
      </c>
      <c r="AJ259" s="66" t="s">
        <v>61</v>
      </c>
      <c r="AK259" s="60"/>
    </row>
    <row r="260" ht="24.0" customHeight="1">
      <c r="A260" s="35"/>
      <c r="B260" s="36">
        <v>1.0</v>
      </c>
      <c r="C260" s="37" t="str">
        <f>IFERROR(__xludf.DUMMYFUNCTION("""COMPUTED_VALUE"""),"Connor Corlett (2) - '26 RHP CA")</f>
        <v>Connor Corlett (2) - '26 RHP CA</v>
      </c>
      <c r="D260" s="38" t="s">
        <v>1491</v>
      </c>
      <c r="E260" s="39" t="s">
        <v>63</v>
      </c>
      <c r="F260" s="118">
        <v>45930.0</v>
      </c>
      <c r="G260" s="113" t="s">
        <v>1430</v>
      </c>
      <c r="H260" s="42" t="s">
        <v>682</v>
      </c>
      <c r="I260" s="43" t="s">
        <v>1492</v>
      </c>
      <c r="J260" s="43">
        <v>2026.0</v>
      </c>
      <c r="K260" s="43">
        <v>2.0</v>
      </c>
      <c r="L260" s="80"/>
      <c r="M260" s="43" t="s">
        <v>63</v>
      </c>
      <c r="N260" s="43"/>
      <c r="O260" s="43"/>
      <c r="P260" s="80"/>
      <c r="Q260" s="43" t="s">
        <v>52</v>
      </c>
      <c r="R260" s="80"/>
      <c r="S260" s="44" t="s">
        <v>1493</v>
      </c>
      <c r="T260" s="81"/>
      <c r="U260" s="81"/>
      <c r="V260" s="81"/>
      <c r="W260" s="81"/>
      <c r="X260" s="81"/>
      <c r="Y260" s="81"/>
      <c r="Z260" s="82"/>
      <c r="AA260" s="47" t="s">
        <v>1494</v>
      </c>
      <c r="AB260" s="48" t="s">
        <v>1495</v>
      </c>
      <c r="AC260" s="68" t="s">
        <v>1496</v>
      </c>
      <c r="AD260" s="69" t="s">
        <v>1497</v>
      </c>
      <c r="AE260" s="69" t="s">
        <v>1498</v>
      </c>
      <c r="AF260" s="68" t="s">
        <v>1499</v>
      </c>
      <c r="AG260" s="68" t="s">
        <v>81</v>
      </c>
      <c r="AH260" s="68" t="s">
        <v>81</v>
      </c>
      <c r="AI260" s="70" t="s">
        <v>81</v>
      </c>
      <c r="AJ260" s="114" t="s">
        <v>61</v>
      </c>
      <c r="AK260" s="82"/>
    </row>
    <row r="261" ht="24.0" customHeight="1">
      <c r="A261" s="35"/>
      <c r="B261" s="36">
        <v>1.0</v>
      </c>
      <c r="C261" s="37" t="str">
        <f>IFERROR(__xludf.DUMMYFUNCTION("""COMPUTED_VALUE"""),"Josh Weaver (2) - '26 MINF CO")</f>
        <v>Josh Weaver (2) - '26 MINF CO</v>
      </c>
      <c r="D261" s="38" t="s">
        <v>1500</v>
      </c>
      <c r="E261" s="51" t="s">
        <v>48</v>
      </c>
      <c r="F261" s="115"/>
      <c r="G261" s="116"/>
      <c r="H261" s="54" t="s">
        <v>979</v>
      </c>
      <c r="I261" s="55" t="s">
        <v>1501</v>
      </c>
      <c r="J261" s="55">
        <v>2026.0</v>
      </c>
      <c r="K261" s="55">
        <v>2.0</v>
      </c>
      <c r="L261" s="57"/>
      <c r="M261" s="55" t="s">
        <v>51</v>
      </c>
      <c r="N261" s="57"/>
      <c r="O261" s="57"/>
      <c r="P261" s="57"/>
      <c r="Q261" s="55" t="s">
        <v>174</v>
      </c>
      <c r="R261" s="55" t="s">
        <v>1502</v>
      </c>
      <c r="S261" s="58" t="s">
        <v>1503</v>
      </c>
      <c r="T261" s="51">
        <v>3.96</v>
      </c>
      <c r="U261" s="74"/>
      <c r="V261" s="74"/>
      <c r="W261" s="74"/>
      <c r="X261" s="74"/>
      <c r="Y261" s="74"/>
      <c r="Z261" s="76"/>
      <c r="AA261" s="73" t="s">
        <v>1504</v>
      </c>
      <c r="AB261" s="62" t="s">
        <v>61</v>
      </c>
      <c r="AC261" s="63" t="s">
        <v>61</v>
      </c>
      <c r="AD261" s="64" t="s">
        <v>61</v>
      </c>
      <c r="AE261" s="64" t="s">
        <v>61</v>
      </c>
      <c r="AF261" s="63" t="s">
        <v>61</v>
      </c>
      <c r="AG261" s="63" t="s">
        <v>61</v>
      </c>
      <c r="AH261" s="63" t="s">
        <v>61</v>
      </c>
      <c r="AI261" s="65" t="s">
        <v>61</v>
      </c>
      <c r="AJ261" s="127" t="s">
        <v>61</v>
      </c>
      <c r="AK261" s="128"/>
    </row>
    <row r="262" ht="24.0" customHeight="1">
      <c r="A262" s="35"/>
      <c r="B262" s="36">
        <v>1.0</v>
      </c>
      <c r="C262" s="37" t="str">
        <f>IFERROR(__xludf.DUMMYFUNCTION("""COMPUTED_VALUE"""),"Kayden Mansell (2) - '26 RHP TX")</f>
        <v>Kayden Mansell (2) - '26 RHP TX</v>
      </c>
      <c r="D262" s="38" t="s">
        <v>1505</v>
      </c>
      <c r="E262" s="39" t="s">
        <v>63</v>
      </c>
      <c r="F262" s="112"/>
      <c r="G262" s="113"/>
      <c r="H262" s="42" t="s">
        <v>1506</v>
      </c>
      <c r="I262" s="43" t="s">
        <v>1507</v>
      </c>
      <c r="J262" s="43">
        <v>2026.0</v>
      </c>
      <c r="K262" s="43">
        <v>2.0</v>
      </c>
      <c r="L262" s="43"/>
      <c r="M262" s="43" t="s">
        <v>63</v>
      </c>
      <c r="N262" s="43"/>
      <c r="O262" s="43"/>
      <c r="P262" s="43"/>
      <c r="Q262" s="43" t="s">
        <v>180</v>
      </c>
      <c r="R262" s="43" t="s">
        <v>1508</v>
      </c>
      <c r="S262" s="44" t="s">
        <v>412</v>
      </c>
      <c r="T262" s="39">
        <v>3.86</v>
      </c>
      <c r="U262" s="39"/>
      <c r="V262" s="39"/>
      <c r="W262" s="39"/>
      <c r="X262" s="39"/>
      <c r="Y262" s="39"/>
      <c r="Z262" s="46"/>
      <c r="AA262" s="47" t="s">
        <v>1509</v>
      </c>
      <c r="AB262" s="48" t="s">
        <v>1510</v>
      </c>
      <c r="AC262" s="68" t="s">
        <v>1511</v>
      </c>
      <c r="AD262" s="69">
        <v>3.86</v>
      </c>
      <c r="AE262" s="69" t="s">
        <v>1512</v>
      </c>
      <c r="AF262" s="68" t="s">
        <v>417</v>
      </c>
      <c r="AG262" s="68" t="s">
        <v>857</v>
      </c>
      <c r="AH262" s="68" t="s">
        <v>857</v>
      </c>
      <c r="AI262" s="70" t="s">
        <v>857</v>
      </c>
      <c r="AJ262" s="49" t="s">
        <v>61</v>
      </c>
      <c r="AK262" s="46"/>
    </row>
    <row r="263" ht="24.0" customHeight="1">
      <c r="A263" s="35"/>
      <c r="B263" s="36">
        <v>1.0</v>
      </c>
      <c r="C263" s="37" t="str">
        <f>IFERROR(__xludf.DUMMYFUNCTION("""COMPUTED_VALUE"""),"Kolt Larden (2) - '26 C ")</f>
        <v>Kolt Larden (2) - '26 C </v>
      </c>
      <c r="D263" s="38" t="s">
        <v>1513</v>
      </c>
      <c r="E263" s="51" t="s">
        <v>109</v>
      </c>
      <c r="F263" s="119">
        <v>45855.0</v>
      </c>
      <c r="G263" s="116" t="s">
        <v>1395</v>
      </c>
      <c r="H263" s="54" t="s">
        <v>1514</v>
      </c>
      <c r="I263" s="55" t="s">
        <v>1515</v>
      </c>
      <c r="J263" s="55">
        <v>2026.0</v>
      </c>
      <c r="K263" s="55">
        <v>2.0</v>
      </c>
      <c r="L263" s="55"/>
      <c r="M263" s="55" t="s">
        <v>109</v>
      </c>
      <c r="N263" s="55"/>
      <c r="O263" s="55"/>
      <c r="P263" s="55"/>
      <c r="Q263" s="55"/>
      <c r="R263" s="55"/>
      <c r="S263" s="58" t="s">
        <v>784</v>
      </c>
      <c r="T263" s="51"/>
      <c r="U263" s="51"/>
      <c r="V263" s="51"/>
      <c r="W263" s="51"/>
      <c r="X263" s="51"/>
      <c r="Y263" s="51"/>
      <c r="Z263" s="60"/>
      <c r="AA263" s="73"/>
      <c r="AB263" s="62" t="s">
        <v>61</v>
      </c>
      <c r="AC263" s="63" t="s">
        <v>61</v>
      </c>
      <c r="AD263" s="64" t="s">
        <v>61</v>
      </c>
      <c r="AE263" s="64" t="s">
        <v>61</v>
      </c>
      <c r="AF263" s="63" t="s">
        <v>61</v>
      </c>
      <c r="AG263" s="63" t="s">
        <v>61</v>
      </c>
      <c r="AH263" s="63" t="s">
        <v>61</v>
      </c>
      <c r="AI263" s="65" t="s">
        <v>61</v>
      </c>
      <c r="AJ263" s="66" t="s">
        <v>61</v>
      </c>
      <c r="AK263" s="60"/>
    </row>
    <row r="264" ht="24.0" customHeight="1">
      <c r="A264" s="35"/>
      <c r="B264" s="36">
        <v>1.0</v>
      </c>
      <c r="C264" s="37" t="str">
        <f>IFERROR(__xludf.DUMMYFUNCTION("""COMPUTED_VALUE"""),"Nate Pearson (2) - '26 LHP AZ")</f>
        <v>Nate Pearson (2) - '26 LHP AZ</v>
      </c>
      <c r="D264" s="38" t="s">
        <v>1516</v>
      </c>
      <c r="E264" s="39" t="s">
        <v>122</v>
      </c>
      <c r="F264" s="118">
        <v>45930.0</v>
      </c>
      <c r="G264" s="113" t="s">
        <v>1430</v>
      </c>
      <c r="H264" s="42" t="s">
        <v>1109</v>
      </c>
      <c r="I264" s="43" t="s">
        <v>452</v>
      </c>
      <c r="J264" s="43">
        <v>2026.0</v>
      </c>
      <c r="K264" s="43">
        <v>2.0</v>
      </c>
      <c r="L264" s="80"/>
      <c r="M264" s="43" t="s">
        <v>122</v>
      </c>
      <c r="N264" s="43"/>
      <c r="O264" s="80"/>
      <c r="P264" s="80"/>
      <c r="Q264" s="43" t="s">
        <v>319</v>
      </c>
      <c r="R264" s="80"/>
      <c r="S264" s="117"/>
      <c r="T264" s="81"/>
      <c r="U264" s="81"/>
      <c r="V264" s="81"/>
      <c r="W264" s="81"/>
      <c r="X264" s="81"/>
      <c r="Y264" s="81"/>
      <c r="Z264" s="82"/>
      <c r="AA264" s="99"/>
      <c r="AB264" s="48" t="s">
        <v>61</v>
      </c>
      <c r="AC264" s="68" t="s">
        <v>61</v>
      </c>
      <c r="AD264" s="69" t="s">
        <v>61</v>
      </c>
      <c r="AE264" s="69" t="s">
        <v>61</v>
      </c>
      <c r="AF264" s="68" t="s">
        <v>61</v>
      </c>
      <c r="AG264" s="68" t="s">
        <v>61</v>
      </c>
      <c r="AH264" s="68" t="s">
        <v>61</v>
      </c>
      <c r="AI264" s="70" t="s">
        <v>61</v>
      </c>
      <c r="AJ264" s="49" t="s">
        <v>61</v>
      </c>
      <c r="AK264" s="46"/>
    </row>
    <row r="265" ht="24.0" customHeight="1">
      <c r="A265" s="71"/>
      <c r="B265" s="36">
        <v>1.0</v>
      </c>
      <c r="C265" s="37" t="str">
        <f>IFERROR(__xludf.DUMMYFUNCTION("""COMPUTED_VALUE"""),"Nathan Horstmann (2) - '26 3B ")</f>
        <v>Nathan Horstmann (2) - '26 3B </v>
      </c>
      <c r="D265" s="38" t="s">
        <v>1517</v>
      </c>
      <c r="E265" s="51" t="s">
        <v>48</v>
      </c>
      <c r="F265" s="119">
        <v>45854.0</v>
      </c>
      <c r="G265" s="116" t="s">
        <v>1395</v>
      </c>
      <c r="H265" s="54" t="s">
        <v>164</v>
      </c>
      <c r="I265" s="55" t="s">
        <v>1518</v>
      </c>
      <c r="J265" s="55">
        <v>2026.0</v>
      </c>
      <c r="K265" s="55">
        <v>2.0</v>
      </c>
      <c r="L265" s="55"/>
      <c r="M265" s="55" t="s">
        <v>1519</v>
      </c>
      <c r="N265" s="55"/>
      <c r="O265" s="55"/>
      <c r="P265" s="55"/>
      <c r="Q265" s="55"/>
      <c r="R265" s="55"/>
      <c r="S265" s="58" t="s">
        <v>155</v>
      </c>
      <c r="T265" s="51"/>
      <c r="U265" s="51"/>
      <c r="V265" s="51"/>
      <c r="W265" s="51"/>
      <c r="X265" s="51"/>
      <c r="Y265" s="51"/>
      <c r="Z265" s="60"/>
      <c r="AA265" s="73"/>
      <c r="AB265" s="62" t="s">
        <v>61</v>
      </c>
      <c r="AC265" s="63" t="s">
        <v>61</v>
      </c>
      <c r="AD265" s="64" t="s">
        <v>61</v>
      </c>
      <c r="AE265" s="64" t="s">
        <v>61</v>
      </c>
      <c r="AF265" s="63" t="s">
        <v>61</v>
      </c>
      <c r="AG265" s="63" t="s">
        <v>61</v>
      </c>
      <c r="AH265" s="63" t="s">
        <v>61</v>
      </c>
      <c r="AI265" s="65" t="s">
        <v>61</v>
      </c>
      <c r="AJ265" s="66" t="s">
        <v>61</v>
      </c>
      <c r="AK265" s="60"/>
    </row>
    <row r="266" ht="24.0" customHeight="1">
      <c r="A266" s="71"/>
      <c r="B266" s="36">
        <v>1.0</v>
      </c>
      <c r="C266" s="37" t="str">
        <f>IFERROR(__xludf.DUMMYFUNCTION("""COMPUTED_VALUE"""),"Rocco Pugliese (2) - '26 CINF CA")</f>
        <v>Rocco Pugliese (2) - '26 CINF CA</v>
      </c>
      <c r="D266" s="38" t="s">
        <v>1520</v>
      </c>
      <c r="E266" s="39" t="s">
        <v>48</v>
      </c>
      <c r="F266" s="112"/>
      <c r="G266" s="113"/>
      <c r="H266" s="42" t="s">
        <v>1521</v>
      </c>
      <c r="I266" s="43" t="s">
        <v>1522</v>
      </c>
      <c r="J266" s="43">
        <v>2026.0</v>
      </c>
      <c r="K266" s="43">
        <v>2.0</v>
      </c>
      <c r="L266" s="80"/>
      <c r="M266" s="43" t="s">
        <v>72</v>
      </c>
      <c r="N266" s="80"/>
      <c r="O266" s="80"/>
      <c r="P266" s="80"/>
      <c r="Q266" s="43" t="s">
        <v>52</v>
      </c>
      <c r="R266" s="43" t="s">
        <v>1523</v>
      </c>
      <c r="S266" s="44"/>
      <c r="T266" s="94">
        <v>4.2</v>
      </c>
      <c r="U266" s="109"/>
      <c r="V266" s="109"/>
      <c r="W266" s="109"/>
      <c r="X266" s="94" t="s">
        <v>1524</v>
      </c>
      <c r="Y266" s="109"/>
      <c r="Z266" s="82"/>
      <c r="AA266" s="47" t="s">
        <v>1525</v>
      </c>
      <c r="AB266" s="48" t="s">
        <v>61</v>
      </c>
      <c r="AC266" s="68" t="s">
        <v>61</v>
      </c>
      <c r="AD266" s="69" t="s">
        <v>61</v>
      </c>
      <c r="AE266" s="69" t="s">
        <v>61</v>
      </c>
      <c r="AF266" s="68" t="s">
        <v>61</v>
      </c>
      <c r="AG266" s="68" t="s">
        <v>61</v>
      </c>
      <c r="AH266" s="68" t="s">
        <v>61</v>
      </c>
      <c r="AI266" s="70" t="s">
        <v>61</v>
      </c>
      <c r="AJ266" s="49" t="s">
        <v>61</v>
      </c>
      <c r="AK266" s="46"/>
    </row>
    <row r="267" ht="24.0" customHeight="1">
      <c r="A267" s="35"/>
      <c r="B267" s="36">
        <v>1.0</v>
      </c>
      <c r="C267" s="37" t="str">
        <f>IFERROR(__xludf.DUMMYFUNCTION("""COMPUTED_VALUE"""),"Roman Zabala (2) - '26 MINF FL")</f>
        <v>Roman Zabala (2) - '26 MINF FL</v>
      </c>
      <c r="D267" s="38" t="s">
        <v>1526</v>
      </c>
      <c r="E267" s="51" t="s">
        <v>48</v>
      </c>
      <c r="F267" s="115"/>
      <c r="G267" s="116" t="s">
        <v>1430</v>
      </c>
      <c r="H267" s="54" t="s">
        <v>1527</v>
      </c>
      <c r="I267" s="55" t="s">
        <v>1528</v>
      </c>
      <c r="J267" s="55">
        <v>2026.0</v>
      </c>
      <c r="K267" s="55">
        <v>2.0</v>
      </c>
      <c r="L267" s="57"/>
      <c r="M267" s="55" t="s">
        <v>51</v>
      </c>
      <c r="N267" s="57"/>
      <c r="O267" s="57"/>
      <c r="P267" s="57"/>
      <c r="Q267" s="55" t="s">
        <v>66</v>
      </c>
      <c r="R267" s="55" t="s">
        <v>1529</v>
      </c>
      <c r="S267" s="58" t="s">
        <v>1530</v>
      </c>
      <c r="T267" s="51">
        <v>3.9</v>
      </c>
      <c r="U267" s="74"/>
      <c r="V267" s="74"/>
      <c r="W267" s="74"/>
      <c r="X267" s="74"/>
      <c r="Y267" s="74"/>
      <c r="Z267" s="76"/>
      <c r="AA267" s="73" t="s">
        <v>1531</v>
      </c>
      <c r="AB267" s="62" t="s">
        <v>61</v>
      </c>
      <c r="AC267" s="63" t="s">
        <v>61</v>
      </c>
      <c r="AD267" s="64" t="s">
        <v>61</v>
      </c>
      <c r="AE267" s="64" t="s">
        <v>61</v>
      </c>
      <c r="AF267" s="63" t="s">
        <v>61</v>
      </c>
      <c r="AG267" s="63" t="s">
        <v>61</v>
      </c>
      <c r="AH267" s="63" t="s">
        <v>61</v>
      </c>
      <c r="AI267" s="65" t="s">
        <v>61</v>
      </c>
      <c r="AJ267" s="66" t="s">
        <v>61</v>
      </c>
      <c r="AK267" s="60"/>
    </row>
    <row r="268" ht="24.0" customHeight="1">
      <c r="A268" s="129"/>
      <c r="B268" s="36">
        <v>1.0</v>
      </c>
      <c r="C268" s="37" t="str">
        <f>IFERROR(__xludf.DUMMYFUNCTION("""COMPUTED_VALUE"""),"Tristan Yurman (2) - '26 C ")</f>
        <v>Tristan Yurman (2) - '26 C </v>
      </c>
      <c r="D268" s="38" t="s">
        <v>1532</v>
      </c>
      <c r="E268" s="39" t="s">
        <v>109</v>
      </c>
      <c r="F268" s="118">
        <v>45855.0</v>
      </c>
      <c r="G268" s="113" t="s">
        <v>1395</v>
      </c>
      <c r="H268" s="42" t="s">
        <v>1533</v>
      </c>
      <c r="I268" s="43" t="s">
        <v>1534</v>
      </c>
      <c r="J268" s="43">
        <v>2026.0</v>
      </c>
      <c r="K268" s="43">
        <v>2.0</v>
      </c>
      <c r="L268" s="130"/>
      <c r="M268" s="43" t="s">
        <v>109</v>
      </c>
      <c r="N268" s="43"/>
      <c r="O268" s="43"/>
      <c r="P268" s="43"/>
      <c r="Q268" s="43"/>
      <c r="R268" s="43"/>
      <c r="S268" s="44" t="s">
        <v>263</v>
      </c>
      <c r="T268" s="39"/>
      <c r="U268" s="39"/>
      <c r="V268" s="39"/>
      <c r="W268" s="39"/>
      <c r="X268" s="39"/>
      <c r="Y268" s="39"/>
      <c r="Z268" s="46"/>
      <c r="AA268" s="47"/>
      <c r="AB268" s="48" t="s">
        <v>61</v>
      </c>
      <c r="AC268" s="68" t="s">
        <v>61</v>
      </c>
      <c r="AD268" s="69" t="s">
        <v>61</v>
      </c>
      <c r="AE268" s="69" t="s">
        <v>61</v>
      </c>
      <c r="AF268" s="68" t="s">
        <v>61</v>
      </c>
      <c r="AG268" s="68" t="s">
        <v>61</v>
      </c>
      <c r="AH268" s="68" t="s">
        <v>61</v>
      </c>
      <c r="AI268" s="70" t="s">
        <v>61</v>
      </c>
      <c r="AJ268" s="49" t="s">
        <v>61</v>
      </c>
      <c r="AK268" s="46"/>
    </row>
    <row r="269" ht="24.0" customHeight="1">
      <c r="A269" s="35"/>
      <c r="B269" s="36">
        <v>1.0</v>
      </c>
      <c r="C269" s="37" t="str">
        <f>IFERROR(__xludf.DUMMYFUNCTION("""COMPUTED_VALUE"""),"Ty Gray (2) - '26 MINF FL")</f>
        <v>Ty Gray (2) - '26 MINF FL</v>
      </c>
      <c r="D269" s="38" t="s">
        <v>1535</v>
      </c>
      <c r="E269" s="51" t="s">
        <v>48</v>
      </c>
      <c r="F269" s="115"/>
      <c r="G269" s="116" t="s">
        <v>1430</v>
      </c>
      <c r="H269" s="54" t="s">
        <v>1536</v>
      </c>
      <c r="I269" s="55" t="s">
        <v>1537</v>
      </c>
      <c r="J269" s="55">
        <v>2026.0</v>
      </c>
      <c r="K269" s="55">
        <v>2.0</v>
      </c>
      <c r="L269" s="131"/>
      <c r="M269" s="55" t="s">
        <v>51</v>
      </c>
      <c r="N269" s="57"/>
      <c r="O269" s="57"/>
      <c r="P269" s="57"/>
      <c r="Q269" s="55" t="s">
        <v>66</v>
      </c>
      <c r="R269" s="55" t="s">
        <v>1538</v>
      </c>
      <c r="S269" s="58" t="s">
        <v>1539</v>
      </c>
      <c r="T269" s="51" t="s">
        <v>1540</v>
      </c>
      <c r="U269" s="74"/>
      <c r="V269" s="74"/>
      <c r="W269" s="74"/>
      <c r="X269" s="74"/>
      <c r="Y269" s="74"/>
      <c r="Z269" s="60" t="s">
        <v>1541</v>
      </c>
      <c r="AA269" s="73" t="s">
        <v>1542</v>
      </c>
      <c r="AB269" s="62" t="s">
        <v>1543</v>
      </c>
      <c r="AC269" s="63" t="s">
        <v>1544</v>
      </c>
      <c r="AD269" s="64" t="s">
        <v>1545</v>
      </c>
      <c r="AE269" s="64" t="s">
        <v>1546</v>
      </c>
      <c r="AF269" s="63" t="s">
        <v>1547</v>
      </c>
      <c r="AG269" s="63" t="s">
        <v>417</v>
      </c>
      <c r="AH269" s="63" t="s">
        <v>417</v>
      </c>
      <c r="AI269" s="65" t="s">
        <v>417</v>
      </c>
      <c r="AJ269" s="66" t="s">
        <v>61</v>
      </c>
      <c r="AK269" s="60"/>
    </row>
    <row r="270" ht="24.0" customHeight="1">
      <c r="A270" s="35"/>
      <c r="B270" s="36">
        <v>1.0</v>
      </c>
      <c r="C270" s="37" t="str">
        <f>IFERROR(__xludf.DUMMYFUNCTION("""COMPUTED_VALUE"""),"Tyler Ramos (2) - '26 C TX")</f>
        <v>Tyler Ramos (2) - '26 C TX</v>
      </c>
      <c r="D270" s="38" t="s">
        <v>1548</v>
      </c>
      <c r="E270" s="39" t="s">
        <v>109</v>
      </c>
      <c r="F270" s="112"/>
      <c r="G270" s="113"/>
      <c r="H270" s="42" t="s">
        <v>104</v>
      </c>
      <c r="I270" s="43" t="s">
        <v>1549</v>
      </c>
      <c r="J270" s="43">
        <v>2026.0</v>
      </c>
      <c r="K270" s="43">
        <v>2.0</v>
      </c>
      <c r="L270" s="130"/>
      <c r="M270" s="43" t="s">
        <v>109</v>
      </c>
      <c r="N270" s="43"/>
      <c r="O270" s="43" t="s">
        <v>1550</v>
      </c>
      <c r="P270" s="80"/>
      <c r="Q270" s="43" t="s">
        <v>180</v>
      </c>
      <c r="R270" s="43" t="s">
        <v>1551</v>
      </c>
      <c r="S270" s="44" t="s">
        <v>1552</v>
      </c>
      <c r="T270" s="39">
        <v>97.0</v>
      </c>
      <c r="U270" s="81"/>
      <c r="V270" s="81"/>
      <c r="W270" s="81"/>
      <c r="X270" s="81"/>
      <c r="Y270" s="81"/>
      <c r="Z270" s="82"/>
      <c r="AA270" s="47" t="s">
        <v>1553</v>
      </c>
      <c r="AB270" s="48" t="s">
        <v>61</v>
      </c>
      <c r="AC270" s="68" t="s">
        <v>61</v>
      </c>
      <c r="AD270" s="69" t="s">
        <v>61</v>
      </c>
      <c r="AE270" s="69" t="s">
        <v>61</v>
      </c>
      <c r="AF270" s="68" t="s">
        <v>61</v>
      </c>
      <c r="AG270" s="68" t="s">
        <v>61</v>
      </c>
      <c r="AH270" s="68" t="s">
        <v>61</v>
      </c>
      <c r="AI270" s="70" t="s">
        <v>61</v>
      </c>
      <c r="AJ270" s="49" t="s">
        <v>61</v>
      </c>
      <c r="AK270" s="46"/>
    </row>
    <row r="271" ht="24.0" customHeight="1">
      <c r="A271" s="35"/>
      <c r="B271" s="36">
        <v>1.0</v>
      </c>
      <c r="C271" s="37" t="str">
        <f>IFERROR(__xludf.DUMMYFUNCTION("""COMPUTED_VALUE"""),"Tyler Starling (2) - '26 LHP CA")</f>
        <v>Tyler Starling (2) - '26 LHP CA</v>
      </c>
      <c r="D271" s="38" t="s">
        <v>1554</v>
      </c>
      <c r="E271" s="51" t="s">
        <v>122</v>
      </c>
      <c r="F271" s="119">
        <v>45869.0</v>
      </c>
      <c r="G271" s="116" t="s">
        <v>1395</v>
      </c>
      <c r="H271" s="54" t="s">
        <v>104</v>
      </c>
      <c r="I271" s="55" t="s">
        <v>1555</v>
      </c>
      <c r="J271" s="55">
        <v>2026.0</v>
      </c>
      <c r="K271" s="55">
        <v>2.0</v>
      </c>
      <c r="L271" s="57"/>
      <c r="M271" s="55" t="s">
        <v>122</v>
      </c>
      <c r="N271" s="55" t="s">
        <v>103</v>
      </c>
      <c r="O271" s="55" t="s">
        <v>1556</v>
      </c>
      <c r="P271" s="55" t="s">
        <v>1557</v>
      </c>
      <c r="Q271" s="55" t="s">
        <v>52</v>
      </c>
      <c r="R271" s="55" t="s">
        <v>1558</v>
      </c>
      <c r="S271" s="132"/>
      <c r="T271" s="51">
        <v>4.1</v>
      </c>
      <c r="U271" s="74"/>
      <c r="V271" s="51" t="s">
        <v>1559</v>
      </c>
      <c r="W271" s="74"/>
      <c r="X271" s="74"/>
      <c r="Y271" s="74"/>
      <c r="Z271" s="76"/>
      <c r="AA271" s="73" t="s">
        <v>1560</v>
      </c>
      <c r="AB271" s="62" t="s">
        <v>61</v>
      </c>
      <c r="AC271" s="63" t="s">
        <v>61</v>
      </c>
      <c r="AD271" s="64" t="s">
        <v>61</v>
      </c>
      <c r="AE271" s="64" t="s">
        <v>61</v>
      </c>
      <c r="AF271" s="63" t="s">
        <v>61</v>
      </c>
      <c r="AG271" s="63" t="s">
        <v>61</v>
      </c>
      <c r="AH271" s="63" t="s">
        <v>61</v>
      </c>
      <c r="AI271" s="65" t="s">
        <v>61</v>
      </c>
      <c r="AJ271" s="66" t="s">
        <v>61</v>
      </c>
      <c r="AK271" s="60"/>
    </row>
    <row r="272" ht="24.0" customHeight="1">
      <c r="A272" s="83"/>
      <c r="B272" s="36">
        <v>1.0</v>
      </c>
      <c r="C272" s="37" t="str">
        <f>IFERROR(__xludf.DUMMYFUNCTION("""COMPUTED_VALUE"""),"Vince Reiss (2) - '26 LHP GA")</f>
        <v>Vince Reiss (2) - '26 LHP GA</v>
      </c>
      <c r="D272" s="38" t="s">
        <v>1561</v>
      </c>
      <c r="E272" s="39" t="s">
        <v>122</v>
      </c>
      <c r="F272" s="118">
        <v>45925.0</v>
      </c>
      <c r="G272" s="113" t="s">
        <v>1395</v>
      </c>
      <c r="H272" s="42" t="s">
        <v>1562</v>
      </c>
      <c r="I272" s="43" t="s">
        <v>1563</v>
      </c>
      <c r="J272" s="43">
        <v>2026.0</v>
      </c>
      <c r="K272" s="43">
        <v>2.0</v>
      </c>
      <c r="L272" s="80"/>
      <c r="M272" s="43" t="s">
        <v>122</v>
      </c>
      <c r="N272" s="43"/>
      <c r="O272" s="80"/>
      <c r="P272" s="80"/>
      <c r="Q272" s="43" t="s">
        <v>43</v>
      </c>
      <c r="R272" s="80"/>
      <c r="S272" s="44" t="s">
        <v>1120</v>
      </c>
      <c r="T272" s="81"/>
      <c r="U272" s="81"/>
      <c r="V272" s="81"/>
      <c r="W272" s="39" t="s">
        <v>1564</v>
      </c>
      <c r="X272" s="81"/>
      <c r="Y272" s="81"/>
      <c r="Z272" s="82"/>
      <c r="AA272" s="99"/>
      <c r="AB272" s="48" t="s">
        <v>61</v>
      </c>
      <c r="AC272" s="68" t="s">
        <v>61</v>
      </c>
      <c r="AD272" s="69" t="s">
        <v>61</v>
      </c>
      <c r="AE272" s="69" t="s">
        <v>61</v>
      </c>
      <c r="AF272" s="68" t="s">
        <v>61</v>
      </c>
      <c r="AG272" s="68" t="s">
        <v>61</v>
      </c>
      <c r="AH272" s="68" t="s">
        <v>61</v>
      </c>
      <c r="AI272" s="70" t="s">
        <v>61</v>
      </c>
      <c r="AJ272" s="49" t="s">
        <v>61</v>
      </c>
      <c r="AK272" s="46"/>
    </row>
    <row r="273" ht="24.0" customHeight="1">
      <c r="A273" s="35"/>
      <c r="B273" s="36">
        <v>1.0</v>
      </c>
      <c r="C273" s="37" t="str">
        <f>IFERROR(__xludf.DUMMYFUNCTION("""COMPUTED_VALUE"""),"Benjamin Wagnon (2) - '26 RHP FL")</f>
        <v>Benjamin Wagnon (2) - '26 RHP FL</v>
      </c>
      <c r="D273" s="38" t="s">
        <v>1565</v>
      </c>
      <c r="E273" s="51" t="s">
        <v>63</v>
      </c>
      <c r="F273" s="119">
        <v>45945.0</v>
      </c>
      <c r="G273" s="133"/>
      <c r="H273" s="54" t="s">
        <v>1566</v>
      </c>
      <c r="I273" s="55" t="s">
        <v>1567</v>
      </c>
      <c r="J273" s="55">
        <v>2026.0</v>
      </c>
      <c r="K273" s="55">
        <v>2.0</v>
      </c>
      <c r="L273" s="57"/>
      <c r="M273" s="55" t="s">
        <v>63</v>
      </c>
      <c r="N273" s="55"/>
      <c r="O273" s="55" t="s">
        <v>1550</v>
      </c>
      <c r="P273" s="55" t="s">
        <v>1568</v>
      </c>
      <c r="Q273" s="55" t="s">
        <v>66</v>
      </c>
      <c r="R273" s="55" t="s">
        <v>1569</v>
      </c>
      <c r="S273" s="58" t="s">
        <v>1570</v>
      </c>
      <c r="T273" s="74"/>
      <c r="U273" s="74"/>
      <c r="V273" s="74"/>
      <c r="W273" s="51" t="s">
        <v>1571</v>
      </c>
      <c r="X273" s="74"/>
      <c r="Y273" s="74"/>
      <c r="Z273" s="76"/>
      <c r="AA273" s="134"/>
      <c r="AB273" s="62" t="s">
        <v>61</v>
      </c>
      <c r="AC273" s="63" t="s">
        <v>61</v>
      </c>
      <c r="AD273" s="64" t="s">
        <v>61</v>
      </c>
      <c r="AE273" s="64" t="s">
        <v>61</v>
      </c>
      <c r="AF273" s="63" t="s">
        <v>61</v>
      </c>
      <c r="AG273" s="63" t="s">
        <v>61</v>
      </c>
      <c r="AH273" s="63" t="s">
        <v>61</v>
      </c>
      <c r="AI273" s="65" t="s">
        <v>61</v>
      </c>
      <c r="AJ273" s="66" t="s">
        <v>61</v>
      </c>
      <c r="AK273" s="60"/>
    </row>
    <row r="274" ht="24.0" customHeight="1">
      <c r="A274" s="35"/>
      <c r="B274" s="36">
        <v>1.0</v>
      </c>
      <c r="C274" s="37" t="str">
        <f>IFERROR(__xludf.DUMMYFUNCTION("""COMPUTED_VALUE"""),"Xander Cypher (2) - '26 RHP WA")</f>
        <v>Xander Cypher (2) - '26 RHP WA</v>
      </c>
      <c r="D274" s="38" t="s">
        <v>1572</v>
      </c>
      <c r="E274" s="39" t="s">
        <v>63</v>
      </c>
      <c r="F274" s="118">
        <v>45945.0</v>
      </c>
      <c r="G274" s="122"/>
      <c r="H274" s="42" t="s">
        <v>1573</v>
      </c>
      <c r="I274" s="43" t="s">
        <v>1574</v>
      </c>
      <c r="J274" s="43">
        <v>2026.0</v>
      </c>
      <c r="K274" s="43">
        <v>2.0</v>
      </c>
      <c r="L274" s="80"/>
      <c r="M274" s="43" t="s">
        <v>63</v>
      </c>
      <c r="N274" s="43"/>
      <c r="O274" s="80"/>
      <c r="P274" s="80"/>
      <c r="Q274" s="43" t="s">
        <v>1575</v>
      </c>
      <c r="R274" s="80"/>
      <c r="S274" s="44"/>
      <c r="T274" s="81"/>
      <c r="U274" s="81"/>
      <c r="V274" s="81"/>
      <c r="W274" s="39" t="s">
        <v>1571</v>
      </c>
      <c r="X274" s="81"/>
      <c r="Y274" s="81"/>
      <c r="Z274" s="82"/>
      <c r="AA274" s="99"/>
      <c r="AB274" s="48" t="s">
        <v>61</v>
      </c>
      <c r="AC274" s="68" t="s">
        <v>61</v>
      </c>
      <c r="AD274" s="69" t="s">
        <v>61</v>
      </c>
      <c r="AE274" s="69" t="s">
        <v>61</v>
      </c>
      <c r="AF274" s="68" t="s">
        <v>61</v>
      </c>
      <c r="AG274" s="68" t="s">
        <v>61</v>
      </c>
      <c r="AH274" s="68" t="s">
        <v>61</v>
      </c>
      <c r="AI274" s="70" t="s">
        <v>61</v>
      </c>
      <c r="AJ274" s="49" t="s">
        <v>61</v>
      </c>
      <c r="AK274" s="46"/>
    </row>
    <row r="275" ht="24.0" customHeight="1">
      <c r="A275" s="35"/>
      <c r="B275" s="36">
        <v>1.0</v>
      </c>
      <c r="C275" s="37" t="str">
        <f>IFERROR(__xludf.DUMMYFUNCTION("""COMPUTED_VALUE"""),"Jack Wilhoit (2) - '26 RHP FL")</f>
        <v>Jack Wilhoit (2) - '26 RHP FL</v>
      </c>
      <c r="D275" s="38" t="s">
        <v>1576</v>
      </c>
      <c r="E275" s="51" t="s">
        <v>63</v>
      </c>
      <c r="F275" s="119">
        <v>45945.0</v>
      </c>
      <c r="G275" s="133"/>
      <c r="H275" s="54" t="s">
        <v>424</v>
      </c>
      <c r="I275" s="55" t="s">
        <v>1577</v>
      </c>
      <c r="J275" s="55">
        <v>2026.0</v>
      </c>
      <c r="K275" s="55">
        <v>2.0</v>
      </c>
      <c r="L275" s="57"/>
      <c r="M275" s="55" t="s">
        <v>63</v>
      </c>
      <c r="N275" s="55"/>
      <c r="O275" s="55" t="s">
        <v>1550</v>
      </c>
      <c r="P275" s="55" t="s">
        <v>1578</v>
      </c>
      <c r="Q275" s="55" t="s">
        <v>66</v>
      </c>
      <c r="R275" s="57"/>
      <c r="S275" s="58" t="s">
        <v>1579</v>
      </c>
      <c r="T275" s="74"/>
      <c r="U275" s="74"/>
      <c r="V275" s="74"/>
      <c r="W275" s="51" t="s">
        <v>1571</v>
      </c>
      <c r="X275" s="74"/>
      <c r="Y275" s="74"/>
      <c r="Z275" s="76"/>
      <c r="AA275" s="134"/>
      <c r="AB275" s="62" t="s">
        <v>61</v>
      </c>
      <c r="AC275" s="63" t="s">
        <v>61</v>
      </c>
      <c r="AD275" s="64" t="s">
        <v>61</v>
      </c>
      <c r="AE275" s="64" t="s">
        <v>61</v>
      </c>
      <c r="AF275" s="63" t="s">
        <v>61</v>
      </c>
      <c r="AG275" s="63" t="s">
        <v>61</v>
      </c>
      <c r="AH275" s="63" t="s">
        <v>61</v>
      </c>
      <c r="AI275" s="65" t="s">
        <v>61</v>
      </c>
      <c r="AJ275" s="66" t="s">
        <v>61</v>
      </c>
      <c r="AK275" s="60"/>
    </row>
    <row r="276" ht="24.0" customHeight="1">
      <c r="A276" s="71"/>
      <c r="B276" s="36">
        <v>1.0</v>
      </c>
      <c r="C276" s="37" t="str">
        <f>IFERROR(__xludf.DUMMYFUNCTION("""COMPUTED_VALUE"""),"Isaac Gutierrez (2) - '26 RHP TX")</f>
        <v>Isaac Gutierrez (2) - '26 RHP TX</v>
      </c>
      <c r="D276" s="38" t="s">
        <v>1580</v>
      </c>
      <c r="E276" s="39" t="s">
        <v>63</v>
      </c>
      <c r="F276" s="118">
        <v>45945.0</v>
      </c>
      <c r="G276" s="122"/>
      <c r="H276" s="42" t="s">
        <v>850</v>
      </c>
      <c r="I276" s="43" t="s">
        <v>1581</v>
      </c>
      <c r="J276" s="43">
        <v>2026.0</v>
      </c>
      <c r="K276" s="43">
        <v>2.0</v>
      </c>
      <c r="L276" s="80"/>
      <c r="M276" s="43" t="s">
        <v>63</v>
      </c>
      <c r="N276" s="43"/>
      <c r="O276" s="43" t="s">
        <v>1550</v>
      </c>
      <c r="P276" s="43" t="s">
        <v>1582</v>
      </c>
      <c r="Q276" s="43" t="s">
        <v>180</v>
      </c>
      <c r="R276" s="43" t="s">
        <v>1583</v>
      </c>
      <c r="S276" s="44" t="s">
        <v>1190</v>
      </c>
      <c r="T276" s="81"/>
      <c r="U276" s="81"/>
      <c r="V276" s="81"/>
      <c r="W276" s="39" t="s">
        <v>1571</v>
      </c>
      <c r="X276" s="81"/>
      <c r="Y276" s="81"/>
      <c r="Z276" s="82"/>
      <c r="AA276" s="99"/>
      <c r="AB276" s="48" t="s">
        <v>61</v>
      </c>
      <c r="AC276" s="68" t="s">
        <v>61</v>
      </c>
      <c r="AD276" s="69" t="s">
        <v>61</v>
      </c>
      <c r="AE276" s="69" t="s">
        <v>61</v>
      </c>
      <c r="AF276" s="68" t="s">
        <v>61</v>
      </c>
      <c r="AG276" s="68" t="s">
        <v>61</v>
      </c>
      <c r="AH276" s="68" t="s">
        <v>61</v>
      </c>
      <c r="AI276" s="70" t="s">
        <v>61</v>
      </c>
      <c r="AJ276" s="49" t="s">
        <v>61</v>
      </c>
      <c r="AK276" s="46"/>
    </row>
    <row r="277" ht="24.0" customHeight="1">
      <c r="A277" s="35"/>
      <c r="B277" s="36">
        <v>1.0</v>
      </c>
      <c r="C277" s="37" t="str">
        <f>IFERROR(__xludf.DUMMYFUNCTION("""COMPUTED_VALUE"""),"Chase Rhodes (2) - '26 RHP IL")</f>
        <v>Chase Rhodes (2) - '26 RHP IL</v>
      </c>
      <c r="D277" s="38" t="s">
        <v>1584</v>
      </c>
      <c r="E277" s="51" t="s">
        <v>63</v>
      </c>
      <c r="F277" s="119">
        <v>45945.0</v>
      </c>
      <c r="G277" s="133"/>
      <c r="H277" s="54" t="s">
        <v>376</v>
      </c>
      <c r="I277" s="55" t="s">
        <v>1585</v>
      </c>
      <c r="J277" s="55">
        <v>2026.0</v>
      </c>
      <c r="K277" s="55">
        <v>2.0</v>
      </c>
      <c r="L277" s="57"/>
      <c r="M277" s="55" t="s">
        <v>63</v>
      </c>
      <c r="N277" s="55"/>
      <c r="O277" s="55" t="s">
        <v>1550</v>
      </c>
      <c r="P277" s="55" t="s">
        <v>1586</v>
      </c>
      <c r="Q277" s="55" t="s">
        <v>307</v>
      </c>
      <c r="R277" s="55" t="s">
        <v>1587</v>
      </c>
      <c r="S277" s="58" t="s">
        <v>1588</v>
      </c>
      <c r="T277" s="74"/>
      <c r="U277" s="74"/>
      <c r="V277" s="74"/>
      <c r="W277" s="51" t="s">
        <v>1571</v>
      </c>
      <c r="X277" s="74"/>
      <c r="Y277" s="74"/>
      <c r="Z277" s="76"/>
      <c r="AA277" s="134"/>
      <c r="AB277" s="62" t="s">
        <v>61</v>
      </c>
      <c r="AC277" s="63" t="s">
        <v>61</v>
      </c>
      <c r="AD277" s="64" t="s">
        <v>61</v>
      </c>
      <c r="AE277" s="64" t="s">
        <v>61</v>
      </c>
      <c r="AF277" s="63" t="s">
        <v>61</v>
      </c>
      <c r="AG277" s="63" t="s">
        <v>61</v>
      </c>
      <c r="AH277" s="63" t="s">
        <v>61</v>
      </c>
      <c r="AI277" s="65" t="s">
        <v>61</v>
      </c>
      <c r="AJ277" s="105" t="s">
        <v>61</v>
      </c>
      <c r="AK277" s="76"/>
    </row>
    <row r="278" ht="24.0" customHeight="1">
      <c r="A278" s="35"/>
      <c r="B278" s="36">
        <v>1.0</v>
      </c>
      <c r="C278" s="37" t="str">
        <f>IFERROR(__xludf.DUMMYFUNCTION("""COMPUTED_VALUE"""),"Spencer Adams (2) - '26 OF FL")</f>
        <v>Spencer Adams (2) - '26 OF FL</v>
      </c>
      <c r="D278" s="38" t="s">
        <v>1589</v>
      </c>
      <c r="E278" s="39" t="s">
        <v>103</v>
      </c>
      <c r="F278" s="118">
        <v>45945.0</v>
      </c>
      <c r="G278" s="122"/>
      <c r="H278" s="42" t="s">
        <v>1590</v>
      </c>
      <c r="I278" s="43" t="s">
        <v>1591</v>
      </c>
      <c r="J278" s="43">
        <v>2026.0</v>
      </c>
      <c r="K278" s="43">
        <v>2.0</v>
      </c>
      <c r="L278" s="80"/>
      <c r="M278" s="43" t="s">
        <v>103</v>
      </c>
      <c r="N278" s="43"/>
      <c r="O278" s="43" t="s">
        <v>1550</v>
      </c>
      <c r="P278" s="43" t="s">
        <v>1592</v>
      </c>
      <c r="Q278" s="43" t="s">
        <v>66</v>
      </c>
      <c r="R278" s="43" t="s">
        <v>1592</v>
      </c>
      <c r="S278" s="44" t="s">
        <v>1593</v>
      </c>
      <c r="T278" s="81"/>
      <c r="U278" s="81"/>
      <c r="V278" s="81"/>
      <c r="W278" s="39" t="s">
        <v>1571</v>
      </c>
      <c r="X278" s="81"/>
      <c r="Y278" s="81"/>
      <c r="Z278" s="82"/>
      <c r="AA278" s="99"/>
      <c r="AB278" s="48" t="s">
        <v>61</v>
      </c>
      <c r="AC278" s="68" t="s">
        <v>61</v>
      </c>
      <c r="AD278" s="69" t="s">
        <v>61</v>
      </c>
      <c r="AE278" s="69" t="s">
        <v>61</v>
      </c>
      <c r="AF278" s="68" t="s">
        <v>61</v>
      </c>
      <c r="AG278" s="68" t="s">
        <v>61</v>
      </c>
      <c r="AH278" s="68" t="s">
        <v>61</v>
      </c>
      <c r="AI278" s="70" t="s">
        <v>61</v>
      </c>
      <c r="AJ278" s="114" t="s">
        <v>61</v>
      </c>
      <c r="AK278" s="82"/>
    </row>
    <row r="279" ht="24.0" customHeight="1">
      <c r="A279" s="35"/>
      <c r="B279" s="36">
        <v>1.0</v>
      </c>
      <c r="C279" s="37" t="str">
        <f>IFERROR(__xludf.DUMMYFUNCTION("""COMPUTED_VALUE"""),"Parker Reavis (2) - '26 SS SC")</f>
        <v>Parker Reavis (2) - '26 SS SC</v>
      </c>
      <c r="D279" s="38" t="s">
        <v>1594</v>
      </c>
      <c r="E279" s="51" t="s">
        <v>48</v>
      </c>
      <c r="F279" s="119">
        <v>45945.0</v>
      </c>
      <c r="G279" s="133"/>
      <c r="H279" s="54" t="s">
        <v>1595</v>
      </c>
      <c r="I279" s="55" t="s">
        <v>1596</v>
      </c>
      <c r="J279" s="55">
        <v>2026.0</v>
      </c>
      <c r="K279" s="55">
        <v>2.0</v>
      </c>
      <c r="L279" s="57"/>
      <c r="M279" s="55" t="s">
        <v>1398</v>
      </c>
      <c r="N279" s="55"/>
      <c r="O279" s="55" t="s">
        <v>1550</v>
      </c>
      <c r="P279" s="55" t="s">
        <v>1597</v>
      </c>
      <c r="Q279" s="55" t="s">
        <v>286</v>
      </c>
      <c r="R279" s="55" t="s">
        <v>1598</v>
      </c>
      <c r="S279" s="58" t="s">
        <v>1599</v>
      </c>
      <c r="T279" s="74"/>
      <c r="U279" s="74"/>
      <c r="V279" s="74"/>
      <c r="W279" s="51" t="s">
        <v>1571</v>
      </c>
      <c r="X279" s="74"/>
      <c r="Y279" s="74"/>
      <c r="Z279" s="76"/>
      <c r="AA279" s="134"/>
      <c r="AB279" s="62" t="s">
        <v>61</v>
      </c>
      <c r="AC279" s="63" t="s">
        <v>61</v>
      </c>
      <c r="AD279" s="64" t="s">
        <v>61</v>
      </c>
      <c r="AE279" s="64" t="s">
        <v>61</v>
      </c>
      <c r="AF279" s="63" t="s">
        <v>61</v>
      </c>
      <c r="AG279" s="63" t="s">
        <v>61</v>
      </c>
      <c r="AH279" s="63" t="s">
        <v>61</v>
      </c>
      <c r="AI279" s="65" t="s">
        <v>61</v>
      </c>
      <c r="AJ279" s="66" t="s">
        <v>61</v>
      </c>
      <c r="AK279" s="60"/>
    </row>
    <row r="280" ht="24.0" customHeight="1">
      <c r="A280" s="35"/>
      <c r="B280" s="36">
        <v>1.0</v>
      </c>
      <c r="C280" s="37" t="str">
        <f>IFERROR(__xludf.DUMMYFUNCTION("""COMPUTED_VALUE"""),"Alex Boyd (3) - '26 MINF VA")</f>
        <v>Alex Boyd (3) - '26 MINF VA</v>
      </c>
      <c r="D280" s="89" t="s">
        <v>1600</v>
      </c>
      <c r="E280" s="39" t="s">
        <v>48</v>
      </c>
      <c r="F280" s="118">
        <v>45854.0</v>
      </c>
      <c r="G280" s="113" t="s">
        <v>1395</v>
      </c>
      <c r="H280" s="42" t="s">
        <v>1601</v>
      </c>
      <c r="I280" s="43" t="s">
        <v>1602</v>
      </c>
      <c r="J280" s="43">
        <v>2026.0</v>
      </c>
      <c r="K280" s="43">
        <v>3.0</v>
      </c>
      <c r="L280" s="43"/>
      <c r="M280" s="43" t="s">
        <v>51</v>
      </c>
      <c r="N280" s="43"/>
      <c r="O280" s="43"/>
      <c r="P280" s="43"/>
      <c r="Q280" s="43" t="s">
        <v>125</v>
      </c>
      <c r="R280" s="43"/>
      <c r="S280" s="44" t="s">
        <v>1603</v>
      </c>
      <c r="T280" s="39" t="s">
        <v>1604</v>
      </c>
      <c r="U280" s="39"/>
      <c r="V280" s="39"/>
      <c r="W280" s="39"/>
      <c r="X280" s="39"/>
      <c r="Y280" s="39"/>
      <c r="Z280" s="46"/>
      <c r="AA280" s="47"/>
      <c r="AB280" s="48" t="s">
        <v>1605</v>
      </c>
      <c r="AC280" s="68" t="s">
        <v>1606</v>
      </c>
      <c r="AD280" s="69">
        <v>3.7</v>
      </c>
      <c r="AE280" s="69" t="s">
        <v>400</v>
      </c>
      <c r="AF280" s="68" t="s">
        <v>1607</v>
      </c>
      <c r="AG280" s="68" t="s">
        <v>81</v>
      </c>
      <c r="AH280" s="68" t="s">
        <v>81</v>
      </c>
      <c r="AI280" s="70" t="s">
        <v>81</v>
      </c>
      <c r="AJ280" s="49" t="s">
        <v>61</v>
      </c>
      <c r="AK280" s="46"/>
    </row>
    <row r="281" ht="24.0" customHeight="1">
      <c r="A281" s="35"/>
      <c r="B281" s="36">
        <v>1.0</v>
      </c>
      <c r="C281" s="37" t="str">
        <f>IFERROR(__xludf.DUMMYFUNCTION("""COMPUTED_VALUE"""),"Cullen Crain (3) - '26 MINF RI")</f>
        <v>Cullen Crain (3) - '26 MINF RI</v>
      </c>
      <c r="D281" s="89" t="s">
        <v>1608</v>
      </c>
      <c r="E281" s="51" t="s">
        <v>48</v>
      </c>
      <c r="F281" s="119">
        <v>45833.0</v>
      </c>
      <c r="G281" s="116" t="s">
        <v>1395</v>
      </c>
      <c r="H281" s="54" t="s">
        <v>1609</v>
      </c>
      <c r="I281" s="55" t="s">
        <v>1610</v>
      </c>
      <c r="J281" s="55">
        <v>2026.0</v>
      </c>
      <c r="K281" s="55">
        <v>3.0</v>
      </c>
      <c r="L281" s="55"/>
      <c r="M281" s="55" t="s">
        <v>51</v>
      </c>
      <c r="N281" s="55"/>
      <c r="O281" s="55"/>
      <c r="P281" s="55"/>
      <c r="Q281" s="55" t="s">
        <v>1611</v>
      </c>
      <c r="R281" s="55" t="s">
        <v>1612</v>
      </c>
      <c r="S281" s="58" t="s">
        <v>1613</v>
      </c>
      <c r="T281" s="51" t="s">
        <v>1614</v>
      </c>
      <c r="U281" s="51"/>
      <c r="V281" s="51"/>
      <c r="W281" s="51"/>
      <c r="X281" s="51"/>
      <c r="Y281" s="51"/>
      <c r="Z281" s="60" t="s">
        <v>1615</v>
      </c>
      <c r="AA281" s="73" t="s">
        <v>1616</v>
      </c>
      <c r="AB281" s="62" t="s">
        <v>1617</v>
      </c>
      <c r="AC281" s="63" t="s">
        <v>1618</v>
      </c>
      <c r="AD281" s="64">
        <v>3.72</v>
      </c>
      <c r="AE281" s="64" t="s">
        <v>1498</v>
      </c>
      <c r="AF281" s="63" t="s">
        <v>1619</v>
      </c>
      <c r="AG281" s="63" t="s">
        <v>81</v>
      </c>
      <c r="AH281" s="63" t="s">
        <v>81</v>
      </c>
      <c r="AI281" s="65" t="s">
        <v>81</v>
      </c>
      <c r="AJ281" s="105" t="s">
        <v>61</v>
      </c>
      <c r="AK281" s="76"/>
    </row>
    <row r="282" ht="24.0" customHeight="1">
      <c r="A282" s="35"/>
      <c r="B282" s="36">
        <v>1.0</v>
      </c>
      <c r="C282" s="37" t="str">
        <f>IFERROR(__xludf.DUMMYFUNCTION("""COMPUTED_VALUE"""),"Jake Gaerke (3) - '26 RHP OH")</f>
        <v>Jake Gaerke (3) - '26 RHP OH</v>
      </c>
      <c r="D282" s="89" t="s">
        <v>1620</v>
      </c>
      <c r="E282" s="39" t="s">
        <v>63</v>
      </c>
      <c r="F282" s="118">
        <v>45945.0</v>
      </c>
      <c r="G282" s="122"/>
      <c r="H282" s="42" t="s">
        <v>136</v>
      </c>
      <c r="I282" s="43" t="s">
        <v>1621</v>
      </c>
      <c r="J282" s="43">
        <v>2026.0</v>
      </c>
      <c r="K282" s="43">
        <v>3.0</v>
      </c>
      <c r="L282" s="80"/>
      <c r="M282" s="43" t="s">
        <v>63</v>
      </c>
      <c r="N282" s="43"/>
      <c r="O282" s="43" t="s">
        <v>1550</v>
      </c>
      <c r="P282" s="43" t="s">
        <v>1622</v>
      </c>
      <c r="Q282" s="43" t="s">
        <v>529</v>
      </c>
      <c r="R282" s="43" t="s">
        <v>1623</v>
      </c>
      <c r="S282" s="44" t="s">
        <v>332</v>
      </c>
      <c r="T282" s="81"/>
      <c r="U282" s="81"/>
      <c r="V282" s="81"/>
      <c r="W282" s="39" t="s">
        <v>1571</v>
      </c>
      <c r="X282" s="81"/>
      <c r="Y282" s="81"/>
      <c r="Z282" s="82"/>
      <c r="AA282" s="99"/>
      <c r="AB282" s="48" t="s">
        <v>1624</v>
      </c>
      <c r="AC282" s="68"/>
      <c r="AD282" s="69" t="s">
        <v>1625</v>
      </c>
      <c r="AE282" s="69" t="s">
        <v>1626</v>
      </c>
      <c r="AF282" s="68" t="s">
        <v>1627</v>
      </c>
      <c r="AG282" s="68"/>
      <c r="AH282" s="68"/>
      <c r="AI282" s="70"/>
      <c r="AJ282" s="49" t="s">
        <v>61</v>
      </c>
      <c r="AK282" s="46"/>
    </row>
    <row r="283" ht="24.0" customHeight="1">
      <c r="A283" s="35"/>
      <c r="B283" s="36">
        <v>1.0</v>
      </c>
      <c r="C283" s="37" t="str">
        <f>IFERROR(__xludf.DUMMYFUNCTION("""COMPUTED_VALUE"""),"Joey Raffo (3) - '26 RHP CA")</f>
        <v>Joey Raffo (3) - '26 RHP CA</v>
      </c>
      <c r="D283" s="89" t="s">
        <v>1628</v>
      </c>
      <c r="E283" s="51" t="s">
        <v>63</v>
      </c>
      <c r="F283" s="119">
        <v>45930.0</v>
      </c>
      <c r="G283" s="116" t="s">
        <v>1430</v>
      </c>
      <c r="H283" s="54" t="s">
        <v>954</v>
      </c>
      <c r="I283" s="55" t="s">
        <v>1629</v>
      </c>
      <c r="J283" s="55">
        <v>2026.0</v>
      </c>
      <c r="K283" s="55">
        <v>3.0</v>
      </c>
      <c r="L283" s="57"/>
      <c r="M283" s="55" t="s">
        <v>63</v>
      </c>
      <c r="N283" s="55"/>
      <c r="O283" s="57"/>
      <c r="P283" s="57"/>
      <c r="Q283" s="55" t="s">
        <v>52</v>
      </c>
      <c r="R283" s="57"/>
      <c r="S283" s="132"/>
      <c r="T283" s="74"/>
      <c r="U283" s="74"/>
      <c r="V283" s="74"/>
      <c r="W283" s="74"/>
      <c r="X283" s="74"/>
      <c r="Y283" s="74"/>
      <c r="Z283" s="76"/>
      <c r="AA283" s="134"/>
      <c r="AB283" s="62" t="s">
        <v>61</v>
      </c>
      <c r="AC283" s="63" t="s">
        <v>61</v>
      </c>
      <c r="AD283" s="64" t="s">
        <v>61</v>
      </c>
      <c r="AE283" s="64" t="s">
        <v>61</v>
      </c>
      <c r="AF283" s="63" t="s">
        <v>61</v>
      </c>
      <c r="AG283" s="63" t="s">
        <v>61</v>
      </c>
      <c r="AH283" s="63" t="s">
        <v>61</v>
      </c>
      <c r="AI283" s="65" t="s">
        <v>61</v>
      </c>
      <c r="AJ283" s="66" t="s">
        <v>61</v>
      </c>
      <c r="AK283" s="60"/>
    </row>
    <row r="284" ht="24.0" customHeight="1">
      <c r="A284" s="35"/>
      <c r="B284" s="36">
        <v>1.0</v>
      </c>
      <c r="C284" s="37" t="str">
        <f>IFERROR(__xludf.DUMMYFUNCTION("""COMPUTED_VALUE"""),"Jordan Livingston (3) - '26 RHP FL")</f>
        <v>Jordan Livingston (3) - '26 RHP FL</v>
      </c>
      <c r="D284" s="89" t="s">
        <v>1630</v>
      </c>
      <c r="E284" s="39" t="s">
        <v>63</v>
      </c>
      <c r="F284" s="121"/>
      <c r="G284" s="113" t="s">
        <v>1430</v>
      </c>
      <c r="H284" s="42" t="s">
        <v>966</v>
      </c>
      <c r="I284" s="43" t="s">
        <v>716</v>
      </c>
      <c r="J284" s="43">
        <v>2026.0</v>
      </c>
      <c r="K284" s="43">
        <v>3.0</v>
      </c>
      <c r="L284" s="80"/>
      <c r="M284" s="43" t="s">
        <v>63</v>
      </c>
      <c r="N284" s="43"/>
      <c r="O284" s="80"/>
      <c r="P284" s="80"/>
      <c r="Q284" s="43" t="s">
        <v>66</v>
      </c>
      <c r="R284" s="43" t="s">
        <v>1631</v>
      </c>
      <c r="S284" s="44" t="s">
        <v>1632</v>
      </c>
      <c r="T284" s="39">
        <v>4.0</v>
      </c>
      <c r="U284" s="81"/>
      <c r="V284" s="81"/>
      <c r="W284" s="81"/>
      <c r="X284" s="81"/>
      <c r="Y284" s="81"/>
      <c r="Z284" s="82"/>
      <c r="AA284" s="47" t="s">
        <v>1633</v>
      </c>
      <c r="AB284" s="48" t="s">
        <v>61</v>
      </c>
      <c r="AC284" s="68" t="s">
        <v>61</v>
      </c>
      <c r="AD284" s="69" t="s">
        <v>61</v>
      </c>
      <c r="AE284" s="69" t="s">
        <v>61</v>
      </c>
      <c r="AF284" s="68" t="s">
        <v>61</v>
      </c>
      <c r="AG284" s="68" t="s">
        <v>61</v>
      </c>
      <c r="AH284" s="68" t="s">
        <v>61</v>
      </c>
      <c r="AI284" s="70" t="s">
        <v>61</v>
      </c>
      <c r="AJ284" s="49" t="s">
        <v>61</v>
      </c>
      <c r="AK284" s="46"/>
    </row>
    <row r="285" ht="24.0" customHeight="1">
      <c r="A285" s="35"/>
      <c r="B285" s="36">
        <v>1.0</v>
      </c>
      <c r="C285" s="37" t="str">
        <f>IFERROR(__xludf.DUMMYFUNCTION("""COMPUTED_VALUE"""),"Alex Gannon (3) - '26 MINF DE")</f>
        <v>Alex Gannon (3) - '26 MINF DE</v>
      </c>
      <c r="D285" s="38" t="s">
        <v>1634</v>
      </c>
      <c r="E285" s="51" t="s">
        <v>48</v>
      </c>
      <c r="F285" s="115"/>
      <c r="G285" s="116" t="s">
        <v>1430</v>
      </c>
      <c r="H285" s="54" t="s">
        <v>1601</v>
      </c>
      <c r="I285" s="55" t="s">
        <v>1635</v>
      </c>
      <c r="J285" s="55">
        <v>2026.0</v>
      </c>
      <c r="K285" s="55">
        <v>3.0</v>
      </c>
      <c r="L285" s="57"/>
      <c r="M285" s="55" t="s">
        <v>51</v>
      </c>
      <c r="N285" s="57"/>
      <c r="O285" s="57"/>
      <c r="P285" s="57"/>
      <c r="Q285" s="55" t="s">
        <v>508</v>
      </c>
      <c r="R285" s="55" t="s">
        <v>1636</v>
      </c>
      <c r="S285" s="58" t="s">
        <v>1637</v>
      </c>
      <c r="T285" s="51">
        <v>4.11</v>
      </c>
      <c r="U285" s="74"/>
      <c r="V285" s="74"/>
      <c r="W285" s="74"/>
      <c r="X285" s="74"/>
      <c r="Y285" s="74"/>
      <c r="Z285" s="76"/>
      <c r="AA285" s="73" t="s">
        <v>1638</v>
      </c>
      <c r="AB285" s="62" t="s">
        <v>61</v>
      </c>
      <c r="AC285" s="63" t="s">
        <v>61</v>
      </c>
      <c r="AD285" s="64" t="s">
        <v>61</v>
      </c>
      <c r="AE285" s="64" t="s">
        <v>61</v>
      </c>
      <c r="AF285" s="63" t="s">
        <v>61</v>
      </c>
      <c r="AG285" s="63" t="s">
        <v>61</v>
      </c>
      <c r="AH285" s="63" t="s">
        <v>61</v>
      </c>
      <c r="AI285" s="65" t="s">
        <v>61</v>
      </c>
      <c r="AJ285" s="66" t="s">
        <v>61</v>
      </c>
      <c r="AK285" s="60"/>
    </row>
    <row r="286" ht="24.0" customHeight="1">
      <c r="A286" s="35"/>
      <c r="B286" s="36">
        <v>1.0</v>
      </c>
      <c r="C286" s="37" t="str">
        <f>IFERROR(__xludf.DUMMYFUNCTION("""COMPUTED_VALUE"""),"Andrew Steele Thalleen (3) - '26 RHP FL")</f>
        <v>Andrew Steele Thalleen (3) - '26 RHP FL</v>
      </c>
      <c r="D286" s="38" t="s">
        <v>1639</v>
      </c>
      <c r="E286" s="39" t="s">
        <v>63</v>
      </c>
      <c r="F286" s="135"/>
      <c r="G286" s="136" t="s">
        <v>1430</v>
      </c>
      <c r="H286" s="42" t="s">
        <v>457</v>
      </c>
      <c r="I286" s="43" t="s">
        <v>1640</v>
      </c>
      <c r="J286" s="43">
        <v>2026.0</v>
      </c>
      <c r="K286" s="43">
        <v>3.0</v>
      </c>
      <c r="L286" s="80"/>
      <c r="M286" s="43" t="s">
        <v>63</v>
      </c>
      <c r="N286" s="80"/>
      <c r="O286" s="80"/>
      <c r="P286" s="80"/>
      <c r="Q286" s="43" t="s">
        <v>66</v>
      </c>
      <c r="R286" s="43" t="s">
        <v>1641</v>
      </c>
      <c r="S286" s="44" t="s">
        <v>1642</v>
      </c>
      <c r="T286" s="39" t="s">
        <v>1643</v>
      </c>
      <c r="U286" s="81"/>
      <c r="V286" s="81"/>
      <c r="W286" s="81"/>
      <c r="X286" s="81"/>
      <c r="Y286" s="81"/>
      <c r="Z286" s="82"/>
      <c r="AA286" s="47" t="s">
        <v>1644</v>
      </c>
      <c r="AB286" s="48" t="s">
        <v>61</v>
      </c>
      <c r="AC286" s="68" t="s">
        <v>61</v>
      </c>
      <c r="AD286" s="69" t="s">
        <v>61</v>
      </c>
      <c r="AE286" s="69" t="s">
        <v>61</v>
      </c>
      <c r="AF286" s="68" t="s">
        <v>61</v>
      </c>
      <c r="AG286" s="68" t="s">
        <v>61</v>
      </c>
      <c r="AH286" s="68" t="s">
        <v>61</v>
      </c>
      <c r="AI286" s="70" t="s">
        <v>61</v>
      </c>
      <c r="AJ286" s="49" t="s">
        <v>61</v>
      </c>
      <c r="AK286" s="46"/>
    </row>
    <row r="287" ht="24.0" customHeight="1">
      <c r="A287" s="35"/>
      <c r="B287" s="36">
        <v>1.0</v>
      </c>
      <c r="C287" s="37" t="str">
        <f>IFERROR(__xludf.DUMMYFUNCTION("""COMPUTED_VALUE"""),"Braydon McKendrick (3) - '26 LHP IL")</f>
        <v>Braydon McKendrick (3) - '26 LHP IL</v>
      </c>
      <c r="D287" s="38" t="s">
        <v>1645</v>
      </c>
      <c r="E287" s="51" t="s">
        <v>122</v>
      </c>
      <c r="F287" s="115"/>
      <c r="G287" s="116" t="s">
        <v>1430</v>
      </c>
      <c r="H287" s="54" t="s">
        <v>1646</v>
      </c>
      <c r="I287" s="55" t="s">
        <v>1647</v>
      </c>
      <c r="J287" s="55">
        <v>2026.0</v>
      </c>
      <c r="K287" s="55">
        <v>3.0</v>
      </c>
      <c r="L287" s="57"/>
      <c r="M287" s="55" t="s">
        <v>122</v>
      </c>
      <c r="N287" s="57"/>
      <c r="O287" s="57"/>
      <c r="P287" s="57"/>
      <c r="Q287" s="55" t="s">
        <v>307</v>
      </c>
      <c r="R287" s="55" t="s">
        <v>291</v>
      </c>
      <c r="S287" s="58" t="s">
        <v>291</v>
      </c>
      <c r="T287" s="51" t="s">
        <v>1540</v>
      </c>
      <c r="U287" s="74"/>
      <c r="V287" s="74"/>
      <c r="W287" s="74"/>
      <c r="X287" s="74"/>
      <c r="Y287" s="74"/>
      <c r="Z287" s="76"/>
      <c r="AA287" s="73" t="s">
        <v>1648</v>
      </c>
      <c r="AB287" s="62" t="s">
        <v>61</v>
      </c>
      <c r="AC287" s="63" t="s">
        <v>61</v>
      </c>
      <c r="AD287" s="64" t="s">
        <v>61</v>
      </c>
      <c r="AE287" s="64" t="s">
        <v>61</v>
      </c>
      <c r="AF287" s="63" t="s">
        <v>61</v>
      </c>
      <c r="AG287" s="63" t="s">
        <v>61</v>
      </c>
      <c r="AH287" s="63" t="s">
        <v>61</v>
      </c>
      <c r="AI287" s="65" t="s">
        <v>61</v>
      </c>
      <c r="AJ287" s="66" t="s">
        <v>61</v>
      </c>
      <c r="AK287" s="60"/>
    </row>
    <row r="288" ht="24.0" customHeight="1">
      <c r="A288" s="71"/>
      <c r="B288" s="36">
        <v>1.0</v>
      </c>
      <c r="C288" s="37" t="str">
        <f>IFERROR(__xludf.DUMMYFUNCTION("""COMPUTED_VALUE"""),"Caden Atkinson (3) - '26 RHP CA")</f>
        <v>Caden Atkinson (3) - '26 RHP CA</v>
      </c>
      <c r="D288" s="38" t="s">
        <v>1649</v>
      </c>
      <c r="E288" s="39" t="s">
        <v>63</v>
      </c>
      <c r="F288" s="112"/>
      <c r="G288" s="113"/>
      <c r="H288" s="42" t="s">
        <v>227</v>
      </c>
      <c r="I288" s="43" t="s">
        <v>1650</v>
      </c>
      <c r="J288" s="43">
        <v>2026.0</v>
      </c>
      <c r="K288" s="43">
        <v>3.0</v>
      </c>
      <c r="L288" s="80"/>
      <c r="M288" s="43" t="s">
        <v>63</v>
      </c>
      <c r="N288" s="80"/>
      <c r="O288" s="80"/>
      <c r="P288" s="80"/>
      <c r="Q288" s="43" t="s">
        <v>52</v>
      </c>
      <c r="R288" s="43" t="s">
        <v>1651</v>
      </c>
      <c r="S288" s="44"/>
      <c r="T288" s="81"/>
      <c r="U288" s="81"/>
      <c r="V288" s="81"/>
      <c r="W288" s="81"/>
      <c r="X288" s="81"/>
      <c r="Y288" s="81"/>
      <c r="Z288" s="82"/>
      <c r="AA288" s="47" t="s">
        <v>1652</v>
      </c>
      <c r="AB288" s="48" t="s">
        <v>61</v>
      </c>
      <c r="AC288" s="68" t="s">
        <v>61</v>
      </c>
      <c r="AD288" s="69" t="s">
        <v>61</v>
      </c>
      <c r="AE288" s="69" t="s">
        <v>61</v>
      </c>
      <c r="AF288" s="68" t="s">
        <v>61</v>
      </c>
      <c r="AG288" s="68" t="s">
        <v>61</v>
      </c>
      <c r="AH288" s="68" t="s">
        <v>61</v>
      </c>
      <c r="AI288" s="70" t="s">
        <v>61</v>
      </c>
      <c r="AJ288" s="49" t="s">
        <v>61</v>
      </c>
      <c r="AK288" s="46"/>
    </row>
    <row r="289" ht="24.0" customHeight="1">
      <c r="A289" s="35"/>
      <c r="B289" s="36">
        <v>1.0</v>
      </c>
      <c r="C289" s="37" t="str">
        <f>IFERROR(__xludf.DUMMYFUNCTION("""COMPUTED_VALUE"""),"Camden Goetz (3) - '26 COF CA")</f>
        <v>Camden Goetz (3) - '26 COF CA</v>
      </c>
      <c r="D289" s="38" t="s">
        <v>1653</v>
      </c>
      <c r="E289" s="51" t="s">
        <v>103</v>
      </c>
      <c r="F289" s="115"/>
      <c r="G289" s="116" t="s">
        <v>1430</v>
      </c>
      <c r="H289" s="54" t="s">
        <v>1654</v>
      </c>
      <c r="I289" s="55" t="s">
        <v>1655</v>
      </c>
      <c r="J289" s="55">
        <v>2026.0</v>
      </c>
      <c r="K289" s="55">
        <v>3.0</v>
      </c>
      <c r="L289" s="57"/>
      <c r="M289" s="55" t="s">
        <v>42</v>
      </c>
      <c r="N289" s="57"/>
      <c r="O289" s="57"/>
      <c r="P289" s="57"/>
      <c r="Q289" s="55" t="s">
        <v>52</v>
      </c>
      <c r="R289" s="55" t="s">
        <v>1656</v>
      </c>
      <c r="S289" s="58" t="s">
        <v>877</v>
      </c>
      <c r="T289" s="51">
        <v>4.3</v>
      </c>
      <c r="U289" s="74"/>
      <c r="V289" s="74"/>
      <c r="W289" s="74"/>
      <c r="X289" s="74"/>
      <c r="Y289" s="74"/>
      <c r="Z289" s="76"/>
      <c r="AA289" s="73" t="s">
        <v>1657</v>
      </c>
      <c r="AB289" s="62" t="s">
        <v>61</v>
      </c>
      <c r="AC289" s="63" t="s">
        <v>61</v>
      </c>
      <c r="AD289" s="64" t="s">
        <v>61</v>
      </c>
      <c r="AE289" s="64" t="s">
        <v>61</v>
      </c>
      <c r="AF289" s="63" t="s">
        <v>61</v>
      </c>
      <c r="AG289" s="63" t="s">
        <v>61</v>
      </c>
      <c r="AH289" s="63" t="s">
        <v>61</v>
      </c>
      <c r="AI289" s="65" t="s">
        <v>61</v>
      </c>
      <c r="AJ289" s="66" t="s">
        <v>61</v>
      </c>
      <c r="AK289" s="60"/>
    </row>
    <row r="290" ht="24.0" customHeight="1">
      <c r="A290" s="35"/>
      <c r="B290" s="36">
        <v>1.0</v>
      </c>
      <c r="C290" s="37" t="str">
        <f>IFERROR(__xludf.DUMMYFUNCTION("""COMPUTED_VALUE"""),"Cohen Lafler (3) - '26 RHP FL")</f>
        <v>Cohen Lafler (3) - '26 RHP FL</v>
      </c>
      <c r="D290" s="38" t="s">
        <v>1658</v>
      </c>
      <c r="E290" s="39" t="s">
        <v>63</v>
      </c>
      <c r="F290" s="112"/>
      <c r="G290" s="113" t="s">
        <v>1430</v>
      </c>
      <c r="H290" s="42" t="s">
        <v>1659</v>
      </c>
      <c r="I290" s="43" t="s">
        <v>1660</v>
      </c>
      <c r="J290" s="43">
        <v>2026.0</v>
      </c>
      <c r="K290" s="43">
        <v>3.0</v>
      </c>
      <c r="L290" s="80"/>
      <c r="M290" s="43" t="s">
        <v>63</v>
      </c>
      <c r="N290" s="80"/>
      <c r="O290" s="80"/>
      <c r="P290" s="80"/>
      <c r="Q290" s="43" t="s">
        <v>66</v>
      </c>
      <c r="R290" s="43" t="s">
        <v>1661</v>
      </c>
      <c r="S290" s="44" t="s">
        <v>1088</v>
      </c>
      <c r="T290" s="39" t="s">
        <v>1662</v>
      </c>
      <c r="U290" s="81"/>
      <c r="V290" s="81"/>
      <c r="W290" s="81"/>
      <c r="X290" s="81"/>
      <c r="Y290" s="81"/>
      <c r="Z290" s="82"/>
      <c r="AA290" s="47" t="s">
        <v>1663</v>
      </c>
      <c r="AB290" s="48" t="s">
        <v>61</v>
      </c>
      <c r="AC290" s="68" t="s">
        <v>61</v>
      </c>
      <c r="AD290" s="69" t="s">
        <v>61</v>
      </c>
      <c r="AE290" s="69" t="s">
        <v>61</v>
      </c>
      <c r="AF290" s="68" t="s">
        <v>61</v>
      </c>
      <c r="AG290" s="68" t="s">
        <v>61</v>
      </c>
      <c r="AH290" s="68" t="s">
        <v>61</v>
      </c>
      <c r="AI290" s="70" t="s">
        <v>61</v>
      </c>
      <c r="AJ290" s="49" t="s">
        <v>61</v>
      </c>
      <c r="AK290" s="46"/>
    </row>
    <row r="291" ht="24.0" customHeight="1">
      <c r="A291" s="35"/>
      <c r="B291" s="36">
        <v>1.0</v>
      </c>
      <c r="C291" s="37" t="str">
        <f>IFERROR(__xludf.DUMMYFUNCTION("""COMPUTED_VALUE"""),"Connor Davy (3) - '26 OF NY")</f>
        <v>Connor Davy (3) - '26 OF NY</v>
      </c>
      <c r="D291" s="38" t="s">
        <v>1664</v>
      </c>
      <c r="E291" s="51" t="s">
        <v>103</v>
      </c>
      <c r="F291" s="115"/>
      <c r="G291" s="116" t="s">
        <v>1430</v>
      </c>
      <c r="H291" s="54" t="s">
        <v>682</v>
      </c>
      <c r="I291" s="55" t="s">
        <v>1665</v>
      </c>
      <c r="J291" s="55">
        <v>2026.0</v>
      </c>
      <c r="K291" s="55">
        <v>3.0</v>
      </c>
      <c r="L291" s="57"/>
      <c r="M291" s="55" t="s">
        <v>103</v>
      </c>
      <c r="N291" s="57"/>
      <c r="O291" s="57"/>
      <c r="P291" s="57"/>
      <c r="Q291" s="55" t="s">
        <v>255</v>
      </c>
      <c r="R291" s="55" t="s">
        <v>1666</v>
      </c>
      <c r="S291" s="132"/>
      <c r="T291" s="51">
        <v>3.7</v>
      </c>
      <c r="U291" s="74"/>
      <c r="V291" s="74"/>
      <c r="W291" s="74"/>
      <c r="X291" s="74"/>
      <c r="Y291" s="74"/>
      <c r="Z291" s="60" t="s">
        <v>1541</v>
      </c>
      <c r="AA291" s="73" t="s">
        <v>1667</v>
      </c>
      <c r="AB291" s="62" t="s">
        <v>61</v>
      </c>
      <c r="AC291" s="63" t="s">
        <v>61</v>
      </c>
      <c r="AD291" s="64" t="s">
        <v>61</v>
      </c>
      <c r="AE291" s="64" t="s">
        <v>61</v>
      </c>
      <c r="AF291" s="63" t="s">
        <v>61</v>
      </c>
      <c r="AG291" s="63" t="s">
        <v>61</v>
      </c>
      <c r="AH291" s="63" t="s">
        <v>61</v>
      </c>
      <c r="AI291" s="65" t="s">
        <v>61</v>
      </c>
      <c r="AJ291" s="66" t="s">
        <v>61</v>
      </c>
      <c r="AK291" s="60"/>
    </row>
    <row r="292" ht="24.0" customHeight="1">
      <c r="A292" s="35"/>
      <c r="B292" s="36">
        <v>1.0</v>
      </c>
      <c r="C292" s="37" t="str">
        <f>IFERROR(__xludf.DUMMYFUNCTION("""COMPUTED_VALUE"""),"Darren Daves (3) - '26 CINF CO")</f>
        <v>Darren Daves (3) - '26 CINF CO</v>
      </c>
      <c r="D292" s="38" t="s">
        <v>1668</v>
      </c>
      <c r="E292" s="39" t="s">
        <v>48</v>
      </c>
      <c r="F292" s="112"/>
      <c r="G292" s="113" t="s">
        <v>1430</v>
      </c>
      <c r="H292" s="42" t="s">
        <v>1669</v>
      </c>
      <c r="I292" s="43" t="s">
        <v>1670</v>
      </c>
      <c r="J292" s="43">
        <v>2026.0</v>
      </c>
      <c r="K292" s="43">
        <v>3.0</v>
      </c>
      <c r="L292" s="80"/>
      <c r="M292" s="43" t="s">
        <v>72</v>
      </c>
      <c r="N292" s="80"/>
      <c r="O292" s="80"/>
      <c r="P292" s="80"/>
      <c r="Q292" s="43" t="s">
        <v>174</v>
      </c>
      <c r="R292" s="43" t="s">
        <v>1671</v>
      </c>
      <c r="S292" s="44"/>
      <c r="T292" s="39">
        <v>4.0</v>
      </c>
      <c r="U292" s="81"/>
      <c r="V292" s="81"/>
      <c r="W292" s="81"/>
      <c r="X292" s="81"/>
      <c r="Y292" s="81"/>
      <c r="Z292" s="82"/>
      <c r="AA292" s="47" t="s">
        <v>1672</v>
      </c>
      <c r="AB292" s="48" t="s">
        <v>61</v>
      </c>
      <c r="AC292" s="68" t="s">
        <v>61</v>
      </c>
      <c r="AD292" s="69" t="s">
        <v>61</v>
      </c>
      <c r="AE292" s="69" t="s">
        <v>61</v>
      </c>
      <c r="AF292" s="68" t="s">
        <v>61</v>
      </c>
      <c r="AG292" s="68" t="s">
        <v>61</v>
      </c>
      <c r="AH292" s="68" t="s">
        <v>61</v>
      </c>
      <c r="AI292" s="70" t="s">
        <v>61</v>
      </c>
      <c r="AJ292" s="49" t="s">
        <v>61</v>
      </c>
      <c r="AK292" s="46"/>
    </row>
    <row r="293" ht="24.0" customHeight="1">
      <c r="A293" s="35"/>
      <c r="B293" s="36">
        <v>1.0</v>
      </c>
      <c r="C293" s="37" t="str">
        <f>IFERROR(__xludf.DUMMYFUNCTION("""COMPUTED_VALUE"""),"Finn Breitenbach (3) - '26 LHP TX")</f>
        <v>Finn Breitenbach (3) - '26 LHP TX</v>
      </c>
      <c r="D293" s="38" t="s">
        <v>1673</v>
      </c>
      <c r="E293" s="51" t="s">
        <v>122</v>
      </c>
      <c r="F293" s="115"/>
      <c r="G293" s="116"/>
      <c r="H293" s="54" t="s">
        <v>768</v>
      </c>
      <c r="I293" s="55" t="s">
        <v>1674</v>
      </c>
      <c r="J293" s="55">
        <v>2026.0</v>
      </c>
      <c r="K293" s="55">
        <v>3.0</v>
      </c>
      <c r="L293" s="57"/>
      <c r="M293" s="55" t="s">
        <v>122</v>
      </c>
      <c r="N293" s="57"/>
      <c r="O293" s="55"/>
      <c r="P293" s="55"/>
      <c r="Q293" s="55" t="s">
        <v>180</v>
      </c>
      <c r="R293" s="55" t="s">
        <v>1651</v>
      </c>
      <c r="S293" s="58" t="s">
        <v>1675</v>
      </c>
      <c r="T293" s="74"/>
      <c r="U293" s="51"/>
      <c r="V293" s="51"/>
      <c r="W293" s="51"/>
      <c r="X293" s="51"/>
      <c r="Y293" s="51"/>
      <c r="Z293" s="60"/>
      <c r="AA293" s="73" t="s">
        <v>1676</v>
      </c>
      <c r="AB293" s="62" t="s">
        <v>61</v>
      </c>
      <c r="AC293" s="63" t="s">
        <v>61</v>
      </c>
      <c r="AD293" s="64" t="s">
        <v>61</v>
      </c>
      <c r="AE293" s="64" t="s">
        <v>61</v>
      </c>
      <c r="AF293" s="63" t="s">
        <v>61</v>
      </c>
      <c r="AG293" s="63" t="s">
        <v>61</v>
      </c>
      <c r="AH293" s="63" t="s">
        <v>61</v>
      </c>
      <c r="AI293" s="65" t="s">
        <v>61</v>
      </c>
      <c r="AJ293" s="66" t="s">
        <v>61</v>
      </c>
      <c r="AK293" s="60"/>
    </row>
    <row r="294" ht="24.0" customHeight="1">
      <c r="A294" s="35"/>
      <c r="B294" s="36">
        <v>1.0</v>
      </c>
      <c r="C294" s="37" t="str">
        <f>IFERROR(__xludf.DUMMYFUNCTION("""COMPUTED_VALUE"""),"Hudson Deel (3) - '26 3B ")</f>
        <v>Hudson Deel (3) - '26 3B </v>
      </c>
      <c r="D294" s="38" t="s">
        <v>1677</v>
      </c>
      <c r="E294" s="39" t="s">
        <v>48</v>
      </c>
      <c r="F294" s="118">
        <v>45854.0</v>
      </c>
      <c r="G294" s="113" t="s">
        <v>1395</v>
      </c>
      <c r="H294" s="42" t="s">
        <v>1678</v>
      </c>
      <c r="I294" s="43" t="s">
        <v>1679</v>
      </c>
      <c r="J294" s="43">
        <v>2026.0</v>
      </c>
      <c r="K294" s="43">
        <v>3.0</v>
      </c>
      <c r="L294" s="43"/>
      <c r="M294" s="43" t="s">
        <v>1519</v>
      </c>
      <c r="N294" s="43"/>
      <c r="O294" s="43"/>
      <c r="P294" s="43"/>
      <c r="Q294" s="43"/>
      <c r="R294" s="43"/>
      <c r="S294" s="44" t="s">
        <v>1680</v>
      </c>
      <c r="T294" s="39"/>
      <c r="U294" s="39"/>
      <c r="V294" s="39"/>
      <c r="W294" s="39"/>
      <c r="X294" s="39"/>
      <c r="Y294" s="39"/>
      <c r="Z294" s="46"/>
      <c r="AA294" s="47"/>
      <c r="AB294" s="48" t="s">
        <v>61</v>
      </c>
      <c r="AC294" s="68" t="s">
        <v>61</v>
      </c>
      <c r="AD294" s="69" t="s">
        <v>61</v>
      </c>
      <c r="AE294" s="69" t="s">
        <v>61</v>
      </c>
      <c r="AF294" s="68" t="s">
        <v>61</v>
      </c>
      <c r="AG294" s="68" t="s">
        <v>61</v>
      </c>
      <c r="AH294" s="68" t="s">
        <v>61</v>
      </c>
      <c r="AI294" s="70" t="s">
        <v>61</v>
      </c>
      <c r="AJ294" s="49" t="s">
        <v>61</v>
      </c>
      <c r="AK294" s="46"/>
    </row>
    <row r="295" ht="24.0" customHeight="1">
      <c r="A295" s="35"/>
      <c r="B295" s="36">
        <v>1.0</v>
      </c>
      <c r="C295" s="37" t="str">
        <f>IFERROR(__xludf.DUMMYFUNCTION("""COMPUTED_VALUE"""),"Jack Grossi (3) - '26 MINF MD")</f>
        <v>Jack Grossi (3) - '26 MINF MD</v>
      </c>
      <c r="D295" s="38" t="s">
        <v>1681</v>
      </c>
      <c r="E295" s="51" t="s">
        <v>48</v>
      </c>
      <c r="F295" s="119">
        <v>45854.0</v>
      </c>
      <c r="G295" s="116" t="s">
        <v>1395</v>
      </c>
      <c r="H295" s="54" t="s">
        <v>424</v>
      </c>
      <c r="I295" s="55" t="s">
        <v>1682</v>
      </c>
      <c r="J295" s="55">
        <v>2026.0</v>
      </c>
      <c r="K295" s="55">
        <v>3.0</v>
      </c>
      <c r="L295" s="55"/>
      <c r="M295" s="55" t="s">
        <v>51</v>
      </c>
      <c r="N295" s="55"/>
      <c r="O295" s="55"/>
      <c r="P295" s="55"/>
      <c r="Q295" s="55" t="s">
        <v>195</v>
      </c>
      <c r="R295" s="55"/>
      <c r="S295" s="58" t="s">
        <v>1683</v>
      </c>
      <c r="T295" s="51"/>
      <c r="U295" s="51"/>
      <c r="V295" s="51"/>
      <c r="W295" s="51"/>
      <c r="X295" s="51"/>
      <c r="Y295" s="51"/>
      <c r="Z295" s="60"/>
      <c r="AA295" s="73"/>
      <c r="AB295" s="62" t="s">
        <v>61</v>
      </c>
      <c r="AC295" s="63" t="s">
        <v>61</v>
      </c>
      <c r="AD295" s="64" t="s">
        <v>61</v>
      </c>
      <c r="AE295" s="64" t="s">
        <v>61</v>
      </c>
      <c r="AF295" s="63" t="s">
        <v>61</v>
      </c>
      <c r="AG295" s="63" t="s">
        <v>61</v>
      </c>
      <c r="AH295" s="63" t="s">
        <v>61</v>
      </c>
      <c r="AI295" s="65" t="s">
        <v>61</v>
      </c>
      <c r="AJ295" s="66" t="s">
        <v>61</v>
      </c>
      <c r="AK295" s="60"/>
    </row>
    <row r="296" ht="24.0" customHeight="1">
      <c r="A296" s="35"/>
      <c r="B296" s="36">
        <v>1.0</v>
      </c>
      <c r="C296" s="37" t="str">
        <f>IFERROR(__xludf.DUMMYFUNCTION("""COMPUTED_VALUE"""),"Jack Powell (3) - '26 RHP GA")</f>
        <v>Jack Powell (3) - '26 RHP GA</v>
      </c>
      <c r="D296" s="38" t="s">
        <v>1684</v>
      </c>
      <c r="E296" s="39" t="s">
        <v>63</v>
      </c>
      <c r="F296" s="124">
        <v>45855.0</v>
      </c>
      <c r="G296" s="113" t="s">
        <v>1430</v>
      </c>
      <c r="H296" s="42" t="s">
        <v>424</v>
      </c>
      <c r="I296" s="43" t="s">
        <v>1685</v>
      </c>
      <c r="J296" s="43">
        <v>2026.0</v>
      </c>
      <c r="K296" s="43">
        <v>3.0</v>
      </c>
      <c r="L296" s="43"/>
      <c r="M296" s="43" t="s">
        <v>63</v>
      </c>
      <c r="N296" s="43"/>
      <c r="O296" s="43"/>
      <c r="P296" s="43"/>
      <c r="Q296" s="43" t="s">
        <v>43</v>
      </c>
      <c r="R296" s="43" t="s">
        <v>1686</v>
      </c>
      <c r="S296" s="44"/>
      <c r="T296" s="39">
        <v>3.92</v>
      </c>
      <c r="U296" s="39"/>
      <c r="V296" s="39"/>
      <c r="W296" s="39"/>
      <c r="X296" s="39"/>
      <c r="Y296" s="39"/>
      <c r="Z296" s="46"/>
      <c r="AA296" s="47" t="s">
        <v>1687</v>
      </c>
      <c r="AB296" s="48" t="s">
        <v>61</v>
      </c>
      <c r="AC296" s="68" t="s">
        <v>61</v>
      </c>
      <c r="AD296" s="69" t="s">
        <v>61</v>
      </c>
      <c r="AE296" s="69" t="s">
        <v>61</v>
      </c>
      <c r="AF296" s="68" t="s">
        <v>61</v>
      </c>
      <c r="AG296" s="68" t="s">
        <v>61</v>
      </c>
      <c r="AH296" s="68" t="s">
        <v>61</v>
      </c>
      <c r="AI296" s="70" t="s">
        <v>61</v>
      </c>
      <c r="AJ296" s="114" t="s">
        <v>61</v>
      </c>
      <c r="AK296" s="82"/>
    </row>
    <row r="297" ht="24.0" customHeight="1">
      <c r="A297" s="35"/>
      <c r="B297" s="36">
        <v>1.0</v>
      </c>
      <c r="C297" s="37" t="str">
        <f>IFERROR(__xludf.DUMMYFUNCTION("""COMPUTED_VALUE"""),"Jeremy Powell (3) - '26 LHP SC")</f>
        <v>Jeremy Powell (3) - '26 LHP SC</v>
      </c>
      <c r="D297" s="38" t="s">
        <v>1688</v>
      </c>
      <c r="E297" s="51" t="s">
        <v>122</v>
      </c>
      <c r="F297" s="115"/>
      <c r="G297" s="116" t="s">
        <v>1430</v>
      </c>
      <c r="H297" s="54" t="s">
        <v>1689</v>
      </c>
      <c r="I297" s="55" t="s">
        <v>1685</v>
      </c>
      <c r="J297" s="55">
        <v>2026.0</v>
      </c>
      <c r="K297" s="55">
        <v>3.0</v>
      </c>
      <c r="L297" s="131"/>
      <c r="M297" s="55" t="s">
        <v>122</v>
      </c>
      <c r="N297" s="57"/>
      <c r="O297" s="57"/>
      <c r="P297" s="57"/>
      <c r="Q297" s="55" t="s">
        <v>286</v>
      </c>
      <c r="R297" s="55" t="s">
        <v>1690</v>
      </c>
      <c r="S297" s="58" t="s">
        <v>1691</v>
      </c>
      <c r="T297" s="51" t="s">
        <v>1692</v>
      </c>
      <c r="U297" s="74"/>
      <c r="V297" s="74"/>
      <c r="W297" s="74"/>
      <c r="X297" s="74"/>
      <c r="Y297" s="74"/>
      <c r="Z297" s="60" t="s">
        <v>1541</v>
      </c>
      <c r="AA297" s="73" t="s">
        <v>1693</v>
      </c>
      <c r="AB297" s="62" t="s">
        <v>1694</v>
      </c>
      <c r="AC297" s="63" t="s">
        <v>1695</v>
      </c>
      <c r="AD297" s="64" t="s">
        <v>1696</v>
      </c>
      <c r="AE297" s="64" t="s">
        <v>1697</v>
      </c>
      <c r="AF297" s="63" t="s">
        <v>60</v>
      </c>
      <c r="AG297" s="63"/>
      <c r="AH297" s="63"/>
      <c r="AI297" s="65" t="s">
        <v>1698</v>
      </c>
      <c r="AJ297" s="66" t="s">
        <v>61</v>
      </c>
      <c r="AK297" s="60"/>
    </row>
    <row r="298" ht="24.0" customHeight="1">
      <c r="A298" s="35"/>
      <c r="B298" s="36">
        <v>1.0</v>
      </c>
      <c r="C298" s="37" t="str">
        <f>IFERROR(__xludf.DUMMYFUNCTION("""COMPUTED_VALUE"""),"Reid Dadic (3) - '26 RHP FL")</f>
        <v>Reid Dadic (3) - '26 RHP FL</v>
      </c>
      <c r="D298" s="38" t="s">
        <v>1699</v>
      </c>
      <c r="E298" s="39" t="s">
        <v>63</v>
      </c>
      <c r="F298" s="112"/>
      <c r="G298" s="113" t="s">
        <v>1430</v>
      </c>
      <c r="H298" s="42" t="s">
        <v>1700</v>
      </c>
      <c r="I298" s="43" t="s">
        <v>1701</v>
      </c>
      <c r="J298" s="43">
        <v>2026.0</v>
      </c>
      <c r="K298" s="43">
        <v>3.0</v>
      </c>
      <c r="L298" s="80"/>
      <c r="M298" s="43" t="s">
        <v>63</v>
      </c>
      <c r="N298" s="80"/>
      <c r="O298" s="80"/>
      <c r="P298" s="80"/>
      <c r="Q298" s="43" t="s">
        <v>66</v>
      </c>
      <c r="R298" s="43" t="s">
        <v>1702</v>
      </c>
      <c r="S298" s="44" t="s">
        <v>1703</v>
      </c>
      <c r="T298" s="39" t="s">
        <v>1704</v>
      </c>
      <c r="U298" s="81"/>
      <c r="V298" s="81"/>
      <c r="W298" s="81"/>
      <c r="X298" s="39" t="s">
        <v>1705</v>
      </c>
      <c r="Y298" s="81"/>
      <c r="Z298" s="46" t="s">
        <v>1541</v>
      </c>
      <c r="AA298" s="47" t="s">
        <v>1706</v>
      </c>
      <c r="AB298" s="48" t="s">
        <v>1707</v>
      </c>
      <c r="AC298" s="68" t="s">
        <v>1708</v>
      </c>
      <c r="AD298" s="69" t="s">
        <v>1709</v>
      </c>
      <c r="AE298" s="69" t="s">
        <v>1710</v>
      </c>
      <c r="AF298" s="68" t="s">
        <v>400</v>
      </c>
      <c r="AG298" s="68" t="s">
        <v>400</v>
      </c>
      <c r="AH298" s="68" t="s">
        <v>400</v>
      </c>
      <c r="AI298" s="70" t="s">
        <v>400</v>
      </c>
      <c r="AJ298" s="49" t="s">
        <v>61</v>
      </c>
      <c r="AK298" s="46"/>
    </row>
    <row r="299" ht="24.0" customHeight="1">
      <c r="A299" s="35"/>
      <c r="B299" s="36">
        <v>1.0</v>
      </c>
      <c r="C299" s="37" t="str">
        <f>IFERROR(__xludf.DUMMYFUNCTION("""COMPUTED_VALUE"""),"Shane Parker (3) - '26 MINF ")</f>
        <v>Shane Parker (3) - '26 MINF </v>
      </c>
      <c r="D299" s="38" t="s">
        <v>1711</v>
      </c>
      <c r="E299" s="51" t="s">
        <v>48</v>
      </c>
      <c r="F299" s="119">
        <v>45855.0</v>
      </c>
      <c r="G299" s="116" t="s">
        <v>1395</v>
      </c>
      <c r="H299" s="54" t="s">
        <v>1712</v>
      </c>
      <c r="I299" s="55" t="s">
        <v>1595</v>
      </c>
      <c r="J299" s="55">
        <v>2026.0</v>
      </c>
      <c r="K299" s="55">
        <v>3.0</v>
      </c>
      <c r="L299" s="55"/>
      <c r="M299" s="55" t="s">
        <v>51</v>
      </c>
      <c r="N299" s="55"/>
      <c r="O299" s="55"/>
      <c r="P299" s="55"/>
      <c r="Q299" s="55"/>
      <c r="R299" s="55"/>
      <c r="S299" s="58" t="s">
        <v>784</v>
      </c>
      <c r="T299" s="51"/>
      <c r="U299" s="51"/>
      <c r="V299" s="51"/>
      <c r="W299" s="51"/>
      <c r="X299" s="51"/>
      <c r="Y299" s="51"/>
      <c r="Z299" s="60"/>
      <c r="AA299" s="73"/>
      <c r="AB299" s="62" t="s">
        <v>61</v>
      </c>
      <c r="AC299" s="63" t="s">
        <v>61</v>
      </c>
      <c r="AD299" s="64" t="s">
        <v>61</v>
      </c>
      <c r="AE299" s="64" t="s">
        <v>61</v>
      </c>
      <c r="AF299" s="63" t="s">
        <v>61</v>
      </c>
      <c r="AG299" s="63" t="s">
        <v>61</v>
      </c>
      <c r="AH299" s="63" t="s">
        <v>61</v>
      </c>
      <c r="AI299" s="65" t="s">
        <v>61</v>
      </c>
      <c r="AJ299" s="66" t="s">
        <v>61</v>
      </c>
      <c r="AK299" s="60"/>
    </row>
    <row r="300" ht="24.0" customHeight="1">
      <c r="A300" s="35"/>
      <c r="B300" s="36">
        <v>1.0</v>
      </c>
      <c r="C300" s="37" t="str">
        <f>IFERROR(__xludf.DUMMYFUNCTION("""COMPUTED_VALUE"""),"Silas Meuli (3) - '26 COF CO")</f>
        <v>Silas Meuli (3) - '26 COF CO</v>
      </c>
      <c r="D300" s="38" t="s">
        <v>1713</v>
      </c>
      <c r="E300" s="39" t="s">
        <v>103</v>
      </c>
      <c r="F300" s="112"/>
      <c r="G300" s="113" t="s">
        <v>1430</v>
      </c>
      <c r="H300" s="42" t="s">
        <v>1714</v>
      </c>
      <c r="I300" s="43" t="s">
        <v>1715</v>
      </c>
      <c r="J300" s="43">
        <v>2026.0</v>
      </c>
      <c r="K300" s="43">
        <v>3.0</v>
      </c>
      <c r="L300" s="80"/>
      <c r="M300" s="43" t="s">
        <v>42</v>
      </c>
      <c r="N300" s="80"/>
      <c r="O300" s="80"/>
      <c r="P300" s="80"/>
      <c r="Q300" s="43" t="s">
        <v>174</v>
      </c>
      <c r="R300" s="43" t="s">
        <v>1716</v>
      </c>
      <c r="S300" s="44" t="s">
        <v>1579</v>
      </c>
      <c r="T300" s="39">
        <v>3.9</v>
      </c>
      <c r="U300" s="81"/>
      <c r="V300" s="81"/>
      <c r="W300" s="81"/>
      <c r="X300" s="81"/>
      <c r="Y300" s="81"/>
      <c r="Z300" s="82"/>
      <c r="AA300" s="47" t="s">
        <v>1717</v>
      </c>
      <c r="AB300" s="48" t="s">
        <v>61</v>
      </c>
      <c r="AC300" s="68" t="s">
        <v>61</v>
      </c>
      <c r="AD300" s="69" t="s">
        <v>61</v>
      </c>
      <c r="AE300" s="69" t="s">
        <v>61</v>
      </c>
      <c r="AF300" s="68" t="s">
        <v>61</v>
      </c>
      <c r="AG300" s="68" t="s">
        <v>61</v>
      </c>
      <c r="AH300" s="68" t="s">
        <v>61</v>
      </c>
      <c r="AI300" s="70" t="s">
        <v>61</v>
      </c>
      <c r="AJ300" s="49" t="s">
        <v>61</v>
      </c>
      <c r="AK300" s="46"/>
    </row>
    <row r="301" ht="24.0" customHeight="1">
      <c r="A301" s="35"/>
      <c r="B301" s="36">
        <v>1.0</v>
      </c>
      <c r="C301" s="37" t="str">
        <f>IFERROR(__xludf.DUMMYFUNCTION("""COMPUTED_VALUE"""),"Teddy Stephenson (3) - '26 SS ")</f>
        <v>Teddy Stephenson (3) - '26 SS </v>
      </c>
      <c r="D301" s="38" t="s">
        <v>1718</v>
      </c>
      <c r="E301" s="51" t="s">
        <v>48</v>
      </c>
      <c r="F301" s="137"/>
      <c r="G301" s="133"/>
      <c r="H301" s="54" t="s">
        <v>1719</v>
      </c>
      <c r="I301" s="55" t="s">
        <v>1720</v>
      </c>
      <c r="J301" s="55">
        <v>2026.0</v>
      </c>
      <c r="K301" s="55">
        <v>3.0</v>
      </c>
      <c r="L301" s="57"/>
      <c r="M301" s="55" t="s">
        <v>1398</v>
      </c>
      <c r="N301" s="57"/>
      <c r="O301" s="55" t="s">
        <v>1550</v>
      </c>
      <c r="P301" s="55" t="s">
        <v>1721</v>
      </c>
      <c r="Q301" s="57"/>
      <c r="R301" s="55" t="s">
        <v>1722</v>
      </c>
      <c r="S301" s="58" t="s">
        <v>1723</v>
      </c>
      <c r="T301" s="74"/>
      <c r="U301" s="74"/>
      <c r="V301" s="51"/>
      <c r="W301" s="51" t="s">
        <v>1724</v>
      </c>
      <c r="X301" s="74"/>
      <c r="Y301" s="74"/>
      <c r="Z301" s="76"/>
      <c r="AA301" s="134"/>
      <c r="AB301" s="62" t="s">
        <v>1725</v>
      </c>
      <c r="AC301" s="63" t="s">
        <v>1726</v>
      </c>
      <c r="AD301" s="64">
        <v>3.5</v>
      </c>
      <c r="AE301" s="64"/>
      <c r="AF301" s="63" t="s">
        <v>60</v>
      </c>
      <c r="AG301" s="63" t="s">
        <v>60</v>
      </c>
      <c r="AH301" s="63" t="s">
        <v>60</v>
      </c>
      <c r="AI301" s="65" t="s">
        <v>81</v>
      </c>
      <c r="AJ301" s="66" t="s">
        <v>61</v>
      </c>
      <c r="AK301" s="60"/>
    </row>
    <row r="302" ht="24.0" customHeight="1">
      <c r="A302" s="35"/>
      <c r="B302" s="36">
        <v>1.0</v>
      </c>
      <c r="C302" s="37" t="str">
        <f>IFERROR(__xludf.DUMMYFUNCTION("""COMPUTED_VALUE"""),"Thomas Jewett (3) - '26 CINF VA")</f>
        <v>Thomas Jewett (3) - '26 CINF VA</v>
      </c>
      <c r="D302" s="38" t="s">
        <v>1727</v>
      </c>
      <c r="E302" s="39" t="s">
        <v>48</v>
      </c>
      <c r="F302" s="112"/>
      <c r="G302" s="113"/>
      <c r="H302" s="42" t="s">
        <v>335</v>
      </c>
      <c r="I302" s="43" t="s">
        <v>646</v>
      </c>
      <c r="J302" s="43">
        <v>2026.0</v>
      </c>
      <c r="K302" s="43">
        <v>3.0</v>
      </c>
      <c r="L302" s="80"/>
      <c r="M302" s="43" t="s">
        <v>72</v>
      </c>
      <c r="N302" s="80"/>
      <c r="O302" s="80"/>
      <c r="P302" s="80"/>
      <c r="Q302" s="43" t="s">
        <v>125</v>
      </c>
      <c r="R302" s="43" t="s">
        <v>1728</v>
      </c>
      <c r="S302" s="44"/>
      <c r="T302" s="39">
        <v>4.2</v>
      </c>
      <c r="U302" s="81"/>
      <c r="V302" s="81"/>
      <c r="W302" s="81"/>
      <c r="X302" s="39" t="s">
        <v>1729</v>
      </c>
      <c r="Y302" s="81"/>
      <c r="Z302" s="82"/>
      <c r="AA302" s="47" t="s">
        <v>1730</v>
      </c>
      <c r="AB302" s="48" t="s">
        <v>61</v>
      </c>
      <c r="AC302" s="68" t="s">
        <v>61</v>
      </c>
      <c r="AD302" s="69" t="s">
        <v>61</v>
      </c>
      <c r="AE302" s="69" t="s">
        <v>61</v>
      </c>
      <c r="AF302" s="68" t="s">
        <v>61</v>
      </c>
      <c r="AG302" s="68" t="s">
        <v>61</v>
      </c>
      <c r="AH302" s="68" t="s">
        <v>61</v>
      </c>
      <c r="AI302" s="70" t="s">
        <v>61</v>
      </c>
      <c r="AJ302" s="49" t="s">
        <v>61</v>
      </c>
      <c r="AK302" s="46"/>
    </row>
    <row r="303" ht="24.0" customHeight="1">
      <c r="A303" s="35"/>
      <c r="B303" s="36">
        <v>1.0</v>
      </c>
      <c r="C303" s="37" t="str">
        <f>IFERROR(__xludf.DUMMYFUNCTION("""COMPUTED_VALUE"""),"Trenton Robinson (3) - '26 RHP GA")</f>
        <v>Trenton Robinson (3) - '26 RHP GA</v>
      </c>
      <c r="D303" s="38" t="s">
        <v>1731</v>
      </c>
      <c r="E303" s="51" t="s">
        <v>63</v>
      </c>
      <c r="F303" s="115"/>
      <c r="G303" s="116"/>
      <c r="H303" s="54" t="s">
        <v>1732</v>
      </c>
      <c r="I303" s="55" t="s">
        <v>1733</v>
      </c>
      <c r="J303" s="55">
        <v>2026.0</v>
      </c>
      <c r="K303" s="55">
        <v>3.0</v>
      </c>
      <c r="L303" s="57"/>
      <c r="M303" s="55" t="s">
        <v>63</v>
      </c>
      <c r="N303" s="57"/>
      <c r="O303" s="57"/>
      <c r="P303" s="57"/>
      <c r="Q303" s="55" t="s">
        <v>43</v>
      </c>
      <c r="R303" s="55" t="s">
        <v>1734</v>
      </c>
      <c r="S303" s="58" t="s">
        <v>1735</v>
      </c>
      <c r="T303" s="51">
        <v>3.9</v>
      </c>
      <c r="U303" s="74"/>
      <c r="V303" s="74"/>
      <c r="W303" s="74"/>
      <c r="X303" s="74"/>
      <c r="Y303" s="74"/>
      <c r="Z303" s="76"/>
      <c r="AA303" s="73" t="s">
        <v>1736</v>
      </c>
      <c r="AB303" s="62" t="s">
        <v>61</v>
      </c>
      <c r="AC303" s="63" t="s">
        <v>61</v>
      </c>
      <c r="AD303" s="64" t="s">
        <v>61</v>
      </c>
      <c r="AE303" s="64" t="s">
        <v>61</v>
      </c>
      <c r="AF303" s="63" t="s">
        <v>61</v>
      </c>
      <c r="AG303" s="63" t="s">
        <v>61</v>
      </c>
      <c r="AH303" s="63" t="s">
        <v>61</v>
      </c>
      <c r="AI303" s="65" t="s">
        <v>61</v>
      </c>
      <c r="AJ303" s="105" t="s">
        <v>61</v>
      </c>
      <c r="AK303" s="76"/>
    </row>
    <row r="304" ht="24.0" customHeight="1">
      <c r="A304" s="88"/>
      <c r="B304" s="36">
        <v>1.0</v>
      </c>
      <c r="C304" s="37" t="str">
        <f>IFERROR(__xludf.DUMMYFUNCTION("""COMPUTED_VALUE"""),"William Kane (3) - '26 CINF FL")</f>
        <v>William Kane (3) - '26 CINF FL</v>
      </c>
      <c r="D304" s="38" t="s">
        <v>1737</v>
      </c>
      <c r="E304" s="39" t="s">
        <v>48</v>
      </c>
      <c r="F304" s="112"/>
      <c r="G304" s="113" t="s">
        <v>1430</v>
      </c>
      <c r="H304" s="42" t="s">
        <v>1738</v>
      </c>
      <c r="I304" s="43" t="s">
        <v>1739</v>
      </c>
      <c r="J304" s="43">
        <v>2026.0</v>
      </c>
      <c r="K304" s="43">
        <v>3.0</v>
      </c>
      <c r="L304" s="80"/>
      <c r="M304" s="43" t="s">
        <v>72</v>
      </c>
      <c r="N304" s="80"/>
      <c r="O304" s="80"/>
      <c r="P304" s="80"/>
      <c r="Q304" s="43" t="s">
        <v>66</v>
      </c>
      <c r="R304" s="43" t="s">
        <v>1740</v>
      </c>
      <c r="S304" s="44" t="s">
        <v>1450</v>
      </c>
      <c r="T304" s="39">
        <v>3.9</v>
      </c>
      <c r="U304" s="81"/>
      <c r="V304" s="81"/>
      <c r="W304" s="81"/>
      <c r="X304" s="81"/>
      <c r="Y304" s="81"/>
      <c r="Z304" s="82"/>
      <c r="AA304" s="47" t="s">
        <v>1741</v>
      </c>
      <c r="AB304" s="48" t="s">
        <v>61</v>
      </c>
      <c r="AC304" s="68" t="s">
        <v>61</v>
      </c>
      <c r="AD304" s="69" t="s">
        <v>61</v>
      </c>
      <c r="AE304" s="69" t="s">
        <v>61</v>
      </c>
      <c r="AF304" s="68" t="s">
        <v>61</v>
      </c>
      <c r="AG304" s="68" t="s">
        <v>61</v>
      </c>
      <c r="AH304" s="68" t="s">
        <v>61</v>
      </c>
      <c r="AI304" s="70" t="s">
        <v>61</v>
      </c>
      <c r="AJ304" s="114" t="s">
        <v>61</v>
      </c>
      <c r="AK304" s="82"/>
    </row>
    <row r="305" ht="24.0" customHeight="1">
      <c r="A305" s="35"/>
      <c r="B305" s="36">
        <v>1.0</v>
      </c>
      <c r="C305" s="37" t="str">
        <f>IFERROR(__xludf.DUMMYFUNCTION("""COMPUTED_VALUE"""),"Drew Almond (3) - '26 COF FL")</f>
        <v>Drew Almond (3) - '26 COF FL</v>
      </c>
      <c r="D305" s="38" t="s">
        <v>1742</v>
      </c>
      <c r="E305" s="51" t="s">
        <v>103</v>
      </c>
      <c r="F305" s="115"/>
      <c r="G305" s="116" t="s">
        <v>1430</v>
      </c>
      <c r="H305" s="54" t="s">
        <v>249</v>
      </c>
      <c r="I305" s="55" t="s">
        <v>1743</v>
      </c>
      <c r="J305" s="55">
        <v>2026.0</v>
      </c>
      <c r="K305" s="55">
        <v>3.0</v>
      </c>
      <c r="L305" s="57"/>
      <c r="M305" s="55" t="s">
        <v>42</v>
      </c>
      <c r="N305" s="57"/>
      <c r="O305" s="57"/>
      <c r="P305" s="57"/>
      <c r="Q305" s="55" t="s">
        <v>66</v>
      </c>
      <c r="R305" s="55" t="s">
        <v>1744</v>
      </c>
      <c r="S305" s="58" t="s">
        <v>1088</v>
      </c>
      <c r="T305" s="51" t="s">
        <v>1745</v>
      </c>
      <c r="U305" s="74"/>
      <c r="V305" s="74"/>
      <c r="W305" s="74"/>
      <c r="X305" s="74"/>
      <c r="Y305" s="74"/>
      <c r="Z305" s="76"/>
      <c r="AA305" s="73" t="s">
        <v>1746</v>
      </c>
      <c r="AB305" s="62" t="s">
        <v>61</v>
      </c>
      <c r="AC305" s="63" t="s">
        <v>61</v>
      </c>
      <c r="AD305" s="64" t="s">
        <v>61</v>
      </c>
      <c r="AE305" s="64" t="s">
        <v>61</v>
      </c>
      <c r="AF305" s="63" t="s">
        <v>61</v>
      </c>
      <c r="AG305" s="63" t="s">
        <v>61</v>
      </c>
      <c r="AH305" s="63" t="s">
        <v>61</v>
      </c>
      <c r="AI305" s="65" t="s">
        <v>61</v>
      </c>
      <c r="AJ305" s="66" t="s">
        <v>61</v>
      </c>
      <c r="AK305" s="60"/>
    </row>
    <row r="306" ht="24.0" customHeight="1">
      <c r="A306" s="35"/>
      <c r="B306" s="36">
        <v>1.0</v>
      </c>
      <c r="C306" s="37" t="str">
        <f>IFERROR(__xludf.DUMMYFUNCTION("""COMPUTED_VALUE"""),"Drew Cothren (3) - '26 COF FL")</f>
        <v>Drew Cothren (3) - '26 COF FL</v>
      </c>
      <c r="D306" s="38" t="s">
        <v>1747</v>
      </c>
      <c r="E306" s="39" t="s">
        <v>103</v>
      </c>
      <c r="F306" s="112"/>
      <c r="G306" s="113" t="s">
        <v>1430</v>
      </c>
      <c r="H306" s="42" t="s">
        <v>249</v>
      </c>
      <c r="I306" s="43" t="s">
        <v>1748</v>
      </c>
      <c r="J306" s="43">
        <v>2026.0</v>
      </c>
      <c r="K306" s="43">
        <v>3.0</v>
      </c>
      <c r="L306" s="80"/>
      <c r="M306" s="43" t="s">
        <v>42</v>
      </c>
      <c r="N306" s="80"/>
      <c r="O306" s="80"/>
      <c r="P306" s="80"/>
      <c r="Q306" s="43" t="s">
        <v>66</v>
      </c>
      <c r="R306" s="43" t="s">
        <v>1749</v>
      </c>
      <c r="S306" s="44" t="s">
        <v>1642</v>
      </c>
      <c r="T306" s="39">
        <v>3.49</v>
      </c>
      <c r="U306" s="81"/>
      <c r="V306" s="81"/>
      <c r="W306" s="81"/>
      <c r="X306" s="81"/>
      <c r="Y306" s="81"/>
      <c r="Z306" s="82"/>
      <c r="AA306" s="47" t="s">
        <v>1750</v>
      </c>
      <c r="AB306" s="48" t="s">
        <v>61</v>
      </c>
      <c r="AC306" s="68" t="s">
        <v>61</v>
      </c>
      <c r="AD306" s="69" t="s">
        <v>61</v>
      </c>
      <c r="AE306" s="69" t="s">
        <v>61</v>
      </c>
      <c r="AF306" s="68" t="s">
        <v>61</v>
      </c>
      <c r="AG306" s="68" t="s">
        <v>61</v>
      </c>
      <c r="AH306" s="68" t="s">
        <v>61</v>
      </c>
      <c r="AI306" s="70" t="s">
        <v>61</v>
      </c>
      <c r="AJ306" s="49" t="s">
        <v>61</v>
      </c>
      <c r="AK306" s="46"/>
    </row>
    <row r="307" ht="24.0" customHeight="1">
      <c r="A307" s="35"/>
      <c r="B307" s="36">
        <v>1.0</v>
      </c>
      <c r="C307" s="37" t="str">
        <f>IFERROR(__xludf.DUMMYFUNCTION("""COMPUTED_VALUE"""),"Joseph Soto (3) - '26 LHP GA")</f>
        <v>Joseph Soto (3) - '26 LHP GA</v>
      </c>
      <c r="D307" s="89" t="s">
        <v>1751</v>
      </c>
      <c r="E307" s="51" t="s">
        <v>122</v>
      </c>
      <c r="F307" s="137"/>
      <c r="G307" s="133"/>
      <c r="H307" s="54" t="s">
        <v>971</v>
      </c>
      <c r="I307" s="55" t="s">
        <v>1752</v>
      </c>
      <c r="J307" s="55">
        <v>2026.0</v>
      </c>
      <c r="K307" s="55">
        <v>3.0</v>
      </c>
      <c r="L307" s="57"/>
      <c r="M307" s="55" t="s">
        <v>122</v>
      </c>
      <c r="N307" s="55"/>
      <c r="O307" s="57"/>
      <c r="P307" s="57"/>
      <c r="Q307" s="55" t="s">
        <v>43</v>
      </c>
      <c r="R307" s="57"/>
      <c r="S307" s="58" t="s">
        <v>1753</v>
      </c>
      <c r="T307" s="51" t="s">
        <v>1754</v>
      </c>
      <c r="U307" s="74"/>
      <c r="V307" s="74"/>
      <c r="W307" s="74"/>
      <c r="X307" s="74"/>
      <c r="Y307" s="74"/>
      <c r="Z307" s="76"/>
      <c r="AA307" s="73" t="s">
        <v>1755</v>
      </c>
      <c r="AB307" s="62" t="s">
        <v>61</v>
      </c>
      <c r="AC307" s="63" t="s">
        <v>61</v>
      </c>
      <c r="AD307" s="64" t="s">
        <v>61</v>
      </c>
      <c r="AE307" s="64" t="s">
        <v>61</v>
      </c>
      <c r="AF307" s="63" t="s">
        <v>61</v>
      </c>
      <c r="AG307" s="63" t="s">
        <v>61</v>
      </c>
      <c r="AH307" s="63" t="s">
        <v>61</v>
      </c>
      <c r="AI307" s="65" t="s">
        <v>61</v>
      </c>
      <c r="AJ307" s="66" t="s">
        <v>61</v>
      </c>
      <c r="AK307" s="60"/>
    </row>
    <row r="308" ht="24.0" customHeight="1">
      <c r="A308" s="35"/>
      <c r="B308" s="36">
        <v>1.0</v>
      </c>
      <c r="C308" s="37" t="str">
        <f>IFERROR(__xludf.DUMMYFUNCTION("""COMPUTED_VALUE"""),"Riley Sherowski (3) - '26 RHP TX")</f>
        <v>Riley Sherowski (3) - '26 RHP TX</v>
      </c>
      <c r="D308" s="89" t="s">
        <v>1756</v>
      </c>
      <c r="E308" s="39" t="s">
        <v>63</v>
      </c>
      <c r="F308" s="118">
        <v>45945.0</v>
      </c>
      <c r="G308" s="122"/>
      <c r="H308" s="42" t="s">
        <v>1187</v>
      </c>
      <c r="I308" s="43" t="s">
        <v>1757</v>
      </c>
      <c r="J308" s="43">
        <v>2026.0</v>
      </c>
      <c r="K308" s="43">
        <v>3.0</v>
      </c>
      <c r="L308" s="80"/>
      <c r="M308" s="43" t="s">
        <v>63</v>
      </c>
      <c r="N308" s="43"/>
      <c r="O308" s="43" t="s">
        <v>1550</v>
      </c>
      <c r="P308" s="43" t="s">
        <v>1758</v>
      </c>
      <c r="Q308" s="43" t="s">
        <v>180</v>
      </c>
      <c r="R308" s="43" t="s">
        <v>1759</v>
      </c>
      <c r="S308" s="44" t="s">
        <v>1760</v>
      </c>
      <c r="T308" s="81"/>
      <c r="U308" s="81"/>
      <c r="V308" s="81"/>
      <c r="W308" s="39" t="s">
        <v>1571</v>
      </c>
      <c r="X308" s="81"/>
      <c r="Y308" s="81"/>
      <c r="Z308" s="82"/>
      <c r="AA308" s="99"/>
      <c r="AB308" s="48" t="s">
        <v>61</v>
      </c>
      <c r="AC308" s="68" t="s">
        <v>61</v>
      </c>
      <c r="AD308" s="69" t="s">
        <v>61</v>
      </c>
      <c r="AE308" s="69" t="s">
        <v>61</v>
      </c>
      <c r="AF308" s="68" t="s">
        <v>61</v>
      </c>
      <c r="AG308" s="68" t="s">
        <v>61</v>
      </c>
      <c r="AH308" s="68" t="s">
        <v>61</v>
      </c>
      <c r="AI308" s="70" t="s">
        <v>61</v>
      </c>
      <c r="AJ308" s="49" t="s">
        <v>61</v>
      </c>
      <c r="AK308" s="46"/>
    </row>
    <row r="309" ht="24.0" customHeight="1">
      <c r="A309" s="35"/>
      <c r="B309" s="36">
        <v>1.0</v>
      </c>
      <c r="C309" s="37" t="str">
        <f>IFERROR(__xludf.DUMMYFUNCTION("""COMPUTED_VALUE"""),"Lukas Harbour (3) - '26 RHP VA")</f>
        <v>Lukas Harbour (3) - '26 RHP VA</v>
      </c>
      <c r="D309" s="89" t="s">
        <v>1761</v>
      </c>
      <c r="E309" s="51" t="s">
        <v>63</v>
      </c>
      <c r="F309" s="119">
        <v>45945.0</v>
      </c>
      <c r="G309" s="133"/>
      <c r="H309" s="54" t="s">
        <v>1762</v>
      </c>
      <c r="I309" s="55" t="s">
        <v>1763</v>
      </c>
      <c r="J309" s="55">
        <v>2026.0</v>
      </c>
      <c r="K309" s="55">
        <v>3.0</v>
      </c>
      <c r="L309" s="57"/>
      <c r="M309" s="55" t="s">
        <v>63</v>
      </c>
      <c r="N309" s="55"/>
      <c r="O309" s="55" t="s">
        <v>1550</v>
      </c>
      <c r="P309" s="55" t="s">
        <v>1764</v>
      </c>
      <c r="Q309" s="55" t="s">
        <v>125</v>
      </c>
      <c r="R309" s="55" t="s">
        <v>1765</v>
      </c>
      <c r="S309" s="58" t="s">
        <v>1766</v>
      </c>
      <c r="T309" s="74"/>
      <c r="U309" s="74"/>
      <c r="V309" s="74"/>
      <c r="W309" s="51" t="s">
        <v>1571</v>
      </c>
      <c r="X309" s="74"/>
      <c r="Y309" s="74"/>
      <c r="Z309" s="76"/>
      <c r="AA309" s="134"/>
      <c r="AB309" s="62" t="s">
        <v>61</v>
      </c>
      <c r="AC309" s="63" t="s">
        <v>61</v>
      </c>
      <c r="AD309" s="64" t="s">
        <v>61</v>
      </c>
      <c r="AE309" s="64" t="s">
        <v>61</v>
      </c>
      <c r="AF309" s="63" t="s">
        <v>61</v>
      </c>
      <c r="AG309" s="63" t="s">
        <v>61</v>
      </c>
      <c r="AH309" s="63" t="s">
        <v>61</v>
      </c>
      <c r="AI309" s="65" t="s">
        <v>61</v>
      </c>
      <c r="AJ309" s="66" t="s">
        <v>61</v>
      </c>
      <c r="AK309" s="60"/>
    </row>
    <row r="310" ht="24.0" customHeight="1">
      <c r="A310" s="35"/>
      <c r="B310" s="36">
        <v>1.0</v>
      </c>
      <c r="C310" s="37" t="str">
        <f>IFERROR(__xludf.DUMMYFUNCTION("""COMPUTED_VALUE"""),"Caden  Schlotterbeck (4) - '26 LHP FL")</f>
        <v>Caden  Schlotterbeck (4) - '26 LHP FL</v>
      </c>
      <c r="D310" s="89" t="s">
        <v>1767</v>
      </c>
      <c r="E310" s="39" t="s">
        <v>122</v>
      </c>
      <c r="F310" s="112"/>
      <c r="G310" s="113"/>
      <c r="H310" s="138" t="s">
        <v>1768</v>
      </c>
      <c r="I310" s="80" t="s">
        <v>1769</v>
      </c>
      <c r="J310" s="80">
        <v>2026.0</v>
      </c>
      <c r="K310" s="43">
        <v>4.0</v>
      </c>
      <c r="L310" s="43"/>
      <c r="M310" s="80" t="s">
        <v>122</v>
      </c>
      <c r="N310" s="80"/>
      <c r="O310" s="80" t="s">
        <v>1556</v>
      </c>
      <c r="P310" s="43"/>
      <c r="Q310" s="80" t="s">
        <v>66</v>
      </c>
      <c r="R310" s="43"/>
      <c r="S310" s="44" t="s">
        <v>1770</v>
      </c>
      <c r="T310" s="39"/>
      <c r="U310" s="39"/>
      <c r="V310" s="39"/>
      <c r="W310" s="39"/>
      <c r="X310" s="39"/>
      <c r="Y310" s="39"/>
      <c r="Z310" s="46"/>
      <c r="AA310" s="47"/>
      <c r="AB310" s="48" t="s">
        <v>61</v>
      </c>
      <c r="AC310" s="68" t="s">
        <v>61</v>
      </c>
      <c r="AD310" s="69" t="s">
        <v>61</v>
      </c>
      <c r="AE310" s="69" t="s">
        <v>61</v>
      </c>
      <c r="AF310" s="68" t="s">
        <v>61</v>
      </c>
      <c r="AG310" s="68" t="s">
        <v>61</v>
      </c>
      <c r="AH310" s="68" t="s">
        <v>61</v>
      </c>
      <c r="AI310" s="70" t="s">
        <v>61</v>
      </c>
      <c r="AJ310" s="49" t="s">
        <v>61</v>
      </c>
      <c r="AK310" s="46"/>
    </row>
    <row r="311" ht="24.0" customHeight="1">
      <c r="A311" s="35"/>
      <c r="B311" s="36">
        <v>1.0</v>
      </c>
      <c r="C311" s="37" t="str">
        <f>IFERROR(__xludf.DUMMYFUNCTION("""COMPUTED_VALUE"""),"Cole McGovern (4) - '26 3B MIF, RHP ")</f>
        <v>Cole McGovern (4) - '26 3B MIF, RHP </v>
      </c>
      <c r="D311" s="38" t="s">
        <v>1771</v>
      </c>
      <c r="E311" s="51"/>
      <c r="F311" s="137"/>
      <c r="G311" s="133"/>
      <c r="H311" s="54" t="s">
        <v>324</v>
      </c>
      <c r="I311" s="55" t="s">
        <v>1772</v>
      </c>
      <c r="J311" s="55">
        <v>2026.0</v>
      </c>
      <c r="K311" s="55">
        <v>4.0</v>
      </c>
      <c r="L311" s="57"/>
      <c r="M311" s="55" t="s">
        <v>1773</v>
      </c>
      <c r="N311" s="57"/>
      <c r="O311" s="55" t="s">
        <v>1550</v>
      </c>
      <c r="P311" s="55" t="s">
        <v>1774</v>
      </c>
      <c r="Q311" s="57"/>
      <c r="R311" s="55" t="s">
        <v>1775</v>
      </c>
      <c r="S311" s="58" t="s">
        <v>1776</v>
      </c>
      <c r="T311" s="74"/>
      <c r="U311" s="74"/>
      <c r="V311" s="139"/>
      <c r="W311" s="51" t="s">
        <v>1724</v>
      </c>
      <c r="X311" s="74"/>
      <c r="Y311" s="74"/>
      <c r="Z311" s="76"/>
      <c r="AA311" s="134"/>
      <c r="AB311" s="62" t="s">
        <v>61</v>
      </c>
      <c r="AC311" s="63" t="s">
        <v>61</v>
      </c>
      <c r="AD311" s="64" t="s">
        <v>61</v>
      </c>
      <c r="AE311" s="64" t="s">
        <v>61</v>
      </c>
      <c r="AF311" s="63" t="s">
        <v>61</v>
      </c>
      <c r="AG311" s="63" t="s">
        <v>61</v>
      </c>
      <c r="AH311" s="63" t="s">
        <v>61</v>
      </c>
      <c r="AI311" s="65" t="s">
        <v>61</v>
      </c>
      <c r="AJ311" s="66" t="s">
        <v>61</v>
      </c>
      <c r="AK311" s="60"/>
    </row>
    <row r="312" ht="24.0" customHeight="1">
      <c r="A312" s="35"/>
      <c r="B312" s="36">
        <v>1.0</v>
      </c>
      <c r="C312" s="37" t="str">
        <f>IFERROR(__xludf.DUMMYFUNCTION("""COMPUTED_VALUE"""),"Gordon  Cozad (4) - '26 MINF VA")</f>
        <v>Gordon  Cozad (4) - '26 MINF VA</v>
      </c>
      <c r="D312" s="89" t="s">
        <v>1777</v>
      </c>
      <c r="E312" s="39" t="s">
        <v>48</v>
      </c>
      <c r="F312" s="112"/>
      <c r="G312" s="113"/>
      <c r="H312" s="138" t="s">
        <v>1778</v>
      </c>
      <c r="I312" s="80" t="s">
        <v>1779</v>
      </c>
      <c r="J312" s="80">
        <v>2026.0</v>
      </c>
      <c r="K312" s="43">
        <v>4.0</v>
      </c>
      <c r="L312" s="43"/>
      <c r="M312" s="80" t="s">
        <v>51</v>
      </c>
      <c r="N312" s="80"/>
      <c r="O312" s="80" t="s">
        <v>1550</v>
      </c>
      <c r="P312" s="43"/>
      <c r="Q312" s="80" t="s">
        <v>125</v>
      </c>
      <c r="R312" s="43"/>
      <c r="S312" s="44" t="s">
        <v>1766</v>
      </c>
      <c r="T312" s="39"/>
      <c r="U312" s="39"/>
      <c r="V312" s="39"/>
      <c r="W312" s="39"/>
      <c r="X312" s="39"/>
      <c r="Y312" s="39"/>
      <c r="Z312" s="46"/>
      <c r="AA312" s="47"/>
      <c r="AB312" s="48" t="s">
        <v>61</v>
      </c>
      <c r="AC312" s="68" t="s">
        <v>61</v>
      </c>
      <c r="AD312" s="69" t="s">
        <v>61</v>
      </c>
      <c r="AE312" s="69" t="s">
        <v>61</v>
      </c>
      <c r="AF312" s="68" t="s">
        <v>61</v>
      </c>
      <c r="AG312" s="68" t="s">
        <v>61</v>
      </c>
      <c r="AH312" s="68" t="s">
        <v>61</v>
      </c>
      <c r="AI312" s="70" t="s">
        <v>61</v>
      </c>
      <c r="AJ312" s="49" t="s">
        <v>61</v>
      </c>
      <c r="AK312" s="46"/>
    </row>
    <row r="313" ht="24.0" customHeight="1">
      <c r="A313" s="35"/>
      <c r="B313" s="36">
        <v>1.0</v>
      </c>
      <c r="C313" s="37" t="str">
        <f>IFERROR(__xludf.DUMMYFUNCTION("""COMPUTED_VALUE"""),"Grant  Shepherd (4) - '26 LHP TX")</f>
        <v>Grant  Shepherd (4) - '26 LHP TX</v>
      </c>
      <c r="D313" s="38" t="s">
        <v>1780</v>
      </c>
      <c r="E313" s="51" t="s">
        <v>122</v>
      </c>
      <c r="F313" s="115"/>
      <c r="G313" s="116"/>
      <c r="H313" s="54" t="s">
        <v>1781</v>
      </c>
      <c r="I313" s="55" t="s">
        <v>1782</v>
      </c>
      <c r="J313" s="55">
        <v>2026.0</v>
      </c>
      <c r="K313" s="55">
        <v>4.0</v>
      </c>
      <c r="L313" s="55"/>
      <c r="M313" s="55" t="s">
        <v>122</v>
      </c>
      <c r="N313" s="55"/>
      <c r="O313" s="55"/>
      <c r="P313" s="55"/>
      <c r="Q313" s="55" t="s">
        <v>180</v>
      </c>
      <c r="R313" s="55" t="s">
        <v>1783</v>
      </c>
      <c r="S313" s="58" t="s">
        <v>809</v>
      </c>
      <c r="T313" s="51" t="s">
        <v>1784</v>
      </c>
      <c r="U313" s="51"/>
      <c r="V313" s="51"/>
      <c r="W313" s="51"/>
      <c r="X313" s="51"/>
      <c r="Y313" s="51"/>
      <c r="Z313" s="60"/>
      <c r="AA313" s="73"/>
      <c r="AB313" s="62" t="s">
        <v>61</v>
      </c>
      <c r="AC313" s="63" t="s">
        <v>61</v>
      </c>
      <c r="AD313" s="64" t="s">
        <v>61</v>
      </c>
      <c r="AE313" s="64" t="s">
        <v>61</v>
      </c>
      <c r="AF313" s="63" t="s">
        <v>61</v>
      </c>
      <c r="AG313" s="63" t="s">
        <v>61</v>
      </c>
      <c r="AH313" s="63" t="s">
        <v>61</v>
      </c>
      <c r="AI313" s="65" t="s">
        <v>61</v>
      </c>
      <c r="AJ313" s="66" t="s">
        <v>61</v>
      </c>
      <c r="AK313" s="60"/>
    </row>
    <row r="314" ht="24.0" customHeight="1">
      <c r="A314" s="35"/>
      <c r="B314" s="36">
        <v>1.0</v>
      </c>
      <c r="C314" s="37" t="str">
        <f>IFERROR(__xludf.DUMMYFUNCTION("""COMPUTED_VALUE"""),"Isaac Sullivan (4) - '26 RHP OH")</f>
        <v>Isaac Sullivan (4) - '26 RHP OH</v>
      </c>
      <c r="D314" s="89" t="s">
        <v>1785</v>
      </c>
      <c r="E314" s="39" t="s">
        <v>63</v>
      </c>
      <c r="F314" s="118">
        <v>45854.0</v>
      </c>
      <c r="G314" s="113" t="s">
        <v>1395</v>
      </c>
      <c r="H314" s="42" t="s">
        <v>850</v>
      </c>
      <c r="I314" s="43" t="s">
        <v>1786</v>
      </c>
      <c r="J314" s="43">
        <v>2026.0</v>
      </c>
      <c r="K314" s="43">
        <v>4.0</v>
      </c>
      <c r="L314" s="43"/>
      <c r="M314" s="43" t="s">
        <v>63</v>
      </c>
      <c r="N314" s="43"/>
      <c r="O314" s="43"/>
      <c r="P314" s="43"/>
      <c r="Q314" s="43" t="s">
        <v>529</v>
      </c>
      <c r="R314" s="43"/>
      <c r="S314" s="44" t="s">
        <v>1787</v>
      </c>
      <c r="T314" s="39"/>
      <c r="U314" s="39"/>
      <c r="V314" s="39"/>
      <c r="W314" s="39"/>
      <c r="X314" s="39"/>
      <c r="Y314" s="39"/>
      <c r="Z314" s="46"/>
      <c r="AA314" s="47"/>
      <c r="AB314" s="48" t="s">
        <v>61</v>
      </c>
      <c r="AC314" s="68" t="s">
        <v>61</v>
      </c>
      <c r="AD314" s="69" t="s">
        <v>61</v>
      </c>
      <c r="AE314" s="69" t="s">
        <v>61</v>
      </c>
      <c r="AF314" s="68" t="s">
        <v>61</v>
      </c>
      <c r="AG314" s="68" t="s">
        <v>61</v>
      </c>
      <c r="AH314" s="68" t="s">
        <v>61</v>
      </c>
      <c r="AI314" s="70" t="s">
        <v>61</v>
      </c>
      <c r="AJ314" s="49" t="s">
        <v>61</v>
      </c>
      <c r="AK314" s="46"/>
    </row>
    <row r="315" ht="24.0" customHeight="1">
      <c r="A315" s="35"/>
      <c r="B315" s="36">
        <v>1.0</v>
      </c>
      <c r="C315" s="37" t="str">
        <f>IFERROR(__xludf.DUMMYFUNCTION("""COMPUTED_VALUE"""),"Jack Stefani (4) - '26 RHP IL")</f>
        <v>Jack Stefani (4) - '26 RHP IL</v>
      </c>
      <c r="D315" s="38" t="s">
        <v>1788</v>
      </c>
      <c r="E315" s="51" t="s">
        <v>63</v>
      </c>
      <c r="F315" s="140">
        <v>45849.0</v>
      </c>
      <c r="G315" s="116" t="s">
        <v>1470</v>
      </c>
      <c r="H315" s="54" t="s">
        <v>424</v>
      </c>
      <c r="I315" s="55" t="s">
        <v>1789</v>
      </c>
      <c r="J315" s="55">
        <v>2026.0</v>
      </c>
      <c r="K315" s="55">
        <v>4.0</v>
      </c>
      <c r="L315" s="55"/>
      <c r="M315" s="55" t="s">
        <v>63</v>
      </c>
      <c r="N315" s="55" t="s">
        <v>103</v>
      </c>
      <c r="O315" s="55"/>
      <c r="P315" s="55"/>
      <c r="Q315" s="55" t="s">
        <v>307</v>
      </c>
      <c r="R315" s="55" t="s">
        <v>1790</v>
      </c>
      <c r="S315" s="58" t="s">
        <v>1770</v>
      </c>
      <c r="T315" s="51" t="s">
        <v>1791</v>
      </c>
      <c r="U315" s="51"/>
      <c r="V315" s="51"/>
      <c r="W315" s="51"/>
      <c r="X315" s="51"/>
      <c r="Y315" s="51"/>
      <c r="Z315" s="60"/>
      <c r="AA315" s="73" t="s">
        <v>1792</v>
      </c>
      <c r="AB315" s="62" t="s">
        <v>1793</v>
      </c>
      <c r="AC315" s="63"/>
      <c r="AD315" s="64" t="s">
        <v>1794</v>
      </c>
      <c r="AE315" s="64" t="s">
        <v>1795</v>
      </c>
      <c r="AF315" s="63"/>
      <c r="AG315" s="63" t="s">
        <v>81</v>
      </c>
      <c r="AH315" s="63" t="s">
        <v>81</v>
      </c>
      <c r="AI315" s="65" t="s">
        <v>81</v>
      </c>
      <c r="AJ315" s="66" t="s">
        <v>61</v>
      </c>
      <c r="AK315" s="60"/>
    </row>
    <row r="316" ht="24.0" customHeight="1">
      <c r="A316" s="35"/>
      <c r="B316" s="36">
        <v>1.0</v>
      </c>
      <c r="C316" s="37" t="str">
        <f>IFERROR(__xludf.DUMMYFUNCTION("""COMPUTED_VALUE"""),"Jeremy Thompson (4) - '26 RHP IL")</f>
        <v>Jeremy Thompson (4) - '26 RHP IL</v>
      </c>
      <c r="D316" s="89" t="s">
        <v>1796</v>
      </c>
      <c r="E316" s="39" t="s">
        <v>63</v>
      </c>
      <c r="F316" s="124">
        <v>45854.0</v>
      </c>
      <c r="G316" s="113" t="s">
        <v>1470</v>
      </c>
      <c r="H316" s="42" t="s">
        <v>1689</v>
      </c>
      <c r="I316" s="43" t="s">
        <v>1797</v>
      </c>
      <c r="J316" s="43">
        <v>2026.0</v>
      </c>
      <c r="K316" s="43">
        <v>4.0</v>
      </c>
      <c r="L316" s="43"/>
      <c r="M316" s="43" t="s">
        <v>63</v>
      </c>
      <c r="N316" s="43"/>
      <c r="O316" s="43"/>
      <c r="P316" s="43"/>
      <c r="Q316" s="43" t="s">
        <v>307</v>
      </c>
      <c r="R316" s="43"/>
      <c r="S316" s="44" t="s">
        <v>263</v>
      </c>
      <c r="T316" s="39"/>
      <c r="U316" s="39"/>
      <c r="V316" s="39"/>
      <c r="W316" s="39"/>
      <c r="X316" s="39"/>
      <c r="Y316" s="39"/>
      <c r="Z316" s="46"/>
      <c r="AA316" s="47"/>
      <c r="AB316" s="48" t="s">
        <v>61</v>
      </c>
      <c r="AC316" s="68" t="s">
        <v>61</v>
      </c>
      <c r="AD316" s="69" t="s">
        <v>61</v>
      </c>
      <c r="AE316" s="69" t="s">
        <v>61</v>
      </c>
      <c r="AF316" s="68" t="s">
        <v>61</v>
      </c>
      <c r="AG316" s="68" t="s">
        <v>61</v>
      </c>
      <c r="AH316" s="68" t="s">
        <v>61</v>
      </c>
      <c r="AI316" s="70" t="s">
        <v>61</v>
      </c>
      <c r="AJ316" s="49" t="s">
        <v>61</v>
      </c>
      <c r="AK316" s="46"/>
    </row>
    <row r="317" ht="24.0" customHeight="1">
      <c r="A317" s="35"/>
      <c r="B317" s="36">
        <v>1.0</v>
      </c>
      <c r="C317" s="37" t="str">
        <f>IFERROR(__xludf.DUMMYFUNCTION("""COMPUTED_VALUE"""),"Kenyon Oakes (4) - '26 LHP OH")</f>
        <v>Kenyon Oakes (4) - '26 LHP OH</v>
      </c>
      <c r="D317" s="38" t="s">
        <v>1798</v>
      </c>
      <c r="E317" s="51" t="s">
        <v>122</v>
      </c>
      <c r="F317" s="115"/>
      <c r="G317" s="116"/>
      <c r="H317" s="54" t="s">
        <v>1799</v>
      </c>
      <c r="I317" s="55" t="s">
        <v>1800</v>
      </c>
      <c r="J317" s="55">
        <v>2026.0</v>
      </c>
      <c r="K317" s="55">
        <v>4.0</v>
      </c>
      <c r="L317" s="131"/>
      <c r="M317" s="55" t="s">
        <v>122</v>
      </c>
      <c r="N317" s="57"/>
      <c r="O317" s="57"/>
      <c r="P317" s="57"/>
      <c r="Q317" s="55" t="s">
        <v>529</v>
      </c>
      <c r="R317" s="55" t="s">
        <v>1801</v>
      </c>
      <c r="S317" s="58" t="s">
        <v>1579</v>
      </c>
      <c r="T317" s="51" t="s">
        <v>1802</v>
      </c>
      <c r="U317" s="74"/>
      <c r="V317" s="74"/>
      <c r="W317" s="74"/>
      <c r="X317" s="74"/>
      <c r="Y317" s="74"/>
      <c r="Z317" s="76"/>
      <c r="AA317" s="73" t="s">
        <v>1803</v>
      </c>
      <c r="AB317" s="62" t="s">
        <v>61</v>
      </c>
      <c r="AC317" s="63" t="s">
        <v>61</v>
      </c>
      <c r="AD317" s="64" t="s">
        <v>61</v>
      </c>
      <c r="AE317" s="64" t="s">
        <v>61</v>
      </c>
      <c r="AF317" s="63" t="s">
        <v>61</v>
      </c>
      <c r="AG317" s="63" t="s">
        <v>61</v>
      </c>
      <c r="AH317" s="63" t="s">
        <v>61</v>
      </c>
      <c r="AI317" s="65" t="s">
        <v>61</v>
      </c>
      <c r="AJ317" s="66" t="s">
        <v>61</v>
      </c>
      <c r="AK317" s="60"/>
    </row>
    <row r="318" ht="24.0" customHeight="1">
      <c r="A318" s="35"/>
      <c r="B318" s="36">
        <v>1.0</v>
      </c>
      <c r="C318" s="37" t="str">
        <f>IFERROR(__xludf.DUMMYFUNCTION("""COMPUTED_VALUE"""),"Kye Jacobs (4) - '26 CINF IN")</f>
        <v>Kye Jacobs (4) - '26 CINF IN</v>
      </c>
      <c r="D318" s="89" t="s">
        <v>1804</v>
      </c>
      <c r="E318" s="39" t="s">
        <v>48</v>
      </c>
      <c r="F318" s="112"/>
      <c r="G318" s="113"/>
      <c r="H318" s="42" t="s">
        <v>1805</v>
      </c>
      <c r="I318" s="43" t="s">
        <v>1806</v>
      </c>
      <c r="J318" s="43">
        <v>2026.0</v>
      </c>
      <c r="K318" s="43">
        <v>4.0</v>
      </c>
      <c r="L318" s="80"/>
      <c r="M318" s="43" t="s">
        <v>72</v>
      </c>
      <c r="N318" s="80"/>
      <c r="O318" s="80"/>
      <c r="P318" s="80"/>
      <c r="Q318" s="43" t="s">
        <v>153</v>
      </c>
      <c r="R318" s="43" t="s">
        <v>1807</v>
      </c>
      <c r="S318" s="44"/>
      <c r="T318" s="39" t="s">
        <v>1808</v>
      </c>
      <c r="U318" s="81"/>
      <c r="V318" s="81"/>
      <c r="W318" s="81"/>
      <c r="X318" s="81"/>
      <c r="Y318" s="81"/>
      <c r="Z318" s="82"/>
      <c r="AA318" s="47" t="s">
        <v>1809</v>
      </c>
      <c r="AB318" s="48" t="s">
        <v>1810</v>
      </c>
      <c r="AC318" s="68" t="s">
        <v>1811</v>
      </c>
      <c r="AD318" s="69" t="s">
        <v>1812</v>
      </c>
      <c r="AE318" s="69" t="s">
        <v>1813</v>
      </c>
      <c r="AF318" s="68" t="s">
        <v>1814</v>
      </c>
      <c r="AG318" s="68" t="s">
        <v>400</v>
      </c>
      <c r="AH318" s="68" t="s">
        <v>400</v>
      </c>
      <c r="AI318" s="70" t="s">
        <v>400</v>
      </c>
      <c r="AJ318" s="49" t="s">
        <v>61</v>
      </c>
      <c r="AK318" s="46"/>
    </row>
    <row r="319" ht="24.0" customHeight="1">
      <c r="A319" s="35"/>
      <c r="B319" s="36">
        <v>1.0</v>
      </c>
      <c r="C319" s="37" t="str">
        <f>IFERROR(__xludf.DUMMYFUNCTION("""COMPUTED_VALUE"""),"Luke Gremelspacher (4) - '26 RHP ")</f>
        <v>Luke Gremelspacher (4) - '26 RHP </v>
      </c>
      <c r="D319" s="38" t="s">
        <v>1815</v>
      </c>
      <c r="E319" s="51" t="s">
        <v>63</v>
      </c>
      <c r="F319" s="119">
        <v>45855.0</v>
      </c>
      <c r="G319" s="116" t="s">
        <v>1395</v>
      </c>
      <c r="H319" s="54" t="s">
        <v>1042</v>
      </c>
      <c r="I319" s="55" t="s">
        <v>1816</v>
      </c>
      <c r="J319" s="55">
        <v>2026.0</v>
      </c>
      <c r="K319" s="55">
        <v>4.0</v>
      </c>
      <c r="L319" s="55"/>
      <c r="M319" s="55" t="s">
        <v>63</v>
      </c>
      <c r="N319" s="55"/>
      <c r="O319" s="55"/>
      <c r="P319" s="55"/>
      <c r="Q319" s="55"/>
      <c r="R319" s="55"/>
      <c r="S319" s="58" t="s">
        <v>1817</v>
      </c>
      <c r="T319" s="51"/>
      <c r="U319" s="51"/>
      <c r="V319" s="51"/>
      <c r="W319" s="51"/>
      <c r="X319" s="51"/>
      <c r="Y319" s="51"/>
      <c r="Z319" s="60"/>
      <c r="AA319" s="73"/>
      <c r="AB319" s="62" t="s">
        <v>61</v>
      </c>
      <c r="AC319" s="63" t="s">
        <v>61</v>
      </c>
      <c r="AD319" s="64" t="s">
        <v>61</v>
      </c>
      <c r="AE319" s="64" t="s">
        <v>61</v>
      </c>
      <c r="AF319" s="63" t="s">
        <v>61</v>
      </c>
      <c r="AG319" s="63" t="s">
        <v>61</v>
      </c>
      <c r="AH319" s="63" t="s">
        <v>61</v>
      </c>
      <c r="AI319" s="65" t="s">
        <v>61</v>
      </c>
      <c r="AJ319" s="66" t="s">
        <v>61</v>
      </c>
      <c r="AK319" s="60"/>
    </row>
    <row r="320" ht="24.0" customHeight="1">
      <c r="A320" s="35"/>
      <c r="B320" s="36">
        <v>1.0</v>
      </c>
      <c r="C320" s="37" t="str">
        <f>IFERROR(__xludf.DUMMYFUNCTION("""COMPUTED_VALUE"""),"Luke Young (2) - '26 C SC")</f>
        <v>Luke Young (2) - '26 C SC</v>
      </c>
      <c r="D320" s="89" t="s">
        <v>1818</v>
      </c>
      <c r="E320" s="39" t="s">
        <v>109</v>
      </c>
      <c r="F320" s="112"/>
      <c r="G320" s="113"/>
      <c r="H320" s="138" t="s">
        <v>1042</v>
      </c>
      <c r="I320" s="80" t="s">
        <v>1819</v>
      </c>
      <c r="J320" s="80">
        <v>2026.0</v>
      </c>
      <c r="K320" s="43">
        <v>2.0</v>
      </c>
      <c r="L320" s="43"/>
      <c r="M320" s="80" t="s">
        <v>109</v>
      </c>
      <c r="N320" s="80"/>
      <c r="O320" s="80" t="s">
        <v>1550</v>
      </c>
      <c r="P320" s="43"/>
      <c r="Q320" s="80" t="s">
        <v>286</v>
      </c>
      <c r="R320" s="43"/>
      <c r="S320" s="44" t="s">
        <v>1820</v>
      </c>
      <c r="T320" s="39"/>
      <c r="U320" s="39"/>
      <c r="V320" s="39"/>
      <c r="W320" s="39"/>
      <c r="X320" s="39"/>
      <c r="Y320" s="39"/>
      <c r="Z320" s="46"/>
      <c r="AA320" s="47"/>
      <c r="AB320" s="48" t="s">
        <v>61</v>
      </c>
      <c r="AC320" s="68" t="s">
        <v>61</v>
      </c>
      <c r="AD320" s="69" t="s">
        <v>61</v>
      </c>
      <c r="AE320" s="69" t="s">
        <v>61</v>
      </c>
      <c r="AF320" s="68" t="s">
        <v>61</v>
      </c>
      <c r="AG320" s="68" t="s">
        <v>61</v>
      </c>
      <c r="AH320" s="68" t="s">
        <v>61</v>
      </c>
      <c r="AI320" s="70" t="s">
        <v>61</v>
      </c>
      <c r="AJ320" s="49" t="s">
        <v>61</v>
      </c>
      <c r="AK320" s="46"/>
    </row>
    <row r="321" ht="24.0" customHeight="1">
      <c r="A321" s="35"/>
      <c r="B321" s="36">
        <v>1.0</v>
      </c>
      <c r="C321" s="37" t="str">
        <f>IFERROR(__xludf.DUMMYFUNCTION("""COMPUTED_VALUE"""),"Michael  Chin (4) - '26 C TX")</f>
        <v>Michael  Chin (4) - '26 C TX</v>
      </c>
      <c r="D321" s="38" t="s">
        <v>1821</v>
      </c>
      <c r="E321" s="51" t="s">
        <v>109</v>
      </c>
      <c r="F321" s="115"/>
      <c r="G321" s="116"/>
      <c r="H321" s="141" t="s">
        <v>1822</v>
      </c>
      <c r="I321" s="57" t="s">
        <v>1823</v>
      </c>
      <c r="J321" s="57">
        <v>2026.0</v>
      </c>
      <c r="K321" s="55">
        <v>4.0</v>
      </c>
      <c r="L321" s="55"/>
      <c r="M321" s="57" t="s">
        <v>109</v>
      </c>
      <c r="N321" s="57"/>
      <c r="O321" s="57" t="s">
        <v>1550</v>
      </c>
      <c r="P321" s="55"/>
      <c r="Q321" s="57" t="s">
        <v>180</v>
      </c>
      <c r="R321" s="55"/>
      <c r="S321" s="58" t="s">
        <v>1824</v>
      </c>
      <c r="T321" s="51"/>
      <c r="U321" s="51"/>
      <c r="V321" s="51"/>
      <c r="W321" s="51"/>
      <c r="X321" s="51"/>
      <c r="Y321" s="51"/>
      <c r="Z321" s="60"/>
      <c r="AA321" s="73"/>
      <c r="AB321" s="62" t="s">
        <v>61</v>
      </c>
      <c r="AC321" s="63" t="s">
        <v>61</v>
      </c>
      <c r="AD321" s="64" t="s">
        <v>61</v>
      </c>
      <c r="AE321" s="64" t="s">
        <v>61</v>
      </c>
      <c r="AF321" s="63" t="s">
        <v>61</v>
      </c>
      <c r="AG321" s="63" t="s">
        <v>61</v>
      </c>
      <c r="AH321" s="63" t="s">
        <v>61</v>
      </c>
      <c r="AI321" s="65" t="s">
        <v>61</v>
      </c>
      <c r="AJ321" s="66" t="s">
        <v>61</v>
      </c>
      <c r="AK321" s="60"/>
    </row>
    <row r="322" ht="24.0" customHeight="1">
      <c r="A322" s="35"/>
      <c r="B322" s="36">
        <v>1.0</v>
      </c>
      <c r="C322" s="37" t="str">
        <f>IFERROR(__xludf.DUMMYFUNCTION("""COMPUTED_VALUE"""),"Nick Linares (4) - '26 RHP IL")</f>
        <v>Nick Linares (4) - '26 RHP IL</v>
      </c>
      <c r="D322" s="38" t="s">
        <v>1825</v>
      </c>
      <c r="E322" s="39" t="s">
        <v>63</v>
      </c>
      <c r="F322" s="112"/>
      <c r="G322" s="113"/>
      <c r="H322" s="138" t="s">
        <v>1123</v>
      </c>
      <c r="I322" s="80" t="s">
        <v>1826</v>
      </c>
      <c r="J322" s="80">
        <v>2026.0</v>
      </c>
      <c r="K322" s="43">
        <v>4.0</v>
      </c>
      <c r="L322" s="43"/>
      <c r="M322" s="80" t="s">
        <v>63</v>
      </c>
      <c r="N322" s="80"/>
      <c r="O322" s="80" t="s">
        <v>1550</v>
      </c>
      <c r="P322" s="43"/>
      <c r="Q322" s="80" t="s">
        <v>307</v>
      </c>
      <c r="R322" s="43"/>
      <c r="S322" s="117" t="s">
        <v>1827</v>
      </c>
      <c r="T322" s="39"/>
      <c r="U322" s="39"/>
      <c r="V322" s="39"/>
      <c r="W322" s="39"/>
      <c r="X322" s="39"/>
      <c r="Y322" s="39"/>
      <c r="Z322" s="46"/>
      <c r="AA322" s="47"/>
      <c r="AB322" s="48" t="s">
        <v>61</v>
      </c>
      <c r="AC322" s="68" t="s">
        <v>61</v>
      </c>
      <c r="AD322" s="69" t="s">
        <v>61</v>
      </c>
      <c r="AE322" s="69" t="s">
        <v>61</v>
      </c>
      <c r="AF322" s="68" t="s">
        <v>61</v>
      </c>
      <c r="AG322" s="68" t="s">
        <v>61</v>
      </c>
      <c r="AH322" s="68" t="s">
        <v>61</v>
      </c>
      <c r="AI322" s="70" t="s">
        <v>61</v>
      </c>
      <c r="AJ322" s="49" t="s">
        <v>61</v>
      </c>
      <c r="AK322" s="46"/>
    </row>
    <row r="323" ht="24.0" customHeight="1">
      <c r="A323" s="35"/>
      <c r="B323" s="36">
        <v>1.0</v>
      </c>
      <c r="C323" s="37" t="str">
        <f>IFERROR(__xludf.DUMMYFUNCTION("""COMPUTED_VALUE"""),"Will Meehan (4) - '26 LHP 1B, OF ")</f>
        <v>Will Meehan (4) - '26 LHP 1B, OF </v>
      </c>
      <c r="D323" s="38" t="s">
        <v>1828</v>
      </c>
      <c r="E323" s="51"/>
      <c r="F323" s="137"/>
      <c r="G323" s="133"/>
      <c r="H323" s="54" t="s">
        <v>110</v>
      </c>
      <c r="I323" s="55" t="s">
        <v>1829</v>
      </c>
      <c r="J323" s="55">
        <v>2026.0</v>
      </c>
      <c r="K323" s="55">
        <v>4.0</v>
      </c>
      <c r="L323" s="57"/>
      <c r="M323" s="55" t="s">
        <v>1830</v>
      </c>
      <c r="N323" s="57"/>
      <c r="O323" s="55" t="s">
        <v>1556</v>
      </c>
      <c r="P323" s="55" t="s">
        <v>1831</v>
      </c>
      <c r="Q323" s="57"/>
      <c r="R323" s="55" t="s">
        <v>1832</v>
      </c>
      <c r="S323" s="58" t="s">
        <v>1833</v>
      </c>
      <c r="T323" s="74"/>
      <c r="U323" s="74"/>
      <c r="V323" s="139"/>
      <c r="W323" s="51" t="s">
        <v>1724</v>
      </c>
      <c r="X323" s="74"/>
      <c r="Y323" s="74"/>
      <c r="Z323" s="76"/>
      <c r="AA323" s="134"/>
      <c r="AB323" s="62" t="s">
        <v>61</v>
      </c>
      <c r="AC323" s="63" t="s">
        <v>61</v>
      </c>
      <c r="AD323" s="64" t="s">
        <v>61</v>
      </c>
      <c r="AE323" s="64" t="s">
        <v>61</v>
      </c>
      <c r="AF323" s="63" t="s">
        <v>61</v>
      </c>
      <c r="AG323" s="63" t="s">
        <v>61</v>
      </c>
      <c r="AH323" s="63" t="s">
        <v>61</v>
      </c>
      <c r="AI323" s="65" t="s">
        <v>61</v>
      </c>
      <c r="AJ323" s="66" t="s">
        <v>61</v>
      </c>
      <c r="AK323" s="60"/>
    </row>
    <row r="324" ht="24.0" customHeight="1">
      <c r="A324" s="35"/>
      <c r="B324" s="36">
        <v>1.0</v>
      </c>
      <c r="C324" s="37" t="str">
        <f>IFERROR(__xludf.DUMMYFUNCTION("""COMPUTED_VALUE"""),"Ryan Rasmussen (4) - '26 RHP WI")</f>
        <v>Ryan Rasmussen (4) - '26 RHP WI</v>
      </c>
      <c r="D324" s="89" t="s">
        <v>1834</v>
      </c>
      <c r="E324" s="39" t="s">
        <v>63</v>
      </c>
      <c r="F324" s="121"/>
      <c r="G324" s="113" t="s">
        <v>1430</v>
      </c>
      <c r="H324" s="42" t="s">
        <v>1206</v>
      </c>
      <c r="I324" s="43" t="s">
        <v>1835</v>
      </c>
      <c r="J324" s="43">
        <v>2026.0</v>
      </c>
      <c r="K324" s="43">
        <v>4.0</v>
      </c>
      <c r="L324" s="80"/>
      <c r="M324" s="43" t="s">
        <v>63</v>
      </c>
      <c r="N324" s="43"/>
      <c r="O324" s="80"/>
      <c r="P324" s="80"/>
      <c r="Q324" s="43" t="s">
        <v>1153</v>
      </c>
      <c r="R324" s="80"/>
      <c r="S324" s="117"/>
      <c r="T324" s="39" t="s">
        <v>1836</v>
      </c>
      <c r="U324" s="81"/>
      <c r="V324" s="81"/>
      <c r="W324" s="81"/>
      <c r="X324" s="81"/>
      <c r="Y324" s="81"/>
      <c r="Z324" s="82"/>
      <c r="AA324" s="47" t="s">
        <v>1837</v>
      </c>
      <c r="AB324" s="48" t="s">
        <v>1838</v>
      </c>
      <c r="AC324" s="68" t="s">
        <v>828</v>
      </c>
      <c r="AD324" s="69">
        <v>3.08</v>
      </c>
      <c r="AE324" s="69" t="s">
        <v>1839</v>
      </c>
      <c r="AF324" s="68" t="s">
        <v>417</v>
      </c>
      <c r="AG324" s="68" t="s">
        <v>60</v>
      </c>
      <c r="AH324" s="68" t="s">
        <v>81</v>
      </c>
      <c r="AI324" s="70" t="s">
        <v>81</v>
      </c>
      <c r="AJ324" s="114" t="s">
        <v>61</v>
      </c>
      <c r="AK324" s="82"/>
    </row>
    <row r="325" ht="24.0" customHeight="1">
      <c r="A325" s="93"/>
      <c r="B325" s="36">
        <v>1.0</v>
      </c>
      <c r="C325" s="37" t="str">
        <f>IFERROR(__xludf.DUMMYFUNCTION("""COMPUTED_VALUE"""),"Brody Brandt (3) - '26 C GA")</f>
        <v>Brody Brandt (3) - '26 C GA</v>
      </c>
      <c r="D325" s="38" t="s">
        <v>1840</v>
      </c>
      <c r="E325" s="51" t="s">
        <v>109</v>
      </c>
      <c r="F325" s="115"/>
      <c r="G325" s="116"/>
      <c r="H325" s="54" t="s">
        <v>556</v>
      </c>
      <c r="I325" s="55" t="s">
        <v>1841</v>
      </c>
      <c r="J325" s="55">
        <v>2026.0</v>
      </c>
      <c r="K325" s="55">
        <v>3.0</v>
      </c>
      <c r="L325" s="57"/>
      <c r="M325" s="55" t="s">
        <v>109</v>
      </c>
      <c r="N325" s="57"/>
      <c r="O325" s="57"/>
      <c r="P325" s="57"/>
      <c r="Q325" s="55" t="s">
        <v>43</v>
      </c>
      <c r="R325" s="57"/>
      <c r="S325" s="132"/>
      <c r="T325" s="74"/>
      <c r="U325" s="74"/>
      <c r="V325" s="74"/>
      <c r="W325" s="74"/>
      <c r="X325" s="74"/>
      <c r="Y325" s="74"/>
      <c r="Z325" s="76"/>
      <c r="AA325" s="73" t="s">
        <v>1842</v>
      </c>
      <c r="AB325" s="62" t="s">
        <v>61</v>
      </c>
      <c r="AC325" s="63" t="s">
        <v>61</v>
      </c>
      <c r="AD325" s="64" t="s">
        <v>61</v>
      </c>
      <c r="AE325" s="64" t="s">
        <v>61</v>
      </c>
      <c r="AF325" s="63" t="s">
        <v>61</v>
      </c>
      <c r="AG325" s="63" t="s">
        <v>61</v>
      </c>
      <c r="AH325" s="63" t="s">
        <v>61</v>
      </c>
      <c r="AI325" s="65" t="s">
        <v>61</v>
      </c>
      <c r="AJ325" s="105" t="s">
        <v>61</v>
      </c>
      <c r="AK325" s="76"/>
    </row>
    <row r="326" ht="24.0" customHeight="1">
      <c r="A326" s="93"/>
      <c r="B326" s="36">
        <v>1.0</v>
      </c>
      <c r="C326" s="37" t="str">
        <f>IFERROR(__xludf.DUMMYFUNCTION("""COMPUTED_VALUE"""),"Caleb Lear (3) - '26 MINF TN")</f>
        <v>Caleb Lear (3) - '26 MINF TN</v>
      </c>
      <c r="D326" s="38" t="s">
        <v>1843</v>
      </c>
      <c r="E326" s="39" t="s">
        <v>48</v>
      </c>
      <c r="F326" s="112"/>
      <c r="G326" s="113"/>
      <c r="H326" s="42" t="s">
        <v>589</v>
      </c>
      <c r="I326" s="43" t="s">
        <v>1844</v>
      </c>
      <c r="J326" s="43">
        <v>2026.0</v>
      </c>
      <c r="K326" s="43">
        <v>3.0</v>
      </c>
      <c r="L326" s="80"/>
      <c r="M326" s="43" t="s">
        <v>51</v>
      </c>
      <c r="N326" s="43" t="s">
        <v>63</v>
      </c>
      <c r="O326" s="80"/>
      <c r="P326" s="80"/>
      <c r="Q326" s="142" t="s">
        <v>330</v>
      </c>
      <c r="R326" s="142" t="s">
        <v>1845</v>
      </c>
      <c r="S326" s="143"/>
      <c r="T326" s="39">
        <v>4.0</v>
      </c>
      <c r="U326" s="81"/>
      <c r="V326" s="81"/>
      <c r="W326" s="81"/>
      <c r="X326" s="81"/>
      <c r="Y326" s="81"/>
      <c r="Z326" s="82"/>
      <c r="AA326" s="47" t="s">
        <v>1846</v>
      </c>
      <c r="AB326" s="48" t="s">
        <v>61</v>
      </c>
      <c r="AC326" s="68" t="s">
        <v>61</v>
      </c>
      <c r="AD326" s="69" t="s">
        <v>61</v>
      </c>
      <c r="AE326" s="69" t="s">
        <v>61</v>
      </c>
      <c r="AF326" s="68" t="s">
        <v>61</v>
      </c>
      <c r="AG326" s="68" t="s">
        <v>61</v>
      </c>
      <c r="AH326" s="68" t="s">
        <v>61</v>
      </c>
      <c r="AI326" s="70" t="s">
        <v>61</v>
      </c>
      <c r="AJ326" s="114" t="s">
        <v>61</v>
      </c>
      <c r="AK326" s="82"/>
    </row>
    <row r="327" ht="24.0" customHeight="1">
      <c r="A327" s="35"/>
      <c r="B327" s="36">
        <v>1.0</v>
      </c>
      <c r="C327" s="37" t="str">
        <f>IFERROR(__xludf.DUMMYFUNCTION("""COMPUTED_VALUE"""),"Carter Rathbun (3) - '26 COF CO")</f>
        <v>Carter Rathbun (3) - '26 COF CO</v>
      </c>
      <c r="D327" s="38" t="s">
        <v>1847</v>
      </c>
      <c r="E327" s="51" t="s">
        <v>103</v>
      </c>
      <c r="F327" s="115"/>
      <c r="G327" s="116"/>
      <c r="H327" s="54" t="s">
        <v>604</v>
      </c>
      <c r="I327" s="55" t="s">
        <v>1848</v>
      </c>
      <c r="J327" s="55">
        <v>2026.0</v>
      </c>
      <c r="K327" s="55">
        <v>3.0</v>
      </c>
      <c r="L327" s="57"/>
      <c r="M327" s="55" t="s">
        <v>42</v>
      </c>
      <c r="N327" s="57"/>
      <c r="O327" s="57"/>
      <c r="P327" s="57"/>
      <c r="Q327" s="55" t="s">
        <v>174</v>
      </c>
      <c r="R327" s="55" t="s">
        <v>1849</v>
      </c>
      <c r="S327" s="58"/>
      <c r="T327" s="74"/>
      <c r="U327" s="74"/>
      <c r="V327" s="74"/>
      <c r="W327" s="74"/>
      <c r="X327" s="74"/>
      <c r="Y327" s="74"/>
      <c r="Z327" s="76"/>
      <c r="AA327" s="73" t="s">
        <v>1850</v>
      </c>
      <c r="AB327" s="62" t="s">
        <v>61</v>
      </c>
      <c r="AC327" s="63" t="s">
        <v>61</v>
      </c>
      <c r="AD327" s="64" t="s">
        <v>61</v>
      </c>
      <c r="AE327" s="64" t="s">
        <v>61</v>
      </c>
      <c r="AF327" s="63" t="s">
        <v>61</v>
      </c>
      <c r="AG327" s="63" t="s">
        <v>61</v>
      </c>
      <c r="AH327" s="63" t="s">
        <v>61</v>
      </c>
      <c r="AI327" s="65" t="s">
        <v>61</v>
      </c>
      <c r="AJ327" s="105" t="s">
        <v>61</v>
      </c>
      <c r="AK327" s="76"/>
    </row>
    <row r="328" ht="24.0" customHeight="1">
      <c r="A328" s="71"/>
      <c r="B328" s="36">
        <v>1.0</v>
      </c>
      <c r="C328" s="37" t="str">
        <f>IFERROR(__xludf.DUMMYFUNCTION("""COMPUTED_VALUE"""),"Evan Dillinger (3) - '26 C CO")</f>
        <v>Evan Dillinger (3) - '26 C CO</v>
      </c>
      <c r="D328" s="38" t="s">
        <v>1851</v>
      </c>
      <c r="E328" s="39" t="s">
        <v>109</v>
      </c>
      <c r="F328" s="112"/>
      <c r="G328" s="113"/>
      <c r="H328" s="42" t="s">
        <v>385</v>
      </c>
      <c r="I328" s="43" t="s">
        <v>1852</v>
      </c>
      <c r="J328" s="43">
        <v>2026.0</v>
      </c>
      <c r="K328" s="43">
        <v>3.0</v>
      </c>
      <c r="L328" s="80"/>
      <c r="M328" s="43" t="s">
        <v>109</v>
      </c>
      <c r="N328" s="80"/>
      <c r="O328" s="80"/>
      <c r="P328" s="80"/>
      <c r="Q328" s="43" t="s">
        <v>174</v>
      </c>
      <c r="R328" s="43" t="s">
        <v>1853</v>
      </c>
      <c r="S328" s="44"/>
      <c r="T328" s="81"/>
      <c r="U328" s="81"/>
      <c r="V328" s="81"/>
      <c r="W328" s="81"/>
      <c r="X328" s="81"/>
      <c r="Y328" s="81"/>
      <c r="Z328" s="46" t="s">
        <v>1854</v>
      </c>
      <c r="AA328" s="47" t="s">
        <v>1855</v>
      </c>
      <c r="AB328" s="48" t="s">
        <v>61</v>
      </c>
      <c r="AC328" s="68" t="s">
        <v>61</v>
      </c>
      <c r="AD328" s="69" t="s">
        <v>61</v>
      </c>
      <c r="AE328" s="69" t="s">
        <v>61</v>
      </c>
      <c r="AF328" s="68" t="s">
        <v>61</v>
      </c>
      <c r="AG328" s="68" t="s">
        <v>61</v>
      </c>
      <c r="AH328" s="68" t="s">
        <v>61</v>
      </c>
      <c r="AI328" s="70" t="s">
        <v>61</v>
      </c>
      <c r="AJ328" s="114" t="s">
        <v>61</v>
      </c>
      <c r="AK328" s="82"/>
    </row>
    <row r="329" ht="24.0" customHeight="1">
      <c r="A329" s="35"/>
      <c r="B329" s="36">
        <v>1.0</v>
      </c>
      <c r="C329" s="37" t="str">
        <f>IFERROR(__xludf.DUMMYFUNCTION("""COMPUTED_VALUE"""),"Gavin Ruta (3) - '26 LHP PA")</f>
        <v>Gavin Ruta (3) - '26 LHP PA</v>
      </c>
      <c r="D329" s="38" t="s">
        <v>1856</v>
      </c>
      <c r="E329" s="51" t="s">
        <v>122</v>
      </c>
      <c r="F329" s="115"/>
      <c r="G329" s="116"/>
      <c r="H329" s="54" t="s">
        <v>788</v>
      </c>
      <c r="I329" s="55" t="s">
        <v>1857</v>
      </c>
      <c r="J329" s="55">
        <v>2026.0</v>
      </c>
      <c r="K329" s="55">
        <v>3.0</v>
      </c>
      <c r="L329" s="57"/>
      <c r="M329" s="55" t="s">
        <v>122</v>
      </c>
      <c r="N329" s="55" t="s">
        <v>103</v>
      </c>
      <c r="O329" s="57"/>
      <c r="P329" s="57"/>
      <c r="Q329" s="55" t="s">
        <v>240</v>
      </c>
      <c r="R329" s="55" t="s">
        <v>1858</v>
      </c>
      <c r="S329" s="58"/>
      <c r="T329" s="74"/>
      <c r="U329" s="74"/>
      <c r="V329" s="74"/>
      <c r="W329" s="74"/>
      <c r="X329" s="74"/>
      <c r="Y329" s="74"/>
      <c r="Z329" s="76"/>
      <c r="AA329" s="73" t="s">
        <v>1859</v>
      </c>
      <c r="AB329" s="62" t="s">
        <v>61</v>
      </c>
      <c r="AC329" s="63" t="s">
        <v>61</v>
      </c>
      <c r="AD329" s="64" t="s">
        <v>61</v>
      </c>
      <c r="AE329" s="64" t="s">
        <v>61</v>
      </c>
      <c r="AF329" s="63" t="s">
        <v>61</v>
      </c>
      <c r="AG329" s="63" t="s">
        <v>61</v>
      </c>
      <c r="AH329" s="63" t="s">
        <v>61</v>
      </c>
      <c r="AI329" s="65" t="s">
        <v>61</v>
      </c>
      <c r="AJ329" s="105" t="s">
        <v>61</v>
      </c>
      <c r="AK329" s="76"/>
    </row>
    <row r="330" ht="24.0" customHeight="1">
      <c r="A330" s="71"/>
      <c r="B330" s="36">
        <v>1.0</v>
      </c>
      <c r="C330" s="37" t="str">
        <f>IFERROR(__xludf.DUMMYFUNCTION("""COMPUTED_VALUE"""),"Grant Myers (3) - '26 C VA")</f>
        <v>Grant Myers (3) - '26 C VA</v>
      </c>
      <c r="D330" s="38" t="s">
        <v>1860</v>
      </c>
      <c r="E330" s="39" t="s">
        <v>109</v>
      </c>
      <c r="F330" s="112"/>
      <c r="G330" s="113"/>
      <c r="H330" s="42" t="s">
        <v>278</v>
      </c>
      <c r="I330" s="43" t="s">
        <v>1861</v>
      </c>
      <c r="J330" s="43">
        <v>2026.0</v>
      </c>
      <c r="K330" s="43">
        <v>3.0</v>
      </c>
      <c r="L330" s="80"/>
      <c r="M330" s="43" t="s">
        <v>109</v>
      </c>
      <c r="N330" s="80"/>
      <c r="O330" s="80"/>
      <c r="P330" s="80"/>
      <c r="Q330" s="43" t="s">
        <v>125</v>
      </c>
      <c r="R330" s="43" t="s">
        <v>1862</v>
      </c>
      <c r="S330" s="44"/>
      <c r="T330" s="81"/>
      <c r="U330" s="81"/>
      <c r="V330" s="81"/>
      <c r="W330" s="81"/>
      <c r="X330" s="81"/>
      <c r="Y330" s="81"/>
      <c r="Z330" s="46" t="s">
        <v>1863</v>
      </c>
      <c r="AA330" s="47" t="s">
        <v>1864</v>
      </c>
      <c r="AB330" s="48" t="s">
        <v>61</v>
      </c>
      <c r="AC330" s="68" t="s">
        <v>61</v>
      </c>
      <c r="AD330" s="69" t="s">
        <v>61</v>
      </c>
      <c r="AE330" s="69" t="s">
        <v>61</v>
      </c>
      <c r="AF330" s="68" t="s">
        <v>61</v>
      </c>
      <c r="AG330" s="68" t="s">
        <v>61</v>
      </c>
      <c r="AH330" s="68" t="s">
        <v>61</v>
      </c>
      <c r="AI330" s="70" t="s">
        <v>61</v>
      </c>
      <c r="AJ330" s="114" t="s">
        <v>61</v>
      </c>
      <c r="AK330" s="82"/>
    </row>
    <row r="331" ht="24.0" customHeight="1">
      <c r="A331" s="88"/>
      <c r="B331" s="36">
        <v>1.0</v>
      </c>
      <c r="C331" s="37" t="str">
        <f>IFERROR(__xludf.DUMMYFUNCTION("""COMPUTED_VALUE"""),"Henry Gahagan (3) - '26 LHP TX")</f>
        <v>Henry Gahagan (3) - '26 LHP TX</v>
      </c>
      <c r="D331" s="38" t="s">
        <v>1865</v>
      </c>
      <c r="E331" s="51" t="s">
        <v>122</v>
      </c>
      <c r="F331" s="115"/>
      <c r="G331" s="116"/>
      <c r="H331" s="54" t="s">
        <v>816</v>
      </c>
      <c r="I331" s="55" t="s">
        <v>1866</v>
      </c>
      <c r="J331" s="55">
        <v>2026.0</v>
      </c>
      <c r="K331" s="55">
        <v>3.0</v>
      </c>
      <c r="L331" s="57"/>
      <c r="M331" s="55" t="s">
        <v>122</v>
      </c>
      <c r="N331" s="57"/>
      <c r="O331" s="57"/>
      <c r="P331" s="57"/>
      <c r="Q331" s="55" t="s">
        <v>180</v>
      </c>
      <c r="R331" s="55" t="s">
        <v>657</v>
      </c>
      <c r="S331" s="58"/>
      <c r="T331" s="51" t="s">
        <v>1867</v>
      </c>
      <c r="U331" s="74"/>
      <c r="V331" s="74"/>
      <c r="W331" s="74"/>
      <c r="X331" s="74"/>
      <c r="Y331" s="74"/>
      <c r="Z331" s="76"/>
      <c r="AA331" s="73" t="s">
        <v>1868</v>
      </c>
      <c r="AB331" s="62" t="s">
        <v>61</v>
      </c>
      <c r="AC331" s="63" t="s">
        <v>61</v>
      </c>
      <c r="AD331" s="64" t="s">
        <v>61</v>
      </c>
      <c r="AE331" s="64" t="s">
        <v>61</v>
      </c>
      <c r="AF331" s="63" t="s">
        <v>61</v>
      </c>
      <c r="AG331" s="63" t="s">
        <v>61</v>
      </c>
      <c r="AH331" s="63" t="s">
        <v>61</v>
      </c>
      <c r="AI331" s="65" t="s">
        <v>61</v>
      </c>
      <c r="AJ331" s="105" t="s">
        <v>61</v>
      </c>
      <c r="AK331" s="76"/>
    </row>
    <row r="332" ht="24.0" customHeight="1">
      <c r="A332" s="35"/>
      <c r="B332" s="36">
        <v>1.0</v>
      </c>
      <c r="C332" s="37" t="str">
        <f>IFERROR(__xludf.DUMMYFUNCTION("""COMPUTED_VALUE"""),"Hudson Longendyke (3) - '26 RHP VA")</f>
        <v>Hudson Longendyke (3) - '26 RHP VA</v>
      </c>
      <c r="D332" s="38" t="s">
        <v>1869</v>
      </c>
      <c r="E332" s="39" t="s">
        <v>63</v>
      </c>
      <c r="F332" s="112"/>
      <c r="G332" s="113"/>
      <c r="H332" s="42" t="s">
        <v>1678</v>
      </c>
      <c r="I332" s="43" t="s">
        <v>1870</v>
      </c>
      <c r="J332" s="43">
        <v>2026.0</v>
      </c>
      <c r="K332" s="43">
        <v>3.0</v>
      </c>
      <c r="L332" s="80"/>
      <c r="M332" s="43" t="s">
        <v>63</v>
      </c>
      <c r="N332" s="80"/>
      <c r="O332" s="80"/>
      <c r="P332" s="80"/>
      <c r="Q332" s="43" t="s">
        <v>125</v>
      </c>
      <c r="R332" s="43" t="s">
        <v>1871</v>
      </c>
      <c r="S332" s="44"/>
      <c r="T332" s="81"/>
      <c r="U332" s="144"/>
      <c r="V332" s="81"/>
      <c r="W332" s="81"/>
      <c r="X332" s="81"/>
      <c r="Y332" s="81"/>
      <c r="Z332" s="82"/>
      <c r="AA332" s="47" t="s">
        <v>1872</v>
      </c>
      <c r="AB332" s="48" t="s">
        <v>61</v>
      </c>
      <c r="AC332" s="68" t="s">
        <v>61</v>
      </c>
      <c r="AD332" s="69" t="s">
        <v>61</v>
      </c>
      <c r="AE332" s="69" t="s">
        <v>61</v>
      </c>
      <c r="AF332" s="68" t="s">
        <v>61</v>
      </c>
      <c r="AG332" s="68" t="s">
        <v>61</v>
      </c>
      <c r="AH332" s="68" t="s">
        <v>61</v>
      </c>
      <c r="AI332" s="70" t="s">
        <v>61</v>
      </c>
      <c r="AJ332" s="114" t="s">
        <v>61</v>
      </c>
      <c r="AK332" s="82"/>
    </row>
    <row r="333" ht="24.0" customHeight="1">
      <c r="A333" s="35"/>
      <c r="B333" s="36">
        <v>1.0</v>
      </c>
      <c r="C333" s="37" t="str">
        <f>IFERROR(__xludf.DUMMYFUNCTION("""COMPUTED_VALUE"""),"Jack Stanger (3) - '26 CINF TX")</f>
        <v>Jack Stanger (3) - '26 CINF TX</v>
      </c>
      <c r="D333" s="38" t="s">
        <v>1873</v>
      </c>
      <c r="E333" s="51" t="s">
        <v>48</v>
      </c>
      <c r="F333" s="115"/>
      <c r="G333" s="116"/>
      <c r="H333" s="54" t="s">
        <v>424</v>
      </c>
      <c r="I333" s="55" t="s">
        <v>1874</v>
      </c>
      <c r="J333" s="55">
        <v>2026.0</v>
      </c>
      <c r="K333" s="55">
        <v>3.0</v>
      </c>
      <c r="L333" s="57"/>
      <c r="M333" s="55" t="s">
        <v>72</v>
      </c>
      <c r="N333" s="57"/>
      <c r="O333" s="57"/>
      <c r="P333" s="57"/>
      <c r="Q333" s="55" t="s">
        <v>180</v>
      </c>
      <c r="R333" s="55" t="s">
        <v>1875</v>
      </c>
      <c r="S333" s="58"/>
      <c r="T333" s="74"/>
      <c r="U333" s="74"/>
      <c r="V333" s="74"/>
      <c r="W333" s="74"/>
      <c r="X333" s="74"/>
      <c r="Y333" s="74"/>
      <c r="Z333" s="76"/>
      <c r="AA333" s="73" t="s">
        <v>1876</v>
      </c>
      <c r="AB333" s="62" t="s">
        <v>61</v>
      </c>
      <c r="AC333" s="63" t="s">
        <v>61</v>
      </c>
      <c r="AD333" s="64" t="s">
        <v>61</v>
      </c>
      <c r="AE333" s="64" t="s">
        <v>61</v>
      </c>
      <c r="AF333" s="63" t="s">
        <v>61</v>
      </c>
      <c r="AG333" s="63" t="s">
        <v>61</v>
      </c>
      <c r="AH333" s="63" t="s">
        <v>61</v>
      </c>
      <c r="AI333" s="65" t="s">
        <v>61</v>
      </c>
      <c r="AJ333" s="105" t="s">
        <v>61</v>
      </c>
      <c r="AK333" s="76"/>
    </row>
    <row r="334" ht="24.0" customHeight="1">
      <c r="A334" s="35"/>
      <c r="B334" s="36">
        <v>1.0</v>
      </c>
      <c r="C334" s="37" t="str">
        <f>IFERROR(__xludf.DUMMYFUNCTION("""COMPUTED_VALUE"""),"Jeremy Menhennett (3) - '26 C AL")</f>
        <v>Jeremy Menhennett (3) - '26 C AL</v>
      </c>
      <c r="D334" s="38" t="s">
        <v>1877</v>
      </c>
      <c r="E334" s="39" t="s">
        <v>109</v>
      </c>
      <c r="F334" s="112"/>
      <c r="G334" s="113"/>
      <c r="H334" s="42" t="s">
        <v>1689</v>
      </c>
      <c r="I334" s="43" t="s">
        <v>1878</v>
      </c>
      <c r="J334" s="43">
        <v>2026.0</v>
      </c>
      <c r="K334" s="43">
        <v>3.0</v>
      </c>
      <c r="L334" s="80"/>
      <c r="M334" s="43" t="s">
        <v>109</v>
      </c>
      <c r="N334" s="80"/>
      <c r="O334" s="80"/>
      <c r="P334" s="80"/>
      <c r="Q334" s="43" t="s">
        <v>731</v>
      </c>
      <c r="R334" s="43" t="s">
        <v>1879</v>
      </c>
      <c r="S334" s="44"/>
      <c r="T334" s="81"/>
      <c r="U334" s="81"/>
      <c r="V334" s="81"/>
      <c r="W334" s="81"/>
      <c r="X334" s="81"/>
      <c r="Y334" s="81"/>
      <c r="Z334" s="46" t="s">
        <v>1880</v>
      </c>
      <c r="AA334" s="47" t="s">
        <v>1881</v>
      </c>
      <c r="AB334" s="48" t="s">
        <v>61</v>
      </c>
      <c r="AC334" s="68" t="s">
        <v>61</v>
      </c>
      <c r="AD334" s="69" t="s">
        <v>61</v>
      </c>
      <c r="AE334" s="69" t="s">
        <v>61</v>
      </c>
      <c r="AF334" s="68" t="s">
        <v>61</v>
      </c>
      <c r="AG334" s="68" t="s">
        <v>61</v>
      </c>
      <c r="AH334" s="68" t="s">
        <v>61</v>
      </c>
      <c r="AI334" s="70" t="s">
        <v>61</v>
      </c>
      <c r="AJ334" s="114" t="s">
        <v>61</v>
      </c>
      <c r="AK334" s="82"/>
    </row>
    <row r="335" ht="24.0" customHeight="1">
      <c r="A335" s="71"/>
      <c r="B335" s="36">
        <v>1.0</v>
      </c>
      <c r="C335" s="37" t="str">
        <f>IFERROR(__xludf.DUMMYFUNCTION("""COMPUTED_VALUE"""),"Jordan Garza (3) - '26 C TX")</f>
        <v>Jordan Garza (3) - '26 C TX</v>
      </c>
      <c r="D335" s="38" t="s">
        <v>1882</v>
      </c>
      <c r="E335" s="51" t="s">
        <v>109</v>
      </c>
      <c r="F335" s="115"/>
      <c r="G335" s="116"/>
      <c r="H335" s="54" t="s">
        <v>966</v>
      </c>
      <c r="I335" s="55" t="s">
        <v>1883</v>
      </c>
      <c r="J335" s="55">
        <v>2026.0</v>
      </c>
      <c r="K335" s="55">
        <v>3.0</v>
      </c>
      <c r="L335" s="57"/>
      <c r="M335" s="55" t="s">
        <v>109</v>
      </c>
      <c r="N335" s="57"/>
      <c r="O335" s="57"/>
      <c r="P335" s="57"/>
      <c r="Q335" s="55" t="s">
        <v>180</v>
      </c>
      <c r="R335" s="55" t="s">
        <v>1884</v>
      </c>
      <c r="S335" s="58"/>
      <c r="T335" s="74"/>
      <c r="U335" s="74"/>
      <c r="V335" s="74"/>
      <c r="W335" s="74"/>
      <c r="X335" s="74"/>
      <c r="Y335" s="74"/>
      <c r="Z335" s="60" t="s">
        <v>1414</v>
      </c>
      <c r="AA335" s="73" t="s">
        <v>1885</v>
      </c>
      <c r="AB335" s="62" t="s">
        <v>61</v>
      </c>
      <c r="AC335" s="63" t="s">
        <v>61</v>
      </c>
      <c r="AD335" s="64" t="s">
        <v>61</v>
      </c>
      <c r="AE335" s="64" t="s">
        <v>61</v>
      </c>
      <c r="AF335" s="63" t="s">
        <v>61</v>
      </c>
      <c r="AG335" s="63" t="s">
        <v>61</v>
      </c>
      <c r="AH335" s="63" t="s">
        <v>61</v>
      </c>
      <c r="AI335" s="65" t="s">
        <v>61</v>
      </c>
      <c r="AJ335" s="105" t="s">
        <v>61</v>
      </c>
      <c r="AK335" s="76"/>
    </row>
    <row r="336" ht="24.0" customHeight="1">
      <c r="A336" s="35"/>
      <c r="B336" s="36">
        <v>1.0</v>
      </c>
      <c r="C336" s="37" t="str">
        <f>IFERROR(__xludf.DUMMYFUNCTION("""COMPUTED_VALUE"""),"Josh Martino (3) - '26 RHP NH")</f>
        <v>Josh Martino (3) - '26 RHP NH</v>
      </c>
      <c r="D336" s="38" t="s">
        <v>1886</v>
      </c>
      <c r="E336" s="39" t="s">
        <v>63</v>
      </c>
      <c r="F336" s="112"/>
      <c r="G336" s="113"/>
      <c r="H336" s="42" t="s">
        <v>979</v>
      </c>
      <c r="I336" s="43" t="s">
        <v>1887</v>
      </c>
      <c r="J336" s="43">
        <v>2026.0</v>
      </c>
      <c r="K336" s="43">
        <v>3.0</v>
      </c>
      <c r="L336" s="80"/>
      <c r="M336" s="43" t="s">
        <v>63</v>
      </c>
      <c r="N336" s="80"/>
      <c r="O336" s="80"/>
      <c r="P336" s="80"/>
      <c r="Q336" s="43" t="s">
        <v>942</v>
      </c>
      <c r="R336" s="43" t="s">
        <v>1888</v>
      </c>
      <c r="S336" s="44"/>
      <c r="T336" s="81"/>
      <c r="U336" s="81"/>
      <c r="V336" s="81"/>
      <c r="W336" s="81"/>
      <c r="X336" s="81"/>
      <c r="Y336" s="81"/>
      <c r="Z336" s="46" t="s">
        <v>1474</v>
      </c>
      <c r="AA336" s="47" t="s">
        <v>1889</v>
      </c>
      <c r="AB336" s="48" t="s">
        <v>61</v>
      </c>
      <c r="AC336" s="68" t="s">
        <v>61</v>
      </c>
      <c r="AD336" s="69" t="s">
        <v>61</v>
      </c>
      <c r="AE336" s="69" t="s">
        <v>61</v>
      </c>
      <c r="AF336" s="68" t="s">
        <v>61</v>
      </c>
      <c r="AG336" s="68" t="s">
        <v>61</v>
      </c>
      <c r="AH336" s="68" t="s">
        <v>61</v>
      </c>
      <c r="AI336" s="70" t="s">
        <v>61</v>
      </c>
      <c r="AJ336" s="114" t="s">
        <v>61</v>
      </c>
      <c r="AK336" s="82"/>
    </row>
    <row r="337" ht="24.0" customHeight="1">
      <c r="A337" s="88"/>
      <c r="B337" s="36">
        <v>1.0</v>
      </c>
      <c r="C337" s="37" t="str">
        <f>IFERROR(__xludf.DUMMYFUNCTION("""COMPUTED_VALUE"""),"Logan Powell (3) - '26 C MD")</f>
        <v>Logan Powell (3) - '26 C MD</v>
      </c>
      <c r="D337" s="38" t="s">
        <v>1890</v>
      </c>
      <c r="E337" s="51" t="s">
        <v>109</v>
      </c>
      <c r="F337" s="115"/>
      <c r="G337" s="116"/>
      <c r="H337" s="54" t="s">
        <v>1026</v>
      </c>
      <c r="I337" s="55" t="s">
        <v>1685</v>
      </c>
      <c r="J337" s="55">
        <v>2026.0</v>
      </c>
      <c r="K337" s="55">
        <v>3.0</v>
      </c>
      <c r="L337" s="57"/>
      <c r="M337" s="55" t="s">
        <v>109</v>
      </c>
      <c r="N337" s="57"/>
      <c r="O337" s="57"/>
      <c r="P337" s="57"/>
      <c r="Q337" s="55" t="s">
        <v>195</v>
      </c>
      <c r="R337" s="55" t="s">
        <v>1891</v>
      </c>
      <c r="S337" s="58"/>
      <c r="T337" s="74"/>
      <c r="U337" s="74"/>
      <c r="V337" s="74"/>
      <c r="W337" s="74"/>
      <c r="X337" s="74"/>
      <c r="Y337" s="74"/>
      <c r="Z337" s="60" t="s">
        <v>1892</v>
      </c>
      <c r="AA337" s="73" t="s">
        <v>1893</v>
      </c>
      <c r="AB337" s="62" t="s">
        <v>61</v>
      </c>
      <c r="AC337" s="63" t="s">
        <v>61</v>
      </c>
      <c r="AD337" s="64" t="s">
        <v>61</v>
      </c>
      <c r="AE337" s="64" t="s">
        <v>61</v>
      </c>
      <c r="AF337" s="63" t="s">
        <v>61</v>
      </c>
      <c r="AG337" s="63" t="s">
        <v>61</v>
      </c>
      <c r="AH337" s="63" t="s">
        <v>61</v>
      </c>
      <c r="AI337" s="65" t="s">
        <v>61</v>
      </c>
      <c r="AJ337" s="105" t="s">
        <v>61</v>
      </c>
      <c r="AK337" s="76"/>
    </row>
    <row r="338" ht="24.0" customHeight="1">
      <c r="A338" s="35"/>
      <c r="B338" s="36">
        <v>1.0</v>
      </c>
      <c r="C338" s="37" t="str">
        <f>IFERROR(__xludf.DUMMYFUNCTION("""COMPUTED_VALUE"""),"Logan Taylor (3) - '26 CINF NJ")</f>
        <v>Logan Taylor (3) - '26 CINF NJ</v>
      </c>
      <c r="D338" s="38" t="s">
        <v>1894</v>
      </c>
      <c r="E338" s="39" t="s">
        <v>48</v>
      </c>
      <c r="F338" s="112"/>
      <c r="G338" s="113"/>
      <c r="H338" s="42" t="s">
        <v>1026</v>
      </c>
      <c r="I338" s="43" t="s">
        <v>1895</v>
      </c>
      <c r="J338" s="43">
        <v>2026.0</v>
      </c>
      <c r="K338" s="43">
        <v>3.0</v>
      </c>
      <c r="L338" s="80"/>
      <c r="M338" s="43" t="s">
        <v>72</v>
      </c>
      <c r="N338" s="80"/>
      <c r="O338" s="80"/>
      <c r="P338" s="80"/>
      <c r="Q338" s="43" t="s">
        <v>502</v>
      </c>
      <c r="R338" s="43" t="s">
        <v>1896</v>
      </c>
      <c r="S338" s="44"/>
      <c r="T338" s="81"/>
      <c r="U338" s="81"/>
      <c r="V338" s="81"/>
      <c r="W338" s="81"/>
      <c r="X338" s="81"/>
      <c r="Y338" s="81"/>
      <c r="Z338" s="82"/>
      <c r="AA338" s="47" t="s">
        <v>1897</v>
      </c>
      <c r="AB338" s="48" t="s">
        <v>61</v>
      </c>
      <c r="AC338" s="68" t="s">
        <v>61</v>
      </c>
      <c r="AD338" s="69" t="s">
        <v>61</v>
      </c>
      <c r="AE338" s="69" t="s">
        <v>61</v>
      </c>
      <c r="AF338" s="68" t="s">
        <v>61</v>
      </c>
      <c r="AG338" s="68" t="s">
        <v>61</v>
      </c>
      <c r="AH338" s="68" t="s">
        <v>61</v>
      </c>
      <c r="AI338" s="70" t="s">
        <v>61</v>
      </c>
      <c r="AJ338" s="114" t="s">
        <v>61</v>
      </c>
      <c r="AK338" s="82"/>
    </row>
    <row r="339" ht="24.0" customHeight="1">
      <c r="A339" s="35"/>
      <c r="B339" s="36">
        <v>1.0</v>
      </c>
      <c r="C339" s="37" t="str">
        <f>IFERROR(__xludf.DUMMYFUNCTION("""COMPUTED_VALUE"""),"Oscar Hickey (3) - '26 COF VA")</f>
        <v>Oscar Hickey (3) - '26 COF VA</v>
      </c>
      <c r="D339" s="38" t="s">
        <v>1898</v>
      </c>
      <c r="E339" s="51" t="s">
        <v>103</v>
      </c>
      <c r="F339" s="115"/>
      <c r="G339" s="116"/>
      <c r="H339" s="54" t="s">
        <v>1899</v>
      </c>
      <c r="I339" s="55" t="s">
        <v>1900</v>
      </c>
      <c r="J339" s="55">
        <v>2026.0</v>
      </c>
      <c r="K339" s="55">
        <v>3.0</v>
      </c>
      <c r="L339" s="57"/>
      <c r="M339" s="55" t="s">
        <v>42</v>
      </c>
      <c r="N339" s="57"/>
      <c r="O339" s="57"/>
      <c r="P339" s="57"/>
      <c r="Q339" s="55" t="s">
        <v>125</v>
      </c>
      <c r="R339" s="55" t="s">
        <v>119</v>
      </c>
      <c r="S339" s="58"/>
      <c r="T339" s="74"/>
      <c r="U339" s="74"/>
      <c r="V339" s="74"/>
      <c r="W339" s="74"/>
      <c r="X339" s="74"/>
      <c r="Y339" s="74"/>
      <c r="Z339" s="60" t="s">
        <v>1901</v>
      </c>
      <c r="AA339" s="73" t="s">
        <v>1902</v>
      </c>
      <c r="AB339" s="62" t="s">
        <v>61</v>
      </c>
      <c r="AC339" s="63" t="s">
        <v>61</v>
      </c>
      <c r="AD339" s="64" t="s">
        <v>61</v>
      </c>
      <c r="AE339" s="64" t="s">
        <v>61</v>
      </c>
      <c r="AF339" s="63" t="s">
        <v>61</v>
      </c>
      <c r="AG339" s="63" t="s">
        <v>61</v>
      </c>
      <c r="AH339" s="63" t="s">
        <v>61</v>
      </c>
      <c r="AI339" s="65" t="s">
        <v>61</v>
      </c>
      <c r="AJ339" s="105" t="s">
        <v>61</v>
      </c>
      <c r="AK339" s="76"/>
    </row>
    <row r="340" ht="24.0" customHeight="1">
      <c r="A340" s="35"/>
      <c r="B340" s="36">
        <v>1.0</v>
      </c>
      <c r="C340" s="37" t="str">
        <f>IFERROR(__xludf.DUMMYFUNCTION("""COMPUTED_VALUE"""),"Ryan Steeper (3) - '26 RHP VA")</f>
        <v>Ryan Steeper (3) - '26 RHP VA</v>
      </c>
      <c r="D340" s="38" t="s">
        <v>1903</v>
      </c>
      <c r="E340" s="39" t="s">
        <v>63</v>
      </c>
      <c r="F340" s="112"/>
      <c r="G340" s="113"/>
      <c r="H340" s="42" t="s">
        <v>1206</v>
      </c>
      <c r="I340" s="43" t="s">
        <v>1904</v>
      </c>
      <c r="J340" s="43">
        <v>2026.0</v>
      </c>
      <c r="K340" s="43">
        <v>3.0</v>
      </c>
      <c r="L340" s="80"/>
      <c r="M340" s="43" t="s">
        <v>63</v>
      </c>
      <c r="N340" s="80"/>
      <c r="O340" s="80"/>
      <c r="P340" s="80"/>
      <c r="Q340" s="43" t="s">
        <v>125</v>
      </c>
      <c r="R340" s="43" t="s">
        <v>1905</v>
      </c>
      <c r="S340" s="44"/>
      <c r="T340" s="81"/>
      <c r="U340" s="80"/>
      <c r="V340" s="81"/>
      <c r="W340" s="81"/>
      <c r="X340" s="81"/>
      <c r="Y340" s="81"/>
      <c r="Z340" s="46" t="s">
        <v>1906</v>
      </c>
      <c r="AA340" s="47" t="s">
        <v>1907</v>
      </c>
      <c r="AB340" s="48" t="s">
        <v>61</v>
      </c>
      <c r="AC340" s="68" t="s">
        <v>61</v>
      </c>
      <c r="AD340" s="69" t="s">
        <v>61</v>
      </c>
      <c r="AE340" s="69" t="s">
        <v>61</v>
      </c>
      <c r="AF340" s="68" t="s">
        <v>61</v>
      </c>
      <c r="AG340" s="68" t="s">
        <v>61</v>
      </c>
      <c r="AH340" s="68" t="s">
        <v>61</v>
      </c>
      <c r="AI340" s="70" t="s">
        <v>61</v>
      </c>
      <c r="AJ340" s="114" t="s">
        <v>61</v>
      </c>
      <c r="AK340" s="82"/>
    </row>
    <row r="341" ht="24.0" customHeight="1">
      <c r="A341" s="88"/>
      <c r="B341" s="36">
        <v>1.0</v>
      </c>
      <c r="C341" s="37" t="str">
        <f>IFERROR(__xludf.DUMMYFUNCTION("""COMPUTED_VALUE"""),"Sam Loving (3) - '26 COF VA")</f>
        <v>Sam Loving (3) - '26 COF VA</v>
      </c>
      <c r="D341" s="38" t="s">
        <v>1908</v>
      </c>
      <c r="E341" s="51" t="s">
        <v>103</v>
      </c>
      <c r="F341" s="115"/>
      <c r="G341" s="116"/>
      <c r="H341" s="54" t="s">
        <v>172</v>
      </c>
      <c r="I341" s="55" t="s">
        <v>1909</v>
      </c>
      <c r="J341" s="55">
        <v>2026.0</v>
      </c>
      <c r="K341" s="55">
        <v>3.0</v>
      </c>
      <c r="L341" s="57"/>
      <c r="M341" s="55" t="s">
        <v>42</v>
      </c>
      <c r="N341" s="57"/>
      <c r="O341" s="57"/>
      <c r="P341" s="57"/>
      <c r="Q341" s="55" t="s">
        <v>125</v>
      </c>
      <c r="R341" s="55" t="s">
        <v>1910</v>
      </c>
      <c r="S341" s="58"/>
      <c r="T341" s="74"/>
      <c r="U341" s="74"/>
      <c r="V341" s="74"/>
      <c r="W341" s="74"/>
      <c r="X341" s="74"/>
      <c r="Y341" s="74"/>
      <c r="Z341" s="76"/>
      <c r="AA341" s="73" t="s">
        <v>1911</v>
      </c>
      <c r="AB341" s="62" t="s">
        <v>61</v>
      </c>
      <c r="AC341" s="63" t="s">
        <v>61</v>
      </c>
      <c r="AD341" s="64" t="s">
        <v>61</v>
      </c>
      <c r="AE341" s="64" t="s">
        <v>61</v>
      </c>
      <c r="AF341" s="63" t="s">
        <v>61</v>
      </c>
      <c r="AG341" s="63" t="s">
        <v>61</v>
      </c>
      <c r="AH341" s="63" t="s">
        <v>61</v>
      </c>
      <c r="AI341" s="65" t="s">
        <v>61</v>
      </c>
      <c r="AJ341" s="105" t="s">
        <v>61</v>
      </c>
      <c r="AK341" s="76"/>
    </row>
    <row r="342" ht="24.0" customHeight="1">
      <c r="A342" s="35"/>
      <c r="B342" s="36">
        <v>1.0</v>
      </c>
      <c r="C342" s="37" t="str">
        <f>IFERROR(__xludf.DUMMYFUNCTION("""COMPUTED_VALUE"""),"Steele Ingram (3) - '26 COF GA")</f>
        <v>Steele Ingram (3) - '26 COF GA</v>
      </c>
      <c r="D342" s="38" t="s">
        <v>1912</v>
      </c>
      <c r="E342" s="39" t="s">
        <v>103</v>
      </c>
      <c r="F342" s="112"/>
      <c r="G342" s="113"/>
      <c r="H342" s="42" t="s">
        <v>1913</v>
      </c>
      <c r="I342" s="43" t="s">
        <v>1914</v>
      </c>
      <c r="J342" s="43">
        <v>2026.0</v>
      </c>
      <c r="K342" s="43">
        <v>3.0</v>
      </c>
      <c r="L342" s="80"/>
      <c r="M342" s="43" t="s">
        <v>42</v>
      </c>
      <c r="N342" s="80"/>
      <c r="O342" s="80"/>
      <c r="P342" s="80"/>
      <c r="Q342" s="43" t="s">
        <v>43</v>
      </c>
      <c r="R342" s="43" t="s">
        <v>1915</v>
      </c>
      <c r="S342" s="44"/>
      <c r="T342" s="81"/>
      <c r="U342" s="81"/>
      <c r="V342" s="81"/>
      <c r="W342" s="81"/>
      <c r="X342" s="81"/>
      <c r="Y342" s="81"/>
      <c r="Z342" s="82"/>
      <c r="AA342" s="47" t="s">
        <v>1916</v>
      </c>
      <c r="AB342" s="48" t="s">
        <v>61</v>
      </c>
      <c r="AC342" s="68" t="s">
        <v>61</v>
      </c>
      <c r="AD342" s="69" t="s">
        <v>61</v>
      </c>
      <c r="AE342" s="69" t="s">
        <v>61</v>
      </c>
      <c r="AF342" s="68" t="s">
        <v>61</v>
      </c>
      <c r="AG342" s="68" t="s">
        <v>61</v>
      </c>
      <c r="AH342" s="68" t="s">
        <v>61</v>
      </c>
      <c r="AI342" s="70" t="s">
        <v>61</v>
      </c>
      <c r="AJ342" s="114" t="s">
        <v>61</v>
      </c>
      <c r="AK342" s="82"/>
    </row>
    <row r="343" ht="24.0" customHeight="1">
      <c r="A343" s="35"/>
      <c r="B343" s="36">
        <v>1.0</v>
      </c>
      <c r="C343" s="37" t="str">
        <f>IFERROR(__xludf.DUMMYFUNCTION("""COMPUTED_VALUE"""),"David Feigner (XX) - '26 RHP AK")</f>
        <v>David Feigner (XX) - '26 RHP AK</v>
      </c>
      <c r="D343" s="38" t="s">
        <v>1917</v>
      </c>
      <c r="E343" s="51" t="s">
        <v>63</v>
      </c>
      <c r="F343" s="140">
        <v>45930.0</v>
      </c>
      <c r="G343" s="116" t="s">
        <v>1430</v>
      </c>
      <c r="H343" s="54" t="s">
        <v>710</v>
      </c>
      <c r="I343" s="55" t="s">
        <v>1918</v>
      </c>
      <c r="J343" s="55">
        <v>2026.0</v>
      </c>
      <c r="K343" s="55" t="s">
        <v>410</v>
      </c>
      <c r="L343" s="57"/>
      <c r="M343" s="55" t="s">
        <v>63</v>
      </c>
      <c r="N343" s="55"/>
      <c r="O343" s="55" t="s">
        <v>1550</v>
      </c>
      <c r="P343" s="57"/>
      <c r="Q343" s="55" t="s">
        <v>1919</v>
      </c>
      <c r="R343" s="57"/>
      <c r="S343" s="132"/>
      <c r="T343" s="51">
        <v>3.8</v>
      </c>
      <c r="U343" s="74"/>
      <c r="V343" s="74"/>
      <c r="W343" s="74"/>
      <c r="X343" s="74"/>
      <c r="Y343" s="74"/>
      <c r="Z343" s="76"/>
      <c r="AA343" s="73" t="s">
        <v>1920</v>
      </c>
      <c r="AB343" s="62" t="s">
        <v>1921</v>
      </c>
      <c r="AC343" s="63" t="s">
        <v>1922</v>
      </c>
      <c r="AD343" s="64" t="s">
        <v>1923</v>
      </c>
      <c r="AE343" s="64" t="s">
        <v>400</v>
      </c>
      <c r="AF343" s="63" t="s">
        <v>1924</v>
      </c>
      <c r="AG343" s="63" t="s">
        <v>1925</v>
      </c>
      <c r="AH343" s="63" t="s">
        <v>1925</v>
      </c>
      <c r="AI343" s="65" t="s">
        <v>81</v>
      </c>
      <c r="AJ343" s="66" t="s">
        <v>61</v>
      </c>
      <c r="AK343" s="60"/>
    </row>
    <row r="344" ht="24.0" customHeight="1">
      <c r="A344" s="35"/>
      <c r="B344" s="36">
        <v>1.0</v>
      </c>
      <c r="C344" s="37" t="str">
        <f>IFERROR(__xludf.DUMMYFUNCTION("""COMPUTED_VALUE"""),"Parker Hayes (XX) - '26 LHP OK")</f>
        <v>Parker Hayes (XX) - '26 LHP OK</v>
      </c>
      <c r="D344" s="38" t="s">
        <v>1926</v>
      </c>
      <c r="E344" s="39" t="s">
        <v>122</v>
      </c>
      <c r="F344" s="112"/>
      <c r="G344" s="113" t="s">
        <v>1470</v>
      </c>
      <c r="H344" s="42" t="s">
        <v>1595</v>
      </c>
      <c r="I344" s="43" t="s">
        <v>1927</v>
      </c>
      <c r="J344" s="43">
        <v>2026.0</v>
      </c>
      <c r="K344" s="43" t="s">
        <v>410</v>
      </c>
      <c r="L344" s="43"/>
      <c r="M344" s="43" t="s">
        <v>122</v>
      </c>
      <c r="N344" s="80"/>
      <c r="O344" s="80"/>
      <c r="P344" s="80"/>
      <c r="Q344" s="43" t="s">
        <v>698</v>
      </c>
      <c r="R344" s="43" t="s">
        <v>1928</v>
      </c>
      <c r="S344" s="44" t="s">
        <v>1929</v>
      </c>
      <c r="T344" s="39" t="s">
        <v>1462</v>
      </c>
      <c r="U344" s="39"/>
      <c r="V344" s="39"/>
      <c r="W344" s="39"/>
      <c r="X344" s="39"/>
      <c r="Y344" s="39"/>
      <c r="Z344" s="46"/>
      <c r="AA344" s="47" t="s">
        <v>1930</v>
      </c>
      <c r="AB344" s="48" t="s">
        <v>1931</v>
      </c>
      <c r="AC344" s="68" t="s">
        <v>1932</v>
      </c>
      <c r="AD344" s="69" t="s">
        <v>1933</v>
      </c>
      <c r="AE344" s="69" t="s">
        <v>1049</v>
      </c>
      <c r="AF344" s="68" t="s">
        <v>1934</v>
      </c>
      <c r="AG344" s="68" t="s">
        <v>60</v>
      </c>
      <c r="AH344" s="68" t="s">
        <v>60</v>
      </c>
      <c r="AI344" s="70" t="s">
        <v>60</v>
      </c>
      <c r="AJ344" s="49" t="s">
        <v>61</v>
      </c>
      <c r="AK344" s="46"/>
    </row>
    <row r="345" ht="24.0" customHeight="1">
      <c r="A345" s="35"/>
      <c r="B345" s="36">
        <v>1.0</v>
      </c>
      <c r="C345" s="37" t="str">
        <f>IFERROR(__xludf.DUMMYFUNCTION("""COMPUTED_VALUE"""),"Rocco Szambelan (XX) - '26 LHP ")</f>
        <v>Rocco Szambelan (XX) - '26 LHP </v>
      </c>
      <c r="D345" s="38" t="s">
        <v>1935</v>
      </c>
      <c r="E345" s="51" t="s">
        <v>122</v>
      </c>
      <c r="F345" s="137"/>
      <c r="G345" s="133"/>
      <c r="H345" s="54" t="s">
        <v>1521</v>
      </c>
      <c r="I345" s="55" t="s">
        <v>1936</v>
      </c>
      <c r="J345" s="55">
        <v>2026.0</v>
      </c>
      <c r="K345" s="55" t="s">
        <v>410</v>
      </c>
      <c r="L345" s="57"/>
      <c r="M345" s="55" t="s">
        <v>122</v>
      </c>
      <c r="N345" s="55"/>
      <c r="O345" s="57"/>
      <c r="P345" s="57"/>
      <c r="Q345" s="57"/>
      <c r="R345" s="57"/>
      <c r="S345" s="132"/>
      <c r="T345" s="74"/>
      <c r="U345" s="74"/>
      <c r="V345" s="74"/>
      <c r="W345" s="51" t="s">
        <v>1463</v>
      </c>
      <c r="X345" s="74"/>
      <c r="Y345" s="74"/>
      <c r="Z345" s="76"/>
      <c r="AA345" s="134"/>
      <c r="AB345" s="62" t="s">
        <v>1937</v>
      </c>
      <c r="AC345" s="63" t="s">
        <v>1938</v>
      </c>
      <c r="AD345" s="64" t="s">
        <v>1939</v>
      </c>
      <c r="AE345" s="64" t="s">
        <v>1940</v>
      </c>
      <c r="AF345" s="63" t="s">
        <v>1941</v>
      </c>
      <c r="AG345" s="63" t="s">
        <v>1942</v>
      </c>
      <c r="AH345" s="63" t="s">
        <v>1943</v>
      </c>
      <c r="AI345" s="65" t="s">
        <v>81</v>
      </c>
      <c r="AJ345" s="66" t="s">
        <v>61</v>
      </c>
      <c r="AK345" s="60"/>
    </row>
    <row r="346" ht="24.0" customHeight="1">
      <c r="A346" s="71"/>
      <c r="B346" s="36">
        <v>1.0</v>
      </c>
      <c r="C346" s="37" t="str">
        <f>IFERROR(__xludf.DUMMYFUNCTION("""COMPUTED_VALUE"""),"Roman Martinez (XX) - '26 RHP TX")</f>
        <v>Roman Martinez (XX) - '26 RHP TX</v>
      </c>
      <c r="D346" s="38" t="s">
        <v>1944</v>
      </c>
      <c r="E346" s="39" t="s">
        <v>63</v>
      </c>
      <c r="F346" s="118">
        <v>45935.0</v>
      </c>
      <c r="G346" s="113" t="s">
        <v>1395</v>
      </c>
      <c r="H346" s="42" t="s">
        <v>1527</v>
      </c>
      <c r="I346" s="43" t="s">
        <v>386</v>
      </c>
      <c r="J346" s="43">
        <v>2026.0</v>
      </c>
      <c r="K346" s="43" t="s">
        <v>410</v>
      </c>
      <c r="L346" s="80"/>
      <c r="M346" s="43" t="s">
        <v>63</v>
      </c>
      <c r="N346" s="43"/>
      <c r="O346" s="80"/>
      <c r="P346" s="80"/>
      <c r="Q346" s="43" t="s">
        <v>180</v>
      </c>
      <c r="R346" s="80"/>
      <c r="S346" s="117"/>
      <c r="T346" s="81"/>
      <c r="U346" s="81"/>
      <c r="V346" s="81"/>
      <c r="W346" s="81"/>
      <c r="X346" s="81"/>
      <c r="Y346" s="81"/>
      <c r="Z346" s="82"/>
      <c r="AA346" s="99"/>
      <c r="AB346" s="48" t="s">
        <v>1945</v>
      </c>
      <c r="AC346" s="68" t="s">
        <v>1946</v>
      </c>
      <c r="AD346" s="69">
        <v>4.0</v>
      </c>
      <c r="AE346" s="69" t="s">
        <v>1947</v>
      </c>
      <c r="AF346" s="68" t="s">
        <v>1948</v>
      </c>
      <c r="AG346" s="68" t="s">
        <v>60</v>
      </c>
      <c r="AH346" s="68" t="s">
        <v>81</v>
      </c>
      <c r="AI346" s="70" t="s">
        <v>81</v>
      </c>
      <c r="AJ346" s="49" t="s">
        <v>61</v>
      </c>
      <c r="AK346" s="46"/>
    </row>
    <row r="347" ht="24.0" customHeight="1">
      <c r="A347" s="35"/>
      <c r="B347" s="36">
        <v>1.0</v>
      </c>
      <c r="C347" s="37" t="str">
        <f>IFERROR(__xludf.DUMMYFUNCTION("""COMPUTED_VALUE"""),"Garrett Koshkin (XX) - '26 RHP TX")</f>
        <v>Garrett Koshkin (XX) - '26 RHP TX</v>
      </c>
      <c r="D347" s="38" t="s">
        <v>1949</v>
      </c>
      <c r="E347" s="51" t="s">
        <v>63</v>
      </c>
      <c r="F347" s="119">
        <v>45945.0</v>
      </c>
      <c r="G347" s="133"/>
      <c r="H347" s="54" t="s">
        <v>781</v>
      </c>
      <c r="I347" s="55" t="s">
        <v>1950</v>
      </c>
      <c r="J347" s="55">
        <v>2026.0</v>
      </c>
      <c r="K347" s="55" t="s">
        <v>410</v>
      </c>
      <c r="L347" s="57"/>
      <c r="M347" s="55" t="s">
        <v>63</v>
      </c>
      <c r="N347" s="55"/>
      <c r="O347" s="55" t="s">
        <v>1550</v>
      </c>
      <c r="P347" s="55" t="s">
        <v>1951</v>
      </c>
      <c r="Q347" s="55" t="s">
        <v>180</v>
      </c>
      <c r="R347" s="55" t="s">
        <v>1952</v>
      </c>
      <c r="S347" s="58" t="s">
        <v>1593</v>
      </c>
      <c r="T347" s="74"/>
      <c r="U347" s="74"/>
      <c r="V347" s="74"/>
      <c r="W347" s="51" t="s">
        <v>1571</v>
      </c>
      <c r="X347" s="74"/>
      <c r="Y347" s="74"/>
      <c r="Z347" s="76"/>
      <c r="AA347" s="134"/>
      <c r="AB347" s="62" t="s">
        <v>1953</v>
      </c>
      <c r="AC347" s="63" t="s">
        <v>1954</v>
      </c>
      <c r="AD347" s="64" t="s">
        <v>1955</v>
      </c>
      <c r="AE347" s="64" t="s">
        <v>1956</v>
      </c>
      <c r="AF347" s="63" t="s">
        <v>60</v>
      </c>
      <c r="AG347" s="63" t="s">
        <v>60</v>
      </c>
      <c r="AH347" s="63" t="s">
        <v>60</v>
      </c>
      <c r="AI347" s="65" t="s">
        <v>60</v>
      </c>
      <c r="AJ347" s="66" t="s">
        <v>61</v>
      </c>
      <c r="AK347" s="60"/>
    </row>
    <row r="348" ht="24.0" customHeight="1">
      <c r="A348" s="88"/>
      <c r="B348" s="36">
        <v>1.0</v>
      </c>
      <c r="C348" s="37" t="str">
        <f>IFERROR(__xludf.DUMMYFUNCTION("""COMPUTED_VALUE"""),"Gavin Cervantes (XX) - '26 RHP CA")</f>
        <v>Gavin Cervantes (XX) - '26 RHP CA</v>
      </c>
      <c r="D348" s="89" t="s">
        <v>1957</v>
      </c>
      <c r="E348" s="39" t="s">
        <v>63</v>
      </c>
      <c r="F348" s="118">
        <v>45945.0</v>
      </c>
      <c r="G348" s="122"/>
      <c r="H348" s="42" t="s">
        <v>788</v>
      </c>
      <c r="I348" s="43" t="s">
        <v>1958</v>
      </c>
      <c r="J348" s="43">
        <v>2026.0</v>
      </c>
      <c r="K348" s="43" t="s">
        <v>410</v>
      </c>
      <c r="L348" s="80"/>
      <c r="M348" s="43" t="s">
        <v>63</v>
      </c>
      <c r="N348" s="43"/>
      <c r="O348" s="43" t="s">
        <v>1550</v>
      </c>
      <c r="P348" s="43" t="s">
        <v>1959</v>
      </c>
      <c r="Q348" s="43" t="s">
        <v>52</v>
      </c>
      <c r="R348" s="43" t="s">
        <v>1960</v>
      </c>
      <c r="S348" s="44" t="s">
        <v>1376</v>
      </c>
      <c r="T348" s="81"/>
      <c r="U348" s="81"/>
      <c r="V348" s="81"/>
      <c r="W348" s="39" t="s">
        <v>1571</v>
      </c>
      <c r="X348" s="81"/>
      <c r="Y348" s="81"/>
      <c r="Z348" s="82"/>
      <c r="AA348" s="99"/>
      <c r="AB348" s="48" t="s">
        <v>1961</v>
      </c>
      <c r="AC348" s="68" t="s">
        <v>1962</v>
      </c>
      <c r="AD348" s="69" t="s">
        <v>1963</v>
      </c>
      <c r="AE348" s="69" t="s">
        <v>1964</v>
      </c>
      <c r="AF348" s="68" t="s">
        <v>1965</v>
      </c>
      <c r="AG348" s="68" t="s">
        <v>81</v>
      </c>
      <c r="AH348" s="68" t="s">
        <v>81</v>
      </c>
      <c r="AI348" s="70" t="s">
        <v>81</v>
      </c>
      <c r="AJ348" s="49" t="s">
        <v>61</v>
      </c>
      <c r="AK348" s="46"/>
    </row>
    <row r="349" ht="24.0" customHeight="1">
      <c r="A349" s="35"/>
      <c r="B349" s="36">
        <v>1.0</v>
      </c>
      <c r="C349" s="37" t="str">
        <f>IFERROR(__xludf.DUMMYFUNCTION("""COMPUTED_VALUE"""),"Noah McConnell (XX) - '26 RHP NV")</f>
        <v>Noah McConnell (XX) - '26 RHP NV</v>
      </c>
      <c r="D349" s="38" t="s">
        <v>1966</v>
      </c>
      <c r="E349" s="51" t="s">
        <v>63</v>
      </c>
      <c r="F349" s="137"/>
      <c r="G349" s="133"/>
      <c r="H349" s="54" t="s">
        <v>49</v>
      </c>
      <c r="I349" s="55" t="s">
        <v>1967</v>
      </c>
      <c r="J349" s="55">
        <v>2026.0</v>
      </c>
      <c r="K349" s="55" t="s">
        <v>410</v>
      </c>
      <c r="L349" s="57"/>
      <c r="M349" s="55" t="s">
        <v>63</v>
      </c>
      <c r="N349" s="55"/>
      <c r="O349" s="57"/>
      <c r="P349" s="57"/>
      <c r="Q349" s="55" t="s">
        <v>1968</v>
      </c>
      <c r="R349" s="57"/>
      <c r="S349" s="58" t="s">
        <v>1588</v>
      </c>
      <c r="T349" s="74"/>
      <c r="U349" s="74"/>
      <c r="V349" s="74"/>
      <c r="W349" s="74"/>
      <c r="X349" s="74"/>
      <c r="Y349" s="74"/>
      <c r="Z349" s="76"/>
      <c r="AA349" s="134"/>
      <c r="AB349" s="62" t="s">
        <v>61</v>
      </c>
      <c r="AC349" s="63" t="s">
        <v>61</v>
      </c>
      <c r="AD349" s="64" t="s">
        <v>61</v>
      </c>
      <c r="AE349" s="64" t="s">
        <v>61</v>
      </c>
      <c r="AF349" s="63" t="s">
        <v>61</v>
      </c>
      <c r="AG349" s="63" t="s">
        <v>61</v>
      </c>
      <c r="AH349" s="63" t="s">
        <v>61</v>
      </c>
      <c r="AI349" s="65" t="s">
        <v>61</v>
      </c>
      <c r="AJ349" s="66" t="s">
        <v>61</v>
      </c>
      <c r="AK349" s="60"/>
    </row>
    <row r="350" ht="24.0" customHeight="1">
      <c r="A350" s="35"/>
      <c r="B350" s="36">
        <v>1.0</v>
      </c>
      <c r="C350" s="37" t="str">
        <f>IFERROR(__xludf.DUMMYFUNCTION("""COMPUTED_VALUE"""),"Logan Wideman (XX) - '26 1B GA")</f>
        <v>Logan Wideman (XX) - '26 1B GA</v>
      </c>
      <c r="D350" s="38" t="s">
        <v>1969</v>
      </c>
      <c r="E350" s="39" t="s">
        <v>48</v>
      </c>
      <c r="F350" s="118">
        <v>45945.0</v>
      </c>
      <c r="G350" s="122"/>
      <c r="H350" s="42" t="s">
        <v>1026</v>
      </c>
      <c r="I350" s="43" t="s">
        <v>1970</v>
      </c>
      <c r="J350" s="43">
        <v>2026.0</v>
      </c>
      <c r="K350" s="43" t="s">
        <v>410</v>
      </c>
      <c r="L350" s="43" t="s">
        <v>1971</v>
      </c>
      <c r="M350" s="43" t="s">
        <v>1972</v>
      </c>
      <c r="N350" s="43"/>
      <c r="O350" s="43" t="s">
        <v>1550</v>
      </c>
      <c r="P350" s="43" t="s">
        <v>1973</v>
      </c>
      <c r="Q350" s="43" t="s">
        <v>43</v>
      </c>
      <c r="R350" s="43" t="s">
        <v>1286</v>
      </c>
      <c r="S350" s="44" t="s">
        <v>1120</v>
      </c>
      <c r="T350" s="81"/>
      <c r="U350" s="81"/>
      <c r="V350" s="81"/>
      <c r="W350" s="39" t="s">
        <v>1571</v>
      </c>
      <c r="X350" s="81"/>
      <c r="Y350" s="81"/>
      <c r="Z350" s="82"/>
      <c r="AA350" s="99"/>
      <c r="AB350" s="48" t="s">
        <v>61</v>
      </c>
      <c r="AC350" s="68" t="s">
        <v>61</v>
      </c>
      <c r="AD350" s="69" t="s">
        <v>61</v>
      </c>
      <c r="AE350" s="69" t="s">
        <v>61</v>
      </c>
      <c r="AF350" s="68" t="s">
        <v>61</v>
      </c>
      <c r="AG350" s="68" t="s">
        <v>61</v>
      </c>
      <c r="AH350" s="68" t="s">
        <v>61</v>
      </c>
      <c r="AI350" s="70" t="s">
        <v>61</v>
      </c>
      <c r="AJ350" s="114" t="s">
        <v>61</v>
      </c>
      <c r="AK350" s="82"/>
    </row>
    <row r="351" ht="24.0" customHeight="1">
      <c r="A351" s="35"/>
      <c r="B351" s="36">
        <v>1.0</v>
      </c>
      <c r="C351" s="37" t="str">
        <f>IFERROR(__xludf.DUMMYFUNCTION("""COMPUTED_VALUE"""),"Kellan Tom (XX) - '26 1B AZ")</f>
        <v>Kellan Tom (XX) - '26 1B AZ</v>
      </c>
      <c r="D351" s="38" t="s">
        <v>1974</v>
      </c>
      <c r="E351" s="51" t="s">
        <v>48</v>
      </c>
      <c r="F351" s="119">
        <v>45930.0</v>
      </c>
      <c r="G351" s="116" t="s">
        <v>1430</v>
      </c>
      <c r="H351" s="54" t="s">
        <v>1975</v>
      </c>
      <c r="I351" s="55" t="s">
        <v>1976</v>
      </c>
      <c r="J351" s="55">
        <v>2026.0</v>
      </c>
      <c r="K351" s="55" t="s">
        <v>410</v>
      </c>
      <c r="L351" s="55" t="s">
        <v>1977</v>
      </c>
      <c r="M351" s="55" t="s">
        <v>1972</v>
      </c>
      <c r="N351" s="55"/>
      <c r="O351" s="55" t="s">
        <v>1550</v>
      </c>
      <c r="P351" s="57"/>
      <c r="Q351" s="55" t="s">
        <v>319</v>
      </c>
      <c r="R351" s="57"/>
      <c r="S351" s="132"/>
      <c r="T351" s="74"/>
      <c r="U351" s="74"/>
      <c r="V351" s="74"/>
      <c r="W351" s="74"/>
      <c r="X351" s="74"/>
      <c r="Y351" s="74"/>
      <c r="Z351" s="76"/>
      <c r="AA351" s="134"/>
      <c r="AB351" s="62" t="s">
        <v>61</v>
      </c>
      <c r="AC351" s="63" t="s">
        <v>61</v>
      </c>
      <c r="AD351" s="64" t="s">
        <v>61</v>
      </c>
      <c r="AE351" s="64" t="s">
        <v>61</v>
      </c>
      <c r="AF351" s="63" t="s">
        <v>61</v>
      </c>
      <c r="AG351" s="63" t="s">
        <v>61</v>
      </c>
      <c r="AH351" s="63" t="s">
        <v>61</v>
      </c>
      <c r="AI351" s="65" t="s">
        <v>61</v>
      </c>
      <c r="AJ351" s="105" t="s">
        <v>61</v>
      </c>
      <c r="AK351" s="76"/>
    </row>
    <row r="352" ht="24.0" customHeight="1">
      <c r="A352" s="35"/>
      <c r="B352" s="36">
        <v>1.0</v>
      </c>
      <c r="C352" s="37" t="str">
        <f>IFERROR(__xludf.DUMMYFUNCTION("""COMPUTED_VALUE"""),"Pete Ward (XX) - '26 RHP IN")</f>
        <v>Pete Ward (XX) - '26 RHP IN</v>
      </c>
      <c r="D352" s="38" t="s">
        <v>1978</v>
      </c>
      <c r="E352" s="39" t="s">
        <v>63</v>
      </c>
      <c r="F352" s="118">
        <v>45922.0</v>
      </c>
      <c r="G352" s="113" t="s">
        <v>1430</v>
      </c>
      <c r="H352" s="42" t="s">
        <v>1979</v>
      </c>
      <c r="I352" s="43" t="s">
        <v>1980</v>
      </c>
      <c r="J352" s="43">
        <v>2026.0</v>
      </c>
      <c r="K352" s="43" t="s">
        <v>410</v>
      </c>
      <c r="L352" s="43" t="s">
        <v>1981</v>
      </c>
      <c r="M352" s="43" t="s">
        <v>63</v>
      </c>
      <c r="N352" s="43"/>
      <c r="O352" s="43" t="s">
        <v>1550</v>
      </c>
      <c r="P352" s="80"/>
      <c r="Q352" s="43" t="s">
        <v>153</v>
      </c>
      <c r="R352" s="43" t="s">
        <v>1982</v>
      </c>
      <c r="S352" s="44" t="s">
        <v>460</v>
      </c>
      <c r="T352" s="39" t="s">
        <v>1983</v>
      </c>
      <c r="U352" s="81"/>
      <c r="V352" s="81"/>
      <c r="W352" s="81"/>
      <c r="X352" s="81"/>
      <c r="Y352" s="81"/>
      <c r="Z352" s="82"/>
      <c r="AA352" s="47" t="s">
        <v>1984</v>
      </c>
      <c r="AB352" s="48" t="s">
        <v>61</v>
      </c>
      <c r="AC352" s="68" t="s">
        <v>61</v>
      </c>
      <c r="AD352" s="69" t="s">
        <v>61</v>
      </c>
      <c r="AE352" s="69" t="s">
        <v>61</v>
      </c>
      <c r="AF352" s="68" t="s">
        <v>61</v>
      </c>
      <c r="AG352" s="68" t="s">
        <v>61</v>
      </c>
      <c r="AH352" s="68" t="s">
        <v>61</v>
      </c>
      <c r="AI352" s="70" t="s">
        <v>61</v>
      </c>
      <c r="AJ352" s="114" t="s">
        <v>61</v>
      </c>
      <c r="AK352" s="82"/>
    </row>
    <row r="353" ht="24.0" customHeight="1">
      <c r="A353" s="35"/>
      <c r="B353" s="36">
        <v>1.0</v>
      </c>
      <c r="C353" s="37" t="str">
        <f>IFERROR(__xludf.DUMMYFUNCTION("""COMPUTED_VALUE"""),"Kamden Milner (XX) - '26 RHP FL")</f>
        <v>Kamden Milner (XX) - '26 RHP FL</v>
      </c>
      <c r="D353" s="38" t="s">
        <v>1985</v>
      </c>
      <c r="E353" s="51" t="s">
        <v>63</v>
      </c>
      <c r="F353" s="119">
        <v>45945.0</v>
      </c>
      <c r="G353" s="133"/>
      <c r="H353" s="54" t="s">
        <v>1986</v>
      </c>
      <c r="I353" s="55" t="s">
        <v>1987</v>
      </c>
      <c r="J353" s="55">
        <v>2026.0</v>
      </c>
      <c r="K353" s="55" t="s">
        <v>410</v>
      </c>
      <c r="L353" s="55" t="s">
        <v>1988</v>
      </c>
      <c r="M353" s="55" t="s">
        <v>63</v>
      </c>
      <c r="N353" s="55"/>
      <c r="O353" s="55" t="s">
        <v>1989</v>
      </c>
      <c r="P353" s="55" t="s">
        <v>1990</v>
      </c>
      <c r="Q353" s="55" t="s">
        <v>66</v>
      </c>
      <c r="R353" s="55" t="s">
        <v>1991</v>
      </c>
      <c r="S353" s="58" t="s">
        <v>1125</v>
      </c>
      <c r="T353" s="74"/>
      <c r="U353" s="74"/>
      <c r="V353" s="74"/>
      <c r="W353" s="51" t="s">
        <v>1571</v>
      </c>
      <c r="X353" s="74"/>
      <c r="Y353" s="74"/>
      <c r="Z353" s="76"/>
      <c r="AA353" s="134"/>
      <c r="AB353" s="62" t="s">
        <v>61</v>
      </c>
      <c r="AC353" s="63" t="s">
        <v>61</v>
      </c>
      <c r="AD353" s="64" t="s">
        <v>61</v>
      </c>
      <c r="AE353" s="64" t="s">
        <v>61</v>
      </c>
      <c r="AF353" s="63" t="s">
        <v>61</v>
      </c>
      <c r="AG353" s="63" t="s">
        <v>61</v>
      </c>
      <c r="AH353" s="63" t="s">
        <v>61</v>
      </c>
      <c r="AI353" s="65" t="s">
        <v>61</v>
      </c>
      <c r="AJ353" s="105" t="s">
        <v>61</v>
      </c>
      <c r="AK353" s="76"/>
    </row>
    <row r="354" ht="24.0" customHeight="1">
      <c r="A354" s="35"/>
      <c r="B354" s="36">
        <v>1.0</v>
      </c>
      <c r="C354" s="37" t="str">
        <f>IFERROR(__xludf.DUMMYFUNCTION("""COMPUTED_VALUE"""),"Chase Anderson (XX) - '26 RHP SC")</f>
        <v>Chase Anderson (XX) - '26 RHP SC</v>
      </c>
      <c r="D354" s="38" t="s">
        <v>1992</v>
      </c>
      <c r="E354" s="39" t="s">
        <v>63</v>
      </c>
      <c r="F354" s="118">
        <v>45945.0</v>
      </c>
      <c r="G354" s="122"/>
      <c r="H354" s="42" t="s">
        <v>376</v>
      </c>
      <c r="I354" s="43" t="s">
        <v>1993</v>
      </c>
      <c r="J354" s="43">
        <v>2026.0</v>
      </c>
      <c r="K354" s="43" t="s">
        <v>410</v>
      </c>
      <c r="L354" s="43" t="s">
        <v>1994</v>
      </c>
      <c r="M354" s="43" t="s">
        <v>63</v>
      </c>
      <c r="N354" s="43" t="s">
        <v>103</v>
      </c>
      <c r="O354" s="43" t="s">
        <v>1550</v>
      </c>
      <c r="P354" s="43" t="s">
        <v>732</v>
      </c>
      <c r="Q354" s="43" t="s">
        <v>286</v>
      </c>
      <c r="R354" s="43" t="s">
        <v>1995</v>
      </c>
      <c r="S354" s="44" t="s">
        <v>1599</v>
      </c>
      <c r="T354" s="81"/>
      <c r="U354" s="81"/>
      <c r="V354" s="81"/>
      <c r="W354" s="39" t="s">
        <v>1571</v>
      </c>
      <c r="X354" s="81"/>
      <c r="Y354" s="81"/>
      <c r="Z354" s="82"/>
      <c r="AA354" s="99"/>
      <c r="AB354" s="48" t="s">
        <v>61</v>
      </c>
      <c r="AC354" s="68" t="s">
        <v>61</v>
      </c>
      <c r="AD354" s="69" t="s">
        <v>61</v>
      </c>
      <c r="AE354" s="69" t="s">
        <v>61</v>
      </c>
      <c r="AF354" s="68" t="s">
        <v>61</v>
      </c>
      <c r="AG354" s="68" t="s">
        <v>61</v>
      </c>
      <c r="AH354" s="68" t="s">
        <v>61</v>
      </c>
      <c r="AI354" s="70" t="s">
        <v>61</v>
      </c>
      <c r="AJ354" s="114" t="s">
        <v>61</v>
      </c>
      <c r="AK354" s="82"/>
    </row>
    <row r="355" ht="24.0" customHeight="1">
      <c r="A355" s="35"/>
      <c r="B355" s="36">
        <v>1.0</v>
      </c>
      <c r="C355" s="37" t="str">
        <f>IFERROR(__xludf.DUMMYFUNCTION("""COMPUTED_VALUE"""),"Max Tello (XX) - '26 RHP CA")</f>
        <v>Max Tello (XX) - '26 RHP CA</v>
      </c>
      <c r="D355" s="38" t="s">
        <v>1996</v>
      </c>
      <c r="E355" s="51" t="s">
        <v>63</v>
      </c>
      <c r="F355" s="119">
        <v>45945.0</v>
      </c>
      <c r="G355" s="133"/>
      <c r="H355" s="54" t="s">
        <v>1997</v>
      </c>
      <c r="I355" s="55" t="s">
        <v>1998</v>
      </c>
      <c r="J355" s="55">
        <v>2026.0</v>
      </c>
      <c r="K355" s="55" t="s">
        <v>410</v>
      </c>
      <c r="L355" s="55" t="s">
        <v>1994</v>
      </c>
      <c r="M355" s="55" t="s">
        <v>63</v>
      </c>
      <c r="N355" s="55"/>
      <c r="O355" s="55" t="s">
        <v>1550</v>
      </c>
      <c r="P355" s="55" t="s">
        <v>1999</v>
      </c>
      <c r="Q355" s="55" t="s">
        <v>52</v>
      </c>
      <c r="R355" s="55" t="s">
        <v>2000</v>
      </c>
      <c r="S355" s="58" t="s">
        <v>2001</v>
      </c>
      <c r="T355" s="74"/>
      <c r="U355" s="74"/>
      <c r="V355" s="74"/>
      <c r="W355" s="51" t="s">
        <v>1571</v>
      </c>
      <c r="X355" s="74"/>
      <c r="Y355" s="74"/>
      <c r="Z355" s="76"/>
      <c r="AA355" s="134"/>
      <c r="AB355" s="62" t="s">
        <v>2002</v>
      </c>
      <c r="AC355" s="63" t="s">
        <v>2003</v>
      </c>
      <c r="AD355" s="64">
        <v>3.68</v>
      </c>
      <c r="AE355" s="64" t="s">
        <v>400</v>
      </c>
      <c r="AF355" s="63" t="s">
        <v>400</v>
      </c>
      <c r="AG355" s="63" t="s">
        <v>400</v>
      </c>
      <c r="AH355" s="63" t="s">
        <v>400</v>
      </c>
      <c r="AI355" s="65" t="s">
        <v>400</v>
      </c>
      <c r="AJ355" s="105" t="s">
        <v>61</v>
      </c>
      <c r="AK355" s="76"/>
    </row>
    <row r="356" ht="24.0" customHeight="1">
      <c r="A356" s="71"/>
      <c r="B356" s="36">
        <v>1.0</v>
      </c>
      <c r="C356" s="37" t="str">
        <f>IFERROR(__xludf.DUMMYFUNCTION("""COMPUTED_VALUE"""),"Luke Long (XX) - '26 RHP FL")</f>
        <v>Luke Long (XX) - '26 RHP FL</v>
      </c>
      <c r="D356" s="38" t="s">
        <v>2004</v>
      </c>
      <c r="E356" s="39" t="s">
        <v>63</v>
      </c>
      <c r="F356" s="118">
        <v>45945.0</v>
      </c>
      <c r="G356" s="122"/>
      <c r="H356" s="42" t="s">
        <v>1042</v>
      </c>
      <c r="I356" s="43" t="s">
        <v>2005</v>
      </c>
      <c r="J356" s="43">
        <v>2026.0</v>
      </c>
      <c r="K356" s="43" t="s">
        <v>410</v>
      </c>
      <c r="L356" s="43" t="s">
        <v>1994</v>
      </c>
      <c r="M356" s="43" t="s">
        <v>63</v>
      </c>
      <c r="N356" s="43"/>
      <c r="O356" s="43" t="s">
        <v>1550</v>
      </c>
      <c r="P356" s="43" t="s">
        <v>2006</v>
      </c>
      <c r="Q356" s="43" t="s">
        <v>66</v>
      </c>
      <c r="R356" s="43" t="s">
        <v>2007</v>
      </c>
      <c r="S356" s="44" t="s">
        <v>1593</v>
      </c>
      <c r="T356" s="81"/>
      <c r="U356" s="81"/>
      <c r="V356" s="81"/>
      <c r="W356" s="39" t="s">
        <v>1571</v>
      </c>
      <c r="X356" s="81"/>
      <c r="Y356" s="81"/>
      <c r="Z356" s="82"/>
      <c r="AA356" s="99"/>
      <c r="AB356" s="48" t="s">
        <v>61</v>
      </c>
      <c r="AC356" s="68" t="s">
        <v>61</v>
      </c>
      <c r="AD356" s="69" t="s">
        <v>61</v>
      </c>
      <c r="AE356" s="69" t="s">
        <v>61</v>
      </c>
      <c r="AF356" s="68" t="s">
        <v>61</v>
      </c>
      <c r="AG356" s="68" t="s">
        <v>61</v>
      </c>
      <c r="AH356" s="68" t="s">
        <v>61</v>
      </c>
      <c r="AI356" s="70" t="s">
        <v>61</v>
      </c>
      <c r="AJ356" s="114" t="s">
        <v>61</v>
      </c>
      <c r="AK356" s="82"/>
    </row>
    <row r="357" ht="24.0" customHeight="1">
      <c r="A357" s="35"/>
      <c r="B357" s="36">
        <v>1.0</v>
      </c>
      <c r="C357" s="37" t="str">
        <f>IFERROR(__xludf.DUMMYFUNCTION("""COMPUTED_VALUE"""),"Nick Masciarelli (XX) - '26 RHP NY")</f>
        <v>Nick Masciarelli (XX) - '26 RHP NY</v>
      </c>
      <c r="D357" s="38" t="s">
        <v>2008</v>
      </c>
      <c r="E357" s="51" t="s">
        <v>63</v>
      </c>
      <c r="F357" s="119">
        <v>45855.0</v>
      </c>
      <c r="G357" s="116" t="s">
        <v>1395</v>
      </c>
      <c r="H357" s="54" t="s">
        <v>1123</v>
      </c>
      <c r="I357" s="55" t="s">
        <v>2009</v>
      </c>
      <c r="J357" s="55">
        <v>2026.0</v>
      </c>
      <c r="K357" s="55" t="s">
        <v>410</v>
      </c>
      <c r="L357" s="55" t="s">
        <v>2010</v>
      </c>
      <c r="M357" s="55" t="s">
        <v>63</v>
      </c>
      <c r="N357" s="55"/>
      <c r="O357" s="72"/>
      <c r="P357" s="72"/>
      <c r="Q357" s="55" t="s">
        <v>255</v>
      </c>
      <c r="R357" s="55" t="s">
        <v>2011</v>
      </c>
      <c r="S357" s="58" t="s">
        <v>2012</v>
      </c>
      <c r="T357" s="51" t="s">
        <v>2013</v>
      </c>
      <c r="U357" s="51"/>
      <c r="V357" s="51"/>
      <c r="W357" s="51"/>
      <c r="X357" s="51"/>
      <c r="Y357" s="51"/>
      <c r="Z357" s="60"/>
      <c r="AA357" s="73" t="s">
        <v>2014</v>
      </c>
      <c r="AB357" s="62" t="s">
        <v>61</v>
      </c>
      <c r="AC357" s="63" t="s">
        <v>61</v>
      </c>
      <c r="AD357" s="64" t="s">
        <v>61</v>
      </c>
      <c r="AE357" s="64" t="s">
        <v>61</v>
      </c>
      <c r="AF357" s="63" t="s">
        <v>61</v>
      </c>
      <c r="AG357" s="63" t="s">
        <v>61</v>
      </c>
      <c r="AH357" s="63" t="s">
        <v>61</v>
      </c>
      <c r="AI357" s="65" t="s">
        <v>61</v>
      </c>
      <c r="AJ357" s="105" t="s">
        <v>61</v>
      </c>
      <c r="AK357" s="76"/>
    </row>
    <row r="358" ht="24.0" customHeight="1">
      <c r="A358" s="71"/>
      <c r="B358" s="36">
        <v>1.0</v>
      </c>
      <c r="C358" s="37" t="str">
        <f>IFERROR(__xludf.DUMMYFUNCTION("""COMPUTED_VALUE"""),"Gabriel Priest (XX) - '26 LHP SC")</f>
        <v>Gabriel Priest (XX) - '26 LHP SC</v>
      </c>
      <c r="D358" s="38" t="s">
        <v>2015</v>
      </c>
      <c r="E358" s="39" t="s">
        <v>122</v>
      </c>
      <c r="F358" s="118">
        <v>45925.0</v>
      </c>
      <c r="G358" s="113" t="s">
        <v>1395</v>
      </c>
      <c r="H358" s="42" t="s">
        <v>2016</v>
      </c>
      <c r="I358" s="43" t="s">
        <v>2017</v>
      </c>
      <c r="J358" s="43">
        <v>2026.0</v>
      </c>
      <c r="K358" s="43" t="s">
        <v>410</v>
      </c>
      <c r="L358" s="43" t="s">
        <v>2018</v>
      </c>
      <c r="M358" s="43" t="s">
        <v>122</v>
      </c>
      <c r="N358" s="43"/>
      <c r="O358" s="80"/>
      <c r="P358" s="80"/>
      <c r="Q358" s="43" t="s">
        <v>286</v>
      </c>
      <c r="R358" s="80"/>
      <c r="S358" s="44" t="s">
        <v>2019</v>
      </c>
      <c r="T358" s="81"/>
      <c r="U358" s="81"/>
      <c r="V358" s="81"/>
      <c r="W358" s="39" t="s">
        <v>1564</v>
      </c>
      <c r="X358" s="81"/>
      <c r="Y358" s="81"/>
      <c r="Z358" s="82"/>
      <c r="AA358" s="99"/>
      <c r="AB358" s="48" t="s">
        <v>61</v>
      </c>
      <c r="AC358" s="68" t="s">
        <v>61</v>
      </c>
      <c r="AD358" s="69" t="s">
        <v>61</v>
      </c>
      <c r="AE358" s="69" t="s">
        <v>61</v>
      </c>
      <c r="AF358" s="68" t="s">
        <v>61</v>
      </c>
      <c r="AG358" s="68" t="s">
        <v>61</v>
      </c>
      <c r="AH358" s="68" t="s">
        <v>61</v>
      </c>
      <c r="AI358" s="70" t="s">
        <v>61</v>
      </c>
      <c r="AJ358" s="114" t="s">
        <v>61</v>
      </c>
      <c r="AK358" s="82"/>
    </row>
    <row r="359" ht="24.0" customHeight="1">
      <c r="A359" s="71"/>
      <c r="B359" s="36">
        <v>1.0</v>
      </c>
      <c r="C359" s="37" t="str">
        <f>IFERROR(__xludf.DUMMYFUNCTION("""COMPUTED_VALUE"""),"Grayden Seuferling (XX) - '26 RHP MO")</f>
        <v>Grayden Seuferling (XX) - '26 RHP MO</v>
      </c>
      <c r="D359" s="38" t="s">
        <v>2020</v>
      </c>
      <c r="E359" s="51" t="s">
        <v>63</v>
      </c>
      <c r="F359" s="119">
        <v>45855.0</v>
      </c>
      <c r="G359" s="116" t="s">
        <v>1395</v>
      </c>
      <c r="H359" s="54" t="s">
        <v>2021</v>
      </c>
      <c r="I359" s="55" t="s">
        <v>2022</v>
      </c>
      <c r="J359" s="55">
        <v>2026.0</v>
      </c>
      <c r="K359" s="55" t="s">
        <v>410</v>
      </c>
      <c r="L359" s="55" t="s">
        <v>2023</v>
      </c>
      <c r="M359" s="55" t="s">
        <v>63</v>
      </c>
      <c r="N359" s="55"/>
      <c r="O359" s="55"/>
      <c r="P359" s="55"/>
      <c r="Q359" s="55" t="s">
        <v>585</v>
      </c>
      <c r="R359" s="55" t="s">
        <v>2024</v>
      </c>
      <c r="S359" s="58" t="s">
        <v>2025</v>
      </c>
      <c r="T359" s="51"/>
      <c r="U359" s="51"/>
      <c r="V359" s="51"/>
      <c r="W359" s="51"/>
      <c r="X359" s="51"/>
      <c r="Y359" s="51"/>
      <c r="Z359" s="60"/>
      <c r="AA359" s="73"/>
      <c r="AB359" s="62" t="s">
        <v>61</v>
      </c>
      <c r="AC359" s="63" t="s">
        <v>61</v>
      </c>
      <c r="AD359" s="64" t="s">
        <v>61</v>
      </c>
      <c r="AE359" s="64" t="s">
        <v>61</v>
      </c>
      <c r="AF359" s="63" t="s">
        <v>61</v>
      </c>
      <c r="AG359" s="63" t="s">
        <v>61</v>
      </c>
      <c r="AH359" s="63" t="s">
        <v>61</v>
      </c>
      <c r="AI359" s="65" t="s">
        <v>61</v>
      </c>
      <c r="AJ359" s="105" t="s">
        <v>61</v>
      </c>
      <c r="AK359" s="76"/>
    </row>
    <row r="360" ht="24.0" customHeight="1">
      <c r="A360" s="35"/>
      <c r="B360" s="36">
        <v>1.0</v>
      </c>
      <c r="C360" s="37" t="str">
        <f>IFERROR(__xludf.DUMMYFUNCTION("""COMPUTED_VALUE"""),"Logan Chi (XX) - '26 RHP NJ")</f>
        <v>Logan Chi (XX) - '26 RHP NJ</v>
      </c>
      <c r="D360" s="38" t="s">
        <v>2026</v>
      </c>
      <c r="E360" s="39" t="s">
        <v>63</v>
      </c>
      <c r="F360" s="121"/>
      <c r="G360" s="122"/>
      <c r="H360" s="42" t="s">
        <v>1026</v>
      </c>
      <c r="I360" s="43" t="s">
        <v>2027</v>
      </c>
      <c r="J360" s="43">
        <v>2026.0</v>
      </c>
      <c r="K360" s="43" t="s">
        <v>410</v>
      </c>
      <c r="L360" s="43" t="s">
        <v>2028</v>
      </c>
      <c r="M360" s="43" t="s">
        <v>63</v>
      </c>
      <c r="N360" s="43"/>
      <c r="O360" s="80"/>
      <c r="P360" s="80"/>
      <c r="Q360" s="43" t="s">
        <v>502</v>
      </c>
      <c r="R360" s="80"/>
      <c r="S360" s="44" t="s">
        <v>2029</v>
      </c>
      <c r="T360" s="81"/>
      <c r="U360" s="81"/>
      <c r="V360" s="81"/>
      <c r="W360" s="81"/>
      <c r="X360" s="81"/>
      <c r="Y360" s="81"/>
      <c r="Z360" s="82"/>
      <c r="AA360" s="99"/>
      <c r="AB360" s="48" t="s">
        <v>61</v>
      </c>
      <c r="AC360" s="68" t="s">
        <v>61</v>
      </c>
      <c r="AD360" s="69" t="s">
        <v>61</v>
      </c>
      <c r="AE360" s="69" t="s">
        <v>61</v>
      </c>
      <c r="AF360" s="68" t="s">
        <v>61</v>
      </c>
      <c r="AG360" s="68" t="s">
        <v>61</v>
      </c>
      <c r="AH360" s="68" t="s">
        <v>61</v>
      </c>
      <c r="AI360" s="70" t="s">
        <v>61</v>
      </c>
      <c r="AJ360" s="114" t="s">
        <v>61</v>
      </c>
      <c r="AK360" s="82"/>
    </row>
    <row r="361" ht="24.0" customHeight="1">
      <c r="A361" s="35"/>
      <c r="B361" s="36">
        <v>1.0</v>
      </c>
      <c r="C361" s="37" t="str">
        <f>IFERROR(__xludf.DUMMYFUNCTION("""COMPUTED_VALUE"""),"Logan Minamyer (XX) - '26 RHP OH")</f>
        <v>Logan Minamyer (XX) - '26 RHP OH</v>
      </c>
      <c r="D361" s="38" t="s">
        <v>2030</v>
      </c>
      <c r="E361" s="51" t="s">
        <v>63</v>
      </c>
      <c r="F361" s="115"/>
      <c r="G361" s="116" t="s">
        <v>1430</v>
      </c>
      <c r="H361" s="54" t="s">
        <v>1026</v>
      </c>
      <c r="I361" s="55" t="s">
        <v>2031</v>
      </c>
      <c r="J361" s="55">
        <v>2026.0</v>
      </c>
      <c r="K361" s="55" t="s">
        <v>410</v>
      </c>
      <c r="L361" s="57"/>
      <c r="M361" s="55" t="s">
        <v>63</v>
      </c>
      <c r="N361" s="57"/>
      <c r="O361" s="57"/>
      <c r="P361" s="57"/>
      <c r="Q361" s="55" t="s">
        <v>529</v>
      </c>
      <c r="R361" s="55" t="s">
        <v>2032</v>
      </c>
      <c r="S361" s="58" t="s">
        <v>1787</v>
      </c>
      <c r="T361" s="74"/>
      <c r="U361" s="74"/>
      <c r="V361" s="74"/>
      <c r="W361" s="74"/>
      <c r="X361" s="74"/>
      <c r="Y361" s="74"/>
      <c r="Z361" s="76"/>
      <c r="AA361" s="73" t="s">
        <v>2033</v>
      </c>
      <c r="AB361" s="62" t="s">
        <v>61</v>
      </c>
      <c r="AC361" s="63" t="s">
        <v>61</v>
      </c>
      <c r="AD361" s="64" t="s">
        <v>61</v>
      </c>
      <c r="AE361" s="64" t="s">
        <v>61</v>
      </c>
      <c r="AF361" s="63" t="s">
        <v>61</v>
      </c>
      <c r="AG361" s="63" t="s">
        <v>61</v>
      </c>
      <c r="AH361" s="63" t="s">
        <v>61</v>
      </c>
      <c r="AI361" s="65" t="s">
        <v>61</v>
      </c>
      <c r="AJ361" s="105" t="s">
        <v>61</v>
      </c>
      <c r="AK361" s="76"/>
    </row>
    <row r="362" ht="24.0" customHeight="1">
      <c r="A362" s="35"/>
      <c r="B362" s="36">
        <v>1.0</v>
      </c>
      <c r="C362" s="37" t="str">
        <f>IFERROR(__xludf.DUMMYFUNCTION("""COMPUTED_VALUE"""),"Adam Goldberg (XX) - '26 RHP NJ")</f>
        <v>Adam Goldberg (XX) - '26 RHP NJ</v>
      </c>
      <c r="D362" s="38" t="s">
        <v>2034</v>
      </c>
      <c r="E362" s="39" t="s">
        <v>63</v>
      </c>
      <c r="F362" s="118">
        <v>45857.0</v>
      </c>
      <c r="G362" s="113" t="s">
        <v>1395</v>
      </c>
      <c r="H362" s="42" t="s">
        <v>2035</v>
      </c>
      <c r="I362" s="43" t="s">
        <v>2036</v>
      </c>
      <c r="J362" s="43">
        <v>2026.0</v>
      </c>
      <c r="K362" s="43" t="s">
        <v>410</v>
      </c>
      <c r="L362" s="43" t="s">
        <v>2018</v>
      </c>
      <c r="M362" s="43" t="s">
        <v>63</v>
      </c>
      <c r="N362" s="43"/>
      <c r="O362" s="80"/>
      <c r="P362" s="80"/>
      <c r="Q362" s="43" t="s">
        <v>502</v>
      </c>
      <c r="R362" s="80"/>
      <c r="S362" s="44" t="s">
        <v>2029</v>
      </c>
      <c r="T362" s="81"/>
      <c r="U362" s="81"/>
      <c r="V362" s="81"/>
      <c r="W362" s="81"/>
      <c r="X362" s="81"/>
      <c r="Y362" s="81"/>
      <c r="Z362" s="46" t="s">
        <v>1541</v>
      </c>
      <c r="AA362" s="99"/>
      <c r="AB362" s="48" t="s">
        <v>2037</v>
      </c>
      <c r="AC362" s="68" t="s">
        <v>2038</v>
      </c>
      <c r="AD362" s="69" t="s">
        <v>2039</v>
      </c>
      <c r="AE362" s="69" t="s">
        <v>2040</v>
      </c>
      <c r="AF362" s="68" t="s">
        <v>2041</v>
      </c>
      <c r="AG362" s="68" t="s">
        <v>549</v>
      </c>
      <c r="AH362" s="68" t="s">
        <v>549</v>
      </c>
      <c r="AI362" s="70" t="s">
        <v>549</v>
      </c>
      <c r="AJ362" s="114" t="s">
        <v>61</v>
      </c>
      <c r="AK362" s="82"/>
    </row>
    <row r="363" ht="24.0" customHeight="1">
      <c r="A363" s="35"/>
      <c r="B363" s="36">
        <v>1.0</v>
      </c>
      <c r="C363" s="37" t="str">
        <f>IFERROR(__xludf.DUMMYFUNCTION("""COMPUTED_VALUE"""),"Addison Rowland (XX) - '26  NC")</f>
        <v>Addison Rowland (XX) - '26  NC</v>
      </c>
      <c r="D363" s="38" t="s">
        <v>2042</v>
      </c>
      <c r="E363" s="51" t="s">
        <v>61</v>
      </c>
      <c r="F363" s="115"/>
      <c r="G363" s="116"/>
      <c r="H363" s="54" t="s">
        <v>2043</v>
      </c>
      <c r="I363" s="55" t="s">
        <v>2044</v>
      </c>
      <c r="J363" s="55">
        <v>2026.0</v>
      </c>
      <c r="K363" s="55" t="s">
        <v>410</v>
      </c>
      <c r="L363" s="55" t="s">
        <v>2045</v>
      </c>
      <c r="M363" s="55"/>
      <c r="N363" s="57"/>
      <c r="O363" s="57"/>
      <c r="P363" s="57"/>
      <c r="Q363" s="55" t="s">
        <v>73</v>
      </c>
      <c r="R363" s="55" t="s">
        <v>2046</v>
      </c>
      <c r="S363" s="58" t="s">
        <v>75</v>
      </c>
      <c r="T363" s="102">
        <v>3.8</v>
      </c>
      <c r="U363" s="100"/>
      <c r="V363" s="100"/>
      <c r="W363" s="74"/>
      <c r="X363" s="100"/>
      <c r="Y363" s="100"/>
      <c r="Z363" s="60" t="s">
        <v>1541</v>
      </c>
      <c r="AA363" s="73" t="s">
        <v>2047</v>
      </c>
      <c r="AB363" s="62" t="s">
        <v>61</v>
      </c>
      <c r="AC363" s="63" t="s">
        <v>61</v>
      </c>
      <c r="AD363" s="64" t="s">
        <v>61</v>
      </c>
      <c r="AE363" s="64" t="s">
        <v>61</v>
      </c>
      <c r="AF363" s="63" t="s">
        <v>61</v>
      </c>
      <c r="AG363" s="63" t="s">
        <v>61</v>
      </c>
      <c r="AH363" s="63" t="s">
        <v>61</v>
      </c>
      <c r="AI363" s="65" t="s">
        <v>61</v>
      </c>
      <c r="AJ363" s="105" t="s">
        <v>61</v>
      </c>
      <c r="AK363" s="76"/>
    </row>
    <row r="364" ht="24.0" customHeight="1">
      <c r="A364" s="35"/>
      <c r="B364" s="36">
        <v>1.0</v>
      </c>
      <c r="C364" s="37" t="str">
        <f>IFERROR(__xludf.DUMMYFUNCTION("""COMPUTED_VALUE"""),"Aiden Moore (XX) - '26 RHP GA")</f>
        <v>Aiden Moore (XX) - '26 RHP GA</v>
      </c>
      <c r="D364" s="38" t="s">
        <v>2048</v>
      </c>
      <c r="E364" s="39" t="s">
        <v>63</v>
      </c>
      <c r="F364" s="124">
        <v>45856.0</v>
      </c>
      <c r="G364" s="113" t="s">
        <v>1430</v>
      </c>
      <c r="H364" s="42" t="s">
        <v>193</v>
      </c>
      <c r="I364" s="43" t="s">
        <v>2049</v>
      </c>
      <c r="J364" s="43">
        <v>2026.0</v>
      </c>
      <c r="K364" s="43" t="s">
        <v>410</v>
      </c>
      <c r="L364" s="43" t="s">
        <v>2050</v>
      </c>
      <c r="M364" s="43" t="s">
        <v>63</v>
      </c>
      <c r="N364" s="43"/>
      <c r="O364" s="80"/>
      <c r="P364" s="80"/>
      <c r="Q364" s="43" t="s">
        <v>43</v>
      </c>
      <c r="R364" s="43" t="s">
        <v>2051</v>
      </c>
      <c r="S364" s="44" t="s">
        <v>2052</v>
      </c>
      <c r="T364" s="39" t="s">
        <v>2053</v>
      </c>
      <c r="U364" s="81"/>
      <c r="V364" s="81"/>
      <c r="W364" s="81"/>
      <c r="X364" s="81"/>
      <c r="Y364" s="81"/>
      <c r="Z364" s="82"/>
      <c r="AA364" s="47" t="s">
        <v>2054</v>
      </c>
      <c r="AB364" s="48" t="s">
        <v>2055</v>
      </c>
      <c r="AC364" s="68" t="s">
        <v>2056</v>
      </c>
      <c r="AD364" s="69" t="s">
        <v>2057</v>
      </c>
      <c r="AE364" s="69" t="s">
        <v>2058</v>
      </c>
      <c r="AF364" s="68" t="s">
        <v>2059</v>
      </c>
      <c r="AG364" s="68" t="s">
        <v>400</v>
      </c>
      <c r="AH364" s="68" t="s">
        <v>400</v>
      </c>
      <c r="AI364" s="70" t="s">
        <v>400</v>
      </c>
      <c r="AJ364" s="114" t="s">
        <v>61</v>
      </c>
      <c r="AK364" s="82"/>
    </row>
    <row r="365" ht="24.0" customHeight="1">
      <c r="A365" s="35"/>
      <c r="B365" s="36">
        <v>1.0</v>
      </c>
      <c r="C365" s="37" t="str">
        <f>IFERROR(__xludf.DUMMYFUNCTION("""COMPUTED_VALUE"""),"Alex king (XX) - '26  CO")</f>
        <v>Alex king (XX) - '26  CO</v>
      </c>
      <c r="D365" s="89" t="s">
        <v>2060</v>
      </c>
      <c r="E365" s="51" t="s">
        <v>61</v>
      </c>
      <c r="F365" s="115"/>
      <c r="G365" s="116"/>
      <c r="H365" s="54" t="s">
        <v>1601</v>
      </c>
      <c r="I365" s="55" t="s">
        <v>2061</v>
      </c>
      <c r="J365" s="55">
        <v>2026.0</v>
      </c>
      <c r="K365" s="55" t="s">
        <v>410</v>
      </c>
      <c r="L365" s="145" t="s">
        <v>1311</v>
      </c>
      <c r="M365" s="55"/>
      <c r="N365" s="57"/>
      <c r="O365" s="57"/>
      <c r="P365" s="57"/>
      <c r="Q365" s="55" t="s">
        <v>174</v>
      </c>
      <c r="R365" s="57"/>
      <c r="S365" s="132"/>
      <c r="T365" s="100"/>
      <c r="U365" s="100"/>
      <c r="V365" s="100"/>
      <c r="W365" s="74"/>
      <c r="X365" s="100"/>
      <c r="Y365" s="100"/>
      <c r="Z365" s="76"/>
      <c r="AA365" s="134"/>
      <c r="AB365" s="62" t="s">
        <v>2062</v>
      </c>
      <c r="AC365" s="63" t="s">
        <v>2063</v>
      </c>
      <c r="AD365" s="64">
        <v>3.71</v>
      </c>
      <c r="AE365" s="64" t="s">
        <v>400</v>
      </c>
      <c r="AF365" s="63" t="s">
        <v>400</v>
      </c>
      <c r="AG365" s="63" t="s">
        <v>400</v>
      </c>
      <c r="AH365" s="63" t="s">
        <v>400</v>
      </c>
      <c r="AI365" s="65" t="s">
        <v>400</v>
      </c>
      <c r="AJ365" s="105" t="s">
        <v>61</v>
      </c>
      <c r="AK365" s="76"/>
    </row>
    <row r="366" ht="24.0" customHeight="1">
      <c r="A366" s="35"/>
      <c r="B366" s="36">
        <v>1.0</v>
      </c>
      <c r="C366" s="37" t="str">
        <f>IFERROR(__xludf.DUMMYFUNCTION("""COMPUTED_VALUE"""),"Alton Ostby (XX) - '26 RHP ")</f>
        <v>Alton Ostby (XX) - '26 RHP </v>
      </c>
      <c r="D366" s="38" t="s">
        <v>2064</v>
      </c>
      <c r="E366" s="39" t="s">
        <v>63</v>
      </c>
      <c r="F366" s="118">
        <v>45855.0</v>
      </c>
      <c r="G366" s="113" t="s">
        <v>1395</v>
      </c>
      <c r="H366" s="42" t="s">
        <v>2065</v>
      </c>
      <c r="I366" s="43" t="s">
        <v>2066</v>
      </c>
      <c r="J366" s="43">
        <v>2026.0</v>
      </c>
      <c r="K366" s="43" t="s">
        <v>410</v>
      </c>
      <c r="L366" s="146" t="s">
        <v>2067</v>
      </c>
      <c r="M366" s="43" t="s">
        <v>63</v>
      </c>
      <c r="N366" s="43"/>
      <c r="O366" s="43"/>
      <c r="P366" s="43"/>
      <c r="Q366" s="43"/>
      <c r="R366" s="43"/>
      <c r="S366" s="44" t="s">
        <v>1817</v>
      </c>
      <c r="T366" s="39"/>
      <c r="U366" s="39"/>
      <c r="V366" s="39"/>
      <c r="W366" s="39"/>
      <c r="X366" s="39"/>
      <c r="Y366" s="39"/>
      <c r="Z366" s="46"/>
      <c r="AA366" s="47" t="s">
        <v>2068</v>
      </c>
      <c r="AB366" s="48" t="s">
        <v>61</v>
      </c>
      <c r="AC366" s="68" t="s">
        <v>61</v>
      </c>
      <c r="AD366" s="69" t="s">
        <v>61</v>
      </c>
      <c r="AE366" s="69" t="s">
        <v>61</v>
      </c>
      <c r="AF366" s="68" t="s">
        <v>61</v>
      </c>
      <c r="AG366" s="68" t="s">
        <v>61</v>
      </c>
      <c r="AH366" s="68" t="s">
        <v>61</v>
      </c>
      <c r="AI366" s="70" t="s">
        <v>61</v>
      </c>
      <c r="AJ366" s="114" t="s">
        <v>61</v>
      </c>
      <c r="AK366" s="82"/>
    </row>
    <row r="367" ht="24.0" customHeight="1">
      <c r="A367" s="35"/>
      <c r="B367" s="36">
        <v>1.0</v>
      </c>
      <c r="C367" s="37" t="str">
        <f>IFERROR(__xludf.DUMMYFUNCTION("""COMPUTED_VALUE"""),"Anthony Marano (XX) - '26 RHP SC")</f>
        <v>Anthony Marano (XX) - '26 RHP SC</v>
      </c>
      <c r="D367" s="38" t="s">
        <v>2069</v>
      </c>
      <c r="E367" s="51" t="s">
        <v>63</v>
      </c>
      <c r="F367" s="119">
        <v>45854.0</v>
      </c>
      <c r="G367" s="116" t="s">
        <v>1395</v>
      </c>
      <c r="H367" s="54" t="s">
        <v>467</v>
      </c>
      <c r="I367" s="55" t="s">
        <v>2070</v>
      </c>
      <c r="J367" s="55">
        <v>2026.0</v>
      </c>
      <c r="K367" s="55" t="s">
        <v>410</v>
      </c>
      <c r="L367" s="55" t="s">
        <v>2018</v>
      </c>
      <c r="M367" s="55" t="s">
        <v>63</v>
      </c>
      <c r="N367" s="55"/>
      <c r="O367" s="55"/>
      <c r="P367" s="55"/>
      <c r="Q367" s="55" t="s">
        <v>286</v>
      </c>
      <c r="R367" s="55"/>
      <c r="S367" s="58"/>
      <c r="T367" s="51"/>
      <c r="U367" s="51"/>
      <c r="V367" s="51"/>
      <c r="W367" s="51"/>
      <c r="X367" s="51"/>
      <c r="Y367" s="51"/>
      <c r="Z367" s="60"/>
      <c r="AA367" s="73"/>
      <c r="AB367" s="62" t="s">
        <v>61</v>
      </c>
      <c r="AC367" s="63" t="s">
        <v>61</v>
      </c>
      <c r="AD367" s="64" t="s">
        <v>61</v>
      </c>
      <c r="AE367" s="64" t="s">
        <v>61</v>
      </c>
      <c r="AF367" s="63" t="s">
        <v>61</v>
      </c>
      <c r="AG367" s="63" t="s">
        <v>61</v>
      </c>
      <c r="AH367" s="63" t="s">
        <v>61</v>
      </c>
      <c r="AI367" s="65" t="s">
        <v>61</v>
      </c>
      <c r="AJ367" s="105" t="s">
        <v>61</v>
      </c>
      <c r="AK367" s="76"/>
    </row>
    <row r="368" ht="24.0" customHeight="1">
      <c r="A368" s="35"/>
      <c r="B368" s="36">
        <v>1.0</v>
      </c>
      <c r="C368" s="37" t="str">
        <f>IFERROR(__xludf.DUMMYFUNCTION("""COMPUTED_VALUE"""),"Austin Knierim (XX) - '26  FL")</f>
        <v>Austin Knierim (XX) - '26  FL</v>
      </c>
      <c r="D368" s="38" t="s">
        <v>2071</v>
      </c>
      <c r="E368" s="39" t="s">
        <v>61</v>
      </c>
      <c r="F368" s="112"/>
      <c r="G368" s="113"/>
      <c r="H368" s="42" t="s">
        <v>472</v>
      </c>
      <c r="I368" s="43" t="s">
        <v>2072</v>
      </c>
      <c r="J368" s="43">
        <v>2026.0</v>
      </c>
      <c r="K368" s="43" t="s">
        <v>410</v>
      </c>
      <c r="L368" s="146" t="s">
        <v>2073</v>
      </c>
      <c r="M368" s="43"/>
      <c r="N368" s="80"/>
      <c r="O368" s="80"/>
      <c r="P368" s="80"/>
      <c r="Q368" s="43" t="s">
        <v>66</v>
      </c>
      <c r="R368" s="43" t="s">
        <v>2074</v>
      </c>
      <c r="S368" s="44"/>
      <c r="T368" s="94" t="s">
        <v>2075</v>
      </c>
      <c r="U368" s="109"/>
      <c r="V368" s="109"/>
      <c r="W368" s="81"/>
      <c r="X368" s="109"/>
      <c r="Y368" s="109"/>
      <c r="Z368" s="46" t="s">
        <v>2076</v>
      </c>
      <c r="AA368" s="47" t="s">
        <v>2077</v>
      </c>
      <c r="AB368" s="48" t="s">
        <v>2078</v>
      </c>
      <c r="AC368" s="68" t="s">
        <v>2079</v>
      </c>
      <c r="AD368" s="69">
        <v>4.38</v>
      </c>
      <c r="AE368" s="69">
        <v>1170.0</v>
      </c>
      <c r="AF368" s="68" t="s">
        <v>549</v>
      </c>
      <c r="AG368" s="68" t="s">
        <v>549</v>
      </c>
      <c r="AH368" s="68" t="s">
        <v>549</v>
      </c>
      <c r="AI368" s="70">
        <v>504.0</v>
      </c>
      <c r="AJ368" s="114" t="s">
        <v>61</v>
      </c>
      <c r="AK368" s="82"/>
    </row>
    <row r="369" ht="24.0" customHeight="1">
      <c r="A369" s="35"/>
      <c r="B369" s="36">
        <v>1.0</v>
      </c>
      <c r="C369" s="37" t="str">
        <f>IFERROR(__xludf.DUMMYFUNCTION("""COMPUTED_VALUE"""),"Bankston Walters (XX) - '26  MS")</f>
        <v>Bankston Walters (XX) - '26  MS</v>
      </c>
      <c r="D369" s="89" t="s">
        <v>2080</v>
      </c>
      <c r="E369" s="51" t="s">
        <v>61</v>
      </c>
      <c r="F369" s="115"/>
      <c r="G369" s="116"/>
      <c r="H369" s="54" t="s">
        <v>2081</v>
      </c>
      <c r="I369" s="55" t="s">
        <v>2082</v>
      </c>
      <c r="J369" s="55">
        <v>2026.0</v>
      </c>
      <c r="K369" s="55" t="s">
        <v>410</v>
      </c>
      <c r="L369" s="145" t="s">
        <v>2083</v>
      </c>
      <c r="M369" s="55"/>
      <c r="N369" s="57"/>
      <c r="O369" s="57"/>
      <c r="P369" s="57"/>
      <c r="Q369" s="55" t="s">
        <v>483</v>
      </c>
      <c r="R369" s="55" t="s">
        <v>2084</v>
      </c>
      <c r="S369" s="58" t="s">
        <v>2085</v>
      </c>
      <c r="T369" s="51" t="s">
        <v>1489</v>
      </c>
      <c r="U369" s="74"/>
      <c r="V369" s="74"/>
      <c r="W369" s="74"/>
      <c r="X369" s="74"/>
      <c r="Y369" s="74"/>
      <c r="Z369" s="76"/>
      <c r="AA369" s="61" t="s">
        <v>2086</v>
      </c>
      <c r="AB369" s="62" t="s">
        <v>61</v>
      </c>
      <c r="AC369" s="63" t="s">
        <v>61</v>
      </c>
      <c r="AD369" s="64" t="s">
        <v>61</v>
      </c>
      <c r="AE369" s="64" t="s">
        <v>61</v>
      </c>
      <c r="AF369" s="63" t="s">
        <v>61</v>
      </c>
      <c r="AG369" s="63" t="s">
        <v>61</v>
      </c>
      <c r="AH369" s="63" t="s">
        <v>61</v>
      </c>
      <c r="AI369" s="65" t="s">
        <v>61</v>
      </c>
      <c r="AJ369" s="105" t="s">
        <v>61</v>
      </c>
      <c r="AK369" s="76"/>
    </row>
    <row r="370" ht="24.0" customHeight="1">
      <c r="A370" s="35"/>
      <c r="B370" s="36">
        <v>1.0</v>
      </c>
      <c r="C370" s="37" t="str">
        <f>IFERROR(__xludf.DUMMYFUNCTION("""COMPUTED_VALUE"""),"Beckett Suh (XX) - '26  IN")</f>
        <v>Beckett Suh (XX) - '26  IN</v>
      </c>
      <c r="D370" s="38" t="s">
        <v>2087</v>
      </c>
      <c r="E370" s="39" t="s">
        <v>61</v>
      </c>
      <c r="F370" s="112"/>
      <c r="G370" s="113"/>
      <c r="H370" s="42" t="s">
        <v>2088</v>
      </c>
      <c r="I370" s="43" t="s">
        <v>2089</v>
      </c>
      <c r="J370" s="43">
        <v>2026.0</v>
      </c>
      <c r="K370" s="43" t="s">
        <v>410</v>
      </c>
      <c r="L370" s="146" t="s">
        <v>2090</v>
      </c>
      <c r="M370" s="80"/>
      <c r="N370" s="80"/>
      <c r="O370" s="80"/>
      <c r="P370" s="80"/>
      <c r="Q370" s="43" t="s">
        <v>153</v>
      </c>
      <c r="R370" s="43" t="s">
        <v>2091</v>
      </c>
      <c r="S370" s="44"/>
      <c r="T370" s="94">
        <v>4.3</v>
      </c>
      <c r="U370" s="109"/>
      <c r="V370" s="109"/>
      <c r="W370" s="81"/>
      <c r="X370" s="109"/>
      <c r="Y370" s="109"/>
      <c r="Z370" s="82"/>
      <c r="AA370" s="47" t="s">
        <v>2092</v>
      </c>
      <c r="AB370" s="48" t="s">
        <v>61</v>
      </c>
      <c r="AC370" s="68" t="s">
        <v>61</v>
      </c>
      <c r="AD370" s="69" t="s">
        <v>61</v>
      </c>
      <c r="AE370" s="69" t="s">
        <v>61</v>
      </c>
      <c r="AF370" s="68" t="s">
        <v>61</v>
      </c>
      <c r="AG370" s="68" t="s">
        <v>61</v>
      </c>
      <c r="AH370" s="68" t="s">
        <v>61</v>
      </c>
      <c r="AI370" s="70" t="s">
        <v>61</v>
      </c>
      <c r="AJ370" s="114" t="s">
        <v>61</v>
      </c>
      <c r="AK370" s="82"/>
    </row>
    <row r="371" ht="24.0" customHeight="1">
      <c r="A371" s="35"/>
      <c r="B371" s="36">
        <v>1.0</v>
      </c>
      <c r="C371" s="37" t="str">
        <f>IFERROR(__xludf.DUMMYFUNCTION("""COMPUTED_VALUE"""),"Ben Lackey (XX) - '26 RHP MO")</f>
        <v>Ben Lackey (XX) - '26 RHP MO</v>
      </c>
      <c r="D371" s="38" t="s">
        <v>2093</v>
      </c>
      <c r="E371" s="51" t="s">
        <v>63</v>
      </c>
      <c r="F371" s="140">
        <v>45857.0</v>
      </c>
      <c r="G371" s="116" t="s">
        <v>1430</v>
      </c>
      <c r="H371" s="54" t="s">
        <v>116</v>
      </c>
      <c r="I371" s="55" t="s">
        <v>2094</v>
      </c>
      <c r="J371" s="55">
        <v>2026.0</v>
      </c>
      <c r="K371" s="55" t="s">
        <v>410</v>
      </c>
      <c r="L371" s="55" t="s">
        <v>2095</v>
      </c>
      <c r="M371" s="55" t="s">
        <v>63</v>
      </c>
      <c r="N371" s="55"/>
      <c r="O371" s="57"/>
      <c r="P371" s="57"/>
      <c r="Q371" s="55" t="s">
        <v>585</v>
      </c>
      <c r="R371" s="55" t="s">
        <v>2096</v>
      </c>
      <c r="S371" s="58" t="s">
        <v>2097</v>
      </c>
      <c r="T371" s="51" t="s">
        <v>2098</v>
      </c>
      <c r="U371" s="74"/>
      <c r="V371" s="74"/>
      <c r="W371" s="74"/>
      <c r="X371" s="74"/>
      <c r="Y371" s="74"/>
      <c r="Z371" s="76"/>
      <c r="AA371" s="73" t="s">
        <v>2099</v>
      </c>
      <c r="AB371" s="62" t="s">
        <v>61</v>
      </c>
      <c r="AC371" s="63" t="s">
        <v>61</v>
      </c>
      <c r="AD371" s="64" t="s">
        <v>61</v>
      </c>
      <c r="AE371" s="64" t="s">
        <v>61</v>
      </c>
      <c r="AF371" s="63" t="s">
        <v>61</v>
      </c>
      <c r="AG371" s="63" t="s">
        <v>61</v>
      </c>
      <c r="AH371" s="63" t="s">
        <v>61</v>
      </c>
      <c r="AI371" s="65" t="s">
        <v>61</v>
      </c>
      <c r="AJ371" s="105" t="s">
        <v>61</v>
      </c>
      <c r="AK371" s="76"/>
    </row>
    <row r="372" ht="24.0" customHeight="1">
      <c r="A372" s="35"/>
      <c r="B372" s="36">
        <v>1.0</v>
      </c>
      <c r="C372" s="37" t="str">
        <f>IFERROR(__xludf.DUMMYFUNCTION("""COMPUTED_VALUE"""),"Blake Cope (XX) - '26  IN")</f>
        <v>Blake Cope (XX) - '26  IN</v>
      </c>
      <c r="D372" s="38" t="s">
        <v>2100</v>
      </c>
      <c r="E372" s="39" t="s">
        <v>61</v>
      </c>
      <c r="F372" s="112"/>
      <c r="G372" s="113"/>
      <c r="H372" s="42" t="s">
        <v>496</v>
      </c>
      <c r="I372" s="43" t="s">
        <v>2101</v>
      </c>
      <c r="J372" s="43">
        <v>2026.0</v>
      </c>
      <c r="K372" s="43" t="s">
        <v>410</v>
      </c>
      <c r="L372" s="146" t="s">
        <v>2102</v>
      </c>
      <c r="M372" s="43"/>
      <c r="N372" s="80"/>
      <c r="O372" s="80"/>
      <c r="P372" s="80"/>
      <c r="Q372" s="43" t="s">
        <v>153</v>
      </c>
      <c r="R372" s="43" t="s">
        <v>2103</v>
      </c>
      <c r="S372" s="44" t="s">
        <v>761</v>
      </c>
      <c r="T372" s="94">
        <v>3.8</v>
      </c>
      <c r="U372" s="109"/>
      <c r="V372" s="109"/>
      <c r="W372" s="81"/>
      <c r="X372" s="109"/>
      <c r="Y372" s="109"/>
      <c r="Z372" s="46" t="s">
        <v>1541</v>
      </c>
      <c r="AA372" s="47" t="s">
        <v>2104</v>
      </c>
      <c r="AB372" s="48" t="s">
        <v>61</v>
      </c>
      <c r="AC372" s="68" t="s">
        <v>61</v>
      </c>
      <c r="AD372" s="69" t="s">
        <v>61</v>
      </c>
      <c r="AE372" s="69" t="s">
        <v>61</v>
      </c>
      <c r="AF372" s="68" t="s">
        <v>61</v>
      </c>
      <c r="AG372" s="68" t="s">
        <v>61</v>
      </c>
      <c r="AH372" s="68" t="s">
        <v>61</v>
      </c>
      <c r="AI372" s="70" t="s">
        <v>61</v>
      </c>
      <c r="AJ372" s="114" t="s">
        <v>61</v>
      </c>
      <c r="AK372" s="82"/>
    </row>
    <row r="373" ht="24.0" customHeight="1">
      <c r="A373" s="35"/>
      <c r="B373" s="36">
        <v>1.0</v>
      </c>
      <c r="C373" s="37" t="str">
        <f>IFERROR(__xludf.DUMMYFUNCTION("""COMPUTED_VALUE"""),"Braddock Raven (XX) - '26 RHP TX")</f>
        <v>Braddock Raven (XX) - '26 RHP TX</v>
      </c>
      <c r="D373" s="38" t="s">
        <v>2105</v>
      </c>
      <c r="E373" s="51" t="s">
        <v>63</v>
      </c>
      <c r="F373" s="115"/>
      <c r="G373" s="116"/>
      <c r="H373" s="54" t="s">
        <v>2106</v>
      </c>
      <c r="I373" s="55" t="s">
        <v>2107</v>
      </c>
      <c r="J373" s="55">
        <v>2026.0</v>
      </c>
      <c r="K373" s="55" t="s">
        <v>410</v>
      </c>
      <c r="L373" s="55" t="s">
        <v>2108</v>
      </c>
      <c r="M373" s="55" t="s">
        <v>63</v>
      </c>
      <c r="N373" s="72"/>
      <c r="O373" s="57"/>
      <c r="P373" s="57"/>
      <c r="Q373" s="55" t="s">
        <v>180</v>
      </c>
      <c r="R373" s="55" t="s">
        <v>2109</v>
      </c>
      <c r="S373" s="58" t="s">
        <v>1552</v>
      </c>
      <c r="T373" s="51" t="s">
        <v>2110</v>
      </c>
      <c r="U373" s="74"/>
      <c r="V373" s="74"/>
      <c r="W373" s="74"/>
      <c r="X373" s="74"/>
      <c r="Y373" s="74"/>
      <c r="Z373" s="76"/>
      <c r="AA373" s="73" t="s">
        <v>2111</v>
      </c>
      <c r="AB373" s="62" t="s">
        <v>61</v>
      </c>
      <c r="AC373" s="63" t="s">
        <v>61</v>
      </c>
      <c r="AD373" s="64" t="s">
        <v>61</v>
      </c>
      <c r="AE373" s="64" t="s">
        <v>61</v>
      </c>
      <c r="AF373" s="63" t="s">
        <v>61</v>
      </c>
      <c r="AG373" s="63" t="s">
        <v>61</v>
      </c>
      <c r="AH373" s="63" t="s">
        <v>61</v>
      </c>
      <c r="AI373" s="65" t="s">
        <v>61</v>
      </c>
      <c r="AJ373" s="105" t="s">
        <v>61</v>
      </c>
      <c r="AK373" s="76"/>
    </row>
    <row r="374" ht="24.0" customHeight="1">
      <c r="A374" s="35"/>
      <c r="B374" s="36">
        <v>1.0</v>
      </c>
      <c r="C374" s="37" t="str">
        <f>IFERROR(__xludf.DUMMYFUNCTION("""COMPUTED_VALUE"""),"Bradley Mallette (XX) - '26 RHP CO")</f>
        <v>Bradley Mallette (XX) - '26 RHP CO</v>
      </c>
      <c r="D374" s="38" t="s">
        <v>2112</v>
      </c>
      <c r="E374" s="39" t="s">
        <v>63</v>
      </c>
      <c r="F374" s="118">
        <v>45930.0</v>
      </c>
      <c r="G374" s="113" t="s">
        <v>1430</v>
      </c>
      <c r="H374" s="42" t="s">
        <v>2113</v>
      </c>
      <c r="I374" s="43" t="s">
        <v>2114</v>
      </c>
      <c r="J374" s="43">
        <v>2026.0</v>
      </c>
      <c r="K374" s="43" t="s">
        <v>410</v>
      </c>
      <c r="L374" s="43" t="s">
        <v>2115</v>
      </c>
      <c r="M374" s="43" t="s">
        <v>63</v>
      </c>
      <c r="N374" s="43"/>
      <c r="O374" s="80"/>
      <c r="P374" s="80"/>
      <c r="Q374" s="43" t="s">
        <v>174</v>
      </c>
      <c r="R374" s="80"/>
      <c r="S374" s="117"/>
      <c r="T374" s="81"/>
      <c r="U374" s="81"/>
      <c r="V374" s="81"/>
      <c r="W374" s="81"/>
      <c r="X374" s="81"/>
      <c r="Y374" s="81"/>
      <c r="Z374" s="82"/>
      <c r="AA374" s="47" t="s">
        <v>2116</v>
      </c>
      <c r="AB374" s="48" t="s">
        <v>2117</v>
      </c>
      <c r="AC374" s="68" t="s">
        <v>2118</v>
      </c>
      <c r="AD374" s="69">
        <v>3.93</v>
      </c>
      <c r="AE374" s="69" t="s">
        <v>2119</v>
      </c>
      <c r="AF374" s="68" t="s">
        <v>2120</v>
      </c>
      <c r="AG374" s="68" t="s">
        <v>417</v>
      </c>
      <c r="AH374" s="68" t="s">
        <v>417</v>
      </c>
      <c r="AI374" s="70" t="s">
        <v>417</v>
      </c>
      <c r="AJ374" s="114" t="s">
        <v>61</v>
      </c>
      <c r="AK374" s="82"/>
    </row>
    <row r="375" ht="24.0" customHeight="1">
      <c r="A375" s="35"/>
      <c r="B375" s="36">
        <v>1.0</v>
      </c>
      <c r="C375" s="37" t="str">
        <f>IFERROR(__xludf.DUMMYFUNCTION("""COMPUTED_VALUE"""),"Brady Elrod (XX) - '26  VA")</f>
        <v>Brady Elrod (XX) - '26  VA</v>
      </c>
      <c r="D375" s="38" t="s">
        <v>2121</v>
      </c>
      <c r="E375" s="51" t="s">
        <v>61</v>
      </c>
      <c r="F375" s="115"/>
      <c r="G375" s="116"/>
      <c r="H375" s="54" t="s">
        <v>517</v>
      </c>
      <c r="I375" s="55" t="s">
        <v>2122</v>
      </c>
      <c r="J375" s="55">
        <v>2026.0</v>
      </c>
      <c r="K375" s="55" t="s">
        <v>410</v>
      </c>
      <c r="L375" s="145" t="s">
        <v>2123</v>
      </c>
      <c r="M375" s="55"/>
      <c r="N375" s="57"/>
      <c r="O375" s="57"/>
      <c r="P375" s="57"/>
      <c r="Q375" s="55" t="s">
        <v>125</v>
      </c>
      <c r="R375" s="55" t="s">
        <v>1259</v>
      </c>
      <c r="S375" s="58" t="s">
        <v>489</v>
      </c>
      <c r="T375" s="102">
        <v>4.25</v>
      </c>
      <c r="U375" s="100"/>
      <c r="V375" s="100"/>
      <c r="W375" s="74"/>
      <c r="X375" s="100"/>
      <c r="Y375" s="100"/>
      <c r="Z375" s="76"/>
      <c r="AA375" s="73" t="s">
        <v>2124</v>
      </c>
      <c r="AB375" s="62" t="s">
        <v>61</v>
      </c>
      <c r="AC375" s="63" t="s">
        <v>61</v>
      </c>
      <c r="AD375" s="64" t="s">
        <v>61</v>
      </c>
      <c r="AE375" s="64" t="s">
        <v>61</v>
      </c>
      <c r="AF375" s="63" t="s">
        <v>61</v>
      </c>
      <c r="AG375" s="63" t="s">
        <v>61</v>
      </c>
      <c r="AH375" s="63" t="s">
        <v>61</v>
      </c>
      <c r="AI375" s="65" t="s">
        <v>61</v>
      </c>
      <c r="AJ375" s="105" t="s">
        <v>61</v>
      </c>
      <c r="AK375" s="76"/>
    </row>
    <row r="376" ht="24.0" customHeight="1">
      <c r="A376" s="35"/>
      <c r="B376" s="36">
        <v>1.0</v>
      </c>
      <c r="C376" s="37" t="str">
        <f>IFERROR(__xludf.DUMMYFUNCTION("""COMPUTED_VALUE"""),"Brady McKay (XX) - '26  CA")</f>
        <v>Brady McKay (XX) - '26  CA</v>
      </c>
      <c r="D376" s="38" t="s">
        <v>2125</v>
      </c>
      <c r="E376" s="39" t="s">
        <v>61</v>
      </c>
      <c r="F376" s="112"/>
      <c r="G376" s="113"/>
      <c r="H376" s="42" t="s">
        <v>517</v>
      </c>
      <c r="I376" s="147" t="s">
        <v>2126</v>
      </c>
      <c r="J376" s="43">
        <v>2026.0</v>
      </c>
      <c r="K376" s="43" t="s">
        <v>410</v>
      </c>
      <c r="L376" s="43" t="s">
        <v>2127</v>
      </c>
      <c r="M376" s="43"/>
      <c r="N376" s="80"/>
      <c r="O376" s="80"/>
      <c r="P376" s="80"/>
      <c r="Q376" s="43" t="s">
        <v>52</v>
      </c>
      <c r="R376" s="43" t="s">
        <v>2128</v>
      </c>
      <c r="S376" s="44"/>
      <c r="T376" s="94" t="s">
        <v>2129</v>
      </c>
      <c r="U376" s="109"/>
      <c r="V376" s="109"/>
      <c r="W376" s="81"/>
      <c r="X376" s="109"/>
      <c r="Y376" s="109"/>
      <c r="Z376" s="82"/>
      <c r="AA376" s="47" t="s">
        <v>2130</v>
      </c>
      <c r="AB376" s="48" t="s">
        <v>2131</v>
      </c>
      <c r="AC376" s="68"/>
      <c r="AD376" s="69">
        <v>4.2</v>
      </c>
      <c r="AE376" s="69"/>
      <c r="AF376" s="68"/>
      <c r="AG376" s="68"/>
      <c r="AH376" s="68"/>
      <c r="AI376" s="70"/>
      <c r="AJ376" s="114" t="s">
        <v>61</v>
      </c>
      <c r="AK376" s="82"/>
    </row>
    <row r="377" ht="24.0" customHeight="1">
      <c r="A377" s="35"/>
      <c r="B377" s="36">
        <v>1.0</v>
      </c>
      <c r="C377" s="37" t="str">
        <f>IFERROR(__xludf.DUMMYFUNCTION("""COMPUTED_VALUE"""),"Brayden Schmittou (XX) - '26 SS ")</f>
        <v>Brayden Schmittou (XX) - '26 SS </v>
      </c>
      <c r="D377" s="89" t="s">
        <v>2132</v>
      </c>
      <c r="E377" s="51" t="s">
        <v>48</v>
      </c>
      <c r="F377" s="119">
        <v>45855.0</v>
      </c>
      <c r="G377" s="116" t="s">
        <v>1395</v>
      </c>
      <c r="H377" s="54" t="s">
        <v>535</v>
      </c>
      <c r="I377" s="55" t="s">
        <v>2133</v>
      </c>
      <c r="J377" s="55">
        <v>2026.0</v>
      </c>
      <c r="K377" s="55" t="s">
        <v>410</v>
      </c>
      <c r="L377" s="145" t="s">
        <v>2134</v>
      </c>
      <c r="M377" s="55" t="s">
        <v>1398</v>
      </c>
      <c r="N377" s="55"/>
      <c r="O377" s="55"/>
      <c r="P377" s="55"/>
      <c r="Q377" s="55"/>
      <c r="R377" s="55"/>
      <c r="S377" s="58" t="s">
        <v>2135</v>
      </c>
      <c r="T377" s="51"/>
      <c r="U377" s="51"/>
      <c r="V377" s="51"/>
      <c r="W377" s="51"/>
      <c r="X377" s="51"/>
      <c r="Y377" s="51"/>
      <c r="Z377" s="60"/>
      <c r="AA377" s="73" t="s">
        <v>2136</v>
      </c>
      <c r="AB377" s="62" t="s">
        <v>2137</v>
      </c>
      <c r="AC377" s="63" t="s">
        <v>2138</v>
      </c>
      <c r="AD377" s="64" t="s">
        <v>2139</v>
      </c>
      <c r="AE377" s="64" t="s">
        <v>2140</v>
      </c>
      <c r="AF377" s="63" t="s">
        <v>400</v>
      </c>
      <c r="AG377" s="63" t="s">
        <v>400</v>
      </c>
      <c r="AH377" s="63" t="s">
        <v>2141</v>
      </c>
      <c r="AI377" s="65" t="s">
        <v>400</v>
      </c>
      <c r="AJ377" s="105" t="s">
        <v>61</v>
      </c>
      <c r="AK377" s="76"/>
    </row>
    <row r="378" ht="24.0" customHeight="1">
      <c r="A378" s="35"/>
      <c r="B378" s="36">
        <v>1.0</v>
      </c>
      <c r="C378" s="37" t="str">
        <f>IFERROR(__xludf.DUMMYFUNCTION("""COMPUTED_VALUE"""),"Braydon Bown (XX) - '26 RHP PA")</f>
        <v>Braydon Bown (XX) - '26 RHP PA</v>
      </c>
      <c r="D378" s="89" t="s">
        <v>2142</v>
      </c>
      <c r="E378" s="39" t="s">
        <v>63</v>
      </c>
      <c r="F378" s="112"/>
      <c r="G378" s="113"/>
      <c r="H378" s="42" t="s">
        <v>1646</v>
      </c>
      <c r="I378" s="43" t="s">
        <v>2143</v>
      </c>
      <c r="J378" s="43">
        <v>2026.0</v>
      </c>
      <c r="K378" s="43" t="s">
        <v>410</v>
      </c>
      <c r="L378" s="43" t="s">
        <v>2144</v>
      </c>
      <c r="M378" s="43" t="s">
        <v>63</v>
      </c>
      <c r="N378" s="80"/>
      <c r="O378" s="80"/>
      <c r="P378" s="80"/>
      <c r="Q378" s="43" t="s">
        <v>240</v>
      </c>
      <c r="R378" s="43" t="s">
        <v>2145</v>
      </c>
      <c r="S378" s="44"/>
      <c r="T378" s="39" t="s">
        <v>2146</v>
      </c>
      <c r="U378" s="81"/>
      <c r="V378" s="81"/>
      <c r="W378" s="81"/>
      <c r="X378" s="81"/>
      <c r="Y378" s="81"/>
      <c r="Z378" s="82"/>
      <c r="AA378" s="99"/>
      <c r="AB378" s="48" t="s">
        <v>2147</v>
      </c>
      <c r="AC378" s="68" t="s">
        <v>2148</v>
      </c>
      <c r="AD378" s="69">
        <v>3.484</v>
      </c>
      <c r="AE378" s="69" t="s">
        <v>2149</v>
      </c>
      <c r="AF378" s="68" t="s">
        <v>2150</v>
      </c>
      <c r="AG378" s="68" t="s">
        <v>81</v>
      </c>
      <c r="AH378" s="68" t="s">
        <v>81</v>
      </c>
      <c r="AI378" s="70" t="s">
        <v>81</v>
      </c>
      <c r="AJ378" s="114" t="s">
        <v>61</v>
      </c>
      <c r="AK378" s="82"/>
    </row>
    <row r="379" ht="24.0" customHeight="1">
      <c r="A379" s="35"/>
      <c r="B379" s="36">
        <v>1.0</v>
      </c>
      <c r="C379" s="37" t="str">
        <f>IFERROR(__xludf.DUMMYFUNCTION("""COMPUTED_VALUE"""),"Brodie Benefield (XX) - '26 CINF KY")</f>
        <v>Brodie Benefield (XX) - '26 CINF KY</v>
      </c>
      <c r="D379" s="89" t="s">
        <v>2151</v>
      </c>
      <c r="E379" s="51" t="s">
        <v>48</v>
      </c>
      <c r="F379" s="115"/>
      <c r="G379" s="116"/>
      <c r="H379" s="54" t="s">
        <v>2152</v>
      </c>
      <c r="I379" s="55" t="s">
        <v>2153</v>
      </c>
      <c r="J379" s="55">
        <v>2026.0</v>
      </c>
      <c r="K379" s="55" t="s">
        <v>410</v>
      </c>
      <c r="L379" s="148" t="s">
        <v>2154</v>
      </c>
      <c r="M379" s="55" t="s">
        <v>72</v>
      </c>
      <c r="N379" s="57"/>
      <c r="O379" s="57"/>
      <c r="P379" s="57"/>
      <c r="Q379" s="55" t="s">
        <v>543</v>
      </c>
      <c r="R379" s="55" t="s">
        <v>2155</v>
      </c>
      <c r="S379" s="58" t="s">
        <v>2156</v>
      </c>
      <c r="T379" s="102" t="s">
        <v>2157</v>
      </c>
      <c r="U379" s="100"/>
      <c r="V379" s="100"/>
      <c r="W379" s="74"/>
      <c r="X379" s="100"/>
      <c r="Y379" s="100"/>
      <c r="Z379" s="60" t="s">
        <v>1414</v>
      </c>
      <c r="AA379" s="73" t="s">
        <v>2158</v>
      </c>
      <c r="AB379" s="62" t="s">
        <v>2159</v>
      </c>
      <c r="AC379" s="63" t="s">
        <v>2160</v>
      </c>
      <c r="AD379" s="64" t="s">
        <v>2161</v>
      </c>
      <c r="AE379" s="64" t="s">
        <v>400</v>
      </c>
      <c r="AF379" s="63" t="s">
        <v>60</v>
      </c>
      <c r="AG379" s="63" t="s">
        <v>417</v>
      </c>
      <c r="AH379" s="63" t="s">
        <v>60</v>
      </c>
      <c r="AI379" s="65" t="s">
        <v>81</v>
      </c>
      <c r="AJ379" s="105" t="s">
        <v>61</v>
      </c>
      <c r="AK379" s="76"/>
    </row>
    <row r="380" ht="24.0" customHeight="1">
      <c r="A380" s="35"/>
      <c r="B380" s="36">
        <v>1.0</v>
      </c>
      <c r="C380" s="37" t="str">
        <f>IFERROR(__xludf.DUMMYFUNCTION("""COMPUTED_VALUE"""),"Brody Carr (XX) - '26  TN")</f>
        <v>Brody Carr (XX) - '26  TN</v>
      </c>
      <c r="D380" s="89" t="s">
        <v>2162</v>
      </c>
      <c r="E380" s="39" t="s">
        <v>61</v>
      </c>
      <c r="F380" s="112"/>
      <c r="G380" s="113"/>
      <c r="H380" s="42" t="s">
        <v>556</v>
      </c>
      <c r="I380" s="43" t="s">
        <v>2163</v>
      </c>
      <c r="J380" s="43">
        <v>2026.0</v>
      </c>
      <c r="K380" s="43" t="s">
        <v>410</v>
      </c>
      <c r="L380" s="130" t="s">
        <v>2164</v>
      </c>
      <c r="M380" s="43"/>
      <c r="N380" s="80"/>
      <c r="O380" s="80"/>
      <c r="P380" s="80"/>
      <c r="Q380" s="43" t="s">
        <v>330</v>
      </c>
      <c r="R380" s="43" t="s">
        <v>2165</v>
      </c>
      <c r="S380" s="44"/>
      <c r="T380" s="109"/>
      <c r="U380" s="109"/>
      <c r="V380" s="109"/>
      <c r="W380" s="81"/>
      <c r="X380" s="109"/>
      <c r="Y380" s="109"/>
      <c r="Z380" s="82"/>
      <c r="AA380" s="47" t="s">
        <v>2166</v>
      </c>
      <c r="AB380" s="48" t="s">
        <v>61</v>
      </c>
      <c r="AC380" s="68" t="s">
        <v>61</v>
      </c>
      <c r="AD380" s="69" t="s">
        <v>61</v>
      </c>
      <c r="AE380" s="69" t="s">
        <v>61</v>
      </c>
      <c r="AF380" s="68" t="s">
        <v>61</v>
      </c>
      <c r="AG380" s="68" t="s">
        <v>61</v>
      </c>
      <c r="AH380" s="68" t="s">
        <v>61</v>
      </c>
      <c r="AI380" s="70" t="s">
        <v>61</v>
      </c>
      <c r="AJ380" s="114" t="s">
        <v>61</v>
      </c>
      <c r="AK380" s="82"/>
    </row>
    <row r="381" ht="24.0" customHeight="1">
      <c r="A381" s="35"/>
      <c r="B381" s="36">
        <v>1.0</v>
      </c>
      <c r="C381" s="37" t="str">
        <f>IFERROR(__xludf.DUMMYFUNCTION("""COMPUTED_VALUE"""),"Cade Cox (XX) - '26 SS GA")</f>
        <v>Cade Cox (XX) - '26 SS GA</v>
      </c>
      <c r="D381" s="89" t="s">
        <v>2167</v>
      </c>
      <c r="E381" s="51" t="s">
        <v>48</v>
      </c>
      <c r="F381" s="119">
        <v>45854.0</v>
      </c>
      <c r="G381" s="116" t="s">
        <v>1395</v>
      </c>
      <c r="H381" s="54" t="s">
        <v>1328</v>
      </c>
      <c r="I381" s="55" t="s">
        <v>2168</v>
      </c>
      <c r="J381" s="55">
        <v>2026.0</v>
      </c>
      <c r="K381" s="55" t="s">
        <v>410</v>
      </c>
      <c r="L381" s="55" t="s">
        <v>2169</v>
      </c>
      <c r="M381" s="55" t="s">
        <v>1398</v>
      </c>
      <c r="N381" s="55"/>
      <c r="O381" s="55"/>
      <c r="P381" s="55"/>
      <c r="Q381" s="55" t="s">
        <v>43</v>
      </c>
      <c r="R381" s="55"/>
      <c r="S381" s="58" t="s">
        <v>2170</v>
      </c>
      <c r="T381" s="51" t="s">
        <v>2171</v>
      </c>
      <c r="U381" s="51"/>
      <c r="V381" s="51"/>
      <c r="W381" s="51"/>
      <c r="X381" s="51"/>
      <c r="Y381" s="51"/>
      <c r="Z381" s="60"/>
      <c r="AA381" s="73"/>
      <c r="AB381" s="62" t="s">
        <v>2172</v>
      </c>
      <c r="AC381" s="63" t="s">
        <v>2173</v>
      </c>
      <c r="AD381" s="64">
        <v>3.8</v>
      </c>
      <c r="AE381" s="64" t="s">
        <v>2174</v>
      </c>
      <c r="AF381" s="63" t="s">
        <v>60</v>
      </c>
      <c r="AG381" s="63" t="s">
        <v>60</v>
      </c>
      <c r="AH381" s="63" t="s">
        <v>60</v>
      </c>
      <c r="AI381" s="65" t="s">
        <v>60</v>
      </c>
      <c r="AJ381" s="105" t="s">
        <v>61</v>
      </c>
      <c r="AK381" s="76"/>
    </row>
    <row r="382" ht="24.0" customHeight="1">
      <c r="A382" s="93"/>
      <c r="B382" s="36">
        <v>1.0</v>
      </c>
      <c r="C382" s="37" t="str">
        <f>IFERROR(__xludf.DUMMYFUNCTION("""COMPUTED_VALUE"""),"Camden Blank (XX) - '26 MINF VA")</f>
        <v>Camden Blank (XX) - '26 MINF VA</v>
      </c>
      <c r="D382" s="38" t="s">
        <v>2175</v>
      </c>
      <c r="E382" s="39" t="s">
        <v>48</v>
      </c>
      <c r="F382" s="112"/>
      <c r="G382" s="113"/>
      <c r="H382" s="42" t="s">
        <v>1654</v>
      </c>
      <c r="I382" s="43" t="s">
        <v>2176</v>
      </c>
      <c r="J382" s="43">
        <v>2026.0</v>
      </c>
      <c r="K382" s="43" t="s">
        <v>410</v>
      </c>
      <c r="L382" s="146" t="s">
        <v>2177</v>
      </c>
      <c r="M382" s="43" t="s">
        <v>51</v>
      </c>
      <c r="N382" s="80"/>
      <c r="O382" s="80"/>
      <c r="P382" s="80"/>
      <c r="Q382" s="43" t="s">
        <v>125</v>
      </c>
      <c r="R382" s="43" t="s">
        <v>2178</v>
      </c>
      <c r="S382" s="44" t="s">
        <v>1766</v>
      </c>
      <c r="T382" s="94">
        <v>3.5</v>
      </c>
      <c r="U382" s="109"/>
      <c r="V382" s="109"/>
      <c r="W382" s="81"/>
      <c r="X382" s="109"/>
      <c r="Y382" s="109"/>
      <c r="Z382" s="46" t="s">
        <v>1892</v>
      </c>
      <c r="AA382" s="47" t="s">
        <v>2179</v>
      </c>
      <c r="AB382" s="48" t="s">
        <v>2180</v>
      </c>
      <c r="AC382" s="68" t="s">
        <v>2181</v>
      </c>
      <c r="AD382" s="69">
        <v>3.5</v>
      </c>
      <c r="AE382" s="69" t="s">
        <v>400</v>
      </c>
      <c r="AF382" s="68" t="s">
        <v>60</v>
      </c>
      <c r="AG382" s="68" t="s">
        <v>81</v>
      </c>
      <c r="AH382" s="68" t="s">
        <v>81</v>
      </c>
      <c r="AI382" s="70" t="s">
        <v>81</v>
      </c>
      <c r="AJ382" s="114" t="s">
        <v>61</v>
      </c>
      <c r="AK382" s="82"/>
    </row>
    <row r="383" ht="24.0" customHeight="1">
      <c r="A383" s="35"/>
      <c r="B383" s="36">
        <v>1.0</v>
      </c>
      <c r="C383" s="37" t="str">
        <f>IFERROR(__xludf.DUMMYFUNCTION("""COMPUTED_VALUE"""),"Carson Adomnik (XX) - '26  GA")</f>
        <v>Carson Adomnik (XX) - '26  GA</v>
      </c>
      <c r="D383" s="89" t="s">
        <v>2182</v>
      </c>
      <c r="E383" s="51" t="s">
        <v>61</v>
      </c>
      <c r="F383" s="115"/>
      <c r="G383" s="116"/>
      <c r="H383" s="54" t="s">
        <v>599</v>
      </c>
      <c r="I383" s="55" t="s">
        <v>2183</v>
      </c>
      <c r="J383" s="55">
        <v>2026.0</v>
      </c>
      <c r="K383" s="55" t="s">
        <v>410</v>
      </c>
      <c r="L383" s="145" t="s">
        <v>2184</v>
      </c>
      <c r="M383" s="55"/>
      <c r="N383" s="57"/>
      <c r="O383" s="57"/>
      <c r="P383" s="57"/>
      <c r="Q383" s="55" t="s">
        <v>43</v>
      </c>
      <c r="R383" s="55" t="s">
        <v>2185</v>
      </c>
      <c r="S383" s="58" t="s">
        <v>1120</v>
      </c>
      <c r="T383" s="51">
        <v>3.7</v>
      </c>
      <c r="U383" s="74"/>
      <c r="V383" s="74"/>
      <c r="W383" s="74"/>
      <c r="X383" s="74"/>
      <c r="Y383" s="74"/>
      <c r="Z383" s="76"/>
      <c r="AA383" s="73" t="s">
        <v>2186</v>
      </c>
      <c r="AB383" s="62" t="s">
        <v>61</v>
      </c>
      <c r="AC383" s="63" t="s">
        <v>61</v>
      </c>
      <c r="AD383" s="64" t="s">
        <v>61</v>
      </c>
      <c r="AE383" s="64" t="s">
        <v>61</v>
      </c>
      <c r="AF383" s="63" t="s">
        <v>61</v>
      </c>
      <c r="AG383" s="63" t="s">
        <v>61</v>
      </c>
      <c r="AH383" s="63" t="s">
        <v>61</v>
      </c>
      <c r="AI383" s="65" t="s">
        <v>61</v>
      </c>
      <c r="AJ383" s="105" t="s">
        <v>61</v>
      </c>
      <c r="AK383" s="76"/>
    </row>
    <row r="384" ht="24.0" customHeight="1">
      <c r="A384" s="35"/>
      <c r="B384" s="36">
        <v>1.0</v>
      </c>
      <c r="C384" s="37" t="str">
        <f>IFERROR(__xludf.DUMMYFUNCTION("""COMPUTED_VALUE"""),"Carson Binder (XX) - '26 C FL")</f>
        <v>Carson Binder (XX) - '26 C FL</v>
      </c>
      <c r="D384" s="38" t="s">
        <v>2187</v>
      </c>
      <c r="E384" s="39" t="s">
        <v>109</v>
      </c>
      <c r="F384" s="112"/>
      <c r="G384" s="113" t="s">
        <v>1430</v>
      </c>
      <c r="H384" s="42" t="s">
        <v>599</v>
      </c>
      <c r="I384" s="43" t="s">
        <v>2188</v>
      </c>
      <c r="J384" s="43">
        <v>2026.0</v>
      </c>
      <c r="K384" s="43" t="s">
        <v>410</v>
      </c>
      <c r="L384" s="146" t="s">
        <v>2189</v>
      </c>
      <c r="M384" s="43" t="s">
        <v>109</v>
      </c>
      <c r="N384" s="80"/>
      <c r="O384" s="80"/>
      <c r="P384" s="80"/>
      <c r="Q384" s="43" t="s">
        <v>66</v>
      </c>
      <c r="R384" s="43" t="s">
        <v>2190</v>
      </c>
      <c r="S384" s="44" t="s">
        <v>1642</v>
      </c>
      <c r="T384" s="39">
        <v>4.0</v>
      </c>
      <c r="U384" s="81"/>
      <c r="V384" s="81"/>
      <c r="W384" s="81"/>
      <c r="X384" s="81"/>
      <c r="Y384" s="81"/>
      <c r="Z384" s="46" t="s">
        <v>2191</v>
      </c>
      <c r="AA384" s="47" t="s">
        <v>2192</v>
      </c>
      <c r="AB384" s="48" t="s">
        <v>2193</v>
      </c>
      <c r="AC384" s="68" t="s">
        <v>2194</v>
      </c>
      <c r="AD384" s="69" t="s">
        <v>2195</v>
      </c>
      <c r="AE384" s="69" t="s">
        <v>2196</v>
      </c>
      <c r="AF384" s="68" t="s">
        <v>2197</v>
      </c>
      <c r="AG384" s="68" t="s">
        <v>81</v>
      </c>
      <c r="AH384" s="68" t="s">
        <v>81</v>
      </c>
      <c r="AI384" s="70" t="s">
        <v>81</v>
      </c>
      <c r="AJ384" s="114" t="s">
        <v>61</v>
      </c>
      <c r="AK384" s="82"/>
    </row>
    <row r="385" ht="24.0" customHeight="1">
      <c r="A385" s="35"/>
      <c r="B385" s="36">
        <v>1.0</v>
      </c>
      <c r="C385" s="37" t="str">
        <f>IFERROR(__xludf.DUMMYFUNCTION("""COMPUTED_VALUE"""),"Carter Cox (XX) - '26  FL")</f>
        <v>Carter Cox (XX) - '26  FL</v>
      </c>
      <c r="D385" s="89" t="s">
        <v>2198</v>
      </c>
      <c r="E385" s="51" t="s">
        <v>61</v>
      </c>
      <c r="F385" s="115"/>
      <c r="G385" s="116"/>
      <c r="H385" s="54" t="s">
        <v>604</v>
      </c>
      <c r="I385" s="55" t="s">
        <v>2168</v>
      </c>
      <c r="J385" s="55">
        <v>2026.0</v>
      </c>
      <c r="K385" s="55" t="s">
        <v>410</v>
      </c>
      <c r="L385" s="145" t="s">
        <v>2199</v>
      </c>
      <c r="M385" s="55"/>
      <c r="N385" s="57"/>
      <c r="O385" s="57"/>
      <c r="P385" s="57"/>
      <c r="Q385" s="55" t="s">
        <v>66</v>
      </c>
      <c r="R385" s="55" t="s">
        <v>1449</v>
      </c>
      <c r="S385" s="58" t="s">
        <v>1450</v>
      </c>
      <c r="T385" s="102">
        <v>4.3</v>
      </c>
      <c r="U385" s="100"/>
      <c r="V385" s="100"/>
      <c r="W385" s="74"/>
      <c r="X385" s="100"/>
      <c r="Y385" s="149">
        <v>45611.0</v>
      </c>
      <c r="Z385" s="60" t="s">
        <v>1414</v>
      </c>
      <c r="AA385" s="73" t="s">
        <v>2200</v>
      </c>
      <c r="AB385" s="62" t="s">
        <v>2201</v>
      </c>
      <c r="AC385" s="63" t="s">
        <v>2202</v>
      </c>
      <c r="AD385" s="64">
        <v>4.35</v>
      </c>
      <c r="AE385" s="64" t="s">
        <v>400</v>
      </c>
      <c r="AF385" s="63" t="s">
        <v>2203</v>
      </c>
      <c r="AG385" s="63" t="s">
        <v>400</v>
      </c>
      <c r="AH385" s="63" t="s">
        <v>400</v>
      </c>
      <c r="AI385" s="65" t="s">
        <v>81</v>
      </c>
      <c r="AJ385" s="105" t="s">
        <v>61</v>
      </c>
      <c r="AK385" s="76"/>
    </row>
    <row r="386" ht="24.0" customHeight="1">
      <c r="A386" s="35"/>
      <c r="B386" s="36">
        <v>1.0</v>
      </c>
      <c r="C386" s="37" t="str">
        <f>IFERROR(__xludf.DUMMYFUNCTION("""COMPUTED_VALUE"""),"Carter Muth (XX) - '26 RHP AR")</f>
        <v>Carter Muth (XX) - '26 RHP AR</v>
      </c>
      <c r="D386" s="38" t="s">
        <v>2204</v>
      </c>
      <c r="E386" s="39" t="s">
        <v>63</v>
      </c>
      <c r="F386" s="121"/>
      <c r="G386" s="122"/>
      <c r="H386" s="42" t="s">
        <v>604</v>
      </c>
      <c r="I386" s="43" t="s">
        <v>2205</v>
      </c>
      <c r="J386" s="43">
        <v>2026.0</v>
      </c>
      <c r="K386" s="43" t="s">
        <v>410</v>
      </c>
      <c r="L386" s="43" t="s">
        <v>2206</v>
      </c>
      <c r="M386" s="43" t="s">
        <v>63</v>
      </c>
      <c r="N386" s="43"/>
      <c r="O386" s="80"/>
      <c r="P386" s="80"/>
      <c r="Q386" s="43" t="s">
        <v>217</v>
      </c>
      <c r="R386" s="80"/>
      <c r="S386" s="117"/>
      <c r="T386" s="81"/>
      <c r="U386" s="81"/>
      <c r="V386" s="81"/>
      <c r="W386" s="39" t="s">
        <v>1463</v>
      </c>
      <c r="X386" s="81"/>
      <c r="Y386" s="81"/>
      <c r="Z386" s="82"/>
      <c r="AA386" s="99"/>
      <c r="AB386" s="48" t="s">
        <v>61</v>
      </c>
      <c r="AC386" s="68" t="s">
        <v>61</v>
      </c>
      <c r="AD386" s="69" t="s">
        <v>61</v>
      </c>
      <c r="AE386" s="69" t="s">
        <v>61</v>
      </c>
      <c r="AF386" s="68" t="s">
        <v>61</v>
      </c>
      <c r="AG386" s="68" t="s">
        <v>61</v>
      </c>
      <c r="AH386" s="68" t="s">
        <v>61</v>
      </c>
      <c r="AI386" s="70" t="s">
        <v>61</v>
      </c>
      <c r="AJ386" s="114" t="s">
        <v>61</v>
      </c>
      <c r="AK386" s="82"/>
    </row>
    <row r="387" ht="24.0" customHeight="1">
      <c r="A387" s="35"/>
      <c r="B387" s="36">
        <v>1.0</v>
      </c>
      <c r="C387" s="37" t="str">
        <f>IFERROR(__xludf.DUMMYFUNCTION("""COMPUTED_VALUE"""),"Charlie Firth (XX) - '26 RHP ")</f>
        <v>Charlie Firth (XX) - '26 RHP </v>
      </c>
      <c r="D387" s="38" t="s">
        <v>2207</v>
      </c>
      <c r="E387" s="51" t="s">
        <v>63</v>
      </c>
      <c r="F387" s="115"/>
      <c r="G387" s="116"/>
      <c r="H387" s="54" t="s">
        <v>629</v>
      </c>
      <c r="I387" s="55" t="s">
        <v>2208</v>
      </c>
      <c r="J387" s="55">
        <v>2026.0</v>
      </c>
      <c r="K387" s="55" t="s">
        <v>410</v>
      </c>
      <c r="L387" s="55"/>
      <c r="M387" s="55" t="s">
        <v>63</v>
      </c>
      <c r="N387" s="55"/>
      <c r="O387" s="55"/>
      <c r="P387" s="55"/>
      <c r="Q387" s="55"/>
      <c r="R387" s="55"/>
      <c r="S387" s="58"/>
      <c r="T387" s="51">
        <v>3.8</v>
      </c>
      <c r="U387" s="51"/>
      <c r="V387" s="51"/>
      <c r="W387" s="51"/>
      <c r="X387" s="51"/>
      <c r="Y387" s="51"/>
      <c r="Z387" s="60"/>
      <c r="AA387" s="73" t="s">
        <v>2209</v>
      </c>
      <c r="AB387" s="62" t="s">
        <v>61</v>
      </c>
      <c r="AC387" s="63" t="s">
        <v>61</v>
      </c>
      <c r="AD387" s="64" t="s">
        <v>61</v>
      </c>
      <c r="AE387" s="64" t="s">
        <v>61</v>
      </c>
      <c r="AF387" s="63" t="s">
        <v>61</v>
      </c>
      <c r="AG387" s="63" t="s">
        <v>61</v>
      </c>
      <c r="AH387" s="63" t="s">
        <v>61</v>
      </c>
      <c r="AI387" s="65" t="s">
        <v>61</v>
      </c>
      <c r="AJ387" s="105" t="s">
        <v>61</v>
      </c>
      <c r="AK387" s="76"/>
    </row>
    <row r="388" ht="24.0" customHeight="1">
      <c r="A388" s="125"/>
      <c r="B388" s="36">
        <v>1.0</v>
      </c>
      <c r="C388" s="37" t="str">
        <f>IFERROR(__xludf.DUMMYFUNCTION("""COMPUTED_VALUE"""),"Chase Massey (XX) - '26 MINF CO")</f>
        <v>Chase Massey (XX) - '26 MINF CO</v>
      </c>
      <c r="D388" s="38" t="s">
        <v>2210</v>
      </c>
      <c r="E388" s="39" t="s">
        <v>48</v>
      </c>
      <c r="F388" s="112"/>
      <c r="G388" s="113"/>
      <c r="H388" s="42" t="s">
        <v>376</v>
      </c>
      <c r="I388" s="43" t="s">
        <v>2211</v>
      </c>
      <c r="J388" s="43">
        <v>2026.0</v>
      </c>
      <c r="K388" s="43" t="s">
        <v>410</v>
      </c>
      <c r="L388" s="146" t="s">
        <v>2212</v>
      </c>
      <c r="M388" s="43" t="s">
        <v>51</v>
      </c>
      <c r="N388" s="80"/>
      <c r="O388" s="80"/>
      <c r="P388" s="80"/>
      <c r="Q388" s="43" t="s">
        <v>174</v>
      </c>
      <c r="R388" s="43" t="s">
        <v>2213</v>
      </c>
      <c r="S388" s="44"/>
      <c r="T388" s="94">
        <v>3.8</v>
      </c>
      <c r="U388" s="109"/>
      <c r="V388" s="109"/>
      <c r="W388" s="81"/>
      <c r="X388" s="109"/>
      <c r="Y388" s="109"/>
      <c r="Z388" s="82"/>
      <c r="AA388" s="47" t="s">
        <v>2214</v>
      </c>
      <c r="AB388" s="48" t="s">
        <v>61</v>
      </c>
      <c r="AC388" s="68" t="s">
        <v>61</v>
      </c>
      <c r="AD388" s="69" t="s">
        <v>61</v>
      </c>
      <c r="AE388" s="69" t="s">
        <v>61</v>
      </c>
      <c r="AF388" s="68" t="s">
        <v>61</v>
      </c>
      <c r="AG388" s="68" t="s">
        <v>61</v>
      </c>
      <c r="AH388" s="68" t="s">
        <v>61</v>
      </c>
      <c r="AI388" s="70" t="s">
        <v>61</v>
      </c>
      <c r="AJ388" s="114" t="s">
        <v>61</v>
      </c>
      <c r="AK388" s="82"/>
    </row>
    <row r="389" ht="24.0" customHeight="1">
      <c r="A389" s="35"/>
      <c r="B389" s="36">
        <v>1.0</v>
      </c>
      <c r="C389" s="37" t="str">
        <f>IFERROR(__xludf.DUMMYFUNCTION("""COMPUTED_VALUE"""),"Cole Williams (XX) - '26  NJ")</f>
        <v>Cole Williams (XX) - '26  NJ</v>
      </c>
      <c r="D389" s="38" t="s">
        <v>2215</v>
      </c>
      <c r="E389" s="51" t="s">
        <v>61</v>
      </c>
      <c r="F389" s="115"/>
      <c r="G389" s="116"/>
      <c r="H389" s="54" t="s">
        <v>324</v>
      </c>
      <c r="I389" s="55" t="s">
        <v>1001</v>
      </c>
      <c r="J389" s="55">
        <v>2026.0</v>
      </c>
      <c r="K389" s="55" t="s">
        <v>410</v>
      </c>
      <c r="L389" s="145" t="s">
        <v>2144</v>
      </c>
      <c r="M389" s="55"/>
      <c r="N389" s="57"/>
      <c r="O389" s="57"/>
      <c r="P389" s="57"/>
      <c r="Q389" s="55" t="s">
        <v>502</v>
      </c>
      <c r="R389" s="55" t="s">
        <v>2216</v>
      </c>
      <c r="S389" s="58"/>
      <c r="T389" s="100"/>
      <c r="U389" s="100"/>
      <c r="V389" s="100"/>
      <c r="W389" s="74"/>
      <c r="X389" s="100"/>
      <c r="Y389" s="100"/>
      <c r="Z389" s="60" t="s">
        <v>1414</v>
      </c>
      <c r="AA389" s="73" t="s">
        <v>2217</v>
      </c>
      <c r="AB389" s="62" t="s">
        <v>61</v>
      </c>
      <c r="AC389" s="63" t="s">
        <v>61</v>
      </c>
      <c r="AD389" s="64" t="s">
        <v>61</v>
      </c>
      <c r="AE389" s="64" t="s">
        <v>61</v>
      </c>
      <c r="AF389" s="63" t="s">
        <v>61</v>
      </c>
      <c r="AG389" s="63" t="s">
        <v>61</v>
      </c>
      <c r="AH389" s="63" t="s">
        <v>61</v>
      </c>
      <c r="AI389" s="65" t="s">
        <v>61</v>
      </c>
      <c r="AJ389" s="105" t="s">
        <v>61</v>
      </c>
      <c r="AK389" s="76"/>
    </row>
    <row r="390" ht="24.0" customHeight="1">
      <c r="A390" s="83"/>
      <c r="B390" s="36">
        <v>1.0</v>
      </c>
      <c r="C390" s="37" t="str">
        <f>IFERROR(__xludf.DUMMYFUNCTION("""COMPUTED_VALUE"""),"Coleton Brady (XX) - '26  NY")</f>
        <v>Coleton Brady (XX) - '26  NY</v>
      </c>
      <c r="D390" s="38" t="s">
        <v>2218</v>
      </c>
      <c r="E390" s="39" t="s">
        <v>61</v>
      </c>
      <c r="F390" s="112"/>
      <c r="G390" s="113"/>
      <c r="H390" s="42" t="s">
        <v>2219</v>
      </c>
      <c r="I390" s="43" t="s">
        <v>517</v>
      </c>
      <c r="J390" s="43">
        <v>2026.0</v>
      </c>
      <c r="K390" s="43" t="s">
        <v>410</v>
      </c>
      <c r="L390" s="43" t="s">
        <v>2028</v>
      </c>
      <c r="M390" s="43"/>
      <c r="N390" s="80"/>
      <c r="O390" s="80"/>
      <c r="P390" s="80"/>
      <c r="Q390" s="43" t="s">
        <v>255</v>
      </c>
      <c r="R390" s="43" t="s">
        <v>2220</v>
      </c>
      <c r="S390" s="44"/>
      <c r="T390" s="94">
        <v>4.0</v>
      </c>
      <c r="U390" s="109"/>
      <c r="V390" s="109"/>
      <c r="W390" s="81"/>
      <c r="X390" s="109"/>
      <c r="Y390" s="109"/>
      <c r="Z390" s="46" t="s">
        <v>1541</v>
      </c>
      <c r="AA390" s="47" t="s">
        <v>2221</v>
      </c>
      <c r="AB390" s="48" t="s">
        <v>61</v>
      </c>
      <c r="AC390" s="68" t="s">
        <v>61</v>
      </c>
      <c r="AD390" s="69" t="s">
        <v>61</v>
      </c>
      <c r="AE390" s="69" t="s">
        <v>61</v>
      </c>
      <c r="AF390" s="68" t="s">
        <v>61</v>
      </c>
      <c r="AG390" s="68" t="s">
        <v>61</v>
      </c>
      <c r="AH390" s="68" t="s">
        <v>61</v>
      </c>
      <c r="AI390" s="70" t="s">
        <v>61</v>
      </c>
      <c r="AJ390" s="114" t="s">
        <v>61</v>
      </c>
      <c r="AK390" s="82"/>
    </row>
    <row r="391" ht="24.0" customHeight="1">
      <c r="A391" s="35"/>
      <c r="B391" s="36">
        <v>1.0</v>
      </c>
      <c r="C391" s="37" t="str">
        <f>IFERROR(__xludf.DUMMYFUNCTION("""COMPUTED_VALUE"""),"Colin Sullivan (XX) - '26 RHP ME")</f>
        <v>Colin Sullivan (XX) - '26 RHP ME</v>
      </c>
      <c r="D391" s="38" t="s">
        <v>2222</v>
      </c>
      <c r="E391" s="51" t="s">
        <v>63</v>
      </c>
      <c r="F391" s="115"/>
      <c r="G391" s="116"/>
      <c r="H391" s="54" t="s">
        <v>673</v>
      </c>
      <c r="I391" s="55" t="s">
        <v>1786</v>
      </c>
      <c r="J391" s="55">
        <v>2026.0</v>
      </c>
      <c r="K391" s="55" t="s">
        <v>410</v>
      </c>
      <c r="L391" s="55" t="s">
        <v>2223</v>
      </c>
      <c r="M391" s="55" t="s">
        <v>63</v>
      </c>
      <c r="N391" s="55" t="s">
        <v>1398</v>
      </c>
      <c r="O391" s="57"/>
      <c r="P391" s="55"/>
      <c r="Q391" s="55" t="s">
        <v>2224</v>
      </c>
      <c r="R391" s="55"/>
      <c r="S391" s="58" t="s">
        <v>2225</v>
      </c>
      <c r="T391" s="51" t="s">
        <v>2226</v>
      </c>
      <c r="U391" s="51"/>
      <c r="V391" s="51"/>
      <c r="W391" s="51"/>
      <c r="X391" s="51"/>
      <c r="Y391" s="51"/>
      <c r="Z391" s="60" t="s">
        <v>1615</v>
      </c>
      <c r="AA391" s="73" t="s">
        <v>2227</v>
      </c>
      <c r="AB391" s="62" t="s">
        <v>61</v>
      </c>
      <c r="AC391" s="63" t="s">
        <v>61</v>
      </c>
      <c r="AD391" s="64" t="s">
        <v>61</v>
      </c>
      <c r="AE391" s="64" t="s">
        <v>61</v>
      </c>
      <c r="AF391" s="63" t="s">
        <v>61</v>
      </c>
      <c r="AG391" s="63" t="s">
        <v>61</v>
      </c>
      <c r="AH391" s="63" t="s">
        <v>61</v>
      </c>
      <c r="AI391" s="65" t="s">
        <v>61</v>
      </c>
      <c r="AJ391" s="105" t="s">
        <v>61</v>
      </c>
      <c r="AK391" s="76"/>
    </row>
    <row r="392" ht="24.0" customHeight="1">
      <c r="A392" s="71"/>
      <c r="B392" s="36">
        <v>1.0</v>
      </c>
      <c r="C392" s="37" t="str">
        <f>IFERROR(__xludf.DUMMYFUNCTION("""COMPUTED_VALUE"""),"Colton Baron (XX) - '26 RHP TN")</f>
        <v>Colton Baron (XX) - '26 RHP TN</v>
      </c>
      <c r="D392" s="38" t="s">
        <v>2228</v>
      </c>
      <c r="E392" s="39" t="s">
        <v>63</v>
      </c>
      <c r="F392" s="118">
        <v>45855.0</v>
      </c>
      <c r="G392" s="113" t="s">
        <v>1395</v>
      </c>
      <c r="H392" s="42" t="s">
        <v>233</v>
      </c>
      <c r="I392" s="43" t="s">
        <v>2229</v>
      </c>
      <c r="J392" s="43">
        <v>2026.0</v>
      </c>
      <c r="K392" s="43" t="s">
        <v>410</v>
      </c>
      <c r="L392" s="146" t="s">
        <v>2230</v>
      </c>
      <c r="M392" s="43" t="s">
        <v>63</v>
      </c>
      <c r="N392" s="43"/>
      <c r="O392" s="43"/>
      <c r="P392" s="43"/>
      <c r="Q392" s="43" t="s">
        <v>330</v>
      </c>
      <c r="R392" s="43"/>
      <c r="S392" s="44" t="s">
        <v>2231</v>
      </c>
      <c r="T392" s="39"/>
      <c r="U392" s="39"/>
      <c r="V392" s="39"/>
      <c r="W392" s="39"/>
      <c r="X392" s="39"/>
      <c r="Y392" s="39"/>
      <c r="Z392" s="46"/>
      <c r="AA392" s="47"/>
      <c r="AB392" s="48" t="s">
        <v>61</v>
      </c>
      <c r="AC392" s="68" t="s">
        <v>61</v>
      </c>
      <c r="AD392" s="69" t="s">
        <v>61</v>
      </c>
      <c r="AE392" s="69" t="s">
        <v>61</v>
      </c>
      <c r="AF392" s="68" t="s">
        <v>61</v>
      </c>
      <c r="AG392" s="68" t="s">
        <v>61</v>
      </c>
      <c r="AH392" s="68" t="s">
        <v>61</v>
      </c>
      <c r="AI392" s="70" t="s">
        <v>61</v>
      </c>
      <c r="AJ392" s="114" t="s">
        <v>61</v>
      </c>
      <c r="AK392" s="82"/>
    </row>
    <row r="393" ht="24.0" customHeight="1">
      <c r="A393" s="129"/>
      <c r="B393" s="36">
        <v>1.0</v>
      </c>
      <c r="C393" s="37" t="str">
        <f>IFERROR(__xludf.DUMMYFUNCTION("""COMPUTED_VALUE"""),"Colton Hicks (XX) - '26 CINF VA")</f>
        <v>Colton Hicks (XX) - '26 CINF VA</v>
      </c>
      <c r="D393" s="38" t="s">
        <v>2232</v>
      </c>
      <c r="E393" s="51" t="s">
        <v>48</v>
      </c>
      <c r="F393" s="115"/>
      <c r="G393" s="116" t="s">
        <v>1430</v>
      </c>
      <c r="H393" s="54" t="s">
        <v>233</v>
      </c>
      <c r="I393" s="55" t="s">
        <v>2233</v>
      </c>
      <c r="J393" s="55">
        <v>2026.0</v>
      </c>
      <c r="K393" s="55" t="s">
        <v>410</v>
      </c>
      <c r="L393" s="145" t="s">
        <v>2234</v>
      </c>
      <c r="M393" s="55" t="s">
        <v>72</v>
      </c>
      <c r="N393" s="57"/>
      <c r="O393" s="57"/>
      <c r="P393" s="57"/>
      <c r="Q393" s="55" t="s">
        <v>125</v>
      </c>
      <c r="R393" s="55" t="s">
        <v>2235</v>
      </c>
      <c r="S393" s="58" t="s">
        <v>1766</v>
      </c>
      <c r="T393" s="51">
        <v>4.0</v>
      </c>
      <c r="U393" s="74"/>
      <c r="V393" s="74"/>
      <c r="W393" s="74"/>
      <c r="X393" s="74"/>
      <c r="Y393" s="74"/>
      <c r="Z393" s="76"/>
      <c r="AA393" s="73" t="s">
        <v>2236</v>
      </c>
      <c r="AB393" s="62" t="s">
        <v>61</v>
      </c>
      <c r="AC393" s="63" t="s">
        <v>61</v>
      </c>
      <c r="AD393" s="64" t="s">
        <v>61</v>
      </c>
      <c r="AE393" s="64" t="s">
        <v>61</v>
      </c>
      <c r="AF393" s="63" t="s">
        <v>61</v>
      </c>
      <c r="AG393" s="63" t="s">
        <v>61</v>
      </c>
      <c r="AH393" s="63" t="s">
        <v>61</v>
      </c>
      <c r="AI393" s="65" t="s">
        <v>61</v>
      </c>
      <c r="AJ393" s="105" t="s">
        <v>61</v>
      </c>
      <c r="AK393" s="76"/>
    </row>
    <row r="394" ht="24.0" customHeight="1">
      <c r="A394" s="71"/>
      <c r="B394" s="36">
        <v>1.0</v>
      </c>
      <c r="C394" s="37" t="str">
        <f>IFERROR(__xludf.DUMMYFUNCTION("""COMPUTED_VALUE"""),"Colton Sikes (XX) - '26 LHP TX")</f>
        <v>Colton Sikes (XX) - '26 LHP TX</v>
      </c>
      <c r="D394" s="38" t="s">
        <v>2237</v>
      </c>
      <c r="E394" s="39" t="s">
        <v>122</v>
      </c>
      <c r="F394" s="124">
        <v>45849.0</v>
      </c>
      <c r="G394" s="113" t="s">
        <v>1470</v>
      </c>
      <c r="H394" s="42" t="s">
        <v>233</v>
      </c>
      <c r="I394" s="43" t="s">
        <v>2238</v>
      </c>
      <c r="J394" s="43">
        <v>2026.0</v>
      </c>
      <c r="K394" s="43" t="s">
        <v>410</v>
      </c>
      <c r="L394" s="43" t="s">
        <v>2239</v>
      </c>
      <c r="M394" s="43" t="s">
        <v>122</v>
      </c>
      <c r="N394" s="80"/>
      <c r="O394" s="80"/>
      <c r="P394" s="43"/>
      <c r="Q394" s="43" t="s">
        <v>180</v>
      </c>
      <c r="R394" s="43" t="s">
        <v>2240</v>
      </c>
      <c r="S394" s="44" t="s">
        <v>1552</v>
      </c>
      <c r="T394" s="39">
        <v>4.0</v>
      </c>
      <c r="U394" s="39"/>
      <c r="V394" s="39"/>
      <c r="W394" s="39"/>
      <c r="X394" s="39"/>
      <c r="Y394" s="39"/>
      <c r="Z394" s="46"/>
      <c r="AA394" s="47" t="s">
        <v>2241</v>
      </c>
      <c r="AB394" s="48" t="s">
        <v>61</v>
      </c>
      <c r="AC394" s="68" t="s">
        <v>61</v>
      </c>
      <c r="AD394" s="69" t="s">
        <v>61</v>
      </c>
      <c r="AE394" s="69" t="s">
        <v>61</v>
      </c>
      <c r="AF394" s="68" t="s">
        <v>61</v>
      </c>
      <c r="AG394" s="68" t="s">
        <v>61</v>
      </c>
      <c r="AH394" s="68" t="s">
        <v>61</v>
      </c>
      <c r="AI394" s="70" t="s">
        <v>61</v>
      </c>
      <c r="AJ394" s="114" t="s">
        <v>61</v>
      </c>
      <c r="AK394" s="82"/>
    </row>
    <row r="395" ht="24.0" customHeight="1">
      <c r="A395" s="125"/>
      <c r="B395" s="36">
        <v>1.0</v>
      </c>
      <c r="C395" s="37" t="str">
        <f>IFERROR(__xludf.DUMMYFUNCTION("""COMPUTED_VALUE"""),"Connor Couch (XX) - '26 RHP IN")</f>
        <v>Connor Couch (XX) - '26 RHP IN</v>
      </c>
      <c r="D395" s="38" t="s">
        <v>2242</v>
      </c>
      <c r="E395" s="51" t="s">
        <v>63</v>
      </c>
      <c r="F395" s="119">
        <v>45857.0</v>
      </c>
      <c r="G395" s="116" t="s">
        <v>1395</v>
      </c>
      <c r="H395" s="54" t="s">
        <v>682</v>
      </c>
      <c r="I395" s="55" t="s">
        <v>2243</v>
      </c>
      <c r="J395" s="55">
        <v>2026.0</v>
      </c>
      <c r="K395" s="55" t="s">
        <v>410</v>
      </c>
      <c r="L395" s="55" t="s">
        <v>2244</v>
      </c>
      <c r="M395" s="55" t="s">
        <v>63</v>
      </c>
      <c r="N395" s="55"/>
      <c r="O395" s="57"/>
      <c r="P395" s="57"/>
      <c r="Q395" s="55" t="s">
        <v>153</v>
      </c>
      <c r="R395" s="57"/>
      <c r="S395" s="58" t="s">
        <v>263</v>
      </c>
      <c r="T395" s="74"/>
      <c r="U395" s="74"/>
      <c r="V395" s="74"/>
      <c r="W395" s="74"/>
      <c r="X395" s="74"/>
      <c r="Y395" s="74"/>
      <c r="Z395" s="60" t="s">
        <v>1541</v>
      </c>
      <c r="AA395" s="134"/>
      <c r="AB395" s="62" t="s">
        <v>2245</v>
      </c>
      <c r="AC395" s="63" t="s">
        <v>2246</v>
      </c>
      <c r="AD395" s="64" t="s">
        <v>2247</v>
      </c>
      <c r="AE395" s="64" t="s">
        <v>2248</v>
      </c>
      <c r="AF395" s="63" t="s">
        <v>2249</v>
      </c>
      <c r="AG395" s="63" t="s">
        <v>828</v>
      </c>
      <c r="AH395" s="63" t="s">
        <v>828</v>
      </c>
      <c r="AI395" s="65" t="s">
        <v>828</v>
      </c>
      <c r="AJ395" s="105" t="s">
        <v>61</v>
      </c>
      <c r="AK395" s="76"/>
    </row>
    <row r="396" ht="24.0" customHeight="1">
      <c r="A396" s="35"/>
      <c r="B396" s="36">
        <v>1.0</v>
      </c>
      <c r="C396" s="37" t="str">
        <f>IFERROR(__xludf.DUMMYFUNCTION("""COMPUTED_VALUE"""),"Dalton Kelley (XX) - '26 INF GA")</f>
        <v>Dalton Kelley (XX) - '26 INF GA</v>
      </c>
      <c r="D396" s="38" t="s">
        <v>2250</v>
      </c>
      <c r="E396" s="39" t="s">
        <v>48</v>
      </c>
      <c r="F396" s="124">
        <v>45851.0</v>
      </c>
      <c r="G396" s="113" t="s">
        <v>1470</v>
      </c>
      <c r="H396" s="42" t="s">
        <v>2251</v>
      </c>
      <c r="I396" s="43" t="s">
        <v>2252</v>
      </c>
      <c r="J396" s="43">
        <v>2026.0</v>
      </c>
      <c r="K396" s="43" t="s">
        <v>410</v>
      </c>
      <c r="L396" s="146" t="s">
        <v>2253</v>
      </c>
      <c r="M396" s="43" t="s">
        <v>48</v>
      </c>
      <c r="N396" s="43"/>
      <c r="O396" s="43"/>
      <c r="P396" s="43"/>
      <c r="Q396" s="43" t="s">
        <v>43</v>
      </c>
      <c r="R396" s="43" t="s">
        <v>2254</v>
      </c>
      <c r="S396" s="44" t="s">
        <v>2170</v>
      </c>
      <c r="T396" s="39">
        <v>3.7</v>
      </c>
      <c r="U396" s="39"/>
      <c r="V396" s="39"/>
      <c r="W396" s="39"/>
      <c r="X396" s="39"/>
      <c r="Y396" s="39"/>
      <c r="Z396" s="46"/>
      <c r="AA396" s="47" t="s">
        <v>2255</v>
      </c>
      <c r="AB396" s="48" t="s">
        <v>2256</v>
      </c>
      <c r="AC396" s="68" t="s">
        <v>2257</v>
      </c>
      <c r="AD396" s="69">
        <v>3.7</v>
      </c>
      <c r="AE396" s="69" t="s">
        <v>2258</v>
      </c>
      <c r="AF396" s="68" t="s">
        <v>417</v>
      </c>
      <c r="AG396" s="68" t="s">
        <v>60</v>
      </c>
      <c r="AH396" s="68" t="s">
        <v>60</v>
      </c>
      <c r="AI396" s="70" t="s">
        <v>60</v>
      </c>
      <c r="AJ396" s="114" t="s">
        <v>61</v>
      </c>
      <c r="AK396" s="82"/>
    </row>
    <row r="397" ht="24.0" customHeight="1">
      <c r="A397" s="125"/>
      <c r="B397" s="36">
        <v>1.0</v>
      </c>
      <c r="C397" s="37" t="str">
        <f>IFERROR(__xludf.DUMMYFUNCTION("""COMPUTED_VALUE"""),"Dan Ockerman (XX) - '26  VA")</f>
        <v>Dan Ockerman (XX) - '26  VA</v>
      </c>
      <c r="D397" s="38" t="s">
        <v>2259</v>
      </c>
      <c r="E397" s="51" t="s">
        <v>61</v>
      </c>
      <c r="F397" s="115"/>
      <c r="G397" s="116"/>
      <c r="H397" s="54" t="s">
        <v>2260</v>
      </c>
      <c r="I397" s="55" t="s">
        <v>2261</v>
      </c>
      <c r="J397" s="55">
        <v>2026.0</v>
      </c>
      <c r="K397" s="55" t="s">
        <v>410</v>
      </c>
      <c r="L397" s="55" t="s">
        <v>2262</v>
      </c>
      <c r="M397" s="55"/>
      <c r="N397" s="57"/>
      <c r="O397" s="57"/>
      <c r="P397" s="57"/>
      <c r="Q397" s="55" t="s">
        <v>125</v>
      </c>
      <c r="R397" s="55" t="s">
        <v>2263</v>
      </c>
      <c r="S397" s="58" t="s">
        <v>2264</v>
      </c>
      <c r="T397" s="51">
        <v>4.1</v>
      </c>
      <c r="U397" s="74"/>
      <c r="V397" s="74"/>
      <c r="W397" s="74"/>
      <c r="X397" s="74"/>
      <c r="Y397" s="74"/>
      <c r="Z397" s="60" t="s">
        <v>1414</v>
      </c>
      <c r="AA397" s="73" t="s">
        <v>2265</v>
      </c>
      <c r="AB397" s="62" t="s">
        <v>61</v>
      </c>
      <c r="AC397" s="63" t="s">
        <v>61</v>
      </c>
      <c r="AD397" s="64" t="s">
        <v>61</v>
      </c>
      <c r="AE397" s="64" t="s">
        <v>61</v>
      </c>
      <c r="AF397" s="63" t="s">
        <v>61</v>
      </c>
      <c r="AG397" s="63" t="s">
        <v>61</v>
      </c>
      <c r="AH397" s="63" t="s">
        <v>61</v>
      </c>
      <c r="AI397" s="65" t="s">
        <v>61</v>
      </c>
      <c r="AJ397" s="105" t="s">
        <v>61</v>
      </c>
      <c r="AK397" s="76"/>
    </row>
    <row r="398" ht="24.0" customHeight="1">
      <c r="A398" s="71"/>
      <c r="B398" s="36">
        <v>1.0</v>
      </c>
      <c r="C398" s="37" t="str">
        <f>IFERROR(__xludf.DUMMYFUNCTION("""COMPUTED_VALUE"""),"Danilo Soto (XX) - '26 MINF FL")</f>
        <v>Danilo Soto (XX) - '26 MINF FL</v>
      </c>
      <c r="D398" s="38" t="s">
        <v>2266</v>
      </c>
      <c r="E398" s="39" t="s">
        <v>48</v>
      </c>
      <c r="F398" s="112"/>
      <c r="G398" s="113"/>
      <c r="H398" s="42" t="s">
        <v>2267</v>
      </c>
      <c r="I398" s="43" t="s">
        <v>1752</v>
      </c>
      <c r="J398" s="43">
        <v>2026.0</v>
      </c>
      <c r="K398" s="43" t="s">
        <v>410</v>
      </c>
      <c r="L398" s="43" t="s">
        <v>2268</v>
      </c>
      <c r="M398" s="43" t="s">
        <v>51</v>
      </c>
      <c r="N398" s="80"/>
      <c r="O398" s="80"/>
      <c r="P398" s="80"/>
      <c r="Q398" s="43" t="s">
        <v>66</v>
      </c>
      <c r="R398" s="43" t="s">
        <v>2269</v>
      </c>
      <c r="S398" s="44" t="s">
        <v>1450</v>
      </c>
      <c r="T398" s="39">
        <v>4.0</v>
      </c>
      <c r="U398" s="81"/>
      <c r="V398" s="81"/>
      <c r="W398" s="81"/>
      <c r="X398" s="67">
        <v>45639.0</v>
      </c>
      <c r="Y398" s="81"/>
      <c r="Z398" s="46" t="s">
        <v>1541</v>
      </c>
      <c r="AA398" s="47" t="s">
        <v>2270</v>
      </c>
      <c r="AB398" s="48" t="s">
        <v>2271</v>
      </c>
      <c r="AC398" s="68" t="s">
        <v>2272</v>
      </c>
      <c r="AD398" s="69">
        <v>4.3</v>
      </c>
      <c r="AE398" s="69" t="s">
        <v>400</v>
      </c>
      <c r="AF398" s="68" t="s">
        <v>2273</v>
      </c>
      <c r="AG398" s="68" t="s">
        <v>400</v>
      </c>
      <c r="AH398" s="68" t="s">
        <v>400</v>
      </c>
      <c r="AI398" s="70" t="s">
        <v>2274</v>
      </c>
      <c r="AJ398" s="114" t="s">
        <v>61</v>
      </c>
      <c r="AK398" s="82"/>
    </row>
    <row r="399" ht="24.0" customHeight="1">
      <c r="A399" s="35"/>
      <c r="B399" s="36">
        <v>1.0</v>
      </c>
      <c r="C399" s="37" t="str">
        <f>IFERROR(__xludf.DUMMYFUNCTION("""COMPUTED_VALUE"""),"Dion Wilburn (XX) - '26 RHP FL")</f>
        <v>Dion Wilburn (XX) - '26 RHP FL</v>
      </c>
      <c r="D399" s="89" t="s">
        <v>2275</v>
      </c>
      <c r="E399" s="51" t="s">
        <v>63</v>
      </c>
      <c r="F399" s="115"/>
      <c r="G399" s="116" t="s">
        <v>1470</v>
      </c>
      <c r="H399" s="54" t="s">
        <v>2276</v>
      </c>
      <c r="I399" s="55" t="s">
        <v>2277</v>
      </c>
      <c r="J399" s="55">
        <v>2026.0</v>
      </c>
      <c r="K399" s="55" t="s">
        <v>410</v>
      </c>
      <c r="L399" s="145" t="s">
        <v>2278</v>
      </c>
      <c r="M399" s="55" t="s">
        <v>63</v>
      </c>
      <c r="N399" s="57"/>
      <c r="O399" s="57"/>
      <c r="P399" s="57"/>
      <c r="Q399" s="55" t="s">
        <v>66</v>
      </c>
      <c r="R399" s="55" t="s">
        <v>1661</v>
      </c>
      <c r="S399" s="58" t="s">
        <v>1088</v>
      </c>
      <c r="T399" s="102" t="s">
        <v>2279</v>
      </c>
      <c r="U399" s="100"/>
      <c r="V399" s="100"/>
      <c r="W399" s="100"/>
      <c r="X399" s="102" t="s">
        <v>1705</v>
      </c>
      <c r="Y399" s="100"/>
      <c r="Z399" s="60" t="s">
        <v>1541</v>
      </c>
      <c r="AA399" s="73" t="s">
        <v>2280</v>
      </c>
      <c r="AB399" s="62" t="s">
        <v>2281</v>
      </c>
      <c r="AC399" s="63" t="s">
        <v>2282</v>
      </c>
      <c r="AD399" s="64" t="s">
        <v>2283</v>
      </c>
      <c r="AE399" s="64" t="s">
        <v>2284</v>
      </c>
      <c r="AF399" s="63"/>
      <c r="AG399" s="63"/>
      <c r="AH399" s="63"/>
      <c r="AI399" s="65" t="s">
        <v>2285</v>
      </c>
      <c r="AJ399" s="105" t="s">
        <v>61</v>
      </c>
      <c r="AK399" s="76"/>
    </row>
    <row r="400" ht="24.0" customHeight="1">
      <c r="A400" s="129"/>
      <c r="B400" s="36">
        <v>1.0</v>
      </c>
      <c r="C400" s="37" t="str">
        <f>IFERROR(__xludf.DUMMYFUNCTION("""COMPUTED_VALUE"""),"Drew Payne (XX) - '26 RHP GA")</f>
        <v>Drew Payne (XX) - '26 RHP GA</v>
      </c>
      <c r="D400" s="38" t="s">
        <v>2286</v>
      </c>
      <c r="E400" s="39" t="s">
        <v>63</v>
      </c>
      <c r="F400" s="124">
        <v>45851.0</v>
      </c>
      <c r="G400" s="113" t="s">
        <v>1430</v>
      </c>
      <c r="H400" s="42" t="s">
        <v>249</v>
      </c>
      <c r="I400" s="43" t="s">
        <v>2287</v>
      </c>
      <c r="J400" s="43">
        <v>2026.0</v>
      </c>
      <c r="K400" s="43" t="s">
        <v>410</v>
      </c>
      <c r="L400" s="146" t="s">
        <v>2288</v>
      </c>
      <c r="M400" s="43" t="s">
        <v>63</v>
      </c>
      <c r="N400" s="43"/>
      <c r="O400" s="43"/>
      <c r="P400" s="43"/>
      <c r="Q400" s="43" t="s">
        <v>43</v>
      </c>
      <c r="R400" s="43" t="s">
        <v>2289</v>
      </c>
      <c r="S400" s="44" t="s">
        <v>2290</v>
      </c>
      <c r="T400" s="39" t="s">
        <v>2291</v>
      </c>
      <c r="U400" s="39"/>
      <c r="V400" s="39"/>
      <c r="W400" s="39"/>
      <c r="X400" s="39"/>
      <c r="Y400" s="39"/>
      <c r="Z400" s="46" t="s">
        <v>1901</v>
      </c>
      <c r="AA400" s="47" t="s">
        <v>2292</v>
      </c>
      <c r="AB400" s="48" t="s">
        <v>61</v>
      </c>
      <c r="AC400" s="68" t="s">
        <v>61</v>
      </c>
      <c r="AD400" s="69" t="s">
        <v>61</v>
      </c>
      <c r="AE400" s="69" t="s">
        <v>61</v>
      </c>
      <c r="AF400" s="68" t="s">
        <v>61</v>
      </c>
      <c r="AG400" s="68" t="s">
        <v>61</v>
      </c>
      <c r="AH400" s="68" t="s">
        <v>61</v>
      </c>
      <c r="AI400" s="70" t="s">
        <v>61</v>
      </c>
      <c r="AJ400" s="114" t="s">
        <v>61</v>
      </c>
      <c r="AK400" s="82"/>
    </row>
    <row r="401" ht="24.0" customHeight="1">
      <c r="A401" s="83"/>
      <c r="B401" s="36">
        <v>1.0</v>
      </c>
      <c r="C401" s="37" t="str">
        <f>IFERROR(__xludf.DUMMYFUNCTION("""COMPUTED_VALUE"""),"Dylan Messina (XX) - '26  FL (from NY)")</f>
        <v>Dylan Messina (XX) - '26  FL (from NY)</v>
      </c>
      <c r="D401" s="38" t="s">
        <v>2293</v>
      </c>
      <c r="E401" s="51" t="s">
        <v>61</v>
      </c>
      <c r="F401" s="115"/>
      <c r="G401" s="116"/>
      <c r="H401" s="54" t="s">
        <v>2294</v>
      </c>
      <c r="I401" s="55" t="s">
        <v>2295</v>
      </c>
      <c r="J401" s="55">
        <v>2026.0</v>
      </c>
      <c r="K401" s="55" t="s">
        <v>410</v>
      </c>
      <c r="L401" s="145" t="s">
        <v>2296</v>
      </c>
      <c r="M401" s="55"/>
      <c r="N401" s="57"/>
      <c r="O401" s="57"/>
      <c r="P401" s="57"/>
      <c r="Q401" s="55" t="s">
        <v>2297</v>
      </c>
      <c r="R401" s="55" t="s">
        <v>405</v>
      </c>
      <c r="S401" s="58" t="s">
        <v>1450</v>
      </c>
      <c r="T401" s="102">
        <v>4.1</v>
      </c>
      <c r="U401" s="100"/>
      <c r="V401" s="100"/>
      <c r="W401" s="74"/>
      <c r="X401" s="100"/>
      <c r="Y401" s="100"/>
      <c r="Z401" s="76"/>
      <c r="AA401" s="73" t="s">
        <v>2298</v>
      </c>
      <c r="AB401" s="62" t="s">
        <v>61</v>
      </c>
      <c r="AC401" s="63" t="s">
        <v>61</v>
      </c>
      <c r="AD401" s="64" t="s">
        <v>61</v>
      </c>
      <c r="AE401" s="64" t="s">
        <v>61</v>
      </c>
      <c r="AF401" s="63" t="s">
        <v>61</v>
      </c>
      <c r="AG401" s="63" t="s">
        <v>61</v>
      </c>
      <c r="AH401" s="63" t="s">
        <v>61</v>
      </c>
      <c r="AI401" s="65" t="s">
        <v>61</v>
      </c>
      <c r="AJ401" s="105" t="s">
        <v>61</v>
      </c>
      <c r="AK401" s="76"/>
    </row>
    <row r="402" ht="24.0" customHeight="1">
      <c r="A402" s="35"/>
      <c r="B402" s="36">
        <v>1.0</v>
      </c>
      <c r="C402" s="37" t="str">
        <f>IFERROR(__xludf.DUMMYFUNCTION("""COMPUTED_VALUE"""),"Eli Hampton (XX) - '26 C KY")</f>
        <v>Eli Hampton (XX) - '26 C KY</v>
      </c>
      <c r="D402" s="38" t="s">
        <v>2299</v>
      </c>
      <c r="E402" s="39" t="s">
        <v>109</v>
      </c>
      <c r="F402" s="112"/>
      <c r="G402" s="113" t="s">
        <v>1430</v>
      </c>
      <c r="H402" s="138" t="s">
        <v>747</v>
      </c>
      <c r="I402" s="80" t="s">
        <v>2300</v>
      </c>
      <c r="J402" s="80">
        <v>2026.0</v>
      </c>
      <c r="K402" s="43" t="s">
        <v>410</v>
      </c>
      <c r="L402" s="43" t="s">
        <v>2301</v>
      </c>
      <c r="M402" s="80" t="s">
        <v>109</v>
      </c>
      <c r="N402" s="80"/>
      <c r="O402" s="80" t="s">
        <v>1550</v>
      </c>
      <c r="P402" s="43"/>
      <c r="Q402" s="80" t="s">
        <v>543</v>
      </c>
      <c r="R402" s="80"/>
      <c r="S402" s="117" t="s">
        <v>263</v>
      </c>
      <c r="T402" s="81"/>
      <c r="U402" s="39"/>
      <c r="V402" s="39"/>
      <c r="W402" s="39"/>
      <c r="X402" s="39"/>
      <c r="Y402" s="39"/>
      <c r="Z402" s="46"/>
      <c r="AA402" s="47"/>
      <c r="AB402" s="48" t="s">
        <v>61</v>
      </c>
      <c r="AC402" s="68" t="s">
        <v>61</v>
      </c>
      <c r="AD402" s="69" t="s">
        <v>61</v>
      </c>
      <c r="AE402" s="69" t="s">
        <v>61</v>
      </c>
      <c r="AF402" s="68" t="s">
        <v>61</v>
      </c>
      <c r="AG402" s="68" t="s">
        <v>61</v>
      </c>
      <c r="AH402" s="68" t="s">
        <v>61</v>
      </c>
      <c r="AI402" s="70" t="s">
        <v>61</v>
      </c>
      <c r="AJ402" s="114" t="s">
        <v>61</v>
      </c>
      <c r="AK402" s="82"/>
    </row>
    <row r="403" ht="24.0" customHeight="1">
      <c r="A403" s="35"/>
      <c r="B403" s="36">
        <v>1.0</v>
      </c>
      <c r="C403" s="37" t="str">
        <f>IFERROR(__xludf.DUMMYFUNCTION("""COMPUTED_VALUE"""),"Eli Sinsabaugh (XX) - '26 MINF IN")</f>
        <v>Eli Sinsabaugh (XX) - '26 MINF IN</v>
      </c>
      <c r="D403" s="38" t="s">
        <v>2302</v>
      </c>
      <c r="E403" s="51" t="s">
        <v>48</v>
      </c>
      <c r="F403" s="115"/>
      <c r="G403" s="116"/>
      <c r="H403" s="54" t="s">
        <v>747</v>
      </c>
      <c r="I403" s="55" t="s">
        <v>2303</v>
      </c>
      <c r="J403" s="55">
        <v>2026.0</v>
      </c>
      <c r="K403" s="55" t="s">
        <v>410</v>
      </c>
      <c r="L403" s="145" t="s">
        <v>2144</v>
      </c>
      <c r="M403" s="55" t="s">
        <v>51</v>
      </c>
      <c r="N403" s="57"/>
      <c r="O403" s="57"/>
      <c r="P403" s="57"/>
      <c r="Q403" s="55" t="s">
        <v>153</v>
      </c>
      <c r="R403" s="55" t="s">
        <v>2304</v>
      </c>
      <c r="S403" s="58"/>
      <c r="T403" s="102">
        <v>3.7</v>
      </c>
      <c r="U403" s="100"/>
      <c r="V403" s="100"/>
      <c r="W403" s="74"/>
      <c r="X403" s="100"/>
      <c r="Y403" s="100"/>
      <c r="Z403" s="60" t="s">
        <v>1892</v>
      </c>
      <c r="AA403" s="73" t="s">
        <v>2305</v>
      </c>
      <c r="AB403" s="62" t="s">
        <v>61</v>
      </c>
      <c r="AC403" s="63" t="s">
        <v>61</v>
      </c>
      <c r="AD403" s="64" t="s">
        <v>61</v>
      </c>
      <c r="AE403" s="64" t="s">
        <v>61</v>
      </c>
      <c r="AF403" s="63" t="s">
        <v>61</v>
      </c>
      <c r="AG403" s="63" t="s">
        <v>61</v>
      </c>
      <c r="AH403" s="63" t="s">
        <v>61</v>
      </c>
      <c r="AI403" s="65" t="s">
        <v>61</v>
      </c>
      <c r="AJ403" s="105" t="s">
        <v>61</v>
      </c>
      <c r="AK403" s="76"/>
    </row>
    <row r="404" ht="24.0" customHeight="1">
      <c r="A404" s="125"/>
      <c r="B404" s="36">
        <v>1.0</v>
      </c>
      <c r="C404" s="37" t="str">
        <f>IFERROR(__xludf.DUMMYFUNCTION("""COMPUTED_VALUE"""),"Eric Benner (XX) - '26 RHP MD")</f>
        <v>Eric Benner (XX) - '26 RHP MD</v>
      </c>
      <c r="D404" s="38" t="s">
        <v>2306</v>
      </c>
      <c r="E404" s="39" t="s">
        <v>63</v>
      </c>
      <c r="F404" s="112"/>
      <c r="G404" s="113"/>
      <c r="H404" s="42" t="s">
        <v>130</v>
      </c>
      <c r="I404" s="43" t="s">
        <v>2307</v>
      </c>
      <c r="J404" s="43">
        <v>2026.0</v>
      </c>
      <c r="K404" s="43" t="s">
        <v>410</v>
      </c>
      <c r="L404" s="80"/>
      <c r="M404" s="43" t="s">
        <v>63</v>
      </c>
      <c r="N404" s="80"/>
      <c r="O404" s="80"/>
      <c r="P404" s="80"/>
      <c r="Q404" s="43" t="s">
        <v>195</v>
      </c>
      <c r="R404" s="43" t="s">
        <v>2308</v>
      </c>
      <c r="S404" s="44"/>
      <c r="T404" s="81"/>
      <c r="U404" s="81"/>
      <c r="V404" s="81"/>
      <c r="W404" s="81"/>
      <c r="X404" s="39" t="s">
        <v>2309</v>
      </c>
      <c r="Y404" s="81"/>
      <c r="Z404" s="46" t="s">
        <v>1414</v>
      </c>
      <c r="AA404" s="47" t="s">
        <v>2310</v>
      </c>
      <c r="AB404" s="48" t="s">
        <v>61</v>
      </c>
      <c r="AC404" s="68" t="s">
        <v>61</v>
      </c>
      <c r="AD404" s="69" t="s">
        <v>61</v>
      </c>
      <c r="AE404" s="69" t="s">
        <v>61</v>
      </c>
      <c r="AF404" s="68" t="s">
        <v>61</v>
      </c>
      <c r="AG404" s="68" t="s">
        <v>61</v>
      </c>
      <c r="AH404" s="68" t="s">
        <v>61</v>
      </c>
      <c r="AI404" s="70" t="s">
        <v>61</v>
      </c>
      <c r="AJ404" s="114" t="s">
        <v>61</v>
      </c>
      <c r="AK404" s="82"/>
    </row>
    <row r="405" ht="24.0" customHeight="1">
      <c r="A405" s="129"/>
      <c r="B405" s="36">
        <v>1.0</v>
      </c>
      <c r="C405" s="37" t="str">
        <f>IFERROR(__xludf.DUMMYFUNCTION("""COMPUTED_VALUE"""),"Eric McAtee (XX) - '26 RHP IN")</f>
        <v>Eric McAtee (XX) - '26 RHP IN</v>
      </c>
      <c r="D405" s="38" t="s">
        <v>2311</v>
      </c>
      <c r="E405" s="51" t="s">
        <v>63</v>
      </c>
      <c r="F405" s="115"/>
      <c r="G405" s="116" t="s">
        <v>1430</v>
      </c>
      <c r="H405" s="54" t="s">
        <v>130</v>
      </c>
      <c r="I405" s="55" t="s">
        <v>2312</v>
      </c>
      <c r="J405" s="55">
        <v>2026.0</v>
      </c>
      <c r="K405" s="55" t="s">
        <v>410</v>
      </c>
      <c r="L405" s="145" t="s">
        <v>2313</v>
      </c>
      <c r="M405" s="55" t="s">
        <v>63</v>
      </c>
      <c r="N405" s="57"/>
      <c r="O405" s="57"/>
      <c r="P405" s="57"/>
      <c r="Q405" s="55" t="s">
        <v>153</v>
      </c>
      <c r="R405" s="55" t="s">
        <v>2314</v>
      </c>
      <c r="S405" s="58" t="s">
        <v>1770</v>
      </c>
      <c r="T405" s="51">
        <v>3.7</v>
      </c>
      <c r="U405" s="74"/>
      <c r="V405" s="74"/>
      <c r="W405" s="74"/>
      <c r="X405" s="74"/>
      <c r="Y405" s="74"/>
      <c r="Z405" s="60" t="s">
        <v>1541</v>
      </c>
      <c r="AA405" s="73" t="s">
        <v>2315</v>
      </c>
      <c r="AB405" s="62" t="s">
        <v>61</v>
      </c>
      <c r="AC405" s="63" t="s">
        <v>61</v>
      </c>
      <c r="AD405" s="64" t="s">
        <v>61</v>
      </c>
      <c r="AE405" s="64" t="s">
        <v>61</v>
      </c>
      <c r="AF405" s="63" t="s">
        <v>61</v>
      </c>
      <c r="AG405" s="63" t="s">
        <v>61</v>
      </c>
      <c r="AH405" s="63" t="s">
        <v>61</v>
      </c>
      <c r="AI405" s="65" t="s">
        <v>61</v>
      </c>
      <c r="AJ405" s="105" t="s">
        <v>61</v>
      </c>
      <c r="AK405" s="76"/>
    </row>
    <row r="406" ht="24.0" customHeight="1">
      <c r="A406" s="35"/>
      <c r="B406" s="36">
        <v>1.0</v>
      </c>
      <c r="C406" s="37" t="str">
        <f>IFERROR(__xludf.DUMMYFUNCTION("""COMPUTED_VALUE"""),"Eric Willi (XX) - '26 C MA")</f>
        <v>Eric Willi (XX) - '26 C MA</v>
      </c>
      <c r="D406" s="38" t="s">
        <v>2316</v>
      </c>
      <c r="E406" s="39" t="s">
        <v>109</v>
      </c>
      <c r="F406" s="118">
        <v>45849.0</v>
      </c>
      <c r="G406" s="113" t="s">
        <v>1395</v>
      </c>
      <c r="H406" s="42" t="s">
        <v>130</v>
      </c>
      <c r="I406" s="43" t="s">
        <v>2317</v>
      </c>
      <c r="J406" s="43">
        <v>2026.0</v>
      </c>
      <c r="K406" s="43" t="s">
        <v>410</v>
      </c>
      <c r="L406" s="146" t="s">
        <v>2318</v>
      </c>
      <c r="M406" s="43" t="s">
        <v>109</v>
      </c>
      <c r="N406" s="43"/>
      <c r="O406" s="43"/>
      <c r="P406" s="43"/>
      <c r="Q406" s="43" t="s">
        <v>85</v>
      </c>
      <c r="R406" s="43" t="s">
        <v>2319</v>
      </c>
      <c r="S406" s="44" t="s">
        <v>1424</v>
      </c>
      <c r="T406" s="39">
        <v>3.95</v>
      </c>
      <c r="U406" s="39"/>
      <c r="V406" s="39"/>
      <c r="W406" s="39"/>
      <c r="X406" s="39"/>
      <c r="Y406" s="39"/>
      <c r="Z406" s="46"/>
      <c r="AA406" s="47" t="s">
        <v>2320</v>
      </c>
      <c r="AB406" s="48" t="s">
        <v>61</v>
      </c>
      <c r="AC406" s="68" t="s">
        <v>61</v>
      </c>
      <c r="AD406" s="69" t="s">
        <v>61</v>
      </c>
      <c r="AE406" s="69" t="s">
        <v>61</v>
      </c>
      <c r="AF406" s="68" t="s">
        <v>61</v>
      </c>
      <c r="AG406" s="68" t="s">
        <v>61</v>
      </c>
      <c r="AH406" s="68" t="s">
        <v>61</v>
      </c>
      <c r="AI406" s="70" t="s">
        <v>61</v>
      </c>
      <c r="AJ406" s="114" t="s">
        <v>61</v>
      </c>
      <c r="AK406" s="82"/>
    </row>
    <row r="407" ht="24.0" customHeight="1">
      <c r="A407" s="83"/>
      <c r="B407" s="36">
        <v>1.0</v>
      </c>
      <c r="C407" s="37" t="str">
        <f>IFERROR(__xludf.DUMMYFUNCTION("""COMPUTED_VALUE"""),"Evan Burroughs (XX) - '26 SS NC")</f>
        <v>Evan Burroughs (XX) - '26 SS NC</v>
      </c>
      <c r="D407" s="38" t="s">
        <v>2321</v>
      </c>
      <c r="E407" s="51" t="s">
        <v>48</v>
      </c>
      <c r="F407" s="140">
        <v>45856.0</v>
      </c>
      <c r="G407" s="116" t="s">
        <v>1430</v>
      </c>
      <c r="H407" s="54" t="s">
        <v>385</v>
      </c>
      <c r="I407" s="55" t="s">
        <v>2322</v>
      </c>
      <c r="J407" s="55">
        <v>2026.0</v>
      </c>
      <c r="K407" s="55" t="s">
        <v>410</v>
      </c>
      <c r="L407" s="55" t="s">
        <v>2323</v>
      </c>
      <c r="M407" s="55" t="s">
        <v>1398</v>
      </c>
      <c r="N407" s="55"/>
      <c r="O407" s="55" t="s">
        <v>2324</v>
      </c>
      <c r="P407" s="57"/>
      <c r="Q407" s="55" t="s">
        <v>73</v>
      </c>
      <c r="R407" s="55" t="s">
        <v>2325</v>
      </c>
      <c r="S407" s="58" t="s">
        <v>1766</v>
      </c>
      <c r="T407" s="51" t="s">
        <v>2326</v>
      </c>
      <c r="U407" s="74"/>
      <c r="V407" s="74"/>
      <c r="W407" s="74"/>
      <c r="X407" s="74"/>
      <c r="Y407" s="74"/>
      <c r="Z407" s="76"/>
      <c r="AA407" s="73" t="s">
        <v>2327</v>
      </c>
      <c r="AB407" s="62" t="s">
        <v>61</v>
      </c>
      <c r="AC407" s="63" t="s">
        <v>61</v>
      </c>
      <c r="AD407" s="64" t="s">
        <v>61</v>
      </c>
      <c r="AE407" s="64" t="s">
        <v>61</v>
      </c>
      <c r="AF407" s="63" t="s">
        <v>61</v>
      </c>
      <c r="AG407" s="63" t="s">
        <v>61</v>
      </c>
      <c r="AH407" s="63" t="s">
        <v>61</v>
      </c>
      <c r="AI407" s="65" t="s">
        <v>61</v>
      </c>
      <c r="AJ407" s="105" t="s">
        <v>61</v>
      </c>
      <c r="AK407" s="76"/>
    </row>
    <row r="408" ht="24.0" customHeight="1">
      <c r="A408" s="35"/>
      <c r="B408" s="36">
        <v>1.0</v>
      </c>
      <c r="C408" s="37" t="str">
        <f>IFERROR(__xludf.DUMMYFUNCTION("""COMPUTED_VALUE"""),"Fred Bornn (XX) - '26 RHP NY")</f>
        <v>Fred Bornn (XX) - '26 RHP NY</v>
      </c>
      <c r="D408" s="38" t="s">
        <v>2328</v>
      </c>
      <c r="E408" s="39" t="s">
        <v>63</v>
      </c>
      <c r="F408" s="118">
        <v>45849.0</v>
      </c>
      <c r="G408" s="113" t="s">
        <v>1395</v>
      </c>
      <c r="H408" s="42" t="s">
        <v>2329</v>
      </c>
      <c r="I408" s="43" t="s">
        <v>2330</v>
      </c>
      <c r="J408" s="43">
        <v>2026.0</v>
      </c>
      <c r="K408" s="43" t="s">
        <v>410</v>
      </c>
      <c r="L408" s="43" t="s">
        <v>2331</v>
      </c>
      <c r="M408" s="43" t="s">
        <v>63</v>
      </c>
      <c r="N408" s="43"/>
      <c r="O408" s="43"/>
      <c r="P408" s="43"/>
      <c r="Q408" s="43" t="s">
        <v>255</v>
      </c>
      <c r="R408" s="43"/>
      <c r="S408" s="44" t="s">
        <v>2332</v>
      </c>
      <c r="T408" s="39"/>
      <c r="U408" s="39"/>
      <c r="V408" s="39"/>
      <c r="W408" s="39"/>
      <c r="X408" s="39"/>
      <c r="Y408" s="39"/>
      <c r="Z408" s="46"/>
      <c r="AA408" s="47" t="s">
        <v>2333</v>
      </c>
      <c r="AB408" s="48" t="s">
        <v>61</v>
      </c>
      <c r="AC408" s="68" t="s">
        <v>61</v>
      </c>
      <c r="AD408" s="69" t="s">
        <v>61</v>
      </c>
      <c r="AE408" s="69" t="s">
        <v>61</v>
      </c>
      <c r="AF408" s="68" t="s">
        <v>61</v>
      </c>
      <c r="AG408" s="68" t="s">
        <v>61</v>
      </c>
      <c r="AH408" s="68" t="s">
        <v>61</v>
      </c>
      <c r="AI408" s="70" t="s">
        <v>61</v>
      </c>
      <c r="AJ408" s="114" t="s">
        <v>61</v>
      </c>
      <c r="AK408" s="82"/>
    </row>
    <row r="409" ht="24.0" customHeight="1">
      <c r="A409" s="35"/>
      <c r="B409" s="36">
        <v>1.0</v>
      </c>
      <c r="C409" s="37" t="str">
        <f>IFERROR(__xludf.DUMMYFUNCTION("""COMPUTED_VALUE"""),"Gavin Jackson (XX) - '26 CINF IN")</f>
        <v>Gavin Jackson (XX) - '26 CINF IN</v>
      </c>
      <c r="D409" s="38" t="s">
        <v>2334</v>
      </c>
      <c r="E409" s="51" t="s">
        <v>48</v>
      </c>
      <c r="F409" s="115"/>
      <c r="G409" s="116"/>
      <c r="H409" s="54" t="s">
        <v>788</v>
      </c>
      <c r="I409" s="55" t="s">
        <v>432</v>
      </c>
      <c r="J409" s="55">
        <v>2026.0</v>
      </c>
      <c r="K409" s="55" t="s">
        <v>410</v>
      </c>
      <c r="L409" s="145" t="s">
        <v>2335</v>
      </c>
      <c r="M409" s="55" t="s">
        <v>72</v>
      </c>
      <c r="N409" s="57"/>
      <c r="O409" s="57"/>
      <c r="P409" s="57"/>
      <c r="Q409" s="55" t="s">
        <v>153</v>
      </c>
      <c r="R409" s="55" t="s">
        <v>118</v>
      </c>
      <c r="S409" s="58" t="s">
        <v>1770</v>
      </c>
      <c r="T409" s="102">
        <v>4.0</v>
      </c>
      <c r="U409" s="100"/>
      <c r="V409" s="100"/>
      <c r="W409" s="74"/>
      <c r="X409" s="100"/>
      <c r="Y409" s="100"/>
      <c r="Z409" s="76"/>
      <c r="AA409" s="73" t="s">
        <v>2336</v>
      </c>
      <c r="AB409" s="62" t="s">
        <v>61</v>
      </c>
      <c r="AC409" s="63" t="s">
        <v>61</v>
      </c>
      <c r="AD409" s="64" t="s">
        <v>61</v>
      </c>
      <c r="AE409" s="64" t="s">
        <v>61</v>
      </c>
      <c r="AF409" s="63" t="s">
        <v>61</v>
      </c>
      <c r="AG409" s="63" t="s">
        <v>61</v>
      </c>
      <c r="AH409" s="63" t="s">
        <v>61</v>
      </c>
      <c r="AI409" s="65" t="s">
        <v>61</v>
      </c>
      <c r="AJ409" s="105" t="s">
        <v>61</v>
      </c>
      <c r="AK409" s="76"/>
    </row>
    <row r="410" ht="24.0" customHeight="1">
      <c r="A410" s="83"/>
      <c r="B410" s="36">
        <v>1.0</v>
      </c>
      <c r="C410" s="37" t="str">
        <f>IFERROR(__xludf.DUMMYFUNCTION("""COMPUTED_VALUE"""),"Gavin Maryott (XX) - '26 COF CT")</f>
        <v>Gavin Maryott (XX) - '26 COF CT</v>
      </c>
      <c r="D410" s="38" t="s">
        <v>2337</v>
      </c>
      <c r="E410" s="39" t="s">
        <v>103</v>
      </c>
      <c r="F410" s="112"/>
      <c r="G410" s="113"/>
      <c r="H410" s="42" t="s">
        <v>788</v>
      </c>
      <c r="I410" s="43" t="s">
        <v>2338</v>
      </c>
      <c r="J410" s="43">
        <v>2026.0</v>
      </c>
      <c r="K410" s="43" t="s">
        <v>410</v>
      </c>
      <c r="L410" s="146" t="s">
        <v>2339</v>
      </c>
      <c r="M410" s="43" t="s">
        <v>42</v>
      </c>
      <c r="N410" s="43"/>
      <c r="O410" s="43"/>
      <c r="P410" s="80"/>
      <c r="Q410" s="43" t="s">
        <v>160</v>
      </c>
      <c r="R410" s="43" t="s">
        <v>2340</v>
      </c>
      <c r="S410" s="44" t="s">
        <v>2341</v>
      </c>
      <c r="T410" s="39">
        <v>3.9</v>
      </c>
      <c r="U410" s="39"/>
      <c r="V410" s="39"/>
      <c r="W410" s="39"/>
      <c r="X410" s="39" t="s">
        <v>2342</v>
      </c>
      <c r="Y410" s="39"/>
      <c r="Z410" s="46" t="s">
        <v>2343</v>
      </c>
      <c r="AA410" s="47" t="s">
        <v>2344</v>
      </c>
      <c r="AB410" s="48" t="s">
        <v>2345</v>
      </c>
      <c r="AC410" s="68" t="s">
        <v>2346</v>
      </c>
      <c r="AD410" s="69" t="s">
        <v>2347</v>
      </c>
      <c r="AE410" s="69">
        <v>1250.0</v>
      </c>
      <c r="AF410" s="68" t="s">
        <v>2348</v>
      </c>
      <c r="AG410" s="68"/>
      <c r="AH410" s="68"/>
      <c r="AI410" s="70"/>
      <c r="AJ410" s="114" t="s">
        <v>61</v>
      </c>
      <c r="AK410" s="82"/>
    </row>
    <row r="411" ht="24.0" customHeight="1">
      <c r="A411" s="35"/>
      <c r="B411" s="36">
        <v>1.0</v>
      </c>
      <c r="C411" s="37" t="str">
        <f>IFERROR(__xludf.DUMMYFUNCTION("""COMPUTED_VALUE"""),"Geno Goralski (XX) - '26 COF GA")</f>
        <v>Geno Goralski (XX) - '26 COF GA</v>
      </c>
      <c r="D411" s="89" t="s">
        <v>2349</v>
      </c>
      <c r="E411" s="51" t="s">
        <v>103</v>
      </c>
      <c r="F411" s="115"/>
      <c r="G411" s="116" t="s">
        <v>1430</v>
      </c>
      <c r="H411" s="54" t="s">
        <v>2350</v>
      </c>
      <c r="I411" s="55" t="s">
        <v>2351</v>
      </c>
      <c r="J411" s="55">
        <v>2026.0</v>
      </c>
      <c r="K411" s="55" t="s">
        <v>410</v>
      </c>
      <c r="L411" s="55" t="s">
        <v>2206</v>
      </c>
      <c r="M411" s="55" t="s">
        <v>42</v>
      </c>
      <c r="N411" s="57"/>
      <c r="O411" s="57"/>
      <c r="P411" s="57"/>
      <c r="Q411" s="55" t="s">
        <v>43</v>
      </c>
      <c r="R411" s="55" t="s">
        <v>1686</v>
      </c>
      <c r="S411" s="58" t="s">
        <v>2290</v>
      </c>
      <c r="T411" s="51">
        <v>4.0</v>
      </c>
      <c r="U411" s="74"/>
      <c r="V411" s="74"/>
      <c r="W411" s="74"/>
      <c r="X411" s="92">
        <v>45556.0</v>
      </c>
      <c r="Y411" s="92">
        <v>45556.0</v>
      </c>
      <c r="Z411" s="60" t="s">
        <v>2352</v>
      </c>
      <c r="AA411" s="73" t="s">
        <v>2353</v>
      </c>
      <c r="AB411" s="62" t="s">
        <v>61</v>
      </c>
      <c r="AC411" s="63" t="s">
        <v>61</v>
      </c>
      <c r="AD411" s="64" t="s">
        <v>61</v>
      </c>
      <c r="AE411" s="64" t="s">
        <v>61</v>
      </c>
      <c r="AF411" s="63" t="s">
        <v>61</v>
      </c>
      <c r="AG411" s="63" t="s">
        <v>61</v>
      </c>
      <c r="AH411" s="63" t="s">
        <v>61</v>
      </c>
      <c r="AI411" s="65" t="s">
        <v>61</v>
      </c>
      <c r="AJ411" s="105" t="s">
        <v>61</v>
      </c>
      <c r="AK411" s="76"/>
    </row>
    <row r="412" ht="24.0" customHeight="1">
      <c r="A412" s="35"/>
      <c r="B412" s="36">
        <v>1.0</v>
      </c>
      <c r="C412" s="37" t="str">
        <f>IFERROR(__xludf.DUMMYFUNCTION("""COMPUTED_VALUE"""),"Grant Gannon (XX) - '26  IN")</f>
        <v>Grant Gannon (XX) - '26  IN</v>
      </c>
      <c r="D412" s="38" t="s">
        <v>2354</v>
      </c>
      <c r="E412" s="39" t="s">
        <v>61</v>
      </c>
      <c r="F412" s="112"/>
      <c r="G412" s="113"/>
      <c r="H412" s="42" t="s">
        <v>278</v>
      </c>
      <c r="I412" s="43" t="s">
        <v>1635</v>
      </c>
      <c r="J412" s="43">
        <v>2026.0</v>
      </c>
      <c r="K412" s="43" t="s">
        <v>410</v>
      </c>
      <c r="L412" s="43" t="s">
        <v>2355</v>
      </c>
      <c r="M412" s="80"/>
      <c r="N412" s="80"/>
      <c r="O412" s="80"/>
      <c r="P412" s="80"/>
      <c r="Q412" s="43" t="s">
        <v>153</v>
      </c>
      <c r="R412" s="43" t="s">
        <v>2314</v>
      </c>
      <c r="S412" s="44" t="s">
        <v>761</v>
      </c>
      <c r="T412" s="39">
        <v>3.5</v>
      </c>
      <c r="U412" s="81"/>
      <c r="V412" s="81"/>
      <c r="W412" s="81"/>
      <c r="X412" s="81"/>
      <c r="Y412" s="81"/>
      <c r="Z412" s="82"/>
      <c r="AA412" s="47" t="s">
        <v>2356</v>
      </c>
      <c r="AB412" s="48" t="s">
        <v>61</v>
      </c>
      <c r="AC412" s="68" t="s">
        <v>61</v>
      </c>
      <c r="AD412" s="69" t="s">
        <v>61</v>
      </c>
      <c r="AE412" s="69" t="s">
        <v>61</v>
      </c>
      <c r="AF412" s="68" t="s">
        <v>61</v>
      </c>
      <c r="AG412" s="68" t="s">
        <v>61</v>
      </c>
      <c r="AH412" s="68" t="s">
        <v>61</v>
      </c>
      <c r="AI412" s="70" t="s">
        <v>61</v>
      </c>
      <c r="AJ412" s="114" t="s">
        <v>61</v>
      </c>
      <c r="AK412" s="82"/>
    </row>
    <row r="413" ht="24.0" customHeight="1">
      <c r="A413" s="83"/>
      <c r="B413" s="36">
        <v>1.0</v>
      </c>
      <c r="C413" s="37" t="str">
        <f>IFERROR(__xludf.DUMMYFUNCTION("""COMPUTED_VALUE"""),"Hayden Yandell (XX) - '26 RHP TN")</f>
        <v>Hayden Yandell (XX) - '26 RHP TN</v>
      </c>
      <c r="D413" s="38" t="s">
        <v>2357</v>
      </c>
      <c r="E413" s="51" t="s">
        <v>63</v>
      </c>
      <c r="F413" s="140">
        <v>45851.0</v>
      </c>
      <c r="G413" s="116" t="s">
        <v>1430</v>
      </c>
      <c r="H413" s="54" t="s">
        <v>805</v>
      </c>
      <c r="I413" s="55" t="s">
        <v>2358</v>
      </c>
      <c r="J413" s="55">
        <v>2026.0</v>
      </c>
      <c r="K413" s="55" t="s">
        <v>410</v>
      </c>
      <c r="L413" s="55" t="s">
        <v>2359</v>
      </c>
      <c r="M413" s="55" t="s">
        <v>63</v>
      </c>
      <c r="N413" s="55"/>
      <c r="O413" s="55"/>
      <c r="P413" s="55"/>
      <c r="Q413" s="55" t="s">
        <v>330</v>
      </c>
      <c r="R413" s="55" t="s">
        <v>2360</v>
      </c>
      <c r="S413" s="58"/>
      <c r="T413" s="51">
        <v>3.8</v>
      </c>
      <c r="U413" s="51"/>
      <c r="V413" s="51"/>
      <c r="W413" s="51"/>
      <c r="X413" s="51"/>
      <c r="Y413" s="51"/>
      <c r="Z413" s="60"/>
      <c r="AA413" s="73" t="s">
        <v>2361</v>
      </c>
      <c r="AB413" s="62" t="s">
        <v>2362</v>
      </c>
      <c r="AC413" s="63" t="s">
        <v>2363</v>
      </c>
      <c r="AD413" s="64" t="s">
        <v>2364</v>
      </c>
      <c r="AE413" s="64" t="s">
        <v>2365</v>
      </c>
      <c r="AF413" s="63" t="s">
        <v>60</v>
      </c>
      <c r="AG413" s="63" t="s">
        <v>81</v>
      </c>
      <c r="AH413" s="63" t="s">
        <v>81</v>
      </c>
      <c r="AI413" s="65" t="s">
        <v>81</v>
      </c>
      <c r="AJ413" s="105" t="s">
        <v>61</v>
      </c>
      <c r="AK413" s="76"/>
    </row>
    <row r="414" ht="24.0" customHeight="1">
      <c r="A414" s="129"/>
      <c r="B414" s="36">
        <v>1.0</v>
      </c>
      <c r="C414" s="37" t="str">
        <f>IFERROR(__xludf.DUMMYFUNCTION("""COMPUTED_VALUE"""),"Heath Klingensmith (XX) - '26 RHP NC")</f>
        <v>Heath Klingensmith (XX) - '26 RHP NC</v>
      </c>
      <c r="D414" s="38" t="s">
        <v>2366</v>
      </c>
      <c r="E414" s="39" t="s">
        <v>63</v>
      </c>
      <c r="F414" s="112"/>
      <c r="G414" s="113"/>
      <c r="H414" s="42" t="s">
        <v>2367</v>
      </c>
      <c r="I414" s="43" t="s">
        <v>2368</v>
      </c>
      <c r="J414" s="43">
        <v>2026.0</v>
      </c>
      <c r="K414" s="43" t="s">
        <v>410</v>
      </c>
      <c r="L414" s="146" t="s">
        <v>2369</v>
      </c>
      <c r="M414" s="43" t="s">
        <v>63</v>
      </c>
      <c r="N414" s="80"/>
      <c r="O414" s="80"/>
      <c r="P414" s="80"/>
      <c r="Q414" s="43" t="s">
        <v>73</v>
      </c>
      <c r="R414" s="43" t="s">
        <v>2370</v>
      </c>
      <c r="S414" s="44"/>
      <c r="T414" s="39" t="s">
        <v>2371</v>
      </c>
      <c r="U414" s="81"/>
      <c r="V414" s="81"/>
      <c r="W414" s="81"/>
      <c r="X414" s="39" t="s">
        <v>2372</v>
      </c>
      <c r="Y414" s="81"/>
      <c r="Z414" s="82"/>
      <c r="AA414" s="47" t="s">
        <v>2373</v>
      </c>
      <c r="AB414" s="48" t="s">
        <v>61</v>
      </c>
      <c r="AC414" s="68" t="s">
        <v>61</v>
      </c>
      <c r="AD414" s="69" t="s">
        <v>61</v>
      </c>
      <c r="AE414" s="69" t="s">
        <v>61</v>
      </c>
      <c r="AF414" s="68" t="s">
        <v>61</v>
      </c>
      <c r="AG414" s="68" t="s">
        <v>61</v>
      </c>
      <c r="AH414" s="68" t="s">
        <v>61</v>
      </c>
      <c r="AI414" s="70" t="s">
        <v>61</v>
      </c>
      <c r="AJ414" s="114" t="s">
        <v>61</v>
      </c>
      <c r="AK414" s="82"/>
    </row>
    <row r="415" ht="24.0" customHeight="1">
      <c r="A415" s="125"/>
      <c r="B415" s="36">
        <v>1.0</v>
      </c>
      <c r="C415" s="37" t="str">
        <f>IFERROR(__xludf.DUMMYFUNCTION("""COMPUTED_VALUE"""),"Henry Moak (XX) - '26  TN")</f>
        <v>Henry Moak (XX) - '26  TN</v>
      </c>
      <c r="D415" s="38" t="s">
        <v>2374</v>
      </c>
      <c r="E415" s="51" t="s">
        <v>61</v>
      </c>
      <c r="F415" s="115"/>
      <c r="G415" s="116"/>
      <c r="H415" s="54" t="s">
        <v>816</v>
      </c>
      <c r="I415" s="55" t="s">
        <v>2375</v>
      </c>
      <c r="J415" s="55">
        <v>2026.0</v>
      </c>
      <c r="K415" s="55" t="s">
        <v>410</v>
      </c>
      <c r="L415" s="55" t="s">
        <v>2376</v>
      </c>
      <c r="M415" s="55"/>
      <c r="N415" s="57"/>
      <c r="O415" s="57"/>
      <c r="P415" s="57"/>
      <c r="Q415" s="55" t="s">
        <v>330</v>
      </c>
      <c r="R415" s="55" t="s">
        <v>2377</v>
      </c>
      <c r="S415" s="58" t="s">
        <v>2378</v>
      </c>
      <c r="T415" s="51" t="s">
        <v>2379</v>
      </c>
      <c r="U415" s="74"/>
      <c r="V415" s="74"/>
      <c r="W415" s="74"/>
      <c r="X415" s="74"/>
      <c r="Y415" s="74"/>
      <c r="Z415" s="60" t="s">
        <v>1892</v>
      </c>
      <c r="AA415" s="73" t="s">
        <v>2380</v>
      </c>
      <c r="AB415" s="62" t="s">
        <v>2381</v>
      </c>
      <c r="AC415" s="63"/>
      <c r="AD415" s="64">
        <v>2.8</v>
      </c>
      <c r="AE415" s="64" t="s">
        <v>2382</v>
      </c>
      <c r="AF415" s="63" t="s">
        <v>2383</v>
      </c>
      <c r="AG415" s="63" t="s">
        <v>81</v>
      </c>
      <c r="AH415" s="63" t="s">
        <v>81</v>
      </c>
      <c r="AI415" s="65" t="s">
        <v>2384</v>
      </c>
      <c r="AJ415" s="105" t="s">
        <v>61</v>
      </c>
      <c r="AK415" s="76"/>
    </row>
    <row r="416" ht="24.0" customHeight="1">
      <c r="A416" s="35"/>
      <c r="B416" s="36">
        <v>1.0</v>
      </c>
      <c r="C416" s="37" t="str">
        <f>IFERROR(__xludf.DUMMYFUNCTION("""COMPUTED_VALUE"""),"Henry Verhamme (XX) - '26 CINF AZ")</f>
        <v>Henry Verhamme (XX) - '26 CINF AZ</v>
      </c>
      <c r="D416" s="38" t="s">
        <v>2385</v>
      </c>
      <c r="E416" s="39" t="s">
        <v>48</v>
      </c>
      <c r="F416" s="112"/>
      <c r="G416" s="113"/>
      <c r="H416" s="42" t="s">
        <v>816</v>
      </c>
      <c r="I416" s="43" t="s">
        <v>2386</v>
      </c>
      <c r="J416" s="43">
        <v>2026.0</v>
      </c>
      <c r="K416" s="43" t="s">
        <v>410</v>
      </c>
      <c r="L416" s="146" t="s">
        <v>2387</v>
      </c>
      <c r="M416" s="43" t="s">
        <v>72</v>
      </c>
      <c r="N416" s="80"/>
      <c r="O416" s="80"/>
      <c r="P416" s="80"/>
      <c r="Q416" s="43" t="s">
        <v>319</v>
      </c>
      <c r="R416" s="43" t="s">
        <v>2388</v>
      </c>
      <c r="S416" s="44"/>
      <c r="T416" s="39" t="s">
        <v>2389</v>
      </c>
      <c r="U416" s="81"/>
      <c r="V416" s="81"/>
      <c r="W416" s="81"/>
      <c r="X416" s="39" t="s">
        <v>2390</v>
      </c>
      <c r="Y416" s="81"/>
      <c r="Z416" s="82"/>
      <c r="AA416" s="47" t="s">
        <v>2391</v>
      </c>
      <c r="AB416" s="48" t="s">
        <v>2392</v>
      </c>
      <c r="AC416" s="68" t="s">
        <v>2393</v>
      </c>
      <c r="AD416" s="69">
        <v>3.65</v>
      </c>
      <c r="AE416" s="69" t="s">
        <v>400</v>
      </c>
      <c r="AF416" s="68" t="s">
        <v>400</v>
      </c>
      <c r="AG416" s="68" t="s">
        <v>400</v>
      </c>
      <c r="AH416" s="68" t="s">
        <v>400</v>
      </c>
      <c r="AI416" s="70" t="s">
        <v>2394</v>
      </c>
      <c r="AJ416" s="114" t="s">
        <v>61</v>
      </c>
      <c r="AK416" s="82"/>
    </row>
    <row r="417" ht="24.0" customHeight="1">
      <c r="A417" s="35"/>
      <c r="B417" s="36">
        <v>1.0</v>
      </c>
      <c r="C417" s="37" t="str">
        <f>IFERROR(__xludf.DUMMYFUNCTION("""COMPUTED_VALUE"""),"Hogan Hawkins (XX) - '26  NV")</f>
        <v>Hogan Hawkins (XX) - '26  NV</v>
      </c>
      <c r="D417" s="89" t="s">
        <v>2395</v>
      </c>
      <c r="E417" s="51" t="s">
        <v>61</v>
      </c>
      <c r="F417" s="115"/>
      <c r="G417" s="116"/>
      <c r="H417" s="54" t="s">
        <v>2396</v>
      </c>
      <c r="I417" s="55" t="s">
        <v>2397</v>
      </c>
      <c r="J417" s="55">
        <v>2026.0</v>
      </c>
      <c r="K417" s="55" t="s">
        <v>410</v>
      </c>
      <c r="L417" s="55" t="s">
        <v>2028</v>
      </c>
      <c r="M417" s="55"/>
      <c r="N417" s="57"/>
      <c r="O417" s="57"/>
      <c r="P417" s="57"/>
      <c r="Q417" s="55" t="s">
        <v>1968</v>
      </c>
      <c r="R417" s="55" t="s">
        <v>2398</v>
      </c>
      <c r="S417" s="58" t="s">
        <v>1376</v>
      </c>
      <c r="T417" s="51">
        <v>3.7</v>
      </c>
      <c r="U417" s="74"/>
      <c r="V417" s="74"/>
      <c r="W417" s="74"/>
      <c r="X417" s="74"/>
      <c r="Y417" s="74"/>
      <c r="Z417" s="76"/>
      <c r="AA417" s="73" t="s">
        <v>2399</v>
      </c>
      <c r="AB417" s="62" t="s">
        <v>61</v>
      </c>
      <c r="AC417" s="63" t="s">
        <v>61</v>
      </c>
      <c r="AD417" s="64" t="s">
        <v>61</v>
      </c>
      <c r="AE417" s="64" t="s">
        <v>61</v>
      </c>
      <c r="AF417" s="63" t="s">
        <v>61</v>
      </c>
      <c r="AG417" s="63" t="s">
        <v>61</v>
      </c>
      <c r="AH417" s="63" t="s">
        <v>61</v>
      </c>
      <c r="AI417" s="65" t="s">
        <v>61</v>
      </c>
      <c r="AJ417" s="105" t="s">
        <v>61</v>
      </c>
      <c r="AK417" s="76"/>
    </row>
    <row r="418" ht="24.0" customHeight="1">
      <c r="A418" s="35"/>
      <c r="B418" s="36">
        <v>1.0</v>
      </c>
      <c r="C418" s="37" t="str">
        <f>IFERROR(__xludf.DUMMYFUNCTION("""COMPUTED_VALUE"""),"Hudson Reese (XX) - '26 MINF VA")</f>
        <v>Hudson Reese (XX) - '26 MINF VA</v>
      </c>
      <c r="D418" s="38" t="s">
        <v>2400</v>
      </c>
      <c r="E418" s="39" t="s">
        <v>48</v>
      </c>
      <c r="F418" s="112"/>
      <c r="G418" s="113"/>
      <c r="H418" s="42" t="s">
        <v>1678</v>
      </c>
      <c r="I418" s="43" t="s">
        <v>2401</v>
      </c>
      <c r="J418" s="43">
        <v>2026.0</v>
      </c>
      <c r="K418" s="43" t="s">
        <v>410</v>
      </c>
      <c r="L418" s="43" t="s">
        <v>2402</v>
      </c>
      <c r="M418" s="43" t="s">
        <v>51</v>
      </c>
      <c r="N418" s="80"/>
      <c r="O418" s="80"/>
      <c r="P418" s="80"/>
      <c r="Q418" s="43" t="s">
        <v>125</v>
      </c>
      <c r="R418" s="43" t="s">
        <v>2403</v>
      </c>
      <c r="S418" s="44"/>
      <c r="T418" s="109"/>
      <c r="U418" s="109"/>
      <c r="V418" s="109"/>
      <c r="W418" s="81"/>
      <c r="X418" s="109"/>
      <c r="Y418" s="109"/>
      <c r="Z418" s="82"/>
      <c r="AA418" s="47" t="s">
        <v>2404</v>
      </c>
      <c r="AB418" s="48" t="s">
        <v>61</v>
      </c>
      <c r="AC418" s="68" t="s">
        <v>61</v>
      </c>
      <c r="AD418" s="69" t="s">
        <v>61</v>
      </c>
      <c r="AE418" s="69" t="s">
        <v>61</v>
      </c>
      <c r="AF418" s="68" t="s">
        <v>61</v>
      </c>
      <c r="AG418" s="68" t="s">
        <v>61</v>
      </c>
      <c r="AH418" s="68" t="s">
        <v>61</v>
      </c>
      <c r="AI418" s="70" t="s">
        <v>61</v>
      </c>
      <c r="AJ418" s="114" t="s">
        <v>61</v>
      </c>
      <c r="AK418" s="82"/>
    </row>
    <row r="419" ht="24.0" customHeight="1">
      <c r="A419" s="35"/>
      <c r="B419" s="36">
        <v>1.0</v>
      </c>
      <c r="C419" s="37" t="str">
        <f>IFERROR(__xludf.DUMMYFUNCTION("""COMPUTED_VALUE"""),"Ian Taylor (XX) - '26 COF IN")</f>
        <v>Ian Taylor (XX) - '26 COF IN</v>
      </c>
      <c r="D419" s="38" t="s">
        <v>2405</v>
      </c>
      <c r="E419" s="51" t="s">
        <v>103</v>
      </c>
      <c r="F419" s="115"/>
      <c r="G419" s="116"/>
      <c r="H419" s="54" t="s">
        <v>2406</v>
      </c>
      <c r="I419" s="55" t="s">
        <v>1895</v>
      </c>
      <c r="J419" s="55">
        <v>2026.0</v>
      </c>
      <c r="K419" s="55" t="s">
        <v>410</v>
      </c>
      <c r="L419" s="55" t="s">
        <v>2407</v>
      </c>
      <c r="M419" s="55" t="s">
        <v>42</v>
      </c>
      <c r="N419" s="57"/>
      <c r="O419" s="57"/>
      <c r="P419" s="57"/>
      <c r="Q419" s="55" t="s">
        <v>153</v>
      </c>
      <c r="R419" s="55" t="s">
        <v>2408</v>
      </c>
      <c r="S419" s="58" t="s">
        <v>263</v>
      </c>
      <c r="T419" s="51">
        <v>3.8</v>
      </c>
      <c r="U419" s="74"/>
      <c r="V419" s="74"/>
      <c r="W419" s="74"/>
      <c r="X419" s="74"/>
      <c r="Y419" s="74"/>
      <c r="Z419" s="76"/>
      <c r="AA419" s="73" t="s">
        <v>2409</v>
      </c>
      <c r="AB419" s="62" t="s">
        <v>2410</v>
      </c>
      <c r="AC419" s="63" t="s">
        <v>2411</v>
      </c>
      <c r="AD419" s="64" t="s">
        <v>2412</v>
      </c>
      <c r="AE419" s="64" t="s">
        <v>2413</v>
      </c>
      <c r="AF419" s="63" t="s">
        <v>2414</v>
      </c>
      <c r="AG419" s="63" t="s">
        <v>2415</v>
      </c>
      <c r="AH419" s="63" t="s">
        <v>2416</v>
      </c>
      <c r="AI419" s="65" t="s">
        <v>2417</v>
      </c>
      <c r="AJ419" s="105" t="s">
        <v>61</v>
      </c>
      <c r="AK419" s="76"/>
    </row>
    <row r="420" ht="24.0" customHeight="1">
      <c r="A420" s="35"/>
      <c r="B420" s="36">
        <v>1.0</v>
      </c>
      <c r="C420" s="37" t="str">
        <f>IFERROR(__xludf.DUMMYFUNCTION("""COMPUTED_VALUE"""),"Isaiah Tillman (XX) - '26 LHP CA")</f>
        <v>Isaiah Tillman (XX) - '26 LHP CA</v>
      </c>
      <c r="D420" s="38" t="s">
        <v>2418</v>
      </c>
      <c r="E420" s="39" t="s">
        <v>122</v>
      </c>
      <c r="F420" s="118">
        <v>45869.0</v>
      </c>
      <c r="G420" s="113" t="s">
        <v>1395</v>
      </c>
      <c r="H420" s="42" t="s">
        <v>859</v>
      </c>
      <c r="I420" s="43" t="s">
        <v>2419</v>
      </c>
      <c r="J420" s="43">
        <v>2026.0</v>
      </c>
      <c r="K420" s="43" t="s">
        <v>410</v>
      </c>
      <c r="L420" s="43" t="s">
        <v>2420</v>
      </c>
      <c r="M420" s="43" t="s">
        <v>122</v>
      </c>
      <c r="N420" s="80"/>
      <c r="O420" s="43" t="s">
        <v>1556</v>
      </c>
      <c r="P420" s="43" t="s">
        <v>2421</v>
      </c>
      <c r="Q420" s="43" t="s">
        <v>52</v>
      </c>
      <c r="R420" s="43" t="s">
        <v>2422</v>
      </c>
      <c r="S420" s="117"/>
      <c r="T420" s="39">
        <v>4.3</v>
      </c>
      <c r="U420" s="81"/>
      <c r="V420" s="39">
        <v>8.052858282E9</v>
      </c>
      <c r="W420" s="81"/>
      <c r="X420" s="81"/>
      <c r="Y420" s="81"/>
      <c r="Z420" s="82"/>
      <c r="AA420" s="47" t="s">
        <v>2423</v>
      </c>
      <c r="AB420" s="48" t="s">
        <v>2424</v>
      </c>
      <c r="AC420" s="68" t="s">
        <v>2425</v>
      </c>
      <c r="AD420" s="69" t="s">
        <v>2426</v>
      </c>
      <c r="AE420" s="69"/>
      <c r="AF420" s="68" t="s">
        <v>2427</v>
      </c>
      <c r="AG420" s="68"/>
      <c r="AH420" s="68"/>
      <c r="AI420" s="70"/>
      <c r="AJ420" s="114" t="s">
        <v>61</v>
      </c>
      <c r="AK420" s="82"/>
    </row>
    <row r="421" ht="24.0" customHeight="1">
      <c r="A421" s="35"/>
      <c r="B421" s="36">
        <v>1.0</v>
      </c>
      <c r="C421" s="37" t="str">
        <f>IFERROR(__xludf.DUMMYFUNCTION("""COMPUTED_VALUE"""),"Jack Champlin (XX) - '26 MINF CA")</f>
        <v>Jack Champlin (XX) - '26 MINF CA</v>
      </c>
      <c r="D421" s="38" t="s">
        <v>2428</v>
      </c>
      <c r="E421" s="51" t="s">
        <v>48</v>
      </c>
      <c r="F421" s="115"/>
      <c r="G421" s="116"/>
      <c r="H421" s="54" t="s">
        <v>424</v>
      </c>
      <c r="I421" s="55" t="s">
        <v>2429</v>
      </c>
      <c r="J421" s="55">
        <v>2026.0</v>
      </c>
      <c r="K421" s="55" t="s">
        <v>410</v>
      </c>
      <c r="L421" s="55" t="s">
        <v>2430</v>
      </c>
      <c r="M421" s="55" t="s">
        <v>51</v>
      </c>
      <c r="N421" s="57"/>
      <c r="O421" s="57"/>
      <c r="P421" s="57"/>
      <c r="Q421" s="55" t="s">
        <v>52</v>
      </c>
      <c r="R421" s="55" t="s">
        <v>2431</v>
      </c>
      <c r="S421" s="58" t="s">
        <v>2432</v>
      </c>
      <c r="T421" s="51">
        <v>4.22</v>
      </c>
      <c r="U421" s="74"/>
      <c r="V421" s="74"/>
      <c r="W421" s="74"/>
      <c r="X421" s="74"/>
      <c r="Y421" s="74"/>
      <c r="Z421" s="76"/>
      <c r="AA421" s="73" t="s">
        <v>2433</v>
      </c>
      <c r="AB421" s="62" t="s">
        <v>61</v>
      </c>
      <c r="AC421" s="63" t="s">
        <v>61</v>
      </c>
      <c r="AD421" s="64" t="s">
        <v>61</v>
      </c>
      <c r="AE421" s="64" t="s">
        <v>61</v>
      </c>
      <c r="AF421" s="63" t="s">
        <v>61</v>
      </c>
      <c r="AG421" s="63" t="s">
        <v>61</v>
      </c>
      <c r="AH421" s="63" t="s">
        <v>61</v>
      </c>
      <c r="AI421" s="65" t="s">
        <v>61</v>
      </c>
      <c r="AJ421" s="105" t="s">
        <v>61</v>
      </c>
      <c r="AK421" s="76"/>
    </row>
    <row r="422" ht="24.0" customHeight="1">
      <c r="A422" s="71"/>
      <c r="B422" s="36">
        <v>1.0</v>
      </c>
      <c r="C422" s="37" t="str">
        <f>IFERROR(__xludf.DUMMYFUNCTION("""COMPUTED_VALUE"""),"Jack Pritchett (XX) - '26 RHP AL")</f>
        <v>Jack Pritchett (XX) - '26 RHP AL</v>
      </c>
      <c r="D422" s="38" t="s">
        <v>2434</v>
      </c>
      <c r="E422" s="39" t="s">
        <v>63</v>
      </c>
      <c r="F422" s="124">
        <v>45851.0</v>
      </c>
      <c r="G422" s="113" t="s">
        <v>1470</v>
      </c>
      <c r="H422" s="42" t="s">
        <v>424</v>
      </c>
      <c r="I422" s="43" t="s">
        <v>2435</v>
      </c>
      <c r="J422" s="43">
        <v>2026.0</v>
      </c>
      <c r="K422" s="43" t="s">
        <v>410</v>
      </c>
      <c r="L422" s="43" t="s">
        <v>2018</v>
      </c>
      <c r="M422" s="43" t="s">
        <v>63</v>
      </c>
      <c r="N422" s="43"/>
      <c r="O422" s="43"/>
      <c r="P422" s="43"/>
      <c r="Q422" s="43" t="s">
        <v>731</v>
      </c>
      <c r="R422" s="43" t="s">
        <v>2436</v>
      </c>
      <c r="S422" s="44" t="s">
        <v>2437</v>
      </c>
      <c r="T422" s="39" t="s">
        <v>2438</v>
      </c>
      <c r="U422" s="39"/>
      <c r="V422" s="39"/>
      <c r="W422" s="39"/>
      <c r="X422" s="39"/>
      <c r="Y422" s="39"/>
      <c r="Z422" s="46"/>
      <c r="AA422" s="47" t="s">
        <v>2439</v>
      </c>
      <c r="AB422" s="48" t="s">
        <v>2440</v>
      </c>
      <c r="AC422" s="68" t="s">
        <v>2441</v>
      </c>
      <c r="AD422" s="69" t="s">
        <v>2442</v>
      </c>
      <c r="AE422" s="69" t="s">
        <v>2443</v>
      </c>
      <c r="AF422" s="68" t="s">
        <v>2444</v>
      </c>
      <c r="AG422" s="68" t="s">
        <v>60</v>
      </c>
      <c r="AH422" s="68" t="s">
        <v>60</v>
      </c>
      <c r="AI422" s="70" t="s">
        <v>60</v>
      </c>
      <c r="AJ422" s="114" t="s">
        <v>61</v>
      </c>
      <c r="AK422" s="82"/>
    </row>
    <row r="423" ht="24.0" customHeight="1">
      <c r="A423" s="35"/>
      <c r="B423" s="36">
        <v>1.0</v>
      </c>
      <c r="C423" s="37" t="str">
        <f>IFERROR(__xludf.DUMMYFUNCTION("""COMPUTED_VALUE"""),"Jack Rostock (XX) - '26  FL")</f>
        <v>Jack Rostock (XX) - '26  FL</v>
      </c>
      <c r="D423" s="38" t="s">
        <v>2445</v>
      </c>
      <c r="E423" s="51" t="s">
        <v>61</v>
      </c>
      <c r="F423" s="115"/>
      <c r="G423" s="116"/>
      <c r="H423" s="54" t="s">
        <v>424</v>
      </c>
      <c r="I423" s="55" t="s">
        <v>2446</v>
      </c>
      <c r="J423" s="55">
        <v>2026.0</v>
      </c>
      <c r="K423" s="55" t="s">
        <v>410</v>
      </c>
      <c r="L423" s="145" t="s">
        <v>2447</v>
      </c>
      <c r="M423" s="55"/>
      <c r="N423" s="57"/>
      <c r="O423" s="57"/>
      <c r="P423" s="57"/>
      <c r="Q423" s="55" t="s">
        <v>66</v>
      </c>
      <c r="R423" s="55" t="s">
        <v>1529</v>
      </c>
      <c r="S423" s="58" t="s">
        <v>1702</v>
      </c>
      <c r="T423" s="51" t="s">
        <v>2448</v>
      </c>
      <c r="U423" s="74"/>
      <c r="V423" s="74"/>
      <c r="W423" s="74"/>
      <c r="X423" s="51" t="s">
        <v>1705</v>
      </c>
      <c r="Y423" s="74"/>
      <c r="Z423" s="60" t="s">
        <v>1541</v>
      </c>
      <c r="AA423" s="73" t="s">
        <v>2449</v>
      </c>
      <c r="AB423" s="62" t="s">
        <v>61</v>
      </c>
      <c r="AC423" s="63" t="s">
        <v>61</v>
      </c>
      <c r="AD423" s="64" t="s">
        <v>61</v>
      </c>
      <c r="AE423" s="64" t="s">
        <v>61</v>
      </c>
      <c r="AF423" s="63" t="s">
        <v>61</v>
      </c>
      <c r="AG423" s="63" t="s">
        <v>61</v>
      </c>
      <c r="AH423" s="63" t="s">
        <v>61</v>
      </c>
      <c r="AI423" s="65" t="s">
        <v>61</v>
      </c>
      <c r="AJ423" s="105" t="s">
        <v>61</v>
      </c>
      <c r="AK423" s="76"/>
    </row>
    <row r="424" ht="24.0" customHeight="1">
      <c r="A424" s="83"/>
      <c r="B424" s="36">
        <v>1.0</v>
      </c>
      <c r="C424" s="37" t="str">
        <f>IFERROR(__xludf.DUMMYFUNCTION("""COMPUTED_VALUE"""),"Jack Ryan (XX) - '26 RHP OH")</f>
        <v>Jack Ryan (XX) - '26 RHP OH</v>
      </c>
      <c r="D424" s="38" t="s">
        <v>2450</v>
      </c>
      <c r="E424" s="39" t="s">
        <v>63</v>
      </c>
      <c r="F424" s="112"/>
      <c r="G424" s="113" t="s">
        <v>1470</v>
      </c>
      <c r="H424" s="42" t="s">
        <v>424</v>
      </c>
      <c r="I424" s="43" t="s">
        <v>1206</v>
      </c>
      <c r="J424" s="43">
        <v>2026.0</v>
      </c>
      <c r="K424" s="43" t="s">
        <v>410</v>
      </c>
      <c r="L424" s="146" t="s">
        <v>2212</v>
      </c>
      <c r="M424" s="43" t="s">
        <v>63</v>
      </c>
      <c r="N424" s="80"/>
      <c r="O424" s="80"/>
      <c r="P424" s="80"/>
      <c r="Q424" s="43" t="s">
        <v>529</v>
      </c>
      <c r="R424" s="43" t="s">
        <v>2155</v>
      </c>
      <c r="S424" s="44" t="s">
        <v>1827</v>
      </c>
      <c r="T424" s="39">
        <v>3.8</v>
      </c>
      <c r="U424" s="81"/>
      <c r="V424" s="81"/>
      <c r="W424" s="81"/>
      <c r="X424" s="81"/>
      <c r="Y424" s="81"/>
      <c r="Z424" s="82"/>
      <c r="AA424" s="47" t="s">
        <v>2451</v>
      </c>
      <c r="AB424" s="48" t="s">
        <v>2452</v>
      </c>
      <c r="AC424" s="68" t="s">
        <v>2453</v>
      </c>
      <c r="AD424" s="69">
        <v>3.6</v>
      </c>
      <c r="AE424" s="69" t="s">
        <v>2454</v>
      </c>
      <c r="AF424" s="68" t="s">
        <v>2455</v>
      </c>
      <c r="AG424" s="68" t="s">
        <v>81</v>
      </c>
      <c r="AH424" s="68" t="s">
        <v>81</v>
      </c>
      <c r="AI424" s="70" t="s">
        <v>81</v>
      </c>
      <c r="AJ424" s="114" t="s">
        <v>61</v>
      </c>
      <c r="AK424" s="82"/>
    </row>
    <row r="425" ht="24.0" customHeight="1">
      <c r="A425" s="35"/>
      <c r="B425" s="36">
        <v>1.0</v>
      </c>
      <c r="C425" s="37" t="str">
        <f>IFERROR(__xludf.DUMMYFUNCTION("""COMPUTED_VALUE"""),"Jack Woda (XX) - '26  VA")</f>
        <v>Jack Woda (XX) - '26  VA</v>
      </c>
      <c r="D425" s="38" t="s">
        <v>2456</v>
      </c>
      <c r="E425" s="51" t="s">
        <v>61</v>
      </c>
      <c r="F425" s="115"/>
      <c r="G425" s="116"/>
      <c r="H425" s="54" t="s">
        <v>424</v>
      </c>
      <c r="I425" s="55" t="s">
        <v>2457</v>
      </c>
      <c r="J425" s="55">
        <v>2026.0</v>
      </c>
      <c r="K425" s="55" t="s">
        <v>410</v>
      </c>
      <c r="L425" s="145" t="s">
        <v>2458</v>
      </c>
      <c r="M425" s="55"/>
      <c r="N425" s="57"/>
      <c r="O425" s="57"/>
      <c r="P425" s="57"/>
      <c r="Q425" s="55" t="s">
        <v>125</v>
      </c>
      <c r="R425" s="55" t="s">
        <v>2459</v>
      </c>
      <c r="S425" s="58"/>
      <c r="T425" s="102">
        <v>3.8</v>
      </c>
      <c r="U425" s="100"/>
      <c r="V425" s="100"/>
      <c r="W425" s="74"/>
      <c r="X425" s="100"/>
      <c r="Y425" s="100"/>
      <c r="Z425" s="60" t="s">
        <v>2460</v>
      </c>
      <c r="AA425" s="73" t="s">
        <v>2461</v>
      </c>
      <c r="AB425" s="62" t="s">
        <v>61</v>
      </c>
      <c r="AC425" s="63" t="s">
        <v>61</v>
      </c>
      <c r="AD425" s="64" t="s">
        <v>61</v>
      </c>
      <c r="AE425" s="64" t="s">
        <v>61</v>
      </c>
      <c r="AF425" s="63" t="s">
        <v>61</v>
      </c>
      <c r="AG425" s="63" t="s">
        <v>61</v>
      </c>
      <c r="AH425" s="63" t="s">
        <v>61</v>
      </c>
      <c r="AI425" s="65" t="s">
        <v>61</v>
      </c>
      <c r="AJ425" s="105" t="s">
        <v>61</v>
      </c>
      <c r="AK425" s="76"/>
    </row>
    <row r="426" ht="24.0" customHeight="1">
      <c r="A426" s="129"/>
      <c r="B426" s="36">
        <v>1.0</v>
      </c>
      <c r="C426" s="37" t="str">
        <f>IFERROR(__xludf.DUMMYFUNCTION("""COMPUTED_VALUE"""),"Jackson Bringger (XX) - '26 MINF VA")</f>
        <v>Jackson Bringger (XX) - '26 MINF VA</v>
      </c>
      <c r="D426" s="38" t="s">
        <v>2462</v>
      </c>
      <c r="E426" s="39" t="s">
        <v>48</v>
      </c>
      <c r="F426" s="118">
        <v>45854.0</v>
      </c>
      <c r="G426" s="113" t="s">
        <v>1395</v>
      </c>
      <c r="H426" s="42" t="s">
        <v>432</v>
      </c>
      <c r="I426" s="43" t="s">
        <v>2463</v>
      </c>
      <c r="J426" s="43">
        <v>2026.0</v>
      </c>
      <c r="K426" s="43" t="s">
        <v>410</v>
      </c>
      <c r="L426" s="43"/>
      <c r="M426" s="43" t="s">
        <v>51</v>
      </c>
      <c r="N426" s="43"/>
      <c r="O426" s="43" t="s">
        <v>1989</v>
      </c>
      <c r="P426" s="43"/>
      <c r="Q426" s="43" t="s">
        <v>125</v>
      </c>
      <c r="R426" s="43"/>
      <c r="S426" s="44" t="s">
        <v>2464</v>
      </c>
      <c r="T426" s="39"/>
      <c r="U426" s="39"/>
      <c r="V426" s="39"/>
      <c r="W426" s="39"/>
      <c r="X426" s="39"/>
      <c r="Y426" s="39"/>
      <c r="Z426" s="46"/>
      <c r="AA426" s="47"/>
      <c r="AB426" s="48" t="s">
        <v>61</v>
      </c>
      <c r="AC426" s="68" t="s">
        <v>61</v>
      </c>
      <c r="AD426" s="69" t="s">
        <v>61</v>
      </c>
      <c r="AE426" s="69" t="s">
        <v>61</v>
      </c>
      <c r="AF426" s="68" t="s">
        <v>61</v>
      </c>
      <c r="AG426" s="68" t="s">
        <v>61</v>
      </c>
      <c r="AH426" s="68" t="s">
        <v>61</v>
      </c>
      <c r="AI426" s="70" t="s">
        <v>61</v>
      </c>
      <c r="AJ426" s="114" t="s">
        <v>61</v>
      </c>
      <c r="AK426" s="82"/>
    </row>
    <row r="427" ht="24.0" customHeight="1">
      <c r="A427" s="35"/>
      <c r="B427" s="36">
        <v>1.0</v>
      </c>
      <c r="C427" s="37" t="str">
        <f>IFERROR(__xludf.DUMMYFUNCTION("""COMPUTED_VALUE"""),"Jackson Marshall (XX) - '26 COF TX")</f>
        <v>Jackson Marshall (XX) - '26 COF TX</v>
      </c>
      <c r="D427" s="38" t="s">
        <v>2465</v>
      </c>
      <c r="E427" s="51" t="s">
        <v>103</v>
      </c>
      <c r="F427" s="115"/>
      <c r="G427" s="116"/>
      <c r="H427" s="54" t="s">
        <v>432</v>
      </c>
      <c r="I427" s="55" t="s">
        <v>742</v>
      </c>
      <c r="J427" s="55">
        <v>2026.0</v>
      </c>
      <c r="K427" s="55" t="s">
        <v>410</v>
      </c>
      <c r="L427" s="145" t="s">
        <v>2466</v>
      </c>
      <c r="M427" s="55" t="s">
        <v>42</v>
      </c>
      <c r="N427" s="57"/>
      <c r="O427" s="57"/>
      <c r="P427" s="57"/>
      <c r="Q427" s="55" t="s">
        <v>180</v>
      </c>
      <c r="R427" s="55" t="s">
        <v>2467</v>
      </c>
      <c r="S427" s="58"/>
      <c r="T427" s="51">
        <v>4.02</v>
      </c>
      <c r="U427" s="74"/>
      <c r="V427" s="74"/>
      <c r="W427" s="74"/>
      <c r="X427" s="51" t="s">
        <v>2468</v>
      </c>
      <c r="Y427" s="74"/>
      <c r="Z427" s="76"/>
      <c r="AA427" s="73" t="s">
        <v>2469</v>
      </c>
      <c r="AB427" s="62" t="s">
        <v>61</v>
      </c>
      <c r="AC427" s="63" t="s">
        <v>61</v>
      </c>
      <c r="AD427" s="64" t="s">
        <v>61</v>
      </c>
      <c r="AE427" s="64" t="s">
        <v>61</v>
      </c>
      <c r="AF427" s="63" t="s">
        <v>61</v>
      </c>
      <c r="AG427" s="63" t="s">
        <v>61</v>
      </c>
      <c r="AH427" s="63" t="s">
        <v>61</v>
      </c>
      <c r="AI427" s="65" t="s">
        <v>61</v>
      </c>
      <c r="AJ427" s="105" t="s">
        <v>61</v>
      </c>
      <c r="AK427" s="76"/>
    </row>
    <row r="428" ht="24.0" customHeight="1">
      <c r="A428" s="129"/>
      <c r="B428" s="36">
        <v>1.0</v>
      </c>
      <c r="C428" s="37" t="str">
        <f>IFERROR(__xludf.DUMMYFUNCTION("""COMPUTED_VALUE"""),"Jackson Zylick (XX) - '26 OF CT")</f>
        <v>Jackson Zylick (XX) - '26 OF CT</v>
      </c>
      <c r="D428" s="38" t="s">
        <v>2470</v>
      </c>
      <c r="E428" s="39" t="s">
        <v>103</v>
      </c>
      <c r="F428" s="112"/>
      <c r="G428" s="113" t="s">
        <v>1430</v>
      </c>
      <c r="H428" s="42" t="s">
        <v>432</v>
      </c>
      <c r="I428" s="43" t="s">
        <v>2471</v>
      </c>
      <c r="J428" s="43">
        <v>2026.0</v>
      </c>
      <c r="K428" s="43" t="s">
        <v>410</v>
      </c>
      <c r="L428" s="146" t="s">
        <v>2189</v>
      </c>
      <c r="M428" s="43" t="s">
        <v>103</v>
      </c>
      <c r="N428" s="80"/>
      <c r="O428" s="80"/>
      <c r="P428" s="80"/>
      <c r="Q428" s="43" t="s">
        <v>160</v>
      </c>
      <c r="R428" s="43" t="s">
        <v>2472</v>
      </c>
      <c r="S428" s="44" t="s">
        <v>2341</v>
      </c>
      <c r="T428" s="39" t="s">
        <v>2473</v>
      </c>
      <c r="U428" s="81"/>
      <c r="V428" s="81"/>
      <c r="W428" s="81"/>
      <c r="X428" s="81"/>
      <c r="Y428" s="81"/>
      <c r="Z428" s="82"/>
      <c r="AA428" s="47" t="s">
        <v>2474</v>
      </c>
      <c r="AB428" s="48" t="s">
        <v>2475</v>
      </c>
      <c r="AC428" s="68" t="s">
        <v>2476</v>
      </c>
      <c r="AD428" s="69" t="s">
        <v>2477</v>
      </c>
      <c r="AE428" s="69" t="s">
        <v>2478</v>
      </c>
      <c r="AF428" s="68"/>
      <c r="AG428" s="68"/>
      <c r="AH428" s="68"/>
      <c r="AI428" s="70"/>
      <c r="AJ428" s="114" t="s">
        <v>61</v>
      </c>
      <c r="AK428" s="82"/>
    </row>
    <row r="429" ht="24.0" customHeight="1">
      <c r="A429" s="35"/>
      <c r="B429" s="36">
        <v>1.0</v>
      </c>
      <c r="C429" s="37" t="str">
        <f>IFERROR(__xludf.DUMMYFUNCTION("""COMPUTED_VALUE"""),"Jacob Jelinek (XX) - '26 SS ")</f>
        <v>Jacob Jelinek (XX) - '26 SS </v>
      </c>
      <c r="D429" s="38" t="s">
        <v>2479</v>
      </c>
      <c r="E429" s="51" t="s">
        <v>48</v>
      </c>
      <c r="F429" s="119">
        <v>45855.0</v>
      </c>
      <c r="G429" s="116" t="s">
        <v>1395</v>
      </c>
      <c r="H429" s="54" t="s">
        <v>284</v>
      </c>
      <c r="I429" s="55" t="s">
        <v>2480</v>
      </c>
      <c r="J429" s="55">
        <v>2026.0</v>
      </c>
      <c r="K429" s="55" t="s">
        <v>410</v>
      </c>
      <c r="L429" s="145" t="s">
        <v>2189</v>
      </c>
      <c r="M429" s="55" t="s">
        <v>1398</v>
      </c>
      <c r="N429" s="55"/>
      <c r="O429" s="55"/>
      <c r="P429" s="55"/>
      <c r="Q429" s="55"/>
      <c r="R429" s="55"/>
      <c r="S429" s="58"/>
      <c r="T429" s="51"/>
      <c r="U429" s="51"/>
      <c r="V429" s="51"/>
      <c r="W429" s="51"/>
      <c r="X429" s="51"/>
      <c r="Y429" s="51"/>
      <c r="Z429" s="60"/>
      <c r="AA429" s="73" t="s">
        <v>2481</v>
      </c>
      <c r="AB429" s="62" t="s">
        <v>61</v>
      </c>
      <c r="AC429" s="63" t="s">
        <v>61</v>
      </c>
      <c r="AD429" s="64" t="s">
        <v>61</v>
      </c>
      <c r="AE429" s="64" t="s">
        <v>61</v>
      </c>
      <c r="AF429" s="63" t="s">
        <v>61</v>
      </c>
      <c r="AG429" s="63" t="s">
        <v>61</v>
      </c>
      <c r="AH429" s="63" t="s">
        <v>61</v>
      </c>
      <c r="AI429" s="65" t="s">
        <v>61</v>
      </c>
      <c r="AJ429" s="105" t="s">
        <v>61</v>
      </c>
      <c r="AK429" s="76"/>
    </row>
    <row r="430" ht="24.0" customHeight="1">
      <c r="A430" s="35"/>
      <c r="B430" s="36">
        <v>1.0</v>
      </c>
      <c r="C430" s="37" t="str">
        <f>IFERROR(__xludf.DUMMYFUNCTION("""COMPUTED_VALUE"""),"James Gibbons (XX) - '26 RHP MA")</f>
        <v>James Gibbons (XX) - '26 RHP MA</v>
      </c>
      <c r="D430" s="38" t="s">
        <v>2482</v>
      </c>
      <c r="E430" s="39" t="s">
        <v>63</v>
      </c>
      <c r="F430" s="135"/>
      <c r="G430" s="113" t="s">
        <v>1430</v>
      </c>
      <c r="H430" s="42" t="s">
        <v>916</v>
      </c>
      <c r="I430" s="43" t="s">
        <v>2483</v>
      </c>
      <c r="J430" s="43">
        <v>2026.0</v>
      </c>
      <c r="K430" s="43" t="s">
        <v>410</v>
      </c>
      <c r="L430" s="43" t="s">
        <v>2484</v>
      </c>
      <c r="M430" s="43" t="s">
        <v>63</v>
      </c>
      <c r="N430" s="80"/>
      <c r="O430" s="80"/>
      <c r="P430" s="80"/>
      <c r="Q430" s="43" t="s">
        <v>85</v>
      </c>
      <c r="R430" s="43" t="s">
        <v>2485</v>
      </c>
      <c r="S430" s="44" t="s">
        <v>2486</v>
      </c>
      <c r="T430" s="39" t="s">
        <v>1836</v>
      </c>
      <c r="U430" s="81"/>
      <c r="V430" s="81"/>
      <c r="W430" s="81"/>
      <c r="X430" s="81"/>
      <c r="Y430" s="81"/>
      <c r="Z430" s="82"/>
      <c r="AA430" s="47" t="s">
        <v>2487</v>
      </c>
      <c r="AB430" s="48" t="s">
        <v>61</v>
      </c>
      <c r="AC430" s="68" t="s">
        <v>61</v>
      </c>
      <c r="AD430" s="69" t="s">
        <v>61</v>
      </c>
      <c r="AE430" s="69" t="s">
        <v>61</v>
      </c>
      <c r="AF430" s="68" t="s">
        <v>61</v>
      </c>
      <c r="AG430" s="68" t="s">
        <v>61</v>
      </c>
      <c r="AH430" s="68" t="s">
        <v>61</v>
      </c>
      <c r="AI430" s="70" t="s">
        <v>61</v>
      </c>
      <c r="AJ430" s="114" t="s">
        <v>61</v>
      </c>
      <c r="AK430" s="82"/>
    </row>
    <row r="431" ht="24.0" customHeight="1">
      <c r="A431" s="35"/>
      <c r="B431" s="36">
        <v>1.0</v>
      </c>
      <c r="C431" s="37" t="str">
        <f>IFERROR(__xludf.DUMMYFUNCTION("""COMPUTED_VALUE"""),"Jameson Berigan (XX) - '26 RHP CA")</f>
        <v>Jameson Berigan (XX) - '26 RHP CA</v>
      </c>
      <c r="D431" s="38" t="s">
        <v>2488</v>
      </c>
      <c r="E431" s="51" t="s">
        <v>63</v>
      </c>
      <c r="F431" s="119">
        <v>45869.0</v>
      </c>
      <c r="G431" s="116" t="s">
        <v>1395</v>
      </c>
      <c r="H431" s="54" t="s">
        <v>921</v>
      </c>
      <c r="I431" s="55" t="s">
        <v>2489</v>
      </c>
      <c r="J431" s="55">
        <v>2026.0</v>
      </c>
      <c r="K431" s="55" t="s">
        <v>410</v>
      </c>
      <c r="L431" s="145" t="s">
        <v>2490</v>
      </c>
      <c r="M431" s="55" t="s">
        <v>63</v>
      </c>
      <c r="N431" s="57"/>
      <c r="O431" s="55" t="s">
        <v>1550</v>
      </c>
      <c r="P431" s="55" t="s">
        <v>2491</v>
      </c>
      <c r="Q431" s="55" t="s">
        <v>52</v>
      </c>
      <c r="R431" s="55" t="s">
        <v>2491</v>
      </c>
      <c r="S431" s="132"/>
      <c r="T431" s="51" t="s">
        <v>2492</v>
      </c>
      <c r="U431" s="74"/>
      <c r="V431" s="51" t="s">
        <v>2493</v>
      </c>
      <c r="W431" s="74"/>
      <c r="X431" s="74"/>
      <c r="Y431" s="74"/>
      <c r="Z431" s="76"/>
      <c r="AA431" s="73" t="s">
        <v>2494</v>
      </c>
      <c r="AB431" s="62" t="s">
        <v>61</v>
      </c>
      <c r="AC431" s="63" t="s">
        <v>61</v>
      </c>
      <c r="AD431" s="64" t="s">
        <v>61</v>
      </c>
      <c r="AE431" s="64" t="s">
        <v>61</v>
      </c>
      <c r="AF431" s="63" t="s">
        <v>61</v>
      </c>
      <c r="AG431" s="63" t="s">
        <v>61</v>
      </c>
      <c r="AH431" s="63" t="s">
        <v>61</v>
      </c>
      <c r="AI431" s="65" t="s">
        <v>61</v>
      </c>
      <c r="AJ431" s="105" t="s">
        <v>61</v>
      </c>
      <c r="AK431" s="76"/>
    </row>
    <row r="432" ht="24.0" customHeight="1">
      <c r="A432" s="35"/>
      <c r="B432" s="36">
        <v>1.0</v>
      </c>
      <c r="C432" s="37" t="str">
        <f>IFERROR(__xludf.DUMMYFUNCTION("""COMPUTED_VALUE"""),"Jason Canady (XX) - '26 RHP VA")</f>
        <v>Jason Canady (XX) - '26 RHP VA</v>
      </c>
      <c r="D432" s="38" t="s">
        <v>2495</v>
      </c>
      <c r="E432" s="39" t="s">
        <v>63</v>
      </c>
      <c r="F432" s="124">
        <v>45856.0</v>
      </c>
      <c r="G432" s="113" t="s">
        <v>1430</v>
      </c>
      <c r="H432" s="42" t="s">
        <v>926</v>
      </c>
      <c r="I432" s="43" t="s">
        <v>2496</v>
      </c>
      <c r="J432" s="43">
        <v>2026.0</v>
      </c>
      <c r="K432" s="43" t="s">
        <v>410</v>
      </c>
      <c r="L432" s="43" t="s">
        <v>2497</v>
      </c>
      <c r="M432" s="43" t="s">
        <v>63</v>
      </c>
      <c r="N432" s="43"/>
      <c r="O432" s="80"/>
      <c r="P432" s="80"/>
      <c r="Q432" s="43" t="s">
        <v>125</v>
      </c>
      <c r="R432" s="43" t="s">
        <v>2498</v>
      </c>
      <c r="S432" s="44" t="s">
        <v>489</v>
      </c>
      <c r="T432" s="39" t="s">
        <v>2499</v>
      </c>
      <c r="U432" s="81"/>
      <c r="V432" s="81"/>
      <c r="W432" s="81"/>
      <c r="X432" s="81"/>
      <c r="Y432" s="81"/>
      <c r="Z432" s="82"/>
      <c r="AA432" s="47" t="s">
        <v>2500</v>
      </c>
      <c r="AB432" s="48" t="s">
        <v>2501</v>
      </c>
      <c r="AC432" s="68" t="s">
        <v>2502</v>
      </c>
      <c r="AD432" s="69" t="s">
        <v>2503</v>
      </c>
      <c r="AE432" s="69" t="s">
        <v>2504</v>
      </c>
      <c r="AF432" s="68" t="s">
        <v>2505</v>
      </c>
      <c r="AG432" s="68" t="s">
        <v>81</v>
      </c>
      <c r="AH432" s="68" t="s">
        <v>81</v>
      </c>
      <c r="AI432" s="70" t="s">
        <v>81</v>
      </c>
      <c r="AJ432" s="114" t="s">
        <v>61</v>
      </c>
      <c r="AK432" s="82"/>
    </row>
    <row r="433" ht="24.0" customHeight="1">
      <c r="A433" s="150"/>
      <c r="B433" s="36">
        <v>1.0</v>
      </c>
      <c r="C433" s="37" t="str">
        <f>IFERROR(__xludf.DUMMYFUNCTION("""COMPUTED_VALUE"""),"Jax Racht (XX) - '26 RHP MI")</f>
        <v>Jax Racht (XX) - '26 RHP MI</v>
      </c>
      <c r="D433" s="38" t="s">
        <v>2506</v>
      </c>
      <c r="E433" s="51" t="s">
        <v>63</v>
      </c>
      <c r="F433" s="119">
        <v>45856.0</v>
      </c>
      <c r="G433" s="116" t="s">
        <v>1470</v>
      </c>
      <c r="H433" s="54" t="s">
        <v>930</v>
      </c>
      <c r="I433" s="55" t="s">
        <v>2507</v>
      </c>
      <c r="J433" s="55">
        <v>2026.0</v>
      </c>
      <c r="K433" s="55" t="s">
        <v>410</v>
      </c>
      <c r="L433" s="55" t="s">
        <v>2508</v>
      </c>
      <c r="M433" s="55" t="s">
        <v>63</v>
      </c>
      <c r="N433" s="55"/>
      <c r="O433" s="57"/>
      <c r="P433" s="57"/>
      <c r="Q433" s="55" t="s">
        <v>614</v>
      </c>
      <c r="R433" s="55" t="s">
        <v>2509</v>
      </c>
      <c r="S433" s="58" t="s">
        <v>263</v>
      </c>
      <c r="T433" s="51" t="s">
        <v>2510</v>
      </c>
      <c r="U433" s="74"/>
      <c r="V433" s="74"/>
      <c r="W433" s="74"/>
      <c r="X433" s="74"/>
      <c r="Y433" s="74"/>
      <c r="Z433" s="76"/>
      <c r="AA433" s="73" t="s">
        <v>2511</v>
      </c>
      <c r="AB433" s="62" t="s">
        <v>61</v>
      </c>
      <c r="AC433" s="63" t="s">
        <v>61</v>
      </c>
      <c r="AD433" s="64" t="s">
        <v>61</v>
      </c>
      <c r="AE433" s="64" t="s">
        <v>61</v>
      </c>
      <c r="AF433" s="63" t="s">
        <v>61</v>
      </c>
      <c r="AG433" s="63" t="s">
        <v>61</v>
      </c>
      <c r="AH433" s="63" t="s">
        <v>61</v>
      </c>
      <c r="AI433" s="65" t="s">
        <v>61</v>
      </c>
      <c r="AJ433" s="105" t="s">
        <v>61</v>
      </c>
      <c r="AK433" s="76"/>
    </row>
    <row r="434" ht="24.0" customHeight="1">
      <c r="A434" s="129"/>
      <c r="B434" s="36">
        <v>1.0</v>
      </c>
      <c r="C434" s="37" t="str">
        <f>IFERROR(__xludf.DUMMYFUNCTION("""COMPUTED_VALUE"""),"Jude Matthews (XX) - '26  GA")</f>
        <v>Jude Matthews (XX) - '26  GA</v>
      </c>
      <c r="D434" s="38" t="s">
        <v>2512</v>
      </c>
      <c r="E434" s="39" t="s">
        <v>61</v>
      </c>
      <c r="F434" s="112"/>
      <c r="G434" s="113"/>
      <c r="H434" s="42" t="s">
        <v>2513</v>
      </c>
      <c r="I434" s="43" t="s">
        <v>2514</v>
      </c>
      <c r="J434" s="43">
        <v>2026.0</v>
      </c>
      <c r="K434" s="43" t="s">
        <v>410</v>
      </c>
      <c r="L434" s="43" t="s">
        <v>2515</v>
      </c>
      <c r="M434" s="43"/>
      <c r="N434" s="80"/>
      <c r="O434" s="80"/>
      <c r="P434" s="80"/>
      <c r="Q434" s="43" t="s">
        <v>43</v>
      </c>
      <c r="R434" s="43" t="s">
        <v>2516</v>
      </c>
      <c r="S434" s="44"/>
      <c r="T434" s="94">
        <v>4.2</v>
      </c>
      <c r="U434" s="109"/>
      <c r="V434" s="109"/>
      <c r="W434" s="81"/>
      <c r="X434" s="109"/>
      <c r="Y434" s="109"/>
      <c r="Z434" s="82"/>
      <c r="AA434" s="47" t="s">
        <v>2517</v>
      </c>
      <c r="AB434" s="48" t="s">
        <v>61</v>
      </c>
      <c r="AC434" s="68" t="s">
        <v>61</v>
      </c>
      <c r="AD434" s="69" t="s">
        <v>61</v>
      </c>
      <c r="AE434" s="69" t="s">
        <v>61</v>
      </c>
      <c r="AF434" s="68" t="s">
        <v>61</v>
      </c>
      <c r="AG434" s="68" t="s">
        <v>61</v>
      </c>
      <c r="AH434" s="68" t="s">
        <v>61</v>
      </c>
      <c r="AI434" s="70" t="s">
        <v>61</v>
      </c>
      <c r="AJ434" s="114" t="s">
        <v>61</v>
      </c>
      <c r="AK434" s="82"/>
    </row>
    <row r="435" ht="24.0" customHeight="1">
      <c r="A435" s="88"/>
      <c r="B435" s="36">
        <v>1.0</v>
      </c>
      <c r="C435" s="37" t="str">
        <f>IFERROR(__xludf.DUMMYFUNCTION("""COMPUTED_VALUE"""),"Jude McDonald (XX) - '26 RHP FL")</f>
        <v>Jude McDonald (XX) - '26 RHP FL</v>
      </c>
      <c r="D435" s="38" t="s">
        <v>2518</v>
      </c>
      <c r="E435" s="51" t="s">
        <v>63</v>
      </c>
      <c r="F435" s="115"/>
      <c r="G435" s="116"/>
      <c r="H435" s="54" t="s">
        <v>2513</v>
      </c>
      <c r="I435" s="55" t="s">
        <v>2519</v>
      </c>
      <c r="J435" s="55">
        <v>2026.0</v>
      </c>
      <c r="K435" s="55" t="s">
        <v>410</v>
      </c>
      <c r="L435" s="145" t="s">
        <v>2520</v>
      </c>
      <c r="M435" s="55" t="s">
        <v>63</v>
      </c>
      <c r="N435" s="57"/>
      <c r="O435" s="57"/>
      <c r="P435" s="57"/>
      <c r="Q435" s="55" t="s">
        <v>66</v>
      </c>
      <c r="R435" s="57"/>
      <c r="S435" s="132"/>
      <c r="T435" s="51" t="s">
        <v>2521</v>
      </c>
      <c r="U435" s="74"/>
      <c r="V435" s="74"/>
      <c r="W435" s="74"/>
      <c r="X435" s="74"/>
      <c r="Y435" s="74"/>
      <c r="Z435" s="76"/>
      <c r="AA435" s="73" t="s">
        <v>2522</v>
      </c>
      <c r="AB435" s="62" t="s">
        <v>61</v>
      </c>
      <c r="AC435" s="63" t="s">
        <v>61</v>
      </c>
      <c r="AD435" s="64" t="s">
        <v>61</v>
      </c>
      <c r="AE435" s="64" t="s">
        <v>61</v>
      </c>
      <c r="AF435" s="63" t="s">
        <v>61</v>
      </c>
      <c r="AG435" s="63" t="s">
        <v>61</v>
      </c>
      <c r="AH435" s="63" t="s">
        <v>61</v>
      </c>
      <c r="AI435" s="65" t="s">
        <v>61</v>
      </c>
      <c r="AJ435" s="105" t="s">
        <v>61</v>
      </c>
      <c r="AK435" s="76"/>
    </row>
    <row r="436" ht="24.0" customHeight="1">
      <c r="A436" s="35"/>
      <c r="B436" s="36">
        <v>1.0</v>
      </c>
      <c r="C436" s="37" t="str">
        <f>IFERROR(__xludf.DUMMYFUNCTION("""COMPUTED_VALUE"""),"Kai'nalu Van Scoyoc (XX) - '26 MINF CA")</f>
        <v>Kai'nalu Van Scoyoc (XX) - '26 MINF CA</v>
      </c>
      <c r="D436" s="38" t="s">
        <v>2523</v>
      </c>
      <c r="E436" s="39" t="s">
        <v>48</v>
      </c>
      <c r="F436" s="112"/>
      <c r="G436" s="113"/>
      <c r="H436" s="42" t="s">
        <v>2524</v>
      </c>
      <c r="I436" s="43" t="s">
        <v>2525</v>
      </c>
      <c r="J436" s="43">
        <v>2026.0</v>
      </c>
      <c r="K436" s="43" t="s">
        <v>410</v>
      </c>
      <c r="L436" s="146" t="s">
        <v>2526</v>
      </c>
      <c r="M436" s="43" t="s">
        <v>51</v>
      </c>
      <c r="N436" s="80"/>
      <c r="O436" s="80"/>
      <c r="P436" s="80"/>
      <c r="Q436" s="43" t="s">
        <v>52</v>
      </c>
      <c r="R436" s="43" t="s">
        <v>2527</v>
      </c>
      <c r="S436" s="44"/>
      <c r="T436" s="94">
        <v>3.6</v>
      </c>
      <c r="U436" s="109"/>
      <c r="V436" s="109"/>
      <c r="W436" s="81"/>
      <c r="X436" s="109"/>
      <c r="Y436" s="109"/>
      <c r="Z436" s="46" t="s">
        <v>1541</v>
      </c>
      <c r="AA436" s="47" t="s">
        <v>2528</v>
      </c>
      <c r="AB436" s="48" t="s">
        <v>61</v>
      </c>
      <c r="AC436" s="68" t="s">
        <v>61</v>
      </c>
      <c r="AD436" s="69" t="s">
        <v>61</v>
      </c>
      <c r="AE436" s="69" t="s">
        <v>61</v>
      </c>
      <c r="AF436" s="68" t="s">
        <v>61</v>
      </c>
      <c r="AG436" s="68" t="s">
        <v>61</v>
      </c>
      <c r="AH436" s="68" t="s">
        <v>61</v>
      </c>
      <c r="AI436" s="70" t="s">
        <v>61</v>
      </c>
      <c r="AJ436" s="114" t="s">
        <v>61</v>
      </c>
      <c r="AK436" s="82"/>
    </row>
    <row r="437" ht="24.0" customHeight="1">
      <c r="A437" s="35"/>
      <c r="B437" s="36">
        <v>1.0</v>
      </c>
      <c r="C437" s="37" t="str">
        <f>IFERROR(__xludf.DUMMYFUNCTION("""COMPUTED_VALUE"""),"Lannon Nicolle (XX) - '26  IN")</f>
        <v>Lannon Nicolle (XX) - '26  IN</v>
      </c>
      <c r="D437" s="38" t="s">
        <v>2529</v>
      </c>
      <c r="E437" s="51" t="s">
        <v>61</v>
      </c>
      <c r="F437" s="115"/>
      <c r="G437" s="116"/>
      <c r="H437" s="54" t="s">
        <v>2530</v>
      </c>
      <c r="I437" s="55" t="s">
        <v>2531</v>
      </c>
      <c r="J437" s="55">
        <v>2026.0</v>
      </c>
      <c r="K437" s="55" t="s">
        <v>410</v>
      </c>
      <c r="L437" s="55" t="s">
        <v>2532</v>
      </c>
      <c r="M437" s="55"/>
      <c r="N437" s="57"/>
      <c r="O437" s="57"/>
      <c r="P437" s="57"/>
      <c r="Q437" s="55" t="s">
        <v>153</v>
      </c>
      <c r="R437" s="55" t="s">
        <v>131</v>
      </c>
      <c r="S437" s="58" t="s">
        <v>2533</v>
      </c>
      <c r="T437" s="102">
        <v>3.7</v>
      </c>
      <c r="U437" s="100"/>
      <c r="V437" s="100"/>
      <c r="W437" s="74"/>
      <c r="X437" s="100"/>
      <c r="Y437" s="100"/>
      <c r="Z437" s="76"/>
      <c r="AA437" s="73" t="s">
        <v>2534</v>
      </c>
      <c r="AB437" s="62" t="s">
        <v>61</v>
      </c>
      <c r="AC437" s="63" t="s">
        <v>61</v>
      </c>
      <c r="AD437" s="64" t="s">
        <v>61</v>
      </c>
      <c r="AE437" s="64" t="s">
        <v>61</v>
      </c>
      <c r="AF437" s="63" t="s">
        <v>61</v>
      </c>
      <c r="AG437" s="63" t="s">
        <v>61</v>
      </c>
      <c r="AH437" s="63" t="s">
        <v>61</v>
      </c>
      <c r="AI437" s="65" t="s">
        <v>61</v>
      </c>
      <c r="AJ437" s="105" t="s">
        <v>61</v>
      </c>
      <c r="AK437" s="76"/>
    </row>
    <row r="438" ht="24.0" customHeight="1">
      <c r="A438" s="93"/>
      <c r="B438" s="36">
        <v>1.0</v>
      </c>
      <c r="C438" s="37" t="str">
        <f>IFERROR(__xludf.DUMMYFUNCTION("""COMPUTED_VALUE"""),"Luc Gaca Thiele (XX) - '26 CINF CO")</f>
        <v>Luc Gaca Thiele (XX) - '26 CINF CO</v>
      </c>
      <c r="D438" s="38" t="s">
        <v>2535</v>
      </c>
      <c r="E438" s="39" t="s">
        <v>48</v>
      </c>
      <c r="F438" s="112"/>
      <c r="G438" s="113"/>
      <c r="H438" s="42" t="s">
        <v>2536</v>
      </c>
      <c r="I438" s="43" t="s">
        <v>2537</v>
      </c>
      <c r="J438" s="43">
        <v>2026.0</v>
      </c>
      <c r="K438" s="43" t="s">
        <v>410</v>
      </c>
      <c r="L438" s="146" t="s">
        <v>2538</v>
      </c>
      <c r="M438" s="43" t="s">
        <v>72</v>
      </c>
      <c r="N438" s="80"/>
      <c r="O438" s="80"/>
      <c r="P438" s="80"/>
      <c r="Q438" s="43" t="s">
        <v>174</v>
      </c>
      <c r="R438" s="43" t="s">
        <v>2539</v>
      </c>
      <c r="S438" s="44" t="s">
        <v>2540</v>
      </c>
      <c r="T438" s="39">
        <v>4.0</v>
      </c>
      <c r="U438" s="81"/>
      <c r="V438" s="81"/>
      <c r="W438" s="81"/>
      <c r="X438" s="81"/>
      <c r="Y438" s="81"/>
      <c r="Z438" s="46" t="s">
        <v>2541</v>
      </c>
      <c r="AA438" s="47" t="s">
        <v>2542</v>
      </c>
      <c r="AB438" s="48" t="s">
        <v>61</v>
      </c>
      <c r="AC438" s="68" t="s">
        <v>61</v>
      </c>
      <c r="AD438" s="69" t="s">
        <v>61</v>
      </c>
      <c r="AE438" s="69" t="s">
        <v>61</v>
      </c>
      <c r="AF438" s="68" t="s">
        <v>61</v>
      </c>
      <c r="AG438" s="68" t="s">
        <v>61</v>
      </c>
      <c r="AH438" s="68" t="s">
        <v>61</v>
      </c>
      <c r="AI438" s="70" t="s">
        <v>61</v>
      </c>
      <c r="AJ438" s="114" t="s">
        <v>61</v>
      </c>
      <c r="AK438" s="82"/>
    </row>
    <row r="439" ht="24.0" customHeight="1">
      <c r="A439" s="35"/>
      <c r="B439" s="36">
        <v>1.0</v>
      </c>
      <c r="C439" s="37" t="str">
        <f>IFERROR(__xludf.DUMMYFUNCTION("""COMPUTED_VALUE"""),"Mark Metcalf (XX) - '26 MINF FL")</f>
        <v>Mark Metcalf (XX) - '26 MINF FL</v>
      </c>
      <c r="D439" s="38" t="s">
        <v>2543</v>
      </c>
      <c r="E439" s="51" t="s">
        <v>48</v>
      </c>
      <c r="F439" s="115"/>
      <c r="G439" s="116"/>
      <c r="H439" s="54" t="s">
        <v>2544</v>
      </c>
      <c r="I439" s="55" t="s">
        <v>2545</v>
      </c>
      <c r="J439" s="55">
        <v>2026.0</v>
      </c>
      <c r="K439" s="55" t="s">
        <v>410</v>
      </c>
      <c r="L439" s="145" t="s">
        <v>2546</v>
      </c>
      <c r="M439" s="55" t="s">
        <v>51</v>
      </c>
      <c r="N439" s="57"/>
      <c r="O439" s="57"/>
      <c r="P439" s="57"/>
      <c r="Q439" s="55" t="s">
        <v>66</v>
      </c>
      <c r="R439" s="55" t="s">
        <v>2547</v>
      </c>
      <c r="S439" s="58" t="s">
        <v>2548</v>
      </c>
      <c r="T439" s="102" t="s">
        <v>2549</v>
      </c>
      <c r="U439" s="100"/>
      <c r="V439" s="100"/>
      <c r="W439" s="74"/>
      <c r="X439" s="100"/>
      <c r="Y439" s="100"/>
      <c r="Z439" s="60" t="s">
        <v>1414</v>
      </c>
      <c r="AA439" s="73" t="s">
        <v>2550</v>
      </c>
      <c r="AB439" s="62" t="s">
        <v>2551</v>
      </c>
      <c r="AC439" s="63" t="s">
        <v>2552</v>
      </c>
      <c r="AD439" s="64">
        <v>3.0</v>
      </c>
      <c r="AE439" s="64" t="s">
        <v>2553</v>
      </c>
      <c r="AF439" s="63" t="s">
        <v>2554</v>
      </c>
      <c r="AG439" s="63" t="s">
        <v>81</v>
      </c>
      <c r="AH439" s="63" t="s">
        <v>81</v>
      </c>
      <c r="AI439" s="65" t="s">
        <v>81</v>
      </c>
      <c r="AJ439" s="105" t="s">
        <v>61</v>
      </c>
      <c r="AK439" s="76"/>
    </row>
    <row r="440" ht="24.0" customHeight="1">
      <c r="A440" s="35"/>
      <c r="B440" s="36">
        <v>1.0</v>
      </c>
      <c r="C440" s="37" t="str">
        <f>IFERROR(__xludf.DUMMYFUNCTION("""COMPUTED_VALUE"""),"Matthew Mansbery (XX) - '26 MINF OH")</f>
        <v>Matthew Mansbery (XX) - '26 MINF OH</v>
      </c>
      <c r="D440" s="38" t="s">
        <v>2555</v>
      </c>
      <c r="E440" s="39" t="s">
        <v>48</v>
      </c>
      <c r="F440" s="112"/>
      <c r="G440" s="113"/>
      <c r="H440" s="42" t="s">
        <v>312</v>
      </c>
      <c r="I440" s="43" t="s">
        <v>2556</v>
      </c>
      <c r="J440" s="43">
        <v>2026.0</v>
      </c>
      <c r="K440" s="43" t="s">
        <v>410</v>
      </c>
      <c r="L440" s="146" t="s">
        <v>2557</v>
      </c>
      <c r="M440" s="43" t="s">
        <v>51</v>
      </c>
      <c r="N440" s="80"/>
      <c r="O440" s="80"/>
      <c r="P440" s="80"/>
      <c r="Q440" s="43" t="s">
        <v>529</v>
      </c>
      <c r="R440" s="43" t="s">
        <v>2558</v>
      </c>
      <c r="S440" s="44" t="s">
        <v>2559</v>
      </c>
      <c r="T440" s="94">
        <v>4.0</v>
      </c>
      <c r="U440" s="109"/>
      <c r="V440" s="109"/>
      <c r="W440" s="81"/>
      <c r="X440" s="109"/>
      <c r="Y440" s="109"/>
      <c r="Z440" s="46" t="s">
        <v>1541</v>
      </c>
      <c r="AA440" s="47" t="s">
        <v>2560</v>
      </c>
      <c r="AB440" s="48" t="s">
        <v>61</v>
      </c>
      <c r="AC440" s="68" t="s">
        <v>61</v>
      </c>
      <c r="AD440" s="69" t="s">
        <v>61</v>
      </c>
      <c r="AE440" s="69" t="s">
        <v>61</v>
      </c>
      <c r="AF440" s="68" t="s">
        <v>61</v>
      </c>
      <c r="AG440" s="68" t="s">
        <v>61</v>
      </c>
      <c r="AH440" s="68" t="s">
        <v>61</v>
      </c>
      <c r="AI440" s="70" t="s">
        <v>61</v>
      </c>
      <c r="AJ440" s="114" t="s">
        <v>61</v>
      </c>
      <c r="AK440" s="82"/>
    </row>
    <row r="441" ht="24.0" customHeight="1">
      <c r="A441" s="35"/>
      <c r="B441" s="36">
        <v>1.0</v>
      </c>
      <c r="C441" s="37" t="str">
        <f>IFERROR(__xludf.DUMMYFUNCTION("""COMPUTED_VALUE"""),"Max McKenna (XX) - '26 RHP KS")</f>
        <v>Max McKenna (XX) - '26 RHP KS</v>
      </c>
      <c r="D441" s="38" t="s">
        <v>2561</v>
      </c>
      <c r="E441" s="51" t="s">
        <v>63</v>
      </c>
      <c r="F441" s="140">
        <v>45851.0</v>
      </c>
      <c r="G441" s="116" t="s">
        <v>1430</v>
      </c>
      <c r="H441" s="54" t="s">
        <v>1997</v>
      </c>
      <c r="I441" s="55" t="s">
        <v>2562</v>
      </c>
      <c r="J441" s="55">
        <v>2026.0</v>
      </c>
      <c r="K441" s="55" t="s">
        <v>410</v>
      </c>
      <c r="L441" s="55" t="s">
        <v>2563</v>
      </c>
      <c r="M441" s="55" t="s">
        <v>63</v>
      </c>
      <c r="N441" s="55"/>
      <c r="O441" s="55"/>
      <c r="P441" s="55"/>
      <c r="Q441" s="55" t="s">
        <v>112</v>
      </c>
      <c r="R441" s="55" t="s">
        <v>2564</v>
      </c>
      <c r="S441" s="58"/>
      <c r="T441" s="51" t="s">
        <v>2565</v>
      </c>
      <c r="U441" s="51"/>
      <c r="V441" s="51"/>
      <c r="W441" s="51"/>
      <c r="X441" s="51"/>
      <c r="Y441" s="51"/>
      <c r="Z441" s="60" t="s">
        <v>1901</v>
      </c>
      <c r="AA441" s="73" t="s">
        <v>2566</v>
      </c>
      <c r="AB441" s="62" t="s">
        <v>2567</v>
      </c>
      <c r="AC441" s="63" t="s">
        <v>2568</v>
      </c>
      <c r="AD441" s="64" t="s">
        <v>2129</v>
      </c>
      <c r="AE441" s="64" t="s">
        <v>60</v>
      </c>
      <c r="AF441" s="63" t="s">
        <v>60</v>
      </c>
      <c r="AG441" s="63" t="s">
        <v>60</v>
      </c>
      <c r="AH441" s="63"/>
      <c r="AI441" s="65"/>
      <c r="AJ441" s="105" t="s">
        <v>61</v>
      </c>
      <c r="AK441" s="76"/>
    </row>
    <row r="442" ht="24.0" customHeight="1">
      <c r="A442" s="93"/>
      <c r="B442" s="36">
        <v>1.0</v>
      </c>
      <c r="C442" s="37" t="str">
        <f>IFERROR(__xludf.DUMMYFUNCTION("""COMPUTED_VALUE"""),"Michael DeMaino (XX) - '26 SS MA")</f>
        <v>Michael DeMaino (XX) - '26 SS MA</v>
      </c>
      <c r="D442" s="38" t="s">
        <v>2569</v>
      </c>
      <c r="E442" s="39" t="s">
        <v>48</v>
      </c>
      <c r="F442" s="118">
        <v>45849.0</v>
      </c>
      <c r="G442" s="113" t="s">
        <v>1395</v>
      </c>
      <c r="H442" s="42" t="s">
        <v>158</v>
      </c>
      <c r="I442" s="43" t="s">
        <v>2570</v>
      </c>
      <c r="J442" s="43">
        <v>2026.0</v>
      </c>
      <c r="K442" s="43" t="s">
        <v>410</v>
      </c>
      <c r="L442" s="43" t="s">
        <v>2571</v>
      </c>
      <c r="M442" s="43" t="s">
        <v>1398</v>
      </c>
      <c r="N442" s="80"/>
      <c r="O442" s="80"/>
      <c r="P442" s="43"/>
      <c r="Q442" s="43" t="s">
        <v>85</v>
      </c>
      <c r="R442" s="43"/>
      <c r="S442" s="44"/>
      <c r="T442" s="81"/>
      <c r="U442" s="39"/>
      <c r="V442" s="39"/>
      <c r="W442" s="39"/>
      <c r="X442" s="39"/>
      <c r="Y442" s="39"/>
      <c r="Z442" s="46"/>
      <c r="AA442" s="47"/>
      <c r="AB442" s="48" t="s">
        <v>61</v>
      </c>
      <c r="AC442" s="68" t="s">
        <v>61</v>
      </c>
      <c r="AD442" s="69" t="s">
        <v>61</v>
      </c>
      <c r="AE442" s="69" t="s">
        <v>61</v>
      </c>
      <c r="AF442" s="68" t="s">
        <v>61</v>
      </c>
      <c r="AG442" s="68" t="s">
        <v>61</v>
      </c>
      <c r="AH442" s="68" t="s">
        <v>61</v>
      </c>
      <c r="AI442" s="70" t="s">
        <v>61</v>
      </c>
      <c r="AJ442" s="114" t="s">
        <v>61</v>
      </c>
      <c r="AK442" s="82"/>
    </row>
    <row r="443" ht="24.0" customHeight="1">
      <c r="A443" s="129"/>
      <c r="B443" s="36">
        <v>1.0</v>
      </c>
      <c r="C443" s="37" t="str">
        <f>IFERROR(__xludf.DUMMYFUNCTION("""COMPUTED_VALUE"""),"Miles Keogh (XX) - '26 CINF AZ")</f>
        <v>Miles Keogh (XX) - '26 CINF AZ</v>
      </c>
      <c r="D443" s="38" t="s">
        <v>2572</v>
      </c>
      <c r="E443" s="51" t="s">
        <v>48</v>
      </c>
      <c r="F443" s="115"/>
      <c r="G443" s="116"/>
      <c r="H443" s="54" t="s">
        <v>1104</v>
      </c>
      <c r="I443" s="55" t="s">
        <v>2573</v>
      </c>
      <c r="J443" s="55">
        <v>2026.0</v>
      </c>
      <c r="K443" s="55" t="s">
        <v>410</v>
      </c>
      <c r="L443" s="145" t="s">
        <v>2574</v>
      </c>
      <c r="M443" s="55" t="s">
        <v>72</v>
      </c>
      <c r="N443" s="57"/>
      <c r="O443" s="57"/>
      <c r="P443" s="57"/>
      <c r="Q443" s="55" t="s">
        <v>319</v>
      </c>
      <c r="R443" s="55"/>
      <c r="S443" s="58" t="s">
        <v>2575</v>
      </c>
      <c r="T443" s="51" t="s">
        <v>2576</v>
      </c>
      <c r="U443" s="74"/>
      <c r="V443" s="74"/>
      <c r="W443" s="74"/>
      <c r="X443" s="74"/>
      <c r="Y443" s="74"/>
      <c r="Z443" s="60" t="s">
        <v>1892</v>
      </c>
      <c r="AA443" s="73" t="s">
        <v>2577</v>
      </c>
      <c r="AB443" s="62" t="s">
        <v>2578</v>
      </c>
      <c r="AC443" s="63" t="s">
        <v>2579</v>
      </c>
      <c r="AD443" s="64" t="s">
        <v>2580</v>
      </c>
      <c r="AE443" s="64" t="s">
        <v>2581</v>
      </c>
      <c r="AF443" s="63" t="s">
        <v>2582</v>
      </c>
      <c r="AG443" s="63" t="s">
        <v>2583</v>
      </c>
      <c r="AH443" s="63" t="s">
        <v>2583</v>
      </c>
      <c r="AI443" s="65" t="s">
        <v>2583</v>
      </c>
      <c r="AJ443" s="105" t="s">
        <v>61</v>
      </c>
      <c r="AK443" s="76"/>
    </row>
    <row r="444" ht="24.0" customHeight="1">
      <c r="A444" s="35"/>
      <c r="B444" s="36">
        <v>1.0</v>
      </c>
      <c r="C444" s="37" t="str">
        <f>IFERROR(__xludf.DUMMYFUNCTION("""COMPUTED_VALUE"""),"Nate Millington (XX) - '26 SS ")</f>
        <v>Nate Millington (XX) - '26 SS </v>
      </c>
      <c r="D444" s="38" t="s">
        <v>2584</v>
      </c>
      <c r="E444" s="39" t="s">
        <v>48</v>
      </c>
      <c r="F444" s="118">
        <v>45854.0</v>
      </c>
      <c r="G444" s="113" t="s">
        <v>1395</v>
      </c>
      <c r="H444" s="42" t="s">
        <v>1109</v>
      </c>
      <c r="I444" s="43" t="s">
        <v>2585</v>
      </c>
      <c r="J444" s="43">
        <v>2026.0</v>
      </c>
      <c r="K444" s="43" t="s">
        <v>410</v>
      </c>
      <c r="L444" s="146" t="s">
        <v>2335</v>
      </c>
      <c r="M444" s="43" t="s">
        <v>1398</v>
      </c>
      <c r="N444" s="43"/>
      <c r="O444" s="43"/>
      <c r="P444" s="43"/>
      <c r="Q444" s="43"/>
      <c r="R444" s="43"/>
      <c r="S444" s="44" t="s">
        <v>155</v>
      </c>
      <c r="T444" s="39"/>
      <c r="U444" s="39"/>
      <c r="V444" s="39"/>
      <c r="W444" s="39"/>
      <c r="X444" s="39"/>
      <c r="Y444" s="39"/>
      <c r="Z444" s="46"/>
      <c r="AA444" s="47"/>
      <c r="AB444" s="48" t="s">
        <v>61</v>
      </c>
      <c r="AC444" s="68" t="s">
        <v>61</v>
      </c>
      <c r="AD444" s="69" t="s">
        <v>61</v>
      </c>
      <c r="AE444" s="69" t="s">
        <v>61</v>
      </c>
      <c r="AF444" s="68" t="s">
        <v>61</v>
      </c>
      <c r="AG444" s="68" t="s">
        <v>61</v>
      </c>
      <c r="AH444" s="68" t="s">
        <v>61</v>
      </c>
      <c r="AI444" s="70" t="s">
        <v>61</v>
      </c>
      <c r="AJ444" s="114" t="s">
        <v>61</v>
      </c>
      <c r="AK444" s="82"/>
    </row>
    <row r="445" ht="24.0" customHeight="1">
      <c r="A445" s="35"/>
      <c r="B445" s="36">
        <v>1.0</v>
      </c>
      <c r="C445" s="37" t="str">
        <f>IFERROR(__xludf.DUMMYFUNCTION("""COMPUTED_VALUE"""),"Nolan Gillis (XX) - '26  NH")</f>
        <v>Nolan Gillis (XX) - '26  NH</v>
      </c>
      <c r="D445" s="38" t="s">
        <v>2586</v>
      </c>
      <c r="E445" s="51" t="s">
        <v>61</v>
      </c>
      <c r="F445" s="115"/>
      <c r="G445" s="116"/>
      <c r="H445" s="54" t="s">
        <v>2587</v>
      </c>
      <c r="I445" s="55" t="s">
        <v>2588</v>
      </c>
      <c r="J445" s="55">
        <v>2026.0</v>
      </c>
      <c r="K445" s="55" t="s">
        <v>410</v>
      </c>
      <c r="L445" s="145" t="s">
        <v>2589</v>
      </c>
      <c r="M445" s="55"/>
      <c r="N445" s="57"/>
      <c r="O445" s="57"/>
      <c r="P445" s="57"/>
      <c r="Q445" s="55" t="s">
        <v>942</v>
      </c>
      <c r="R445" s="57"/>
      <c r="S445" s="132"/>
      <c r="T445" s="74"/>
      <c r="U445" s="74"/>
      <c r="V445" s="74"/>
      <c r="W445" s="74"/>
      <c r="X445" s="92">
        <v>45542.0</v>
      </c>
      <c r="Y445" s="74"/>
      <c r="Z445" s="76"/>
      <c r="AA445" s="134"/>
      <c r="AB445" s="62" t="s">
        <v>2590</v>
      </c>
      <c r="AC445" s="63" t="s">
        <v>2591</v>
      </c>
      <c r="AD445" s="64">
        <v>3.39</v>
      </c>
      <c r="AE445" s="64" t="s">
        <v>2592</v>
      </c>
      <c r="AF445" s="63" t="s">
        <v>2593</v>
      </c>
      <c r="AG445" s="63" t="s">
        <v>549</v>
      </c>
      <c r="AH445" s="63" t="s">
        <v>549</v>
      </c>
      <c r="AI445" s="65" t="s">
        <v>549</v>
      </c>
      <c r="AJ445" s="105" t="s">
        <v>61</v>
      </c>
      <c r="AK445" s="76"/>
    </row>
    <row r="446" ht="24.0" customHeight="1">
      <c r="A446" s="93"/>
      <c r="B446" s="36">
        <v>1.0</v>
      </c>
      <c r="C446" s="37" t="str">
        <f>IFERROR(__xludf.DUMMYFUNCTION("""COMPUTED_VALUE"""),"Ocean Cozart (XX) - '26 MINF FL")</f>
        <v>Ocean Cozart (XX) - '26 MINF FL</v>
      </c>
      <c r="D446" s="38" t="s">
        <v>2594</v>
      </c>
      <c r="E446" s="39" t="s">
        <v>48</v>
      </c>
      <c r="F446" s="112"/>
      <c r="G446" s="113" t="s">
        <v>1430</v>
      </c>
      <c r="H446" s="42" t="s">
        <v>2595</v>
      </c>
      <c r="I446" s="43" t="s">
        <v>2596</v>
      </c>
      <c r="J446" s="43">
        <v>2026.0</v>
      </c>
      <c r="K446" s="43" t="s">
        <v>410</v>
      </c>
      <c r="L446" s="146" t="s">
        <v>2189</v>
      </c>
      <c r="M446" s="43" t="s">
        <v>51</v>
      </c>
      <c r="N446" s="80"/>
      <c r="O446" s="80"/>
      <c r="P446" s="80"/>
      <c r="Q446" s="43" t="s">
        <v>66</v>
      </c>
      <c r="R446" s="43" t="s">
        <v>2597</v>
      </c>
      <c r="S446" s="44" t="s">
        <v>1642</v>
      </c>
      <c r="T446" s="39" t="s">
        <v>2598</v>
      </c>
      <c r="U446" s="81"/>
      <c r="V446" s="81"/>
      <c r="W446" s="81"/>
      <c r="X446" s="81"/>
      <c r="Y446" s="81"/>
      <c r="Z446" s="82"/>
      <c r="AA446" s="47" t="s">
        <v>2599</v>
      </c>
      <c r="AB446" s="48" t="s">
        <v>61</v>
      </c>
      <c r="AC446" s="68" t="s">
        <v>61</v>
      </c>
      <c r="AD446" s="69" t="s">
        <v>61</v>
      </c>
      <c r="AE446" s="69" t="s">
        <v>61</v>
      </c>
      <c r="AF446" s="68" t="s">
        <v>61</v>
      </c>
      <c r="AG446" s="68" t="s">
        <v>61</v>
      </c>
      <c r="AH446" s="68" t="s">
        <v>61</v>
      </c>
      <c r="AI446" s="70" t="s">
        <v>61</v>
      </c>
      <c r="AJ446" s="114" t="s">
        <v>61</v>
      </c>
      <c r="AK446" s="82"/>
    </row>
    <row r="447" ht="24.0" customHeight="1">
      <c r="A447" s="88"/>
      <c r="B447" s="36">
        <v>1.0</v>
      </c>
      <c r="C447" s="37" t="str">
        <f>IFERROR(__xludf.DUMMYFUNCTION("""COMPUTED_VALUE"""),"Oliver Swartz (XX) - '26 LHP NC")</f>
        <v>Oliver Swartz (XX) - '26 LHP NC</v>
      </c>
      <c r="D447" s="38" t="s">
        <v>2600</v>
      </c>
      <c r="E447" s="51" t="s">
        <v>122</v>
      </c>
      <c r="F447" s="115"/>
      <c r="G447" s="116"/>
      <c r="H447" s="54" t="s">
        <v>2601</v>
      </c>
      <c r="I447" s="55" t="s">
        <v>2602</v>
      </c>
      <c r="J447" s="55">
        <v>2026.0</v>
      </c>
      <c r="K447" s="55" t="s">
        <v>410</v>
      </c>
      <c r="L447" s="145" t="s">
        <v>228</v>
      </c>
      <c r="M447" s="55" t="s">
        <v>122</v>
      </c>
      <c r="N447" s="57"/>
      <c r="O447" s="57"/>
      <c r="P447" s="57"/>
      <c r="Q447" s="55" t="s">
        <v>73</v>
      </c>
      <c r="R447" s="55" t="s">
        <v>2603</v>
      </c>
      <c r="S447" s="58"/>
      <c r="T447" s="51" t="s">
        <v>2604</v>
      </c>
      <c r="U447" s="74"/>
      <c r="V447" s="74"/>
      <c r="W447" s="74"/>
      <c r="X447" s="51" t="s">
        <v>2605</v>
      </c>
      <c r="Y447" s="74"/>
      <c r="Z447" s="76"/>
      <c r="AA447" s="73" t="s">
        <v>2606</v>
      </c>
      <c r="AB447" s="62" t="s">
        <v>2607</v>
      </c>
      <c r="AC447" s="63" t="s">
        <v>2608</v>
      </c>
      <c r="AD447" s="64" t="s">
        <v>2609</v>
      </c>
      <c r="AE447" s="64" t="s">
        <v>2610</v>
      </c>
      <c r="AF447" s="63" t="s">
        <v>2611</v>
      </c>
      <c r="AG447" s="63" t="s">
        <v>60</v>
      </c>
      <c r="AH447" s="63" t="s">
        <v>60</v>
      </c>
      <c r="AI447" s="65" t="s">
        <v>2612</v>
      </c>
      <c r="AJ447" s="105" t="s">
        <v>61</v>
      </c>
      <c r="AK447" s="76"/>
    </row>
    <row r="448" ht="24.0" customHeight="1">
      <c r="A448" s="93"/>
      <c r="B448" s="36">
        <v>1.0</v>
      </c>
      <c r="C448" s="37" t="str">
        <f>IFERROR(__xludf.DUMMYFUNCTION("""COMPUTED_VALUE"""),"Patrick Freeman (XX) - '26 RHP TN")</f>
        <v>Patrick Freeman (XX) - '26 RHP TN</v>
      </c>
      <c r="D448" s="38" t="s">
        <v>2613</v>
      </c>
      <c r="E448" s="39" t="s">
        <v>63</v>
      </c>
      <c r="F448" s="124">
        <v>45851.0</v>
      </c>
      <c r="G448" s="113" t="s">
        <v>1470</v>
      </c>
      <c r="H448" s="42" t="s">
        <v>70</v>
      </c>
      <c r="I448" s="43" t="s">
        <v>2614</v>
      </c>
      <c r="J448" s="43">
        <v>2026.0</v>
      </c>
      <c r="K448" s="43" t="s">
        <v>410</v>
      </c>
      <c r="L448" s="43" t="s">
        <v>2615</v>
      </c>
      <c r="M448" s="43" t="s">
        <v>63</v>
      </c>
      <c r="N448" s="43"/>
      <c r="O448" s="43"/>
      <c r="P448" s="43"/>
      <c r="Q448" s="43" t="s">
        <v>330</v>
      </c>
      <c r="R448" s="43" t="s">
        <v>2616</v>
      </c>
      <c r="S448" s="44" t="s">
        <v>1827</v>
      </c>
      <c r="T448" s="39" t="s">
        <v>2617</v>
      </c>
      <c r="U448" s="39"/>
      <c r="V448" s="39"/>
      <c r="W448" s="39"/>
      <c r="X448" s="39"/>
      <c r="Y448" s="39"/>
      <c r="Z448" s="46"/>
      <c r="AA448" s="47" t="s">
        <v>2618</v>
      </c>
      <c r="AB448" s="48" t="s">
        <v>61</v>
      </c>
      <c r="AC448" s="68" t="s">
        <v>61</v>
      </c>
      <c r="AD448" s="69" t="s">
        <v>61</v>
      </c>
      <c r="AE448" s="69" t="s">
        <v>61</v>
      </c>
      <c r="AF448" s="68" t="s">
        <v>61</v>
      </c>
      <c r="AG448" s="68" t="s">
        <v>61</v>
      </c>
      <c r="AH448" s="68" t="s">
        <v>61</v>
      </c>
      <c r="AI448" s="70" t="s">
        <v>61</v>
      </c>
      <c r="AJ448" s="114" t="s">
        <v>61</v>
      </c>
      <c r="AK448" s="82"/>
    </row>
    <row r="449" ht="24.0" customHeight="1">
      <c r="A449" s="35"/>
      <c r="B449" s="36">
        <v>1.0</v>
      </c>
      <c r="C449" s="37" t="str">
        <f>IFERROR(__xludf.DUMMYFUNCTION("""COMPUTED_VALUE"""),"Peter Jackson (XX) - '26 RHP CA")</f>
        <v>Peter Jackson (XX) - '26 RHP CA</v>
      </c>
      <c r="D449" s="38" t="s">
        <v>2619</v>
      </c>
      <c r="E449" s="51" t="s">
        <v>63</v>
      </c>
      <c r="F449" s="115"/>
      <c r="G449" s="116"/>
      <c r="H449" s="141" t="s">
        <v>1141</v>
      </c>
      <c r="I449" s="57" t="s">
        <v>432</v>
      </c>
      <c r="J449" s="57">
        <v>2026.0</v>
      </c>
      <c r="K449" s="55" t="s">
        <v>410</v>
      </c>
      <c r="L449" s="145" t="s">
        <v>2620</v>
      </c>
      <c r="M449" s="57" t="s">
        <v>63</v>
      </c>
      <c r="N449" s="57"/>
      <c r="O449" s="57" t="s">
        <v>1550</v>
      </c>
      <c r="P449" s="55"/>
      <c r="Q449" s="57" t="s">
        <v>52</v>
      </c>
      <c r="R449" s="55"/>
      <c r="S449" s="58" t="s">
        <v>2621</v>
      </c>
      <c r="T449" s="51"/>
      <c r="U449" s="51"/>
      <c r="V449" s="51"/>
      <c r="W449" s="51"/>
      <c r="X449" s="51"/>
      <c r="Y449" s="51"/>
      <c r="Z449" s="60"/>
      <c r="AA449" s="73" t="s">
        <v>2622</v>
      </c>
      <c r="AB449" s="62" t="s">
        <v>61</v>
      </c>
      <c r="AC449" s="63" t="s">
        <v>61</v>
      </c>
      <c r="AD449" s="64" t="s">
        <v>61</v>
      </c>
      <c r="AE449" s="64" t="s">
        <v>61</v>
      </c>
      <c r="AF449" s="63" t="s">
        <v>61</v>
      </c>
      <c r="AG449" s="63" t="s">
        <v>61</v>
      </c>
      <c r="AH449" s="63" t="s">
        <v>61</v>
      </c>
      <c r="AI449" s="65" t="s">
        <v>61</v>
      </c>
      <c r="AJ449" s="105" t="s">
        <v>61</v>
      </c>
      <c r="AK449" s="76"/>
    </row>
    <row r="450" ht="24.0" customHeight="1">
      <c r="A450" s="125"/>
      <c r="B450" s="36">
        <v>1.0</v>
      </c>
      <c r="C450" s="37" t="str">
        <f>IFERROR(__xludf.DUMMYFUNCTION("""COMPUTED_VALUE"""),"Pierce Quinn (XX) - '26  MD")</f>
        <v>Pierce Quinn (XX) - '26  MD</v>
      </c>
      <c r="D450" s="38" t="s">
        <v>2623</v>
      </c>
      <c r="E450" s="39" t="s">
        <v>61</v>
      </c>
      <c r="F450" s="112"/>
      <c r="G450" s="113"/>
      <c r="H450" s="42" t="s">
        <v>2624</v>
      </c>
      <c r="I450" s="43" t="s">
        <v>1158</v>
      </c>
      <c r="J450" s="43">
        <v>2026.0</v>
      </c>
      <c r="K450" s="43" t="s">
        <v>410</v>
      </c>
      <c r="L450" s="43" t="s">
        <v>2028</v>
      </c>
      <c r="M450" s="43"/>
      <c r="N450" s="80"/>
      <c r="O450" s="80"/>
      <c r="P450" s="80"/>
      <c r="Q450" s="43" t="s">
        <v>195</v>
      </c>
      <c r="R450" s="43" t="s">
        <v>2625</v>
      </c>
      <c r="S450" s="44" t="s">
        <v>576</v>
      </c>
      <c r="T450" s="94">
        <v>4.42</v>
      </c>
      <c r="U450" s="109"/>
      <c r="V450" s="109"/>
      <c r="W450" s="81"/>
      <c r="X450" s="109"/>
      <c r="Y450" s="109"/>
      <c r="Z450" s="82"/>
      <c r="AA450" s="47" t="s">
        <v>2626</v>
      </c>
      <c r="AB450" s="48" t="s">
        <v>61</v>
      </c>
      <c r="AC450" s="68" t="s">
        <v>61</v>
      </c>
      <c r="AD450" s="69" t="s">
        <v>61</v>
      </c>
      <c r="AE450" s="69" t="s">
        <v>61</v>
      </c>
      <c r="AF450" s="68" t="s">
        <v>61</v>
      </c>
      <c r="AG450" s="68" t="s">
        <v>61</v>
      </c>
      <c r="AH450" s="68" t="s">
        <v>61</v>
      </c>
      <c r="AI450" s="70" t="s">
        <v>61</v>
      </c>
      <c r="AJ450" s="114" t="s">
        <v>61</v>
      </c>
      <c r="AK450" s="82"/>
    </row>
    <row r="451" ht="24.0" customHeight="1">
      <c r="A451" s="35"/>
      <c r="B451" s="36">
        <v>1.0</v>
      </c>
      <c r="C451" s="37" t="str">
        <f>IFERROR(__xludf.DUMMYFUNCTION("""COMPUTED_VALUE"""),"Preston Lewis (XX) - '26 C TX")</f>
        <v>Preston Lewis (XX) - '26 C TX</v>
      </c>
      <c r="D451" s="38" t="s">
        <v>2627</v>
      </c>
      <c r="E451" s="51" t="s">
        <v>109</v>
      </c>
      <c r="F451" s="140">
        <v>45849.0</v>
      </c>
      <c r="G451" s="116" t="s">
        <v>1470</v>
      </c>
      <c r="H451" s="54" t="s">
        <v>1151</v>
      </c>
      <c r="I451" s="55" t="s">
        <v>2628</v>
      </c>
      <c r="J451" s="55">
        <v>2026.0</v>
      </c>
      <c r="K451" s="55" t="s">
        <v>410</v>
      </c>
      <c r="L451" s="145" t="s">
        <v>2629</v>
      </c>
      <c r="M451" s="55" t="s">
        <v>109</v>
      </c>
      <c r="N451" s="55"/>
      <c r="O451" s="55"/>
      <c r="P451" s="55"/>
      <c r="Q451" s="55" t="s">
        <v>180</v>
      </c>
      <c r="R451" s="55" t="s">
        <v>2630</v>
      </c>
      <c r="S451" s="58" t="s">
        <v>412</v>
      </c>
      <c r="T451" s="51">
        <v>4.0</v>
      </c>
      <c r="U451" s="51"/>
      <c r="V451" s="51"/>
      <c r="W451" s="51"/>
      <c r="X451" s="51"/>
      <c r="Y451" s="51"/>
      <c r="Z451" s="60"/>
      <c r="AA451" s="73" t="s">
        <v>2631</v>
      </c>
      <c r="AB451" s="62" t="s">
        <v>61</v>
      </c>
      <c r="AC451" s="63" t="s">
        <v>61</v>
      </c>
      <c r="AD451" s="64" t="s">
        <v>61</v>
      </c>
      <c r="AE451" s="64" t="s">
        <v>61</v>
      </c>
      <c r="AF451" s="63" t="s">
        <v>61</v>
      </c>
      <c r="AG451" s="63" t="s">
        <v>61</v>
      </c>
      <c r="AH451" s="63" t="s">
        <v>61</v>
      </c>
      <c r="AI451" s="65" t="s">
        <v>61</v>
      </c>
      <c r="AJ451" s="105" t="s">
        <v>61</v>
      </c>
      <c r="AK451" s="76"/>
    </row>
    <row r="452" ht="24.0" customHeight="1">
      <c r="A452" s="88"/>
      <c r="B452" s="36">
        <v>1.0</v>
      </c>
      <c r="C452" s="37" t="str">
        <f>IFERROR(__xludf.DUMMYFUNCTION("""COMPUTED_VALUE"""),"Reed Robinson (XX) - '26  IN")</f>
        <v>Reed Robinson (XX) - '26  IN</v>
      </c>
      <c r="D452" s="38" t="s">
        <v>2632</v>
      </c>
      <c r="E452" s="39" t="s">
        <v>61</v>
      </c>
      <c r="F452" s="112"/>
      <c r="G452" s="113"/>
      <c r="H452" s="42" t="s">
        <v>2633</v>
      </c>
      <c r="I452" s="43" t="s">
        <v>1733</v>
      </c>
      <c r="J452" s="43">
        <v>2026.0</v>
      </c>
      <c r="K452" s="43" t="s">
        <v>410</v>
      </c>
      <c r="L452" s="43" t="s">
        <v>2045</v>
      </c>
      <c r="M452" s="43"/>
      <c r="N452" s="80"/>
      <c r="O452" s="80"/>
      <c r="P452" s="80"/>
      <c r="Q452" s="43" t="s">
        <v>153</v>
      </c>
      <c r="R452" s="43" t="s">
        <v>2634</v>
      </c>
      <c r="S452" s="44" t="s">
        <v>1770</v>
      </c>
      <c r="T452" s="94">
        <v>3.98</v>
      </c>
      <c r="U452" s="109"/>
      <c r="V452" s="109"/>
      <c r="W452" s="81"/>
      <c r="X452" s="109"/>
      <c r="Y452" s="109"/>
      <c r="Z452" s="46" t="s">
        <v>1414</v>
      </c>
      <c r="AA452" s="47" t="s">
        <v>2635</v>
      </c>
      <c r="AB452" s="48" t="s">
        <v>2636</v>
      </c>
      <c r="AC452" s="68" t="s">
        <v>2637</v>
      </c>
      <c r="AD452" s="69">
        <v>3.91</v>
      </c>
      <c r="AE452" s="69" t="s">
        <v>2638</v>
      </c>
      <c r="AF452" s="68" t="s">
        <v>2639</v>
      </c>
      <c r="AG452" s="68" t="s">
        <v>857</v>
      </c>
      <c r="AH452" s="68" t="s">
        <v>81</v>
      </c>
      <c r="AI452" s="70" t="s">
        <v>2640</v>
      </c>
      <c r="AJ452" s="114" t="s">
        <v>61</v>
      </c>
      <c r="AK452" s="82"/>
    </row>
    <row r="453" ht="24.0" customHeight="1">
      <c r="A453" s="35"/>
      <c r="B453" s="36">
        <v>1.0</v>
      </c>
      <c r="C453" s="37" t="str">
        <f>IFERROR(__xludf.DUMMYFUNCTION("""COMPUTED_VALUE"""),"Reggie Bell (XX) - '26  AZ")</f>
        <v>Reggie Bell (XX) - '26  AZ</v>
      </c>
      <c r="D453" s="38" t="s">
        <v>2641</v>
      </c>
      <c r="E453" s="51" t="s">
        <v>61</v>
      </c>
      <c r="F453" s="115"/>
      <c r="G453" s="116"/>
      <c r="H453" s="54" t="s">
        <v>2642</v>
      </c>
      <c r="I453" s="55" t="s">
        <v>2643</v>
      </c>
      <c r="J453" s="55">
        <v>2026.0</v>
      </c>
      <c r="K453" s="55" t="s">
        <v>410</v>
      </c>
      <c r="L453" s="55" t="s">
        <v>2018</v>
      </c>
      <c r="M453" s="55"/>
      <c r="N453" s="57"/>
      <c r="O453" s="57"/>
      <c r="P453" s="57"/>
      <c r="Q453" s="55" t="s">
        <v>319</v>
      </c>
      <c r="R453" s="57"/>
      <c r="S453" s="132"/>
      <c r="T453" s="51" t="s">
        <v>2644</v>
      </c>
      <c r="U453" s="74"/>
      <c r="V453" s="74"/>
      <c r="W453" s="74"/>
      <c r="X453" s="74"/>
      <c r="Y453" s="74"/>
      <c r="Z453" s="76"/>
      <c r="AA453" s="73" t="s">
        <v>2645</v>
      </c>
      <c r="AB453" s="62" t="s">
        <v>61</v>
      </c>
      <c r="AC453" s="63" t="s">
        <v>61</v>
      </c>
      <c r="AD453" s="64" t="s">
        <v>61</v>
      </c>
      <c r="AE453" s="64" t="s">
        <v>61</v>
      </c>
      <c r="AF453" s="63" t="s">
        <v>61</v>
      </c>
      <c r="AG453" s="63" t="s">
        <v>61</v>
      </c>
      <c r="AH453" s="63" t="s">
        <v>61</v>
      </c>
      <c r="AI453" s="65" t="s">
        <v>61</v>
      </c>
      <c r="AJ453" s="105" t="s">
        <v>61</v>
      </c>
      <c r="AK453" s="76"/>
    </row>
    <row r="454" ht="24.0" customHeight="1">
      <c r="A454" s="35"/>
      <c r="B454" s="36">
        <v>1.0</v>
      </c>
      <c r="C454" s="37" t="str">
        <f>IFERROR(__xludf.DUMMYFUNCTION("""COMPUTED_VALUE"""),"Rhys Canan (XX) - '26  OH")</f>
        <v>Rhys Canan (XX) - '26  OH</v>
      </c>
      <c r="D454" s="38" t="s">
        <v>2646</v>
      </c>
      <c r="E454" s="39" t="s">
        <v>61</v>
      </c>
      <c r="F454" s="112"/>
      <c r="G454" s="113"/>
      <c r="H454" s="42" t="s">
        <v>2647</v>
      </c>
      <c r="I454" s="43" t="s">
        <v>2648</v>
      </c>
      <c r="J454" s="43">
        <v>2026.0</v>
      </c>
      <c r="K454" s="43" t="s">
        <v>410</v>
      </c>
      <c r="L454" s="146" t="s">
        <v>2649</v>
      </c>
      <c r="M454" s="80"/>
      <c r="N454" s="80"/>
      <c r="O454" s="80"/>
      <c r="P454" s="80"/>
      <c r="Q454" s="43" t="s">
        <v>529</v>
      </c>
      <c r="R454" s="43" t="s">
        <v>2135</v>
      </c>
      <c r="S454" s="44" t="s">
        <v>2650</v>
      </c>
      <c r="T454" s="94">
        <v>4.72</v>
      </c>
      <c r="U454" s="109"/>
      <c r="V454" s="109"/>
      <c r="W454" s="81"/>
      <c r="X454" s="109"/>
      <c r="Y454" s="109"/>
      <c r="Z454" s="46" t="s">
        <v>1541</v>
      </c>
      <c r="AA454" s="47" t="s">
        <v>2651</v>
      </c>
      <c r="AB454" s="48" t="s">
        <v>61</v>
      </c>
      <c r="AC454" s="68" t="s">
        <v>61</v>
      </c>
      <c r="AD454" s="69" t="s">
        <v>61</v>
      </c>
      <c r="AE454" s="69" t="s">
        <v>61</v>
      </c>
      <c r="AF454" s="68" t="s">
        <v>61</v>
      </c>
      <c r="AG454" s="68" t="s">
        <v>61</v>
      </c>
      <c r="AH454" s="68" t="s">
        <v>61</v>
      </c>
      <c r="AI454" s="70" t="s">
        <v>61</v>
      </c>
      <c r="AJ454" s="114" t="s">
        <v>61</v>
      </c>
      <c r="AK454" s="82"/>
    </row>
    <row r="455" ht="24.0" customHeight="1">
      <c r="A455" s="35"/>
      <c r="B455" s="36">
        <v>1.0</v>
      </c>
      <c r="C455" s="37" t="str">
        <f>IFERROR(__xludf.DUMMYFUNCTION("""COMPUTED_VALUE"""),"Ronan O'Brien (XX) - '26 RHP AZ")</f>
        <v>Ronan O'Brien (XX) - '26 RHP AZ</v>
      </c>
      <c r="D455" s="38" t="s">
        <v>2652</v>
      </c>
      <c r="E455" s="51" t="s">
        <v>63</v>
      </c>
      <c r="F455" s="115"/>
      <c r="G455" s="116"/>
      <c r="H455" s="54" t="s">
        <v>2653</v>
      </c>
      <c r="I455" s="55" t="s">
        <v>2654</v>
      </c>
      <c r="J455" s="55">
        <v>2026.0</v>
      </c>
      <c r="K455" s="55" t="s">
        <v>410</v>
      </c>
      <c r="L455" s="55" t="s">
        <v>1981</v>
      </c>
      <c r="M455" s="55" t="s">
        <v>63</v>
      </c>
      <c r="N455" s="57"/>
      <c r="O455" s="57"/>
      <c r="P455" s="57"/>
      <c r="Q455" s="55" t="s">
        <v>319</v>
      </c>
      <c r="R455" s="55" t="s">
        <v>2655</v>
      </c>
      <c r="S455" s="58"/>
      <c r="T455" s="51" t="s">
        <v>2656</v>
      </c>
      <c r="U455" s="74"/>
      <c r="V455" s="74"/>
      <c r="W455" s="74"/>
      <c r="X455" s="74"/>
      <c r="Y455" s="74"/>
      <c r="Z455" s="76"/>
      <c r="AA455" s="73" t="s">
        <v>2657</v>
      </c>
      <c r="AB455" s="62" t="s">
        <v>61</v>
      </c>
      <c r="AC455" s="63" t="s">
        <v>61</v>
      </c>
      <c r="AD455" s="64" t="s">
        <v>61</v>
      </c>
      <c r="AE455" s="64" t="s">
        <v>61</v>
      </c>
      <c r="AF455" s="63" t="s">
        <v>61</v>
      </c>
      <c r="AG455" s="63" t="s">
        <v>61</v>
      </c>
      <c r="AH455" s="63" t="s">
        <v>61</v>
      </c>
      <c r="AI455" s="65" t="s">
        <v>61</v>
      </c>
      <c r="AJ455" s="105" t="s">
        <v>61</v>
      </c>
      <c r="AK455" s="76"/>
    </row>
    <row r="456" ht="24.0" customHeight="1">
      <c r="A456" s="35"/>
      <c r="B456" s="36">
        <v>1.0</v>
      </c>
      <c r="C456" s="37" t="str">
        <f>IFERROR(__xludf.DUMMYFUNCTION("""COMPUTED_VALUE"""),"Ronan Owens (XX) - '26 RHP IL")</f>
        <v>Ronan Owens (XX) - '26 RHP IL</v>
      </c>
      <c r="D456" s="38" t="s">
        <v>2658</v>
      </c>
      <c r="E456" s="39" t="s">
        <v>63</v>
      </c>
      <c r="F456" s="151"/>
      <c r="G456" s="152"/>
      <c r="H456" s="138" t="s">
        <v>2653</v>
      </c>
      <c r="I456" s="80" t="s">
        <v>2659</v>
      </c>
      <c r="J456" s="80">
        <v>2026.0</v>
      </c>
      <c r="K456" s="43" t="s">
        <v>410</v>
      </c>
      <c r="L456" s="146" t="s">
        <v>2660</v>
      </c>
      <c r="M456" s="80" t="s">
        <v>63</v>
      </c>
      <c r="N456" s="80"/>
      <c r="O456" s="80" t="s">
        <v>1550</v>
      </c>
      <c r="P456" s="95"/>
      <c r="Q456" s="80" t="s">
        <v>307</v>
      </c>
      <c r="R456" s="95"/>
      <c r="S456" s="117" t="s">
        <v>1827</v>
      </c>
      <c r="T456" s="39"/>
      <c r="U456" s="39"/>
      <c r="V456" s="39"/>
      <c r="W456" s="39"/>
      <c r="X456" s="39"/>
      <c r="Y456" s="39"/>
      <c r="Z456" s="46"/>
      <c r="AA456" s="47"/>
      <c r="AB456" s="48" t="s">
        <v>61</v>
      </c>
      <c r="AC456" s="68" t="s">
        <v>61</v>
      </c>
      <c r="AD456" s="69" t="s">
        <v>61</v>
      </c>
      <c r="AE456" s="69" t="s">
        <v>61</v>
      </c>
      <c r="AF456" s="68" t="s">
        <v>61</v>
      </c>
      <c r="AG456" s="68" t="s">
        <v>61</v>
      </c>
      <c r="AH456" s="68" t="s">
        <v>61</v>
      </c>
      <c r="AI456" s="70" t="s">
        <v>61</v>
      </c>
      <c r="AJ456" s="114" t="s">
        <v>61</v>
      </c>
      <c r="AK456" s="82"/>
    </row>
    <row r="457" ht="24.0" customHeight="1">
      <c r="A457" s="35"/>
      <c r="B457" s="36">
        <v>1.0</v>
      </c>
      <c r="C457" s="37" t="str">
        <f>IFERROR(__xludf.DUMMYFUNCTION("""COMPUTED_VALUE"""),"Ronin McCraw (XX) - '26 CINF TX")</f>
        <v>Ronin McCraw (XX) - '26 CINF TX</v>
      </c>
      <c r="D457" s="38" t="s">
        <v>2661</v>
      </c>
      <c r="E457" s="51" t="s">
        <v>48</v>
      </c>
      <c r="F457" s="115"/>
      <c r="G457" s="116" t="s">
        <v>1470</v>
      </c>
      <c r="H457" s="54" t="s">
        <v>2662</v>
      </c>
      <c r="I457" s="55" t="s">
        <v>2663</v>
      </c>
      <c r="J457" s="55">
        <v>2026.0</v>
      </c>
      <c r="K457" s="55" t="s">
        <v>410</v>
      </c>
      <c r="L457" s="145" t="s">
        <v>2664</v>
      </c>
      <c r="M457" s="55" t="s">
        <v>72</v>
      </c>
      <c r="N457" s="57"/>
      <c r="O457" s="57"/>
      <c r="P457" s="57"/>
      <c r="Q457" s="55" t="s">
        <v>180</v>
      </c>
      <c r="R457" s="55" t="s">
        <v>2665</v>
      </c>
      <c r="S457" s="58"/>
      <c r="T457" s="51" t="s">
        <v>2666</v>
      </c>
      <c r="U457" s="74"/>
      <c r="V457" s="74"/>
      <c r="W457" s="74"/>
      <c r="X457" s="74"/>
      <c r="Y457" s="74"/>
      <c r="Z457" s="76"/>
      <c r="AA457" s="73" t="s">
        <v>2667</v>
      </c>
      <c r="AB457" s="62" t="s">
        <v>2668</v>
      </c>
      <c r="AC457" s="63" t="s">
        <v>2669</v>
      </c>
      <c r="AD457" s="64">
        <v>4.0</v>
      </c>
      <c r="AE457" s="64" t="s">
        <v>828</v>
      </c>
      <c r="AF457" s="63" t="s">
        <v>2670</v>
      </c>
      <c r="AG457" s="63" t="s">
        <v>81</v>
      </c>
      <c r="AH457" s="63" t="s">
        <v>81</v>
      </c>
      <c r="AI457" s="65" t="s">
        <v>81</v>
      </c>
      <c r="AJ457" s="105" t="s">
        <v>61</v>
      </c>
      <c r="AK457" s="76"/>
    </row>
    <row r="458" ht="24.0" customHeight="1">
      <c r="A458" s="35"/>
      <c r="B458" s="36">
        <v>1.0</v>
      </c>
      <c r="C458" s="37" t="str">
        <f>IFERROR(__xludf.DUMMYFUNCTION("""COMPUTED_VALUE"""),"Roshan Bullard (XX) - '26 RHP GA")</f>
        <v>Roshan Bullard (XX) - '26 RHP GA</v>
      </c>
      <c r="D458" s="38" t="s">
        <v>2671</v>
      </c>
      <c r="E458" s="39" t="s">
        <v>63</v>
      </c>
      <c r="F458" s="112"/>
      <c r="G458" s="113"/>
      <c r="H458" s="138" t="s">
        <v>2672</v>
      </c>
      <c r="I458" s="80" t="s">
        <v>2673</v>
      </c>
      <c r="J458" s="80">
        <v>2026.0</v>
      </c>
      <c r="K458" s="43" t="s">
        <v>410</v>
      </c>
      <c r="L458" s="43"/>
      <c r="M458" s="80" t="s">
        <v>63</v>
      </c>
      <c r="N458" s="80" t="s">
        <v>72</v>
      </c>
      <c r="O458" s="80" t="s">
        <v>1550</v>
      </c>
      <c r="P458" s="43"/>
      <c r="Q458" s="80" t="s">
        <v>43</v>
      </c>
      <c r="R458" s="80"/>
      <c r="S458" s="44" t="s">
        <v>1120</v>
      </c>
      <c r="T458" s="39"/>
      <c r="U458" s="39"/>
      <c r="V458" s="39"/>
      <c r="W458" s="39"/>
      <c r="X458" s="39"/>
      <c r="Y458" s="39"/>
      <c r="Z458" s="46"/>
      <c r="AA458" s="47"/>
      <c r="AB458" s="48" t="s">
        <v>61</v>
      </c>
      <c r="AC458" s="68" t="s">
        <v>61</v>
      </c>
      <c r="AD458" s="69" t="s">
        <v>61</v>
      </c>
      <c r="AE458" s="69" t="s">
        <v>61</v>
      </c>
      <c r="AF458" s="68" t="s">
        <v>61</v>
      </c>
      <c r="AG458" s="68" t="s">
        <v>61</v>
      </c>
      <c r="AH458" s="68" t="s">
        <v>61</v>
      </c>
      <c r="AI458" s="70" t="s">
        <v>61</v>
      </c>
      <c r="AJ458" s="114" t="s">
        <v>61</v>
      </c>
      <c r="AK458" s="82"/>
    </row>
    <row r="459" ht="24.0" customHeight="1">
      <c r="A459" s="129"/>
      <c r="B459" s="36">
        <v>1.0</v>
      </c>
      <c r="C459" s="37" t="str">
        <f>IFERROR(__xludf.DUMMYFUNCTION("""COMPUTED_VALUE"""),"Ryan Moreschi (XX) - '26 OF ")</f>
        <v>Ryan Moreschi (XX) - '26 OF </v>
      </c>
      <c r="D459" s="38" t="s">
        <v>2674</v>
      </c>
      <c r="E459" s="51" t="s">
        <v>103</v>
      </c>
      <c r="F459" s="119">
        <v>45849.0</v>
      </c>
      <c r="G459" s="116" t="s">
        <v>1395</v>
      </c>
      <c r="H459" s="54" t="s">
        <v>1206</v>
      </c>
      <c r="I459" s="55" t="s">
        <v>2675</v>
      </c>
      <c r="J459" s="55">
        <v>2026.0</v>
      </c>
      <c r="K459" s="55" t="s">
        <v>410</v>
      </c>
      <c r="L459" s="145" t="s">
        <v>2676</v>
      </c>
      <c r="M459" s="55" t="s">
        <v>103</v>
      </c>
      <c r="N459" s="55"/>
      <c r="O459" s="55"/>
      <c r="P459" s="55"/>
      <c r="Q459" s="55"/>
      <c r="R459" s="55"/>
      <c r="S459" s="58" t="s">
        <v>819</v>
      </c>
      <c r="T459" s="51"/>
      <c r="U459" s="51"/>
      <c r="V459" s="51"/>
      <c r="W459" s="51"/>
      <c r="X459" s="51"/>
      <c r="Y459" s="51"/>
      <c r="Z459" s="60"/>
      <c r="AA459" s="73"/>
      <c r="AB459" s="62" t="s">
        <v>61</v>
      </c>
      <c r="AC459" s="63" t="s">
        <v>61</v>
      </c>
      <c r="AD459" s="64" t="s">
        <v>61</v>
      </c>
      <c r="AE459" s="64" t="s">
        <v>61</v>
      </c>
      <c r="AF459" s="63" t="s">
        <v>61</v>
      </c>
      <c r="AG459" s="63" t="s">
        <v>61</v>
      </c>
      <c r="AH459" s="63" t="s">
        <v>61</v>
      </c>
      <c r="AI459" s="65" t="s">
        <v>61</v>
      </c>
      <c r="AJ459" s="105" t="s">
        <v>61</v>
      </c>
      <c r="AK459" s="76"/>
    </row>
    <row r="460" ht="24.0" customHeight="1">
      <c r="A460" s="35"/>
      <c r="B460" s="36">
        <v>1.0</v>
      </c>
      <c r="C460" s="37" t="str">
        <f>IFERROR(__xludf.DUMMYFUNCTION("""COMPUTED_VALUE"""),"Rylan Alaniz (XX) - '26 SS TX")</f>
        <v>Rylan Alaniz (XX) - '26 SS TX</v>
      </c>
      <c r="D460" s="38" t="s">
        <v>2677</v>
      </c>
      <c r="E460" s="39" t="s">
        <v>48</v>
      </c>
      <c r="F460" s="112"/>
      <c r="G460" s="113" t="s">
        <v>1470</v>
      </c>
      <c r="H460" s="42" t="s">
        <v>328</v>
      </c>
      <c r="I460" s="43" t="s">
        <v>2678</v>
      </c>
      <c r="J460" s="43">
        <v>2026.0</v>
      </c>
      <c r="K460" s="43" t="s">
        <v>410</v>
      </c>
      <c r="L460" s="146" t="s">
        <v>2679</v>
      </c>
      <c r="M460" s="43" t="s">
        <v>1398</v>
      </c>
      <c r="N460" s="43"/>
      <c r="O460" s="80"/>
      <c r="P460" s="43"/>
      <c r="Q460" s="43" t="s">
        <v>180</v>
      </c>
      <c r="R460" s="43" t="s">
        <v>2680</v>
      </c>
      <c r="S460" s="44" t="s">
        <v>412</v>
      </c>
      <c r="T460" s="81"/>
      <c r="U460" s="39"/>
      <c r="V460" s="39"/>
      <c r="W460" s="39"/>
      <c r="X460" s="39"/>
      <c r="Y460" s="39"/>
      <c r="Z460" s="46"/>
      <c r="AA460" s="47" t="s">
        <v>2681</v>
      </c>
      <c r="AB460" s="48" t="s">
        <v>61</v>
      </c>
      <c r="AC460" s="68" t="s">
        <v>61</v>
      </c>
      <c r="AD460" s="69" t="s">
        <v>61</v>
      </c>
      <c r="AE460" s="69" t="s">
        <v>61</v>
      </c>
      <c r="AF460" s="68" t="s">
        <v>61</v>
      </c>
      <c r="AG460" s="68" t="s">
        <v>61</v>
      </c>
      <c r="AH460" s="68" t="s">
        <v>61</v>
      </c>
      <c r="AI460" s="70" t="s">
        <v>61</v>
      </c>
      <c r="AJ460" s="114" t="s">
        <v>61</v>
      </c>
      <c r="AK460" s="82"/>
    </row>
    <row r="461" ht="24.0" customHeight="1">
      <c r="A461" s="125"/>
      <c r="B461" s="36">
        <v>1.0</v>
      </c>
      <c r="C461" s="37" t="str">
        <f>IFERROR(__xludf.DUMMYFUNCTION("""COMPUTED_VALUE"""),"Saunder Dinkelman (XX) - '26  FL")</f>
        <v>Saunder Dinkelman (XX) - '26  FL</v>
      </c>
      <c r="D461" s="38" t="s">
        <v>2682</v>
      </c>
      <c r="E461" s="51" t="s">
        <v>61</v>
      </c>
      <c r="F461" s="115"/>
      <c r="G461" s="116"/>
      <c r="H461" s="54" t="s">
        <v>2683</v>
      </c>
      <c r="I461" s="55" t="s">
        <v>2684</v>
      </c>
      <c r="J461" s="55">
        <v>2026.0</v>
      </c>
      <c r="K461" s="55" t="s">
        <v>410</v>
      </c>
      <c r="L461" s="145" t="s">
        <v>2073</v>
      </c>
      <c r="M461" s="55"/>
      <c r="N461" s="57"/>
      <c r="O461" s="57"/>
      <c r="P461" s="57"/>
      <c r="Q461" s="55" t="s">
        <v>66</v>
      </c>
      <c r="R461" s="55" t="s">
        <v>2685</v>
      </c>
      <c r="S461" s="58" t="s">
        <v>2686</v>
      </c>
      <c r="T461" s="102">
        <v>4.3</v>
      </c>
      <c r="U461" s="100"/>
      <c r="V461" s="100"/>
      <c r="W461" s="74"/>
      <c r="X461" s="100"/>
      <c r="Y461" s="100"/>
      <c r="Z461" s="76"/>
      <c r="AA461" s="73" t="s">
        <v>2687</v>
      </c>
      <c r="AB461" s="62" t="s">
        <v>61</v>
      </c>
      <c r="AC461" s="63" t="s">
        <v>61</v>
      </c>
      <c r="AD461" s="64" t="s">
        <v>61</v>
      </c>
      <c r="AE461" s="64" t="s">
        <v>61</v>
      </c>
      <c r="AF461" s="63" t="s">
        <v>61</v>
      </c>
      <c r="AG461" s="63" t="s">
        <v>61</v>
      </c>
      <c r="AH461" s="63" t="s">
        <v>61</v>
      </c>
      <c r="AI461" s="65" t="s">
        <v>61</v>
      </c>
      <c r="AJ461" s="105" t="s">
        <v>61</v>
      </c>
      <c r="AK461" s="76"/>
    </row>
    <row r="462" ht="24.0" customHeight="1">
      <c r="A462" s="129"/>
      <c r="B462" s="36">
        <v>1.0</v>
      </c>
      <c r="C462" s="37" t="str">
        <f>IFERROR(__xludf.DUMMYFUNCTION("""COMPUTED_VALUE"""),"Sebastien Walsh (XX) - '26 LHP GA")</f>
        <v>Sebastien Walsh (XX) - '26 LHP GA</v>
      </c>
      <c r="D462" s="38" t="s">
        <v>2688</v>
      </c>
      <c r="E462" s="39" t="s">
        <v>122</v>
      </c>
      <c r="F462" s="124">
        <v>45851.0</v>
      </c>
      <c r="G462" s="113" t="s">
        <v>1430</v>
      </c>
      <c r="H462" s="42" t="s">
        <v>2689</v>
      </c>
      <c r="I462" s="43" t="s">
        <v>71</v>
      </c>
      <c r="J462" s="43">
        <v>2026.0</v>
      </c>
      <c r="K462" s="43" t="s">
        <v>410</v>
      </c>
      <c r="L462" s="43" t="s">
        <v>2690</v>
      </c>
      <c r="M462" s="43" t="s">
        <v>122</v>
      </c>
      <c r="N462" s="43"/>
      <c r="O462" s="43"/>
      <c r="P462" s="43"/>
      <c r="Q462" s="43" t="s">
        <v>43</v>
      </c>
      <c r="R462" s="43" t="s">
        <v>1686</v>
      </c>
      <c r="S462" s="44" t="s">
        <v>2290</v>
      </c>
      <c r="T462" s="39" t="s">
        <v>2691</v>
      </c>
      <c r="U462" s="39"/>
      <c r="V462" s="39"/>
      <c r="W462" s="39"/>
      <c r="X462" s="39"/>
      <c r="Y462" s="39"/>
      <c r="Z462" s="46" t="s">
        <v>1414</v>
      </c>
      <c r="AA462" s="47" t="s">
        <v>2692</v>
      </c>
      <c r="AB462" s="48" t="s">
        <v>2693</v>
      </c>
      <c r="AC462" s="68" t="s">
        <v>2694</v>
      </c>
      <c r="AD462" s="69">
        <v>4.1</v>
      </c>
      <c r="AE462" s="69">
        <v>34.0</v>
      </c>
      <c r="AF462" s="68" t="s">
        <v>60</v>
      </c>
      <c r="AG462" s="68" t="s">
        <v>81</v>
      </c>
      <c r="AH462" s="68" t="s">
        <v>81</v>
      </c>
      <c r="AI462" s="70" t="s">
        <v>81</v>
      </c>
      <c r="AJ462" s="114" t="s">
        <v>61</v>
      </c>
      <c r="AK462" s="82"/>
    </row>
    <row r="463" ht="24.0" customHeight="1">
      <c r="A463" s="35"/>
      <c r="B463" s="36">
        <v>1.0</v>
      </c>
      <c r="C463" s="37" t="str">
        <f>IFERROR(__xludf.DUMMYFUNCTION("""COMPUTED_VALUE"""),"Tanner Evans (XX) - '26 SS NE")</f>
        <v>Tanner Evans (XX) - '26 SS NE</v>
      </c>
      <c r="D463" s="38" t="s">
        <v>2695</v>
      </c>
      <c r="E463" s="51" t="s">
        <v>48</v>
      </c>
      <c r="F463" s="140">
        <v>45851.0</v>
      </c>
      <c r="G463" s="116" t="s">
        <v>1430</v>
      </c>
      <c r="H463" s="54" t="s">
        <v>2696</v>
      </c>
      <c r="I463" s="55" t="s">
        <v>2697</v>
      </c>
      <c r="J463" s="55">
        <v>2026.0</v>
      </c>
      <c r="K463" s="55" t="s">
        <v>410</v>
      </c>
      <c r="L463" s="55" t="s">
        <v>2698</v>
      </c>
      <c r="M463" s="55" t="s">
        <v>1398</v>
      </c>
      <c r="N463" s="55"/>
      <c r="O463" s="55" t="s">
        <v>1989</v>
      </c>
      <c r="P463" s="55"/>
      <c r="Q463" s="55" t="s">
        <v>519</v>
      </c>
      <c r="R463" s="55" t="s">
        <v>2699</v>
      </c>
      <c r="S463" s="58"/>
      <c r="T463" s="51">
        <v>4.1</v>
      </c>
      <c r="U463" s="51"/>
      <c r="V463" s="51"/>
      <c r="W463" s="51"/>
      <c r="X463" s="51"/>
      <c r="Y463" s="51"/>
      <c r="Z463" s="60" t="s">
        <v>1901</v>
      </c>
      <c r="AA463" s="73" t="s">
        <v>2700</v>
      </c>
      <c r="AB463" s="62" t="s">
        <v>2701</v>
      </c>
      <c r="AC463" s="63" t="s">
        <v>2702</v>
      </c>
      <c r="AD463" s="64" t="s">
        <v>2703</v>
      </c>
      <c r="AE463" s="64" t="s">
        <v>2704</v>
      </c>
      <c r="AF463" s="63"/>
      <c r="AG463" s="63" t="s">
        <v>1942</v>
      </c>
      <c r="AH463" s="63"/>
      <c r="AI463" s="65"/>
      <c r="AJ463" s="105" t="s">
        <v>61</v>
      </c>
      <c r="AK463" s="76"/>
    </row>
    <row r="464" ht="24.0" customHeight="1">
      <c r="A464" s="129"/>
      <c r="B464" s="36">
        <v>1.0</v>
      </c>
      <c r="C464" s="37" t="str">
        <f>IFERROR(__xludf.DUMMYFUNCTION("""COMPUTED_VALUE"""),"Tanner Post (XX) - '26 LHP IN")</f>
        <v>Tanner Post (XX) - '26 LHP IN</v>
      </c>
      <c r="D464" s="38" t="s">
        <v>2705</v>
      </c>
      <c r="E464" s="39" t="s">
        <v>122</v>
      </c>
      <c r="F464" s="118">
        <v>45855.0</v>
      </c>
      <c r="G464" s="113" t="s">
        <v>1395</v>
      </c>
      <c r="H464" s="42" t="s">
        <v>2696</v>
      </c>
      <c r="I464" s="43" t="s">
        <v>2706</v>
      </c>
      <c r="J464" s="43">
        <v>2026.0</v>
      </c>
      <c r="K464" s="43" t="s">
        <v>410</v>
      </c>
      <c r="L464" s="146" t="s">
        <v>2108</v>
      </c>
      <c r="M464" s="43" t="s">
        <v>122</v>
      </c>
      <c r="N464" s="43"/>
      <c r="O464" s="43"/>
      <c r="P464" s="43"/>
      <c r="Q464" s="43" t="s">
        <v>153</v>
      </c>
      <c r="R464" s="43"/>
      <c r="S464" s="44" t="s">
        <v>263</v>
      </c>
      <c r="T464" s="39"/>
      <c r="U464" s="39"/>
      <c r="V464" s="39"/>
      <c r="W464" s="39"/>
      <c r="X464" s="39"/>
      <c r="Y464" s="39"/>
      <c r="Z464" s="46"/>
      <c r="AA464" s="47"/>
      <c r="AB464" s="48" t="s">
        <v>61</v>
      </c>
      <c r="AC464" s="68" t="s">
        <v>61</v>
      </c>
      <c r="AD464" s="69" t="s">
        <v>61</v>
      </c>
      <c r="AE464" s="69" t="s">
        <v>61</v>
      </c>
      <c r="AF464" s="68" t="s">
        <v>61</v>
      </c>
      <c r="AG464" s="68" t="s">
        <v>61</v>
      </c>
      <c r="AH464" s="68" t="s">
        <v>61</v>
      </c>
      <c r="AI464" s="70" t="s">
        <v>61</v>
      </c>
      <c r="AJ464" s="114" t="s">
        <v>61</v>
      </c>
      <c r="AK464" s="82"/>
    </row>
    <row r="465" ht="24.0" customHeight="1">
      <c r="A465" s="125"/>
      <c r="B465" s="36">
        <v>1.0</v>
      </c>
      <c r="C465" s="37" t="str">
        <f>IFERROR(__xludf.DUMMYFUNCTION("""COMPUTED_VALUE"""),"Tommy Humphrey (XX) - '26  CO")</f>
        <v>Tommy Humphrey (XX) - '26  CO</v>
      </c>
      <c r="D465" s="38" t="s">
        <v>2707</v>
      </c>
      <c r="E465" s="51" t="s">
        <v>61</v>
      </c>
      <c r="F465" s="115"/>
      <c r="G465" s="116"/>
      <c r="H465" s="54" t="s">
        <v>1267</v>
      </c>
      <c r="I465" s="55" t="s">
        <v>2708</v>
      </c>
      <c r="J465" s="55">
        <v>2026.0</v>
      </c>
      <c r="K465" s="55" t="s">
        <v>410</v>
      </c>
      <c r="L465" s="145" t="s">
        <v>2154</v>
      </c>
      <c r="M465" s="55"/>
      <c r="N465" s="57"/>
      <c r="O465" s="57"/>
      <c r="P465" s="57"/>
      <c r="Q465" s="55" t="s">
        <v>174</v>
      </c>
      <c r="R465" s="55" t="s">
        <v>1216</v>
      </c>
      <c r="S465" s="58"/>
      <c r="T465" s="102">
        <v>3.88</v>
      </c>
      <c r="U465" s="100"/>
      <c r="V465" s="100"/>
      <c r="W465" s="74"/>
      <c r="X465" s="100"/>
      <c r="Y465" s="100"/>
      <c r="Z465" s="60" t="s">
        <v>2709</v>
      </c>
      <c r="AA465" s="73" t="s">
        <v>2710</v>
      </c>
      <c r="AB465" s="62" t="s">
        <v>61</v>
      </c>
      <c r="AC465" s="63" t="s">
        <v>61</v>
      </c>
      <c r="AD465" s="64" t="s">
        <v>61</v>
      </c>
      <c r="AE465" s="64" t="s">
        <v>61</v>
      </c>
      <c r="AF465" s="63" t="s">
        <v>61</v>
      </c>
      <c r="AG465" s="63" t="s">
        <v>61</v>
      </c>
      <c r="AH465" s="63" t="s">
        <v>61</v>
      </c>
      <c r="AI465" s="65" t="s">
        <v>61</v>
      </c>
      <c r="AJ465" s="105" t="s">
        <v>61</v>
      </c>
      <c r="AK465" s="76"/>
    </row>
    <row r="466" ht="24.0" customHeight="1">
      <c r="A466" s="93"/>
      <c r="B466" s="36">
        <v>1.0</v>
      </c>
      <c r="C466" s="37" t="str">
        <f>IFERROR(__xludf.DUMMYFUNCTION("""COMPUTED_VALUE"""),"Trey Deckman (XX) - '26 RHP IN")</f>
        <v>Trey Deckman (XX) - '26 RHP IN</v>
      </c>
      <c r="D466" s="38" t="s">
        <v>2711</v>
      </c>
      <c r="E466" s="39" t="s">
        <v>63</v>
      </c>
      <c r="F466" s="118">
        <v>45854.0</v>
      </c>
      <c r="G466" s="113" t="s">
        <v>1395</v>
      </c>
      <c r="H466" s="42" t="s">
        <v>351</v>
      </c>
      <c r="I466" s="43" t="s">
        <v>2712</v>
      </c>
      <c r="J466" s="43">
        <v>2026.0</v>
      </c>
      <c r="K466" s="43" t="s">
        <v>410</v>
      </c>
      <c r="L466" s="146" t="s">
        <v>2713</v>
      </c>
      <c r="M466" s="43" t="s">
        <v>63</v>
      </c>
      <c r="N466" s="43" t="s">
        <v>1398</v>
      </c>
      <c r="O466" s="43"/>
      <c r="P466" s="43"/>
      <c r="Q466" s="43" t="s">
        <v>153</v>
      </c>
      <c r="R466" s="43" t="s">
        <v>2714</v>
      </c>
      <c r="S466" s="44" t="s">
        <v>1770</v>
      </c>
      <c r="T466" s="39"/>
      <c r="U466" s="39"/>
      <c r="V466" s="39"/>
      <c r="W466" s="39"/>
      <c r="X466" s="39"/>
      <c r="Y466" s="39"/>
      <c r="Z466" s="46"/>
      <c r="AA466" s="47" t="s">
        <v>2715</v>
      </c>
      <c r="AB466" s="48" t="s">
        <v>61</v>
      </c>
      <c r="AC466" s="68" t="s">
        <v>61</v>
      </c>
      <c r="AD466" s="69" t="s">
        <v>61</v>
      </c>
      <c r="AE466" s="69" t="s">
        <v>61</v>
      </c>
      <c r="AF466" s="68" t="s">
        <v>61</v>
      </c>
      <c r="AG466" s="68" t="s">
        <v>61</v>
      </c>
      <c r="AH466" s="68" t="s">
        <v>61</v>
      </c>
      <c r="AI466" s="70" t="s">
        <v>61</v>
      </c>
      <c r="AJ466" s="114" t="s">
        <v>61</v>
      </c>
      <c r="AK466" s="82"/>
    </row>
    <row r="467" ht="24.0" customHeight="1">
      <c r="A467" s="35"/>
      <c r="B467" s="36">
        <v>1.0</v>
      </c>
      <c r="C467" s="37" t="str">
        <f>IFERROR(__xludf.DUMMYFUNCTION("""COMPUTED_VALUE"""),"Tristan Lange (XX) - '26  VA")</f>
        <v>Tristan Lange (XX) - '26  VA</v>
      </c>
      <c r="D467" s="38" t="s">
        <v>2716</v>
      </c>
      <c r="E467" s="51" t="s">
        <v>61</v>
      </c>
      <c r="F467" s="115"/>
      <c r="G467" s="116"/>
      <c r="H467" s="54" t="s">
        <v>1533</v>
      </c>
      <c r="I467" s="55" t="s">
        <v>2717</v>
      </c>
      <c r="J467" s="55">
        <v>2026.0</v>
      </c>
      <c r="K467" s="55" t="s">
        <v>410</v>
      </c>
      <c r="L467" s="55" t="s">
        <v>2718</v>
      </c>
      <c r="M467" s="55"/>
      <c r="N467" s="57"/>
      <c r="O467" s="57"/>
      <c r="P467" s="57"/>
      <c r="Q467" s="55" t="s">
        <v>125</v>
      </c>
      <c r="R467" s="55" t="s">
        <v>2719</v>
      </c>
      <c r="S467" s="58" t="s">
        <v>1766</v>
      </c>
      <c r="T467" s="100"/>
      <c r="U467" s="100"/>
      <c r="V467" s="100"/>
      <c r="W467" s="74"/>
      <c r="X467" s="153">
        <v>45949.0</v>
      </c>
      <c r="Y467" s="100"/>
      <c r="Z467" s="60" t="s">
        <v>1414</v>
      </c>
      <c r="AA467" s="73" t="s">
        <v>2720</v>
      </c>
      <c r="AB467" s="62" t="s">
        <v>61</v>
      </c>
      <c r="AC467" s="63" t="s">
        <v>61</v>
      </c>
      <c r="AD467" s="64" t="s">
        <v>61</v>
      </c>
      <c r="AE467" s="64" t="s">
        <v>61</v>
      </c>
      <c r="AF467" s="63" t="s">
        <v>61</v>
      </c>
      <c r="AG467" s="63" t="s">
        <v>61</v>
      </c>
      <c r="AH467" s="63" t="s">
        <v>61</v>
      </c>
      <c r="AI467" s="65" t="s">
        <v>61</v>
      </c>
      <c r="AJ467" s="105" t="s">
        <v>61</v>
      </c>
      <c r="AK467" s="76"/>
    </row>
    <row r="468" ht="24.0" customHeight="1">
      <c r="A468" s="35"/>
      <c r="B468" s="36">
        <v>1.0</v>
      </c>
      <c r="C468" s="37" t="str">
        <f>IFERROR(__xludf.DUMMYFUNCTION("""COMPUTED_VALUE"""),"Vaughan Steinert (XX) - '26 OF NY")</f>
        <v>Vaughan Steinert (XX) - '26 OF NY</v>
      </c>
      <c r="D468" s="38" t="s">
        <v>2721</v>
      </c>
      <c r="E468" s="39" t="s">
        <v>103</v>
      </c>
      <c r="F468" s="118">
        <v>45849.0</v>
      </c>
      <c r="G468" s="113" t="s">
        <v>1395</v>
      </c>
      <c r="H468" s="42" t="s">
        <v>2722</v>
      </c>
      <c r="I468" s="43" t="s">
        <v>2723</v>
      </c>
      <c r="J468" s="43">
        <v>2026.0</v>
      </c>
      <c r="K468" s="43" t="s">
        <v>410</v>
      </c>
      <c r="L468" s="80"/>
      <c r="M468" s="43" t="s">
        <v>103</v>
      </c>
      <c r="N468" s="80"/>
      <c r="O468" s="80"/>
      <c r="P468" s="43"/>
      <c r="Q468" s="43" t="s">
        <v>255</v>
      </c>
      <c r="R468" s="43"/>
      <c r="S468" s="44" t="s">
        <v>2724</v>
      </c>
      <c r="T468" s="81"/>
      <c r="U468" s="39"/>
      <c r="V468" s="39"/>
      <c r="W468" s="39"/>
      <c r="X468" s="39"/>
      <c r="Y468" s="39"/>
      <c r="Z468" s="46"/>
      <c r="AA468" s="47" t="s">
        <v>2725</v>
      </c>
      <c r="AB468" s="48" t="s">
        <v>2726</v>
      </c>
      <c r="AC468" s="68" t="s">
        <v>400</v>
      </c>
      <c r="AD468" s="69" t="s">
        <v>2727</v>
      </c>
      <c r="AE468" s="69" t="s">
        <v>2728</v>
      </c>
      <c r="AF468" s="68" t="s">
        <v>2729</v>
      </c>
      <c r="AG468" s="68" t="s">
        <v>2730</v>
      </c>
      <c r="AH468" s="68" t="s">
        <v>81</v>
      </c>
      <c r="AI468" s="70" t="s">
        <v>81</v>
      </c>
      <c r="AJ468" s="114" t="s">
        <v>61</v>
      </c>
      <c r="AK468" s="82"/>
    </row>
    <row r="469" ht="24.0" customHeight="1">
      <c r="A469" s="88"/>
      <c r="B469" s="36">
        <v>1.0</v>
      </c>
      <c r="C469" s="37" t="str">
        <f>IFERROR(__xludf.DUMMYFUNCTION("""COMPUTED_VALUE"""),"Vaughn Osting (XX) - '26  FL")</f>
        <v>Vaughn Osting (XX) - '26  FL</v>
      </c>
      <c r="D469" s="38" t="s">
        <v>2731</v>
      </c>
      <c r="E469" s="51" t="s">
        <v>61</v>
      </c>
      <c r="F469" s="115"/>
      <c r="G469" s="116"/>
      <c r="H469" s="54" t="s">
        <v>2732</v>
      </c>
      <c r="I469" s="55" t="s">
        <v>2733</v>
      </c>
      <c r="J469" s="55">
        <v>2026.0</v>
      </c>
      <c r="K469" s="55" t="s">
        <v>410</v>
      </c>
      <c r="L469" s="145" t="s">
        <v>2734</v>
      </c>
      <c r="M469" s="55"/>
      <c r="N469" s="57"/>
      <c r="O469" s="57"/>
      <c r="P469" s="57"/>
      <c r="Q469" s="55" t="s">
        <v>66</v>
      </c>
      <c r="R469" s="55" t="s">
        <v>2007</v>
      </c>
      <c r="S469" s="58" t="s">
        <v>1642</v>
      </c>
      <c r="T469" s="102">
        <v>4.4</v>
      </c>
      <c r="U469" s="100"/>
      <c r="V469" s="100"/>
      <c r="W469" s="100"/>
      <c r="X469" s="100"/>
      <c r="Y469" s="100"/>
      <c r="Z469" s="76"/>
      <c r="AA469" s="73" t="s">
        <v>2735</v>
      </c>
      <c r="AB469" s="62" t="s">
        <v>61</v>
      </c>
      <c r="AC469" s="63" t="s">
        <v>61</v>
      </c>
      <c r="AD469" s="64" t="s">
        <v>61</v>
      </c>
      <c r="AE469" s="64" t="s">
        <v>61</v>
      </c>
      <c r="AF469" s="63" t="s">
        <v>61</v>
      </c>
      <c r="AG469" s="63" t="s">
        <v>61</v>
      </c>
      <c r="AH469" s="63" t="s">
        <v>61</v>
      </c>
      <c r="AI469" s="65" t="s">
        <v>61</v>
      </c>
      <c r="AJ469" s="105" t="s">
        <v>61</v>
      </c>
      <c r="AK469" s="76"/>
    </row>
    <row r="470" ht="24.0" customHeight="1">
      <c r="A470" s="35"/>
      <c r="B470" s="36">
        <v>1.0</v>
      </c>
      <c r="C470" s="37" t="str">
        <f>IFERROR(__xludf.DUMMYFUNCTION("""COMPUTED_VALUE"""),"Walker Hudson (XX) - '26 C GA")</f>
        <v>Walker Hudson (XX) - '26 C GA</v>
      </c>
      <c r="D470" s="38" t="s">
        <v>2736</v>
      </c>
      <c r="E470" s="39" t="s">
        <v>109</v>
      </c>
      <c r="F470" s="124">
        <v>45851.0</v>
      </c>
      <c r="G470" s="113" t="s">
        <v>1430</v>
      </c>
      <c r="H470" s="42" t="s">
        <v>2737</v>
      </c>
      <c r="I470" s="43" t="s">
        <v>1678</v>
      </c>
      <c r="J470" s="43">
        <v>2026.0</v>
      </c>
      <c r="K470" s="43" t="s">
        <v>410</v>
      </c>
      <c r="L470" s="146" t="s">
        <v>2144</v>
      </c>
      <c r="M470" s="43" t="s">
        <v>109</v>
      </c>
      <c r="N470" s="43"/>
      <c r="O470" s="43" t="s">
        <v>1550</v>
      </c>
      <c r="P470" s="43"/>
      <c r="Q470" s="43" t="s">
        <v>43</v>
      </c>
      <c r="R470" s="43" t="s">
        <v>2738</v>
      </c>
      <c r="S470" s="44" t="s">
        <v>1827</v>
      </c>
      <c r="T470" s="39" t="s">
        <v>2565</v>
      </c>
      <c r="U470" s="39"/>
      <c r="V470" s="39"/>
      <c r="W470" s="39"/>
      <c r="X470" s="39"/>
      <c r="Y470" s="39"/>
      <c r="Z470" s="46" t="s">
        <v>1901</v>
      </c>
      <c r="AA470" s="47" t="s">
        <v>2739</v>
      </c>
      <c r="AB470" s="48" t="s">
        <v>2740</v>
      </c>
      <c r="AC470" s="68" t="s">
        <v>2741</v>
      </c>
      <c r="AD470" s="69">
        <v>4.0</v>
      </c>
      <c r="AE470" s="69" t="s">
        <v>2742</v>
      </c>
      <c r="AF470" s="68" t="s">
        <v>60</v>
      </c>
      <c r="AG470" s="68" t="s">
        <v>60</v>
      </c>
      <c r="AH470" s="68" t="s">
        <v>60</v>
      </c>
      <c r="AI470" s="70" t="s">
        <v>60</v>
      </c>
      <c r="AJ470" s="114" t="s">
        <v>61</v>
      </c>
      <c r="AK470" s="82"/>
    </row>
    <row r="471" ht="24.0" customHeight="1">
      <c r="A471" s="71"/>
      <c r="B471" s="36">
        <v>1.0</v>
      </c>
      <c r="C471" s="37" t="str">
        <f>IFERROR(__xludf.DUMMYFUNCTION("""COMPUTED_VALUE"""),"Walker Killimett (XX) - '26 CF GA")</f>
        <v>Walker Killimett (XX) - '26 CF GA</v>
      </c>
      <c r="D471" s="38" t="s">
        <v>2743</v>
      </c>
      <c r="E471" s="51" t="s">
        <v>103</v>
      </c>
      <c r="F471" s="115"/>
      <c r="G471" s="116"/>
      <c r="H471" s="54" t="s">
        <v>2737</v>
      </c>
      <c r="I471" s="55" t="s">
        <v>2744</v>
      </c>
      <c r="J471" s="55">
        <v>2026.0</v>
      </c>
      <c r="K471" s="55" t="s">
        <v>410</v>
      </c>
      <c r="L471" s="55" t="s">
        <v>2028</v>
      </c>
      <c r="M471" s="55" t="s">
        <v>106</v>
      </c>
      <c r="N471" s="57"/>
      <c r="O471" s="57"/>
      <c r="P471" s="57"/>
      <c r="Q471" s="55" t="s">
        <v>43</v>
      </c>
      <c r="R471" s="55" t="s">
        <v>2745</v>
      </c>
      <c r="S471" s="58">
        <v>643.0</v>
      </c>
      <c r="T471" s="102">
        <v>4.0</v>
      </c>
      <c r="U471" s="100"/>
      <c r="V471" s="100"/>
      <c r="W471" s="74"/>
      <c r="X471" s="100"/>
      <c r="Y471" s="100"/>
      <c r="Z471" s="60" t="s">
        <v>1541</v>
      </c>
      <c r="AA471" s="73" t="s">
        <v>2746</v>
      </c>
      <c r="AB471" s="62" t="s">
        <v>2747</v>
      </c>
      <c r="AC471" s="63" t="s">
        <v>2748</v>
      </c>
      <c r="AD471" s="64">
        <v>4.0</v>
      </c>
      <c r="AE471" s="64" t="s">
        <v>400</v>
      </c>
      <c r="AF471" s="63" t="s">
        <v>400</v>
      </c>
      <c r="AG471" s="63" t="s">
        <v>2749</v>
      </c>
      <c r="AH471" s="63" t="s">
        <v>400</v>
      </c>
      <c r="AI471" s="65" t="s">
        <v>81</v>
      </c>
      <c r="AJ471" s="105" t="s">
        <v>61</v>
      </c>
      <c r="AK471" s="76"/>
    </row>
    <row r="472" ht="24.0" customHeight="1">
      <c r="A472" s="35"/>
      <c r="B472" s="36">
        <v>1.0</v>
      </c>
      <c r="C472" s="37" t="str">
        <f>IFERROR(__xludf.DUMMYFUNCTION("""COMPUTED_VALUE"""),"Warren Gravely (XX) - '26  CA")</f>
        <v>Warren Gravely (XX) - '26  CA</v>
      </c>
      <c r="D472" s="38" t="s">
        <v>2750</v>
      </c>
      <c r="E472" s="39" t="s">
        <v>61</v>
      </c>
      <c r="F472" s="112"/>
      <c r="G472" s="113"/>
      <c r="H472" s="42" t="s">
        <v>2751</v>
      </c>
      <c r="I472" s="43" t="s">
        <v>2752</v>
      </c>
      <c r="J472" s="43">
        <v>2026.0</v>
      </c>
      <c r="K472" s="43" t="s">
        <v>410</v>
      </c>
      <c r="L472" s="43" t="s">
        <v>1981</v>
      </c>
      <c r="M472" s="43"/>
      <c r="N472" s="80"/>
      <c r="O472" s="80"/>
      <c r="P472" s="80"/>
      <c r="Q472" s="43" t="s">
        <v>52</v>
      </c>
      <c r="R472" s="43" t="s">
        <v>2753</v>
      </c>
      <c r="S472" s="44"/>
      <c r="T472" s="94">
        <v>3.8</v>
      </c>
      <c r="U472" s="109"/>
      <c r="V472" s="109"/>
      <c r="W472" s="81"/>
      <c r="X472" s="109"/>
      <c r="Y472" s="109"/>
      <c r="Z472" s="82"/>
      <c r="AA472" s="47" t="s">
        <v>2754</v>
      </c>
      <c r="AB472" s="48" t="s">
        <v>61</v>
      </c>
      <c r="AC472" s="68" t="s">
        <v>61</v>
      </c>
      <c r="AD472" s="69" t="s">
        <v>61</v>
      </c>
      <c r="AE472" s="69" t="s">
        <v>61</v>
      </c>
      <c r="AF472" s="68" t="s">
        <v>61</v>
      </c>
      <c r="AG472" s="68" t="s">
        <v>61</v>
      </c>
      <c r="AH472" s="68" t="s">
        <v>61</v>
      </c>
      <c r="AI472" s="70" t="s">
        <v>61</v>
      </c>
      <c r="AJ472" s="114" t="s">
        <v>61</v>
      </c>
      <c r="AK472" s="82"/>
    </row>
    <row r="473" ht="24.0" customHeight="1">
      <c r="A473" s="35"/>
      <c r="B473" s="36">
        <v>1.0</v>
      </c>
      <c r="C473" s="37" t="str">
        <f>IFERROR(__xludf.DUMMYFUNCTION("""COMPUTED_VALUE"""),"Winston Pennant (XX) - '26  FL")</f>
        <v>Winston Pennant (XX) - '26  FL</v>
      </c>
      <c r="D473" s="38" t="s">
        <v>2755</v>
      </c>
      <c r="E473" s="51" t="s">
        <v>61</v>
      </c>
      <c r="F473" s="115"/>
      <c r="G473" s="116"/>
      <c r="H473" s="54" t="s">
        <v>2756</v>
      </c>
      <c r="I473" s="55" t="s">
        <v>2757</v>
      </c>
      <c r="J473" s="55">
        <v>2026.0</v>
      </c>
      <c r="K473" s="55" t="s">
        <v>410</v>
      </c>
      <c r="L473" s="145" t="s">
        <v>2758</v>
      </c>
      <c r="M473" s="55"/>
      <c r="N473" s="57"/>
      <c r="O473" s="57"/>
      <c r="P473" s="57"/>
      <c r="Q473" s="55" t="s">
        <v>66</v>
      </c>
      <c r="R473" s="55" t="s">
        <v>2759</v>
      </c>
      <c r="S473" s="58" t="s">
        <v>1642</v>
      </c>
      <c r="T473" s="100"/>
      <c r="U473" s="100"/>
      <c r="V473" s="100"/>
      <c r="W473" s="74"/>
      <c r="X473" s="100"/>
      <c r="Y473" s="100"/>
      <c r="Z473" s="76"/>
      <c r="AA473" s="73" t="s">
        <v>2760</v>
      </c>
      <c r="AB473" s="62" t="s">
        <v>61</v>
      </c>
      <c r="AC473" s="63" t="s">
        <v>61</v>
      </c>
      <c r="AD473" s="64" t="s">
        <v>61</v>
      </c>
      <c r="AE473" s="64" t="s">
        <v>61</v>
      </c>
      <c r="AF473" s="63" t="s">
        <v>61</v>
      </c>
      <c r="AG473" s="63" t="s">
        <v>61</v>
      </c>
      <c r="AH473" s="63" t="s">
        <v>61</v>
      </c>
      <c r="AI473" s="65" t="s">
        <v>61</v>
      </c>
      <c r="AJ473" s="105" t="s">
        <v>61</v>
      </c>
      <c r="AK473" s="76"/>
    </row>
    <row r="474" ht="24.0" customHeight="1">
      <c r="A474" s="35"/>
      <c r="B474" s="36">
        <v>1.0</v>
      </c>
      <c r="C474" s="37" t="str">
        <f>IFERROR(__xludf.DUMMYFUNCTION("""COMPUTED_VALUE"""),"Wyatt Hossenlopp (XX) - '26 CINF FL")</f>
        <v>Wyatt Hossenlopp (XX) - '26 CINF FL</v>
      </c>
      <c r="D474" s="38" t="s">
        <v>2761</v>
      </c>
      <c r="E474" s="39" t="s">
        <v>48</v>
      </c>
      <c r="F474" s="112"/>
      <c r="G474" s="113" t="s">
        <v>1430</v>
      </c>
      <c r="H474" s="42" t="s">
        <v>1302</v>
      </c>
      <c r="I474" s="43" t="s">
        <v>2762</v>
      </c>
      <c r="J474" s="43">
        <v>2026.0</v>
      </c>
      <c r="K474" s="43" t="s">
        <v>410</v>
      </c>
      <c r="L474" s="146" t="s">
        <v>228</v>
      </c>
      <c r="M474" s="43" t="s">
        <v>72</v>
      </c>
      <c r="N474" s="80"/>
      <c r="O474" s="80"/>
      <c r="P474" s="80"/>
      <c r="Q474" s="43" t="s">
        <v>66</v>
      </c>
      <c r="R474" s="43" t="s">
        <v>2547</v>
      </c>
      <c r="S474" s="44" t="s">
        <v>2763</v>
      </c>
      <c r="T474" s="39">
        <v>4.18</v>
      </c>
      <c r="U474" s="81"/>
      <c r="V474" s="81"/>
      <c r="W474" s="81"/>
      <c r="X474" s="81"/>
      <c r="Y474" s="81"/>
      <c r="Z474" s="46" t="s">
        <v>1414</v>
      </c>
      <c r="AA474" s="47" t="s">
        <v>2764</v>
      </c>
      <c r="AB474" s="48" t="s">
        <v>2765</v>
      </c>
      <c r="AC474" s="68" t="s">
        <v>2766</v>
      </c>
      <c r="AD474" s="69">
        <v>4.18</v>
      </c>
      <c r="AE474" s="69" t="s">
        <v>2767</v>
      </c>
      <c r="AF474" s="68" t="s">
        <v>2768</v>
      </c>
      <c r="AG474" s="68" t="s">
        <v>2769</v>
      </c>
      <c r="AH474" s="68" t="s">
        <v>2770</v>
      </c>
      <c r="AI474" s="70" t="s">
        <v>2771</v>
      </c>
      <c r="AJ474" s="114" t="s">
        <v>61</v>
      </c>
      <c r="AK474" s="82"/>
    </row>
    <row r="475" ht="24.0" customHeight="1">
      <c r="A475" s="125"/>
      <c r="B475" s="36">
        <v>1.0</v>
      </c>
      <c r="C475" s="37" t="str">
        <f>IFERROR(__xludf.DUMMYFUNCTION("""COMPUTED_VALUE"""),"Zach Clark (XX) - '26 RHP TX")</f>
        <v>Zach Clark (XX) - '26 RHP TX</v>
      </c>
      <c r="D475" s="38" t="s">
        <v>2772</v>
      </c>
      <c r="E475" s="51" t="s">
        <v>63</v>
      </c>
      <c r="F475" s="115"/>
      <c r="G475" s="116" t="s">
        <v>1470</v>
      </c>
      <c r="H475" s="54" t="s">
        <v>2773</v>
      </c>
      <c r="I475" s="55" t="s">
        <v>2774</v>
      </c>
      <c r="J475" s="55">
        <v>2026.0</v>
      </c>
      <c r="K475" s="55" t="s">
        <v>410</v>
      </c>
      <c r="L475" s="55" t="s">
        <v>2018</v>
      </c>
      <c r="M475" s="55" t="s">
        <v>63</v>
      </c>
      <c r="N475" s="55"/>
      <c r="O475" s="55"/>
      <c r="P475" s="55"/>
      <c r="Q475" s="55" t="s">
        <v>180</v>
      </c>
      <c r="R475" s="55" t="s">
        <v>2775</v>
      </c>
      <c r="S475" s="58" t="s">
        <v>2776</v>
      </c>
      <c r="T475" s="51">
        <v>4.8</v>
      </c>
      <c r="U475" s="51"/>
      <c r="V475" s="51"/>
      <c r="W475" s="51"/>
      <c r="X475" s="51"/>
      <c r="Y475" s="51"/>
      <c r="Z475" s="60"/>
      <c r="AA475" s="73" t="s">
        <v>2777</v>
      </c>
      <c r="AB475" s="62" t="s">
        <v>61</v>
      </c>
      <c r="AC475" s="63" t="s">
        <v>61</v>
      </c>
      <c r="AD475" s="64" t="s">
        <v>61</v>
      </c>
      <c r="AE475" s="64" t="s">
        <v>61</v>
      </c>
      <c r="AF475" s="63" t="s">
        <v>61</v>
      </c>
      <c r="AG475" s="63" t="s">
        <v>61</v>
      </c>
      <c r="AH475" s="63" t="s">
        <v>61</v>
      </c>
      <c r="AI475" s="65" t="s">
        <v>61</v>
      </c>
      <c r="AJ475" s="105" t="s">
        <v>61</v>
      </c>
      <c r="AK475" s="76"/>
    </row>
    <row r="476" ht="24.0" customHeight="1">
      <c r="A476" s="71"/>
      <c r="B476" s="36">
        <v>1.0</v>
      </c>
      <c r="C476" s="37" t="str">
        <f>IFERROR(__xludf.DUMMYFUNCTION("""COMPUTED_VALUE"""),"Zach Floyd (XX) - '26 CF KY")</f>
        <v>Zach Floyd (XX) - '26 CF KY</v>
      </c>
      <c r="D476" s="38" t="s">
        <v>2778</v>
      </c>
      <c r="E476" s="39" t="s">
        <v>103</v>
      </c>
      <c r="F476" s="112"/>
      <c r="G476" s="113"/>
      <c r="H476" s="42" t="s">
        <v>2773</v>
      </c>
      <c r="I476" s="43" t="s">
        <v>2779</v>
      </c>
      <c r="J476" s="43">
        <v>2026.0</v>
      </c>
      <c r="K476" s="43" t="s">
        <v>410</v>
      </c>
      <c r="L476" s="146" t="s">
        <v>2780</v>
      </c>
      <c r="M476" s="43" t="s">
        <v>106</v>
      </c>
      <c r="N476" s="80"/>
      <c r="O476" s="80"/>
      <c r="P476" s="80"/>
      <c r="Q476" s="43" t="s">
        <v>543</v>
      </c>
      <c r="R476" s="43" t="s">
        <v>2680</v>
      </c>
      <c r="S476" s="44"/>
      <c r="T476" s="94">
        <v>3.8</v>
      </c>
      <c r="U476" s="109"/>
      <c r="V476" s="109"/>
      <c r="W476" s="81"/>
      <c r="X476" s="109"/>
      <c r="Y476" s="109"/>
      <c r="Z476" s="46" t="s">
        <v>1892</v>
      </c>
      <c r="AA476" s="47" t="s">
        <v>2781</v>
      </c>
      <c r="AB476" s="48" t="s">
        <v>2782</v>
      </c>
      <c r="AC476" s="68" t="s">
        <v>2783</v>
      </c>
      <c r="AD476" s="69">
        <v>4.0</v>
      </c>
      <c r="AE476" s="69" t="s">
        <v>2784</v>
      </c>
      <c r="AF476" s="68" t="s">
        <v>2785</v>
      </c>
      <c r="AG476" s="68" t="s">
        <v>81</v>
      </c>
      <c r="AH476" s="68" t="s">
        <v>81</v>
      </c>
      <c r="AI476" s="70" t="s">
        <v>2786</v>
      </c>
      <c r="AJ476" s="114" t="s">
        <v>61</v>
      </c>
      <c r="AK476" s="82"/>
    </row>
    <row r="477" ht="24.0" customHeight="1">
      <c r="A477" s="35"/>
      <c r="B477" s="36">
        <v>1.0</v>
      </c>
      <c r="C477" s="37" t="str">
        <f>IFERROR(__xludf.DUMMYFUNCTION("""COMPUTED_VALUE"""),"Ty Arafet (XX) - '26 RHP FL")</f>
        <v>Ty Arafet (XX) - '26 RHP FL</v>
      </c>
      <c r="D477" s="89" t="s">
        <v>2787</v>
      </c>
      <c r="E477" s="51" t="s">
        <v>63</v>
      </c>
      <c r="F477" s="154">
        <v>46156.0</v>
      </c>
      <c r="G477" s="116" t="s">
        <v>1395</v>
      </c>
      <c r="H477" s="54" t="s">
        <v>1536</v>
      </c>
      <c r="I477" s="55" t="s">
        <v>2788</v>
      </c>
      <c r="J477" s="55">
        <v>2026.0</v>
      </c>
      <c r="K477" s="55" t="s">
        <v>410</v>
      </c>
      <c r="L477" s="55" t="s">
        <v>2789</v>
      </c>
      <c r="M477" s="55" t="s">
        <v>63</v>
      </c>
      <c r="N477" s="55"/>
      <c r="O477" s="55" t="s">
        <v>1550</v>
      </c>
      <c r="P477" s="55" t="s">
        <v>2790</v>
      </c>
      <c r="Q477" s="55" t="s">
        <v>66</v>
      </c>
      <c r="R477" s="55" t="s">
        <v>2791</v>
      </c>
      <c r="S477" s="132"/>
      <c r="T477" s="74"/>
      <c r="U477" s="74"/>
      <c r="V477" s="51" t="s">
        <v>2792</v>
      </c>
      <c r="W477" s="51"/>
      <c r="X477" s="74"/>
      <c r="Y477" s="74"/>
      <c r="Z477" s="76"/>
      <c r="AA477" s="155"/>
      <c r="AB477" s="62" t="s">
        <v>2793</v>
      </c>
      <c r="AC477" s="63" t="s">
        <v>2794</v>
      </c>
      <c r="AD477" s="64" t="s">
        <v>2795</v>
      </c>
      <c r="AE477" s="64" t="s">
        <v>2796</v>
      </c>
      <c r="AF477" s="63" t="s">
        <v>2797</v>
      </c>
      <c r="AG477" s="63" t="s">
        <v>81</v>
      </c>
      <c r="AH477" s="63" t="s">
        <v>857</v>
      </c>
      <c r="AI477" s="65" t="s">
        <v>81</v>
      </c>
      <c r="AJ477" s="105" t="s">
        <v>61</v>
      </c>
      <c r="AK477" s="76"/>
    </row>
    <row r="478" ht="24.0" customHeight="1">
      <c r="A478" s="35"/>
      <c r="B478" s="36">
        <v>1.0</v>
      </c>
      <c r="C478" s="37" t="str">
        <f>IFERROR(__xludf.DUMMYFUNCTION("""COMPUTED_VALUE"""),"Bradley McCafferty (XX) - '26 C MA")</f>
        <v>Bradley McCafferty (XX) - '26 C MA</v>
      </c>
      <c r="D478" s="89" t="s">
        <v>2798</v>
      </c>
      <c r="E478" s="39" t="s">
        <v>109</v>
      </c>
      <c r="F478" s="156">
        <v>46163.0</v>
      </c>
      <c r="G478" s="113" t="s">
        <v>1395</v>
      </c>
      <c r="H478" s="42" t="s">
        <v>2113</v>
      </c>
      <c r="I478" s="43" t="s">
        <v>2799</v>
      </c>
      <c r="J478" s="43">
        <v>2026.0</v>
      </c>
      <c r="K478" s="43" t="s">
        <v>410</v>
      </c>
      <c r="L478" s="43" t="s">
        <v>2323</v>
      </c>
      <c r="M478" s="43" t="s">
        <v>109</v>
      </c>
      <c r="N478" s="43"/>
      <c r="O478" s="43" t="s">
        <v>1550</v>
      </c>
      <c r="P478" s="43" t="s">
        <v>2800</v>
      </c>
      <c r="Q478" s="43" t="s">
        <v>85</v>
      </c>
      <c r="R478" s="43" t="s">
        <v>2801</v>
      </c>
      <c r="S478" s="117"/>
      <c r="T478" s="39" t="s">
        <v>2802</v>
      </c>
      <c r="U478" s="81"/>
      <c r="V478" s="81"/>
      <c r="W478" s="81"/>
      <c r="X478" s="81"/>
      <c r="Y478" s="81"/>
      <c r="Z478" s="82"/>
      <c r="AA478" s="47" t="s">
        <v>2803</v>
      </c>
      <c r="AB478" s="48" t="s">
        <v>61</v>
      </c>
      <c r="AC478" s="68" t="s">
        <v>61</v>
      </c>
      <c r="AD478" s="69" t="s">
        <v>61</v>
      </c>
      <c r="AE478" s="69" t="s">
        <v>61</v>
      </c>
      <c r="AF478" s="68" t="s">
        <v>61</v>
      </c>
      <c r="AG478" s="68" t="s">
        <v>61</v>
      </c>
      <c r="AH478" s="68" t="s">
        <v>61</v>
      </c>
      <c r="AI478" s="70" t="s">
        <v>61</v>
      </c>
      <c r="AJ478" s="114" t="s">
        <v>61</v>
      </c>
      <c r="AK478" s="82"/>
    </row>
    <row r="479" ht="24.0" customHeight="1">
      <c r="A479" s="35"/>
      <c r="B479" s="36">
        <v>1.0</v>
      </c>
      <c r="C479" s="37" t="str">
        <f>IFERROR(__xludf.DUMMYFUNCTION("""COMPUTED_VALUE"""),"Braden McCaffrey () - '26 C ??")</f>
        <v>Braden McCaffrey () - '26 C ??</v>
      </c>
      <c r="D479" s="89" t="s">
        <v>2804</v>
      </c>
      <c r="E479" s="51" t="s">
        <v>109</v>
      </c>
      <c r="F479" s="115"/>
      <c r="G479" s="116"/>
      <c r="H479" s="54" t="s">
        <v>512</v>
      </c>
      <c r="I479" s="55" t="s">
        <v>2805</v>
      </c>
      <c r="J479" s="55">
        <v>2026.0</v>
      </c>
      <c r="K479" s="72"/>
      <c r="L479" s="57"/>
      <c r="M479" s="55" t="s">
        <v>109</v>
      </c>
      <c r="N479" s="57"/>
      <c r="O479" s="57"/>
      <c r="P479" s="57"/>
      <c r="Q479" s="55" t="s">
        <v>2806</v>
      </c>
      <c r="R479" s="57"/>
      <c r="S479" s="132"/>
      <c r="T479" s="74"/>
      <c r="U479" s="74"/>
      <c r="V479" s="74"/>
      <c r="W479" s="74"/>
      <c r="X479" s="74"/>
      <c r="Y479" s="74"/>
      <c r="Z479" s="76"/>
      <c r="AA479" s="134"/>
      <c r="AB479" s="62" t="s">
        <v>61</v>
      </c>
      <c r="AC479" s="63" t="s">
        <v>61</v>
      </c>
      <c r="AD479" s="64" t="s">
        <v>61</v>
      </c>
      <c r="AE479" s="64" t="s">
        <v>61</v>
      </c>
      <c r="AF479" s="63" t="s">
        <v>61</v>
      </c>
      <c r="AG479" s="63" t="s">
        <v>61</v>
      </c>
      <c r="AH479" s="63" t="s">
        <v>61</v>
      </c>
      <c r="AI479" s="65" t="s">
        <v>61</v>
      </c>
      <c r="AJ479" s="105" t="s">
        <v>61</v>
      </c>
      <c r="AK479" s="76"/>
    </row>
    <row r="480" ht="24.0" customHeight="1">
      <c r="A480" s="35"/>
      <c r="B480" s="36">
        <v>1.0</v>
      </c>
      <c r="C480" s="37" t="str">
        <f>IFERROR(__xludf.DUMMYFUNCTION("""COMPUTED_VALUE"""),"Cam Swogger () - '26 C ")</f>
        <v>Cam Swogger () - '26 C </v>
      </c>
      <c r="D480" s="89" t="s">
        <v>2807</v>
      </c>
      <c r="E480" s="39" t="s">
        <v>109</v>
      </c>
      <c r="F480" s="112"/>
      <c r="G480" s="113"/>
      <c r="H480" s="42" t="s">
        <v>2808</v>
      </c>
      <c r="I480" s="43" t="s">
        <v>2809</v>
      </c>
      <c r="J480" s="43">
        <v>2026.0</v>
      </c>
      <c r="K480" s="95"/>
      <c r="L480" s="80"/>
      <c r="M480" s="43" t="s">
        <v>109</v>
      </c>
      <c r="N480" s="80"/>
      <c r="O480" s="80"/>
      <c r="P480" s="80"/>
      <c r="Q480" s="80"/>
      <c r="R480" s="43" t="s">
        <v>2810</v>
      </c>
      <c r="S480" s="44"/>
      <c r="T480" s="81"/>
      <c r="U480" s="81"/>
      <c r="V480" s="81"/>
      <c r="W480" s="81"/>
      <c r="X480" s="81"/>
      <c r="Y480" s="81"/>
      <c r="Z480" s="82"/>
      <c r="AA480" s="47" t="s">
        <v>2811</v>
      </c>
      <c r="AB480" s="48" t="s">
        <v>61</v>
      </c>
      <c r="AC480" s="68" t="s">
        <v>61</v>
      </c>
      <c r="AD480" s="69" t="s">
        <v>61</v>
      </c>
      <c r="AE480" s="69" t="s">
        <v>61</v>
      </c>
      <c r="AF480" s="68" t="s">
        <v>61</v>
      </c>
      <c r="AG480" s="68" t="s">
        <v>61</v>
      </c>
      <c r="AH480" s="68" t="s">
        <v>61</v>
      </c>
      <c r="AI480" s="70" t="s">
        <v>61</v>
      </c>
      <c r="AJ480" s="114" t="s">
        <v>61</v>
      </c>
      <c r="AK480" s="82"/>
    </row>
    <row r="481" ht="24.0" customHeight="1">
      <c r="A481" s="35"/>
      <c r="B481" s="36">
        <v>1.0</v>
      </c>
      <c r="C481" s="37" t="str">
        <f>IFERROR(__xludf.DUMMYFUNCTION("""COMPUTED_VALUE"""),"Kolby Crosby (0.1) - '27 RHP NY")</f>
        <v>Kolby Crosby (0.1) - '27 RHP NY</v>
      </c>
      <c r="D481" s="38" t="s">
        <v>2812</v>
      </c>
      <c r="E481" s="51" t="s">
        <v>63</v>
      </c>
      <c r="F481" s="115"/>
      <c r="G481" s="116" t="s">
        <v>1395</v>
      </c>
      <c r="H481" s="54" t="s">
        <v>2813</v>
      </c>
      <c r="I481" s="55" t="s">
        <v>2814</v>
      </c>
      <c r="J481" s="55">
        <v>2027.0</v>
      </c>
      <c r="K481" s="55">
        <v>0.1</v>
      </c>
      <c r="L481" s="55" t="s">
        <v>41</v>
      </c>
      <c r="M481" s="55" t="s">
        <v>63</v>
      </c>
      <c r="N481" s="55"/>
      <c r="O481" s="55"/>
      <c r="P481" s="55"/>
      <c r="Q481" s="55" t="s">
        <v>255</v>
      </c>
      <c r="R481" s="55"/>
      <c r="S481" s="58" t="s">
        <v>2815</v>
      </c>
      <c r="T481" s="51"/>
      <c r="U481" s="51"/>
      <c r="V481" s="51"/>
      <c r="W481" s="51"/>
      <c r="X481" s="51"/>
      <c r="Y481" s="51"/>
      <c r="Z481" s="60" t="s">
        <v>2816</v>
      </c>
      <c r="AA481" s="73" t="s">
        <v>2817</v>
      </c>
      <c r="AB481" s="62" t="s">
        <v>61</v>
      </c>
      <c r="AC481" s="63" t="s">
        <v>61</v>
      </c>
      <c r="AD481" s="64" t="s">
        <v>61</v>
      </c>
      <c r="AE481" s="64" t="s">
        <v>61</v>
      </c>
      <c r="AF481" s="63" t="s">
        <v>61</v>
      </c>
      <c r="AG481" s="63" t="s">
        <v>61</v>
      </c>
      <c r="AH481" s="63" t="s">
        <v>61</v>
      </c>
      <c r="AI481" s="65" t="s">
        <v>61</v>
      </c>
      <c r="AJ481" s="66" t="s">
        <v>61</v>
      </c>
      <c r="AK481" s="60"/>
    </row>
    <row r="482" ht="24.0" customHeight="1">
      <c r="A482" s="35"/>
      <c r="B482" s="36">
        <v>1.0</v>
      </c>
      <c r="C482" s="37" t="str">
        <f>IFERROR(__xludf.DUMMYFUNCTION("""COMPUTED_VALUE"""),"Jude Davidson (0.1) - '27 RHP AL")</f>
        <v>Jude Davidson (0.1) - '27 RHP AL</v>
      </c>
      <c r="D482" s="38" t="s">
        <v>2818</v>
      </c>
      <c r="E482" s="39" t="s">
        <v>63</v>
      </c>
      <c r="F482" s="118">
        <v>45865.0</v>
      </c>
      <c r="G482" s="113" t="s">
        <v>1395</v>
      </c>
      <c r="H482" s="42" t="s">
        <v>2513</v>
      </c>
      <c r="I482" s="43" t="s">
        <v>228</v>
      </c>
      <c r="J482" s="43">
        <v>2027.0</v>
      </c>
      <c r="K482" s="43">
        <v>0.1</v>
      </c>
      <c r="L482" s="43" t="s">
        <v>41</v>
      </c>
      <c r="M482" s="43" t="s">
        <v>63</v>
      </c>
      <c r="N482" s="80"/>
      <c r="O482" s="43" t="s">
        <v>1550</v>
      </c>
      <c r="P482" s="43" t="s">
        <v>2819</v>
      </c>
      <c r="Q482" s="43" t="s">
        <v>731</v>
      </c>
      <c r="R482" s="43" t="s">
        <v>2819</v>
      </c>
      <c r="S482" s="44" t="s">
        <v>2437</v>
      </c>
      <c r="T482" s="39">
        <v>4.6</v>
      </c>
      <c r="U482" s="39"/>
      <c r="V482" s="39" t="s">
        <v>2820</v>
      </c>
      <c r="W482" s="39" t="s">
        <v>2821</v>
      </c>
      <c r="X482" s="81"/>
      <c r="Y482" s="81"/>
      <c r="Z482" s="82"/>
      <c r="AA482" s="99"/>
      <c r="AB482" s="48" t="s">
        <v>2822</v>
      </c>
      <c r="AC482" s="68" t="s">
        <v>2823</v>
      </c>
      <c r="AD482" s="69" t="s">
        <v>2824</v>
      </c>
      <c r="AE482" s="69" t="s">
        <v>2825</v>
      </c>
      <c r="AF482" s="68" t="s">
        <v>2826</v>
      </c>
      <c r="AG482" s="68" t="s">
        <v>81</v>
      </c>
      <c r="AH482" s="68" t="s">
        <v>81</v>
      </c>
      <c r="AI482" s="70" t="s">
        <v>81</v>
      </c>
      <c r="AJ482" s="49" t="s">
        <v>61</v>
      </c>
      <c r="AK482" s="46"/>
    </row>
    <row r="483" ht="24.0" customHeight="1">
      <c r="A483" s="35"/>
      <c r="B483" s="36">
        <v>1.0</v>
      </c>
      <c r="C483" s="37" t="str">
        <f>IFERROR(__xludf.DUMMYFUNCTION("""COMPUTED_VALUE"""),"Caleb Flannery (0.1) - '27 C PA")</f>
        <v>Caleb Flannery (0.1) - '27 C PA</v>
      </c>
      <c r="D483" s="38" t="s">
        <v>2827</v>
      </c>
      <c r="E483" s="51" t="s">
        <v>109</v>
      </c>
      <c r="F483" s="115"/>
      <c r="G483" s="116" t="s">
        <v>1430</v>
      </c>
      <c r="H483" s="54" t="s">
        <v>589</v>
      </c>
      <c r="I483" s="55" t="s">
        <v>2828</v>
      </c>
      <c r="J483" s="55">
        <v>2027.0</v>
      </c>
      <c r="K483" s="55">
        <v>0.1</v>
      </c>
      <c r="L483" s="55" t="s">
        <v>41</v>
      </c>
      <c r="M483" s="55" t="s">
        <v>109</v>
      </c>
      <c r="N483" s="57"/>
      <c r="O483" s="57"/>
      <c r="P483" s="57"/>
      <c r="Q483" s="55" t="s">
        <v>240</v>
      </c>
      <c r="R483" s="55" t="s">
        <v>2829</v>
      </c>
      <c r="S483" s="58"/>
      <c r="T483" s="74"/>
      <c r="U483" s="74"/>
      <c r="V483" s="74"/>
      <c r="W483" s="74"/>
      <c r="X483" s="51" t="s">
        <v>2830</v>
      </c>
      <c r="Y483" s="74"/>
      <c r="Z483" s="76"/>
      <c r="AA483" s="73" t="s">
        <v>2831</v>
      </c>
      <c r="AB483" s="62" t="s">
        <v>2832</v>
      </c>
      <c r="AC483" s="63" t="s">
        <v>2833</v>
      </c>
      <c r="AD483" s="64" t="s">
        <v>2834</v>
      </c>
      <c r="AE483" s="64" t="s">
        <v>400</v>
      </c>
      <c r="AF483" s="63" t="s">
        <v>2835</v>
      </c>
      <c r="AG483" s="63" t="s">
        <v>81</v>
      </c>
      <c r="AH483" s="63" t="s">
        <v>81</v>
      </c>
      <c r="AI483" s="65" t="s">
        <v>81</v>
      </c>
      <c r="AJ483" s="66" t="s">
        <v>61</v>
      </c>
      <c r="AK483" s="60"/>
    </row>
    <row r="484" ht="24.0" customHeight="1">
      <c r="A484" s="35"/>
      <c r="B484" s="36">
        <v>1.0</v>
      </c>
      <c r="C484" s="37" t="str">
        <f>IFERROR(__xludf.DUMMYFUNCTION("""COMPUTED_VALUE"""),"Zach Madar (0.1) - '27 SS TN")</f>
        <v>Zach Madar (0.1) - '27 SS TN</v>
      </c>
      <c r="D484" s="38" t="s">
        <v>2836</v>
      </c>
      <c r="E484" s="39" t="s">
        <v>48</v>
      </c>
      <c r="F484" s="121"/>
      <c r="G484" s="122"/>
      <c r="H484" s="42" t="s">
        <v>2773</v>
      </c>
      <c r="I484" s="43" t="s">
        <v>2837</v>
      </c>
      <c r="J484" s="43">
        <v>2027.0</v>
      </c>
      <c r="K484" s="43">
        <v>0.1</v>
      </c>
      <c r="L484" s="43" t="s">
        <v>41</v>
      </c>
      <c r="M484" s="43" t="s">
        <v>1398</v>
      </c>
      <c r="N484" s="43" t="s">
        <v>2838</v>
      </c>
      <c r="O484" s="43" t="s">
        <v>1550</v>
      </c>
      <c r="P484" s="43" t="s">
        <v>2839</v>
      </c>
      <c r="Q484" s="43" t="s">
        <v>330</v>
      </c>
      <c r="R484" s="43" t="s">
        <v>2840</v>
      </c>
      <c r="S484" s="44" t="s">
        <v>2841</v>
      </c>
      <c r="T484" s="81"/>
      <c r="U484" s="81"/>
      <c r="V484" s="157"/>
      <c r="W484" s="39" t="s">
        <v>1724</v>
      </c>
      <c r="X484" s="81"/>
      <c r="Y484" s="81"/>
      <c r="Z484" s="82"/>
      <c r="AA484" s="99"/>
      <c r="AB484" s="48" t="s">
        <v>2842</v>
      </c>
      <c r="AC484" s="68" t="s">
        <v>2843</v>
      </c>
      <c r="AD484" s="69">
        <v>4.06</v>
      </c>
      <c r="AE484" s="69" t="s">
        <v>2844</v>
      </c>
      <c r="AF484" s="68" t="s">
        <v>60</v>
      </c>
      <c r="AG484" s="68" t="s">
        <v>2845</v>
      </c>
      <c r="AH484" s="68" t="s">
        <v>2846</v>
      </c>
      <c r="AI484" s="70" t="s">
        <v>81</v>
      </c>
      <c r="AJ484" s="49" t="s">
        <v>61</v>
      </c>
      <c r="AK484" s="46"/>
    </row>
    <row r="485" ht="24.0" customHeight="1">
      <c r="A485" s="35"/>
      <c r="B485" s="36">
        <v>1.0</v>
      </c>
      <c r="C485" s="37" t="str">
        <f>IFERROR(__xludf.DUMMYFUNCTION("""COMPUTED_VALUE"""),"Jack Van Gemert (0.1) - '27 RHP MN")</f>
        <v>Jack Van Gemert (0.1) - '27 RHP MN</v>
      </c>
      <c r="D485" s="38" t="s">
        <v>2847</v>
      </c>
      <c r="E485" s="51" t="s">
        <v>63</v>
      </c>
      <c r="F485" s="119">
        <v>45848.0</v>
      </c>
      <c r="G485" s="133"/>
      <c r="H485" s="54" t="s">
        <v>424</v>
      </c>
      <c r="I485" s="55" t="s">
        <v>2848</v>
      </c>
      <c r="J485" s="55">
        <v>2027.0</v>
      </c>
      <c r="K485" s="55">
        <v>0.1</v>
      </c>
      <c r="L485" s="55" t="s">
        <v>41</v>
      </c>
      <c r="M485" s="55" t="s">
        <v>63</v>
      </c>
      <c r="N485" s="55"/>
      <c r="O485" s="57"/>
      <c r="P485" s="57"/>
      <c r="Q485" s="55" t="s">
        <v>448</v>
      </c>
      <c r="R485" s="57"/>
      <c r="S485" s="58" t="s">
        <v>2849</v>
      </c>
      <c r="T485" s="74"/>
      <c r="U485" s="74"/>
      <c r="V485" s="74"/>
      <c r="W485" s="74"/>
      <c r="X485" s="74"/>
      <c r="Y485" s="74"/>
      <c r="Z485" s="76"/>
      <c r="AA485" s="134"/>
      <c r="AB485" s="62" t="s">
        <v>2850</v>
      </c>
      <c r="AC485" s="63" t="s">
        <v>2851</v>
      </c>
      <c r="AD485" s="64" t="s">
        <v>2852</v>
      </c>
      <c r="AE485" s="64" t="s">
        <v>2784</v>
      </c>
      <c r="AF485" s="63" t="s">
        <v>2853</v>
      </c>
      <c r="AG485" s="63" t="s">
        <v>2854</v>
      </c>
      <c r="AH485" s="63" t="s">
        <v>2855</v>
      </c>
      <c r="AI485" s="65" t="s">
        <v>81</v>
      </c>
      <c r="AJ485" s="66" t="s">
        <v>61</v>
      </c>
      <c r="AK485" s="60"/>
    </row>
    <row r="486" ht="24.0" customHeight="1">
      <c r="A486" s="35"/>
      <c r="B486" s="36">
        <v>1.0</v>
      </c>
      <c r="C486" s="37" t="str">
        <f>IFERROR(__xludf.DUMMYFUNCTION("""COMPUTED_VALUE"""),"Stevie Wellens (0.1) - '27 MINF CA")</f>
        <v>Stevie Wellens (0.1) - '27 MINF CA</v>
      </c>
      <c r="D486" s="38" t="s">
        <v>2856</v>
      </c>
      <c r="E486" s="39" t="s">
        <v>48</v>
      </c>
      <c r="F486" s="118">
        <v>45865.0</v>
      </c>
      <c r="G486" s="113" t="s">
        <v>1470</v>
      </c>
      <c r="H486" s="42" t="s">
        <v>2857</v>
      </c>
      <c r="I486" s="43" t="s">
        <v>2858</v>
      </c>
      <c r="J486" s="43">
        <v>2027.0</v>
      </c>
      <c r="K486" s="43">
        <v>0.1</v>
      </c>
      <c r="L486" s="43" t="s">
        <v>41</v>
      </c>
      <c r="M486" s="43" t="s">
        <v>51</v>
      </c>
      <c r="N486" s="80"/>
      <c r="O486" s="43" t="s">
        <v>1550</v>
      </c>
      <c r="P486" s="43" t="s">
        <v>2859</v>
      </c>
      <c r="Q486" s="43" t="s">
        <v>52</v>
      </c>
      <c r="R486" s="43" t="s">
        <v>2860</v>
      </c>
      <c r="S486" s="44"/>
      <c r="T486" s="39">
        <v>4.0</v>
      </c>
      <c r="U486" s="39"/>
      <c r="V486" s="39" t="s">
        <v>2861</v>
      </c>
      <c r="W486" s="39" t="s">
        <v>2821</v>
      </c>
      <c r="X486" s="81"/>
      <c r="Y486" s="81"/>
      <c r="Z486" s="82"/>
      <c r="AA486" s="47" t="s">
        <v>2862</v>
      </c>
      <c r="AB486" s="48" t="s">
        <v>61</v>
      </c>
      <c r="AC486" s="68" t="s">
        <v>61</v>
      </c>
      <c r="AD486" s="69" t="s">
        <v>61</v>
      </c>
      <c r="AE486" s="69" t="s">
        <v>61</v>
      </c>
      <c r="AF486" s="68" t="s">
        <v>61</v>
      </c>
      <c r="AG486" s="68" t="s">
        <v>61</v>
      </c>
      <c r="AH486" s="68" t="s">
        <v>61</v>
      </c>
      <c r="AI486" s="70" t="s">
        <v>61</v>
      </c>
      <c r="AJ486" s="49" t="s">
        <v>61</v>
      </c>
      <c r="AK486" s="46"/>
    </row>
    <row r="487" ht="24.0" customHeight="1">
      <c r="A487" s="35"/>
      <c r="B487" s="36">
        <v>1.0</v>
      </c>
      <c r="C487" s="37" t="str">
        <f>IFERROR(__xludf.DUMMYFUNCTION("""COMPUTED_VALUE"""),"Ethan Wisler (0.1) - '27 RHP NC")</f>
        <v>Ethan Wisler (0.1) - '27 RHP NC</v>
      </c>
      <c r="D487" s="38" t="s">
        <v>2863</v>
      </c>
      <c r="E487" s="51" t="s">
        <v>63</v>
      </c>
      <c r="F487" s="115"/>
      <c r="G487" s="116" t="s">
        <v>1430</v>
      </c>
      <c r="H487" s="54" t="s">
        <v>266</v>
      </c>
      <c r="I487" s="55" t="s">
        <v>2864</v>
      </c>
      <c r="J487" s="55">
        <v>2027.0</v>
      </c>
      <c r="K487" s="55">
        <v>0.1</v>
      </c>
      <c r="L487" s="55" t="s">
        <v>41</v>
      </c>
      <c r="M487" s="55" t="s">
        <v>63</v>
      </c>
      <c r="N487" s="57"/>
      <c r="O487" s="57"/>
      <c r="P487" s="57"/>
      <c r="Q487" s="55" t="s">
        <v>73</v>
      </c>
      <c r="R487" s="55" t="s">
        <v>2865</v>
      </c>
      <c r="S487" s="58" t="s">
        <v>2866</v>
      </c>
      <c r="T487" s="51">
        <v>4.2</v>
      </c>
      <c r="U487" s="51"/>
      <c r="V487" s="51"/>
      <c r="W487" s="51"/>
      <c r="X487" s="51"/>
      <c r="Y487" s="51"/>
      <c r="Z487" s="60"/>
      <c r="AA487" s="73" t="s">
        <v>2867</v>
      </c>
      <c r="AB487" s="62" t="s">
        <v>2868</v>
      </c>
      <c r="AC487" s="63" t="s">
        <v>2869</v>
      </c>
      <c r="AD487" s="64" t="s">
        <v>2870</v>
      </c>
      <c r="AE487" s="64" t="s">
        <v>828</v>
      </c>
      <c r="AF487" s="63" t="s">
        <v>60</v>
      </c>
      <c r="AG487" s="63" t="s">
        <v>60</v>
      </c>
      <c r="AH487" s="63" t="s">
        <v>60</v>
      </c>
      <c r="AI487" s="65" t="s">
        <v>60</v>
      </c>
      <c r="AJ487" s="66" t="s">
        <v>61</v>
      </c>
      <c r="AK487" s="60"/>
    </row>
    <row r="488" ht="24.0" customHeight="1">
      <c r="A488" s="35"/>
      <c r="B488" s="36">
        <v>1.0</v>
      </c>
      <c r="C488" s="37" t="str">
        <f>IFERROR(__xludf.DUMMYFUNCTION("""COMPUTED_VALUE"""),"Conor Alvezi (1) - '28 CF MA")</f>
        <v>Conor Alvezi (1) - '28 CF MA</v>
      </c>
      <c r="D488" s="38" t="s">
        <v>2871</v>
      </c>
      <c r="E488" s="39" t="s">
        <v>103</v>
      </c>
      <c r="F488" s="112"/>
      <c r="G488" s="113"/>
      <c r="H488" s="42" t="s">
        <v>1396</v>
      </c>
      <c r="I488" s="43" t="s">
        <v>2872</v>
      </c>
      <c r="J488" s="43">
        <v>2028.0</v>
      </c>
      <c r="K488" s="43">
        <v>1.0</v>
      </c>
      <c r="L488" s="44"/>
      <c r="M488" s="43" t="s">
        <v>106</v>
      </c>
      <c r="N488" s="43"/>
      <c r="O488" s="80"/>
      <c r="P488" s="43"/>
      <c r="Q488" s="43" t="s">
        <v>85</v>
      </c>
      <c r="R488" s="43" t="s">
        <v>2873</v>
      </c>
      <c r="S488" s="44" t="s">
        <v>2874</v>
      </c>
      <c r="T488" s="81"/>
      <c r="U488" s="81"/>
      <c r="V488" s="81"/>
      <c r="W488" s="81"/>
      <c r="X488" s="81"/>
      <c r="Y488" s="81"/>
      <c r="Z488" s="82"/>
      <c r="AA488" s="99"/>
      <c r="AB488" s="48" t="s">
        <v>61</v>
      </c>
      <c r="AC488" s="68" t="s">
        <v>61</v>
      </c>
      <c r="AD488" s="69" t="s">
        <v>61</v>
      </c>
      <c r="AE488" s="69" t="s">
        <v>61</v>
      </c>
      <c r="AF488" s="68" t="s">
        <v>61</v>
      </c>
      <c r="AG488" s="68" t="s">
        <v>61</v>
      </c>
      <c r="AH488" s="68" t="s">
        <v>61</v>
      </c>
      <c r="AI488" s="70" t="s">
        <v>61</v>
      </c>
      <c r="AJ488" s="114" t="s">
        <v>61</v>
      </c>
      <c r="AK488" s="82"/>
    </row>
    <row r="489" ht="24.0" customHeight="1">
      <c r="A489" s="35"/>
      <c r="B489" s="36">
        <v>1.0</v>
      </c>
      <c r="C489" s="37" t="str">
        <f>IFERROR(__xludf.DUMMYFUNCTION("""COMPUTED_VALUE"""),"Jackson Bouchard (1) - '29 RHP MA")</f>
        <v>Jackson Bouchard (1) - '29 RHP MA</v>
      </c>
      <c r="D489" s="38" t="s">
        <v>2875</v>
      </c>
      <c r="E489" s="51" t="s">
        <v>63</v>
      </c>
      <c r="F489" s="115"/>
      <c r="G489" s="116" t="s">
        <v>1395</v>
      </c>
      <c r="H489" s="54" t="s">
        <v>432</v>
      </c>
      <c r="I489" s="55" t="s">
        <v>2876</v>
      </c>
      <c r="J489" s="55">
        <v>2029.0</v>
      </c>
      <c r="K489" s="55">
        <v>1.0</v>
      </c>
      <c r="L489" s="58" t="s">
        <v>2877</v>
      </c>
      <c r="M489" s="55" t="s">
        <v>63</v>
      </c>
      <c r="N489" s="55"/>
      <c r="O489" s="55"/>
      <c r="P489" s="55"/>
      <c r="Q489" s="55" t="s">
        <v>85</v>
      </c>
      <c r="R489" s="55"/>
      <c r="S489" s="58"/>
      <c r="T489" s="51"/>
      <c r="U489" s="51"/>
      <c r="V489" s="51"/>
      <c r="W489" s="51"/>
      <c r="X489" s="51"/>
      <c r="Y489" s="51"/>
      <c r="Z489" s="60"/>
      <c r="AA489" s="73"/>
      <c r="AB489" s="62" t="s">
        <v>61</v>
      </c>
      <c r="AC489" s="63" t="s">
        <v>61</v>
      </c>
      <c r="AD489" s="64" t="s">
        <v>61</v>
      </c>
      <c r="AE489" s="64" t="s">
        <v>61</v>
      </c>
      <c r="AF489" s="63" t="s">
        <v>61</v>
      </c>
      <c r="AG489" s="63" t="s">
        <v>61</v>
      </c>
      <c r="AH489" s="63" t="s">
        <v>61</v>
      </c>
      <c r="AI489" s="65" t="s">
        <v>61</v>
      </c>
      <c r="AJ489" s="105" t="s">
        <v>61</v>
      </c>
      <c r="AK489" s="76"/>
    </row>
    <row r="490" ht="24.0" customHeight="1">
      <c r="A490" s="35"/>
      <c r="B490" s="36">
        <v>1.0</v>
      </c>
      <c r="C490" s="37" t="str">
        <f>IFERROR(__xludf.DUMMYFUNCTION("""COMPUTED_VALUE"""),"Owen Burnes (1) - '28 LHP MA")</f>
        <v>Owen Burnes (1) - '28 LHP MA</v>
      </c>
      <c r="D490" s="38" t="s">
        <v>2878</v>
      </c>
      <c r="E490" s="39" t="s">
        <v>122</v>
      </c>
      <c r="F490" s="112"/>
      <c r="G490" s="113"/>
      <c r="H490" s="42" t="s">
        <v>64</v>
      </c>
      <c r="I490" s="43" t="s">
        <v>2879</v>
      </c>
      <c r="J490" s="43">
        <v>2028.0</v>
      </c>
      <c r="K490" s="43">
        <v>1.0</v>
      </c>
      <c r="L490" s="44"/>
      <c r="M490" s="43" t="s">
        <v>122</v>
      </c>
      <c r="N490" s="95"/>
      <c r="O490" s="80"/>
      <c r="P490" s="80"/>
      <c r="Q490" s="43" t="s">
        <v>85</v>
      </c>
      <c r="R490" s="80"/>
      <c r="S490" s="44" t="s">
        <v>2880</v>
      </c>
      <c r="T490" s="81"/>
      <c r="U490" s="81"/>
      <c r="V490" s="81"/>
      <c r="W490" s="81"/>
      <c r="X490" s="81"/>
      <c r="Y490" s="81"/>
      <c r="Z490" s="82"/>
      <c r="AA490" s="99"/>
      <c r="AB490" s="48" t="s">
        <v>61</v>
      </c>
      <c r="AC490" s="68" t="s">
        <v>61</v>
      </c>
      <c r="AD490" s="69" t="s">
        <v>61</v>
      </c>
      <c r="AE490" s="69" t="s">
        <v>61</v>
      </c>
      <c r="AF490" s="68" t="s">
        <v>61</v>
      </c>
      <c r="AG490" s="68" t="s">
        <v>61</v>
      </c>
      <c r="AH490" s="68" t="s">
        <v>61</v>
      </c>
      <c r="AI490" s="70" t="s">
        <v>61</v>
      </c>
      <c r="AJ490" s="114" t="s">
        <v>61</v>
      </c>
      <c r="AK490" s="82"/>
    </row>
    <row r="491" ht="24.0" customHeight="1">
      <c r="A491" s="35"/>
      <c r="B491" s="36">
        <v>1.0</v>
      </c>
      <c r="C491" s="37" t="str">
        <f>IFERROR(__xludf.DUMMYFUNCTION("""COMPUTED_VALUE"""),"Jayden Campbell (1) - '28 CF MA")</f>
        <v>Jayden Campbell (1) - '28 CF MA</v>
      </c>
      <c r="D491" s="38" t="s">
        <v>2881</v>
      </c>
      <c r="E491" s="51" t="s">
        <v>103</v>
      </c>
      <c r="F491" s="115"/>
      <c r="G491" s="116" t="s">
        <v>1395</v>
      </c>
      <c r="H491" s="54" t="s">
        <v>2882</v>
      </c>
      <c r="I491" s="55" t="s">
        <v>2883</v>
      </c>
      <c r="J491" s="55">
        <v>2028.0</v>
      </c>
      <c r="K491" s="55">
        <v>1.0</v>
      </c>
      <c r="L491" s="58" t="s">
        <v>2877</v>
      </c>
      <c r="M491" s="55" t="s">
        <v>106</v>
      </c>
      <c r="N491" s="55"/>
      <c r="O491" s="55" t="s">
        <v>1550</v>
      </c>
      <c r="P491" s="72"/>
      <c r="Q491" s="55" t="s">
        <v>85</v>
      </c>
      <c r="R491" s="55" t="s">
        <v>2884</v>
      </c>
      <c r="S491" s="58" t="s">
        <v>2885</v>
      </c>
      <c r="T491" s="51"/>
      <c r="U491" s="51"/>
      <c r="V491" s="51"/>
      <c r="W491" s="51"/>
      <c r="X491" s="51"/>
      <c r="Y491" s="51"/>
      <c r="Z491" s="60"/>
      <c r="AA491" s="73"/>
      <c r="AB491" s="62" t="s">
        <v>61</v>
      </c>
      <c r="AC491" s="63" t="s">
        <v>61</v>
      </c>
      <c r="AD491" s="64" t="s">
        <v>61</v>
      </c>
      <c r="AE491" s="64" t="s">
        <v>61</v>
      </c>
      <c r="AF491" s="63" t="s">
        <v>61</v>
      </c>
      <c r="AG491" s="63" t="s">
        <v>61</v>
      </c>
      <c r="AH491" s="63" t="s">
        <v>61</v>
      </c>
      <c r="AI491" s="65" t="s">
        <v>61</v>
      </c>
      <c r="AJ491" s="105" t="s">
        <v>61</v>
      </c>
      <c r="AK491" s="76"/>
    </row>
    <row r="492" ht="24.0" customHeight="1">
      <c r="A492" s="35"/>
      <c r="B492" s="36">
        <v>1.0</v>
      </c>
      <c r="C492" s="37" t="str">
        <f>IFERROR(__xludf.DUMMYFUNCTION("""COMPUTED_VALUE"""),"Gavin Chakar (1) - '28 RHP CT")</f>
        <v>Gavin Chakar (1) - '28 RHP CT</v>
      </c>
      <c r="D492" s="38" t="s">
        <v>2886</v>
      </c>
      <c r="E492" s="39" t="s">
        <v>63</v>
      </c>
      <c r="F492" s="112"/>
      <c r="G492" s="113"/>
      <c r="H492" s="42" t="s">
        <v>788</v>
      </c>
      <c r="I492" s="43" t="s">
        <v>2887</v>
      </c>
      <c r="J492" s="43">
        <v>2028.0</v>
      </c>
      <c r="K492" s="43">
        <v>1.0</v>
      </c>
      <c r="L492" s="43"/>
      <c r="M492" s="43" t="s">
        <v>63</v>
      </c>
      <c r="N492" s="43"/>
      <c r="O492" s="43"/>
      <c r="P492" s="43"/>
      <c r="Q492" s="43" t="s">
        <v>160</v>
      </c>
      <c r="R492" s="43"/>
      <c r="S492" s="44" t="s">
        <v>2888</v>
      </c>
      <c r="T492" s="39"/>
      <c r="U492" s="39"/>
      <c r="V492" s="39"/>
      <c r="W492" s="39"/>
      <c r="X492" s="39"/>
      <c r="Y492" s="39"/>
      <c r="Z492" s="46"/>
      <c r="AA492" s="47" t="s">
        <v>2889</v>
      </c>
      <c r="AB492" s="48" t="s">
        <v>61</v>
      </c>
      <c r="AC492" s="68" t="s">
        <v>61</v>
      </c>
      <c r="AD492" s="69" t="s">
        <v>61</v>
      </c>
      <c r="AE492" s="69" t="s">
        <v>61</v>
      </c>
      <c r="AF492" s="68" t="s">
        <v>61</v>
      </c>
      <c r="AG492" s="68" t="s">
        <v>61</v>
      </c>
      <c r="AH492" s="68" t="s">
        <v>61</v>
      </c>
      <c r="AI492" s="70" t="s">
        <v>61</v>
      </c>
      <c r="AJ492" s="114" t="s">
        <v>61</v>
      </c>
      <c r="AK492" s="82"/>
    </row>
    <row r="493" ht="24.0" customHeight="1">
      <c r="A493" s="35"/>
      <c r="B493" s="36">
        <v>1.0</v>
      </c>
      <c r="C493" s="37" t="str">
        <f>IFERROR(__xludf.DUMMYFUNCTION("""COMPUTED_VALUE"""),"Dylan Cunningham (1) - '28 RHP MA")</f>
        <v>Dylan Cunningham (1) - '28 RHP MA</v>
      </c>
      <c r="D493" s="38" t="s">
        <v>2890</v>
      </c>
      <c r="E493" s="51" t="s">
        <v>63</v>
      </c>
      <c r="F493" s="115"/>
      <c r="G493" s="116" t="s">
        <v>1395</v>
      </c>
      <c r="H493" s="54" t="s">
        <v>2294</v>
      </c>
      <c r="I493" s="55" t="s">
        <v>2891</v>
      </c>
      <c r="J493" s="55">
        <v>2028.0</v>
      </c>
      <c r="K493" s="55">
        <v>1.0</v>
      </c>
      <c r="L493" s="58" t="s">
        <v>2877</v>
      </c>
      <c r="M493" s="55" t="s">
        <v>63</v>
      </c>
      <c r="N493" s="55"/>
      <c r="O493" s="55" t="s">
        <v>1550</v>
      </c>
      <c r="P493" s="55"/>
      <c r="Q493" s="55" t="s">
        <v>85</v>
      </c>
      <c r="R493" s="55" t="s">
        <v>2892</v>
      </c>
      <c r="S493" s="58" t="s">
        <v>2893</v>
      </c>
      <c r="T493" s="51"/>
      <c r="U493" s="51"/>
      <c r="V493" s="51"/>
      <c r="W493" s="51"/>
      <c r="X493" s="51"/>
      <c r="Y493" s="51"/>
      <c r="Z493" s="60"/>
      <c r="AA493" s="73"/>
      <c r="AB493" s="62" t="s">
        <v>61</v>
      </c>
      <c r="AC493" s="63" t="s">
        <v>61</v>
      </c>
      <c r="AD493" s="64" t="s">
        <v>61</v>
      </c>
      <c r="AE493" s="64" t="s">
        <v>61</v>
      </c>
      <c r="AF493" s="63" t="s">
        <v>61</v>
      </c>
      <c r="AG493" s="63" t="s">
        <v>61</v>
      </c>
      <c r="AH493" s="63" t="s">
        <v>61</v>
      </c>
      <c r="AI493" s="65" t="s">
        <v>61</v>
      </c>
      <c r="AJ493" s="105" t="s">
        <v>61</v>
      </c>
      <c r="AK493" s="76"/>
    </row>
    <row r="494" ht="24.0" customHeight="1">
      <c r="A494" s="35"/>
      <c r="B494" s="36">
        <v>1.0</v>
      </c>
      <c r="C494" s="37" t="str">
        <f>IFERROR(__xludf.DUMMYFUNCTION("""COMPUTED_VALUE"""),"Ben Dahlstedt (1) - '27 RHP MA")</f>
        <v>Ben Dahlstedt (1) - '27 RHP MA</v>
      </c>
      <c r="D494" s="38" t="s">
        <v>2894</v>
      </c>
      <c r="E494" s="39" t="s">
        <v>63</v>
      </c>
      <c r="F494" s="112"/>
      <c r="G494" s="113" t="s">
        <v>1395</v>
      </c>
      <c r="H494" s="42" t="s">
        <v>116</v>
      </c>
      <c r="I494" s="43" t="s">
        <v>2895</v>
      </c>
      <c r="J494" s="43">
        <v>2027.0</v>
      </c>
      <c r="K494" s="43">
        <v>1.0</v>
      </c>
      <c r="L494" s="158" t="s">
        <v>61</v>
      </c>
      <c r="M494" s="43" t="s">
        <v>63</v>
      </c>
      <c r="N494" s="44"/>
      <c r="O494" s="43"/>
      <c r="P494" s="43"/>
      <c r="Q494" s="43" t="s">
        <v>85</v>
      </c>
      <c r="R494" s="43" t="s">
        <v>2896</v>
      </c>
      <c r="S494" s="44" t="s">
        <v>2897</v>
      </c>
      <c r="T494" s="39"/>
      <c r="U494" s="39"/>
      <c r="V494" s="39"/>
      <c r="W494" s="39"/>
      <c r="X494" s="39"/>
      <c r="Y494" s="39"/>
      <c r="Z494" s="46" t="s">
        <v>2898</v>
      </c>
      <c r="AA494" s="47" t="s">
        <v>2899</v>
      </c>
      <c r="AB494" s="48" t="s">
        <v>2900</v>
      </c>
      <c r="AC494" s="68" t="s">
        <v>2901</v>
      </c>
      <c r="AD494" s="69">
        <v>3.87</v>
      </c>
      <c r="AE494" s="69" t="s">
        <v>2902</v>
      </c>
      <c r="AF494" s="68" t="s">
        <v>2903</v>
      </c>
      <c r="AG494" s="68" t="s">
        <v>2904</v>
      </c>
      <c r="AH494" s="68"/>
      <c r="AI494" s="70" t="s">
        <v>81</v>
      </c>
      <c r="AJ494" s="49" t="s">
        <v>61</v>
      </c>
      <c r="AK494" s="46"/>
    </row>
    <row r="495" ht="24.0" customHeight="1">
      <c r="A495" s="35"/>
      <c r="B495" s="36">
        <v>1.0</v>
      </c>
      <c r="C495" s="37" t="str">
        <f>IFERROR(__xludf.DUMMYFUNCTION("""COMPUTED_VALUE"""),"Zachary DeHaas (2) - '27 OF MO")</f>
        <v>Zachary DeHaas (2) - '27 OF MO</v>
      </c>
      <c r="D495" s="38" t="s">
        <v>2905</v>
      </c>
      <c r="E495" s="51" t="s">
        <v>103</v>
      </c>
      <c r="F495" s="119">
        <v>45865.0</v>
      </c>
      <c r="G495" s="116" t="s">
        <v>1430</v>
      </c>
      <c r="H495" s="54" t="s">
        <v>1315</v>
      </c>
      <c r="I495" s="55" t="s">
        <v>2906</v>
      </c>
      <c r="J495" s="55">
        <v>2027.0</v>
      </c>
      <c r="K495" s="55">
        <v>2.0</v>
      </c>
      <c r="L495" s="159" t="s">
        <v>61</v>
      </c>
      <c r="M495" s="55" t="s">
        <v>103</v>
      </c>
      <c r="N495" s="58" t="s">
        <v>2907</v>
      </c>
      <c r="O495" s="55" t="s">
        <v>1550</v>
      </c>
      <c r="P495" s="55" t="s">
        <v>2908</v>
      </c>
      <c r="Q495" s="55" t="s">
        <v>585</v>
      </c>
      <c r="R495" s="55" t="s">
        <v>2909</v>
      </c>
      <c r="S495" s="58"/>
      <c r="T495" s="51">
        <v>3.85</v>
      </c>
      <c r="U495" s="51"/>
      <c r="V495" s="51">
        <v>5.73239508E9</v>
      </c>
      <c r="W495" s="51" t="s">
        <v>2821</v>
      </c>
      <c r="X495" s="74"/>
      <c r="Y495" s="74"/>
      <c r="Z495" s="76"/>
      <c r="AA495" s="134"/>
      <c r="AB495" s="62" t="s">
        <v>61</v>
      </c>
      <c r="AC495" s="63" t="s">
        <v>61</v>
      </c>
      <c r="AD495" s="64" t="s">
        <v>61</v>
      </c>
      <c r="AE495" s="64" t="s">
        <v>61</v>
      </c>
      <c r="AF495" s="63" t="s">
        <v>61</v>
      </c>
      <c r="AG495" s="63" t="s">
        <v>61</v>
      </c>
      <c r="AH495" s="63" t="s">
        <v>61</v>
      </c>
      <c r="AI495" s="65" t="s">
        <v>61</v>
      </c>
      <c r="AJ495" s="66" t="s">
        <v>61</v>
      </c>
      <c r="AK495" s="60"/>
    </row>
    <row r="496" ht="24.0" customHeight="1">
      <c r="A496" s="35"/>
      <c r="B496" s="36">
        <v>1.0</v>
      </c>
      <c r="C496" s="37" t="str">
        <f>IFERROR(__xludf.DUMMYFUNCTION("""COMPUTED_VALUE"""),"Parker Filipek (1) - '27 C NC")</f>
        <v>Parker Filipek (1) - '27 C NC</v>
      </c>
      <c r="D496" s="38" t="s">
        <v>2910</v>
      </c>
      <c r="E496" s="39" t="s">
        <v>109</v>
      </c>
      <c r="F496" s="118">
        <v>45865.0</v>
      </c>
      <c r="G496" s="113" t="s">
        <v>1470</v>
      </c>
      <c r="H496" s="42" t="s">
        <v>1595</v>
      </c>
      <c r="I496" s="43" t="s">
        <v>2911</v>
      </c>
      <c r="J496" s="43">
        <v>2027.0</v>
      </c>
      <c r="K496" s="43">
        <v>1.0</v>
      </c>
      <c r="L496" s="160" t="s">
        <v>61</v>
      </c>
      <c r="M496" s="43" t="s">
        <v>109</v>
      </c>
      <c r="N496" s="117"/>
      <c r="O496" s="43" t="s">
        <v>1989</v>
      </c>
      <c r="P496" s="43" t="s">
        <v>2912</v>
      </c>
      <c r="Q496" s="43" t="s">
        <v>73</v>
      </c>
      <c r="R496" s="43" t="s">
        <v>2913</v>
      </c>
      <c r="S496" s="44"/>
      <c r="T496" s="39">
        <v>4.0</v>
      </c>
      <c r="U496" s="39"/>
      <c r="V496" s="39" t="s">
        <v>2914</v>
      </c>
      <c r="W496" s="39" t="s">
        <v>2821</v>
      </c>
      <c r="X496" s="81"/>
      <c r="Y496" s="81"/>
      <c r="Z496" s="82"/>
      <c r="AA496" s="99"/>
      <c r="AB496" s="48" t="s">
        <v>2915</v>
      </c>
      <c r="AC496" s="68" t="s">
        <v>2916</v>
      </c>
      <c r="AD496" s="69" t="s">
        <v>2917</v>
      </c>
      <c r="AE496" s="69" t="s">
        <v>2918</v>
      </c>
      <c r="AF496" s="68" t="s">
        <v>2919</v>
      </c>
      <c r="AG496" s="68" t="s">
        <v>2769</v>
      </c>
      <c r="AH496" s="68" t="s">
        <v>81</v>
      </c>
      <c r="AI496" s="70" t="s">
        <v>81</v>
      </c>
      <c r="AJ496" s="49" t="s">
        <v>61</v>
      </c>
      <c r="AK496" s="46"/>
    </row>
    <row r="497" ht="24.0" customHeight="1">
      <c r="A497" s="35"/>
      <c r="B497" s="36">
        <v>1.0</v>
      </c>
      <c r="C497" s="37" t="str">
        <f>IFERROR(__xludf.DUMMYFUNCTION("""COMPUTED_VALUE"""),"Bodhi Fonseca (1) - '28 CF MA")</f>
        <v>Bodhi Fonseca (1) - '28 CF MA</v>
      </c>
      <c r="D497" s="89" t="s">
        <v>2920</v>
      </c>
      <c r="E497" s="51" t="s">
        <v>103</v>
      </c>
      <c r="F497" s="115"/>
      <c r="G497" s="116" t="s">
        <v>1395</v>
      </c>
      <c r="H497" s="54" t="s">
        <v>2921</v>
      </c>
      <c r="I497" s="55" t="s">
        <v>2922</v>
      </c>
      <c r="J497" s="55">
        <v>2028.0</v>
      </c>
      <c r="K497" s="55">
        <v>1.0</v>
      </c>
      <c r="L497" s="58" t="s">
        <v>2877</v>
      </c>
      <c r="M497" s="55" t="s">
        <v>106</v>
      </c>
      <c r="N497" s="55"/>
      <c r="O497" s="55"/>
      <c r="P497" s="55"/>
      <c r="Q497" s="55" t="s">
        <v>85</v>
      </c>
      <c r="R497" s="55" t="s">
        <v>2801</v>
      </c>
      <c r="S497" s="58" t="s">
        <v>538</v>
      </c>
      <c r="T497" s="51"/>
      <c r="U497" s="51"/>
      <c r="V497" s="51"/>
      <c r="W497" s="51"/>
      <c r="X497" s="51"/>
      <c r="Y497" s="51"/>
      <c r="Z497" s="60"/>
      <c r="AA497" s="73"/>
      <c r="AB497" s="62" t="s">
        <v>61</v>
      </c>
      <c r="AC497" s="63" t="s">
        <v>61</v>
      </c>
      <c r="AD497" s="64" t="s">
        <v>61</v>
      </c>
      <c r="AE497" s="64" t="s">
        <v>61</v>
      </c>
      <c r="AF497" s="63" t="s">
        <v>61</v>
      </c>
      <c r="AG497" s="63" t="s">
        <v>61</v>
      </c>
      <c r="AH497" s="63" t="s">
        <v>61</v>
      </c>
      <c r="AI497" s="65" t="s">
        <v>61</v>
      </c>
      <c r="AJ497" s="105" t="s">
        <v>61</v>
      </c>
      <c r="AK497" s="76"/>
    </row>
    <row r="498" ht="24.0" customHeight="1">
      <c r="A498" s="35"/>
      <c r="B498" s="36">
        <v>1.0</v>
      </c>
      <c r="C498" s="37" t="str">
        <f>IFERROR(__xludf.DUMMYFUNCTION("""COMPUTED_VALUE"""),"Santiago Fuenmayor (1) - '28 C GA")</f>
        <v>Santiago Fuenmayor (1) - '28 C GA</v>
      </c>
      <c r="D498" s="38" t="s">
        <v>2923</v>
      </c>
      <c r="E498" s="39" t="s">
        <v>109</v>
      </c>
      <c r="F498" s="118">
        <v>45925.0</v>
      </c>
      <c r="G498" s="113" t="s">
        <v>1395</v>
      </c>
      <c r="H498" s="42" t="s">
        <v>1471</v>
      </c>
      <c r="I498" s="43" t="s">
        <v>2924</v>
      </c>
      <c r="J498" s="43">
        <v>2028.0</v>
      </c>
      <c r="K498" s="43">
        <v>1.0</v>
      </c>
      <c r="L498" s="80"/>
      <c r="M498" s="43" t="s">
        <v>109</v>
      </c>
      <c r="N498" s="43"/>
      <c r="O498" s="80"/>
      <c r="P498" s="80"/>
      <c r="Q498" s="43" t="s">
        <v>43</v>
      </c>
      <c r="R498" s="80"/>
      <c r="S498" s="44" t="s">
        <v>2925</v>
      </c>
      <c r="T498" s="81"/>
      <c r="U498" s="81"/>
      <c r="V498" s="81"/>
      <c r="W498" s="39" t="s">
        <v>1564</v>
      </c>
      <c r="X498" s="81"/>
      <c r="Y498" s="81"/>
      <c r="Z498" s="82"/>
      <c r="AA498" s="99"/>
      <c r="AB498" s="48" t="s">
        <v>61</v>
      </c>
      <c r="AC498" s="68" t="s">
        <v>61</v>
      </c>
      <c r="AD498" s="69" t="s">
        <v>61</v>
      </c>
      <c r="AE498" s="69" t="s">
        <v>61</v>
      </c>
      <c r="AF498" s="68" t="s">
        <v>61</v>
      </c>
      <c r="AG498" s="68" t="s">
        <v>61</v>
      </c>
      <c r="AH498" s="68" t="s">
        <v>61</v>
      </c>
      <c r="AI498" s="70" t="s">
        <v>61</v>
      </c>
      <c r="AJ498" s="114" t="s">
        <v>61</v>
      </c>
      <c r="AK498" s="82"/>
    </row>
    <row r="499" ht="24.0" customHeight="1">
      <c r="A499" s="35"/>
      <c r="B499" s="36">
        <v>1.0</v>
      </c>
      <c r="C499" s="37" t="str">
        <f>IFERROR(__xludf.DUMMYFUNCTION("""COMPUTED_VALUE"""),"Win Hoots (1) - '27 OF GA")</f>
        <v>Win Hoots (1) - '27 OF GA</v>
      </c>
      <c r="D499" s="38" t="s">
        <v>2926</v>
      </c>
      <c r="E499" s="51" t="s">
        <v>103</v>
      </c>
      <c r="F499" s="115"/>
      <c r="G499" s="116" t="s">
        <v>1430</v>
      </c>
      <c r="H499" s="54" t="s">
        <v>2927</v>
      </c>
      <c r="I499" s="55" t="s">
        <v>2928</v>
      </c>
      <c r="J499" s="55">
        <v>2027.0</v>
      </c>
      <c r="K499" s="55">
        <v>1.0</v>
      </c>
      <c r="L499" s="159" t="s">
        <v>61</v>
      </c>
      <c r="M499" s="55" t="s">
        <v>103</v>
      </c>
      <c r="N499" s="58" t="s">
        <v>2907</v>
      </c>
      <c r="O499" s="55"/>
      <c r="P499" s="55"/>
      <c r="Q499" s="55" t="s">
        <v>43</v>
      </c>
      <c r="R499" s="55" t="s">
        <v>2929</v>
      </c>
      <c r="S499" s="58" t="s">
        <v>1120</v>
      </c>
      <c r="T499" s="51" t="s">
        <v>2930</v>
      </c>
      <c r="U499" s="51"/>
      <c r="V499" s="51"/>
      <c r="W499" s="51"/>
      <c r="X499" s="51"/>
      <c r="Y499" s="51"/>
      <c r="Z499" s="60"/>
      <c r="AA499" s="73" t="s">
        <v>2931</v>
      </c>
      <c r="AB499" s="62" t="s">
        <v>2932</v>
      </c>
      <c r="AC499" s="63" t="s">
        <v>2933</v>
      </c>
      <c r="AD499" s="64" t="s">
        <v>2934</v>
      </c>
      <c r="AE499" s="64" t="s">
        <v>2935</v>
      </c>
      <c r="AF499" s="63" t="s">
        <v>60</v>
      </c>
      <c r="AG499" s="63" t="s">
        <v>60</v>
      </c>
      <c r="AH499" s="63" t="s">
        <v>60</v>
      </c>
      <c r="AI499" s="65" t="s">
        <v>60</v>
      </c>
      <c r="AJ499" s="66" t="s">
        <v>61</v>
      </c>
      <c r="AK499" s="60"/>
    </row>
    <row r="500" ht="24.0" customHeight="1">
      <c r="A500" s="35"/>
      <c r="B500" s="36">
        <v>1.0</v>
      </c>
      <c r="C500" s="37" t="str">
        <f>IFERROR(__xludf.DUMMYFUNCTION("""COMPUTED_VALUE"""),"Evan Koh (1) - '28 RHP MA")</f>
        <v>Evan Koh (1) - '28 RHP MA</v>
      </c>
      <c r="D500" s="38" t="s">
        <v>2936</v>
      </c>
      <c r="E500" s="39" t="s">
        <v>63</v>
      </c>
      <c r="F500" s="112"/>
      <c r="G500" s="113" t="s">
        <v>1395</v>
      </c>
      <c r="H500" s="42" t="s">
        <v>385</v>
      </c>
      <c r="I500" s="43" t="s">
        <v>2937</v>
      </c>
      <c r="J500" s="43">
        <v>2028.0</v>
      </c>
      <c r="K500" s="43">
        <v>1.0</v>
      </c>
      <c r="L500" s="44" t="s">
        <v>2877</v>
      </c>
      <c r="M500" s="43" t="s">
        <v>63</v>
      </c>
      <c r="N500" s="43"/>
      <c r="O500" s="43"/>
      <c r="P500" s="43"/>
      <c r="Q500" s="43" t="s">
        <v>85</v>
      </c>
      <c r="R500" s="43"/>
      <c r="S500" s="44"/>
      <c r="T500" s="39"/>
      <c r="U500" s="39"/>
      <c r="V500" s="39"/>
      <c r="W500" s="39"/>
      <c r="X500" s="39"/>
      <c r="Y500" s="39"/>
      <c r="Z500" s="46"/>
      <c r="AA500" s="47"/>
      <c r="AB500" s="48" t="s">
        <v>61</v>
      </c>
      <c r="AC500" s="68" t="s">
        <v>61</v>
      </c>
      <c r="AD500" s="69" t="s">
        <v>61</v>
      </c>
      <c r="AE500" s="69" t="s">
        <v>61</v>
      </c>
      <c r="AF500" s="68" t="s">
        <v>61</v>
      </c>
      <c r="AG500" s="68" t="s">
        <v>61</v>
      </c>
      <c r="AH500" s="68" t="s">
        <v>61</v>
      </c>
      <c r="AI500" s="70" t="s">
        <v>61</v>
      </c>
      <c r="AJ500" s="114" t="s">
        <v>61</v>
      </c>
      <c r="AK500" s="82"/>
    </row>
    <row r="501" ht="24.0" customHeight="1">
      <c r="A501" s="35"/>
      <c r="B501" s="36">
        <v>1.0</v>
      </c>
      <c r="C501" s="37" t="str">
        <f>IFERROR(__xludf.DUMMYFUNCTION("""COMPUTED_VALUE"""),"Jordan “Bam Bam” Lindsay (1) - '28 C CA")</f>
        <v>Jordan “Bam Bam” Lindsay (1) - '28 C CA</v>
      </c>
      <c r="D501" s="38" t="s">
        <v>2938</v>
      </c>
      <c r="E501" s="51" t="s">
        <v>109</v>
      </c>
      <c r="F501" s="119">
        <v>45869.0</v>
      </c>
      <c r="G501" s="116" t="s">
        <v>1395</v>
      </c>
      <c r="H501" s="54" t="s">
        <v>2939</v>
      </c>
      <c r="I501" s="55" t="s">
        <v>2940</v>
      </c>
      <c r="J501" s="55">
        <v>2028.0</v>
      </c>
      <c r="K501" s="55">
        <v>1.0</v>
      </c>
      <c r="L501" s="57"/>
      <c r="M501" s="55" t="s">
        <v>109</v>
      </c>
      <c r="N501" s="57"/>
      <c r="O501" s="55" t="s">
        <v>1550</v>
      </c>
      <c r="P501" s="55" t="s">
        <v>2941</v>
      </c>
      <c r="Q501" s="55" t="s">
        <v>52</v>
      </c>
      <c r="R501" s="55" t="s">
        <v>2942</v>
      </c>
      <c r="S501" s="132"/>
      <c r="T501" s="51">
        <v>3.75</v>
      </c>
      <c r="U501" s="74"/>
      <c r="V501" s="51" t="s">
        <v>2943</v>
      </c>
      <c r="W501" s="74"/>
      <c r="X501" s="74"/>
      <c r="Y501" s="74"/>
      <c r="Z501" s="76"/>
      <c r="AA501" s="73" t="s">
        <v>2944</v>
      </c>
      <c r="AB501" s="62" t="s">
        <v>61</v>
      </c>
      <c r="AC501" s="63" t="s">
        <v>61</v>
      </c>
      <c r="AD501" s="64" t="s">
        <v>61</v>
      </c>
      <c r="AE501" s="64" t="s">
        <v>61</v>
      </c>
      <c r="AF501" s="63" t="s">
        <v>61</v>
      </c>
      <c r="AG501" s="63" t="s">
        <v>61</v>
      </c>
      <c r="AH501" s="63" t="s">
        <v>61</v>
      </c>
      <c r="AI501" s="65" t="s">
        <v>61</v>
      </c>
      <c r="AJ501" s="105" t="s">
        <v>61</v>
      </c>
      <c r="AK501" s="76"/>
    </row>
    <row r="502" ht="24.0" customHeight="1">
      <c r="A502" s="35"/>
      <c r="B502" s="36">
        <v>1.0</v>
      </c>
      <c r="C502" s="37" t="str">
        <f>IFERROR(__xludf.DUMMYFUNCTION("""COMPUTED_VALUE"""),"Owen Ma (1) - '28 RHP MA")</f>
        <v>Owen Ma (1) - '28 RHP MA</v>
      </c>
      <c r="D502" s="89" t="s">
        <v>2945</v>
      </c>
      <c r="E502" s="39" t="s">
        <v>63</v>
      </c>
      <c r="F502" s="156">
        <v>46168.0</v>
      </c>
      <c r="G502" s="113" t="s">
        <v>1395</v>
      </c>
      <c r="H502" s="42" t="s">
        <v>64</v>
      </c>
      <c r="I502" s="43" t="s">
        <v>2946</v>
      </c>
      <c r="J502" s="43">
        <v>2028.0</v>
      </c>
      <c r="K502" s="43">
        <v>1.0</v>
      </c>
      <c r="L502" s="80"/>
      <c r="M502" s="43" t="s">
        <v>63</v>
      </c>
      <c r="N502" s="43"/>
      <c r="O502" s="80"/>
      <c r="P502" s="80"/>
      <c r="Q502" s="43" t="s">
        <v>85</v>
      </c>
      <c r="R502" s="43" t="s">
        <v>2947</v>
      </c>
      <c r="S502" s="44" t="s">
        <v>87</v>
      </c>
      <c r="T502" s="81"/>
      <c r="U502" s="39" t="s">
        <v>2948</v>
      </c>
      <c r="V502" s="39" t="s">
        <v>2949</v>
      </c>
      <c r="W502" s="81"/>
      <c r="X502" s="81"/>
      <c r="Y502" s="81"/>
      <c r="Z502" s="82"/>
      <c r="AA502" s="161" t="s">
        <v>2950</v>
      </c>
      <c r="AB502" s="48" t="s">
        <v>61</v>
      </c>
      <c r="AC502" s="68" t="s">
        <v>61</v>
      </c>
      <c r="AD502" s="69" t="s">
        <v>61</v>
      </c>
      <c r="AE502" s="69" t="s">
        <v>61</v>
      </c>
      <c r="AF502" s="68" t="s">
        <v>61</v>
      </c>
      <c r="AG502" s="68" t="s">
        <v>61</v>
      </c>
      <c r="AH502" s="68" t="s">
        <v>61</v>
      </c>
      <c r="AI502" s="70" t="s">
        <v>61</v>
      </c>
      <c r="AJ502" s="114" t="s">
        <v>61</v>
      </c>
      <c r="AK502" s="82"/>
    </row>
    <row r="503" ht="24.0" customHeight="1">
      <c r="A503" s="35"/>
      <c r="B503" s="36">
        <v>1.0</v>
      </c>
      <c r="C503" s="37" t="str">
        <f>IFERROR(__xludf.DUMMYFUNCTION("""COMPUTED_VALUE"""),"MacGuire Moore (1) - '28 C 3B, MIF, OF, RHP, UT ")</f>
        <v>MacGuire Moore (1) - '28 C 3B, MIF, OF, RHP, UT </v>
      </c>
      <c r="D503" s="38" t="s">
        <v>2951</v>
      </c>
      <c r="E503" s="51"/>
      <c r="F503" s="137"/>
      <c r="G503" s="133"/>
      <c r="H503" s="54" t="s">
        <v>2952</v>
      </c>
      <c r="I503" s="55" t="s">
        <v>2049</v>
      </c>
      <c r="J503" s="55">
        <v>2028.0</v>
      </c>
      <c r="K503" s="55">
        <v>1.0</v>
      </c>
      <c r="L503" s="57"/>
      <c r="M503" s="55" t="s">
        <v>2953</v>
      </c>
      <c r="N503" s="57"/>
      <c r="O503" s="55" t="s">
        <v>1550</v>
      </c>
      <c r="P503" s="55" t="s">
        <v>2954</v>
      </c>
      <c r="Q503" s="57"/>
      <c r="R503" s="55" t="s">
        <v>2955</v>
      </c>
      <c r="S503" s="58" t="s">
        <v>2956</v>
      </c>
      <c r="T503" s="74"/>
      <c r="U503" s="74"/>
      <c r="V503" s="51"/>
      <c r="W503" s="51" t="s">
        <v>1724</v>
      </c>
      <c r="X503" s="74"/>
      <c r="Y503" s="74"/>
      <c r="Z503" s="76"/>
      <c r="AA503" s="134"/>
      <c r="AB503" s="62" t="s">
        <v>61</v>
      </c>
      <c r="AC503" s="63" t="s">
        <v>61</v>
      </c>
      <c r="AD503" s="64" t="s">
        <v>61</v>
      </c>
      <c r="AE503" s="64" t="s">
        <v>61</v>
      </c>
      <c r="AF503" s="63" t="s">
        <v>61</v>
      </c>
      <c r="AG503" s="63" t="s">
        <v>61</v>
      </c>
      <c r="AH503" s="63" t="s">
        <v>61</v>
      </c>
      <c r="AI503" s="65" t="s">
        <v>61</v>
      </c>
      <c r="AJ503" s="105" t="s">
        <v>61</v>
      </c>
      <c r="AK503" s="76"/>
    </row>
    <row r="504" ht="24.0" customHeight="1">
      <c r="A504" s="35"/>
      <c r="B504" s="36">
        <v>1.0</v>
      </c>
      <c r="C504" s="37" t="str">
        <f>IFERROR(__xludf.DUMMYFUNCTION("""COMPUTED_VALUE"""),"Reid Morris (1) - '28 MINF FL")</f>
        <v>Reid Morris (1) - '28 MINF FL</v>
      </c>
      <c r="D504" s="38" t="s">
        <v>2957</v>
      </c>
      <c r="E504" s="39" t="s">
        <v>48</v>
      </c>
      <c r="F504" s="112"/>
      <c r="G504" s="113" t="s">
        <v>1395</v>
      </c>
      <c r="H504" s="42" t="s">
        <v>1700</v>
      </c>
      <c r="I504" s="43" t="s">
        <v>2958</v>
      </c>
      <c r="J504" s="43">
        <v>2028.0</v>
      </c>
      <c r="K504" s="43">
        <v>1.0</v>
      </c>
      <c r="L504" s="44" t="s">
        <v>2877</v>
      </c>
      <c r="M504" s="43" t="s">
        <v>51</v>
      </c>
      <c r="N504" s="80"/>
      <c r="O504" s="43" t="s">
        <v>1550</v>
      </c>
      <c r="P504" s="43"/>
      <c r="Q504" s="43" t="s">
        <v>66</v>
      </c>
      <c r="R504" s="43" t="s">
        <v>2959</v>
      </c>
      <c r="S504" s="44"/>
      <c r="T504" s="81"/>
      <c r="U504" s="39"/>
      <c r="V504" s="39"/>
      <c r="W504" s="39"/>
      <c r="X504" s="39"/>
      <c r="Y504" s="39"/>
      <c r="Z504" s="46"/>
      <c r="AA504" s="47"/>
      <c r="AB504" s="48" t="s">
        <v>61</v>
      </c>
      <c r="AC504" s="68" t="s">
        <v>61</v>
      </c>
      <c r="AD504" s="69" t="s">
        <v>61</v>
      </c>
      <c r="AE504" s="69" t="s">
        <v>61</v>
      </c>
      <c r="AF504" s="68" t="s">
        <v>61</v>
      </c>
      <c r="AG504" s="68" t="s">
        <v>61</v>
      </c>
      <c r="AH504" s="68" t="s">
        <v>61</v>
      </c>
      <c r="AI504" s="70" t="s">
        <v>61</v>
      </c>
      <c r="AJ504" s="114" t="s">
        <v>61</v>
      </c>
      <c r="AK504" s="82"/>
    </row>
    <row r="505" ht="24.0" customHeight="1">
      <c r="A505" s="129"/>
      <c r="B505" s="36">
        <v>1.0</v>
      </c>
      <c r="C505" s="37" t="str">
        <f>IFERROR(__xludf.DUMMYFUNCTION("""COMPUTED_VALUE"""),"Gio Naples (1) - '28 RHP MA")</f>
        <v>Gio Naples (1) - '28 RHP MA</v>
      </c>
      <c r="D505" s="38" t="s">
        <v>2960</v>
      </c>
      <c r="E505" s="51" t="s">
        <v>63</v>
      </c>
      <c r="F505" s="115"/>
      <c r="G505" s="116" t="s">
        <v>1395</v>
      </c>
      <c r="H505" s="54" t="s">
        <v>2961</v>
      </c>
      <c r="I505" s="55" t="s">
        <v>2962</v>
      </c>
      <c r="J505" s="55">
        <v>2028.0</v>
      </c>
      <c r="K505" s="55">
        <v>1.0</v>
      </c>
      <c r="L505" s="58" t="s">
        <v>2877</v>
      </c>
      <c r="M505" s="55" t="s">
        <v>63</v>
      </c>
      <c r="N505" s="55" t="s">
        <v>72</v>
      </c>
      <c r="O505" s="55"/>
      <c r="P505" s="55"/>
      <c r="Q505" s="55" t="s">
        <v>85</v>
      </c>
      <c r="R505" s="55" t="s">
        <v>1259</v>
      </c>
      <c r="S505" s="58"/>
      <c r="T505" s="51"/>
      <c r="U505" s="51"/>
      <c r="V505" s="51"/>
      <c r="W505" s="51"/>
      <c r="X505" s="51"/>
      <c r="Y505" s="51"/>
      <c r="Z505" s="60"/>
      <c r="AA505" s="73"/>
      <c r="AB505" s="62" t="s">
        <v>61</v>
      </c>
      <c r="AC505" s="63" t="s">
        <v>61</v>
      </c>
      <c r="AD505" s="64" t="s">
        <v>61</v>
      </c>
      <c r="AE505" s="64" t="s">
        <v>61</v>
      </c>
      <c r="AF505" s="63" t="s">
        <v>61</v>
      </c>
      <c r="AG505" s="63" t="s">
        <v>61</v>
      </c>
      <c r="AH505" s="63" t="s">
        <v>61</v>
      </c>
      <c r="AI505" s="65" t="s">
        <v>61</v>
      </c>
      <c r="AJ505" s="105" t="s">
        <v>61</v>
      </c>
      <c r="AK505" s="76"/>
    </row>
    <row r="506" ht="24.0" customHeight="1">
      <c r="A506" s="35"/>
      <c r="B506" s="36">
        <v>1.0</v>
      </c>
      <c r="C506" s="37" t="str">
        <f>IFERROR(__xludf.DUMMYFUNCTION("""COMPUTED_VALUE"""),"Ryan Nikiforow (1) - '28 RHP MA")</f>
        <v>Ryan Nikiforow (1) - '28 RHP MA</v>
      </c>
      <c r="D506" s="38" t="s">
        <v>2963</v>
      </c>
      <c r="E506" s="39" t="s">
        <v>63</v>
      </c>
      <c r="F506" s="112"/>
      <c r="G506" s="113" t="s">
        <v>1395</v>
      </c>
      <c r="H506" s="42" t="s">
        <v>1206</v>
      </c>
      <c r="I506" s="43" t="s">
        <v>2964</v>
      </c>
      <c r="J506" s="43">
        <v>2028.0</v>
      </c>
      <c r="K506" s="43">
        <v>1.0</v>
      </c>
      <c r="L506" s="44" t="s">
        <v>2877</v>
      </c>
      <c r="M506" s="43" t="s">
        <v>63</v>
      </c>
      <c r="N506" s="43"/>
      <c r="O506" s="43"/>
      <c r="P506" s="43"/>
      <c r="Q506" s="43" t="s">
        <v>85</v>
      </c>
      <c r="R506" s="43" t="s">
        <v>2965</v>
      </c>
      <c r="S506" s="44"/>
      <c r="T506" s="39"/>
      <c r="U506" s="39"/>
      <c r="V506" s="39"/>
      <c r="W506" s="39"/>
      <c r="X506" s="39"/>
      <c r="Y506" s="39"/>
      <c r="Z506" s="46"/>
      <c r="AA506" s="47"/>
      <c r="AB506" s="48" t="s">
        <v>61</v>
      </c>
      <c r="AC506" s="68" t="s">
        <v>61</v>
      </c>
      <c r="AD506" s="69" t="s">
        <v>61</v>
      </c>
      <c r="AE506" s="69" t="s">
        <v>61</v>
      </c>
      <c r="AF506" s="68" t="s">
        <v>61</v>
      </c>
      <c r="AG506" s="68" t="s">
        <v>61</v>
      </c>
      <c r="AH506" s="68" t="s">
        <v>61</v>
      </c>
      <c r="AI506" s="70" t="s">
        <v>61</v>
      </c>
      <c r="AJ506" s="114" t="s">
        <v>61</v>
      </c>
      <c r="AK506" s="82"/>
    </row>
    <row r="507" ht="24.0" customHeight="1">
      <c r="A507" s="35"/>
      <c r="B507" s="36">
        <v>1.0</v>
      </c>
      <c r="C507" s="37" t="str">
        <f>IFERROR(__xludf.DUMMYFUNCTION("""COMPUTED_VALUE"""),"Rudy Preziosi (1) - '28 CINF MA")</f>
        <v>Rudy Preziosi (1) - '28 CINF MA</v>
      </c>
      <c r="D507" s="89" t="s">
        <v>2966</v>
      </c>
      <c r="E507" s="51" t="s">
        <v>48</v>
      </c>
      <c r="F507" s="154">
        <v>46156.0</v>
      </c>
      <c r="G507" s="116" t="s">
        <v>1395</v>
      </c>
      <c r="H507" s="54" t="s">
        <v>2967</v>
      </c>
      <c r="I507" s="55" t="s">
        <v>2968</v>
      </c>
      <c r="J507" s="55">
        <v>2028.0</v>
      </c>
      <c r="K507" s="162" t="s">
        <v>2969</v>
      </c>
      <c r="L507" s="131"/>
      <c r="M507" s="55" t="s">
        <v>72</v>
      </c>
      <c r="N507" s="55"/>
      <c r="O507" s="55" t="s">
        <v>1550</v>
      </c>
      <c r="P507" s="57"/>
      <c r="Q507" s="55" t="s">
        <v>85</v>
      </c>
      <c r="R507" s="55" t="s">
        <v>86</v>
      </c>
      <c r="S507" s="58" t="s">
        <v>2970</v>
      </c>
      <c r="T507" s="74"/>
      <c r="U507" s="74"/>
      <c r="V507" s="74"/>
      <c r="W507" s="74"/>
      <c r="X507" s="74"/>
      <c r="Y507" s="51"/>
      <c r="Z507" s="76"/>
      <c r="AA507" s="163" t="s">
        <v>2971</v>
      </c>
      <c r="AB507" s="62" t="s">
        <v>61</v>
      </c>
      <c r="AC507" s="63" t="s">
        <v>61</v>
      </c>
      <c r="AD507" s="64" t="s">
        <v>61</v>
      </c>
      <c r="AE507" s="64" t="s">
        <v>61</v>
      </c>
      <c r="AF507" s="63" t="s">
        <v>61</v>
      </c>
      <c r="AG507" s="63" t="s">
        <v>61</v>
      </c>
      <c r="AH507" s="63" t="s">
        <v>61</v>
      </c>
      <c r="AI507" s="65" t="s">
        <v>61</v>
      </c>
      <c r="AJ507" s="105" t="s">
        <v>61</v>
      </c>
      <c r="AK507" s="76"/>
    </row>
    <row r="508" ht="24.0" customHeight="1">
      <c r="A508" s="71"/>
      <c r="B508" s="36">
        <v>1.0</v>
      </c>
      <c r="C508" s="37" t="str">
        <f>IFERROR(__xludf.DUMMYFUNCTION("""COMPUTED_VALUE""")," ")</f>
        <v> </v>
      </c>
      <c r="D508" s="38" t="s">
        <v>2972</v>
      </c>
      <c r="E508" s="39" t="s">
        <v>103</v>
      </c>
      <c r="F508" s="121"/>
      <c r="G508" s="122"/>
      <c r="H508" s="42" t="s">
        <v>2973</v>
      </c>
      <c r="I508" s="43" t="s">
        <v>1733</v>
      </c>
      <c r="K508" s="43">
        <v>1.0</v>
      </c>
      <c r="L508" s="80"/>
      <c r="M508" s="43" t="s">
        <v>103</v>
      </c>
      <c r="N508" s="80"/>
      <c r="O508" s="43" t="s">
        <v>1556</v>
      </c>
      <c r="P508" s="43" t="s">
        <v>2974</v>
      </c>
      <c r="Q508" s="80"/>
      <c r="R508" s="43" t="s">
        <v>2485</v>
      </c>
      <c r="S508" s="44" t="s">
        <v>2975</v>
      </c>
      <c r="T508" s="81"/>
      <c r="U508" s="81"/>
      <c r="V508" s="157"/>
      <c r="W508" s="39" t="s">
        <v>1724</v>
      </c>
      <c r="X508" s="81"/>
      <c r="Y508" s="81"/>
      <c r="Z508" s="82"/>
      <c r="AA508" s="47" t="s">
        <v>2976</v>
      </c>
      <c r="AB508" s="48" t="s">
        <v>61</v>
      </c>
      <c r="AC508" s="68" t="s">
        <v>61</v>
      </c>
      <c r="AD508" s="69" t="s">
        <v>61</v>
      </c>
      <c r="AE508" s="69" t="s">
        <v>61</v>
      </c>
      <c r="AF508" s="68" t="s">
        <v>61</v>
      </c>
      <c r="AG508" s="68" t="s">
        <v>61</v>
      </c>
      <c r="AH508" s="68" t="s">
        <v>61</v>
      </c>
      <c r="AI508" s="70" t="s">
        <v>61</v>
      </c>
      <c r="AJ508" s="114" t="s">
        <v>61</v>
      </c>
      <c r="AK508" s="82"/>
    </row>
    <row r="509" ht="24.0" customHeight="1">
      <c r="A509" s="125"/>
      <c r="B509" s="36">
        <v>1.0</v>
      </c>
      <c r="C509" s="37" t="str">
        <f>IFERROR(__xludf.DUMMYFUNCTION("""COMPUTED_VALUE"""),"Thomas Rousch (1) - '28 CF MA")</f>
        <v>Thomas Rousch (1) - '28 CF MA</v>
      </c>
      <c r="D509" s="38" t="s">
        <v>2977</v>
      </c>
      <c r="E509" s="51" t="s">
        <v>103</v>
      </c>
      <c r="F509" s="115"/>
      <c r="G509" s="116" t="s">
        <v>1395</v>
      </c>
      <c r="H509" s="54" t="s">
        <v>335</v>
      </c>
      <c r="I509" s="55" t="s">
        <v>2978</v>
      </c>
      <c r="J509" s="55">
        <v>2028.0</v>
      </c>
      <c r="K509" s="55">
        <v>1.0</v>
      </c>
      <c r="L509" s="58" t="s">
        <v>2877</v>
      </c>
      <c r="M509" s="55" t="s">
        <v>106</v>
      </c>
      <c r="N509" s="55"/>
      <c r="O509" s="55"/>
      <c r="P509" s="55"/>
      <c r="Q509" s="55" t="s">
        <v>85</v>
      </c>
      <c r="R509" s="55"/>
      <c r="S509" s="58" t="s">
        <v>538</v>
      </c>
      <c r="T509" s="51"/>
      <c r="U509" s="51"/>
      <c r="V509" s="51"/>
      <c r="W509" s="51"/>
      <c r="X509" s="51"/>
      <c r="Y509" s="51"/>
      <c r="Z509" s="60"/>
      <c r="AA509" s="73"/>
      <c r="AB509" s="62" t="s">
        <v>61</v>
      </c>
      <c r="AC509" s="63" t="s">
        <v>61</v>
      </c>
      <c r="AD509" s="64" t="s">
        <v>61</v>
      </c>
      <c r="AE509" s="64" t="s">
        <v>61</v>
      </c>
      <c r="AF509" s="63" t="s">
        <v>61</v>
      </c>
      <c r="AG509" s="63" t="s">
        <v>61</v>
      </c>
      <c r="AH509" s="63" t="s">
        <v>61</v>
      </c>
      <c r="AI509" s="65" t="s">
        <v>61</v>
      </c>
      <c r="AJ509" s="105" t="s">
        <v>61</v>
      </c>
      <c r="AK509" s="76"/>
    </row>
    <row r="510" ht="24.0" customHeight="1">
      <c r="A510" s="35"/>
      <c r="B510" s="36">
        <v>1.0</v>
      </c>
      <c r="C510" s="37" t="str">
        <f>IFERROR(__xludf.DUMMYFUNCTION("""COMPUTED_VALUE"""),"Ryan Santo (1) - '28 CINF RI")</f>
        <v>Ryan Santo (1) - '28 CINF RI</v>
      </c>
      <c r="D510" s="38" t="s">
        <v>2979</v>
      </c>
      <c r="E510" s="39" t="s">
        <v>48</v>
      </c>
      <c r="F510" s="112"/>
      <c r="G510" s="113" t="s">
        <v>1395</v>
      </c>
      <c r="H510" s="42" t="s">
        <v>1206</v>
      </c>
      <c r="I510" s="43" t="s">
        <v>2980</v>
      </c>
      <c r="J510" s="43">
        <v>2028.0</v>
      </c>
      <c r="K510" s="43">
        <v>1.0</v>
      </c>
      <c r="L510" s="44" t="s">
        <v>2877</v>
      </c>
      <c r="M510" s="43" t="s">
        <v>72</v>
      </c>
      <c r="N510" s="43"/>
      <c r="O510" s="80"/>
      <c r="P510" s="80"/>
      <c r="Q510" s="43" t="s">
        <v>1611</v>
      </c>
      <c r="R510" s="43" t="s">
        <v>1612</v>
      </c>
      <c r="S510" s="44" t="s">
        <v>2981</v>
      </c>
      <c r="T510" s="81"/>
      <c r="U510" s="81"/>
      <c r="V510" s="81"/>
      <c r="W510" s="81"/>
      <c r="X510" s="81"/>
      <c r="Y510" s="81"/>
      <c r="Z510" s="82"/>
      <c r="AA510" s="99"/>
      <c r="AB510" s="48" t="s">
        <v>61</v>
      </c>
      <c r="AC510" s="68" t="s">
        <v>61</v>
      </c>
      <c r="AD510" s="69" t="s">
        <v>61</v>
      </c>
      <c r="AE510" s="69" t="s">
        <v>61</v>
      </c>
      <c r="AF510" s="68" t="s">
        <v>61</v>
      </c>
      <c r="AG510" s="68" t="s">
        <v>61</v>
      </c>
      <c r="AH510" s="68" t="s">
        <v>61</v>
      </c>
      <c r="AI510" s="70" t="s">
        <v>61</v>
      </c>
      <c r="AJ510" s="114" t="s">
        <v>61</v>
      </c>
      <c r="AK510" s="82"/>
    </row>
    <row r="511" ht="24.0" customHeight="1">
      <c r="A511" s="35"/>
      <c r="B511" s="36">
        <v>1.0</v>
      </c>
      <c r="C511" s="37" t="str">
        <f>IFERROR(__xludf.DUMMYFUNCTION("""COMPUTED_VALUE"""),"Charlie Scott (1) - '28 MINF MA")</f>
        <v>Charlie Scott (1) - '28 MINF MA</v>
      </c>
      <c r="D511" s="38" t="s">
        <v>2982</v>
      </c>
      <c r="E511" s="51" t="s">
        <v>48</v>
      </c>
      <c r="F511" s="115"/>
      <c r="G511" s="116" t="s">
        <v>1395</v>
      </c>
      <c r="H511" s="54" t="s">
        <v>629</v>
      </c>
      <c r="I511" s="55" t="s">
        <v>1063</v>
      </c>
      <c r="J511" s="55">
        <v>2028.0</v>
      </c>
      <c r="K511" s="55">
        <v>1.0</v>
      </c>
      <c r="L511" s="58" t="s">
        <v>2877</v>
      </c>
      <c r="M511" s="55" t="s">
        <v>51</v>
      </c>
      <c r="N511" s="55"/>
      <c r="O511" s="72"/>
      <c r="P511" s="72"/>
      <c r="Q511" s="55" t="s">
        <v>85</v>
      </c>
      <c r="R511" s="55" t="s">
        <v>2801</v>
      </c>
      <c r="S511" s="58" t="s">
        <v>2983</v>
      </c>
      <c r="T511" s="51"/>
      <c r="U511" s="51"/>
      <c r="V511" s="51"/>
      <c r="W511" s="51"/>
      <c r="X511" s="51"/>
      <c r="Y511" s="51"/>
      <c r="Z511" s="60"/>
      <c r="AA511" s="73"/>
      <c r="AB511" s="62" t="s">
        <v>61</v>
      </c>
      <c r="AC511" s="63" t="s">
        <v>61</v>
      </c>
      <c r="AD511" s="64" t="s">
        <v>61</v>
      </c>
      <c r="AE511" s="64" t="s">
        <v>61</v>
      </c>
      <c r="AF511" s="63" t="s">
        <v>61</v>
      </c>
      <c r="AG511" s="63" t="s">
        <v>61</v>
      </c>
      <c r="AH511" s="63" t="s">
        <v>61</v>
      </c>
      <c r="AI511" s="65" t="s">
        <v>61</v>
      </c>
      <c r="AJ511" s="105" t="s">
        <v>61</v>
      </c>
      <c r="AK511" s="76"/>
    </row>
    <row r="512" ht="24.0" customHeight="1">
      <c r="A512" s="125"/>
      <c r="B512" s="36">
        <v>1.0</v>
      </c>
      <c r="C512" s="37" t="str">
        <f>IFERROR(__xludf.DUMMYFUNCTION("""COMPUTED_VALUE"""),"James Sullivan (1) - '28 MINF MA")</f>
        <v>James Sullivan (1) - '28 MINF MA</v>
      </c>
      <c r="D512" s="38" t="s">
        <v>2984</v>
      </c>
      <c r="E512" s="39" t="s">
        <v>48</v>
      </c>
      <c r="F512" s="112"/>
      <c r="G512" s="113" t="s">
        <v>1395</v>
      </c>
      <c r="H512" s="42" t="s">
        <v>916</v>
      </c>
      <c r="I512" s="43" t="s">
        <v>1786</v>
      </c>
      <c r="J512" s="43">
        <v>2028.0</v>
      </c>
      <c r="K512" s="43">
        <v>1.0</v>
      </c>
      <c r="L512" s="44" t="s">
        <v>2877</v>
      </c>
      <c r="M512" s="43" t="s">
        <v>51</v>
      </c>
      <c r="N512" s="80"/>
      <c r="O512" s="43"/>
      <c r="P512" s="43"/>
      <c r="Q512" s="43" t="s">
        <v>85</v>
      </c>
      <c r="R512" s="43" t="s">
        <v>2985</v>
      </c>
      <c r="S512" s="44"/>
      <c r="T512" s="81"/>
      <c r="U512" s="39"/>
      <c r="V512" s="39"/>
      <c r="W512" s="39"/>
      <c r="X512" s="39"/>
      <c r="Y512" s="39"/>
      <c r="Z512" s="46"/>
      <c r="AA512" s="47"/>
      <c r="AB512" s="48" t="s">
        <v>61</v>
      </c>
      <c r="AC512" s="68" t="s">
        <v>61</v>
      </c>
      <c r="AD512" s="69" t="s">
        <v>61</v>
      </c>
      <c r="AE512" s="69" t="s">
        <v>61</v>
      </c>
      <c r="AF512" s="68" t="s">
        <v>61</v>
      </c>
      <c r="AG512" s="68" t="s">
        <v>61</v>
      </c>
      <c r="AH512" s="68" t="s">
        <v>61</v>
      </c>
      <c r="AI512" s="70" t="s">
        <v>61</v>
      </c>
      <c r="AJ512" s="114" t="s">
        <v>61</v>
      </c>
      <c r="AK512" s="82"/>
    </row>
    <row r="513" ht="24.0" customHeight="1">
      <c r="A513" s="35"/>
      <c r="B513" s="36">
        <v>1.0</v>
      </c>
      <c r="C513" s="37" t="str">
        <f>IFERROR(__xludf.DUMMYFUNCTION("""COMPUTED_VALUE"""),"JT Taylor (1) - '28 C MA")</f>
        <v>JT Taylor (1) - '28 C MA</v>
      </c>
      <c r="D513" s="89" t="s">
        <v>2986</v>
      </c>
      <c r="E513" s="51" t="s">
        <v>109</v>
      </c>
      <c r="F513" s="154">
        <v>46156.0</v>
      </c>
      <c r="G513" s="116" t="s">
        <v>1395</v>
      </c>
      <c r="H513" s="54" t="s">
        <v>2987</v>
      </c>
      <c r="I513" s="55" t="s">
        <v>1895</v>
      </c>
      <c r="J513" s="55">
        <v>2028.0</v>
      </c>
      <c r="K513" s="55">
        <v>1.0</v>
      </c>
      <c r="L513" s="57"/>
      <c r="M513" s="55" t="s">
        <v>109</v>
      </c>
      <c r="N513" s="55"/>
      <c r="O513" s="55" t="s">
        <v>1550</v>
      </c>
      <c r="P513" s="55" t="s">
        <v>2988</v>
      </c>
      <c r="Q513" s="55" t="s">
        <v>85</v>
      </c>
      <c r="R513" s="55" t="s">
        <v>86</v>
      </c>
      <c r="S513" s="58" t="s">
        <v>2989</v>
      </c>
      <c r="T513" s="74"/>
      <c r="U513" s="51" t="s">
        <v>2990</v>
      </c>
      <c r="V513" s="51" t="s">
        <v>2991</v>
      </c>
      <c r="W513" s="51" t="s">
        <v>2992</v>
      </c>
      <c r="X513" s="74"/>
      <c r="Y513" s="74"/>
      <c r="Z513" s="76"/>
      <c r="AA513" s="155" t="s">
        <v>2993</v>
      </c>
      <c r="AB513" s="62" t="s">
        <v>61</v>
      </c>
      <c r="AC513" s="63" t="s">
        <v>61</v>
      </c>
      <c r="AD513" s="64" t="s">
        <v>61</v>
      </c>
      <c r="AE513" s="64" t="s">
        <v>61</v>
      </c>
      <c r="AF513" s="63" t="s">
        <v>61</v>
      </c>
      <c r="AG513" s="63" t="s">
        <v>61</v>
      </c>
      <c r="AH513" s="63" t="s">
        <v>61</v>
      </c>
      <c r="AI513" s="65" t="s">
        <v>61</v>
      </c>
      <c r="AJ513" s="105" t="s">
        <v>61</v>
      </c>
      <c r="AK513" s="76"/>
    </row>
    <row r="514" ht="24.0" customHeight="1">
      <c r="A514" s="35"/>
      <c r="B514" s="36">
        <v>1.0</v>
      </c>
      <c r="C514" s="37" t="str">
        <f>IFERROR(__xludf.DUMMYFUNCTION("""COMPUTED_VALUE"""),"Grady Tempesta (1) - '28 MINF MA")</f>
        <v>Grady Tempesta (1) - '28 MINF MA</v>
      </c>
      <c r="D514" s="38" t="s">
        <v>2994</v>
      </c>
      <c r="E514" s="39" t="s">
        <v>48</v>
      </c>
      <c r="F514" s="112"/>
      <c r="G514" s="113"/>
      <c r="H514" s="42" t="s">
        <v>2995</v>
      </c>
      <c r="I514" s="43" t="s">
        <v>2996</v>
      </c>
      <c r="J514" s="43">
        <v>2028.0</v>
      </c>
      <c r="K514" s="43">
        <v>1.0</v>
      </c>
      <c r="L514" s="44"/>
      <c r="M514" s="43" t="s">
        <v>51</v>
      </c>
      <c r="N514" s="43"/>
      <c r="O514" s="80"/>
      <c r="P514" s="80"/>
      <c r="Q514" s="43" t="s">
        <v>85</v>
      </c>
      <c r="R514" s="43" t="s">
        <v>2997</v>
      </c>
      <c r="S514" s="44" t="s">
        <v>2874</v>
      </c>
      <c r="T514" s="39"/>
      <c r="U514" s="39"/>
      <c r="V514" s="39"/>
      <c r="W514" s="39"/>
      <c r="X514" s="39"/>
      <c r="Y514" s="39"/>
      <c r="Z514" s="46"/>
      <c r="AA514" s="47"/>
      <c r="AB514" s="48" t="s">
        <v>61</v>
      </c>
      <c r="AC514" s="68" t="s">
        <v>61</v>
      </c>
      <c r="AD514" s="69" t="s">
        <v>61</v>
      </c>
      <c r="AE514" s="69" t="s">
        <v>61</v>
      </c>
      <c r="AF514" s="68" t="s">
        <v>61</v>
      </c>
      <c r="AG514" s="68" t="s">
        <v>61</v>
      </c>
      <c r="AH514" s="68" t="s">
        <v>61</v>
      </c>
      <c r="AI514" s="70" t="s">
        <v>61</v>
      </c>
      <c r="AJ514" s="114" t="s">
        <v>61</v>
      </c>
      <c r="AK514" s="82"/>
    </row>
    <row r="515" ht="24.0" customHeight="1">
      <c r="A515" s="35"/>
      <c r="B515" s="36">
        <v>1.0</v>
      </c>
      <c r="C515" s="37" t="str">
        <f>IFERROR(__xludf.DUMMYFUNCTION("""COMPUTED_VALUE"""),"Tristin Ulrich (1) - '28 SS ")</f>
        <v>Tristin Ulrich (1) - '28 SS </v>
      </c>
      <c r="D515" s="38" t="s">
        <v>2998</v>
      </c>
      <c r="E515" s="51" t="s">
        <v>48</v>
      </c>
      <c r="F515" s="137"/>
      <c r="G515" s="133"/>
      <c r="H515" s="54" t="s">
        <v>2999</v>
      </c>
      <c r="I515" s="55" t="s">
        <v>3000</v>
      </c>
      <c r="J515" s="55">
        <v>2028.0</v>
      </c>
      <c r="K515" s="55">
        <v>1.0</v>
      </c>
      <c r="L515" s="57"/>
      <c r="M515" s="55" t="s">
        <v>1398</v>
      </c>
      <c r="N515" s="57"/>
      <c r="O515" s="57"/>
      <c r="P515" s="55" t="s">
        <v>3001</v>
      </c>
      <c r="Q515" s="57"/>
      <c r="R515" s="55" t="s">
        <v>3002</v>
      </c>
      <c r="S515" s="58" t="s">
        <v>3003</v>
      </c>
      <c r="T515" s="74"/>
      <c r="U515" s="74"/>
      <c r="V515" s="51"/>
      <c r="W515" s="51" t="s">
        <v>1724</v>
      </c>
      <c r="X515" s="51" t="s">
        <v>1989</v>
      </c>
      <c r="Y515" s="74"/>
      <c r="Z515" s="76"/>
      <c r="AA515" s="134"/>
      <c r="AB515" s="62" t="s">
        <v>61</v>
      </c>
      <c r="AC515" s="63" t="s">
        <v>61</v>
      </c>
      <c r="AD515" s="64" t="s">
        <v>61</v>
      </c>
      <c r="AE515" s="64" t="s">
        <v>61</v>
      </c>
      <c r="AF515" s="63" t="s">
        <v>61</v>
      </c>
      <c r="AG515" s="63" t="s">
        <v>61</v>
      </c>
      <c r="AH515" s="63" t="s">
        <v>61</v>
      </c>
      <c r="AI515" s="65" t="s">
        <v>61</v>
      </c>
      <c r="AJ515" s="105" t="s">
        <v>61</v>
      </c>
      <c r="AK515" s="76"/>
    </row>
    <row r="516" ht="24.0" customHeight="1">
      <c r="A516" s="35"/>
      <c r="B516" s="36">
        <v>1.0</v>
      </c>
      <c r="C516" s="37" t="str">
        <f>IFERROR(__xludf.DUMMYFUNCTION("""COMPUTED_VALUE"""),"Nicky Vlastos (1) - '28 CINF CT")</f>
        <v>Nicky Vlastos (1) - '28 CINF CT</v>
      </c>
      <c r="D516" s="38" t="s">
        <v>3004</v>
      </c>
      <c r="E516" s="39" t="s">
        <v>48</v>
      </c>
      <c r="F516" s="112"/>
      <c r="G516" s="113" t="s">
        <v>1395</v>
      </c>
      <c r="H516" s="42" t="s">
        <v>3005</v>
      </c>
      <c r="I516" s="43" t="s">
        <v>3006</v>
      </c>
      <c r="J516" s="123">
        <v>2028.0</v>
      </c>
      <c r="K516" s="43">
        <v>1.0</v>
      </c>
      <c r="L516" s="44" t="s">
        <v>2877</v>
      </c>
      <c r="M516" s="43" t="s">
        <v>72</v>
      </c>
      <c r="N516" s="43"/>
      <c r="O516" s="43"/>
      <c r="P516" s="43"/>
      <c r="Q516" s="43" t="s">
        <v>160</v>
      </c>
      <c r="R516" s="43" t="s">
        <v>3007</v>
      </c>
      <c r="S516" s="44" t="s">
        <v>2341</v>
      </c>
      <c r="T516" s="39"/>
      <c r="U516" s="39"/>
      <c r="V516" s="39"/>
      <c r="W516" s="39"/>
      <c r="X516" s="39"/>
      <c r="Y516" s="39"/>
      <c r="Z516" s="46"/>
      <c r="AA516" s="47"/>
      <c r="AB516" s="48" t="s">
        <v>61</v>
      </c>
      <c r="AC516" s="68" t="s">
        <v>61</v>
      </c>
      <c r="AD516" s="69" t="s">
        <v>61</v>
      </c>
      <c r="AE516" s="69" t="s">
        <v>61</v>
      </c>
      <c r="AF516" s="68" t="s">
        <v>61</v>
      </c>
      <c r="AG516" s="68" t="s">
        <v>61</v>
      </c>
      <c r="AH516" s="68" t="s">
        <v>61</v>
      </c>
      <c r="AI516" s="70" t="s">
        <v>61</v>
      </c>
      <c r="AJ516" s="114" t="s">
        <v>61</v>
      </c>
      <c r="AK516" s="82"/>
    </row>
    <row r="517" ht="24.0" customHeight="1">
      <c r="A517" s="35"/>
      <c r="B517" s="36">
        <v>1.0</v>
      </c>
      <c r="C517" s="37" t="str">
        <f>IFERROR(__xludf.DUMMYFUNCTION("""COMPUTED_VALUE"""),"Jacob Williams (1) - '28 COF NH")</f>
        <v>Jacob Williams (1) - '28 COF NH</v>
      </c>
      <c r="D517" s="38" t="s">
        <v>3008</v>
      </c>
      <c r="E517" s="51" t="s">
        <v>103</v>
      </c>
      <c r="F517" s="115"/>
      <c r="G517" s="116" t="s">
        <v>1395</v>
      </c>
      <c r="H517" s="54" t="s">
        <v>284</v>
      </c>
      <c r="I517" s="55" t="s">
        <v>1001</v>
      </c>
      <c r="J517" s="55">
        <v>2028.0</v>
      </c>
      <c r="K517" s="55">
        <v>1.0</v>
      </c>
      <c r="L517" s="58" t="s">
        <v>2877</v>
      </c>
      <c r="M517" s="55" t="s">
        <v>42</v>
      </c>
      <c r="N517" s="55"/>
      <c r="O517" s="55"/>
      <c r="P517" s="55"/>
      <c r="Q517" s="55" t="s">
        <v>942</v>
      </c>
      <c r="R517" s="55" t="s">
        <v>2801</v>
      </c>
      <c r="S517" s="58"/>
      <c r="T517" s="51"/>
      <c r="U517" s="51"/>
      <c r="V517" s="51"/>
      <c r="W517" s="51"/>
      <c r="X517" s="51"/>
      <c r="Y517" s="51"/>
      <c r="Z517" s="60"/>
      <c r="AA517" s="73"/>
      <c r="AB517" s="62" t="s">
        <v>61</v>
      </c>
      <c r="AC517" s="63" t="s">
        <v>61</v>
      </c>
      <c r="AD517" s="64" t="s">
        <v>61</v>
      </c>
      <c r="AE517" s="64" t="s">
        <v>61</v>
      </c>
      <c r="AF517" s="63" t="s">
        <v>61</v>
      </c>
      <c r="AG517" s="63" t="s">
        <v>61</v>
      </c>
      <c r="AH517" s="63" t="s">
        <v>61</v>
      </c>
      <c r="AI517" s="65" t="s">
        <v>61</v>
      </c>
      <c r="AJ517" s="105" t="s">
        <v>61</v>
      </c>
      <c r="AK517" s="76"/>
    </row>
    <row r="518" ht="24.0" customHeight="1">
      <c r="A518" s="35"/>
      <c r="B518" s="36">
        <v>1.0</v>
      </c>
      <c r="C518" s="37" t="str">
        <f>IFERROR(__xludf.DUMMYFUNCTION("""COMPUTED_VALUE"""),"Trevor Woodworth (1) - '28 RHP CA")</f>
        <v>Trevor Woodworth (1) - '28 RHP CA</v>
      </c>
      <c r="D518" s="38" t="s">
        <v>3009</v>
      </c>
      <c r="E518" s="39" t="s">
        <v>63</v>
      </c>
      <c r="F518" s="118">
        <v>45869.0</v>
      </c>
      <c r="G518" s="113" t="s">
        <v>1395</v>
      </c>
      <c r="H518" s="42" t="s">
        <v>1271</v>
      </c>
      <c r="I518" s="43" t="s">
        <v>3010</v>
      </c>
      <c r="J518" s="43">
        <v>2028.0</v>
      </c>
      <c r="K518" s="43">
        <v>1.0</v>
      </c>
      <c r="L518" s="80"/>
      <c r="M518" s="43" t="s">
        <v>63</v>
      </c>
      <c r="N518" s="80"/>
      <c r="O518" s="43" t="s">
        <v>1550</v>
      </c>
      <c r="P518" s="43" t="s">
        <v>3011</v>
      </c>
      <c r="Q518" s="43" t="s">
        <v>52</v>
      </c>
      <c r="R518" s="43" t="s">
        <v>3012</v>
      </c>
      <c r="S518" s="117"/>
      <c r="T518" s="39">
        <v>4.0</v>
      </c>
      <c r="U518" s="81"/>
      <c r="V518" s="39">
        <v>8.057462326E9</v>
      </c>
      <c r="W518" s="81"/>
      <c r="X518" s="81"/>
      <c r="Y518" s="81"/>
      <c r="Z518" s="82"/>
      <c r="AA518" s="47" t="s">
        <v>3013</v>
      </c>
      <c r="AB518" s="48" t="s">
        <v>61</v>
      </c>
      <c r="AC518" s="68" t="s">
        <v>61</v>
      </c>
      <c r="AD518" s="69" t="s">
        <v>61</v>
      </c>
      <c r="AE518" s="69" t="s">
        <v>61</v>
      </c>
      <c r="AF518" s="68" t="s">
        <v>61</v>
      </c>
      <c r="AG518" s="68" t="s">
        <v>61</v>
      </c>
      <c r="AH518" s="68" t="s">
        <v>61</v>
      </c>
      <c r="AI518" s="70" t="s">
        <v>61</v>
      </c>
      <c r="AJ518" s="114" t="s">
        <v>61</v>
      </c>
      <c r="AK518" s="82"/>
    </row>
    <row r="519" ht="24.0" customHeight="1">
      <c r="A519" s="35"/>
      <c r="B519" s="36">
        <v>1.0</v>
      </c>
      <c r="C519" s="37" t="str">
        <f>IFERROR(__xludf.DUMMYFUNCTION("""COMPUTED_VALUE"""),"Cameron Aguilar (2) - '27 OF MA")</f>
        <v>Cameron Aguilar (2) - '27 OF MA</v>
      </c>
      <c r="D519" s="38" t="s">
        <v>3014</v>
      </c>
      <c r="E519" s="51" t="s">
        <v>103</v>
      </c>
      <c r="F519" s="119">
        <v>45865.0</v>
      </c>
      <c r="G519" s="116" t="s">
        <v>1395</v>
      </c>
      <c r="H519" s="54" t="s">
        <v>594</v>
      </c>
      <c r="I519" s="55" t="s">
        <v>3015</v>
      </c>
      <c r="J519" s="55">
        <v>2027.0</v>
      </c>
      <c r="K519" s="55">
        <v>2.0</v>
      </c>
      <c r="L519" s="159" t="s">
        <v>61</v>
      </c>
      <c r="M519" s="55" t="s">
        <v>103</v>
      </c>
      <c r="N519" s="132"/>
      <c r="O519" s="55" t="s">
        <v>1550</v>
      </c>
      <c r="P519" s="55" t="s">
        <v>2908</v>
      </c>
      <c r="Q519" s="55" t="s">
        <v>85</v>
      </c>
      <c r="R519" s="55" t="s">
        <v>3016</v>
      </c>
      <c r="S519" s="58" t="s">
        <v>87</v>
      </c>
      <c r="T519" s="51">
        <v>3.95</v>
      </c>
      <c r="U519" s="51"/>
      <c r="V519" s="51" t="s">
        <v>3017</v>
      </c>
      <c r="W519" s="51" t="s">
        <v>2821</v>
      </c>
      <c r="X519" s="74"/>
      <c r="Y519" s="74"/>
      <c r="Z519" s="76"/>
      <c r="AA519" s="134"/>
      <c r="AB519" s="62" t="s">
        <v>3018</v>
      </c>
      <c r="AC519" s="63" t="s">
        <v>3019</v>
      </c>
      <c r="AD519" s="64" t="s">
        <v>3020</v>
      </c>
      <c r="AE519" s="64" t="s">
        <v>3021</v>
      </c>
      <c r="AF519" s="63" t="s">
        <v>3022</v>
      </c>
      <c r="AG519" s="63" t="s">
        <v>81</v>
      </c>
      <c r="AH519" s="63" t="s">
        <v>81</v>
      </c>
      <c r="AI519" s="65" t="s">
        <v>81</v>
      </c>
      <c r="AJ519" s="66" t="s">
        <v>61</v>
      </c>
      <c r="AK519" s="60"/>
    </row>
    <row r="520" ht="24.0" customHeight="1">
      <c r="A520" s="88"/>
      <c r="B520" s="36">
        <v>1.0</v>
      </c>
      <c r="C520" s="37" t="str">
        <f>IFERROR(__xludf.DUMMYFUNCTION("""COMPUTED_VALUE"""),"Austen Ahu (2) - '28 OF HI")</f>
        <v>Austen Ahu (2) - '28 OF HI</v>
      </c>
      <c r="D520" s="38" t="s">
        <v>3023</v>
      </c>
      <c r="E520" s="39" t="s">
        <v>103</v>
      </c>
      <c r="F520" s="118">
        <v>45869.0</v>
      </c>
      <c r="G520" s="113" t="s">
        <v>1395</v>
      </c>
      <c r="H520" s="42" t="s">
        <v>3024</v>
      </c>
      <c r="I520" s="43" t="s">
        <v>3025</v>
      </c>
      <c r="J520" s="43">
        <v>2028.0</v>
      </c>
      <c r="K520" s="43">
        <v>2.0</v>
      </c>
      <c r="L520" s="80"/>
      <c r="M520" s="43" t="s">
        <v>103</v>
      </c>
      <c r="N520" s="80"/>
      <c r="O520" s="43" t="s">
        <v>1550</v>
      </c>
      <c r="P520" s="43" t="s">
        <v>3026</v>
      </c>
      <c r="Q520" s="43" t="s">
        <v>148</v>
      </c>
      <c r="R520" s="43" t="s">
        <v>3027</v>
      </c>
      <c r="S520" s="117"/>
      <c r="T520" s="39">
        <v>3.8</v>
      </c>
      <c r="U520" s="81"/>
      <c r="V520" s="39">
        <v>8.087983388E9</v>
      </c>
      <c r="W520" s="81"/>
      <c r="X520" s="81"/>
      <c r="Y520" s="81"/>
      <c r="Z520" s="82"/>
      <c r="AA520" s="47" t="s">
        <v>3028</v>
      </c>
      <c r="AB520" s="48" t="s">
        <v>61</v>
      </c>
      <c r="AC520" s="68" t="s">
        <v>61</v>
      </c>
      <c r="AD520" s="69" t="s">
        <v>61</v>
      </c>
      <c r="AE520" s="69" t="s">
        <v>61</v>
      </c>
      <c r="AF520" s="68" t="s">
        <v>61</v>
      </c>
      <c r="AG520" s="68" t="s">
        <v>61</v>
      </c>
      <c r="AH520" s="68" t="s">
        <v>61</v>
      </c>
      <c r="AI520" s="70" t="s">
        <v>61</v>
      </c>
      <c r="AJ520" s="114" t="s">
        <v>61</v>
      </c>
      <c r="AK520" s="82"/>
    </row>
    <row r="521" ht="24.0" customHeight="1">
      <c r="A521" s="88"/>
      <c r="B521" s="36">
        <v>1.0</v>
      </c>
      <c r="C521" s="37" t="str">
        <f>IFERROR(__xludf.DUMMYFUNCTION("""COMPUTED_VALUE"""),"Bobby Bastek (2) - '27 SS GA")</f>
        <v>Bobby Bastek (2) - '27 SS GA</v>
      </c>
      <c r="D521" s="38" t="s">
        <v>3029</v>
      </c>
      <c r="E521" s="51" t="s">
        <v>48</v>
      </c>
      <c r="F521" s="119">
        <v>45925.0</v>
      </c>
      <c r="G521" s="116" t="s">
        <v>1395</v>
      </c>
      <c r="H521" s="54" t="s">
        <v>210</v>
      </c>
      <c r="I521" s="55" t="s">
        <v>3030</v>
      </c>
      <c r="J521" s="55">
        <v>2027.0</v>
      </c>
      <c r="K521" s="55">
        <v>2.0</v>
      </c>
      <c r="L521" s="159" t="s">
        <v>61</v>
      </c>
      <c r="M521" s="55" t="s">
        <v>1398</v>
      </c>
      <c r="N521" s="58"/>
      <c r="O521" s="57"/>
      <c r="P521" s="55" t="s">
        <v>3031</v>
      </c>
      <c r="Q521" s="55" t="s">
        <v>43</v>
      </c>
      <c r="R521" s="55" t="s">
        <v>3032</v>
      </c>
      <c r="S521" s="58" t="s">
        <v>1120</v>
      </c>
      <c r="T521" s="74"/>
      <c r="U521" s="74"/>
      <c r="V521" s="74"/>
      <c r="W521" s="51" t="s">
        <v>1564</v>
      </c>
      <c r="X521" s="74"/>
      <c r="Y521" s="74"/>
      <c r="Z521" s="76"/>
      <c r="AA521" s="134"/>
      <c r="AB521" s="62" t="s">
        <v>61</v>
      </c>
      <c r="AC521" s="63" t="s">
        <v>61</v>
      </c>
      <c r="AD521" s="64" t="s">
        <v>61</v>
      </c>
      <c r="AE521" s="64" t="s">
        <v>61</v>
      </c>
      <c r="AF521" s="63" t="s">
        <v>61</v>
      </c>
      <c r="AG521" s="63" t="s">
        <v>61</v>
      </c>
      <c r="AH521" s="63" t="s">
        <v>61</v>
      </c>
      <c r="AI521" s="65" t="s">
        <v>61</v>
      </c>
      <c r="AJ521" s="66" t="s">
        <v>61</v>
      </c>
      <c r="AK521" s="60"/>
    </row>
    <row r="522" ht="24.0" customHeight="1">
      <c r="A522" s="35"/>
      <c r="B522" s="36">
        <v>1.0</v>
      </c>
      <c r="C522" s="37" t="str">
        <f>IFERROR(__xludf.DUMMYFUNCTION("""COMPUTED_VALUE"""),"Jaeger Bedford (2) - '27 RHP FL")</f>
        <v>Jaeger Bedford (2) - '27 RHP FL</v>
      </c>
      <c r="D522" s="38" t="s">
        <v>3033</v>
      </c>
      <c r="E522" s="39" t="s">
        <v>63</v>
      </c>
      <c r="F522" s="121"/>
      <c r="G522" s="113" t="s">
        <v>1430</v>
      </c>
      <c r="H522" s="42" t="s">
        <v>3034</v>
      </c>
      <c r="I522" s="43" t="s">
        <v>3035</v>
      </c>
      <c r="J522" s="43">
        <v>2027.0</v>
      </c>
      <c r="K522" s="43">
        <v>2.0</v>
      </c>
      <c r="L522" s="160" t="s">
        <v>61</v>
      </c>
      <c r="M522" s="43" t="s">
        <v>63</v>
      </c>
      <c r="N522" s="117"/>
      <c r="O522" s="80"/>
      <c r="P522" s="43" t="s">
        <v>3036</v>
      </c>
      <c r="Q522" s="43" t="s">
        <v>66</v>
      </c>
      <c r="R522" s="43" t="s">
        <v>3037</v>
      </c>
      <c r="S522" s="44" t="s">
        <v>3038</v>
      </c>
      <c r="T522" s="81"/>
      <c r="U522" s="81"/>
      <c r="V522" s="157"/>
      <c r="W522" s="39" t="s">
        <v>1724</v>
      </c>
      <c r="X522" s="39" t="s">
        <v>1550</v>
      </c>
      <c r="Y522" s="81"/>
      <c r="Z522" s="82"/>
      <c r="AA522" s="47" t="s">
        <v>3039</v>
      </c>
      <c r="AB522" s="48" t="s">
        <v>61</v>
      </c>
      <c r="AC522" s="68" t="s">
        <v>61</v>
      </c>
      <c r="AD522" s="69" t="s">
        <v>61</v>
      </c>
      <c r="AE522" s="69" t="s">
        <v>61</v>
      </c>
      <c r="AF522" s="68" t="s">
        <v>61</v>
      </c>
      <c r="AG522" s="68" t="s">
        <v>61</v>
      </c>
      <c r="AH522" s="68" t="s">
        <v>61</v>
      </c>
      <c r="AI522" s="70" t="s">
        <v>61</v>
      </c>
      <c r="AJ522" s="49" t="s">
        <v>61</v>
      </c>
      <c r="AK522" s="46"/>
    </row>
    <row r="523" ht="24.0" customHeight="1">
      <c r="A523" s="35"/>
      <c r="B523" s="36">
        <v>1.0</v>
      </c>
      <c r="C523" s="37" t="str">
        <f>IFERROR(__xludf.DUMMYFUNCTION("""COMPUTED_VALUE"""),"Matthew Bergin (2) - '27 OF ")</f>
        <v>Matthew Bergin (2) - '27 OF </v>
      </c>
      <c r="D523" s="38" t="s">
        <v>3040</v>
      </c>
      <c r="E523" s="51" t="s">
        <v>103</v>
      </c>
      <c r="F523" s="137"/>
      <c r="G523" s="133"/>
      <c r="H523" s="54" t="s">
        <v>312</v>
      </c>
      <c r="I523" s="55" t="s">
        <v>3041</v>
      </c>
      <c r="J523" s="55">
        <v>2027.0</v>
      </c>
      <c r="K523" s="55">
        <v>2.0</v>
      </c>
      <c r="L523" s="159" t="s">
        <v>61</v>
      </c>
      <c r="M523" s="55" t="s">
        <v>103</v>
      </c>
      <c r="N523" s="132"/>
      <c r="O523" s="55" t="s">
        <v>1550</v>
      </c>
      <c r="P523" s="55" t="s">
        <v>3042</v>
      </c>
      <c r="Q523" s="57"/>
      <c r="R523" s="55" t="s">
        <v>3043</v>
      </c>
      <c r="S523" s="58" t="s">
        <v>2975</v>
      </c>
      <c r="T523" s="74"/>
      <c r="U523" s="74"/>
      <c r="V523" s="139"/>
      <c r="W523" s="51" t="s">
        <v>1724</v>
      </c>
      <c r="X523" s="74"/>
      <c r="Y523" s="74"/>
      <c r="Z523" s="76"/>
      <c r="AA523" s="73" t="s">
        <v>3044</v>
      </c>
      <c r="AB523" s="62" t="s">
        <v>61</v>
      </c>
      <c r="AC523" s="63" t="s">
        <v>61</v>
      </c>
      <c r="AD523" s="64" t="s">
        <v>61</v>
      </c>
      <c r="AE523" s="64" t="s">
        <v>61</v>
      </c>
      <c r="AF523" s="63" t="s">
        <v>61</v>
      </c>
      <c r="AG523" s="63" t="s">
        <v>61</v>
      </c>
      <c r="AH523" s="63" t="s">
        <v>61</v>
      </c>
      <c r="AI523" s="65" t="s">
        <v>61</v>
      </c>
      <c r="AJ523" s="66" t="s">
        <v>61</v>
      </c>
      <c r="AK523" s="60"/>
    </row>
    <row r="524" ht="24.0" customHeight="1">
      <c r="A524" s="35"/>
      <c r="B524" s="36">
        <v>1.0</v>
      </c>
      <c r="C524" s="37" t="str">
        <f>IFERROR(__xludf.DUMMYFUNCTION("""COMPUTED_VALUE"""),"Blake Bourne (2) - '27 UTL MD")</f>
        <v>Blake Bourne (2) - '27 UTL MD</v>
      </c>
      <c r="D524" s="38" t="s">
        <v>3045</v>
      </c>
      <c r="E524" s="39"/>
      <c r="F524" s="118">
        <v>45925.0</v>
      </c>
      <c r="G524" s="113" t="s">
        <v>1395</v>
      </c>
      <c r="H524" s="42" t="s">
        <v>496</v>
      </c>
      <c r="I524" s="43" t="s">
        <v>3046</v>
      </c>
      <c r="J524" s="43">
        <v>2027.0</v>
      </c>
      <c r="K524" s="43">
        <v>2.0</v>
      </c>
      <c r="L524" s="160" t="s">
        <v>61</v>
      </c>
      <c r="M524" s="43" t="s">
        <v>807</v>
      </c>
      <c r="N524" s="44" t="s">
        <v>2907</v>
      </c>
      <c r="O524" s="80"/>
      <c r="P524" s="43" t="s">
        <v>3047</v>
      </c>
      <c r="Q524" s="43" t="s">
        <v>195</v>
      </c>
      <c r="R524" s="80"/>
      <c r="S524" s="44" t="s">
        <v>229</v>
      </c>
      <c r="T524" s="81"/>
      <c r="U524" s="81"/>
      <c r="V524" s="81"/>
      <c r="W524" s="39" t="s">
        <v>1564</v>
      </c>
      <c r="X524" s="81"/>
      <c r="Y524" s="81"/>
      <c r="Z524" s="82"/>
      <c r="AA524" s="99"/>
      <c r="AB524" s="48" t="s">
        <v>61</v>
      </c>
      <c r="AC524" s="68" t="s">
        <v>61</v>
      </c>
      <c r="AD524" s="69" t="s">
        <v>61</v>
      </c>
      <c r="AE524" s="69" t="s">
        <v>61</v>
      </c>
      <c r="AF524" s="68" t="s">
        <v>61</v>
      </c>
      <c r="AG524" s="68" t="s">
        <v>61</v>
      </c>
      <c r="AH524" s="68" t="s">
        <v>61</v>
      </c>
      <c r="AI524" s="70" t="s">
        <v>61</v>
      </c>
      <c r="AJ524" s="49" t="s">
        <v>61</v>
      </c>
      <c r="AK524" s="46"/>
    </row>
    <row r="525" ht="24.0" customHeight="1">
      <c r="A525" s="35"/>
      <c r="B525" s="36">
        <v>1.0</v>
      </c>
      <c r="C525" s="37" t="str">
        <f>IFERROR(__xludf.DUMMYFUNCTION("""COMPUTED_VALUE"""),"Grant Bradley (1) - '27 3B GA")</f>
        <v>Grant Bradley (1) - '27 3B GA</v>
      </c>
      <c r="D525" s="38" t="s">
        <v>3048</v>
      </c>
      <c r="E525" s="51" t="s">
        <v>48</v>
      </c>
      <c r="F525" s="119">
        <v>45925.0</v>
      </c>
      <c r="G525" s="116" t="s">
        <v>1395</v>
      </c>
      <c r="H525" s="54" t="s">
        <v>278</v>
      </c>
      <c r="I525" s="55" t="s">
        <v>2113</v>
      </c>
      <c r="J525" s="55">
        <v>2027.0</v>
      </c>
      <c r="K525" s="100">
        <v>1.0</v>
      </c>
      <c r="L525" s="159" t="s">
        <v>61</v>
      </c>
      <c r="M525" s="55" t="s">
        <v>1519</v>
      </c>
      <c r="N525" s="58"/>
      <c r="O525" s="57"/>
      <c r="P525" s="55" t="s">
        <v>3031</v>
      </c>
      <c r="Q525" s="55" t="s">
        <v>43</v>
      </c>
      <c r="R525" s="55" t="s">
        <v>3049</v>
      </c>
      <c r="S525" s="58" t="s">
        <v>1120</v>
      </c>
      <c r="T525" s="74"/>
      <c r="U525" s="74"/>
      <c r="V525" s="74"/>
      <c r="W525" s="51" t="s">
        <v>1564</v>
      </c>
      <c r="X525" s="74"/>
      <c r="Y525" s="74"/>
      <c r="Z525" s="76"/>
      <c r="AA525" s="134"/>
      <c r="AB525" s="62" t="s">
        <v>3050</v>
      </c>
      <c r="AC525" s="63" t="s">
        <v>3051</v>
      </c>
      <c r="AD525" s="64" t="s">
        <v>3052</v>
      </c>
      <c r="AE525" s="64" t="s">
        <v>3053</v>
      </c>
      <c r="AF525" s="63" t="s">
        <v>3054</v>
      </c>
      <c r="AG525" s="63" t="s">
        <v>81</v>
      </c>
      <c r="AH525" s="63" t="s">
        <v>3055</v>
      </c>
      <c r="AI525" s="65" t="s">
        <v>3056</v>
      </c>
      <c r="AJ525" s="105" t="s">
        <v>61</v>
      </c>
      <c r="AK525" s="76"/>
    </row>
    <row r="526" ht="24.0" customHeight="1">
      <c r="A526" s="35"/>
      <c r="B526" s="36">
        <v>1.0</v>
      </c>
      <c r="C526" s="37" t="str">
        <f>IFERROR(__xludf.DUMMYFUNCTION("""COMPUTED_VALUE"""),"Colt Bradshaw (2) - '27 2B VA")</f>
        <v>Colt Bradshaw (2) - '27 2B VA</v>
      </c>
      <c r="D526" s="38" t="s">
        <v>3057</v>
      </c>
      <c r="E526" s="39" t="s">
        <v>48</v>
      </c>
      <c r="F526" s="118">
        <v>45865.0</v>
      </c>
      <c r="G526" s="113" t="s">
        <v>1430</v>
      </c>
      <c r="H526" s="42" t="s">
        <v>3058</v>
      </c>
      <c r="I526" s="43" t="s">
        <v>222</v>
      </c>
      <c r="J526" s="43">
        <v>2027.0</v>
      </c>
      <c r="K526" s="43">
        <v>2.0</v>
      </c>
      <c r="L526" s="160" t="s">
        <v>61</v>
      </c>
      <c r="M526" s="43" t="s">
        <v>2838</v>
      </c>
      <c r="N526" s="44" t="s">
        <v>103</v>
      </c>
      <c r="O526" s="43" t="s">
        <v>1550</v>
      </c>
      <c r="P526" s="43" t="s">
        <v>3059</v>
      </c>
      <c r="Q526" s="43" t="s">
        <v>125</v>
      </c>
      <c r="R526" s="43" t="s">
        <v>3060</v>
      </c>
      <c r="S526" s="44"/>
      <c r="T526" s="39">
        <v>4.1</v>
      </c>
      <c r="U526" s="39"/>
      <c r="V526" s="39" t="s">
        <v>3061</v>
      </c>
      <c r="W526" s="39" t="s">
        <v>2821</v>
      </c>
      <c r="X526" s="81"/>
      <c r="Y526" s="81"/>
      <c r="Z526" s="82"/>
      <c r="AA526" s="47" t="s">
        <v>3062</v>
      </c>
      <c r="AB526" s="48" t="s">
        <v>61</v>
      </c>
      <c r="AC526" s="68" t="s">
        <v>61</v>
      </c>
      <c r="AD526" s="69" t="s">
        <v>61</v>
      </c>
      <c r="AE526" s="69" t="s">
        <v>61</v>
      </c>
      <c r="AF526" s="68" t="s">
        <v>61</v>
      </c>
      <c r="AG526" s="68" t="s">
        <v>61</v>
      </c>
      <c r="AH526" s="68" t="s">
        <v>61</v>
      </c>
      <c r="AI526" s="70" t="s">
        <v>61</v>
      </c>
      <c r="AJ526" s="49" t="s">
        <v>61</v>
      </c>
      <c r="AK526" s="46"/>
    </row>
    <row r="527" ht="24.0" customHeight="1">
      <c r="A527" s="35"/>
      <c r="B527" s="36">
        <v>1.0</v>
      </c>
      <c r="C527" s="37" t="str">
        <f>IFERROR(__xludf.DUMMYFUNCTION("""COMPUTED_VALUE"""),"Connor Bresler (2) - '28 CF NJ")</f>
        <v>Connor Bresler (2) - '28 CF NJ</v>
      </c>
      <c r="D527" s="38" t="s">
        <v>3063</v>
      </c>
      <c r="E527" s="51" t="s">
        <v>103</v>
      </c>
      <c r="F527" s="115"/>
      <c r="G527" s="116" t="s">
        <v>1395</v>
      </c>
      <c r="H527" s="54" t="s">
        <v>682</v>
      </c>
      <c r="I527" s="55" t="s">
        <v>3064</v>
      </c>
      <c r="J527" s="55">
        <v>2028.0</v>
      </c>
      <c r="K527" s="55">
        <v>2.0</v>
      </c>
      <c r="L527" s="58" t="s">
        <v>2877</v>
      </c>
      <c r="M527" s="55" t="s">
        <v>106</v>
      </c>
      <c r="N527" s="57"/>
      <c r="O527" s="55" t="s">
        <v>1550</v>
      </c>
      <c r="P527" s="55"/>
      <c r="Q527" s="55" t="s">
        <v>502</v>
      </c>
      <c r="R527" s="55" t="s">
        <v>3065</v>
      </c>
      <c r="S527" s="58" t="s">
        <v>3066</v>
      </c>
      <c r="T527" s="74"/>
      <c r="U527" s="51"/>
      <c r="V527" s="51"/>
      <c r="W527" s="51"/>
      <c r="X527" s="51"/>
      <c r="Y527" s="51"/>
      <c r="Z527" s="60"/>
      <c r="AA527" s="73"/>
      <c r="AB527" s="62" t="s">
        <v>61</v>
      </c>
      <c r="AC527" s="63" t="s">
        <v>61</v>
      </c>
      <c r="AD527" s="64" t="s">
        <v>61</v>
      </c>
      <c r="AE527" s="64" t="s">
        <v>61</v>
      </c>
      <c r="AF527" s="63" t="s">
        <v>61</v>
      </c>
      <c r="AG527" s="63" t="s">
        <v>61</v>
      </c>
      <c r="AH527" s="63" t="s">
        <v>61</v>
      </c>
      <c r="AI527" s="65" t="s">
        <v>61</v>
      </c>
      <c r="AJ527" s="105" t="s">
        <v>61</v>
      </c>
      <c r="AK527" s="76"/>
    </row>
    <row r="528" ht="24.0" customHeight="1">
      <c r="A528" s="35"/>
      <c r="B528" s="36">
        <v>1.0</v>
      </c>
      <c r="C528" s="37" t="str">
        <f>IFERROR(__xludf.DUMMYFUNCTION("""COMPUTED_VALUE"""),"Connor Christiansen (2) - '27 RHP IN")</f>
        <v>Connor Christiansen (2) - '27 RHP IN</v>
      </c>
      <c r="D528" s="38" t="s">
        <v>3067</v>
      </c>
      <c r="E528" s="39" t="s">
        <v>63</v>
      </c>
      <c r="F528" s="118">
        <v>45945.0</v>
      </c>
      <c r="G528" s="122"/>
      <c r="H528" s="42" t="s">
        <v>682</v>
      </c>
      <c r="I528" s="43" t="s">
        <v>3068</v>
      </c>
      <c r="J528" s="43">
        <v>2027.0</v>
      </c>
      <c r="K528" s="43">
        <v>2.0</v>
      </c>
      <c r="L528" s="160" t="s">
        <v>61</v>
      </c>
      <c r="M528" s="43" t="s">
        <v>63</v>
      </c>
      <c r="N528" s="44"/>
      <c r="O528" s="43" t="s">
        <v>1550</v>
      </c>
      <c r="P528" s="43" t="s">
        <v>3069</v>
      </c>
      <c r="Q528" s="43" t="s">
        <v>153</v>
      </c>
      <c r="R528" s="43" t="s">
        <v>2304</v>
      </c>
      <c r="S528" s="44" t="s">
        <v>155</v>
      </c>
      <c r="T528" s="81"/>
      <c r="U528" s="81"/>
      <c r="V528" s="81"/>
      <c r="W528" s="39" t="s">
        <v>1571</v>
      </c>
      <c r="X528" s="81"/>
      <c r="Y528" s="81"/>
      <c r="Z528" s="82"/>
      <c r="AA528" s="99"/>
      <c r="AB528" s="48" t="s">
        <v>61</v>
      </c>
      <c r="AC528" s="68" t="s">
        <v>61</v>
      </c>
      <c r="AD528" s="69" t="s">
        <v>61</v>
      </c>
      <c r="AE528" s="69" t="s">
        <v>61</v>
      </c>
      <c r="AF528" s="68" t="s">
        <v>61</v>
      </c>
      <c r="AG528" s="68" t="s">
        <v>61</v>
      </c>
      <c r="AH528" s="68" t="s">
        <v>61</v>
      </c>
      <c r="AI528" s="70" t="s">
        <v>61</v>
      </c>
      <c r="AJ528" s="164" t="s">
        <v>61</v>
      </c>
      <c r="AK528" s="165"/>
    </row>
    <row r="529" ht="24.0" customHeight="1">
      <c r="A529" s="35"/>
      <c r="B529" s="36">
        <v>1.0</v>
      </c>
      <c r="C529" s="37" t="str">
        <f>IFERROR(__xludf.DUMMYFUNCTION("""COMPUTED_VALUE"""),"Caden Christianson (2) - '27 RHP CO")</f>
        <v>Caden Christianson (2) - '27 RHP CO</v>
      </c>
      <c r="D529" s="38" t="s">
        <v>3070</v>
      </c>
      <c r="E529" s="51" t="s">
        <v>63</v>
      </c>
      <c r="F529" s="137"/>
      <c r="G529" s="133"/>
      <c r="H529" s="54" t="s">
        <v>227</v>
      </c>
      <c r="I529" s="55" t="s">
        <v>3071</v>
      </c>
      <c r="J529" s="55">
        <v>2027.0</v>
      </c>
      <c r="K529" s="55">
        <v>2.0</v>
      </c>
      <c r="L529" s="159" t="s">
        <v>61</v>
      </c>
      <c r="M529" s="55" t="s">
        <v>63</v>
      </c>
      <c r="N529" s="132"/>
      <c r="O529" s="55" t="s">
        <v>1550</v>
      </c>
      <c r="P529" s="55" t="s">
        <v>3072</v>
      </c>
      <c r="Q529" s="55" t="s">
        <v>174</v>
      </c>
      <c r="R529" s="55" t="s">
        <v>3073</v>
      </c>
      <c r="S529" s="58" t="s">
        <v>3074</v>
      </c>
      <c r="T529" s="74"/>
      <c r="U529" s="74"/>
      <c r="V529" s="139"/>
      <c r="W529" s="51" t="s">
        <v>1724</v>
      </c>
      <c r="X529" s="74"/>
      <c r="Y529" s="74"/>
      <c r="Z529" s="76"/>
      <c r="AA529" s="134"/>
      <c r="AB529" s="62" t="s">
        <v>61</v>
      </c>
      <c r="AC529" s="63" t="s">
        <v>61</v>
      </c>
      <c r="AD529" s="64" t="s">
        <v>61</v>
      </c>
      <c r="AE529" s="64" t="s">
        <v>61</v>
      </c>
      <c r="AF529" s="63" t="s">
        <v>61</v>
      </c>
      <c r="AG529" s="63" t="s">
        <v>61</v>
      </c>
      <c r="AH529" s="63" t="s">
        <v>61</v>
      </c>
      <c r="AI529" s="65" t="s">
        <v>61</v>
      </c>
      <c r="AJ529" s="66" t="s">
        <v>61</v>
      </c>
      <c r="AK529" s="60"/>
    </row>
    <row r="530" ht="24.0" customHeight="1">
      <c r="A530" s="35"/>
      <c r="B530" s="36">
        <v>1.0</v>
      </c>
      <c r="C530" s="37" t="str">
        <f>IFERROR(__xludf.DUMMYFUNCTION("""COMPUTED_VALUE"""),"Lucas Collure (2) - '27 OF NY")</f>
        <v>Lucas Collure (2) - '27 OF NY</v>
      </c>
      <c r="D530" s="38" t="s">
        <v>3075</v>
      </c>
      <c r="E530" s="39" t="s">
        <v>103</v>
      </c>
      <c r="F530" s="118">
        <v>45865.0</v>
      </c>
      <c r="G530" s="113" t="s">
        <v>1395</v>
      </c>
      <c r="H530" s="42" t="s">
        <v>151</v>
      </c>
      <c r="I530" s="43" t="s">
        <v>3076</v>
      </c>
      <c r="J530" s="43">
        <v>2027.0</v>
      </c>
      <c r="K530" s="43">
        <v>2.0</v>
      </c>
      <c r="L530" s="160" t="s">
        <v>61</v>
      </c>
      <c r="M530" s="43" t="s">
        <v>103</v>
      </c>
      <c r="N530" s="117"/>
      <c r="O530" s="43" t="s">
        <v>1550</v>
      </c>
      <c r="P530" s="43" t="s">
        <v>3077</v>
      </c>
      <c r="Q530" s="43" t="s">
        <v>255</v>
      </c>
      <c r="R530" s="43" t="s">
        <v>3077</v>
      </c>
      <c r="S530" s="117"/>
      <c r="T530" s="81"/>
      <c r="U530" s="81"/>
      <c r="V530" s="39" t="s">
        <v>3078</v>
      </c>
      <c r="W530" s="39" t="s">
        <v>2821</v>
      </c>
      <c r="X530" s="81"/>
      <c r="Y530" s="81"/>
      <c r="Z530" s="82"/>
      <c r="AA530" s="99"/>
      <c r="AB530" s="48" t="s">
        <v>61</v>
      </c>
      <c r="AC530" s="68" t="s">
        <v>61</v>
      </c>
      <c r="AD530" s="69" t="s">
        <v>61</v>
      </c>
      <c r="AE530" s="69" t="s">
        <v>61</v>
      </c>
      <c r="AF530" s="68" t="s">
        <v>61</v>
      </c>
      <c r="AG530" s="68" t="s">
        <v>61</v>
      </c>
      <c r="AH530" s="68" t="s">
        <v>61</v>
      </c>
      <c r="AI530" s="70" t="s">
        <v>61</v>
      </c>
      <c r="AJ530" s="49" t="s">
        <v>61</v>
      </c>
      <c r="AK530" s="46"/>
    </row>
    <row r="531" ht="24.0" customHeight="1">
      <c r="A531" s="35"/>
      <c r="B531" s="36">
        <v>1.0</v>
      </c>
      <c r="C531" s="37" t="str">
        <f>IFERROR(__xludf.DUMMYFUNCTION("""COMPUTED_VALUE"""),"Charlie Crabbe (2) - '28 RHP ")</f>
        <v>Charlie Crabbe (2) - '28 RHP </v>
      </c>
      <c r="D531" s="38" t="s">
        <v>3079</v>
      </c>
      <c r="E531" s="51" t="s">
        <v>63</v>
      </c>
      <c r="F531" s="137"/>
      <c r="G531" s="133"/>
      <c r="H531" s="54" t="s">
        <v>629</v>
      </c>
      <c r="I531" s="55" t="s">
        <v>3080</v>
      </c>
      <c r="J531" s="55">
        <v>2028.0</v>
      </c>
      <c r="K531" s="55">
        <v>2.0</v>
      </c>
      <c r="L531" s="57"/>
      <c r="M531" s="55" t="s">
        <v>63</v>
      </c>
      <c r="N531" s="57"/>
      <c r="O531" s="55" t="s">
        <v>1550</v>
      </c>
      <c r="P531" s="55" t="s">
        <v>3081</v>
      </c>
      <c r="Q531" s="57"/>
      <c r="R531" s="55" t="s">
        <v>3082</v>
      </c>
      <c r="S531" s="58" t="s">
        <v>2975</v>
      </c>
      <c r="T531" s="74"/>
      <c r="U531" s="74"/>
      <c r="V531" s="139"/>
      <c r="W531" s="51" t="s">
        <v>1724</v>
      </c>
      <c r="X531" s="74"/>
      <c r="Y531" s="74"/>
      <c r="Z531" s="76"/>
      <c r="AA531" s="73" t="s">
        <v>3083</v>
      </c>
      <c r="AB531" s="62" t="s">
        <v>61</v>
      </c>
      <c r="AC531" s="63" t="s">
        <v>61</v>
      </c>
      <c r="AD531" s="64" t="s">
        <v>61</v>
      </c>
      <c r="AE531" s="64" t="s">
        <v>61</v>
      </c>
      <c r="AF531" s="63" t="s">
        <v>61</v>
      </c>
      <c r="AG531" s="63" t="s">
        <v>61</v>
      </c>
      <c r="AH531" s="63" t="s">
        <v>61</v>
      </c>
      <c r="AI531" s="65" t="s">
        <v>61</v>
      </c>
      <c r="AJ531" s="105" t="s">
        <v>61</v>
      </c>
      <c r="AK531" s="76"/>
    </row>
    <row r="532" ht="24.0" customHeight="1">
      <c r="A532" s="35"/>
      <c r="B532" s="36">
        <v>1.0</v>
      </c>
      <c r="C532" s="37" t="str">
        <f>IFERROR(__xludf.DUMMYFUNCTION("""COMPUTED_VALUE"""),"Peyton Crews (2) - '27 RHP NC")</f>
        <v>Peyton Crews (2) - '27 RHP NC</v>
      </c>
      <c r="D532" s="38" t="s">
        <v>3084</v>
      </c>
      <c r="E532" s="39" t="s">
        <v>63</v>
      </c>
      <c r="F532" s="118">
        <v>45945.0</v>
      </c>
      <c r="G532" s="122"/>
      <c r="H532" s="42" t="s">
        <v>3085</v>
      </c>
      <c r="I532" s="43" t="s">
        <v>3086</v>
      </c>
      <c r="J532" s="43">
        <v>2027.0</v>
      </c>
      <c r="K532" s="43">
        <v>2.0</v>
      </c>
      <c r="L532" s="160" t="s">
        <v>61</v>
      </c>
      <c r="M532" s="43" t="s">
        <v>63</v>
      </c>
      <c r="N532" s="44"/>
      <c r="O532" s="43" t="s">
        <v>1550</v>
      </c>
      <c r="P532" s="43" t="s">
        <v>3087</v>
      </c>
      <c r="Q532" s="43" t="s">
        <v>73</v>
      </c>
      <c r="R532" s="43" t="s">
        <v>1322</v>
      </c>
      <c r="S532" s="44" t="s">
        <v>1766</v>
      </c>
      <c r="T532" s="81"/>
      <c r="U532" s="81"/>
      <c r="V532" s="81"/>
      <c r="W532" s="39" t="s">
        <v>1571</v>
      </c>
      <c r="X532" s="81"/>
      <c r="Y532" s="81"/>
      <c r="Z532" s="82"/>
      <c r="AA532" s="99"/>
      <c r="AB532" s="48" t="s">
        <v>61</v>
      </c>
      <c r="AC532" s="68" t="s">
        <v>61</v>
      </c>
      <c r="AD532" s="69" t="s">
        <v>61</v>
      </c>
      <c r="AE532" s="69" t="s">
        <v>61</v>
      </c>
      <c r="AF532" s="68" t="s">
        <v>61</v>
      </c>
      <c r="AG532" s="68" t="s">
        <v>61</v>
      </c>
      <c r="AH532" s="68" t="s">
        <v>61</v>
      </c>
      <c r="AI532" s="70" t="s">
        <v>61</v>
      </c>
      <c r="AJ532" s="164" t="s">
        <v>61</v>
      </c>
      <c r="AK532" s="165"/>
    </row>
    <row r="533" ht="24.0" customHeight="1">
      <c r="A533" s="35"/>
      <c r="B533" s="36">
        <v>1.0</v>
      </c>
      <c r="C533" s="37" t="str">
        <f>IFERROR(__xludf.DUMMYFUNCTION("""COMPUTED_VALUE"""),"Johnny Deaderick (2) - '27 RHP GA")</f>
        <v>Johnny Deaderick (2) - '27 RHP GA</v>
      </c>
      <c r="D533" s="38" t="s">
        <v>3088</v>
      </c>
      <c r="E533" s="51" t="s">
        <v>63</v>
      </c>
      <c r="F533" s="119">
        <v>45925.0</v>
      </c>
      <c r="G533" s="116" t="s">
        <v>1395</v>
      </c>
      <c r="H533" s="54" t="s">
        <v>3089</v>
      </c>
      <c r="I533" s="55" t="s">
        <v>3090</v>
      </c>
      <c r="J533" s="55">
        <v>2027.0</v>
      </c>
      <c r="K533" s="55">
        <v>2.0</v>
      </c>
      <c r="L533" s="159" t="s">
        <v>61</v>
      </c>
      <c r="M533" s="55" t="s">
        <v>63</v>
      </c>
      <c r="N533" s="58"/>
      <c r="O533" s="57"/>
      <c r="P533" s="57"/>
      <c r="Q533" s="55" t="s">
        <v>43</v>
      </c>
      <c r="R533" s="57"/>
      <c r="S533" s="58" t="s">
        <v>1120</v>
      </c>
      <c r="T533" s="74"/>
      <c r="U533" s="74"/>
      <c r="V533" s="74"/>
      <c r="W533" s="51" t="s">
        <v>1564</v>
      </c>
      <c r="X533" s="74"/>
      <c r="Y533" s="74"/>
      <c r="Z533" s="76"/>
      <c r="AA533" s="134"/>
      <c r="AB533" s="62" t="s">
        <v>61</v>
      </c>
      <c r="AC533" s="63" t="s">
        <v>61</v>
      </c>
      <c r="AD533" s="64" t="s">
        <v>61</v>
      </c>
      <c r="AE533" s="64" t="s">
        <v>61</v>
      </c>
      <c r="AF533" s="63" t="s">
        <v>61</v>
      </c>
      <c r="AG533" s="63" t="s">
        <v>61</v>
      </c>
      <c r="AH533" s="63" t="s">
        <v>61</v>
      </c>
      <c r="AI533" s="65" t="s">
        <v>61</v>
      </c>
      <c r="AJ533" s="66" t="s">
        <v>61</v>
      </c>
      <c r="AK533" s="60"/>
    </row>
    <row r="534" ht="24.0" customHeight="1">
      <c r="A534" s="35"/>
      <c r="B534" s="36">
        <v>1.0</v>
      </c>
      <c r="C534" s="37" t="str">
        <f>IFERROR(__xludf.DUMMYFUNCTION("""COMPUTED_VALUE"""),"Hudson December (2) - '27 RHP CA")</f>
        <v>Hudson December (2) - '27 RHP CA</v>
      </c>
      <c r="D534" s="38" t="s">
        <v>3091</v>
      </c>
      <c r="E534" s="39" t="s">
        <v>63</v>
      </c>
      <c r="F534" s="121"/>
      <c r="G534" s="122"/>
      <c r="H534" s="42" t="s">
        <v>1678</v>
      </c>
      <c r="I534" s="43" t="s">
        <v>3092</v>
      </c>
      <c r="J534" s="43">
        <v>2027.0</v>
      </c>
      <c r="K534" s="43">
        <v>2.0</v>
      </c>
      <c r="L534" s="160" t="s">
        <v>61</v>
      </c>
      <c r="M534" s="43" t="s">
        <v>63</v>
      </c>
      <c r="N534" s="117"/>
      <c r="O534" s="80"/>
      <c r="P534" s="43" t="s">
        <v>2941</v>
      </c>
      <c r="Q534" s="43" t="s">
        <v>52</v>
      </c>
      <c r="R534" s="43" t="s">
        <v>3093</v>
      </c>
      <c r="S534" s="44" t="s">
        <v>3003</v>
      </c>
      <c r="T534" s="81"/>
      <c r="U534" s="81"/>
      <c r="V534" s="157"/>
      <c r="W534" s="39" t="s">
        <v>1724</v>
      </c>
      <c r="X534" s="39" t="s">
        <v>1550</v>
      </c>
      <c r="Y534" s="81"/>
      <c r="Z534" s="82"/>
      <c r="AA534" s="99"/>
      <c r="AB534" s="48" t="s">
        <v>61</v>
      </c>
      <c r="AC534" s="68" t="s">
        <v>61</v>
      </c>
      <c r="AD534" s="69" t="s">
        <v>61</v>
      </c>
      <c r="AE534" s="69" t="s">
        <v>61</v>
      </c>
      <c r="AF534" s="68" t="s">
        <v>61</v>
      </c>
      <c r="AG534" s="68" t="s">
        <v>61</v>
      </c>
      <c r="AH534" s="68" t="s">
        <v>61</v>
      </c>
      <c r="AI534" s="70" t="s">
        <v>61</v>
      </c>
      <c r="AJ534" s="49" t="s">
        <v>61</v>
      </c>
      <c r="AK534" s="46"/>
    </row>
    <row r="535" ht="24.0" customHeight="1">
      <c r="A535" s="83"/>
      <c r="B535" s="36">
        <v>1.0</v>
      </c>
      <c r="C535" s="37" t="str">
        <f>IFERROR(__xludf.DUMMYFUNCTION("""COMPUTED_VALUE"""),"Roman Derichsweiler (2) - '27 C TX")</f>
        <v>Roman Derichsweiler (2) - '27 C TX</v>
      </c>
      <c r="D535" s="38" t="s">
        <v>3094</v>
      </c>
      <c r="E535" s="51" t="s">
        <v>109</v>
      </c>
      <c r="F535" s="137"/>
      <c r="G535" s="133"/>
      <c r="H535" s="54" t="s">
        <v>1527</v>
      </c>
      <c r="I535" s="55" t="s">
        <v>3095</v>
      </c>
      <c r="J535" s="55">
        <v>2027.0</v>
      </c>
      <c r="K535" s="55">
        <v>2.0</v>
      </c>
      <c r="L535" s="159" t="s">
        <v>61</v>
      </c>
      <c r="M535" s="55" t="s">
        <v>109</v>
      </c>
      <c r="N535" s="132"/>
      <c r="O535" s="57"/>
      <c r="P535" s="55" t="s">
        <v>3096</v>
      </c>
      <c r="Q535" s="55" t="s">
        <v>180</v>
      </c>
      <c r="R535" s="55" t="s">
        <v>3097</v>
      </c>
      <c r="S535" s="58" t="s">
        <v>3098</v>
      </c>
      <c r="T535" s="74"/>
      <c r="U535" s="74"/>
      <c r="V535" s="139"/>
      <c r="W535" s="51" t="s">
        <v>1724</v>
      </c>
      <c r="X535" s="51" t="s">
        <v>1989</v>
      </c>
      <c r="Y535" s="74"/>
      <c r="Z535" s="76"/>
      <c r="AA535" s="134"/>
      <c r="AB535" s="62" t="s">
        <v>61</v>
      </c>
      <c r="AC535" s="63" t="s">
        <v>61</v>
      </c>
      <c r="AD535" s="64" t="s">
        <v>61</v>
      </c>
      <c r="AE535" s="64" t="s">
        <v>61</v>
      </c>
      <c r="AF535" s="63" t="s">
        <v>61</v>
      </c>
      <c r="AG535" s="63" t="s">
        <v>61</v>
      </c>
      <c r="AH535" s="63" t="s">
        <v>61</v>
      </c>
      <c r="AI535" s="65" t="s">
        <v>61</v>
      </c>
      <c r="AJ535" s="66" t="s">
        <v>61</v>
      </c>
      <c r="AK535" s="60"/>
    </row>
    <row r="536" ht="24.0" customHeight="1">
      <c r="A536" s="35"/>
      <c r="B536" s="36">
        <v>1.0</v>
      </c>
      <c r="C536" s="37" t="str">
        <f>IFERROR(__xludf.DUMMYFUNCTION("""COMPUTED_VALUE"""),"Wesley Dewitt (2) - '27 SS UT")</f>
        <v>Wesley Dewitt (2) - '27 SS UT</v>
      </c>
      <c r="D536" s="38" t="s">
        <v>3099</v>
      </c>
      <c r="E536" s="39" t="s">
        <v>48</v>
      </c>
      <c r="F536" s="118">
        <v>45865.0</v>
      </c>
      <c r="G536" s="113" t="s">
        <v>1395</v>
      </c>
      <c r="H536" s="42" t="s">
        <v>3100</v>
      </c>
      <c r="I536" s="43" t="s">
        <v>3101</v>
      </c>
      <c r="J536" s="43">
        <v>2027.0</v>
      </c>
      <c r="K536" s="43">
        <v>2.0</v>
      </c>
      <c r="L536" s="160" t="s">
        <v>61</v>
      </c>
      <c r="M536" s="43" t="s">
        <v>1398</v>
      </c>
      <c r="N536" s="117"/>
      <c r="O536" s="43" t="s">
        <v>1989</v>
      </c>
      <c r="P536" s="43" t="s">
        <v>3102</v>
      </c>
      <c r="Q536" s="43" t="s">
        <v>636</v>
      </c>
      <c r="R536" s="43" t="s">
        <v>3103</v>
      </c>
      <c r="S536" s="44"/>
      <c r="T536" s="39">
        <v>3.7</v>
      </c>
      <c r="U536" s="39"/>
      <c r="V536" s="39" t="s">
        <v>3104</v>
      </c>
      <c r="W536" s="39" t="s">
        <v>2821</v>
      </c>
      <c r="X536" s="81"/>
      <c r="Y536" s="81"/>
      <c r="Z536" s="82"/>
      <c r="AA536" s="99"/>
      <c r="AB536" s="48" t="s">
        <v>3105</v>
      </c>
      <c r="AC536" s="68" t="s">
        <v>3106</v>
      </c>
      <c r="AD536" s="69">
        <v>3.7</v>
      </c>
      <c r="AE536" s="69" t="s">
        <v>828</v>
      </c>
      <c r="AF536" s="68" t="s">
        <v>3107</v>
      </c>
      <c r="AG536" s="68" t="s">
        <v>3108</v>
      </c>
      <c r="AH536" s="68" t="s">
        <v>828</v>
      </c>
      <c r="AI536" s="70" t="s">
        <v>81</v>
      </c>
      <c r="AJ536" s="49" t="s">
        <v>61</v>
      </c>
      <c r="AK536" s="46"/>
    </row>
    <row r="537" ht="24.0" customHeight="1">
      <c r="A537" s="35"/>
      <c r="B537" s="36">
        <v>1.0</v>
      </c>
      <c r="C537" s="37" t="str">
        <f>IFERROR(__xludf.DUMMYFUNCTION("""COMPUTED_VALUE"""),"Logan Downey (2) - '27 1B NJ")</f>
        <v>Logan Downey (2) - '27 1B NJ</v>
      </c>
      <c r="D537" s="38" t="s">
        <v>3109</v>
      </c>
      <c r="E537" s="51" t="s">
        <v>48</v>
      </c>
      <c r="F537" s="137"/>
      <c r="G537" s="133"/>
      <c r="H537" s="54" t="s">
        <v>1026</v>
      </c>
      <c r="I537" s="55" t="s">
        <v>1959</v>
      </c>
      <c r="J537" s="55">
        <v>2027.0</v>
      </c>
      <c r="K537" s="55">
        <v>2.0</v>
      </c>
      <c r="L537" s="159" t="s">
        <v>61</v>
      </c>
      <c r="M537" s="55" t="s">
        <v>1972</v>
      </c>
      <c r="N537" s="58" t="s">
        <v>63</v>
      </c>
      <c r="O537" s="55" t="s">
        <v>1550</v>
      </c>
      <c r="P537" s="55" t="s">
        <v>3110</v>
      </c>
      <c r="Q537" s="55" t="s">
        <v>502</v>
      </c>
      <c r="R537" s="55" t="s">
        <v>3111</v>
      </c>
      <c r="S537" s="58" t="s">
        <v>3112</v>
      </c>
      <c r="T537" s="74"/>
      <c r="U537" s="74"/>
      <c r="V537" s="139"/>
      <c r="W537" s="51" t="s">
        <v>1724</v>
      </c>
      <c r="X537" s="74"/>
      <c r="Y537" s="74"/>
      <c r="Z537" s="76"/>
      <c r="AA537" s="134"/>
      <c r="AB537" s="62" t="s">
        <v>61</v>
      </c>
      <c r="AC537" s="63" t="s">
        <v>61</v>
      </c>
      <c r="AD537" s="64" t="s">
        <v>61</v>
      </c>
      <c r="AE537" s="64" t="s">
        <v>61</v>
      </c>
      <c r="AF537" s="63" t="s">
        <v>61</v>
      </c>
      <c r="AG537" s="63" t="s">
        <v>61</v>
      </c>
      <c r="AH537" s="63" t="s">
        <v>61</v>
      </c>
      <c r="AI537" s="65" t="s">
        <v>61</v>
      </c>
      <c r="AJ537" s="66" t="s">
        <v>61</v>
      </c>
      <c r="AK537" s="60"/>
    </row>
    <row r="538" ht="24.0" customHeight="1">
      <c r="A538" s="35"/>
      <c r="B538" s="36">
        <v>1.0</v>
      </c>
      <c r="C538" s="37" t="str">
        <f>IFERROR(__xludf.DUMMYFUNCTION("""COMPUTED_VALUE"""),"Anthony Faletra (2) - '28 MINF MA")</f>
        <v>Anthony Faletra (2) - '28 MINF MA</v>
      </c>
      <c r="D538" s="38" t="s">
        <v>3113</v>
      </c>
      <c r="E538" s="39" t="s">
        <v>48</v>
      </c>
      <c r="F538" s="118">
        <v>45855.0</v>
      </c>
      <c r="G538" s="113" t="s">
        <v>1395</v>
      </c>
      <c r="H538" s="42" t="s">
        <v>467</v>
      </c>
      <c r="I538" s="43" t="s">
        <v>3114</v>
      </c>
      <c r="J538" s="43">
        <v>2028.0</v>
      </c>
      <c r="K538" s="43">
        <v>2.0</v>
      </c>
      <c r="L538" s="43"/>
      <c r="M538" s="43" t="s">
        <v>51</v>
      </c>
      <c r="N538" s="43"/>
      <c r="O538" s="43"/>
      <c r="P538" s="43"/>
      <c r="Q538" s="43" t="s">
        <v>85</v>
      </c>
      <c r="R538" s="43"/>
      <c r="S538" s="44" t="s">
        <v>2981</v>
      </c>
      <c r="T538" s="39"/>
      <c r="U538" s="39"/>
      <c r="V538" s="39"/>
      <c r="W538" s="39"/>
      <c r="X538" s="39"/>
      <c r="Y538" s="39"/>
      <c r="Z538" s="46"/>
      <c r="AA538" s="47"/>
      <c r="AB538" s="48" t="s">
        <v>61</v>
      </c>
      <c r="AC538" s="68" t="s">
        <v>61</v>
      </c>
      <c r="AD538" s="69" t="s">
        <v>61</v>
      </c>
      <c r="AE538" s="69" t="s">
        <v>61</v>
      </c>
      <c r="AF538" s="68" t="s">
        <v>61</v>
      </c>
      <c r="AG538" s="68" t="s">
        <v>61</v>
      </c>
      <c r="AH538" s="68" t="s">
        <v>61</v>
      </c>
      <c r="AI538" s="70" t="s">
        <v>61</v>
      </c>
      <c r="AJ538" s="114" t="s">
        <v>61</v>
      </c>
      <c r="AK538" s="82"/>
    </row>
    <row r="539" ht="24.0" customHeight="1">
      <c r="A539" s="35"/>
      <c r="B539" s="36">
        <v>1.0</v>
      </c>
      <c r="C539" s="37" t="str">
        <f>IFERROR(__xludf.DUMMYFUNCTION("""COMPUTED_VALUE"""),"Cade Filleman (2) - '27 RHP CO")</f>
        <v>Cade Filleman (2) - '27 RHP CO</v>
      </c>
      <c r="D539" s="38" t="s">
        <v>3115</v>
      </c>
      <c r="E539" s="51" t="s">
        <v>63</v>
      </c>
      <c r="F539" s="119">
        <v>45865.0</v>
      </c>
      <c r="G539" s="116" t="s">
        <v>1395</v>
      </c>
      <c r="H539" s="54" t="s">
        <v>1328</v>
      </c>
      <c r="I539" s="55" t="s">
        <v>3116</v>
      </c>
      <c r="J539" s="55">
        <v>2027.0</v>
      </c>
      <c r="K539" s="55">
        <v>2.0</v>
      </c>
      <c r="L539" s="159" t="s">
        <v>61</v>
      </c>
      <c r="M539" s="55" t="s">
        <v>63</v>
      </c>
      <c r="N539" s="132"/>
      <c r="O539" s="55" t="s">
        <v>1550</v>
      </c>
      <c r="P539" s="55" t="s">
        <v>3117</v>
      </c>
      <c r="Q539" s="55" t="s">
        <v>174</v>
      </c>
      <c r="R539" s="55" t="s">
        <v>1849</v>
      </c>
      <c r="S539" s="58"/>
      <c r="T539" s="51">
        <v>3.9</v>
      </c>
      <c r="U539" s="51"/>
      <c r="V539" s="51" t="s">
        <v>3118</v>
      </c>
      <c r="W539" s="51" t="s">
        <v>2821</v>
      </c>
      <c r="X539" s="74"/>
      <c r="Y539" s="74"/>
      <c r="Z539" s="76"/>
      <c r="AA539" s="134"/>
      <c r="AB539" s="62" t="s">
        <v>3119</v>
      </c>
      <c r="AC539" s="63" t="s">
        <v>3120</v>
      </c>
      <c r="AD539" s="64">
        <v>3.9</v>
      </c>
      <c r="AE539" s="64" t="s">
        <v>60</v>
      </c>
      <c r="AF539" s="63" t="s">
        <v>3121</v>
      </c>
      <c r="AG539" s="63" t="s">
        <v>60</v>
      </c>
      <c r="AH539" s="63" t="s">
        <v>60</v>
      </c>
      <c r="AI539" s="65" t="s">
        <v>60</v>
      </c>
      <c r="AJ539" s="66" t="s">
        <v>61</v>
      </c>
      <c r="AK539" s="60"/>
    </row>
    <row r="540" ht="24.0" customHeight="1">
      <c r="A540" s="35"/>
      <c r="B540" s="36">
        <v>1.0</v>
      </c>
      <c r="C540" s="37" t="str">
        <f>IFERROR(__xludf.DUMMYFUNCTION("""COMPUTED_VALUE"""),"Jackson Fulgintine (2) - '27 RHP MA")</f>
        <v>Jackson Fulgintine (2) - '27 RHP MA</v>
      </c>
      <c r="D540" s="38" t="s">
        <v>3122</v>
      </c>
      <c r="E540" s="39" t="s">
        <v>63</v>
      </c>
      <c r="F540" s="112"/>
      <c r="G540" s="113" t="s">
        <v>1395</v>
      </c>
      <c r="H540" s="42" t="s">
        <v>432</v>
      </c>
      <c r="I540" s="43" t="s">
        <v>3123</v>
      </c>
      <c r="J540" s="43">
        <v>2027.0</v>
      </c>
      <c r="K540" s="43">
        <v>2.0</v>
      </c>
      <c r="L540" s="166" t="s">
        <v>61</v>
      </c>
      <c r="M540" s="43" t="s">
        <v>63</v>
      </c>
      <c r="N540" s="44"/>
      <c r="O540" s="43" t="s">
        <v>1550</v>
      </c>
      <c r="P540" s="43"/>
      <c r="Q540" s="43" t="s">
        <v>85</v>
      </c>
      <c r="R540" s="43" t="s">
        <v>3124</v>
      </c>
      <c r="S540" s="44" t="s">
        <v>2989</v>
      </c>
      <c r="T540" s="39"/>
      <c r="U540" s="39"/>
      <c r="V540" s="39"/>
      <c r="W540" s="39"/>
      <c r="X540" s="39"/>
      <c r="Y540" s="39"/>
      <c r="Z540" s="46"/>
      <c r="AA540" s="47"/>
      <c r="AB540" s="48" t="s">
        <v>61</v>
      </c>
      <c r="AC540" s="68" t="s">
        <v>61</v>
      </c>
      <c r="AD540" s="69" t="s">
        <v>61</v>
      </c>
      <c r="AE540" s="69" t="s">
        <v>61</v>
      </c>
      <c r="AF540" s="68" t="s">
        <v>61</v>
      </c>
      <c r="AG540" s="68" t="s">
        <v>61</v>
      </c>
      <c r="AH540" s="68" t="s">
        <v>61</v>
      </c>
      <c r="AI540" s="70" t="s">
        <v>61</v>
      </c>
      <c r="AJ540" s="49" t="s">
        <v>61</v>
      </c>
      <c r="AK540" s="46"/>
    </row>
    <row r="541" ht="24.0" customHeight="1">
      <c r="A541" s="35"/>
      <c r="B541" s="36">
        <v>1.0</v>
      </c>
      <c r="C541" s="37" t="str">
        <f>IFERROR(__xludf.DUMMYFUNCTION("""COMPUTED_VALUE"""),"Rory Funke (2) - '28 LHP MA")</f>
        <v>Rory Funke (2) - '28 LHP MA</v>
      </c>
      <c r="D541" s="89" t="s">
        <v>3125</v>
      </c>
      <c r="E541" s="51" t="s">
        <v>122</v>
      </c>
      <c r="F541" s="154">
        <v>46156.0</v>
      </c>
      <c r="G541" s="116" t="s">
        <v>1395</v>
      </c>
      <c r="H541" s="54" t="s">
        <v>3126</v>
      </c>
      <c r="I541" s="55" t="s">
        <v>3127</v>
      </c>
      <c r="J541" s="55">
        <v>2028.0</v>
      </c>
      <c r="K541" s="55">
        <v>2.0</v>
      </c>
      <c r="L541" s="57"/>
      <c r="M541" s="55" t="s">
        <v>122</v>
      </c>
      <c r="N541" s="55"/>
      <c r="O541" s="55" t="s">
        <v>1556</v>
      </c>
      <c r="P541" s="57"/>
      <c r="Q541" s="55" t="s">
        <v>85</v>
      </c>
      <c r="R541" s="55" t="s">
        <v>86</v>
      </c>
      <c r="S541" s="132"/>
      <c r="T541" s="74"/>
      <c r="U541" s="74"/>
      <c r="V541" s="51"/>
      <c r="W541" s="74"/>
      <c r="X541" s="74"/>
      <c r="Y541" s="74"/>
      <c r="Z541" s="76"/>
      <c r="AA541" s="163" t="s">
        <v>3128</v>
      </c>
      <c r="AB541" s="62" t="s">
        <v>61</v>
      </c>
      <c r="AC541" s="63" t="s">
        <v>61</v>
      </c>
      <c r="AD541" s="64" t="s">
        <v>61</v>
      </c>
      <c r="AE541" s="64" t="s">
        <v>61</v>
      </c>
      <c r="AF541" s="63" t="s">
        <v>61</v>
      </c>
      <c r="AG541" s="63" t="s">
        <v>61</v>
      </c>
      <c r="AH541" s="63" t="s">
        <v>61</v>
      </c>
      <c r="AI541" s="65" t="s">
        <v>61</v>
      </c>
      <c r="AJ541" s="105" t="s">
        <v>61</v>
      </c>
      <c r="AK541" s="76"/>
    </row>
    <row r="542" ht="24.0" customHeight="1">
      <c r="A542" s="35"/>
      <c r="B542" s="36">
        <v>1.0</v>
      </c>
      <c r="C542" s="37" t="str">
        <f>IFERROR(__xludf.DUMMYFUNCTION("""COMPUTED_VALUE"""),"Reid Gantenbein-Puchi (2) - '27 RHP CA")</f>
        <v>Reid Gantenbein-Puchi (2) - '27 RHP CA</v>
      </c>
      <c r="D542" s="38" t="s">
        <v>3129</v>
      </c>
      <c r="E542" s="39" t="s">
        <v>63</v>
      </c>
      <c r="F542" s="118">
        <v>45945.0</v>
      </c>
      <c r="G542" s="122"/>
      <c r="H542" s="42" t="s">
        <v>1700</v>
      </c>
      <c r="I542" s="43" t="s">
        <v>3130</v>
      </c>
      <c r="J542" s="43">
        <v>2027.0</v>
      </c>
      <c r="K542" s="43">
        <v>2.0</v>
      </c>
      <c r="L542" s="160" t="s">
        <v>61</v>
      </c>
      <c r="M542" s="43" t="s">
        <v>63</v>
      </c>
      <c r="N542" s="44"/>
      <c r="O542" s="43" t="s">
        <v>1550</v>
      </c>
      <c r="P542" s="43" t="s">
        <v>3131</v>
      </c>
      <c r="Q542" s="43" t="s">
        <v>52</v>
      </c>
      <c r="R542" s="43" t="s">
        <v>3132</v>
      </c>
      <c r="S542" s="44" t="s">
        <v>3133</v>
      </c>
      <c r="T542" s="81"/>
      <c r="U542" s="81"/>
      <c r="V542" s="81"/>
      <c r="W542" s="39" t="s">
        <v>1571</v>
      </c>
      <c r="X542" s="81"/>
      <c r="Y542" s="81"/>
      <c r="Z542" s="82"/>
      <c r="AA542" s="99"/>
      <c r="AB542" s="48" t="s">
        <v>61</v>
      </c>
      <c r="AC542" s="68" t="s">
        <v>61</v>
      </c>
      <c r="AD542" s="69" t="s">
        <v>61</v>
      </c>
      <c r="AE542" s="69" t="s">
        <v>61</v>
      </c>
      <c r="AF542" s="68" t="s">
        <v>61</v>
      </c>
      <c r="AG542" s="68" t="s">
        <v>61</v>
      </c>
      <c r="AH542" s="68" t="s">
        <v>61</v>
      </c>
      <c r="AI542" s="70" t="s">
        <v>61</v>
      </c>
      <c r="AJ542" s="49" t="s">
        <v>61</v>
      </c>
      <c r="AK542" s="46"/>
    </row>
    <row r="543" ht="24.0" customHeight="1">
      <c r="A543" s="35"/>
      <c r="B543" s="36">
        <v>1.0</v>
      </c>
      <c r="C543" s="37" t="str">
        <f>IFERROR(__xludf.DUMMYFUNCTION("""COMPUTED_VALUE"""),"Cruz Garcia (2) - '27 C CA")</f>
        <v>Cruz Garcia (2) - '27 C CA</v>
      </c>
      <c r="D543" s="89" t="s">
        <v>3134</v>
      </c>
      <c r="E543" s="51" t="s">
        <v>109</v>
      </c>
      <c r="F543" s="119">
        <v>45865.0</v>
      </c>
      <c r="G543" s="116" t="s">
        <v>1470</v>
      </c>
      <c r="H543" s="54" t="s">
        <v>3135</v>
      </c>
      <c r="I543" s="55" t="s">
        <v>3136</v>
      </c>
      <c r="J543" s="55">
        <v>2027.0</v>
      </c>
      <c r="K543" s="55">
        <v>2.0</v>
      </c>
      <c r="L543" s="159" t="s">
        <v>61</v>
      </c>
      <c r="M543" s="55" t="s">
        <v>109</v>
      </c>
      <c r="N543" s="132"/>
      <c r="O543" s="55" t="s">
        <v>1550</v>
      </c>
      <c r="P543" s="55" t="s">
        <v>2859</v>
      </c>
      <c r="Q543" s="55" t="s">
        <v>52</v>
      </c>
      <c r="R543" s="55" t="s">
        <v>3137</v>
      </c>
      <c r="S543" s="58"/>
      <c r="T543" s="51">
        <v>3.7</v>
      </c>
      <c r="U543" s="51"/>
      <c r="V543" s="51" t="s">
        <v>3138</v>
      </c>
      <c r="W543" s="51" t="s">
        <v>2821</v>
      </c>
      <c r="X543" s="74"/>
      <c r="Y543" s="74"/>
      <c r="Z543" s="76"/>
      <c r="AA543" s="134"/>
      <c r="AB543" s="62" t="s">
        <v>61</v>
      </c>
      <c r="AC543" s="63" t="s">
        <v>61</v>
      </c>
      <c r="AD543" s="64" t="s">
        <v>61</v>
      </c>
      <c r="AE543" s="64" t="s">
        <v>61</v>
      </c>
      <c r="AF543" s="63" t="s">
        <v>61</v>
      </c>
      <c r="AG543" s="63" t="s">
        <v>61</v>
      </c>
      <c r="AH543" s="63" t="s">
        <v>61</v>
      </c>
      <c r="AI543" s="65" t="s">
        <v>61</v>
      </c>
      <c r="AJ543" s="66" t="s">
        <v>61</v>
      </c>
      <c r="AK543" s="60"/>
    </row>
    <row r="544" ht="24.0" customHeight="1">
      <c r="A544" s="35"/>
      <c r="B544" s="36">
        <v>1.0</v>
      </c>
      <c r="C544" s="37" t="str">
        <f>IFERROR(__xludf.DUMMYFUNCTION("""COMPUTED_VALUE"""),"Nick Glass (2) - '28 C MA")</f>
        <v>Nick Glass (2) - '28 C MA</v>
      </c>
      <c r="D544" s="38" t="s">
        <v>3139</v>
      </c>
      <c r="E544" s="39" t="s">
        <v>109</v>
      </c>
      <c r="F544" s="118">
        <v>45855.0</v>
      </c>
      <c r="G544" s="113" t="s">
        <v>1395</v>
      </c>
      <c r="H544" s="42" t="s">
        <v>1123</v>
      </c>
      <c r="I544" s="43" t="s">
        <v>3140</v>
      </c>
      <c r="J544" s="43">
        <v>2028.0</v>
      </c>
      <c r="K544" s="43">
        <v>2.0</v>
      </c>
      <c r="L544" s="130"/>
      <c r="M544" s="43" t="s">
        <v>109</v>
      </c>
      <c r="N544" s="43"/>
      <c r="O544" s="43"/>
      <c r="P544" s="43"/>
      <c r="Q544" s="43" t="s">
        <v>85</v>
      </c>
      <c r="R544" s="43" t="s">
        <v>3141</v>
      </c>
      <c r="S544" s="44" t="s">
        <v>819</v>
      </c>
      <c r="T544" s="39"/>
      <c r="U544" s="39"/>
      <c r="V544" s="39"/>
      <c r="W544" s="39"/>
      <c r="X544" s="39"/>
      <c r="Y544" s="39"/>
      <c r="Z544" s="46"/>
      <c r="AA544" s="47" t="s">
        <v>3142</v>
      </c>
      <c r="AB544" s="48" t="s">
        <v>61</v>
      </c>
      <c r="AC544" s="68" t="s">
        <v>61</v>
      </c>
      <c r="AD544" s="69" t="s">
        <v>61</v>
      </c>
      <c r="AE544" s="69" t="s">
        <v>61</v>
      </c>
      <c r="AF544" s="68" t="s">
        <v>61</v>
      </c>
      <c r="AG544" s="68" t="s">
        <v>61</v>
      </c>
      <c r="AH544" s="68" t="s">
        <v>61</v>
      </c>
      <c r="AI544" s="70" t="s">
        <v>61</v>
      </c>
      <c r="AJ544" s="114" t="s">
        <v>61</v>
      </c>
      <c r="AK544" s="82"/>
    </row>
    <row r="545" ht="24.0" customHeight="1">
      <c r="A545" s="35"/>
      <c r="B545" s="36">
        <v>1.0</v>
      </c>
      <c r="C545" s="37" t="str">
        <f>IFERROR(__xludf.DUMMYFUNCTION("""COMPUTED_VALUE"""),"Carson Glose (2) - '27 RHP PA")</f>
        <v>Carson Glose (2) - '27 RHP PA</v>
      </c>
      <c r="D545" s="38" t="s">
        <v>3143</v>
      </c>
      <c r="E545" s="51" t="s">
        <v>63</v>
      </c>
      <c r="F545" s="119">
        <v>45865.0</v>
      </c>
      <c r="G545" s="116" t="s">
        <v>1430</v>
      </c>
      <c r="H545" s="54" t="s">
        <v>599</v>
      </c>
      <c r="I545" s="55" t="s">
        <v>3144</v>
      </c>
      <c r="J545" s="55">
        <v>2027.0</v>
      </c>
      <c r="K545" s="55">
        <v>2.0</v>
      </c>
      <c r="L545" s="167" t="s">
        <v>61</v>
      </c>
      <c r="M545" s="55" t="s">
        <v>63</v>
      </c>
      <c r="N545" s="132"/>
      <c r="O545" s="55" t="s">
        <v>1550</v>
      </c>
      <c r="P545" s="55" t="s">
        <v>3145</v>
      </c>
      <c r="Q545" s="55" t="s">
        <v>240</v>
      </c>
      <c r="R545" s="55" t="s">
        <v>3146</v>
      </c>
      <c r="S545" s="58"/>
      <c r="T545" s="51">
        <v>4.82</v>
      </c>
      <c r="U545" s="51"/>
      <c r="V545" s="51" t="s">
        <v>3147</v>
      </c>
      <c r="W545" s="51" t="s">
        <v>2821</v>
      </c>
      <c r="X545" s="74"/>
      <c r="Y545" s="74"/>
      <c r="Z545" s="76"/>
      <c r="AA545" s="134"/>
      <c r="AB545" s="62" t="s">
        <v>3148</v>
      </c>
      <c r="AC545" s="63" t="s">
        <v>3149</v>
      </c>
      <c r="AD545" s="64" t="s">
        <v>3150</v>
      </c>
      <c r="AE545" s="64" t="s">
        <v>400</v>
      </c>
      <c r="AF545" s="63" t="s">
        <v>400</v>
      </c>
      <c r="AG545" s="63" t="s">
        <v>2769</v>
      </c>
      <c r="AH545" s="63" t="s">
        <v>81</v>
      </c>
      <c r="AI545" s="65" t="s">
        <v>81</v>
      </c>
      <c r="AJ545" s="66" t="s">
        <v>61</v>
      </c>
      <c r="AK545" s="60"/>
    </row>
    <row r="546" ht="24.0" customHeight="1">
      <c r="A546" s="35"/>
      <c r="B546" s="36">
        <v>1.0</v>
      </c>
      <c r="C546" s="37" t="str">
        <f>IFERROR(__xludf.DUMMYFUNCTION("""COMPUTED_VALUE"""),"Palmer Gobble (2) - '27 RHP VA")</f>
        <v>Palmer Gobble (2) - '27 RHP VA</v>
      </c>
      <c r="D546" s="38" t="s">
        <v>3151</v>
      </c>
      <c r="E546" s="39" t="s">
        <v>63</v>
      </c>
      <c r="F546" s="121"/>
      <c r="G546" s="122"/>
      <c r="H546" s="42" t="s">
        <v>3152</v>
      </c>
      <c r="I546" s="43" t="s">
        <v>3153</v>
      </c>
      <c r="J546" s="43">
        <v>2027.0</v>
      </c>
      <c r="K546" s="43">
        <v>2.0</v>
      </c>
      <c r="L546" s="160" t="s">
        <v>61</v>
      </c>
      <c r="M546" s="43" t="s">
        <v>63</v>
      </c>
      <c r="N546" s="117"/>
      <c r="O546" s="43" t="s">
        <v>1989</v>
      </c>
      <c r="P546" s="43" t="s">
        <v>3154</v>
      </c>
      <c r="Q546" s="43" t="s">
        <v>125</v>
      </c>
      <c r="R546" s="43" t="s">
        <v>3155</v>
      </c>
      <c r="S546" s="44" t="s">
        <v>3156</v>
      </c>
      <c r="T546" s="81"/>
      <c r="U546" s="81"/>
      <c r="V546" s="157"/>
      <c r="W546" s="39" t="s">
        <v>1724</v>
      </c>
      <c r="X546" s="81"/>
      <c r="Y546" s="81"/>
      <c r="Z546" s="82"/>
      <c r="AA546" s="99"/>
      <c r="AB546" s="48" t="s">
        <v>3157</v>
      </c>
      <c r="AC546" s="68" t="s">
        <v>3158</v>
      </c>
      <c r="AD546" s="69">
        <v>3.9</v>
      </c>
      <c r="AE546" s="69" t="s">
        <v>3159</v>
      </c>
      <c r="AF546" s="68" t="s">
        <v>3160</v>
      </c>
      <c r="AG546" s="68" t="s">
        <v>81</v>
      </c>
      <c r="AH546" s="68" t="s">
        <v>81</v>
      </c>
      <c r="AI546" s="70" t="s">
        <v>81</v>
      </c>
      <c r="AJ546" s="49" t="s">
        <v>61</v>
      </c>
      <c r="AK546" s="46"/>
    </row>
    <row r="547" ht="24.0" customHeight="1">
      <c r="A547" s="83"/>
      <c r="B547" s="36">
        <v>1.0</v>
      </c>
      <c r="C547" s="37" t="str">
        <f>IFERROR(__xludf.DUMMYFUNCTION("""COMPUTED_VALUE"""),"Brayden Goldstein (2) - '27 OF CA")</f>
        <v>Brayden Goldstein (2) - '27 OF CA</v>
      </c>
      <c r="D547" s="38" t="s">
        <v>3161</v>
      </c>
      <c r="E547" s="51" t="s">
        <v>103</v>
      </c>
      <c r="F547" s="119">
        <v>45869.0</v>
      </c>
      <c r="G547" s="116" t="s">
        <v>1395</v>
      </c>
      <c r="H547" s="54" t="s">
        <v>535</v>
      </c>
      <c r="I547" s="55" t="s">
        <v>3162</v>
      </c>
      <c r="J547" s="55">
        <v>2027.0</v>
      </c>
      <c r="K547" s="55">
        <v>2.0</v>
      </c>
      <c r="L547" s="167" t="s">
        <v>61</v>
      </c>
      <c r="M547" s="55" t="s">
        <v>103</v>
      </c>
      <c r="N547" s="58" t="s">
        <v>3163</v>
      </c>
      <c r="O547" s="55" t="s">
        <v>1989</v>
      </c>
      <c r="P547" s="55" t="s">
        <v>3164</v>
      </c>
      <c r="Q547" s="55" t="s">
        <v>52</v>
      </c>
      <c r="R547" s="55" t="s">
        <v>3165</v>
      </c>
      <c r="S547" s="132"/>
      <c r="T547" s="51">
        <v>4.0</v>
      </c>
      <c r="U547" s="74"/>
      <c r="V547" s="51" t="s">
        <v>3166</v>
      </c>
      <c r="W547" s="74"/>
      <c r="X547" s="74"/>
      <c r="Y547" s="74"/>
      <c r="Z547" s="76"/>
      <c r="AA547" s="73" t="s">
        <v>3167</v>
      </c>
      <c r="AB547" s="62" t="s">
        <v>61</v>
      </c>
      <c r="AC547" s="63" t="s">
        <v>61</v>
      </c>
      <c r="AD547" s="64" t="s">
        <v>61</v>
      </c>
      <c r="AE547" s="64" t="s">
        <v>61</v>
      </c>
      <c r="AF547" s="63" t="s">
        <v>61</v>
      </c>
      <c r="AG547" s="63" t="s">
        <v>61</v>
      </c>
      <c r="AH547" s="63" t="s">
        <v>61</v>
      </c>
      <c r="AI547" s="65" t="s">
        <v>61</v>
      </c>
      <c r="AJ547" s="66" t="s">
        <v>61</v>
      </c>
      <c r="AK547" s="60"/>
    </row>
    <row r="548" ht="24.0" customHeight="1">
      <c r="A548" s="83"/>
      <c r="B548" s="36">
        <v>1.0</v>
      </c>
      <c r="C548" s="37" t="str">
        <f>IFERROR(__xludf.DUMMYFUNCTION("""COMPUTED_VALUE"""),"Maddux Hasty (2) - '27 LHP TN")</f>
        <v>Maddux Hasty (2) - '27 LHP TN</v>
      </c>
      <c r="D548" s="38" t="s">
        <v>3168</v>
      </c>
      <c r="E548" s="39" t="s">
        <v>122</v>
      </c>
      <c r="F548" s="118">
        <v>45865.0</v>
      </c>
      <c r="G548" s="113" t="s">
        <v>1470</v>
      </c>
      <c r="H548" s="42" t="s">
        <v>3169</v>
      </c>
      <c r="I548" s="43" t="s">
        <v>3170</v>
      </c>
      <c r="J548" s="43">
        <v>2027.0</v>
      </c>
      <c r="K548" s="43">
        <v>2.0</v>
      </c>
      <c r="L548" s="160" t="s">
        <v>61</v>
      </c>
      <c r="M548" s="43" t="s">
        <v>122</v>
      </c>
      <c r="N548" s="44" t="s">
        <v>1972</v>
      </c>
      <c r="O548" s="43" t="s">
        <v>1556</v>
      </c>
      <c r="P548" s="43" t="s">
        <v>3171</v>
      </c>
      <c r="Q548" s="43" t="s">
        <v>330</v>
      </c>
      <c r="R548" s="43" t="s">
        <v>3172</v>
      </c>
      <c r="S548" s="44"/>
      <c r="T548" s="39">
        <v>4.0</v>
      </c>
      <c r="U548" s="39"/>
      <c r="V548" s="39" t="s">
        <v>3173</v>
      </c>
      <c r="W548" s="39" t="s">
        <v>2821</v>
      </c>
      <c r="X548" s="81"/>
      <c r="Y548" s="81"/>
      <c r="Z548" s="82"/>
      <c r="AA548" s="47" t="s">
        <v>3174</v>
      </c>
      <c r="AB548" s="48" t="s">
        <v>3175</v>
      </c>
      <c r="AC548" s="68" t="s">
        <v>3176</v>
      </c>
      <c r="AD548" s="69" t="s">
        <v>3177</v>
      </c>
      <c r="AE548" s="69" t="s">
        <v>3178</v>
      </c>
      <c r="AF548" s="68" t="s">
        <v>3179</v>
      </c>
      <c r="AG548" s="68" t="s">
        <v>3180</v>
      </c>
      <c r="AH548" s="68" t="s">
        <v>3181</v>
      </c>
      <c r="AI548" s="70" t="s">
        <v>857</v>
      </c>
      <c r="AJ548" s="49" t="s">
        <v>61</v>
      </c>
      <c r="AK548" s="46"/>
    </row>
    <row r="549" ht="24.0" customHeight="1">
      <c r="A549" s="35"/>
      <c r="B549" s="36">
        <v>1.0</v>
      </c>
      <c r="C549" s="37" t="str">
        <f>IFERROR(__xludf.DUMMYFUNCTION("""COMPUTED_VALUE"""),"Ryan Hawken (2) - '27 OF NJ")</f>
        <v>Ryan Hawken (2) - '27 OF NJ</v>
      </c>
      <c r="D549" s="38" t="s">
        <v>3182</v>
      </c>
      <c r="E549" s="51" t="s">
        <v>103</v>
      </c>
      <c r="F549" s="115"/>
      <c r="G549" s="116" t="s">
        <v>1430</v>
      </c>
      <c r="H549" s="54" t="s">
        <v>1206</v>
      </c>
      <c r="I549" s="55" t="s">
        <v>3183</v>
      </c>
      <c r="J549" s="55">
        <v>2027.0</v>
      </c>
      <c r="K549" s="55">
        <v>2.0</v>
      </c>
      <c r="L549" s="159" t="s">
        <v>61</v>
      </c>
      <c r="M549" s="55" t="s">
        <v>103</v>
      </c>
      <c r="N549" s="58"/>
      <c r="O549" s="55" t="s">
        <v>1550</v>
      </c>
      <c r="P549" s="55"/>
      <c r="Q549" s="55" t="s">
        <v>502</v>
      </c>
      <c r="R549" s="55" t="s">
        <v>3184</v>
      </c>
      <c r="S549" s="58" t="s">
        <v>2029</v>
      </c>
      <c r="T549" s="51" t="s">
        <v>1836</v>
      </c>
      <c r="U549" s="51"/>
      <c r="V549" s="51"/>
      <c r="W549" s="51"/>
      <c r="X549" s="51"/>
      <c r="Y549" s="51"/>
      <c r="Z549" s="60"/>
      <c r="AA549" s="73" t="s">
        <v>3185</v>
      </c>
      <c r="AB549" s="62" t="s">
        <v>3186</v>
      </c>
      <c r="AC549" s="63" t="s">
        <v>3187</v>
      </c>
      <c r="AD549" s="64" t="s">
        <v>3188</v>
      </c>
      <c r="AE549" s="64" t="s">
        <v>400</v>
      </c>
      <c r="AF549" s="63" t="s">
        <v>3189</v>
      </c>
      <c r="AG549" s="63" t="s">
        <v>81</v>
      </c>
      <c r="AH549" s="63" t="s">
        <v>81</v>
      </c>
      <c r="AI549" s="65" t="s">
        <v>81</v>
      </c>
      <c r="AJ549" s="66" t="s">
        <v>61</v>
      </c>
      <c r="AK549" s="60"/>
    </row>
    <row r="550" ht="24.0" customHeight="1">
      <c r="A550" s="35"/>
      <c r="B550" s="36">
        <v>1.0</v>
      </c>
      <c r="C550" s="37" t="str">
        <f>IFERROR(__xludf.DUMMYFUNCTION("""COMPUTED_VALUE"""),"Will Hayes (2) - '27 RHP CO")</f>
        <v>Will Hayes (2) - '27 RHP CO</v>
      </c>
      <c r="D550" s="38" t="s">
        <v>3190</v>
      </c>
      <c r="E550" s="39" t="s">
        <v>63</v>
      </c>
      <c r="F550" s="118">
        <v>45865.0</v>
      </c>
      <c r="G550" s="113" t="s">
        <v>1470</v>
      </c>
      <c r="H550" s="42" t="s">
        <v>110</v>
      </c>
      <c r="I550" s="43" t="s">
        <v>1927</v>
      </c>
      <c r="J550" s="43">
        <v>2027.0</v>
      </c>
      <c r="K550" s="43">
        <v>2.0</v>
      </c>
      <c r="L550" s="168" t="s">
        <v>61</v>
      </c>
      <c r="M550" s="43" t="s">
        <v>63</v>
      </c>
      <c r="N550" s="117"/>
      <c r="O550" s="43" t="s">
        <v>1550</v>
      </c>
      <c r="P550" s="43" t="s">
        <v>3191</v>
      </c>
      <c r="Q550" s="43" t="s">
        <v>174</v>
      </c>
      <c r="R550" s="43" t="s">
        <v>3192</v>
      </c>
      <c r="S550" s="117"/>
      <c r="T550" s="81"/>
      <c r="U550" s="81"/>
      <c r="V550" s="39" t="s">
        <v>3193</v>
      </c>
      <c r="W550" s="39" t="s">
        <v>2821</v>
      </c>
      <c r="X550" s="81"/>
      <c r="Y550" s="81"/>
      <c r="Z550" s="82"/>
      <c r="AA550" s="99"/>
      <c r="AB550" s="48" t="s">
        <v>3194</v>
      </c>
      <c r="AC550" s="68"/>
      <c r="AD550" s="69" t="s">
        <v>3195</v>
      </c>
      <c r="AE550" s="69"/>
      <c r="AF550" s="68" t="s">
        <v>3196</v>
      </c>
      <c r="AG550" s="68" t="s">
        <v>1942</v>
      </c>
      <c r="AH550" s="68" t="s">
        <v>81</v>
      </c>
      <c r="AI550" s="70" t="s">
        <v>81</v>
      </c>
      <c r="AJ550" s="49" t="s">
        <v>61</v>
      </c>
      <c r="AK550" s="46"/>
    </row>
    <row r="551" ht="24.0" customHeight="1">
      <c r="A551" s="35"/>
      <c r="B551" s="36">
        <v>1.0</v>
      </c>
      <c r="C551" s="37" t="str">
        <f>IFERROR(__xludf.DUMMYFUNCTION("""COMPUTED_VALUE"""),"Ryan Heerman (2) - '28 C ")</f>
        <v>Ryan Heerman (2) - '28 C </v>
      </c>
      <c r="D551" s="38" t="s">
        <v>3197</v>
      </c>
      <c r="E551" s="51" t="s">
        <v>109</v>
      </c>
      <c r="F551" s="137"/>
      <c r="G551" s="133"/>
      <c r="H551" s="54" t="s">
        <v>1206</v>
      </c>
      <c r="I551" s="55" t="s">
        <v>3198</v>
      </c>
      <c r="J551" s="55">
        <v>2028.0</v>
      </c>
      <c r="K551" s="55">
        <v>2.0</v>
      </c>
      <c r="L551" s="57"/>
      <c r="M551" s="55" t="s">
        <v>109</v>
      </c>
      <c r="N551" s="57"/>
      <c r="O551" s="55" t="s">
        <v>1550</v>
      </c>
      <c r="P551" s="55" t="s">
        <v>3199</v>
      </c>
      <c r="Q551" s="57"/>
      <c r="R551" s="55" t="s">
        <v>3200</v>
      </c>
      <c r="S551" s="58" t="s">
        <v>2975</v>
      </c>
      <c r="T551" s="74"/>
      <c r="U551" s="74"/>
      <c r="V551" s="139"/>
      <c r="W551" s="51" t="s">
        <v>1724</v>
      </c>
      <c r="X551" s="74"/>
      <c r="Y551" s="74"/>
      <c r="Z551" s="76"/>
      <c r="AA551" s="73" t="s">
        <v>3201</v>
      </c>
      <c r="AB551" s="62" t="s">
        <v>61</v>
      </c>
      <c r="AC551" s="63" t="s">
        <v>61</v>
      </c>
      <c r="AD551" s="64" t="s">
        <v>61</v>
      </c>
      <c r="AE551" s="64" t="s">
        <v>61</v>
      </c>
      <c r="AF551" s="63" t="s">
        <v>61</v>
      </c>
      <c r="AG551" s="63" t="s">
        <v>61</v>
      </c>
      <c r="AH551" s="63" t="s">
        <v>61</v>
      </c>
      <c r="AI551" s="65" t="s">
        <v>61</v>
      </c>
      <c r="AJ551" s="105" t="s">
        <v>61</v>
      </c>
      <c r="AK551" s="76"/>
    </row>
    <row r="552" ht="24.0" customHeight="1">
      <c r="A552" s="35"/>
      <c r="B552" s="36">
        <v>1.0</v>
      </c>
      <c r="C552" s="37" t="str">
        <f>IFERROR(__xludf.DUMMYFUNCTION("""COMPUTED_VALUE"""),"Grant Helms (2) - '27 OF ")</f>
        <v>Grant Helms (2) - '27 OF </v>
      </c>
      <c r="D552" s="38" t="s">
        <v>3202</v>
      </c>
      <c r="E552" s="39" t="s">
        <v>103</v>
      </c>
      <c r="F552" s="118">
        <v>45925.0</v>
      </c>
      <c r="G552" s="113" t="s">
        <v>1395</v>
      </c>
      <c r="H552" s="42" t="s">
        <v>278</v>
      </c>
      <c r="I552" s="43" t="s">
        <v>3203</v>
      </c>
      <c r="J552" s="43">
        <v>2027.0</v>
      </c>
      <c r="K552" s="43">
        <v>2.0</v>
      </c>
      <c r="L552" s="160" t="s">
        <v>61</v>
      </c>
      <c r="M552" s="43" t="s">
        <v>103</v>
      </c>
      <c r="N552" s="44"/>
      <c r="O552" s="80"/>
      <c r="P552" s="80"/>
      <c r="Q552" s="80"/>
      <c r="R552" s="80"/>
      <c r="S552" s="44" t="s">
        <v>3204</v>
      </c>
      <c r="T552" s="81"/>
      <c r="U552" s="81"/>
      <c r="V552" s="81"/>
      <c r="W552" s="39" t="s">
        <v>1564</v>
      </c>
      <c r="X552" s="81"/>
      <c r="Y552" s="81"/>
      <c r="Z552" s="82"/>
      <c r="AA552" s="99"/>
      <c r="AB552" s="48" t="s">
        <v>61</v>
      </c>
      <c r="AC552" s="68" t="s">
        <v>61</v>
      </c>
      <c r="AD552" s="69" t="s">
        <v>61</v>
      </c>
      <c r="AE552" s="69" t="s">
        <v>61</v>
      </c>
      <c r="AF552" s="68" t="s">
        <v>61</v>
      </c>
      <c r="AG552" s="68" t="s">
        <v>61</v>
      </c>
      <c r="AH552" s="68" t="s">
        <v>61</v>
      </c>
      <c r="AI552" s="70" t="s">
        <v>61</v>
      </c>
      <c r="AJ552" s="49" t="s">
        <v>61</v>
      </c>
      <c r="AK552" s="46"/>
    </row>
    <row r="553" ht="24.0" customHeight="1">
      <c r="A553" s="83"/>
      <c r="B553" s="36">
        <v>1.0</v>
      </c>
      <c r="C553" s="37" t="str">
        <f>IFERROR(__xludf.DUMMYFUNCTION("""COMPUTED_VALUE"""),"Sumner Hill-Goodell (2) - '28 CINF NH")</f>
        <v>Sumner Hill-Goodell (2) - '28 CINF NH</v>
      </c>
      <c r="D553" s="38" t="s">
        <v>3205</v>
      </c>
      <c r="E553" s="51" t="s">
        <v>48</v>
      </c>
      <c r="F553" s="115"/>
      <c r="G553" s="116" t="s">
        <v>1395</v>
      </c>
      <c r="H553" s="54" t="s">
        <v>3206</v>
      </c>
      <c r="I553" s="55" t="s">
        <v>3207</v>
      </c>
      <c r="J553" s="55">
        <v>2028.0</v>
      </c>
      <c r="K553" s="55">
        <v>2.0</v>
      </c>
      <c r="L553" s="58" t="s">
        <v>2877</v>
      </c>
      <c r="M553" s="55" t="s">
        <v>72</v>
      </c>
      <c r="N553" s="57"/>
      <c r="O553" s="55" t="s">
        <v>1550</v>
      </c>
      <c r="P553" s="55"/>
      <c r="Q553" s="55" t="s">
        <v>942</v>
      </c>
      <c r="R553" s="55"/>
      <c r="S553" s="58"/>
      <c r="T553" s="74"/>
      <c r="U553" s="51"/>
      <c r="V553" s="51"/>
      <c r="W553" s="51"/>
      <c r="X553" s="51"/>
      <c r="Y553" s="51"/>
      <c r="Z553" s="60"/>
      <c r="AA553" s="73"/>
      <c r="AB553" s="62" t="s">
        <v>61</v>
      </c>
      <c r="AC553" s="63" t="s">
        <v>61</v>
      </c>
      <c r="AD553" s="64" t="s">
        <v>61</v>
      </c>
      <c r="AE553" s="64" t="s">
        <v>61</v>
      </c>
      <c r="AF553" s="63" t="s">
        <v>61</v>
      </c>
      <c r="AG553" s="63" t="s">
        <v>61</v>
      </c>
      <c r="AH553" s="63" t="s">
        <v>61</v>
      </c>
      <c r="AI553" s="65" t="s">
        <v>61</v>
      </c>
      <c r="AJ553" s="105" t="s">
        <v>61</v>
      </c>
      <c r="AK553" s="76"/>
    </row>
    <row r="554" ht="24.0" customHeight="1">
      <c r="A554" s="35"/>
      <c r="B554" s="36">
        <v>1.0</v>
      </c>
      <c r="C554" s="37" t="str">
        <f>IFERROR(__xludf.DUMMYFUNCTION("""COMPUTED_VALUE"""),"Luke Hiromoto (2) - '28 MINF HI")</f>
        <v>Luke Hiromoto (2) - '28 MINF HI</v>
      </c>
      <c r="D554" s="38" t="s">
        <v>3208</v>
      </c>
      <c r="E554" s="39" t="s">
        <v>48</v>
      </c>
      <c r="F554" s="118">
        <v>45869.0</v>
      </c>
      <c r="G554" s="113" t="s">
        <v>1395</v>
      </c>
      <c r="H554" s="42" t="s">
        <v>1042</v>
      </c>
      <c r="I554" s="43" t="s">
        <v>3209</v>
      </c>
      <c r="J554" s="43">
        <v>2028.0</v>
      </c>
      <c r="K554" s="43">
        <v>2.0</v>
      </c>
      <c r="L554" s="80"/>
      <c r="M554" s="43" t="s">
        <v>51</v>
      </c>
      <c r="N554" s="80"/>
      <c r="O554" s="43" t="s">
        <v>1550</v>
      </c>
      <c r="P554" s="43" t="s">
        <v>3210</v>
      </c>
      <c r="Q554" s="43" t="s">
        <v>148</v>
      </c>
      <c r="R554" s="43" t="s">
        <v>3211</v>
      </c>
      <c r="S554" s="117"/>
      <c r="T554" s="39">
        <v>3.975</v>
      </c>
      <c r="U554" s="81"/>
      <c r="V554" s="39" t="s">
        <v>3212</v>
      </c>
      <c r="W554" s="81"/>
      <c r="X554" s="81"/>
      <c r="Y554" s="81"/>
      <c r="Z554" s="82"/>
      <c r="AA554" s="47" t="s">
        <v>3213</v>
      </c>
      <c r="AB554" s="48" t="s">
        <v>61</v>
      </c>
      <c r="AC554" s="68" t="s">
        <v>61</v>
      </c>
      <c r="AD554" s="69" t="s">
        <v>61</v>
      </c>
      <c r="AE554" s="69" t="s">
        <v>61</v>
      </c>
      <c r="AF554" s="68" t="s">
        <v>61</v>
      </c>
      <c r="AG554" s="68" t="s">
        <v>61</v>
      </c>
      <c r="AH554" s="68" t="s">
        <v>61</v>
      </c>
      <c r="AI554" s="70" t="s">
        <v>61</v>
      </c>
      <c r="AJ554" s="114" t="s">
        <v>61</v>
      </c>
      <c r="AK554" s="82"/>
    </row>
    <row r="555" ht="24.0" customHeight="1">
      <c r="A555" s="35"/>
      <c r="B555" s="36">
        <v>1.0</v>
      </c>
      <c r="C555" s="37" t="str">
        <f>IFERROR(__xludf.DUMMYFUNCTION("""COMPUTED_VALUE"""),"Tyler Honkomp (2) - '27 OF IA")</f>
        <v>Tyler Honkomp (2) - '27 OF IA</v>
      </c>
      <c r="D555" s="38" t="s">
        <v>3214</v>
      </c>
      <c r="E555" s="51" t="s">
        <v>103</v>
      </c>
      <c r="F555" s="119">
        <v>45917.0</v>
      </c>
      <c r="G555" s="116" t="s">
        <v>1430</v>
      </c>
      <c r="H555" s="54" t="s">
        <v>104</v>
      </c>
      <c r="I555" s="55" t="s">
        <v>3215</v>
      </c>
      <c r="J555" s="55">
        <v>2027.0</v>
      </c>
      <c r="K555" s="55">
        <v>2.0</v>
      </c>
      <c r="L555" s="159" t="s">
        <v>61</v>
      </c>
      <c r="M555" s="55" t="s">
        <v>103</v>
      </c>
      <c r="N555" s="58"/>
      <c r="O555" s="55" t="s">
        <v>1550</v>
      </c>
      <c r="P555" s="55" t="s">
        <v>3216</v>
      </c>
      <c r="Q555" s="55" t="s">
        <v>360</v>
      </c>
      <c r="R555" s="55" t="s">
        <v>3217</v>
      </c>
      <c r="S555" s="132"/>
      <c r="T555" s="74"/>
      <c r="U555" s="74"/>
      <c r="V555" s="74"/>
      <c r="W555" s="74"/>
      <c r="X555" s="74"/>
      <c r="Y555" s="74"/>
      <c r="Z555" s="76"/>
      <c r="AA555" s="134"/>
      <c r="AB555" s="62" t="s">
        <v>61</v>
      </c>
      <c r="AC555" s="63" t="s">
        <v>61</v>
      </c>
      <c r="AD555" s="64" t="s">
        <v>61</v>
      </c>
      <c r="AE555" s="64" t="s">
        <v>61</v>
      </c>
      <c r="AF555" s="63" t="s">
        <v>61</v>
      </c>
      <c r="AG555" s="63" t="s">
        <v>61</v>
      </c>
      <c r="AH555" s="63" t="s">
        <v>61</v>
      </c>
      <c r="AI555" s="65" t="s">
        <v>61</v>
      </c>
      <c r="AJ555" s="66" t="s">
        <v>61</v>
      </c>
      <c r="AK555" s="60"/>
    </row>
    <row r="556" ht="24.0" customHeight="1">
      <c r="A556" s="35"/>
      <c r="B556" s="36">
        <v>1.0</v>
      </c>
      <c r="C556" s="37" t="str">
        <f>IFERROR(__xludf.DUMMYFUNCTION("""COMPUTED_VALUE"""),"Carter Huff (2) - '27 SS NC")</f>
        <v>Carter Huff (2) - '27 SS NC</v>
      </c>
      <c r="D556" s="38" t="s">
        <v>3218</v>
      </c>
      <c r="E556" s="39" t="s">
        <v>48</v>
      </c>
      <c r="F556" s="118">
        <v>45925.0</v>
      </c>
      <c r="G556" s="113" t="s">
        <v>1395</v>
      </c>
      <c r="H556" s="42" t="s">
        <v>604</v>
      </c>
      <c r="I556" s="43" t="s">
        <v>3219</v>
      </c>
      <c r="J556" s="43">
        <v>2027.0</v>
      </c>
      <c r="K556" s="43">
        <v>2.0</v>
      </c>
      <c r="L556" s="160" t="s">
        <v>61</v>
      </c>
      <c r="M556" s="43" t="s">
        <v>1398</v>
      </c>
      <c r="N556" s="44"/>
      <c r="O556" s="80"/>
      <c r="P556" s="43" t="s">
        <v>3220</v>
      </c>
      <c r="Q556" s="43" t="s">
        <v>73</v>
      </c>
      <c r="R556" s="43" t="s">
        <v>3221</v>
      </c>
      <c r="S556" s="44" t="s">
        <v>2019</v>
      </c>
      <c r="T556" s="81"/>
      <c r="U556" s="81"/>
      <c r="V556" s="81"/>
      <c r="W556" s="39" t="s">
        <v>1564</v>
      </c>
      <c r="X556" s="81"/>
      <c r="Y556" s="81"/>
      <c r="Z556" s="82"/>
      <c r="AA556" s="99"/>
      <c r="AB556" s="48" t="s">
        <v>61</v>
      </c>
      <c r="AC556" s="68" t="s">
        <v>61</v>
      </c>
      <c r="AD556" s="69" t="s">
        <v>61</v>
      </c>
      <c r="AE556" s="69" t="s">
        <v>61</v>
      </c>
      <c r="AF556" s="68" t="s">
        <v>61</v>
      </c>
      <c r="AG556" s="68" t="s">
        <v>61</v>
      </c>
      <c r="AH556" s="68" t="s">
        <v>61</v>
      </c>
      <c r="AI556" s="70" t="s">
        <v>61</v>
      </c>
      <c r="AJ556" s="49" t="s">
        <v>61</v>
      </c>
      <c r="AK556" s="46"/>
    </row>
    <row r="557" ht="24.0" customHeight="1">
      <c r="A557" s="35"/>
      <c r="B557" s="36">
        <v>1.0</v>
      </c>
      <c r="C557" s="37" t="str">
        <f>IFERROR(__xludf.DUMMYFUNCTION("""COMPUTED_VALUE"""),"Sladen Johnson (2) - '27 LHP MA")</f>
        <v>Sladen Johnson (2) - '27 LHP MA</v>
      </c>
      <c r="D557" s="89" t="s">
        <v>3222</v>
      </c>
      <c r="E557" s="51" t="s">
        <v>122</v>
      </c>
      <c r="F557" s="154">
        <v>46156.0</v>
      </c>
      <c r="G557" s="116" t="s">
        <v>1395</v>
      </c>
      <c r="H557" s="54" t="s">
        <v>3223</v>
      </c>
      <c r="I557" s="55" t="s">
        <v>267</v>
      </c>
      <c r="J557" s="55">
        <v>2027.0</v>
      </c>
      <c r="K557" s="55">
        <v>2.0</v>
      </c>
      <c r="L557" s="57"/>
      <c r="M557" s="55" t="s">
        <v>122</v>
      </c>
      <c r="N557" s="55"/>
      <c r="O557" s="55" t="s">
        <v>1556</v>
      </c>
      <c r="P557" s="55" t="s">
        <v>3224</v>
      </c>
      <c r="Q557" s="55" t="s">
        <v>85</v>
      </c>
      <c r="R557" s="55" t="s">
        <v>3225</v>
      </c>
      <c r="S557" s="58" t="s">
        <v>2989</v>
      </c>
      <c r="T557" s="74"/>
      <c r="U557" s="74"/>
      <c r="V557" s="51" t="s">
        <v>3226</v>
      </c>
      <c r="W557" s="51"/>
      <c r="X557" s="74"/>
      <c r="Y557" s="74"/>
      <c r="Z557" s="76"/>
      <c r="AA557" s="169" t="s">
        <v>3227</v>
      </c>
      <c r="AB557" s="62" t="s">
        <v>61</v>
      </c>
      <c r="AC557" s="63" t="s">
        <v>61</v>
      </c>
      <c r="AD557" s="64" t="s">
        <v>61</v>
      </c>
      <c r="AE557" s="64" t="s">
        <v>61</v>
      </c>
      <c r="AF557" s="63" t="s">
        <v>61</v>
      </c>
      <c r="AG557" s="63" t="s">
        <v>61</v>
      </c>
      <c r="AH557" s="63" t="s">
        <v>61</v>
      </c>
      <c r="AI557" s="65" t="s">
        <v>61</v>
      </c>
      <c r="AJ557" s="105" t="s">
        <v>61</v>
      </c>
      <c r="AK557" s="76"/>
    </row>
    <row r="558" ht="24.0" customHeight="1">
      <c r="A558" s="35"/>
      <c r="B558" s="36">
        <v>1.0</v>
      </c>
      <c r="C558" s="37" t="str">
        <f>IFERROR(__xludf.DUMMYFUNCTION("""COMPUTED_VALUE"""),"Thurston Kiefer (2) - '27 RHP MA")</f>
        <v>Thurston Kiefer (2) - '27 RHP MA</v>
      </c>
      <c r="D558" s="89" t="s">
        <v>3228</v>
      </c>
      <c r="E558" s="39" t="s">
        <v>63</v>
      </c>
      <c r="F558" s="112"/>
      <c r="G558" s="113" t="s">
        <v>1395</v>
      </c>
      <c r="H558" s="42" t="s">
        <v>3229</v>
      </c>
      <c r="I558" s="43" t="s">
        <v>1343</v>
      </c>
      <c r="J558" s="43">
        <v>2027.0</v>
      </c>
      <c r="K558" s="43">
        <v>2.0</v>
      </c>
      <c r="L558" s="158" t="s">
        <v>61</v>
      </c>
      <c r="M558" s="43" t="s">
        <v>63</v>
      </c>
      <c r="N558" s="170"/>
      <c r="O558" s="43" t="s">
        <v>1550</v>
      </c>
      <c r="P558" s="80"/>
      <c r="Q558" s="43" t="s">
        <v>85</v>
      </c>
      <c r="R558" s="43"/>
      <c r="S558" s="44" t="s">
        <v>2989</v>
      </c>
      <c r="T558" s="39"/>
      <c r="U558" s="39"/>
      <c r="V558" s="39"/>
      <c r="W558" s="39"/>
      <c r="X558" s="39"/>
      <c r="Y558" s="39"/>
      <c r="Z558" s="46"/>
      <c r="AA558" s="47" t="s">
        <v>3230</v>
      </c>
      <c r="AB558" s="48" t="s">
        <v>61</v>
      </c>
      <c r="AC558" s="68" t="s">
        <v>61</v>
      </c>
      <c r="AD558" s="69" t="s">
        <v>61</v>
      </c>
      <c r="AE558" s="69" t="s">
        <v>61</v>
      </c>
      <c r="AF558" s="68" t="s">
        <v>61</v>
      </c>
      <c r="AG558" s="68" t="s">
        <v>61</v>
      </c>
      <c r="AH558" s="68" t="s">
        <v>61</v>
      </c>
      <c r="AI558" s="70" t="s">
        <v>61</v>
      </c>
      <c r="AJ558" s="49" t="s">
        <v>61</v>
      </c>
      <c r="AK558" s="46"/>
    </row>
    <row r="559" ht="24.0" customHeight="1">
      <c r="A559" s="35"/>
      <c r="B559" s="36">
        <v>1.0</v>
      </c>
      <c r="C559" s="37" t="str">
        <f>IFERROR(__xludf.DUMMYFUNCTION("""COMPUTED_VALUE"""),"Robert Kilpatrick (2) - '27 RHP VA")</f>
        <v>Robert Kilpatrick (2) - '27 RHP VA</v>
      </c>
      <c r="D559" s="38" t="s">
        <v>3231</v>
      </c>
      <c r="E559" s="51" t="s">
        <v>63</v>
      </c>
      <c r="F559" s="137"/>
      <c r="G559" s="133"/>
      <c r="H559" s="54" t="s">
        <v>3232</v>
      </c>
      <c r="I559" s="55" t="s">
        <v>3233</v>
      </c>
      <c r="J559" s="55">
        <v>2027.0</v>
      </c>
      <c r="K559" s="55">
        <v>2.0</v>
      </c>
      <c r="L559" s="159" t="s">
        <v>61</v>
      </c>
      <c r="M559" s="55" t="s">
        <v>63</v>
      </c>
      <c r="N559" s="132"/>
      <c r="O559" s="57"/>
      <c r="P559" s="55" t="s">
        <v>3234</v>
      </c>
      <c r="Q559" s="55" t="s">
        <v>125</v>
      </c>
      <c r="R559" s="55" t="s">
        <v>3235</v>
      </c>
      <c r="S559" s="58" t="s">
        <v>3236</v>
      </c>
      <c r="T559" s="74"/>
      <c r="U559" s="74"/>
      <c r="V559" s="51"/>
      <c r="W559" s="51" t="s">
        <v>1724</v>
      </c>
      <c r="X559" s="139">
        <v>45811.0</v>
      </c>
      <c r="Y559" s="74"/>
      <c r="Z559" s="60" t="s">
        <v>1541</v>
      </c>
      <c r="AA559" s="134"/>
      <c r="AB559" s="62" t="s">
        <v>61</v>
      </c>
      <c r="AC559" s="63" t="s">
        <v>61</v>
      </c>
      <c r="AD559" s="64" t="s">
        <v>61</v>
      </c>
      <c r="AE559" s="64" t="s">
        <v>61</v>
      </c>
      <c r="AF559" s="63" t="s">
        <v>61</v>
      </c>
      <c r="AG559" s="63" t="s">
        <v>61</v>
      </c>
      <c r="AH559" s="63" t="s">
        <v>61</v>
      </c>
      <c r="AI559" s="65" t="s">
        <v>61</v>
      </c>
      <c r="AJ559" s="66" t="s">
        <v>61</v>
      </c>
      <c r="AK559" s="60"/>
    </row>
    <row r="560" ht="24.0" customHeight="1">
      <c r="A560" s="35"/>
      <c r="B560" s="36">
        <v>1.0</v>
      </c>
      <c r="C560" s="37" t="str">
        <f>IFERROR(__xludf.DUMMYFUNCTION("""COMPUTED_VALUE"""),"Landon Klein (2) - '27 C WA")</f>
        <v>Landon Klein (2) - '27 C WA</v>
      </c>
      <c r="D560" s="38" t="s">
        <v>3237</v>
      </c>
      <c r="E560" s="39" t="s">
        <v>109</v>
      </c>
      <c r="F560" s="118">
        <v>45865.0</v>
      </c>
      <c r="G560" s="113" t="s">
        <v>1395</v>
      </c>
      <c r="H560" s="42" t="s">
        <v>1016</v>
      </c>
      <c r="I560" s="43" t="s">
        <v>3238</v>
      </c>
      <c r="J560" s="43">
        <v>2027.0</v>
      </c>
      <c r="K560" s="43">
        <v>2.0</v>
      </c>
      <c r="L560" s="160" t="s">
        <v>61</v>
      </c>
      <c r="M560" s="43" t="s">
        <v>109</v>
      </c>
      <c r="N560" s="117"/>
      <c r="O560" s="43" t="s">
        <v>1550</v>
      </c>
      <c r="P560" s="43" t="s">
        <v>3239</v>
      </c>
      <c r="Q560" s="43" t="s">
        <v>1575</v>
      </c>
      <c r="R560" s="43" t="s">
        <v>3240</v>
      </c>
      <c r="S560" s="44"/>
      <c r="T560" s="39">
        <v>4.0</v>
      </c>
      <c r="U560" s="39"/>
      <c r="V560" s="39" t="s">
        <v>3241</v>
      </c>
      <c r="W560" s="39" t="s">
        <v>2821</v>
      </c>
      <c r="X560" s="81"/>
      <c r="Y560" s="81"/>
      <c r="Z560" s="82"/>
      <c r="AA560" s="99"/>
      <c r="AB560" s="48" t="s">
        <v>3242</v>
      </c>
      <c r="AC560" s="68" t="s">
        <v>3243</v>
      </c>
      <c r="AD560" s="69" t="s">
        <v>3244</v>
      </c>
      <c r="AE560" s="69" t="s">
        <v>400</v>
      </c>
      <c r="AF560" s="68" t="s">
        <v>3245</v>
      </c>
      <c r="AG560" s="68" t="s">
        <v>60</v>
      </c>
      <c r="AH560" s="68" t="s">
        <v>60</v>
      </c>
      <c r="AI560" s="70" t="s">
        <v>81</v>
      </c>
      <c r="AJ560" s="114" t="s">
        <v>61</v>
      </c>
      <c r="AK560" s="82"/>
    </row>
    <row r="561" ht="24.0" customHeight="1">
      <c r="A561" s="71"/>
      <c r="B561" s="36">
        <v>1.0</v>
      </c>
      <c r="C561" s="37" t="str">
        <f>IFERROR(__xludf.DUMMYFUNCTION("""COMPUTED_VALUE"""),"Chayce Kolbert (2) - '27 3B NY")</f>
        <v>Chayce Kolbert (2) - '27 3B NY</v>
      </c>
      <c r="D561" s="38" t="s">
        <v>3246</v>
      </c>
      <c r="E561" s="51" t="s">
        <v>48</v>
      </c>
      <c r="F561" s="119">
        <v>45865.0</v>
      </c>
      <c r="G561" s="116" t="s">
        <v>1395</v>
      </c>
      <c r="H561" s="54" t="s">
        <v>3247</v>
      </c>
      <c r="I561" s="55" t="s">
        <v>3248</v>
      </c>
      <c r="J561" s="55">
        <v>2027.0</v>
      </c>
      <c r="K561" s="55">
        <v>2.0</v>
      </c>
      <c r="L561" s="159" t="s">
        <v>61</v>
      </c>
      <c r="M561" s="55" t="s">
        <v>1519</v>
      </c>
      <c r="N561" s="132"/>
      <c r="O561" s="55" t="s">
        <v>1550</v>
      </c>
      <c r="P561" s="55" t="s">
        <v>3249</v>
      </c>
      <c r="Q561" s="55" t="s">
        <v>255</v>
      </c>
      <c r="R561" s="55" t="s">
        <v>3250</v>
      </c>
      <c r="S561" s="58"/>
      <c r="T561" s="51">
        <v>4.0</v>
      </c>
      <c r="U561" s="51"/>
      <c r="V561" s="51" t="s">
        <v>3251</v>
      </c>
      <c r="W561" s="51" t="s">
        <v>2821</v>
      </c>
      <c r="X561" s="74"/>
      <c r="Y561" s="74"/>
      <c r="Z561" s="76"/>
      <c r="AA561" s="134"/>
      <c r="AB561" s="62" t="s">
        <v>3252</v>
      </c>
      <c r="AC561" s="63" t="s">
        <v>3253</v>
      </c>
      <c r="AD561" s="64" t="s">
        <v>3254</v>
      </c>
      <c r="AE561" s="64" t="s">
        <v>3255</v>
      </c>
      <c r="AF561" s="63" t="s">
        <v>60</v>
      </c>
      <c r="AG561" s="63" t="s">
        <v>81</v>
      </c>
      <c r="AH561" s="63" t="s">
        <v>3256</v>
      </c>
      <c r="AI561" s="65" t="s">
        <v>81</v>
      </c>
      <c r="AJ561" s="66" t="s">
        <v>61</v>
      </c>
      <c r="AK561" s="60"/>
    </row>
    <row r="562" ht="24.0" customHeight="1">
      <c r="A562" s="35"/>
      <c r="B562" s="36">
        <v>1.0</v>
      </c>
      <c r="C562" s="37" t="str">
        <f>IFERROR(__xludf.DUMMYFUNCTION("""COMPUTED_VALUE"""),"Chase Kume (2) - '28 1B ")</f>
        <v>Chase Kume (2) - '28 1B </v>
      </c>
      <c r="D562" s="38" t="s">
        <v>3257</v>
      </c>
      <c r="E562" s="39" t="s">
        <v>48</v>
      </c>
      <c r="F562" s="121"/>
      <c r="G562" s="122"/>
      <c r="H562" s="42" t="s">
        <v>376</v>
      </c>
      <c r="I562" s="43" t="s">
        <v>3258</v>
      </c>
      <c r="J562" s="43">
        <v>2028.0</v>
      </c>
      <c r="K562" s="43">
        <v>2.0</v>
      </c>
      <c r="L562" s="80"/>
      <c r="M562" s="43" t="s">
        <v>1972</v>
      </c>
      <c r="N562" s="80"/>
      <c r="O562" s="80"/>
      <c r="P562" s="43" t="s">
        <v>3259</v>
      </c>
      <c r="Q562" s="80"/>
      <c r="R562" s="43" t="s">
        <v>1093</v>
      </c>
      <c r="S562" s="44" t="s">
        <v>3003</v>
      </c>
      <c r="T562" s="81"/>
      <c r="U562" s="81"/>
      <c r="V562" s="157"/>
      <c r="W562" s="39" t="s">
        <v>1724</v>
      </c>
      <c r="X562" s="39" t="s">
        <v>1556</v>
      </c>
      <c r="Y562" s="81"/>
      <c r="Z562" s="82"/>
      <c r="AA562" s="99"/>
      <c r="AB562" s="48" t="s">
        <v>61</v>
      </c>
      <c r="AC562" s="68" t="s">
        <v>61</v>
      </c>
      <c r="AD562" s="69" t="s">
        <v>61</v>
      </c>
      <c r="AE562" s="69" t="s">
        <v>61</v>
      </c>
      <c r="AF562" s="68" t="s">
        <v>61</v>
      </c>
      <c r="AG562" s="68" t="s">
        <v>61</v>
      </c>
      <c r="AH562" s="68" t="s">
        <v>61</v>
      </c>
      <c r="AI562" s="70" t="s">
        <v>61</v>
      </c>
      <c r="AJ562" s="114" t="s">
        <v>61</v>
      </c>
      <c r="AK562" s="82"/>
    </row>
    <row r="563" ht="24.0" customHeight="1">
      <c r="A563" s="35"/>
      <c r="B563" s="36">
        <v>1.0</v>
      </c>
      <c r="C563" s="37" t="str">
        <f>IFERROR(__xludf.DUMMYFUNCTION("""COMPUTED_VALUE"""),"Justin Labrador (2) - '27 SS NJ")</f>
        <v>Justin Labrador (2) - '27 SS NJ</v>
      </c>
      <c r="D563" s="38" t="s">
        <v>3260</v>
      </c>
      <c r="E563" s="51" t="s">
        <v>48</v>
      </c>
      <c r="F563" s="137"/>
      <c r="G563" s="133"/>
      <c r="H563" s="54" t="s">
        <v>988</v>
      </c>
      <c r="I563" s="55" t="s">
        <v>3261</v>
      </c>
      <c r="J563" s="55">
        <v>2027.0</v>
      </c>
      <c r="K563" s="55">
        <v>2.0</v>
      </c>
      <c r="L563" s="159" t="s">
        <v>61</v>
      </c>
      <c r="M563" s="55" t="s">
        <v>1398</v>
      </c>
      <c r="N563" s="132"/>
      <c r="O563" s="55" t="s">
        <v>1550</v>
      </c>
      <c r="P563" s="55" t="s">
        <v>3262</v>
      </c>
      <c r="Q563" s="55" t="s">
        <v>502</v>
      </c>
      <c r="R563" s="55" t="s">
        <v>3263</v>
      </c>
      <c r="S563" s="58" t="s">
        <v>3264</v>
      </c>
      <c r="T563" s="74"/>
      <c r="U563" s="74"/>
      <c r="V563" s="139"/>
      <c r="W563" s="51" t="s">
        <v>1724</v>
      </c>
      <c r="X563" s="74"/>
      <c r="Y563" s="74"/>
      <c r="Z563" s="76"/>
      <c r="AA563" s="134"/>
      <c r="AB563" s="62" t="s">
        <v>61</v>
      </c>
      <c r="AC563" s="63" t="s">
        <v>61</v>
      </c>
      <c r="AD563" s="64" t="s">
        <v>61</v>
      </c>
      <c r="AE563" s="64" t="s">
        <v>61</v>
      </c>
      <c r="AF563" s="63" t="s">
        <v>61</v>
      </c>
      <c r="AG563" s="63" t="s">
        <v>61</v>
      </c>
      <c r="AH563" s="63" t="s">
        <v>61</v>
      </c>
      <c r="AI563" s="65" t="s">
        <v>61</v>
      </c>
      <c r="AJ563" s="66" t="s">
        <v>61</v>
      </c>
      <c r="AK563" s="60"/>
    </row>
    <row r="564" ht="24.0" customHeight="1">
      <c r="A564" s="71" t="s">
        <v>3265</v>
      </c>
      <c r="B564" s="36">
        <v>1.0</v>
      </c>
      <c r="C564" s="37" t="str">
        <f>IFERROR(__xludf.DUMMYFUNCTION("""COMPUTED_VALUE"""),"Wyatt Libbert (2) - '27 RHP MO")</f>
        <v>Wyatt Libbert (2) - '27 RHP MO</v>
      </c>
      <c r="D564" s="38" t="s">
        <v>3266</v>
      </c>
      <c r="E564" s="39" t="s">
        <v>63</v>
      </c>
      <c r="F564" s="112"/>
      <c r="G564" s="113" t="s">
        <v>1430</v>
      </c>
      <c r="H564" s="42" t="s">
        <v>1302</v>
      </c>
      <c r="I564" s="43" t="s">
        <v>3267</v>
      </c>
      <c r="J564" s="43">
        <v>2027.0</v>
      </c>
      <c r="K564" s="43">
        <v>2.0</v>
      </c>
      <c r="L564" s="160" t="s">
        <v>61</v>
      </c>
      <c r="M564" s="43" t="s">
        <v>63</v>
      </c>
      <c r="N564" s="44"/>
      <c r="O564" s="43"/>
      <c r="P564" s="43"/>
      <c r="Q564" s="43" t="s">
        <v>585</v>
      </c>
      <c r="R564" s="43" t="s">
        <v>3268</v>
      </c>
      <c r="S564" s="44" t="s">
        <v>113</v>
      </c>
      <c r="T564" s="39" t="s">
        <v>3269</v>
      </c>
      <c r="U564" s="39"/>
      <c r="V564" s="39"/>
      <c r="W564" s="39"/>
      <c r="X564" s="39"/>
      <c r="Y564" s="39"/>
      <c r="Z564" s="46"/>
      <c r="AA564" s="47" t="s">
        <v>3270</v>
      </c>
      <c r="AB564" s="48" t="s">
        <v>61</v>
      </c>
      <c r="AC564" s="68" t="s">
        <v>61</v>
      </c>
      <c r="AD564" s="69" t="s">
        <v>61</v>
      </c>
      <c r="AE564" s="69" t="s">
        <v>61</v>
      </c>
      <c r="AF564" s="68" t="s">
        <v>61</v>
      </c>
      <c r="AG564" s="68" t="s">
        <v>61</v>
      </c>
      <c r="AH564" s="68" t="s">
        <v>61</v>
      </c>
      <c r="AI564" s="70" t="s">
        <v>61</v>
      </c>
      <c r="AJ564" s="49" t="s">
        <v>61</v>
      </c>
      <c r="AK564" s="46"/>
    </row>
    <row r="565" ht="24.0" customHeight="1">
      <c r="A565" s="35"/>
      <c r="B565" s="36">
        <v>1.0</v>
      </c>
      <c r="C565" s="37" t="str">
        <f>IFERROR(__xludf.DUMMYFUNCTION("""COMPUTED_VALUE"""),"Ty Lomasney (2) - '28 OF ")</f>
        <v>Ty Lomasney (2) - '28 OF </v>
      </c>
      <c r="D565" s="38" t="s">
        <v>3271</v>
      </c>
      <c r="E565" s="51" t="s">
        <v>103</v>
      </c>
      <c r="F565" s="137"/>
      <c r="G565" s="133"/>
      <c r="H565" s="54" t="s">
        <v>1536</v>
      </c>
      <c r="I565" s="55" t="s">
        <v>3272</v>
      </c>
      <c r="J565" s="55">
        <v>2028.0</v>
      </c>
      <c r="K565" s="55">
        <v>2.0</v>
      </c>
      <c r="L565" s="57"/>
      <c r="M565" s="55" t="s">
        <v>103</v>
      </c>
      <c r="N565" s="57"/>
      <c r="O565" s="57"/>
      <c r="P565" s="55" t="s">
        <v>3273</v>
      </c>
      <c r="Q565" s="57"/>
      <c r="R565" s="55" t="s">
        <v>3274</v>
      </c>
      <c r="S565" s="58" t="s">
        <v>3275</v>
      </c>
      <c r="T565" s="74"/>
      <c r="U565" s="74"/>
      <c r="V565" s="51"/>
      <c r="W565" s="51" t="s">
        <v>1724</v>
      </c>
      <c r="X565" s="51" t="s">
        <v>1556</v>
      </c>
      <c r="Y565" s="74"/>
      <c r="Z565" s="76"/>
      <c r="AA565" s="134"/>
      <c r="AB565" s="62" t="s">
        <v>61</v>
      </c>
      <c r="AC565" s="63" t="s">
        <v>61</v>
      </c>
      <c r="AD565" s="64" t="s">
        <v>61</v>
      </c>
      <c r="AE565" s="64" t="s">
        <v>61</v>
      </c>
      <c r="AF565" s="63" t="s">
        <v>61</v>
      </c>
      <c r="AG565" s="63" t="s">
        <v>61</v>
      </c>
      <c r="AH565" s="63" t="s">
        <v>61</v>
      </c>
      <c r="AI565" s="65" t="s">
        <v>61</v>
      </c>
      <c r="AJ565" s="105" t="s">
        <v>61</v>
      </c>
      <c r="AK565" s="76"/>
    </row>
    <row r="566" ht="24.0" customHeight="1">
      <c r="A566" s="35"/>
      <c r="B566" s="36">
        <v>1.0</v>
      </c>
      <c r="C566" s="37" t="str">
        <f>IFERROR(__xludf.DUMMYFUNCTION("""COMPUTED_VALUE"""),"Cameron Mares (2) - '27 C CO")</f>
        <v>Cameron Mares (2) - '27 C CO</v>
      </c>
      <c r="D566" s="38" t="s">
        <v>3276</v>
      </c>
      <c r="E566" s="39" t="s">
        <v>109</v>
      </c>
      <c r="F566" s="118">
        <v>45865.0</v>
      </c>
      <c r="G566" s="113" t="s">
        <v>1395</v>
      </c>
      <c r="H566" s="42" t="s">
        <v>594</v>
      </c>
      <c r="I566" s="43" t="s">
        <v>3277</v>
      </c>
      <c r="J566" s="43">
        <v>2027.0</v>
      </c>
      <c r="K566" s="43">
        <v>2.0</v>
      </c>
      <c r="L566" s="160" t="s">
        <v>61</v>
      </c>
      <c r="M566" s="43" t="s">
        <v>109</v>
      </c>
      <c r="N566" s="117"/>
      <c r="O566" s="43" t="s">
        <v>1550</v>
      </c>
      <c r="P566" s="43" t="s">
        <v>3278</v>
      </c>
      <c r="Q566" s="43" t="s">
        <v>174</v>
      </c>
      <c r="R566" s="43" t="s">
        <v>3279</v>
      </c>
      <c r="S566" s="44"/>
      <c r="T566" s="39">
        <v>4.39</v>
      </c>
      <c r="U566" s="39"/>
      <c r="V566" s="39" t="s">
        <v>3280</v>
      </c>
      <c r="W566" s="39" t="s">
        <v>2821</v>
      </c>
      <c r="X566" s="81"/>
      <c r="Y566" s="81"/>
      <c r="Z566" s="82"/>
      <c r="AA566" s="99"/>
      <c r="AB566" s="48" t="s">
        <v>3281</v>
      </c>
      <c r="AC566" s="68" t="s">
        <v>3282</v>
      </c>
      <c r="AD566" s="69">
        <v>4.39</v>
      </c>
      <c r="AE566" s="69" t="s">
        <v>3283</v>
      </c>
      <c r="AF566" s="68" t="s">
        <v>60</v>
      </c>
      <c r="AG566" s="68" t="s">
        <v>60</v>
      </c>
      <c r="AH566" s="68" t="s">
        <v>60</v>
      </c>
      <c r="AI566" s="70" t="s">
        <v>60</v>
      </c>
      <c r="AJ566" s="49" t="s">
        <v>61</v>
      </c>
      <c r="AK566" s="46"/>
    </row>
    <row r="567" ht="24.0" customHeight="1">
      <c r="A567" s="83"/>
      <c r="B567" s="36">
        <v>1.0</v>
      </c>
      <c r="C567" s="37" t="str">
        <f>IFERROR(__xludf.DUMMYFUNCTION("""COMPUTED_VALUE"""),"Connor McCool (XX) - '27 SS KS")</f>
        <v>Connor McCool (XX) - '27 SS KS</v>
      </c>
      <c r="D567" s="38" t="s">
        <v>3284</v>
      </c>
      <c r="E567" s="51" t="s">
        <v>48</v>
      </c>
      <c r="F567" s="119">
        <v>45865.0</v>
      </c>
      <c r="G567" s="116" t="s">
        <v>1430</v>
      </c>
      <c r="H567" s="54" t="s">
        <v>682</v>
      </c>
      <c r="I567" s="55" t="s">
        <v>3285</v>
      </c>
      <c r="J567" s="55">
        <v>2027.0</v>
      </c>
      <c r="K567" s="55" t="s">
        <v>410</v>
      </c>
      <c r="L567" s="159" t="s">
        <v>61</v>
      </c>
      <c r="M567" s="55" t="s">
        <v>1398</v>
      </c>
      <c r="N567" s="132"/>
      <c r="O567" s="55" t="s">
        <v>1550</v>
      </c>
      <c r="P567" s="55" t="s">
        <v>3286</v>
      </c>
      <c r="Q567" s="55" t="s">
        <v>112</v>
      </c>
      <c r="R567" s="55" t="s">
        <v>2564</v>
      </c>
      <c r="S567" s="58"/>
      <c r="T567" s="51">
        <v>4.0</v>
      </c>
      <c r="U567" s="51"/>
      <c r="V567" s="51" t="s">
        <v>3287</v>
      </c>
      <c r="W567" s="51" t="s">
        <v>2821</v>
      </c>
      <c r="X567" s="74"/>
      <c r="Y567" s="74"/>
      <c r="Z567" s="76"/>
      <c r="AA567" s="134"/>
      <c r="AB567" s="62" t="s">
        <v>3288</v>
      </c>
      <c r="AC567" s="63" t="s">
        <v>3289</v>
      </c>
      <c r="AD567" s="64" t="s">
        <v>3290</v>
      </c>
      <c r="AE567" s="64" t="s">
        <v>3291</v>
      </c>
      <c r="AF567" s="63" t="s">
        <v>3292</v>
      </c>
      <c r="AG567" s="63" t="s">
        <v>81</v>
      </c>
      <c r="AH567" s="63" t="s">
        <v>81</v>
      </c>
      <c r="AI567" s="65" t="s">
        <v>81</v>
      </c>
      <c r="AJ567" s="66" t="s">
        <v>61</v>
      </c>
      <c r="AK567" s="60"/>
    </row>
    <row r="568" ht="24.0" customHeight="1">
      <c r="A568" s="35"/>
      <c r="B568" s="36">
        <v>1.0</v>
      </c>
      <c r="C568" s="37" t="str">
        <f>IFERROR(__xludf.DUMMYFUNCTION("""COMPUTED_VALUE"""),"Hayden Moore (2) - '27 RHP NC")</f>
        <v>Hayden Moore (2) - '27 RHP NC</v>
      </c>
      <c r="D568" s="38" t="s">
        <v>3293</v>
      </c>
      <c r="E568" s="39" t="s">
        <v>63</v>
      </c>
      <c r="F568" s="118">
        <v>45925.0</v>
      </c>
      <c r="G568" s="113" t="s">
        <v>1395</v>
      </c>
      <c r="H568" s="42" t="s">
        <v>805</v>
      </c>
      <c r="I568" s="43" t="s">
        <v>2049</v>
      </c>
      <c r="J568" s="43">
        <v>2027.0</v>
      </c>
      <c r="K568" s="43">
        <v>2.0</v>
      </c>
      <c r="L568" s="160" t="s">
        <v>61</v>
      </c>
      <c r="M568" s="43" t="s">
        <v>63</v>
      </c>
      <c r="N568" s="44"/>
      <c r="O568" s="80"/>
      <c r="P568" s="43" t="s">
        <v>3294</v>
      </c>
      <c r="Q568" s="43" t="s">
        <v>73</v>
      </c>
      <c r="R568" s="80"/>
      <c r="S568" s="44" t="s">
        <v>2019</v>
      </c>
      <c r="T568" s="81"/>
      <c r="U568" s="81"/>
      <c r="V568" s="81"/>
      <c r="W568" s="39" t="s">
        <v>1564</v>
      </c>
      <c r="X568" s="81"/>
      <c r="Y568" s="81"/>
      <c r="Z568" s="82"/>
      <c r="AA568" s="99"/>
      <c r="AB568" s="48" t="s">
        <v>61</v>
      </c>
      <c r="AC568" s="68" t="s">
        <v>61</v>
      </c>
      <c r="AD568" s="69" t="s">
        <v>61</v>
      </c>
      <c r="AE568" s="69" t="s">
        <v>61</v>
      </c>
      <c r="AF568" s="68" t="s">
        <v>61</v>
      </c>
      <c r="AG568" s="68" t="s">
        <v>61</v>
      </c>
      <c r="AH568" s="68" t="s">
        <v>61</v>
      </c>
      <c r="AI568" s="70" t="s">
        <v>61</v>
      </c>
      <c r="AJ568" s="49" t="s">
        <v>61</v>
      </c>
      <c r="AK568" s="46"/>
    </row>
    <row r="569" ht="24.0" customHeight="1">
      <c r="A569" s="83"/>
      <c r="B569" s="36">
        <v>1.0</v>
      </c>
      <c r="C569" s="37" t="str">
        <f>IFERROR(__xludf.DUMMYFUNCTION("""COMPUTED_VALUE"""),"Grayson Morris (2) - '27 3B VA")</f>
        <v>Grayson Morris (2) - '27 3B VA</v>
      </c>
      <c r="D569" s="38" t="s">
        <v>3295</v>
      </c>
      <c r="E569" s="51" t="s">
        <v>48</v>
      </c>
      <c r="F569" s="119">
        <v>45925.0</v>
      </c>
      <c r="G569" s="116" t="s">
        <v>1395</v>
      </c>
      <c r="H569" s="54" t="s">
        <v>3296</v>
      </c>
      <c r="I569" s="55" t="s">
        <v>2958</v>
      </c>
      <c r="J569" s="55">
        <v>2027.0</v>
      </c>
      <c r="K569" s="55">
        <v>2.0</v>
      </c>
      <c r="L569" s="159" t="s">
        <v>61</v>
      </c>
      <c r="M569" s="55" t="s">
        <v>1519</v>
      </c>
      <c r="N569" s="58"/>
      <c r="O569" s="57"/>
      <c r="P569" s="55" t="s">
        <v>3297</v>
      </c>
      <c r="Q569" s="55" t="s">
        <v>125</v>
      </c>
      <c r="R569" s="55" t="s">
        <v>3298</v>
      </c>
      <c r="S569" s="58" t="s">
        <v>1603</v>
      </c>
      <c r="T569" s="74"/>
      <c r="U569" s="74"/>
      <c r="V569" s="74"/>
      <c r="W569" s="51" t="s">
        <v>1564</v>
      </c>
      <c r="X569" s="74"/>
      <c r="Y569" s="74"/>
      <c r="Z569" s="76"/>
      <c r="AA569" s="134"/>
      <c r="AB569" s="62" t="s">
        <v>61</v>
      </c>
      <c r="AC569" s="63" t="s">
        <v>61</v>
      </c>
      <c r="AD569" s="64" t="s">
        <v>61</v>
      </c>
      <c r="AE569" s="64" t="s">
        <v>61</v>
      </c>
      <c r="AF569" s="63" t="s">
        <v>61</v>
      </c>
      <c r="AG569" s="63" t="s">
        <v>61</v>
      </c>
      <c r="AH569" s="63" t="s">
        <v>61</v>
      </c>
      <c r="AI569" s="65" t="s">
        <v>61</v>
      </c>
      <c r="AJ569" s="66" t="s">
        <v>61</v>
      </c>
      <c r="AK569" s="60"/>
    </row>
    <row r="570" ht="24.0" customHeight="1">
      <c r="A570" s="35"/>
      <c r="B570" s="36">
        <v>1.0</v>
      </c>
      <c r="C570" s="37" t="str">
        <f>IFERROR(__xludf.DUMMYFUNCTION("""COMPUTED_VALUE"""),"Maksin Neshov (2) - '28 INF ")</f>
        <v>Maksin Neshov (2) - '28 INF </v>
      </c>
      <c r="D570" s="38" t="s">
        <v>3299</v>
      </c>
      <c r="E570" s="39" t="s">
        <v>48</v>
      </c>
      <c r="F570" s="118">
        <v>45925.0</v>
      </c>
      <c r="G570" s="113" t="s">
        <v>1395</v>
      </c>
      <c r="H570" s="42" t="s">
        <v>3300</v>
      </c>
      <c r="I570" s="43" t="s">
        <v>3301</v>
      </c>
      <c r="J570" s="43">
        <v>2028.0</v>
      </c>
      <c r="K570" s="43">
        <v>2.0</v>
      </c>
      <c r="L570" s="80"/>
      <c r="M570" s="43" t="s">
        <v>48</v>
      </c>
      <c r="N570" s="43"/>
      <c r="O570" s="80"/>
      <c r="P570" s="80"/>
      <c r="Q570" s="80"/>
      <c r="R570" s="80"/>
      <c r="S570" s="44" t="s">
        <v>3204</v>
      </c>
      <c r="T570" s="81"/>
      <c r="U570" s="81"/>
      <c r="V570" s="81"/>
      <c r="W570" s="39" t="s">
        <v>1564</v>
      </c>
      <c r="X570" s="81"/>
      <c r="Y570" s="81"/>
      <c r="Z570" s="82"/>
      <c r="AA570" s="99"/>
      <c r="AB570" s="48" t="s">
        <v>61</v>
      </c>
      <c r="AC570" s="68" t="s">
        <v>61</v>
      </c>
      <c r="AD570" s="69" t="s">
        <v>61</v>
      </c>
      <c r="AE570" s="69" t="s">
        <v>61</v>
      </c>
      <c r="AF570" s="68" t="s">
        <v>61</v>
      </c>
      <c r="AG570" s="68" t="s">
        <v>61</v>
      </c>
      <c r="AH570" s="68" t="s">
        <v>61</v>
      </c>
      <c r="AI570" s="70" t="s">
        <v>61</v>
      </c>
      <c r="AJ570" s="114" t="s">
        <v>61</v>
      </c>
      <c r="AK570" s="82"/>
    </row>
    <row r="571" ht="24.0" customHeight="1">
      <c r="A571" s="71"/>
      <c r="B571" s="36">
        <v>1.0</v>
      </c>
      <c r="C571" s="37" t="str">
        <f>IFERROR(__xludf.DUMMYFUNCTION("""COMPUTED_VALUE"""),"Luke Parrish (2) - '27 CF GA")</f>
        <v>Luke Parrish (2) - '27 CF GA</v>
      </c>
      <c r="D571" s="38" t="s">
        <v>3302</v>
      </c>
      <c r="E571" s="51" t="s">
        <v>103</v>
      </c>
      <c r="F571" s="137"/>
      <c r="G571" s="116" t="s">
        <v>1430</v>
      </c>
      <c r="H571" s="54" t="s">
        <v>1042</v>
      </c>
      <c r="I571" s="55" t="s">
        <v>3303</v>
      </c>
      <c r="J571" s="55">
        <v>2027.0</v>
      </c>
      <c r="K571" s="55">
        <v>2.0</v>
      </c>
      <c r="L571" s="159" t="s">
        <v>61</v>
      </c>
      <c r="M571" s="55" t="s">
        <v>106</v>
      </c>
      <c r="N571" s="58"/>
      <c r="O571" s="55"/>
      <c r="P571" s="57"/>
      <c r="Q571" s="55" t="s">
        <v>43</v>
      </c>
      <c r="R571" s="57"/>
      <c r="S571" s="58" t="s">
        <v>1450</v>
      </c>
      <c r="T571" s="74"/>
      <c r="U571" s="74"/>
      <c r="V571" s="74"/>
      <c r="W571" s="74"/>
      <c r="X571" s="74"/>
      <c r="Y571" s="74"/>
      <c r="Z571" s="76"/>
      <c r="AA571" s="73" t="s">
        <v>3304</v>
      </c>
      <c r="AB571" s="62" t="s">
        <v>61</v>
      </c>
      <c r="AC571" s="63" t="s">
        <v>61</v>
      </c>
      <c r="AD571" s="64" t="s">
        <v>61</v>
      </c>
      <c r="AE571" s="64" t="s">
        <v>61</v>
      </c>
      <c r="AF571" s="63" t="s">
        <v>61</v>
      </c>
      <c r="AG571" s="63" t="s">
        <v>61</v>
      </c>
      <c r="AH571" s="63" t="s">
        <v>61</v>
      </c>
      <c r="AI571" s="65" t="s">
        <v>61</v>
      </c>
      <c r="AJ571" s="66" t="s">
        <v>61</v>
      </c>
      <c r="AK571" s="60"/>
    </row>
    <row r="572" ht="24.0" customHeight="1">
      <c r="A572" s="35"/>
      <c r="B572" s="36">
        <v>1.0</v>
      </c>
      <c r="C572" s="37" t="str">
        <f>IFERROR(__xludf.DUMMYFUNCTION("""COMPUTED_VALUE"""),"Winston Patterson (2) - '27 RHP CO")</f>
        <v>Winston Patterson (2) - '27 RHP CO</v>
      </c>
      <c r="D572" s="89" t="s">
        <v>3305</v>
      </c>
      <c r="E572" s="39" t="s">
        <v>63</v>
      </c>
      <c r="F572" s="156">
        <v>45863.0</v>
      </c>
      <c r="G572" s="113" t="s">
        <v>1395</v>
      </c>
      <c r="H572" s="42" t="s">
        <v>2756</v>
      </c>
      <c r="I572" s="43" t="s">
        <v>3306</v>
      </c>
      <c r="J572" s="43">
        <v>2027.0</v>
      </c>
      <c r="K572" s="43">
        <v>2.0</v>
      </c>
      <c r="L572" s="80"/>
      <c r="M572" s="43" t="s">
        <v>63</v>
      </c>
      <c r="N572" s="43"/>
      <c r="O572" s="43" t="s">
        <v>1550</v>
      </c>
      <c r="P572" s="80"/>
      <c r="Q572" s="43" t="s">
        <v>174</v>
      </c>
      <c r="R572" s="43" t="s">
        <v>3307</v>
      </c>
      <c r="S572" s="44" t="s">
        <v>3308</v>
      </c>
      <c r="T572" s="81"/>
      <c r="U572" s="81"/>
      <c r="V572" s="81"/>
      <c r="W572" s="39" t="s">
        <v>3309</v>
      </c>
      <c r="X572" s="81"/>
      <c r="Y572" s="81"/>
      <c r="Z572" s="82"/>
      <c r="AA572" s="161" t="s">
        <v>3310</v>
      </c>
      <c r="AB572" s="48" t="s">
        <v>61</v>
      </c>
      <c r="AC572" s="68" t="s">
        <v>61</v>
      </c>
      <c r="AD572" s="69" t="s">
        <v>61</v>
      </c>
      <c r="AE572" s="69" t="s">
        <v>61</v>
      </c>
      <c r="AF572" s="68" t="s">
        <v>61</v>
      </c>
      <c r="AG572" s="68" t="s">
        <v>61</v>
      </c>
      <c r="AH572" s="68" t="s">
        <v>61</v>
      </c>
      <c r="AI572" s="70" t="s">
        <v>61</v>
      </c>
      <c r="AJ572" s="114" t="s">
        <v>61</v>
      </c>
      <c r="AK572" s="82"/>
    </row>
    <row r="573" ht="24.0" customHeight="1">
      <c r="A573" s="83"/>
      <c r="B573" s="36">
        <v>1.0</v>
      </c>
      <c r="C573" s="37" t="str">
        <f>IFERROR(__xludf.DUMMYFUNCTION("""COMPUTED_VALUE"""),"Drew Pittman (2) - '27 SS KS")</f>
        <v>Drew Pittman (2) - '27 SS KS</v>
      </c>
      <c r="D573" s="38" t="s">
        <v>3311</v>
      </c>
      <c r="E573" s="51" t="s">
        <v>48</v>
      </c>
      <c r="F573" s="119">
        <v>45865.0</v>
      </c>
      <c r="G573" s="116" t="s">
        <v>1395</v>
      </c>
      <c r="H573" s="54" t="s">
        <v>249</v>
      </c>
      <c r="I573" s="55" t="s">
        <v>3312</v>
      </c>
      <c r="J573" s="55">
        <v>2027.0</v>
      </c>
      <c r="K573" s="55">
        <v>2.0</v>
      </c>
      <c r="L573" s="159" t="s">
        <v>61</v>
      </c>
      <c r="M573" s="55" t="s">
        <v>1398</v>
      </c>
      <c r="N573" s="132"/>
      <c r="O573" s="55" t="s">
        <v>2324</v>
      </c>
      <c r="P573" s="55" t="s">
        <v>3286</v>
      </c>
      <c r="Q573" s="55" t="s">
        <v>112</v>
      </c>
      <c r="R573" s="55" t="s">
        <v>3313</v>
      </c>
      <c r="S573" s="132"/>
      <c r="T573" s="74"/>
      <c r="U573" s="74"/>
      <c r="V573" s="51" t="s">
        <v>3314</v>
      </c>
      <c r="W573" s="51" t="s">
        <v>2821</v>
      </c>
      <c r="X573" s="74"/>
      <c r="Y573" s="74"/>
      <c r="Z573" s="76"/>
      <c r="AA573" s="134"/>
      <c r="AB573" s="62" t="s">
        <v>61</v>
      </c>
      <c r="AC573" s="63" t="s">
        <v>61</v>
      </c>
      <c r="AD573" s="64" t="s">
        <v>61</v>
      </c>
      <c r="AE573" s="64" t="s">
        <v>61</v>
      </c>
      <c r="AF573" s="63" t="s">
        <v>61</v>
      </c>
      <c r="AG573" s="63" t="s">
        <v>61</v>
      </c>
      <c r="AH573" s="63" t="s">
        <v>61</v>
      </c>
      <c r="AI573" s="65" t="s">
        <v>61</v>
      </c>
      <c r="AJ573" s="66" t="s">
        <v>61</v>
      </c>
      <c r="AK573" s="60"/>
    </row>
    <row r="574" ht="24.0" customHeight="1">
      <c r="A574" s="35"/>
      <c r="B574" s="36">
        <v>1.0</v>
      </c>
      <c r="C574" s="37" t="str">
        <f>IFERROR(__xludf.DUMMYFUNCTION("""COMPUTED_VALUE"""),"Nolan Plourde (2) - '27 RHP CT")</f>
        <v>Nolan Plourde (2) - '27 RHP CT</v>
      </c>
      <c r="D574" s="38" t="s">
        <v>3315</v>
      </c>
      <c r="E574" s="39" t="s">
        <v>63</v>
      </c>
      <c r="F574" s="118">
        <v>45865.0</v>
      </c>
      <c r="G574" s="113" t="s">
        <v>1395</v>
      </c>
      <c r="H574" s="42" t="s">
        <v>2587</v>
      </c>
      <c r="I574" s="43" t="s">
        <v>3316</v>
      </c>
      <c r="J574" s="43">
        <v>2027.0</v>
      </c>
      <c r="K574" s="43">
        <v>2.0</v>
      </c>
      <c r="L574" s="160" t="s">
        <v>61</v>
      </c>
      <c r="M574" s="43" t="s">
        <v>63</v>
      </c>
      <c r="N574" s="117"/>
      <c r="O574" s="43" t="s">
        <v>1550</v>
      </c>
      <c r="P574" s="43" t="s">
        <v>3317</v>
      </c>
      <c r="Q574" s="43" t="s">
        <v>160</v>
      </c>
      <c r="R574" s="43" t="s">
        <v>3318</v>
      </c>
      <c r="S574" s="44"/>
      <c r="T574" s="39">
        <v>4.2</v>
      </c>
      <c r="U574" s="39"/>
      <c r="V574" s="39" t="s">
        <v>3319</v>
      </c>
      <c r="W574" s="39" t="s">
        <v>2821</v>
      </c>
      <c r="X574" s="81"/>
      <c r="Y574" s="81"/>
      <c r="Z574" s="82"/>
      <c r="AA574" s="99"/>
      <c r="AB574" s="48" t="s">
        <v>3320</v>
      </c>
      <c r="AC574" s="68"/>
      <c r="AD574" s="69" t="s">
        <v>3321</v>
      </c>
      <c r="AE574" s="69" t="s">
        <v>3322</v>
      </c>
      <c r="AF574" s="68" t="s">
        <v>3323</v>
      </c>
      <c r="AG574" s="68" t="s">
        <v>549</v>
      </c>
      <c r="AH574" s="68" t="s">
        <v>549</v>
      </c>
      <c r="AI574" s="70" t="s">
        <v>549</v>
      </c>
      <c r="AJ574" s="49" t="s">
        <v>61</v>
      </c>
      <c r="AK574" s="46"/>
    </row>
    <row r="575" ht="24.0" customHeight="1">
      <c r="A575" s="35"/>
      <c r="B575" s="36">
        <v>1.0</v>
      </c>
      <c r="C575" s="37" t="str">
        <f>IFERROR(__xludf.DUMMYFUNCTION("""COMPUTED_VALUE"""),"Patrick Prideaux (2) - '28 LHP MA")</f>
        <v>Patrick Prideaux (2) - '28 LHP MA</v>
      </c>
      <c r="D575" s="38" t="s">
        <v>3324</v>
      </c>
      <c r="E575" s="51" t="s">
        <v>122</v>
      </c>
      <c r="F575" s="119">
        <v>45855.0</v>
      </c>
      <c r="G575" s="116" t="s">
        <v>1395</v>
      </c>
      <c r="H575" s="54" t="s">
        <v>70</v>
      </c>
      <c r="I575" s="55" t="s">
        <v>3325</v>
      </c>
      <c r="J575" s="55">
        <v>2028.0</v>
      </c>
      <c r="K575" s="55">
        <v>2.0</v>
      </c>
      <c r="L575" s="55"/>
      <c r="M575" s="55" t="s">
        <v>122</v>
      </c>
      <c r="N575" s="55"/>
      <c r="O575" s="55"/>
      <c r="P575" s="55"/>
      <c r="Q575" s="55" t="s">
        <v>85</v>
      </c>
      <c r="R575" s="55"/>
      <c r="S575" s="58" t="s">
        <v>819</v>
      </c>
      <c r="T575" s="51"/>
      <c r="U575" s="51"/>
      <c r="V575" s="51"/>
      <c r="W575" s="51"/>
      <c r="X575" s="51"/>
      <c r="Y575" s="51"/>
      <c r="Z575" s="60"/>
      <c r="AA575" s="73"/>
      <c r="AB575" s="62" t="s">
        <v>61</v>
      </c>
      <c r="AC575" s="63" t="s">
        <v>61</v>
      </c>
      <c r="AD575" s="64" t="s">
        <v>61</v>
      </c>
      <c r="AE575" s="64" t="s">
        <v>61</v>
      </c>
      <c r="AF575" s="63" t="s">
        <v>61</v>
      </c>
      <c r="AG575" s="63" t="s">
        <v>61</v>
      </c>
      <c r="AH575" s="63" t="s">
        <v>61</v>
      </c>
      <c r="AI575" s="65" t="s">
        <v>61</v>
      </c>
      <c r="AJ575" s="105" t="s">
        <v>61</v>
      </c>
      <c r="AK575" s="76"/>
    </row>
    <row r="576" ht="24.0" customHeight="1">
      <c r="A576" s="35"/>
      <c r="B576" s="36">
        <v>1.0</v>
      </c>
      <c r="C576" s="37" t="str">
        <f>IFERROR(__xludf.DUMMYFUNCTION("""COMPUTED_VALUE"""),"Eli Quinley (2) - '27 C AL")</f>
        <v>Eli Quinley (2) - '27 C AL</v>
      </c>
      <c r="D576" s="38" t="s">
        <v>3326</v>
      </c>
      <c r="E576" s="39" t="s">
        <v>109</v>
      </c>
      <c r="F576" s="118">
        <v>45865.0</v>
      </c>
      <c r="G576" s="113" t="s">
        <v>1430</v>
      </c>
      <c r="H576" s="42" t="s">
        <v>747</v>
      </c>
      <c r="I576" s="43" t="s">
        <v>3327</v>
      </c>
      <c r="J576" s="43">
        <v>2027.0</v>
      </c>
      <c r="K576" s="43">
        <v>2.0</v>
      </c>
      <c r="L576" s="160" t="s">
        <v>61</v>
      </c>
      <c r="M576" s="43" t="s">
        <v>109</v>
      </c>
      <c r="N576" s="117"/>
      <c r="O576" s="43" t="s">
        <v>1550</v>
      </c>
      <c r="P576" s="43" t="s">
        <v>3328</v>
      </c>
      <c r="Q576" s="43" t="s">
        <v>731</v>
      </c>
      <c r="R576" s="43" t="s">
        <v>3329</v>
      </c>
      <c r="S576" s="44"/>
      <c r="T576" s="39">
        <v>4.57</v>
      </c>
      <c r="U576" s="39"/>
      <c r="V576" s="39" t="s">
        <v>3330</v>
      </c>
      <c r="W576" s="39" t="s">
        <v>2821</v>
      </c>
      <c r="X576" s="81"/>
      <c r="Y576" s="81"/>
      <c r="Z576" s="82"/>
      <c r="AA576" s="99"/>
      <c r="AB576" s="48" t="s">
        <v>61</v>
      </c>
      <c r="AC576" s="68" t="s">
        <v>61</v>
      </c>
      <c r="AD576" s="69" t="s">
        <v>61</v>
      </c>
      <c r="AE576" s="69" t="s">
        <v>61</v>
      </c>
      <c r="AF576" s="68" t="s">
        <v>61</v>
      </c>
      <c r="AG576" s="68" t="s">
        <v>61</v>
      </c>
      <c r="AH576" s="68" t="s">
        <v>61</v>
      </c>
      <c r="AI576" s="70" t="s">
        <v>61</v>
      </c>
      <c r="AJ576" s="49" t="s">
        <v>61</v>
      </c>
      <c r="AK576" s="46"/>
    </row>
    <row r="577" ht="24.0" customHeight="1">
      <c r="A577" s="35"/>
      <c r="B577" s="36">
        <v>1.0</v>
      </c>
      <c r="C577" s="37" t="str">
        <f>IFERROR(__xludf.DUMMYFUNCTION("""COMPUTED_VALUE"""),"Luke Rafferty (2) - '27 RHP TX")</f>
        <v>Luke Rafferty (2) - '27 RHP TX</v>
      </c>
      <c r="D577" s="38" t="s">
        <v>3331</v>
      </c>
      <c r="E577" s="51" t="s">
        <v>63</v>
      </c>
      <c r="F577" s="119">
        <v>45850.0</v>
      </c>
      <c r="G577" s="116" t="s">
        <v>1395</v>
      </c>
      <c r="H577" s="54" t="s">
        <v>1042</v>
      </c>
      <c r="I577" s="55" t="s">
        <v>3332</v>
      </c>
      <c r="J577" s="55">
        <v>2027.0</v>
      </c>
      <c r="K577" s="55">
        <v>2.0</v>
      </c>
      <c r="L577" s="159" t="s">
        <v>61</v>
      </c>
      <c r="M577" s="55" t="s">
        <v>63</v>
      </c>
      <c r="N577" s="58"/>
      <c r="O577" s="55"/>
      <c r="P577" s="55"/>
      <c r="Q577" s="55" t="s">
        <v>180</v>
      </c>
      <c r="R577" s="55"/>
      <c r="S577" s="58" t="s">
        <v>2989</v>
      </c>
      <c r="T577" s="51"/>
      <c r="U577" s="51"/>
      <c r="V577" s="51"/>
      <c r="W577" s="51"/>
      <c r="X577" s="51"/>
      <c r="Y577" s="51"/>
      <c r="Z577" s="60"/>
      <c r="AA577" s="73" t="s">
        <v>3333</v>
      </c>
      <c r="AB577" s="62" t="s">
        <v>61</v>
      </c>
      <c r="AC577" s="63" t="s">
        <v>61</v>
      </c>
      <c r="AD577" s="64" t="s">
        <v>61</v>
      </c>
      <c r="AE577" s="64" t="s">
        <v>61</v>
      </c>
      <c r="AF577" s="63" t="s">
        <v>61</v>
      </c>
      <c r="AG577" s="63" t="s">
        <v>61</v>
      </c>
      <c r="AH577" s="63" t="s">
        <v>61</v>
      </c>
      <c r="AI577" s="65" t="s">
        <v>61</v>
      </c>
      <c r="AJ577" s="66" t="s">
        <v>61</v>
      </c>
      <c r="AK577" s="60"/>
    </row>
    <row r="578" ht="24.0" customHeight="1">
      <c r="A578" s="35"/>
      <c r="B578" s="36">
        <v>1.0</v>
      </c>
      <c r="C578" s="37" t="str">
        <f>IFERROR(__xludf.DUMMYFUNCTION("""COMPUTED_VALUE"""),"Braden Richardson (2) - '27 RHP SC")</f>
        <v>Braden Richardson (2) - '27 RHP SC</v>
      </c>
      <c r="D578" s="38" t="s">
        <v>3334</v>
      </c>
      <c r="E578" s="39" t="s">
        <v>63</v>
      </c>
      <c r="F578" s="121"/>
      <c r="G578" s="122"/>
      <c r="H578" s="42" t="s">
        <v>512</v>
      </c>
      <c r="I578" s="43" t="s">
        <v>3335</v>
      </c>
      <c r="J578" s="43">
        <v>2027.0</v>
      </c>
      <c r="K578" s="43">
        <v>2.0</v>
      </c>
      <c r="L578" s="160" t="s">
        <v>61</v>
      </c>
      <c r="M578" s="43" t="s">
        <v>63</v>
      </c>
      <c r="N578" s="117"/>
      <c r="O578" s="43" t="s">
        <v>1550</v>
      </c>
      <c r="P578" s="43" t="s">
        <v>3336</v>
      </c>
      <c r="Q578" s="43" t="s">
        <v>286</v>
      </c>
      <c r="R578" s="43" t="s">
        <v>3337</v>
      </c>
      <c r="S578" s="44" t="s">
        <v>3338</v>
      </c>
      <c r="T578" s="81"/>
      <c r="U578" s="81"/>
      <c r="V578" s="39">
        <v>3.177674418E9</v>
      </c>
      <c r="W578" s="39" t="s">
        <v>1724</v>
      </c>
      <c r="X578" s="81"/>
      <c r="Y578" s="81"/>
      <c r="Z578" s="46" t="s">
        <v>3339</v>
      </c>
      <c r="AA578" s="47" t="s">
        <v>3340</v>
      </c>
      <c r="AB578" s="48" t="s">
        <v>61</v>
      </c>
      <c r="AC578" s="68" t="s">
        <v>61</v>
      </c>
      <c r="AD578" s="69" t="s">
        <v>61</v>
      </c>
      <c r="AE578" s="69" t="s">
        <v>61</v>
      </c>
      <c r="AF578" s="68" t="s">
        <v>61</v>
      </c>
      <c r="AG578" s="68" t="s">
        <v>61</v>
      </c>
      <c r="AH578" s="68" t="s">
        <v>61</v>
      </c>
      <c r="AI578" s="70" t="s">
        <v>61</v>
      </c>
      <c r="AJ578" s="49" t="s">
        <v>61</v>
      </c>
      <c r="AK578" s="46"/>
    </row>
    <row r="579" ht="24.0" customHeight="1">
      <c r="A579" s="35"/>
      <c r="B579" s="36">
        <v>1.0</v>
      </c>
      <c r="C579" s="37" t="str">
        <f>IFERROR(__xludf.DUMMYFUNCTION("""COMPUTED_VALUE"""),"Cade Rinehart (2) - '28 RHP CT")</f>
        <v>Cade Rinehart (2) - '28 RHP CT</v>
      </c>
      <c r="D579" s="38" t="s">
        <v>3341</v>
      </c>
      <c r="E579" s="51" t="s">
        <v>63</v>
      </c>
      <c r="F579" s="115"/>
      <c r="G579" s="116" t="s">
        <v>1395</v>
      </c>
      <c r="H579" s="54" t="s">
        <v>1328</v>
      </c>
      <c r="I579" s="55" t="s">
        <v>3342</v>
      </c>
      <c r="J579" s="55">
        <v>2028.0</v>
      </c>
      <c r="K579" s="55">
        <v>2.0</v>
      </c>
      <c r="L579" s="58" t="s">
        <v>2877</v>
      </c>
      <c r="M579" s="55" t="s">
        <v>63</v>
      </c>
      <c r="N579" s="55"/>
      <c r="O579" s="55" t="s">
        <v>1989</v>
      </c>
      <c r="P579" s="55"/>
      <c r="Q579" s="55" t="s">
        <v>160</v>
      </c>
      <c r="R579" s="55" t="s">
        <v>3343</v>
      </c>
      <c r="S579" s="58" t="s">
        <v>2888</v>
      </c>
      <c r="T579" s="51"/>
      <c r="U579" s="51"/>
      <c r="V579" s="51"/>
      <c r="W579" s="51"/>
      <c r="X579" s="51"/>
      <c r="Y579" s="51"/>
      <c r="Z579" s="60"/>
      <c r="AA579" s="73"/>
      <c r="AB579" s="62" t="s">
        <v>61</v>
      </c>
      <c r="AC579" s="63" t="s">
        <v>61</v>
      </c>
      <c r="AD579" s="64" t="s">
        <v>61</v>
      </c>
      <c r="AE579" s="64" t="s">
        <v>61</v>
      </c>
      <c r="AF579" s="63" t="s">
        <v>61</v>
      </c>
      <c r="AG579" s="63" t="s">
        <v>61</v>
      </c>
      <c r="AH579" s="63" t="s">
        <v>61</v>
      </c>
      <c r="AI579" s="65" t="s">
        <v>61</v>
      </c>
      <c r="AJ579" s="105" t="s">
        <v>61</v>
      </c>
      <c r="AK579" s="76"/>
    </row>
    <row r="580" ht="24.0" customHeight="1">
      <c r="A580" s="35"/>
      <c r="B580" s="36">
        <v>1.0</v>
      </c>
      <c r="C580" s="37" t="str">
        <f>IFERROR(__xludf.DUMMYFUNCTION("""COMPUTED_VALUE"""),"Tyler Roach (2) - '27 RHP LA")</f>
        <v>Tyler Roach (2) - '27 RHP LA</v>
      </c>
      <c r="D580" s="38" t="s">
        <v>3344</v>
      </c>
      <c r="E580" s="39" t="s">
        <v>63</v>
      </c>
      <c r="F580" s="118">
        <v>45865.0</v>
      </c>
      <c r="G580" s="113" t="s">
        <v>1430</v>
      </c>
      <c r="H580" s="42" t="s">
        <v>104</v>
      </c>
      <c r="I580" s="43" t="s">
        <v>3345</v>
      </c>
      <c r="J580" s="43">
        <v>2027.0</v>
      </c>
      <c r="K580" s="43">
        <v>2.0</v>
      </c>
      <c r="L580" s="160" t="s">
        <v>61</v>
      </c>
      <c r="M580" s="43" t="s">
        <v>63</v>
      </c>
      <c r="N580" s="117"/>
      <c r="O580" s="43" t="s">
        <v>1550</v>
      </c>
      <c r="P580" s="43" t="s">
        <v>3346</v>
      </c>
      <c r="Q580" s="43" t="s">
        <v>337</v>
      </c>
      <c r="R580" s="43" t="s">
        <v>3346</v>
      </c>
      <c r="S580" s="44"/>
      <c r="T580" s="39">
        <v>3.85</v>
      </c>
      <c r="U580" s="39"/>
      <c r="V580" s="39" t="s">
        <v>3347</v>
      </c>
      <c r="W580" s="39" t="s">
        <v>2821</v>
      </c>
      <c r="X580" s="81"/>
      <c r="Y580" s="81"/>
      <c r="Z580" s="82"/>
      <c r="AA580" s="99"/>
      <c r="AB580" s="48" t="s">
        <v>61</v>
      </c>
      <c r="AC580" s="68" t="s">
        <v>61</v>
      </c>
      <c r="AD580" s="69" t="s">
        <v>61</v>
      </c>
      <c r="AE580" s="69" t="s">
        <v>61</v>
      </c>
      <c r="AF580" s="68" t="s">
        <v>61</v>
      </c>
      <c r="AG580" s="68" t="s">
        <v>61</v>
      </c>
      <c r="AH580" s="68" t="s">
        <v>61</v>
      </c>
      <c r="AI580" s="70" t="s">
        <v>61</v>
      </c>
      <c r="AJ580" s="49" t="s">
        <v>61</v>
      </c>
      <c r="AK580" s="46"/>
    </row>
    <row r="581" ht="24.0" customHeight="1">
      <c r="A581" s="35"/>
      <c r="B581" s="36">
        <v>1.0</v>
      </c>
      <c r="C581" s="37" t="str">
        <f>IFERROR(__xludf.DUMMYFUNCTION("""COMPUTED_VALUE"""),"David Roberston (2) - '28 CINF MA")</f>
        <v>David Roberston (2) - '28 CINF MA</v>
      </c>
      <c r="D581" s="38" t="s">
        <v>3348</v>
      </c>
      <c r="E581" s="51" t="s">
        <v>48</v>
      </c>
      <c r="F581" s="115"/>
      <c r="G581" s="116" t="s">
        <v>1395</v>
      </c>
      <c r="H581" s="54" t="s">
        <v>710</v>
      </c>
      <c r="I581" s="55" t="s">
        <v>3349</v>
      </c>
      <c r="J581" s="55">
        <v>2028.0</v>
      </c>
      <c r="K581" s="55">
        <v>2.0</v>
      </c>
      <c r="L581" s="58" t="s">
        <v>2877</v>
      </c>
      <c r="M581" s="55" t="s">
        <v>72</v>
      </c>
      <c r="N581" s="55"/>
      <c r="O581" s="55"/>
      <c r="P581" s="55"/>
      <c r="Q581" s="55" t="s">
        <v>85</v>
      </c>
      <c r="R581" s="55"/>
      <c r="S581" s="58"/>
      <c r="T581" s="51"/>
      <c r="U581" s="51"/>
      <c r="V581" s="51"/>
      <c r="W581" s="51"/>
      <c r="X581" s="51"/>
      <c r="Y581" s="51"/>
      <c r="Z581" s="60"/>
      <c r="AA581" s="73"/>
      <c r="AB581" s="62" t="s">
        <v>61</v>
      </c>
      <c r="AC581" s="63" t="s">
        <v>61</v>
      </c>
      <c r="AD581" s="64" t="s">
        <v>61</v>
      </c>
      <c r="AE581" s="64" t="s">
        <v>61</v>
      </c>
      <c r="AF581" s="63" t="s">
        <v>61</v>
      </c>
      <c r="AG581" s="63" t="s">
        <v>61</v>
      </c>
      <c r="AH581" s="63" t="s">
        <v>61</v>
      </c>
      <c r="AI581" s="65" t="s">
        <v>61</v>
      </c>
      <c r="AJ581" s="105" t="s">
        <v>61</v>
      </c>
      <c r="AK581" s="76"/>
    </row>
    <row r="582" ht="24.0" customHeight="1">
      <c r="A582" s="35"/>
      <c r="B582" s="36">
        <v>1.0</v>
      </c>
      <c r="C582" s="37" t="str">
        <f>IFERROR(__xludf.DUMMYFUNCTION("""COMPUTED_VALUE"""),"Beckham Rowley (2) - '28 LHP UT")</f>
        <v>Beckham Rowley (2) - '28 LHP UT</v>
      </c>
      <c r="D582" s="38" t="s">
        <v>3350</v>
      </c>
      <c r="E582" s="39" t="s">
        <v>122</v>
      </c>
      <c r="F582" s="118">
        <v>45865.0</v>
      </c>
      <c r="G582" s="113" t="s">
        <v>1395</v>
      </c>
      <c r="H582" s="42" t="s">
        <v>3351</v>
      </c>
      <c r="I582" s="43" t="s">
        <v>3352</v>
      </c>
      <c r="J582" s="43">
        <v>2028.0</v>
      </c>
      <c r="K582" s="43">
        <v>2.0</v>
      </c>
      <c r="L582" s="160" t="s">
        <v>61</v>
      </c>
      <c r="M582" s="43" t="s">
        <v>122</v>
      </c>
      <c r="N582" s="117"/>
      <c r="O582" s="43" t="s">
        <v>1556</v>
      </c>
      <c r="P582" s="43" t="s">
        <v>3353</v>
      </c>
      <c r="Q582" s="43" t="s">
        <v>636</v>
      </c>
      <c r="R582" s="43" t="s">
        <v>3354</v>
      </c>
      <c r="S582" s="44"/>
      <c r="T582" s="39">
        <v>3.86</v>
      </c>
      <c r="U582" s="39"/>
      <c r="V582" s="39" t="s">
        <v>3355</v>
      </c>
      <c r="W582" s="39" t="s">
        <v>2821</v>
      </c>
      <c r="X582" s="81"/>
      <c r="Y582" s="81"/>
      <c r="Z582" s="82"/>
      <c r="AA582" s="99"/>
      <c r="AB582" s="48" t="s">
        <v>61</v>
      </c>
      <c r="AC582" s="68" t="s">
        <v>61</v>
      </c>
      <c r="AD582" s="69" t="s">
        <v>61</v>
      </c>
      <c r="AE582" s="69" t="s">
        <v>61</v>
      </c>
      <c r="AF582" s="68" t="s">
        <v>61</v>
      </c>
      <c r="AG582" s="68" t="s">
        <v>61</v>
      </c>
      <c r="AH582" s="68" t="s">
        <v>61</v>
      </c>
      <c r="AI582" s="70" t="s">
        <v>61</v>
      </c>
      <c r="AJ582" s="49" t="s">
        <v>61</v>
      </c>
      <c r="AK582" s="46"/>
    </row>
    <row r="583" ht="24.0" customHeight="1">
      <c r="A583" s="35"/>
      <c r="B583" s="36">
        <v>1.0</v>
      </c>
      <c r="C583" s="37" t="str">
        <f>IFERROR(__xludf.DUMMYFUNCTION("""COMPUTED_VALUE"""),"Hudson Sapp (3) - '27 SS FL")</f>
        <v>Hudson Sapp (3) - '27 SS FL</v>
      </c>
      <c r="D583" s="38" t="s">
        <v>3356</v>
      </c>
      <c r="E583" s="51" t="s">
        <v>48</v>
      </c>
      <c r="F583" s="119">
        <v>45945.0</v>
      </c>
      <c r="G583" s="133"/>
      <c r="H583" s="54" t="s">
        <v>1678</v>
      </c>
      <c r="I583" s="55" t="s">
        <v>3357</v>
      </c>
      <c r="J583" s="55">
        <v>2027.0</v>
      </c>
      <c r="K583" s="100">
        <v>3.0</v>
      </c>
      <c r="L583" s="159" t="s">
        <v>61</v>
      </c>
      <c r="M583" s="55" t="s">
        <v>1398</v>
      </c>
      <c r="N583" s="58"/>
      <c r="O583" s="57"/>
      <c r="P583" s="57"/>
      <c r="Q583" s="55" t="s">
        <v>66</v>
      </c>
      <c r="R583" s="57"/>
      <c r="S583" s="58" t="s">
        <v>1539</v>
      </c>
      <c r="T583" s="74"/>
      <c r="U583" s="74"/>
      <c r="V583" s="74"/>
      <c r="W583" s="51" t="s">
        <v>1571</v>
      </c>
      <c r="X583" s="74"/>
      <c r="Y583" s="74"/>
      <c r="Z583" s="76"/>
      <c r="AA583" s="134"/>
      <c r="AB583" s="62" t="s">
        <v>61</v>
      </c>
      <c r="AC583" s="63" t="s">
        <v>61</v>
      </c>
      <c r="AD583" s="64" t="s">
        <v>61</v>
      </c>
      <c r="AE583" s="64" t="s">
        <v>61</v>
      </c>
      <c r="AF583" s="63" t="s">
        <v>61</v>
      </c>
      <c r="AG583" s="63" t="s">
        <v>61</v>
      </c>
      <c r="AH583" s="63" t="s">
        <v>61</v>
      </c>
      <c r="AI583" s="65" t="s">
        <v>61</v>
      </c>
      <c r="AJ583" s="105" t="s">
        <v>61</v>
      </c>
      <c r="AK583" s="76"/>
    </row>
    <row r="584" ht="24.0" customHeight="1">
      <c r="A584" s="35"/>
      <c r="B584" s="36">
        <v>1.0</v>
      </c>
      <c r="C584" s="37" t="str">
        <f>IFERROR(__xludf.DUMMYFUNCTION("""COMPUTED_VALUE"""),"Bode Schenewerk (XX) - '27 MINF MO")</f>
        <v>Bode Schenewerk (XX) - '27 MINF MO</v>
      </c>
      <c r="D584" s="38" t="s">
        <v>3358</v>
      </c>
      <c r="E584" s="39" t="s">
        <v>48</v>
      </c>
      <c r="F584" s="118">
        <v>45865.0</v>
      </c>
      <c r="G584" s="113" t="s">
        <v>1395</v>
      </c>
      <c r="H584" s="42" t="s">
        <v>3359</v>
      </c>
      <c r="I584" s="43" t="s">
        <v>3360</v>
      </c>
      <c r="J584" s="43">
        <v>2027.0</v>
      </c>
      <c r="K584" s="43" t="s">
        <v>410</v>
      </c>
      <c r="L584" s="160" t="s">
        <v>61</v>
      </c>
      <c r="M584" s="43" t="s">
        <v>51</v>
      </c>
      <c r="N584" s="117"/>
      <c r="O584" s="43" t="s">
        <v>1550</v>
      </c>
      <c r="P584" s="43" t="s">
        <v>3361</v>
      </c>
      <c r="Q584" s="43" t="s">
        <v>585</v>
      </c>
      <c r="R584" s="43" t="s">
        <v>3362</v>
      </c>
      <c r="S584" s="44" t="s">
        <v>113</v>
      </c>
      <c r="T584" s="39">
        <v>3.5</v>
      </c>
      <c r="U584" s="39"/>
      <c r="V584" s="39" t="s">
        <v>3363</v>
      </c>
      <c r="W584" s="39" t="s">
        <v>2821</v>
      </c>
      <c r="X584" s="81"/>
      <c r="Y584" s="81"/>
      <c r="Z584" s="82"/>
      <c r="AA584" s="99"/>
      <c r="AB584" s="48" t="s">
        <v>3364</v>
      </c>
      <c r="AC584" s="68" t="s">
        <v>3365</v>
      </c>
      <c r="AD584" s="69" t="s">
        <v>3366</v>
      </c>
      <c r="AE584" s="69" t="s">
        <v>60</v>
      </c>
      <c r="AF584" s="68" t="s">
        <v>60</v>
      </c>
      <c r="AG584" s="68" t="s">
        <v>60</v>
      </c>
      <c r="AH584" s="68" t="s">
        <v>60</v>
      </c>
      <c r="AI584" s="70" t="s">
        <v>81</v>
      </c>
      <c r="AJ584" s="49" t="s">
        <v>61</v>
      </c>
      <c r="AK584" s="46"/>
    </row>
    <row r="585" ht="24.0" customHeight="1">
      <c r="A585" s="35"/>
      <c r="B585" s="36">
        <v>1.0</v>
      </c>
      <c r="C585" s="37" t="str">
        <f>IFERROR(__xludf.DUMMYFUNCTION("""COMPUTED_VALUE"""),"Owen Sieve (2) - '27 LHP TX")</f>
        <v>Owen Sieve (2) - '27 LHP TX</v>
      </c>
      <c r="D585" s="38" t="s">
        <v>3367</v>
      </c>
      <c r="E585" s="51" t="s">
        <v>122</v>
      </c>
      <c r="F585" s="137"/>
      <c r="G585" s="133"/>
      <c r="H585" s="54" t="s">
        <v>64</v>
      </c>
      <c r="I585" s="55" t="s">
        <v>3368</v>
      </c>
      <c r="J585" s="55">
        <v>2027.0</v>
      </c>
      <c r="K585" s="55">
        <v>2.0</v>
      </c>
      <c r="L585" s="159" t="s">
        <v>61</v>
      </c>
      <c r="M585" s="55" t="s">
        <v>122</v>
      </c>
      <c r="N585" s="132"/>
      <c r="O585" s="55" t="s">
        <v>1556</v>
      </c>
      <c r="P585" s="55" t="s">
        <v>3369</v>
      </c>
      <c r="Q585" s="55" t="s">
        <v>180</v>
      </c>
      <c r="R585" s="55" t="s">
        <v>3370</v>
      </c>
      <c r="S585" s="58" t="s">
        <v>3371</v>
      </c>
      <c r="T585" s="74"/>
      <c r="U585" s="74"/>
      <c r="V585" s="139"/>
      <c r="W585" s="51" t="s">
        <v>1724</v>
      </c>
      <c r="X585" s="74"/>
      <c r="Y585" s="74"/>
      <c r="Z585" s="76"/>
      <c r="AA585" s="134"/>
      <c r="AB585" s="62" t="s">
        <v>61</v>
      </c>
      <c r="AC585" s="63" t="s">
        <v>61</v>
      </c>
      <c r="AD585" s="64" t="s">
        <v>61</v>
      </c>
      <c r="AE585" s="64" t="s">
        <v>61</v>
      </c>
      <c r="AF585" s="63" t="s">
        <v>61</v>
      </c>
      <c r="AG585" s="63" t="s">
        <v>61</v>
      </c>
      <c r="AH585" s="63" t="s">
        <v>61</v>
      </c>
      <c r="AI585" s="65" t="s">
        <v>61</v>
      </c>
      <c r="AJ585" s="105" t="s">
        <v>61</v>
      </c>
      <c r="AK585" s="76"/>
    </row>
    <row r="586" ht="24.0" customHeight="1">
      <c r="A586" s="35"/>
      <c r="B586" s="36">
        <v>1.0</v>
      </c>
      <c r="C586" s="37" t="str">
        <f>IFERROR(__xludf.DUMMYFUNCTION("""COMPUTED_VALUE"""),"Philip Soltes (2) - '27 LHP CT")</f>
        <v>Philip Soltes (2) - '27 LHP CT</v>
      </c>
      <c r="D586" s="38" t="s">
        <v>3372</v>
      </c>
      <c r="E586" s="39" t="s">
        <v>122</v>
      </c>
      <c r="F586" s="118">
        <v>45945.0</v>
      </c>
      <c r="G586" s="122"/>
      <c r="H586" s="42" t="s">
        <v>3373</v>
      </c>
      <c r="I586" s="43" t="s">
        <v>3374</v>
      </c>
      <c r="J586" s="43">
        <v>2027.0</v>
      </c>
      <c r="K586" s="43">
        <v>2.0</v>
      </c>
      <c r="L586" s="160" t="s">
        <v>61</v>
      </c>
      <c r="M586" s="43" t="s">
        <v>122</v>
      </c>
      <c r="N586" s="44"/>
      <c r="O586" s="43" t="s">
        <v>1556</v>
      </c>
      <c r="P586" s="43" t="s">
        <v>3375</v>
      </c>
      <c r="Q586" s="43" t="s">
        <v>160</v>
      </c>
      <c r="R586" s="43" t="s">
        <v>3376</v>
      </c>
      <c r="S586" s="44" t="s">
        <v>3377</v>
      </c>
      <c r="T586" s="81"/>
      <c r="U586" s="81"/>
      <c r="V586" s="39" t="s">
        <v>3378</v>
      </c>
      <c r="W586" s="39" t="s">
        <v>1571</v>
      </c>
      <c r="X586" s="81"/>
      <c r="Y586" s="81"/>
      <c r="Z586" s="82"/>
      <c r="AA586" s="47"/>
      <c r="AB586" s="48" t="s">
        <v>3379</v>
      </c>
      <c r="AC586" s="68"/>
      <c r="AD586" s="69">
        <v>3.3</v>
      </c>
      <c r="AE586" s="69"/>
      <c r="AF586" s="68" t="s">
        <v>400</v>
      </c>
      <c r="AG586" s="68" t="s">
        <v>81</v>
      </c>
      <c r="AH586" s="68" t="s">
        <v>81</v>
      </c>
      <c r="AI586" s="70" t="s">
        <v>81</v>
      </c>
      <c r="AJ586" s="49" t="s">
        <v>61</v>
      </c>
      <c r="AK586" s="46"/>
    </row>
    <row r="587" ht="24.0" customHeight="1">
      <c r="A587" s="35"/>
      <c r="B587" s="36">
        <v>1.0</v>
      </c>
      <c r="C587" s="37" t="str">
        <f>IFERROR(__xludf.DUMMYFUNCTION("""COMPUTED_VALUE"""),"Mason Sowers (2) - '27 OF CA")</f>
        <v>Mason Sowers (2) - '27 OF CA</v>
      </c>
      <c r="D587" s="38" t="s">
        <v>3380</v>
      </c>
      <c r="E587" s="51" t="s">
        <v>103</v>
      </c>
      <c r="F587" s="137"/>
      <c r="G587" s="133"/>
      <c r="H587" s="54" t="s">
        <v>1057</v>
      </c>
      <c r="I587" s="55" t="s">
        <v>3381</v>
      </c>
      <c r="J587" s="55">
        <v>2027.0</v>
      </c>
      <c r="K587" s="55">
        <v>2.0</v>
      </c>
      <c r="L587" s="159" t="s">
        <v>61</v>
      </c>
      <c r="M587" s="55" t="s">
        <v>103</v>
      </c>
      <c r="N587" s="58"/>
      <c r="O587" s="57"/>
      <c r="P587" s="57"/>
      <c r="Q587" s="55" t="s">
        <v>52</v>
      </c>
      <c r="R587" s="57"/>
      <c r="S587" s="132"/>
      <c r="T587" s="51">
        <v>3.9</v>
      </c>
      <c r="U587" s="74"/>
      <c r="V587" s="74"/>
      <c r="W587" s="51" t="s">
        <v>1463</v>
      </c>
      <c r="X587" s="74"/>
      <c r="Y587" s="74"/>
      <c r="Z587" s="76"/>
      <c r="AA587" s="134"/>
      <c r="AB587" s="62" t="s">
        <v>61</v>
      </c>
      <c r="AC587" s="63" t="s">
        <v>61</v>
      </c>
      <c r="AD587" s="64" t="s">
        <v>61</v>
      </c>
      <c r="AE587" s="64" t="s">
        <v>61</v>
      </c>
      <c r="AF587" s="63" t="s">
        <v>61</v>
      </c>
      <c r="AG587" s="63" t="s">
        <v>61</v>
      </c>
      <c r="AH587" s="63" t="s">
        <v>61</v>
      </c>
      <c r="AI587" s="65" t="s">
        <v>61</v>
      </c>
      <c r="AJ587" s="66" t="s">
        <v>61</v>
      </c>
      <c r="AK587" s="60"/>
    </row>
    <row r="588" ht="24.0" customHeight="1">
      <c r="A588" s="35"/>
      <c r="B588" s="36">
        <v>1.0</v>
      </c>
      <c r="C588" s="37" t="str">
        <f>IFERROR(__xludf.DUMMYFUNCTION("""COMPUTED_VALUE"""),"Carter Taldo (1) - '27 OF KS")</f>
        <v>Carter Taldo (1) - '27 OF KS</v>
      </c>
      <c r="D588" s="38" t="s">
        <v>3382</v>
      </c>
      <c r="E588" s="39" t="s">
        <v>103</v>
      </c>
      <c r="F588" s="118">
        <v>45865.0</v>
      </c>
      <c r="G588" s="113" t="s">
        <v>1430</v>
      </c>
      <c r="H588" s="42" t="s">
        <v>604</v>
      </c>
      <c r="I588" s="43" t="s">
        <v>3383</v>
      </c>
      <c r="J588" s="43">
        <v>2027.0</v>
      </c>
      <c r="K588" s="43">
        <v>1.0</v>
      </c>
      <c r="L588" s="160" t="s">
        <v>61</v>
      </c>
      <c r="M588" s="43" t="s">
        <v>103</v>
      </c>
      <c r="N588" s="117"/>
      <c r="O588" s="43" t="s">
        <v>1550</v>
      </c>
      <c r="P588" s="43" t="s">
        <v>3384</v>
      </c>
      <c r="Q588" s="43" t="s">
        <v>112</v>
      </c>
      <c r="R588" s="43" t="s">
        <v>3385</v>
      </c>
      <c r="S588" s="44"/>
      <c r="T588" s="39">
        <v>4.4</v>
      </c>
      <c r="U588" s="39"/>
      <c r="V588" s="39" t="s">
        <v>3386</v>
      </c>
      <c r="W588" s="39" t="s">
        <v>2821</v>
      </c>
      <c r="X588" s="81"/>
      <c r="Y588" s="81"/>
      <c r="Z588" s="82"/>
      <c r="AA588" s="99"/>
      <c r="AB588" s="48" t="s">
        <v>3387</v>
      </c>
      <c r="AC588" s="68" t="s">
        <v>3388</v>
      </c>
      <c r="AD588" s="69" t="s">
        <v>3389</v>
      </c>
      <c r="AE588" s="69" t="s">
        <v>3390</v>
      </c>
      <c r="AF588" s="68" t="s">
        <v>60</v>
      </c>
      <c r="AG588" s="68" t="s">
        <v>81</v>
      </c>
      <c r="AH588" s="68" t="s">
        <v>81</v>
      </c>
      <c r="AI588" s="70" t="s">
        <v>81</v>
      </c>
      <c r="AJ588" s="49" t="s">
        <v>61</v>
      </c>
      <c r="AK588" s="46"/>
    </row>
    <row r="589" ht="24.0" customHeight="1">
      <c r="A589" s="35"/>
      <c r="B589" s="36">
        <v>1.0</v>
      </c>
      <c r="C589" s="37" t="str">
        <f>IFERROR(__xludf.DUMMYFUNCTION("""COMPUTED_VALUE"""),"Reign Taylor (2) - '27 OF NC")</f>
        <v>Reign Taylor (2) - '27 OF NC</v>
      </c>
      <c r="D589" s="38" t="s">
        <v>3391</v>
      </c>
      <c r="E589" s="51" t="s">
        <v>103</v>
      </c>
      <c r="F589" s="119">
        <v>45925.0</v>
      </c>
      <c r="G589" s="116" t="s">
        <v>1395</v>
      </c>
      <c r="H589" s="54" t="s">
        <v>3392</v>
      </c>
      <c r="I589" s="55" t="s">
        <v>1895</v>
      </c>
      <c r="J589" s="55">
        <v>2027.0</v>
      </c>
      <c r="K589" s="55">
        <v>2.0</v>
      </c>
      <c r="L589" s="159" t="s">
        <v>61</v>
      </c>
      <c r="M589" s="55" t="s">
        <v>103</v>
      </c>
      <c r="N589" s="58"/>
      <c r="O589" s="57"/>
      <c r="P589" s="55" t="s">
        <v>3393</v>
      </c>
      <c r="Q589" s="55" t="s">
        <v>73</v>
      </c>
      <c r="R589" s="55" t="s">
        <v>3394</v>
      </c>
      <c r="S589" s="58" t="s">
        <v>229</v>
      </c>
      <c r="T589" s="74"/>
      <c r="U589" s="74"/>
      <c r="V589" s="74"/>
      <c r="W589" s="51" t="s">
        <v>1564</v>
      </c>
      <c r="X589" s="74"/>
      <c r="Y589" s="74"/>
      <c r="Z589" s="76"/>
      <c r="AA589" s="134"/>
      <c r="AB589" s="62" t="s">
        <v>61</v>
      </c>
      <c r="AC589" s="63" t="s">
        <v>61</v>
      </c>
      <c r="AD589" s="64" t="s">
        <v>61</v>
      </c>
      <c r="AE589" s="64" t="s">
        <v>61</v>
      </c>
      <c r="AF589" s="63" t="s">
        <v>61</v>
      </c>
      <c r="AG589" s="63" t="s">
        <v>61</v>
      </c>
      <c r="AH589" s="63" t="s">
        <v>61</v>
      </c>
      <c r="AI589" s="65" t="s">
        <v>61</v>
      </c>
      <c r="AJ589" s="66" t="s">
        <v>61</v>
      </c>
      <c r="AK589" s="60"/>
    </row>
    <row r="590" ht="24.0" customHeight="1">
      <c r="A590" s="35"/>
      <c r="B590" s="36">
        <v>1.0</v>
      </c>
      <c r="C590" s="37" t="str">
        <f>IFERROR(__xludf.DUMMYFUNCTION("""COMPUTED_VALUE"""),"Joey Terhaar (2) - '27 OF MN")</f>
        <v>Joey Terhaar (2) - '27 OF MN</v>
      </c>
      <c r="D590" s="38" t="s">
        <v>3395</v>
      </c>
      <c r="E590" s="39" t="s">
        <v>103</v>
      </c>
      <c r="F590" s="118">
        <v>45925.0</v>
      </c>
      <c r="G590" s="113" t="s">
        <v>1395</v>
      </c>
      <c r="H590" s="42" t="s">
        <v>954</v>
      </c>
      <c r="I590" s="43" t="s">
        <v>3396</v>
      </c>
      <c r="J590" s="43">
        <v>2027.0</v>
      </c>
      <c r="K590" s="43">
        <v>2.0</v>
      </c>
      <c r="L590" s="160" t="s">
        <v>61</v>
      </c>
      <c r="M590" s="43" t="s">
        <v>103</v>
      </c>
      <c r="N590" s="44"/>
      <c r="O590" s="80"/>
      <c r="P590" s="43" t="s">
        <v>2067</v>
      </c>
      <c r="Q590" s="43" t="s">
        <v>448</v>
      </c>
      <c r="R590" s="43" t="s">
        <v>3397</v>
      </c>
      <c r="S590" s="44" t="s">
        <v>3398</v>
      </c>
      <c r="T590" s="81"/>
      <c r="U590" s="81"/>
      <c r="V590" s="81"/>
      <c r="W590" s="39" t="s">
        <v>1564</v>
      </c>
      <c r="X590" s="81"/>
      <c r="Y590" s="81"/>
      <c r="Z590" s="82"/>
      <c r="AA590" s="99"/>
      <c r="AB590" s="48" t="s">
        <v>3399</v>
      </c>
      <c r="AC590" s="68" t="s">
        <v>3400</v>
      </c>
      <c r="AD590" s="69" t="s">
        <v>3401</v>
      </c>
      <c r="AE590" s="69" t="s">
        <v>3402</v>
      </c>
      <c r="AF590" s="68" t="s">
        <v>400</v>
      </c>
      <c r="AG590" s="68" t="s">
        <v>400</v>
      </c>
      <c r="AH590" s="68" t="s">
        <v>400</v>
      </c>
      <c r="AI590" s="70" t="s">
        <v>400</v>
      </c>
      <c r="AJ590" s="49" t="s">
        <v>61</v>
      </c>
      <c r="AK590" s="46"/>
    </row>
    <row r="591" ht="24.0" customHeight="1">
      <c r="A591" s="125"/>
      <c r="B591" s="36">
        <v>1.0</v>
      </c>
      <c r="C591" s="37" t="str">
        <f>IFERROR(__xludf.DUMMYFUNCTION("""COMPUTED_VALUE"""),"Sully Townley (2) - '27 RHP SC")</f>
        <v>Sully Townley (2) - '27 RHP SC</v>
      </c>
      <c r="D591" s="38" t="s">
        <v>3403</v>
      </c>
      <c r="E591" s="51" t="s">
        <v>63</v>
      </c>
      <c r="F591" s="137"/>
      <c r="G591" s="133"/>
      <c r="H591" s="54" t="s">
        <v>3404</v>
      </c>
      <c r="I591" s="55" t="s">
        <v>3405</v>
      </c>
      <c r="J591" s="55">
        <v>2027.0</v>
      </c>
      <c r="K591" s="55">
        <v>2.0</v>
      </c>
      <c r="L591" s="159" t="s">
        <v>61</v>
      </c>
      <c r="M591" s="55" t="s">
        <v>63</v>
      </c>
      <c r="N591" s="132"/>
      <c r="O591" s="57"/>
      <c r="P591" s="55" t="s">
        <v>3336</v>
      </c>
      <c r="Q591" s="55" t="s">
        <v>286</v>
      </c>
      <c r="R591" s="55" t="s">
        <v>3337</v>
      </c>
      <c r="S591" s="58" t="s">
        <v>3406</v>
      </c>
      <c r="T591" s="74"/>
      <c r="U591" s="74"/>
      <c r="V591" s="139"/>
      <c r="W591" s="51" t="s">
        <v>1724</v>
      </c>
      <c r="X591" s="51" t="s">
        <v>1550</v>
      </c>
      <c r="Y591" s="74"/>
      <c r="Z591" s="76"/>
      <c r="AA591" s="134"/>
      <c r="AB591" s="62" t="s">
        <v>61</v>
      </c>
      <c r="AC591" s="63" t="s">
        <v>61</v>
      </c>
      <c r="AD591" s="64" t="s">
        <v>61</v>
      </c>
      <c r="AE591" s="64" t="s">
        <v>61</v>
      </c>
      <c r="AF591" s="63" t="s">
        <v>61</v>
      </c>
      <c r="AG591" s="63" t="s">
        <v>61</v>
      </c>
      <c r="AH591" s="63" t="s">
        <v>61</v>
      </c>
      <c r="AI591" s="65" t="s">
        <v>61</v>
      </c>
      <c r="AJ591" s="105" t="s">
        <v>61</v>
      </c>
      <c r="AK591" s="76"/>
    </row>
    <row r="592" ht="24.0" customHeight="1">
      <c r="A592" s="35"/>
      <c r="B592" s="36">
        <v>1.0</v>
      </c>
      <c r="C592" s="37" t="str">
        <f>IFERROR(__xludf.DUMMYFUNCTION("""COMPUTED_VALUE"""),"Walker Waggoner (2) - '27 OF GA")</f>
        <v>Walker Waggoner (2) - '27 OF GA</v>
      </c>
      <c r="D592" s="38" t="s">
        <v>3407</v>
      </c>
      <c r="E592" s="39" t="s">
        <v>103</v>
      </c>
      <c r="F592" s="118">
        <v>45949.0</v>
      </c>
      <c r="G592" s="113" t="s">
        <v>1430</v>
      </c>
      <c r="H592" s="42" t="s">
        <v>2737</v>
      </c>
      <c r="I592" s="43" t="s">
        <v>3408</v>
      </c>
      <c r="J592" s="43">
        <v>2027.0</v>
      </c>
      <c r="K592" s="43">
        <v>2.0</v>
      </c>
      <c r="L592" s="160" t="s">
        <v>61</v>
      </c>
      <c r="M592" s="43" t="s">
        <v>103</v>
      </c>
      <c r="N592" s="44" t="s">
        <v>2907</v>
      </c>
      <c r="O592" s="43" t="s">
        <v>1550</v>
      </c>
      <c r="P592" s="43" t="s">
        <v>3031</v>
      </c>
      <c r="Q592" s="43" t="s">
        <v>43</v>
      </c>
      <c r="R592" s="43" t="s">
        <v>3409</v>
      </c>
      <c r="S592" s="44" t="s">
        <v>2052</v>
      </c>
      <c r="T592" s="81"/>
      <c r="U592" s="81"/>
      <c r="V592" s="81"/>
      <c r="W592" s="39" t="s">
        <v>3410</v>
      </c>
      <c r="X592" s="81"/>
      <c r="Y592" s="81"/>
      <c r="Z592" s="82"/>
      <c r="AA592" s="47" t="s">
        <v>3411</v>
      </c>
      <c r="AB592" s="48" t="s">
        <v>3412</v>
      </c>
      <c r="AC592" s="68" t="s">
        <v>3413</v>
      </c>
      <c r="AD592" s="69" t="s">
        <v>3414</v>
      </c>
      <c r="AE592" s="69" t="s">
        <v>3415</v>
      </c>
      <c r="AF592" s="68"/>
      <c r="AG592" s="68" t="s">
        <v>81</v>
      </c>
      <c r="AH592" s="68" t="s">
        <v>81</v>
      </c>
      <c r="AI592" s="70" t="s">
        <v>81</v>
      </c>
      <c r="AJ592" s="49" t="s">
        <v>61</v>
      </c>
      <c r="AK592" s="46"/>
    </row>
    <row r="593" ht="24.0" customHeight="1">
      <c r="A593" s="35"/>
      <c r="B593" s="36">
        <v>1.0</v>
      </c>
      <c r="C593" s="37" t="str">
        <f>IFERROR(__xludf.DUMMYFUNCTION("""COMPUTED_VALUE"""),"Brennan Walters (2) - '27 3B KY")</f>
        <v>Brennan Walters (2) - '27 3B KY</v>
      </c>
      <c r="D593" s="38" t="s">
        <v>3416</v>
      </c>
      <c r="E593" s="51" t="s">
        <v>48</v>
      </c>
      <c r="F593" s="119">
        <v>45865.0</v>
      </c>
      <c r="G593" s="116" t="s">
        <v>1430</v>
      </c>
      <c r="H593" s="54" t="s">
        <v>3417</v>
      </c>
      <c r="I593" s="55" t="s">
        <v>2082</v>
      </c>
      <c r="J593" s="55">
        <v>2027.0</v>
      </c>
      <c r="K593" s="55">
        <v>2.0</v>
      </c>
      <c r="L593" s="159" t="s">
        <v>61</v>
      </c>
      <c r="M593" s="55" t="s">
        <v>1519</v>
      </c>
      <c r="N593" s="132"/>
      <c r="O593" s="55" t="s">
        <v>1989</v>
      </c>
      <c r="P593" s="55" t="s">
        <v>3418</v>
      </c>
      <c r="Q593" s="55" t="s">
        <v>543</v>
      </c>
      <c r="R593" s="55" t="s">
        <v>3419</v>
      </c>
      <c r="S593" s="58"/>
      <c r="T593" s="51">
        <v>4.0</v>
      </c>
      <c r="U593" s="51"/>
      <c r="V593" s="51" t="s">
        <v>3420</v>
      </c>
      <c r="W593" s="51" t="s">
        <v>2821</v>
      </c>
      <c r="X593" s="74"/>
      <c r="Y593" s="74"/>
      <c r="Z593" s="76"/>
      <c r="AA593" s="134"/>
      <c r="AB593" s="62" t="s">
        <v>3421</v>
      </c>
      <c r="AC593" s="63" t="s">
        <v>3422</v>
      </c>
      <c r="AD593" s="64" t="s">
        <v>2609</v>
      </c>
      <c r="AE593" s="64" t="s">
        <v>400</v>
      </c>
      <c r="AF593" s="63" t="s">
        <v>400</v>
      </c>
      <c r="AG593" s="63" t="s">
        <v>400</v>
      </c>
      <c r="AH593" s="63" t="s">
        <v>400</v>
      </c>
      <c r="AI593" s="65" t="s">
        <v>400</v>
      </c>
      <c r="AJ593" s="66" t="s">
        <v>61</v>
      </c>
      <c r="AK593" s="60"/>
    </row>
    <row r="594" ht="24.0" customHeight="1">
      <c r="A594" s="35"/>
      <c r="B594" s="36">
        <v>1.0</v>
      </c>
      <c r="C594" s="37" t="str">
        <f>IFERROR(__xludf.DUMMYFUNCTION("""COMPUTED_VALUE"""),"Grayson Waters (2) - '27 LHP IL")</f>
        <v>Grayson Waters (2) - '27 LHP IL</v>
      </c>
      <c r="D594" s="38" t="s">
        <v>3423</v>
      </c>
      <c r="E594" s="39" t="s">
        <v>122</v>
      </c>
      <c r="F594" s="121"/>
      <c r="G594" s="122"/>
      <c r="H594" s="42" t="s">
        <v>3296</v>
      </c>
      <c r="I594" s="43" t="s">
        <v>3424</v>
      </c>
      <c r="J594" s="43">
        <v>2027.0</v>
      </c>
      <c r="K594" s="43">
        <v>2.0</v>
      </c>
      <c r="L594" s="160" t="s">
        <v>61</v>
      </c>
      <c r="M594" s="43" t="s">
        <v>122</v>
      </c>
      <c r="N594" s="117"/>
      <c r="O594" s="43" t="s">
        <v>1556</v>
      </c>
      <c r="P594" s="43" t="s">
        <v>3425</v>
      </c>
      <c r="Q594" s="43" t="s">
        <v>307</v>
      </c>
      <c r="R594" s="43" t="s">
        <v>3426</v>
      </c>
      <c r="S594" s="44" t="s">
        <v>3427</v>
      </c>
      <c r="T594" s="81"/>
      <c r="U594" s="81"/>
      <c r="V594" s="157"/>
      <c r="W594" s="39" t="s">
        <v>1724</v>
      </c>
      <c r="X594" s="81"/>
      <c r="Y594" s="81"/>
      <c r="Z594" s="82"/>
      <c r="AA594" s="99"/>
      <c r="AB594" s="48" t="s">
        <v>61</v>
      </c>
      <c r="AC594" s="68" t="s">
        <v>61</v>
      </c>
      <c r="AD594" s="69" t="s">
        <v>61</v>
      </c>
      <c r="AE594" s="69" t="s">
        <v>61</v>
      </c>
      <c r="AF594" s="68" t="s">
        <v>61</v>
      </c>
      <c r="AG594" s="68" t="s">
        <v>61</v>
      </c>
      <c r="AH594" s="68" t="s">
        <v>61</v>
      </c>
      <c r="AI594" s="70" t="s">
        <v>61</v>
      </c>
      <c r="AJ594" s="49" t="s">
        <v>61</v>
      </c>
      <c r="AK594" s="46"/>
    </row>
    <row r="595" ht="24.0" customHeight="1">
      <c r="A595" s="35"/>
      <c r="B595" s="36">
        <v>1.0</v>
      </c>
      <c r="C595" s="37" t="str">
        <f>IFERROR(__xludf.DUMMYFUNCTION("""COMPUTED_VALUE"""),"Hutch Weaver (2) - '27 LHP TN")</f>
        <v>Hutch Weaver (2) - '27 LHP TN</v>
      </c>
      <c r="D595" s="38" t="s">
        <v>3428</v>
      </c>
      <c r="E595" s="51" t="s">
        <v>122</v>
      </c>
      <c r="F595" s="137"/>
      <c r="G595" s="133"/>
      <c r="H595" s="54" t="s">
        <v>3429</v>
      </c>
      <c r="I595" s="55" t="s">
        <v>1501</v>
      </c>
      <c r="J595" s="55">
        <v>2027.0</v>
      </c>
      <c r="K595" s="55">
        <v>2.0</v>
      </c>
      <c r="L595" s="159" t="s">
        <v>61</v>
      </c>
      <c r="M595" s="55" t="s">
        <v>122</v>
      </c>
      <c r="N595" s="132"/>
      <c r="O595" s="55" t="s">
        <v>1556</v>
      </c>
      <c r="P595" s="55" t="s">
        <v>3430</v>
      </c>
      <c r="Q595" s="55" t="s">
        <v>330</v>
      </c>
      <c r="R595" s="55" t="s">
        <v>3430</v>
      </c>
      <c r="S595" s="58" t="s">
        <v>3431</v>
      </c>
      <c r="T595" s="74"/>
      <c r="U595" s="74"/>
      <c r="V595" s="139"/>
      <c r="W595" s="51" t="s">
        <v>1724</v>
      </c>
      <c r="X595" s="74"/>
      <c r="Y595" s="74"/>
      <c r="Z595" s="76"/>
      <c r="AA595" s="134"/>
      <c r="AB595" s="62" t="s">
        <v>61</v>
      </c>
      <c r="AC595" s="63" t="s">
        <v>61</v>
      </c>
      <c r="AD595" s="64" t="s">
        <v>61</v>
      </c>
      <c r="AE595" s="64" t="s">
        <v>61</v>
      </c>
      <c r="AF595" s="63" t="s">
        <v>61</v>
      </c>
      <c r="AG595" s="63" t="s">
        <v>61</v>
      </c>
      <c r="AH595" s="63" t="s">
        <v>61</v>
      </c>
      <c r="AI595" s="65" t="s">
        <v>61</v>
      </c>
      <c r="AJ595" s="66" t="s">
        <v>61</v>
      </c>
      <c r="AK595" s="60"/>
    </row>
    <row r="596" ht="24.0" customHeight="1">
      <c r="A596" s="35"/>
      <c r="B596" s="36">
        <v>1.0</v>
      </c>
      <c r="C596" s="37" t="str">
        <f>IFERROR(__xludf.DUMMYFUNCTION("""COMPUTED_VALUE"""),"Carston Wedemeyer (2) - '27 OF NC")</f>
        <v>Carston Wedemeyer (2) - '27 OF NC</v>
      </c>
      <c r="D596" s="38" t="s">
        <v>3432</v>
      </c>
      <c r="E596" s="39" t="s">
        <v>103</v>
      </c>
      <c r="F596" s="121"/>
      <c r="G596" s="122"/>
      <c r="H596" s="42" t="s">
        <v>3433</v>
      </c>
      <c r="I596" s="43" t="s">
        <v>3434</v>
      </c>
      <c r="J596" s="43">
        <v>2027.0</v>
      </c>
      <c r="K596" s="43">
        <v>2.0</v>
      </c>
      <c r="L596" s="160" t="s">
        <v>61</v>
      </c>
      <c r="M596" s="43" t="s">
        <v>103</v>
      </c>
      <c r="N596" s="44" t="s">
        <v>2907</v>
      </c>
      <c r="O596" s="80"/>
      <c r="P596" s="43" t="s">
        <v>3435</v>
      </c>
      <c r="Q596" s="43" t="s">
        <v>73</v>
      </c>
      <c r="R596" s="43" t="s">
        <v>3436</v>
      </c>
      <c r="S596" s="44" t="s">
        <v>3437</v>
      </c>
      <c r="T596" s="81"/>
      <c r="U596" s="81"/>
      <c r="V596" s="39"/>
      <c r="W596" s="39" t="s">
        <v>1724</v>
      </c>
      <c r="X596" s="39" t="s">
        <v>1550</v>
      </c>
      <c r="Y596" s="81"/>
      <c r="Z596" s="82"/>
      <c r="AA596" s="99"/>
      <c r="AB596" s="48" t="s">
        <v>61</v>
      </c>
      <c r="AC596" s="68" t="s">
        <v>61</v>
      </c>
      <c r="AD596" s="69" t="s">
        <v>61</v>
      </c>
      <c r="AE596" s="69" t="s">
        <v>61</v>
      </c>
      <c r="AF596" s="68" t="s">
        <v>61</v>
      </c>
      <c r="AG596" s="68" t="s">
        <v>61</v>
      </c>
      <c r="AH596" s="68" t="s">
        <v>61</v>
      </c>
      <c r="AI596" s="70" t="s">
        <v>61</v>
      </c>
      <c r="AJ596" s="49" t="s">
        <v>61</v>
      </c>
      <c r="AK596" s="46"/>
    </row>
    <row r="597" ht="24.0" customHeight="1">
      <c r="A597" s="71"/>
      <c r="B597" s="36">
        <v>1.0</v>
      </c>
      <c r="C597" s="37" t="str">
        <f>IFERROR(__xludf.DUMMYFUNCTION("""COMPUTED_VALUE"""),"Ari Wells (2) - '27 1B KY")</f>
        <v>Ari Wells (2) - '27 1B KY</v>
      </c>
      <c r="D597" s="38" t="s">
        <v>3438</v>
      </c>
      <c r="E597" s="51" t="s">
        <v>48</v>
      </c>
      <c r="F597" s="119">
        <v>45865.0</v>
      </c>
      <c r="G597" s="116" t="s">
        <v>1430</v>
      </c>
      <c r="H597" s="54" t="s">
        <v>3439</v>
      </c>
      <c r="I597" s="55" t="s">
        <v>409</v>
      </c>
      <c r="J597" s="55">
        <v>2027.0</v>
      </c>
      <c r="K597" s="55">
        <v>2.0</v>
      </c>
      <c r="L597" s="159" t="s">
        <v>61</v>
      </c>
      <c r="M597" s="55" t="s">
        <v>1972</v>
      </c>
      <c r="N597" s="132"/>
      <c r="O597" s="55" t="s">
        <v>1556</v>
      </c>
      <c r="P597" s="55" t="s">
        <v>3440</v>
      </c>
      <c r="Q597" s="55" t="s">
        <v>543</v>
      </c>
      <c r="R597" s="55" t="s">
        <v>3441</v>
      </c>
      <c r="S597" s="58"/>
      <c r="T597" s="51" t="s">
        <v>3442</v>
      </c>
      <c r="U597" s="51"/>
      <c r="V597" s="51" t="s">
        <v>3443</v>
      </c>
      <c r="W597" s="51" t="s">
        <v>2821</v>
      </c>
      <c r="X597" s="74"/>
      <c r="Y597" s="74"/>
      <c r="Z597" s="76"/>
      <c r="AA597" s="73" t="s">
        <v>3444</v>
      </c>
      <c r="AB597" s="62" t="s">
        <v>61</v>
      </c>
      <c r="AC597" s="63" t="s">
        <v>61</v>
      </c>
      <c r="AD597" s="64" t="s">
        <v>61</v>
      </c>
      <c r="AE597" s="64" t="s">
        <v>61</v>
      </c>
      <c r="AF597" s="63" t="s">
        <v>61</v>
      </c>
      <c r="AG597" s="63" t="s">
        <v>61</v>
      </c>
      <c r="AH597" s="63" t="s">
        <v>61</v>
      </c>
      <c r="AI597" s="65" t="s">
        <v>61</v>
      </c>
      <c r="AJ597" s="105" t="s">
        <v>61</v>
      </c>
      <c r="AK597" s="76"/>
    </row>
    <row r="598" ht="24.0" customHeight="1">
      <c r="A598" s="35"/>
      <c r="B598" s="36">
        <v>1.0</v>
      </c>
      <c r="C598" s="37" t="str">
        <f>IFERROR(__xludf.DUMMYFUNCTION("""COMPUTED_VALUE"""),"Jackson Wood (2) - '27 LHP HI")</f>
        <v>Jackson Wood (2) - '27 LHP HI</v>
      </c>
      <c r="D598" s="38" t="s">
        <v>3445</v>
      </c>
      <c r="E598" s="39" t="s">
        <v>122</v>
      </c>
      <c r="F598" s="118">
        <v>45945.0</v>
      </c>
      <c r="G598" s="122"/>
      <c r="H598" s="42" t="s">
        <v>432</v>
      </c>
      <c r="I598" s="43" t="s">
        <v>1188</v>
      </c>
      <c r="J598" s="43">
        <v>2027.0</v>
      </c>
      <c r="K598" s="43">
        <v>2.0</v>
      </c>
      <c r="L598" s="160" t="s">
        <v>61</v>
      </c>
      <c r="M598" s="43" t="s">
        <v>122</v>
      </c>
      <c r="N598" s="44"/>
      <c r="O598" s="43" t="s">
        <v>1556</v>
      </c>
      <c r="P598" s="43" t="s">
        <v>3026</v>
      </c>
      <c r="Q598" s="43" t="s">
        <v>148</v>
      </c>
      <c r="R598" s="80"/>
      <c r="S598" s="44" t="s">
        <v>1332</v>
      </c>
      <c r="T598" s="81"/>
      <c r="U598" s="81"/>
      <c r="V598" s="81"/>
      <c r="W598" s="39" t="s">
        <v>1571</v>
      </c>
      <c r="X598" s="81"/>
      <c r="Y598" s="81"/>
      <c r="Z598" s="82"/>
      <c r="AA598" s="99"/>
      <c r="AB598" s="48" t="s">
        <v>61</v>
      </c>
      <c r="AC598" s="68" t="s">
        <v>61</v>
      </c>
      <c r="AD598" s="69" t="s">
        <v>61</v>
      </c>
      <c r="AE598" s="69" t="s">
        <v>61</v>
      </c>
      <c r="AF598" s="68" t="s">
        <v>61</v>
      </c>
      <c r="AG598" s="68" t="s">
        <v>61</v>
      </c>
      <c r="AH598" s="68" t="s">
        <v>61</v>
      </c>
      <c r="AI598" s="70" t="s">
        <v>61</v>
      </c>
      <c r="AJ598" s="49" t="s">
        <v>61</v>
      </c>
      <c r="AK598" s="46"/>
    </row>
    <row r="599" ht="24.0" customHeight="1">
      <c r="A599" s="35"/>
      <c r="B599" s="36">
        <v>1.0</v>
      </c>
      <c r="C599" s="37" t="str">
        <f>IFERROR(__xludf.DUMMYFUNCTION("""COMPUTED_VALUE"""),"Omar Avalos Jr (3) - '27 CF IL")</f>
        <v>Omar Avalos Jr (3) - '27 CF IL</v>
      </c>
      <c r="D599" s="89" t="s">
        <v>3446</v>
      </c>
      <c r="E599" s="51" t="s">
        <v>103</v>
      </c>
      <c r="F599" s="119">
        <v>45865.0</v>
      </c>
      <c r="G599" s="116" t="s">
        <v>1395</v>
      </c>
      <c r="H599" s="54" t="s">
        <v>3447</v>
      </c>
      <c r="I599" s="55" t="s">
        <v>3448</v>
      </c>
      <c r="J599" s="55">
        <v>2027.0</v>
      </c>
      <c r="K599" s="55">
        <v>3.0</v>
      </c>
      <c r="L599" s="159" t="s">
        <v>61</v>
      </c>
      <c r="M599" s="55" t="s">
        <v>106</v>
      </c>
      <c r="N599" s="57"/>
      <c r="O599" s="55" t="s">
        <v>1556</v>
      </c>
      <c r="P599" s="55" t="s">
        <v>3449</v>
      </c>
      <c r="Q599" s="55" t="s">
        <v>307</v>
      </c>
      <c r="R599" s="55" t="s">
        <v>3450</v>
      </c>
      <c r="S599" s="58"/>
      <c r="T599" s="51">
        <v>3.75</v>
      </c>
      <c r="U599" s="51"/>
      <c r="V599" s="51" t="s">
        <v>3451</v>
      </c>
      <c r="W599" s="51" t="s">
        <v>2821</v>
      </c>
      <c r="X599" s="74"/>
      <c r="Y599" s="74"/>
      <c r="Z599" s="76"/>
      <c r="AA599" s="134"/>
      <c r="AB599" s="62" t="s">
        <v>61</v>
      </c>
      <c r="AC599" s="63" t="s">
        <v>61</v>
      </c>
      <c r="AD599" s="64" t="s">
        <v>61</v>
      </c>
      <c r="AE599" s="64" t="s">
        <v>61</v>
      </c>
      <c r="AF599" s="63" t="s">
        <v>61</v>
      </c>
      <c r="AG599" s="63" t="s">
        <v>61</v>
      </c>
      <c r="AH599" s="63" t="s">
        <v>61</v>
      </c>
      <c r="AI599" s="65" t="s">
        <v>61</v>
      </c>
      <c r="AJ599" s="66" t="s">
        <v>61</v>
      </c>
      <c r="AK599" s="60"/>
    </row>
    <row r="600" ht="24.0" customHeight="1">
      <c r="A600" s="35"/>
      <c r="B600" s="36">
        <v>1.0</v>
      </c>
      <c r="C600" s="37" t="str">
        <f>IFERROR(__xludf.DUMMYFUNCTION("""COMPUTED_VALUE"""),"Omar Avalos Jr. (3) - '27 OF ")</f>
        <v>Omar Avalos Jr. (3) - '27 OF </v>
      </c>
      <c r="D600" s="89" t="s">
        <v>3452</v>
      </c>
      <c r="E600" s="39" t="s">
        <v>103</v>
      </c>
      <c r="F600" s="121"/>
      <c r="G600" s="122"/>
      <c r="H600" s="42" t="s">
        <v>3447</v>
      </c>
      <c r="I600" s="43" t="s">
        <v>3453</v>
      </c>
      <c r="J600" s="43">
        <v>2027.0</v>
      </c>
      <c r="K600" s="43">
        <v>3.0</v>
      </c>
      <c r="L600" s="160" t="s">
        <v>61</v>
      </c>
      <c r="M600" s="43" t="s">
        <v>103</v>
      </c>
      <c r="N600" s="80"/>
      <c r="O600" s="80"/>
      <c r="P600" s="43" t="s">
        <v>3454</v>
      </c>
      <c r="Q600" s="80"/>
      <c r="R600" s="43" t="s">
        <v>3455</v>
      </c>
      <c r="S600" s="44" t="s">
        <v>3456</v>
      </c>
      <c r="T600" s="81"/>
      <c r="U600" s="81"/>
      <c r="V600" s="157"/>
      <c r="W600" s="39" t="s">
        <v>1724</v>
      </c>
      <c r="X600" s="39" t="s">
        <v>1556</v>
      </c>
      <c r="Y600" s="81"/>
      <c r="Z600" s="82"/>
      <c r="AA600" s="99"/>
      <c r="AB600" s="48" t="s">
        <v>61</v>
      </c>
      <c r="AC600" s="68" t="s">
        <v>61</v>
      </c>
      <c r="AD600" s="69" t="s">
        <v>61</v>
      </c>
      <c r="AE600" s="69" t="s">
        <v>61</v>
      </c>
      <c r="AF600" s="68" t="s">
        <v>61</v>
      </c>
      <c r="AG600" s="68" t="s">
        <v>61</v>
      </c>
      <c r="AH600" s="68" t="s">
        <v>61</v>
      </c>
      <c r="AI600" s="70" t="s">
        <v>61</v>
      </c>
      <c r="AJ600" s="49" t="s">
        <v>61</v>
      </c>
      <c r="AK600" s="46"/>
    </row>
    <row r="601" ht="24.0" customHeight="1">
      <c r="A601" s="35"/>
      <c r="B601" s="36">
        <v>1.0</v>
      </c>
      <c r="C601" s="37" t="str">
        <f>IFERROR(__xludf.DUMMYFUNCTION("""COMPUTED_VALUE"""),"Thomas Barnhart (3) - '27 C OH")</f>
        <v>Thomas Barnhart (3) - '27 C OH</v>
      </c>
      <c r="D601" s="38" t="s">
        <v>3457</v>
      </c>
      <c r="E601" s="51" t="s">
        <v>109</v>
      </c>
      <c r="F601" s="140">
        <v>45873.0</v>
      </c>
      <c r="G601" s="116" t="s">
        <v>1470</v>
      </c>
      <c r="H601" s="54" t="s">
        <v>335</v>
      </c>
      <c r="I601" s="55" t="s">
        <v>3458</v>
      </c>
      <c r="J601" s="55">
        <v>2027.0</v>
      </c>
      <c r="K601" s="55">
        <v>3.0</v>
      </c>
      <c r="L601" s="159" t="s">
        <v>61</v>
      </c>
      <c r="M601" s="55" t="s">
        <v>109</v>
      </c>
      <c r="N601" s="55" t="s">
        <v>63</v>
      </c>
      <c r="O601" s="57"/>
      <c r="P601" s="57"/>
      <c r="Q601" s="55" t="s">
        <v>529</v>
      </c>
      <c r="R601" s="55" t="s">
        <v>1623</v>
      </c>
      <c r="S601" s="58" t="s">
        <v>155</v>
      </c>
      <c r="T601" s="51">
        <v>3.96</v>
      </c>
      <c r="U601" s="74"/>
      <c r="V601" s="51" t="s">
        <v>3459</v>
      </c>
      <c r="W601" s="74"/>
      <c r="X601" s="74"/>
      <c r="Y601" s="74"/>
      <c r="Z601" s="76"/>
      <c r="AA601" s="73" t="s">
        <v>3460</v>
      </c>
      <c r="AB601" s="62" t="s">
        <v>61</v>
      </c>
      <c r="AC601" s="63" t="s">
        <v>61</v>
      </c>
      <c r="AD601" s="64" t="s">
        <v>61</v>
      </c>
      <c r="AE601" s="64" t="s">
        <v>61</v>
      </c>
      <c r="AF601" s="63" t="s">
        <v>61</v>
      </c>
      <c r="AG601" s="63" t="s">
        <v>61</v>
      </c>
      <c r="AH601" s="63" t="s">
        <v>61</v>
      </c>
      <c r="AI601" s="65" t="s">
        <v>61</v>
      </c>
      <c r="AJ601" s="105" t="s">
        <v>61</v>
      </c>
      <c r="AK601" s="76"/>
    </row>
    <row r="602" ht="24.0" customHeight="1">
      <c r="A602" s="35"/>
      <c r="B602" s="36">
        <v>1.0</v>
      </c>
      <c r="C602" s="37" t="str">
        <f>IFERROR(__xludf.DUMMYFUNCTION("""COMPUTED_VALUE"""),"Greyson Bell (3) - '28 LHP PA")</f>
        <v>Greyson Bell (3) - '28 LHP PA</v>
      </c>
      <c r="D602" s="89" t="s">
        <v>3461</v>
      </c>
      <c r="E602" s="39" t="s">
        <v>122</v>
      </c>
      <c r="F602" s="112"/>
      <c r="G602" s="113" t="s">
        <v>1395</v>
      </c>
      <c r="H602" s="42" t="s">
        <v>3462</v>
      </c>
      <c r="I602" s="43" t="s">
        <v>2643</v>
      </c>
      <c r="J602" s="43">
        <v>2028.0</v>
      </c>
      <c r="K602" s="43">
        <v>3.0</v>
      </c>
      <c r="L602" s="44" t="s">
        <v>2877</v>
      </c>
      <c r="M602" s="43" t="s">
        <v>122</v>
      </c>
      <c r="N602" s="43"/>
      <c r="O602" s="43" t="s">
        <v>1556</v>
      </c>
      <c r="P602" s="43"/>
      <c r="Q602" s="43" t="s">
        <v>240</v>
      </c>
      <c r="R602" s="43" t="s">
        <v>3463</v>
      </c>
      <c r="S602" s="44" t="s">
        <v>3204</v>
      </c>
      <c r="T602" s="39"/>
      <c r="U602" s="39"/>
      <c r="V602" s="39"/>
      <c r="W602" s="39"/>
      <c r="X602" s="39"/>
      <c r="Y602" s="39"/>
      <c r="Z602" s="46"/>
      <c r="AA602" s="47"/>
      <c r="AB602" s="48" t="s">
        <v>61</v>
      </c>
      <c r="AC602" s="68" t="s">
        <v>61</v>
      </c>
      <c r="AD602" s="69" t="s">
        <v>61</v>
      </c>
      <c r="AE602" s="69" t="s">
        <v>61</v>
      </c>
      <c r="AF602" s="68" t="s">
        <v>61</v>
      </c>
      <c r="AG602" s="68" t="s">
        <v>61</v>
      </c>
      <c r="AH602" s="68" t="s">
        <v>61</v>
      </c>
      <c r="AI602" s="70" t="s">
        <v>61</v>
      </c>
      <c r="AJ602" s="114" t="s">
        <v>61</v>
      </c>
      <c r="AK602" s="82"/>
    </row>
    <row r="603" ht="24.0" customHeight="1">
      <c r="A603" s="35"/>
      <c r="B603" s="36">
        <v>1.0</v>
      </c>
      <c r="C603" s="37" t="str">
        <f>IFERROR(__xludf.DUMMYFUNCTION("""COMPUTED_VALUE"""),"Bo Blondi (3) - '27 SS IN")</f>
        <v>Bo Blondi (3) - '27 SS IN</v>
      </c>
      <c r="D603" s="89" t="s">
        <v>3464</v>
      </c>
      <c r="E603" s="51" t="s">
        <v>48</v>
      </c>
      <c r="F603" s="119">
        <v>45917.0</v>
      </c>
      <c r="G603" s="116" t="s">
        <v>1430</v>
      </c>
      <c r="H603" s="54" t="s">
        <v>3465</v>
      </c>
      <c r="I603" s="55" t="s">
        <v>3466</v>
      </c>
      <c r="J603" s="55">
        <v>2027.0</v>
      </c>
      <c r="K603" s="55">
        <v>3.0</v>
      </c>
      <c r="L603" s="159" t="s">
        <v>61</v>
      </c>
      <c r="M603" s="55" t="s">
        <v>1398</v>
      </c>
      <c r="N603" s="55"/>
      <c r="O603" s="55" t="s">
        <v>1550</v>
      </c>
      <c r="P603" s="57"/>
      <c r="Q603" s="55" t="s">
        <v>153</v>
      </c>
      <c r="R603" s="57"/>
      <c r="S603" s="58" t="s">
        <v>3467</v>
      </c>
      <c r="T603" s="74"/>
      <c r="U603" s="74"/>
      <c r="V603" s="74"/>
      <c r="W603" s="74"/>
      <c r="X603" s="74"/>
      <c r="Y603" s="74"/>
      <c r="Z603" s="76"/>
      <c r="AA603" s="134"/>
      <c r="AB603" s="62" t="s">
        <v>61</v>
      </c>
      <c r="AC603" s="63" t="s">
        <v>61</v>
      </c>
      <c r="AD603" s="64" t="s">
        <v>61</v>
      </c>
      <c r="AE603" s="64" t="s">
        <v>61</v>
      </c>
      <c r="AF603" s="63" t="s">
        <v>61</v>
      </c>
      <c r="AG603" s="63" t="s">
        <v>61</v>
      </c>
      <c r="AH603" s="63" t="s">
        <v>61</v>
      </c>
      <c r="AI603" s="65" t="s">
        <v>61</v>
      </c>
      <c r="AJ603" s="66" t="s">
        <v>61</v>
      </c>
      <c r="AK603" s="60"/>
    </row>
    <row r="604" ht="24.0" customHeight="1">
      <c r="A604" s="35"/>
      <c r="B604" s="36">
        <v>1.0</v>
      </c>
      <c r="C604" s="37" t="str">
        <f>IFERROR(__xludf.DUMMYFUNCTION("""COMPUTED_VALUE"""),"Cody Branham (3) - '27 C SC")</f>
        <v>Cody Branham (3) - '27 C SC</v>
      </c>
      <c r="D604" s="38" t="s">
        <v>3468</v>
      </c>
      <c r="E604" s="39" t="s">
        <v>109</v>
      </c>
      <c r="F604" s="112"/>
      <c r="G604" s="113" t="s">
        <v>1430</v>
      </c>
      <c r="H604" s="42" t="s">
        <v>3469</v>
      </c>
      <c r="I604" s="43" t="s">
        <v>3470</v>
      </c>
      <c r="J604" s="43">
        <v>2027.0</v>
      </c>
      <c r="K604" s="43">
        <v>3.0</v>
      </c>
      <c r="L604" s="160" t="s">
        <v>61</v>
      </c>
      <c r="M604" s="43" t="s">
        <v>109</v>
      </c>
      <c r="N604" s="44" t="s">
        <v>72</v>
      </c>
      <c r="O604" s="43" t="s">
        <v>1989</v>
      </c>
      <c r="P604" s="43"/>
      <c r="Q604" s="43" t="s">
        <v>286</v>
      </c>
      <c r="R604" s="43" t="s">
        <v>3471</v>
      </c>
      <c r="S604" s="44" t="s">
        <v>1766</v>
      </c>
      <c r="T604" s="39">
        <v>4.69</v>
      </c>
      <c r="U604" s="39"/>
      <c r="V604" s="39"/>
      <c r="W604" s="39"/>
      <c r="X604" s="39"/>
      <c r="Y604" s="39"/>
      <c r="Z604" s="46"/>
      <c r="AA604" s="47" t="s">
        <v>3472</v>
      </c>
      <c r="AB604" s="48" t="s">
        <v>3473</v>
      </c>
      <c r="AC604" s="68" t="s">
        <v>3474</v>
      </c>
      <c r="AD604" s="69" t="s">
        <v>3475</v>
      </c>
      <c r="AE604" s="69" t="s">
        <v>400</v>
      </c>
      <c r="AF604" s="68" t="s">
        <v>60</v>
      </c>
      <c r="AG604" s="68" t="s">
        <v>60</v>
      </c>
      <c r="AH604" s="68" t="s">
        <v>60</v>
      </c>
      <c r="AI604" s="70" t="s">
        <v>60</v>
      </c>
      <c r="AJ604" s="49" t="s">
        <v>61</v>
      </c>
      <c r="AK604" s="46"/>
    </row>
    <row r="605" ht="24.0" customHeight="1">
      <c r="A605" s="35"/>
      <c r="B605" s="36">
        <v>1.0</v>
      </c>
      <c r="C605" s="37" t="str">
        <f>IFERROR(__xludf.DUMMYFUNCTION("""COMPUTED_VALUE"""),"Aiden Cha (3) - '27 C NY")</f>
        <v>Aiden Cha (3) - '27 C NY</v>
      </c>
      <c r="D605" s="38" t="s">
        <v>3476</v>
      </c>
      <c r="E605" s="51" t="s">
        <v>109</v>
      </c>
      <c r="F605" s="115"/>
      <c r="G605" s="116" t="s">
        <v>1395</v>
      </c>
      <c r="H605" s="54" t="s">
        <v>193</v>
      </c>
      <c r="I605" s="55" t="s">
        <v>3477</v>
      </c>
      <c r="J605" s="55">
        <v>2027.0</v>
      </c>
      <c r="K605" s="55">
        <v>3.0</v>
      </c>
      <c r="L605" s="171" t="s">
        <v>61</v>
      </c>
      <c r="M605" s="55" t="s">
        <v>109</v>
      </c>
      <c r="N605" s="172"/>
      <c r="O605" s="55" t="s">
        <v>1550</v>
      </c>
      <c r="P605" s="57"/>
      <c r="Q605" s="55" t="s">
        <v>255</v>
      </c>
      <c r="R605" s="57"/>
      <c r="S605" s="132"/>
      <c r="T605" s="51"/>
      <c r="U605" s="51"/>
      <c r="V605" s="51"/>
      <c r="W605" s="51"/>
      <c r="X605" s="51"/>
      <c r="Y605" s="51"/>
      <c r="Z605" s="60"/>
      <c r="AA605" s="73"/>
      <c r="AB605" s="62" t="s">
        <v>61</v>
      </c>
      <c r="AC605" s="63" t="s">
        <v>61</v>
      </c>
      <c r="AD605" s="64" t="s">
        <v>61</v>
      </c>
      <c r="AE605" s="64" t="s">
        <v>61</v>
      </c>
      <c r="AF605" s="63" t="s">
        <v>61</v>
      </c>
      <c r="AG605" s="63" t="s">
        <v>61</v>
      </c>
      <c r="AH605" s="63" t="s">
        <v>61</v>
      </c>
      <c r="AI605" s="65" t="s">
        <v>61</v>
      </c>
      <c r="AJ605" s="66" t="s">
        <v>61</v>
      </c>
      <c r="AK605" s="60"/>
    </row>
    <row r="606" ht="24.0" customHeight="1">
      <c r="A606" s="35"/>
      <c r="B606" s="36">
        <v>1.0</v>
      </c>
      <c r="C606" s="37" t="str">
        <f>IFERROR(__xludf.DUMMYFUNCTION("""COMPUTED_VALUE"""),"Culter Chastain (3) - '27 LHP IN")</f>
        <v>Culter Chastain (3) - '27 LHP IN</v>
      </c>
      <c r="D606" s="38" t="s">
        <v>3478</v>
      </c>
      <c r="E606" s="39" t="s">
        <v>122</v>
      </c>
      <c r="F606" s="118">
        <v>45917.0</v>
      </c>
      <c r="G606" s="113" t="s">
        <v>1430</v>
      </c>
      <c r="H606" s="42" t="s">
        <v>3479</v>
      </c>
      <c r="I606" s="43" t="s">
        <v>3480</v>
      </c>
      <c r="J606" s="43">
        <v>2027.0</v>
      </c>
      <c r="K606" s="43">
        <v>3.0</v>
      </c>
      <c r="L606" s="160" t="s">
        <v>61</v>
      </c>
      <c r="M606" s="43" t="s">
        <v>122</v>
      </c>
      <c r="N606" s="43"/>
      <c r="O606" s="43" t="s">
        <v>1556</v>
      </c>
      <c r="P606" s="80"/>
      <c r="Q606" s="43" t="s">
        <v>153</v>
      </c>
      <c r="R606" s="43" t="s">
        <v>3481</v>
      </c>
      <c r="S606" s="44" t="s">
        <v>3467</v>
      </c>
      <c r="T606" s="81"/>
      <c r="U606" s="81"/>
      <c r="V606" s="81"/>
      <c r="W606" s="81"/>
      <c r="X606" s="81"/>
      <c r="Y606" s="81"/>
      <c r="Z606" s="82"/>
      <c r="AA606" s="99"/>
      <c r="AB606" s="48" t="s">
        <v>61</v>
      </c>
      <c r="AC606" s="68" t="s">
        <v>61</v>
      </c>
      <c r="AD606" s="69" t="s">
        <v>61</v>
      </c>
      <c r="AE606" s="69" t="s">
        <v>61</v>
      </c>
      <c r="AF606" s="68" t="s">
        <v>61</v>
      </c>
      <c r="AG606" s="68" t="s">
        <v>61</v>
      </c>
      <c r="AH606" s="68" t="s">
        <v>61</v>
      </c>
      <c r="AI606" s="70" t="s">
        <v>61</v>
      </c>
      <c r="AJ606" s="49" t="s">
        <v>61</v>
      </c>
      <c r="AK606" s="46"/>
    </row>
    <row r="607" ht="24.0" customHeight="1">
      <c r="A607" s="35"/>
      <c r="B607" s="36">
        <v>1.0</v>
      </c>
      <c r="C607" s="37" t="str">
        <f>IFERROR(__xludf.DUMMYFUNCTION("""COMPUTED_VALUE"""),"Trent Chris (3) - '27 LHP UT")</f>
        <v>Trent Chris (3) - '27 LHP UT</v>
      </c>
      <c r="D607" s="89" t="s">
        <v>3482</v>
      </c>
      <c r="E607" s="51" t="s">
        <v>122</v>
      </c>
      <c r="F607" s="119">
        <v>45865.0</v>
      </c>
      <c r="G607" s="116" t="s">
        <v>1395</v>
      </c>
      <c r="H607" s="54" t="s">
        <v>187</v>
      </c>
      <c r="I607" s="55" t="s">
        <v>640</v>
      </c>
      <c r="J607" s="55">
        <v>2027.0</v>
      </c>
      <c r="K607" s="55">
        <v>3.0</v>
      </c>
      <c r="L607" s="159" t="s">
        <v>61</v>
      </c>
      <c r="M607" s="55" t="s">
        <v>122</v>
      </c>
      <c r="N607" s="57"/>
      <c r="O607" s="55" t="s">
        <v>1556</v>
      </c>
      <c r="P607" s="55" t="s">
        <v>2430</v>
      </c>
      <c r="Q607" s="55" t="s">
        <v>636</v>
      </c>
      <c r="R607" s="55" t="s">
        <v>3483</v>
      </c>
      <c r="S607" s="58"/>
      <c r="T607" s="51">
        <v>3.7</v>
      </c>
      <c r="U607" s="51"/>
      <c r="V607" s="51" t="s">
        <v>3484</v>
      </c>
      <c r="W607" s="51" t="s">
        <v>2821</v>
      </c>
      <c r="X607" s="74"/>
      <c r="Y607" s="74"/>
      <c r="Z607" s="76"/>
      <c r="AA607" s="134"/>
      <c r="AB607" s="62" t="s">
        <v>61</v>
      </c>
      <c r="AC607" s="63" t="s">
        <v>61</v>
      </c>
      <c r="AD607" s="64" t="s">
        <v>61</v>
      </c>
      <c r="AE607" s="64" t="s">
        <v>61</v>
      </c>
      <c r="AF607" s="63" t="s">
        <v>61</v>
      </c>
      <c r="AG607" s="63" t="s">
        <v>61</v>
      </c>
      <c r="AH607" s="63" t="s">
        <v>61</v>
      </c>
      <c r="AI607" s="65" t="s">
        <v>61</v>
      </c>
      <c r="AJ607" s="66" t="s">
        <v>61</v>
      </c>
      <c r="AK607" s="60"/>
    </row>
    <row r="608" ht="24.0" customHeight="1">
      <c r="A608" s="35"/>
      <c r="B608" s="36">
        <v>1.0</v>
      </c>
      <c r="C608" s="37" t="str">
        <f>IFERROR(__xludf.DUMMYFUNCTION("""COMPUTED_VALUE"""),"Ryder Cielen (3) - '27 RHP CA")</f>
        <v>Ryder Cielen (3) - '27 RHP CA</v>
      </c>
      <c r="D608" s="38" t="s">
        <v>3485</v>
      </c>
      <c r="E608" s="39" t="s">
        <v>63</v>
      </c>
      <c r="F608" s="118">
        <v>45869.0</v>
      </c>
      <c r="G608" s="113" t="s">
        <v>1395</v>
      </c>
      <c r="H608" s="42" t="s">
        <v>3486</v>
      </c>
      <c r="I608" s="43" t="s">
        <v>3487</v>
      </c>
      <c r="J608" s="43">
        <v>2027.0</v>
      </c>
      <c r="K608" s="43">
        <v>3.0</v>
      </c>
      <c r="L608" s="160" t="s">
        <v>61</v>
      </c>
      <c r="M608" s="43" t="s">
        <v>63</v>
      </c>
      <c r="N608" s="80"/>
      <c r="O608" s="43" t="s">
        <v>1550</v>
      </c>
      <c r="P608" s="43" t="s">
        <v>1370</v>
      </c>
      <c r="Q608" s="43" t="s">
        <v>52</v>
      </c>
      <c r="R608" s="43" t="s">
        <v>1370</v>
      </c>
      <c r="S608" s="117"/>
      <c r="T608" s="39">
        <v>3.8</v>
      </c>
      <c r="U608" s="81"/>
      <c r="V608" s="39" t="s">
        <v>3488</v>
      </c>
      <c r="W608" s="81"/>
      <c r="X608" s="81"/>
      <c r="Y608" s="81"/>
      <c r="Z608" s="82"/>
      <c r="AA608" s="47" t="s">
        <v>3489</v>
      </c>
      <c r="AB608" s="48" t="s">
        <v>61</v>
      </c>
      <c r="AC608" s="68" t="s">
        <v>61</v>
      </c>
      <c r="AD608" s="69" t="s">
        <v>61</v>
      </c>
      <c r="AE608" s="69" t="s">
        <v>61</v>
      </c>
      <c r="AF608" s="68" t="s">
        <v>61</v>
      </c>
      <c r="AG608" s="68" t="s">
        <v>61</v>
      </c>
      <c r="AH608" s="68" t="s">
        <v>61</v>
      </c>
      <c r="AI608" s="70" t="s">
        <v>61</v>
      </c>
      <c r="AJ608" s="49" t="s">
        <v>61</v>
      </c>
      <c r="AK608" s="46"/>
    </row>
    <row r="609" ht="24.0" customHeight="1">
      <c r="A609" s="35"/>
      <c r="B609" s="36">
        <v>1.0</v>
      </c>
      <c r="C609" s="37" t="str">
        <f>IFERROR(__xludf.DUMMYFUNCTION("""COMPUTED_VALUE"""),"Nico Cirone (3) - '28 C MA")</f>
        <v>Nico Cirone (3) - '28 C MA</v>
      </c>
      <c r="D609" s="38" t="s">
        <v>3490</v>
      </c>
      <c r="E609" s="51" t="s">
        <v>109</v>
      </c>
      <c r="F609" s="115"/>
      <c r="G609" s="116" t="s">
        <v>1395</v>
      </c>
      <c r="H609" s="54" t="s">
        <v>3491</v>
      </c>
      <c r="I609" s="55" t="s">
        <v>3492</v>
      </c>
      <c r="J609" s="55">
        <v>2028.0</v>
      </c>
      <c r="K609" s="55">
        <v>3.0</v>
      </c>
      <c r="L609" s="58" t="s">
        <v>2877</v>
      </c>
      <c r="M609" s="55" t="s">
        <v>109</v>
      </c>
      <c r="N609" s="55"/>
      <c r="O609" s="55"/>
      <c r="P609" s="55"/>
      <c r="Q609" s="55" t="s">
        <v>85</v>
      </c>
      <c r="R609" s="55" t="s">
        <v>3493</v>
      </c>
      <c r="S609" s="58"/>
      <c r="T609" s="51"/>
      <c r="U609" s="51"/>
      <c r="V609" s="51"/>
      <c r="W609" s="51"/>
      <c r="X609" s="51"/>
      <c r="Y609" s="51"/>
      <c r="Z609" s="60"/>
      <c r="AA609" s="73"/>
      <c r="AB609" s="62" t="s">
        <v>61</v>
      </c>
      <c r="AC609" s="63" t="s">
        <v>61</v>
      </c>
      <c r="AD609" s="64" t="s">
        <v>61</v>
      </c>
      <c r="AE609" s="64" t="s">
        <v>61</v>
      </c>
      <c r="AF609" s="63" t="s">
        <v>61</v>
      </c>
      <c r="AG609" s="63" t="s">
        <v>61</v>
      </c>
      <c r="AH609" s="63" t="s">
        <v>61</v>
      </c>
      <c r="AI609" s="65" t="s">
        <v>61</v>
      </c>
      <c r="AJ609" s="105" t="s">
        <v>61</v>
      </c>
      <c r="AK609" s="76"/>
    </row>
    <row r="610" ht="24.0" customHeight="1">
      <c r="A610" s="35"/>
      <c r="B610" s="36">
        <v>1.0</v>
      </c>
      <c r="C610" s="37" t="str">
        <f>IFERROR(__xludf.DUMMYFUNCTION("""COMPUTED_VALUE"""),"Michael Connor (3) - '28 RHP MA")</f>
        <v>Michael Connor (3) - '28 RHP MA</v>
      </c>
      <c r="D610" s="38" t="s">
        <v>3494</v>
      </c>
      <c r="E610" s="39" t="s">
        <v>63</v>
      </c>
      <c r="F610" s="112"/>
      <c r="G610" s="113" t="s">
        <v>1395</v>
      </c>
      <c r="H610" s="42" t="s">
        <v>158</v>
      </c>
      <c r="I610" s="43" t="s">
        <v>682</v>
      </c>
      <c r="J610" s="43">
        <v>2028.0</v>
      </c>
      <c r="K610" s="43">
        <v>3.0</v>
      </c>
      <c r="L610" s="44" t="s">
        <v>2877</v>
      </c>
      <c r="M610" s="43" t="s">
        <v>63</v>
      </c>
      <c r="N610" s="80"/>
      <c r="O610" s="43" t="s">
        <v>1550</v>
      </c>
      <c r="P610" s="43"/>
      <c r="Q610" s="43" t="s">
        <v>85</v>
      </c>
      <c r="R610" s="43" t="s">
        <v>3495</v>
      </c>
      <c r="S610" s="44" t="s">
        <v>3496</v>
      </c>
      <c r="T610" s="81"/>
      <c r="U610" s="39"/>
      <c r="V610" s="39"/>
      <c r="W610" s="39"/>
      <c r="X610" s="39"/>
      <c r="Y610" s="39"/>
      <c r="Z610" s="46"/>
      <c r="AA610" s="47"/>
      <c r="AB610" s="48" t="s">
        <v>61</v>
      </c>
      <c r="AC610" s="68" t="s">
        <v>61</v>
      </c>
      <c r="AD610" s="69" t="s">
        <v>61</v>
      </c>
      <c r="AE610" s="69" t="s">
        <v>61</v>
      </c>
      <c r="AF610" s="68" t="s">
        <v>61</v>
      </c>
      <c r="AG610" s="68" t="s">
        <v>61</v>
      </c>
      <c r="AH610" s="68" t="s">
        <v>61</v>
      </c>
      <c r="AI610" s="70" t="s">
        <v>61</v>
      </c>
      <c r="AJ610" s="114" t="s">
        <v>61</v>
      </c>
      <c r="AK610" s="82"/>
    </row>
    <row r="611" ht="24.0" customHeight="1">
      <c r="A611" s="35"/>
      <c r="B611" s="36">
        <v>1.0</v>
      </c>
      <c r="C611" s="37" t="str">
        <f>IFERROR(__xludf.DUMMYFUNCTION("""COMPUTED_VALUE"""),"Lawson Copeland (3) - '27 RHP ")</f>
        <v>Lawson Copeland (3) - '27 RHP </v>
      </c>
      <c r="D611" s="38" t="s">
        <v>3497</v>
      </c>
      <c r="E611" s="51" t="s">
        <v>63</v>
      </c>
      <c r="F611" s="137"/>
      <c r="G611" s="133"/>
      <c r="H611" s="54" t="s">
        <v>3498</v>
      </c>
      <c r="I611" s="55" t="s">
        <v>3499</v>
      </c>
      <c r="J611" s="55">
        <v>2027.0</v>
      </c>
      <c r="K611" s="55">
        <v>3.0</v>
      </c>
      <c r="L611" s="159" t="s">
        <v>61</v>
      </c>
      <c r="M611" s="55" t="s">
        <v>63</v>
      </c>
      <c r="N611" s="57"/>
      <c r="O611" s="55" t="s">
        <v>1550</v>
      </c>
      <c r="P611" s="55" t="s">
        <v>3500</v>
      </c>
      <c r="Q611" s="57"/>
      <c r="R611" s="55" t="s">
        <v>3501</v>
      </c>
      <c r="S611" s="58" t="s">
        <v>3502</v>
      </c>
      <c r="T611" s="74"/>
      <c r="U611" s="74"/>
      <c r="V611" s="139"/>
      <c r="W611" s="51" t="s">
        <v>1724</v>
      </c>
      <c r="X611" s="74"/>
      <c r="Y611" s="74"/>
      <c r="Z611" s="76"/>
      <c r="AA611" s="134"/>
      <c r="AB611" s="62" t="s">
        <v>61</v>
      </c>
      <c r="AC611" s="63" t="s">
        <v>61</v>
      </c>
      <c r="AD611" s="64" t="s">
        <v>61</v>
      </c>
      <c r="AE611" s="64" t="s">
        <v>61</v>
      </c>
      <c r="AF611" s="63" t="s">
        <v>61</v>
      </c>
      <c r="AG611" s="63" t="s">
        <v>61</v>
      </c>
      <c r="AH611" s="63" t="s">
        <v>61</v>
      </c>
      <c r="AI611" s="65" t="s">
        <v>61</v>
      </c>
      <c r="AJ611" s="66" t="s">
        <v>61</v>
      </c>
      <c r="AK611" s="60"/>
    </row>
    <row r="612" ht="24.0" customHeight="1">
      <c r="A612" s="35"/>
      <c r="B612" s="36">
        <v>1.0</v>
      </c>
      <c r="C612" s="37" t="str">
        <f>IFERROR(__xludf.DUMMYFUNCTION("""COMPUTED_VALUE"""),"Alejandro Cordero (3) - '27 MINF FL")</f>
        <v>Alejandro Cordero (3) - '27 MINF FL</v>
      </c>
      <c r="D612" s="38" t="s">
        <v>3503</v>
      </c>
      <c r="E612" s="39" t="s">
        <v>48</v>
      </c>
      <c r="F612" s="121"/>
      <c r="G612" s="122"/>
      <c r="H612" s="42" t="s">
        <v>3504</v>
      </c>
      <c r="I612" s="43" t="s">
        <v>3505</v>
      </c>
      <c r="J612" s="43">
        <v>2027.0</v>
      </c>
      <c r="K612" s="43">
        <v>3.0</v>
      </c>
      <c r="L612" s="160" t="s">
        <v>61</v>
      </c>
      <c r="M612" s="43" t="s">
        <v>51</v>
      </c>
      <c r="N612" s="117"/>
      <c r="O612" s="43" t="s">
        <v>1550</v>
      </c>
      <c r="P612" s="43" t="s">
        <v>3506</v>
      </c>
      <c r="Q612" s="43" t="s">
        <v>66</v>
      </c>
      <c r="R612" s="43" t="s">
        <v>3507</v>
      </c>
      <c r="S612" s="44" t="s">
        <v>3508</v>
      </c>
      <c r="T612" s="81"/>
      <c r="U612" s="81"/>
      <c r="V612" s="157"/>
      <c r="W612" s="39" t="s">
        <v>1724</v>
      </c>
      <c r="X612" s="81"/>
      <c r="Y612" s="81"/>
      <c r="Z612" s="82"/>
      <c r="AA612" s="99"/>
      <c r="AB612" s="48" t="s">
        <v>61</v>
      </c>
      <c r="AC612" s="68" t="s">
        <v>61</v>
      </c>
      <c r="AD612" s="69" t="s">
        <v>61</v>
      </c>
      <c r="AE612" s="69" t="s">
        <v>61</v>
      </c>
      <c r="AF612" s="68" t="s">
        <v>61</v>
      </c>
      <c r="AG612" s="68" t="s">
        <v>61</v>
      </c>
      <c r="AH612" s="68" t="s">
        <v>61</v>
      </c>
      <c r="AI612" s="70" t="s">
        <v>61</v>
      </c>
      <c r="AJ612" s="49" t="s">
        <v>61</v>
      </c>
      <c r="AK612" s="46"/>
    </row>
    <row r="613" ht="24.0" customHeight="1">
      <c r="A613" s="35"/>
      <c r="B613" s="36">
        <v>1.0</v>
      </c>
      <c r="C613" s="37" t="str">
        <f>IFERROR(__xludf.DUMMYFUNCTION("""COMPUTED_VALUE"""),"Conner Davis (3) - '27 C KY")</f>
        <v>Conner Davis (3) - '27 C KY</v>
      </c>
      <c r="D613" s="38" t="s">
        <v>3509</v>
      </c>
      <c r="E613" s="51" t="s">
        <v>109</v>
      </c>
      <c r="F613" s="119">
        <v>45865.0</v>
      </c>
      <c r="G613" s="116" t="s">
        <v>1430</v>
      </c>
      <c r="H613" s="54" t="s">
        <v>3510</v>
      </c>
      <c r="I613" s="55" t="s">
        <v>245</v>
      </c>
      <c r="J613" s="55">
        <v>2027.0</v>
      </c>
      <c r="K613" s="55">
        <v>3.0</v>
      </c>
      <c r="L613" s="159" t="s">
        <v>61</v>
      </c>
      <c r="M613" s="55" t="s">
        <v>109</v>
      </c>
      <c r="N613" s="57"/>
      <c r="O613" s="55" t="s">
        <v>1550</v>
      </c>
      <c r="P613" s="55" t="s">
        <v>2908</v>
      </c>
      <c r="Q613" s="55" t="s">
        <v>543</v>
      </c>
      <c r="R613" s="55" t="s">
        <v>3511</v>
      </c>
      <c r="S613" s="58"/>
      <c r="T613" s="51">
        <v>4.0</v>
      </c>
      <c r="U613" s="51"/>
      <c r="V613" s="51" t="s">
        <v>3512</v>
      </c>
      <c r="W613" s="51" t="s">
        <v>2821</v>
      </c>
      <c r="X613" s="74"/>
      <c r="Y613" s="74"/>
      <c r="Z613" s="76"/>
      <c r="AA613" s="134"/>
      <c r="AB613" s="62" t="s">
        <v>61</v>
      </c>
      <c r="AC613" s="63" t="s">
        <v>61</v>
      </c>
      <c r="AD613" s="64" t="s">
        <v>61</v>
      </c>
      <c r="AE613" s="64" t="s">
        <v>61</v>
      </c>
      <c r="AF613" s="63" t="s">
        <v>61</v>
      </c>
      <c r="AG613" s="63" t="s">
        <v>61</v>
      </c>
      <c r="AH613" s="63" t="s">
        <v>61</v>
      </c>
      <c r="AI613" s="65" t="s">
        <v>61</v>
      </c>
      <c r="AJ613" s="66" t="s">
        <v>61</v>
      </c>
      <c r="AK613" s="60"/>
    </row>
    <row r="614" ht="24.0" customHeight="1">
      <c r="A614" s="129"/>
      <c r="B614" s="36">
        <v>1.0</v>
      </c>
      <c r="C614" s="37" t="str">
        <f>IFERROR(__xludf.DUMMYFUNCTION("""COMPUTED_VALUE"""),"Joshua Diaz (3) - '28 CINF NY")</f>
        <v>Joshua Diaz (3) - '28 CINF NY</v>
      </c>
      <c r="D614" s="38" t="s">
        <v>3513</v>
      </c>
      <c r="E614" s="39" t="s">
        <v>48</v>
      </c>
      <c r="F614" s="112"/>
      <c r="G614" s="113" t="s">
        <v>1395</v>
      </c>
      <c r="H614" s="42" t="s">
        <v>3514</v>
      </c>
      <c r="I614" s="43" t="s">
        <v>3515</v>
      </c>
      <c r="J614" s="43">
        <v>2028.0</v>
      </c>
      <c r="K614" s="43">
        <v>3.0</v>
      </c>
      <c r="L614" s="44" t="s">
        <v>2877</v>
      </c>
      <c r="M614" s="43" t="s">
        <v>72</v>
      </c>
      <c r="N614" s="43" t="s">
        <v>63</v>
      </c>
      <c r="O614" s="43" t="s">
        <v>1550</v>
      </c>
      <c r="P614" s="80"/>
      <c r="Q614" s="43" t="s">
        <v>255</v>
      </c>
      <c r="R614" s="43" t="s">
        <v>2520</v>
      </c>
      <c r="S614" s="44" t="s">
        <v>3516</v>
      </c>
      <c r="T614" s="39"/>
      <c r="U614" s="39"/>
      <c r="V614" s="39"/>
      <c r="W614" s="39"/>
      <c r="X614" s="39"/>
      <c r="Y614" s="39"/>
      <c r="Z614" s="46"/>
      <c r="AA614" s="99"/>
      <c r="AB614" s="48" t="s">
        <v>61</v>
      </c>
      <c r="AC614" s="68" t="s">
        <v>61</v>
      </c>
      <c r="AD614" s="69" t="s">
        <v>61</v>
      </c>
      <c r="AE614" s="69" t="s">
        <v>61</v>
      </c>
      <c r="AF614" s="68" t="s">
        <v>61</v>
      </c>
      <c r="AG614" s="68" t="s">
        <v>61</v>
      </c>
      <c r="AH614" s="68" t="s">
        <v>61</v>
      </c>
      <c r="AI614" s="70" t="s">
        <v>61</v>
      </c>
      <c r="AJ614" s="114" t="s">
        <v>61</v>
      </c>
      <c r="AK614" s="82"/>
    </row>
    <row r="615" ht="24.0" customHeight="1">
      <c r="A615" s="35"/>
      <c r="B615" s="36">
        <v>1.0</v>
      </c>
      <c r="C615" s="37" t="str">
        <f>IFERROR(__xludf.DUMMYFUNCTION("""COMPUTED_VALUE"""),"Christos Dimitrakakis (3) - '27 RHP ")</f>
        <v>Christos Dimitrakakis (3) - '27 RHP </v>
      </c>
      <c r="D615" s="38" t="s">
        <v>3517</v>
      </c>
      <c r="E615" s="51" t="s">
        <v>63</v>
      </c>
      <c r="F615" s="137"/>
      <c r="G615" s="133"/>
      <c r="H615" s="54" t="s">
        <v>3518</v>
      </c>
      <c r="I615" s="55" t="s">
        <v>3519</v>
      </c>
      <c r="J615" s="55">
        <v>2027.0</v>
      </c>
      <c r="K615" s="55">
        <v>3.0</v>
      </c>
      <c r="L615" s="159" t="s">
        <v>61</v>
      </c>
      <c r="M615" s="55" t="s">
        <v>63</v>
      </c>
      <c r="N615" s="57"/>
      <c r="O615" s="55" t="s">
        <v>1550</v>
      </c>
      <c r="P615" s="55" t="s">
        <v>3520</v>
      </c>
      <c r="Q615" s="57"/>
      <c r="R615" s="55" t="s">
        <v>3521</v>
      </c>
      <c r="S615" s="58" t="s">
        <v>3522</v>
      </c>
      <c r="T615" s="74"/>
      <c r="U615" s="74"/>
      <c r="V615" s="139"/>
      <c r="W615" s="51" t="s">
        <v>1724</v>
      </c>
      <c r="X615" s="74"/>
      <c r="Y615" s="74"/>
      <c r="Z615" s="76"/>
      <c r="AA615" s="134"/>
      <c r="AB615" s="62" t="s">
        <v>61</v>
      </c>
      <c r="AC615" s="63" t="s">
        <v>61</v>
      </c>
      <c r="AD615" s="64" t="s">
        <v>61</v>
      </c>
      <c r="AE615" s="64" t="s">
        <v>61</v>
      </c>
      <c r="AF615" s="63" t="s">
        <v>61</v>
      </c>
      <c r="AG615" s="63" t="s">
        <v>61</v>
      </c>
      <c r="AH615" s="63" t="s">
        <v>61</v>
      </c>
      <c r="AI615" s="65" t="s">
        <v>61</v>
      </c>
      <c r="AJ615" s="66" t="s">
        <v>61</v>
      </c>
      <c r="AK615" s="60"/>
    </row>
    <row r="616" ht="24.0" customHeight="1">
      <c r="A616" s="35"/>
      <c r="B616" s="36">
        <v>1.0</v>
      </c>
      <c r="C616" s="37" t="str">
        <f>IFERROR(__xludf.DUMMYFUNCTION("""COMPUTED_VALUE"""),"Deven Dodge (3) - '27 RHP ")</f>
        <v>Deven Dodge (3) - '27 RHP </v>
      </c>
      <c r="D616" s="89" t="s">
        <v>3523</v>
      </c>
      <c r="E616" s="39" t="s">
        <v>63</v>
      </c>
      <c r="F616" s="121"/>
      <c r="G616" s="122"/>
      <c r="H616" s="42" t="s">
        <v>3524</v>
      </c>
      <c r="I616" s="43" t="s">
        <v>3525</v>
      </c>
      <c r="J616" s="43">
        <v>2027.0</v>
      </c>
      <c r="K616" s="43">
        <v>3.0</v>
      </c>
      <c r="L616" s="160" t="s">
        <v>61</v>
      </c>
      <c r="M616" s="43" t="s">
        <v>63</v>
      </c>
      <c r="N616" s="80"/>
      <c r="O616" s="43" t="s">
        <v>1550</v>
      </c>
      <c r="P616" s="43" t="s">
        <v>3526</v>
      </c>
      <c r="Q616" s="80"/>
      <c r="R616" s="43" t="s">
        <v>3527</v>
      </c>
      <c r="S616" s="44" t="s">
        <v>1723</v>
      </c>
      <c r="T616" s="81"/>
      <c r="U616" s="81"/>
      <c r="V616" s="157"/>
      <c r="W616" s="39" t="s">
        <v>1724</v>
      </c>
      <c r="X616" s="81"/>
      <c r="Y616" s="81"/>
      <c r="Z616" s="82"/>
      <c r="AA616" s="99"/>
      <c r="AB616" s="48" t="s">
        <v>61</v>
      </c>
      <c r="AC616" s="68" t="s">
        <v>61</v>
      </c>
      <c r="AD616" s="69" t="s">
        <v>61</v>
      </c>
      <c r="AE616" s="69" t="s">
        <v>61</v>
      </c>
      <c r="AF616" s="68" t="s">
        <v>61</v>
      </c>
      <c r="AG616" s="68" t="s">
        <v>61</v>
      </c>
      <c r="AH616" s="68" t="s">
        <v>61</v>
      </c>
      <c r="AI616" s="70" t="s">
        <v>61</v>
      </c>
      <c r="AJ616" s="49" t="s">
        <v>61</v>
      </c>
      <c r="AK616" s="46"/>
    </row>
    <row r="617" ht="24.0" customHeight="1">
      <c r="A617" s="35"/>
      <c r="B617" s="36">
        <v>1.0</v>
      </c>
      <c r="C617" s="37" t="str">
        <f>IFERROR(__xludf.DUMMYFUNCTION("""COMPUTED_VALUE"""),"Owen Ehrenkranz (3) - '28 RHP NJ")</f>
        <v>Owen Ehrenkranz (3) - '28 RHP NJ</v>
      </c>
      <c r="D617" s="38" t="s">
        <v>3528</v>
      </c>
      <c r="E617" s="51" t="s">
        <v>63</v>
      </c>
      <c r="F617" s="115"/>
      <c r="G617" s="116" t="s">
        <v>1395</v>
      </c>
      <c r="H617" s="54" t="s">
        <v>64</v>
      </c>
      <c r="I617" s="55" t="s">
        <v>3529</v>
      </c>
      <c r="J617" s="55">
        <v>2028.0</v>
      </c>
      <c r="K617" s="55">
        <v>3.0</v>
      </c>
      <c r="L617" s="58" t="s">
        <v>2877</v>
      </c>
      <c r="M617" s="55" t="s">
        <v>63</v>
      </c>
      <c r="N617" s="55"/>
      <c r="O617" s="55" t="s">
        <v>1550</v>
      </c>
      <c r="P617" s="55"/>
      <c r="Q617" s="55" t="s">
        <v>502</v>
      </c>
      <c r="R617" s="55" t="s">
        <v>3530</v>
      </c>
      <c r="S617" s="58" t="s">
        <v>3066</v>
      </c>
      <c r="T617" s="51"/>
      <c r="U617" s="51"/>
      <c r="V617" s="51"/>
      <c r="W617" s="51"/>
      <c r="X617" s="51"/>
      <c r="Y617" s="51"/>
      <c r="Z617" s="60"/>
      <c r="AA617" s="73"/>
      <c r="AB617" s="62" t="s">
        <v>61</v>
      </c>
      <c r="AC617" s="63" t="s">
        <v>61</v>
      </c>
      <c r="AD617" s="64" t="s">
        <v>61</v>
      </c>
      <c r="AE617" s="64" t="s">
        <v>61</v>
      </c>
      <c r="AF617" s="63" t="s">
        <v>61</v>
      </c>
      <c r="AG617" s="63" t="s">
        <v>61</v>
      </c>
      <c r="AH617" s="63" t="s">
        <v>61</v>
      </c>
      <c r="AI617" s="65" t="s">
        <v>61</v>
      </c>
      <c r="AJ617" s="105" t="s">
        <v>61</v>
      </c>
      <c r="AK617" s="76"/>
    </row>
    <row r="618" ht="24.0" customHeight="1">
      <c r="A618" s="35"/>
      <c r="B618" s="36">
        <v>1.0</v>
      </c>
      <c r="C618" s="37" t="str">
        <f>IFERROR(__xludf.DUMMYFUNCTION("""COMPUTED_VALUE"""),"Tre Eitniear (3) - '27 MINF MI")</f>
        <v>Tre Eitniear (3) - '27 MINF MI</v>
      </c>
      <c r="D618" s="38" t="s">
        <v>3531</v>
      </c>
      <c r="E618" s="39" t="s">
        <v>48</v>
      </c>
      <c r="F618" s="118">
        <v>45865.0</v>
      </c>
      <c r="G618" s="113" t="s">
        <v>1395</v>
      </c>
      <c r="H618" s="42" t="s">
        <v>3532</v>
      </c>
      <c r="I618" s="43" t="s">
        <v>3533</v>
      </c>
      <c r="J618" s="43">
        <v>2027.0</v>
      </c>
      <c r="K618" s="43">
        <v>3.0</v>
      </c>
      <c r="L618" s="160" t="s">
        <v>61</v>
      </c>
      <c r="M618" s="43" t="s">
        <v>51</v>
      </c>
      <c r="N618" s="80"/>
      <c r="O618" s="43" t="s">
        <v>1550</v>
      </c>
      <c r="P618" s="43" t="s">
        <v>3534</v>
      </c>
      <c r="Q618" s="43" t="s">
        <v>614</v>
      </c>
      <c r="R618" s="43" t="s">
        <v>3535</v>
      </c>
      <c r="S618" s="44"/>
      <c r="T618" s="39">
        <v>3.9</v>
      </c>
      <c r="U618" s="39"/>
      <c r="V618" s="39" t="s">
        <v>3536</v>
      </c>
      <c r="W618" s="39" t="s">
        <v>2821</v>
      </c>
      <c r="X618" s="81"/>
      <c r="Y618" s="81"/>
      <c r="Z618" s="82"/>
      <c r="AA618" s="99"/>
      <c r="AB618" s="48" t="s">
        <v>61</v>
      </c>
      <c r="AC618" s="68" t="s">
        <v>61</v>
      </c>
      <c r="AD618" s="69" t="s">
        <v>61</v>
      </c>
      <c r="AE618" s="69" t="s">
        <v>61</v>
      </c>
      <c r="AF618" s="68" t="s">
        <v>61</v>
      </c>
      <c r="AG618" s="68" t="s">
        <v>61</v>
      </c>
      <c r="AH618" s="68" t="s">
        <v>61</v>
      </c>
      <c r="AI618" s="70" t="s">
        <v>61</v>
      </c>
      <c r="AJ618" s="49" t="s">
        <v>61</v>
      </c>
      <c r="AK618" s="46"/>
    </row>
    <row r="619" ht="24.0" customHeight="1">
      <c r="A619" s="35"/>
      <c r="B619" s="36">
        <v>1.0</v>
      </c>
      <c r="C619" s="37" t="str">
        <f>IFERROR(__xludf.DUMMYFUNCTION("""COMPUTED_VALUE"""),"Nick Fantasia (3) - '27 LHP MA")</f>
        <v>Nick Fantasia (3) - '27 LHP MA</v>
      </c>
      <c r="D619" s="89" t="s">
        <v>3537</v>
      </c>
      <c r="E619" s="51" t="s">
        <v>122</v>
      </c>
      <c r="F619" s="119">
        <v>45865.0</v>
      </c>
      <c r="G619" s="116" t="s">
        <v>1395</v>
      </c>
      <c r="H619" s="54" t="s">
        <v>1123</v>
      </c>
      <c r="I619" s="55" t="s">
        <v>3538</v>
      </c>
      <c r="J619" s="55">
        <v>2027.0</v>
      </c>
      <c r="K619" s="55">
        <v>3.0</v>
      </c>
      <c r="L619" s="167" t="s">
        <v>61</v>
      </c>
      <c r="M619" s="55" t="s">
        <v>122</v>
      </c>
      <c r="N619" s="57"/>
      <c r="O619" s="55" t="s">
        <v>1556</v>
      </c>
      <c r="P619" s="55" t="s">
        <v>3539</v>
      </c>
      <c r="Q619" s="55" t="s">
        <v>85</v>
      </c>
      <c r="R619" s="55" t="s">
        <v>3540</v>
      </c>
      <c r="S619" s="58" t="s">
        <v>1424</v>
      </c>
      <c r="T619" s="74"/>
      <c r="U619" s="74"/>
      <c r="V619" s="51" t="s">
        <v>3541</v>
      </c>
      <c r="W619" s="51" t="s">
        <v>2821</v>
      </c>
      <c r="X619" s="74"/>
      <c r="Y619" s="74"/>
      <c r="Z619" s="76"/>
      <c r="AA619" s="134"/>
      <c r="AB619" s="62" t="s">
        <v>61</v>
      </c>
      <c r="AC619" s="63" t="s">
        <v>61</v>
      </c>
      <c r="AD619" s="64" t="s">
        <v>61</v>
      </c>
      <c r="AE619" s="64" t="s">
        <v>61</v>
      </c>
      <c r="AF619" s="63" t="s">
        <v>61</v>
      </c>
      <c r="AG619" s="63" t="s">
        <v>61</v>
      </c>
      <c r="AH619" s="63" t="s">
        <v>61</v>
      </c>
      <c r="AI619" s="65" t="s">
        <v>61</v>
      </c>
      <c r="AJ619" s="66" t="s">
        <v>61</v>
      </c>
      <c r="AK619" s="60"/>
    </row>
    <row r="620" ht="24.0" customHeight="1">
      <c r="A620" s="35"/>
      <c r="B620" s="36">
        <v>1.0</v>
      </c>
      <c r="C620" s="37" t="str">
        <f>IFERROR(__xludf.DUMMYFUNCTION("""COMPUTED_VALUE"""),"James Fenton (3) - '28 RHP NJ")</f>
        <v>James Fenton (3) - '28 RHP NJ</v>
      </c>
      <c r="D620" s="38" t="s">
        <v>3542</v>
      </c>
      <c r="E620" s="39" t="s">
        <v>63</v>
      </c>
      <c r="F620" s="112"/>
      <c r="G620" s="113" t="s">
        <v>1395</v>
      </c>
      <c r="H620" s="42" t="s">
        <v>916</v>
      </c>
      <c r="I620" s="43" t="s">
        <v>3543</v>
      </c>
      <c r="J620" s="43">
        <v>2028.0</v>
      </c>
      <c r="K620" s="43">
        <v>3.0</v>
      </c>
      <c r="L620" s="44" t="s">
        <v>2877</v>
      </c>
      <c r="M620" s="43" t="s">
        <v>63</v>
      </c>
      <c r="N620" s="43"/>
      <c r="O620" s="43" t="s">
        <v>1550</v>
      </c>
      <c r="P620" s="43"/>
      <c r="Q620" s="43" t="s">
        <v>502</v>
      </c>
      <c r="R620" s="80"/>
      <c r="S620" s="44" t="s">
        <v>3066</v>
      </c>
      <c r="T620" s="39"/>
      <c r="U620" s="39"/>
      <c r="V620" s="39"/>
      <c r="W620" s="39"/>
      <c r="X620" s="39"/>
      <c r="Y620" s="39"/>
      <c r="Z620" s="46"/>
      <c r="AA620" s="47"/>
      <c r="AB620" s="48" t="s">
        <v>61</v>
      </c>
      <c r="AC620" s="68" t="s">
        <v>61</v>
      </c>
      <c r="AD620" s="69" t="s">
        <v>61</v>
      </c>
      <c r="AE620" s="69" t="s">
        <v>61</v>
      </c>
      <c r="AF620" s="68" t="s">
        <v>61</v>
      </c>
      <c r="AG620" s="68" t="s">
        <v>61</v>
      </c>
      <c r="AH620" s="68" t="s">
        <v>61</v>
      </c>
      <c r="AI620" s="70" t="s">
        <v>61</v>
      </c>
      <c r="AJ620" s="114" t="s">
        <v>61</v>
      </c>
      <c r="AK620" s="82"/>
    </row>
    <row r="621" ht="24.0" customHeight="1">
      <c r="A621" s="35"/>
      <c r="B621" s="36">
        <v>1.0</v>
      </c>
      <c r="C621" s="37" t="str">
        <f>IFERROR(__xludf.DUMMYFUNCTION("""COMPUTED_VALUE"""),"Carson Fuhrer (3) - '27 RHP OH")</f>
        <v>Carson Fuhrer (3) - '27 RHP OH</v>
      </c>
      <c r="D621" s="89" t="s">
        <v>3544</v>
      </c>
      <c r="E621" s="51" t="s">
        <v>63</v>
      </c>
      <c r="F621" s="119">
        <v>45917.0</v>
      </c>
      <c r="G621" s="116" t="s">
        <v>1430</v>
      </c>
      <c r="H621" s="54" t="s">
        <v>599</v>
      </c>
      <c r="I621" s="55" t="s">
        <v>3545</v>
      </c>
      <c r="J621" s="55">
        <v>2027.0</v>
      </c>
      <c r="K621" s="55">
        <v>3.0</v>
      </c>
      <c r="L621" s="159" t="s">
        <v>61</v>
      </c>
      <c r="M621" s="55" t="s">
        <v>63</v>
      </c>
      <c r="N621" s="55"/>
      <c r="O621" s="55" t="s">
        <v>1550</v>
      </c>
      <c r="P621" s="57"/>
      <c r="Q621" s="55" t="s">
        <v>529</v>
      </c>
      <c r="R621" s="55" t="s">
        <v>3546</v>
      </c>
      <c r="S621" s="58" t="s">
        <v>3547</v>
      </c>
      <c r="T621" s="74"/>
      <c r="U621" s="74"/>
      <c r="V621" s="74"/>
      <c r="W621" s="74"/>
      <c r="X621" s="74"/>
      <c r="Y621" s="74"/>
      <c r="Z621" s="76"/>
      <c r="AA621" s="134"/>
      <c r="AB621" s="62" t="s">
        <v>61</v>
      </c>
      <c r="AC621" s="63" t="s">
        <v>61</v>
      </c>
      <c r="AD621" s="64" t="s">
        <v>61</v>
      </c>
      <c r="AE621" s="64" t="s">
        <v>61</v>
      </c>
      <c r="AF621" s="63" t="s">
        <v>61</v>
      </c>
      <c r="AG621" s="63" t="s">
        <v>61</v>
      </c>
      <c r="AH621" s="63" t="s">
        <v>61</v>
      </c>
      <c r="AI621" s="65" t="s">
        <v>61</v>
      </c>
      <c r="AJ621" s="66" t="s">
        <v>61</v>
      </c>
      <c r="AK621" s="60"/>
    </row>
    <row r="622" ht="24.0" customHeight="1">
      <c r="A622" s="35"/>
      <c r="B622" s="36">
        <v>1.0</v>
      </c>
      <c r="C622" s="37" t="str">
        <f>IFERROR(__xludf.DUMMYFUNCTION("""COMPUTED_VALUE"""),"Gavin Fuscone (3) - '27 RHP IL")</f>
        <v>Gavin Fuscone (3) - '27 RHP IL</v>
      </c>
      <c r="D622" s="38" t="s">
        <v>3548</v>
      </c>
      <c r="E622" s="39" t="s">
        <v>63</v>
      </c>
      <c r="F622" s="118">
        <v>45917.0</v>
      </c>
      <c r="G622" s="113" t="s">
        <v>1430</v>
      </c>
      <c r="H622" s="42" t="s">
        <v>788</v>
      </c>
      <c r="I622" s="43" t="s">
        <v>3549</v>
      </c>
      <c r="J622" s="43">
        <v>2027.0</v>
      </c>
      <c r="K622" s="43">
        <v>3.0</v>
      </c>
      <c r="L622" s="168" t="s">
        <v>61</v>
      </c>
      <c r="M622" s="43" t="s">
        <v>63</v>
      </c>
      <c r="N622" s="43"/>
      <c r="O622" s="43" t="s">
        <v>1550</v>
      </c>
      <c r="P622" s="43" t="s">
        <v>3550</v>
      </c>
      <c r="Q622" s="43" t="s">
        <v>307</v>
      </c>
      <c r="R622" s="43" t="s">
        <v>3551</v>
      </c>
      <c r="S622" s="117"/>
      <c r="T622" s="81"/>
      <c r="U622" s="81"/>
      <c r="V622" s="81"/>
      <c r="W622" s="81"/>
      <c r="X622" s="81"/>
      <c r="Y622" s="81"/>
      <c r="Z622" s="82"/>
      <c r="AA622" s="99"/>
      <c r="AB622" s="48" t="s">
        <v>61</v>
      </c>
      <c r="AC622" s="68" t="s">
        <v>61</v>
      </c>
      <c r="AD622" s="69" t="s">
        <v>61</v>
      </c>
      <c r="AE622" s="69" t="s">
        <v>61</v>
      </c>
      <c r="AF622" s="68" t="s">
        <v>61</v>
      </c>
      <c r="AG622" s="68" t="s">
        <v>61</v>
      </c>
      <c r="AH622" s="68" t="s">
        <v>61</v>
      </c>
      <c r="AI622" s="70" t="s">
        <v>61</v>
      </c>
      <c r="AJ622" s="49" t="s">
        <v>61</v>
      </c>
      <c r="AK622" s="46"/>
    </row>
    <row r="623" ht="24.0" customHeight="1">
      <c r="A623" s="35"/>
      <c r="B623" s="36">
        <v>1.0</v>
      </c>
      <c r="C623" s="37" t="str">
        <f>IFERROR(__xludf.DUMMYFUNCTION("""COMPUTED_VALUE"""),"Joshua Gertner (3) - '27 SS ")</f>
        <v>Joshua Gertner (3) - '27 SS </v>
      </c>
      <c r="D623" s="89" t="s">
        <v>3552</v>
      </c>
      <c r="E623" s="51" t="s">
        <v>48</v>
      </c>
      <c r="F623" s="137"/>
      <c r="G623" s="133"/>
      <c r="H623" s="54" t="s">
        <v>3514</v>
      </c>
      <c r="I623" s="55" t="s">
        <v>3553</v>
      </c>
      <c r="J623" s="55">
        <v>2027.0</v>
      </c>
      <c r="K623" s="55">
        <v>3.0</v>
      </c>
      <c r="L623" s="167" t="s">
        <v>61</v>
      </c>
      <c r="M623" s="55" t="s">
        <v>1398</v>
      </c>
      <c r="N623" s="57"/>
      <c r="O623" s="55" t="s">
        <v>1550</v>
      </c>
      <c r="P623" s="55" t="s">
        <v>3554</v>
      </c>
      <c r="Q623" s="57"/>
      <c r="R623" s="55" t="s">
        <v>1067</v>
      </c>
      <c r="S623" s="58" t="s">
        <v>1723</v>
      </c>
      <c r="T623" s="74"/>
      <c r="U623" s="74"/>
      <c r="V623" s="139"/>
      <c r="W623" s="51" t="s">
        <v>1724</v>
      </c>
      <c r="X623" s="74"/>
      <c r="Y623" s="74"/>
      <c r="Z623" s="76"/>
      <c r="AA623" s="134"/>
      <c r="AB623" s="62" t="s">
        <v>61</v>
      </c>
      <c r="AC623" s="63" t="s">
        <v>61</v>
      </c>
      <c r="AD623" s="64" t="s">
        <v>61</v>
      </c>
      <c r="AE623" s="64" t="s">
        <v>61</v>
      </c>
      <c r="AF623" s="63" t="s">
        <v>61</v>
      </c>
      <c r="AG623" s="63" t="s">
        <v>61</v>
      </c>
      <c r="AH623" s="63" t="s">
        <v>61</v>
      </c>
      <c r="AI623" s="65" t="s">
        <v>61</v>
      </c>
      <c r="AJ623" s="66" t="s">
        <v>61</v>
      </c>
      <c r="AK623" s="60"/>
    </row>
    <row r="624" ht="24.0" customHeight="1">
      <c r="A624" s="35"/>
      <c r="B624" s="36">
        <v>1.0</v>
      </c>
      <c r="C624" s="37" t="str">
        <f>IFERROR(__xludf.DUMMYFUNCTION("""COMPUTED_VALUE"""),"Liam Gregg (3) - '27 RHP MA")</f>
        <v>Liam Gregg (3) - '27 RHP MA</v>
      </c>
      <c r="D624" s="38" t="s">
        <v>3555</v>
      </c>
      <c r="E624" s="39" t="s">
        <v>63</v>
      </c>
      <c r="F624" s="112"/>
      <c r="G624" s="113" t="s">
        <v>1395</v>
      </c>
      <c r="H624" s="42" t="s">
        <v>1020</v>
      </c>
      <c r="I624" s="43" t="s">
        <v>3556</v>
      </c>
      <c r="J624" s="43">
        <v>2027.0</v>
      </c>
      <c r="K624" s="43">
        <v>3.0</v>
      </c>
      <c r="L624" s="158" t="s">
        <v>61</v>
      </c>
      <c r="M624" s="43" t="s">
        <v>63</v>
      </c>
      <c r="N624" s="43"/>
      <c r="O624" s="43" t="s">
        <v>1550</v>
      </c>
      <c r="P624" s="43"/>
      <c r="Q624" s="43" t="s">
        <v>85</v>
      </c>
      <c r="R624" s="43" t="s">
        <v>3557</v>
      </c>
      <c r="S624" s="44" t="s">
        <v>87</v>
      </c>
      <c r="T624" s="39"/>
      <c r="U624" s="39"/>
      <c r="V624" s="39"/>
      <c r="W624" s="39"/>
      <c r="X624" s="39"/>
      <c r="Y624" s="39"/>
      <c r="Z624" s="46"/>
      <c r="AA624" s="47"/>
      <c r="AB624" s="48" t="s">
        <v>61</v>
      </c>
      <c r="AC624" s="68" t="s">
        <v>61</v>
      </c>
      <c r="AD624" s="69" t="s">
        <v>61</v>
      </c>
      <c r="AE624" s="69" t="s">
        <v>61</v>
      </c>
      <c r="AF624" s="68" t="s">
        <v>61</v>
      </c>
      <c r="AG624" s="68" t="s">
        <v>61</v>
      </c>
      <c r="AH624" s="68" t="s">
        <v>61</v>
      </c>
      <c r="AI624" s="70" t="s">
        <v>61</v>
      </c>
      <c r="AJ624" s="49" t="s">
        <v>61</v>
      </c>
      <c r="AK624" s="46"/>
    </row>
    <row r="625" ht="24.0" customHeight="1">
      <c r="A625" s="35"/>
      <c r="B625" s="36">
        <v>1.0</v>
      </c>
      <c r="C625" s="37" t="str">
        <f>IFERROR(__xludf.DUMMYFUNCTION("""COMPUTED_VALUE"""),"Cole Henebry (3) - '27 RHP MA")</f>
        <v>Cole Henebry (3) - '27 RHP MA</v>
      </c>
      <c r="D625" s="89" t="s">
        <v>3558</v>
      </c>
      <c r="E625" s="51" t="s">
        <v>63</v>
      </c>
      <c r="F625" s="115"/>
      <c r="G625" s="116" t="s">
        <v>1395</v>
      </c>
      <c r="H625" s="54" t="s">
        <v>324</v>
      </c>
      <c r="I625" s="55" t="s">
        <v>3559</v>
      </c>
      <c r="J625" s="55">
        <v>2027.0</v>
      </c>
      <c r="K625" s="55">
        <v>3.0</v>
      </c>
      <c r="L625" s="171" t="s">
        <v>61</v>
      </c>
      <c r="M625" s="55" t="s">
        <v>63</v>
      </c>
      <c r="N625" s="55"/>
      <c r="O625" s="55"/>
      <c r="P625" s="55"/>
      <c r="Q625" s="55" t="s">
        <v>85</v>
      </c>
      <c r="R625" s="55" t="s">
        <v>2319</v>
      </c>
      <c r="S625" s="58" t="s">
        <v>1424</v>
      </c>
      <c r="T625" s="51"/>
      <c r="U625" s="51"/>
      <c r="V625" s="51"/>
      <c r="W625" s="51"/>
      <c r="X625" s="51"/>
      <c r="Y625" s="51"/>
      <c r="Z625" s="60"/>
      <c r="AA625" s="73"/>
      <c r="AB625" s="62" t="s">
        <v>61</v>
      </c>
      <c r="AC625" s="63" t="s">
        <v>61</v>
      </c>
      <c r="AD625" s="64" t="s">
        <v>61</v>
      </c>
      <c r="AE625" s="64" t="s">
        <v>61</v>
      </c>
      <c r="AF625" s="63" t="s">
        <v>61</v>
      </c>
      <c r="AG625" s="63" t="s">
        <v>61</v>
      </c>
      <c r="AH625" s="63" t="s">
        <v>61</v>
      </c>
      <c r="AI625" s="65" t="s">
        <v>61</v>
      </c>
      <c r="AJ625" s="66" t="s">
        <v>61</v>
      </c>
      <c r="AK625" s="60"/>
    </row>
    <row r="626" ht="24.0" customHeight="1">
      <c r="A626" s="50"/>
      <c r="B626" s="36">
        <v>1.0</v>
      </c>
      <c r="C626" s="37" t="str">
        <f>IFERROR(__xludf.DUMMYFUNCTION("""COMPUTED_VALUE"""),"Conner Horner (3) - '27 LHP NC")</f>
        <v>Conner Horner (3) - '27 LHP NC</v>
      </c>
      <c r="D626" s="38" t="s">
        <v>3560</v>
      </c>
      <c r="E626" s="39" t="s">
        <v>122</v>
      </c>
      <c r="F626" s="118">
        <v>45945.0</v>
      </c>
      <c r="G626" s="122"/>
      <c r="H626" s="42" t="s">
        <v>3510</v>
      </c>
      <c r="I626" s="43" t="s">
        <v>3561</v>
      </c>
      <c r="J626" s="43">
        <v>2027.0</v>
      </c>
      <c r="K626" s="43">
        <v>3.0</v>
      </c>
      <c r="L626" s="160" t="s">
        <v>61</v>
      </c>
      <c r="M626" s="43" t="s">
        <v>122</v>
      </c>
      <c r="N626" s="43"/>
      <c r="O626" s="43" t="s">
        <v>1556</v>
      </c>
      <c r="P626" s="43" t="s">
        <v>3562</v>
      </c>
      <c r="Q626" s="43" t="s">
        <v>73</v>
      </c>
      <c r="R626" s="43" t="s">
        <v>3563</v>
      </c>
      <c r="S626" s="44" t="s">
        <v>1766</v>
      </c>
      <c r="T626" s="81"/>
      <c r="U626" s="81"/>
      <c r="V626" s="81"/>
      <c r="W626" s="39" t="s">
        <v>1571</v>
      </c>
      <c r="X626" s="81"/>
      <c r="Y626" s="81"/>
      <c r="Z626" s="82"/>
      <c r="AA626" s="99"/>
      <c r="AB626" s="48" t="s">
        <v>61</v>
      </c>
      <c r="AC626" s="68" t="s">
        <v>61</v>
      </c>
      <c r="AD626" s="69" t="s">
        <v>61</v>
      </c>
      <c r="AE626" s="69" t="s">
        <v>61</v>
      </c>
      <c r="AF626" s="68" t="s">
        <v>61</v>
      </c>
      <c r="AG626" s="68" t="s">
        <v>61</v>
      </c>
      <c r="AH626" s="68" t="s">
        <v>61</v>
      </c>
      <c r="AI626" s="70" t="s">
        <v>61</v>
      </c>
      <c r="AJ626" s="114" t="s">
        <v>61</v>
      </c>
      <c r="AK626" s="82"/>
    </row>
    <row r="627" ht="24.0" customHeight="1">
      <c r="A627" s="71"/>
      <c r="B627" s="36">
        <v>1.0</v>
      </c>
      <c r="C627" s="37" t="str">
        <f>IFERROR(__xludf.DUMMYFUNCTION("""COMPUTED_VALUE"""),"Anthony Huaranga (3) - '28 CINF NJ")</f>
        <v>Anthony Huaranga (3) - '28 CINF NJ</v>
      </c>
      <c r="D627" s="38" t="s">
        <v>3564</v>
      </c>
      <c r="E627" s="51" t="s">
        <v>48</v>
      </c>
      <c r="F627" s="115"/>
      <c r="G627" s="116" t="s">
        <v>1395</v>
      </c>
      <c r="H627" s="54" t="s">
        <v>467</v>
      </c>
      <c r="I627" s="55" t="s">
        <v>3565</v>
      </c>
      <c r="J627" s="55">
        <v>2028.0</v>
      </c>
      <c r="K627" s="55">
        <v>3.0</v>
      </c>
      <c r="L627" s="58" t="s">
        <v>2877</v>
      </c>
      <c r="M627" s="55" t="s">
        <v>72</v>
      </c>
      <c r="N627" s="57"/>
      <c r="O627" s="55" t="s">
        <v>1989</v>
      </c>
      <c r="P627" s="57"/>
      <c r="Q627" s="55" t="s">
        <v>502</v>
      </c>
      <c r="R627" s="55" t="s">
        <v>3566</v>
      </c>
      <c r="S627" s="58" t="s">
        <v>3516</v>
      </c>
      <c r="T627" s="51"/>
      <c r="U627" s="51"/>
      <c r="V627" s="51"/>
      <c r="W627" s="51"/>
      <c r="X627" s="51"/>
      <c r="Y627" s="51"/>
      <c r="Z627" s="60"/>
      <c r="AA627" s="73"/>
      <c r="AB627" s="62" t="s">
        <v>61</v>
      </c>
      <c r="AC627" s="63" t="s">
        <v>61</v>
      </c>
      <c r="AD627" s="64" t="s">
        <v>61</v>
      </c>
      <c r="AE627" s="64" t="s">
        <v>61</v>
      </c>
      <c r="AF627" s="63" t="s">
        <v>61</v>
      </c>
      <c r="AG627" s="63" t="s">
        <v>61</v>
      </c>
      <c r="AH627" s="63" t="s">
        <v>61</v>
      </c>
      <c r="AI627" s="65" t="s">
        <v>61</v>
      </c>
      <c r="AJ627" s="105" t="s">
        <v>61</v>
      </c>
      <c r="AK627" s="76"/>
    </row>
    <row r="628" ht="24.0" customHeight="1">
      <c r="A628" s="35"/>
      <c r="B628" s="36">
        <v>1.0</v>
      </c>
      <c r="C628" s="37" t="str">
        <f>IFERROR(__xludf.DUMMYFUNCTION("""COMPUTED_VALUE"""),"Ryan Huban (3) - '27 1B ")</f>
        <v>Ryan Huban (3) - '27 1B </v>
      </c>
      <c r="D628" s="89" t="s">
        <v>3567</v>
      </c>
      <c r="E628" s="39" t="s">
        <v>48</v>
      </c>
      <c r="F628" s="121"/>
      <c r="G628" s="122"/>
      <c r="H628" s="42" t="s">
        <v>1206</v>
      </c>
      <c r="I628" s="43" t="s">
        <v>3568</v>
      </c>
      <c r="J628" s="43">
        <v>2027.0</v>
      </c>
      <c r="K628" s="43">
        <v>3.0</v>
      </c>
      <c r="L628" s="160" t="s">
        <v>61</v>
      </c>
      <c r="M628" s="43" t="s">
        <v>1972</v>
      </c>
      <c r="N628" s="80"/>
      <c r="O628" s="43" t="s">
        <v>1550</v>
      </c>
      <c r="P628" s="43" t="s">
        <v>3569</v>
      </c>
      <c r="Q628" s="80"/>
      <c r="R628" s="43" t="s">
        <v>3570</v>
      </c>
      <c r="S628" s="44" t="s">
        <v>3571</v>
      </c>
      <c r="T628" s="81"/>
      <c r="U628" s="81"/>
      <c r="V628" s="157"/>
      <c r="W628" s="39" t="s">
        <v>1724</v>
      </c>
      <c r="X628" s="81"/>
      <c r="Y628" s="81"/>
      <c r="Z628" s="82"/>
      <c r="AA628" s="99"/>
      <c r="AB628" s="48" t="s">
        <v>61</v>
      </c>
      <c r="AC628" s="68" t="s">
        <v>61</v>
      </c>
      <c r="AD628" s="69" t="s">
        <v>61</v>
      </c>
      <c r="AE628" s="69" t="s">
        <v>61</v>
      </c>
      <c r="AF628" s="68" t="s">
        <v>61</v>
      </c>
      <c r="AG628" s="68" t="s">
        <v>61</v>
      </c>
      <c r="AH628" s="68" t="s">
        <v>61</v>
      </c>
      <c r="AI628" s="70" t="s">
        <v>61</v>
      </c>
      <c r="AJ628" s="49" t="s">
        <v>61</v>
      </c>
      <c r="AK628" s="46"/>
    </row>
    <row r="629" ht="24.0" customHeight="1">
      <c r="A629" s="35"/>
      <c r="B629" s="36">
        <v>1.0</v>
      </c>
      <c r="C629" s="37" t="str">
        <f>IFERROR(__xludf.DUMMYFUNCTION("""COMPUTED_VALUE"""),"Caden Jobe (3) - '27 1B ")</f>
        <v>Caden Jobe (3) - '27 1B </v>
      </c>
      <c r="D629" s="38" t="s">
        <v>3572</v>
      </c>
      <c r="E629" s="51" t="s">
        <v>48</v>
      </c>
      <c r="F629" s="137"/>
      <c r="G629" s="133"/>
      <c r="H629" s="54" t="s">
        <v>227</v>
      </c>
      <c r="I629" s="55" t="s">
        <v>3573</v>
      </c>
      <c r="J629" s="55">
        <v>2027.0</v>
      </c>
      <c r="K629" s="55">
        <v>3.0</v>
      </c>
      <c r="L629" s="159" t="s">
        <v>61</v>
      </c>
      <c r="M629" s="55" t="s">
        <v>1972</v>
      </c>
      <c r="N629" s="57"/>
      <c r="O629" s="57"/>
      <c r="P629" s="55" t="s">
        <v>3574</v>
      </c>
      <c r="Q629" s="57"/>
      <c r="R629" s="55" t="s">
        <v>3575</v>
      </c>
      <c r="S629" s="58" t="s">
        <v>3098</v>
      </c>
      <c r="T629" s="74"/>
      <c r="U629" s="74"/>
      <c r="V629" s="139"/>
      <c r="W629" s="51" t="s">
        <v>1724</v>
      </c>
      <c r="X629" s="51" t="s">
        <v>1556</v>
      </c>
      <c r="Y629" s="74"/>
      <c r="Z629" s="76"/>
      <c r="AA629" s="134"/>
      <c r="AB629" s="62" t="s">
        <v>61</v>
      </c>
      <c r="AC629" s="63" t="s">
        <v>61</v>
      </c>
      <c r="AD629" s="64" t="s">
        <v>61</v>
      </c>
      <c r="AE629" s="64" t="s">
        <v>61</v>
      </c>
      <c r="AF629" s="63" t="s">
        <v>61</v>
      </c>
      <c r="AG629" s="63" t="s">
        <v>61</v>
      </c>
      <c r="AH629" s="63" t="s">
        <v>61</v>
      </c>
      <c r="AI629" s="65" t="s">
        <v>61</v>
      </c>
      <c r="AJ629" s="66" t="s">
        <v>61</v>
      </c>
      <c r="AK629" s="60"/>
    </row>
    <row r="630" ht="24.0" customHeight="1">
      <c r="A630" s="35"/>
      <c r="B630" s="36">
        <v>1.0</v>
      </c>
      <c r="C630" s="37" t="str">
        <f>IFERROR(__xludf.DUMMYFUNCTION("""COMPUTED_VALUE"""),"Brennan Jones (3) - '27 SS FL")</f>
        <v>Brennan Jones (3) - '27 SS FL</v>
      </c>
      <c r="D630" s="89" t="s">
        <v>3576</v>
      </c>
      <c r="E630" s="39" t="s">
        <v>48</v>
      </c>
      <c r="F630" s="112"/>
      <c r="G630" s="113" t="s">
        <v>1430</v>
      </c>
      <c r="H630" s="42" t="s">
        <v>3417</v>
      </c>
      <c r="I630" s="43" t="s">
        <v>941</v>
      </c>
      <c r="J630" s="43">
        <v>2027.0</v>
      </c>
      <c r="K630" s="43">
        <v>3.0</v>
      </c>
      <c r="L630" s="160" t="s">
        <v>61</v>
      </c>
      <c r="M630" s="43" t="s">
        <v>1398</v>
      </c>
      <c r="N630" s="80"/>
      <c r="O630" s="43"/>
      <c r="P630" s="43"/>
      <c r="Q630" s="43" t="s">
        <v>66</v>
      </c>
      <c r="R630" s="43" t="s">
        <v>621</v>
      </c>
      <c r="S630" s="44" t="s">
        <v>68</v>
      </c>
      <c r="T630" s="39">
        <v>3.75</v>
      </c>
      <c r="U630" s="39"/>
      <c r="V630" s="39"/>
      <c r="W630" s="39"/>
      <c r="X630" s="39"/>
      <c r="Y630" s="39"/>
      <c r="Z630" s="46"/>
      <c r="AA630" s="47" t="s">
        <v>3577</v>
      </c>
      <c r="AB630" s="48" t="s">
        <v>3578</v>
      </c>
      <c r="AC630" s="68" t="s">
        <v>3579</v>
      </c>
      <c r="AD630" s="69" t="s">
        <v>3580</v>
      </c>
      <c r="AE630" s="69" t="s">
        <v>3581</v>
      </c>
      <c r="AF630" s="68" t="s">
        <v>1948</v>
      </c>
      <c r="AG630" s="68"/>
      <c r="AH630" s="68"/>
      <c r="AI630" s="70" t="s">
        <v>81</v>
      </c>
      <c r="AJ630" s="164" t="s">
        <v>61</v>
      </c>
      <c r="AK630" s="165"/>
    </row>
    <row r="631" ht="24.0" customHeight="1">
      <c r="A631" s="35"/>
      <c r="B631" s="36">
        <v>1.0</v>
      </c>
      <c r="C631" s="37" t="str">
        <f>IFERROR(__xludf.DUMMYFUNCTION("""COMPUTED_VALUE"""),"Drew Kittelberger (3) - '27 SS ")</f>
        <v>Drew Kittelberger (3) - '27 SS </v>
      </c>
      <c r="D631" s="89" t="s">
        <v>3582</v>
      </c>
      <c r="E631" s="51" t="s">
        <v>48</v>
      </c>
      <c r="F631" s="137"/>
      <c r="G631" s="116" t="s">
        <v>1430</v>
      </c>
      <c r="H631" s="54" t="s">
        <v>249</v>
      </c>
      <c r="I631" s="55" t="s">
        <v>3583</v>
      </c>
      <c r="J631" s="55">
        <v>2027.0</v>
      </c>
      <c r="K631" s="55">
        <v>3.0</v>
      </c>
      <c r="L631" s="159" t="s">
        <v>61</v>
      </c>
      <c r="M631" s="55" t="s">
        <v>1398</v>
      </c>
      <c r="N631" s="55" t="s">
        <v>103</v>
      </c>
      <c r="O631" s="57"/>
      <c r="P631" s="55" t="s">
        <v>3584</v>
      </c>
      <c r="Q631" s="57"/>
      <c r="R631" s="55" t="s">
        <v>3585</v>
      </c>
      <c r="S631" s="58" t="s">
        <v>3586</v>
      </c>
      <c r="T631" s="74"/>
      <c r="U631" s="74"/>
      <c r="V631" s="139"/>
      <c r="W631" s="51" t="s">
        <v>1724</v>
      </c>
      <c r="X631" s="51" t="s">
        <v>2324</v>
      </c>
      <c r="Y631" s="74"/>
      <c r="Z631" s="76"/>
      <c r="AA631" s="134"/>
      <c r="AB631" s="62" t="s">
        <v>61</v>
      </c>
      <c r="AC631" s="63" t="s">
        <v>61</v>
      </c>
      <c r="AD631" s="64" t="s">
        <v>61</v>
      </c>
      <c r="AE631" s="64" t="s">
        <v>61</v>
      </c>
      <c r="AF631" s="63" t="s">
        <v>61</v>
      </c>
      <c r="AG631" s="63" t="s">
        <v>61</v>
      </c>
      <c r="AH631" s="63" t="s">
        <v>61</v>
      </c>
      <c r="AI631" s="65" t="s">
        <v>61</v>
      </c>
      <c r="AJ631" s="66" t="s">
        <v>61</v>
      </c>
      <c r="AK631" s="60"/>
    </row>
    <row r="632" ht="24.0" customHeight="1">
      <c r="A632" s="35"/>
      <c r="B632" s="36">
        <v>1.0</v>
      </c>
      <c r="C632" s="37" t="str">
        <f>IFERROR(__xludf.DUMMYFUNCTION("""COMPUTED_VALUE"""),"Tyler Koski (3) - '27 MINF MA")</f>
        <v>Tyler Koski (3) - '27 MINF MA</v>
      </c>
      <c r="D632" s="38" t="s">
        <v>3587</v>
      </c>
      <c r="E632" s="39" t="s">
        <v>48</v>
      </c>
      <c r="F632" s="173"/>
      <c r="G632" s="174"/>
      <c r="H632" s="175" t="s">
        <v>104</v>
      </c>
      <c r="I632" s="142" t="s">
        <v>3588</v>
      </c>
      <c r="J632" s="142">
        <v>2027.0</v>
      </c>
      <c r="K632" s="43">
        <v>3.0</v>
      </c>
      <c r="L632" s="160" t="s">
        <v>61</v>
      </c>
      <c r="M632" s="43" t="s">
        <v>51</v>
      </c>
      <c r="N632" s="43"/>
      <c r="O632" s="43" t="s">
        <v>1550</v>
      </c>
      <c r="P632" s="43"/>
      <c r="Q632" s="43" t="s">
        <v>85</v>
      </c>
      <c r="R632" s="43" t="s">
        <v>86</v>
      </c>
      <c r="S632" s="44" t="s">
        <v>2486</v>
      </c>
      <c r="T632" s="39"/>
      <c r="U632" s="39"/>
      <c r="V632" s="39"/>
      <c r="W632" s="39"/>
      <c r="X632" s="39"/>
      <c r="Y632" s="39"/>
      <c r="Z632" s="46"/>
      <c r="AA632" s="47"/>
      <c r="AB632" s="48" t="s">
        <v>61</v>
      </c>
      <c r="AC632" s="68" t="s">
        <v>61</v>
      </c>
      <c r="AD632" s="69" t="s">
        <v>61</v>
      </c>
      <c r="AE632" s="69" t="s">
        <v>61</v>
      </c>
      <c r="AF632" s="68" t="s">
        <v>61</v>
      </c>
      <c r="AG632" s="68" t="s">
        <v>61</v>
      </c>
      <c r="AH632" s="68" t="s">
        <v>61</v>
      </c>
      <c r="AI632" s="70" t="s">
        <v>61</v>
      </c>
      <c r="AJ632" s="49" t="s">
        <v>61</v>
      </c>
      <c r="AK632" s="46"/>
    </row>
    <row r="633" ht="24.0" customHeight="1">
      <c r="A633" s="35"/>
      <c r="B633" s="36">
        <v>1.0</v>
      </c>
      <c r="C633" s="37" t="str">
        <f>IFERROR(__xludf.DUMMYFUNCTION("""COMPUTED_VALUE"""),"Aiden Kulich (3) - '27 RHP ")</f>
        <v>Aiden Kulich (3) - '27 RHP </v>
      </c>
      <c r="D633" s="38" t="s">
        <v>3589</v>
      </c>
      <c r="E633" s="51" t="s">
        <v>63</v>
      </c>
      <c r="F633" s="119">
        <v>45925.0</v>
      </c>
      <c r="G633" s="116" t="s">
        <v>1395</v>
      </c>
      <c r="H633" s="54" t="s">
        <v>193</v>
      </c>
      <c r="I633" s="55" t="s">
        <v>3590</v>
      </c>
      <c r="J633" s="55">
        <v>2027.0</v>
      </c>
      <c r="K633" s="55">
        <v>3.0</v>
      </c>
      <c r="L633" s="159" t="s">
        <v>61</v>
      </c>
      <c r="M633" s="55" t="s">
        <v>63</v>
      </c>
      <c r="N633" s="55"/>
      <c r="O633" s="57"/>
      <c r="P633" s="57"/>
      <c r="Q633" s="57"/>
      <c r="R633" s="57"/>
      <c r="S633" s="58" t="s">
        <v>2925</v>
      </c>
      <c r="T633" s="74"/>
      <c r="U633" s="74"/>
      <c r="V633" s="74"/>
      <c r="W633" s="51" t="s">
        <v>1564</v>
      </c>
      <c r="X633" s="74"/>
      <c r="Y633" s="74"/>
      <c r="Z633" s="76"/>
      <c r="AA633" s="134"/>
      <c r="AB633" s="62" t="s">
        <v>61</v>
      </c>
      <c r="AC633" s="63" t="s">
        <v>61</v>
      </c>
      <c r="AD633" s="64" t="s">
        <v>61</v>
      </c>
      <c r="AE633" s="64" t="s">
        <v>61</v>
      </c>
      <c r="AF633" s="63" t="s">
        <v>61</v>
      </c>
      <c r="AG633" s="63" t="s">
        <v>61</v>
      </c>
      <c r="AH633" s="63" t="s">
        <v>61</v>
      </c>
      <c r="AI633" s="65" t="s">
        <v>61</v>
      </c>
      <c r="AJ633" s="66" t="s">
        <v>61</v>
      </c>
      <c r="AK633" s="60"/>
    </row>
    <row r="634" ht="24.0" customHeight="1">
      <c r="A634" s="35"/>
      <c r="B634" s="36">
        <v>1.0</v>
      </c>
      <c r="C634" s="37" t="str">
        <f>IFERROR(__xludf.DUMMYFUNCTION("""COMPUTED_VALUE"""),"Merrick Lee (3) - '27 OF CA")</f>
        <v>Merrick Lee (3) - '27 OF CA</v>
      </c>
      <c r="D634" s="38" t="s">
        <v>3591</v>
      </c>
      <c r="E634" s="39" t="s">
        <v>103</v>
      </c>
      <c r="F634" s="118">
        <v>45865.0</v>
      </c>
      <c r="G634" s="113" t="s">
        <v>1395</v>
      </c>
      <c r="H634" s="42" t="s">
        <v>1082</v>
      </c>
      <c r="I634" s="43" t="s">
        <v>433</v>
      </c>
      <c r="J634" s="43">
        <v>2027.0</v>
      </c>
      <c r="K634" s="43">
        <v>3.0</v>
      </c>
      <c r="L634" s="160" t="s">
        <v>61</v>
      </c>
      <c r="M634" s="43" t="s">
        <v>103</v>
      </c>
      <c r="N634" s="80"/>
      <c r="O634" s="43" t="s">
        <v>2324</v>
      </c>
      <c r="P634" s="43" t="s">
        <v>3592</v>
      </c>
      <c r="Q634" s="43" t="s">
        <v>52</v>
      </c>
      <c r="R634" s="43" t="s">
        <v>3593</v>
      </c>
      <c r="S634" s="44"/>
      <c r="T634" s="39">
        <v>4.0</v>
      </c>
      <c r="U634" s="39"/>
      <c r="V634" s="39" t="s">
        <v>3594</v>
      </c>
      <c r="W634" s="39" t="s">
        <v>2821</v>
      </c>
      <c r="X634" s="81"/>
      <c r="Y634" s="81"/>
      <c r="Z634" s="82"/>
      <c r="AA634" s="99"/>
      <c r="AB634" s="48" t="s">
        <v>61</v>
      </c>
      <c r="AC634" s="68" t="s">
        <v>61</v>
      </c>
      <c r="AD634" s="69" t="s">
        <v>61</v>
      </c>
      <c r="AE634" s="69" t="s">
        <v>61</v>
      </c>
      <c r="AF634" s="68" t="s">
        <v>61</v>
      </c>
      <c r="AG634" s="68" t="s">
        <v>61</v>
      </c>
      <c r="AH634" s="68" t="s">
        <v>61</v>
      </c>
      <c r="AI634" s="70" t="s">
        <v>61</v>
      </c>
      <c r="AJ634" s="49" t="s">
        <v>61</v>
      </c>
      <c r="AK634" s="46"/>
    </row>
    <row r="635" ht="24.0" customHeight="1">
      <c r="A635" s="35"/>
      <c r="B635" s="36">
        <v>1.0</v>
      </c>
      <c r="C635" s="37" t="str">
        <f>IFERROR(__xludf.DUMMYFUNCTION("""COMPUTED_VALUE"""),"Jackson Lucarelli (3) - '27 C ")</f>
        <v>Jackson Lucarelli (3) - '27 C </v>
      </c>
      <c r="D635" s="38" t="s">
        <v>3595</v>
      </c>
      <c r="E635" s="51" t="s">
        <v>109</v>
      </c>
      <c r="F635" s="137"/>
      <c r="G635" s="133"/>
      <c r="H635" s="54" t="s">
        <v>432</v>
      </c>
      <c r="I635" s="55" t="s">
        <v>3596</v>
      </c>
      <c r="J635" s="55">
        <v>2027.0</v>
      </c>
      <c r="K635" s="55">
        <v>3.0</v>
      </c>
      <c r="L635" s="159" t="s">
        <v>61</v>
      </c>
      <c r="M635" s="55" t="s">
        <v>109</v>
      </c>
      <c r="N635" s="57"/>
      <c r="O635" s="57"/>
      <c r="P635" s="55" t="s">
        <v>3597</v>
      </c>
      <c r="Q635" s="57"/>
      <c r="R635" s="55" t="s">
        <v>3598</v>
      </c>
      <c r="S635" s="58" t="s">
        <v>3275</v>
      </c>
      <c r="T635" s="74"/>
      <c r="U635" s="74"/>
      <c r="V635" s="139"/>
      <c r="W635" s="51" t="s">
        <v>1724</v>
      </c>
      <c r="X635" s="51" t="s">
        <v>1550</v>
      </c>
      <c r="Y635" s="74"/>
      <c r="Z635" s="76"/>
      <c r="AA635" s="134"/>
      <c r="AB635" s="62" t="s">
        <v>61</v>
      </c>
      <c r="AC635" s="63" t="s">
        <v>61</v>
      </c>
      <c r="AD635" s="64" t="s">
        <v>61</v>
      </c>
      <c r="AE635" s="64" t="s">
        <v>61</v>
      </c>
      <c r="AF635" s="63" t="s">
        <v>61</v>
      </c>
      <c r="AG635" s="63" t="s">
        <v>61</v>
      </c>
      <c r="AH635" s="63" t="s">
        <v>61</v>
      </c>
      <c r="AI635" s="65" t="s">
        <v>61</v>
      </c>
      <c r="AJ635" s="105" t="s">
        <v>61</v>
      </c>
      <c r="AK635" s="76"/>
    </row>
    <row r="636" ht="24.0" customHeight="1">
      <c r="A636" s="35"/>
      <c r="B636" s="36">
        <v>1.0</v>
      </c>
      <c r="C636" s="37" t="str">
        <f>IFERROR(__xludf.DUMMYFUNCTION("""COMPUTED_VALUE"""),"Dalton Marsh (3) - '27 RHP ")</f>
        <v>Dalton Marsh (3) - '27 RHP </v>
      </c>
      <c r="D636" s="38" t="s">
        <v>3599</v>
      </c>
      <c r="E636" s="39" t="s">
        <v>63</v>
      </c>
      <c r="F636" s="121"/>
      <c r="G636" s="122"/>
      <c r="H636" s="42" t="s">
        <v>2251</v>
      </c>
      <c r="I636" s="43" t="s">
        <v>3600</v>
      </c>
      <c r="J636" s="43">
        <v>2027.0</v>
      </c>
      <c r="K636" s="43">
        <v>3.0</v>
      </c>
      <c r="L636" s="160" t="s">
        <v>61</v>
      </c>
      <c r="M636" s="43" t="s">
        <v>63</v>
      </c>
      <c r="N636" s="80"/>
      <c r="O636" s="80"/>
      <c r="P636" s="43" t="s">
        <v>3601</v>
      </c>
      <c r="Q636" s="80"/>
      <c r="R636" s="43" t="s">
        <v>3602</v>
      </c>
      <c r="S636" s="44" t="s">
        <v>3603</v>
      </c>
      <c r="T636" s="81"/>
      <c r="U636" s="81"/>
      <c r="V636" s="157"/>
      <c r="W636" s="39" t="s">
        <v>1724</v>
      </c>
      <c r="X636" s="39" t="s">
        <v>1550</v>
      </c>
      <c r="Y636" s="81"/>
      <c r="Z636" s="82"/>
      <c r="AA636" s="99"/>
      <c r="AB636" s="48" t="s">
        <v>61</v>
      </c>
      <c r="AC636" s="68" t="s">
        <v>61</v>
      </c>
      <c r="AD636" s="69" t="s">
        <v>61</v>
      </c>
      <c r="AE636" s="69" t="s">
        <v>61</v>
      </c>
      <c r="AF636" s="68" t="s">
        <v>61</v>
      </c>
      <c r="AG636" s="68" t="s">
        <v>61</v>
      </c>
      <c r="AH636" s="68" t="s">
        <v>61</v>
      </c>
      <c r="AI636" s="70" t="s">
        <v>61</v>
      </c>
      <c r="AJ636" s="49" t="s">
        <v>61</v>
      </c>
      <c r="AK636" s="46"/>
    </row>
    <row r="637" ht="24.0" customHeight="1">
      <c r="A637" s="35"/>
      <c r="B637" s="36">
        <v>1.0</v>
      </c>
      <c r="C637" s="37" t="str">
        <f>IFERROR(__xludf.DUMMYFUNCTION("""COMPUTED_VALUE"""),"Elijah Martin (3) - '27 RHP NC")</f>
        <v>Elijah Martin (3) - '27 RHP NC</v>
      </c>
      <c r="D637" s="89" t="s">
        <v>3604</v>
      </c>
      <c r="E637" s="51" t="s">
        <v>63</v>
      </c>
      <c r="F637" s="119">
        <v>45925.0</v>
      </c>
      <c r="G637" s="116" t="s">
        <v>1395</v>
      </c>
      <c r="H637" s="54" t="s">
        <v>3605</v>
      </c>
      <c r="I637" s="55" t="s">
        <v>359</v>
      </c>
      <c r="J637" s="55">
        <v>2027.0</v>
      </c>
      <c r="K637" s="55">
        <v>3.0</v>
      </c>
      <c r="L637" s="159" t="s">
        <v>61</v>
      </c>
      <c r="M637" s="55" t="s">
        <v>63</v>
      </c>
      <c r="N637" s="55"/>
      <c r="O637" s="57"/>
      <c r="P637" s="55" t="s">
        <v>3606</v>
      </c>
      <c r="Q637" s="55" t="s">
        <v>73</v>
      </c>
      <c r="R637" s="55" t="s">
        <v>3607</v>
      </c>
      <c r="S637" s="58" t="s">
        <v>229</v>
      </c>
      <c r="T637" s="74"/>
      <c r="U637" s="74"/>
      <c r="V637" s="74"/>
      <c r="W637" s="51" t="s">
        <v>1564</v>
      </c>
      <c r="X637" s="74"/>
      <c r="Y637" s="74"/>
      <c r="Z637" s="76"/>
      <c r="AA637" s="134"/>
      <c r="AB637" s="62" t="s">
        <v>61</v>
      </c>
      <c r="AC637" s="63" t="s">
        <v>61</v>
      </c>
      <c r="AD637" s="64" t="s">
        <v>61</v>
      </c>
      <c r="AE637" s="64" t="s">
        <v>61</v>
      </c>
      <c r="AF637" s="63" t="s">
        <v>61</v>
      </c>
      <c r="AG637" s="63" t="s">
        <v>61</v>
      </c>
      <c r="AH637" s="63" t="s">
        <v>61</v>
      </c>
      <c r="AI637" s="65" t="s">
        <v>61</v>
      </c>
      <c r="AJ637" s="66" t="s">
        <v>61</v>
      </c>
      <c r="AK637" s="60"/>
    </row>
    <row r="638" ht="24.0" customHeight="1">
      <c r="A638" s="35"/>
      <c r="B638" s="36">
        <v>1.0</v>
      </c>
      <c r="C638" s="37" t="str">
        <f>IFERROR(__xludf.DUMMYFUNCTION("""COMPUTED_VALUE"""),"Connor Moore (3) - '27 LHP MA")</f>
        <v>Connor Moore (3) - '27 LHP MA</v>
      </c>
      <c r="D638" s="89" t="s">
        <v>3608</v>
      </c>
      <c r="E638" s="39" t="s">
        <v>122</v>
      </c>
      <c r="F638" s="112"/>
      <c r="G638" s="113" t="s">
        <v>1395</v>
      </c>
      <c r="H638" s="42" t="s">
        <v>682</v>
      </c>
      <c r="I638" s="43" t="s">
        <v>2049</v>
      </c>
      <c r="J638" s="43">
        <v>2027.0</v>
      </c>
      <c r="K638" s="43">
        <v>3.0</v>
      </c>
      <c r="L638" s="158" t="s">
        <v>61</v>
      </c>
      <c r="M638" s="43" t="s">
        <v>122</v>
      </c>
      <c r="N638" s="43"/>
      <c r="O638" s="43" t="s">
        <v>1556</v>
      </c>
      <c r="P638" s="95"/>
      <c r="Q638" s="43" t="s">
        <v>85</v>
      </c>
      <c r="R638" s="43" t="s">
        <v>3609</v>
      </c>
      <c r="S638" s="44" t="s">
        <v>1424</v>
      </c>
      <c r="T638" s="39"/>
      <c r="U638" s="39"/>
      <c r="V638" s="39"/>
      <c r="W638" s="39"/>
      <c r="X638" s="39"/>
      <c r="Y638" s="39"/>
      <c r="Z638" s="46"/>
      <c r="AA638" s="47"/>
      <c r="AB638" s="48" t="s">
        <v>61</v>
      </c>
      <c r="AC638" s="68" t="s">
        <v>61</v>
      </c>
      <c r="AD638" s="69" t="s">
        <v>61</v>
      </c>
      <c r="AE638" s="69" t="s">
        <v>61</v>
      </c>
      <c r="AF638" s="68" t="s">
        <v>61</v>
      </c>
      <c r="AG638" s="68" t="s">
        <v>61</v>
      </c>
      <c r="AH638" s="68" t="s">
        <v>61</v>
      </c>
      <c r="AI638" s="70" t="s">
        <v>61</v>
      </c>
      <c r="AJ638" s="49" t="s">
        <v>61</v>
      </c>
      <c r="AK638" s="46"/>
    </row>
    <row r="639" ht="24.0" customHeight="1">
      <c r="A639" s="35"/>
      <c r="B639" s="36">
        <v>1.0</v>
      </c>
      <c r="C639" s="37" t="str">
        <f>IFERROR(__xludf.DUMMYFUNCTION("""COMPUTED_VALUE"""),"Andrew Moran (3) - '27 C GA")</f>
        <v>Andrew Moran (3) - '27 C GA</v>
      </c>
      <c r="D639" s="89" t="s">
        <v>3610</v>
      </c>
      <c r="E639" s="51" t="s">
        <v>109</v>
      </c>
      <c r="F639" s="119">
        <v>45925.0</v>
      </c>
      <c r="G639" s="116" t="s">
        <v>1395</v>
      </c>
      <c r="H639" s="54" t="s">
        <v>457</v>
      </c>
      <c r="I639" s="55" t="s">
        <v>473</v>
      </c>
      <c r="J639" s="55">
        <v>2027.0</v>
      </c>
      <c r="K639" s="55">
        <v>3.0</v>
      </c>
      <c r="L639" s="159" t="s">
        <v>61</v>
      </c>
      <c r="M639" s="55" t="s">
        <v>109</v>
      </c>
      <c r="N639" s="55"/>
      <c r="O639" s="57"/>
      <c r="P639" s="55" t="s">
        <v>3031</v>
      </c>
      <c r="Q639" s="55" t="s">
        <v>43</v>
      </c>
      <c r="R639" s="57"/>
      <c r="S639" s="58" t="s">
        <v>1120</v>
      </c>
      <c r="T639" s="74"/>
      <c r="U639" s="74"/>
      <c r="V639" s="74"/>
      <c r="W639" s="51" t="s">
        <v>1564</v>
      </c>
      <c r="X639" s="74"/>
      <c r="Y639" s="74"/>
      <c r="Z639" s="76"/>
      <c r="AA639" s="134"/>
      <c r="AB639" s="62" t="s">
        <v>61</v>
      </c>
      <c r="AC639" s="63" t="s">
        <v>61</v>
      </c>
      <c r="AD639" s="64" t="s">
        <v>61</v>
      </c>
      <c r="AE639" s="64" t="s">
        <v>61</v>
      </c>
      <c r="AF639" s="63" t="s">
        <v>61</v>
      </c>
      <c r="AG639" s="63" t="s">
        <v>61</v>
      </c>
      <c r="AH639" s="63" t="s">
        <v>61</v>
      </c>
      <c r="AI639" s="65" t="s">
        <v>61</v>
      </c>
      <c r="AJ639" s="66" t="s">
        <v>61</v>
      </c>
      <c r="AK639" s="60"/>
    </row>
    <row r="640" ht="24.0" customHeight="1">
      <c r="A640" s="35"/>
      <c r="B640" s="36">
        <v>1.0</v>
      </c>
      <c r="C640" s="37" t="str">
        <f>IFERROR(__xludf.DUMMYFUNCTION("""COMPUTED_VALUE"""),"Declan Moylett (3) - '27 C CO")</f>
        <v>Declan Moylett (3) - '27 C CO</v>
      </c>
      <c r="D640" s="38" t="s">
        <v>3611</v>
      </c>
      <c r="E640" s="39" t="s">
        <v>109</v>
      </c>
      <c r="F640" s="118">
        <v>45865.0</v>
      </c>
      <c r="G640" s="113" t="s">
        <v>1470</v>
      </c>
      <c r="H640" s="42" t="s">
        <v>3612</v>
      </c>
      <c r="I640" s="43" t="s">
        <v>3613</v>
      </c>
      <c r="J640" s="43">
        <v>2027.0</v>
      </c>
      <c r="K640" s="43">
        <v>3.0</v>
      </c>
      <c r="L640" s="160" t="s">
        <v>61</v>
      </c>
      <c r="M640" s="43" t="s">
        <v>109</v>
      </c>
      <c r="N640" s="80"/>
      <c r="O640" s="43" t="s">
        <v>1989</v>
      </c>
      <c r="P640" s="43" t="s">
        <v>3614</v>
      </c>
      <c r="Q640" s="43" t="s">
        <v>174</v>
      </c>
      <c r="R640" s="43" t="s">
        <v>3614</v>
      </c>
      <c r="S640" s="117"/>
      <c r="T640" s="81"/>
      <c r="U640" s="81"/>
      <c r="V640" s="39" t="s">
        <v>3615</v>
      </c>
      <c r="W640" s="39" t="s">
        <v>2821</v>
      </c>
      <c r="X640" s="81"/>
      <c r="Y640" s="81"/>
      <c r="Z640" s="82"/>
      <c r="AA640" s="99"/>
      <c r="AB640" s="48" t="s">
        <v>61</v>
      </c>
      <c r="AC640" s="68" t="s">
        <v>61</v>
      </c>
      <c r="AD640" s="69" t="s">
        <v>61</v>
      </c>
      <c r="AE640" s="69" t="s">
        <v>61</v>
      </c>
      <c r="AF640" s="68" t="s">
        <v>61</v>
      </c>
      <c r="AG640" s="68" t="s">
        <v>61</v>
      </c>
      <c r="AH640" s="68" t="s">
        <v>61</v>
      </c>
      <c r="AI640" s="70" t="s">
        <v>61</v>
      </c>
      <c r="AJ640" s="49" t="s">
        <v>61</v>
      </c>
      <c r="AK640" s="46"/>
    </row>
    <row r="641" ht="24.0" customHeight="1">
      <c r="A641" s="35"/>
      <c r="B641" s="36">
        <v>1.0</v>
      </c>
      <c r="C641" s="37" t="str">
        <f>IFERROR(__xludf.DUMMYFUNCTION("""COMPUTED_VALUE"""),"Dominic Naylor (3) - '27 3B ")</f>
        <v>Dominic Naylor (3) - '27 3B </v>
      </c>
      <c r="D641" s="38" t="s">
        <v>3616</v>
      </c>
      <c r="E641" s="51" t="s">
        <v>48</v>
      </c>
      <c r="F641" s="140"/>
      <c r="G641" s="116" t="s">
        <v>1430</v>
      </c>
      <c r="H641" s="54" t="s">
        <v>3617</v>
      </c>
      <c r="I641" s="55" t="s">
        <v>3618</v>
      </c>
      <c r="J641" s="55">
        <v>2027.0</v>
      </c>
      <c r="K641" s="55">
        <v>3.0</v>
      </c>
      <c r="L641" s="159" t="s">
        <v>61</v>
      </c>
      <c r="M641" s="55" t="s">
        <v>1519</v>
      </c>
      <c r="N641" s="57"/>
      <c r="O641" s="55" t="s">
        <v>1550</v>
      </c>
      <c r="P641" s="55" t="s">
        <v>3619</v>
      </c>
      <c r="Q641" s="57"/>
      <c r="R641" s="55" t="s">
        <v>3620</v>
      </c>
      <c r="S641" s="58" t="s">
        <v>2665</v>
      </c>
      <c r="T641" s="74"/>
      <c r="U641" s="74"/>
      <c r="V641" s="139"/>
      <c r="W641" s="51" t="s">
        <v>1724</v>
      </c>
      <c r="X641" s="74"/>
      <c r="Y641" s="74"/>
      <c r="Z641" s="76"/>
      <c r="AA641" s="134"/>
      <c r="AB641" s="62" t="s">
        <v>61</v>
      </c>
      <c r="AC641" s="63" t="s">
        <v>61</v>
      </c>
      <c r="AD641" s="64" t="s">
        <v>61</v>
      </c>
      <c r="AE641" s="64" t="s">
        <v>61</v>
      </c>
      <c r="AF641" s="63" t="s">
        <v>61</v>
      </c>
      <c r="AG641" s="63" t="s">
        <v>61</v>
      </c>
      <c r="AH641" s="63" t="s">
        <v>61</v>
      </c>
      <c r="AI641" s="65" t="s">
        <v>61</v>
      </c>
      <c r="AJ641" s="105" t="s">
        <v>61</v>
      </c>
      <c r="AK641" s="76"/>
    </row>
    <row r="642" ht="24.0" customHeight="1">
      <c r="A642" s="35"/>
      <c r="B642" s="36">
        <v>1.0</v>
      </c>
      <c r="C642" s="37" t="str">
        <f>IFERROR(__xludf.DUMMYFUNCTION("""COMPUTED_VALUE"""),"Ryan Nelson (3) - '27 CINF MA")</f>
        <v>Ryan Nelson (3) - '27 CINF MA</v>
      </c>
      <c r="D642" s="38" t="s">
        <v>3621</v>
      </c>
      <c r="E642" s="39" t="s">
        <v>48</v>
      </c>
      <c r="F642" s="112"/>
      <c r="G642" s="113" t="s">
        <v>1395</v>
      </c>
      <c r="H642" s="42" t="s">
        <v>1206</v>
      </c>
      <c r="I642" s="43" t="s">
        <v>3622</v>
      </c>
      <c r="J642" s="43">
        <v>2027.0</v>
      </c>
      <c r="K642" s="43">
        <v>3.0</v>
      </c>
      <c r="L642" s="158" t="s">
        <v>61</v>
      </c>
      <c r="M642" s="43" t="s">
        <v>72</v>
      </c>
      <c r="N642" s="43"/>
      <c r="O642" s="43" t="s">
        <v>1550</v>
      </c>
      <c r="P642" s="80"/>
      <c r="Q642" s="43" t="s">
        <v>85</v>
      </c>
      <c r="R642" s="43" t="s">
        <v>3623</v>
      </c>
      <c r="S642" s="44" t="s">
        <v>3624</v>
      </c>
      <c r="T642" s="39"/>
      <c r="U642" s="39"/>
      <c r="V642" s="39"/>
      <c r="W642" s="39"/>
      <c r="X642" s="39"/>
      <c r="Y642" s="39"/>
      <c r="Z642" s="46"/>
      <c r="AA642" s="47"/>
      <c r="AB642" s="48" t="s">
        <v>61</v>
      </c>
      <c r="AC642" s="68" t="s">
        <v>61</v>
      </c>
      <c r="AD642" s="69" t="s">
        <v>61</v>
      </c>
      <c r="AE642" s="69" t="s">
        <v>61</v>
      </c>
      <c r="AF642" s="68" t="s">
        <v>61</v>
      </c>
      <c r="AG642" s="68" t="s">
        <v>61</v>
      </c>
      <c r="AH642" s="68" t="s">
        <v>61</v>
      </c>
      <c r="AI642" s="70" t="s">
        <v>61</v>
      </c>
      <c r="AJ642" s="49" t="s">
        <v>61</v>
      </c>
      <c r="AK642" s="46"/>
    </row>
    <row r="643" ht="24.0" customHeight="1">
      <c r="A643" s="35"/>
      <c r="B643" s="36">
        <v>1.0</v>
      </c>
      <c r="C643" s="37" t="str">
        <f>IFERROR(__xludf.DUMMYFUNCTION("""COMPUTED_VALUE"""),"Jack O'Grady (3) - '27 RHP MA")</f>
        <v>Jack O'Grady (3) - '27 RHP MA</v>
      </c>
      <c r="D643" s="38" t="s">
        <v>3625</v>
      </c>
      <c r="E643" s="51" t="s">
        <v>63</v>
      </c>
      <c r="F643" s="115"/>
      <c r="G643" s="116" t="s">
        <v>1395</v>
      </c>
      <c r="H643" s="54" t="s">
        <v>424</v>
      </c>
      <c r="I643" s="55" t="s">
        <v>3626</v>
      </c>
      <c r="J643" s="55">
        <v>2027.0</v>
      </c>
      <c r="K643" s="55">
        <v>3.0</v>
      </c>
      <c r="L643" s="171" t="s">
        <v>61</v>
      </c>
      <c r="M643" s="55" t="s">
        <v>63</v>
      </c>
      <c r="N643" s="55"/>
      <c r="O643" s="72"/>
      <c r="P643" s="72"/>
      <c r="Q643" s="55" t="s">
        <v>85</v>
      </c>
      <c r="R643" s="55" t="s">
        <v>3627</v>
      </c>
      <c r="S643" s="58" t="s">
        <v>87</v>
      </c>
      <c r="T643" s="51"/>
      <c r="U643" s="51"/>
      <c r="V643" s="51"/>
      <c r="W643" s="51"/>
      <c r="X643" s="51"/>
      <c r="Y643" s="51"/>
      <c r="Z643" s="60"/>
      <c r="AA643" s="73"/>
      <c r="AB643" s="62" t="s">
        <v>61</v>
      </c>
      <c r="AC643" s="63" t="s">
        <v>61</v>
      </c>
      <c r="AD643" s="64" t="s">
        <v>61</v>
      </c>
      <c r="AE643" s="64" t="s">
        <v>61</v>
      </c>
      <c r="AF643" s="63" t="s">
        <v>61</v>
      </c>
      <c r="AG643" s="63" t="s">
        <v>61</v>
      </c>
      <c r="AH643" s="63" t="s">
        <v>61</v>
      </c>
      <c r="AI643" s="65" t="s">
        <v>61</v>
      </c>
      <c r="AJ643" s="105" t="s">
        <v>61</v>
      </c>
      <c r="AK643" s="76"/>
    </row>
    <row r="644" ht="24.0" customHeight="1">
      <c r="A644" s="35"/>
      <c r="B644" s="36">
        <v>1.0</v>
      </c>
      <c r="C644" s="37" t="str">
        <f>IFERROR(__xludf.DUMMYFUNCTION("""COMPUTED_VALUE"""),"Ian Palumbo (3) - '28 OF AZ")</f>
        <v>Ian Palumbo (3) - '28 OF AZ</v>
      </c>
      <c r="D644" s="38" t="s">
        <v>3628</v>
      </c>
      <c r="E644" s="39" t="s">
        <v>103</v>
      </c>
      <c r="F644" s="118">
        <v>45869.0</v>
      </c>
      <c r="G644" s="113" t="s">
        <v>1395</v>
      </c>
      <c r="H644" s="42" t="s">
        <v>2406</v>
      </c>
      <c r="I644" s="43" t="s">
        <v>3629</v>
      </c>
      <c r="J644" s="43">
        <v>2028.0</v>
      </c>
      <c r="K644" s="43">
        <v>3.0</v>
      </c>
      <c r="L644" s="80"/>
      <c r="M644" s="43" t="s">
        <v>103</v>
      </c>
      <c r="N644" s="80"/>
      <c r="O644" s="43" t="s">
        <v>1556</v>
      </c>
      <c r="P644" s="43" t="s">
        <v>3630</v>
      </c>
      <c r="Q644" s="43" t="s">
        <v>319</v>
      </c>
      <c r="R644" s="43" t="s">
        <v>3631</v>
      </c>
      <c r="S644" s="117"/>
      <c r="T644" s="39">
        <v>3.92</v>
      </c>
      <c r="U644" s="81"/>
      <c r="V644" s="39">
        <v>6.024636897E9</v>
      </c>
      <c r="W644" s="81"/>
      <c r="X644" s="81"/>
      <c r="Y644" s="81"/>
      <c r="Z644" s="82"/>
      <c r="AA644" s="47" t="s">
        <v>3632</v>
      </c>
      <c r="AB644" s="48" t="s">
        <v>61</v>
      </c>
      <c r="AC644" s="68" t="s">
        <v>61</v>
      </c>
      <c r="AD644" s="69" t="s">
        <v>61</v>
      </c>
      <c r="AE644" s="69" t="s">
        <v>61</v>
      </c>
      <c r="AF644" s="68" t="s">
        <v>61</v>
      </c>
      <c r="AG644" s="68" t="s">
        <v>61</v>
      </c>
      <c r="AH644" s="68" t="s">
        <v>61</v>
      </c>
      <c r="AI644" s="70" t="s">
        <v>61</v>
      </c>
      <c r="AJ644" s="114" t="s">
        <v>61</v>
      </c>
      <c r="AK644" s="82"/>
    </row>
    <row r="645" ht="24.0" customHeight="1">
      <c r="A645" s="35"/>
      <c r="B645" s="36">
        <v>1.0</v>
      </c>
      <c r="C645" s="37" t="str">
        <f>IFERROR(__xludf.DUMMYFUNCTION("""COMPUTED_VALUE"""),"Nakish Patel (3) - '27 MINF NJ")</f>
        <v>Nakish Patel (3) - '27 MINF NJ</v>
      </c>
      <c r="D645" s="89" t="s">
        <v>3633</v>
      </c>
      <c r="E645" s="51" t="s">
        <v>48</v>
      </c>
      <c r="F645" s="115"/>
      <c r="G645" s="116"/>
      <c r="H645" s="54" t="s">
        <v>3634</v>
      </c>
      <c r="I645" s="55" t="s">
        <v>3635</v>
      </c>
      <c r="J645" s="176">
        <v>2027.0</v>
      </c>
      <c r="K645" s="55">
        <v>3.0</v>
      </c>
      <c r="L645" s="171" t="s">
        <v>61</v>
      </c>
      <c r="M645" s="55" t="s">
        <v>51</v>
      </c>
      <c r="N645" s="55"/>
      <c r="O645" s="55" t="s">
        <v>1550</v>
      </c>
      <c r="P645" s="57"/>
      <c r="Q645" s="55" t="s">
        <v>502</v>
      </c>
      <c r="R645" s="55" t="s">
        <v>664</v>
      </c>
      <c r="S645" s="58" t="s">
        <v>2029</v>
      </c>
      <c r="T645" s="74"/>
      <c r="U645" s="74"/>
      <c r="V645" s="74"/>
      <c r="W645" s="74"/>
      <c r="X645" s="74"/>
      <c r="Y645" s="74"/>
      <c r="Z645" s="76"/>
      <c r="AA645" s="73" t="s">
        <v>3636</v>
      </c>
      <c r="AB645" s="62" t="s">
        <v>61</v>
      </c>
      <c r="AC645" s="63" t="s">
        <v>61</v>
      </c>
      <c r="AD645" s="64" t="s">
        <v>61</v>
      </c>
      <c r="AE645" s="64" t="s">
        <v>61</v>
      </c>
      <c r="AF645" s="63" t="s">
        <v>61</v>
      </c>
      <c r="AG645" s="63" t="s">
        <v>61</v>
      </c>
      <c r="AH645" s="63" t="s">
        <v>61</v>
      </c>
      <c r="AI645" s="65" t="s">
        <v>61</v>
      </c>
      <c r="AJ645" s="66" t="s">
        <v>61</v>
      </c>
      <c r="AK645" s="60"/>
    </row>
    <row r="646" ht="24.0" customHeight="1">
      <c r="A646" s="35"/>
      <c r="B646" s="36">
        <v>1.0</v>
      </c>
      <c r="C646" s="37" t="str">
        <f>IFERROR(__xludf.DUMMYFUNCTION("""COMPUTED_VALUE"""),"Caleb Penn (3) - '27 OF ")</f>
        <v>Caleb Penn (3) - '27 OF </v>
      </c>
      <c r="D646" s="89" t="s">
        <v>3637</v>
      </c>
      <c r="E646" s="39" t="s">
        <v>103</v>
      </c>
      <c r="F646" s="121"/>
      <c r="G646" s="122"/>
      <c r="H646" s="42" t="s">
        <v>589</v>
      </c>
      <c r="I646" s="43" t="s">
        <v>3638</v>
      </c>
      <c r="J646" s="43">
        <v>2027.0</v>
      </c>
      <c r="K646" s="43">
        <v>3.0</v>
      </c>
      <c r="L646" s="160" t="s">
        <v>61</v>
      </c>
      <c r="M646" s="43" t="s">
        <v>103</v>
      </c>
      <c r="N646" s="80"/>
      <c r="O646" s="80"/>
      <c r="P646" s="43" t="s">
        <v>3639</v>
      </c>
      <c r="Q646" s="80"/>
      <c r="R646" s="43" t="s">
        <v>3640</v>
      </c>
      <c r="S646" s="44" t="s">
        <v>3275</v>
      </c>
      <c r="T646" s="81"/>
      <c r="U646" s="81"/>
      <c r="V646" s="157"/>
      <c r="W646" s="39" t="s">
        <v>1724</v>
      </c>
      <c r="X646" s="39" t="s">
        <v>1550</v>
      </c>
      <c r="Y646" s="81"/>
      <c r="Z646" s="82"/>
      <c r="AA646" s="99"/>
      <c r="AB646" s="48" t="s">
        <v>61</v>
      </c>
      <c r="AC646" s="68" t="s">
        <v>61</v>
      </c>
      <c r="AD646" s="69" t="s">
        <v>61</v>
      </c>
      <c r="AE646" s="69" t="s">
        <v>61</v>
      </c>
      <c r="AF646" s="68" t="s">
        <v>61</v>
      </c>
      <c r="AG646" s="68" t="s">
        <v>61</v>
      </c>
      <c r="AH646" s="68" t="s">
        <v>61</v>
      </c>
      <c r="AI646" s="70" t="s">
        <v>61</v>
      </c>
      <c r="AJ646" s="49" t="s">
        <v>61</v>
      </c>
      <c r="AK646" s="46"/>
    </row>
    <row r="647" ht="24.0" customHeight="1">
      <c r="A647" s="35"/>
      <c r="B647" s="36">
        <v>1.0</v>
      </c>
      <c r="C647" s="37" t="str">
        <f>IFERROR(__xludf.DUMMYFUNCTION("""COMPUTED_VALUE"""),"Sam Reed (3) - '27 RHP MD")</f>
        <v>Sam Reed (3) - '27 RHP MD</v>
      </c>
      <c r="D647" s="89" t="s">
        <v>3641</v>
      </c>
      <c r="E647" s="51" t="s">
        <v>63</v>
      </c>
      <c r="F647" s="137"/>
      <c r="G647" s="116" t="s">
        <v>1470</v>
      </c>
      <c r="H647" s="54" t="s">
        <v>172</v>
      </c>
      <c r="I647" s="55" t="s">
        <v>2633</v>
      </c>
      <c r="J647" s="55">
        <v>2027.0</v>
      </c>
      <c r="K647" s="55">
        <v>3.0</v>
      </c>
      <c r="L647" s="159" t="s">
        <v>61</v>
      </c>
      <c r="M647" s="55" t="s">
        <v>63</v>
      </c>
      <c r="N647" s="55"/>
      <c r="O647" s="57"/>
      <c r="P647" s="57"/>
      <c r="Q647" s="55" t="s">
        <v>195</v>
      </c>
      <c r="R647" s="57"/>
      <c r="S647" s="132"/>
      <c r="T647" s="74"/>
      <c r="U647" s="74"/>
      <c r="V647" s="74"/>
      <c r="W647" s="51" t="s">
        <v>1463</v>
      </c>
      <c r="X647" s="74"/>
      <c r="Y647" s="74"/>
      <c r="Z647" s="76"/>
      <c r="AA647" s="134"/>
      <c r="AB647" s="62" t="s">
        <v>61</v>
      </c>
      <c r="AC647" s="63" t="s">
        <v>61</v>
      </c>
      <c r="AD647" s="64" t="s">
        <v>61</v>
      </c>
      <c r="AE647" s="64" t="s">
        <v>61</v>
      </c>
      <c r="AF647" s="63" t="s">
        <v>61</v>
      </c>
      <c r="AG647" s="63" t="s">
        <v>61</v>
      </c>
      <c r="AH647" s="63" t="s">
        <v>61</v>
      </c>
      <c r="AI647" s="65" t="s">
        <v>61</v>
      </c>
      <c r="AJ647" s="66" t="s">
        <v>61</v>
      </c>
      <c r="AK647" s="60"/>
    </row>
    <row r="648" ht="24.0" customHeight="1">
      <c r="A648" s="35"/>
      <c r="B648" s="36">
        <v>1.0</v>
      </c>
      <c r="C648" s="37" t="str">
        <f>IFERROR(__xludf.DUMMYFUNCTION("""COMPUTED_VALUE"""),"Matthew Reed (3) - '27 MIF ")</f>
        <v>Matthew Reed (3) - '27 MIF </v>
      </c>
      <c r="D648" s="38" t="s">
        <v>3642</v>
      </c>
      <c r="E648" s="39"/>
      <c r="F648" s="121"/>
      <c r="G648" s="122"/>
      <c r="H648" s="42" t="s">
        <v>312</v>
      </c>
      <c r="I648" s="43" t="s">
        <v>2633</v>
      </c>
      <c r="J648" s="43">
        <v>2027.0</v>
      </c>
      <c r="K648" s="43">
        <v>3.0</v>
      </c>
      <c r="L648" s="160" t="s">
        <v>61</v>
      </c>
      <c r="M648" s="43" t="s">
        <v>3643</v>
      </c>
      <c r="N648" s="80"/>
      <c r="O648" s="80"/>
      <c r="P648" s="43" t="s">
        <v>3644</v>
      </c>
      <c r="Q648" s="80"/>
      <c r="R648" s="43" t="s">
        <v>3645</v>
      </c>
      <c r="S648" s="44" t="s">
        <v>3003</v>
      </c>
      <c r="T648" s="81"/>
      <c r="U648" s="81"/>
      <c r="V648" s="157"/>
      <c r="W648" s="39" t="s">
        <v>1724</v>
      </c>
      <c r="X648" s="39" t="s">
        <v>2324</v>
      </c>
      <c r="Y648" s="81"/>
      <c r="Z648" s="82"/>
      <c r="AA648" s="99"/>
      <c r="AB648" s="48" t="s">
        <v>61</v>
      </c>
      <c r="AC648" s="68" t="s">
        <v>61</v>
      </c>
      <c r="AD648" s="69" t="s">
        <v>61</v>
      </c>
      <c r="AE648" s="69" t="s">
        <v>61</v>
      </c>
      <c r="AF648" s="68" t="s">
        <v>61</v>
      </c>
      <c r="AG648" s="68" t="s">
        <v>61</v>
      </c>
      <c r="AH648" s="68" t="s">
        <v>61</v>
      </c>
      <c r="AI648" s="70" t="s">
        <v>61</v>
      </c>
      <c r="AJ648" s="49" t="s">
        <v>61</v>
      </c>
      <c r="AK648" s="46"/>
    </row>
    <row r="649" ht="24.0" customHeight="1">
      <c r="A649" s="35"/>
      <c r="B649" s="36">
        <v>1.0</v>
      </c>
      <c r="C649" s="37" t="str">
        <f>IFERROR(__xludf.DUMMYFUNCTION("""COMPUTED_VALUE"""),"Tyler Reeves (3) - '27 OF ")</f>
        <v>Tyler Reeves (3) - '27 OF </v>
      </c>
      <c r="D649" s="89" t="s">
        <v>3646</v>
      </c>
      <c r="E649" s="51" t="s">
        <v>103</v>
      </c>
      <c r="F649" s="137"/>
      <c r="G649" s="133"/>
      <c r="H649" s="54" t="s">
        <v>104</v>
      </c>
      <c r="I649" s="55" t="s">
        <v>3647</v>
      </c>
      <c r="J649" s="55">
        <v>2027.0</v>
      </c>
      <c r="K649" s="55">
        <v>3.0</v>
      </c>
      <c r="L649" s="171" t="s">
        <v>61</v>
      </c>
      <c r="M649" s="55" t="s">
        <v>103</v>
      </c>
      <c r="N649" s="57"/>
      <c r="O649" s="57"/>
      <c r="P649" s="55" t="s">
        <v>3648</v>
      </c>
      <c r="Q649" s="57"/>
      <c r="R649" s="55" t="s">
        <v>693</v>
      </c>
      <c r="S649" s="58" t="s">
        <v>580</v>
      </c>
      <c r="T649" s="74"/>
      <c r="U649" s="74"/>
      <c r="V649" s="139"/>
      <c r="W649" s="51" t="s">
        <v>1724</v>
      </c>
      <c r="X649" s="51" t="s">
        <v>1550</v>
      </c>
      <c r="Y649" s="74"/>
      <c r="Z649" s="76"/>
      <c r="AA649" s="134"/>
      <c r="AB649" s="62" t="s">
        <v>61</v>
      </c>
      <c r="AC649" s="63" t="s">
        <v>61</v>
      </c>
      <c r="AD649" s="64" t="s">
        <v>61</v>
      </c>
      <c r="AE649" s="64" t="s">
        <v>61</v>
      </c>
      <c r="AF649" s="63" t="s">
        <v>61</v>
      </c>
      <c r="AG649" s="63" t="s">
        <v>61</v>
      </c>
      <c r="AH649" s="63" t="s">
        <v>61</v>
      </c>
      <c r="AI649" s="65" t="s">
        <v>61</v>
      </c>
      <c r="AJ649" s="66" t="s">
        <v>61</v>
      </c>
      <c r="AK649" s="60"/>
    </row>
    <row r="650" ht="24.0" customHeight="1">
      <c r="A650" s="35"/>
      <c r="B650" s="36">
        <v>1.0</v>
      </c>
      <c r="C650" s="37" t="str">
        <f>IFERROR(__xludf.DUMMYFUNCTION("""COMPUTED_VALUE"""),"Taylor Reidy (3) - '28 CINF MA")</f>
        <v>Taylor Reidy (3) - '28 CINF MA</v>
      </c>
      <c r="D650" s="38" t="s">
        <v>3649</v>
      </c>
      <c r="E650" s="39" t="s">
        <v>48</v>
      </c>
      <c r="F650" s="112"/>
      <c r="G650" s="113" t="s">
        <v>1395</v>
      </c>
      <c r="H650" s="42" t="s">
        <v>1895</v>
      </c>
      <c r="I650" s="43" t="s">
        <v>3650</v>
      </c>
      <c r="J650" s="43">
        <v>2028.0</v>
      </c>
      <c r="K650" s="43">
        <v>3.0</v>
      </c>
      <c r="L650" s="44" t="s">
        <v>2877</v>
      </c>
      <c r="M650" s="43" t="s">
        <v>72</v>
      </c>
      <c r="N650" s="80"/>
      <c r="O650" s="80"/>
      <c r="P650" s="43"/>
      <c r="Q650" s="43" t="s">
        <v>85</v>
      </c>
      <c r="R650" s="43"/>
      <c r="S650" s="44"/>
      <c r="T650" s="81"/>
      <c r="U650" s="39"/>
      <c r="V650" s="39"/>
      <c r="W650" s="39"/>
      <c r="X650" s="39"/>
      <c r="Y650" s="39"/>
      <c r="Z650" s="46"/>
      <c r="AA650" s="47"/>
      <c r="AB650" s="48" t="s">
        <v>61</v>
      </c>
      <c r="AC650" s="68" t="s">
        <v>61</v>
      </c>
      <c r="AD650" s="69" t="s">
        <v>61</v>
      </c>
      <c r="AE650" s="69" t="s">
        <v>61</v>
      </c>
      <c r="AF650" s="68" t="s">
        <v>61</v>
      </c>
      <c r="AG650" s="68" t="s">
        <v>61</v>
      </c>
      <c r="AH650" s="68" t="s">
        <v>61</v>
      </c>
      <c r="AI650" s="70" t="s">
        <v>61</v>
      </c>
      <c r="AJ650" s="114" t="s">
        <v>61</v>
      </c>
      <c r="AK650" s="82"/>
    </row>
    <row r="651" ht="24.0" customHeight="1">
      <c r="A651" s="35"/>
      <c r="B651" s="36">
        <v>1.0</v>
      </c>
      <c r="C651" s="37" t="str">
        <f>IFERROR(__xludf.DUMMYFUNCTION("""COMPUTED_VALUE"""),"Brayden Ring (3) - '27 INF IN")</f>
        <v>Brayden Ring (3) - '27 INF IN</v>
      </c>
      <c r="D651" s="38" t="s">
        <v>3651</v>
      </c>
      <c r="E651" s="51" t="s">
        <v>48</v>
      </c>
      <c r="F651" s="119">
        <v>45915.0</v>
      </c>
      <c r="G651" s="116" t="s">
        <v>1430</v>
      </c>
      <c r="H651" s="54" t="s">
        <v>535</v>
      </c>
      <c r="I651" s="55" t="s">
        <v>3652</v>
      </c>
      <c r="J651" s="55">
        <v>2027.0</v>
      </c>
      <c r="K651" s="55">
        <v>3.0</v>
      </c>
      <c r="L651" s="159" t="s">
        <v>61</v>
      </c>
      <c r="M651" s="55" t="s">
        <v>48</v>
      </c>
      <c r="N651" s="55"/>
      <c r="O651" s="55" t="s">
        <v>1550</v>
      </c>
      <c r="P651" s="57"/>
      <c r="Q651" s="55" t="s">
        <v>153</v>
      </c>
      <c r="R651" s="55" t="s">
        <v>1982</v>
      </c>
      <c r="S651" s="58" t="s">
        <v>3653</v>
      </c>
      <c r="T651" s="74"/>
      <c r="U651" s="74"/>
      <c r="V651" s="74"/>
      <c r="W651" s="74"/>
      <c r="X651" s="74"/>
      <c r="Y651" s="74"/>
      <c r="Z651" s="76"/>
      <c r="AA651" s="134"/>
      <c r="AB651" s="62" t="s">
        <v>61</v>
      </c>
      <c r="AC651" s="63" t="s">
        <v>61</v>
      </c>
      <c r="AD651" s="64" t="s">
        <v>61</v>
      </c>
      <c r="AE651" s="64" t="s">
        <v>61</v>
      </c>
      <c r="AF651" s="63" t="s">
        <v>61</v>
      </c>
      <c r="AG651" s="63" t="s">
        <v>61</v>
      </c>
      <c r="AH651" s="63" t="s">
        <v>61</v>
      </c>
      <c r="AI651" s="65" t="s">
        <v>61</v>
      </c>
      <c r="AJ651" s="105" t="s">
        <v>61</v>
      </c>
      <c r="AK651" s="76"/>
    </row>
    <row r="652" ht="24.0" customHeight="1">
      <c r="A652" s="35"/>
      <c r="B652" s="36">
        <v>1.0</v>
      </c>
      <c r="C652" s="37" t="str">
        <f>IFERROR(__xludf.DUMMYFUNCTION("""COMPUTED_VALUE"""),"Eason Runion (3) - '27 RHP GA")</f>
        <v>Eason Runion (3) - '27 RHP GA</v>
      </c>
      <c r="D652" s="38" t="s">
        <v>3654</v>
      </c>
      <c r="E652" s="39" t="s">
        <v>63</v>
      </c>
      <c r="F652" s="118">
        <v>45925.0</v>
      </c>
      <c r="G652" s="113" t="s">
        <v>1395</v>
      </c>
      <c r="H652" s="42" t="s">
        <v>3655</v>
      </c>
      <c r="I652" s="43" t="s">
        <v>3656</v>
      </c>
      <c r="J652" s="43">
        <v>2027.0</v>
      </c>
      <c r="K652" s="43">
        <v>3.0</v>
      </c>
      <c r="L652" s="168" t="s">
        <v>61</v>
      </c>
      <c r="M652" s="43" t="s">
        <v>63</v>
      </c>
      <c r="N652" s="44"/>
      <c r="O652" s="80"/>
      <c r="P652" s="80"/>
      <c r="Q652" s="43" t="s">
        <v>43</v>
      </c>
      <c r="R652" s="80"/>
      <c r="S652" s="44" t="s">
        <v>1120</v>
      </c>
      <c r="T652" s="81"/>
      <c r="U652" s="81"/>
      <c r="V652" s="81"/>
      <c r="W652" s="39" t="s">
        <v>1564</v>
      </c>
      <c r="X652" s="81"/>
      <c r="Y652" s="81"/>
      <c r="Z652" s="82"/>
      <c r="AA652" s="99"/>
      <c r="AB652" s="48" t="s">
        <v>61</v>
      </c>
      <c r="AC652" s="68" t="s">
        <v>61</v>
      </c>
      <c r="AD652" s="69" t="s">
        <v>61</v>
      </c>
      <c r="AE652" s="69" t="s">
        <v>61</v>
      </c>
      <c r="AF652" s="68" t="s">
        <v>61</v>
      </c>
      <c r="AG652" s="68" t="s">
        <v>61</v>
      </c>
      <c r="AH652" s="68" t="s">
        <v>61</v>
      </c>
      <c r="AI652" s="70" t="s">
        <v>61</v>
      </c>
      <c r="AJ652" s="49" t="s">
        <v>61</v>
      </c>
      <c r="AK652" s="46"/>
    </row>
    <row r="653" ht="24.0" customHeight="1">
      <c r="A653" s="35"/>
      <c r="B653" s="36">
        <v>1.0</v>
      </c>
      <c r="C653" s="37" t="str">
        <f>IFERROR(__xludf.DUMMYFUNCTION("""COMPUTED_VALUE"""),"Cody Sawyer (3) - '27 SS ")</f>
        <v>Cody Sawyer (3) - '27 SS </v>
      </c>
      <c r="D653" s="38" t="s">
        <v>3657</v>
      </c>
      <c r="E653" s="51" t="s">
        <v>48</v>
      </c>
      <c r="F653" s="137"/>
      <c r="G653" s="133"/>
      <c r="H653" s="54" t="s">
        <v>3469</v>
      </c>
      <c r="I653" s="55" t="s">
        <v>1238</v>
      </c>
      <c r="J653" s="55">
        <v>2027.0</v>
      </c>
      <c r="K653" s="55">
        <v>3.0</v>
      </c>
      <c r="L653" s="159" t="s">
        <v>61</v>
      </c>
      <c r="M653" s="55" t="s">
        <v>1398</v>
      </c>
      <c r="N653" s="57"/>
      <c r="O653" s="55" t="s">
        <v>1550</v>
      </c>
      <c r="P653" s="55" t="s">
        <v>3658</v>
      </c>
      <c r="Q653" s="57"/>
      <c r="R653" s="55" t="s">
        <v>3659</v>
      </c>
      <c r="S653" s="58" t="s">
        <v>3660</v>
      </c>
      <c r="T653" s="74"/>
      <c r="U653" s="74"/>
      <c r="V653" s="139"/>
      <c r="W653" s="51" t="s">
        <v>1724</v>
      </c>
      <c r="X653" s="74"/>
      <c r="Y653" s="74"/>
      <c r="Z653" s="76"/>
      <c r="AA653" s="134"/>
      <c r="AB653" s="62" t="s">
        <v>61</v>
      </c>
      <c r="AC653" s="63" t="s">
        <v>61</v>
      </c>
      <c r="AD653" s="64" t="s">
        <v>61</v>
      </c>
      <c r="AE653" s="64" t="s">
        <v>61</v>
      </c>
      <c r="AF653" s="63" t="s">
        <v>61</v>
      </c>
      <c r="AG653" s="63" t="s">
        <v>61</v>
      </c>
      <c r="AH653" s="63" t="s">
        <v>61</v>
      </c>
      <c r="AI653" s="65" t="s">
        <v>61</v>
      </c>
      <c r="AJ653" s="66" t="s">
        <v>61</v>
      </c>
      <c r="AK653" s="60"/>
    </row>
    <row r="654" ht="24.0" customHeight="1">
      <c r="A654" s="88"/>
      <c r="B654" s="36">
        <v>1.0</v>
      </c>
      <c r="C654" s="37" t="str">
        <f>IFERROR(__xludf.DUMMYFUNCTION("""COMPUTED_VALUE"""),"Camden Spangler (3) - '27 MINF VA")</f>
        <v>Camden Spangler (3) - '27 MINF VA</v>
      </c>
      <c r="D654" s="38" t="s">
        <v>3661</v>
      </c>
      <c r="E654" s="39" t="s">
        <v>48</v>
      </c>
      <c r="F654" s="118">
        <v>45865.0</v>
      </c>
      <c r="G654" s="113" t="s">
        <v>1395</v>
      </c>
      <c r="H654" s="42" t="s">
        <v>1654</v>
      </c>
      <c r="I654" s="43" t="s">
        <v>3662</v>
      </c>
      <c r="J654" s="43">
        <v>2027.0</v>
      </c>
      <c r="K654" s="43">
        <v>3.0</v>
      </c>
      <c r="L654" s="160" t="s">
        <v>61</v>
      </c>
      <c r="M654" s="43" t="s">
        <v>51</v>
      </c>
      <c r="N654" s="117"/>
      <c r="O654" s="43" t="s">
        <v>1550</v>
      </c>
      <c r="P654" s="43" t="s">
        <v>3663</v>
      </c>
      <c r="Q654" s="43" t="s">
        <v>125</v>
      </c>
      <c r="R654" s="43" t="s">
        <v>2269</v>
      </c>
      <c r="S654" s="44"/>
      <c r="T654" s="39">
        <v>4.0</v>
      </c>
      <c r="U654" s="39"/>
      <c r="V654" s="39" t="s">
        <v>3664</v>
      </c>
      <c r="W654" s="39" t="s">
        <v>2821</v>
      </c>
      <c r="X654" s="81"/>
      <c r="Y654" s="81"/>
      <c r="Z654" s="82"/>
      <c r="AA654" s="99"/>
      <c r="AB654" s="48" t="s">
        <v>61</v>
      </c>
      <c r="AC654" s="68" t="s">
        <v>61</v>
      </c>
      <c r="AD654" s="69" t="s">
        <v>61</v>
      </c>
      <c r="AE654" s="69" t="s">
        <v>61</v>
      </c>
      <c r="AF654" s="68" t="s">
        <v>61</v>
      </c>
      <c r="AG654" s="68" t="s">
        <v>61</v>
      </c>
      <c r="AH654" s="68" t="s">
        <v>61</v>
      </c>
      <c r="AI654" s="70" t="s">
        <v>61</v>
      </c>
      <c r="AJ654" s="49" t="s">
        <v>61</v>
      </c>
      <c r="AK654" s="46"/>
    </row>
    <row r="655" ht="24.0" customHeight="1">
      <c r="A655" s="35"/>
      <c r="B655" s="36">
        <v>1.0</v>
      </c>
      <c r="C655" s="37" t="str">
        <f>IFERROR(__xludf.DUMMYFUNCTION("""COMPUTED_VALUE"""),"Kyle Sweeney (3) - '27 LHP CA")</f>
        <v>Kyle Sweeney (3) - '27 LHP CA</v>
      </c>
      <c r="D655" s="38" t="s">
        <v>3665</v>
      </c>
      <c r="E655" s="51" t="s">
        <v>122</v>
      </c>
      <c r="F655" s="119">
        <v>45869.0</v>
      </c>
      <c r="G655" s="116" t="s">
        <v>1395</v>
      </c>
      <c r="H655" s="54" t="s">
        <v>3666</v>
      </c>
      <c r="I655" s="55" t="s">
        <v>590</v>
      </c>
      <c r="J655" s="55">
        <v>2027.0</v>
      </c>
      <c r="K655" s="55">
        <v>3.0</v>
      </c>
      <c r="L655" s="167" t="s">
        <v>61</v>
      </c>
      <c r="M655" s="55" t="s">
        <v>122</v>
      </c>
      <c r="N655" s="57"/>
      <c r="O655" s="55" t="s">
        <v>3667</v>
      </c>
      <c r="P655" s="55" t="s">
        <v>3668</v>
      </c>
      <c r="Q655" s="55" t="s">
        <v>52</v>
      </c>
      <c r="R655" s="55" t="s">
        <v>3669</v>
      </c>
      <c r="S655" s="132"/>
      <c r="T655" s="51">
        <v>4.14</v>
      </c>
      <c r="U655" s="74"/>
      <c r="V655" s="51">
        <v>6.505126487E9</v>
      </c>
      <c r="W655" s="74"/>
      <c r="X655" s="74"/>
      <c r="Y655" s="74"/>
      <c r="Z655" s="76"/>
      <c r="AA655" s="73" t="s">
        <v>3670</v>
      </c>
      <c r="AB655" s="62" t="s">
        <v>61</v>
      </c>
      <c r="AC655" s="63" t="s">
        <v>61</v>
      </c>
      <c r="AD655" s="64" t="s">
        <v>61</v>
      </c>
      <c r="AE655" s="64" t="s">
        <v>61</v>
      </c>
      <c r="AF655" s="63" t="s">
        <v>61</v>
      </c>
      <c r="AG655" s="63" t="s">
        <v>61</v>
      </c>
      <c r="AH655" s="63" t="s">
        <v>61</v>
      </c>
      <c r="AI655" s="65" t="s">
        <v>61</v>
      </c>
      <c r="AJ655" s="105" t="s">
        <v>61</v>
      </c>
      <c r="AK655" s="76"/>
    </row>
    <row r="656" ht="24.0" customHeight="1">
      <c r="A656" s="35"/>
      <c r="B656" s="36">
        <v>1.0</v>
      </c>
      <c r="C656" s="37" t="str">
        <f>IFERROR(__xludf.DUMMYFUNCTION("""COMPUTED_VALUE"""),"Milo Toettcher (3) - '27 LHP MA")</f>
        <v>Milo Toettcher (3) - '27 LHP MA</v>
      </c>
      <c r="D656" s="89" t="s">
        <v>3671</v>
      </c>
      <c r="E656" s="39" t="s">
        <v>122</v>
      </c>
      <c r="F656" s="118">
        <v>45855.0</v>
      </c>
      <c r="G656" s="113" t="s">
        <v>1395</v>
      </c>
      <c r="H656" s="42" t="s">
        <v>3672</v>
      </c>
      <c r="I656" s="43" t="s">
        <v>3673</v>
      </c>
      <c r="J656" s="43">
        <v>2027.0</v>
      </c>
      <c r="K656" s="43">
        <v>3.0</v>
      </c>
      <c r="L656" s="160" t="s">
        <v>61</v>
      </c>
      <c r="M656" s="43" t="s">
        <v>122</v>
      </c>
      <c r="N656" s="43"/>
      <c r="O656" s="43"/>
      <c r="P656" s="43"/>
      <c r="Q656" s="43" t="s">
        <v>85</v>
      </c>
      <c r="R656" s="43"/>
      <c r="S656" s="44" t="s">
        <v>2989</v>
      </c>
      <c r="T656" s="39"/>
      <c r="U656" s="39"/>
      <c r="V656" s="39"/>
      <c r="W656" s="39"/>
      <c r="X656" s="39"/>
      <c r="Y656" s="39"/>
      <c r="Z656" s="46"/>
      <c r="AA656" s="47" t="s">
        <v>3674</v>
      </c>
      <c r="AB656" s="48" t="s">
        <v>61</v>
      </c>
      <c r="AC656" s="68" t="s">
        <v>61</v>
      </c>
      <c r="AD656" s="69" t="s">
        <v>61</v>
      </c>
      <c r="AE656" s="69" t="s">
        <v>61</v>
      </c>
      <c r="AF656" s="68" t="s">
        <v>61</v>
      </c>
      <c r="AG656" s="68" t="s">
        <v>61</v>
      </c>
      <c r="AH656" s="68" t="s">
        <v>61</v>
      </c>
      <c r="AI656" s="70" t="s">
        <v>61</v>
      </c>
      <c r="AJ656" s="49" t="s">
        <v>61</v>
      </c>
      <c r="AK656" s="46"/>
    </row>
    <row r="657" ht="24.0" customHeight="1">
      <c r="A657" s="35"/>
      <c r="B657" s="36">
        <v>1.0</v>
      </c>
      <c r="C657" s="37" t="str">
        <f>IFERROR(__xludf.DUMMYFUNCTION("""COMPUTED_VALUE"""),"Ozzy Vogel-Moore (3) - '27 C NY")</f>
        <v>Ozzy Vogel-Moore (3) - '27 C NY</v>
      </c>
      <c r="D657" s="89" t="s">
        <v>3675</v>
      </c>
      <c r="E657" s="51" t="s">
        <v>109</v>
      </c>
      <c r="F657" s="119">
        <v>45865.0</v>
      </c>
      <c r="G657" s="116" t="s">
        <v>1395</v>
      </c>
      <c r="H657" s="54" t="s">
        <v>3676</v>
      </c>
      <c r="I657" s="55" t="s">
        <v>3677</v>
      </c>
      <c r="J657" s="55">
        <v>2027.0</v>
      </c>
      <c r="K657" s="55">
        <v>3.0</v>
      </c>
      <c r="L657" s="167" t="s">
        <v>61</v>
      </c>
      <c r="M657" s="55" t="s">
        <v>109</v>
      </c>
      <c r="N657" s="57"/>
      <c r="O657" s="55" t="s">
        <v>1550</v>
      </c>
      <c r="P657" s="55" t="s">
        <v>3678</v>
      </c>
      <c r="Q657" s="55" t="s">
        <v>255</v>
      </c>
      <c r="R657" s="55" t="s">
        <v>3679</v>
      </c>
      <c r="S657" s="58"/>
      <c r="T657" s="51">
        <v>4.0</v>
      </c>
      <c r="U657" s="51"/>
      <c r="V657" s="51" t="s">
        <v>3680</v>
      </c>
      <c r="W657" s="51" t="s">
        <v>2821</v>
      </c>
      <c r="X657" s="74"/>
      <c r="Y657" s="74"/>
      <c r="Z657" s="76"/>
      <c r="AA657" s="134"/>
      <c r="AB657" s="62" t="s">
        <v>61</v>
      </c>
      <c r="AC657" s="63" t="s">
        <v>61</v>
      </c>
      <c r="AD657" s="64" t="s">
        <v>61</v>
      </c>
      <c r="AE657" s="64" t="s">
        <v>61</v>
      </c>
      <c r="AF657" s="63" t="s">
        <v>61</v>
      </c>
      <c r="AG657" s="63" t="s">
        <v>61</v>
      </c>
      <c r="AH657" s="63" t="s">
        <v>61</v>
      </c>
      <c r="AI657" s="65" t="s">
        <v>61</v>
      </c>
      <c r="AJ657" s="105" t="s">
        <v>61</v>
      </c>
      <c r="AK657" s="76"/>
    </row>
    <row r="658" ht="24.0" customHeight="1">
      <c r="A658" s="35"/>
      <c r="B658" s="36">
        <v>1.0</v>
      </c>
      <c r="C658" s="37" t="str">
        <f>IFERROR(__xludf.DUMMYFUNCTION("""COMPUTED_VALUE"""),"Sam Ward (3) - '27 3B MA")</f>
        <v>Sam Ward (3) - '27 3B MA</v>
      </c>
      <c r="D658" s="38" t="s">
        <v>3681</v>
      </c>
      <c r="E658" s="39" t="s">
        <v>48</v>
      </c>
      <c r="F658" s="118">
        <v>45855.0</v>
      </c>
      <c r="G658" s="113" t="s">
        <v>1395</v>
      </c>
      <c r="H658" s="42" t="s">
        <v>172</v>
      </c>
      <c r="I658" s="43" t="s">
        <v>1980</v>
      </c>
      <c r="J658" s="43">
        <v>2027.0</v>
      </c>
      <c r="K658" s="43">
        <v>3.0</v>
      </c>
      <c r="L658" s="168" t="s">
        <v>61</v>
      </c>
      <c r="M658" s="43" t="s">
        <v>1519</v>
      </c>
      <c r="N658" s="43"/>
      <c r="O658" s="43"/>
      <c r="P658" s="43"/>
      <c r="Q658" s="43" t="s">
        <v>85</v>
      </c>
      <c r="R658" s="43" t="s">
        <v>3682</v>
      </c>
      <c r="S658" s="44" t="s">
        <v>2486</v>
      </c>
      <c r="T658" s="39"/>
      <c r="U658" s="39"/>
      <c r="V658" s="39"/>
      <c r="W658" s="39"/>
      <c r="X658" s="39"/>
      <c r="Y658" s="39"/>
      <c r="Z658" s="46"/>
      <c r="AA658" s="47"/>
      <c r="AB658" s="48" t="s">
        <v>61</v>
      </c>
      <c r="AC658" s="68" t="s">
        <v>61</v>
      </c>
      <c r="AD658" s="69" t="s">
        <v>61</v>
      </c>
      <c r="AE658" s="69" t="s">
        <v>61</v>
      </c>
      <c r="AF658" s="68" t="s">
        <v>61</v>
      </c>
      <c r="AG658" s="68" t="s">
        <v>61</v>
      </c>
      <c r="AH658" s="68" t="s">
        <v>61</v>
      </c>
      <c r="AI658" s="70" t="s">
        <v>61</v>
      </c>
      <c r="AJ658" s="49" t="s">
        <v>61</v>
      </c>
      <c r="AK658" s="46"/>
    </row>
    <row r="659" ht="24.0" customHeight="1">
      <c r="A659" s="35"/>
      <c r="B659" s="36">
        <v>1.0</v>
      </c>
      <c r="C659" s="37" t="str">
        <f>IFERROR(__xludf.DUMMYFUNCTION("""COMPUTED_VALUE"""),"Robert Wrobel (3) - '27 SS NJ")</f>
        <v>Robert Wrobel (3) - '27 SS NJ</v>
      </c>
      <c r="D659" s="38" t="s">
        <v>3683</v>
      </c>
      <c r="E659" s="51" t="s">
        <v>48</v>
      </c>
      <c r="F659" s="115"/>
      <c r="G659" s="116" t="s">
        <v>1430</v>
      </c>
      <c r="H659" s="54" t="s">
        <v>3232</v>
      </c>
      <c r="I659" s="55" t="s">
        <v>3684</v>
      </c>
      <c r="J659" s="55">
        <v>2027.0</v>
      </c>
      <c r="K659" s="55">
        <v>3.0</v>
      </c>
      <c r="L659" s="167" t="s">
        <v>61</v>
      </c>
      <c r="M659" s="55" t="s">
        <v>1398</v>
      </c>
      <c r="N659" s="55"/>
      <c r="O659" s="55"/>
      <c r="P659" s="55"/>
      <c r="Q659" s="55" t="s">
        <v>502</v>
      </c>
      <c r="R659" s="55" t="s">
        <v>918</v>
      </c>
      <c r="S659" s="58" t="s">
        <v>2029</v>
      </c>
      <c r="T659" s="51" t="s">
        <v>1836</v>
      </c>
      <c r="U659" s="51"/>
      <c r="V659" s="51"/>
      <c r="W659" s="51"/>
      <c r="X659" s="51"/>
      <c r="Y659" s="51"/>
      <c r="Z659" s="60"/>
      <c r="AA659" s="73" t="s">
        <v>3685</v>
      </c>
      <c r="AB659" s="62" t="s">
        <v>61</v>
      </c>
      <c r="AC659" s="63" t="s">
        <v>61</v>
      </c>
      <c r="AD659" s="64" t="s">
        <v>61</v>
      </c>
      <c r="AE659" s="64" t="s">
        <v>61</v>
      </c>
      <c r="AF659" s="63" t="s">
        <v>61</v>
      </c>
      <c r="AG659" s="63" t="s">
        <v>61</v>
      </c>
      <c r="AH659" s="63" t="s">
        <v>61</v>
      </c>
      <c r="AI659" s="65" t="s">
        <v>61</v>
      </c>
      <c r="AJ659" s="105" t="s">
        <v>61</v>
      </c>
      <c r="AK659" s="76"/>
    </row>
    <row r="660" ht="24.0" customHeight="1">
      <c r="A660" s="35"/>
      <c r="B660" s="36">
        <v>1.0</v>
      </c>
      <c r="C660" s="37" t="str">
        <f>IFERROR(__xludf.DUMMYFUNCTION("""COMPUTED_VALUE"""),"Cayden Yoon (3) - '27 CINF NJ")</f>
        <v>Cayden Yoon (3) - '27 CINF NJ</v>
      </c>
      <c r="D660" s="89" t="s">
        <v>3686</v>
      </c>
      <c r="E660" s="39" t="s">
        <v>48</v>
      </c>
      <c r="F660" s="112"/>
      <c r="G660" s="113" t="s">
        <v>1395</v>
      </c>
      <c r="H660" s="42" t="s">
        <v>3687</v>
      </c>
      <c r="I660" s="43" t="s">
        <v>3688</v>
      </c>
      <c r="J660" s="43">
        <v>2027.0</v>
      </c>
      <c r="K660" s="43">
        <v>3.0</v>
      </c>
      <c r="L660" s="158" t="s">
        <v>61</v>
      </c>
      <c r="M660" s="43" t="s">
        <v>72</v>
      </c>
      <c r="N660" s="43"/>
      <c r="O660" s="43" t="s">
        <v>1550</v>
      </c>
      <c r="P660" s="95"/>
      <c r="Q660" s="43" t="s">
        <v>502</v>
      </c>
      <c r="R660" s="43" t="s">
        <v>3689</v>
      </c>
      <c r="S660" s="44" t="s">
        <v>3690</v>
      </c>
      <c r="T660" s="39"/>
      <c r="U660" s="39"/>
      <c r="V660" s="39"/>
      <c r="W660" s="39"/>
      <c r="X660" s="39"/>
      <c r="Y660" s="39"/>
      <c r="Z660" s="46"/>
      <c r="AA660" s="47"/>
      <c r="AB660" s="48" t="s">
        <v>61</v>
      </c>
      <c r="AC660" s="68" t="s">
        <v>61</v>
      </c>
      <c r="AD660" s="69" t="s">
        <v>61</v>
      </c>
      <c r="AE660" s="69" t="s">
        <v>61</v>
      </c>
      <c r="AF660" s="68" t="s">
        <v>61</v>
      </c>
      <c r="AG660" s="68" t="s">
        <v>61</v>
      </c>
      <c r="AH660" s="68" t="s">
        <v>61</v>
      </c>
      <c r="AI660" s="70" t="s">
        <v>61</v>
      </c>
      <c r="AJ660" s="49" t="s">
        <v>61</v>
      </c>
      <c r="AK660" s="46"/>
    </row>
    <row r="661" ht="24.0" customHeight="1">
      <c r="A661" s="35"/>
      <c r="B661" s="36">
        <v>1.0</v>
      </c>
      <c r="C661" s="37" t="str">
        <f>IFERROR(__xludf.DUMMYFUNCTION("""COMPUTED_VALUE"""),"Grayson Abbruzzese (4) - '27 RHP NJ")</f>
        <v>Grayson Abbruzzese (4) - '27 RHP NJ</v>
      </c>
      <c r="D661" s="38" t="s">
        <v>3691</v>
      </c>
      <c r="E661" s="51" t="s">
        <v>63</v>
      </c>
      <c r="F661" s="115"/>
      <c r="G661" s="116"/>
      <c r="H661" s="54" t="s">
        <v>3296</v>
      </c>
      <c r="I661" s="55" t="s">
        <v>3692</v>
      </c>
      <c r="J661" s="55">
        <v>2027.0</v>
      </c>
      <c r="K661" s="55">
        <v>4.0</v>
      </c>
      <c r="L661" s="171" t="s">
        <v>61</v>
      </c>
      <c r="M661" s="55" t="s">
        <v>63</v>
      </c>
      <c r="N661" s="58"/>
      <c r="O661" s="72"/>
      <c r="P661" s="72"/>
      <c r="Q661" s="55" t="s">
        <v>502</v>
      </c>
      <c r="R661" s="55" t="s">
        <v>3693</v>
      </c>
      <c r="S661" s="172"/>
      <c r="T661" s="51">
        <v>3.7</v>
      </c>
      <c r="U661" s="51"/>
      <c r="V661" s="51"/>
      <c r="W661" s="51"/>
      <c r="X661" s="51"/>
      <c r="Y661" s="51"/>
      <c r="Z661" s="60"/>
      <c r="AA661" s="73" t="s">
        <v>3694</v>
      </c>
      <c r="AB661" s="62" t="s">
        <v>61</v>
      </c>
      <c r="AC661" s="63" t="s">
        <v>61</v>
      </c>
      <c r="AD661" s="64" t="s">
        <v>61</v>
      </c>
      <c r="AE661" s="64" t="s">
        <v>61</v>
      </c>
      <c r="AF661" s="63" t="s">
        <v>61</v>
      </c>
      <c r="AG661" s="63" t="s">
        <v>61</v>
      </c>
      <c r="AH661" s="63" t="s">
        <v>61</v>
      </c>
      <c r="AI661" s="65" t="s">
        <v>61</v>
      </c>
      <c r="AJ661" s="105" t="s">
        <v>61</v>
      </c>
      <c r="AK661" s="76"/>
    </row>
    <row r="662" ht="24.0" customHeight="1">
      <c r="A662" s="35"/>
      <c r="B662" s="36">
        <v>1.0</v>
      </c>
      <c r="C662" s="37" t="str">
        <f>IFERROR(__xludf.DUMMYFUNCTION("""COMPUTED_VALUE"""),"Jake Acosta (4) - '27 C NY")</f>
        <v>Jake Acosta (4) - '27 C NY</v>
      </c>
      <c r="D662" s="89" t="s">
        <v>3695</v>
      </c>
      <c r="E662" s="39" t="s">
        <v>109</v>
      </c>
      <c r="F662" s="112"/>
      <c r="G662" s="113" t="s">
        <v>1395</v>
      </c>
      <c r="H662" s="42" t="s">
        <v>136</v>
      </c>
      <c r="I662" s="43" t="s">
        <v>3696</v>
      </c>
      <c r="J662" s="43">
        <v>2027.0</v>
      </c>
      <c r="K662" s="43">
        <v>4.0</v>
      </c>
      <c r="L662" s="158" t="s">
        <v>61</v>
      </c>
      <c r="M662" s="43" t="s">
        <v>109</v>
      </c>
      <c r="N662" s="44"/>
      <c r="O662" s="43" t="s">
        <v>1550</v>
      </c>
      <c r="P662" s="43"/>
      <c r="Q662" s="43" t="s">
        <v>255</v>
      </c>
      <c r="R662" s="43" t="s">
        <v>3697</v>
      </c>
      <c r="S662" s="44" t="s">
        <v>3698</v>
      </c>
      <c r="T662" s="39"/>
      <c r="U662" s="39"/>
      <c r="V662" s="39"/>
      <c r="W662" s="39"/>
      <c r="X662" s="39"/>
      <c r="Y662" s="39"/>
      <c r="Z662" s="46"/>
      <c r="AA662" s="47"/>
      <c r="AB662" s="48" t="s">
        <v>61</v>
      </c>
      <c r="AC662" s="68" t="s">
        <v>61</v>
      </c>
      <c r="AD662" s="69" t="s">
        <v>61</v>
      </c>
      <c r="AE662" s="69" t="s">
        <v>61</v>
      </c>
      <c r="AF662" s="68" t="s">
        <v>61</v>
      </c>
      <c r="AG662" s="68" t="s">
        <v>61</v>
      </c>
      <c r="AH662" s="68" t="s">
        <v>61</v>
      </c>
      <c r="AI662" s="70" t="s">
        <v>61</v>
      </c>
      <c r="AJ662" s="49" t="s">
        <v>61</v>
      </c>
      <c r="AK662" s="46"/>
    </row>
    <row r="663" ht="24.0" customHeight="1">
      <c r="A663" s="35"/>
      <c r="B663" s="36">
        <v>1.0</v>
      </c>
      <c r="C663" s="37" t="str">
        <f>IFERROR(__xludf.DUMMYFUNCTION("""COMPUTED_VALUE"""),"Rhys Adair (4) - '27 MINF MA")</f>
        <v>Rhys Adair (4) - '27 MINF MA</v>
      </c>
      <c r="D663" s="38" t="s">
        <v>3699</v>
      </c>
      <c r="E663" s="51" t="s">
        <v>48</v>
      </c>
      <c r="F663" s="137"/>
      <c r="G663" s="133"/>
      <c r="H663" s="54" t="s">
        <v>2647</v>
      </c>
      <c r="I663" s="55" t="s">
        <v>3700</v>
      </c>
      <c r="J663" s="55">
        <v>2027.0</v>
      </c>
      <c r="K663" s="55">
        <v>4.0</v>
      </c>
      <c r="L663" s="171" t="s">
        <v>61</v>
      </c>
      <c r="M663" s="55" t="s">
        <v>51</v>
      </c>
      <c r="N663" s="132"/>
      <c r="O663" s="57"/>
      <c r="P663" s="55" t="s">
        <v>3701</v>
      </c>
      <c r="Q663" s="55" t="s">
        <v>85</v>
      </c>
      <c r="R663" s="57"/>
      <c r="S663" s="58" t="s">
        <v>3702</v>
      </c>
      <c r="T663" s="74"/>
      <c r="U663" s="74"/>
      <c r="V663" s="139"/>
      <c r="W663" s="51" t="s">
        <v>1724</v>
      </c>
      <c r="X663" s="51" t="s">
        <v>1550</v>
      </c>
      <c r="Y663" s="74"/>
      <c r="Z663" s="76"/>
      <c r="AA663" s="134"/>
      <c r="AB663" s="62" t="s">
        <v>61</v>
      </c>
      <c r="AC663" s="63" t="s">
        <v>61</v>
      </c>
      <c r="AD663" s="64" t="s">
        <v>61</v>
      </c>
      <c r="AE663" s="64" t="s">
        <v>61</v>
      </c>
      <c r="AF663" s="63" t="s">
        <v>61</v>
      </c>
      <c r="AG663" s="63" t="s">
        <v>61</v>
      </c>
      <c r="AH663" s="63" t="s">
        <v>61</v>
      </c>
      <c r="AI663" s="65" t="s">
        <v>61</v>
      </c>
      <c r="AJ663" s="105" t="s">
        <v>61</v>
      </c>
      <c r="AK663" s="76"/>
    </row>
    <row r="664" ht="24.0" customHeight="1">
      <c r="A664" s="35"/>
      <c r="B664" s="36">
        <v>1.0</v>
      </c>
      <c r="C664" s="37" t="str">
        <f>IFERROR(__xludf.DUMMYFUNCTION("""COMPUTED_VALUE"""),"Rhys Adair (4) - '28 RHP MA")</f>
        <v>Rhys Adair (4) - '28 RHP MA</v>
      </c>
      <c r="D664" s="89" t="s">
        <v>3699</v>
      </c>
      <c r="E664" s="39" t="s">
        <v>63</v>
      </c>
      <c r="F664" s="156">
        <v>46168.0</v>
      </c>
      <c r="G664" s="113" t="s">
        <v>1395</v>
      </c>
      <c r="H664" s="42" t="s">
        <v>2647</v>
      </c>
      <c r="I664" s="43" t="s">
        <v>3700</v>
      </c>
      <c r="J664" s="43">
        <v>2028.0</v>
      </c>
      <c r="K664" s="43">
        <v>4.0</v>
      </c>
      <c r="L664" s="80"/>
      <c r="M664" s="43" t="s">
        <v>63</v>
      </c>
      <c r="N664" s="43" t="s">
        <v>48</v>
      </c>
      <c r="O664" s="43" t="s">
        <v>1550</v>
      </c>
      <c r="P664" s="80"/>
      <c r="Q664" s="43" t="s">
        <v>85</v>
      </c>
      <c r="R664" s="43" t="s">
        <v>3703</v>
      </c>
      <c r="S664" s="44" t="s">
        <v>3704</v>
      </c>
      <c r="T664" s="81"/>
      <c r="U664" s="81"/>
      <c r="V664" s="81"/>
      <c r="W664" s="81"/>
      <c r="X664" s="81"/>
      <c r="Y664" s="81"/>
      <c r="Z664" s="82"/>
      <c r="AA664" s="47" t="s">
        <v>3705</v>
      </c>
      <c r="AB664" s="48" t="s">
        <v>61</v>
      </c>
      <c r="AC664" s="68" t="s">
        <v>61</v>
      </c>
      <c r="AD664" s="69" t="s">
        <v>61</v>
      </c>
      <c r="AE664" s="69" t="s">
        <v>61</v>
      </c>
      <c r="AF664" s="68" t="s">
        <v>61</v>
      </c>
      <c r="AG664" s="68" t="s">
        <v>61</v>
      </c>
      <c r="AH664" s="68" t="s">
        <v>61</v>
      </c>
      <c r="AI664" s="70" t="s">
        <v>61</v>
      </c>
      <c r="AJ664" s="114" t="s">
        <v>61</v>
      </c>
      <c r="AK664" s="82"/>
    </row>
    <row r="665" ht="24.0" customHeight="1">
      <c r="A665" s="35"/>
      <c r="B665" s="36">
        <v>1.0</v>
      </c>
      <c r="C665" s="37" t="str">
        <f>IFERROR(__xludf.DUMMYFUNCTION("""COMPUTED_VALUE"""),"Barrett Adams (4) - '27 CINF MA")</f>
        <v>Barrett Adams (4) - '27 CINF MA</v>
      </c>
      <c r="D665" s="89" t="s">
        <v>3706</v>
      </c>
      <c r="E665" s="51" t="s">
        <v>48</v>
      </c>
      <c r="F665" s="154">
        <v>46156.0</v>
      </c>
      <c r="G665" s="116" t="s">
        <v>1395</v>
      </c>
      <c r="H665" s="54" t="s">
        <v>3707</v>
      </c>
      <c r="I665" s="55" t="s">
        <v>1591</v>
      </c>
      <c r="J665" s="55">
        <v>2027.0</v>
      </c>
      <c r="K665" s="55">
        <v>4.0</v>
      </c>
      <c r="L665" s="159" t="s">
        <v>61</v>
      </c>
      <c r="M665" s="55" t="s">
        <v>72</v>
      </c>
      <c r="N665" s="58"/>
      <c r="O665" s="55" t="s">
        <v>1556</v>
      </c>
      <c r="P665" s="55" t="s">
        <v>2988</v>
      </c>
      <c r="Q665" s="55" t="s">
        <v>85</v>
      </c>
      <c r="R665" s="55" t="s">
        <v>3708</v>
      </c>
      <c r="S665" s="58" t="s">
        <v>3709</v>
      </c>
      <c r="T665" s="51" t="s">
        <v>3710</v>
      </c>
      <c r="U665" s="51" t="s">
        <v>3711</v>
      </c>
      <c r="V665" s="51" t="s">
        <v>3712</v>
      </c>
      <c r="W665" s="74"/>
      <c r="X665" s="74"/>
      <c r="Y665" s="74"/>
      <c r="Z665" s="76"/>
      <c r="AA665" s="155" t="s">
        <v>3713</v>
      </c>
      <c r="AB665" s="62" t="s">
        <v>3714</v>
      </c>
      <c r="AC665" s="63" t="s">
        <v>3715</v>
      </c>
      <c r="AD665" s="64">
        <v>3.7</v>
      </c>
      <c r="AE665" s="64" t="s">
        <v>3716</v>
      </c>
      <c r="AF665" s="63" t="s">
        <v>3717</v>
      </c>
      <c r="AG665" s="63" t="s">
        <v>1925</v>
      </c>
      <c r="AH665" s="63" t="s">
        <v>1925</v>
      </c>
      <c r="AI665" s="65" t="s">
        <v>1925</v>
      </c>
      <c r="AJ665" s="105" t="s">
        <v>61</v>
      </c>
      <c r="AK665" s="76"/>
    </row>
    <row r="666" ht="24.0" customHeight="1">
      <c r="A666" s="35"/>
      <c r="B666" s="36">
        <v>1.0</v>
      </c>
      <c r="C666" s="37" t="str">
        <f>IFERROR(__xludf.DUMMYFUNCTION("""COMPUTED_VALUE"""),"Crews Albritton (XX) - '27 OF MS")</f>
        <v>Crews Albritton (XX) - '27 OF MS</v>
      </c>
      <c r="D666" s="89" t="s">
        <v>3718</v>
      </c>
      <c r="E666" s="39" t="s">
        <v>103</v>
      </c>
      <c r="F666" s="118">
        <v>45865.0</v>
      </c>
      <c r="G666" s="113" t="s">
        <v>1395</v>
      </c>
      <c r="H666" s="42" t="s">
        <v>3086</v>
      </c>
      <c r="I666" s="43" t="s">
        <v>3719</v>
      </c>
      <c r="J666" s="43">
        <v>2027.0</v>
      </c>
      <c r="K666" s="43" t="s">
        <v>410</v>
      </c>
      <c r="L666" s="158" t="s">
        <v>61</v>
      </c>
      <c r="M666" s="43" t="s">
        <v>103</v>
      </c>
      <c r="N666" s="117"/>
      <c r="O666" s="43" t="s">
        <v>1556</v>
      </c>
      <c r="P666" s="43" t="s">
        <v>3720</v>
      </c>
      <c r="Q666" s="43" t="s">
        <v>483</v>
      </c>
      <c r="R666" s="43" t="s">
        <v>3721</v>
      </c>
      <c r="S666" s="44"/>
      <c r="T666" s="39">
        <v>3.8</v>
      </c>
      <c r="U666" s="39"/>
      <c r="V666" s="39" t="s">
        <v>3722</v>
      </c>
      <c r="W666" s="39" t="s">
        <v>2821</v>
      </c>
      <c r="X666" s="81"/>
      <c r="Y666" s="81"/>
      <c r="Z666" s="82"/>
      <c r="AA666" s="99"/>
      <c r="AB666" s="48" t="s">
        <v>61</v>
      </c>
      <c r="AC666" s="68" t="s">
        <v>61</v>
      </c>
      <c r="AD666" s="69" t="s">
        <v>61</v>
      </c>
      <c r="AE666" s="69" t="s">
        <v>61</v>
      </c>
      <c r="AF666" s="68" t="s">
        <v>61</v>
      </c>
      <c r="AG666" s="68" t="s">
        <v>61</v>
      </c>
      <c r="AH666" s="68" t="s">
        <v>61</v>
      </c>
      <c r="AI666" s="70" t="s">
        <v>61</v>
      </c>
      <c r="AJ666" s="114" t="s">
        <v>61</v>
      </c>
      <c r="AK666" s="82"/>
    </row>
    <row r="667" ht="24.0" customHeight="1">
      <c r="A667" s="35"/>
      <c r="B667" s="36">
        <v>1.0</v>
      </c>
      <c r="C667" s="37" t="str">
        <f>IFERROR(__xludf.DUMMYFUNCTION("""COMPUTED_VALUE"""),"Jennings Allen (4) - '27 SS GA")</f>
        <v>Jennings Allen (4) - '27 SS GA</v>
      </c>
      <c r="D667" s="89" t="s">
        <v>3723</v>
      </c>
      <c r="E667" s="51" t="s">
        <v>48</v>
      </c>
      <c r="F667" s="140">
        <v>46128.0</v>
      </c>
      <c r="G667" s="116" t="s">
        <v>1430</v>
      </c>
      <c r="H667" s="54" t="s">
        <v>3724</v>
      </c>
      <c r="I667" s="55" t="s">
        <v>336</v>
      </c>
      <c r="J667" s="55">
        <v>2027.0</v>
      </c>
      <c r="K667" s="55">
        <v>4.0</v>
      </c>
      <c r="L667" s="171" t="s">
        <v>61</v>
      </c>
      <c r="M667" s="55" t="s">
        <v>1398</v>
      </c>
      <c r="N667" s="58"/>
      <c r="O667" s="57" t="s">
        <v>3667</v>
      </c>
      <c r="P667" s="57"/>
      <c r="Q667" s="55" t="s">
        <v>43</v>
      </c>
      <c r="R667" s="57" t="s">
        <v>3725</v>
      </c>
      <c r="S667" s="58"/>
      <c r="T667" s="74"/>
      <c r="U667" s="74"/>
      <c r="V667" s="74"/>
      <c r="W667" s="74"/>
      <c r="X667" s="74"/>
      <c r="Y667" s="74"/>
      <c r="Z667" s="76"/>
      <c r="AA667" s="73" t="s">
        <v>3726</v>
      </c>
      <c r="AB667" s="62" t="s">
        <v>61</v>
      </c>
      <c r="AC667" s="63" t="s">
        <v>61</v>
      </c>
      <c r="AD667" s="64" t="s">
        <v>61</v>
      </c>
      <c r="AE667" s="64" t="s">
        <v>61</v>
      </c>
      <c r="AF667" s="63" t="s">
        <v>61</v>
      </c>
      <c r="AG667" s="63" t="s">
        <v>61</v>
      </c>
      <c r="AH667" s="63" t="s">
        <v>61</v>
      </c>
      <c r="AI667" s="65" t="s">
        <v>61</v>
      </c>
      <c r="AJ667" s="105" t="s">
        <v>61</v>
      </c>
      <c r="AK667" s="76"/>
    </row>
    <row r="668" ht="24.0" customHeight="1">
      <c r="A668" s="35"/>
      <c r="B668" s="36">
        <v>1.0</v>
      </c>
      <c r="C668" s="37" t="str">
        <f>IFERROR(__xludf.DUMMYFUNCTION("""COMPUTED_VALUE"""),"Taylor Anchete (4) - '27 OF FL")</f>
        <v>Taylor Anchete (4) - '27 OF FL</v>
      </c>
      <c r="D668" s="38" t="s">
        <v>3727</v>
      </c>
      <c r="E668" s="39" t="s">
        <v>103</v>
      </c>
      <c r="F668" s="124">
        <v>46149.0</v>
      </c>
      <c r="G668" s="113" t="s">
        <v>1430</v>
      </c>
      <c r="H668" s="42" t="s">
        <v>1895</v>
      </c>
      <c r="I668" s="43" t="s">
        <v>3728</v>
      </c>
      <c r="J668" s="43">
        <v>2027.0</v>
      </c>
      <c r="K668" s="43">
        <v>4.0</v>
      </c>
      <c r="L668" s="158" t="s">
        <v>61</v>
      </c>
      <c r="M668" s="43" t="s">
        <v>103</v>
      </c>
      <c r="N668" s="44"/>
      <c r="O668" s="80"/>
      <c r="P668" s="80"/>
      <c r="Q668" s="43" t="s">
        <v>66</v>
      </c>
      <c r="R668" s="80"/>
      <c r="S668" s="44" t="s">
        <v>1125</v>
      </c>
      <c r="T668" s="81"/>
      <c r="U668" s="81"/>
      <c r="V668" s="81"/>
      <c r="W668" s="81"/>
      <c r="X668" s="81"/>
      <c r="Y668" s="81"/>
      <c r="Z668" s="82"/>
      <c r="AA668" s="47" t="s">
        <v>3729</v>
      </c>
      <c r="AB668" s="48" t="s">
        <v>61</v>
      </c>
      <c r="AC668" s="68" t="s">
        <v>61</v>
      </c>
      <c r="AD668" s="69" t="s">
        <v>61</v>
      </c>
      <c r="AE668" s="69" t="s">
        <v>61</v>
      </c>
      <c r="AF668" s="68" t="s">
        <v>61</v>
      </c>
      <c r="AG668" s="68" t="s">
        <v>61</v>
      </c>
      <c r="AH668" s="68" t="s">
        <v>61</v>
      </c>
      <c r="AI668" s="70" t="s">
        <v>61</v>
      </c>
      <c r="AJ668" s="114" t="s">
        <v>61</v>
      </c>
      <c r="AK668" s="82"/>
    </row>
    <row r="669" ht="24.0" customHeight="1">
      <c r="A669" s="35"/>
      <c r="B669" s="36">
        <v>1.0</v>
      </c>
      <c r="C669" s="37" t="str">
        <f>IFERROR(__xludf.DUMMYFUNCTION("""COMPUTED_VALUE"""),"Mikey Angelo (4) - '28 INF ")</f>
        <v>Mikey Angelo (4) - '28 INF </v>
      </c>
      <c r="D669" s="89" t="s">
        <v>3730</v>
      </c>
      <c r="E669" s="51" t="s">
        <v>48</v>
      </c>
      <c r="F669" s="154">
        <v>46168.0</v>
      </c>
      <c r="G669" s="116" t="s">
        <v>1395</v>
      </c>
      <c r="H669" s="54" t="s">
        <v>3731</v>
      </c>
      <c r="I669" s="55" t="s">
        <v>3732</v>
      </c>
      <c r="J669" s="55">
        <v>2028.0</v>
      </c>
      <c r="K669" s="55">
        <v>4.0</v>
      </c>
      <c r="L669" s="57"/>
      <c r="M669" s="55" t="s">
        <v>48</v>
      </c>
      <c r="N669" s="55"/>
      <c r="O669" s="57"/>
      <c r="P669" s="57"/>
      <c r="Q669" s="57"/>
      <c r="R669" s="57"/>
      <c r="S669" s="51" t="s">
        <v>2029</v>
      </c>
      <c r="T669" s="51"/>
      <c r="U669" s="74"/>
      <c r="V669" s="74"/>
      <c r="W669" s="74"/>
      <c r="X669" s="74"/>
      <c r="Y669" s="74"/>
      <c r="Z669" s="76"/>
      <c r="AA669" s="134"/>
      <c r="AB669" s="62" t="s">
        <v>61</v>
      </c>
      <c r="AC669" s="63" t="s">
        <v>61</v>
      </c>
      <c r="AD669" s="64" t="s">
        <v>61</v>
      </c>
      <c r="AE669" s="64" t="s">
        <v>61</v>
      </c>
      <c r="AF669" s="63" t="s">
        <v>61</v>
      </c>
      <c r="AG669" s="63" t="s">
        <v>61</v>
      </c>
      <c r="AH669" s="63" t="s">
        <v>61</v>
      </c>
      <c r="AI669" s="65" t="s">
        <v>61</v>
      </c>
      <c r="AJ669" s="105" t="s">
        <v>61</v>
      </c>
      <c r="AK669" s="76"/>
    </row>
    <row r="670" ht="24.0" customHeight="1">
      <c r="A670" s="35"/>
      <c r="B670" s="36">
        <v>1.0</v>
      </c>
      <c r="C670" s="37" t="str">
        <f>IFERROR(__xludf.DUMMYFUNCTION("""COMPUTED_VALUE"""),"Brian Badalamenti (4) - '27 C NY")</f>
        <v>Brian Badalamenti (4) - '27 C NY</v>
      </c>
      <c r="D670" s="89" t="s">
        <v>3733</v>
      </c>
      <c r="E670" s="39" t="s">
        <v>109</v>
      </c>
      <c r="F670" s="156">
        <v>46156.0</v>
      </c>
      <c r="G670" s="113" t="s">
        <v>1395</v>
      </c>
      <c r="H670" s="42" t="s">
        <v>1383</v>
      </c>
      <c r="I670" s="43" t="s">
        <v>3734</v>
      </c>
      <c r="J670" s="43">
        <v>2027.0</v>
      </c>
      <c r="K670" s="43">
        <v>4.0</v>
      </c>
      <c r="L670" s="80"/>
      <c r="M670" s="43" t="s">
        <v>109</v>
      </c>
      <c r="N670" s="43"/>
      <c r="O670" s="43" t="s">
        <v>1550</v>
      </c>
      <c r="P670" s="43" t="s">
        <v>3735</v>
      </c>
      <c r="Q670" s="43" t="s">
        <v>255</v>
      </c>
      <c r="R670" s="80"/>
      <c r="S670" s="44" t="s">
        <v>2815</v>
      </c>
      <c r="T670" s="81"/>
      <c r="U670" s="81"/>
      <c r="V670" s="81"/>
      <c r="W670" s="39" t="s">
        <v>3736</v>
      </c>
      <c r="X670" s="81"/>
      <c r="Y670" s="81"/>
      <c r="Z670" s="82"/>
      <c r="AA670" s="99"/>
      <c r="AB670" s="48" t="s">
        <v>61</v>
      </c>
      <c r="AC670" s="68" t="s">
        <v>61</v>
      </c>
      <c r="AD670" s="69" t="s">
        <v>61</v>
      </c>
      <c r="AE670" s="69" t="s">
        <v>61</v>
      </c>
      <c r="AF670" s="68" t="s">
        <v>61</v>
      </c>
      <c r="AG670" s="68" t="s">
        <v>61</v>
      </c>
      <c r="AH670" s="68" t="s">
        <v>61</v>
      </c>
      <c r="AI670" s="70" t="s">
        <v>61</v>
      </c>
      <c r="AJ670" s="114" t="s">
        <v>61</v>
      </c>
      <c r="AK670" s="82"/>
    </row>
    <row r="671" ht="24.0" customHeight="1">
      <c r="A671" s="35"/>
      <c r="B671" s="36">
        <v>1.0</v>
      </c>
      <c r="C671" s="37" t="str">
        <f>IFERROR(__xludf.DUMMYFUNCTION("""COMPUTED_VALUE"""),"Jackson Bailey (2) - '27 OF SC")</f>
        <v>Jackson Bailey (2) - '27 OF SC</v>
      </c>
      <c r="D671" s="38" t="s">
        <v>3737</v>
      </c>
      <c r="E671" s="51" t="s">
        <v>103</v>
      </c>
      <c r="F671" s="140">
        <v>45881.0</v>
      </c>
      <c r="G671" s="116" t="s">
        <v>1470</v>
      </c>
      <c r="H671" s="54" t="s">
        <v>432</v>
      </c>
      <c r="I671" s="55" t="s">
        <v>3738</v>
      </c>
      <c r="J671" s="55">
        <v>2027.0</v>
      </c>
      <c r="K671" s="100">
        <v>2.0</v>
      </c>
      <c r="L671" s="177" t="s">
        <v>61</v>
      </c>
      <c r="M671" s="55" t="s">
        <v>103</v>
      </c>
      <c r="N671" s="58" t="s">
        <v>122</v>
      </c>
      <c r="O671" s="57"/>
      <c r="P671" s="55" t="s">
        <v>3739</v>
      </c>
      <c r="Q671" s="55" t="s">
        <v>286</v>
      </c>
      <c r="R671" s="55" t="s">
        <v>3740</v>
      </c>
      <c r="S671" s="58" t="s">
        <v>1599</v>
      </c>
      <c r="T671" s="51">
        <v>4.1</v>
      </c>
      <c r="U671" s="74"/>
      <c r="V671" s="74"/>
      <c r="W671" s="74"/>
      <c r="X671" s="74"/>
      <c r="Y671" s="74"/>
      <c r="Z671" s="76"/>
      <c r="AA671" s="73" t="s">
        <v>3741</v>
      </c>
      <c r="AB671" s="62" t="s">
        <v>61</v>
      </c>
      <c r="AC671" s="63" t="s">
        <v>61</v>
      </c>
      <c r="AD671" s="64" t="s">
        <v>61</v>
      </c>
      <c r="AE671" s="64" t="s">
        <v>61</v>
      </c>
      <c r="AF671" s="63" t="s">
        <v>61</v>
      </c>
      <c r="AG671" s="63" t="s">
        <v>61</v>
      </c>
      <c r="AH671" s="63" t="s">
        <v>61</v>
      </c>
      <c r="AI671" s="65" t="s">
        <v>61</v>
      </c>
      <c r="AJ671" s="105" t="s">
        <v>61</v>
      </c>
      <c r="AK671" s="76"/>
    </row>
    <row r="672" ht="24.0" customHeight="1">
      <c r="A672" s="35"/>
      <c r="B672" s="36">
        <v>1.0</v>
      </c>
      <c r="C672" s="37" t="str">
        <f>IFERROR(__xludf.DUMMYFUNCTION("""COMPUTED_VALUE"""),"Bentley Baird (4) - '28 CINF IN")</f>
        <v>Bentley Baird (4) - '28 CINF IN</v>
      </c>
      <c r="D672" s="89" t="s">
        <v>3742</v>
      </c>
      <c r="E672" s="39" t="s">
        <v>48</v>
      </c>
      <c r="F672" s="156">
        <v>46156.0</v>
      </c>
      <c r="G672" s="113" t="s">
        <v>1395</v>
      </c>
      <c r="H672" s="42" t="s">
        <v>3743</v>
      </c>
      <c r="I672" s="43" t="s">
        <v>3744</v>
      </c>
      <c r="J672" s="43">
        <v>2028.0</v>
      </c>
      <c r="K672" s="43">
        <v>4.0</v>
      </c>
      <c r="L672" s="130"/>
      <c r="M672" s="43" t="s">
        <v>72</v>
      </c>
      <c r="N672" s="43"/>
      <c r="O672" s="43" t="s">
        <v>1550</v>
      </c>
      <c r="P672" s="43" t="s">
        <v>3745</v>
      </c>
      <c r="Q672" s="43" t="s">
        <v>153</v>
      </c>
      <c r="R672" s="43" t="s">
        <v>3638</v>
      </c>
      <c r="S672" s="44" t="s">
        <v>3204</v>
      </c>
      <c r="T672" s="81"/>
      <c r="U672" s="39" t="s">
        <v>3746</v>
      </c>
      <c r="V672" s="81"/>
      <c r="W672" s="39" t="s">
        <v>3747</v>
      </c>
      <c r="X672" s="81"/>
      <c r="Y672" s="81"/>
      <c r="Z672" s="82"/>
      <c r="AA672" s="47" t="s">
        <v>3748</v>
      </c>
      <c r="AB672" s="48" t="s">
        <v>61</v>
      </c>
      <c r="AC672" s="68" t="s">
        <v>61</v>
      </c>
      <c r="AD672" s="69" t="s">
        <v>61</v>
      </c>
      <c r="AE672" s="69" t="s">
        <v>61</v>
      </c>
      <c r="AF672" s="68" t="s">
        <v>61</v>
      </c>
      <c r="AG672" s="68" t="s">
        <v>61</v>
      </c>
      <c r="AH672" s="68" t="s">
        <v>61</v>
      </c>
      <c r="AI672" s="70" t="s">
        <v>61</v>
      </c>
      <c r="AJ672" s="114" t="s">
        <v>61</v>
      </c>
      <c r="AK672" s="82"/>
    </row>
    <row r="673" ht="24.0" customHeight="1">
      <c r="A673" s="35"/>
      <c r="B673" s="36">
        <v>1.0</v>
      </c>
      <c r="C673" s="37" t="str">
        <f>IFERROR(__xludf.DUMMYFUNCTION("""COMPUTED_VALUE"""),"Blake Baker (4) - '27 CINF TX")</f>
        <v>Blake Baker (4) - '27 CINF TX</v>
      </c>
      <c r="D673" s="89" t="s">
        <v>3749</v>
      </c>
      <c r="E673" s="51" t="s">
        <v>48</v>
      </c>
      <c r="F673" s="140">
        <v>46156.0</v>
      </c>
      <c r="G673" s="116" t="s">
        <v>1395</v>
      </c>
      <c r="H673" s="54" t="s">
        <v>496</v>
      </c>
      <c r="I673" s="55" t="s">
        <v>355</v>
      </c>
      <c r="J673" s="55">
        <v>2027.0</v>
      </c>
      <c r="K673" s="55">
        <v>4.0</v>
      </c>
      <c r="L673" s="171" t="s">
        <v>61</v>
      </c>
      <c r="M673" s="55" t="s">
        <v>72</v>
      </c>
      <c r="N673" s="58"/>
      <c r="O673" s="57" t="s">
        <v>1550</v>
      </c>
      <c r="P673" s="57" t="s">
        <v>3750</v>
      </c>
      <c r="Q673" s="55" t="s">
        <v>180</v>
      </c>
      <c r="R673" s="57" t="s">
        <v>3751</v>
      </c>
      <c r="S673" s="58"/>
      <c r="T673" s="74" t="s">
        <v>3752</v>
      </c>
      <c r="U673" s="74"/>
      <c r="V673" s="74" t="s">
        <v>3752</v>
      </c>
      <c r="W673" s="74" t="s">
        <v>3747</v>
      </c>
      <c r="X673" s="74"/>
      <c r="Y673" s="74"/>
      <c r="Z673" s="76"/>
      <c r="AA673" s="73" t="s">
        <v>3753</v>
      </c>
      <c r="AB673" s="62" t="s">
        <v>61</v>
      </c>
      <c r="AC673" s="63" t="s">
        <v>61</v>
      </c>
      <c r="AD673" s="64" t="s">
        <v>61</v>
      </c>
      <c r="AE673" s="64" t="s">
        <v>61</v>
      </c>
      <c r="AF673" s="63" t="s">
        <v>61</v>
      </c>
      <c r="AG673" s="63" t="s">
        <v>61</v>
      </c>
      <c r="AH673" s="63" t="s">
        <v>61</v>
      </c>
      <c r="AI673" s="65" t="s">
        <v>61</v>
      </c>
      <c r="AJ673" s="105" t="s">
        <v>61</v>
      </c>
      <c r="AK673" s="76"/>
    </row>
    <row r="674" ht="24.0" customHeight="1">
      <c r="A674" s="35"/>
      <c r="B674" s="36">
        <v>1.0</v>
      </c>
      <c r="C674" s="37" t="str">
        <f>IFERROR(__xludf.DUMMYFUNCTION("""COMPUTED_VALUE"""),"Riley Barker (4) - '28 RHP ")</f>
        <v>Riley Barker (4) - '28 RHP </v>
      </c>
      <c r="D674" s="38" t="s">
        <v>3754</v>
      </c>
      <c r="E674" s="39" t="s">
        <v>63</v>
      </c>
      <c r="F674" s="121"/>
      <c r="G674" s="122"/>
      <c r="H674" s="42" t="s">
        <v>1187</v>
      </c>
      <c r="I674" s="43" t="s">
        <v>3755</v>
      </c>
      <c r="J674" s="43">
        <v>2028.0</v>
      </c>
      <c r="K674" s="43">
        <v>4.0</v>
      </c>
      <c r="L674" s="178"/>
      <c r="M674" s="43" t="s">
        <v>63</v>
      </c>
      <c r="N674" s="80"/>
      <c r="O674" s="43" t="s">
        <v>1550</v>
      </c>
      <c r="P674" s="43" t="s">
        <v>3756</v>
      </c>
      <c r="Q674" s="80"/>
      <c r="R674" s="80"/>
      <c r="S674" s="44" t="s">
        <v>1776</v>
      </c>
      <c r="T674" s="81"/>
      <c r="U674" s="81"/>
      <c r="V674" s="157"/>
      <c r="W674" s="39" t="s">
        <v>1724</v>
      </c>
      <c r="X674" s="81"/>
      <c r="Y674" s="81"/>
      <c r="Z674" s="82"/>
      <c r="AA674" s="99"/>
      <c r="AB674" s="48" t="s">
        <v>61</v>
      </c>
      <c r="AC674" s="68" t="s">
        <v>61</v>
      </c>
      <c r="AD674" s="69" t="s">
        <v>61</v>
      </c>
      <c r="AE674" s="69" t="s">
        <v>61</v>
      </c>
      <c r="AF674" s="68" t="s">
        <v>61</v>
      </c>
      <c r="AG674" s="68" t="s">
        <v>61</v>
      </c>
      <c r="AH674" s="68" t="s">
        <v>61</v>
      </c>
      <c r="AI674" s="70" t="s">
        <v>61</v>
      </c>
      <c r="AJ674" s="114" t="s">
        <v>61</v>
      </c>
      <c r="AK674" s="82"/>
    </row>
    <row r="675" ht="24.0" customHeight="1">
      <c r="A675" s="35"/>
      <c r="B675" s="36">
        <v>1.0</v>
      </c>
      <c r="C675" s="37" t="str">
        <f>IFERROR(__xludf.DUMMYFUNCTION("""COMPUTED_VALUE"""),"Hugh Bassett (4) - '27 INF ")</f>
        <v>Hugh Bassett (4) - '27 INF </v>
      </c>
      <c r="D675" s="89" t="s">
        <v>3757</v>
      </c>
      <c r="E675" s="51" t="s">
        <v>48</v>
      </c>
      <c r="F675" s="137"/>
      <c r="G675" s="133"/>
      <c r="H675" s="54" t="s">
        <v>3758</v>
      </c>
      <c r="I675" s="55" t="s">
        <v>3759</v>
      </c>
      <c r="J675" s="55">
        <v>2027.0</v>
      </c>
      <c r="K675" s="55">
        <v>4.0</v>
      </c>
      <c r="L675" s="171" t="s">
        <v>61</v>
      </c>
      <c r="M675" s="55" t="s">
        <v>48</v>
      </c>
      <c r="N675" s="132"/>
      <c r="O675" s="57"/>
      <c r="P675" s="55" t="s">
        <v>3760</v>
      </c>
      <c r="Q675" s="57"/>
      <c r="R675" s="55" t="s">
        <v>3200</v>
      </c>
      <c r="S675" s="58" t="s">
        <v>3702</v>
      </c>
      <c r="T675" s="74"/>
      <c r="U675" s="74"/>
      <c r="V675" s="51"/>
      <c r="W675" s="51" t="s">
        <v>1724</v>
      </c>
      <c r="X675" s="51" t="s">
        <v>1550</v>
      </c>
      <c r="Y675" s="74"/>
      <c r="Z675" s="76"/>
      <c r="AA675" s="134"/>
      <c r="AB675" s="62" t="s">
        <v>61</v>
      </c>
      <c r="AC675" s="63" t="s">
        <v>61</v>
      </c>
      <c r="AD675" s="64" t="s">
        <v>61</v>
      </c>
      <c r="AE675" s="64" t="s">
        <v>61</v>
      </c>
      <c r="AF675" s="63" t="s">
        <v>61</v>
      </c>
      <c r="AG675" s="63" t="s">
        <v>61</v>
      </c>
      <c r="AH675" s="63" t="s">
        <v>61</v>
      </c>
      <c r="AI675" s="65" t="s">
        <v>61</v>
      </c>
      <c r="AJ675" s="105" t="s">
        <v>61</v>
      </c>
      <c r="AK675" s="76"/>
    </row>
    <row r="676" ht="24.0" customHeight="1">
      <c r="A676" s="35"/>
      <c r="B676" s="36">
        <v>1.0</v>
      </c>
      <c r="C676" s="37" t="str">
        <f>IFERROR(__xludf.DUMMYFUNCTION("""COMPUTED_VALUE"""),"Hugh Bassett (4) - '27 RHP MA")</f>
        <v>Hugh Bassett (4) - '27 RHP MA</v>
      </c>
      <c r="D676" s="89" t="s">
        <v>3757</v>
      </c>
      <c r="E676" s="39" t="s">
        <v>63</v>
      </c>
      <c r="F676" s="156">
        <v>46168.0</v>
      </c>
      <c r="G676" s="113" t="s">
        <v>1395</v>
      </c>
      <c r="H676" s="42" t="s">
        <v>3758</v>
      </c>
      <c r="I676" s="43" t="s">
        <v>3759</v>
      </c>
      <c r="J676" s="43">
        <v>2027.0</v>
      </c>
      <c r="K676" s="43">
        <v>4.0</v>
      </c>
      <c r="L676" s="178"/>
      <c r="M676" s="43" t="s">
        <v>63</v>
      </c>
      <c r="N676" s="43" t="s">
        <v>48</v>
      </c>
      <c r="O676" s="43" t="s">
        <v>1550</v>
      </c>
      <c r="P676" s="80"/>
      <c r="Q676" s="43" t="s">
        <v>85</v>
      </c>
      <c r="R676" s="43" t="s">
        <v>3200</v>
      </c>
      <c r="S676" s="44" t="s">
        <v>3704</v>
      </c>
      <c r="T676" s="81"/>
      <c r="U676" s="81"/>
      <c r="V676" s="81"/>
      <c r="W676" s="81"/>
      <c r="X676" s="81"/>
      <c r="Y676" s="81"/>
      <c r="Z676" s="46"/>
      <c r="AA676" s="47" t="s">
        <v>3761</v>
      </c>
      <c r="AB676" s="48" t="s">
        <v>61</v>
      </c>
      <c r="AC676" s="68" t="s">
        <v>61</v>
      </c>
      <c r="AD676" s="69" t="s">
        <v>61</v>
      </c>
      <c r="AE676" s="69" t="s">
        <v>61</v>
      </c>
      <c r="AF676" s="68" t="s">
        <v>61</v>
      </c>
      <c r="AG676" s="68" t="s">
        <v>61</v>
      </c>
      <c r="AH676" s="68" t="s">
        <v>61</v>
      </c>
      <c r="AI676" s="70" t="s">
        <v>61</v>
      </c>
      <c r="AJ676" s="114" t="s">
        <v>61</v>
      </c>
      <c r="AK676" s="82"/>
    </row>
    <row r="677" ht="24.0" customHeight="1">
      <c r="A677" s="35"/>
      <c r="B677" s="36">
        <v>1.0</v>
      </c>
      <c r="C677" s="37" t="str">
        <f>IFERROR(__xludf.DUMMYFUNCTION("""COMPUTED_VALUE"""),"Christopher Baxter (4) - '27 C NC")</f>
        <v>Christopher Baxter (4) - '27 C NC</v>
      </c>
      <c r="D677" s="89" t="s">
        <v>3762</v>
      </c>
      <c r="E677" s="51" t="s">
        <v>109</v>
      </c>
      <c r="F677" s="154">
        <v>46168.0</v>
      </c>
      <c r="G677" s="116" t="s">
        <v>1395</v>
      </c>
      <c r="H677" s="54" t="s">
        <v>3763</v>
      </c>
      <c r="I677" s="55" t="s">
        <v>3764</v>
      </c>
      <c r="J677" s="55">
        <v>2027.0</v>
      </c>
      <c r="K677" s="55">
        <v>4.0</v>
      </c>
      <c r="L677" s="57"/>
      <c r="M677" s="55" t="s">
        <v>109</v>
      </c>
      <c r="N677" s="55"/>
      <c r="O677" s="57"/>
      <c r="P677" s="57"/>
      <c r="Q677" s="55" t="s">
        <v>73</v>
      </c>
      <c r="R677" s="55" t="s">
        <v>3765</v>
      </c>
      <c r="S677" s="58" t="s">
        <v>3766</v>
      </c>
      <c r="T677" s="51" t="s">
        <v>3767</v>
      </c>
      <c r="U677" s="51" t="s">
        <v>3768</v>
      </c>
      <c r="V677" s="51" t="s">
        <v>3769</v>
      </c>
      <c r="W677" s="74"/>
      <c r="X677" s="74"/>
      <c r="Y677" s="74"/>
      <c r="Z677" s="76"/>
      <c r="AA677" s="155" t="s">
        <v>3770</v>
      </c>
      <c r="AB677" s="62" t="s">
        <v>61</v>
      </c>
      <c r="AC677" s="63" t="s">
        <v>61</v>
      </c>
      <c r="AD677" s="64" t="s">
        <v>61</v>
      </c>
      <c r="AE677" s="64" t="s">
        <v>61</v>
      </c>
      <c r="AF677" s="63" t="s">
        <v>61</v>
      </c>
      <c r="AG677" s="63" t="s">
        <v>61</v>
      </c>
      <c r="AH677" s="63" t="s">
        <v>61</v>
      </c>
      <c r="AI677" s="65" t="s">
        <v>61</v>
      </c>
      <c r="AJ677" s="105" t="s">
        <v>61</v>
      </c>
      <c r="AK677" s="76"/>
    </row>
    <row r="678" ht="24.0" customHeight="1">
      <c r="A678" s="35"/>
      <c r="B678" s="36">
        <v>1.0</v>
      </c>
      <c r="C678" s="37" t="str">
        <f>IFERROR(__xludf.DUMMYFUNCTION("""COMPUTED_VALUE""")," Unknown")</f>
        <v> Unknown</v>
      </c>
      <c r="D678" s="89" t="s">
        <v>3771</v>
      </c>
      <c r="E678" s="39" t="s">
        <v>109</v>
      </c>
      <c r="F678" s="156">
        <v>46174.0</v>
      </c>
      <c r="G678" s="113" t="s">
        <v>1470</v>
      </c>
      <c r="H678" s="42" t="s">
        <v>3772</v>
      </c>
      <c r="I678" s="43" t="s">
        <v>3773</v>
      </c>
      <c r="J678" s="179"/>
      <c r="K678" s="43">
        <v>4.0</v>
      </c>
      <c r="L678" s="80"/>
      <c r="M678" s="43" t="s">
        <v>109</v>
      </c>
      <c r="N678" s="43" t="s">
        <v>103</v>
      </c>
      <c r="O678" s="43" t="s">
        <v>1972</v>
      </c>
      <c r="P678" s="43" t="s">
        <v>63</v>
      </c>
      <c r="Q678" s="43" t="s">
        <v>3774</v>
      </c>
      <c r="R678" s="43" t="s">
        <v>3774</v>
      </c>
      <c r="S678" s="44" t="s">
        <v>3775</v>
      </c>
      <c r="T678" s="39" t="s">
        <v>3776</v>
      </c>
      <c r="U678" s="39">
        <v>4.05</v>
      </c>
      <c r="V678" s="81"/>
      <c r="W678" s="81"/>
      <c r="X678" s="81"/>
      <c r="Y678" s="39" t="s">
        <v>3777</v>
      </c>
      <c r="Z678" s="82"/>
      <c r="AA678" s="47" t="s">
        <v>3778</v>
      </c>
      <c r="AB678" s="48" t="s">
        <v>61</v>
      </c>
      <c r="AC678" s="68" t="s">
        <v>61</v>
      </c>
      <c r="AD678" s="69" t="s">
        <v>61</v>
      </c>
      <c r="AE678" s="69" t="s">
        <v>61</v>
      </c>
      <c r="AF678" s="68" t="s">
        <v>61</v>
      </c>
      <c r="AG678" s="68" t="s">
        <v>61</v>
      </c>
      <c r="AH678" s="68" t="s">
        <v>61</v>
      </c>
      <c r="AI678" s="70" t="s">
        <v>61</v>
      </c>
      <c r="AJ678" s="114" t="s">
        <v>61</v>
      </c>
      <c r="AK678" s="82"/>
    </row>
    <row r="679" ht="24.0" customHeight="1">
      <c r="A679" s="35"/>
      <c r="B679" s="36">
        <v>1.0</v>
      </c>
      <c r="C679" s="37" t="str">
        <f>IFERROR(__xludf.DUMMYFUNCTION("""COMPUTED_VALUE"""),"Cooper Benjamin (4) - '27 LHP CA")</f>
        <v>Cooper Benjamin (4) - '27 LHP CA</v>
      </c>
      <c r="D679" s="89" t="s">
        <v>3779</v>
      </c>
      <c r="E679" s="51" t="s">
        <v>122</v>
      </c>
      <c r="F679" s="140">
        <v>46156.0</v>
      </c>
      <c r="G679" s="116" t="s">
        <v>1395</v>
      </c>
      <c r="H679" s="54" t="s">
        <v>696</v>
      </c>
      <c r="I679" s="55" t="s">
        <v>1566</v>
      </c>
      <c r="J679" s="55">
        <v>2027.0</v>
      </c>
      <c r="K679" s="55">
        <v>4.0</v>
      </c>
      <c r="L679" s="171" t="s">
        <v>61</v>
      </c>
      <c r="M679" s="55" t="s">
        <v>122</v>
      </c>
      <c r="N679" s="58"/>
      <c r="O679" s="57" t="s">
        <v>1556</v>
      </c>
      <c r="P679" s="57" t="s">
        <v>3780</v>
      </c>
      <c r="Q679" s="55" t="s">
        <v>52</v>
      </c>
      <c r="R679" s="57" t="s">
        <v>3781</v>
      </c>
      <c r="S679" s="58" t="s">
        <v>3782</v>
      </c>
      <c r="T679" s="74" t="s">
        <v>2364</v>
      </c>
      <c r="U679" s="74"/>
      <c r="V679" s="74"/>
      <c r="W679" s="74" t="s">
        <v>3747</v>
      </c>
      <c r="X679" s="74"/>
      <c r="Y679" s="74"/>
      <c r="Z679" s="76"/>
      <c r="AA679" s="73" t="s">
        <v>3783</v>
      </c>
      <c r="AB679" s="62" t="s">
        <v>61</v>
      </c>
      <c r="AC679" s="63" t="s">
        <v>61</v>
      </c>
      <c r="AD679" s="64" t="s">
        <v>61</v>
      </c>
      <c r="AE679" s="64" t="s">
        <v>61</v>
      </c>
      <c r="AF679" s="63" t="s">
        <v>61</v>
      </c>
      <c r="AG679" s="63" t="s">
        <v>61</v>
      </c>
      <c r="AH679" s="63" t="s">
        <v>61</v>
      </c>
      <c r="AI679" s="65" t="s">
        <v>61</v>
      </c>
      <c r="AJ679" s="105" t="s">
        <v>61</v>
      </c>
      <c r="AK679" s="76"/>
    </row>
    <row r="680" ht="24.0" customHeight="1">
      <c r="A680" s="35"/>
      <c r="B680" s="36">
        <v>1.0</v>
      </c>
      <c r="C680" s="37" t="str">
        <f>IFERROR(__xludf.DUMMYFUNCTION("""COMPUTED_VALUE"""),"Connor Bletsch (4) - '27 3B NY")</f>
        <v>Connor Bletsch (4) - '27 3B NY</v>
      </c>
      <c r="D680" s="89" t="s">
        <v>3784</v>
      </c>
      <c r="E680" s="39" t="s">
        <v>48</v>
      </c>
      <c r="F680" s="156">
        <v>46175.0</v>
      </c>
      <c r="G680" s="113" t="s">
        <v>1395</v>
      </c>
      <c r="H680" s="42" t="s">
        <v>682</v>
      </c>
      <c r="I680" s="43" t="s">
        <v>3785</v>
      </c>
      <c r="J680" s="43">
        <v>2027.0</v>
      </c>
      <c r="K680" s="43">
        <v>4.0</v>
      </c>
      <c r="L680" s="80"/>
      <c r="M680" s="43" t="s">
        <v>1519</v>
      </c>
      <c r="N680" s="43"/>
      <c r="O680" s="80"/>
      <c r="P680" s="43" t="s">
        <v>3786</v>
      </c>
      <c r="Q680" s="43" t="s">
        <v>255</v>
      </c>
      <c r="R680" s="43" t="s">
        <v>3787</v>
      </c>
      <c r="S680" s="44" t="s">
        <v>3690</v>
      </c>
      <c r="T680" s="39" t="s">
        <v>3788</v>
      </c>
      <c r="U680" s="81"/>
      <c r="V680" s="81"/>
      <c r="W680" s="81"/>
      <c r="X680" s="81"/>
      <c r="Y680" s="81"/>
      <c r="Z680" s="82"/>
      <c r="AA680" s="47" t="s">
        <v>3789</v>
      </c>
      <c r="AB680" s="48" t="s">
        <v>61</v>
      </c>
      <c r="AC680" s="68" t="s">
        <v>61</v>
      </c>
      <c r="AD680" s="69" t="s">
        <v>61</v>
      </c>
      <c r="AE680" s="69" t="s">
        <v>61</v>
      </c>
      <c r="AF680" s="68" t="s">
        <v>61</v>
      </c>
      <c r="AG680" s="68" t="s">
        <v>61</v>
      </c>
      <c r="AH680" s="68" t="s">
        <v>61</v>
      </c>
      <c r="AI680" s="70" t="s">
        <v>61</v>
      </c>
      <c r="AJ680" s="114" t="s">
        <v>61</v>
      </c>
      <c r="AK680" s="82"/>
    </row>
    <row r="681" ht="24.0" customHeight="1">
      <c r="A681" s="35"/>
      <c r="B681" s="36">
        <v>1.0</v>
      </c>
      <c r="C681" s="37" t="str">
        <f>IFERROR(__xludf.DUMMYFUNCTION("""COMPUTED_VALUE"""),"Tucker Bliss (4) - '27 RHP MA")</f>
        <v>Tucker Bliss (4) - '27 RHP MA</v>
      </c>
      <c r="D681" s="89" t="s">
        <v>3790</v>
      </c>
      <c r="E681" s="51" t="s">
        <v>63</v>
      </c>
      <c r="F681" s="140">
        <v>46156.0</v>
      </c>
      <c r="G681" s="116" t="s">
        <v>1395</v>
      </c>
      <c r="H681" s="54" t="s">
        <v>3791</v>
      </c>
      <c r="I681" s="55" t="s">
        <v>3792</v>
      </c>
      <c r="J681" s="55">
        <v>2027.0</v>
      </c>
      <c r="K681" s="55">
        <v>4.0</v>
      </c>
      <c r="L681" s="171" t="s">
        <v>61</v>
      </c>
      <c r="M681" s="55" t="s">
        <v>63</v>
      </c>
      <c r="N681" s="58"/>
      <c r="O681" s="57" t="s">
        <v>1550</v>
      </c>
      <c r="P681" s="57" t="s">
        <v>3793</v>
      </c>
      <c r="Q681" s="55" t="s">
        <v>85</v>
      </c>
      <c r="R681" s="57" t="s">
        <v>3794</v>
      </c>
      <c r="S681" s="58" t="s">
        <v>3709</v>
      </c>
      <c r="T681" s="74"/>
      <c r="U681" s="74" t="s">
        <v>3795</v>
      </c>
      <c r="V681" s="74"/>
      <c r="W681" s="74" t="s">
        <v>3747</v>
      </c>
      <c r="X681" s="74"/>
      <c r="Y681" s="74"/>
      <c r="Z681" s="76"/>
      <c r="AA681" s="73" t="s">
        <v>3796</v>
      </c>
      <c r="AB681" s="62" t="s">
        <v>61</v>
      </c>
      <c r="AC681" s="63" t="s">
        <v>61</v>
      </c>
      <c r="AD681" s="64" t="s">
        <v>61</v>
      </c>
      <c r="AE681" s="64" t="s">
        <v>61</v>
      </c>
      <c r="AF681" s="63" t="s">
        <v>61</v>
      </c>
      <c r="AG681" s="63" t="s">
        <v>61</v>
      </c>
      <c r="AH681" s="63" t="s">
        <v>61</v>
      </c>
      <c r="AI681" s="65" t="s">
        <v>61</v>
      </c>
      <c r="AJ681" s="105" t="s">
        <v>61</v>
      </c>
      <c r="AK681" s="76"/>
    </row>
    <row r="682" ht="24.0" customHeight="1">
      <c r="A682" s="35"/>
      <c r="B682" s="36">
        <v>1.0</v>
      </c>
      <c r="C682" s="37" t="str">
        <f>IFERROR(__xludf.DUMMYFUNCTION("""COMPUTED_VALUE"""),"Jake Boguniecki (4) - '27 MINF CT")</f>
        <v>Jake Boguniecki (4) - '27 MINF CT</v>
      </c>
      <c r="D682" s="89" t="s">
        <v>3797</v>
      </c>
      <c r="E682" s="39" t="s">
        <v>48</v>
      </c>
      <c r="F682" s="112"/>
      <c r="G682" s="113" t="s">
        <v>1395</v>
      </c>
      <c r="H682" s="42" t="s">
        <v>136</v>
      </c>
      <c r="I682" s="43" t="s">
        <v>3798</v>
      </c>
      <c r="J682" s="43">
        <v>2027.0</v>
      </c>
      <c r="K682" s="43">
        <v>4.0</v>
      </c>
      <c r="L682" s="158" t="s">
        <v>61</v>
      </c>
      <c r="M682" s="43" t="s">
        <v>51</v>
      </c>
      <c r="N682" s="44" t="s">
        <v>63</v>
      </c>
      <c r="O682" s="43" t="s">
        <v>1550</v>
      </c>
      <c r="P682" s="80"/>
      <c r="Q682" s="43" t="s">
        <v>160</v>
      </c>
      <c r="R682" s="43" t="s">
        <v>3799</v>
      </c>
      <c r="S682" s="44" t="s">
        <v>3800</v>
      </c>
      <c r="T682" s="39"/>
      <c r="U682" s="39"/>
      <c r="V682" s="39"/>
      <c r="W682" s="39"/>
      <c r="X682" s="39"/>
      <c r="Y682" s="39"/>
      <c r="Z682" s="46"/>
      <c r="AA682" s="47"/>
      <c r="AB682" s="48" t="s">
        <v>61</v>
      </c>
      <c r="AC682" s="68" t="s">
        <v>61</v>
      </c>
      <c r="AD682" s="69" t="s">
        <v>61</v>
      </c>
      <c r="AE682" s="69" t="s">
        <v>61</v>
      </c>
      <c r="AF682" s="68" t="s">
        <v>61</v>
      </c>
      <c r="AG682" s="68" t="s">
        <v>61</v>
      </c>
      <c r="AH682" s="68" t="s">
        <v>61</v>
      </c>
      <c r="AI682" s="70" t="s">
        <v>61</v>
      </c>
      <c r="AJ682" s="49" t="s">
        <v>61</v>
      </c>
      <c r="AK682" s="46"/>
    </row>
    <row r="683" ht="24.0" customHeight="1">
      <c r="A683" s="35"/>
      <c r="B683" s="36">
        <v>1.0</v>
      </c>
      <c r="C683" s="37" t="str">
        <f>IFERROR(__xludf.DUMMYFUNCTION("""COMPUTED_VALUE"""),"Lucca Boyce (4) - '27 OF CT")</f>
        <v>Lucca Boyce (4) - '27 OF CT</v>
      </c>
      <c r="D683" s="89" t="s">
        <v>3801</v>
      </c>
      <c r="E683" s="51" t="s">
        <v>103</v>
      </c>
      <c r="F683" s="154">
        <v>46156.0</v>
      </c>
      <c r="G683" s="116" t="s">
        <v>1395</v>
      </c>
      <c r="H683" s="54" t="s">
        <v>3802</v>
      </c>
      <c r="I683" s="55" t="s">
        <v>3803</v>
      </c>
      <c r="J683" s="55">
        <v>2027.0</v>
      </c>
      <c r="K683" s="55">
        <v>4.0</v>
      </c>
      <c r="L683" s="131"/>
      <c r="M683" s="55" t="s">
        <v>103</v>
      </c>
      <c r="N683" s="55"/>
      <c r="O683" s="55" t="s">
        <v>1550</v>
      </c>
      <c r="P683" s="55" t="s">
        <v>3720</v>
      </c>
      <c r="Q683" s="55" t="s">
        <v>160</v>
      </c>
      <c r="R683" s="55" t="s">
        <v>3804</v>
      </c>
      <c r="S683" s="58" t="s">
        <v>344</v>
      </c>
      <c r="T683" s="74"/>
      <c r="U683" s="74"/>
      <c r="V683" s="51" t="s">
        <v>3805</v>
      </c>
      <c r="W683" s="74"/>
      <c r="X683" s="74"/>
      <c r="Y683" s="74"/>
      <c r="Z683" s="76"/>
      <c r="AA683" s="134"/>
      <c r="AB683" s="62" t="s">
        <v>61</v>
      </c>
      <c r="AC683" s="63" t="s">
        <v>61</v>
      </c>
      <c r="AD683" s="64" t="s">
        <v>61</v>
      </c>
      <c r="AE683" s="64" t="s">
        <v>61</v>
      </c>
      <c r="AF683" s="63" t="s">
        <v>61</v>
      </c>
      <c r="AG683" s="63" t="s">
        <v>61</v>
      </c>
      <c r="AH683" s="63" t="s">
        <v>61</v>
      </c>
      <c r="AI683" s="65" t="s">
        <v>61</v>
      </c>
      <c r="AJ683" s="105" t="s">
        <v>61</v>
      </c>
      <c r="AK683" s="76"/>
    </row>
    <row r="684" ht="24.0" customHeight="1">
      <c r="A684" s="35"/>
      <c r="B684" s="36">
        <v>1.0</v>
      </c>
      <c r="C684" s="37" t="str">
        <f>IFERROR(__xludf.DUMMYFUNCTION("""COMPUTED_VALUE"""),"Gavin Broesamle (4) - '28 LHP CA")</f>
        <v>Gavin Broesamle (4) - '28 LHP CA</v>
      </c>
      <c r="D684" s="89" t="s">
        <v>3806</v>
      </c>
      <c r="E684" s="39" t="s">
        <v>122</v>
      </c>
      <c r="F684" s="156">
        <v>46168.0</v>
      </c>
      <c r="G684" s="113" t="s">
        <v>1395</v>
      </c>
      <c r="H684" s="42" t="s">
        <v>788</v>
      </c>
      <c r="I684" s="43" t="s">
        <v>3807</v>
      </c>
      <c r="J684" s="43">
        <v>2028.0</v>
      </c>
      <c r="K684" s="43">
        <v>4.0</v>
      </c>
      <c r="L684" s="80"/>
      <c r="M684" s="43" t="s">
        <v>122</v>
      </c>
      <c r="N684" s="43" t="s">
        <v>1972</v>
      </c>
      <c r="O684" s="43" t="s">
        <v>1556</v>
      </c>
      <c r="P684" s="43" t="s">
        <v>3808</v>
      </c>
      <c r="Q684" s="43" t="s">
        <v>52</v>
      </c>
      <c r="R684" s="43" t="s">
        <v>3809</v>
      </c>
      <c r="S684" s="117"/>
      <c r="T684" s="81"/>
      <c r="U684" s="81"/>
      <c r="V684" s="81"/>
      <c r="W684" s="81"/>
      <c r="X684" s="81"/>
      <c r="Y684" s="39"/>
      <c r="Z684" s="82"/>
      <c r="AA684" s="180" t="s">
        <v>3810</v>
      </c>
      <c r="AB684" s="48" t="s">
        <v>61</v>
      </c>
      <c r="AC684" s="68" t="s">
        <v>61</v>
      </c>
      <c r="AD684" s="69" t="s">
        <v>61</v>
      </c>
      <c r="AE684" s="69" t="s">
        <v>61</v>
      </c>
      <c r="AF684" s="68" t="s">
        <v>61</v>
      </c>
      <c r="AG684" s="68" t="s">
        <v>61</v>
      </c>
      <c r="AH684" s="68" t="s">
        <v>61</v>
      </c>
      <c r="AI684" s="70" t="s">
        <v>61</v>
      </c>
      <c r="AJ684" s="114" t="s">
        <v>61</v>
      </c>
      <c r="AK684" s="82"/>
    </row>
    <row r="685" ht="24.0" customHeight="1">
      <c r="A685" s="35"/>
      <c r="B685" s="36">
        <v>1.0</v>
      </c>
      <c r="C685" s="37" t="str">
        <f>IFERROR(__xludf.DUMMYFUNCTION("""COMPUTED_VALUE"""),"Gavin Bucceri (4) - '27 RHP NJ")</f>
        <v>Gavin Bucceri (4) - '27 RHP NJ</v>
      </c>
      <c r="D685" s="89" t="s">
        <v>3811</v>
      </c>
      <c r="E685" s="51" t="s">
        <v>63</v>
      </c>
      <c r="F685" s="140">
        <v>46151.0</v>
      </c>
      <c r="G685" s="116" t="s">
        <v>1395</v>
      </c>
      <c r="H685" s="54" t="s">
        <v>788</v>
      </c>
      <c r="I685" s="55" t="s">
        <v>3812</v>
      </c>
      <c r="J685" s="55">
        <v>2027.0</v>
      </c>
      <c r="K685" s="55">
        <v>4.0</v>
      </c>
      <c r="L685" s="171" t="s">
        <v>61</v>
      </c>
      <c r="M685" s="55" t="s">
        <v>63</v>
      </c>
      <c r="N685" s="58"/>
      <c r="O685" s="57"/>
      <c r="P685" s="57"/>
      <c r="Q685" s="55" t="s">
        <v>502</v>
      </c>
      <c r="R685" s="57"/>
      <c r="S685" s="58" t="s">
        <v>3066</v>
      </c>
      <c r="T685" s="74"/>
      <c r="U685" s="74"/>
      <c r="V685" s="74"/>
      <c r="W685" s="74"/>
      <c r="X685" s="74"/>
      <c r="Y685" s="74"/>
      <c r="Z685" s="76"/>
      <c r="AA685" s="73"/>
      <c r="AB685" s="62" t="s">
        <v>61</v>
      </c>
      <c r="AC685" s="63" t="s">
        <v>61</v>
      </c>
      <c r="AD685" s="64" t="s">
        <v>61</v>
      </c>
      <c r="AE685" s="64" t="s">
        <v>61</v>
      </c>
      <c r="AF685" s="63" t="s">
        <v>61</v>
      </c>
      <c r="AG685" s="63" t="s">
        <v>61</v>
      </c>
      <c r="AH685" s="63" t="s">
        <v>61</v>
      </c>
      <c r="AI685" s="65" t="s">
        <v>61</v>
      </c>
      <c r="AJ685" s="105" t="s">
        <v>61</v>
      </c>
      <c r="AK685" s="76"/>
    </row>
    <row r="686" ht="24.0" customHeight="1">
      <c r="A686" s="35"/>
      <c r="B686" s="36">
        <v>1.0</v>
      </c>
      <c r="C686" s="37" t="str">
        <f>IFERROR(__xludf.DUMMYFUNCTION("""COMPUTED_VALUE"""),"Brock Bumgardner (4) - '27 CINF NC")</f>
        <v>Brock Bumgardner (4) - '27 CINF NC</v>
      </c>
      <c r="D686" s="89" t="s">
        <v>3813</v>
      </c>
      <c r="E686" s="39" t="s">
        <v>48</v>
      </c>
      <c r="F686" s="124">
        <v>46156.0</v>
      </c>
      <c r="G686" s="113" t="s">
        <v>1395</v>
      </c>
      <c r="H686" s="42" t="s">
        <v>551</v>
      </c>
      <c r="I686" s="43" t="s">
        <v>3814</v>
      </c>
      <c r="J686" s="43">
        <v>2027.0</v>
      </c>
      <c r="K686" s="43">
        <v>4.0</v>
      </c>
      <c r="L686" s="158" t="s">
        <v>61</v>
      </c>
      <c r="M686" s="43" t="s">
        <v>72</v>
      </c>
      <c r="N686" s="44"/>
      <c r="O686" s="80" t="s">
        <v>1550</v>
      </c>
      <c r="P686" s="80" t="s">
        <v>3815</v>
      </c>
      <c r="Q686" s="43" t="s">
        <v>73</v>
      </c>
      <c r="R686" s="80" t="s">
        <v>3816</v>
      </c>
      <c r="S686" s="44" t="s">
        <v>3338</v>
      </c>
      <c r="T686" s="81"/>
      <c r="U686" s="81"/>
      <c r="V686" s="81" t="s">
        <v>3817</v>
      </c>
      <c r="W686" s="81" t="s">
        <v>3747</v>
      </c>
      <c r="X686" s="81"/>
      <c r="Y686" s="81"/>
      <c r="Z686" s="82"/>
      <c r="AA686" s="47" t="s">
        <v>3818</v>
      </c>
      <c r="AB686" s="48" t="s">
        <v>61</v>
      </c>
      <c r="AC686" s="68" t="s">
        <v>61</v>
      </c>
      <c r="AD686" s="69" t="s">
        <v>61</v>
      </c>
      <c r="AE686" s="69" t="s">
        <v>61</v>
      </c>
      <c r="AF686" s="68" t="s">
        <v>61</v>
      </c>
      <c r="AG686" s="68" t="s">
        <v>61</v>
      </c>
      <c r="AH686" s="68" t="s">
        <v>61</v>
      </c>
      <c r="AI686" s="70" t="s">
        <v>61</v>
      </c>
      <c r="AJ686" s="114" t="s">
        <v>61</v>
      </c>
      <c r="AK686" s="82"/>
    </row>
    <row r="687" ht="24.0" customHeight="1">
      <c r="A687" s="35"/>
      <c r="B687" s="36">
        <v>1.0</v>
      </c>
      <c r="C687" s="37" t="str">
        <f>IFERROR(__xludf.DUMMYFUNCTION("""COMPUTED_VALUE"""),"Bradley Burckhardt (4) - '28  MD")</f>
        <v>Bradley Burckhardt (4) - '28  MD</v>
      </c>
      <c r="D687" s="89" t="s">
        <v>3819</v>
      </c>
      <c r="E687" s="51" t="s">
        <v>61</v>
      </c>
      <c r="F687" s="154">
        <v>46167.0</v>
      </c>
      <c r="G687" s="116" t="s">
        <v>1395</v>
      </c>
      <c r="H687" s="54" t="s">
        <v>2113</v>
      </c>
      <c r="I687" s="55" t="s">
        <v>3820</v>
      </c>
      <c r="J687" s="55">
        <v>2028.0</v>
      </c>
      <c r="K687" s="55">
        <v>4.0</v>
      </c>
      <c r="L687" s="131"/>
      <c r="M687" s="55"/>
      <c r="N687" s="55"/>
      <c r="O687" s="57"/>
      <c r="P687" s="57"/>
      <c r="Q687" s="55" t="s">
        <v>195</v>
      </c>
      <c r="R687" s="55" t="s">
        <v>3821</v>
      </c>
      <c r="S687" s="58" t="s">
        <v>3822</v>
      </c>
      <c r="T687" s="74"/>
      <c r="U687" s="51" t="s">
        <v>3823</v>
      </c>
      <c r="V687" s="74"/>
      <c r="W687" s="74"/>
      <c r="X687" s="74"/>
      <c r="Y687" s="74"/>
      <c r="Z687" s="76"/>
      <c r="AA687" s="73" t="s">
        <v>3824</v>
      </c>
      <c r="AB687" s="62" t="s">
        <v>61</v>
      </c>
      <c r="AC687" s="63" t="s">
        <v>61</v>
      </c>
      <c r="AD687" s="64" t="s">
        <v>61</v>
      </c>
      <c r="AE687" s="64" t="s">
        <v>61</v>
      </c>
      <c r="AF687" s="63" t="s">
        <v>61</v>
      </c>
      <c r="AG687" s="63" t="s">
        <v>61</v>
      </c>
      <c r="AH687" s="63" t="s">
        <v>61</v>
      </c>
      <c r="AI687" s="65" t="s">
        <v>61</v>
      </c>
      <c r="AJ687" s="105" t="s">
        <v>61</v>
      </c>
      <c r="AK687" s="76"/>
    </row>
    <row r="688" ht="24.0" customHeight="1">
      <c r="A688" s="35"/>
      <c r="B688" s="36">
        <v>1.0</v>
      </c>
      <c r="C688" s="37" t="str">
        <f>IFERROR(__xludf.DUMMYFUNCTION("""COMPUTED_VALUE"""),"James Callaway (4) - '28 RHP GA")</f>
        <v>James Callaway (4) - '28 RHP GA</v>
      </c>
      <c r="D688" s="89" t="s">
        <v>3825</v>
      </c>
      <c r="E688" s="39" t="s">
        <v>63</v>
      </c>
      <c r="F688" s="156">
        <v>46168.0</v>
      </c>
      <c r="G688" s="113" t="s">
        <v>1395</v>
      </c>
      <c r="H688" s="42" t="s">
        <v>916</v>
      </c>
      <c r="I688" s="43" t="s">
        <v>3826</v>
      </c>
      <c r="J688" s="43">
        <v>2028.0</v>
      </c>
      <c r="K688" s="43">
        <v>4.0</v>
      </c>
      <c r="L688" s="80"/>
      <c r="M688" s="43" t="s">
        <v>63</v>
      </c>
      <c r="N688" s="43"/>
      <c r="O688" s="43" t="s">
        <v>1550</v>
      </c>
      <c r="P688" s="43" t="s">
        <v>3827</v>
      </c>
      <c r="Q688" s="43" t="s">
        <v>43</v>
      </c>
      <c r="R688" s="43" t="s">
        <v>3828</v>
      </c>
      <c r="S688" s="44" t="s">
        <v>3829</v>
      </c>
      <c r="T688" s="39" t="s">
        <v>3830</v>
      </c>
      <c r="U688" s="39" t="s">
        <v>3831</v>
      </c>
      <c r="V688" s="39" t="s">
        <v>3832</v>
      </c>
      <c r="W688" s="81"/>
      <c r="X688" s="81"/>
      <c r="Y688" s="81"/>
      <c r="Z688" s="82"/>
      <c r="AA688" s="161" t="s">
        <v>3833</v>
      </c>
      <c r="AB688" s="48" t="s">
        <v>61</v>
      </c>
      <c r="AC688" s="68" t="s">
        <v>61</v>
      </c>
      <c r="AD688" s="69" t="s">
        <v>61</v>
      </c>
      <c r="AE688" s="69" t="s">
        <v>61</v>
      </c>
      <c r="AF688" s="68" t="s">
        <v>61</v>
      </c>
      <c r="AG688" s="68" t="s">
        <v>61</v>
      </c>
      <c r="AH688" s="68" t="s">
        <v>61</v>
      </c>
      <c r="AI688" s="70" t="s">
        <v>61</v>
      </c>
      <c r="AJ688" s="114" t="s">
        <v>61</v>
      </c>
      <c r="AK688" s="82"/>
    </row>
    <row r="689" ht="24.0" customHeight="1">
      <c r="A689" s="35"/>
      <c r="B689" s="36">
        <v>1.0</v>
      </c>
      <c r="C689" s="37" t="str">
        <f>IFERROR(__xludf.DUMMYFUNCTION("""COMPUTED_VALUE"""),"Cooper Campbell (3) - '27 MINF CO")</f>
        <v>Cooper Campbell (3) - '27 MINF CO</v>
      </c>
      <c r="D689" s="89" t="s">
        <v>3834</v>
      </c>
      <c r="E689" s="51" t="s">
        <v>48</v>
      </c>
      <c r="F689" s="154">
        <v>46156.0</v>
      </c>
      <c r="G689" s="116" t="s">
        <v>1395</v>
      </c>
      <c r="H689" s="54" t="s">
        <v>696</v>
      </c>
      <c r="I689" s="55" t="s">
        <v>2883</v>
      </c>
      <c r="J689" s="55">
        <v>2027.0</v>
      </c>
      <c r="K689" s="55">
        <v>3.0</v>
      </c>
      <c r="L689" s="167" t="s">
        <v>61</v>
      </c>
      <c r="M689" s="55" t="s">
        <v>51</v>
      </c>
      <c r="N689" s="58"/>
      <c r="O689" s="55"/>
      <c r="P689" s="55" t="s">
        <v>693</v>
      </c>
      <c r="Q689" s="55" t="s">
        <v>174</v>
      </c>
      <c r="R689" s="55" t="s">
        <v>3835</v>
      </c>
      <c r="S689" s="55" t="s">
        <v>580</v>
      </c>
      <c r="T689" s="51" t="s">
        <v>3836</v>
      </c>
      <c r="U689" s="74"/>
      <c r="V689" s="51" t="s">
        <v>3837</v>
      </c>
      <c r="W689" s="74"/>
      <c r="X689" s="74"/>
      <c r="Y689" s="74"/>
      <c r="Z689" s="76"/>
      <c r="AA689" s="73" t="s">
        <v>3838</v>
      </c>
      <c r="AB689" s="62" t="s">
        <v>61</v>
      </c>
      <c r="AC689" s="63" t="s">
        <v>61</v>
      </c>
      <c r="AD689" s="64" t="s">
        <v>61</v>
      </c>
      <c r="AE689" s="64" t="s">
        <v>61</v>
      </c>
      <c r="AF689" s="63" t="s">
        <v>61</v>
      </c>
      <c r="AG689" s="63" t="s">
        <v>61</v>
      </c>
      <c r="AH689" s="63" t="s">
        <v>61</v>
      </c>
      <c r="AI689" s="65" t="s">
        <v>61</v>
      </c>
      <c r="AJ689" s="105" t="s">
        <v>61</v>
      </c>
      <c r="AK689" s="76"/>
    </row>
    <row r="690" ht="24.0" customHeight="1">
      <c r="A690" s="35"/>
      <c r="B690" s="36">
        <v>1.0</v>
      </c>
      <c r="C690" s="37" t="str">
        <f>IFERROR(__xludf.DUMMYFUNCTION("""COMPUTED_VALUE"""),"Cooper Campbell (3) - '27 2B CO")</f>
        <v>Cooper Campbell (3) - '27 2B CO</v>
      </c>
      <c r="D690" s="89" t="s">
        <v>3834</v>
      </c>
      <c r="E690" s="39" t="s">
        <v>48</v>
      </c>
      <c r="F690" s="156">
        <v>46169.0</v>
      </c>
      <c r="G690" s="113" t="s">
        <v>1470</v>
      </c>
      <c r="H690" s="42" t="s">
        <v>696</v>
      </c>
      <c r="I690" s="43" t="s">
        <v>2883</v>
      </c>
      <c r="J690" s="43">
        <v>2027.0</v>
      </c>
      <c r="K690" s="43">
        <v>3.0</v>
      </c>
      <c r="L690" s="178"/>
      <c r="M690" s="43" t="s">
        <v>2838</v>
      </c>
      <c r="N690" s="43" t="s">
        <v>1519</v>
      </c>
      <c r="O690" s="43" t="s">
        <v>3774</v>
      </c>
      <c r="P690" s="43" t="s">
        <v>693</v>
      </c>
      <c r="Q690" s="43" t="s">
        <v>174</v>
      </c>
      <c r="R690" s="43" t="s">
        <v>3835</v>
      </c>
      <c r="S690" s="44" t="s">
        <v>580</v>
      </c>
      <c r="T690" s="39">
        <v>3.6</v>
      </c>
      <c r="U690" s="81"/>
      <c r="V690" s="39" t="s">
        <v>3837</v>
      </c>
      <c r="W690" s="81"/>
      <c r="X690" s="81"/>
      <c r="Y690" s="39"/>
      <c r="Z690" s="82"/>
      <c r="AA690" s="180" t="s">
        <v>3839</v>
      </c>
      <c r="AB690" s="48" t="s">
        <v>61</v>
      </c>
      <c r="AC690" s="68" t="s">
        <v>61</v>
      </c>
      <c r="AD690" s="69" t="s">
        <v>61</v>
      </c>
      <c r="AE690" s="69" t="s">
        <v>61</v>
      </c>
      <c r="AF690" s="68" t="s">
        <v>61</v>
      </c>
      <c r="AG690" s="68" t="s">
        <v>61</v>
      </c>
      <c r="AH690" s="68" t="s">
        <v>61</v>
      </c>
      <c r="AI690" s="70" t="s">
        <v>61</v>
      </c>
      <c r="AJ690" s="114" t="s">
        <v>61</v>
      </c>
      <c r="AK690" s="82"/>
    </row>
    <row r="691" ht="24.0" customHeight="1">
      <c r="A691" s="35"/>
      <c r="B691" s="36">
        <v>1.0</v>
      </c>
      <c r="C691" s="37" t="str">
        <f>IFERROR(__xludf.DUMMYFUNCTION("""COMPUTED_VALUE"""),"Joseph Cardona Jr. (4) - '27 1B TX")</f>
        <v>Joseph Cardona Jr. (4) - '27 1B TX</v>
      </c>
      <c r="D691" s="89" t="s">
        <v>3840</v>
      </c>
      <c r="E691" s="51" t="s">
        <v>48</v>
      </c>
      <c r="F691" s="154">
        <v>46173.0</v>
      </c>
      <c r="G691" s="116" t="s">
        <v>1395</v>
      </c>
      <c r="H691" s="54" t="s">
        <v>971</v>
      </c>
      <c r="I691" s="55" t="s">
        <v>3841</v>
      </c>
      <c r="J691" s="55">
        <v>2027.0</v>
      </c>
      <c r="K691" s="55">
        <v>4.0</v>
      </c>
      <c r="L691" s="131"/>
      <c r="M691" s="55" t="s">
        <v>1972</v>
      </c>
      <c r="N691" s="55" t="s">
        <v>103</v>
      </c>
      <c r="O691" s="55" t="s">
        <v>1556</v>
      </c>
      <c r="P691" s="55" t="s">
        <v>3842</v>
      </c>
      <c r="Q691" s="55" t="s">
        <v>180</v>
      </c>
      <c r="R691" s="55" t="s">
        <v>3843</v>
      </c>
      <c r="S691" s="58" t="s">
        <v>3782</v>
      </c>
      <c r="T691" s="74"/>
      <c r="U691" s="74"/>
      <c r="V691" s="51" t="s">
        <v>3844</v>
      </c>
      <c r="W691" s="74"/>
      <c r="X691" s="74"/>
      <c r="Y691" s="74"/>
      <c r="Z691" s="76"/>
      <c r="AA691" s="155" t="s">
        <v>3845</v>
      </c>
      <c r="AB691" s="62" t="s">
        <v>61</v>
      </c>
      <c r="AC691" s="63" t="s">
        <v>61</v>
      </c>
      <c r="AD691" s="64" t="s">
        <v>61</v>
      </c>
      <c r="AE691" s="64" t="s">
        <v>61</v>
      </c>
      <c r="AF691" s="63" t="s">
        <v>61</v>
      </c>
      <c r="AG691" s="63" t="s">
        <v>61</v>
      </c>
      <c r="AH691" s="63" t="s">
        <v>61</v>
      </c>
      <c r="AI691" s="65" t="s">
        <v>61</v>
      </c>
      <c r="AJ691" s="105" t="s">
        <v>61</v>
      </c>
      <c r="AK691" s="76"/>
    </row>
    <row r="692" ht="24.0" customHeight="1">
      <c r="A692" s="35"/>
      <c r="B692" s="36">
        <v>1.0</v>
      </c>
      <c r="C692" s="37" t="str">
        <f>IFERROR(__xludf.DUMMYFUNCTION("""COMPUTED_VALUE"""),"Paul Chamberland (4) - '27 RHP MA")</f>
        <v>Paul Chamberland (4) - '27 RHP MA</v>
      </c>
      <c r="D692" s="89" t="s">
        <v>3846</v>
      </c>
      <c r="E692" s="39" t="s">
        <v>63</v>
      </c>
      <c r="F692" s="112"/>
      <c r="G692" s="113" t="s">
        <v>1395</v>
      </c>
      <c r="H692" s="42" t="s">
        <v>3847</v>
      </c>
      <c r="I692" s="43" t="s">
        <v>3848</v>
      </c>
      <c r="J692" s="43">
        <v>2027.0</v>
      </c>
      <c r="K692" s="43">
        <v>4.0</v>
      </c>
      <c r="L692" s="158" t="s">
        <v>61</v>
      </c>
      <c r="M692" s="43" t="s">
        <v>63</v>
      </c>
      <c r="N692" s="44"/>
      <c r="O692" s="43" t="s">
        <v>1989</v>
      </c>
      <c r="P692" s="80"/>
      <c r="Q692" s="43" t="s">
        <v>85</v>
      </c>
      <c r="R692" s="43" t="s">
        <v>3082</v>
      </c>
      <c r="S692" s="44" t="s">
        <v>2989</v>
      </c>
      <c r="T692" s="81"/>
      <c r="U692" s="81"/>
      <c r="V692" s="81"/>
      <c r="W692" s="81"/>
      <c r="X692" s="81"/>
      <c r="Y692" s="81"/>
      <c r="Z692" s="82"/>
      <c r="AA692" s="99"/>
      <c r="AB692" s="48" t="s">
        <v>61</v>
      </c>
      <c r="AC692" s="68" t="s">
        <v>61</v>
      </c>
      <c r="AD692" s="69" t="s">
        <v>61</v>
      </c>
      <c r="AE692" s="69" t="s">
        <v>61</v>
      </c>
      <c r="AF692" s="68" t="s">
        <v>61</v>
      </c>
      <c r="AG692" s="68" t="s">
        <v>61</v>
      </c>
      <c r="AH692" s="68" t="s">
        <v>61</v>
      </c>
      <c r="AI692" s="70" t="s">
        <v>61</v>
      </c>
      <c r="AJ692" s="49" t="s">
        <v>61</v>
      </c>
      <c r="AK692" s="46"/>
    </row>
    <row r="693" ht="24.0" customHeight="1">
      <c r="A693" s="35"/>
      <c r="B693" s="36">
        <v>1.0</v>
      </c>
      <c r="C693" s="37" t="str">
        <f>IFERROR(__xludf.DUMMYFUNCTION("""COMPUTED_VALUE"""),"Matthew Chin (4) - '27 MINF NY")</f>
        <v>Matthew Chin (4) - '27 MINF NY</v>
      </c>
      <c r="D693" s="38" t="s">
        <v>3849</v>
      </c>
      <c r="E693" s="51" t="s">
        <v>48</v>
      </c>
      <c r="F693" s="137"/>
      <c r="G693" s="133"/>
      <c r="H693" s="54" t="s">
        <v>312</v>
      </c>
      <c r="I693" s="55" t="s">
        <v>1823</v>
      </c>
      <c r="J693" s="55">
        <v>2027.0</v>
      </c>
      <c r="K693" s="55">
        <v>4.0</v>
      </c>
      <c r="L693" s="177" t="s">
        <v>61</v>
      </c>
      <c r="M693" s="55" t="s">
        <v>51</v>
      </c>
      <c r="N693" s="132"/>
      <c r="O693" s="55" t="s">
        <v>1550</v>
      </c>
      <c r="P693" s="55" t="s">
        <v>3850</v>
      </c>
      <c r="Q693" s="55" t="s">
        <v>255</v>
      </c>
      <c r="R693" s="55" t="s">
        <v>3850</v>
      </c>
      <c r="S693" s="58" t="s">
        <v>3851</v>
      </c>
      <c r="T693" s="74"/>
      <c r="U693" s="74"/>
      <c r="V693" s="139"/>
      <c r="W693" s="51" t="s">
        <v>1724</v>
      </c>
      <c r="X693" s="74"/>
      <c r="Y693" s="74"/>
      <c r="Z693" s="76"/>
      <c r="AA693" s="134"/>
      <c r="AB693" s="62" t="s">
        <v>61</v>
      </c>
      <c r="AC693" s="63" t="s">
        <v>61</v>
      </c>
      <c r="AD693" s="64" t="s">
        <v>61</v>
      </c>
      <c r="AE693" s="64" t="s">
        <v>61</v>
      </c>
      <c r="AF693" s="63" t="s">
        <v>61</v>
      </c>
      <c r="AG693" s="63" t="s">
        <v>61</v>
      </c>
      <c r="AH693" s="63" t="s">
        <v>61</v>
      </c>
      <c r="AI693" s="65" t="s">
        <v>61</v>
      </c>
      <c r="AJ693" s="105" t="s">
        <v>61</v>
      </c>
      <c r="AK693" s="76"/>
    </row>
    <row r="694" ht="24.0" customHeight="1">
      <c r="A694" s="35"/>
      <c r="B694" s="36">
        <v>1.0</v>
      </c>
      <c r="C694" s="37" t="str">
        <f>IFERROR(__xludf.DUMMYFUNCTION("""COMPUTED_VALUE"""),"Trigg Cloward (4) - '28 C ")</f>
        <v>Trigg Cloward (4) - '28 C </v>
      </c>
      <c r="D694" s="89" t="s">
        <v>3852</v>
      </c>
      <c r="E694" s="39" t="s">
        <v>109</v>
      </c>
      <c r="F694" s="156">
        <v>46168.0</v>
      </c>
      <c r="G694" s="113" t="s">
        <v>1395</v>
      </c>
      <c r="H694" s="42" t="s">
        <v>3853</v>
      </c>
      <c r="I694" s="43" t="s">
        <v>3854</v>
      </c>
      <c r="J694" s="43">
        <v>2028.0</v>
      </c>
      <c r="K694" s="43">
        <v>4.0</v>
      </c>
      <c r="L694" s="178"/>
      <c r="M694" s="43" t="s">
        <v>109</v>
      </c>
      <c r="N694" s="43"/>
      <c r="O694" s="80"/>
      <c r="P694" s="80"/>
      <c r="Q694" s="80"/>
      <c r="R694" s="80"/>
      <c r="S694" s="39" t="s">
        <v>2029</v>
      </c>
      <c r="T694" s="39"/>
      <c r="U694" s="81"/>
      <c r="V694" s="81"/>
      <c r="W694" s="81"/>
      <c r="X694" s="81"/>
      <c r="Y694" s="81"/>
      <c r="Z694" s="82"/>
      <c r="AA694" s="99"/>
      <c r="AB694" s="48" t="s">
        <v>61</v>
      </c>
      <c r="AC694" s="68" t="s">
        <v>61</v>
      </c>
      <c r="AD694" s="69" t="s">
        <v>61</v>
      </c>
      <c r="AE694" s="69" t="s">
        <v>61</v>
      </c>
      <c r="AF694" s="68" t="s">
        <v>61</v>
      </c>
      <c r="AG694" s="68" t="s">
        <v>61</v>
      </c>
      <c r="AH694" s="68" t="s">
        <v>61</v>
      </c>
      <c r="AI694" s="70" t="s">
        <v>61</v>
      </c>
      <c r="AJ694" s="114" t="s">
        <v>61</v>
      </c>
      <c r="AK694" s="82"/>
    </row>
    <row r="695" ht="24.0" customHeight="1">
      <c r="A695" s="35"/>
      <c r="B695" s="36">
        <v>1.0</v>
      </c>
      <c r="C695" s="37" t="str">
        <f>IFERROR(__xludf.DUMMYFUNCTION("""COMPUTED_VALUE"""),"Francis Conners-Schmid (4) - '28 OF CT")</f>
        <v>Francis Conners-Schmid (4) - '28 OF CT</v>
      </c>
      <c r="D695" s="89" t="s">
        <v>3855</v>
      </c>
      <c r="E695" s="51" t="s">
        <v>103</v>
      </c>
      <c r="F695" s="154">
        <v>46168.0</v>
      </c>
      <c r="G695" s="116" t="s">
        <v>1395</v>
      </c>
      <c r="H695" s="54" t="s">
        <v>3856</v>
      </c>
      <c r="I695" s="55" t="s">
        <v>3857</v>
      </c>
      <c r="J695" s="55">
        <v>2028.0</v>
      </c>
      <c r="K695" s="55">
        <v>4.0</v>
      </c>
      <c r="L695" s="57"/>
      <c r="M695" s="55" t="s">
        <v>103</v>
      </c>
      <c r="N695" s="55" t="s">
        <v>122</v>
      </c>
      <c r="O695" s="55" t="s">
        <v>1556</v>
      </c>
      <c r="P695" s="57"/>
      <c r="Q695" s="55" t="s">
        <v>160</v>
      </c>
      <c r="R695" s="55" t="s">
        <v>161</v>
      </c>
      <c r="S695" s="132"/>
      <c r="T695" s="74"/>
      <c r="U695" s="74"/>
      <c r="V695" s="74"/>
      <c r="W695" s="74"/>
      <c r="X695" s="74"/>
      <c r="Y695" s="51"/>
      <c r="Z695" s="76"/>
      <c r="AA695" s="163" t="s">
        <v>3858</v>
      </c>
      <c r="AB695" s="62" t="s">
        <v>61</v>
      </c>
      <c r="AC695" s="63" t="s">
        <v>61</v>
      </c>
      <c r="AD695" s="64" t="s">
        <v>61</v>
      </c>
      <c r="AE695" s="64" t="s">
        <v>61</v>
      </c>
      <c r="AF695" s="63" t="s">
        <v>61</v>
      </c>
      <c r="AG695" s="63" t="s">
        <v>61</v>
      </c>
      <c r="AH695" s="63" t="s">
        <v>61</v>
      </c>
      <c r="AI695" s="65" t="s">
        <v>61</v>
      </c>
      <c r="AJ695" s="105" t="s">
        <v>61</v>
      </c>
      <c r="AK695" s="76"/>
    </row>
    <row r="696" ht="24.0" customHeight="1">
      <c r="A696" s="35"/>
      <c r="B696" s="36">
        <v>1.0</v>
      </c>
      <c r="C696" s="37" t="str">
        <f>IFERROR(__xludf.DUMMYFUNCTION("""COMPUTED_VALUE"""),"Brock Copass (4) - '27 C OK")</f>
        <v>Brock Copass (4) - '27 C OK</v>
      </c>
      <c r="D696" s="38" t="s">
        <v>3859</v>
      </c>
      <c r="E696" s="39" t="s">
        <v>109</v>
      </c>
      <c r="F696" s="118">
        <v>45865.0</v>
      </c>
      <c r="G696" s="113" t="s">
        <v>1395</v>
      </c>
      <c r="H696" s="42" t="s">
        <v>551</v>
      </c>
      <c r="I696" s="43" t="s">
        <v>3860</v>
      </c>
      <c r="J696" s="43">
        <v>2027.0</v>
      </c>
      <c r="K696" s="43">
        <v>4.0</v>
      </c>
      <c r="L696" s="166" t="s">
        <v>61</v>
      </c>
      <c r="M696" s="43" t="s">
        <v>109</v>
      </c>
      <c r="N696" s="117"/>
      <c r="O696" s="43" t="s">
        <v>1550</v>
      </c>
      <c r="P696" s="43" t="s">
        <v>3861</v>
      </c>
      <c r="Q696" s="43" t="s">
        <v>698</v>
      </c>
      <c r="R696" s="43" t="s">
        <v>3862</v>
      </c>
      <c r="S696" s="44"/>
      <c r="T696" s="39">
        <v>4.0</v>
      </c>
      <c r="U696" s="39"/>
      <c r="V696" s="39" t="s">
        <v>3863</v>
      </c>
      <c r="W696" s="39" t="s">
        <v>2821</v>
      </c>
      <c r="X696" s="81"/>
      <c r="Y696" s="81"/>
      <c r="Z696" s="82"/>
      <c r="AA696" s="99"/>
      <c r="AB696" s="48" t="s">
        <v>61</v>
      </c>
      <c r="AC696" s="68" t="s">
        <v>61</v>
      </c>
      <c r="AD696" s="69" t="s">
        <v>61</v>
      </c>
      <c r="AE696" s="69" t="s">
        <v>61</v>
      </c>
      <c r="AF696" s="68" t="s">
        <v>61</v>
      </c>
      <c r="AG696" s="68" t="s">
        <v>61</v>
      </c>
      <c r="AH696" s="68" t="s">
        <v>61</v>
      </c>
      <c r="AI696" s="70" t="s">
        <v>61</v>
      </c>
      <c r="AJ696" s="49" t="s">
        <v>61</v>
      </c>
      <c r="AK696" s="46"/>
    </row>
    <row r="697" ht="24.0" customHeight="1">
      <c r="A697" s="35"/>
      <c r="B697" s="36">
        <v>1.0</v>
      </c>
      <c r="C697" s="37" t="str">
        <f>IFERROR(__xludf.DUMMYFUNCTION("""COMPUTED_VALUE"""),"William Corbin (4) - '27 RHP MA")</f>
        <v>William Corbin (4) - '27 RHP MA</v>
      </c>
      <c r="D697" s="89" t="s">
        <v>3864</v>
      </c>
      <c r="E697" s="51" t="s">
        <v>63</v>
      </c>
      <c r="F697" s="154">
        <v>46168.0</v>
      </c>
      <c r="G697" s="116" t="s">
        <v>1395</v>
      </c>
      <c r="H697" s="54" t="s">
        <v>1738</v>
      </c>
      <c r="I697" s="55" t="s">
        <v>3865</v>
      </c>
      <c r="J697" s="55">
        <v>2027.0</v>
      </c>
      <c r="K697" s="55">
        <v>4.0</v>
      </c>
      <c r="L697" s="57"/>
      <c r="M697" s="55" t="s">
        <v>63</v>
      </c>
      <c r="N697" s="55" t="s">
        <v>48</v>
      </c>
      <c r="O697" s="55" t="s">
        <v>1989</v>
      </c>
      <c r="P697" s="57"/>
      <c r="Q697" s="55" t="s">
        <v>85</v>
      </c>
      <c r="R697" s="55" t="s">
        <v>3866</v>
      </c>
      <c r="S697" s="58" t="s">
        <v>3704</v>
      </c>
      <c r="T697" s="74"/>
      <c r="U697" s="74"/>
      <c r="V697" s="74"/>
      <c r="W697" s="74"/>
      <c r="X697" s="74"/>
      <c r="Y697" s="74"/>
      <c r="Z697" s="76"/>
      <c r="AA697" s="134"/>
      <c r="AB697" s="62" t="s">
        <v>61</v>
      </c>
      <c r="AC697" s="63" t="s">
        <v>61</v>
      </c>
      <c r="AD697" s="64" t="s">
        <v>61</v>
      </c>
      <c r="AE697" s="64" t="s">
        <v>61</v>
      </c>
      <c r="AF697" s="63" t="s">
        <v>61</v>
      </c>
      <c r="AG697" s="63" t="s">
        <v>61</v>
      </c>
      <c r="AH697" s="63" t="s">
        <v>61</v>
      </c>
      <c r="AI697" s="65" t="s">
        <v>61</v>
      </c>
      <c r="AJ697" s="105" t="s">
        <v>61</v>
      </c>
      <c r="AK697" s="76"/>
    </row>
    <row r="698" ht="24.0" customHeight="1">
      <c r="A698" s="35"/>
      <c r="B698" s="36">
        <v>1.0</v>
      </c>
      <c r="C698" s="37" t="str">
        <f>IFERROR(__xludf.DUMMYFUNCTION("""COMPUTED_VALUE"""),"Cavan Crain (4) - '27 LHP TX")</f>
        <v>Cavan Crain (4) - '27 LHP TX</v>
      </c>
      <c r="D698" s="89" t="s">
        <v>3867</v>
      </c>
      <c r="E698" s="39" t="s">
        <v>122</v>
      </c>
      <c r="F698" s="124">
        <v>46128.0</v>
      </c>
      <c r="G698" s="113" t="s">
        <v>1395</v>
      </c>
      <c r="H698" s="42" t="s">
        <v>3868</v>
      </c>
      <c r="I698" s="43" t="s">
        <v>1610</v>
      </c>
      <c r="J698" s="43">
        <v>2027.0</v>
      </c>
      <c r="K698" s="43">
        <v>4.0</v>
      </c>
      <c r="L698" s="166" t="s">
        <v>61</v>
      </c>
      <c r="M698" s="43" t="s">
        <v>122</v>
      </c>
      <c r="N698" s="44"/>
      <c r="O698" s="80"/>
      <c r="P698" s="80"/>
      <c r="Q698" s="43" t="s">
        <v>180</v>
      </c>
      <c r="R698" s="80"/>
      <c r="S698" s="44"/>
      <c r="T698" s="81"/>
      <c r="U698" s="81"/>
      <c r="V698" s="81"/>
      <c r="W698" s="81"/>
      <c r="X698" s="81"/>
      <c r="Y698" s="81"/>
      <c r="Z698" s="82"/>
      <c r="AA698" s="47"/>
      <c r="AB698" s="48" t="s">
        <v>61</v>
      </c>
      <c r="AC698" s="68" t="s">
        <v>61</v>
      </c>
      <c r="AD698" s="69" t="s">
        <v>61</v>
      </c>
      <c r="AE698" s="69" t="s">
        <v>61</v>
      </c>
      <c r="AF698" s="68" t="s">
        <v>61</v>
      </c>
      <c r="AG698" s="68" t="s">
        <v>61</v>
      </c>
      <c r="AH698" s="68" t="s">
        <v>61</v>
      </c>
      <c r="AI698" s="70" t="s">
        <v>61</v>
      </c>
      <c r="AJ698" s="114" t="s">
        <v>61</v>
      </c>
      <c r="AK698" s="82"/>
    </row>
    <row r="699" ht="24.0" customHeight="1">
      <c r="A699" s="35"/>
      <c r="B699" s="36">
        <v>1.0</v>
      </c>
      <c r="C699" s="37" t="str">
        <f>IFERROR(__xludf.DUMMYFUNCTION("""COMPUTED_VALUE"""),"Mitch Culver (4) - '27 MINF MI")</f>
        <v>Mitch Culver (4) - '27 MINF MI</v>
      </c>
      <c r="D699" s="89" t="s">
        <v>3869</v>
      </c>
      <c r="E699" s="51" t="s">
        <v>48</v>
      </c>
      <c r="F699" s="140">
        <v>46133.0</v>
      </c>
      <c r="G699" s="116"/>
      <c r="H699" s="54" t="s">
        <v>3870</v>
      </c>
      <c r="I699" s="55" t="s">
        <v>3871</v>
      </c>
      <c r="J699" s="55">
        <v>2027.0</v>
      </c>
      <c r="K699" s="55">
        <v>4.0</v>
      </c>
      <c r="L699" s="171" t="s">
        <v>61</v>
      </c>
      <c r="M699" s="55" t="s">
        <v>51</v>
      </c>
      <c r="N699" s="58"/>
      <c r="O699" s="57" t="s">
        <v>1550</v>
      </c>
      <c r="P699" s="57"/>
      <c r="Q699" s="55" t="s">
        <v>614</v>
      </c>
      <c r="R699" s="57"/>
      <c r="S699" s="58"/>
      <c r="T699" s="74"/>
      <c r="U699" s="74"/>
      <c r="V699" s="74"/>
      <c r="W699" s="74"/>
      <c r="X699" s="74"/>
      <c r="Y699" s="74"/>
      <c r="Z699" s="76"/>
      <c r="AA699" s="181"/>
      <c r="AB699" s="62" t="s">
        <v>61</v>
      </c>
      <c r="AC699" s="63" t="s">
        <v>61</v>
      </c>
      <c r="AD699" s="64" t="s">
        <v>61</v>
      </c>
      <c r="AE699" s="64" t="s">
        <v>61</v>
      </c>
      <c r="AF699" s="63" t="s">
        <v>61</v>
      </c>
      <c r="AG699" s="63" t="s">
        <v>61</v>
      </c>
      <c r="AH699" s="63" t="s">
        <v>61</v>
      </c>
      <c r="AI699" s="65" t="s">
        <v>61</v>
      </c>
      <c r="AJ699" s="105" t="s">
        <v>61</v>
      </c>
      <c r="AK699" s="76"/>
    </row>
    <row r="700" ht="24.0" customHeight="1">
      <c r="A700" s="88"/>
      <c r="B700" s="36">
        <v>1.0</v>
      </c>
      <c r="C700" s="37" t="str">
        <f>IFERROR(__xludf.DUMMYFUNCTION("""COMPUTED_VALUE"""),"Robbie Daley (4) - '27 CF MA")</f>
        <v>Robbie Daley (4) - '27 CF MA</v>
      </c>
      <c r="D700" s="38" t="s">
        <v>3872</v>
      </c>
      <c r="E700" s="39" t="s">
        <v>103</v>
      </c>
      <c r="F700" s="112"/>
      <c r="G700" s="113" t="s">
        <v>1395</v>
      </c>
      <c r="H700" s="42" t="s">
        <v>3873</v>
      </c>
      <c r="I700" s="43" t="s">
        <v>3874</v>
      </c>
      <c r="J700" s="43">
        <v>2027.0</v>
      </c>
      <c r="K700" s="43">
        <v>4.0</v>
      </c>
      <c r="L700" s="166" t="s">
        <v>61</v>
      </c>
      <c r="M700" s="43" t="s">
        <v>106</v>
      </c>
      <c r="N700" s="44"/>
      <c r="O700" s="43" t="s">
        <v>1989</v>
      </c>
      <c r="P700" s="95"/>
      <c r="Q700" s="43" t="s">
        <v>85</v>
      </c>
      <c r="R700" s="43" t="s">
        <v>3875</v>
      </c>
      <c r="S700" s="44" t="s">
        <v>2897</v>
      </c>
      <c r="T700" s="39"/>
      <c r="U700" s="39"/>
      <c r="V700" s="39"/>
      <c r="W700" s="39"/>
      <c r="X700" s="39"/>
      <c r="Y700" s="39"/>
      <c r="Z700" s="46"/>
      <c r="AA700" s="47"/>
      <c r="AB700" s="48" t="s">
        <v>61</v>
      </c>
      <c r="AC700" s="68" t="s">
        <v>61</v>
      </c>
      <c r="AD700" s="69" t="s">
        <v>61</v>
      </c>
      <c r="AE700" s="69" t="s">
        <v>61</v>
      </c>
      <c r="AF700" s="68" t="s">
        <v>61</v>
      </c>
      <c r="AG700" s="68" t="s">
        <v>61</v>
      </c>
      <c r="AH700" s="68" t="s">
        <v>61</v>
      </c>
      <c r="AI700" s="70" t="s">
        <v>61</v>
      </c>
      <c r="AJ700" s="49" t="s">
        <v>61</v>
      </c>
      <c r="AK700" s="46"/>
    </row>
    <row r="701" ht="24.0" customHeight="1">
      <c r="A701" s="35"/>
      <c r="B701" s="36">
        <v>1.0</v>
      </c>
      <c r="C701" s="37" t="str">
        <f>IFERROR(__xludf.DUMMYFUNCTION("""COMPUTED_VALUE"""),"DJ Denney (4) - '27  TX")</f>
        <v>DJ Denney (4) - '27  TX</v>
      </c>
      <c r="D701" s="89" t="s">
        <v>3876</v>
      </c>
      <c r="E701" s="51" t="s">
        <v>61</v>
      </c>
      <c r="F701" s="154">
        <v>46168.0</v>
      </c>
      <c r="G701" s="116" t="s">
        <v>1395</v>
      </c>
      <c r="H701" s="54" t="s">
        <v>3877</v>
      </c>
      <c r="I701" s="55" t="s">
        <v>3878</v>
      </c>
      <c r="J701" s="55">
        <v>2027.0</v>
      </c>
      <c r="K701" s="55">
        <v>4.0</v>
      </c>
      <c r="L701" s="57"/>
      <c r="M701" s="55"/>
      <c r="N701" s="55"/>
      <c r="O701" s="57"/>
      <c r="P701" s="57"/>
      <c r="Q701" s="55" t="s">
        <v>180</v>
      </c>
      <c r="R701" s="55" t="s">
        <v>3879</v>
      </c>
      <c r="S701" s="132"/>
      <c r="T701" s="74"/>
      <c r="U701" s="74"/>
      <c r="V701" s="74"/>
      <c r="W701" s="74"/>
      <c r="X701" s="74"/>
      <c r="Y701" s="51"/>
      <c r="Z701" s="76"/>
      <c r="AA701" s="163" t="s">
        <v>3880</v>
      </c>
      <c r="AB701" s="62" t="s">
        <v>61</v>
      </c>
      <c r="AC701" s="63" t="s">
        <v>61</v>
      </c>
      <c r="AD701" s="64" t="s">
        <v>61</v>
      </c>
      <c r="AE701" s="64" t="s">
        <v>61</v>
      </c>
      <c r="AF701" s="63" t="s">
        <v>61</v>
      </c>
      <c r="AG701" s="63" t="s">
        <v>61</v>
      </c>
      <c r="AH701" s="63" t="s">
        <v>61</v>
      </c>
      <c r="AI701" s="65" t="s">
        <v>61</v>
      </c>
      <c r="AJ701" s="105" t="s">
        <v>61</v>
      </c>
      <c r="AK701" s="76"/>
    </row>
    <row r="702" ht="24.0" customHeight="1">
      <c r="A702" s="35"/>
      <c r="B702" s="36">
        <v>1.0</v>
      </c>
      <c r="C702" s="37" t="str">
        <f>IFERROR(__xludf.DUMMYFUNCTION("""COMPUTED_VALUE"""),"Cooper DeWaal (4) - '28 SS MD")</f>
        <v>Cooper DeWaal (4) - '28 SS MD</v>
      </c>
      <c r="D702" s="89" t="s">
        <v>3881</v>
      </c>
      <c r="E702" s="39" t="s">
        <v>48</v>
      </c>
      <c r="F702" s="156">
        <v>46167.0</v>
      </c>
      <c r="G702" s="113" t="s">
        <v>1395</v>
      </c>
      <c r="H702" s="42" t="s">
        <v>696</v>
      </c>
      <c r="I702" s="43" t="s">
        <v>3882</v>
      </c>
      <c r="J702" s="43">
        <v>2028.0</v>
      </c>
      <c r="K702" s="43">
        <v>4.0</v>
      </c>
      <c r="L702" s="80"/>
      <c r="M702" s="43" t="s">
        <v>1398</v>
      </c>
      <c r="N702" s="43" t="s">
        <v>2838</v>
      </c>
      <c r="O702" s="43" t="s">
        <v>1989</v>
      </c>
      <c r="P702" s="43" t="s">
        <v>3883</v>
      </c>
      <c r="Q702" s="43" t="s">
        <v>195</v>
      </c>
      <c r="R702" s="43" t="s">
        <v>3884</v>
      </c>
      <c r="S702" s="44" t="s">
        <v>3885</v>
      </c>
      <c r="T702" s="81"/>
      <c r="U702" s="81"/>
      <c r="V702" s="81"/>
      <c r="W702" s="81"/>
      <c r="X702" s="81"/>
      <c r="Y702" s="81"/>
      <c r="Z702" s="82"/>
      <c r="AA702" s="47" t="s">
        <v>3886</v>
      </c>
      <c r="AB702" s="48" t="s">
        <v>61</v>
      </c>
      <c r="AC702" s="68" t="s">
        <v>61</v>
      </c>
      <c r="AD702" s="69" t="s">
        <v>61</v>
      </c>
      <c r="AE702" s="69" t="s">
        <v>61</v>
      </c>
      <c r="AF702" s="68" t="s">
        <v>61</v>
      </c>
      <c r="AG702" s="68" t="s">
        <v>61</v>
      </c>
      <c r="AH702" s="68" t="s">
        <v>61</v>
      </c>
      <c r="AI702" s="70" t="s">
        <v>61</v>
      </c>
      <c r="AJ702" s="114" t="s">
        <v>61</v>
      </c>
      <c r="AK702" s="82"/>
    </row>
    <row r="703" ht="24.0" customHeight="1">
      <c r="A703" s="35"/>
      <c r="B703" s="36">
        <v>1.0</v>
      </c>
      <c r="C703" s="37" t="str">
        <f>IFERROR(__xludf.DUMMYFUNCTION("""COMPUTED_VALUE"""),"Michael Doherty (4) - '27 LHP MA")</f>
        <v>Michael Doherty (4) - '27 LHP MA</v>
      </c>
      <c r="D703" s="89" t="s">
        <v>3887</v>
      </c>
      <c r="E703" s="51" t="s">
        <v>122</v>
      </c>
      <c r="F703" s="115"/>
      <c r="G703" s="116" t="s">
        <v>1395</v>
      </c>
      <c r="H703" s="54" t="s">
        <v>158</v>
      </c>
      <c r="I703" s="55" t="s">
        <v>3888</v>
      </c>
      <c r="J703" s="55">
        <v>2027.0</v>
      </c>
      <c r="K703" s="55">
        <v>4.0</v>
      </c>
      <c r="L703" s="171" t="s">
        <v>61</v>
      </c>
      <c r="M703" s="55" t="s">
        <v>122</v>
      </c>
      <c r="N703" s="58"/>
      <c r="O703" s="55" t="s">
        <v>1556</v>
      </c>
      <c r="P703" s="57"/>
      <c r="Q703" s="55" t="s">
        <v>85</v>
      </c>
      <c r="R703" s="55" t="s">
        <v>3640</v>
      </c>
      <c r="S703" s="58" t="s">
        <v>1424</v>
      </c>
      <c r="T703" s="51"/>
      <c r="U703" s="51"/>
      <c r="V703" s="51"/>
      <c r="W703" s="51"/>
      <c r="X703" s="51"/>
      <c r="Y703" s="51"/>
      <c r="Z703" s="60"/>
      <c r="AA703" s="73"/>
      <c r="AB703" s="62" t="s">
        <v>61</v>
      </c>
      <c r="AC703" s="63" t="s">
        <v>61</v>
      </c>
      <c r="AD703" s="64" t="s">
        <v>61</v>
      </c>
      <c r="AE703" s="64" t="s">
        <v>61</v>
      </c>
      <c r="AF703" s="63" t="s">
        <v>61</v>
      </c>
      <c r="AG703" s="63" t="s">
        <v>61</v>
      </c>
      <c r="AH703" s="63" t="s">
        <v>61</v>
      </c>
      <c r="AI703" s="65" t="s">
        <v>61</v>
      </c>
      <c r="AJ703" s="66" t="s">
        <v>61</v>
      </c>
      <c r="AK703" s="60"/>
    </row>
    <row r="704" ht="24.0" customHeight="1">
      <c r="A704" s="35"/>
      <c r="B704" s="36">
        <v>1.0</v>
      </c>
      <c r="C704" s="37" t="str">
        <f>IFERROR(__xludf.DUMMYFUNCTION("""COMPUTED_VALUE"""),"Declan Doogan (4) - '27 RHP ")</f>
        <v>Declan Doogan (4) - '27 RHP </v>
      </c>
      <c r="D704" s="89" t="s">
        <v>3889</v>
      </c>
      <c r="E704" s="39" t="s">
        <v>63</v>
      </c>
      <c r="F704" s="156">
        <v>46168.0</v>
      </c>
      <c r="G704" s="113" t="s">
        <v>1395</v>
      </c>
      <c r="H704" s="42" t="s">
        <v>3612</v>
      </c>
      <c r="I704" s="43" t="s">
        <v>3890</v>
      </c>
      <c r="J704" s="43">
        <v>2027.0</v>
      </c>
      <c r="K704" s="43">
        <v>4.0</v>
      </c>
      <c r="L704" s="80"/>
      <c r="M704" s="43" t="s">
        <v>63</v>
      </c>
      <c r="N704" s="43"/>
      <c r="O704" s="80"/>
      <c r="P704" s="80"/>
      <c r="Q704" s="80"/>
      <c r="R704" s="80"/>
      <c r="S704" s="39" t="s">
        <v>2029</v>
      </c>
      <c r="T704" s="39"/>
      <c r="U704" s="81"/>
      <c r="V704" s="81"/>
      <c r="W704" s="81"/>
      <c r="X704" s="81"/>
      <c r="Y704" s="81"/>
      <c r="Z704" s="82"/>
      <c r="AA704" s="99"/>
      <c r="AB704" s="48" t="s">
        <v>61</v>
      </c>
      <c r="AC704" s="68" t="s">
        <v>61</v>
      </c>
      <c r="AD704" s="69" t="s">
        <v>61</v>
      </c>
      <c r="AE704" s="69" t="s">
        <v>61</v>
      </c>
      <c r="AF704" s="68" t="s">
        <v>61</v>
      </c>
      <c r="AG704" s="68" t="s">
        <v>61</v>
      </c>
      <c r="AH704" s="68" t="s">
        <v>61</v>
      </c>
      <c r="AI704" s="70" t="s">
        <v>61</v>
      </c>
      <c r="AJ704" s="114" t="s">
        <v>61</v>
      </c>
      <c r="AK704" s="82"/>
    </row>
    <row r="705" ht="24.0" customHeight="1">
      <c r="A705" s="35"/>
      <c r="B705" s="36">
        <v>1.0</v>
      </c>
      <c r="C705" s="37" t="str">
        <f>IFERROR(__xludf.DUMMYFUNCTION("""COMPUTED_VALUE"""),"CJ Dornfeld (4) - '23 C MN")</f>
        <v>CJ Dornfeld (4) - '23 C MN</v>
      </c>
      <c r="D705" s="89" t="s">
        <v>3891</v>
      </c>
      <c r="E705" s="51" t="s">
        <v>109</v>
      </c>
      <c r="F705" s="154">
        <v>46168.0</v>
      </c>
      <c r="G705" s="116" t="s">
        <v>1395</v>
      </c>
      <c r="H705" s="54" t="s">
        <v>650</v>
      </c>
      <c r="I705" s="55" t="s">
        <v>3892</v>
      </c>
      <c r="J705" s="55">
        <v>2030.0</v>
      </c>
      <c r="K705" s="55">
        <v>4.0</v>
      </c>
      <c r="L705" s="131"/>
      <c r="M705" s="55" t="s">
        <v>109</v>
      </c>
      <c r="N705" s="55"/>
      <c r="O705" s="57"/>
      <c r="P705" s="57"/>
      <c r="Q705" s="55" t="s">
        <v>448</v>
      </c>
      <c r="R705" s="57"/>
      <c r="S705" s="132"/>
      <c r="T705" s="74"/>
      <c r="U705" s="51" t="s">
        <v>3893</v>
      </c>
      <c r="V705" s="74"/>
      <c r="W705" s="74"/>
      <c r="X705" s="74"/>
      <c r="Y705" s="74"/>
      <c r="Z705" s="76"/>
      <c r="AA705" s="155" t="s">
        <v>3894</v>
      </c>
      <c r="AB705" s="62" t="s">
        <v>61</v>
      </c>
      <c r="AC705" s="63" t="s">
        <v>61</v>
      </c>
      <c r="AD705" s="64" t="s">
        <v>61</v>
      </c>
      <c r="AE705" s="64" t="s">
        <v>61</v>
      </c>
      <c r="AF705" s="63" t="s">
        <v>61</v>
      </c>
      <c r="AG705" s="63" t="s">
        <v>61</v>
      </c>
      <c r="AH705" s="63" t="s">
        <v>61</v>
      </c>
      <c r="AI705" s="65" t="s">
        <v>61</v>
      </c>
      <c r="AJ705" s="105" t="s">
        <v>61</v>
      </c>
      <c r="AK705" s="76"/>
    </row>
    <row r="706" ht="24.0" customHeight="1">
      <c r="A706" s="35"/>
      <c r="B706" s="36">
        <v>1.0</v>
      </c>
      <c r="C706" s="37" t="str">
        <f>IFERROR(__xludf.DUMMYFUNCTION("""COMPUTED_VALUE"""),"Hudson Doughty (3) - '27 3B KY")</f>
        <v>Hudson Doughty (3) - '27 3B KY</v>
      </c>
      <c r="D706" s="89" t="s">
        <v>3895</v>
      </c>
      <c r="E706" s="39" t="s">
        <v>48</v>
      </c>
      <c r="F706" s="156">
        <v>46168.0</v>
      </c>
      <c r="G706" s="113" t="s">
        <v>1395</v>
      </c>
      <c r="H706" s="42" t="s">
        <v>1678</v>
      </c>
      <c r="I706" s="43" t="s">
        <v>3896</v>
      </c>
      <c r="J706" s="43">
        <v>2027.0</v>
      </c>
      <c r="K706" s="109">
        <v>3.0</v>
      </c>
      <c r="L706" s="178"/>
      <c r="M706" s="43" t="s">
        <v>1519</v>
      </c>
      <c r="N706" s="43"/>
      <c r="O706" s="43" t="s">
        <v>2324</v>
      </c>
      <c r="P706" s="43" t="s">
        <v>3897</v>
      </c>
      <c r="Q706" s="43" t="s">
        <v>543</v>
      </c>
      <c r="R706" s="43" t="s">
        <v>3898</v>
      </c>
      <c r="S706" s="44" t="s">
        <v>3204</v>
      </c>
      <c r="T706" s="39" t="s">
        <v>3899</v>
      </c>
      <c r="U706" s="81"/>
      <c r="V706" s="39" t="s">
        <v>3900</v>
      </c>
      <c r="W706" s="81"/>
      <c r="X706" s="81"/>
      <c r="Y706" s="81"/>
      <c r="Z706" s="82"/>
      <c r="AA706" s="161" t="s">
        <v>3901</v>
      </c>
      <c r="AB706" s="48" t="s">
        <v>61</v>
      </c>
      <c r="AC706" s="68" t="s">
        <v>61</v>
      </c>
      <c r="AD706" s="69" t="s">
        <v>61</v>
      </c>
      <c r="AE706" s="69" t="s">
        <v>61</v>
      </c>
      <c r="AF706" s="68" t="s">
        <v>61</v>
      </c>
      <c r="AG706" s="68" t="s">
        <v>61</v>
      </c>
      <c r="AH706" s="68" t="s">
        <v>61</v>
      </c>
      <c r="AI706" s="70" t="s">
        <v>61</v>
      </c>
      <c r="AJ706" s="114" t="s">
        <v>61</v>
      </c>
      <c r="AK706" s="82"/>
    </row>
    <row r="707" ht="24.0" customHeight="1">
      <c r="A707" s="35"/>
      <c r="B707" s="36">
        <v>1.0</v>
      </c>
      <c r="C707" s="37" t="str">
        <f>IFERROR(__xludf.DUMMYFUNCTION("""COMPUTED_VALUE"""),"Anthony Dufour (4) - '28 RHP ")</f>
        <v>Anthony Dufour (4) - '28 RHP </v>
      </c>
      <c r="D707" s="89" t="s">
        <v>3902</v>
      </c>
      <c r="E707" s="51" t="s">
        <v>63</v>
      </c>
      <c r="F707" s="154">
        <v>46168.0</v>
      </c>
      <c r="G707" s="116" t="s">
        <v>1395</v>
      </c>
      <c r="H707" s="54" t="s">
        <v>467</v>
      </c>
      <c r="I707" s="55" t="s">
        <v>3903</v>
      </c>
      <c r="J707" s="55">
        <v>2028.0</v>
      </c>
      <c r="K707" s="55">
        <v>4.0</v>
      </c>
      <c r="L707" s="131"/>
      <c r="M707" s="55" t="s">
        <v>63</v>
      </c>
      <c r="N707" s="55"/>
      <c r="O707" s="57"/>
      <c r="P707" s="57"/>
      <c r="Q707" s="57"/>
      <c r="R707" s="57"/>
      <c r="S707" s="51" t="s">
        <v>2029</v>
      </c>
      <c r="T707" s="51"/>
      <c r="U707" s="74"/>
      <c r="V707" s="74"/>
      <c r="W707" s="74"/>
      <c r="X707" s="74"/>
      <c r="Y707" s="74"/>
      <c r="Z707" s="76"/>
      <c r="AA707" s="134"/>
      <c r="AB707" s="62" t="s">
        <v>61</v>
      </c>
      <c r="AC707" s="63" t="s">
        <v>61</v>
      </c>
      <c r="AD707" s="64" t="s">
        <v>61</v>
      </c>
      <c r="AE707" s="64" t="s">
        <v>61</v>
      </c>
      <c r="AF707" s="63" t="s">
        <v>61</v>
      </c>
      <c r="AG707" s="63" t="s">
        <v>61</v>
      </c>
      <c r="AH707" s="63" t="s">
        <v>61</v>
      </c>
      <c r="AI707" s="65" t="s">
        <v>61</v>
      </c>
      <c r="AJ707" s="105" t="s">
        <v>61</v>
      </c>
      <c r="AK707" s="76"/>
    </row>
    <row r="708" ht="24.0" customHeight="1">
      <c r="A708" s="35"/>
      <c r="B708" s="36">
        <v>1.0</v>
      </c>
      <c r="C708" s="37" t="str">
        <f>IFERROR(__xludf.DUMMYFUNCTION("""COMPUTED_VALUE"""),"Damien Eastman (4) - '28 RHP ")</f>
        <v>Damien Eastman (4) - '28 RHP </v>
      </c>
      <c r="D708" s="89" t="s">
        <v>3904</v>
      </c>
      <c r="E708" s="39" t="s">
        <v>63</v>
      </c>
      <c r="F708" s="156">
        <v>46156.0</v>
      </c>
      <c r="G708" s="113" t="s">
        <v>1395</v>
      </c>
      <c r="H708" s="42" t="s">
        <v>3905</v>
      </c>
      <c r="I708" s="43" t="s">
        <v>3906</v>
      </c>
      <c r="J708" s="43">
        <v>2028.0</v>
      </c>
      <c r="K708" s="43">
        <v>4.0</v>
      </c>
      <c r="L708" s="80"/>
      <c r="M708" s="43" t="s">
        <v>63</v>
      </c>
      <c r="N708" s="43"/>
      <c r="O708" s="43" t="s">
        <v>240</v>
      </c>
      <c r="P708" s="43" t="s">
        <v>3907</v>
      </c>
      <c r="Q708" s="80"/>
      <c r="R708" s="80"/>
      <c r="S708" s="44" t="s">
        <v>2332</v>
      </c>
      <c r="T708" s="81"/>
      <c r="U708" s="81"/>
      <c r="V708" s="39"/>
      <c r="W708" s="81"/>
      <c r="X708" s="81"/>
      <c r="Y708" s="81"/>
      <c r="Z708" s="82"/>
      <c r="AA708" s="180" t="s">
        <v>3908</v>
      </c>
      <c r="AB708" s="48" t="s">
        <v>61</v>
      </c>
      <c r="AC708" s="68" t="s">
        <v>61</v>
      </c>
      <c r="AD708" s="69" t="s">
        <v>61</v>
      </c>
      <c r="AE708" s="69" t="s">
        <v>61</v>
      </c>
      <c r="AF708" s="68" t="s">
        <v>61</v>
      </c>
      <c r="AG708" s="68" t="s">
        <v>61</v>
      </c>
      <c r="AH708" s="68" t="s">
        <v>61</v>
      </c>
      <c r="AI708" s="70" t="s">
        <v>61</v>
      </c>
      <c r="AJ708" s="114" t="s">
        <v>61</v>
      </c>
      <c r="AK708" s="82"/>
    </row>
    <row r="709" ht="24.0" customHeight="1">
      <c r="A709" s="35"/>
      <c r="B709" s="36">
        <v>1.0</v>
      </c>
      <c r="C709" s="37" t="str">
        <f>IFERROR(__xludf.DUMMYFUNCTION("""COMPUTED_VALUE"""),"Deacon Evrviviades (4) - '27 OF MA")</f>
        <v>Deacon Evrviviades (4) - '27 OF MA</v>
      </c>
      <c r="D709" s="89" t="s">
        <v>3909</v>
      </c>
      <c r="E709" s="51" t="s">
        <v>103</v>
      </c>
      <c r="F709" s="154">
        <v>46168.0</v>
      </c>
      <c r="G709" s="116" t="s">
        <v>1395</v>
      </c>
      <c r="H709" s="54" t="s">
        <v>3910</v>
      </c>
      <c r="I709" s="55" t="s">
        <v>3911</v>
      </c>
      <c r="J709" s="55">
        <v>2027.0</v>
      </c>
      <c r="K709" s="55">
        <v>4.0</v>
      </c>
      <c r="L709" s="131"/>
      <c r="M709" s="55" t="s">
        <v>103</v>
      </c>
      <c r="N709" s="55" t="s">
        <v>48</v>
      </c>
      <c r="O709" s="55" t="s">
        <v>1550</v>
      </c>
      <c r="P709" s="57"/>
      <c r="Q709" s="55" t="s">
        <v>85</v>
      </c>
      <c r="R709" s="55" t="s">
        <v>3912</v>
      </c>
      <c r="S709" s="58" t="s">
        <v>3704</v>
      </c>
      <c r="T709" s="74"/>
      <c r="U709" s="74"/>
      <c r="V709" s="74"/>
      <c r="W709" s="74"/>
      <c r="X709" s="74"/>
      <c r="Y709" s="74"/>
      <c r="Z709" s="76"/>
      <c r="AA709" s="134"/>
      <c r="AB709" s="62" t="s">
        <v>61</v>
      </c>
      <c r="AC709" s="63" t="s">
        <v>61</v>
      </c>
      <c r="AD709" s="64" t="s">
        <v>61</v>
      </c>
      <c r="AE709" s="64" t="s">
        <v>61</v>
      </c>
      <c r="AF709" s="63" t="s">
        <v>61</v>
      </c>
      <c r="AG709" s="63" t="s">
        <v>61</v>
      </c>
      <c r="AH709" s="63" t="s">
        <v>61</v>
      </c>
      <c r="AI709" s="65" t="s">
        <v>61</v>
      </c>
      <c r="AJ709" s="105" t="s">
        <v>61</v>
      </c>
      <c r="AK709" s="76"/>
    </row>
    <row r="710" ht="24.0" customHeight="1">
      <c r="A710" s="35"/>
      <c r="B710" s="36">
        <v>1.0</v>
      </c>
      <c r="C710" s="37" t="str">
        <f>IFERROR(__xludf.DUMMYFUNCTION("""COMPUTED_VALUE"""),"Evan Fallon (4) - '27 CF NY")</f>
        <v>Evan Fallon (4) - '27 CF NY</v>
      </c>
      <c r="D710" s="89" t="s">
        <v>3913</v>
      </c>
      <c r="E710" s="39" t="s">
        <v>103</v>
      </c>
      <c r="F710" s="112"/>
      <c r="G710" s="113" t="s">
        <v>1395</v>
      </c>
      <c r="H710" s="42" t="s">
        <v>385</v>
      </c>
      <c r="I710" s="43" t="s">
        <v>3914</v>
      </c>
      <c r="J710" s="123">
        <v>2027.0</v>
      </c>
      <c r="K710" s="43">
        <v>4.0</v>
      </c>
      <c r="L710" s="158" t="s">
        <v>61</v>
      </c>
      <c r="M710" s="43" t="s">
        <v>106</v>
      </c>
      <c r="N710" s="44"/>
      <c r="O710" s="43" t="s">
        <v>1989</v>
      </c>
      <c r="P710" s="43"/>
      <c r="Q710" s="43" t="s">
        <v>255</v>
      </c>
      <c r="R710" s="43" t="s">
        <v>3915</v>
      </c>
      <c r="S710" s="44" t="s">
        <v>3916</v>
      </c>
      <c r="T710" s="39"/>
      <c r="U710" s="39"/>
      <c r="V710" s="39"/>
      <c r="W710" s="39"/>
      <c r="X710" s="39"/>
      <c r="Y710" s="39"/>
      <c r="Z710" s="46"/>
      <c r="AA710" s="47"/>
      <c r="AB710" s="48" t="s">
        <v>61</v>
      </c>
      <c r="AC710" s="68" t="s">
        <v>61</v>
      </c>
      <c r="AD710" s="69" t="s">
        <v>61</v>
      </c>
      <c r="AE710" s="69" t="s">
        <v>61</v>
      </c>
      <c r="AF710" s="68" t="s">
        <v>61</v>
      </c>
      <c r="AG710" s="68" t="s">
        <v>61</v>
      </c>
      <c r="AH710" s="68" t="s">
        <v>61</v>
      </c>
      <c r="AI710" s="70" t="s">
        <v>61</v>
      </c>
      <c r="AJ710" s="49" t="s">
        <v>61</v>
      </c>
      <c r="AK710" s="46"/>
    </row>
    <row r="711" ht="24.0" customHeight="1">
      <c r="A711" s="35"/>
      <c r="B711" s="36">
        <v>1.0</v>
      </c>
      <c r="C711" s="37" t="str">
        <f>IFERROR(__xludf.DUMMYFUNCTION("""COMPUTED_VALUE"""),"Andrew Fancher (4) - '28 RHP MA")</f>
        <v>Andrew Fancher (4) - '28 RHP MA</v>
      </c>
      <c r="D711" s="89" t="s">
        <v>3917</v>
      </c>
      <c r="E711" s="51" t="s">
        <v>63</v>
      </c>
      <c r="F711" s="154">
        <v>46168.0</v>
      </c>
      <c r="G711" s="116" t="s">
        <v>1395</v>
      </c>
      <c r="H711" s="54" t="s">
        <v>457</v>
      </c>
      <c r="I711" s="55" t="s">
        <v>3918</v>
      </c>
      <c r="J711" s="55">
        <v>2028.0</v>
      </c>
      <c r="K711" s="55">
        <v>4.0</v>
      </c>
      <c r="L711" s="57"/>
      <c r="M711" s="55" t="s">
        <v>63</v>
      </c>
      <c r="N711" s="55" t="s">
        <v>48</v>
      </c>
      <c r="O711" s="55" t="s">
        <v>1550</v>
      </c>
      <c r="P711" s="57"/>
      <c r="Q711" s="55" t="s">
        <v>85</v>
      </c>
      <c r="R711" s="55" t="s">
        <v>3919</v>
      </c>
      <c r="S711" s="58" t="s">
        <v>3704</v>
      </c>
      <c r="T711" s="74"/>
      <c r="U711" s="74"/>
      <c r="V711" s="74"/>
      <c r="W711" s="74"/>
      <c r="X711" s="74"/>
      <c r="Y711" s="74"/>
      <c r="Z711" s="60"/>
      <c r="AA711" s="73" t="s">
        <v>3920</v>
      </c>
      <c r="AB711" s="62" t="s">
        <v>61</v>
      </c>
      <c r="AC711" s="63" t="s">
        <v>61</v>
      </c>
      <c r="AD711" s="64" t="s">
        <v>61</v>
      </c>
      <c r="AE711" s="64" t="s">
        <v>61</v>
      </c>
      <c r="AF711" s="63" t="s">
        <v>61</v>
      </c>
      <c r="AG711" s="63" t="s">
        <v>61</v>
      </c>
      <c r="AH711" s="63" t="s">
        <v>61</v>
      </c>
      <c r="AI711" s="65" t="s">
        <v>61</v>
      </c>
      <c r="AJ711" s="105" t="s">
        <v>61</v>
      </c>
      <c r="AK711" s="76"/>
    </row>
    <row r="712" ht="24.0" customHeight="1">
      <c r="A712" s="35"/>
      <c r="B712" s="36">
        <v>1.0</v>
      </c>
      <c r="C712" s="37" t="str">
        <f>IFERROR(__xludf.DUMMYFUNCTION("""COMPUTED_VALUE"""),"Dominic Ferreira (4) - '27 RHP FL")</f>
        <v>Dominic Ferreira (4) - '27 RHP FL</v>
      </c>
      <c r="D712" s="38" t="s">
        <v>3921</v>
      </c>
      <c r="E712" s="39" t="s">
        <v>63</v>
      </c>
      <c r="F712" s="124">
        <v>46149.0</v>
      </c>
      <c r="G712" s="113" t="s">
        <v>1430</v>
      </c>
      <c r="H712" s="42" t="s">
        <v>3617</v>
      </c>
      <c r="I712" s="43" t="s">
        <v>3922</v>
      </c>
      <c r="J712" s="43">
        <v>2027.0</v>
      </c>
      <c r="K712" s="43">
        <v>4.0</v>
      </c>
      <c r="L712" s="158" t="s">
        <v>61</v>
      </c>
      <c r="M712" s="43" t="s">
        <v>63</v>
      </c>
      <c r="N712" s="44"/>
      <c r="O712" s="80"/>
      <c r="P712" s="80"/>
      <c r="Q712" s="43" t="s">
        <v>66</v>
      </c>
      <c r="R712" s="80"/>
      <c r="S712" s="44" t="s">
        <v>1125</v>
      </c>
      <c r="T712" s="81"/>
      <c r="U712" s="81"/>
      <c r="V712" s="81"/>
      <c r="W712" s="81"/>
      <c r="X712" s="81"/>
      <c r="Y712" s="81"/>
      <c r="Z712" s="82"/>
      <c r="AA712" s="47" t="s">
        <v>3923</v>
      </c>
      <c r="AB712" s="48" t="s">
        <v>61</v>
      </c>
      <c r="AC712" s="68" t="s">
        <v>61</v>
      </c>
      <c r="AD712" s="69" t="s">
        <v>61</v>
      </c>
      <c r="AE712" s="69" t="s">
        <v>61</v>
      </c>
      <c r="AF712" s="68" t="s">
        <v>61</v>
      </c>
      <c r="AG712" s="68" t="s">
        <v>61</v>
      </c>
      <c r="AH712" s="68" t="s">
        <v>61</v>
      </c>
      <c r="AI712" s="70" t="s">
        <v>61</v>
      </c>
      <c r="AJ712" s="114" t="s">
        <v>61</v>
      </c>
      <c r="AK712" s="82"/>
    </row>
    <row r="713" ht="24.0" customHeight="1">
      <c r="A713" s="35"/>
      <c r="B713" s="36">
        <v>1.0</v>
      </c>
      <c r="C713" s="37" t="str">
        <f>IFERROR(__xludf.DUMMYFUNCTION("""COMPUTED_VALUE"""),"Alex Fiore (4) - '27 OF ")</f>
        <v>Alex Fiore (4) - '27 OF </v>
      </c>
      <c r="D713" s="89" t="s">
        <v>3924</v>
      </c>
      <c r="E713" s="51" t="s">
        <v>103</v>
      </c>
      <c r="F713" s="154">
        <v>46168.0</v>
      </c>
      <c r="G713" s="116" t="s">
        <v>1395</v>
      </c>
      <c r="H713" s="54" t="s">
        <v>1601</v>
      </c>
      <c r="I713" s="55" t="s">
        <v>3925</v>
      </c>
      <c r="J713" s="55">
        <v>2027.0</v>
      </c>
      <c r="K713" s="55">
        <v>4.0</v>
      </c>
      <c r="L713" s="57"/>
      <c r="M713" s="55" t="s">
        <v>103</v>
      </c>
      <c r="N713" s="55"/>
      <c r="O713" s="57"/>
      <c r="P713" s="57"/>
      <c r="Q713" s="57"/>
      <c r="R713" s="57"/>
      <c r="S713" s="51" t="s">
        <v>2029</v>
      </c>
      <c r="T713" s="51"/>
      <c r="U713" s="74"/>
      <c r="V713" s="74"/>
      <c r="W713" s="74"/>
      <c r="X713" s="74"/>
      <c r="Y713" s="74"/>
      <c r="Z713" s="76"/>
      <c r="AA713" s="134"/>
      <c r="AB713" s="62" t="s">
        <v>61</v>
      </c>
      <c r="AC713" s="63" t="s">
        <v>61</v>
      </c>
      <c r="AD713" s="64" t="s">
        <v>61</v>
      </c>
      <c r="AE713" s="64" t="s">
        <v>61</v>
      </c>
      <c r="AF713" s="63" t="s">
        <v>61</v>
      </c>
      <c r="AG713" s="63" t="s">
        <v>61</v>
      </c>
      <c r="AH713" s="63" t="s">
        <v>61</v>
      </c>
      <c r="AI713" s="65" t="s">
        <v>61</v>
      </c>
      <c r="AJ713" s="105" t="s">
        <v>61</v>
      </c>
      <c r="AK713" s="76"/>
    </row>
    <row r="714" ht="24.0" customHeight="1">
      <c r="A714" s="35"/>
      <c r="B714" s="36">
        <v>1.0</v>
      </c>
      <c r="C714" s="37" t="str">
        <f>IFERROR(__xludf.DUMMYFUNCTION("""COMPUTED_VALUE"""),"Harrison Fisher (4) - '27 RHP RI")</f>
        <v>Harrison Fisher (4) - '27 RHP RI</v>
      </c>
      <c r="D714" s="38" t="s">
        <v>3926</v>
      </c>
      <c r="E714" s="39" t="s">
        <v>63</v>
      </c>
      <c r="F714" s="112"/>
      <c r="G714" s="113" t="s">
        <v>1395</v>
      </c>
      <c r="H714" s="42" t="s">
        <v>131</v>
      </c>
      <c r="I714" s="43" t="s">
        <v>3927</v>
      </c>
      <c r="J714" s="43">
        <v>2027.0</v>
      </c>
      <c r="K714" s="43">
        <v>4.0</v>
      </c>
      <c r="L714" s="158" t="s">
        <v>61</v>
      </c>
      <c r="M714" s="43" t="s">
        <v>63</v>
      </c>
      <c r="N714" s="44" t="s">
        <v>72</v>
      </c>
      <c r="O714" s="95"/>
      <c r="P714" s="95"/>
      <c r="Q714" s="43" t="s">
        <v>1611</v>
      </c>
      <c r="R714" s="43" t="s">
        <v>3928</v>
      </c>
      <c r="S714" s="44" t="s">
        <v>3929</v>
      </c>
      <c r="T714" s="39"/>
      <c r="U714" s="39"/>
      <c r="V714" s="39"/>
      <c r="W714" s="39"/>
      <c r="X714" s="39"/>
      <c r="Y714" s="39"/>
      <c r="Z714" s="46"/>
      <c r="AA714" s="47"/>
      <c r="AB714" s="48" t="s">
        <v>61</v>
      </c>
      <c r="AC714" s="68" t="s">
        <v>61</v>
      </c>
      <c r="AD714" s="69" t="s">
        <v>61</v>
      </c>
      <c r="AE714" s="69" t="s">
        <v>61</v>
      </c>
      <c r="AF714" s="68" t="s">
        <v>61</v>
      </c>
      <c r="AG714" s="68" t="s">
        <v>61</v>
      </c>
      <c r="AH714" s="68" t="s">
        <v>61</v>
      </c>
      <c r="AI714" s="70" t="s">
        <v>61</v>
      </c>
      <c r="AJ714" s="49" t="s">
        <v>61</v>
      </c>
      <c r="AK714" s="46"/>
    </row>
    <row r="715" ht="24.0" customHeight="1">
      <c r="A715" s="71"/>
      <c r="B715" s="36">
        <v>1.0</v>
      </c>
      <c r="C715" s="37" t="str">
        <f>IFERROR(__xludf.DUMMYFUNCTION("""COMPUTED_VALUE"""),"Eddie Flores (4) - '27 MINF NY")</f>
        <v>Eddie Flores (4) - '27 MINF NY</v>
      </c>
      <c r="D715" s="38" t="s">
        <v>3930</v>
      </c>
      <c r="E715" s="51" t="s">
        <v>48</v>
      </c>
      <c r="F715" s="115"/>
      <c r="G715" s="116" t="s">
        <v>1395</v>
      </c>
      <c r="H715" s="54" t="s">
        <v>741</v>
      </c>
      <c r="I715" s="55" t="s">
        <v>250</v>
      </c>
      <c r="J715" s="176">
        <v>2027.0</v>
      </c>
      <c r="K715" s="55">
        <v>4.0</v>
      </c>
      <c r="L715" s="171" t="s">
        <v>61</v>
      </c>
      <c r="M715" s="55" t="s">
        <v>51</v>
      </c>
      <c r="N715" s="58"/>
      <c r="O715" s="55" t="s">
        <v>1550</v>
      </c>
      <c r="P715" s="55"/>
      <c r="Q715" s="55" t="s">
        <v>255</v>
      </c>
      <c r="R715" s="55" t="s">
        <v>3931</v>
      </c>
      <c r="S715" s="58" t="s">
        <v>3932</v>
      </c>
      <c r="T715" s="74"/>
      <c r="U715" s="74"/>
      <c r="V715" s="74"/>
      <c r="W715" s="74"/>
      <c r="X715" s="74"/>
      <c r="Y715" s="74"/>
      <c r="Z715" s="76"/>
      <c r="AA715" s="73"/>
      <c r="AB715" s="62" t="s">
        <v>61</v>
      </c>
      <c r="AC715" s="63" t="s">
        <v>61</v>
      </c>
      <c r="AD715" s="64" t="s">
        <v>61</v>
      </c>
      <c r="AE715" s="64" t="s">
        <v>61</v>
      </c>
      <c r="AF715" s="63" t="s">
        <v>61</v>
      </c>
      <c r="AG715" s="63" t="s">
        <v>61</v>
      </c>
      <c r="AH715" s="63" t="s">
        <v>61</v>
      </c>
      <c r="AI715" s="65" t="s">
        <v>61</v>
      </c>
      <c r="AJ715" s="66" t="s">
        <v>61</v>
      </c>
      <c r="AK715" s="60"/>
    </row>
    <row r="716" ht="24.0" customHeight="1">
      <c r="A716" s="35"/>
      <c r="B716" s="36">
        <v>1.0</v>
      </c>
      <c r="C716" s="37" t="str">
        <f>IFERROR(__xludf.DUMMYFUNCTION("""COMPUTED_VALUE"""),"Erick Flores (4) - '27 C VA")</f>
        <v>Erick Flores (4) - '27 C VA</v>
      </c>
      <c r="D716" s="89" t="s">
        <v>3933</v>
      </c>
      <c r="E716" s="39" t="s">
        <v>109</v>
      </c>
      <c r="F716" s="156">
        <v>46170.0</v>
      </c>
      <c r="G716" s="113" t="s">
        <v>1470</v>
      </c>
      <c r="H716" s="42" t="s">
        <v>3934</v>
      </c>
      <c r="I716" s="43" t="s">
        <v>250</v>
      </c>
      <c r="J716" s="43">
        <v>2027.0</v>
      </c>
      <c r="K716" s="43">
        <v>4.0</v>
      </c>
      <c r="L716" s="80"/>
      <c r="M716" s="43" t="s">
        <v>109</v>
      </c>
      <c r="N716" s="43" t="s">
        <v>103</v>
      </c>
      <c r="O716" s="43" t="s">
        <v>63</v>
      </c>
      <c r="P716" s="43" t="s">
        <v>1764</v>
      </c>
      <c r="Q716" s="43" t="s">
        <v>125</v>
      </c>
      <c r="R716" s="43" t="s">
        <v>3935</v>
      </c>
      <c r="S716" s="44" t="s">
        <v>3936</v>
      </c>
      <c r="T716" s="39">
        <v>3.6</v>
      </c>
      <c r="U716" s="39" t="s">
        <v>3937</v>
      </c>
      <c r="V716" s="39" t="s">
        <v>3938</v>
      </c>
      <c r="W716" s="81"/>
      <c r="X716" s="81"/>
      <c r="Y716" s="39"/>
      <c r="Z716" s="82"/>
      <c r="AA716" s="180" t="s">
        <v>3939</v>
      </c>
      <c r="AB716" s="48" t="s">
        <v>61</v>
      </c>
      <c r="AC716" s="68" t="s">
        <v>61</v>
      </c>
      <c r="AD716" s="69" t="s">
        <v>61</v>
      </c>
      <c r="AE716" s="69" t="s">
        <v>61</v>
      </c>
      <c r="AF716" s="68" t="s">
        <v>61</v>
      </c>
      <c r="AG716" s="68" t="s">
        <v>61</v>
      </c>
      <c r="AH716" s="68" t="s">
        <v>61</v>
      </c>
      <c r="AI716" s="70" t="s">
        <v>61</v>
      </c>
      <c r="AJ716" s="114" t="s">
        <v>61</v>
      </c>
      <c r="AK716" s="82"/>
    </row>
    <row r="717" ht="24.0" customHeight="1">
      <c r="A717" s="35"/>
      <c r="B717" s="36">
        <v>1.0</v>
      </c>
      <c r="C717" s="37" t="str">
        <f>IFERROR(__xludf.DUMMYFUNCTION("""COMPUTED_VALUE"""),"Nathaniel Fuller (4) - '27 CF NJ")</f>
        <v>Nathaniel Fuller (4) - '27 CF NJ</v>
      </c>
      <c r="D717" s="89" t="s">
        <v>3940</v>
      </c>
      <c r="E717" s="51" t="s">
        <v>103</v>
      </c>
      <c r="F717" s="115"/>
      <c r="G717" s="116" t="s">
        <v>1395</v>
      </c>
      <c r="H717" s="54" t="s">
        <v>3941</v>
      </c>
      <c r="I717" s="55" t="s">
        <v>425</v>
      </c>
      <c r="J717" s="55">
        <v>2027.0</v>
      </c>
      <c r="K717" s="55">
        <v>4.0</v>
      </c>
      <c r="L717" s="171" t="s">
        <v>61</v>
      </c>
      <c r="M717" s="55" t="s">
        <v>106</v>
      </c>
      <c r="N717" s="58"/>
      <c r="O717" s="55" t="s">
        <v>1556</v>
      </c>
      <c r="P717" s="55"/>
      <c r="Q717" s="55" t="s">
        <v>502</v>
      </c>
      <c r="R717" s="55" t="s">
        <v>918</v>
      </c>
      <c r="S717" s="58" t="s">
        <v>2029</v>
      </c>
      <c r="T717" s="51"/>
      <c r="U717" s="51"/>
      <c r="V717" s="51"/>
      <c r="W717" s="51"/>
      <c r="X717" s="51"/>
      <c r="Y717" s="51"/>
      <c r="Z717" s="60"/>
      <c r="AA717" s="73"/>
      <c r="AB717" s="62" t="s">
        <v>61</v>
      </c>
      <c r="AC717" s="63" t="s">
        <v>61</v>
      </c>
      <c r="AD717" s="64" t="s">
        <v>61</v>
      </c>
      <c r="AE717" s="64" t="s">
        <v>61</v>
      </c>
      <c r="AF717" s="63" t="s">
        <v>61</v>
      </c>
      <c r="AG717" s="63" t="s">
        <v>61</v>
      </c>
      <c r="AH717" s="63" t="s">
        <v>61</v>
      </c>
      <c r="AI717" s="65" t="s">
        <v>61</v>
      </c>
      <c r="AJ717" s="66" t="s">
        <v>61</v>
      </c>
      <c r="AK717" s="60"/>
    </row>
    <row r="718" ht="24.0" customHeight="1">
      <c r="A718" s="35"/>
      <c r="B718" s="36">
        <v>1.0</v>
      </c>
      <c r="C718" s="37" t="str">
        <f>IFERROR(__xludf.DUMMYFUNCTION("""COMPUTED_VALUE"""),"Benjamin Fuqua (4) - '27 LHP TX")</f>
        <v>Benjamin Fuqua (4) - '27 LHP TX</v>
      </c>
      <c r="D718" s="89" t="s">
        <v>3942</v>
      </c>
      <c r="E718" s="39" t="s">
        <v>122</v>
      </c>
      <c r="F718" s="124">
        <v>46156.0</v>
      </c>
      <c r="G718" s="113" t="s">
        <v>1395</v>
      </c>
      <c r="H718" s="42" t="s">
        <v>1566</v>
      </c>
      <c r="I718" s="43" t="s">
        <v>3943</v>
      </c>
      <c r="J718" s="43">
        <v>2027.0</v>
      </c>
      <c r="K718" s="43">
        <v>4.0</v>
      </c>
      <c r="L718" s="158" t="s">
        <v>61</v>
      </c>
      <c r="M718" s="43" t="s">
        <v>122</v>
      </c>
      <c r="N718" s="44"/>
      <c r="O718" s="80" t="s">
        <v>1556</v>
      </c>
      <c r="P718" s="80" t="s">
        <v>3944</v>
      </c>
      <c r="Q718" s="43" t="s">
        <v>180</v>
      </c>
      <c r="R718" s="80" t="s">
        <v>3945</v>
      </c>
      <c r="S718" s="44"/>
      <c r="T718" s="81" t="s">
        <v>2364</v>
      </c>
      <c r="U718" s="81"/>
      <c r="V718" s="81" t="s">
        <v>3946</v>
      </c>
      <c r="W718" s="81" t="s">
        <v>3747</v>
      </c>
      <c r="X718" s="81"/>
      <c r="Y718" s="81"/>
      <c r="Z718" s="82"/>
      <c r="AA718" s="47" t="s">
        <v>3947</v>
      </c>
      <c r="AB718" s="48" t="s">
        <v>61</v>
      </c>
      <c r="AC718" s="68" t="s">
        <v>61</v>
      </c>
      <c r="AD718" s="69" t="s">
        <v>61</v>
      </c>
      <c r="AE718" s="69" t="s">
        <v>61</v>
      </c>
      <c r="AF718" s="68" t="s">
        <v>61</v>
      </c>
      <c r="AG718" s="68" t="s">
        <v>61</v>
      </c>
      <c r="AH718" s="68" t="s">
        <v>61</v>
      </c>
      <c r="AI718" s="70" t="s">
        <v>61</v>
      </c>
      <c r="AJ718" s="114" t="s">
        <v>61</v>
      </c>
      <c r="AK718" s="82"/>
    </row>
    <row r="719" ht="24.0" customHeight="1">
      <c r="A719" s="35"/>
      <c r="B719" s="36">
        <v>1.0</v>
      </c>
      <c r="C719" s="37" t="str">
        <f>IFERROR(__xludf.DUMMYFUNCTION("""COMPUTED_VALUE"""),"Thomas Futrell (4) - '27 MINF MD")</f>
        <v>Thomas Futrell (4) - '27 MINF MD</v>
      </c>
      <c r="D719" s="38" t="s">
        <v>3948</v>
      </c>
      <c r="E719" s="51" t="s">
        <v>48</v>
      </c>
      <c r="F719" s="119">
        <v>45849.0</v>
      </c>
      <c r="G719" s="116" t="s">
        <v>1395</v>
      </c>
      <c r="H719" s="54" t="s">
        <v>335</v>
      </c>
      <c r="I719" s="55" t="s">
        <v>3949</v>
      </c>
      <c r="J719" s="55">
        <v>2027.0</v>
      </c>
      <c r="K719" s="55">
        <v>4.0</v>
      </c>
      <c r="L719" s="171" t="s">
        <v>61</v>
      </c>
      <c r="M719" s="55" t="s">
        <v>51</v>
      </c>
      <c r="N719" s="132"/>
      <c r="O719" s="57"/>
      <c r="P719" s="55" t="s">
        <v>3950</v>
      </c>
      <c r="Q719" s="55" t="s">
        <v>195</v>
      </c>
      <c r="R719" s="55" t="s">
        <v>3951</v>
      </c>
      <c r="S719" s="58" t="s">
        <v>3586</v>
      </c>
      <c r="T719" s="74"/>
      <c r="U719" s="74"/>
      <c r="V719" s="51"/>
      <c r="W719" s="51" t="s">
        <v>1724</v>
      </c>
      <c r="X719" s="51" t="s">
        <v>1550</v>
      </c>
      <c r="Y719" s="74"/>
      <c r="Z719" s="76"/>
      <c r="AA719" s="134"/>
      <c r="AB719" s="62" t="s">
        <v>61</v>
      </c>
      <c r="AC719" s="63" t="s">
        <v>61</v>
      </c>
      <c r="AD719" s="64" t="s">
        <v>61</v>
      </c>
      <c r="AE719" s="64" t="s">
        <v>61</v>
      </c>
      <c r="AF719" s="63" t="s">
        <v>61</v>
      </c>
      <c r="AG719" s="63" t="s">
        <v>61</v>
      </c>
      <c r="AH719" s="63" t="s">
        <v>61</v>
      </c>
      <c r="AI719" s="65" t="s">
        <v>61</v>
      </c>
      <c r="AJ719" s="105" t="s">
        <v>61</v>
      </c>
      <c r="AK719" s="76"/>
    </row>
    <row r="720" ht="24.0" customHeight="1">
      <c r="A720" s="35"/>
      <c r="B720" s="36">
        <v>1.0</v>
      </c>
      <c r="C720" s="37" t="str">
        <f>IFERROR(__xludf.DUMMYFUNCTION("""COMPUTED_VALUE"""),"Kevin Gallagher (4) - '28 RHP ")</f>
        <v>Kevin Gallagher (4) - '28 RHP </v>
      </c>
      <c r="D720" s="89" t="s">
        <v>3952</v>
      </c>
      <c r="E720" s="39" t="s">
        <v>63</v>
      </c>
      <c r="F720" s="156">
        <v>46168.0</v>
      </c>
      <c r="G720" s="113" t="s">
        <v>1395</v>
      </c>
      <c r="H720" s="42" t="s">
        <v>1005</v>
      </c>
      <c r="I720" s="43" t="s">
        <v>3953</v>
      </c>
      <c r="J720" s="43">
        <v>2028.0</v>
      </c>
      <c r="K720" s="43">
        <v>4.0</v>
      </c>
      <c r="L720" s="80"/>
      <c r="M720" s="43" t="s">
        <v>63</v>
      </c>
      <c r="N720" s="43"/>
      <c r="O720" s="80"/>
      <c r="P720" s="80"/>
      <c r="Q720" s="80"/>
      <c r="R720" s="80"/>
      <c r="S720" s="39" t="s">
        <v>2029</v>
      </c>
      <c r="T720" s="39"/>
      <c r="U720" s="81"/>
      <c r="V720" s="81"/>
      <c r="W720" s="81"/>
      <c r="X720" s="81"/>
      <c r="Y720" s="81"/>
      <c r="Z720" s="82"/>
      <c r="AA720" s="99"/>
      <c r="AB720" s="48" t="s">
        <v>61</v>
      </c>
      <c r="AC720" s="68" t="s">
        <v>61</v>
      </c>
      <c r="AD720" s="69" t="s">
        <v>61</v>
      </c>
      <c r="AE720" s="69" t="s">
        <v>61</v>
      </c>
      <c r="AF720" s="68" t="s">
        <v>61</v>
      </c>
      <c r="AG720" s="68" t="s">
        <v>61</v>
      </c>
      <c r="AH720" s="68" t="s">
        <v>61</v>
      </c>
      <c r="AI720" s="70" t="s">
        <v>61</v>
      </c>
      <c r="AJ720" s="114" t="s">
        <v>61</v>
      </c>
      <c r="AK720" s="82"/>
    </row>
    <row r="721" ht="24.0" customHeight="1">
      <c r="A721" s="35"/>
      <c r="B721" s="36">
        <v>1.0</v>
      </c>
      <c r="C721" s="37" t="str">
        <f>IFERROR(__xludf.DUMMYFUNCTION("""COMPUTED_VALUE"""),"John Luca Gallina (4) - '27 RHP ")</f>
        <v>John Luca Gallina (4) - '27 RHP </v>
      </c>
      <c r="D721" s="89" t="s">
        <v>3954</v>
      </c>
      <c r="E721" s="51" t="s">
        <v>63</v>
      </c>
      <c r="F721" s="154">
        <v>46168.0</v>
      </c>
      <c r="G721" s="116" t="s">
        <v>1395</v>
      </c>
      <c r="H721" s="54" t="s">
        <v>3955</v>
      </c>
      <c r="I721" s="55" t="s">
        <v>3956</v>
      </c>
      <c r="J721" s="55">
        <v>2027.0</v>
      </c>
      <c r="K721" s="55">
        <v>4.0</v>
      </c>
      <c r="L721" s="57"/>
      <c r="M721" s="55" t="s">
        <v>63</v>
      </c>
      <c r="N721" s="55"/>
      <c r="O721" s="57"/>
      <c r="P721" s="57"/>
      <c r="Q721" s="57"/>
      <c r="R721" s="57"/>
      <c r="S721" s="51" t="s">
        <v>2029</v>
      </c>
      <c r="T721" s="51"/>
      <c r="U721" s="74"/>
      <c r="V721" s="74"/>
      <c r="W721" s="74"/>
      <c r="X721" s="74"/>
      <c r="Y721" s="74"/>
      <c r="Z721" s="76"/>
      <c r="AA721" s="134"/>
      <c r="AB721" s="62" t="s">
        <v>61</v>
      </c>
      <c r="AC721" s="63" t="s">
        <v>61</v>
      </c>
      <c r="AD721" s="64" t="s">
        <v>61</v>
      </c>
      <c r="AE721" s="64" t="s">
        <v>61</v>
      </c>
      <c r="AF721" s="63" t="s">
        <v>61</v>
      </c>
      <c r="AG721" s="63" t="s">
        <v>61</v>
      </c>
      <c r="AH721" s="63" t="s">
        <v>61</v>
      </c>
      <c r="AI721" s="65" t="s">
        <v>61</v>
      </c>
      <c r="AJ721" s="105" t="s">
        <v>61</v>
      </c>
      <c r="AK721" s="76"/>
    </row>
    <row r="722" ht="24.0" customHeight="1">
      <c r="A722" s="35"/>
      <c r="B722" s="36">
        <v>1.0</v>
      </c>
      <c r="C722" s="37" t="str">
        <f>IFERROR(__xludf.DUMMYFUNCTION("""COMPUTED_VALUE"""),"Andrew Garcia (4) - '27 RHP NJ")</f>
        <v>Andrew Garcia (4) - '27 RHP NJ</v>
      </c>
      <c r="D722" s="89" t="s">
        <v>3957</v>
      </c>
      <c r="E722" s="39" t="s">
        <v>63</v>
      </c>
      <c r="F722" s="156">
        <v>46156.0</v>
      </c>
      <c r="G722" s="113" t="s">
        <v>1395</v>
      </c>
      <c r="H722" s="42" t="s">
        <v>457</v>
      </c>
      <c r="I722" s="43" t="s">
        <v>3136</v>
      </c>
      <c r="J722" s="43">
        <v>2027.0</v>
      </c>
      <c r="K722" s="43">
        <v>4.0</v>
      </c>
      <c r="L722" s="80"/>
      <c r="M722" s="43" t="s">
        <v>63</v>
      </c>
      <c r="N722" s="43"/>
      <c r="O722" s="43" t="s">
        <v>1550</v>
      </c>
      <c r="P722" s="43" t="s">
        <v>3958</v>
      </c>
      <c r="Q722" s="43" t="s">
        <v>502</v>
      </c>
      <c r="R722" s="80"/>
      <c r="S722" s="44" t="s">
        <v>3959</v>
      </c>
      <c r="T722" s="81"/>
      <c r="U722" s="39" t="s">
        <v>3960</v>
      </c>
      <c r="V722" s="81"/>
      <c r="W722" s="81"/>
      <c r="X722" s="81"/>
      <c r="Y722" s="81"/>
      <c r="Z722" s="82"/>
      <c r="AA722" s="99"/>
      <c r="AB722" s="48" t="s">
        <v>61</v>
      </c>
      <c r="AC722" s="68" t="s">
        <v>61</v>
      </c>
      <c r="AD722" s="69" t="s">
        <v>61</v>
      </c>
      <c r="AE722" s="69" t="s">
        <v>61</v>
      </c>
      <c r="AF722" s="68" t="s">
        <v>61</v>
      </c>
      <c r="AG722" s="68" t="s">
        <v>61</v>
      </c>
      <c r="AH722" s="68" t="s">
        <v>61</v>
      </c>
      <c r="AI722" s="70" t="s">
        <v>61</v>
      </c>
      <c r="AJ722" s="114" t="s">
        <v>61</v>
      </c>
      <c r="AK722" s="82"/>
    </row>
    <row r="723" ht="24.0" customHeight="1">
      <c r="A723" s="35"/>
      <c r="B723" s="36">
        <v>1.0</v>
      </c>
      <c r="C723" s="37" t="str">
        <f>IFERROR(__xludf.DUMMYFUNCTION("""COMPUTED_VALUE"""),"Reed Garrett (4) - '27 OF MA")</f>
        <v>Reed Garrett (4) - '27 OF MA</v>
      </c>
      <c r="D723" s="89" t="s">
        <v>3961</v>
      </c>
      <c r="E723" s="51" t="s">
        <v>103</v>
      </c>
      <c r="F723" s="137"/>
      <c r="G723" s="133"/>
      <c r="H723" s="54" t="s">
        <v>2633</v>
      </c>
      <c r="I723" s="55" t="s">
        <v>781</v>
      </c>
      <c r="J723" s="55">
        <v>2027.0</v>
      </c>
      <c r="K723" s="55">
        <v>4.0</v>
      </c>
      <c r="L723" s="171" t="s">
        <v>61</v>
      </c>
      <c r="M723" s="55" t="s">
        <v>103</v>
      </c>
      <c r="N723" s="132"/>
      <c r="O723" s="57"/>
      <c r="P723" s="55" t="s">
        <v>3962</v>
      </c>
      <c r="Q723" s="55" t="s">
        <v>85</v>
      </c>
      <c r="R723" s="55" t="s">
        <v>3912</v>
      </c>
      <c r="S723" s="58" t="s">
        <v>3702</v>
      </c>
      <c r="T723" s="74"/>
      <c r="U723" s="74"/>
      <c r="V723" s="139"/>
      <c r="W723" s="51" t="s">
        <v>1724</v>
      </c>
      <c r="X723" s="51" t="s">
        <v>1989</v>
      </c>
      <c r="Y723" s="74"/>
      <c r="Z723" s="76"/>
      <c r="AA723" s="134"/>
      <c r="AB723" s="62" t="s">
        <v>61</v>
      </c>
      <c r="AC723" s="63" t="s">
        <v>61</v>
      </c>
      <c r="AD723" s="64" t="s">
        <v>61</v>
      </c>
      <c r="AE723" s="64" t="s">
        <v>61</v>
      </c>
      <c r="AF723" s="63" t="s">
        <v>61</v>
      </c>
      <c r="AG723" s="63" t="s">
        <v>61</v>
      </c>
      <c r="AH723" s="63" t="s">
        <v>61</v>
      </c>
      <c r="AI723" s="65" t="s">
        <v>61</v>
      </c>
      <c r="AJ723" s="105" t="s">
        <v>61</v>
      </c>
      <c r="AK723" s="76"/>
    </row>
    <row r="724" ht="24.0" customHeight="1">
      <c r="A724" s="35"/>
      <c r="B724" s="36">
        <v>1.0</v>
      </c>
      <c r="C724" s="37" t="str">
        <f>IFERROR(__xludf.DUMMYFUNCTION("""COMPUTED_VALUE"""),"Jackson Gayer (4) - '27 CINF NJ")</f>
        <v>Jackson Gayer (4) - '27 CINF NJ</v>
      </c>
      <c r="D724" s="89" t="s">
        <v>3963</v>
      </c>
      <c r="E724" s="39" t="s">
        <v>48</v>
      </c>
      <c r="F724" s="112"/>
      <c r="G724" s="113" t="s">
        <v>1395</v>
      </c>
      <c r="H724" s="42" t="s">
        <v>432</v>
      </c>
      <c r="I724" s="43" t="s">
        <v>3964</v>
      </c>
      <c r="J724" s="43">
        <v>2027.0</v>
      </c>
      <c r="K724" s="43">
        <v>4.0</v>
      </c>
      <c r="L724" s="158" t="s">
        <v>61</v>
      </c>
      <c r="M724" s="43" t="s">
        <v>72</v>
      </c>
      <c r="N724" s="44"/>
      <c r="O724" s="43" t="s">
        <v>1556</v>
      </c>
      <c r="P724" s="43"/>
      <c r="Q724" s="43" t="s">
        <v>502</v>
      </c>
      <c r="R724" s="43" t="s">
        <v>3965</v>
      </c>
      <c r="S724" s="44" t="s">
        <v>3966</v>
      </c>
      <c r="T724" s="39"/>
      <c r="U724" s="39"/>
      <c r="V724" s="39"/>
      <c r="W724" s="39"/>
      <c r="X724" s="39"/>
      <c r="Y724" s="39"/>
      <c r="Z724" s="46"/>
      <c r="AA724" s="47"/>
      <c r="AB724" s="48" t="s">
        <v>61</v>
      </c>
      <c r="AC724" s="68" t="s">
        <v>61</v>
      </c>
      <c r="AD724" s="69" t="s">
        <v>61</v>
      </c>
      <c r="AE724" s="69" t="s">
        <v>61</v>
      </c>
      <c r="AF724" s="68" t="s">
        <v>61</v>
      </c>
      <c r="AG724" s="68" t="s">
        <v>61</v>
      </c>
      <c r="AH724" s="68" t="s">
        <v>61</v>
      </c>
      <c r="AI724" s="70" t="s">
        <v>61</v>
      </c>
      <c r="AJ724" s="49" t="s">
        <v>61</v>
      </c>
      <c r="AK724" s="46"/>
    </row>
    <row r="725" ht="24.0" customHeight="1">
      <c r="A725" s="35"/>
      <c r="B725" s="36">
        <v>1.0</v>
      </c>
      <c r="C725" s="37" t="str">
        <f>IFERROR(__xludf.DUMMYFUNCTION("""COMPUTED_VALUE"""),"Preston Gorski (4) - '27 RHP TX")</f>
        <v>Preston Gorski (4) - '27 RHP TX</v>
      </c>
      <c r="D725" s="89" t="s">
        <v>3967</v>
      </c>
      <c r="E725" s="51" t="s">
        <v>63</v>
      </c>
      <c r="F725" s="154">
        <v>46168.0</v>
      </c>
      <c r="G725" s="116" t="s">
        <v>1395</v>
      </c>
      <c r="H725" s="54" t="s">
        <v>1151</v>
      </c>
      <c r="I725" s="55" t="s">
        <v>3968</v>
      </c>
      <c r="J725" s="55">
        <v>2027.0</v>
      </c>
      <c r="K725" s="55">
        <v>4.0</v>
      </c>
      <c r="L725" s="57"/>
      <c r="M725" s="55" t="s">
        <v>63</v>
      </c>
      <c r="N725" s="55" t="s">
        <v>103</v>
      </c>
      <c r="O725" s="57"/>
      <c r="P725" s="55" t="s">
        <v>3969</v>
      </c>
      <c r="Q725" s="55" t="s">
        <v>180</v>
      </c>
      <c r="R725" s="55" t="s">
        <v>3970</v>
      </c>
      <c r="S725" s="58" t="s">
        <v>3971</v>
      </c>
      <c r="T725" s="74"/>
      <c r="U725" s="51" t="s">
        <v>3972</v>
      </c>
      <c r="V725" s="51" t="s">
        <v>3973</v>
      </c>
      <c r="W725" s="74"/>
      <c r="X725" s="74"/>
      <c r="Y725" s="74"/>
      <c r="Z725" s="76"/>
      <c r="AA725" s="155" t="s">
        <v>3974</v>
      </c>
      <c r="AB725" s="62" t="s">
        <v>61</v>
      </c>
      <c r="AC725" s="63" t="s">
        <v>61</v>
      </c>
      <c r="AD725" s="64" t="s">
        <v>61</v>
      </c>
      <c r="AE725" s="64" t="s">
        <v>61</v>
      </c>
      <c r="AF725" s="63" t="s">
        <v>61</v>
      </c>
      <c r="AG725" s="63" t="s">
        <v>61</v>
      </c>
      <c r="AH725" s="63" t="s">
        <v>61</v>
      </c>
      <c r="AI725" s="65" t="s">
        <v>61</v>
      </c>
      <c r="AJ725" s="105" t="s">
        <v>61</v>
      </c>
      <c r="AK725" s="76"/>
    </row>
    <row r="726" ht="24.0" customHeight="1">
      <c r="A726" s="35"/>
      <c r="B726" s="36">
        <v>1.0</v>
      </c>
      <c r="C726" s="37" t="str">
        <f>IFERROR(__xludf.DUMMYFUNCTION("""COMPUTED_VALUE"""),"Danny Graziano (4) - '27 CINF NJ")</f>
        <v>Danny Graziano (4) - '27 CINF NJ</v>
      </c>
      <c r="D726" s="89" t="s">
        <v>3975</v>
      </c>
      <c r="E726" s="39" t="s">
        <v>48</v>
      </c>
      <c r="F726" s="156">
        <v>46156.0</v>
      </c>
      <c r="G726" s="113" t="s">
        <v>1395</v>
      </c>
      <c r="H726" s="42" t="s">
        <v>705</v>
      </c>
      <c r="I726" s="43" t="s">
        <v>3976</v>
      </c>
      <c r="J726" s="43">
        <v>2027.0</v>
      </c>
      <c r="K726" s="43">
        <v>4.0</v>
      </c>
      <c r="L726" s="80"/>
      <c r="M726" s="43" t="s">
        <v>72</v>
      </c>
      <c r="N726" s="43"/>
      <c r="O726" s="43" t="s">
        <v>1550</v>
      </c>
      <c r="P726" s="43" t="s">
        <v>3977</v>
      </c>
      <c r="Q726" s="43" t="s">
        <v>502</v>
      </c>
      <c r="R726" s="43" t="s">
        <v>3978</v>
      </c>
      <c r="S726" s="44" t="s">
        <v>3959</v>
      </c>
      <c r="T726" s="39" t="s">
        <v>3710</v>
      </c>
      <c r="U726" s="39" t="s">
        <v>3979</v>
      </c>
      <c r="V726" s="81"/>
      <c r="W726" s="81"/>
      <c r="X726" s="81"/>
      <c r="Y726" s="81"/>
      <c r="Z726" s="82"/>
      <c r="AA726" s="47" t="s">
        <v>3980</v>
      </c>
      <c r="AB726" s="48" t="s">
        <v>61</v>
      </c>
      <c r="AC726" s="68" t="s">
        <v>61</v>
      </c>
      <c r="AD726" s="69" t="s">
        <v>61</v>
      </c>
      <c r="AE726" s="69" t="s">
        <v>61</v>
      </c>
      <c r="AF726" s="68" t="s">
        <v>61</v>
      </c>
      <c r="AG726" s="68" t="s">
        <v>61</v>
      </c>
      <c r="AH726" s="68" t="s">
        <v>61</v>
      </c>
      <c r="AI726" s="70" t="s">
        <v>61</v>
      </c>
      <c r="AJ726" s="114" t="s">
        <v>61</v>
      </c>
      <c r="AK726" s="82"/>
    </row>
    <row r="727" ht="24.0" customHeight="1">
      <c r="A727" s="35"/>
      <c r="B727" s="36">
        <v>1.0</v>
      </c>
      <c r="C727" s="37" t="str">
        <f>IFERROR(__xludf.DUMMYFUNCTION("""COMPUTED_VALUE"""),"Rocco Grotto (4) - '27 OF ")</f>
        <v>Rocco Grotto (4) - '27 OF </v>
      </c>
      <c r="D727" s="89" t="s">
        <v>3981</v>
      </c>
      <c r="E727" s="51" t="s">
        <v>103</v>
      </c>
      <c r="F727" s="154">
        <v>46168.0</v>
      </c>
      <c r="G727" s="116" t="s">
        <v>1395</v>
      </c>
      <c r="H727" s="54" t="s">
        <v>1521</v>
      </c>
      <c r="I727" s="55" t="s">
        <v>3982</v>
      </c>
      <c r="J727" s="55">
        <v>2027.0</v>
      </c>
      <c r="K727" s="55">
        <v>4.0</v>
      </c>
      <c r="L727" s="57"/>
      <c r="M727" s="55" t="s">
        <v>103</v>
      </c>
      <c r="N727" s="55"/>
      <c r="O727" s="57"/>
      <c r="P727" s="57"/>
      <c r="Q727" s="57"/>
      <c r="R727" s="57"/>
      <c r="S727" s="51" t="s">
        <v>2029</v>
      </c>
      <c r="T727" s="51"/>
      <c r="U727" s="74"/>
      <c r="V727" s="74"/>
      <c r="W727" s="74"/>
      <c r="X727" s="74"/>
      <c r="Y727" s="74"/>
      <c r="Z727" s="76"/>
      <c r="AA727" s="134"/>
      <c r="AB727" s="62" t="s">
        <v>61</v>
      </c>
      <c r="AC727" s="63" t="s">
        <v>61</v>
      </c>
      <c r="AD727" s="64" t="s">
        <v>61</v>
      </c>
      <c r="AE727" s="64" t="s">
        <v>61</v>
      </c>
      <c r="AF727" s="63" t="s">
        <v>61</v>
      </c>
      <c r="AG727" s="63" t="s">
        <v>61</v>
      </c>
      <c r="AH727" s="63" t="s">
        <v>61</v>
      </c>
      <c r="AI727" s="65" t="s">
        <v>61</v>
      </c>
      <c r="AJ727" s="105" t="s">
        <v>61</v>
      </c>
      <c r="AK727" s="76"/>
    </row>
    <row r="728" ht="24.0" customHeight="1">
      <c r="A728" s="35"/>
      <c r="B728" s="36">
        <v>1.0</v>
      </c>
      <c r="C728" s="37" t="str">
        <f>IFERROR(__xludf.DUMMYFUNCTION("""COMPUTED_VALUE"""),"Serf Guerra (4) - '27  WV")</f>
        <v>Serf Guerra (4) - '27  WV</v>
      </c>
      <c r="D728" s="89" t="s">
        <v>3983</v>
      </c>
      <c r="E728" s="39" t="s">
        <v>61</v>
      </c>
      <c r="F728" s="156">
        <v>46170.0</v>
      </c>
      <c r="G728" s="113" t="s">
        <v>1470</v>
      </c>
      <c r="H728" s="42" t="s">
        <v>3984</v>
      </c>
      <c r="I728" s="43" t="s">
        <v>3985</v>
      </c>
      <c r="J728" s="43">
        <v>2027.0</v>
      </c>
      <c r="K728" s="43">
        <v>4.0</v>
      </c>
      <c r="L728" s="80"/>
      <c r="M728" s="43"/>
      <c r="N728" s="43"/>
      <c r="O728" s="43"/>
      <c r="P728" s="43" t="s">
        <v>3986</v>
      </c>
      <c r="Q728" s="43" t="s">
        <v>3987</v>
      </c>
      <c r="R728" s="43" t="s">
        <v>3988</v>
      </c>
      <c r="S728" s="44" t="s">
        <v>3989</v>
      </c>
      <c r="T728" s="39">
        <v>3.8</v>
      </c>
      <c r="U728" s="81"/>
      <c r="V728" s="81"/>
      <c r="W728" s="81"/>
      <c r="X728" s="81"/>
      <c r="Y728" s="81"/>
      <c r="Z728" s="46"/>
      <c r="AA728" s="47" t="s">
        <v>3990</v>
      </c>
      <c r="AB728" s="48" t="s">
        <v>61</v>
      </c>
      <c r="AC728" s="68" t="s">
        <v>61</v>
      </c>
      <c r="AD728" s="69" t="s">
        <v>61</v>
      </c>
      <c r="AE728" s="69" t="s">
        <v>61</v>
      </c>
      <c r="AF728" s="68" t="s">
        <v>61</v>
      </c>
      <c r="AG728" s="68" t="s">
        <v>61</v>
      </c>
      <c r="AH728" s="68" t="s">
        <v>61</v>
      </c>
      <c r="AI728" s="70" t="s">
        <v>61</v>
      </c>
      <c r="AJ728" s="114" t="s">
        <v>61</v>
      </c>
      <c r="AK728" s="82"/>
    </row>
    <row r="729" ht="24.0" customHeight="1">
      <c r="A729" s="35"/>
      <c r="B729" s="36">
        <v>1.0</v>
      </c>
      <c r="C729" s="37" t="str">
        <f>IFERROR(__xludf.DUMMYFUNCTION("""COMPUTED_VALUE"""),"Jacob Guevara (4) - '27 LHP TX")</f>
        <v>Jacob Guevara (4) - '27 LHP TX</v>
      </c>
      <c r="D729" s="89" t="s">
        <v>3991</v>
      </c>
      <c r="E729" s="51" t="s">
        <v>122</v>
      </c>
      <c r="F729" s="154">
        <v>46168.0</v>
      </c>
      <c r="G729" s="116" t="s">
        <v>1395</v>
      </c>
      <c r="H729" s="54" t="s">
        <v>284</v>
      </c>
      <c r="I729" s="55" t="s">
        <v>3992</v>
      </c>
      <c r="J729" s="55">
        <v>2027.0</v>
      </c>
      <c r="K729" s="55">
        <v>4.0</v>
      </c>
      <c r="L729" s="57"/>
      <c r="M729" s="55" t="s">
        <v>122</v>
      </c>
      <c r="N729" s="55" t="s">
        <v>1972</v>
      </c>
      <c r="O729" s="55" t="s">
        <v>1556</v>
      </c>
      <c r="P729" s="55" t="s">
        <v>3993</v>
      </c>
      <c r="Q729" s="55" t="s">
        <v>180</v>
      </c>
      <c r="R729" s="55" t="s">
        <v>3994</v>
      </c>
      <c r="S729" s="58" t="s">
        <v>3971</v>
      </c>
      <c r="T729" s="51" t="s">
        <v>3893</v>
      </c>
      <c r="U729" s="74"/>
      <c r="V729" s="51" t="s">
        <v>3995</v>
      </c>
      <c r="W729" s="74"/>
      <c r="X729" s="74"/>
      <c r="Y729" s="74"/>
      <c r="Z729" s="76"/>
      <c r="AA729" s="155" t="s">
        <v>3996</v>
      </c>
      <c r="AB729" s="62" t="s">
        <v>61</v>
      </c>
      <c r="AC729" s="63" t="s">
        <v>61</v>
      </c>
      <c r="AD729" s="64" t="s">
        <v>61</v>
      </c>
      <c r="AE729" s="64" t="s">
        <v>61</v>
      </c>
      <c r="AF729" s="63" t="s">
        <v>61</v>
      </c>
      <c r="AG729" s="63" t="s">
        <v>61</v>
      </c>
      <c r="AH729" s="63" t="s">
        <v>61</v>
      </c>
      <c r="AI729" s="65" t="s">
        <v>61</v>
      </c>
      <c r="AJ729" s="105" t="s">
        <v>61</v>
      </c>
      <c r="AK729" s="76"/>
    </row>
    <row r="730" ht="24.0" customHeight="1">
      <c r="A730" s="35"/>
      <c r="B730" s="36">
        <v>1.0</v>
      </c>
      <c r="C730" s="37" t="str">
        <f>IFERROR(__xludf.DUMMYFUNCTION("""COMPUTED_VALUE"""),"Alex Hannah (4) - '27 OF PA")</f>
        <v>Alex Hannah (4) - '27 OF PA</v>
      </c>
      <c r="D730" s="89" t="s">
        <v>3997</v>
      </c>
      <c r="E730" s="39" t="s">
        <v>103</v>
      </c>
      <c r="F730" s="156">
        <v>46170.0</v>
      </c>
      <c r="G730" s="113" t="s">
        <v>1470</v>
      </c>
      <c r="H730" s="42" t="s">
        <v>1601</v>
      </c>
      <c r="I730" s="43" t="s">
        <v>3998</v>
      </c>
      <c r="J730" s="43">
        <v>2027.0</v>
      </c>
      <c r="K730" s="43">
        <v>4.0</v>
      </c>
      <c r="L730" s="80"/>
      <c r="M730" s="43" t="s">
        <v>103</v>
      </c>
      <c r="N730" s="43"/>
      <c r="O730" s="43" t="s">
        <v>3774</v>
      </c>
      <c r="P730" s="43" t="s">
        <v>3999</v>
      </c>
      <c r="Q730" s="43" t="s">
        <v>240</v>
      </c>
      <c r="R730" s="43" t="s">
        <v>4000</v>
      </c>
      <c r="S730" s="44" t="s">
        <v>3774</v>
      </c>
      <c r="T730" s="39">
        <v>3.9</v>
      </c>
      <c r="U730" s="39" t="s">
        <v>4001</v>
      </c>
      <c r="V730" s="39" t="s">
        <v>4002</v>
      </c>
      <c r="W730" s="81"/>
      <c r="X730" s="81"/>
      <c r="Y730" s="39"/>
      <c r="Z730" s="82"/>
      <c r="AA730" s="180" t="s">
        <v>4003</v>
      </c>
      <c r="AB730" s="48" t="s">
        <v>61</v>
      </c>
      <c r="AC730" s="68" t="s">
        <v>61</v>
      </c>
      <c r="AD730" s="69" t="s">
        <v>61</v>
      </c>
      <c r="AE730" s="69" t="s">
        <v>61</v>
      </c>
      <c r="AF730" s="68" t="s">
        <v>61</v>
      </c>
      <c r="AG730" s="68" t="s">
        <v>61</v>
      </c>
      <c r="AH730" s="68" t="s">
        <v>61</v>
      </c>
      <c r="AI730" s="70" t="s">
        <v>61</v>
      </c>
      <c r="AJ730" s="114" t="s">
        <v>61</v>
      </c>
      <c r="AK730" s="82"/>
    </row>
    <row r="731" ht="24.0" customHeight="1">
      <c r="A731" s="35"/>
      <c r="B731" s="36">
        <v>1.0</v>
      </c>
      <c r="C731" s="37" t="str">
        <f>IFERROR(__xludf.DUMMYFUNCTION("""COMPUTED_VALUE"""),"Luke Hardy (4) - '27 RHP TX")</f>
        <v>Luke Hardy (4) - '27 RHP TX</v>
      </c>
      <c r="D731" s="89" t="s">
        <v>4004</v>
      </c>
      <c r="E731" s="51" t="s">
        <v>63</v>
      </c>
      <c r="F731" s="154">
        <v>46168.0</v>
      </c>
      <c r="G731" s="116" t="s">
        <v>1395</v>
      </c>
      <c r="H731" s="54" t="s">
        <v>1042</v>
      </c>
      <c r="I731" s="55" t="s">
        <v>4005</v>
      </c>
      <c r="J731" s="55">
        <v>2027.0</v>
      </c>
      <c r="K731" s="55">
        <v>4.0</v>
      </c>
      <c r="L731" s="57"/>
      <c r="M731" s="55" t="s">
        <v>63</v>
      </c>
      <c r="N731" s="55" t="s">
        <v>1972</v>
      </c>
      <c r="O731" s="55" t="s">
        <v>1550</v>
      </c>
      <c r="P731" s="57"/>
      <c r="Q731" s="55" t="s">
        <v>180</v>
      </c>
      <c r="R731" s="55" t="s">
        <v>4006</v>
      </c>
      <c r="S731" s="58" t="s">
        <v>1884</v>
      </c>
      <c r="T731" s="74"/>
      <c r="U731" s="74"/>
      <c r="V731" s="74"/>
      <c r="W731" s="74"/>
      <c r="X731" s="74"/>
      <c r="Y731" s="74"/>
      <c r="Z731" s="60"/>
      <c r="AA731" s="73" t="s">
        <v>4007</v>
      </c>
      <c r="AB731" s="62" t="s">
        <v>61</v>
      </c>
      <c r="AC731" s="63" t="s">
        <v>61</v>
      </c>
      <c r="AD731" s="64" t="s">
        <v>61</v>
      </c>
      <c r="AE731" s="64" t="s">
        <v>61</v>
      </c>
      <c r="AF731" s="63" t="s">
        <v>61</v>
      </c>
      <c r="AG731" s="63" t="s">
        <v>61</v>
      </c>
      <c r="AH731" s="63" t="s">
        <v>61</v>
      </c>
      <c r="AI731" s="65" t="s">
        <v>61</v>
      </c>
      <c r="AJ731" s="105" t="s">
        <v>61</v>
      </c>
      <c r="AK731" s="76"/>
    </row>
    <row r="732" ht="24.0" customHeight="1">
      <c r="A732" s="35"/>
      <c r="B732" s="36">
        <v>1.0</v>
      </c>
      <c r="C732" s="37" t="str">
        <f>IFERROR(__xludf.DUMMYFUNCTION("""COMPUTED_VALUE"""),"Shane Harrington (4) - '27 SS MA")</f>
        <v>Shane Harrington (4) - '27 SS MA</v>
      </c>
      <c r="D732" s="89" t="s">
        <v>4008</v>
      </c>
      <c r="E732" s="39" t="s">
        <v>48</v>
      </c>
      <c r="F732" s="124">
        <v>46152.0</v>
      </c>
      <c r="G732" s="113" t="s">
        <v>1395</v>
      </c>
      <c r="H732" s="42" t="s">
        <v>1712</v>
      </c>
      <c r="I732" s="43" t="s">
        <v>4009</v>
      </c>
      <c r="J732" s="43">
        <v>2027.0</v>
      </c>
      <c r="K732" s="43">
        <v>4.0</v>
      </c>
      <c r="L732" s="158" t="s">
        <v>61</v>
      </c>
      <c r="M732" s="43" t="s">
        <v>1398</v>
      </c>
      <c r="N732" s="44"/>
      <c r="O732" s="80" t="s">
        <v>1550</v>
      </c>
      <c r="P732" s="80" t="s">
        <v>4010</v>
      </c>
      <c r="Q732" s="43" t="s">
        <v>85</v>
      </c>
      <c r="R732" s="80" t="s">
        <v>4010</v>
      </c>
      <c r="S732" s="44" t="s">
        <v>2981</v>
      </c>
      <c r="T732" s="81"/>
      <c r="U732" s="81"/>
      <c r="V732" s="81" t="s">
        <v>4011</v>
      </c>
      <c r="W732" s="81"/>
      <c r="X732" s="81"/>
      <c r="Y732" s="81"/>
      <c r="Z732" s="82"/>
      <c r="AA732" s="47"/>
      <c r="AB732" s="48" t="s">
        <v>4012</v>
      </c>
      <c r="AC732" s="68" t="s">
        <v>4013</v>
      </c>
      <c r="AD732" s="69">
        <v>3.5</v>
      </c>
      <c r="AE732" s="69" t="s">
        <v>4014</v>
      </c>
      <c r="AF732" s="68" t="s">
        <v>4015</v>
      </c>
      <c r="AG732" s="68" t="s">
        <v>81</v>
      </c>
      <c r="AH732" s="68" t="s">
        <v>81</v>
      </c>
      <c r="AI732" s="70" t="s">
        <v>81</v>
      </c>
      <c r="AJ732" s="114" t="s">
        <v>61</v>
      </c>
      <c r="AK732" s="82"/>
    </row>
    <row r="733" ht="24.0" customHeight="1">
      <c r="A733" s="35"/>
      <c r="B733" s="36">
        <v>1.0</v>
      </c>
      <c r="C733" s="37" t="str">
        <f>IFERROR(__xludf.DUMMYFUNCTION("""COMPUTED_VALUE"""),"David Harris (4) - '27 LHP TX")</f>
        <v>David Harris (4) - '27 LHP TX</v>
      </c>
      <c r="D733" s="89" t="s">
        <v>4016</v>
      </c>
      <c r="E733" s="51" t="s">
        <v>122</v>
      </c>
      <c r="F733" s="154">
        <v>46168.0</v>
      </c>
      <c r="G733" s="116" t="s">
        <v>1395</v>
      </c>
      <c r="H733" s="54" t="s">
        <v>710</v>
      </c>
      <c r="I733" s="55" t="s">
        <v>4017</v>
      </c>
      <c r="J733" s="55">
        <v>2027.0</v>
      </c>
      <c r="K733" s="55">
        <v>4.0</v>
      </c>
      <c r="L733" s="57"/>
      <c r="M733" s="55" t="s">
        <v>122</v>
      </c>
      <c r="N733" s="55"/>
      <c r="O733" s="55" t="s">
        <v>1556</v>
      </c>
      <c r="P733" s="57"/>
      <c r="Q733" s="55" t="s">
        <v>180</v>
      </c>
      <c r="R733" s="55" t="s">
        <v>4018</v>
      </c>
      <c r="S733" s="58" t="s">
        <v>1884</v>
      </c>
      <c r="T733" s="74"/>
      <c r="U733" s="74"/>
      <c r="V733" s="74"/>
      <c r="W733" s="74"/>
      <c r="X733" s="74"/>
      <c r="Y733" s="74"/>
      <c r="Z733" s="60"/>
      <c r="AA733" s="73" t="s">
        <v>4019</v>
      </c>
      <c r="AB733" s="62" t="s">
        <v>61</v>
      </c>
      <c r="AC733" s="63" t="s">
        <v>61</v>
      </c>
      <c r="AD733" s="64" t="s">
        <v>61</v>
      </c>
      <c r="AE733" s="64" t="s">
        <v>61</v>
      </c>
      <c r="AF733" s="63" t="s">
        <v>61</v>
      </c>
      <c r="AG733" s="63" t="s">
        <v>61</v>
      </c>
      <c r="AH733" s="63" t="s">
        <v>61</v>
      </c>
      <c r="AI733" s="65" t="s">
        <v>61</v>
      </c>
      <c r="AJ733" s="105" t="s">
        <v>61</v>
      </c>
      <c r="AK733" s="76"/>
    </row>
    <row r="734" ht="24.0" customHeight="1">
      <c r="A734" s="35"/>
      <c r="B734" s="36">
        <v>1.0</v>
      </c>
      <c r="C734" s="37" t="str">
        <f>IFERROR(__xludf.DUMMYFUNCTION("""COMPUTED_VALUE"""),"Drew Harthcock (4) - '27 SS TX")</f>
        <v>Drew Harthcock (4) - '27 SS TX</v>
      </c>
      <c r="D734" s="89" t="s">
        <v>4020</v>
      </c>
      <c r="E734" s="39" t="s">
        <v>48</v>
      </c>
      <c r="F734" s="156">
        <v>46168.0</v>
      </c>
      <c r="G734" s="113" t="s">
        <v>1395</v>
      </c>
      <c r="H734" s="42" t="s">
        <v>249</v>
      </c>
      <c r="I734" s="43" t="s">
        <v>4021</v>
      </c>
      <c r="J734" s="43">
        <v>2027.0</v>
      </c>
      <c r="K734" s="43">
        <v>4.0</v>
      </c>
      <c r="L734" s="80"/>
      <c r="M734" s="43" t="s">
        <v>1398</v>
      </c>
      <c r="N734" s="43"/>
      <c r="O734" s="80"/>
      <c r="P734" s="80"/>
      <c r="Q734" s="43" t="s">
        <v>180</v>
      </c>
      <c r="R734" s="43" t="s">
        <v>4022</v>
      </c>
      <c r="S734" s="44" t="s">
        <v>3971</v>
      </c>
      <c r="T734" s="39" t="s">
        <v>4023</v>
      </c>
      <c r="U734" s="39" t="s">
        <v>4024</v>
      </c>
      <c r="V734" s="39" t="s">
        <v>4025</v>
      </c>
      <c r="W734" s="81"/>
      <c r="X734" s="81"/>
      <c r="Y734" s="81"/>
      <c r="Z734" s="82"/>
      <c r="AA734" s="161" t="s">
        <v>4026</v>
      </c>
      <c r="AB734" s="48" t="s">
        <v>61</v>
      </c>
      <c r="AC734" s="68" t="s">
        <v>61</v>
      </c>
      <c r="AD734" s="69" t="s">
        <v>61</v>
      </c>
      <c r="AE734" s="69" t="s">
        <v>61</v>
      </c>
      <c r="AF734" s="68" t="s">
        <v>61</v>
      </c>
      <c r="AG734" s="68" t="s">
        <v>61</v>
      </c>
      <c r="AH734" s="68" t="s">
        <v>61</v>
      </c>
      <c r="AI734" s="70" t="s">
        <v>61</v>
      </c>
      <c r="AJ734" s="114" t="s">
        <v>61</v>
      </c>
      <c r="AK734" s="82"/>
    </row>
    <row r="735" ht="24.0" customHeight="1">
      <c r="A735" s="35"/>
      <c r="B735" s="36">
        <v>1.0</v>
      </c>
      <c r="C735" s="37" t="str">
        <f>IFERROR(__xludf.DUMMYFUNCTION("""COMPUTED_VALUE"""),"Landon Henderlight (4) - '27 RHP TN")</f>
        <v>Landon Henderlight (4) - '27 RHP TN</v>
      </c>
      <c r="D735" s="89" t="s">
        <v>4027</v>
      </c>
      <c r="E735" s="51" t="s">
        <v>63</v>
      </c>
      <c r="F735" s="140">
        <v>45882.0</v>
      </c>
      <c r="G735" s="116" t="s">
        <v>1470</v>
      </c>
      <c r="H735" s="54" t="s">
        <v>1016</v>
      </c>
      <c r="I735" s="55" t="s">
        <v>4028</v>
      </c>
      <c r="J735" s="55">
        <v>2027.0</v>
      </c>
      <c r="K735" s="55">
        <v>4.0</v>
      </c>
      <c r="L735" s="171" t="s">
        <v>61</v>
      </c>
      <c r="M735" s="55" t="s">
        <v>63</v>
      </c>
      <c r="N735" s="58"/>
      <c r="O735" s="57"/>
      <c r="P735" s="57"/>
      <c r="Q735" s="55" t="s">
        <v>330</v>
      </c>
      <c r="R735" s="55" t="s">
        <v>4029</v>
      </c>
      <c r="S735" s="132"/>
      <c r="T735" s="74"/>
      <c r="U735" s="74"/>
      <c r="V735" s="74"/>
      <c r="W735" s="74"/>
      <c r="X735" s="74"/>
      <c r="Y735" s="74"/>
      <c r="Z735" s="76"/>
      <c r="AA735" s="73" t="s">
        <v>4030</v>
      </c>
      <c r="AB735" s="62" t="s">
        <v>61</v>
      </c>
      <c r="AC735" s="63" t="s">
        <v>61</v>
      </c>
      <c r="AD735" s="64" t="s">
        <v>61</v>
      </c>
      <c r="AE735" s="64" t="s">
        <v>61</v>
      </c>
      <c r="AF735" s="63" t="s">
        <v>61</v>
      </c>
      <c r="AG735" s="63" t="s">
        <v>61</v>
      </c>
      <c r="AH735" s="63" t="s">
        <v>61</v>
      </c>
      <c r="AI735" s="65" t="s">
        <v>61</v>
      </c>
      <c r="AJ735" s="105" t="s">
        <v>61</v>
      </c>
      <c r="AK735" s="76"/>
    </row>
    <row r="736" ht="24.0" customHeight="1">
      <c r="A736" s="35"/>
      <c r="B736" s="36">
        <v>1.0</v>
      </c>
      <c r="C736" s="37" t="str">
        <f>IFERROR(__xludf.DUMMYFUNCTION("""COMPUTED_VALUE"""),"Jabob Hernandez (4) - '27 LHP ")</f>
        <v>Jabob Hernandez (4) - '27 LHP </v>
      </c>
      <c r="D736" s="38" t="s">
        <v>4031</v>
      </c>
      <c r="E736" s="39" t="s">
        <v>122</v>
      </c>
      <c r="F736" s="121"/>
      <c r="G736" s="122"/>
      <c r="H736" s="42" t="s">
        <v>4032</v>
      </c>
      <c r="I736" s="43" t="s">
        <v>4033</v>
      </c>
      <c r="J736" s="43">
        <v>2027.0</v>
      </c>
      <c r="K736" s="43">
        <v>4.0</v>
      </c>
      <c r="L736" s="158" t="s">
        <v>61</v>
      </c>
      <c r="M736" s="43" t="s">
        <v>122</v>
      </c>
      <c r="N736" s="117"/>
      <c r="O736" s="80"/>
      <c r="P736" s="80"/>
      <c r="Q736" s="80"/>
      <c r="R736" s="80"/>
      <c r="S736" s="44" t="s">
        <v>3508</v>
      </c>
      <c r="T736" s="81"/>
      <c r="U736" s="81"/>
      <c r="V736" s="157"/>
      <c r="W736" s="39" t="s">
        <v>1724</v>
      </c>
      <c r="X736" s="81"/>
      <c r="Y736" s="81"/>
      <c r="Z736" s="82"/>
      <c r="AA736" s="99"/>
      <c r="AB736" s="48" t="s">
        <v>61</v>
      </c>
      <c r="AC736" s="68" t="s">
        <v>61</v>
      </c>
      <c r="AD736" s="69" t="s">
        <v>61</v>
      </c>
      <c r="AE736" s="69" t="s">
        <v>61</v>
      </c>
      <c r="AF736" s="68" t="s">
        <v>61</v>
      </c>
      <c r="AG736" s="68" t="s">
        <v>61</v>
      </c>
      <c r="AH736" s="68" t="s">
        <v>61</v>
      </c>
      <c r="AI736" s="70" t="s">
        <v>61</v>
      </c>
      <c r="AJ736" s="114" t="s">
        <v>61</v>
      </c>
      <c r="AK736" s="82"/>
    </row>
    <row r="737" ht="24.0" customHeight="1">
      <c r="A737" s="35"/>
      <c r="B737" s="36">
        <v>1.0</v>
      </c>
      <c r="C737" s="37" t="str">
        <f>IFERROR(__xludf.DUMMYFUNCTION("""COMPUTED_VALUE"""),"Alex Hernandez (4) - '27 SS TX")</f>
        <v>Alex Hernandez (4) - '27 SS TX</v>
      </c>
      <c r="D737" s="89" t="s">
        <v>4034</v>
      </c>
      <c r="E737" s="51" t="s">
        <v>48</v>
      </c>
      <c r="F737" s="154">
        <v>46168.0</v>
      </c>
      <c r="G737" s="116" t="s">
        <v>1395</v>
      </c>
      <c r="H737" s="54" t="s">
        <v>1601</v>
      </c>
      <c r="I737" s="55" t="s">
        <v>4033</v>
      </c>
      <c r="J737" s="55">
        <v>2027.0</v>
      </c>
      <c r="K737" s="55">
        <v>4.0</v>
      </c>
      <c r="L737" s="57"/>
      <c r="M737" s="55" t="s">
        <v>1398</v>
      </c>
      <c r="N737" s="55"/>
      <c r="O737" s="55" t="s">
        <v>2324</v>
      </c>
      <c r="P737" s="55" t="s">
        <v>4035</v>
      </c>
      <c r="Q737" s="55" t="s">
        <v>180</v>
      </c>
      <c r="R737" s="55" t="s">
        <v>4036</v>
      </c>
      <c r="S737" s="58" t="s">
        <v>1884</v>
      </c>
      <c r="T737" s="74"/>
      <c r="U737" s="74"/>
      <c r="V737" s="74"/>
      <c r="W737" s="74"/>
      <c r="X737" s="74"/>
      <c r="Y737" s="74"/>
      <c r="Z737" s="76"/>
      <c r="AA737" s="155" t="s">
        <v>4037</v>
      </c>
      <c r="AB737" s="62" t="s">
        <v>61</v>
      </c>
      <c r="AC737" s="63" t="s">
        <v>61</v>
      </c>
      <c r="AD737" s="64" t="s">
        <v>61</v>
      </c>
      <c r="AE737" s="64" t="s">
        <v>61</v>
      </c>
      <c r="AF737" s="63" t="s">
        <v>61</v>
      </c>
      <c r="AG737" s="63" t="s">
        <v>61</v>
      </c>
      <c r="AH737" s="63" t="s">
        <v>61</v>
      </c>
      <c r="AI737" s="65" t="s">
        <v>61</v>
      </c>
      <c r="AJ737" s="105" t="s">
        <v>61</v>
      </c>
      <c r="AK737" s="76"/>
    </row>
    <row r="738" ht="24.0" customHeight="1">
      <c r="A738" s="35"/>
      <c r="B738" s="36">
        <v>1.0</v>
      </c>
      <c r="C738" s="37" t="str">
        <f>IFERROR(__xludf.DUMMYFUNCTION("""COMPUTED_VALUE"""),"Kai Hernandez-Gambill (4) - '27 CINF GA")</f>
        <v>Kai Hernandez-Gambill (4) - '27 CINF GA</v>
      </c>
      <c r="D738" s="38" t="s">
        <v>4038</v>
      </c>
      <c r="E738" s="39" t="s">
        <v>48</v>
      </c>
      <c r="F738" s="121"/>
      <c r="G738" s="122"/>
      <c r="H738" s="42" t="s">
        <v>4039</v>
      </c>
      <c r="I738" s="43" t="s">
        <v>4040</v>
      </c>
      <c r="J738" s="43">
        <v>2027.0</v>
      </c>
      <c r="K738" s="43">
        <v>4.0</v>
      </c>
      <c r="L738" s="158" t="s">
        <v>61</v>
      </c>
      <c r="M738" s="43" t="s">
        <v>72</v>
      </c>
      <c r="N738" s="44" t="s">
        <v>122</v>
      </c>
      <c r="O738" s="80"/>
      <c r="P738" s="43" t="s">
        <v>4041</v>
      </c>
      <c r="Q738" s="43" t="s">
        <v>43</v>
      </c>
      <c r="R738" s="43" t="s">
        <v>223</v>
      </c>
      <c r="S738" s="44" t="s">
        <v>281</v>
      </c>
      <c r="T738" s="81"/>
      <c r="U738" s="81"/>
      <c r="V738" s="157"/>
      <c r="W738" s="39" t="s">
        <v>1724</v>
      </c>
      <c r="X738" s="39" t="s">
        <v>1556</v>
      </c>
      <c r="Y738" s="81"/>
      <c r="Z738" s="82"/>
      <c r="AA738" s="99"/>
      <c r="AB738" s="48" t="s">
        <v>4042</v>
      </c>
      <c r="AC738" s="68" t="s">
        <v>4043</v>
      </c>
      <c r="AD738" s="69" t="s">
        <v>4044</v>
      </c>
      <c r="AE738" s="69" t="s">
        <v>2728</v>
      </c>
      <c r="AF738" s="68" t="s">
        <v>4045</v>
      </c>
      <c r="AG738" s="68" t="s">
        <v>4046</v>
      </c>
      <c r="AH738" s="68" t="s">
        <v>81</v>
      </c>
      <c r="AI738" s="70" t="s">
        <v>4047</v>
      </c>
      <c r="AJ738" s="114" t="s">
        <v>61</v>
      </c>
      <c r="AK738" s="82"/>
    </row>
    <row r="739" ht="24.0" customHeight="1">
      <c r="A739" s="35"/>
      <c r="B739" s="36">
        <v>1.0</v>
      </c>
      <c r="C739" s="37" t="str">
        <f>IFERROR(__xludf.DUMMYFUNCTION("""COMPUTED_VALUE"""),"Logan Hoag (4) - '27 LHP NH")</f>
        <v>Logan Hoag (4) - '27 LHP NH</v>
      </c>
      <c r="D739" s="38" t="s">
        <v>4048</v>
      </c>
      <c r="E739" s="51" t="s">
        <v>122</v>
      </c>
      <c r="F739" s="115"/>
      <c r="G739" s="116" t="s">
        <v>1395</v>
      </c>
      <c r="H739" s="54" t="s">
        <v>1026</v>
      </c>
      <c r="I739" s="55" t="s">
        <v>4049</v>
      </c>
      <c r="J739" s="55">
        <v>2027.0</v>
      </c>
      <c r="K739" s="55">
        <v>4.0</v>
      </c>
      <c r="L739" s="171" t="s">
        <v>61</v>
      </c>
      <c r="M739" s="55" t="s">
        <v>122</v>
      </c>
      <c r="N739" s="58"/>
      <c r="O739" s="55" t="s">
        <v>1989</v>
      </c>
      <c r="P739" s="72"/>
      <c r="Q739" s="55" t="s">
        <v>942</v>
      </c>
      <c r="R739" s="55" t="s">
        <v>4050</v>
      </c>
      <c r="S739" s="58" t="s">
        <v>4051</v>
      </c>
      <c r="T739" s="182"/>
      <c r="U739" s="182"/>
      <c r="V739" s="182"/>
      <c r="W739" s="182"/>
      <c r="X739" s="182"/>
      <c r="Y739" s="182"/>
      <c r="Z739" s="183"/>
      <c r="AA739" s="184"/>
      <c r="AB739" s="62" t="s">
        <v>61</v>
      </c>
      <c r="AC739" s="63" t="s">
        <v>61</v>
      </c>
      <c r="AD739" s="64" t="s">
        <v>61</v>
      </c>
      <c r="AE739" s="64" t="s">
        <v>61</v>
      </c>
      <c r="AF739" s="63" t="s">
        <v>61</v>
      </c>
      <c r="AG739" s="63" t="s">
        <v>61</v>
      </c>
      <c r="AH739" s="63" t="s">
        <v>61</v>
      </c>
      <c r="AI739" s="65" t="s">
        <v>61</v>
      </c>
      <c r="AJ739" s="66" t="s">
        <v>61</v>
      </c>
      <c r="AK739" s="60"/>
    </row>
    <row r="740" ht="24.0" customHeight="1">
      <c r="A740" s="35"/>
      <c r="B740" s="36">
        <v>1.0</v>
      </c>
      <c r="C740" s="37" t="str">
        <f>IFERROR(__xludf.DUMMYFUNCTION("""COMPUTED_VALUE"""),"Jackson Hornick (4) - '27 RHP NJ")</f>
        <v>Jackson Hornick (4) - '27 RHP NJ</v>
      </c>
      <c r="D740" s="89" t="s">
        <v>4052</v>
      </c>
      <c r="E740" s="39" t="s">
        <v>63</v>
      </c>
      <c r="F740" s="112"/>
      <c r="G740" s="113" t="s">
        <v>1395</v>
      </c>
      <c r="H740" s="42" t="s">
        <v>432</v>
      </c>
      <c r="I740" s="43" t="s">
        <v>4053</v>
      </c>
      <c r="J740" s="43">
        <v>2027.0</v>
      </c>
      <c r="K740" s="43">
        <v>4.0</v>
      </c>
      <c r="L740" s="158" t="s">
        <v>61</v>
      </c>
      <c r="M740" s="43" t="s">
        <v>63</v>
      </c>
      <c r="N740" s="44"/>
      <c r="O740" s="43"/>
      <c r="P740" s="95"/>
      <c r="Q740" s="43" t="s">
        <v>502</v>
      </c>
      <c r="R740" s="95"/>
      <c r="S740" s="44" t="s">
        <v>3066</v>
      </c>
      <c r="T740" s="39"/>
      <c r="U740" s="39"/>
      <c r="V740" s="39"/>
      <c r="W740" s="39"/>
      <c r="X740" s="39"/>
      <c r="Y740" s="39"/>
      <c r="Z740" s="46"/>
      <c r="AA740" s="47"/>
      <c r="AB740" s="48" t="s">
        <v>61</v>
      </c>
      <c r="AC740" s="68" t="s">
        <v>61</v>
      </c>
      <c r="AD740" s="69" t="s">
        <v>61</v>
      </c>
      <c r="AE740" s="69" t="s">
        <v>61</v>
      </c>
      <c r="AF740" s="68" t="s">
        <v>61</v>
      </c>
      <c r="AG740" s="68" t="s">
        <v>61</v>
      </c>
      <c r="AH740" s="68" t="s">
        <v>61</v>
      </c>
      <c r="AI740" s="70" t="s">
        <v>61</v>
      </c>
      <c r="AJ740" s="49" t="s">
        <v>61</v>
      </c>
      <c r="AK740" s="46"/>
    </row>
    <row r="741" ht="24.0" customHeight="1">
      <c r="A741" s="35"/>
      <c r="B741" s="36">
        <v>1.0</v>
      </c>
      <c r="C741" s="37" t="str">
        <f>IFERROR(__xludf.DUMMYFUNCTION("""COMPUTED_VALUE"""),"Noah Hubert (4) - '27 RHP PA")</f>
        <v>Noah Hubert (4) - '27 RHP PA</v>
      </c>
      <c r="D741" s="38" t="s">
        <v>4054</v>
      </c>
      <c r="E741" s="51" t="s">
        <v>63</v>
      </c>
      <c r="F741" s="137"/>
      <c r="G741" s="133"/>
      <c r="H741" s="54" t="s">
        <v>49</v>
      </c>
      <c r="I741" s="55" t="s">
        <v>4055</v>
      </c>
      <c r="J741" s="55">
        <v>2027.0</v>
      </c>
      <c r="K741" s="55">
        <v>4.0</v>
      </c>
      <c r="L741" s="171" t="s">
        <v>61</v>
      </c>
      <c r="M741" s="55" t="s">
        <v>63</v>
      </c>
      <c r="N741" s="132"/>
      <c r="O741" s="55" t="s">
        <v>1989</v>
      </c>
      <c r="P741" s="55" t="s">
        <v>4056</v>
      </c>
      <c r="Q741" s="55" t="s">
        <v>240</v>
      </c>
      <c r="R741" s="55" t="s">
        <v>4057</v>
      </c>
      <c r="S741" s="58" t="s">
        <v>3851</v>
      </c>
      <c r="T741" s="74"/>
      <c r="U741" s="74"/>
      <c r="V741" s="51"/>
      <c r="W741" s="51" t="s">
        <v>1724</v>
      </c>
      <c r="X741" s="74"/>
      <c r="Y741" s="74"/>
      <c r="Z741" s="76"/>
      <c r="AA741" s="134"/>
      <c r="AB741" s="62" t="s">
        <v>61</v>
      </c>
      <c r="AC741" s="63" t="s">
        <v>61</v>
      </c>
      <c r="AD741" s="64" t="s">
        <v>61</v>
      </c>
      <c r="AE741" s="64" t="s">
        <v>61</v>
      </c>
      <c r="AF741" s="63" t="s">
        <v>61</v>
      </c>
      <c r="AG741" s="63" t="s">
        <v>61</v>
      </c>
      <c r="AH741" s="63" t="s">
        <v>61</v>
      </c>
      <c r="AI741" s="65" t="s">
        <v>61</v>
      </c>
      <c r="AJ741" s="105" t="s">
        <v>61</v>
      </c>
      <c r="AK741" s="76"/>
    </row>
    <row r="742" ht="24.0" customHeight="1">
      <c r="A742" s="35"/>
      <c r="B742" s="36">
        <v>1.0</v>
      </c>
      <c r="C742" s="37" t="str">
        <f>IFERROR(__xludf.DUMMYFUNCTION("""COMPUTED_VALUE"""),"Jack Hurlburt (4) - '27 SS FL")</f>
        <v>Jack Hurlburt (4) - '27 SS FL</v>
      </c>
      <c r="D742" s="89" t="s">
        <v>4058</v>
      </c>
      <c r="E742" s="39" t="s">
        <v>48</v>
      </c>
      <c r="F742" s="124">
        <v>46149.0</v>
      </c>
      <c r="G742" s="113" t="s">
        <v>1430</v>
      </c>
      <c r="H742" s="42" t="s">
        <v>424</v>
      </c>
      <c r="I742" s="43" t="s">
        <v>4059</v>
      </c>
      <c r="J742" s="43">
        <v>2027.0</v>
      </c>
      <c r="K742" s="43">
        <v>4.0</v>
      </c>
      <c r="L742" s="158" t="s">
        <v>61</v>
      </c>
      <c r="M742" s="43" t="s">
        <v>1398</v>
      </c>
      <c r="N742" s="44"/>
      <c r="O742" s="80"/>
      <c r="P742" s="80"/>
      <c r="Q742" s="43" t="s">
        <v>66</v>
      </c>
      <c r="R742" s="80"/>
      <c r="S742" s="44" t="s">
        <v>1125</v>
      </c>
      <c r="T742" s="81"/>
      <c r="U742" s="81"/>
      <c r="V742" s="81"/>
      <c r="W742" s="81"/>
      <c r="X742" s="81"/>
      <c r="Y742" s="81"/>
      <c r="Z742" s="82"/>
      <c r="AA742" s="47" t="s">
        <v>4060</v>
      </c>
      <c r="AB742" s="48" t="s">
        <v>61</v>
      </c>
      <c r="AC742" s="68" t="s">
        <v>61</v>
      </c>
      <c r="AD742" s="69" t="s">
        <v>61</v>
      </c>
      <c r="AE742" s="69" t="s">
        <v>61</v>
      </c>
      <c r="AF742" s="68" t="s">
        <v>61</v>
      </c>
      <c r="AG742" s="68" t="s">
        <v>61</v>
      </c>
      <c r="AH742" s="68" t="s">
        <v>61</v>
      </c>
      <c r="AI742" s="70" t="s">
        <v>61</v>
      </c>
      <c r="AJ742" s="114" t="s">
        <v>61</v>
      </c>
      <c r="AK742" s="82"/>
    </row>
    <row r="743" ht="24.0" customHeight="1">
      <c r="A743" s="35"/>
      <c r="B743" s="36">
        <v>1.0</v>
      </c>
      <c r="C743" s="37" t="str">
        <f>IFERROR(__xludf.DUMMYFUNCTION("""COMPUTED_VALUE"""),"Anthony Indiano (4) - '27 RHP NY")</f>
        <v>Anthony Indiano (4) - '27 RHP NY</v>
      </c>
      <c r="D743" s="89" t="s">
        <v>4061</v>
      </c>
      <c r="E743" s="51" t="s">
        <v>63</v>
      </c>
      <c r="F743" s="115"/>
      <c r="G743" s="116" t="s">
        <v>1395</v>
      </c>
      <c r="H743" s="54" t="s">
        <v>467</v>
      </c>
      <c r="I743" s="55" t="s">
        <v>4062</v>
      </c>
      <c r="J743" s="55">
        <v>2027.0</v>
      </c>
      <c r="K743" s="55">
        <v>4.0</v>
      </c>
      <c r="L743" s="171" t="s">
        <v>61</v>
      </c>
      <c r="M743" s="55" t="s">
        <v>63</v>
      </c>
      <c r="N743" s="58"/>
      <c r="O743" s="55" t="s">
        <v>1550</v>
      </c>
      <c r="P743" s="72"/>
      <c r="Q743" s="55" t="s">
        <v>255</v>
      </c>
      <c r="R743" s="55" t="s">
        <v>4063</v>
      </c>
      <c r="S743" s="58" t="s">
        <v>4064</v>
      </c>
      <c r="T743" s="51"/>
      <c r="U743" s="51"/>
      <c r="V743" s="51"/>
      <c r="W743" s="51"/>
      <c r="X743" s="51"/>
      <c r="Y743" s="51"/>
      <c r="Z743" s="60"/>
      <c r="AA743" s="73"/>
      <c r="AB743" s="62" t="s">
        <v>61</v>
      </c>
      <c r="AC743" s="63" t="s">
        <v>61</v>
      </c>
      <c r="AD743" s="64" t="s">
        <v>61</v>
      </c>
      <c r="AE743" s="64" t="s">
        <v>61</v>
      </c>
      <c r="AF743" s="63" t="s">
        <v>61</v>
      </c>
      <c r="AG743" s="63" t="s">
        <v>61</v>
      </c>
      <c r="AH743" s="63" t="s">
        <v>61</v>
      </c>
      <c r="AI743" s="65" t="s">
        <v>61</v>
      </c>
      <c r="AJ743" s="66" t="s">
        <v>61</v>
      </c>
      <c r="AK743" s="60"/>
    </row>
    <row r="744" ht="24.0" customHeight="1">
      <c r="A744" s="35"/>
      <c r="B744" s="36">
        <v>1.0</v>
      </c>
      <c r="C744" s="37" t="str">
        <f>IFERROR(__xludf.DUMMYFUNCTION("""COMPUTED_VALUE"""),"Luke Irwin (4) - '27 SS TX")</f>
        <v>Luke Irwin (4) - '27 SS TX</v>
      </c>
      <c r="D744" s="89" t="s">
        <v>4065</v>
      </c>
      <c r="E744" s="39" t="s">
        <v>48</v>
      </c>
      <c r="F744" s="124">
        <v>46128.0</v>
      </c>
      <c r="G744" s="113" t="s">
        <v>1430</v>
      </c>
      <c r="H744" s="42" t="s">
        <v>1042</v>
      </c>
      <c r="I744" s="43" t="s">
        <v>4066</v>
      </c>
      <c r="J744" s="43">
        <v>2027.0</v>
      </c>
      <c r="K744" s="43">
        <v>4.0</v>
      </c>
      <c r="L744" s="158" t="s">
        <v>61</v>
      </c>
      <c r="M744" s="43" t="s">
        <v>1398</v>
      </c>
      <c r="N744" s="44"/>
      <c r="O744" s="80" t="s">
        <v>1550</v>
      </c>
      <c r="P744" s="80"/>
      <c r="Q744" s="43" t="s">
        <v>180</v>
      </c>
      <c r="R744" s="80" t="s">
        <v>4067</v>
      </c>
      <c r="S744" s="44" t="s">
        <v>1884</v>
      </c>
      <c r="T744" s="185" t="s">
        <v>4068</v>
      </c>
      <c r="U744" s="81"/>
      <c r="V744" s="81"/>
      <c r="W744" s="81"/>
      <c r="X744" s="81"/>
      <c r="Y744" s="81"/>
      <c r="Z744" s="82"/>
      <c r="AA744" s="47" t="s">
        <v>4069</v>
      </c>
      <c r="AB744" s="48" t="s">
        <v>61</v>
      </c>
      <c r="AC744" s="68" t="s">
        <v>61</v>
      </c>
      <c r="AD744" s="69" t="s">
        <v>61</v>
      </c>
      <c r="AE744" s="69" t="s">
        <v>61</v>
      </c>
      <c r="AF744" s="68" t="s">
        <v>61</v>
      </c>
      <c r="AG744" s="68" t="s">
        <v>61</v>
      </c>
      <c r="AH744" s="68" t="s">
        <v>61</v>
      </c>
      <c r="AI744" s="70" t="s">
        <v>61</v>
      </c>
      <c r="AJ744" s="114" t="s">
        <v>61</v>
      </c>
      <c r="AK744" s="82"/>
    </row>
    <row r="745" ht="24.0" customHeight="1">
      <c r="A745" s="35"/>
      <c r="B745" s="36">
        <v>1.0</v>
      </c>
      <c r="C745" s="37" t="str">
        <f>IFERROR(__xludf.DUMMYFUNCTION("""COMPUTED_VALUE"""),"Tanner Ivaska (4) - '27 OF ")</f>
        <v>Tanner Ivaska (4) - '27 OF </v>
      </c>
      <c r="D745" s="38" t="s">
        <v>4070</v>
      </c>
      <c r="E745" s="51" t="s">
        <v>103</v>
      </c>
      <c r="F745" s="137"/>
      <c r="G745" s="133"/>
      <c r="H745" s="54" t="s">
        <v>2696</v>
      </c>
      <c r="I745" s="55" t="s">
        <v>4071</v>
      </c>
      <c r="J745" s="55">
        <v>2027.0</v>
      </c>
      <c r="K745" s="55">
        <v>4.0</v>
      </c>
      <c r="L745" s="159" t="s">
        <v>61</v>
      </c>
      <c r="M745" s="55" t="s">
        <v>103</v>
      </c>
      <c r="N745" s="132"/>
      <c r="O745" s="55" t="s">
        <v>1550</v>
      </c>
      <c r="P745" s="55" t="s">
        <v>4072</v>
      </c>
      <c r="Q745" s="57"/>
      <c r="R745" s="55" t="s">
        <v>4073</v>
      </c>
      <c r="S745" s="58" t="s">
        <v>4074</v>
      </c>
      <c r="T745" s="74"/>
      <c r="U745" s="74"/>
      <c r="V745" s="139"/>
      <c r="W745" s="51" t="s">
        <v>1724</v>
      </c>
      <c r="X745" s="74"/>
      <c r="Y745" s="74"/>
      <c r="Z745" s="76"/>
      <c r="AA745" s="134"/>
      <c r="AB745" s="62" t="s">
        <v>61</v>
      </c>
      <c r="AC745" s="63" t="s">
        <v>61</v>
      </c>
      <c r="AD745" s="64" t="s">
        <v>61</v>
      </c>
      <c r="AE745" s="64" t="s">
        <v>61</v>
      </c>
      <c r="AF745" s="63" t="s">
        <v>61</v>
      </c>
      <c r="AG745" s="63" t="s">
        <v>61</v>
      </c>
      <c r="AH745" s="63" t="s">
        <v>61</v>
      </c>
      <c r="AI745" s="65" t="s">
        <v>61</v>
      </c>
      <c r="AJ745" s="105" t="s">
        <v>61</v>
      </c>
      <c r="AK745" s="76"/>
    </row>
    <row r="746" ht="24.0" customHeight="1">
      <c r="A746" s="35"/>
      <c r="B746" s="36">
        <v>1.0</v>
      </c>
      <c r="C746" s="37" t="str">
        <f>IFERROR(__xludf.DUMMYFUNCTION("""COMPUTED_VALUE"""),"Brayden Jagoe (4) - '27 C CT")</f>
        <v>Brayden Jagoe (4) - '27 C CT</v>
      </c>
      <c r="D746" s="38" t="s">
        <v>4075</v>
      </c>
      <c r="E746" s="39" t="s">
        <v>109</v>
      </c>
      <c r="F746" s="112"/>
      <c r="G746" s="113" t="s">
        <v>1395</v>
      </c>
      <c r="H746" s="42" t="s">
        <v>535</v>
      </c>
      <c r="I746" s="43" t="s">
        <v>4076</v>
      </c>
      <c r="J746" s="43">
        <v>2027.0</v>
      </c>
      <c r="K746" s="43">
        <v>4.0</v>
      </c>
      <c r="L746" s="158" t="s">
        <v>61</v>
      </c>
      <c r="M746" s="43" t="s">
        <v>109</v>
      </c>
      <c r="N746" s="44"/>
      <c r="O746" s="43" t="s">
        <v>1550</v>
      </c>
      <c r="P746" s="95"/>
      <c r="Q746" s="43" t="s">
        <v>160</v>
      </c>
      <c r="R746" s="43" t="s">
        <v>4077</v>
      </c>
      <c r="S746" s="44" t="s">
        <v>4078</v>
      </c>
      <c r="T746" s="39"/>
      <c r="U746" s="39"/>
      <c r="V746" s="39"/>
      <c r="W746" s="39"/>
      <c r="X746" s="39"/>
      <c r="Y746" s="39"/>
      <c r="Z746" s="46"/>
      <c r="AA746" s="47"/>
      <c r="AB746" s="48" t="s">
        <v>61</v>
      </c>
      <c r="AC746" s="68" t="s">
        <v>61</v>
      </c>
      <c r="AD746" s="69" t="s">
        <v>61</v>
      </c>
      <c r="AE746" s="69" t="s">
        <v>61</v>
      </c>
      <c r="AF746" s="68" t="s">
        <v>61</v>
      </c>
      <c r="AG746" s="68" t="s">
        <v>61</v>
      </c>
      <c r="AH746" s="68" t="s">
        <v>61</v>
      </c>
      <c r="AI746" s="70" t="s">
        <v>61</v>
      </c>
      <c r="AJ746" s="49" t="s">
        <v>61</v>
      </c>
      <c r="AK746" s="46"/>
    </row>
    <row r="747" ht="24.0" customHeight="1">
      <c r="A747" s="35"/>
      <c r="B747" s="36">
        <v>1.0</v>
      </c>
      <c r="C747" s="37" t="str">
        <f>IFERROR(__xludf.DUMMYFUNCTION("""COMPUTED_VALUE"""),"Joshua Jakubowicz (4) - '27 LHP FL")</f>
        <v>Joshua Jakubowicz (4) - '27 LHP FL</v>
      </c>
      <c r="D747" s="38" t="s">
        <v>4079</v>
      </c>
      <c r="E747" s="51" t="s">
        <v>122</v>
      </c>
      <c r="F747" s="137"/>
      <c r="G747" s="133"/>
      <c r="H747" s="54" t="s">
        <v>3514</v>
      </c>
      <c r="I747" s="55" t="s">
        <v>4080</v>
      </c>
      <c r="J747" s="55">
        <v>2027.0</v>
      </c>
      <c r="K747" s="55">
        <v>4.0</v>
      </c>
      <c r="L747" s="171" t="s">
        <v>61</v>
      </c>
      <c r="M747" s="55" t="s">
        <v>122</v>
      </c>
      <c r="N747" s="132"/>
      <c r="O747" s="55" t="s">
        <v>4081</v>
      </c>
      <c r="P747" s="55" t="s">
        <v>4082</v>
      </c>
      <c r="Q747" s="55" t="s">
        <v>66</v>
      </c>
      <c r="R747" s="55" t="s">
        <v>4083</v>
      </c>
      <c r="S747" s="58" t="s">
        <v>3508</v>
      </c>
      <c r="T747" s="74"/>
      <c r="U747" s="74"/>
      <c r="V747" s="139"/>
      <c r="W747" s="51" t="s">
        <v>1724</v>
      </c>
      <c r="X747" s="74"/>
      <c r="Y747" s="74"/>
      <c r="Z747" s="76"/>
      <c r="AA747" s="134"/>
      <c r="AB747" s="62" t="s">
        <v>61</v>
      </c>
      <c r="AC747" s="63" t="s">
        <v>61</v>
      </c>
      <c r="AD747" s="64" t="s">
        <v>61</v>
      </c>
      <c r="AE747" s="64" t="s">
        <v>61</v>
      </c>
      <c r="AF747" s="63" t="s">
        <v>61</v>
      </c>
      <c r="AG747" s="63" t="s">
        <v>61</v>
      </c>
      <c r="AH747" s="63" t="s">
        <v>61</v>
      </c>
      <c r="AI747" s="65" t="s">
        <v>61</v>
      </c>
      <c r="AJ747" s="105" t="s">
        <v>61</v>
      </c>
      <c r="AK747" s="76"/>
    </row>
    <row r="748" ht="24.0" customHeight="1">
      <c r="A748" s="35"/>
      <c r="B748" s="36">
        <v>1.0</v>
      </c>
      <c r="C748" s="37" t="str">
        <f>IFERROR(__xludf.DUMMYFUNCTION("""COMPUTED_VALUE"""),"HT Jones (4) - '27 RHP CT")</f>
        <v>HT Jones (4) - '27 RHP CT</v>
      </c>
      <c r="D748" s="38" t="s">
        <v>4084</v>
      </c>
      <c r="E748" s="39" t="s">
        <v>63</v>
      </c>
      <c r="F748" s="112"/>
      <c r="G748" s="113" t="s">
        <v>1395</v>
      </c>
      <c r="H748" s="42" t="s">
        <v>4085</v>
      </c>
      <c r="I748" s="43" t="s">
        <v>941</v>
      </c>
      <c r="J748" s="43">
        <v>2027.0</v>
      </c>
      <c r="K748" s="43">
        <v>4.0</v>
      </c>
      <c r="L748" s="158" t="s">
        <v>61</v>
      </c>
      <c r="M748" s="43" t="s">
        <v>63</v>
      </c>
      <c r="N748" s="170"/>
      <c r="O748" s="80"/>
      <c r="P748" s="80"/>
      <c r="Q748" s="43" t="s">
        <v>160</v>
      </c>
      <c r="R748" s="43" t="s">
        <v>4086</v>
      </c>
      <c r="S748" s="117"/>
      <c r="T748" s="81"/>
      <c r="U748" s="81"/>
      <c r="V748" s="81"/>
      <c r="W748" s="81"/>
      <c r="X748" s="81"/>
      <c r="Y748" s="81"/>
      <c r="Z748" s="82"/>
      <c r="AA748" s="99"/>
      <c r="AB748" s="48" t="s">
        <v>61</v>
      </c>
      <c r="AC748" s="68" t="s">
        <v>61</v>
      </c>
      <c r="AD748" s="69" t="s">
        <v>61</v>
      </c>
      <c r="AE748" s="69" t="s">
        <v>61</v>
      </c>
      <c r="AF748" s="68" t="s">
        <v>61</v>
      </c>
      <c r="AG748" s="68" t="s">
        <v>61</v>
      </c>
      <c r="AH748" s="68" t="s">
        <v>61</v>
      </c>
      <c r="AI748" s="70" t="s">
        <v>61</v>
      </c>
      <c r="AJ748" s="49" t="s">
        <v>61</v>
      </c>
      <c r="AK748" s="46"/>
    </row>
    <row r="749" ht="24.0" customHeight="1">
      <c r="A749" s="35"/>
      <c r="B749" s="36">
        <v>1.0</v>
      </c>
      <c r="C749" s="37" t="str">
        <f>IFERROR(__xludf.DUMMYFUNCTION("""COMPUTED_VALUE"""),"Will Jones (4) - '27 RHP MA")</f>
        <v>Will Jones (4) - '27 RHP MA</v>
      </c>
      <c r="D749" s="89" t="s">
        <v>4087</v>
      </c>
      <c r="E749" s="51" t="s">
        <v>63</v>
      </c>
      <c r="F749" s="140">
        <v>46156.0</v>
      </c>
      <c r="G749" s="116" t="s">
        <v>1395</v>
      </c>
      <c r="H749" s="54" t="s">
        <v>110</v>
      </c>
      <c r="I749" s="55" t="s">
        <v>941</v>
      </c>
      <c r="J749" s="55">
        <v>2027.0</v>
      </c>
      <c r="K749" s="55">
        <v>4.0</v>
      </c>
      <c r="L749" s="171" t="s">
        <v>61</v>
      </c>
      <c r="M749" s="55" t="s">
        <v>63</v>
      </c>
      <c r="N749" s="58"/>
      <c r="O749" s="57" t="s">
        <v>1989</v>
      </c>
      <c r="P749" s="57" t="s">
        <v>4088</v>
      </c>
      <c r="Q749" s="55" t="s">
        <v>85</v>
      </c>
      <c r="R749" s="57" t="s">
        <v>4089</v>
      </c>
      <c r="S749" s="58" t="s">
        <v>2970</v>
      </c>
      <c r="T749" s="74"/>
      <c r="U749" s="74" t="s">
        <v>4090</v>
      </c>
      <c r="V749" s="74"/>
      <c r="W749" s="74" t="s">
        <v>3747</v>
      </c>
      <c r="X749" s="74"/>
      <c r="Y749" s="74"/>
      <c r="Z749" s="76"/>
      <c r="AA749" s="73" t="s">
        <v>4091</v>
      </c>
      <c r="AB749" s="62" t="s">
        <v>61</v>
      </c>
      <c r="AC749" s="63" t="s">
        <v>61</v>
      </c>
      <c r="AD749" s="64" t="s">
        <v>61</v>
      </c>
      <c r="AE749" s="64" t="s">
        <v>61</v>
      </c>
      <c r="AF749" s="63" t="s">
        <v>61</v>
      </c>
      <c r="AG749" s="63" t="s">
        <v>61</v>
      </c>
      <c r="AH749" s="63" t="s">
        <v>61</v>
      </c>
      <c r="AI749" s="65" t="s">
        <v>61</v>
      </c>
      <c r="AJ749" s="105" t="s">
        <v>61</v>
      </c>
      <c r="AK749" s="76"/>
    </row>
    <row r="750" ht="24.0" customHeight="1">
      <c r="A750" s="35"/>
      <c r="B750" s="36">
        <v>1.0</v>
      </c>
      <c r="C750" s="37" t="str">
        <f>IFERROR(__xludf.DUMMYFUNCTION("""COMPUTED_VALUE"""),"Rylan Jordan (4) - '27 INF Unknown")</f>
        <v>Rylan Jordan (4) - '27 INF Unknown</v>
      </c>
      <c r="D750" s="89" t="s">
        <v>4092</v>
      </c>
      <c r="E750" s="39" t="s">
        <v>48</v>
      </c>
      <c r="F750" s="156">
        <v>46170.0</v>
      </c>
      <c r="G750" s="113" t="s">
        <v>1470</v>
      </c>
      <c r="H750" s="42" t="s">
        <v>328</v>
      </c>
      <c r="I750" s="43" t="s">
        <v>966</v>
      </c>
      <c r="J750" s="43">
        <v>2027.0</v>
      </c>
      <c r="K750" s="43">
        <v>4.0</v>
      </c>
      <c r="L750" s="80"/>
      <c r="M750" s="43" t="s">
        <v>48</v>
      </c>
      <c r="N750" s="43" t="s">
        <v>63</v>
      </c>
      <c r="O750" s="43" t="s">
        <v>3774</v>
      </c>
      <c r="P750" s="43" t="s">
        <v>3774</v>
      </c>
      <c r="Q750" s="43" t="s">
        <v>3774</v>
      </c>
      <c r="R750" s="43" t="s">
        <v>4093</v>
      </c>
      <c r="S750" s="44" t="s">
        <v>4094</v>
      </c>
      <c r="T750" s="39" t="s">
        <v>3774</v>
      </c>
      <c r="U750" s="39" t="s">
        <v>4095</v>
      </c>
      <c r="V750" s="39" t="s">
        <v>4096</v>
      </c>
      <c r="W750" s="81"/>
      <c r="X750" s="81"/>
      <c r="Y750" s="39"/>
      <c r="Z750" s="82"/>
      <c r="AA750" s="180" t="s">
        <v>4097</v>
      </c>
      <c r="AB750" s="48" t="s">
        <v>61</v>
      </c>
      <c r="AC750" s="68" t="s">
        <v>61</v>
      </c>
      <c r="AD750" s="69" t="s">
        <v>61</v>
      </c>
      <c r="AE750" s="69" t="s">
        <v>61</v>
      </c>
      <c r="AF750" s="68" t="s">
        <v>61</v>
      </c>
      <c r="AG750" s="68" t="s">
        <v>61</v>
      </c>
      <c r="AH750" s="68" t="s">
        <v>61</v>
      </c>
      <c r="AI750" s="70" t="s">
        <v>61</v>
      </c>
      <c r="AJ750" s="114" t="s">
        <v>61</v>
      </c>
      <c r="AK750" s="82"/>
    </row>
    <row r="751" ht="24.0" customHeight="1">
      <c r="A751" s="35"/>
      <c r="B751" s="36">
        <v>1.0</v>
      </c>
      <c r="C751" s="37" t="str">
        <f>IFERROR(__xludf.DUMMYFUNCTION("""COMPUTED_VALUE"""),"Michael Kanarek (4) - '28 C ")</f>
        <v>Michael Kanarek (4) - '28 C </v>
      </c>
      <c r="D751" s="38" t="s">
        <v>4098</v>
      </c>
      <c r="E751" s="51" t="s">
        <v>109</v>
      </c>
      <c r="F751" s="137"/>
      <c r="G751" s="133"/>
      <c r="H751" s="54" t="s">
        <v>158</v>
      </c>
      <c r="I751" s="55" t="s">
        <v>4099</v>
      </c>
      <c r="J751" s="55">
        <v>2028.0</v>
      </c>
      <c r="K751" s="55">
        <v>4.0</v>
      </c>
      <c r="L751" s="57"/>
      <c r="M751" s="55" t="s">
        <v>109</v>
      </c>
      <c r="N751" s="57"/>
      <c r="O751" s="55" t="s">
        <v>1550</v>
      </c>
      <c r="P751" s="55" t="s">
        <v>4100</v>
      </c>
      <c r="Q751" s="57"/>
      <c r="R751" s="55" t="s">
        <v>4101</v>
      </c>
      <c r="S751" s="58" t="s">
        <v>4102</v>
      </c>
      <c r="T751" s="74"/>
      <c r="U751" s="74"/>
      <c r="V751" s="139"/>
      <c r="W751" s="51" t="s">
        <v>1724</v>
      </c>
      <c r="X751" s="74"/>
      <c r="Y751" s="74"/>
      <c r="Z751" s="76"/>
      <c r="AA751" s="134"/>
      <c r="AB751" s="62" t="s">
        <v>61</v>
      </c>
      <c r="AC751" s="63" t="s">
        <v>61</v>
      </c>
      <c r="AD751" s="64" t="s">
        <v>61</v>
      </c>
      <c r="AE751" s="64" t="s">
        <v>61</v>
      </c>
      <c r="AF751" s="63" t="s">
        <v>61</v>
      </c>
      <c r="AG751" s="63" t="s">
        <v>61</v>
      </c>
      <c r="AH751" s="63" t="s">
        <v>61</v>
      </c>
      <c r="AI751" s="65" t="s">
        <v>61</v>
      </c>
      <c r="AJ751" s="105" t="s">
        <v>61</v>
      </c>
      <c r="AK751" s="76"/>
    </row>
    <row r="752" ht="24.0" customHeight="1">
      <c r="A752" s="35"/>
      <c r="B752" s="36">
        <v>1.0</v>
      </c>
      <c r="C752" s="37" t="str">
        <f>IFERROR(__xludf.DUMMYFUNCTION("""COMPUTED_VALUE"""),"Cole Kantorski (4) - '27 RHP MD")</f>
        <v>Cole Kantorski (4) - '27 RHP MD</v>
      </c>
      <c r="D752" s="38" t="s">
        <v>4103</v>
      </c>
      <c r="E752" s="39" t="s">
        <v>63</v>
      </c>
      <c r="F752" s="121"/>
      <c r="G752" s="122"/>
      <c r="H752" s="42" t="s">
        <v>324</v>
      </c>
      <c r="I752" s="43" t="s">
        <v>4104</v>
      </c>
      <c r="J752" s="43">
        <v>2027.0</v>
      </c>
      <c r="K752" s="43">
        <v>4.0</v>
      </c>
      <c r="L752" s="158" t="s">
        <v>61</v>
      </c>
      <c r="M752" s="43" t="s">
        <v>63</v>
      </c>
      <c r="N752" s="117"/>
      <c r="O752" s="80"/>
      <c r="P752" s="43" t="s">
        <v>4105</v>
      </c>
      <c r="Q752" s="43" t="s">
        <v>195</v>
      </c>
      <c r="R752" s="43" t="s">
        <v>3585</v>
      </c>
      <c r="S752" s="44" t="s">
        <v>3586</v>
      </c>
      <c r="T752" s="81"/>
      <c r="U752" s="81"/>
      <c r="V752" s="157"/>
      <c r="W752" s="39" t="s">
        <v>1724</v>
      </c>
      <c r="X752" s="39" t="s">
        <v>1989</v>
      </c>
      <c r="Y752" s="81"/>
      <c r="Z752" s="82"/>
      <c r="AA752" s="99"/>
      <c r="AB752" s="48" t="s">
        <v>61</v>
      </c>
      <c r="AC752" s="68" t="s">
        <v>61</v>
      </c>
      <c r="AD752" s="69" t="s">
        <v>61</v>
      </c>
      <c r="AE752" s="69" t="s">
        <v>61</v>
      </c>
      <c r="AF752" s="68" t="s">
        <v>61</v>
      </c>
      <c r="AG752" s="68" t="s">
        <v>61</v>
      </c>
      <c r="AH752" s="68" t="s">
        <v>61</v>
      </c>
      <c r="AI752" s="70" t="s">
        <v>61</v>
      </c>
      <c r="AJ752" s="114" t="s">
        <v>61</v>
      </c>
      <c r="AK752" s="82"/>
    </row>
    <row r="753" ht="24.0" customHeight="1">
      <c r="A753" s="35"/>
      <c r="B753" s="36">
        <v>1.0</v>
      </c>
      <c r="C753" s="37" t="str">
        <f>IFERROR(__xludf.DUMMYFUNCTION("""COMPUTED_VALUE"""),"Justin Kauffman (4) - '27 RHP NJ")</f>
        <v>Justin Kauffman (4) - '27 RHP NJ</v>
      </c>
      <c r="D753" s="38" t="s">
        <v>4106</v>
      </c>
      <c r="E753" s="51" t="s">
        <v>63</v>
      </c>
      <c r="F753" s="115"/>
      <c r="G753" s="116" t="s">
        <v>1395</v>
      </c>
      <c r="H753" s="54" t="s">
        <v>988</v>
      </c>
      <c r="I753" s="55" t="s">
        <v>4107</v>
      </c>
      <c r="J753" s="55">
        <v>2027.0</v>
      </c>
      <c r="K753" s="55">
        <v>4.0</v>
      </c>
      <c r="L753" s="171" t="s">
        <v>61</v>
      </c>
      <c r="M753" s="55" t="s">
        <v>63</v>
      </c>
      <c r="N753" s="58" t="s">
        <v>106</v>
      </c>
      <c r="O753" s="55" t="s">
        <v>1550</v>
      </c>
      <c r="P753" s="57"/>
      <c r="Q753" s="55" t="s">
        <v>502</v>
      </c>
      <c r="R753" s="55" t="s">
        <v>918</v>
      </c>
      <c r="S753" s="58" t="s">
        <v>2029</v>
      </c>
      <c r="T753" s="51"/>
      <c r="U753" s="51"/>
      <c r="V753" s="51"/>
      <c r="W753" s="51"/>
      <c r="X753" s="51"/>
      <c r="Y753" s="51"/>
      <c r="Z753" s="60"/>
      <c r="AA753" s="73"/>
      <c r="AB753" s="62" t="s">
        <v>61</v>
      </c>
      <c r="AC753" s="63" t="s">
        <v>61</v>
      </c>
      <c r="AD753" s="64" t="s">
        <v>61</v>
      </c>
      <c r="AE753" s="64" t="s">
        <v>61</v>
      </c>
      <c r="AF753" s="63" t="s">
        <v>61</v>
      </c>
      <c r="AG753" s="63" t="s">
        <v>61</v>
      </c>
      <c r="AH753" s="63" t="s">
        <v>61</v>
      </c>
      <c r="AI753" s="65" t="s">
        <v>61</v>
      </c>
      <c r="AJ753" s="66" t="s">
        <v>61</v>
      </c>
      <c r="AK753" s="60"/>
    </row>
    <row r="754" ht="24.0" customHeight="1">
      <c r="A754" s="35"/>
      <c r="B754" s="36">
        <v>1.0</v>
      </c>
      <c r="C754" s="37" t="str">
        <f>IFERROR(__xludf.DUMMYFUNCTION("""COMPUTED_VALUE"""),"Seamus Keller (4) - '27 RHP MA")</f>
        <v>Seamus Keller (4) - '27 RHP MA</v>
      </c>
      <c r="D754" s="89" t="s">
        <v>4108</v>
      </c>
      <c r="E754" s="39" t="s">
        <v>63</v>
      </c>
      <c r="F754" s="112"/>
      <c r="G754" s="113" t="s">
        <v>1395</v>
      </c>
      <c r="H754" s="42" t="s">
        <v>4109</v>
      </c>
      <c r="I754" s="43" t="s">
        <v>4110</v>
      </c>
      <c r="J754" s="43">
        <v>2027.0</v>
      </c>
      <c r="K754" s="43">
        <v>4.0</v>
      </c>
      <c r="L754" s="158" t="s">
        <v>61</v>
      </c>
      <c r="M754" s="43" t="s">
        <v>63</v>
      </c>
      <c r="N754" s="44"/>
      <c r="O754" s="43" t="s">
        <v>1550</v>
      </c>
      <c r="P754" s="95"/>
      <c r="Q754" s="43" t="s">
        <v>85</v>
      </c>
      <c r="R754" s="43" t="s">
        <v>1612</v>
      </c>
      <c r="S754" s="44" t="s">
        <v>4111</v>
      </c>
      <c r="T754" s="39"/>
      <c r="U754" s="39"/>
      <c r="V754" s="39"/>
      <c r="W754" s="39"/>
      <c r="X754" s="39"/>
      <c r="Y754" s="39"/>
      <c r="Z754" s="46"/>
      <c r="AA754" s="47"/>
      <c r="AB754" s="48" t="s">
        <v>61</v>
      </c>
      <c r="AC754" s="68" t="s">
        <v>61</v>
      </c>
      <c r="AD754" s="69" t="s">
        <v>61</v>
      </c>
      <c r="AE754" s="69" t="s">
        <v>61</v>
      </c>
      <c r="AF754" s="68" t="s">
        <v>61</v>
      </c>
      <c r="AG754" s="68" t="s">
        <v>61</v>
      </c>
      <c r="AH754" s="68" t="s">
        <v>61</v>
      </c>
      <c r="AI754" s="70" t="s">
        <v>61</v>
      </c>
      <c r="AJ754" s="49" t="s">
        <v>61</v>
      </c>
      <c r="AK754" s="46"/>
    </row>
    <row r="755" ht="24.0" customHeight="1">
      <c r="A755" s="35"/>
      <c r="B755" s="36">
        <v>1.0</v>
      </c>
      <c r="C755" s="37" t="str">
        <f>IFERROR(__xludf.DUMMYFUNCTION("""COMPUTED_VALUE"""),"Mac Kennedy (4) - '27 LHP CA")</f>
        <v>Mac Kennedy (4) - '27 LHP CA</v>
      </c>
      <c r="D755" s="89" t="s">
        <v>4112</v>
      </c>
      <c r="E755" s="51" t="s">
        <v>122</v>
      </c>
      <c r="F755" s="140">
        <v>46156.0</v>
      </c>
      <c r="G755" s="116" t="s">
        <v>1395</v>
      </c>
      <c r="H755" s="54" t="s">
        <v>1051</v>
      </c>
      <c r="I755" s="55" t="s">
        <v>4113</v>
      </c>
      <c r="J755" s="55">
        <v>2027.0</v>
      </c>
      <c r="K755" s="55">
        <v>4.0</v>
      </c>
      <c r="L755" s="171" t="s">
        <v>61</v>
      </c>
      <c r="M755" s="55" t="s">
        <v>122</v>
      </c>
      <c r="N755" s="58"/>
      <c r="O755" s="57" t="s">
        <v>1556</v>
      </c>
      <c r="P755" s="57" t="s">
        <v>4114</v>
      </c>
      <c r="Q755" s="55" t="s">
        <v>52</v>
      </c>
      <c r="R755" s="57" t="s">
        <v>4115</v>
      </c>
      <c r="S755" s="58"/>
      <c r="T755" s="74" t="s">
        <v>4116</v>
      </c>
      <c r="U755" s="74"/>
      <c r="V755" s="74"/>
      <c r="W755" s="74" t="s">
        <v>3747</v>
      </c>
      <c r="X755" s="74"/>
      <c r="Y755" s="74"/>
      <c r="Z755" s="76"/>
      <c r="AA755" s="73" t="s">
        <v>4117</v>
      </c>
      <c r="AB755" s="62" t="s">
        <v>61</v>
      </c>
      <c r="AC755" s="63" t="s">
        <v>61</v>
      </c>
      <c r="AD755" s="64" t="s">
        <v>61</v>
      </c>
      <c r="AE755" s="64" t="s">
        <v>61</v>
      </c>
      <c r="AF755" s="63" t="s">
        <v>61</v>
      </c>
      <c r="AG755" s="63" t="s">
        <v>61</v>
      </c>
      <c r="AH755" s="63" t="s">
        <v>61</v>
      </c>
      <c r="AI755" s="65" t="s">
        <v>61</v>
      </c>
      <c r="AJ755" s="105" t="s">
        <v>61</v>
      </c>
      <c r="AK755" s="76"/>
    </row>
    <row r="756" ht="24.0" customHeight="1">
      <c r="A756" s="35"/>
      <c r="B756" s="36">
        <v>1.0</v>
      </c>
      <c r="C756" s="37" t="str">
        <f>IFERROR(__xludf.DUMMYFUNCTION("""COMPUTED_VALUE"""),"Nate Kessell (4) - '28 LHP CT")</f>
        <v>Nate Kessell (4) - '28 LHP CT</v>
      </c>
      <c r="D756" s="89" t="s">
        <v>4118</v>
      </c>
      <c r="E756" s="39" t="s">
        <v>122</v>
      </c>
      <c r="F756" s="156">
        <v>46156.0</v>
      </c>
      <c r="G756" s="113" t="s">
        <v>1395</v>
      </c>
      <c r="H756" s="42" t="s">
        <v>1109</v>
      </c>
      <c r="I756" s="43" t="s">
        <v>4119</v>
      </c>
      <c r="J756" s="43">
        <v>2028.0</v>
      </c>
      <c r="K756" s="43">
        <v>4.0</v>
      </c>
      <c r="L756" s="80"/>
      <c r="M756" s="43" t="s">
        <v>122</v>
      </c>
      <c r="N756" s="43"/>
      <c r="O756" s="43" t="s">
        <v>1556</v>
      </c>
      <c r="P756" s="43" t="s">
        <v>3720</v>
      </c>
      <c r="Q756" s="43" t="s">
        <v>160</v>
      </c>
      <c r="R756" s="43" t="s">
        <v>4120</v>
      </c>
      <c r="S756" s="44" t="s">
        <v>3377</v>
      </c>
      <c r="T756" s="81"/>
      <c r="U756" s="39" t="s">
        <v>4121</v>
      </c>
      <c r="V756" s="81"/>
      <c r="W756" s="81"/>
      <c r="X756" s="81"/>
      <c r="Y756" s="81"/>
      <c r="Z756" s="82"/>
      <c r="AA756" s="47" t="s">
        <v>4122</v>
      </c>
      <c r="AB756" s="48" t="s">
        <v>61</v>
      </c>
      <c r="AC756" s="68" t="s">
        <v>61</v>
      </c>
      <c r="AD756" s="69" t="s">
        <v>61</v>
      </c>
      <c r="AE756" s="69" t="s">
        <v>61</v>
      </c>
      <c r="AF756" s="68" t="s">
        <v>61</v>
      </c>
      <c r="AG756" s="68" t="s">
        <v>61</v>
      </c>
      <c r="AH756" s="68" t="s">
        <v>61</v>
      </c>
      <c r="AI756" s="70" t="s">
        <v>61</v>
      </c>
      <c r="AJ756" s="114" t="s">
        <v>61</v>
      </c>
      <c r="AK756" s="82"/>
    </row>
    <row r="757" ht="24.0" customHeight="1">
      <c r="A757" s="35"/>
      <c r="B757" s="36">
        <v>1.0</v>
      </c>
      <c r="C757" s="37" t="str">
        <f>IFERROR(__xludf.DUMMYFUNCTION("""COMPUTED_VALUE"""),"Peyton Kilhoffer (4) - '27 SS OK")</f>
        <v>Peyton Kilhoffer (4) - '27 SS OK</v>
      </c>
      <c r="D757" s="89" t="s">
        <v>4123</v>
      </c>
      <c r="E757" s="51" t="s">
        <v>48</v>
      </c>
      <c r="F757" s="119">
        <v>45865.0</v>
      </c>
      <c r="G757" s="116" t="s">
        <v>1395</v>
      </c>
      <c r="H757" s="54" t="s">
        <v>3085</v>
      </c>
      <c r="I757" s="55" t="s">
        <v>4124</v>
      </c>
      <c r="J757" s="55">
        <v>2027.0</v>
      </c>
      <c r="K757" s="55">
        <v>4.0</v>
      </c>
      <c r="L757" s="171" t="s">
        <v>61</v>
      </c>
      <c r="M757" s="55" t="s">
        <v>1398</v>
      </c>
      <c r="N757" s="132"/>
      <c r="O757" s="55" t="s">
        <v>1550</v>
      </c>
      <c r="P757" s="55" t="s">
        <v>4125</v>
      </c>
      <c r="Q757" s="55" t="s">
        <v>698</v>
      </c>
      <c r="R757" s="55" t="s">
        <v>4126</v>
      </c>
      <c r="S757" s="58"/>
      <c r="T757" s="51">
        <v>4.0</v>
      </c>
      <c r="U757" s="51"/>
      <c r="V757" s="51" t="s">
        <v>4127</v>
      </c>
      <c r="W757" s="51" t="s">
        <v>2821</v>
      </c>
      <c r="X757" s="74"/>
      <c r="Y757" s="74"/>
      <c r="Z757" s="76"/>
      <c r="AA757" s="134"/>
      <c r="AB757" s="62" t="s">
        <v>61</v>
      </c>
      <c r="AC757" s="63" t="s">
        <v>61</v>
      </c>
      <c r="AD757" s="64" t="s">
        <v>61</v>
      </c>
      <c r="AE757" s="64" t="s">
        <v>61</v>
      </c>
      <c r="AF757" s="63" t="s">
        <v>61</v>
      </c>
      <c r="AG757" s="63" t="s">
        <v>61</v>
      </c>
      <c r="AH757" s="63" t="s">
        <v>61</v>
      </c>
      <c r="AI757" s="65" t="s">
        <v>61</v>
      </c>
      <c r="AJ757" s="105" t="s">
        <v>61</v>
      </c>
      <c r="AK757" s="76"/>
    </row>
    <row r="758" ht="24.0" customHeight="1">
      <c r="A758" s="35"/>
      <c r="B758" s="36">
        <v>1.0</v>
      </c>
      <c r="C758" s="37" t="str">
        <f>IFERROR(__xludf.DUMMYFUNCTION("""COMPUTED_VALUE"""),"Justin Kirchner (XX) - '27 3B CA")</f>
        <v>Justin Kirchner (XX) - '27 3B CA</v>
      </c>
      <c r="D758" s="38" t="s">
        <v>4128</v>
      </c>
      <c r="E758" s="39" t="s">
        <v>48</v>
      </c>
      <c r="F758" s="118">
        <v>45865.0</v>
      </c>
      <c r="G758" s="113" t="s">
        <v>1395</v>
      </c>
      <c r="H758" s="42" t="s">
        <v>988</v>
      </c>
      <c r="I758" s="43" t="s">
        <v>4129</v>
      </c>
      <c r="J758" s="43">
        <v>2027.0</v>
      </c>
      <c r="K758" s="43" t="s">
        <v>410</v>
      </c>
      <c r="L758" s="44" t="s">
        <v>4130</v>
      </c>
      <c r="M758" s="43" t="s">
        <v>1519</v>
      </c>
      <c r="N758" s="117"/>
      <c r="O758" s="43" t="s">
        <v>1550</v>
      </c>
      <c r="P758" s="43" t="s">
        <v>4131</v>
      </c>
      <c r="Q758" s="43" t="s">
        <v>52</v>
      </c>
      <c r="R758" s="43" t="s">
        <v>4132</v>
      </c>
      <c r="S758" s="44"/>
      <c r="T758" s="39">
        <v>3.91</v>
      </c>
      <c r="U758" s="39"/>
      <c r="V758" s="39" t="s">
        <v>4133</v>
      </c>
      <c r="W758" s="39" t="s">
        <v>2821</v>
      </c>
      <c r="X758" s="81"/>
      <c r="Y758" s="81"/>
      <c r="Z758" s="82"/>
      <c r="AA758" s="99"/>
      <c r="AB758" s="48" t="s">
        <v>61</v>
      </c>
      <c r="AC758" s="68" t="s">
        <v>61</v>
      </c>
      <c r="AD758" s="69" t="s">
        <v>61</v>
      </c>
      <c r="AE758" s="69" t="s">
        <v>61</v>
      </c>
      <c r="AF758" s="68" t="s">
        <v>61</v>
      </c>
      <c r="AG758" s="68" t="s">
        <v>61</v>
      </c>
      <c r="AH758" s="68" t="s">
        <v>61</v>
      </c>
      <c r="AI758" s="70" t="s">
        <v>61</v>
      </c>
      <c r="AJ758" s="114" t="s">
        <v>61</v>
      </c>
      <c r="AK758" s="82"/>
    </row>
    <row r="759" ht="24.0" customHeight="1">
      <c r="A759" s="35"/>
      <c r="B759" s="36">
        <v>1.0</v>
      </c>
      <c r="C759" s="37" t="str">
        <f>IFERROR(__xludf.DUMMYFUNCTION("""COMPUTED_VALUE"""),"Bobby Kleinow (4) - '28 RHP ")</f>
        <v>Bobby Kleinow (4) - '28 RHP </v>
      </c>
      <c r="D759" s="89" t="s">
        <v>4134</v>
      </c>
      <c r="E759" s="51" t="s">
        <v>63</v>
      </c>
      <c r="F759" s="154">
        <v>46168.0</v>
      </c>
      <c r="G759" s="116" t="s">
        <v>1395</v>
      </c>
      <c r="H759" s="54" t="s">
        <v>210</v>
      </c>
      <c r="I759" s="55" t="s">
        <v>4135</v>
      </c>
      <c r="J759" s="55">
        <v>2028.0</v>
      </c>
      <c r="K759" s="55">
        <v>4.0</v>
      </c>
      <c r="L759" s="57"/>
      <c r="M759" s="55" t="s">
        <v>63</v>
      </c>
      <c r="N759" s="55"/>
      <c r="O759" s="57"/>
      <c r="P759" s="57"/>
      <c r="Q759" s="57"/>
      <c r="R759" s="57"/>
      <c r="S759" s="51" t="s">
        <v>2029</v>
      </c>
      <c r="T759" s="51"/>
      <c r="U759" s="74"/>
      <c r="V759" s="74"/>
      <c r="W759" s="74"/>
      <c r="X759" s="74"/>
      <c r="Y759" s="74"/>
      <c r="Z759" s="76"/>
      <c r="AA759" s="134"/>
      <c r="AB759" s="62" t="s">
        <v>61</v>
      </c>
      <c r="AC759" s="63" t="s">
        <v>61</v>
      </c>
      <c r="AD759" s="64" t="s">
        <v>61</v>
      </c>
      <c r="AE759" s="64" t="s">
        <v>61</v>
      </c>
      <c r="AF759" s="63" t="s">
        <v>61</v>
      </c>
      <c r="AG759" s="63" t="s">
        <v>61</v>
      </c>
      <c r="AH759" s="63" t="s">
        <v>61</v>
      </c>
      <c r="AI759" s="65" t="s">
        <v>61</v>
      </c>
      <c r="AJ759" s="105" t="s">
        <v>61</v>
      </c>
      <c r="AK759" s="76"/>
    </row>
    <row r="760" ht="24.0" customHeight="1">
      <c r="A760" s="35"/>
      <c r="B760" s="36">
        <v>1.0</v>
      </c>
      <c r="C760" s="37" t="str">
        <f>IFERROR(__xludf.DUMMYFUNCTION("""COMPUTED_VALUE"""),"Tripp Kneale (4) - '27 RHP TX")</f>
        <v>Tripp Kneale (4) - '27 RHP TX</v>
      </c>
      <c r="D760" s="89" t="s">
        <v>4136</v>
      </c>
      <c r="E760" s="39" t="s">
        <v>63</v>
      </c>
      <c r="F760" s="156">
        <v>46168.0</v>
      </c>
      <c r="G760" s="113" t="s">
        <v>1395</v>
      </c>
      <c r="H760" s="42" t="s">
        <v>4137</v>
      </c>
      <c r="I760" s="43" t="s">
        <v>4138</v>
      </c>
      <c r="J760" s="43">
        <v>2027.0</v>
      </c>
      <c r="K760" s="43">
        <v>4.0</v>
      </c>
      <c r="L760" s="80"/>
      <c r="M760" s="43" t="s">
        <v>63</v>
      </c>
      <c r="N760" s="43"/>
      <c r="O760" s="80"/>
      <c r="P760" s="43" t="s">
        <v>4139</v>
      </c>
      <c r="Q760" s="43" t="s">
        <v>180</v>
      </c>
      <c r="R760" s="43" t="s">
        <v>4140</v>
      </c>
      <c r="S760" s="44" t="s">
        <v>3971</v>
      </c>
      <c r="T760" s="39" t="s">
        <v>4141</v>
      </c>
      <c r="U760" s="39" t="s">
        <v>4142</v>
      </c>
      <c r="V760" s="39" t="s">
        <v>4143</v>
      </c>
      <c r="W760" s="81"/>
      <c r="X760" s="81"/>
      <c r="Y760" s="81"/>
      <c r="Z760" s="82"/>
      <c r="AA760" s="161" t="s">
        <v>4144</v>
      </c>
      <c r="AB760" s="48" t="s">
        <v>61</v>
      </c>
      <c r="AC760" s="68" t="s">
        <v>61</v>
      </c>
      <c r="AD760" s="69" t="s">
        <v>61</v>
      </c>
      <c r="AE760" s="69" t="s">
        <v>61</v>
      </c>
      <c r="AF760" s="68" t="s">
        <v>61</v>
      </c>
      <c r="AG760" s="68" t="s">
        <v>61</v>
      </c>
      <c r="AH760" s="68" t="s">
        <v>61</v>
      </c>
      <c r="AI760" s="70" t="s">
        <v>61</v>
      </c>
      <c r="AJ760" s="114" t="s">
        <v>61</v>
      </c>
      <c r="AK760" s="82"/>
    </row>
    <row r="761" ht="24.0" customHeight="1">
      <c r="A761" s="93"/>
      <c r="B761" s="36">
        <v>1.0</v>
      </c>
      <c r="C761" s="37" t="str">
        <f>IFERROR(__xludf.DUMMYFUNCTION("""COMPUTED_VALUE"""),"Max Lamonica (4) - '27 RHP MA")</f>
        <v>Max Lamonica (4) - '27 RHP MA</v>
      </c>
      <c r="D761" s="38" t="s">
        <v>4145</v>
      </c>
      <c r="E761" s="51" t="s">
        <v>63</v>
      </c>
      <c r="F761" s="115"/>
      <c r="G761" s="116" t="s">
        <v>1395</v>
      </c>
      <c r="H761" s="54" t="s">
        <v>1997</v>
      </c>
      <c r="I761" s="55" t="s">
        <v>4146</v>
      </c>
      <c r="J761" s="55">
        <v>2027.0</v>
      </c>
      <c r="K761" s="55">
        <v>4.0</v>
      </c>
      <c r="L761" s="171" t="s">
        <v>61</v>
      </c>
      <c r="M761" s="55" t="s">
        <v>63</v>
      </c>
      <c r="N761" s="58"/>
      <c r="O761" s="55" t="s">
        <v>1550</v>
      </c>
      <c r="P761" s="72"/>
      <c r="Q761" s="55" t="s">
        <v>85</v>
      </c>
      <c r="R761" s="55"/>
      <c r="S761" s="58" t="s">
        <v>2885</v>
      </c>
      <c r="T761" s="182"/>
      <c r="U761" s="182"/>
      <c r="V761" s="182"/>
      <c r="W761" s="182"/>
      <c r="X761" s="182"/>
      <c r="Y761" s="182"/>
      <c r="Z761" s="183"/>
      <c r="AA761" s="184"/>
      <c r="AB761" s="62" t="s">
        <v>61</v>
      </c>
      <c r="AC761" s="63" t="s">
        <v>61</v>
      </c>
      <c r="AD761" s="64" t="s">
        <v>61</v>
      </c>
      <c r="AE761" s="64" t="s">
        <v>61</v>
      </c>
      <c r="AF761" s="63" t="s">
        <v>61</v>
      </c>
      <c r="AG761" s="63" t="s">
        <v>61</v>
      </c>
      <c r="AH761" s="63" t="s">
        <v>61</v>
      </c>
      <c r="AI761" s="65" t="s">
        <v>61</v>
      </c>
      <c r="AJ761" s="66" t="s">
        <v>61</v>
      </c>
      <c r="AK761" s="60"/>
    </row>
    <row r="762" ht="24.0" customHeight="1">
      <c r="A762" s="35"/>
      <c r="B762" s="36">
        <v>1.0</v>
      </c>
      <c r="C762" s="37" t="str">
        <f>IFERROR(__xludf.DUMMYFUNCTION("""COMPUTED_VALUE"""),"Mikey Landers (4) - '28 RHP MA")</f>
        <v>Mikey Landers (4) - '28 RHP MA</v>
      </c>
      <c r="D762" s="89" t="s">
        <v>4147</v>
      </c>
      <c r="E762" s="39" t="s">
        <v>63</v>
      </c>
      <c r="F762" s="156">
        <v>46168.0</v>
      </c>
      <c r="G762" s="113" t="s">
        <v>1395</v>
      </c>
      <c r="H762" s="42" t="s">
        <v>3731</v>
      </c>
      <c r="I762" s="43" t="s">
        <v>4148</v>
      </c>
      <c r="J762" s="43">
        <v>2028.0</v>
      </c>
      <c r="K762" s="43">
        <v>4.0</v>
      </c>
      <c r="L762" s="80"/>
      <c r="M762" s="43" t="s">
        <v>63</v>
      </c>
      <c r="N762" s="43" t="s">
        <v>807</v>
      </c>
      <c r="O762" s="43" t="s">
        <v>1550</v>
      </c>
      <c r="P762" s="80"/>
      <c r="Q762" s="43" t="s">
        <v>85</v>
      </c>
      <c r="R762" s="43" t="s">
        <v>4149</v>
      </c>
      <c r="S762" s="44" t="s">
        <v>3704</v>
      </c>
      <c r="T762" s="81"/>
      <c r="U762" s="81"/>
      <c r="V762" s="81"/>
      <c r="W762" s="81"/>
      <c r="X762" s="81"/>
      <c r="Y762" s="81"/>
      <c r="Z762" s="46"/>
      <c r="AA762" s="47" t="s">
        <v>4150</v>
      </c>
      <c r="AB762" s="48" t="s">
        <v>61</v>
      </c>
      <c r="AC762" s="68" t="s">
        <v>61</v>
      </c>
      <c r="AD762" s="69" t="s">
        <v>61</v>
      </c>
      <c r="AE762" s="69" t="s">
        <v>61</v>
      </c>
      <c r="AF762" s="68" t="s">
        <v>61</v>
      </c>
      <c r="AG762" s="68" t="s">
        <v>61</v>
      </c>
      <c r="AH762" s="68" t="s">
        <v>61</v>
      </c>
      <c r="AI762" s="70" t="s">
        <v>61</v>
      </c>
      <c r="AJ762" s="114" t="s">
        <v>61</v>
      </c>
      <c r="AK762" s="82"/>
    </row>
    <row r="763" ht="24.0" customHeight="1">
      <c r="A763" s="35"/>
      <c r="B763" s="36">
        <v>1.0</v>
      </c>
      <c r="C763" s="37" t="str">
        <f>IFERROR(__xludf.DUMMYFUNCTION("""COMPUTED_VALUE"""),"Max Landers (4) - '27 SS MA")</f>
        <v>Max Landers (4) - '27 SS MA</v>
      </c>
      <c r="D763" s="89" t="s">
        <v>4151</v>
      </c>
      <c r="E763" s="51" t="s">
        <v>48</v>
      </c>
      <c r="F763" s="154">
        <v>46168.0</v>
      </c>
      <c r="G763" s="116" t="s">
        <v>1395</v>
      </c>
      <c r="H763" s="54" t="s">
        <v>1997</v>
      </c>
      <c r="I763" s="55" t="s">
        <v>4148</v>
      </c>
      <c r="J763" s="55">
        <v>2027.0</v>
      </c>
      <c r="K763" s="55">
        <v>4.0</v>
      </c>
      <c r="L763" s="57"/>
      <c r="M763" s="55" t="s">
        <v>1398</v>
      </c>
      <c r="N763" s="55" t="s">
        <v>103</v>
      </c>
      <c r="O763" s="55" t="s">
        <v>1989</v>
      </c>
      <c r="P763" s="57"/>
      <c r="Q763" s="55" t="s">
        <v>85</v>
      </c>
      <c r="R763" s="55" t="s">
        <v>3200</v>
      </c>
      <c r="S763" s="58" t="s">
        <v>3704</v>
      </c>
      <c r="T763" s="74"/>
      <c r="U763" s="74"/>
      <c r="V763" s="74"/>
      <c r="W763" s="74"/>
      <c r="X763" s="74"/>
      <c r="Y763" s="74"/>
      <c r="Z763" s="60"/>
      <c r="AA763" s="73" t="s">
        <v>4152</v>
      </c>
      <c r="AB763" s="62" t="s">
        <v>61</v>
      </c>
      <c r="AC763" s="63" t="s">
        <v>61</v>
      </c>
      <c r="AD763" s="64" t="s">
        <v>61</v>
      </c>
      <c r="AE763" s="64" t="s">
        <v>61</v>
      </c>
      <c r="AF763" s="63" t="s">
        <v>61</v>
      </c>
      <c r="AG763" s="63" t="s">
        <v>61</v>
      </c>
      <c r="AH763" s="63" t="s">
        <v>61</v>
      </c>
      <c r="AI763" s="65" t="s">
        <v>61</v>
      </c>
      <c r="AJ763" s="105" t="s">
        <v>61</v>
      </c>
      <c r="AK763" s="76"/>
    </row>
    <row r="764" ht="24.0" customHeight="1">
      <c r="A764" s="35"/>
      <c r="B764" s="36">
        <v>1.0</v>
      </c>
      <c r="C764" s="37" t="str">
        <f>IFERROR(__xludf.DUMMYFUNCTION("""COMPUTED_VALUE"""),"Will Lavelle (4) - '28 MINF MA")</f>
        <v>Will Lavelle (4) - '28 MINF MA</v>
      </c>
      <c r="D764" s="89" t="s">
        <v>4153</v>
      </c>
      <c r="E764" s="39" t="s">
        <v>48</v>
      </c>
      <c r="F764" s="156">
        <v>46168.0</v>
      </c>
      <c r="G764" s="113" t="s">
        <v>1395</v>
      </c>
      <c r="H764" s="42" t="s">
        <v>110</v>
      </c>
      <c r="I764" s="43" t="s">
        <v>4154</v>
      </c>
      <c r="J764" s="43">
        <v>2028.0</v>
      </c>
      <c r="K764" s="43">
        <v>4.0</v>
      </c>
      <c r="L764" s="80"/>
      <c r="M764" s="43" t="s">
        <v>51</v>
      </c>
      <c r="N764" s="43" t="s">
        <v>63</v>
      </c>
      <c r="O764" s="43" t="s">
        <v>1989</v>
      </c>
      <c r="P764" s="80"/>
      <c r="Q764" s="43" t="s">
        <v>85</v>
      </c>
      <c r="R764" s="43" t="s">
        <v>4155</v>
      </c>
      <c r="S764" s="44" t="s">
        <v>87</v>
      </c>
      <c r="T764" s="81"/>
      <c r="U764" s="39" t="s">
        <v>4156</v>
      </c>
      <c r="V764" s="39" t="s">
        <v>4157</v>
      </c>
      <c r="W764" s="81"/>
      <c r="X764" s="81"/>
      <c r="Y764" s="81"/>
      <c r="Z764" s="82"/>
      <c r="AA764" s="161" t="s">
        <v>4158</v>
      </c>
      <c r="AB764" s="48" t="s">
        <v>61</v>
      </c>
      <c r="AC764" s="68" t="s">
        <v>61</v>
      </c>
      <c r="AD764" s="69" t="s">
        <v>61</v>
      </c>
      <c r="AE764" s="69" t="s">
        <v>61</v>
      </c>
      <c r="AF764" s="68" t="s">
        <v>61</v>
      </c>
      <c r="AG764" s="68" t="s">
        <v>61</v>
      </c>
      <c r="AH764" s="68" t="s">
        <v>61</v>
      </c>
      <c r="AI764" s="70" t="s">
        <v>61</v>
      </c>
      <c r="AJ764" s="114" t="s">
        <v>61</v>
      </c>
      <c r="AK764" s="82"/>
    </row>
    <row r="765" ht="24.0" customHeight="1">
      <c r="A765" s="35"/>
      <c r="B765" s="36">
        <v>1.0</v>
      </c>
      <c r="C765" s="37" t="str">
        <f>IFERROR(__xludf.DUMMYFUNCTION("""COMPUTED_VALUE"""),"Jack Lerro (4) - '27 RHP NJ")</f>
        <v>Jack Lerro (4) - '27 RHP NJ</v>
      </c>
      <c r="D765" s="89" t="s">
        <v>4159</v>
      </c>
      <c r="E765" s="51" t="s">
        <v>63</v>
      </c>
      <c r="F765" s="140">
        <v>46156.0</v>
      </c>
      <c r="G765" s="116" t="s">
        <v>1395</v>
      </c>
      <c r="H765" s="54" t="s">
        <v>424</v>
      </c>
      <c r="I765" s="55" t="s">
        <v>4160</v>
      </c>
      <c r="J765" s="55">
        <v>2027.0</v>
      </c>
      <c r="K765" s="55">
        <v>4.0</v>
      </c>
      <c r="L765" s="171" t="s">
        <v>61</v>
      </c>
      <c r="M765" s="55" t="s">
        <v>63</v>
      </c>
      <c r="N765" s="58"/>
      <c r="O765" s="57" t="s">
        <v>1550</v>
      </c>
      <c r="P765" s="57" t="s">
        <v>4161</v>
      </c>
      <c r="Q765" s="55" t="s">
        <v>502</v>
      </c>
      <c r="R765" s="57" t="s">
        <v>923</v>
      </c>
      <c r="S765" s="58" t="s">
        <v>4162</v>
      </c>
      <c r="T765" s="74"/>
      <c r="U765" s="74" t="s">
        <v>4163</v>
      </c>
      <c r="V765" s="74" t="s">
        <v>4164</v>
      </c>
      <c r="W765" s="74" t="s">
        <v>3747</v>
      </c>
      <c r="X765" s="74"/>
      <c r="Y765" s="74"/>
      <c r="Z765" s="76"/>
      <c r="AA765" s="73" t="s">
        <v>4165</v>
      </c>
      <c r="AB765" s="62" t="s">
        <v>61</v>
      </c>
      <c r="AC765" s="63" t="s">
        <v>61</v>
      </c>
      <c r="AD765" s="64" t="s">
        <v>61</v>
      </c>
      <c r="AE765" s="64" t="s">
        <v>61</v>
      </c>
      <c r="AF765" s="63" t="s">
        <v>61</v>
      </c>
      <c r="AG765" s="63" t="s">
        <v>61</v>
      </c>
      <c r="AH765" s="63" t="s">
        <v>61</v>
      </c>
      <c r="AI765" s="65" t="s">
        <v>61</v>
      </c>
      <c r="AJ765" s="105" t="s">
        <v>61</v>
      </c>
      <c r="AK765" s="76"/>
    </row>
    <row r="766" ht="24.0" customHeight="1">
      <c r="A766" s="35"/>
      <c r="B766" s="36">
        <v>1.0</v>
      </c>
      <c r="C766" s="37" t="str">
        <f>IFERROR(__xludf.DUMMYFUNCTION("""COMPUTED_VALUE"""),"Brody Libel (4) - '27 RHP IL")</f>
        <v>Brody Libel (4) - '27 RHP IL</v>
      </c>
      <c r="D766" s="89" t="s">
        <v>4166</v>
      </c>
      <c r="E766" s="39" t="s">
        <v>63</v>
      </c>
      <c r="F766" s="156">
        <v>46169.0</v>
      </c>
      <c r="G766" s="113" t="s">
        <v>1470</v>
      </c>
      <c r="H766" s="42" t="s">
        <v>556</v>
      </c>
      <c r="I766" s="43" t="s">
        <v>4167</v>
      </c>
      <c r="J766" s="43">
        <v>2027.0</v>
      </c>
      <c r="K766" s="43">
        <v>4.0</v>
      </c>
      <c r="L766" s="80"/>
      <c r="M766" s="43" t="s">
        <v>63</v>
      </c>
      <c r="N766" s="43" t="s">
        <v>4168</v>
      </c>
      <c r="O766" s="43" t="s">
        <v>3774</v>
      </c>
      <c r="P766" s="43" t="s">
        <v>4169</v>
      </c>
      <c r="Q766" s="43" t="s">
        <v>307</v>
      </c>
      <c r="R766" s="43" t="s">
        <v>4170</v>
      </c>
      <c r="S766" s="44" t="s">
        <v>4171</v>
      </c>
      <c r="T766" s="81"/>
      <c r="U766" s="39" t="s">
        <v>4172</v>
      </c>
      <c r="V766" s="39" t="s">
        <v>4173</v>
      </c>
      <c r="W766" s="81"/>
      <c r="X766" s="81"/>
      <c r="Y766" s="39"/>
      <c r="Z766" s="82"/>
      <c r="AA766" s="99"/>
      <c r="AB766" s="48" t="s">
        <v>61</v>
      </c>
      <c r="AC766" s="68" t="s">
        <v>61</v>
      </c>
      <c r="AD766" s="69" t="s">
        <v>61</v>
      </c>
      <c r="AE766" s="69" t="s">
        <v>61</v>
      </c>
      <c r="AF766" s="68" t="s">
        <v>61</v>
      </c>
      <c r="AG766" s="68" t="s">
        <v>61</v>
      </c>
      <c r="AH766" s="68" t="s">
        <v>61</v>
      </c>
      <c r="AI766" s="70" t="s">
        <v>61</v>
      </c>
      <c r="AJ766" s="114" t="s">
        <v>61</v>
      </c>
      <c r="AK766" s="82"/>
    </row>
    <row r="767" ht="24.0" customHeight="1">
      <c r="A767" s="35"/>
      <c r="B767" s="36">
        <v>1.0</v>
      </c>
      <c r="C767" s="37" t="str">
        <f>IFERROR(__xludf.DUMMYFUNCTION("""COMPUTED_VALUE"""),"Jacob Lilienthal (4) - '27 C NJ")</f>
        <v>Jacob Lilienthal (4) - '27 C NJ</v>
      </c>
      <c r="D767" s="89" t="s">
        <v>4174</v>
      </c>
      <c r="E767" s="51" t="s">
        <v>109</v>
      </c>
      <c r="F767" s="115"/>
      <c r="G767" s="116" t="s">
        <v>1395</v>
      </c>
      <c r="H767" s="54" t="s">
        <v>284</v>
      </c>
      <c r="I767" s="55" t="s">
        <v>4175</v>
      </c>
      <c r="J767" s="55">
        <v>2027.0</v>
      </c>
      <c r="K767" s="55">
        <v>4.0</v>
      </c>
      <c r="L767" s="171" t="s">
        <v>61</v>
      </c>
      <c r="M767" s="55" t="s">
        <v>109</v>
      </c>
      <c r="N767" s="172"/>
      <c r="O767" s="55" t="s">
        <v>1989</v>
      </c>
      <c r="P767" s="57"/>
      <c r="Q767" s="55" t="s">
        <v>502</v>
      </c>
      <c r="R767" s="57"/>
      <c r="S767" s="58" t="s">
        <v>3066</v>
      </c>
      <c r="T767" s="74"/>
      <c r="U767" s="74"/>
      <c r="V767" s="74"/>
      <c r="W767" s="74"/>
      <c r="X767" s="74"/>
      <c r="Y767" s="74"/>
      <c r="Z767" s="76"/>
      <c r="AA767" s="134"/>
      <c r="AB767" s="62" t="s">
        <v>61</v>
      </c>
      <c r="AC767" s="63" t="s">
        <v>61</v>
      </c>
      <c r="AD767" s="64" t="s">
        <v>61</v>
      </c>
      <c r="AE767" s="64" t="s">
        <v>61</v>
      </c>
      <c r="AF767" s="63" t="s">
        <v>61</v>
      </c>
      <c r="AG767" s="63" t="s">
        <v>61</v>
      </c>
      <c r="AH767" s="63" t="s">
        <v>61</v>
      </c>
      <c r="AI767" s="65" t="s">
        <v>61</v>
      </c>
      <c r="AJ767" s="66" t="s">
        <v>61</v>
      </c>
      <c r="AK767" s="60"/>
    </row>
    <row r="768" ht="24.0" customHeight="1">
      <c r="A768" s="35"/>
      <c r="B768" s="36">
        <v>1.0</v>
      </c>
      <c r="C768" s="37" t="str">
        <f>IFERROR(__xludf.DUMMYFUNCTION("""COMPUTED_VALUE"""),"Braden Little (1) - '27 OF GA")</f>
        <v>Braden Little (1) - '27 OF GA</v>
      </c>
      <c r="D768" s="38" t="s">
        <v>4176</v>
      </c>
      <c r="E768" s="39" t="s">
        <v>103</v>
      </c>
      <c r="F768" s="118">
        <v>45925.0</v>
      </c>
      <c r="G768" s="113" t="s">
        <v>1395</v>
      </c>
      <c r="H768" s="42" t="s">
        <v>512</v>
      </c>
      <c r="I768" s="43" t="s">
        <v>4177</v>
      </c>
      <c r="J768" s="43">
        <v>2027.0</v>
      </c>
      <c r="K768" s="43">
        <v>1.0</v>
      </c>
      <c r="L768" s="158" t="s">
        <v>61</v>
      </c>
      <c r="M768" s="43" t="s">
        <v>103</v>
      </c>
      <c r="N768" s="44"/>
      <c r="O768" s="80"/>
      <c r="P768" s="80"/>
      <c r="Q768" s="43" t="s">
        <v>43</v>
      </c>
      <c r="R768" s="80"/>
      <c r="S768" s="44" t="s">
        <v>4178</v>
      </c>
      <c r="T768" s="81"/>
      <c r="U768" s="81"/>
      <c r="V768" s="39">
        <v>4.235093375E9</v>
      </c>
      <c r="W768" s="39" t="s">
        <v>1564</v>
      </c>
      <c r="X768" s="81"/>
      <c r="Y768" s="81"/>
      <c r="Z768" s="82"/>
      <c r="AA768" s="99"/>
      <c r="AB768" s="48" t="s">
        <v>61</v>
      </c>
      <c r="AC768" s="68" t="s">
        <v>61</v>
      </c>
      <c r="AD768" s="69" t="s">
        <v>61</v>
      </c>
      <c r="AE768" s="69" t="s">
        <v>61</v>
      </c>
      <c r="AF768" s="68" t="s">
        <v>61</v>
      </c>
      <c r="AG768" s="68" t="s">
        <v>61</v>
      </c>
      <c r="AH768" s="68" t="s">
        <v>61</v>
      </c>
      <c r="AI768" s="70" t="s">
        <v>61</v>
      </c>
      <c r="AJ768" s="49" t="s">
        <v>61</v>
      </c>
      <c r="AK768" s="46"/>
    </row>
    <row r="769" ht="24.0" customHeight="1">
      <c r="A769" s="93"/>
      <c r="B769" s="36">
        <v>1.0</v>
      </c>
      <c r="C769" s="37" t="str">
        <f>IFERROR(__xludf.DUMMYFUNCTION("""COMPUTED_VALUE"""),"Luke Loeb (4) - '27 OF FL")</f>
        <v>Luke Loeb (4) - '27 OF FL</v>
      </c>
      <c r="D769" s="38" t="s">
        <v>4179</v>
      </c>
      <c r="E769" s="51" t="s">
        <v>103</v>
      </c>
      <c r="F769" s="115"/>
      <c r="G769" s="116" t="s">
        <v>1430</v>
      </c>
      <c r="H769" s="54" t="s">
        <v>1042</v>
      </c>
      <c r="I769" s="55" t="s">
        <v>4180</v>
      </c>
      <c r="J769" s="55">
        <v>2027.0</v>
      </c>
      <c r="K769" s="55">
        <v>4.0</v>
      </c>
      <c r="L769" s="171" t="s">
        <v>61</v>
      </c>
      <c r="M769" s="55" t="s">
        <v>103</v>
      </c>
      <c r="N769" s="58"/>
      <c r="O769" s="55"/>
      <c r="P769" s="55"/>
      <c r="Q769" s="55" t="s">
        <v>66</v>
      </c>
      <c r="R769" s="55" t="s">
        <v>1631</v>
      </c>
      <c r="S769" s="58" t="s">
        <v>1539</v>
      </c>
      <c r="T769" s="51" t="s">
        <v>1836</v>
      </c>
      <c r="U769" s="51"/>
      <c r="V769" s="51"/>
      <c r="W769" s="51"/>
      <c r="X769" s="51"/>
      <c r="Y769" s="51"/>
      <c r="Z769" s="60"/>
      <c r="AA769" s="73" t="s">
        <v>4181</v>
      </c>
      <c r="AB769" s="62" t="s">
        <v>61</v>
      </c>
      <c r="AC769" s="63" t="s">
        <v>61</v>
      </c>
      <c r="AD769" s="64" t="s">
        <v>61</v>
      </c>
      <c r="AE769" s="64" t="s">
        <v>61</v>
      </c>
      <c r="AF769" s="63" t="s">
        <v>61</v>
      </c>
      <c r="AG769" s="63" t="s">
        <v>61</v>
      </c>
      <c r="AH769" s="63" t="s">
        <v>61</v>
      </c>
      <c r="AI769" s="65" t="s">
        <v>61</v>
      </c>
      <c r="AJ769" s="105" t="s">
        <v>61</v>
      </c>
      <c r="AK769" s="76"/>
    </row>
    <row r="770" ht="24.0" customHeight="1">
      <c r="A770" s="35"/>
      <c r="B770" s="36">
        <v>1.0</v>
      </c>
      <c r="C770" s="37" t="str">
        <f>IFERROR(__xludf.DUMMYFUNCTION("""COMPUTED_VALUE"""),"Patrick Long (4) - '27 RHP MA")</f>
        <v>Patrick Long (4) - '27 RHP MA</v>
      </c>
      <c r="D770" s="89" t="s">
        <v>4182</v>
      </c>
      <c r="E770" s="39" t="s">
        <v>63</v>
      </c>
      <c r="F770" s="124">
        <v>46083.0</v>
      </c>
      <c r="G770" s="113" t="s">
        <v>1395</v>
      </c>
      <c r="H770" s="42" t="s">
        <v>70</v>
      </c>
      <c r="I770" s="43" t="s">
        <v>2005</v>
      </c>
      <c r="J770" s="43">
        <v>2027.0</v>
      </c>
      <c r="K770" s="43">
        <v>4.0</v>
      </c>
      <c r="L770" s="158" t="s">
        <v>61</v>
      </c>
      <c r="M770" s="43" t="s">
        <v>63</v>
      </c>
      <c r="N770" s="44"/>
      <c r="O770" s="80"/>
      <c r="P770" s="80"/>
      <c r="Q770" s="43" t="s">
        <v>85</v>
      </c>
      <c r="R770" s="80" t="s">
        <v>2485</v>
      </c>
      <c r="S770" s="44" t="s">
        <v>2981</v>
      </c>
      <c r="T770" s="81"/>
      <c r="U770" s="81"/>
      <c r="V770" s="81"/>
      <c r="W770" s="81"/>
      <c r="X770" s="81"/>
      <c r="Y770" s="81"/>
      <c r="Z770" s="82"/>
      <c r="AA770" s="47"/>
      <c r="AB770" s="48" t="s">
        <v>61</v>
      </c>
      <c r="AC770" s="68" t="s">
        <v>61</v>
      </c>
      <c r="AD770" s="69" t="s">
        <v>61</v>
      </c>
      <c r="AE770" s="69" t="s">
        <v>61</v>
      </c>
      <c r="AF770" s="68" t="s">
        <v>61</v>
      </c>
      <c r="AG770" s="68" t="s">
        <v>61</v>
      </c>
      <c r="AH770" s="68" t="s">
        <v>61</v>
      </c>
      <c r="AI770" s="70" t="s">
        <v>61</v>
      </c>
      <c r="AJ770" s="114" t="s">
        <v>61</v>
      </c>
      <c r="AK770" s="82"/>
    </row>
    <row r="771" ht="24.0" customHeight="1">
      <c r="A771" s="35"/>
      <c r="B771" s="36">
        <v>1.0</v>
      </c>
      <c r="C771" s="37" t="str">
        <f>IFERROR(__xludf.DUMMYFUNCTION("""COMPUTED_VALUE"""),"Marcos Lopez (4) - '27 RHP NY")</f>
        <v>Marcos Lopez (4) - '27 RHP NY</v>
      </c>
      <c r="D771" s="38" t="s">
        <v>4183</v>
      </c>
      <c r="E771" s="51" t="s">
        <v>63</v>
      </c>
      <c r="F771" s="115"/>
      <c r="G771" s="116" t="s">
        <v>1395</v>
      </c>
      <c r="H771" s="54" t="s">
        <v>4184</v>
      </c>
      <c r="I771" s="55" t="s">
        <v>951</v>
      </c>
      <c r="J771" s="55">
        <v>2027.0</v>
      </c>
      <c r="K771" s="55">
        <v>4.0</v>
      </c>
      <c r="L771" s="171" t="s">
        <v>61</v>
      </c>
      <c r="M771" s="55" t="s">
        <v>63</v>
      </c>
      <c r="N771" s="58" t="s">
        <v>72</v>
      </c>
      <c r="O771" s="55" t="s">
        <v>1550</v>
      </c>
      <c r="P771" s="55"/>
      <c r="Q771" s="55" t="s">
        <v>255</v>
      </c>
      <c r="R771" s="55" t="s">
        <v>4185</v>
      </c>
      <c r="S771" s="58" t="s">
        <v>2029</v>
      </c>
      <c r="T771" s="51"/>
      <c r="U771" s="51"/>
      <c r="V771" s="51"/>
      <c r="W771" s="51"/>
      <c r="X771" s="51"/>
      <c r="Y771" s="51"/>
      <c r="Z771" s="60"/>
      <c r="AA771" s="73"/>
      <c r="AB771" s="62" t="s">
        <v>61</v>
      </c>
      <c r="AC771" s="63" t="s">
        <v>61</v>
      </c>
      <c r="AD771" s="64" t="s">
        <v>61</v>
      </c>
      <c r="AE771" s="64" t="s">
        <v>61</v>
      </c>
      <c r="AF771" s="63" t="s">
        <v>61</v>
      </c>
      <c r="AG771" s="63" t="s">
        <v>61</v>
      </c>
      <c r="AH771" s="63" t="s">
        <v>61</v>
      </c>
      <c r="AI771" s="65" t="s">
        <v>61</v>
      </c>
      <c r="AJ771" s="66" t="s">
        <v>61</v>
      </c>
      <c r="AK771" s="60"/>
    </row>
    <row r="772" ht="24.0" customHeight="1">
      <c r="A772" s="35"/>
      <c r="B772" s="36">
        <v>1.0</v>
      </c>
      <c r="C772" s="37" t="str">
        <f>IFERROR(__xludf.DUMMYFUNCTION("""COMPUTED_VALUE"""),"Rickee Luevano (4) - '27 CINF Sylmar Charter High School")</f>
        <v>Rickee Luevano (4) - '27 CINF Sylmar Charter High School</v>
      </c>
      <c r="D772" s="89" t="s">
        <v>4186</v>
      </c>
      <c r="E772" s="39" t="s">
        <v>48</v>
      </c>
      <c r="F772" s="156">
        <v>46169.0</v>
      </c>
      <c r="G772" s="113" t="s">
        <v>1470</v>
      </c>
      <c r="H772" s="42" t="s">
        <v>4187</v>
      </c>
      <c r="I772" s="43" t="s">
        <v>4188</v>
      </c>
      <c r="J772" s="43">
        <v>2027.0</v>
      </c>
      <c r="K772" s="43">
        <v>4.0</v>
      </c>
      <c r="L772" s="80"/>
      <c r="M772" s="43" t="s">
        <v>72</v>
      </c>
      <c r="N772" s="43" t="s">
        <v>3163</v>
      </c>
      <c r="O772" s="80"/>
      <c r="P772" s="80"/>
      <c r="Q772" s="43" t="s">
        <v>4189</v>
      </c>
      <c r="R772" s="80"/>
      <c r="S772" s="44" t="s">
        <v>4171</v>
      </c>
      <c r="T772" s="81"/>
      <c r="U772" s="81"/>
      <c r="V772" s="39">
        <v>45.0</v>
      </c>
      <c r="W772" s="39" t="s">
        <v>4190</v>
      </c>
      <c r="X772" s="81"/>
      <c r="Y772" s="81"/>
      <c r="Z772" s="82"/>
      <c r="AA772" s="161" t="s">
        <v>4191</v>
      </c>
      <c r="AB772" s="48" t="s">
        <v>61</v>
      </c>
      <c r="AC772" s="68" t="s">
        <v>61</v>
      </c>
      <c r="AD772" s="69" t="s">
        <v>61</v>
      </c>
      <c r="AE772" s="69" t="s">
        <v>61</v>
      </c>
      <c r="AF772" s="68" t="s">
        <v>61</v>
      </c>
      <c r="AG772" s="68" t="s">
        <v>61</v>
      </c>
      <c r="AH772" s="68" t="s">
        <v>61</v>
      </c>
      <c r="AI772" s="70" t="s">
        <v>61</v>
      </c>
      <c r="AJ772" s="114" t="s">
        <v>61</v>
      </c>
      <c r="AK772" s="82"/>
    </row>
    <row r="773" ht="24.0" customHeight="1">
      <c r="A773" s="35"/>
      <c r="B773" s="36">
        <v>1.0</v>
      </c>
      <c r="C773" s="37" t="str">
        <f>IFERROR(__xludf.DUMMYFUNCTION("""COMPUTED_VALUE"""),"Wyatt Maciel (4) - '27 RHP DC")</f>
        <v>Wyatt Maciel (4) - '27 RHP DC</v>
      </c>
      <c r="D773" s="89" t="s">
        <v>4192</v>
      </c>
      <c r="E773" s="51" t="s">
        <v>63</v>
      </c>
      <c r="F773" s="154">
        <v>46170.0</v>
      </c>
      <c r="G773" s="116" t="s">
        <v>1470</v>
      </c>
      <c r="H773" s="54" t="s">
        <v>1302</v>
      </c>
      <c r="I773" s="55" t="s">
        <v>4193</v>
      </c>
      <c r="J773" s="55">
        <v>2027.0</v>
      </c>
      <c r="K773" s="55">
        <v>4.0</v>
      </c>
      <c r="L773" s="57"/>
      <c r="M773" s="55" t="s">
        <v>63</v>
      </c>
      <c r="N773" s="55"/>
      <c r="O773" s="55"/>
      <c r="P773" s="55" t="s">
        <v>2430</v>
      </c>
      <c r="Q773" s="55" t="s">
        <v>4194</v>
      </c>
      <c r="R773" s="55" t="s">
        <v>4195</v>
      </c>
      <c r="S773" s="132"/>
      <c r="T773" s="51">
        <v>3.8</v>
      </c>
      <c r="U773" s="51"/>
      <c r="V773" s="51" t="s">
        <v>4196</v>
      </c>
      <c r="W773" s="51"/>
      <c r="X773" s="74"/>
      <c r="Y773" s="74"/>
      <c r="Z773" s="60"/>
      <c r="AA773" s="155" t="s">
        <v>4197</v>
      </c>
      <c r="AB773" s="62" t="s">
        <v>61</v>
      </c>
      <c r="AC773" s="63" t="s">
        <v>61</v>
      </c>
      <c r="AD773" s="64" t="s">
        <v>61</v>
      </c>
      <c r="AE773" s="64" t="s">
        <v>61</v>
      </c>
      <c r="AF773" s="63" t="s">
        <v>61</v>
      </c>
      <c r="AG773" s="63" t="s">
        <v>61</v>
      </c>
      <c r="AH773" s="63" t="s">
        <v>61</v>
      </c>
      <c r="AI773" s="65" t="s">
        <v>61</v>
      </c>
      <c r="AJ773" s="105" t="s">
        <v>61</v>
      </c>
      <c r="AK773" s="76"/>
    </row>
    <row r="774" ht="24.0" customHeight="1">
      <c r="A774" s="35"/>
      <c r="B774" s="36">
        <v>1.0</v>
      </c>
      <c r="C774" s="37" t="str">
        <f>IFERROR(__xludf.DUMMYFUNCTION("""COMPUTED_VALUE"""),"Dean Madden (4) - '27 RHP MA")</f>
        <v>Dean Madden (4) - '27 RHP MA</v>
      </c>
      <c r="D774" s="89" t="s">
        <v>4198</v>
      </c>
      <c r="E774" s="39" t="s">
        <v>63</v>
      </c>
      <c r="F774" s="124">
        <v>46083.0</v>
      </c>
      <c r="G774" s="113" t="s">
        <v>1395</v>
      </c>
      <c r="H774" s="42" t="s">
        <v>715</v>
      </c>
      <c r="I774" s="43" t="s">
        <v>4199</v>
      </c>
      <c r="J774" s="43">
        <v>2027.0</v>
      </c>
      <c r="K774" s="43">
        <v>4.0</v>
      </c>
      <c r="L774" s="158" t="s">
        <v>61</v>
      </c>
      <c r="M774" s="43" t="s">
        <v>63</v>
      </c>
      <c r="N774" s="44"/>
      <c r="O774" s="80"/>
      <c r="P774" s="80" t="s">
        <v>4200</v>
      </c>
      <c r="Q774" s="43" t="s">
        <v>85</v>
      </c>
      <c r="R774" s="80" t="s">
        <v>4200</v>
      </c>
      <c r="S774" s="44" t="s">
        <v>2981</v>
      </c>
      <c r="T774" s="81"/>
      <c r="U774" s="81"/>
      <c r="V774" s="81">
        <v>7.81856394E9</v>
      </c>
      <c r="W774" s="81"/>
      <c r="X774" s="81"/>
      <c r="Y774" s="81"/>
      <c r="Z774" s="82"/>
      <c r="AA774" s="47"/>
      <c r="AB774" s="48" t="s">
        <v>61</v>
      </c>
      <c r="AC774" s="68" t="s">
        <v>61</v>
      </c>
      <c r="AD774" s="69" t="s">
        <v>61</v>
      </c>
      <c r="AE774" s="69" t="s">
        <v>61</v>
      </c>
      <c r="AF774" s="68" t="s">
        <v>61</v>
      </c>
      <c r="AG774" s="68" t="s">
        <v>61</v>
      </c>
      <c r="AH774" s="68" t="s">
        <v>61</v>
      </c>
      <c r="AI774" s="70" t="s">
        <v>61</v>
      </c>
      <c r="AJ774" s="114" t="s">
        <v>61</v>
      </c>
      <c r="AK774" s="82"/>
    </row>
    <row r="775" ht="24.0" customHeight="1">
      <c r="A775" s="35"/>
      <c r="B775" s="36">
        <v>1.0</v>
      </c>
      <c r="C775" s="37" t="str">
        <f>IFERROR(__xludf.DUMMYFUNCTION("""COMPUTED_VALUE"""),"Joey Maiella (4) - '27 C ")</f>
        <v>Joey Maiella (4) - '27 C </v>
      </c>
      <c r="D775" s="89" t="s">
        <v>4201</v>
      </c>
      <c r="E775" s="51" t="s">
        <v>109</v>
      </c>
      <c r="F775" s="154">
        <v>46156.0</v>
      </c>
      <c r="G775" s="116" t="s">
        <v>1395</v>
      </c>
      <c r="H775" s="54" t="s">
        <v>954</v>
      </c>
      <c r="I775" s="55" t="s">
        <v>4202</v>
      </c>
      <c r="J775" s="55">
        <v>2027.0</v>
      </c>
      <c r="K775" s="55">
        <v>4.0</v>
      </c>
      <c r="L775" s="57"/>
      <c r="M775" s="55" t="s">
        <v>109</v>
      </c>
      <c r="N775" s="55"/>
      <c r="O775" s="55" t="s">
        <v>1550</v>
      </c>
      <c r="P775" s="57"/>
      <c r="Q775" s="57"/>
      <c r="R775" s="57"/>
      <c r="S775" s="58" t="s">
        <v>3959</v>
      </c>
      <c r="T775" s="51" t="s">
        <v>4203</v>
      </c>
      <c r="U775" s="51"/>
      <c r="V775" s="74"/>
      <c r="W775" s="51" t="s">
        <v>4204</v>
      </c>
      <c r="X775" s="74"/>
      <c r="Y775" s="74"/>
      <c r="Z775" s="76"/>
      <c r="AA775" s="169" t="s">
        <v>4205</v>
      </c>
      <c r="AB775" s="62" t="s">
        <v>61</v>
      </c>
      <c r="AC775" s="63" t="s">
        <v>61</v>
      </c>
      <c r="AD775" s="64" t="s">
        <v>61</v>
      </c>
      <c r="AE775" s="64" t="s">
        <v>61</v>
      </c>
      <c r="AF775" s="63" t="s">
        <v>61</v>
      </c>
      <c r="AG775" s="63" t="s">
        <v>61</v>
      </c>
      <c r="AH775" s="63" t="s">
        <v>61</v>
      </c>
      <c r="AI775" s="65" t="s">
        <v>61</v>
      </c>
      <c r="AJ775" s="105" t="s">
        <v>61</v>
      </c>
      <c r="AK775" s="76"/>
    </row>
    <row r="776" ht="24.0" customHeight="1">
      <c r="A776" s="35"/>
      <c r="B776" s="36">
        <v>1.0</v>
      </c>
      <c r="C776" s="37" t="str">
        <f>IFERROR(__xludf.DUMMYFUNCTION("""COMPUTED_VALUE"""),"Max Mandler (4) - '27 RHP MA")</f>
        <v>Max Mandler (4) - '27 RHP MA</v>
      </c>
      <c r="D776" s="89" t="s">
        <v>4206</v>
      </c>
      <c r="E776" s="39" t="s">
        <v>63</v>
      </c>
      <c r="F776" s="112"/>
      <c r="G776" s="113" t="s">
        <v>1395</v>
      </c>
      <c r="H776" s="42" t="s">
        <v>1997</v>
      </c>
      <c r="I776" s="43" t="s">
        <v>4207</v>
      </c>
      <c r="J776" s="43">
        <v>2027.0</v>
      </c>
      <c r="K776" s="43">
        <v>4.0</v>
      </c>
      <c r="L776" s="158" t="s">
        <v>61</v>
      </c>
      <c r="M776" s="43" t="s">
        <v>63</v>
      </c>
      <c r="N776" s="44"/>
      <c r="O776" s="43" t="s">
        <v>1550</v>
      </c>
      <c r="P776" s="95"/>
      <c r="Q776" s="43" t="s">
        <v>85</v>
      </c>
      <c r="R776" s="43" t="s">
        <v>4208</v>
      </c>
      <c r="S776" s="44" t="s">
        <v>87</v>
      </c>
      <c r="T776" s="39"/>
      <c r="U776" s="39"/>
      <c r="V776" s="39"/>
      <c r="W776" s="39"/>
      <c r="X776" s="39"/>
      <c r="Y776" s="39"/>
      <c r="Z776" s="46"/>
      <c r="AA776" s="47"/>
      <c r="AB776" s="48" t="s">
        <v>61</v>
      </c>
      <c r="AC776" s="68" t="s">
        <v>61</v>
      </c>
      <c r="AD776" s="69" t="s">
        <v>61</v>
      </c>
      <c r="AE776" s="69" t="s">
        <v>61</v>
      </c>
      <c r="AF776" s="68" t="s">
        <v>61</v>
      </c>
      <c r="AG776" s="68" t="s">
        <v>61</v>
      </c>
      <c r="AH776" s="68" t="s">
        <v>61</v>
      </c>
      <c r="AI776" s="70" t="s">
        <v>61</v>
      </c>
      <c r="AJ776" s="49" t="s">
        <v>61</v>
      </c>
      <c r="AK776" s="46"/>
    </row>
    <row r="777" ht="24.0" customHeight="1">
      <c r="A777" s="35"/>
      <c r="B777" s="36">
        <v>1.0</v>
      </c>
      <c r="C777" s="37" t="str">
        <f>IFERROR(__xludf.DUMMYFUNCTION("""COMPUTED_VALUE"""),"Grayson Marek (4) - '27 RHP TX")</f>
        <v>Grayson Marek (4) - '27 RHP TX</v>
      </c>
      <c r="D777" s="89" t="s">
        <v>4209</v>
      </c>
      <c r="E777" s="51" t="s">
        <v>63</v>
      </c>
      <c r="F777" s="154">
        <v>46168.0</v>
      </c>
      <c r="G777" s="116" t="s">
        <v>1395</v>
      </c>
      <c r="H777" s="54" t="s">
        <v>3296</v>
      </c>
      <c r="I777" s="55" t="s">
        <v>4210</v>
      </c>
      <c r="J777" s="55">
        <v>2027.0</v>
      </c>
      <c r="K777" s="55">
        <v>4.0</v>
      </c>
      <c r="L777" s="57"/>
      <c r="M777" s="55" t="s">
        <v>63</v>
      </c>
      <c r="N777" s="55"/>
      <c r="O777" s="57"/>
      <c r="P777" s="55" t="s">
        <v>4211</v>
      </c>
      <c r="Q777" s="55" t="s">
        <v>180</v>
      </c>
      <c r="R777" s="55" t="s">
        <v>4212</v>
      </c>
      <c r="S777" s="58" t="s">
        <v>1884</v>
      </c>
      <c r="T777" s="74"/>
      <c r="U777" s="74"/>
      <c r="V777" s="74"/>
      <c r="W777" s="51" t="s">
        <v>4213</v>
      </c>
      <c r="X777" s="74"/>
      <c r="Y777" s="74"/>
      <c r="Z777" s="76"/>
      <c r="AA777" s="169" t="s">
        <v>4214</v>
      </c>
      <c r="AB777" s="62" t="s">
        <v>61</v>
      </c>
      <c r="AC777" s="63" t="s">
        <v>61</v>
      </c>
      <c r="AD777" s="64" t="s">
        <v>61</v>
      </c>
      <c r="AE777" s="64" t="s">
        <v>61</v>
      </c>
      <c r="AF777" s="63" t="s">
        <v>61</v>
      </c>
      <c r="AG777" s="63" t="s">
        <v>61</v>
      </c>
      <c r="AH777" s="63" t="s">
        <v>61</v>
      </c>
      <c r="AI777" s="65" t="s">
        <v>61</v>
      </c>
      <c r="AJ777" s="105" t="s">
        <v>61</v>
      </c>
      <c r="AK777" s="76"/>
    </row>
    <row r="778" ht="24.0" customHeight="1">
      <c r="A778" s="35"/>
      <c r="B778" s="36">
        <v>1.0</v>
      </c>
      <c r="C778" s="37" t="str">
        <f>IFERROR(__xludf.DUMMYFUNCTION("""COMPUTED_VALUE"""),"Braden Martin (4) - '27 LHP ")</f>
        <v>Braden Martin (4) - '27 LHP </v>
      </c>
      <c r="D778" s="89" t="s">
        <v>4215</v>
      </c>
      <c r="E778" s="39" t="s">
        <v>122</v>
      </c>
      <c r="F778" s="156">
        <v>46168.0</v>
      </c>
      <c r="G778" s="113" t="s">
        <v>1395</v>
      </c>
      <c r="H778" s="42" t="s">
        <v>512</v>
      </c>
      <c r="I778" s="43" t="s">
        <v>359</v>
      </c>
      <c r="J778" s="43">
        <v>2027.0</v>
      </c>
      <c r="K778" s="43">
        <v>4.0</v>
      </c>
      <c r="L778" s="80"/>
      <c r="M778" s="43" t="s">
        <v>122</v>
      </c>
      <c r="N778" s="43"/>
      <c r="O778" s="80"/>
      <c r="P778" s="80"/>
      <c r="Q778" s="80"/>
      <c r="R778" s="80"/>
      <c r="S778" s="39" t="s">
        <v>2029</v>
      </c>
      <c r="T778" s="39"/>
      <c r="U778" s="81"/>
      <c r="V778" s="81"/>
      <c r="W778" s="81"/>
      <c r="X778" s="81"/>
      <c r="Y778" s="81"/>
      <c r="Z778" s="82"/>
      <c r="AA778" s="99"/>
      <c r="AB778" s="48" t="s">
        <v>61</v>
      </c>
      <c r="AC778" s="68" t="s">
        <v>61</v>
      </c>
      <c r="AD778" s="69" t="s">
        <v>61</v>
      </c>
      <c r="AE778" s="69" t="s">
        <v>61</v>
      </c>
      <c r="AF778" s="68" t="s">
        <v>61</v>
      </c>
      <c r="AG778" s="68" t="s">
        <v>61</v>
      </c>
      <c r="AH778" s="68" t="s">
        <v>61</v>
      </c>
      <c r="AI778" s="70" t="s">
        <v>61</v>
      </c>
      <c r="AJ778" s="114" t="s">
        <v>61</v>
      </c>
      <c r="AK778" s="82"/>
    </row>
    <row r="779" ht="24.0" customHeight="1">
      <c r="A779" s="35"/>
      <c r="B779" s="36">
        <v>1.0</v>
      </c>
      <c r="C779" s="37" t="str">
        <f>IFERROR(__xludf.DUMMYFUNCTION("""COMPUTED_VALUE"""),"Jorden Marzi (4) - '29 OF The Rivers")</f>
        <v>Jorden Marzi (4) - '29 OF The Rivers</v>
      </c>
      <c r="D779" s="89" t="s">
        <v>4216</v>
      </c>
      <c r="E779" s="51" t="s">
        <v>103</v>
      </c>
      <c r="F779" s="154">
        <v>46156.0</v>
      </c>
      <c r="G779" s="116" t="s">
        <v>1395</v>
      </c>
      <c r="H779" s="54" t="s">
        <v>4217</v>
      </c>
      <c r="I779" s="55" t="s">
        <v>4218</v>
      </c>
      <c r="J779" s="55">
        <v>2029.0</v>
      </c>
      <c r="K779" s="55">
        <v>4.0</v>
      </c>
      <c r="L779" s="57"/>
      <c r="M779" s="55" t="s">
        <v>103</v>
      </c>
      <c r="N779" s="55"/>
      <c r="O779" s="55" t="s">
        <v>1989</v>
      </c>
      <c r="P779" s="57"/>
      <c r="Q779" s="55" t="s">
        <v>4219</v>
      </c>
      <c r="R779" s="55" t="s">
        <v>1400</v>
      </c>
      <c r="S779" s="58" t="s">
        <v>1400</v>
      </c>
      <c r="T779" s="74"/>
      <c r="U779" s="74"/>
      <c r="V779" s="74"/>
      <c r="W779" s="74"/>
      <c r="X779" s="51"/>
      <c r="Y779" s="74"/>
      <c r="Z779" s="76"/>
      <c r="AA779" s="163" t="s">
        <v>4220</v>
      </c>
      <c r="AB779" s="62" t="s">
        <v>61</v>
      </c>
      <c r="AC779" s="63" t="s">
        <v>61</v>
      </c>
      <c r="AD779" s="64" t="s">
        <v>61</v>
      </c>
      <c r="AE779" s="64" t="s">
        <v>61</v>
      </c>
      <c r="AF779" s="63" t="s">
        <v>61</v>
      </c>
      <c r="AG779" s="63" t="s">
        <v>61</v>
      </c>
      <c r="AH779" s="63" t="s">
        <v>61</v>
      </c>
      <c r="AI779" s="65" t="s">
        <v>61</v>
      </c>
      <c r="AJ779" s="105" t="s">
        <v>61</v>
      </c>
      <c r="AK779" s="76"/>
    </row>
    <row r="780" ht="24.0" customHeight="1">
      <c r="A780" s="35"/>
      <c r="B780" s="36">
        <v>1.0</v>
      </c>
      <c r="C780" s="37" t="str">
        <f>IFERROR(__xludf.DUMMYFUNCTION("""COMPUTED_VALUE"""),"Dante Matarese (4) - '27 OF NJ")</f>
        <v>Dante Matarese (4) - '27 OF NJ</v>
      </c>
      <c r="D780" s="38" t="s">
        <v>4221</v>
      </c>
      <c r="E780" s="39" t="s">
        <v>103</v>
      </c>
      <c r="F780" s="121"/>
      <c r="G780" s="122"/>
      <c r="H780" s="42" t="s">
        <v>4222</v>
      </c>
      <c r="I780" s="43" t="s">
        <v>4223</v>
      </c>
      <c r="J780" s="43">
        <v>2027.0</v>
      </c>
      <c r="K780" s="43">
        <v>4.0</v>
      </c>
      <c r="L780" s="158" t="s">
        <v>61</v>
      </c>
      <c r="M780" s="43" t="s">
        <v>103</v>
      </c>
      <c r="N780" s="117"/>
      <c r="O780" s="43" t="s">
        <v>1989</v>
      </c>
      <c r="P780" s="43" t="s">
        <v>4224</v>
      </c>
      <c r="Q780" s="43" t="s">
        <v>502</v>
      </c>
      <c r="R780" s="43" t="s">
        <v>4225</v>
      </c>
      <c r="S780" s="44" t="s">
        <v>3112</v>
      </c>
      <c r="T780" s="81"/>
      <c r="U780" s="81"/>
      <c r="V780" s="157"/>
      <c r="W780" s="39" t="s">
        <v>1724</v>
      </c>
      <c r="X780" s="81"/>
      <c r="Y780" s="81"/>
      <c r="Z780" s="82"/>
      <c r="AA780" s="99"/>
      <c r="AB780" s="48" t="s">
        <v>61</v>
      </c>
      <c r="AC780" s="68" t="s">
        <v>61</v>
      </c>
      <c r="AD780" s="69" t="s">
        <v>61</v>
      </c>
      <c r="AE780" s="69" t="s">
        <v>61</v>
      </c>
      <c r="AF780" s="68" t="s">
        <v>61</v>
      </c>
      <c r="AG780" s="68" t="s">
        <v>61</v>
      </c>
      <c r="AH780" s="68" t="s">
        <v>61</v>
      </c>
      <c r="AI780" s="70" t="s">
        <v>61</v>
      </c>
      <c r="AJ780" s="114" t="s">
        <v>61</v>
      </c>
      <c r="AK780" s="82"/>
    </row>
    <row r="781" ht="24.0" customHeight="1">
      <c r="A781" s="35"/>
      <c r="B781" s="36">
        <v>1.0</v>
      </c>
      <c r="C781" s="37" t="str">
        <f>IFERROR(__xludf.DUMMYFUNCTION("""COMPUTED_VALUE"""),"Carsten Matthews (4) - '28 IF CT")</f>
        <v>Carsten Matthews (4) - '28 IF CT</v>
      </c>
      <c r="D781" s="89" t="s">
        <v>4226</v>
      </c>
      <c r="E781" s="51"/>
      <c r="F781" s="154">
        <v>46168.0</v>
      </c>
      <c r="G781" s="116" t="s">
        <v>1395</v>
      </c>
      <c r="H781" s="54" t="s">
        <v>4227</v>
      </c>
      <c r="I781" s="55" t="s">
        <v>2514</v>
      </c>
      <c r="J781" s="55">
        <v>2028.0</v>
      </c>
      <c r="K781" s="55">
        <v>4.0</v>
      </c>
      <c r="L781" s="57"/>
      <c r="M781" s="55" t="s">
        <v>4228</v>
      </c>
      <c r="N781" s="55" t="s">
        <v>4229</v>
      </c>
      <c r="O781" s="57"/>
      <c r="P781" s="57"/>
      <c r="Q781" s="55" t="s">
        <v>160</v>
      </c>
      <c r="R781" s="55" t="s">
        <v>4230</v>
      </c>
      <c r="S781" s="58" t="s">
        <v>3377</v>
      </c>
      <c r="T781" s="74"/>
      <c r="U781" s="51" t="s">
        <v>4231</v>
      </c>
      <c r="V781" s="74"/>
      <c r="W781" s="74"/>
      <c r="X781" s="74"/>
      <c r="Y781" s="74"/>
      <c r="Z781" s="76"/>
      <c r="AA781" s="73" t="s">
        <v>4232</v>
      </c>
      <c r="AB781" s="62" t="s">
        <v>61</v>
      </c>
      <c r="AC781" s="63" t="s">
        <v>61</v>
      </c>
      <c r="AD781" s="64" t="s">
        <v>61</v>
      </c>
      <c r="AE781" s="64" t="s">
        <v>61</v>
      </c>
      <c r="AF781" s="63" t="s">
        <v>61</v>
      </c>
      <c r="AG781" s="63" t="s">
        <v>61</v>
      </c>
      <c r="AH781" s="63" t="s">
        <v>61</v>
      </c>
      <c r="AI781" s="65" t="s">
        <v>61</v>
      </c>
      <c r="AJ781" s="105" t="s">
        <v>61</v>
      </c>
      <c r="AK781" s="76"/>
    </row>
    <row r="782" ht="24.0" customHeight="1">
      <c r="A782" s="35"/>
      <c r="B782" s="36">
        <v>1.0</v>
      </c>
      <c r="C782" s="37" t="str">
        <f>IFERROR(__xludf.DUMMYFUNCTION("""COMPUTED_VALUE"""),"Noah McMurray (4) - '27 RHP MD")</f>
        <v>Noah McMurray (4) - '27 RHP MD</v>
      </c>
      <c r="D782" s="89" t="s">
        <v>4233</v>
      </c>
      <c r="E782" s="39" t="s">
        <v>63</v>
      </c>
      <c r="F782" s="156">
        <v>46170.0</v>
      </c>
      <c r="G782" s="113" t="s">
        <v>1470</v>
      </c>
      <c r="H782" s="42" t="s">
        <v>49</v>
      </c>
      <c r="I782" s="43" t="s">
        <v>4234</v>
      </c>
      <c r="J782" s="43">
        <v>2027.0</v>
      </c>
      <c r="K782" s="43">
        <v>4.0</v>
      </c>
      <c r="L782" s="80"/>
      <c r="M782" s="43" t="s">
        <v>63</v>
      </c>
      <c r="N782" s="43" t="s">
        <v>103</v>
      </c>
      <c r="O782" s="43" t="s">
        <v>3774</v>
      </c>
      <c r="P782" s="43" t="s">
        <v>4235</v>
      </c>
      <c r="Q782" s="43" t="s">
        <v>195</v>
      </c>
      <c r="R782" s="43" t="s">
        <v>4236</v>
      </c>
      <c r="S782" s="44" t="s">
        <v>3989</v>
      </c>
      <c r="T782" s="39">
        <v>3.9</v>
      </c>
      <c r="U782" s="81"/>
      <c r="V782" s="39" t="s">
        <v>4237</v>
      </c>
      <c r="W782" s="81"/>
      <c r="X782" s="81"/>
      <c r="Y782" s="39"/>
      <c r="Z782" s="82"/>
      <c r="AA782" s="180" t="s">
        <v>4238</v>
      </c>
      <c r="AB782" s="48" t="s">
        <v>61</v>
      </c>
      <c r="AC782" s="68" t="s">
        <v>61</v>
      </c>
      <c r="AD782" s="69" t="s">
        <v>61</v>
      </c>
      <c r="AE782" s="69" t="s">
        <v>61</v>
      </c>
      <c r="AF782" s="68" t="s">
        <v>61</v>
      </c>
      <c r="AG782" s="68" t="s">
        <v>61</v>
      </c>
      <c r="AH782" s="68" t="s">
        <v>61</v>
      </c>
      <c r="AI782" s="70" t="s">
        <v>61</v>
      </c>
      <c r="AJ782" s="114" t="s">
        <v>61</v>
      </c>
      <c r="AK782" s="82"/>
    </row>
    <row r="783" ht="24.0" customHeight="1">
      <c r="A783" s="35"/>
      <c r="B783" s="36">
        <v>1.0</v>
      </c>
      <c r="C783" s="37" t="str">
        <f>IFERROR(__xludf.DUMMYFUNCTION("""COMPUTED_VALUE"""),"Keegan McShea (4) - '27 LHP PA")</f>
        <v>Keegan McShea (4) - '27 LHP PA</v>
      </c>
      <c r="D783" s="89" t="s">
        <v>4239</v>
      </c>
      <c r="E783" s="51" t="s">
        <v>122</v>
      </c>
      <c r="F783" s="154">
        <v>46169.0</v>
      </c>
      <c r="G783" s="116" t="s">
        <v>1470</v>
      </c>
      <c r="H783" s="54" t="s">
        <v>305</v>
      </c>
      <c r="I783" s="55" t="s">
        <v>4240</v>
      </c>
      <c r="J783" s="55">
        <v>2027.0</v>
      </c>
      <c r="K783" s="55">
        <v>4.0</v>
      </c>
      <c r="L783" s="57"/>
      <c r="M783" s="55" t="s">
        <v>122</v>
      </c>
      <c r="N783" s="55" t="s">
        <v>1972</v>
      </c>
      <c r="O783" s="55"/>
      <c r="P783" s="55" t="s">
        <v>3999</v>
      </c>
      <c r="Q783" s="55" t="s">
        <v>240</v>
      </c>
      <c r="R783" s="55" t="s">
        <v>4241</v>
      </c>
      <c r="S783" s="58" t="s">
        <v>4242</v>
      </c>
      <c r="T783" s="74"/>
      <c r="U783" s="51" t="s">
        <v>4243</v>
      </c>
      <c r="V783" s="51" t="s">
        <v>4244</v>
      </c>
      <c r="W783" s="74"/>
      <c r="X783" s="74"/>
      <c r="Y783" s="51"/>
      <c r="Z783" s="76"/>
      <c r="AA783" s="163" t="s">
        <v>4245</v>
      </c>
      <c r="AB783" s="62" t="s">
        <v>61</v>
      </c>
      <c r="AC783" s="63" t="s">
        <v>61</v>
      </c>
      <c r="AD783" s="64" t="s">
        <v>61</v>
      </c>
      <c r="AE783" s="64" t="s">
        <v>61</v>
      </c>
      <c r="AF783" s="63" t="s">
        <v>61</v>
      </c>
      <c r="AG783" s="63" t="s">
        <v>61</v>
      </c>
      <c r="AH783" s="63" t="s">
        <v>61</v>
      </c>
      <c r="AI783" s="65" t="s">
        <v>61</v>
      </c>
      <c r="AJ783" s="105" t="s">
        <v>61</v>
      </c>
      <c r="AK783" s="76"/>
    </row>
    <row r="784" ht="24.0" customHeight="1">
      <c r="A784" s="35"/>
      <c r="B784" s="36">
        <v>1.0</v>
      </c>
      <c r="C784" s="37" t="str">
        <f>IFERROR(__xludf.DUMMYFUNCTION("""COMPUTED_VALUE"""),"Michael Mendoza (4) - '27 C CA")</f>
        <v>Michael Mendoza (4) - '27 C CA</v>
      </c>
      <c r="D784" s="89" t="s">
        <v>4246</v>
      </c>
      <c r="E784" s="39" t="s">
        <v>109</v>
      </c>
      <c r="F784" s="156">
        <v>46169.0</v>
      </c>
      <c r="G784" s="113" t="s">
        <v>1470</v>
      </c>
      <c r="H784" s="42" t="s">
        <v>158</v>
      </c>
      <c r="I784" s="43" t="s">
        <v>4247</v>
      </c>
      <c r="J784" s="43">
        <v>2027.0</v>
      </c>
      <c r="K784" s="43">
        <v>4.0</v>
      </c>
      <c r="L784" s="80"/>
      <c r="M784" s="43" t="s">
        <v>109</v>
      </c>
      <c r="N784" s="43" t="s">
        <v>4248</v>
      </c>
      <c r="O784" s="43" t="s">
        <v>3774</v>
      </c>
      <c r="P784" s="43" t="s">
        <v>4249</v>
      </c>
      <c r="Q784" s="43" t="s">
        <v>52</v>
      </c>
      <c r="R784" s="43" t="s">
        <v>4250</v>
      </c>
      <c r="S784" s="44" t="s">
        <v>4171</v>
      </c>
      <c r="T784" s="81"/>
      <c r="U784" s="81"/>
      <c r="V784" s="39" t="s">
        <v>4251</v>
      </c>
      <c r="W784" s="81"/>
      <c r="X784" s="81"/>
      <c r="Y784" s="39"/>
      <c r="Z784" s="82"/>
      <c r="AA784" s="161" t="s">
        <v>4252</v>
      </c>
      <c r="AB784" s="48" t="s">
        <v>61</v>
      </c>
      <c r="AC784" s="68" t="s">
        <v>61</v>
      </c>
      <c r="AD784" s="69" t="s">
        <v>61</v>
      </c>
      <c r="AE784" s="69" t="s">
        <v>61</v>
      </c>
      <c r="AF784" s="68" t="s">
        <v>61</v>
      </c>
      <c r="AG784" s="68" t="s">
        <v>61</v>
      </c>
      <c r="AH784" s="68" t="s">
        <v>61</v>
      </c>
      <c r="AI784" s="70" t="s">
        <v>61</v>
      </c>
      <c r="AJ784" s="114" t="s">
        <v>61</v>
      </c>
      <c r="AK784" s="82"/>
    </row>
    <row r="785" ht="24.0" customHeight="1">
      <c r="A785" s="35"/>
      <c r="B785" s="36">
        <v>1.0</v>
      </c>
      <c r="C785" s="37" t="str">
        <f>IFERROR(__xludf.DUMMYFUNCTION("""COMPUTED_VALUE"""),"Evan Mizia (4) - '28 RHP PA")</f>
        <v>Evan Mizia (4) - '28 RHP PA</v>
      </c>
      <c r="D785" s="89" t="s">
        <v>4253</v>
      </c>
      <c r="E785" s="51" t="s">
        <v>63</v>
      </c>
      <c r="F785" s="154">
        <v>46168.0</v>
      </c>
      <c r="G785" s="116" t="s">
        <v>1395</v>
      </c>
      <c r="H785" s="54" t="s">
        <v>385</v>
      </c>
      <c r="I785" s="55" t="s">
        <v>4254</v>
      </c>
      <c r="J785" s="55">
        <v>2028.0</v>
      </c>
      <c r="K785" s="55">
        <v>4.0</v>
      </c>
      <c r="L785" s="57"/>
      <c r="M785" s="55" t="s">
        <v>63</v>
      </c>
      <c r="N785" s="55"/>
      <c r="O785" s="57"/>
      <c r="P785" s="55" t="s">
        <v>4255</v>
      </c>
      <c r="Q785" s="55" t="s">
        <v>240</v>
      </c>
      <c r="R785" s="55" t="s">
        <v>4256</v>
      </c>
      <c r="S785" s="58" t="s">
        <v>809</v>
      </c>
      <c r="T785" s="51" t="s">
        <v>2364</v>
      </c>
      <c r="U785" s="74"/>
      <c r="V785" s="74"/>
      <c r="W785" s="74"/>
      <c r="X785" s="74"/>
      <c r="Y785" s="74"/>
      <c r="Z785" s="76"/>
      <c r="AA785" s="155" t="s">
        <v>4257</v>
      </c>
      <c r="AB785" s="62" t="s">
        <v>61</v>
      </c>
      <c r="AC785" s="63" t="s">
        <v>61</v>
      </c>
      <c r="AD785" s="64" t="s">
        <v>61</v>
      </c>
      <c r="AE785" s="64" t="s">
        <v>61</v>
      </c>
      <c r="AF785" s="63" t="s">
        <v>61</v>
      </c>
      <c r="AG785" s="63" t="s">
        <v>61</v>
      </c>
      <c r="AH785" s="63" t="s">
        <v>61</v>
      </c>
      <c r="AI785" s="65" t="s">
        <v>61</v>
      </c>
      <c r="AJ785" s="105" t="s">
        <v>61</v>
      </c>
      <c r="AK785" s="76"/>
    </row>
    <row r="786" ht="24.0" customHeight="1">
      <c r="A786" s="35"/>
      <c r="B786" s="36">
        <v>1.0</v>
      </c>
      <c r="C786" s="37" t="str">
        <f>IFERROR(__xludf.DUMMYFUNCTION("""COMPUTED_VALUE"""),"Kyle Moan (4) - '27 C GA")</f>
        <v>Kyle Moan (4) - '27 C GA</v>
      </c>
      <c r="D786" s="38" t="s">
        <v>4258</v>
      </c>
      <c r="E786" s="39" t="s">
        <v>109</v>
      </c>
      <c r="F786" s="118">
        <v>45865.0</v>
      </c>
      <c r="G786" s="113" t="s">
        <v>1395</v>
      </c>
      <c r="H786" s="42" t="s">
        <v>3666</v>
      </c>
      <c r="I786" s="43" t="s">
        <v>4259</v>
      </c>
      <c r="J786" s="43">
        <v>2027.0</v>
      </c>
      <c r="K786" s="43">
        <v>4.0</v>
      </c>
      <c r="L786" s="158" t="s">
        <v>61</v>
      </c>
      <c r="M786" s="43" t="s">
        <v>109</v>
      </c>
      <c r="N786" s="117"/>
      <c r="O786" s="43" t="s">
        <v>1989</v>
      </c>
      <c r="P786" s="43" t="s">
        <v>1973</v>
      </c>
      <c r="Q786" s="43" t="s">
        <v>43</v>
      </c>
      <c r="R786" s="43" t="s">
        <v>4260</v>
      </c>
      <c r="S786" s="44"/>
      <c r="T786" s="39">
        <v>4.25</v>
      </c>
      <c r="U786" s="39"/>
      <c r="V786" s="39" t="s">
        <v>4261</v>
      </c>
      <c r="W786" s="39" t="s">
        <v>2821</v>
      </c>
      <c r="X786" s="81"/>
      <c r="Y786" s="81"/>
      <c r="Z786" s="82"/>
      <c r="AA786" s="99"/>
      <c r="AB786" s="48" t="s">
        <v>61</v>
      </c>
      <c r="AC786" s="68" t="s">
        <v>61</v>
      </c>
      <c r="AD786" s="69" t="s">
        <v>61</v>
      </c>
      <c r="AE786" s="69" t="s">
        <v>61</v>
      </c>
      <c r="AF786" s="68" t="s">
        <v>61</v>
      </c>
      <c r="AG786" s="68" t="s">
        <v>61</v>
      </c>
      <c r="AH786" s="68" t="s">
        <v>61</v>
      </c>
      <c r="AI786" s="70" t="s">
        <v>61</v>
      </c>
      <c r="AJ786" s="114" t="s">
        <v>61</v>
      </c>
      <c r="AK786" s="82"/>
    </row>
    <row r="787" ht="24.0" customHeight="1">
      <c r="A787" s="35"/>
      <c r="B787" s="36">
        <v>1.0</v>
      </c>
      <c r="C787" s="37" t="str">
        <f>IFERROR(__xludf.DUMMYFUNCTION("""COMPUTED_VALUE"""),"Cal Moody (4) - '27 C ME")</f>
        <v>Cal Moody (4) - '27 C ME</v>
      </c>
      <c r="D787" s="89" t="s">
        <v>4262</v>
      </c>
      <c r="E787" s="51" t="s">
        <v>109</v>
      </c>
      <c r="F787" s="154">
        <v>46156.0</v>
      </c>
      <c r="G787" s="116" t="s">
        <v>1395</v>
      </c>
      <c r="H787" s="54" t="s">
        <v>123</v>
      </c>
      <c r="I787" s="55" t="s">
        <v>4263</v>
      </c>
      <c r="J787" s="55">
        <v>2027.0</v>
      </c>
      <c r="K787" s="55">
        <v>4.0</v>
      </c>
      <c r="L787" s="57"/>
      <c r="M787" s="55" t="s">
        <v>109</v>
      </c>
      <c r="N787" s="55"/>
      <c r="O787" s="55" t="s">
        <v>1550</v>
      </c>
      <c r="P787" s="55" t="s">
        <v>409</v>
      </c>
      <c r="Q787" s="55" t="s">
        <v>2224</v>
      </c>
      <c r="R787" s="55" t="s">
        <v>4264</v>
      </c>
      <c r="S787" s="58" t="s">
        <v>3377</v>
      </c>
      <c r="T787" s="51" t="s">
        <v>3836</v>
      </c>
      <c r="U787" s="51" t="s">
        <v>4265</v>
      </c>
      <c r="V787" s="51" t="s">
        <v>4266</v>
      </c>
      <c r="W787" s="74"/>
      <c r="X787" s="74"/>
      <c r="Y787" s="74"/>
      <c r="Z787" s="76"/>
      <c r="AA787" s="155" t="s">
        <v>4267</v>
      </c>
      <c r="AB787" s="62" t="s">
        <v>61</v>
      </c>
      <c r="AC787" s="63" t="s">
        <v>61</v>
      </c>
      <c r="AD787" s="64" t="s">
        <v>61</v>
      </c>
      <c r="AE787" s="64" t="s">
        <v>61</v>
      </c>
      <c r="AF787" s="63" t="s">
        <v>61</v>
      </c>
      <c r="AG787" s="63" t="s">
        <v>61</v>
      </c>
      <c r="AH787" s="63" t="s">
        <v>61</v>
      </c>
      <c r="AI787" s="65" t="s">
        <v>61</v>
      </c>
      <c r="AJ787" s="105" t="s">
        <v>61</v>
      </c>
      <c r="AK787" s="76"/>
    </row>
    <row r="788" ht="24.0" customHeight="1">
      <c r="A788" s="35"/>
      <c r="B788" s="36">
        <v>1.0</v>
      </c>
      <c r="C788" s="37" t="str">
        <f>IFERROR(__xludf.DUMMYFUNCTION("""COMPUTED_VALUE"""),"Connor Moore (4) - '29 SS MA")</f>
        <v>Connor Moore (4) - '29 SS MA</v>
      </c>
      <c r="D788" s="89" t="s">
        <v>3608</v>
      </c>
      <c r="E788" s="39" t="s">
        <v>48</v>
      </c>
      <c r="F788" s="156">
        <v>46168.0</v>
      </c>
      <c r="G788" s="113" t="s">
        <v>1395</v>
      </c>
      <c r="H788" s="42" t="s">
        <v>682</v>
      </c>
      <c r="I788" s="43" t="s">
        <v>2049</v>
      </c>
      <c r="J788" s="43">
        <v>2029.0</v>
      </c>
      <c r="K788" s="43">
        <v>4.0</v>
      </c>
      <c r="L788" s="80"/>
      <c r="M788" s="43" t="s">
        <v>1398</v>
      </c>
      <c r="N788" s="43" t="s">
        <v>63</v>
      </c>
      <c r="O788" s="43" t="s">
        <v>2324</v>
      </c>
      <c r="P788" s="43" t="s">
        <v>4268</v>
      </c>
      <c r="Q788" s="43" t="s">
        <v>85</v>
      </c>
      <c r="R788" s="43" t="s">
        <v>4269</v>
      </c>
      <c r="S788" s="44" t="s">
        <v>87</v>
      </c>
      <c r="T788" s="81"/>
      <c r="U788" s="81"/>
      <c r="V788" s="81"/>
      <c r="W788" s="81"/>
      <c r="X788" s="81"/>
      <c r="Y788" s="81"/>
      <c r="Z788" s="46"/>
      <c r="AA788" s="47" t="s">
        <v>4270</v>
      </c>
      <c r="AB788" s="48" t="s">
        <v>61</v>
      </c>
      <c r="AC788" s="68" t="s">
        <v>61</v>
      </c>
      <c r="AD788" s="69" t="s">
        <v>61</v>
      </c>
      <c r="AE788" s="69" t="s">
        <v>61</v>
      </c>
      <c r="AF788" s="68" t="s">
        <v>61</v>
      </c>
      <c r="AG788" s="68" t="s">
        <v>61</v>
      </c>
      <c r="AH788" s="68" t="s">
        <v>61</v>
      </c>
      <c r="AI788" s="70" t="s">
        <v>61</v>
      </c>
      <c r="AJ788" s="114" t="s">
        <v>61</v>
      </c>
      <c r="AK788" s="82"/>
    </row>
    <row r="789" ht="24.0" customHeight="1">
      <c r="A789" s="71"/>
      <c r="B789" s="36">
        <v>1.0</v>
      </c>
      <c r="C789" s="37" t="str">
        <f>IFERROR(__xludf.DUMMYFUNCTION("""COMPUTED_VALUE"""),"Eliu Mora (4) - '27 CINF MA")</f>
        <v>Eliu Mora (4) - '27 CINF MA</v>
      </c>
      <c r="D789" s="38" t="s">
        <v>4271</v>
      </c>
      <c r="E789" s="51" t="s">
        <v>48</v>
      </c>
      <c r="F789" s="115"/>
      <c r="G789" s="116" t="s">
        <v>1395</v>
      </c>
      <c r="H789" s="54" t="s">
        <v>4272</v>
      </c>
      <c r="I789" s="55" t="s">
        <v>4273</v>
      </c>
      <c r="J789" s="55">
        <v>2027.0</v>
      </c>
      <c r="K789" s="55">
        <v>4.0</v>
      </c>
      <c r="L789" s="171" t="s">
        <v>61</v>
      </c>
      <c r="M789" s="55" t="s">
        <v>72</v>
      </c>
      <c r="N789" s="58"/>
      <c r="O789" s="55" t="s">
        <v>1550</v>
      </c>
      <c r="P789" s="55"/>
      <c r="Q789" s="55" t="s">
        <v>85</v>
      </c>
      <c r="R789" s="55"/>
      <c r="S789" s="58" t="s">
        <v>4274</v>
      </c>
      <c r="T789" s="51"/>
      <c r="U789" s="51"/>
      <c r="V789" s="51"/>
      <c r="W789" s="51"/>
      <c r="X789" s="51"/>
      <c r="Y789" s="51"/>
      <c r="Z789" s="60"/>
      <c r="AA789" s="73"/>
      <c r="AB789" s="62" t="s">
        <v>61</v>
      </c>
      <c r="AC789" s="63" t="s">
        <v>61</v>
      </c>
      <c r="AD789" s="64" t="s">
        <v>61</v>
      </c>
      <c r="AE789" s="64" t="s">
        <v>61</v>
      </c>
      <c r="AF789" s="63" t="s">
        <v>61</v>
      </c>
      <c r="AG789" s="63" t="s">
        <v>61</v>
      </c>
      <c r="AH789" s="63" t="s">
        <v>61</v>
      </c>
      <c r="AI789" s="65" t="s">
        <v>61</v>
      </c>
      <c r="AJ789" s="66" t="s">
        <v>61</v>
      </c>
      <c r="AK789" s="60"/>
    </row>
    <row r="790" ht="24.0" customHeight="1">
      <c r="A790" s="93"/>
      <c r="B790" s="36">
        <v>1.0</v>
      </c>
      <c r="C790" s="37" t="str">
        <f>IFERROR(__xludf.DUMMYFUNCTION("""COMPUTED_VALUE"""),"Micah Morgan (4) - '27 LHP SC")</f>
        <v>Micah Morgan (4) - '27 LHP SC</v>
      </c>
      <c r="D790" s="38" t="s">
        <v>4275</v>
      </c>
      <c r="E790" s="39" t="s">
        <v>122</v>
      </c>
      <c r="F790" s="121"/>
      <c r="G790" s="122"/>
      <c r="H790" s="42" t="s">
        <v>1092</v>
      </c>
      <c r="I790" s="43" t="s">
        <v>4276</v>
      </c>
      <c r="J790" s="43">
        <v>2027.0</v>
      </c>
      <c r="K790" s="43">
        <v>4.0</v>
      </c>
      <c r="L790" s="158" t="s">
        <v>61</v>
      </c>
      <c r="M790" s="43" t="s">
        <v>122</v>
      </c>
      <c r="N790" s="117"/>
      <c r="O790" s="43" t="s">
        <v>1556</v>
      </c>
      <c r="P790" s="43" t="s">
        <v>4277</v>
      </c>
      <c r="Q790" s="43" t="s">
        <v>286</v>
      </c>
      <c r="R790" s="43" t="s">
        <v>4278</v>
      </c>
      <c r="S790" s="44" t="s">
        <v>1766</v>
      </c>
      <c r="T790" s="81"/>
      <c r="U790" s="81"/>
      <c r="V790" s="157"/>
      <c r="W790" s="39" t="s">
        <v>1724</v>
      </c>
      <c r="X790" s="81"/>
      <c r="Y790" s="81"/>
      <c r="Z790" s="82"/>
      <c r="AA790" s="99"/>
      <c r="AB790" s="48" t="s">
        <v>61</v>
      </c>
      <c r="AC790" s="68" t="s">
        <v>61</v>
      </c>
      <c r="AD790" s="69" t="s">
        <v>61</v>
      </c>
      <c r="AE790" s="69" t="s">
        <v>61</v>
      </c>
      <c r="AF790" s="68" t="s">
        <v>61</v>
      </c>
      <c r="AG790" s="68" t="s">
        <v>61</v>
      </c>
      <c r="AH790" s="68" t="s">
        <v>61</v>
      </c>
      <c r="AI790" s="70" t="s">
        <v>61</v>
      </c>
      <c r="AJ790" s="114" t="s">
        <v>61</v>
      </c>
      <c r="AK790" s="82"/>
    </row>
    <row r="791" ht="24.0" customHeight="1">
      <c r="A791" s="35"/>
      <c r="B791" s="36">
        <v>1.0</v>
      </c>
      <c r="C791" s="37" t="str">
        <f>IFERROR(__xludf.DUMMYFUNCTION("""COMPUTED_VALUE"""),"Jamie Morris (4) - '27 CINF NY")</f>
        <v>Jamie Morris (4) - '27 CINF NY</v>
      </c>
      <c r="D791" s="89" t="s">
        <v>4279</v>
      </c>
      <c r="E791" s="51" t="s">
        <v>48</v>
      </c>
      <c r="F791" s="154">
        <v>46156.0</v>
      </c>
      <c r="G791" s="116" t="s">
        <v>1395</v>
      </c>
      <c r="H791" s="54" t="s">
        <v>4280</v>
      </c>
      <c r="I791" s="55" t="s">
        <v>2958</v>
      </c>
      <c r="J791" s="55">
        <v>2027.0</v>
      </c>
      <c r="K791" s="55">
        <v>4.0</v>
      </c>
      <c r="L791" s="57"/>
      <c r="M791" s="55" t="s">
        <v>72</v>
      </c>
      <c r="N791" s="55" t="s">
        <v>3163</v>
      </c>
      <c r="O791" s="55" t="s">
        <v>1556</v>
      </c>
      <c r="P791" s="55" t="s">
        <v>4281</v>
      </c>
      <c r="Q791" s="55" t="s">
        <v>255</v>
      </c>
      <c r="R791" s="55" t="s">
        <v>4282</v>
      </c>
      <c r="S791" s="58" t="s">
        <v>344</v>
      </c>
      <c r="T791" s="51" t="s">
        <v>4283</v>
      </c>
      <c r="U791" s="51" t="s">
        <v>4284</v>
      </c>
      <c r="V791" s="74"/>
      <c r="W791" s="74"/>
      <c r="X791" s="74"/>
      <c r="Y791" s="74"/>
      <c r="Z791" s="76"/>
      <c r="AA791" s="73" t="s">
        <v>4285</v>
      </c>
      <c r="AB791" s="62" t="s">
        <v>61</v>
      </c>
      <c r="AC791" s="63" t="s">
        <v>61</v>
      </c>
      <c r="AD791" s="64" t="s">
        <v>61</v>
      </c>
      <c r="AE791" s="64" t="s">
        <v>61</v>
      </c>
      <c r="AF791" s="63" t="s">
        <v>61</v>
      </c>
      <c r="AG791" s="63" t="s">
        <v>61</v>
      </c>
      <c r="AH791" s="63" t="s">
        <v>61</v>
      </c>
      <c r="AI791" s="65" t="s">
        <v>61</v>
      </c>
      <c r="AJ791" s="105" t="s">
        <v>61</v>
      </c>
      <c r="AK791" s="76"/>
    </row>
    <row r="792" ht="24.0" customHeight="1">
      <c r="A792" s="35"/>
      <c r="B792" s="36">
        <v>1.0</v>
      </c>
      <c r="C792" s="37" t="str">
        <f>IFERROR(__xludf.DUMMYFUNCTION("""COMPUTED_VALUE"""),"Teagan Moulton (4) - '27 MIF WV")</f>
        <v>Teagan Moulton (4) - '27 MIF WV</v>
      </c>
      <c r="D792" s="89" t="s">
        <v>4286</v>
      </c>
      <c r="E792" s="39"/>
      <c r="F792" s="156">
        <v>46170.0</v>
      </c>
      <c r="G792" s="113" t="s">
        <v>1470</v>
      </c>
      <c r="H792" s="42" t="s">
        <v>4287</v>
      </c>
      <c r="I792" s="43" t="s">
        <v>4288</v>
      </c>
      <c r="J792" s="43">
        <v>2027.0</v>
      </c>
      <c r="K792" s="43">
        <v>4.0</v>
      </c>
      <c r="L792" s="80"/>
      <c r="M792" s="43" t="s">
        <v>3643</v>
      </c>
      <c r="N792" s="43"/>
      <c r="O792" s="43"/>
      <c r="P792" s="43" t="s">
        <v>3986</v>
      </c>
      <c r="Q792" s="43" t="s">
        <v>3987</v>
      </c>
      <c r="R792" s="43" t="s">
        <v>3988</v>
      </c>
      <c r="S792" s="44" t="s">
        <v>3989</v>
      </c>
      <c r="T792" s="39">
        <v>4.33</v>
      </c>
      <c r="U792" s="39" t="s">
        <v>4289</v>
      </c>
      <c r="V792" s="39" t="s">
        <v>4290</v>
      </c>
      <c r="W792" s="81"/>
      <c r="X792" s="81"/>
      <c r="Y792" s="39"/>
      <c r="Z792" s="82"/>
      <c r="AA792" s="180" t="s">
        <v>4291</v>
      </c>
      <c r="AB792" s="48" t="s">
        <v>61</v>
      </c>
      <c r="AC792" s="68" t="s">
        <v>61</v>
      </c>
      <c r="AD792" s="69" t="s">
        <v>61</v>
      </c>
      <c r="AE792" s="69" t="s">
        <v>61</v>
      </c>
      <c r="AF792" s="68" t="s">
        <v>61</v>
      </c>
      <c r="AG792" s="68" t="s">
        <v>61</v>
      </c>
      <c r="AH792" s="68" t="s">
        <v>61</v>
      </c>
      <c r="AI792" s="70" t="s">
        <v>61</v>
      </c>
      <c r="AJ792" s="114" t="s">
        <v>61</v>
      </c>
      <c r="AK792" s="82"/>
    </row>
    <row r="793" ht="24.0" customHeight="1">
      <c r="A793" s="35"/>
      <c r="B793" s="36">
        <v>1.0</v>
      </c>
      <c r="C793" s="37" t="str">
        <f>IFERROR(__xludf.DUMMYFUNCTION("""COMPUTED_VALUE"""),"Micah Murton (4) - '27 OF FL")</f>
        <v>Micah Murton (4) - '27 OF FL</v>
      </c>
      <c r="D793" s="89" t="s">
        <v>4292</v>
      </c>
      <c r="E793" s="51" t="s">
        <v>103</v>
      </c>
      <c r="F793" s="140">
        <v>46168.0</v>
      </c>
      <c r="G793" s="116" t="s">
        <v>1430</v>
      </c>
      <c r="H793" s="54" t="s">
        <v>1092</v>
      </c>
      <c r="I793" s="55" t="s">
        <v>4293</v>
      </c>
      <c r="J793" s="55">
        <v>2027.0</v>
      </c>
      <c r="K793" s="55">
        <v>4.0</v>
      </c>
      <c r="L793" s="57"/>
      <c r="M793" s="55" t="s">
        <v>103</v>
      </c>
      <c r="N793" s="55"/>
      <c r="O793" s="57"/>
      <c r="P793" s="55" t="s">
        <v>4294</v>
      </c>
      <c r="Q793" s="55" t="s">
        <v>66</v>
      </c>
      <c r="R793" s="55" t="s">
        <v>4295</v>
      </c>
      <c r="S793" s="58" t="s">
        <v>1450</v>
      </c>
      <c r="T793" s="74"/>
      <c r="U793" s="74"/>
      <c r="V793" s="74"/>
      <c r="W793" s="74"/>
      <c r="X793" s="74"/>
      <c r="Y793" s="74"/>
      <c r="Z793" s="76"/>
      <c r="AA793" s="73" t="s">
        <v>4296</v>
      </c>
      <c r="AB793" s="62" t="s">
        <v>61</v>
      </c>
      <c r="AC793" s="63" t="s">
        <v>61</v>
      </c>
      <c r="AD793" s="64" t="s">
        <v>61</v>
      </c>
      <c r="AE793" s="64" t="s">
        <v>61</v>
      </c>
      <c r="AF793" s="63" t="s">
        <v>61</v>
      </c>
      <c r="AG793" s="63" t="s">
        <v>61</v>
      </c>
      <c r="AH793" s="63" t="s">
        <v>61</v>
      </c>
      <c r="AI793" s="65" t="s">
        <v>61</v>
      </c>
      <c r="AJ793" s="105" t="s">
        <v>61</v>
      </c>
      <c r="AK793" s="76"/>
    </row>
    <row r="794" ht="24.0" customHeight="1">
      <c r="A794" s="35"/>
      <c r="B794" s="36">
        <v>1.0</v>
      </c>
      <c r="C794" s="37" t="str">
        <f>IFERROR(__xludf.DUMMYFUNCTION("""COMPUTED_VALUE"""),"Max Mylet (4) - '28 OF Northeast Pride")</f>
        <v>Max Mylet (4) - '28 OF Northeast Pride</v>
      </c>
      <c r="D794" s="89" t="s">
        <v>4297</v>
      </c>
      <c r="E794" s="39" t="s">
        <v>103</v>
      </c>
      <c r="F794" s="156">
        <v>46156.0</v>
      </c>
      <c r="G794" s="113" t="s">
        <v>1395</v>
      </c>
      <c r="H794" s="42" t="s">
        <v>1997</v>
      </c>
      <c r="I794" s="43" t="s">
        <v>4298</v>
      </c>
      <c r="J794" s="43">
        <v>2028.0</v>
      </c>
      <c r="K794" s="43">
        <v>4.0</v>
      </c>
      <c r="L794" s="80"/>
      <c r="M794" s="43" t="s">
        <v>103</v>
      </c>
      <c r="N794" s="43"/>
      <c r="O794" s="43" t="s">
        <v>240</v>
      </c>
      <c r="P794" s="43" t="s">
        <v>3907</v>
      </c>
      <c r="Q794" s="43" t="s">
        <v>2332</v>
      </c>
      <c r="R794" s="80"/>
      <c r="S794" s="44" t="s">
        <v>2332</v>
      </c>
      <c r="T794" s="81"/>
      <c r="U794" s="81"/>
      <c r="V794" s="81"/>
      <c r="W794" s="39" t="s">
        <v>4299</v>
      </c>
      <c r="X794" s="81"/>
      <c r="Y794" s="81"/>
      <c r="Z794" s="82"/>
      <c r="AA794" s="99"/>
      <c r="AB794" s="48" t="s">
        <v>61</v>
      </c>
      <c r="AC794" s="68" t="s">
        <v>61</v>
      </c>
      <c r="AD794" s="69" t="s">
        <v>61</v>
      </c>
      <c r="AE794" s="69" t="s">
        <v>61</v>
      </c>
      <c r="AF794" s="68" t="s">
        <v>61</v>
      </c>
      <c r="AG794" s="68" t="s">
        <v>61</v>
      </c>
      <c r="AH794" s="68" t="s">
        <v>61</v>
      </c>
      <c r="AI794" s="70" t="s">
        <v>61</v>
      </c>
      <c r="AJ794" s="114" t="s">
        <v>61</v>
      </c>
      <c r="AK794" s="82"/>
    </row>
    <row r="795" ht="24.0" customHeight="1">
      <c r="A795" s="35"/>
      <c r="B795" s="36">
        <v>1.0</v>
      </c>
      <c r="C795" s="37" t="str">
        <f>IFERROR(__xludf.DUMMYFUNCTION("""COMPUTED_VALUE"""),"Ryan Nipper (4) - '27 OF WV")</f>
        <v>Ryan Nipper (4) - '27 OF WV</v>
      </c>
      <c r="D795" s="89" t="s">
        <v>4300</v>
      </c>
      <c r="E795" s="51" t="s">
        <v>103</v>
      </c>
      <c r="F795" s="154">
        <v>46170.0</v>
      </c>
      <c r="G795" s="116" t="s">
        <v>1470</v>
      </c>
      <c r="H795" s="54" t="s">
        <v>1206</v>
      </c>
      <c r="I795" s="55" t="s">
        <v>4301</v>
      </c>
      <c r="J795" s="55">
        <v>2027.0</v>
      </c>
      <c r="K795" s="55">
        <v>4.0</v>
      </c>
      <c r="L795" s="57"/>
      <c r="M795" s="55" t="s">
        <v>103</v>
      </c>
      <c r="N795" s="55"/>
      <c r="O795" s="55"/>
      <c r="P795" s="55" t="s">
        <v>4302</v>
      </c>
      <c r="Q795" s="55" t="s">
        <v>3987</v>
      </c>
      <c r="R795" s="55" t="s">
        <v>4303</v>
      </c>
      <c r="S795" s="58" t="s">
        <v>3989</v>
      </c>
      <c r="T795" s="51">
        <v>4.0</v>
      </c>
      <c r="U795" s="74"/>
      <c r="V795" s="74"/>
      <c r="W795" s="74"/>
      <c r="X795" s="51"/>
      <c r="Y795" s="74"/>
      <c r="Z795" s="76"/>
      <c r="AA795" s="155" t="s">
        <v>4304</v>
      </c>
      <c r="AB795" s="62" t="s">
        <v>61</v>
      </c>
      <c r="AC795" s="63" t="s">
        <v>61</v>
      </c>
      <c r="AD795" s="64" t="s">
        <v>61</v>
      </c>
      <c r="AE795" s="64" t="s">
        <v>61</v>
      </c>
      <c r="AF795" s="63" t="s">
        <v>61</v>
      </c>
      <c r="AG795" s="63" t="s">
        <v>61</v>
      </c>
      <c r="AH795" s="63" t="s">
        <v>61</v>
      </c>
      <c r="AI795" s="65" t="s">
        <v>61</v>
      </c>
      <c r="AJ795" s="105" t="s">
        <v>61</v>
      </c>
      <c r="AK795" s="76"/>
    </row>
    <row r="796" ht="24.0" customHeight="1">
      <c r="A796" s="35"/>
      <c r="B796" s="36">
        <v>1.0</v>
      </c>
      <c r="C796" s="37" t="str">
        <f>IFERROR(__xludf.DUMMYFUNCTION("""COMPUTED_VALUE"""),"Brendan O'Toole (4) - '29 LHP MA")</f>
        <v>Brendan O'Toole (4) - '29 LHP MA</v>
      </c>
      <c r="D796" s="89" t="s">
        <v>4305</v>
      </c>
      <c r="E796" s="39" t="s">
        <v>122</v>
      </c>
      <c r="F796" s="156">
        <v>46156.0</v>
      </c>
      <c r="G796" s="113" t="s">
        <v>1395</v>
      </c>
      <c r="H796" s="42" t="s">
        <v>4306</v>
      </c>
      <c r="I796" s="43" t="s">
        <v>1357</v>
      </c>
      <c r="J796" s="43">
        <v>2029.0</v>
      </c>
      <c r="K796" s="43">
        <v>4.0</v>
      </c>
      <c r="L796" s="80"/>
      <c r="M796" s="43" t="s">
        <v>122</v>
      </c>
      <c r="N796" s="43"/>
      <c r="O796" s="43" t="s">
        <v>1556</v>
      </c>
      <c r="P796" s="43" t="s">
        <v>4307</v>
      </c>
      <c r="Q796" s="43" t="s">
        <v>85</v>
      </c>
      <c r="R796" s="43" t="s">
        <v>3912</v>
      </c>
      <c r="S796" s="44" t="s">
        <v>2989</v>
      </c>
      <c r="T796" s="81"/>
      <c r="U796" s="39" t="s">
        <v>4308</v>
      </c>
      <c r="V796" s="81"/>
      <c r="W796" s="81"/>
      <c r="X796" s="81"/>
      <c r="Y796" s="81"/>
      <c r="Z796" s="82"/>
      <c r="AA796" s="47" t="s">
        <v>4309</v>
      </c>
      <c r="AB796" s="48" t="s">
        <v>61</v>
      </c>
      <c r="AC796" s="68" t="s">
        <v>61</v>
      </c>
      <c r="AD796" s="69" t="s">
        <v>61</v>
      </c>
      <c r="AE796" s="69" t="s">
        <v>61</v>
      </c>
      <c r="AF796" s="68" t="s">
        <v>61</v>
      </c>
      <c r="AG796" s="68" t="s">
        <v>61</v>
      </c>
      <c r="AH796" s="68" t="s">
        <v>61</v>
      </c>
      <c r="AI796" s="70" t="s">
        <v>61</v>
      </c>
      <c r="AJ796" s="114" t="s">
        <v>61</v>
      </c>
      <c r="AK796" s="82"/>
    </row>
    <row r="797" ht="24.0" customHeight="1">
      <c r="A797" s="35"/>
      <c r="B797" s="36">
        <v>1.0</v>
      </c>
      <c r="C797" s="37" t="str">
        <f>IFERROR(__xludf.DUMMYFUNCTION("""COMPUTED_VALUE"""),"Nate Odegard (4) - '27 RHP CT")</f>
        <v>Nate Odegard (4) - '27 RHP CT</v>
      </c>
      <c r="D797" s="89" t="s">
        <v>4310</v>
      </c>
      <c r="E797" s="51" t="s">
        <v>63</v>
      </c>
      <c r="F797" s="154">
        <v>46156.0</v>
      </c>
      <c r="G797" s="116" t="s">
        <v>1395</v>
      </c>
      <c r="H797" s="54" t="s">
        <v>1109</v>
      </c>
      <c r="I797" s="55" t="s">
        <v>4311</v>
      </c>
      <c r="J797" s="55">
        <v>2027.0</v>
      </c>
      <c r="K797" s="55">
        <v>4.0</v>
      </c>
      <c r="L797" s="57"/>
      <c r="M797" s="55" t="s">
        <v>63</v>
      </c>
      <c r="N797" s="55"/>
      <c r="O797" s="55" t="s">
        <v>1550</v>
      </c>
      <c r="P797" s="57"/>
      <c r="Q797" s="55" t="s">
        <v>160</v>
      </c>
      <c r="R797" s="57"/>
      <c r="S797" s="51" t="s">
        <v>3377</v>
      </c>
      <c r="T797" s="74"/>
      <c r="U797" s="51" t="s">
        <v>4312</v>
      </c>
      <c r="V797" s="51" t="s">
        <v>4313</v>
      </c>
      <c r="W797" s="51"/>
      <c r="X797" s="74"/>
      <c r="Y797" s="74"/>
      <c r="Z797" s="76"/>
      <c r="AA797" s="169" t="s">
        <v>4314</v>
      </c>
      <c r="AB797" s="62" t="s">
        <v>61</v>
      </c>
      <c r="AC797" s="63" t="s">
        <v>61</v>
      </c>
      <c r="AD797" s="64" t="s">
        <v>61</v>
      </c>
      <c r="AE797" s="64" t="s">
        <v>61</v>
      </c>
      <c r="AF797" s="63" t="s">
        <v>61</v>
      </c>
      <c r="AG797" s="63" t="s">
        <v>61</v>
      </c>
      <c r="AH797" s="63" t="s">
        <v>61</v>
      </c>
      <c r="AI797" s="65" t="s">
        <v>61</v>
      </c>
      <c r="AJ797" s="105" t="s">
        <v>61</v>
      </c>
      <c r="AK797" s="76"/>
    </row>
    <row r="798" ht="24.0" customHeight="1">
      <c r="A798" s="35"/>
      <c r="B798" s="36">
        <v>1.0</v>
      </c>
      <c r="C798" s="37" t="str">
        <f>IFERROR(__xludf.DUMMYFUNCTION("""COMPUTED_VALUE"""),"Nelson Ong (4) - '27 OF FL")</f>
        <v>Nelson Ong (4) - '27 OF FL</v>
      </c>
      <c r="D798" s="89" t="s">
        <v>4315</v>
      </c>
      <c r="E798" s="39" t="s">
        <v>103</v>
      </c>
      <c r="F798" s="124">
        <v>46149.0</v>
      </c>
      <c r="G798" s="113" t="s">
        <v>1430</v>
      </c>
      <c r="H798" s="42" t="s">
        <v>3622</v>
      </c>
      <c r="I798" s="43" t="s">
        <v>4316</v>
      </c>
      <c r="J798" s="43">
        <v>2027.0</v>
      </c>
      <c r="K798" s="43">
        <v>4.0</v>
      </c>
      <c r="L798" s="158" t="s">
        <v>61</v>
      </c>
      <c r="M798" s="43" t="s">
        <v>103</v>
      </c>
      <c r="N798" s="44"/>
      <c r="O798" s="80"/>
      <c r="P798" s="80"/>
      <c r="Q798" s="43" t="s">
        <v>66</v>
      </c>
      <c r="R798" s="43" t="s">
        <v>4317</v>
      </c>
      <c r="S798" s="44" t="s">
        <v>1125</v>
      </c>
      <c r="T798" s="81"/>
      <c r="U798" s="81"/>
      <c r="V798" s="81"/>
      <c r="W798" s="81"/>
      <c r="X798" s="81"/>
      <c r="Y798" s="81"/>
      <c r="Z798" s="82"/>
      <c r="AA798" s="47" t="s">
        <v>4318</v>
      </c>
      <c r="AB798" s="48" t="s">
        <v>61</v>
      </c>
      <c r="AC798" s="68" t="s">
        <v>61</v>
      </c>
      <c r="AD798" s="69" t="s">
        <v>61</v>
      </c>
      <c r="AE798" s="69" t="s">
        <v>61</v>
      </c>
      <c r="AF798" s="68" t="s">
        <v>61</v>
      </c>
      <c r="AG798" s="68" t="s">
        <v>61</v>
      </c>
      <c r="AH798" s="68" t="s">
        <v>61</v>
      </c>
      <c r="AI798" s="70" t="s">
        <v>61</v>
      </c>
      <c r="AJ798" s="114" t="s">
        <v>61</v>
      </c>
      <c r="AK798" s="82"/>
    </row>
    <row r="799" ht="24.0" customHeight="1">
      <c r="A799" s="35"/>
      <c r="B799" s="36">
        <v>1.0</v>
      </c>
      <c r="C799" s="37" t="str">
        <f>IFERROR(__xludf.DUMMYFUNCTION("""COMPUTED_VALUE"""),"Matthew Ordonez (4) - '27 C NY")</f>
        <v>Matthew Ordonez (4) - '27 C NY</v>
      </c>
      <c r="D799" s="89" t="s">
        <v>4319</v>
      </c>
      <c r="E799" s="51" t="s">
        <v>109</v>
      </c>
      <c r="F799" s="154">
        <v>46156.0</v>
      </c>
      <c r="G799" s="116" t="s">
        <v>1395</v>
      </c>
      <c r="H799" s="54" t="s">
        <v>312</v>
      </c>
      <c r="I799" s="55" t="s">
        <v>4320</v>
      </c>
      <c r="J799" s="55">
        <v>2027.0</v>
      </c>
      <c r="K799" s="55">
        <v>4.0</v>
      </c>
      <c r="L799" s="57"/>
      <c r="M799" s="55" t="s">
        <v>109</v>
      </c>
      <c r="N799" s="55"/>
      <c r="O799" s="55" t="s">
        <v>1550</v>
      </c>
      <c r="P799" s="55" t="s">
        <v>4321</v>
      </c>
      <c r="Q799" s="55" t="s">
        <v>255</v>
      </c>
      <c r="R799" s="55" t="s">
        <v>4322</v>
      </c>
      <c r="S799" s="58" t="s">
        <v>3959</v>
      </c>
      <c r="T799" s="74"/>
      <c r="U799" s="74"/>
      <c r="V799" s="51" t="s">
        <v>4323</v>
      </c>
      <c r="W799" s="51" t="s">
        <v>4324</v>
      </c>
      <c r="X799" s="74"/>
      <c r="Y799" s="74"/>
      <c r="Z799" s="76"/>
      <c r="AA799" s="169" t="s">
        <v>4325</v>
      </c>
      <c r="AB799" s="62" t="s">
        <v>61</v>
      </c>
      <c r="AC799" s="63" t="s">
        <v>61</v>
      </c>
      <c r="AD799" s="64" t="s">
        <v>61</v>
      </c>
      <c r="AE799" s="64" t="s">
        <v>61</v>
      </c>
      <c r="AF799" s="63" t="s">
        <v>61</v>
      </c>
      <c r="AG799" s="63" t="s">
        <v>61</v>
      </c>
      <c r="AH799" s="63" t="s">
        <v>61</v>
      </c>
      <c r="AI799" s="65" t="s">
        <v>61</v>
      </c>
      <c r="AJ799" s="105" t="s">
        <v>61</v>
      </c>
      <c r="AK799" s="76"/>
    </row>
    <row r="800" ht="24.0" customHeight="1">
      <c r="A800" s="35"/>
      <c r="B800" s="36">
        <v>1.0</v>
      </c>
      <c r="C800" s="37" t="str">
        <f>IFERROR(__xludf.DUMMYFUNCTION("""COMPUTED_VALUE"""),"Brannan Overstreet (XX) - '27 SS MS")</f>
        <v>Brannan Overstreet (XX) - '27 SS MS</v>
      </c>
      <c r="D800" s="89" t="s">
        <v>4326</v>
      </c>
      <c r="E800" s="39" t="s">
        <v>48</v>
      </c>
      <c r="F800" s="118">
        <v>45865.0</v>
      </c>
      <c r="G800" s="113" t="s">
        <v>1395</v>
      </c>
      <c r="H800" s="42" t="s">
        <v>4327</v>
      </c>
      <c r="I800" s="43" t="s">
        <v>4328</v>
      </c>
      <c r="J800" s="43">
        <v>2027.0</v>
      </c>
      <c r="K800" s="43" t="s">
        <v>410</v>
      </c>
      <c r="L800" s="158" t="s">
        <v>61</v>
      </c>
      <c r="M800" s="43" t="s">
        <v>1398</v>
      </c>
      <c r="N800" s="117"/>
      <c r="O800" s="43" t="s">
        <v>1550</v>
      </c>
      <c r="P800" s="43" t="s">
        <v>2074</v>
      </c>
      <c r="Q800" s="43" t="s">
        <v>483</v>
      </c>
      <c r="R800" s="43" t="s">
        <v>4329</v>
      </c>
      <c r="S800" s="44"/>
      <c r="T800" s="39">
        <v>3.9</v>
      </c>
      <c r="U800" s="39"/>
      <c r="V800" s="39" t="s">
        <v>4330</v>
      </c>
      <c r="W800" s="39" t="s">
        <v>2821</v>
      </c>
      <c r="X800" s="81"/>
      <c r="Y800" s="81"/>
      <c r="Z800" s="82"/>
      <c r="AA800" s="99"/>
      <c r="AB800" s="48" t="s">
        <v>61</v>
      </c>
      <c r="AC800" s="68" t="s">
        <v>61</v>
      </c>
      <c r="AD800" s="69" t="s">
        <v>61</v>
      </c>
      <c r="AE800" s="69" t="s">
        <v>61</v>
      </c>
      <c r="AF800" s="68" t="s">
        <v>61</v>
      </c>
      <c r="AG800" s="68" t="s">
        <v>61</v>
      </c>
      <c r="AH800" s="68" t="s">
        <v>61</v>
      </c>
      <c r="AI800" s="70" t="s">
        <v>61</v>
      </c>
      <c r="AJ800" s="49" t="s">
        <v>61</v>
      </c>
      <c r="AK800" s="46"/>
    </row>
    <row r="801" ht="24.0" customHeight="1">
      <c r="A801" s="35"/>
      <c r="B801" s="36">
        <v>1.0</v>
      </c>
      <c r="C801" s="37" t="str">
        <f>IFERROR(__xludf.DUMMYFUNCTION("""COMPUTED_VALUE"""),"Ryan Pacitti (4) - '27 OF PA")</f>
        <v>Ryan Pacitti (4) - '27 OF PA</v>
      </c>
      <c r="D801" s="89" t="s">
        <v>4331</v>
      </c>
      <c r="E801" s="51" t="s">
        <v>103</v>
      </c>
      <c r="F801" s="154">
        <v>46168.0</v>
      </c>
      <c r="G801" s="116" t="s">
        <v>1470</v>
      </c>
      <c r="H801" s="54" t="s">
        <v>1206</v>
      </c>
      <c r="I801" s="55" t="s">
        <v>4332</v>
      </c>
      <c r="J801" s="55">
        <v>2027.0</v>
      </c>
      <c r="K801" s="55">
        <v>4.0</v>
      </c>
      <c r="L801" s="57"/>
      <c r="M801" s="55" t="s">
        <v>103</v>
      </c>
      <c r="N801" s="55"/>
      <c r="O801" s="55" t="s">
        <v>3774</v>
      </c>
      <c r="P801" s="55" t="s">
        <v>4333</v>
      </c>
      <c r="Q801" s="55" t="s">
        <v>240</v>
      </c>
      <c r="R801" s="55" t="s">
        <v>4333</v>
      </c>
      <c r="S801" s="58" t="s">
        <v>4334</v>
      </c>
      <c r="T801" s="51">
        <v>3.96</v>
      </c>
      <c r="U801" s="51" t="s">
        <v>4335</v>
      </c>
      <c r="V801" s="74"/>
      <c r="W801" s="74"/>
      <c r="X801" s="74"/>
      <c r="Y801" s="74"/>
      <c r="Z801" s="76"/>
      <c r="AA801" s="73" t="s">
        <v>4336</v>
      </c>
      <c r="AB801" s="62" t="s">
        <v>61</v>
      </c>
      <c r="AC801" s="63" t="s">
        <v>61</v>
      </c>
      <c r="AD801" s="64" t="s">
        <v>61</v>
      </c>
      <c r="AE801" s="64" t="s">
        <v>61</v>
      </c>
      <c r="AF801" s="63" t="s">
        <v>61</v>
      </c>
      <c r="AG801" s="63" t="s">
        <v>61</v>
      </c>
      <c r="AH801" s="63" t="s">
        <v>61</v>
      </c>
      <c r="AI801" s="65" t="s">
        <v>61</v>
      </c>
      <c r="AJ801" s="105" t="s">
        <v>61</v>
      </c>
      <c r="AK801" s="76"/>
    </row>
    <row r="802" ht="24.0" customHeight="1">
      <c r="A802" s="35"/>
      <c r="B802" s="36">
        <v>1.0</v>
      </c>
      <c r="C802" s="37" t="str">
        <f>IFERROR(__xludf.DUMMYFUNCTION("""COMPUTED_VALUE"""),"Nick Pascucci (4) - '28 C NJ")</f>
        <v>Nick Pascucci (4) - '28 C NJ</v>
      </c>
      <c r="D802" s="38" t="s">
        <v>4337</v>
      </c>
      <c r="E802" s="39" t="s">
        <v>109</v>
      </c>
      <c r="F802" s="124">
        <v>45873.0</v>
      </c>
      <c r="G802" s="113" t="s">
        <v>1470</v>
      </c>
      <c r="H802" s="42" t="s">
        <v>1123</v>
      </c>
      <c r="I802" s="43" t="s">
        <v>4338</v>
      </c>
      <c r="J802" s="43">
        <v>2028.0</v>
      </c>
      <c r="K802" s="43">
        <v>4.0</v>
      </c>
      <c r="L802" s="80"/>
      <c r="M802" s="43" t="s">
        <v>109</v>
      </c>
      <c r="N802" s="43"/>
      <c r="O802" s="80"/>
      <c r="P802" s="43" t="s">
        <v>4339</v>
      </c>
      <c r="Q802" s="43" t="s">
        <v>502</v>
      </c>
      <c r="R802" s="43" t="s">
        <v>4340</v>
      </c>
      <c r="S802" s="117"/>
      <c r="T802" s="81"/>
      <c r="U802" s="81"/>
      <c r="V802" s="81"/>
      <c r="W802" s="81"/>
      <c r="X802" s="81"/>
      <c r="Y802" s="81"/>
      <c r="Z802" s="82"/>
      <c r="AA802" s="99"/>
      <c r="AB802" s="48" t="s">
        <v>61</v>
      </c>
      <c r="AC802" s="68" t="s">
        <v>61</v>
      </c>
      <c r="AD802" s="69" t="s">
        <v>61</v>
      </c>
      <c r="AE802" s="69" t="s">
        <v>61</v>
      </c>
      <c r="AF802" s="68" t="s">
        <v>61</v>
      </c>
      <c r="AG802" s="68" t="s">
        <v>61</v>
      </c>
      <c r="AH802" s="68" t="s">
        <v>61</v>
      </c>
      <c r="AI802" s="70" t="s">
        <v>61</v>
      </c>
      <c r="AJ802" s="114" t="s">
        <v>61</v>
      </c>
      <c r="AK802" s="82"/>
    </row>
    <row r="803" ht="24.0" customHeight="1">
      <c r="A803" s="35"/>
      <c r="B803" s="36">
        <v>1.0</v>
      </c>
      <c r="C803" s="37" t="str">
        <f>IFERROR(__xludf.DUMMYFUNCTION("""COMPUTED_VALUE"""),"Matt Pedroli (4) - '28 OF MA")</f>
        <v>Matt Pedroli (4) - '28 OF MA</v>
      </c>
      <c r="D803" s="89" t="s">
        <v>4341</v>
      </c>
      <c r="E803" s="51" t="s">
        <v>103</v>
      </c>
      <c r="F803" s="154">
        <v>46156.0</v>
      </c>
      <c r="G803" s="116" t="s">
        <v>1395</v>
      </c>
      <c r="H803" s="54" t="s">
        <v>1066</v>
      </c>
      <c r="I803" s="55" t="s">
        <v>4342</v>
      </c>
      <c r="J803" s="55">
        <v>2028.0</v>
      </c>
      <c r="K803" s="55">
        <v>4.0</v>
      </c>
      <c r="L803" s="57"/>
      <c r="M803" s="55" t="s">
        <v>103</v>
      </c>
      <c r="N803" s="55"/>
      <c r="O803" s="55" t="s">
        <v>1550</v>
      </c>
      <c r="P803" s="55" t="s">
        <v>4268</v>
      </c>
      <c r="Q803" s="55" t="s">
        <v>85</v>
      </c>
      <c r="R803" s="55" t="s">
        <v>4268</v>
      </c>
      <c r="S803" s="58" t="s">
        <v>1400</v>
      </c>
      <c r="T803" s="74"/>
      <c r="U803" s="74"/>
      <c r="V803" s="74"/>
      <c r="W803" s="74"/>
      <c r="X803" s="74"/>
      <c r="Y803" s="51"/>
      <c r="Z803" s="76"/>
      <c r="AA803" s="163" t="s">
        <v>4343</v>
      </c>
      <c r="AB803" s="62" t="s">
        <v>61</v>
      </c>
      <c r="AC803" s="63" t="s">
        <v>61</v>
      </c>
      <c r="AD803" s="64" t="s">
        <v>61</v>
      </c>
      <c r="AE803" s="64" t="s">
        <v>61</v>
      </c>
      <c r="AF803" s="63" t="s">
        <v>61</v>
      </c>
      <c r="AG803" s="63" t="s">
        <v>61</v>
      </c>
      <c r="AH803" s="63" t="s">
        <v>61</v>
      </c>
      <c r="AI803" s="65" t="s">
        <v>61</v>
      </c>
      <c r="AJ803" s="105" t="s">
        <v>61</v>
      </c>
      <c r="AK803" s="76"/>
    </row>
    <row r="804" ht="24.0" customHeight="1">
      <c r="A804" s="35"/>
      <c r="B804" s="36">
        <v>1.0</v>
      </c>
      <c r="C804" s="37" t="str">
        <f>IFERROR(__xludf.DUMMYFUNCTION("""COMPUTED_VALUE"""),"Connor Pellerin (4) - '27 RHP ")</f>
        <v>Connor Pellerin (4) - '27 RHP </v>
      </c>
      <c r="D804" s="89" t="s">
        <v>4344</v>
      </c>
      <c r="E804" s="39" t="s">
        <v>63</v>
      </c>
      <c r="F804" s="156">
        <v>46168.0</v>
      </c>
      <c r="G804" s="113" t="s">
        <v>1395</v>
      </c>
      <c r="H804" s="42" t="s">
        <v>682</v>
      </c>
      <c r="I804" s="43" t="s">
        <v>4345</v>
      </c>
      <c r="J804" s="43">
        <v>2027.0</v>
      </c>
      <c r="K804" s="43">
        <v>4.0</v>
      </c>
      <c r="L804" s="80"/>
      <c r="M804" s="43" t="s">
        <v>63</v>
      </c>
      <c r="N804" s="43" t="s">
        <v>103</v>
      </c>
      <c r="O804" s="80"/>
      <c r="P804" s="80"/>
      <c r="Q804" s="80"/>
      <c r="R804" s="80"/>
      <c r="S804" s="39" t="s">
        <v>2029</v>
      </c>
      <c r="T804" s="39"/>
      <c r="U804" s="81"/>
      <c r="V804" s="81"/>
      <c r="W804" s="81"/>
      <c r="X804" s="81"/>
      <c r="Y804" s="81"/>
      <c r="Z804" s="82"/>
      <c r="AA804" s="99"/>
      <c r="AB804" s="48" t="s">
        <v>61</v>
      </c>
      <c r="AC804" s="68" t="s">
        <v>61</v>
      </c>
      <c r="AD804" s="69" t="s">
        <v>61</v>
      </c>
      <c r="AE804" s="69" t="s">
        <v>61</v>
      </c>
      <c r="AF804" s="68" t="s">
        <v>61</v>
      </c>
      <c r="AG804" s="68" t="s">
        <v>61</v>
      </c>
      <c r="AH804" s="68" t="s">
        <v>61</v>
      </c>
      <c r="AI804" s="70" t="s">
        <v>61</v>
      </c>
      <c r="AJ804" s="114" t="s">
        <v>61</v>
      </c>
      <c r="AK804" s="82"/>
    </row>
    <row r="805" ht="24.0" customHeight="1">
      <c r="A805" s="35"/>
      <c r="B805" s="36">
        <v>1.0</v>
      </c>
      <c r="C805" s="37" t="str">
        <f>IFERROR(__xludf.DUMMYFUNCTION("""COMPUTED_VALUE"""),"Ian Perez (4) - '27 LHP NY")</f>
        <v>Ian Perez (4) - '27 LHP NY</v>
      </c>
      <c r="D805" s="89" t="s">
        <v>4346</v>
      </c>
      <c r="E805" s="51" t="s">
        <v>122</v>
      </c>
      <c r="F805" s="115"/>
      <c r="G805" s="116" t="s">
        <v>1395</v>
      </c>
      <c r="H805" s="54" t="s">
        <v>2406</v>
      </c>
      <c r="I805" s="55" t="s">
        <v>4347</v>
      </c>
      <c r="J805" s="55">
        <v>2027.0</v>
      </c>
      <c r="K805" s="55">
        <v>4.0</v>
      </c>
      <c r="L805" s="171" t="s">
        <v>61</v>
      </c>
      <c r="M805" s="55" t="s">
        <v>122</v>
      </c>
      <c r="N805" s="172"/>
      <c r="O805" s="55" t="s">
        <v>1556</v>
      </c>
      <c r="P805" s="57"/>
      <c r="Q805" s="55" t="s">
        <v>255</v>
      </c>
      <c r="R805" s="55" t="s">
        <v>4348</v>
      </c>
      <c r="S805" s="132"/>
      <c r="T805" s="74"/>
      <c r="U805" s="74"/>
      <c r="V805" s="74"/>
      <c r="W805" s="74"/>
      <c r="X805" s="74"/>
      <c r="Y805" s="74"/>
      <c r="Z805" s="76"/>
      <c r="AA805" s="134"/>
      <c r="AB805" s="62" t="s">
        <v>61</v>
      </c>
      <c r="AC805" s="63" t="s">
        <v>61</v>
      </c>
      <c r="AD805" s="64" t="s">
        <v>61</v>
      </c>
      <c r="AE805" s="64" t="s">
        <v>61</v>
      </c>
      <c r="AF805" s="63" t="s">
        <v>61</v>
      </c>
      <c r="AG805" s="63" t="s">
        <v>61</v>
      </c>
      <c r="AH805" s="63" t="s">
        <v>61</v>
      </c>
      <c r="AI805" s="65" t="s">
        <v>61</v>
      </c>
      <c r="AJ805" s="66" t="s">
        <v>61</v>
      </c>
      <c r="AK805" s="60"/>
    </row>
    <row r="806" ht="24.0" customHeight="1">
      <c r="A806" s="35"/>
      <c r="B806" s="36">
        <v>1.0</v>
      </c>
      <c r="C806" s="37" t="str">
        <f>IFERROR(__xludf.DUMMYFUNCTION("""COMPUTED_VALUE"""),"Eddie Pineiro (4) - '28 C ")</f>
        <v>Eddie Pineiro (4) - '28 C </v>
      </c>
      <c r="D806" s="89" t="s">
        <v>4349</v>
      </c>
      <c r="E806" s="39" t="s">
        <v>109</v>
      </c>
      <c r="F806" s="156">
        <v>46168.0</v>
      </c>
      <c r="G806" s="113" t="s">
        <v>1395</v>
      </c>
      <c r="H806" s="42" t="s">
        <v>741</v>
      </c>
      <c r="I806" s="43" t="s">
        <v>4350</v>
      </c>
      <c r="J806" s="43">
        <v>2028.0</v>
      </c>
      <c r="K806" s="43">
        <v>4.0</v>
      </c>
      <c r="L806" s="80"/>
      <c r="M806" s="43" t="s">
        <v>109</v>
      </c>
      <c r="N806" s="43" t="s">
        <v>807</v>
      </c>
      <c r="O806" s="80"/>
      <c r="P806" s="80"/>
      <c r="Q806" s="80"/>
      <c r="R806" s="80"/>
      <c r="S806" s="39" t="s">
        <v>2029</v>
      </c>
      <c r="T806" s="39"/>
      <c r="U806" s="81"/>
      <c r="V806" s="81"/>
      <c r="W806" s="81"/>
      <c r="X806" s="81"/>
      <c r="Y806" s="81"/>
      <c r="Z806" s="82"/>
      <c r="AA806" s="99"/>
      <c r="AB806" s="48" t="s">
        <v>61</v>
      </c>
      <c r="AC806" s="68" t="s">
        <v>61</v>
      </c>
      <c r="AD806" s="69" t="s">
        <v>61</v>
      </c>
      <c r="AE806" s="69" t="s">
        <v>61</v>
      </c>
      <c r="AF806" s="68" t="s">
        <v>61</v>
      </c>
      <c r="AG806" s="68" t="s">
        <v>61</v>
      </c>
      <c r="AH806" s="68" t="s">
        <v>61</v>
      </c>
      <c r="AI806" s="70" t="s">
        <v>61</v>
      </c>
      <c r="AJ806" s="114" t="s">
        <v>61</v>
      </c>
      <c r="AK806" s="82"/>
    </row>
    <row r="807" ht="24.0" customHeight="1">
      <c r="A807" s="35"/>
      <c r="B807" s="36">
        <v>1.0</v>
      </c>
      <c r="C807" s="37" t="str">
        <f>IFERROR(__xludf.DUMMYFUNCTION("""COMPUTED_VALUE"""),"Lincoln Pollack (4) - '27 INF MA")</f>
        <v>Lincoln Pollack (4) - '27 INF MA</v>
      </c>
      <c r="D807" s="89" t="s">
        <v>4351</v>
      </c>
      <c r="E807" s="51" t="s">
        <v>48</v>
      </c>
      <c r="F807" s="154">
        <v>46168.0</v>
      </c>
      <c r="G807" s="116" t="s">
        <v>1395</v>
      </c>
      <c r="H807" s="54" t="s">
        <v>881</v>
      </c>
      <c r="I807" s="55" t="s">
        <v>4352</v>
      </c>
      <c r="J807" s="55">
        <v>2027.0</v>
      </c>
      <c r="K807" s="55">
        <v>4.0</v>
      </c>
      <c r="L807" s="57"/>
      <c r="M807" s="55" t="s">
        <v>48</v>
      </c>
      <c r="N807" s="55" t="s">
        <v>109</v>
      </c>
      <c r="O807" s="55" t="s">
        <v>1550</v>
      </c>
      <c r="P807" s="57"/>
      <c r="Q807" s="55" t="s">
        <v>85</v>
      </c>
      <c r="R807" s="55" t="s">
        <v>3200</v>
      </c>
      <c r="S807" s="58" t="s">
        <v>3704</v>
      </c>
      <c r="T807" s="74"/>
      <c r="U807" s="74"/>
      <c r="V807" s="74"/>
      <c r="W807" s="74"/>
      <c r="X807" s="74"/>
      <c r="Y807" s="74"/>
      <c r="Z807" s="76"/>
      <c r="AA807" s="134"/>
      <c r="AB807" s="62" t="s">
        <v>61</v>
      </c>
      <c r="AC807" s="63" t="s">
        <v>61</v>
      </c>
      <c r="AD807" s="64" t="s">
        <v>61</v>
      </c>
      <c r="AE807" s="64" t="s">
        <v>61</v>
      </c>
      <c r="AF807" s="63" t="s">
        <v>61</v>
      </c>
      <c r="AG807" s="63" t="s">
        <v>61</v>
      </c>
      <c r="AH807" s="63" t="s">
        <v>61</v>
      </c>
      <c r="AI807" s="65" t="s">
        <v>61</v>
      </c>
      <c r="AJ807" s="105" t="s">
        <v>61</v>
      </c>
      <c r="AK807" s="76"/>
    </row>
    <row r="808" ht="24.0" customHeight="1">
      <c r="A808" s="93" t="s">
        <v>4353</v>
      </c>
      <c r="B808" s="36">
        <v>1.0</v>
      </c>
      <c r="C808" s="37" t="str">
        <f>IFERROR(__xludf.DUMMYFUNCTION("""COMPUTED_VALUE"""),"Spencer Polsky (4) - '27 RHP NY")</f>
        <v>Spencer Polsky (4) - '27 RHP NY</v>
      </c>
      <c r="D808" s="38" t="s">
        <v>4354</v>
      </c>
      <c r="E808" s="39" t="s">
        <v>63</v>
      </c>
      <c r="F808" s="124">
        <v>45869.0</v>
      </c>
      <c r="G808" s="113" t="s">
        <v>1470</v>
      </c>
      <c r="H808" s="42" t="s">
        <v>1590</v>
      </c>
      <c r="I808" s="43" t="s">
        <v>513</v>
      </c>
      <c r="J808" s="43">
        <v>2027.0</v>
      </c>
      <c r="K808" s="43">
        <v>4.0</v>
      </c>
      <c r="L808" s="158" t="s">
        <v>61</v>
      </c>
      <c r="M808" s="43" t="s">
        <v>63</v>
      </c>
      <c r="N808" s="117"/>
      <c r="O808" s="80"/>
      <c r="P808" s="80"/>
      <c r="Q808" s="43" t="s">
        <v>255</v>
      </c>
      <c r="R808" s="43" t="s">
        <v>4355</v>
      </c>
      <c r="S808" s="44" t="s">
        <v>2332</v>
      </c>
      <c r="T808" s="81"/>
      <c r="U808" s="81"/>
      <c r="V808" s="81"/>
      <c r="W808" s="81"/>
      <c r="X808" s="81"/>
      <c r="Y808" s="81"/>
      <c r="Z808" s="82"/>
      <c r="AA808" s="47"/>
      <c r="AB808" s="48" t="s">
        <v>61</v>
      </c>
      <c r="AC808" s="68" t="s">
        <v>61</v>
      </c>
      <c r="AD808" s="69" t="s">
        <v>61</v>
      </c>
      <c r="AE808" s="69" t="s">
        <v>61</v>
      </c>
      <c r="AF808" s="68" t="s">
        <v>61</v>
      </c>
      <c r="AG808" s="68" t="s">
        <v>61</v>
      </c>
      <c r="AH808" s="68" t="s">
        <v>61</v>
      </c>
      <c r="AI808" s="70" t="s">
        <v>61</v>
      </c>
      <c r="AJ808" s="114" t="s">
        <v>61</v>
      </c>
      <c r="AK808" s="82"/>
    </row>
    <row r="809" ht="24.0" customHeight="1">
      <c r="A809" s="35"/>
      <c r="B809" s="36">
        <v>1.0</v>
      </c>
      <c r="C809" s="37" t="str">
        <f>IFERROR(__xludf.DUMMYFUNCTION("""COMPUTED_VALUE"""),"Peyton Price (4) - '27 RHP PA")</f>
        <v>Peyton Price (4) - '27 RHP PA</v>
      </c>
      <c r="D809" s="89" t="s">
        <v>4356</v>
      </c>
      <c r="E809" s="51" t="s">
        <v>63</v>
      </c>
      <c r="F809" s="115"/>
      <c r="G809" s="116" t="s">
        <v>1395</v>
      </c>
      <c r="H809" s="54" t="s">
        <v>3085</v>
      </c>
      <c r="I809" s="55" t="s">
        <v>4357</v>
      </c>
      <c r="J809" s="176">
        <v>2027.0</v>
      </c>
      <c r="K809" s="55">
        <v>4.0</v>
      </c>
      <c r="L809" s="171" t="s">
        <v>61</v>
      </c>
      <c r="M809" s="55" t="s">
        <v>63</v>
      </c>
      <c r="N809" s="58"/>
      <c r="O809" s="55" t="s">
        <v>1550</v>
      </c>
      <c r="P809" s="55"/>
      <c r="Q809" s="55" t="s">
        <v>240</v>
      </c>
      <c r="R809" s="55" t="s">
        <v>4358</v>
      </c>
      <c r="S809" s="58" t="s">
        <v>2665</v>
      </c>
      <c r="T809" s="74"/>
      <c r="U809" s="74"/>
      <c r="V809" s="51" t="s">
        <v>4359</v>
      </c>
      <c r="W809" s="74"/>
      <c r="X809" s="74"/>
      <c r="Y809" s="74"/>
      <c r="Z809" s="76"/>
      <c r="AA809" s="134"/>
      <c r="AB809" s="62" t="s">
        <v>61</v>
      </c>
      <c r="AC809" s="63" t="s">
        <v>61</v>
      </c>
      <c r="AD809" s="64" t="s">
        <v>61</v>
      </c>
      <c r="AE809" s="64" t="s">
        <v>61</v>
      </c>
      <c r="AF809" s="63" t="s">
        <v>61</v>
      </c>
      <c r="AG809" s="63" t="s">
        <v>61</v>
      </c>
      <c r="AH809" s="63" t="s">
        <v>61</v>
      </c>
      <c r="AI809" s="65" t="s">
        <v>61</v>
      </c>
      <c r="AJ809" s="66" t="s">
        <v>61</v>
      </c>
      <c r="AK809" s="60"/>
    </row>
    <row r="810" ht="24.0" customHeight="1">
      <c r="A810" s="35"/>
      <c r="B810" s="36">
        <v>1.0</v>
      </c>
      <c r="C810" s="37" t="str">
        <f>IFERROR(__xludf.DUMMYFUNCTION("""COMPUTED_VALUE"""),"James Price (4) - '27 3B ")</f>
        <v>James Price (4) - '27 3B </v>
      </c>
      <c r="D810" s="89" t="s">
        <v>4360</v>
      </c>
      <c r="E810" s="39" t="s">
        <v>48</v>
      </c>
      <c r="F810" s="156">
        <v>46168.0</v>
      </c>
      <c r="G810" s="113" t="s">
        <v>1395</v>
      </c>
      <c r="H810" s="42" t="s">
        <v>916</v>
      </c>
      <c r="I810" s="43" t="s">
        <v>4357</v>
      </c>
      <c r="J810" s="43">
        <v>2027.0</v>
      </c>
      <c r="K810" s="43">
        <v>4.0</v>
      </c>
      <c r="L810" s="80"/>
      <c r="M810" s="43" t="s">
        <v>1519</v>
      </c>
      <c r="N810" s="43"/>
      <c r="O810" s="80"/>
      <c r="P810" s="80"/>
      <c r="Q810" s="80"/>
      <c r="R810" s="80"/>
      <c r="S810" s="39" t="s">
        <v>2029</v>
      </c>
      <c r="T810" s="39"/>
      <c r="U810" s="81"/>
      <c r="V810" s="81"/>
      <c r="W810" s="81"/>
      <c r="X810" s="81"/>
      <c r="Y810" s="81"/>
      <c r="Z810" s="82"/>
      <c r="AA810" s="99"/>
      <c r="AB810" s="48" t="s">
        <v>61</v>
      </c>
      <c r="AC810" s="68" t="s">
        <v>61</v>
      </c>
      <c r="AD810" s="69" t="s">
        <v>61</v>
      </c>
      <c r="AE810" s="69" t="s">
        <v>61</v>
      </c>
      <c r="AF810" s="68" t="s">
        <v>61</v>
      </c>
      <c r="AG810" s="68" t="s">
        <v>61</v>
      </c>
      <c r="AH810" s="68" t="s">
        <v>61</v>
      </c>
      <c r="AI810" s="70" t="s">
        <v>61</v>
      </c>
      <c r="AJ810" s="114" t="s">
        <v>61</v>
      </c>
      <c r="AK810" s="82"/>
    </row>
    <row r="811" ht="24.0" customHeight="1">
      <c r="A811" s="35"/>
      <c r="B811" s="36">
        <v>1.0</v>
      </c>
      <c r="C811" s="37" t="str">
        <f>IFERROR(__xludf.DUMMYFUNCTION("""COMPUTED_VALUE"""),"Tyler Priest (4) - '27 RHP ")</f>
        <v>Tyler Priest (4) - '27 RHP </v>
      </c>
      <c r="D811" s="89" t="s">
        <v>4361</v>
      </c>
      <c r="E811" s="51" t="s">
        <v>63</v>
      </c>
      <c r="F811" s="115"/>
      <c r="G811" s="116" t="s">
        <v>1395</v>
      </c>
      <c r="H811" s="54" t="s">
        <v>104</v>
      </c>
      <c r="I811" s="55" t="s">
        <v>2017</v>
      </c>
      <c r="J811" s="55">
        <v>2027.0</v>
      </c>
      <c r="K811" s="55">
        <v>4.0</v>
      </c>
      <c r="L811" s="171" t="s">
        <v>61</v>
      </c>
      <c r="M811" s="55" t="s">
        <v>63</v>
      </c>
      <c r="N811" s="58"/>
      <c r="O811" s="55"/>
      <c r="P811" s="55"/>
      <c r="Q811" s="55"/>
      <c r="R811" s="55"/>
      <c r="S811" s="58"/>
      <c r="T811" s="51"/>
      <c r="U811" s="51"/>
      <c r="V811" s="51"/>
      <c r="W811" s="51"/>
      <c r="X811" s="51"/>
      <c r="Y811" s="51"/>
      <c r="Z811" s="60"/>
      <c r="AA811" s="73"/>
      <c r="AB811" s="62" t="s">
        <v>61</v>
      </c>
      <c r="AC811" s="63" t="s">
        <v>61</v>
      </c>
      <c r="AD811" s="64" t="s">
        <v>61</v>
      </c>
      <c r="AE811" s="64" t="s">
        <v>61</v>
      </c>
      <c r="AF811" s="63" t="s">
        <v>61</v>
      </c>
      <c r="AG811" s="63" t="s">
        <v>61</v>
      </c>
      <c r="AH811" s="63" t="s">
        <v>61</v>
      </c>
      <c r="AI811" s="65" t="s">
        <v>61</v>
      </c>
      <c r="AJ811" s="66" t="s">
        <v>61</v>
      </c>
      <c r="AK811" s="60"/>
    </row>
    <row r="812" ht="24.0" customHeight="1">
      <c r="A812" s="93"/>
      <c r="B812" s="36">
        <v>1.0</v>
      </c>
      <c r="C812" s="37" t="str">
        <f>IFERROR(__xludf.DUMMYFUNCTION("""COMPUTED_VALUE"""),"Kanen Pritchard (4) - '28 LHP NC")</f>
        <v>Kanen Pritchard (4) - '28 LHP NC</v>
      </c>
      <c r="D812" s="38" t="s">
        <v>4362</v>
      </c>
      <c r="E812" s="39" t="s">
        <v>122</v>
      </c>
      <c r="F812" s="186">
        <v>46085.0</v>
      </c>
      <c r="G812" s="113"/>
      <c r="H812" s="42" t="s">
        <v>4363</v>
      </c>
      <c r="I812" s="43" t="s">
        <v>4364</v>
      </c>
      <c r="J812" s="43">
        <v>2028.0</v>
      </c>
      <c r="K812" s="43">
        <v>4.0</v>
      </c>
      <c r="L812" s="80"/>
      <c r="M812" s="43" t="s">
        <v>122</v>
      </c>
      <c r="N812" s="43"/>
      <c r="O812" s="80"/>
      <c r="P812" s="43" t="s">
        <v>4365</v>
      </c>
      <c r="Q812" s="43" t="s">
        <v>73</v>
      </c>
      <c r="R812" s="43" t="s">
        <v>4366</v>
      </c>
      <c r="S812" s="44" t="s">
        <v>1766</v>
      </c>
      <c r="T812" s="81"/>
      <c r="U812" s="81"/>
      <c r="V812" s="39"/>
      <c r="W812" s="81"/>
      <c r="X812" s="81"/>
      <c r="Y812" s="81"/>
      <c r="Z812" s="82"/>
      <c r="AA812" s="99"/>
      <c r="AB812" s="48" t="s">
        <v>61</v>
      </c>
      <c r="AC812" s="68" t="s">
        <v>61</v>
      </c>
      <c r="AD812" s="69" t="s">
        <v>61</v>
      </c>
      <c r="AE812" s="69" t="s">
        <v>61</v>
      </c>
      <c r="AF812" s="68" t="s">
        <v>61</v>
      </c>
      <c r="AG812" s="68" t="s">
        <v>61</v>
      </c>
      <c r="AH812" s="68" t="s">
        <v>61</v>
      </c>
      <c r="AI812" s="70" t="s">
        <v>61</v>
      </c>
      <c r="AJ812" s="114" t="s">
        <v>61</v>
      </c>
      <c r="AK812" s="82"/>
    </row>
    <row r="813" ht="24.0" customHeight="1">
      <c r="A813" s="35"/>
      <c r="B813" s="36">
        <v>1.0</v>
      </c>
      <c r="C813" s="37" t="str">
        <f>IFERROR(__xludf.DUMMYFUNCTION("""COMPUTED_VALUE"""),"Michael Psarros (4) - '27 RHP NY")</f>
        <v>Michael Psarros (4) - '27 RHP NY</v>
      </c>
      <c r="D813" s="89" t="s">
        <v>4367</v>
      </c>
      <c r="E813" s="51" t="s">
        <v>63</v>
      </c>
      <c r="F813" s="115"/>
      <c r="G813" s="116" t="s">
        <v>1395</v>
      </c>
      <c r="H813" s="54" t="s">
        <v>158</v>
      </c>
      <c r="I813" s="55" t="s">
        <v>4368</v>
      </c>
      <c r="J813" s="55">
        <v>2027.0</v>
      </c>
      <c r="K813" s="55">
        <v>4.0</v>
      </c>
      <c r="L813" s="171" t="s">
        <v>61</v>
      </c>
      <c r="M813" s="55" t="s">
        <v>63</v>
      </c>
      <c r="N813" s="58"/>
      <c r="O813" s="55" t="s">
        <v>1550</v>
      </c>
      <c r="P813" s="57"/>
      <c r="Q813" s="55" t="s">
        <v>255</v>
      </c>
      <c r="R813" s="55" t="s">
        <v>4369</v>
      </c>
      <c r="S813" s="58" t="s">
        <v>4370</v>
      </c>
      <c r="T813" s="74"/>
      <c r="U813" s="74"/>
      <c r="V813" s="74"/>
      <c r="W813" s="74"/>
      <c r="X813" s="74"/>
      <c r="Y813" s="74"/>
      <c r="Z813" s="76"/>
      <c r="AA813" s="134"/>
      <c r="AB813" s="62" t="s">
        <v>61</v>
      </c>
      <c r="AC813" s="63" t="s">
        <v>61</v>
      </c>
      <c r="AD813" s="64" t="s">
        <v>61</v>
      </c>
      <c r="AE813" s="64" t="s">
        <v>61</v>
      </c>
      <c r="AF813" s="63" t="s">
        <v>61</v>
      </c>
      <c r="AG813" s="63" t="s">
        <v>61</v>
      </c>
      <c r="AH813" s="63" t="s">
        <v>61</v>
      </c>
      <c r="AI813" s="65" t="s">
        <v>61</v>
      </c>
      <c r="AJ813" s="66" t="s">
        <v>61</v>
      </c>
      <c r="AK813" s="60"/>
    </row>
    <row r="814" ht="24.0" customHeight="1">
      <c r="A814" s="35"/>
      <c r="B814" s="36">
        <v>1.0</v>
      </c>
      <c r="C814" s="37" t="str">
        <f>IFERROR(__xludf.DUMMYFUNCTION("""COMPUTED_VALUE"""),"Benicio Quinones (4) - '27 OF ")</f>
        <v>Benicio Quinones (4) - '27 OF </v>
      </c>
      <c r="D814" s="89" t="s">
        <v>4371</v>
      </c>
      <c r="E814" s="39" t="s">
        <v>103</v>
      </c>
      <c r="F814" s="156">
        <v>46168.0</v>
      </c>
      <c r="G814" s="113" t="s">
        <v>1395</v>
      </c>
      <c r="H814" s="42" t="s">
        <v>4372</v>
      </c>
      <c r="I814" s="43" t="s">
        <v>4373</v>
      </c>
      <c r="J814" s="43">
        <v>2027.0</v>
      </c>
      <c r="K814" s="43">
        <v>4.0</v>
      </c>
      <c r="L814" s="80"/>
      <c r="M814" s="43" t="s">
        <v>103</v>
      </c>
      <c r="N814" s="43"/>
      <c r="O814" s="80"/>
      <c r="P814" s="80"/>
      <c r="Q814" s="80"/>
      <c r="R814" s="80"/>
      <c r="S814" s="39" t="s">
        <v>2029</v>
      </c>
      <c r="T814" s="39"/>
      <c r="U814" s="81"/>
      <c r="V814" s="81"/>
      <c r="W814" s="81"/>
      <c r="X814" s="81"/>
      <c r="Y814" s="81"/>
      <c r="Z814" s="82"/>
      <c r="AA814" s="99"/>
      <c r="AB814" s="48" t="s">
        <v>61</v>
      </c>
      <c r="AC814" s="68" t="s">
        <v>61</v>
      </c>
      <c r="AD814" s="69" t="s">
        <v>61</v>
      </c>
      <c r="AE814" s="69" t="s">
        <v>61</v>
      </c>
      <c r="AF814" s="68" t="s">
        <v>61</v>
      </c>
      <c r="AG814" s="68" t="s">
        <v>61</v>
      </c>
      <c r="AH814" s="68" t="s">
        <v>61</v>
      </c>
      <c r="AI814" s="70" t="s">
        <v>61</v>
      </c>
      <c r="AJ814" s="114" t="s">
        <v>61</v>
      </c>
      <c r="AK814" s="82"/>
    </row>
    <row r="815" ht="24.0" customHeight="1">
      <c r="A815" s="35"/>
      <c r="B815" s="36">
        <v>1.0</v>
      </c>
      <c r="C815" s="37" t="str">
        <f>IFERROR(__xludf.DUMMYFUNCTION("""COMPUTED_VALUE"""),"Bo Raines (4) - '29 3B AZ")</f>
        <v>Bo Raines (4) - '29 3B AZ</v>
      </c>
      <c r="D815" s="89" t="s">
        <v>4374</v>
      </c>
      <c r="E815" s="51" t="s">
        <v>48</v>
      </c>
      <c r="F815" s="154">
        <v>46168.0</v>
      </c>
      <c r="G815" s="116" t="s">
        <v>1395</v>
      </c>
      <c r="H815" s="54" t="s">
        <v>3465</v>
      </c>
      <c r="I815" s="55" t="s">
        <v>4375</v>
      </c>
      <c r="J815" s="55">
        <v>2029.0</v>
      </c>
      <c r="K815" s="55">
        <v>4.0</v>
      </c>
      <c r="L815" s="57"/>
      <c r="M815" s="55" t="s">
        <v>1519</v>
      </c>
      <c r="N815" s="55" t="s">
        <v>63</v>
      </c>
      <c r="O815" s="57"/>
      <c r="P815" s="55" t="s">
        <v>4376</v>
      </c>
      <c r="Q815" s="55" t="s">
        <v>319</v>
      </c>
      <c r="R815" s="55" t="s">
        <v>4377</v>
      </c>
      <c r="S815" s="58" t="s">
        <v>4378</v>
      </c>
      <c r="T815" s="51" t="s">
        <v>4379</v>
      </c>
      <c r="U815" s="51" t="s">
        <v>4380</v>
      </c>
      <c r="V815" s="74"/>
      <c r="W815" s="74"/>
      <c r="X815" s="74"/>
      <c r="Y815" s="74"/>
      <c r="Z815" s="76"/>
      <c r="AA815" s="155" t="s">
        <v>4381</v>
      </c>
      <c r="AB815" s="62" t="s">
        <v>61</v>
      </c>
      <c r="AC815" s="63" t="s">
        <v>61</v>
      </c>
      <c r="AD815" s="64" t="s">
        <v>61</v>
      </c>
      <c r="AE815" s="64" t="s">
        <v>61</v>
      </c>
      <c r="AF815" s="63" t="s">
        <v>61</v>
      </c>
      <c r="AG815" s="63" t="s">
        <v>61</v>
      </c>
      <c r="AH815" s="63" t="s">
        <v>61</v>
      </c>
      <c r="AI815" s="65" t="s">
        <v>61</v>
      </c>
      <c r="AJ815" s="105" t="s">
        <v>61</v>
      </c>
      <c r="AK815" s="76"/>
    </row>
    <row r="816" ht="24.0" customHeight="1">
      <c r="A816" s="35"/>
      <c r="B816" s="36">
        <v>1.0</v>
      </c>
      <c r="C816" s="37" t="str">
        <f>IFERROR(__xludf.DUMMYFUNCTION("""COMPUTED_VALUE"""),"Andrew Rapose (4) - '27 RHP ")</f>
        <v>Andrew Rapose (4) - '27 RHP </v>
      </c>
      <c r="D816" s="89" t="s">
        <v>4382</v>
      </c>
      <c r="E816" s="39" t="s">
        <v>63</v>
      </c>
      <c r="F816" s="121"/>
      <c r="G816" s="122"/>
      <c r="H816" s="42" t="s">
        <v>457</v>
      </c>
      <c r="I816" s="43" t="s">
        <v>4383</v>
      </c>
      <c r="J816" s="43">
        <v>2027.0</v>
      </c>
      <c r="K816" s="43">
        <v>4.0</v>
      </c>
      <c r="L816" s="158" t="s">
        <v>61</v>
      </c>
      <c r="M816" s="43" t="s">
        <v>63</v>
      </c>
      <c r="N816" s="44" t="s">
        <v>48</v>
      </c>
      <c r="O816" s="43" t="s">
        <v>1550</v>
      </c>
      <c r="P816" s="43" t="s">
        <v>4384</v>
      </c>
      <c r="Q816" s="80"/>
      <c r="R816" s="43" t="s">
        <v>4385</v>
      </c>
      <c r="S816" s="44" t="s">
        <v>1776</v>
      </c>
      <c r="T816" s="81"/>
      <c r="U816" s="81"/>
      <c r="V816" s="157"/>
      <c r="W816" s="39" t="s">
        <v>1724</v>
      </c>
      <c r="X816" s="81"/>
      <c r="Y816" s="81"/>
      <c r="Z816" s="82"/>
      <c r="AA816" s="99"/>
      <c r="AB816" s="48" t="s">
        <v>61</v>
      </c>
      <c r="AC816" s="68" t="s">
        <v>61</v>
      </c>
      <c r="AD816" s="69" t="s">
        <v>61</v>
      </c>
      <c r="AE816" s="69" t="s">
        <v>61</v>
      </c>
      <c r="AF816" s="68" t="s">
        <v>61</v>
      </c>
      <c r="AG816" s="68" t="s">
        <v>61</v>
      </c>
      <c r="AH816" s="68" t="s">
        <v>61</v>
      </c>
      <c r="AI816" s="70" t="s">
        <v>61</v>
      </c>
      <c r="AJ816" s="49" t="s">
        <v>61</v>
      </c>
      <c r="AK816" s="46"/>
    </row>
    <row r="817" ht="24.0" customHeight="1">
      <c r="A817" s="35"/>
      <c r="B817" s="36">
        <v>1.0</v>
      </c>
      <c r="C817" s="37" t="str">
        <f>IFERROR(__xludf.DUMMYFUNCTION("""COMPUTED_VALUE"""),"Hudson Reed (4) - '27 RHP ")</f>
        <v>Hudson Reed (4) - '27 RHP </v>
      </c>
      <c r="D817" s="89" t="s">
        <v>4386</v>
      </c>
      <c r="E817" s="51" t="s">
        <v>63</v>
      </c>
      <c r="F817" s="154">
        <v>46168.0</v>
      </c>
      <c r="G817" s="116" t="s">
        <v>1395</v>
      </c>
      <c r="H817" s="54" t="s">
        <v>1678</v>
      </c>
      <c r="I817" s="55" t="s">
        <v>2633</v>
      </c>
      <c r="J817" s="55">
        <v>2027.0</v>
      </c>
      <c r="K817" s="55">
        <v>4.0</v>
      </c>
      <c r="L817" s="57"/>
      <c r="M817" s="55" t="s">
        <v>63</v>
      </c>
      <c r="N817" s="55"/>
      <c r="O817" s="57"/>
      <c r="P817" s="57"/>
      <c r="Q817" s="57"/>
      <c r="R817" s="57"/>
      <c r="S817" s="51" t="s">
        <v>2029</v>
      </c>
      <c r="T817" s="51"/>
      <c r="U817" s="74"/>
      <c r="V817" s="74"/>
      <c r="W817" s="74"/>
      <c r="X817" s="74"/>
      <c r="Y817" s="74"/>
      <c r="Z817" s="76"/>
      <c r="AA817" s="134"/>
      <c r="AB817" s="62" t="s">
        <v>61</v>
      </c>
      <c r="AC817" s="63" t="s">
        <v>61</v>
      </c>
      <c r="AD817" s="64" t="s">
        <v>61</v>
      </c>
      <c r="AE817" s="64" t="s">
        <v>61</v>
      </c>
      <c r="AF817" s="63" t="s">
        <v>61</v>
      </c>
      <c r="AG817" s="63" t="s">
        <v>61</v>
      </c>
      <c r="AH817" s="63" t="s">
        <v>61</v>
      </c>
      <c r="AI817" s="65" t="s">
        <v>61</v>
      </c>
      <c r="AJ817" s="105" t="s">
        <v>61</v>
      </c>
      <c r="AK817" s="76"/>
    </row>
    <row r="818" ht="24.0" customHeight="1">
      <c r="A818" s="35"/>
      <c r="B818" s="36">
        <v>1.0</v>
      </c>
      <c r="C818" s="37" t="str">
        <f>IFERROR(__xludf.DUMMYFUNCTION("""COMPUTED_VALUE"""),"Carson Reeves (XX) - '27 2B GA")</f>
        <v>Carson Reeves (XX) - '27 2B GA</v>
      </c>
      <c r="D818" s="38" t="s">
        <v>4387</v>
      </c>
      <c r="E818" s="39" t="s">
        <v>48</v>
      </c>
      <c r="F818" s="118">
        <v>45865.0</v>
      </c>
      <c r="G818" s="113" t="s">
        <v>1395</v>
      </c>
      <c r="H818" s="42" t="s">
        <v>599</v>
      </c>
      <c r="I818" s="43" t="s">
        <v>3647</v>
      </c>
      <c r="J818" s="43">
        <v>2027.0</v>
      </c>
      <c r="K818" s="43" t="s">
        <v>410</v>
      </c>
      <c r="L818" s="158" t="s">
        <v>61</v>
      </c>
      <c r="M818" s="43" t="s">
        <v>2838</v>
      </c>
      <c r="N818" s="117"/>
      <c r="O818" s="43" t="s">
        <v>1550</v>
      </c>
      <c r="P818" s="43" t="s">
        <v>675</v>
      </c>
      <c r="Q818" s="43" t="s">
        <v>43</v>
      </c>
      <c r="R818" s="43" t="s">
        <v>675</v>
      </c>
      <c r="S818" s="117"/>
      <c r="T818" s="81"/>
      <c r="U818" s="81"/>
      <c r="V818" s="39" t="s">
        <v>4388</v>
      </c>
      <c r="W818" s="39" t="s">
        <v>2821</v>
      </c>
      <c r="X818" s="81"/>
      <c r="Y818" s="81"/>
      <c r="Z818" s="82"/>
      <c r="AA818" s="99"/>
      <c r="AB818" s="48" t="s">
        <v>61</v>
      </c>
      <c r="AC818" s="68" t="s">
        <v>61</v>
      </c>
      <c r="AD818" s="69" t="s">
        <v>61</v>
      </c>
      <c r="AE818" s="69" t="s">
        <v>61</v>
      </c>
      <c r="AF818" s="68" t="s">
        <v>61</v>
      </c>
      <c r="AG818" s="68" t="s">
        <v>61</v>
      </c>
      <c r="AH818" s="68" t="s">
        <v>61</v>
      </c>
      <c r="AI818" s="70" t="s">
        <v>61</v>
      </c>
      <c r="AJ818" s="49" t="s">
        <v>61</v>
      </c>
      <c r="AK818" s="46"/>
    </row>
    <row r="819" ht="24.0" customHeight="1">
      <c r="A819" s="35"/>
      <c r="B819" s="36">
        <v>1.0</v>
      </c>
      <c r="C819" s="37" t="str">
        <f>IFERROR(__xludf.DUMMYFUNCTION("""COMPUTED_VALUE"""),"Jack Rexwinkle (4) - '27 RHP FL")</f>
        <v>Jack Rexwinkle (4) - '27 RHP FL</v>
      </c>
      <c r="D819" s="89" t="s">
        <v>4389</v>
      </c>
      <c r="E819" s="51" t="s">
        <v>63</v>
      </c>
      <c r="F819" s="140">
        <v>46168.0</v>
      </c>
      <c r="G819" s="116" t="s">
        <v>1430</v>
      </c>
      <c r="H819" s="54" t="s">
        <v>424</v>
      </c>
      <c r="I819" s="55" t="s">
        <v>4390</v>
      </c>
      <c r="J819" s="55">
        <v>2027.0</v>
      </c>
      <c r="K819" s="55">
        <v>4.0</v>
      </c>
      <c r="L819" s="57"/>
      <c r="M819" s="55" t="s">
        <v>63</v>
      </c>
      <c r="N819" s="55"/>
      <c r="O819" s="57"/>
      <c r="P819" s="57"/>
      <c r="Q819" s="55" t="s">
        <v>66</v>
      </c>
      <c r="R819" s="55" t="s">
        <v>4391</v>
      </c>
      <c r="S819" s="58" t="s">
        <v>1450</v>
      </c>
      <c r="T819" s="74"/>
      <c r="U819" s="74"/>
      <c r="V819" s="74"/>
      <c r="W819" s="74"/>
      <c r="X819" s="74"/>
      <c r="Y819" s="74"/>
      <c r="Z819" s="76"/>
      <c r="AA819" s="73" t="s">
        <v>4392</v>
      </c>
      <c r="AB819" s="62" t="s">
        <v>61</v>
      </c>
      <c r="AC819" s="63" t="s">
        <v>61</v>
      </c>
      <c r="AD819" s="64" t="s">
        <v>61</v>
      </c>
      <c r="AE819" s="64" t="s">
        <v>61</v>
      </c>
      <c r="AF819" s="63" t="s">
        <v>61</v>
      </c>
      <c r="AG819" s="63" t="s">
        <v>61</v>
      </c>
      <c r="AH819" s="63" t="s">
        <v>61</v>
      </c>
      <c r="AI819" s="65" t="s">
        <v>61</v>
      </c>
      <c r="AJ819" s="105" t="s">
        <v>61</v>
      </c>
      <c r="AK819" s="76"/>
    </row>
    <row r="820" ht="24.0" customHeight="1">
      <c r="A820" s="35"/>
      <c r="B820" s="36">
        <v>1.0</v>
      </c>
      <c r="C820" s="37" t="str">
        <f>IFERROR(__xludf.DUMMYFUNCTION("""COMPUTED_VALUE"""),"Dylan Reynholds (4) - '27 C ")</f>
        <v>Dylan Reynholds (4) - '27 C </v>
      </c>
      <c r="D820" s="89" t="s">
        <v>4393</v>
      </c>
      <c r="E820" s="39" t="s">
        <v>109</v>
      </c>
      <c r="F820" s="156">
        <v>46168.0</v>
      </c>
      <c r="G820" s="113" t="s">
        <v>1395</v>
      </c>
      <c r="H820" s="42" t="s">
        <v>2294</v>
      </c>
      <c r="I820" s="43" t="s">
        <v>4394</v>
      </c>
      <c r="J820" s="43">
        <v>2027.0</v>
      </c>
      <c r="K820" s="43">
        <v>4.0</v>
      </c>
      <c r="L820" s="80"/>
      <c r="M820" s="43" t="s">
        <v>109</v>
      </c>
      <c r="N820" s="43" t="s">
        <v>807</v>
      </c>
      <c r="O820" s="80"/>
      <c r="P820" s="80"/>
      <c r="Q820" s="80"/>
      <c r="R820" s="80"/>
      <c r="S820" s="39" t="s">
        <v>2029</v>
      </c>
      <c r="T820" s="39"/>
      <c r="U820" s="81"/>
      <c r="V820" s="81"/>
      <c r="W820" s="81"/>
      <c r="X820" s="81"/>
      <c r="Y820" s="81"/>
      <c r="Z820" s="82"/>
      <c r="AA820" s="99"/>
      <c r="AB820" s="48" t="s">
        <v>61</v>
      </c>
      <c r="AC820" s="68" t="s">
        <v>61</v>
      </c>
      <c r="AD820" s="69" t="s">
        <v>61</v>
      </c>
      <c r="AE820" s="69" t="s">
        <v>61</v>
      </c>
      <c r="AF820" s="68" t="s">
        <v>61</v>
      </c>
      <c r="AG820" s="68" t="s">
        <v>61</v>
      </c>
      <c r="AH820" s="68" t="s">
        <v>61</v>
      </c>
      <c r="AI820" s="70" t="s">
        <v>61</v>
      </c>
      <c r="AJ820" s="114" t="s">
        <v>61</v>
      </c>
      <c r="AK820" s="82"/>
    </row>
    <row r="821" ht="24.0" customHeight="1">
      <c r="A821" s="35"/>
      <c r="B821" s="36">
        <v>1.0</v>
      </c>
      <c r="C821" s="37" t="str">
        <f>IFERROR(__xludf.DUMMYFUNCTION("""COMPUTED_VALUE"""),"Owen Richardson (4) - '27 SS RI")</f>
        <v>Owen Richardson (4) - '27 SS RI</v>
      </c>
      <c r="D821" s="89" t="s">
        <v>4395</v>
      </c>
      <c r="E821" s="51" t="s">
        <v>48</v>
      </c>
      <c r="F821" s="137"/>
      <c r="G821" s="133"/>
      <c r="H821" s="54" t="s">
        <v>64</v>
      </c>
      <c r="I821" s="55" t="s">
        <v>3335</v>
      </c>
      <c r="J821" s="55">
        <v>2027.0</v>
      </c>
      <c r="K821" s="55">
        <v>4.0</v>
      </c>
      <c r="L821" s="171" t="s">
        <v>61</v>
      </c>
      <c r="M821" s="55" t="s">
        <v>1398</v>
      </c>
      <c r="N821" s="132"/>
      <c r="O821" s="55" t="s">
        <v>1989</v>
      </c>
      <c r="P821" s="55" t="s">
        <v>881</v>
      </c>
      <c r="Q821" s="55" t="s">
        <v>1611</v>
      </c>
      <c r="R821" s="57"/>
      <c r="S821" s="58" t="s">
        <v>1776</v>
      </c>
      <c r="T821" s="74"/>
      <c r="U821" s="74"/>
      <c r="V821" s="139"/>
      <c r="W821" s="51" t="s">
        <v>1724</v>
      </c>
      <c r="X821" s="74"/>
      <c r="Y821" s="74"/>
      <c r="Z821" s="76"/>
      <c r="AA821" s="134"/>
      <c r="AB821" s="62" t="s">
        <v>61</v>
      </c>
      <c r="AC821" s="63" t="s">
        <v>61</v>
      </c>
      <c r="AD821" s="64" t="s">
        <v>61</v>
      </c>
      <c r="AE821" s="64" t="s">
        <v>61</v>
      </c>
      <c r="AF821" s="63" t="s">
        <v>61</v>
      </c>
      <c r="AG821" s="63" t="s">
        <v>61</v>
      </c>
      <c r="AH821" s="63" t="s">
        <v>61</v>
      </c>
      <c r="AI821" s="65" t="s">
        <v>61</v>
      </c>
      <c r="AJ821" s="105" t="s">
        <v>61</v>
      </c>
      <c r="AK821" s="76"/>
    </row>
    <row r="822" ht="24.0" customHeight="1">
      <c r="A822" s="35"/>
      <c r="B822" s="36">
        <v>1.0</v>
      </c>
      <c r="C822" s="37" t="str">
        <f>IFERROR(__xludf.DUMMYFUNCTION("""COMPUTED_VALUE"""),"Mark Risi (4) - '27 RHP ")</f>
        <v>Mark Risi (4) - '27 RHP </v>
      </c>
      <c r="D822" s="89" t="s">
        <v>4396</v>
      </c>
      <c r="E822" s="39" t="s">
        <v>63</v>
      </c>
      <c r="F822" s="156">
        <v>46168.0</v>
      </c>
      <c r="G822" s="113" t="s">
        <v>1395</v>
      </c>
      <c r="H822" s="42" t="s">
        <v>2544</v>
      </c>
      <c r="I822" s="43" t="s">
        <v>4397</v>
      </c>
      <c r="J822" s="43">
        <v>2027.0</v>
      </c>
      <c r="K822" s="43">
        <v>4.0</v>
      </c>
      <c r="L822" s="80"/>
      <c r="M822" s="43" t="s">
        <v>63</v>
      </c>
      <c r="N822" s="43"/>
      <c r="O822" s="80"/>
      <c r="P822" s="80"/>
      <c r="Q822" s="80"/>
      <c r="R822" s="80"/>
      <c r="S822" s="39" t="s">
        <v>2029</v>
      </c>
      <c r="T822" s="39"/>
      <c r="U822" s="81"/>
      <c r="V822" s="81"/>
      <c r="W822" s="81"/>
      <c r="X822" s="81"/>
      <c r="Y822" s="81"/>
      <c r="Z822" s="82"/>
      <c r="AA822" s="99"/>
      <c r="AB822" s="48" t="s">
        <v>61</v>
      </c>
      <c r="AC822" s="68" t="s">
        <v>61</v>
      </c>
      <c r="AD822" s="69" t="s">
        <v>61</v>
      </c>
      <c r="AE822" s="69" t="s">
        <v>61</v>
      </c>
      <c r="AF822" s="68" t="s">
        <v>61</v>
      </c>
      <c r="AG822" s="68" t="s">
        <v>61</v>
      </c>
      <c r="AH822" s="68" t="s">
        <v>61</v>
      </c>
      <c r="AI822" s="70" t="s">
        <v>61</v>
      </c>
      <c r="AJ822" s="114" t="s">
        <v>61</v>
      </c>
      <c r="AK822" s="82"/>
    </row>
    <row r="823" ht="24.0" customHeight="1">
      <c r="A823" s="35"/>
      <c r="B823" s="36">
        <v>1.0</v>
      </c>
      <c r="C823" s="37" t="str">
        <f>IFERROR(__xludf.DUMMYFUNCTION("""COMPUTED_VALUE"""),"Eddie Ritchie (4) - '28 RHP ")</f>
        <v>Eddie Ritchie (4) - '28 RHP </v>
      </c>
      <c r="D823" s="89" t="s">
        <v>4398</v>
      </c>
      <c r="E823" s="51" t="s">
        <v>63</v>
      </c>
      <c r="F823" s="154">
        <v>46156.0</v>
      </c>
      <c r="G823" s="116" t="s">
        <v>1395</v>
      </c>
      <c r="H823" s="54" t="s">
        <v>741</v>
      </c>
      <c r="I823" s="55" t="s">
        <v>4399</v>
      </c>
      <c r="J823" s="55">
        <v>2028.0</v>
      </c>
      <c r="K823" s="55">
        <v>4.0</v>
      </c>
      <c r="L823" s="57"/>
      <c r="M823" s="55" t="s">
        <v>63</v>
      </c>
      <c r="N823" s="55"/>
      <c r="O823" s="57"/>
      <c r="P823" s="57"/>
      <c r="Q823" s="57"/>
      <c r="R823" s="55" t="s">
        <v>4400</v>
      </c>
      <c r="S823" s="58" t="s">
        <v>2874</v>
      </c>
      <c r="T823" s="51" t="s">
        <v>4401</v>
      </c>
      <c r="U823" s="74"/>
      <c r="V823" s="74"/>
      <c r="W823" s="74"/>
      <c r="X823" s="74"/>
      <c r="Y823" s="74"/>
      <c r="Z823" s="76"/>
      <c r="AA823" s="134"/>
      <c r="AB823" s="62" t="s">
        <v>61</v>
      </c>
      <c r="AC823" s="63" t="s">
        <v>61</v>
      </c>
      <c r="AD823" s="64" t="s">
        <v>61</v>
      </c>
      <c r="AE823" s="64" t="s">
        <v>61</v>
      </c>
      <c r="AF823" s="63" t="s">
        <v>61</v>
      </c>
      <c r="AG823" s="63" t="s">
        <v>61</v>
      </c>
      <c r="AH823" s="63" t="s">
        <v>61</v>
      </c>
      <c r="AI823" s="65" t="s">
        <v>61</v>
      </c>
      <c r="AJ823" s="105" t="s">
        <v>61</v>
      </c>
      <c r="AK823" s="76"/>
    </row>
    <row r="824" ht="24.0" customHeight="1">
      <c r="A824" s="35"/>
      <c r="B824" s="36">
        <v>1.0</v>
      </c>
      <c r="C824" s="37" t="str">
        <f>IFERROR(__xludf.DUMMYFUNCTION("""COMPUTED_VALUE"""),"Jackson Ritz (4) - '27 SS TX")</f>
        <v>Jackson Ritz (4) - '27 SS TX</v>
      </c>
      <c r="D824" s="89" t="s">
        <v>4402</v>
      </c>
      <c r="E824" s="39" t="s">
        <v>48</v>
      </c>
      <c r="F824" s="156">
        <v>46168.0</v>
      </c>
      <c r="G824" s="113" t="s">
        <v>1395</v>
      </c>
      <c r="H824" s="42" t="s">
        <v>432</v>
      </c>
      <c r="I824" s="43" t="s">
        <v>4403</v>
      </c>
      <c r="J824" s="43">
        <v>2027.0</v>
      </c>
      <c r="K824" s="43">
        <v>4.0</v>
      </c>
      <c r="L824" s="80"/>
      <c r="M824" s="43" t="s">
        <v>1398</v>
      </c>
      <c r="N824" s="43" t="s">
        <v>103</v>
      </c>
      <c r="O824" s="80"/>
      <c r="P824" s="43" t="s">
        <v>4404</v>
      </c>
      <c r="Q824" s="43" t="s">
        <v>180</v>
      </c>
      <c r="R824" s="80"/>
      <c r="S824" s="44" t="s">
        <v>3971</v>
      </c>
      <c r="T824" s="81"/>
      <c r="U824" s="39" t="s">
        <v>4405</v>
      </c>
      <c r="V824" s="39" t="s">
        <v>4406</v>
      </c>
      <c r="W824" s="81"/>
      <c r="X824" s="81"/>
      <c r="Y824" s="81"/>
      <c r="Z824" s="82"/>
      <c r="AA824" s="161" t="s">
        <v>4407</v>
      </c>
      <c r="AB824" s="48" t="s">
        <v>61</v>
      </c>
      <c r="AC824" s="68" t="s">
        <v>61</v>
      </c>
      <c r="AD824" s="69" t="s">
        <v>61</v>
      </c>
      <c r="AE824" s="69" t="s">
        <v>61</v>
      </c>
      <c r="AF824" s="68" t="s">
        <v>61</v>
      </c>
      <c r="AG824" s="68" t="s">
        <v>61</v>
      </c>
      <c r="AH824" s="68" t="s">
        <v>61</v>
      </c>
      <c r="AI824" s="70" t="s">
        <v>61</v>
      </c>
      <c r="AJ824" s="114" t="s">
        <v>61</v>
      </c>
      <c r="AK824" s="82"/>
    </row>
    <row r="825" ht="24.0" customHeight="1">
      <c r="A825" s="35"/>
      <c r="B825" s="36">
        <v>1.0</v>
      </c>
      <c r="C825" s="37" t="str">
        <f>IFERROR(__xludf.DUMMYFUNCTION("""COMPUTED_VALUE"""),"Brayden Rivera (2) - '27 LHP MD")</f>
        <v>Brayden Rivera (2) - '27 LHP MD</v>
      </c>
      <c r="D825" s="89" t="s">
        <v>4408</v>
      </c>
      <c r="E825" s="51" t="s">
        <v>122</v>
      </c>
      <c r="F825" s="154">
        <v>46156.0</v>
      </c>
      <c r="G825" s="116" t="s">
        <v>1395</v>
      </c>
      <c r="H825" s="54" t="s">
        <v>535</v>
      </c>
      <c r="I825" s="55" t="s">
        <v>4409</v>
      </c>
      <c r="J825" s="55">
        <v>2027.0</v>
      </c>
      <c r="K825" s="55">
        <v>2.0</v>
      </c>
      <c r="L825" s="57"/>
      <c r="M825" s="55" t="s">
        <v>122</v>
      </c>
      <c r="N825" s="55"/>
      <c r="O825" s="55" t="s">
        <v>1556</v>
      </c>
      <c r="P825" s="57"/>
      <c r="Q825" s="55" t="s">
        <v>195</v>
      </c>
      <c r="R825" s="55" t="s">
        <v>4410</v>
      </c>
      <c r="S825" s="58" t="s">
        <v>4411</v>
      </c>
      <c r="T825" s="74"/>
      <c r="U825" s="51" t="s">
        <v>4412</v>
      </c>
      <c r="V825" s="51" t="s">
        <v>4413</v>
      </c>
      <c r="W825" s="74"/>
      <c r="X825" s="74"/>
      <c r="Y825" s="74"/>
      <c r="Z825" s="76"/>
      <c r="AA825" s="155" t="s">
        <v>4414</v>
      </c>
      <c r="AB825" s="62" t="s">
        <v>61</v>
      </c>
      <c r="AC825" s="63" t="s">
        <v>61</v>
      </c>
      <c r="AD825" s="64" t="s">
        <v>61</v>
      </c>
      <c r="AE825" s="64" t="s">
        <v>61</v>
      </c>
      <c r="AF825" s="63" t="s">
        <v>61</v>
      </c>
      <c r="AG825" s="63" t="s">
        <v>61</v>
      </c>
      <c r="AH825" s="63" t="s">
        <v>61</v>
      </c>
      <c r="AI825" s="65" t="s">
        <v>61</v>
      </c>
      <c r="AJ825" s="105" t="s">
        <v>61</v>
      </c>
      <c r="AK825" s="76"/>
    </row>
    <row r="826" ht="24.0" customHeight="1">
      <c r="A826" s="35"/>
      <c r="B826" s="36">
        <v>1.0</v>
      </c>
      <c r="C826" s="37" t="str">
        <f>IFERROR(__xludf.DUMMYFUNCTION("""COMPUTED_VALUE"""),"Jack Rock (4) - '27 OF ")</f>
        <v>Jack Rock (4) - '27 OF </v>
      </c>
      <c r="D826" s="89" t="s">
        <v>4415</v>
      </c>
      <c r="E826" s="39" t="s">
        <v>103</v>
      </c>
      <c r="F826" s="156">
        <v>46168.0</v>
      </c>
      <c r="G826" s="113" t="s">
        <v>1395</v>
      </c>
      <c r="H826" s="42" t="s">
        <v>424</v>
      </c>
      <c r="I826" s="43" t="s">
        <v>4416</v>
      </c>
      <c r="J826" s="43">
        <v>2027.0</v>
      </c>
      <c r="K826" s="43">
        <v>4.0</v>
      </c>
      <c r="L826" s="80"/>
      <c r="M826" s="43" t="s">
        <v>103</v>
      </c>
      <c r="N826" s="43"/>
      <c r="O826" s="80"/>
      <c r="P826" s="80"/>
      <c r="Q826" s="80"/>
      <c r="R826" s="80"/>
      <c r="S826" s="39" t="s">
        <v>2029</v>
      </c>
      <c r="T826" s="39"/>
      <c r="U826" s="81"/>
      <c r="V826" s="81"/>
      <c r="W826" s="81"/>
      <c r="X826" s="81"/>
      <c r="Y826" s="81"/>
      <c r="Z826" s="82"/>
      <c r="AA826" s="99"/>
      <c r="AB826" s="48" t="s">
        <v>61</v>
      </c>
      <c r="AC826" s="68" t="s">
        <v>61</v>
      </c>
      <c r="AD826" s="69" t="s">
        <v>61</v>
      </c>
      <c r="AE826" s="69" t="s">
        <v>61</v>
      </c>
      <c r="AF826" s="68" t="s">
        <v>61</v>
      </c>
      <c r="AG826" s="68" t="s">
        <v>61</v>
      </c>
      <c r="AH826" s="68" t="s">
        <v>61</v>
      </c>
      <c r="AI826" s="70" t="s">
        <v>61</v>
      </c>
      <c r="AJ826" s="114" t="s">
        <v>61</v>
      </c>
      <c r="AK826" s="82"/>
    </row>
    <row r="827" ht="24.0" customHeight="1">
      <c r="A827" s="35"/>
      <c r="B827" s="36">
        <v>1.0</v>
      </c>
      <c r="C827" s="37" t="str">
        <f>IFERROR(__xludf.DUMMYFUNCTION("""COMPUTED_VALUE"""),"Cruz Romo (4) - '27 OF TX")</f>
        <v>Cruz Romo (4) - '27 OF TX</v>
      </c>
      <c r="D827" s="89" t="s">
        <v>4417</v>
      </c>
      <c r="E827" s="51" t="s">
        <v>103</v>
      </c>
      <c r="F827" s="154">
        <v>46168.0</v>
      </c>
      <c r="G827" s="116" t="s">
        <v>1395</v>
      </c>
      <c r="H827" s="54" t="s">
        <v>3135</v>
      </c>
      <c r="I827" s="55" t="s">
        <v>4418</v>
      </c>
      <c r="J827" s="55">
        <v>2027.0</v>
      </c>
      <c r="K827" s="55">
        <v>4.0</v>
      </c>
      <c r="L827" s="57"/>
      <c r="M827" s="55" t="s">
        <v>103</v>
      </c>
      <c r="N827" s="55" t="s">
        <v>1972</v>
      </c>
      <c r="O827" s="55" t="s">
        <v>1989</v>
      </c>
      <c r="P827" s="55" t="s">
        <v>4419</v>
      </c>
      <c r="Q827" s="55" t="s">
        <v>180</v>
      </c>
      <c r="R827" s="55" t="s">
        <v>4420</v>
      </c>
      <c r="S827" s="58" t="s">
        <v>4421</v>
      </c>
      <c r="T827" s="74"/>
      <c r="U827" s="51" t="s">
        <v>4422</v>
      </c>
      <c r="V827" s="74"/>
      <c r="W827" s="74"/>
      <c r="X827" s="74"/>
      <c r="Y827" s="74"/>
      <c r="Z827" s="76"/>
      <c r="AA827" s="155" t="s">
        <v>4423</v>
      </c>
      <c r="AB827" s="62" t="s">
        <v>61</v>
      </c>
      <c r="AC827" s="63" t="s">
        <v>61</v>
      </c>
      <c r="AD827" s="64" t="s">
        <v>61</v>
      </c>
      <c r="AE827" s="64" t="s">
        <v>61</v>
      </c>
      <c r="AF827" s="63" t="s">
        <v>61</v>
      </c>
      <c r="AG827" s="63" t="s">
        <v>61</v>
      </c>
      <c r="AH827" s="63" t="s">
        <v>61</v>
      </c>
      <c r="AI827" s="65" t="s">
        <v>61</v>
      </c>
      <c r="AJ827" s="105" t="s">
        <v>61</v>
      </c>
      <c r="AK827" s="76"/>
    </row>
    <row r="828" ht="24.0" customHeight="1">
      <c r="A828" s="35"/>
      <c r="B828" s="36">
        <v>1.0</v>
      </c>
      <c r="C828" s="37" t="str">
        <f>IFERROR(__xludf.DUMMYFUNCTION("""COMPUTED_VALUE"""),"Tyler Ryan (4) - '28 OF ")</f>
        <v>Tyler Ryan (4) - '28 OF </v>
      </c>
      <c r="D828" s="38" t="s">
        <v>4424</v>
      </c>
      <c r="E828" s="39" t="s">
        <v>103</v>
      </c>
      <c r="F828" s="121"/>
      <c r="G828" s="122"/>
      <c r="H828" s="42" t="s">
        <v>104</v>
      </c>
      <c r="I828" s="43" t="s">
        <v>1206</v>
      </c>
      <c r="J828" s="43">
        <v>2028.0</v>
      </c>
      <c r="K828" s="43">
        <v>4.0</v>
      </c>
      <c r="L828" s="80"/>
      <c r="M828" s="43" t="s">
        <v>103</v>
      </c>
      <c r="N828" s="80"/>
      <c r="O828" s="43" t="s">
        <v>1550</v>
      </c>
      <c r="P828" s="43" t="s">
        <v>4425</v>
      </c>
      <c r="Q828" s="80"/>
      <c r="R828" s="43" t="s">
        <v>4426</v>
      </c>
      <c r="S828" s="44" t="s">
        <v>4427</v>
      </c>
      <c r="T828" s="81"/>
      <c r="U828" s="81"/>
      <c r="V828" s="157"/>
      <c r="W828" s="39" t="s">
        <v>1724</v>
      </c>
      <c r="X828" s="81"/>
      <c r="Y828" s="81"/>
      <c r="Z828" s="82"/>
      <c r="AA828" s="99"/>
      <c r="AB828" s="48" t="s">
        <v>61</v>
      </c>
      <c r="AC828" s="68" t="s">
        <v>61</v>
      </c>
      <c r="AD828" s="69" t="s">
        <v>61</v>
      </c>
      <c r="AE828" s="69" t="s">
        <v>61</v>
      </c>
      <c r="AF828" s="68" t="s">
        <v>61</v>
      </c>
      <c r="AG828" s="68" t="s">
        <v>61</v>
      </c>
      <c r="AH828" s="68" t="s">
        <v>61</v>
      </c>
      <c r="AI828" s="70" t="s">
        <v>61</v>
      </c>
      <c r="AJ828" s="114" t="s">
        <v>61</v>
      </c>
      <c r="AK828" s="82"/>
    </row>
    <row r="829" ht="24.0" customHeight="1">
      <c r="A829" s="35"/>
      <c r="B829" s="36">
        <v>1.0</v>
      </c>
      <c r="C829" s="37" t="str">
        <f>IFERROR(__xludf.DUMMYFUNCTION("""COMPUTED_VALUE"""),"Darrian Sanders (4) - '27 LHP MA")</f>
        <v>Darrian Sanders (4) - '27 LHP MA</v>
      </c>
      <c r="D829" s="89" t="s">
        <v>4428</v>
      </c>
      <c r="E829" s="51" t="s">
        <v>122</v>
      </c>
      <c r="F829" s="154">
        <v>46168.0</v>
      </c>
      <c r="G829" s="116" t="s">
        <v>1395</v>
      </c>
      <c r="H829" s="54" t="s">
        <v>4429</v>
      </c>
      <c r="I829" s="55" t="s">
        <v>4430</v>
      </c>
      <c r="J829" s="55">
        <v>2027.0</v>
      </c>
      <c r="K829" s="55">
        <v>4.0</v>
      </c>
      <c r="L829" s="57"/>
      <c r="M829" s="55" t="s">
        <v>122</v>
      </c>
      <c r="N829" s="55" t="s">
        <v>103</v>
      </c>
      <c r="O829" s="55" t="s">
        <v>1556</v>
      </c>
      <c r="P829" s="57"/>
      <c r="Q829" s="55" t="s">
        <v>85</v>
      </c>
      <c r="R829" s="55" t="s">
        <v>4431</v>
      </c>
      <c r="S829" s="58" t="s">
        <v>2874</v>
      </c>
      <c r="T829" s="74"/>
      <c r="U829" s="74"/>
      <c r="V829" s="51" t="s">
        <v>4432</v>
      </c>
      <c r="W829" s="74"/>
      <c r="X829" s="74"/>
      <c r="Y829" s="74"/>
      <c r="Z829" s="76"/>
      <c r="AA829" s="155" t="s">
        <v>4433</v>
      </c>
      <c r="AB829" s="62" t="s">
        <v>61</v>
      </c>
      <c r="AC829" s="63" t="s">
        <v>61</v>
      </c>
      <c r="AD829" s="64" t="s">
        <v>61</v>
      </c>
      <c r="AE829" s="64" t="s">
        <v>61</v>
      </c>
      <c r="AF829" s="63" t="s">
        <v>61</v>
      </c>
      <c r="AG829" s="63" t="s">
        <v>61</v>
      </c>
      <c r="AH829" s="63" t="s">
        <v>61</v>
      </c>
      <c r="AI829" s="65" t="s">
        <v>61</v>
      </c>
      <c r="AJ829" s="105" t="s">
        <v>61</v>
      </c>
      <c r="AK829" s="76"/>
    </row>
    <row r="830" ht="24.0" customHeight="1">
      <c r="A830" s="35"/>
      <c r="B830" s="36">
        <v>1.0</v>
      </c>
      <c r="C830" s="37" t="str">
        <f>IFERROR(__xludf.DUMMYFUNCTION("""COMPUTED_VALUE"""),"Nick Santobello (4) - '27 RHP NY")</f>
        <v>Nick Santobello (4) - '27 RHP NY</v>
      </c>
      <c r="D830" s="38" t="s">
        <v>4434</v>
      </c>
      <c r="E830" s="39" t="s">
        <v>63</v>
      </c>
      <c r="F830" s="121"/>
      <c r="G830" s="122"/>
      <c r="H830" s="42" t="s">
        <v>1123</v>
      </c>
      <c r="I830" s="43" t="s">
        <v>4435</v>
      </c>
      <c r="J830" s="43">
        <v>2027.0</v>
      </c>
      <c r="K830" s="43">
        <v>4.0</v>
      </c>
      <c r="L830" s="158" t="s">
        <v>61</v>
      </c>
      <c r="M830" s="43" t="s">
        <v>63</v>
      </c>
      <c r="N830" s="117"/>
      <c r="O830" s="80"/>
      <c r="P830" s="43" t="s">
        <v>4436</v>
      </c>
      <c r="Q830" s="43" t="s">
        <v>255</v>
      </c>
      <c r="R830" s="43" t="s">
        <v>4437</v>
      </c>
      <c r="S830" s="44" t="s">
        <v>4438</v>
      </c>
      <c r="T830" s="81"/>
      <c r="U830" s="81"/>
      <c r="V830" s="157"/>
      <c r="W830" s="39" t="s">
        <v>1724</v>
      </c>
      <c r="X830" s="39" t="s">
        <v>1550</v>
      </c>
      <c r="Y830" s="81"/>
      <c r="Z830" s="82"/>
      <c r="AA830" s="99"/>
      <c r="AB830" s="48" t="s">
        <v>61</v>
      </c>
      <c r="AC830" s="68" t="s">
        <v>61</v>
      </c>
      <c r="AD830" s="69" t="s">
        <v>61</v>
      </c>
      <c r="AE830" s="69" t="s">
        <v>61</v>
      </c>
      <c r="AF830" s="68" t="s">
        <v>61</v>
      </c>
      <c r="AG830" s="68" t="s">
        <v>61</v>
      </c>
      <c r="AH830" s="68" t="s">
        <v>61</v>
      </c>
      <c r="AI830" s="70" t="s">
        <v>61</v>
      </c>
      <c r="AJ830" s="114" t="s">
        <v>61</v>
      </c>
      <c r="AK830" s="82"/>
    </row>
    <row r="831" ht="24.0" customHeight="1">
      <c r="A831" s="35"/>
      <c r="B831" s="36">
        <v>1.0</v>
      </c>
      <c r="C831" s="37" t="str">
        <f>IFERROR(__xludf.DUMMYFUNCTION("""COMPUTED_VALUE"""),"Xavier Santos-Olson (4) - '27 C NY")</f>
        <v>Xavier Santos-Olson (4) - '27 C NY</v>
      </c>
      <c r="D831" s="38" t="s">
        <v>4439</v>
      </c>
      <c r="E831" s="51" t="s">
        <v>109</v>
      </c>
      <c r="F831" s="115"/>
      <c r="G831" s="116" t="s">
        <v>1395</v>
      </c>
      <c r="H831" s="54" t="s">
        <v>1311</v>
      </c>
      <c r="I831" s="55" t="s">
        <v>4440</v>
      </c>
      <c r="J831" s="55">
        <v>2027.0</v>
      </c>
      <c r="K831" s="55">
        <v>4.0</v>
      </c>
      <c r="L831" s="171" t="s">
        <v>61</v>
      </c>
      <c r="M831" s="55" t="s">
        <v>109</v>
      </c>
      <c r="N831" s="58"/>
      <c r="O831" s="55" t="s">
        <v>1550</v>
      </c>
      <c r="P831" s="72"/>
      <c r="Q831" s="55" t="s">
        <v>255</v>
      </c>
      <c r="R831" s="55" t="s">
        <v>4441</v>
      </c>
      <c r="S831" s="58" t="s">
        <v>4442</v>
      </c>
      <c r="T831" s="51"/>
      <c r="U831" s="51"/>
      <c r="V831" s="51"/>
      <c r="W831" s="51"/>
      <c r="X831" s="51"/>
      <c r="Y831" s="51"/>
      <c r="Z831" s="60"/>
      <c r="AA831" s="73"/>
      <c r="AB831" s="62" t="s">
        <v>61</v>
      </c>
      <c r="AC831" s="63" t="s">
        <v>61</v>
      </c>
      <c r="AD831" s="64" t="s">
        <v>61</v>
      </c>
      <c r="AE831" s="64" t="s">
        <v>61</v>
      </c>
      <c r="AF831" s="63" t="s">
        <v>61</v>
      </c>
      <c r="AG831" s="63" t="s">
        <v>61</v>
      </c>
      <c r="AH831" s="63" t="s">
        <v>61</v>
      </c>
      <c r="AI831" s="65" t="s">
        <v>61</v>
      </c>
      <c r="AJ831" s="66" t="s">
        <v>61</v>
      </c>
      <c r="AK831" s="60"/>
    </row>
    <row r="832" ht="24.0" customHeight="1">
      <c r="A832" s="35"/>
      <c r="B832" s="36">
        <v>1.0</v>
      </c>
      <c r="C832" s="37" t="str">
        <f>IFERROR(__xludf.DUMMYFUNCTION("""COMPUTED_VALUE"""),"Kevin Schlessler (4) - '27 RHP ")</f>
        <v>Kevin Schlessler (4) - '27 RHP </v>
      </c>
      <c r="D832" s="89" t="s">
        <v>4443</v>
      </c>
      <c r="E832" s="39" t="s">
        <v>63</v>
      </c>
      <c r="F832" s="156">
        <v>46168.0</v>
      </c>
      <c r="G832" s="113" t="s">
        <v>1395</v>
      </c>
      <c r="H832" s="42" t="s">
        <v>1005</v>
      </c>
      <c r="I832" s="43" t="s">
        <v>4444</v>
      </c>
      <c r="J832" s="43">
        <v>2027.0</v>
      </c>
      <c r="K832" s="43">
        <v>4.0</v>
      </c>
      <c r="L832" s="80"/>
      <c r="M832" s="43" t="s">
        <v>63</v>
      </c>
      <c r="N832" s="43"/>
      <c r="O832" s="80"/>
      <c r="P832" s="80"/>
      <c r="Q832" s="80"/>
      <c r="R832" s="80"/>
      <c r="S832" s="39" t="s">
        <v>2029</v>
      </c>
      <c r="T832" s="39"/>
      <c r="U832" s="81"/>
      <c r="V832" s="81"/>
      <c r="W832" s="81"/>
      <c r="X832" s="81"/>
      <c r="Y832" s="81"/>
      <c r="Z832" s="82"/>
      <c r="AA832" s="99"/>
      <c r="AB832" s="48" t="s">
        <v>61</v>
      </c>
      <c r="AC832" s="68" t="s">
        <v>61</v>
      </c>
      <c r="AD832" s="69" t="s">
        <v>61</v>
      </c>
      <c r="AE832" s="69" t="s">
        <v>61</v>
      </c>
      <c r="AF832" s="68" t="s">
        <v>61</v>
      </c>
      <c r="AG832" s="68" t="s">
        <v>61</v>
      </c>
      <c r="AH832" s="68" t="s">
        <v>61</v>
      </c>
      <c r="AI832" s="70" t="s">
        <v>61</v>
      </c>
      <c r="AJ832" s="114" t="s">
        <v>61</v>
      </c>
      <c r="AK832" s="82"/>
    </row>
    <row r="833" ht="24.0" customHeight="1">
      <c r="A833" s="35"/>
      <c r="B833" s="36">
        <v>1.0</v>
      </c>
      <c r="C833" s="37" t="str">
        <f>IFERROR(__xludf.DUMMYFUNCTION("""COMPUTED_VALUE"""),"Tillman Schroder (4) - '28 RHP ")</f>
        <v>Tillman Schroder (4) - '28 RHP </v>
      </c>
      <c r="D833" s="89" t="s">
        <v>4445</v>
      </c>
      <c r="E833" s="51" t="s">
        <v>63</v>
      </c>
      <c r="F833" s="154">
        <v>46168.0</v>
      </c>
      <c r="G833" s="116" t="s">
        <v>1395</v>
      </c>
      <c r="H833" s="54" t="s">
        <v>2419</v>
      </c>
      <c r="I833" s="55" t="s">
        <v>4446</v>
      </c>
      <c r="J833" s="55">
        <v>2028.0</v>
      </c>
      <c r="K833" s="55">
        <v>4.0</v>
      </c>
      <c r="L833" s="57"/>
      <c r="M833" s="55" t="s">
        <v>63</v>
      </c>
      <c r="N833" s="55"/>
      <c r="O833" s="57"/>
      <c r="P833" s="57"/>
      <c r="Q833" s="57"/>
      <c r="R833" s="57"/>
      <c r="S833" s="51" t="s">
        <v>2029</v>
      </c>
      <c r="T833" s="51"/>
      <c r="U833" s="74"/>
      <c r="V833" s="74"/>
      <c r="W833" s="74"/>
      <c r="X833" s="74"/>
      <c r="Y833" s="74"/>
      <c r="Z833" s="76"/>
      <c r="AA833" s="134"/>
      <c r="AB833" s="62" t="s">
        <v>61</v>
      </c>
      <c r="AC833" s="63" t="s">
        <v>61</v>
      </c>
      <c r="AD833" s="64" t="s">
        <v>61</v>
      </c>
      <c r="AE833" s="64" t="s">
        <v>61</v>
      </c>
      <c r="AF833" s="63" t="s">
        <v>61</v>
      </c>
      <c r="AG833" s="63" t="s">
        <v>61</v>
      </c>
      <c r="AH833" s="63" t="s">
        <v>61</v>
      </c>
      <c r="AI833" s="65" t="s">
        <v>61</v>
      </c>
      <c r="AJ833" s="105" t="s">
        <v>61</v>
      </c>
      <c r="AK833" s="76"/>
    </row>
    <row r="834" ht="24.0" customHeight="1">
      <c r="A834" s="35"/>
      <c r="B834" s="36">
        <v>1.0</v>
      </c>
      <c r="C834" s="37" t="str">
        <f>IFERROR(__xludf.DUMMYFUNCTION("""COMPUTED_VALUE"""),"Tanner Schroeck (4) - '27 INF PA")</f>
        <v>Tanner Schroeck (4) - '27 INF PA</v>
      </c>
      <c r="D834" s="89" t="s">
        <v>4447</v>
      </c>
      <c r="E834" s="39" t="s">
        <v>48</v>
      </c>
      <c r="F834" s="156">
        <v>46168.0</v>
      </c>
      <c r="G834" s="113" t="s">
        <v>1395</v>
      </c>
      <c r="H834" s="42" t="s">
        <v>2696</v>
      </c>
      <c r="I834" s="43" t="s">
        <v>4448</v>
      </c>
      <c r="J834" s="43">
        <v>2027.0</v>
      </c>
      <c r="K834" s="43">
        <v>4.0</v>
      </c>
      <c r="L834" s="80"/>
      <c r="M834" s="43" t="s">
        <v>48</v>
      </c>
      <c r="N834" s="43"/>
      <c r="O834" s="80"/>
      <c r="P834" s="43" t="s">
        <v>4255</v>
      </c>
      <c r="Q834" s="43" t="s">
        <v>240</v>
      </c>
      <c r="R834" s="43" t="s">
        <v>4449</v>
      </c>
      <c r="S834" s="44" t="s">
        <v>4450</v>
      </c>
      <c r="T834" s="39" t="s">
        <v>4451</v>
      </c>
      <c r="U834" s="39" t="s">
        <v>4452</v>
      </c>
      <c r="V834" s="39" t="s">
        <v>4453</v>
      </c>
      <c r="W834" s="81"/>
      <c r="X834" s="81"/>
      <c r="Y834" s="81"/>
      <c r="Z834" s="82"/>
      <c r="AA834" s="161" t="s">
        <v>4454</v>
      </c>
      <c r="AB834" s="48" t="s">
        <v>61</v>
      </c>
      <c r="AC834" s="68" t="s">
        <v>61</v>
      </c>
      <c r="AD834" s="69" t="s">
        <v>61</v>
      </c>
      <c r="AE834" s="69" t="s">
        <v>61</v>
      </c>
      <c r="AF834" s="68" t="s">
        <v>61</v>
      </c>
      <c r="AG834" s="68" t="s">
        <v>61</v>
      </c>
      <c r="AH834" s="68" t="s">
        <v>61</v>
      </c>
      <c r="AI834" s="70" t="s">
        <v>61</v>
      </c>
      <c r="AJ834" s="114" t="s">
        <v>61</v>
      </c>
      <c r="AK834" s="82"/>
    </row>
    <row r="835" ht="24.0" customHeight="1">
      <c r="A835" s="71"/>
      <c r="B835" s="36">
        <v>1.0</v>
      </c>
      <c r="C835" s="37" t="str">
        <f>IFERROR(__xludf.DUMMYFUNCTION("""COMPUTED_VALUE"""),"Boston Selig (4) - '27 RHP FL")</f>
        <v>Boston Selig (4) - '27 RHP FL</v>
      </c>
      <c r="D835" s="38" t="s">
        <v>4455</v>
      </c>
      <c r="E835" s="51" t="s">
        <v>63</v>
      </c>
      <c r="F835" s="140">
        <v>46149.0</v>
      </c>
      <c r="G835" s="116" t="s">
        <v>1430</v>
      </c>
      <c r="H835" s="54" t="s">
        <v>4456</v>
      </c>
      <c r="I835" s="55" t="s">
        <v>4457</v>
      </c>
      <c r="J835" s="55">
        <v>2027.0</v>
      </c>
      <c r="K835" s="55">
        <v>4.0</v>
      </c>
      <c r="L835" s="171" t="s">
        <v>61</v>
      </c>
      <c r="M835" s="55" t="s">
        <v>63</v>
      </c>
      <c r="N835" s="58"/>
      <c r="O835" s="57"/>
      <c r="P835" s="57"/>
      <c r="Q835" s="55" t="s">
        <v>66</v>
      </c>
      <c r="R835" s="57"/>
      <c r="S835" s="58" t="s">
        <v>1125</v>
      </c>
      <c r="T835" s="74"/>
      <c r="U835" s="74"/>
      <c r="V835" s="74"/>
      <c r="W835" s="74"/>
      <c r="X835" s="74"/>
      <c r="Y835" s="74"/>
      <c r="Z835" s="76"/>
      <c r="AA835" s="73" t="s">
        <v>4458</v>
      </c>
      <c r="AB835" s="62" t="s">
        <v>61</v>
      </c>
      <c r="AC835" s="63" t="s">
        <v>61</v>
      </c>
      <c r="AD835" s="64" t="s">
        <v>61</v>
      </c>
      <c r="AE835" s="64" t="s">
        <v>61</v>
      </c>
      <c r="AF835" s="63" t="s">
        <v>61</v>
      </c>
      <c r="AG835" s="63" t="s">
        <v>61</v>
      </c>
      <c r="AH835" s="63" t="s">
        <v>61</v>
      </c>
      <c r="AI835" s="65" t="s">
        <v>61</v>
      </c>
      <c r="AJ835" s="105" t="s">
        <v>61</v>
      </c>
      <c r="AK835" s="76"/>
    </row>
    <row r="836" ht="24.0" customHeight="1">
      <c r="A836" s="35"/>
      <c r="B836" s="36">
        <v>1.0</v>
      </c>
      <c r="C836" s="37" t="str">
        <f>IFERROR(__xludf.DUMMYFUNCTION("""COMPUTED_VALUE"""),"Gavin Shefsky (4) - '27 LHP FL")</f>
        <v>Gavin Shefsky (4) - '27 LHP FL</v>
      </c>
      <c r="D836" s="38" t="s">
        <v>4459</v>
      </c>
      <c r="E836" s="39" t="s">
        <v>122</v>
      </c>
      <c r="F836" s="124">
        <v>46149.0</v>
      </c>
      <c r="G836" s="113" t="s">
        <v>1430</v>
      </c>
      <c r="H836" s="42" t="s">
        <v>788</v>
      </c>
      <c r="I836" s="43" t="s">
        <v>4460</v>
      </c>
      <c r="J836" s="43">
        <v>2027.0</v>
      </c>
      <c r="K836" s="43">
        <v>4.0</v>
      </c>
      <c r="L836" s="158" t="s">
        <v>61</v>
      </c>
      <c r="M836" s="43" t="s">
        <v>122</v>
      </c>
      <c r="N836" s="44"/>
      <c r="O836" s="80"/>
      <c r="P836" s="80"/>
      <c r="Q836" s="43" t="s">
        <v>66</v>
      </c>
      <c r="R836" s="80"/>
      <c r="S836" s="44" t="s">
        <v>1125</v>
      </c>
      <c r="T836" s="81"/>
      <c r="U836" s="81"/>
      <c r="V836" s="81"/>
      <c r="W836" s="81"/>
      <c r="X836" s="81"/>
      <c r="Y836" s="81"/>
      <c r="Z836" s="82"/>
      <c r="AA836" s="47" t="s">
        <v>4461</v>
      </c>
      <c r="AB836" s="48" t="s">
        <v>61</v>
      </c>
      <c r="AC836" s="68" t="s">
        <v>61</v>
      </c>
      <c r="AD836" s="69" t="s">
        <v>61</v>
      </c>
      <c r="AE836" s="69" t="s">
        <v>61</v>
      </c>
      <c r="AF836" s="68" t="s">
        <v>61</v>
      </c>
      <c r="AG836" s="68" t="s">
        <v>61</v>
      </c>
      <c r="AH836" s="68" t="s">
        <v>61</v>
      </c>
      <c r="AI836" s="70" t="s">
        <v>61</v>
      </c>
      <c r="AJ836" s="114" t="s">
        <v>61</v>
      </c>
      <c r="AK836" s="82"/>
    </row>
    <row r="837" ht="24.0" customHeight="1">
      <c r="A837" s="35"/>
      <c r="B837" s="36">
        <v>1.0</v>
      </c>
      <c r="C837" s="37" t="str">
        <f>IFERROR(__xludf.DUMMYFUNCTION("""COMPUTED_VALUE"""),"Skyler Sherman (4) - '27 C PA")</f>
        <v>Skyler Sherman (4) - '27 C PA</v>
      </c>
      <c r="D837" s="89" t="s">
        <v>4462</v>
      </c>
      <c r="E837" s="51" t="s">
        <v>109</v>
      </c>
      <c r="F837" s="154">
        <v>46168.0</v>
      </c>
      <c r="G837" s="116" t="s">
        <v>1470</v>
      </c>
      <c r="H837" s="54" t="s">
        <v>4463</v>
      </c>
      <c r="I837" s="55" t="s">
        <v>4464</v>
      </c>
      <c r="J837" s="55">
        <v>2027.0</v>
      </c>
      <c r="K837" s="55">
        <v>4.0</v>
      </c>
      <c r="L837" s="57"/>
      <c r="M837" s="55" t="s">
        <v>109</v>
      </c>
      <c r="N837" s="55"/>
      <c r="O837" s="55" t="s">
        <v>3774</v>
      </c>
      <c r="P837" s="55" t="s">
        <v>4465</v>
      </c>
      <c r="Q837" s="55" t="s">
        <v>240</v>
      </c>
      <c r="R837" s="55" t="s">
        <v>4466</v>
      </c>
      <c r="S837" s="58" t="s">
        <v>4242</v>
      </c>
      <c r="T837" s="74"/>
      <c r="U837" s="74"/>
      <c r="V837" s="51" t="s">
        <v>4467</v>
      </c>
      <c r="W837" s="74"/>
      <c r="X837" s="74"/>
      <c r="Y837" s="74"/>
      <c r="Z837" s="76"/>
      <c r="AA837" s="73" t="s">
        <v>4468</v>
      </c>
      <c r="AB837" s="62" t="s">
        <v>61</v>
      </c>
      <c r="AC837" s="63" t="s">
        <v>61</v>
      </c>
      <c r="AD837" s="64" t="s">
        <v>61</v>
      </c>
      <c r="AE837" s="64" t="s">
        <v>61</v>
      </c>
      <c r="AF837" s="63" t="s">
        <v>61</v>
      </c>
      <c r="AG837" s="63" t="s">
        <v>61</v>
      </c>
      <c r="AH837" s="63" t="s">
        <v>61</v>
      </c>
      <c r="AI837" s="65" t="s">
        <v>61</v>
      </c>
      <c r="AJ837" s="105" t="s">
        <v>61</v>
      </c>
      <c r="AK837" s="76"/>
    </row>
    <row r="838" ht="24.0" customHeight="1">
      <c r="A838" s="35"/>
      <c r="B838" s="36">
        <v>1.0</v>
      </c>
      <c r="C838" s="37" t="str">
        <f>IFERROR(__xludf.DUMMYFUNCTION("""COMPUTED_VALUE"""),"Robert Sindelar (4) - '28 RHP ")</f>
        <v>Robert Sindelar (4) - '28 RHP </v>
      </c>
      <c r="D838" s="89" t="s">
        <v>4469</v>
      </c>
      <c r="E838" s="39" t="s">
        <v>63</v>
      </c>
      <c r="F838" s="124">
        <v>46168.0</v>
      </c>
      <c r="G838" s="113" t="s">
        <v>1430</v>
      </c>
      <c r="H838" s="42" t="s">
        <v>3232</v>
      </c>
      <c r="I838" s="43" t="s">
        <v>4470</v>
      </c>
      <c r="J838" s="43">
        <v>2028.0</v>
      </c>
      <c r="K838" s="43">
        <v>4.0</v>
      </c>
      <c r="L838" s="80"/>
      <c r="M838" s="43" t="s">
        <v>63</v>
      </c>
      <c r="N838" s="43"/>
      <c r="O838" s="80"/>
      <c r="P838" s="80"/>
      <c r="Q838" s="80"/>
      <c r="R838" s="80"/>
      <c r="S838" s="44" t="s">
        <v>1450</v>
      </c>
      <c r="T838" s="81"/>
      <c r="U838" s="81"/>
      <c r="V838" s="81"/>
      <c r="W838" s="81"/>
      <c r="X838" s="81"/>
      <c r="Y838" s="81"/>
      <c r="Z838" s="46"/>
      <c r="AA838" s="47" t="s">
        <v>4471</v>
      </c>
      <c r="AB838" s="48" t="s">
        <v>61</v>
      </c>
      <c r="AC838" s="68" t="s">
        <v>61</v>
      </c>
      <c r="AD838" s="69" t="s">
        <v>61</v>
      </c>
      <c r="AE838" s="69" t="s">
        <v>61</v>
      </c>
      <c r="AF838" s="68" t="s">
        <v>61</v>
      </c>
      <c r="AG838" s="68" t="s">
        <v>61</v>
      </c>
      <c r="AH838" s="68" t="s">
        <v>61</v>
      </c>
      <c r="AI838" s="70" t="s">
        <v>61</v>
      </c>
      <c r="AJ838" s="114" t="s">
        <v>61</v>
      </c>
      <c r="AK838" s="82"/>
    </row>
    <row r="839" ht="24.0" customHeight="1">
      <c r="A839" s="35"/>
      <c r="B839" s="36">
        <v>1.0</v>
      </c>
      <c r="C839" s="37" t="str">
        <f>IFERROR(__xludf.DUMMYFUNCTION("""COMPUTED_VALUE"""),"Kevin Smith (4) - '29 RHP MA")</f>
        <v>Kevin Smith (4) - '29 RHP MA</v>
      </c>
      <c r="D839" s="89" t="s">
        <v>4472</v>
      </c>
      <c r="E839" s="51" t="s">
        <v>63</v>
      </c>
      <c r="F839" s="154">
        <v>46156.0</v>
      </c>
      <c r="G839" s="116" t="s">
        <v>1395</v>
      </c>
      <c r="H839" s="54" t="s">
        <v>1005</v>
      </c>
      <c r="I839" s="55" t="s">
        <v>1338</v>
      </c>
      <c r="J839" s="55">
        <v>2029.0</v>
      </c>
      <c r="K839" s="55">
        <v>4.0</v>
      </c>
      <c r="L839" s="57"/>
      <c r="M839" s="55" t="s">
        <v>63</v>
      </c>
      <c r="N839" s="55" t="s">
        <v>103</v>
      </c>
      <c r="O839" s="55" t="s">
        <v>1550</v>
      </c>
      <c r="P839" s="55" t="s">
        <v>4473</v>
      </c>
      <c r="Q839" s="55" t="s">
        <v>85</v>
      </c>
      <c r="R839" s="55" t="s">
        <v>4474</v>
      </c>
      <c r="S839" s="58" t="s">
        <v>4475</v>
      </c>
      <c r="T839" s="74"/>
      <c r="U839" s="51" t="s">
        <v>4476</v>
      </c>
      <c r="V839" s="74"/>
      <c r="W839" s="51" t="s">
        <v>3747</v>
      </c>
      <c r="X839" s="74"/>
      <c r="Y839" s="74"/>
      <c r="Z839" s="76"/>
      <c r="AA839" s="73" t="s">
        <v>4477</v>
      </c>
      <c r="AB839" s="62" t="s">
        <v>61</v>
      </c>
      <c r="AC839" s="63" t="s">
        <v>61</v>
      </c>
      <c r="AD839" s="64" t="s">
        <v>61</v>
      </c>
      <c r="AE839" s="64" t="s">
        <v>61</v>
      </c>
      <c r="AF839" s="63" t="s">
        <v>61</v>
      </c>
      <c r="AG839" s="63" t="s">
        <v>61</v>
      </c>
      <c r="AH839" s="63" t="s">
        <v>61</v>
      </c>
      <c r="AI839" s="65" t="s">
        <v>61</v>
      </c>
      <c r="AJ839" s="105" t="s">
        <v>61</v>
      </c>
      <c r="AK839" s="76"/>
    </row>
    <row r="840" ht="24.0" customHeight="1">
      <c r="A840" s="35"/>
      <c r="B840" s="36">
        <v>1.0</v>
      </c>
      <c r="C840" s="37" t="str">
        <f>IFERROR(__xludf.DUMMYFUNCTION("""COMPUTED_VALUE"""),"Jack Snakenberg (1) - '27 LHP TX")</f>
        <v>Jack Snakenberg (1) - '27 LHP TX</v>
      </c>
      <c r="D840" s="89" t="s">
        <v>4478</v>
      </c>
      <c r="E840" s="39" t="s">
        <v>122</v>
      </c>
      <c r="F840" s="156">
        <v>46168.0</v>
      </c>
      <c r="G840" s="113" t="s">
        <v>1395</v>
      </c>
      <c r="H840" s="42" t="s">
        <v>424</v>
      </c>
      <c r="I840" s="43" t="s">
        <v>4479</v>
      </c>
      <c r="J840" s="43">
        <v>2027.0</v>
      </c>
      <c r="K840" s="43">
        <v>1.0</v>
      </c>
      <c r="L840" s="80"/>
      <c r="M840" s="43" t="s">
        <v>122</v>
      </c>
      <c r="N840" s="43"/>
      <c r="O840" s="43" t="s">
        <v>1556</v>
      </c>
      <c r="P840" s="80"/>
      <c r="Q840" s="43" t="s">
        <v>180</v>
      </c>
      <c r="R840" s="43" t="s">
        <v>3879</v>
      </c>
      <c r="S840" s="44" t="s">
        <v>4480</v>
      </c>
      <c r="T840" s="81"/>
      <c r="U840" s="39" t="s">
        <v>4481</v>
      </c>
      <c r="V840" s="39" t="s">
        <v>4482</v>
      </c>
      <c r="W840" s="81"/>
      <c r="X840" s="81"/>
      <c r="Y840" s="81"/>
      <c r="Z840" s="82"/>
      <c r="AA840" s="161" t="s">
        <v>4483</v>
      </c>
      <c r="AB840" s="48" t="s">
        <v>4481</v>
      </c>
      <c r="AC840" s="68" t="s">
        <v>4484</v>
      </c>
      <c r="AD840" s="69">
        <v>4.0</v>
      </c>
      <c r="AE840" s="69" t="s">
        <v>4485</v>
      </c>
      <c r="AF840" s="68" t="s">
        <v>4486</v>
      </c>
      <c r="AG840" s="68" t="s">
        <v>81</v>
      </c>
      <c r="AH840" s="68" t="s">
        <v>81</v>
      </c>
      <c r="AI840" s="70" t="s">
        <v>81</v>
      </c>
      <c r="AJ840" s="114" t="s">
        <v>61</v>
      </c>
      <c r="AK840" s="82"/>
    </row>
    <row r="841" ht="24.0" customHeight="1">
      <c r="A841" s="35"/>
      <c r="B841" s="36">
        <v>1.0</v>
      </c>
      <c r="C841" s="37" t="str">
        <f>IFERROR(__xludf.DUMMYFUNCTION("""COMPUTED_VALUE"""),"Landon Somers (4) - '27 RHP VA")</f>
        <v>Landon Somers (4) - '27 RHP VA</v>
      </c>
      <c r="D841" s="38" t="s">
        <v>4487</v>
      </c>
      <c r="E841" s="51" t="s">
        <v>63</v>
      </c>
      <c r="F841" s="119">
        <v>45966.0</v>
      </c>
      <c r="G841" s="116" t="s">
        <v>1430</v>
      </c>
      <c r="H841" s="54" t="s">
        <v>1016</v>
      </c>
      <c r="I841" s="55" t="s">
        <v>4488</v>
      </c>
      <c r="J841" s="55">
        <v>2027.0</v>
      </c>
      <c r="K841" s="55">
        <v>4.0</v>
      </c>
      <c r="L841" s="171" t="s">
        <v>61</v>
      </c>
      <c r="M841" s="55" t="s">
        <v>63</v>
      </c>
      <c r="N841" s="58"/>
      <c r="O841" s="57"/>
      <c r="P841" s="57"/>
      <c r="Q841" s="55" t="s">
        <v>125</v>
      </c>
      <c r="R841" s="55" t="s">
        <v>4489</v>
      </c>
      <c r="S841" s="58" t="s">
        <v>489</v>
      </c>
      <c r="T841" s="51">
        <v>3.7</v>
      </c>
      <c r="U841" s="74"/>
      <c r="V841" s="74"/>
      <c r="W841" s="74"/>
      <c r="X841" s="74"/>
      <c r="Y841" s="74"/>
      <c r="Z841" s="76"/>
      <c r="AA841" s="134"/>
      <c r="AB841" s="62" t="s">
        <v>4490</v>
      </c>
      <c r="AC841" s="63" t="s">
        <v>4491</v>
      </c>
      <c r="AD841" s="64" t="s">
        <v>4492</v>
      </c>
      <c r="AE841" s="64"/>
      <c r="AF841" s="63" t="s">
        <v>4493</v>
      </c>
      <c r="AG841" s="63"/>
      <c r="AH841" s="63"/>
      <c r="AI841" s="65"/>
      <c r="AJ841" s="105" t="s">
        <v>61</v>
      </c>
      <c r="AK841" s="76"/>
    </row>
    <row r="842" ht="24.0" customHeight="1">
      <c r="A842" s="35"/>
      <c r="B842" s="36">
        <v>1.0</v>
      </c>
      <c r="C842" s="37" t="str">
        <f>IFERROR(__xludf.DUMMYFUNCTION("""COMPUTED_VALUE"""),"Coi Sommers (4) - '27 RHP GA")</f>
        <v>Coi Sommers (4) - '27 RHP GA</v>
      </c>
      <c r="D842" s="38" t="s">
        <v>4494</v>
      </c>
      <c r="E842" s="39" t="s">
        <v>63</v>
      </c>
      <c r="F842" s="124">
        <v>45874.0</v>
      </c>
      <c r="G842" s="113" t="s">
        <v>1470</v>
      </c>
      <c r="H842" s="42" t="s">
        <v>4495</v>
      </c>
      <c r="I842" s="43" t="s">
        <v>4496</v>
      </c>
      <c r="J842" s="43">
        <v>2027.0</v>
      </c>
      <c r="K842" s="43">
        <v>4.0</v>
      </c>
      <c r="L842" s="158" t="s">
        <v>61</v>
      </c>
      <c r="M842" s="43" t="s">
        <v>63</v>
      </c>
      <c r="N842" s="44"/>
      <c r="O842" s="43" t="s">
        <v>1550</v>
      </c>
      <c r="P842" s="43" t="s">
        <v>3096</v>
      </c>
      <c r="Q842" s="43" t="s">
        <v>43</v>
      </c>
      <c r="R842" s="43" t="s">
        <v>4497</v>
      </c>
      <c r="S842" s="44" t="s">
        <v>3829</v>
      </c>
      <c r="T842" s="39">
        <v>4.0</v>
      </c>
      <c r="U842" s="81"/>
      <c r="V842" s="39" t="s">
        <v>4498</v>
      </c>
      <c r="W842" s="81"/>
      <c r="X842" s="81"/>
      <c r="Y842" s="81"/>
      <c r="Z842" s="82"/>
      <c r="AA842" s="47" t="s">
        <v>4499</v>
      </c>
      <c r="AB842" s="48" t="s">
        <v>61</v>
      </c>
      <c r="AC842" s="68" t="s">
        <v>61</v>
      </c>
      <c r="AD842" s="69" t="s">
        <v>61</v>
      </c>
      <c r="AE842" s="69" t="s">
        <v>61</v>
      </c>
      <c r="AF842" s="68" t="s">
        <v>61</v>
      </c>
      <c r="AG842" s="68" t="s">
        <v>61</v>
      </c>
      <c r="AH842" s="68" t="s">
        <v>61</v>
      </c>
      <c r="AI842" s="70" t="s">
        <v>61</v>
      </c>
      <c r="AJ842" s="114" t="s">
        <v>61</v>
      </c>
      <c r="AK842" s="82"/>
    </row>
    <row r="843" ht="24.0" customHeight="1">
      <c r="A843" s="35"/>
      <c r="B843" s="36">
        <v>1.0</v>
      </c>
      <c r="C843" s="37" t="str">
        <f>IFERROR(__xludf.DUMMYFUNCTION("""COMPUTED_VALUE"""),"Kyle Soule (4) - '27 MINF ME")</f>
        <v>Kyle Soule (4) - '27 MINF ME</v>
      </c>
      <c r="D843" s="89" t="s">
        <v>4500</v>
      </c>
      <c r="E843" s="51" t="s">
        <v>48</v>
      </c>
      <c r="F843" s="115"/>
      <c r="G843" s="116" t="s">
        <v>1395</v>
      </c>
      <c r="H843" s="54" t="s">
        <v>3666</v>
      </c>
      <c r="I843" s="55" t="s">
        <v>4501</v>
      </c>
      <c r="J843" s="55">
        <v>2027.0</v>
      </c>
      <c r="K843" s="55">
        <v>4.0</v>
      </c>
      <c r="L843" s="171" t="s">
        <v>61</v>
      </c>
      <c r="M843" s="55" t="s">
        <v>51</v>
      </c>
      <c r="N843" s="58" t="s">
        <v>63</v>
      </c>
      <c r="O843" s="55" t="s">
        <v>1989</v>
      </c>
      <c r="P843" s="72"/>
      <c r="Q843" s="55" t="s">
        <v>2224</v>
      </c>
      <c r="R843" s="55" t="s">
        <v>4502</v>
      </c>
      <c r="S843" s="58" t="s">
        <v>4503</v>
      </c>
      <c r="T843" s="51"/>
      <c r="U843" s="51"/>
      <c r="V843" s="51"/>
      <c r="W843" s="51"/>
      <c r="X843" s="51"/>
      <c r="Y843" s="51"/>
      <c r="Z843" s="60"/>
      <c r="AA843" s="73"/>
      <c r="AB843" s="62" t="s">
        <v>61</v>
      </c>
      <c r="AC843" s="63" t="s">
        <v>61</v>
      </c>
      <c r="AD843" s="64" t="s">
        <v>61</v>
      </c>
      <c r="AE843" s="64" t="s">
        <v>61</v>
      </c>
      <c r="AF843" s="63" t="s">
        <v>61</v>
      </c>
      <c r="AG843" s="63" t="s">
        <v>61</v>
      </c>
      <c r="AH843" s="63" t="s">
        <v>61</v>
      </c>
      <c r="AI843" s="65" t="s">
        <v>61</v>
      </c>
      <c r="AJ843" s="66" t="s">
        <v>61</v>
      </c>
      <c r="AK843" s="60"/>
    </row>
    <row r="844" ht="24.0" customHeight="1">
      <c r="A844" s="35"/>
      <c r="B844" s="36">
        <v>1.0</v>
      </c>
      <c r="C844" s="37" t="str">
        <f>IFERROR(__xludf.DUMMYFUNCTION("""COMPUTED_VALUE"""),"Grady Stevens (4) - '27 LHP FL")</f>
        <v>Grady Stevens (4) - '27 LHP FL</v>
      </c>
      <c r="D844" s="89" t="s">
        <v>4504</v>
      </c>
      <c r="E844" s="39" t="s">
        <v>122</v>
      </c>
      <c r="F844" s="124">
        <v>46156.0</v>
      </c>
      <c r="G844" s="113" t="s">
        <v>1395</v>
      </c>
      <c r="H844" s="42" t="s">
        <v>2995</v>
      </c>
      <c r="I844" s="43" t="s">
        <v>4505</v>
      </c>
      <c r="J844" s="43">
        <v>2027.0</v>
      </c>
      <c r="K844" s="43">
        <v>4.0</v>
      </c>
      <c r="L844" s="158" t="s">
        <v>61</v>
      </c>
      <c r="M844" s="43" t="s">
        <v>122</v>
      </c>
      <c r="N844" s="44"/>
      <c r="O844" s="80" t="s">
        <v>1556</v>
      </c>
      <c r="P844" s="80" t="s">
        <v>4506</v>
      </c>
      <c r="Q844" s="43" t="s">
        <v>66</v>
      </c>
      <c r="R844" s="80" t="s">
        <v>4507</v>
      </c>
      <c r="S844" s="44" t="s">
        <v>1632</v>
      </c>
      <c r="T844" s="81" t="s">
        <v>4508</v>
      </c>
      <c r="U844" s="81"/>
      <c r="V844" s="81" t="s">
        <v>4509</v>
      </c>
      <c r="W844" s="81" t="s">
        <v>3747</v>
      </c>
      <c r="X844" s="81"/>
      <c r="Y844" s="81"/>
      <c r="Z844" s="82"/>
      <c r="AA844" s="47" t="s">
        <v>4510</v>
      </c>
      <c r="AB844" s="48" t="s">
        <v>61</v>
      </c>
      <c r="AC844" s="68" t="s">
        <v>61</v>
      </c>
      <c r="AD844" s="69" t="s">
        <v>61</v>
      </c>
      <c r="AE844" s="69" t="s">
        <v>61</v>
      </c>
      <c r="AF844" s="68" t="s">
        <v>61</v>
      </c>
      <c r="AG844" s="68" t="s">
        <v>61</v>
      </c>
      <c r="AH844" s="68" t="s">
        <v>61</v>
      </c>
      <c r="AI844" s="70" t="s">
        <v>61</v>
      </c>
      <c r="AJ844" s="114" t="s">
        <v>61</v>
      </c>
      <c r="AK844" s="82"/>
    </row>
    <row r="845" ht="24.0" customHeight="1">
      <c r="A845" s="35"/>
      <c r="B845" s="36">
        <v>1.0</v>
      </c>
      <c r="C845" s="37" t="str">
        <f>IFERROR(__xludf.DUMMYFUNCTION("""COMPUTED_VALUE"""),"Sean Sullivan (4) - '28 RHP ME")</f>
        <v>Sean Sullivan (4) - '28 RHP ME</v>
      </c>
      <c r="D845" s="89" t="s">
        <v>4511</v>
      </c>
      <c r="E845" s="51" t="s">
        <v>63</v>
      </c>
      <c r="F845" s="119">
        <v>45965.0</v>
      </c>
      <c r="G845" s="116" t="s">
        <v>1395</v>
      </c>
      <c r="H845" s="54" t="s">
        <v>1243</v>
      </c>
      <c r="I845" s="55" t="s">
        <v>1786</v>
      </c>
      <c r="J845" s="55">
        <v>2028.0</v>
      </c>
      <c r="K845" s="55">
        <v>4.0</v>
      </c>
      <c r="L845" s="57"/>
      <c r="M845" s="55" t="s">
        <v>63</v>
      </c>
      <c r="N845" s="55"/>
      <c r="O845" s="57"/>
      <c r="P845" s="57"/>
      <c r="Q845" s="55" t="s">
        <v>2224</v>
      </c>
      <c r="R845" s="57"/>
      <c r="S845" s="132"/>
      <c r="T845" s="74"/>
      <c r="U845" s="74"/>
      <c r="V845" s="74"/>
      <c r="W845" s="74"/>
      <c r="X845" s="74"/>
      <c r="Y845" s="74"/>
      <c r="Z845" s="76"/>
      <c r="AA845" s="134"/>
      <c r="AB845" s="62" t="s">
        <v>61</v>
      </c>
      <c r="AC845" s="63" t="s">
        <v>61</v>
      </c>
      <c r="AD845" s="64" t="s">
        <v>61</v>
      </c>
      <c r="AE845" s="64" t="s">
        <v>61</v>
      </c>
      <c r="AF845" s="63" t="s">
        <v>61</v>
      </c>
      <c r="AG845" s="63" t="s">
        <v>61</v>
      </c>
      <c r="AH845" s="63" t="s">
        <v>61</v>
      </c>
      <c r="AI845" s="65" t="s">
        <v>61</v>
      </c>
      <c r="AJ845" s="105" t="s">
        <v>61</v>
      </c>
      <c r="AK845" s="76"/>
    </row>
    <row r="846" ht="24.0" customHeight="1">
      <c r="A846" s="71"/>
      <c r="B846" s="36">
        <v>1.0</v>
      </c>
      <c r="C846" s="37" t="str">
        <f>IFERROR(__xludf.DUMMYFUNCTION("""COMPUTED_VALUE"""),"Cameron Swank (4) - '28 RHP MA")</f>
        <v>Cameron Swank (4) - '28 RHP MA</v>
      </c>
      <c r="D846" s="38" t="s">
        <v>4512</v>
      </c>
      <c r="E846" s="39" t="s">
        <v>63</v>
      </c>
      <c r="F846" s="112"/>
      <c r="G846" s="113" t="s">
        <v>1395</v>
      </c>
      <c r="H846" s="42" t="s">
        <v>594</v>
      </c>
      <c r="I846" s="43" t="s">
        <v>4513</v>
      </c>
      <c r="J846" s="43">
        <v>2028.0</v>
      </c>
      <c r="K846" s="43">
        <v>4.0</v>
      </c>
      <c r="L846" s="44" t="s">
        <v>2877</v>
      </c>
      <c r="M846" s="43" t="s">
        <v>63</v>
      </c>
      <c r="N846" s="43"/>
      <c r="O846" s="95"/>
      <c r="P846" s="43"/>
      <c r="Q846" s="43" t="s">
        <v>85</v>
      </c>
      <c r="R846" s="43" t="s">
        <v>4514</v>
      </c>
      <c r="S846" s="44" t="s">
        <v>538</v>
      </c>
      <c r="T846" s="39"/>
      <c r="U846" s="39"/>
      <c r="V846" s="39"/>
      <c r="W846" s="39"/>
      <c r="X846" s="39"/>
      <c r="Y846" s="39"/>
      <c r="Z846" s="46"/>
      <c r="AA846" s="47"/>
      <c r="AB846" s="48" t="s">
        <v>61</v>
      </c>
      <c r="AC846" s="68" t="s">
        <v>61</v>
      </c>
      <c r="AD846" s="69" t="s">
        <v>61</v>
      </c>
      <c r="AE846" s="69" t="s">
        <v>61</v>
      </c>
      <c r="AF846" s="68" t="s">
        <v>61</v>
      </c>
      <c r="AG846" s="68" t="s">
        <v>61</v>
      </c>
      <c r="AH846" s="68" t="s">
        <v>61</v>
      </c>
      <c r="AI846" s="70" t="s">
        <v>61</v>
      </c>
      <c r="AJ846" s="114" t="s">
        <v>61</v>
      </c>
      <c r="AK846" s="82"/>
    </row>
    <row r="847" ht="24.0" customHeight="1">
      <c r="A847" s="35"/>
      <c r="B847" s="36">
        <v>1.0</v>
      </c>
      <c r="C847" s="37" t="str">
        <f>IFERROR(__xludf.DUMMYFUNCTION("""COMPUTED_VALUE"""),"Tyce Thompson (4) - '27 C NC")</f>
        <v>Tyce Thompson (4) - '27 C NC</v>
      </c>
      <c r="D847" s="89" t="s">
        <v>4515</v>
      </c>
      <c r="E847" s="51" t="s">
        <v>109</v>
      </c>
      <c r="F847" s="154">
        <v>46168.0</v>
      </c>
      <c r="G847" s="116" t="s">
        <v>1395</v>
      </c>
      <c r="H847" s="54" t="s">
        <v>4516</v>
      </c>
      <c r="I847" s="55" t="s">
        <v>1797</v>
      </c>
      <c r="J847" s="55">
        <v>2027.0</v>
      </c>
      <c r="K847" s="55">
        <v>4.0</v>
      </c>
      <c r="L847" s="57"/>
      <c r="M847" s="55" t="s">
        <v>109</v>
      </c>
      <c r="N847" s="55" t="s">
        <v>1972</v>
      </c>
      <c r="O847" s="57"/>
      <c r="P847" s="55" t="s">
        <v>4517</v>
      </c>
      <c r="Q847" s="55" t="s">
        <v>73</v>
      </c>
      <c r="R847" s="57"/>
      <c r="S847" s="58" t="s">
        <v>3204</v>
      </c>
      <c r="T847" s="51" t="s">
        <v>4518</v>
      </c>
      <c r="U847" s="74"/>
      <c r="V847" s="51" t="s">
        <v>4519</v>
      </c>
      <c r="W847" s="74"/>
      <c r="X847" s="74"/>
      <c r="Y847" s="74"/>
      <c r="Z847" s="76"/>
      <c r="AA847" s="155" t="s">
        <v>4520</v>
      </c>
      <c r="AB847" s="62" t="s">
        <v>61</v>
      </c>
      <c r="AC847" s="63" t="s">
        <v>61</v>
      </c>
      <c r="AD847" s="64" t="s">
        <v>61</v>
      </c>
      <c r="AE847" s="64" t="s">
        <v>61</v>
      </c>
      <c r="AF847" s="63" t="s">
        <v>61</v>
      </c>
      <c r="AG847" s="63" t="s">
        <v>61</v>
      </c>
      <c r="AH847" s="63" t="s">
        <v>61</v>
      </c>
      <c r="AI847" s="65" t="s">
        <v>61</v>
      </c>
      <c r="AJ847" s="105" t="s">
        <v>61</v>
      </c>
      <c r="AK847" s="76"/>
    </row>
    <row r="848" ht="24.0" customHeight="1">
      <c r="A848" s="35"/>
      <c r="B848" s="36">
        <v>1.0</v>
      </c>
      <c r="C848" s="37" t="str">
        <f>IFERROR(__xludf.DUMMYFUNCTION("""COMPUTED_VALUE"""),"Collin Thornburgh (4) - '27 3B MA")</f>
        <v>Collin Thornburgh (4) - '27 3B MA</v>
      </c>
      <c r="D848" s="38" t="s">
        <v>4521</v>
      </c>
      <c r="E848" s="39" t="s">
        <v>48</v>
      </c>
      <c r="F848" s="121"/>
      <c r="G848" s="122"/>
      <c r="H848" s="42" t="s">
        <v>4522</v>
      </c>
      <c r="I848" s="43" t="s">
        <v>4523</v>
      </c>
      <c r="J848" s="43">
        <v>2027.0</v>
      </c>
      <c r="K848" s="43">
        <v>4.0</v>
      </c>
      <c r="L848" s="158" t="s">
        <v>61</v>
      </c>
      <c r="M848" s="43" t="s">
        <v>1519</v>
      </c>
      <c r="N848" s="117"/>
      <c r="O848" s="80"/>
      <c r="P848" s="43" t="s">
        <v>4524</v>
      </c>
      <c r="Q848" s="43" t="s">
        <v>85</v>
      </c>
      <c r="R848" s="43" t="s">
        <v>4525</v>
      </c>
      <c r="S848" s="44" t="s">
        <v>3275</v>
      </c>
      <c r="T848" s="81"/>
      <c r="U848" s="81"/>
      <c r="V848" s="157"/>
      <c r="W848" s="39" t="s">
        <v>1724</v>
      </c>
      <c r="X848" s="39" t="s">
        <v>1550</v>
      </c>
      <c r="Y848" s="81"/>
      <c r="Z848" s="82"/>
      <c r="AA848" s="99"/>
      <c r="AB848" s="48" t="s">
        <v>61</v>
      </c>
      <c r="AC848" s="68" t="s">
        <v>61</v>
      </c>
      <c r="AD848" s="69" t="s">
        <v>61</v>
      </c>
      <c r="AE848" s="69" t="s">
        <v>61</v>
      </c>
      <c r="AF848" s="68" t="s">
        <v>61</v>
      </c>
      <c r="AG848" s="68" t="s">
        <v>61</v>
      </c>
      <c r="AH848" s="68" t="s">
        <v>61</v>
      </c>
      <c r="AI848" s="70" t="s">
        <v>61</v>
      </c>
      <c r="AJ848" s="114" t="s">
        <v>61</v>
      </c>
      <c r="AK848" s="82"/>
    </row>
    <row r="849" ht="24.0" customHeight="1">
      <c r="A849" s="35"/>
      <c r="B849" s="36">
        <v>1.0</v>
      </c>
      <c r="C849" s="37" t="str">
        <f>IFERROR(__xludf.DUMMYFUNCTION("""COMPUTED_VALUE"""),"Blake Tyburczy (4) - '28 MIF NJ")</f>
        <v>Blake Tyburczy (4) - '28 MIF NJ</v>
      </c>
      <c r="D849" s="89" t="s">
        <v>4526</v>
      </c>
      <c r="E849" s="51"/>
      <c r="F849" s="154">
        <v>46171.0</v>
      </c>
      <c r="G849" s="116" t="s">
        <v>1470</v>
      </c>
      <c r="H849" s="54" t="s">
        <v>496</v>
      </c>
      <c r="I849" s="55" t="s">
        <v>4527</v>
      </c>
      <c r="J849" s="55">
        <v>2028.0</v>
      </c>
      <c r="K849" s="55">
        <v>4.0</v>
      </c>
      <c r="L849" s="57"/>
      <c r="M849" s="55" t="s">
        <v>3643</v>
      </c>
      <c r="N849" s="55" t="s">
        <v>63</v>
      </c>
      <c r="O849" s="55" t="s">
        <v>636</v>
      </c>
      <c r="P849" s="55" t="s">
        <v>4528</v>
      </c>
      <c r="Q849" s="55" t="s">
        <v>502</v>
      </c>
      <c r="R849" s="55" t="s">
        <v>4529</v>
      </c>
      <c r="S849" s="58" t="s">
        <v>3774</v>
      </c>
      <c r="T849" s="51">
        <v>3.6</v>
      </c>
      <c r="U849" s="74"/>
      <c r="V849" s="74"/>
      <c r="W849" s="74"/>
      <c r="X849" s="51"/>
      <c r="Y849" s="74"/>
      <c r="Z849" s="76"/>
      <c r="AA849" s="163" t="s">
        <v>4530</v>
      </c>
      <c r="AB849" s="62" t="s">
        <v>61</v>
      </c>
      <c r="AC849" s="63" t="s">
        <v>61</v>
      </c>
      <c r="AD849" s="64" t="s">
        <v>61</v>
      </c>
      <c r="AE849" s="64" t="s">
        <v>61</v>
      </c>
      <c r="AF849" s="63" t="s">
        <v>61</v>
      </c>
      <c r="AG849" s="63" t="s">
        <v>61</v>
      </c>
      <c r="AH849" s="63" t="s">
        <v>61</v>
      </c>
      <c r="AI849" s="65" t="s">
        <v>61</v>
      </c>
      <c r="AJ849" s="105" t="s">
        <v>61</v>
      </c>
      <c r="AK849" s="76"/>
    </row>
    <row r="850" ht="24.0" customHeight="1">
      <c r="A850" s="35"/>
      <c r="B850" s="36">
        <v>1.0</v>
      </c>
      <c r="C850" s="37" t="str">
        <f>IFERROR(__xludf.DUMMYFUNCTION("""COMPUTED_VALUE"""),"Nicky Vanni (4) - '27 MINF PA")</f>
        <v>Nicky Vanni (4) - '27 MINF PA</v>
      </c>
      <c r="D850" s="89" t="s">
        <v>4531</v>
      </c>
      <c r="E850" s="39" t="s">
        <v>48</v>
      </c>
      <c r="F850" s="112"/>
      <c r="G850" s="113" t="s">
        <v>1395</v>
      </c>
      <c r="H850" s="42" t="s">
        <v>3005</v>
      </c>
      <c r="I850" s="43" t="s">
        <v>4532</v>
      </c>
      <c r="J850" s="43">
        <v>2027.0</v>
      </c>
      <c r="K850" s="43">
        <v>4.0</v>
      </c>
      <c r="L850" s="158" t="s">
        <v>61</v>
      </c>
      <c r="M850" s="43" t="s">
        <v>51</v>
      </c>
      <c r="N850" s="44"/>
      <c r="O850" s="43" t="s">
        <v>1550</v>
      </c>
      <c r="P850" s="95"/>
      <c r="Q850" s="43" t="s">
        <v>240</v>
      </c>
      <c r="R850" s="43" t="s">
        <v>4533</v>
      </c>
      <c r="S850" s="44" t="s">
        <v>3690</v>
      </c>
      <c r="T850" s="39"/>
      <c r="U850" s="39"/>
      <c r="V850" s="39"/>
      <c r="W850" s="39"/>
      <c r="X850" s="39"/>
      <c r="Y850" s="39"/>
      <c r="Z850" s="46"/>
      <c r="AA850" s="47"/>
      <c r="AB850" s="48" t="s">
        <v>61</v>
      </c>
      <c r="AC850" s="68" t="s">
        <v>61</v>
      </c>
      <c r="AD850" s="69" t="s">
        <v>61</v>
      </c>
      <c r="AE850" s="69" t="s">
        <v>61</v>
      </c>
      <c r="AF850" s="68" t="s">
        <v>61</v>
      </c>
      <c r="AG850" s="68" t="s">
        <v>61</v>
      </c>
      <c r="AH850" s="68" t="s">
        <v>61</v>
      </c>
      <c r="AI850" s="70" t="s">
        <v>61</v>
      </c>
      <c r="AJ850" s="49" t="s">
        <v>61</v>
      </c>
      <c r="AK850" s="46"/>
    </row>
    <row r="851" ht="24.0" customHeight="1">
      <c r="A851" s="35"/>
      <c r="B851" s="36">
        <v>1.0</v>
      </c>
      <c r="C851" s="37" t="str">
        <f>IFERROR(__xludf.DUMMYFUNCTION("""COMPUTED_VALUE"""),"Jaxson Vassallo (4) - '27 SS FL")</f>
        <v>Jaxson Vassallo (4) - '27 SS FL</v>
      </c>
      <c r="D851" s="89" t="s">
        <v>4534</v>
      </c>
      <c r="E851" s="51" t="s">
        <v>48</v>
      </c>
      <c r="F851" s="140">
        <v>46168.0</v>
      </c>
      <c r="G851" s="116" t="s">
        <v>1430</v>
      </c>
      <c r="H851" s="54" t="s">
        <v>4535</v>
      </c>
      <c r="I851" s="55" t="s">
        <v>4536</v>
      </c>
      <c r="J851" s="55">
        <v>2027.0</v>
      </c>
      <c r="K851" s="55">
        <v>4.0</v>
      </c>
      <c r="L851" s="57"/>
      <c r="M851" s="55" t="s">
        <v>1398</v>
      </c>
      <c r="N851" s="55"/>
      <c r="O851" s="57"/>
      <c r="P851" s="57"/>
      <c r="Q851" s="55" t="s">
        <v>66</v>
      </c>
      <c r="R851" s="55" t="s">
        <v>405</v>
      </c>
      <c r="S851" s="58" t="s">
        <v>1450</v>
      </c>
      <c r="T851" s="74"/>
      <c r="U851" s="74"/>
      <c r="V851" s="74"/>
      <c r="W851" s="74"/>
      <c r="X851" s="74"/>
      <c r="Y851" s="74"/>
      <c r="Z851" s="60"/>
      <c r="AA851" s="73" t="s">
        <v>4537</v>
      </c>
      <c r="AB851" s="62" t="s">
        <v>61</v>
      </c>
      <c r="AC851" s="63" t="s">
        <v>61</v>
      </c>
      <c r="AD851" s="64" t="s">
        <v>61</v>
      </c>
      <c r="AE851" s="64" t="s">
        <v>61</v>
      </c>
      <c r="AF851" s="63" t="s">
        <v>61</v>
      </c>
      <c r="AG851" s="63" t="s">
        <v>61</v>
      </c>
      <c r="AH851" s="63" t="s">
        <v>61</v>
      </c>
      <c r="AI851" s="65" t="s">
        <v>61</v>
      </c>
      <c r="AJ851" s="105" t="s">
        <v>61</v>
      </c>
      <c r="AK851" s="76"/>
    </row>
    <row r="852" ht="24.0" customHeight="1">
      <c r="A852" s="35"/>
      <c r="B852" s="36">
        <v>1.0</v>
      </c>
      <c r="C852" s="37" t="str">
        <f>IFERROR(__xludf.DUMMYFUNCTION("""COMPUTED_VALUE"""),"Ethan Vecchione (4) - '27 C MA")</f>
        <v>Ethan Vecchione (4) - '27 C MA</v>
      </c>
      <c r="D852" s="89" t="s">
        <v>4538</v>
      </c>
      <c r="E852" s="39" t="s">
        <v>109</v>
      </c>
      <c r="F852" s="112"/>
      <c r="G852" s="113" t="s">
        <v>1395</v>
      </c>
      <c r="H852" s="42" t="s">
        <v>266</v>
      </c>
      <c r="I852" s="43" t="s">
        <v>4539</v>
      </c>
      <c r="J852" s="43">
        <v>2027.0</v>
      </c>
      <c r="K852" s="43">
        <v>4.0</v>
      </c>
      <c r="L852" s="158" t="s">
        <v>61</v>
      </c>
      <c r="M852" s="43" t="s">
        <v>109</v>
      </c>
      <c r="N852" s="170"/>
      <c r="O852" s="43" t="s">
        <v>1550</v>
      </c>
      <c r="P852" s="80"/>
      <c r="Q852" s="43" t="s">
        <v>85</v>
      </c>
      <c r="R852" s="43" t="s">
        <v>4540</v>
      </c>
      <c r="S852" s="44" t="s">
        <v>2989</v>
      </c>
      <c r="T852" s="81"/>
      <c r="U852" s="81"/>
      <c r="V852" s="81"/>
      <c r="W852" s="81"/>
      <c r="X852" s="81"/>
      <c r="Y852" s="81"/>
      <c r="Z852" s="82"/>
      <c r="AA852" s="99"/>
      <c r="AB852" s="48" t="s">
        <v>61</v>
      </c>
      <c r="AC852" s="68" t="s">
        <v>61</v>
      </c>
      <c r="AD852" s="69" t="s">
        <v>61</v>
      </c>
      <c r="AE852" s="69" t="s">
        <v>61</v>
      </c>
      <c r="AF852" s="68" t="s">
        <v>61</v>
      </c>
      <c r="AG852" s="68" t="s">
        <v>61</v>
      </c>
      <c r="AH852" s="68" t="s">
        <v>61</v>
      </c>
      <c r="AI852" s="70" t="s">
        <v>61</v>
      </c>
      <c r="AJ852" s="49" t="s">
        <v>61</v>
      </c>
      <c r="AK852" s="46"/>
    </row>
    <row r="853" ht="24.0" customHeight="1">
      <c r="A853" s="35"/>
      <c r="B853" s="36">
        <v>1.0</v>
      </c>
      <c r="C853" s="37" t="str">
        <f>IFERROR(__xludf.DUMMYFUNCTION("""COMPUTED_VALUE"""),"Micah Von (4) - '28 MINF ")</f>
        <v>Micah Von (4) - '28 MINF </v>
      </c>
      <c r="D853" s="38" t="s">
        <v>4541</v>
      </c>
      <c r="E853" s="51" t="s">
        <v>48</v>
      </c>
      <c r="F853" s="119">
        <v>45925.0</v>
      </c>
      <c r="G853" s="116" t="s">
        <v>1395</v>
      </c>
      <c r="H853" s="54" t="s">
        <v>1092</v>
      </c>
      <c r="I853" s="55" t="s">
        <v>364</v>
      </c>
      <c r="J853" s="55">
        <v>2028.0</v>
      </c>
      <c r="K853" s="55">
        <v>4.0</v>
      </c>
      <c r="L853" s="57"/>
      <c r="M853" s="55" t="s">
        <v>51</v>
      </c>
      <c r="N853" s="55"/>
      <c r="O853" s="57"/>
      <c r="P853" s="57"/>
      <c r="Q853" s="57"/>
      <c r="R853" s="57"/>
      <c r="S853" s="58" t="s">
        <v>2925</v>
      </c>
      <c r="T853" s="74"/>
      <c r="U853" s="74"/>
      <c r="V853" s="74"/>
      <c r="W853" s="51" t="s">
        <v>1564</v>
      </c>
      <c r="X853" s="74"/>
      <c r="Y853" s="74"/>
      <c r="Z853" s="76"/>
      <c r="AA853" s="134"/>
      <c r="AB853" s="62" t="s">
        <v>61</v>
      </c>
      <c r="AC853" s="63" t="s">
        <v>61</v>
      </c>
      <c r="AD853" s="64" t="s">
        <v>61</v>
      </c>
      <c r="AE853" s="64" t="s">
        <v>61</v>
      </c>
      <c r="AF853" s="63" t="s">
        <v>61</v>
      </c>
      <c r="AG853" s="63" t="s">
        <v>61</v>
      </c>
      <c r="AH853" s="63" t="s">
        <v>61</v>
      </c>
      <c r="AI853" s="65" t="s">
        <v>61</v>
      </c>
      <c r="AJ853" s="105" t="s">
        <v>61</v>
      </c>
      <c r="AK853" s="76"/>
    </row>
    <row r="854" ht="24.0" customHeight="1">
      <c r="A854" s="35"/>
      <c r="B854" s="36">
        <v>1.0</v>
      </c>
      <c r="C854" s="37" t="str">
        <f>IFERROR(__xludf.DUMMYFUNCTION("""COMPUTED_VALUE"""),"Noah Wantuck (4) - '27 C VA")</f>
        <v>Noah Wantuck (4) - '27 C VA</v>
      </c>
      <c r="D854" s="89" t="s">
        <v>4542</v>
      </c>
      <c r="E854" s="39" t="s">
        <v>109</v>
      </c>
      <c r="F854" s="156">
        <v>46170.0</v>
      </c>
      <c r="G854" s="113" t="s">
        <v>1470</v>
      </c>
      <c r="H854" s="42" t="s">
        <v>49</v>
      </c>
      <c r="I854" s="43" t="s">
        <v>4543</v>
      </c>
      <c r="J854" s="43">
        <v>2027.0</v>
      </c>
      <c r="K854" s="43">
        <v>4.0</v>
      </c>
      <c r="L854" s="80"/>
      <c r="M854" s="43" t="s">
        <v>109</v>
      </c>
      <c r="N854" s="43" t="s">
        <v>103</v>
      </c>
      <c r="O854" s="43" t="s">
        <v>3774</v>
      </c>
      <c r="P854" s="43" t="s">
        <v>4544</v>
      </c>
      <c r="Q854" s="43" t="s">
        <v>125</v>
      </c>
      <c r="R854" s="43" t="s">
        <v>4545</v>
      </c>
      <c r="S854" s="44" t="s">
        <v>3936</v>
      </c>
      <c r="T854" s="39">
        <v>4.0</v>
      </c>
      <c r="U854" s="81"/>
      <c r="V854" s="81"/>
      <c r="W854" s="81"/>
      <c r="X854" s="39"/>
      <c r="Y854" s="81"/>
      <c r="Z854" s="82"/>
      <c r="AA854" s="180" t="s">
        <v>4546</v>
      </c>
      <c r="AB854" s="48" t="s">
        <v>61</v>
      </c>
      <c r="AC854" s="68" t="s">
        <v>61</v>
      </c>
      <c r="AD854" s="69" t="s">
        <v>61</v>
      </c>
      <c r="AE854" s="69" t="s">
        <v>61</v>
      </c>
      <c r="AF854" s="68" t="s">
        <v>61</v>
      </c>
      <c r="AG854" s="68" t="s">
        <v>61</v>
      </c>
      <c r="AH854" s="68" t="s">
        <v>61</v>
      </c>
      <c r="AI854" s="70" t="s">
        <v>61</v>
      </c>
      <c r="AJ854" s="114" t="s">
        <v>61</v>
      </c>
      <c r="AK854" s="82"/>
    </row>
    <row r="855" ht="24.0" customHeight="1">
      <c r="A855" s="35"/>
      <c r="B855" s="36">
        <v>1.0</v>
      </c>
      <c r="C855" s="37" t="str">
        <f>IFERROR(__xludf.DUMMYFUNCTION("""COMPUTED_VALUE"""),"Landry Warner (3) - '27 RHP CO")</f>
        <v>Landry Warner (3) - '27 RHP CO</v>
      </c>
      <c r="D855" s="38" t="s">
        <v>4547</v>
      </c>
      <c r="E855" s="51" t="s">
        <v>63</v>
      </c>
      <c r="F855" s="140">
        <v>46007.0</v>
      </c>
      <c r="G855" s="116" t="s">
        <v>1470</v>
      </c>
      <c r="H855" s="54" t="s">
        <v>4548</v>
      </c>
      <c r="I855" s="55" t="s">
        <v>4549</v>
      </c>
      <c r="J855" s="55">
        <v>2027.0</v>
      </c>
      <c r="K855" s="55">
        <v>3.0</v>
      </c>
      <c r="L855" s="171" t="s">
        <v>61</v>
      </c>
      <c r="M855" s="55" t="s">
        <v>63</v>
      </c>
      <c r="N855" s="58"/>
      <c r="O855" s="57"/>
      <c r="P855" s="57"/>
      <c r="Q855" s="55" t="s">
        <v>174</v>
      </c>
      <c r="R855" s="57"/>
      <c r="S855" s="58" t="s">
        <v>580</v>
      </c>
      <c r="T855" s="74"/>
      <c r="U855" s="74"/>
      <c r="V855" s="74"/>
      <c r="W855" s="74"/>
      <c r="X855" s="74"/>
      <c r="Y855" s="74"/>
      <c r="Z855" s="76"/>
      <c r="AA855" s="73" t="s">
        <v>4550</v>
      </c>
      <c r="AB855" s="62" t="s">
        <v>61</v>
      </c>
      <c r="AC855" s="63" t="s">
        <v>61</v>
      </c>
      <c r="AD855" s="64" t="s">
        <v>61</v>
      </c>
      <c r="AE855" s="64" t="s">
        <v>61</v>
      </c>
      <c r="AF855" s="63" t="s">
        <v>61</v>
      </c>
      <c r="AG855" s="63" t="s">
        <v>61</v>
      </c>
      <c r="AH855" s="63" t="s">
        <v>61</v>
      </c>
      <c r="AI855" s="65" t="s">
        <v>61</v>
      </c>
      <c r="AJ855" s="105" t="s">
        <v>61</v>
      </c>
      <c r="AK855" s="76"/>
    </row>
    <row r="856" ht="24.0" customHeight="1">
      <c r="A856" s="35"/>
      <c r="B856" s="36">
        <v>1.0</v>
      </c>
      <c r="C856" s="37" t="str">
        <f>IFERROR(__xludf.DUMMYFUNCTION("""COMPUTED_VALUE"""),"Ryan Waugh (4) - '28 RHP MD")</f>
        <v>Ryan Waugh (4) - '28 RHP MD</v>
      </c>
      <c r="D856" s="89" t="s">
        <v>4551</v>
      </c>
      <c r="E856" s="39" t="s">
        <v>63</v>
      </c>
      <c r="F856" s="156">
        <v>46167.0</v>
      </c>
      <c r="G856" s="113" t="s">
        <v>1395</v>
      </c>
      <c r="H856" s="42" t="s">
        <v>1206</v>
      </c>
      <c r="I856" s="43" t="s">
        <v>4552</v>
      </c>
      <c r="J856" s="43">
        <v>2028.0</v>
      </c>
      <c r="K856" s="43">
        <v>4.0</v>
      </c>
      <c r="L856" s="80"/>
      <c r="M856" s="43" t="s">
        <v>63</v>
      </c>
      <c r="N856" s="43"/>
      <c r="O856" s="43" t="s">
        <v>1550</v>
      </c>
      <c r="P856" s="80"/>
      <c r="Q856" s="43" t="s">
        <v>195</v>
      </c>
      <c r="R856" s="43" t="s">
        <v>4553</v>
      </c>
      <c r="S856" s="117"/>
      <c r="T856" s="81"/>
      <c r="U856" s="81"/>
      <c r="V856" s="81"/>
      <c r="W856" s="81"/>
      <c r="X856" s="81"/>
      <c r="Y856" s="39"/>
      <c r="Z856" s="82"/>
      <c r="AA856" s="180" t="s">
        <v>4554</v>
      </c>
      <c r="AB856" s="48" t="s">
        <v>61</v>
      </c>
      <c r="AC856" s="68" t="s">
        <v>61</v>
      </c>
      <c r="AD856" s="69" t="s">
        <v>61</v>
      </c>
      <c r="AE856" s="69" t="s">
        <v>61</v>
      </c>
      <c r="AF856" s="68" t="s">
        <v>61</v>
      </c>
      <c r="AG856" s="68" t="s">
        <v>61</v>
      </c>
      <c r="AH856" s="68" t="s">
        <v>61</v>
      </c>
      <c r="AI856" s="70" t="s">
        <v>61</v>
      </c>
      <c r="AJ856" s="114" t="s">
        <v>61</v>
      </c>
      <c r="AK856" s="82"/>
    </row>
    <row r="857" ht="24.0" customHeight="1">
      <c r="A857" s="35"/>
      <c r="B857" s="36">
        <v>1.0</v>
      </c>
      <c r="C857" s="37" t="str">
        <f>IFERROR(__xludf.DUMMYFUNCTION("""COMPUTED_VALUE"""),"Jack Webber (4) - '27 SS NJ")</f>
        <v>Jack Webber (4) - '27 SS NJ</v>
      </c>
      <c r="D857" s="89" t="s">
        <v>4555</v>
      </c>
      <c r="E857" s="51" t="s">
        <v>48</v>
      </c>
      <c r="F857" s="154">
        <v>46171.0</v>
      </c>
      <c r="G857" s="116" t="s">
        <v>1470</v>
      </c>
      <c r="H857" s="54" t="s">
        <v>424</v>
      </c>
      <c r="I857" s="55" t="s">
        <v>4556</v>
      </c>
      <c r="J857" s="55">
        <v>2027.0</v>
      </c>
      <c r="K857" s="55">
        <v>4.0</v>
      </c>
      <c r="L857" s="57"/>
      <c r="M857" s="55" t="s">
        <v>1398</v>
      </c>
      <c r="N857" s="55" t="s">
        <v>2838</v>
      </c>
      <c r="O857" s="55" t="s">
        <v>3774</v>
      </c>
      <c r="P857" s="55" t="s">
        <v>3774</v>
      </c>
      <c r="Q857" s="55" t="s">
        <v>502</v>
      </c>
      <c r="R857" s="55" t="s">
        <v>4557</v>
      </c>
      <c r="S857" s="58" t="s">
        <v>4558</v>
      </c>
      <c r="T857" s="51" t="s">
        <v>3774</v>
      </c>
      <c r="U857" s="74"/>
      <c r="V857" s="74"/>
      <c r="W857" s="74"/>
      <c r="X857" s="51"/>
      <c r="Y857" s="74"/>
      <c r="Z857" s="76"/>
      <c r="AA857" s="163" t="s">
        <v>4559</v>
      </c>
      <c r="AB857" s="62" t="s">
        <v>61</v>
      </c>
      <c r="AC857" s="63" t="s">
        <v>61</v>
      </c>
      <c r="AD857" s="64" t="s">
        <v>61</v>
      </c>
      <c r="AE857" s="64" t="s">
        <v>61</v>
      </c>
      <c r="AF857" s="63" t="s">
        <v>61</v>
      </c>
      <c r="AG857" s="63" t="s">
        <v>61</v>
      </c>
      <c r="AH857" s="63" t="s">
        <v>61</v>
      </c>
      <c r="AI857" s="65" t="s">
        <v>61</v>
      </c>
      <c r="AJ857" s="105" t="s">
        <v>61</v>
      </c>
      <c r="AK857" s="76"/>
    </row>
    <row r="858" ht="24.0" customHeight="1">
      <c r="A858" s="35"/>
      <c r="B858" s="36">
        <v>1.0</v>
      </c>
      <c r="C858" s="37" t="str">
        <f>IFERROR(__xludf.DUMMYFUNCTION("""COMPUTED_VALUE"""),"Bob Widdop (4) - '28 RHP MA")</f>
        <v>Bob Widdop (4) - '28 RHP MA</v>
      </c>
      <c r="D858" s="89" t="s">
        <v>4560</v>
      </c>
      <c r="E858" s="39" t="s">
        <v>63</v>
      </c>
      <c r="F858" s="156">
        <v>46168.0</v>
      </c>
      <c r="G858" s="113" t="s">
        <v>1395</v>
      </c>
      <c r="H858" s="42" t="s">
        <v>4561</v>
      </c>
      <c r="I858" s="43" t="s">
        <v>4562</v>
      </c>
      <c r="J858" s="43">
        <v>2028.0</v>
      </c>
      <c r="K858" s="43">
        <v>4.0</v>
      </c>
      <c r="L858" s="80"/>
      <c r="M858" s="43" t="s">
        <v>63</v>
      </c>
      <c r="N858" s="43" t="s">
        <v>807</v>
      </c>
      <c r="O858" s="43" t="s">
        <v>1550</v>
      </c>
      <c r="P858" s="80"/>
      <c r="Q858" s="43" t="s">
        <v>85</v>
      </c>
      <c r="R858" s="43" t="s">
        <v>3919</v>
      </c>
      <c r="S858" s="44" t="s">
        <v>3704</v>
      </c>
      <c r="T858" s="81"/>
      <c r="U858" s="81"/>
      <c r="V858" s="81"/>
      <c r="W858" s="81"/>
      <c r="X858" s="81"/>
      <c r="Y858" s="81"/>
      <c r="Z858" s="46"/>
      <c r="AA858" s="47" t="s">
        <v>4150</v>
      </c>
      <c r="AB858" s="48" t="s">
        <v>61</v>
      </c>
      <c r="AC858" s="68" t="s">
        <v>61</v>
      </c>
      <c r="AD858" s="69" t="s">
        <v>61</v>
      </c>
      <c r="AE858" s="69" t="s">
        <v>61</v>
      </c>
      <c r="AF858" s="68" t="s">
        <v>61</v>
      </c>
      <c r="AG858" s="68" t="s">
        <v>61</v>
      </c>
      <c r="AH858" s="68" t="s">
        <v>61</v>
      </c>
      <c r="AI858" s="70" t="s">
        <v>61</v>
      </c>
      <c r="AJ858" s="114" t="s">
        <v>61</v>
      </c>
      <c r="AK858" s="82"/>
    </row>
    <row r="859" ht="24.0" customHeight="1">
      <c r="A859" s="35"/>
      <c r="B859" s="36">
        <v>1.0</v>
      </c>
      <c r="C859" s="37" t="str">
        <f>IFERROR(__xludf.DUMMYFUNCTION("""COMPUTED_VALUE"""),"Brady Williamson (3) - '27 C NC")</f>
        <v>Brady Williamson (3) - '27 C NC</v>
      </c>
      <c r="D859" s="89" t="s">
        <v>4563</v>
      </c>
      <c r="E859" s="51" t="s">
        <v>109</v>
      </c>
      <c r="F859" s="154">
        <v>46168.0</v>
      </c>
      <c r="G859" s="116" t="s">
        <v>1395</v>
      </c>
      <c r="H859" s="54" t="s">
        <v>517</v>
      </c>
      <c r="I859" s="55" t="s">
        <v>578</v>
      </c>
      <c r="J859" s="55">
        <v>2027.0</v>
      </c>
      <c r="K859" s="100">
        <v>3.0</v>
      </c>
      <c r="L859" s="57"/>
      <c r="M859" s="55" t="s">
        <v>109</v>
      </c>
      <c r="N859" s="55" t="s">
        <v>1972</v>
      </c>
      <c r="O859" s="57"/>
      <c r="P859" s="55" t="s">
        <v>4564</v>
      </c>
      <c r="Q859" s="55" t="s">
        <v>73</v>
      </c>
      <c r="R859" s="55" t="s">
        <v>4565</v>
      </c>
      <c r="S859" s="58" t="s">
        <v>3204</v>
      </c>
      <c r="T859" s="51" t="s">
        <v>4566</v>
      </c>
      <c r="U859" s="51" t="s">
        <v>4567</v>
      </c>
      <c r="V859" s="51" t="s">
        <v>4568</v>
      </c>
      <c r="W859" s="74"/>
      <c r="X859" s="74"/>
      <c r="Y859" s="74"/>
      <c r="Z859" s="76"/>
      <c r="AA859" s="155" t="s">
        <v>4569</v>
      </c>
      <c r="AB859" s="62" t="s">
        <v>61</v>
      </c>
      <c r="AC859" s="63" t="s">
        <v>61</v>
      </c>
      <c r="AD859" s="64" t="s">
        <v>61</v>
      </c>
      <c r="AE859" s="64" t="s">
        <v>61</v>
      </c>
      <c r="AF859" s="63" t="s">
        <v>61</v>
      </c>
      <c r="AG859" s="63" t="s">
        <v>61</v>
      </c>
      <c r="AH859" s="63" t="s">
        <v>61</v>
      </c>
      <c r="AI859" s="65" t="s">
        <v>61</v>
      </c>
      <c r="AJ859" s="105" t="s">
        <v>61</v>
      </c>
      <c r="AK859" s="76"/>
    </row>
    <row r="860" ht="24.0" customHeight="1">
      <c r="A860" s="35"/>
      <c r="B860" s="36">
        <v>1.0</v>
      </c>
      <c r="C860" s="37" t="str">
        <f>IFERROR(__xludf.DUMMYFUNCTION("""COMPUTED_VALUE"""),"Ryan Wirtz (4) - '27 MINF MA")</f>
        <v>Ryan Wirtz (4) - '27 MINF MA</v>
      </c>
      <c r="D860" s="89" t="s">
        <v>4570</v>
      </c>
      <c r="E860" s="39" t="s">
        <v>48</v>
      </c>
      <c r="F860" s="156">
        <v>46168.0</v>
      </c>
      <c r="G860" s="113" t="s">
        <v>1395</v>
      </c>
      <c r="H860" s="42" t="s">
        <v>1206</v>
      </c>
      <c r="I860" s="43" t="s">
        <v>4571</v>
      </c>
      <c r="J860" s="43">
        <v>2027.0</v>
      </c>
      <c r="K860" s="43">
        <v>4.0</v>
      </c>
      <c r="L860" s="80"/>
      <c r="M860" s="43" t="s">
        <v>51</v>
      </c>
      <c r="N860" s="43" t="s">
        <v>3163</v>
      </c>
      <c r="O860" s="80"/>
      <c r="P860" s="80"/>
      <c r="Q860" s="43" t="s">
        <v>85</v>
      </c>
      <c r="R860" s="43" t="s">
        <v>3225</v>
      </c>
      <c r="S860" s="44" t="s">
        <v>2486</v>
      </c>
      <c r="T860" s="81"/>
      <c r="U860" s="81"/>
      <c r="V860" s="39" t="s">
        <v>4572</v>
      </c>
      <c r="W860" s="81"/>
      <c r="X860" s="81"/>
      <c r="Y860" s="81"/>
      <c r="Z860" s="82"/>
      <c r="AA860" s="161" t="s">
        <v>4573</v>
      </c>
      <c r="AB860" s="48" t="s">
        <v>61</v>
      </c>
      <c r="AC860" s="68" t="s">
        <v>61</v>
      </c>
      <c r="AD860" s="69" t="s">
        <v>61</v>
      </c>
      <c r="AE860" s="69" t="s">
        <v>61</v>
      </c>
      <c r="AF860" s="68" t="s">
        <v>61</v>
      </c>
      <c r="AG860" s="68" t="s">
        <v>61</v>
      </c>
      <c r="AH860" s="68" t="s">
        <v>61</v>
      </c>
      <c r="AI860" s="70" t="s">
        <v>61</v>
      </c>
      <c r="AJ860" s="114" t="s">
        <v>61</v>
      </c>
      <c r="AK860" s="82"/>
    </row>
    <row r="861" ht="24.0" customHeight="1">
      <c r="A861" s="35"/>
      <c r="B861" s="36">
        <v>1.0</v>
      </c>
      <c r="C861" s="37" t="str">
        <f>IFERROR(__xludf.DUMMYFUNCTION("""COMPUTED_VALUE"""),"Gus Witt (4) - '27 RHP CT")</f>
        <v>Gus Witt (4) - '27 RHP CT</v>
      </c>
      <c r="D861" s="89" t="s">
        <v>4574</v>
      </c>
      <c r="E861" s="51" t="s">
        <v>63</v>
      </c>
      <c r="F861" s="140">
        <v>46156.0</v>
      </c>
      <c r="G861" s="116" t="s">
        <v>1395</v>
      </c>
      <c r="H861" s="54" t="s">
        <v>4575</v>
      </c>
      <c r="I861" s="55" t="s">
        <v>4576</v>
      </c>
      <c r="J861" s="55">
        <v>2027.0</v>
      </c>
      <c r="K861" s="55">
        <v>4.0</v>
      </c>
      <c r="L861" s="171" t="s">
        <v>61</v>
      </c>
      <c r="M861" s="55" t="s">
        <v>63</v>
      </c>
      <c r="N861" s="58"/>
      <c r="O861" s="57" t="s">
        <v>1550</v>
      </c>
      <c r="P861" s="57" t="s">
        <v>4577</v>
      </c>
      <c r="Q861" s="55" t="s">
        <v>160</v>
      </c>
      <c r="R861" s="57" t="s">
        <v>4578</v>
      </c>
      <c r="S861" s="58" t="s">
        <v>2888</v>
      </c>
      <c r="T861" s="74"/>
      <c r="U861" s="74" t="s">
        <v>4579</v>
      </c>
      <c r="V861" s="74" t="s">
        <v>4580</v>
      </c>
      <c r="W861" s="74" t="s">
        <v>3747</v>
      </c>
      <c r="X861" s="74"/>
      <c r="Y861" s="74"/>
      <c r="Z861" s="76"/>
      <c r="AA861" s="73" t="s">
        <v>4581</v>
      </c>
      <c r="AB861" s="62" t="s">
        <v>61</v>
      </c>
      <c r="AC861" s="63" t="s">
        <v>61</v>
      </c>
      <c r="AD861" s="64" t="s">
        <v>61</v>
      </c>
      <c r="AE861" s="64" t="s">
        <v>61</v>
      </c>
      <c r="AF861" s="63" t="s">
        <v>61</v>
      </c>
      <c r="AG861" s="63" t="s">
        <v>61</v>
      </c>
      <c r="AH861" s="63" t="s">
        <v>61</v>
      </c>
      <c r="AI861" s="65" t="s">
        <v>61</v>
      </c>
      <c r="AJ861" s="105" t="s">
        <v>61</v>
      </c>
      <c r="AK861" s="76"/>
    </row>
    <row r="862" ht="24.0" customHeight="1">
      <c r="A862" s="71"/>
      <c r="B862" s="36">
        <v>1.0</v>
      </c>
      <c r="C862" s="37" t="str">
        <f>IFERROR(__xludf.DUMMYFUNCTION("""COMPUTED_VALUE"""),"Chase Woodring (4) - '27 RHP PA")</f>
        <v>Chase Woodring (4) - '27 RHP PA</v>
      </c>
      <c r="D862" s="38" t="s">
        <v>4582</v>
      </c>
      <c r="E862" s="39" t="s">
        <v>63</v>
      </c>
      <c r="F862" s="121"/>
      <c r="G862" s="122"/>
      <c r="H862" s="42" t="s">
        <v>376</v>
      </c>
      <c r="I862" s="43" t="s">
        <v>4583</v>
      </c>
      <c r="J862" s="43">
        <v>2027.0</v>
      </c>
      <c r="K862" s="43">
        <v>4.0</v>
      </c>
      <c r="L862" s="158" t="s">
        <v>61</v>
      </c>
      <c r="M862" s="43" t="s">
        <v>63</v>
      </c>
      <c r="N862" s="117"/>
      <c r="O862" s="43" t="s">
        <v>1550</v>
      </c>
      <c r="P862" s="43" t="s">
        <v>4584</v>
      </c>
      <c r="Q862" s="43" t="s">
        <v>240</v>
      </c>
      <c r="R862" s="43" t="s">
        <v>4585</v>
      </c>
      <c r="S862" s="44" t="s">
        <v>3066</v>
      </c>
      <c r="T862" s="81"/>
      <c r="U862" s="81"/>
      <c r="V862" s="157"/>
      <c r="W862" s="39" t="s">
        <v>1724</v>
      </c>
      <c r="X862" s="81"/>
      <c r="Y862" s="81"/>
      <c r="Z862" s="82"/>
      <c r="AA862" s="99"/>
      <c r="AB862" s="48" t="s">
        <v>61</v>
      </c>
      <c r="AC862" s="68" t="s">
        <v>61</v>
      </c>
      <c r="AD862" s="69" t="s">
        <v>61</v>
      </c>
      <c r="AE862" s="69" t="s">
        <v>61</v>
      </c>
      <c r="AF862" s="68" t="s">
        <v>61</v>
      </c>
      <c r="AG862" s="68" t="s">
        <v>61</v>
      </c>
      <c r="AH862" s="68" t="s">
        <v>61</v>
      </c>
      <c r="AI862" s="70" t="s">
        <v>61</v>
      </c>
      <c r="AJ862" s="49" t="s">
        <v>61</v>
      </c>
      <c r="AK862" s="46"/>
    </row>
    <row r="863" ht="24.0" customHeight="1">
      <c r="A863" s="35"/>
      <c r="B863" s="36">
        <v>1.0</v>
      </c>
      <c r="C863" s="37" t="str">
        <f>IFERROR(__xludf.DUMMYFUNCTION("""COMPUTED_VALUE"""),"Grady Wright (4) - '29 MINF MA")</f>
        <v>Grady Wright (4) - '29 MINF MA</v>
      </c>
      <c r="D863" s="89" t="s">
        <v>4586</v>
      </c>
      <c r="E863" s="51" t="s">
        <v>48</v>
      </c>
      <c r="F863" s="154">
        <v>46156.0</v>
      </c>
      <c r="G863" s="116" t="s">
        <v>1395</v>
      </c>
      <c r="H863" s="54" t="s">
        <v>2995</v>
      </c>
      <c r="I863" s="55" t="s">
        <v>4587</v>
      </c>
      <c r="J863" s="55">
        <v>2029.0</v>
      </c>
      <c r="K863" s="55">
        <v>4.0</v>
      </c>
      <c r="L863" s="57"/>
      <c r="M863" s="55" t="s">
        <v>51</v>
      </c>
      <c r="N863" s="55"/>
      <c r="O863" s="55" t="s">
        <v>1989</v>
      </c>
      <c r="P863" s="55" t="s">
        <v>642</v>
      </c>
      <c r="Q863" s="55" t="s">
        <v>85</v>
      </c>
      <c r="R863" s="55" t="s">
        <v>3640</v>
      </c>
      <c r="S863" s="58" t="s">
        <v>1424</v>
      </c>
      <c r="T863" s="74"/>
      <c r="U863" s="51" t="s">
        <v>4588</v>
      </c>
      <c r="V863" s="74"/>
      <c r="W863" s="51" t="s">
        <v>3747</v>
      </c>
      <c r="X863" s="74"/>
      <c r="Y863" s="74"/>
      <c r="Z863" s="76"/>
      <c r="AA863" s="73" t="s">
        <v>4589</v>
      </c>
      <c r="AB863" s="62" t="s">
        <v>61</v>
      </c>
      <c r="AC863" s="63" t="s">
        <v>61</v>
      </c>
      <c r="AD863" s="64" t="s">
        <v>61</v>
      </c>
      <c r="AE863" s="64" t="s">
        <v>61</v>
      </c>
      <c r="AF863" s="63" t="s">
        <v>61</v>
      </c>
      <c r="AG863" s="63" t="s">
        <v>61</v>
      </c>
      <c r="AH863" s="63" t="s">
        <v>61</v>
      </c>
      <c r="AI863" s="65" t="s">
        <v>61</v>
      </c>
      <c r="AJ863" s="105" t="s">
        <v>61</v>
      </c>
      <c r="AK863" s="76"/>
    </row>
    <row r="864" ht="24.0" customHeight="1">
      <c r="A864" s="35"/>
      <c r="B864" s="36">
        <v>1.0</v>
      </c>
      <c r="C864" s="37" t="str">
        <f>IFERROR(__xludf.DUMMYFUNCTION("""COMPUTED_VALUE"""),"Connor Young (4) - '27 MINF TX")</f>
        <v>Connor Young (4) - '27 MINF TX</v>
      </c>
      <c r="D864" s="89" t="s">
        <v>4590</v>
      </c>
      <c r="E864" s="39" t="s">
        <v>48</v>
      </c>
      <c r="F864" s="156">
        <v>46168.0</v>
      </c>
      <c r="G864" s="113" t="s">
        <v>1395</v>
      </c>
      <c r="H864" s="42" t="s">
        <v>682</v>
      </c>
      <c r="I864" s="43" t="s">
        <v>1819</v>
      </c>
      <c r="J864" s="43">
        <v>2027.0</v>
      </c>
      <c r="K864" s="43">
        <v>4.0</v>
      </c>
      <c r="L864" s="80"/>
      <c r="M864" s="43" t="s">
        <v>51</v>
      </c>
      <c r="N864" s="43" t="s">
        <v>109</v>
      </c>
      <c r="O864" s="80"/>
      <c r="P864" s="43" t="s">
        <v>472</v>
      </c>
      <c r="Q864" s="43" t="s">
        <v>180</v>
      </c>
      <c r="R864" s="43" t="s">
        <v>4591</v>
      </c>
      <c r="S864" s="44" t="s">
        <v>3971</v>
      </c>
      <c r="T864" s="39" t="s">
        <v>4592</v>
      </c>
      <c r="U864" s="39" t="s">
        <v>4593</v>
      </c>
      <c r="V864" s="39" t="s">
        <v>4594</v>
      </c>
      <c r="W864" s="81"/>
      <c r="X864" s="81"/>
      <c r="Y864" s="81"/>
      <c r="Z864" s="82"/>
      <c r="AA864" s="161" t="s">
        <v>4595</v>
      </c>
      <c r="AB864" s="48" t="s">
        <v>61</v>
      </c>
      <c r="AC864" s="68" t="s">
        <v>61</v>
      </c>
      <c r="AD864" s="69" t="s">
        <v>61</v>
      </c>
      <c r="AE864" s="69" t="s">
        <v>61</v>
      </c>
      <c r="AF864" s="68" t="s">
        <v>61</v>
      </c>
      <c r="AG864" s="68" t="s">
        <v>61</v>
      </c>
      <c r="AH864" s="68" t="s">
        <v>61</v>
      </c>
      <c r="AI864" s="70" t="s">
        <v>61</v>
      </c>
      <c r="AJ864" s="114" t="s">
        <v>61</v>
      </c>
      <c r="AK864" s="82"/>
    </row>
    <row r="865" ht="24.0" customHeight="1">
      <c r="A865" s="35"/>
      <c r="B865" s="36">
        <v>1.0</v>
      </c>
      <c r="C865" s="37" t="str">
        <f>IFERROR(__xludf.DUMMYFUNCTION("""COMPUTED_VALUE"""),"Joseph Young (4) - '27 C TX")</f>
        <v>Joseph Young (4) - '27 C TX</v>
      </c>
      <c r="D865" s="89" t="s">
        <v>4596</v>
      </c>
      <c r="E865" s="51" t="s">
        <v>109</v>
      </c>
      <c r="F865" s="154">
        <v>46168.0</v>
      </c>
      <c r="G865" s="116" t="s">
        <v>1395</v>
      </c>
      <c r="H865" s="54" t="s">
        <v>971</v>
      </c>
      <c r="I865" s="55" t="s">
        <v>1819</v>
      </c>
      <c r="J865" s="55">
        <v>2027.0</v>
      </c>
      <c r="K865" s="55">
        <v>4.0</v>
      </c>
      <c r="L865" s="57"/>
      <c r="M865" s="55" t="s">
        <v>109</v>
      </c>
      <c r="N865" s="55"/>
      <c r="O865" s="57"/>
      <c r="P865" s="57"/>
      <c r="Q865" s="55" t="s">
        <v>180</v>
      </c>
      <c r="R865" s="55" t="s">
        <v>4597</v>
      </c>
      <c r="S865" s="58" t="s">
        <v>1884</v>
      </c>
      <c r="T865" s="51" t="s">
        <v>4598</v>
      </c>
      <c r="U865" s="74"/>
      <c r="V865" s="51" t="s">
        <v>4599</v>
      </c>
      <c r="W865" s="74"/>
      <c r="X865" s="74"/>
      <c r="Y865" s="74"/>
      <c r="Z865" s="76"/>
      <c r="AA865" s="155" t="s">
        <v>4600</v>
      </c>
      <c r="AB865" s="62" t="s">
        <v>61</v>
      </c>
      <c r="AC865" s="63" t="s">
        <v>61</v>
      </c>
      <c r="AD865" s="64" t="s">
        <v>61</v>
      </c>
      <c r="AE865" s="64" t="s">
        <v>61</v>
      </c>
      <c r="AF865" s="63" t="s">
        <v>61</v>
      </c>
      <c r="AG865" s="63" t="s">
        <v>61</v>
      </c>
      <c r="AH865" s="63" t="s">
        <v>61</v>
      </c>
      <c r="AI865" s="65" t="s">
        <v>61</v>
      </c>
      <c r="AJ865" s="105" t="s">
        <v>61</v>
      </c>
      <c r="AK865" s="76"/>
    </row>
    <row r="866" ht="24.0" customHeight="1">
      <c r="A866" s="35"/>
      <c r="B866" s="36">
        <v>1.0</v>
      </c>
      <c r="C866" s="37" t="str">
        <f>IFERROR(__xludf.DUMMYFUNCTION("""COMPUTED_VALUE"""),"Matthew Zambriski (4) - '27 RHP NY")</f>
        <v>Matthew Zambriski (4) - '27 RHP NY</v>
      </c>
      <c r="D866" s="38" t="s">
        <v>4601</v>
      </c>
      <c r="E866" s="39" t="s">
        <v>63</v>
      </c>
      <c r="F866" s="112"/>
      <c r="G866" s="113" t="s">
        <v>1395</v>
      </c>
      <c r="H866" s="42" t="s">
        <v>312</v>
      </c>
      <c r="I866" s="43" t="s">
        <v>4602</v>
      </c>
      <c r="J866" s="43">
        <v>2027.0</v>
      </c>
      <c r="K866" s="43">
        <v>4.0</v>
      </c>
      <c r="L866" s="158" t="s">
        <v>61</v>
      </c>
      <c r="M866" s="43" t="s">
        <v>63</v>
      </c>
      <c r="N866" s="44"/>
      <c r="O866" s="43" t="s">
        <v>1550</v>
      </c>
      <c r="P866" s="95"/>
      <c r="Q866" s="43" t="s">
        <v>255</v>
      </c>
      <c r="R866" s="43" t="s">
        <v>4603</v>
      </c>
      <c r="S866" s="44" t="s">
        <v>3916</v>
      </c>
      <c r="T866" s="39"/>
      <c r="U866" s="39"/>
      <c r="V866" s="39"/>
      <c r="W866" s="39"/>
      <c r="X866" s="39"/>
      <c r="Y866" s="39"/>
      <c r="Z866" s="46"/>
      <c r="AA866" s="47"/>
      <c r="AB866" s="48" t="s">
        <v>61</v>
      </c>
      <c r="AC866" s="68" t="s">
        <v>61</v>
      </c>
      <c r="AD866" s="69" t="s">
        <v>61</v>
      </c>
      <c r="AE866" s="69" t="s">
        <v>61</v>
      </c>
      <c r="AF866" s="68" t="s">
        <v>61</v>
      </c>
      <c r="AG866" s="68" t="s">
        <v>61</v>
      </c>
      <c r="AH866" s="68" t="s">
        <v>61</v>
      </c>
      <c r="AI866" s="70" t="s">
        <v>61</v>
      </c>
      <c r="AJ866" s="49" t="s">
        <v>61</v>
      </c>
      <c r="AK866" s="46"/>
    </row>
    <row r="867" ht="24.0" customHeight="1">
      <c r="A867" s="35"/>
      <c r="B867" s="36">
        <v>1.0</v>
      </c>
      <c r="C867" s="37" t="str">
        <f>IFERROR(__xludf.DUMMYFUNCTION("""COMPUTED_VALUE"""),"Owen Zartman (4) - '27 MIF MD")</f>
        <v>Owen Zartman (4) - '27 MIF MD</v>
      </c>
      <c r="D867" s="89" t="s">
        <v>4604</v>
      </c>
      <c r="E867" s="51"/>
      <c r="F867" s="154">
        <v>46170.0</v>
      </c>
      <c r="G867" s="116" t="s">
        <v>1470</v>
      </c>
      <c r="H867" s="54" t="s">
        <v>64</v>
      </c>
      <c r="I867" s="55" t="s">
        <v>4605</v>
      </c>
      <c r="J867" s="55">
        <v>2027.0</v>
      </c>
      <c r="K867" s="55">
        <v>4.0</v>
      </c>
      <c r="L867" s="57"/>
      <c r="M867" s="55" t="s">
        <v>3643</v>
      </c>
      <c r="N867" s="55" t="s">
        <v>1519</v>
      </c>
      <c r="O867" s="55"/>
      <c r="P867" s="55" t="s">
        <v>4606</v>
      </c>
      <c r="Q867" s="55" t="s">
        <v>195</v>
      </c>
      <c r="R867" s="55" t="s">
        <v>4607</v>
      </c>
      <c r="S867" s="58" t="s">
        <v>3989</v>
      </c>
      <c r="T867" s="51">
        <v>4.2</v>
      </c>
      <c r="U867" s="51" t="s">
        <v>4608</v>
      </c>
      <c r="V867" s="51" t="s">
        <v>4609</v>
      </c>
      <c r="W867" s="74"/>
      <c r="X867" s="74"/>
      <c r="Y867" s="51"/>
      <c r="Z867" s="76"/>
      <c r="AA867" s="155" t="s">
        <v>4610</v>
      </c>
      <c r="AB867" s="62" t="s">
        <v>61</v>
      </c>
      <c r="AC867" s="63" t="s">
        <v>61</v>
      </c>
      <c r="AD867" s="64" t="s">
        <v>61</v>
      </c>
      <c r="AE867" s="64" t="s">
        <v>61</v>
      </c>
      <c r="AF867" s="63" t="s">
        <v>61</v>
      </c>
      <c r="AG867" s="63" t="s">
        <v>61</v>
      </c>
      <c r="AH867" s="63" t="s">
        <v>61</v>
      </c>
      <c r="AI867" s="65" t="s">
        <v>61</v>
      </c>
      <c r="AJ867" s="105" t="s">
        <v>61</v>
      </c>
      <c r="AK867" s="76"/>
    </row>
    <row r="868" ht="24.0" customHeight="1">
      <c r="A868" s="35"/>
      <c r="B868" s="36">
        <v>1.0</v>
      </c>
      <c r="C868" s="37" t="str">
        <f>IFERROR(__xludf.DUMMYFUNCTION("""COMPUTED_VALUE"""),"Charlie Brady (4) - '27 RHP CT")</f>
        <v>Charlie Brady (4) - '27 RHP CT</v>
      </c>
      <c r="D868" s="89" t="s">
        <v>4611</v>
      </c>
      <c r="E868" s="39" t="s">
        <v>63</v>
      </c>
      <c r="F868" s="156">
        <v>46175.0</v>
      </c>
      <c r="G868" s="113" t="s">
        <v>1395</v>
      </c>
      <c r="H868" s="42" t="s">
        <v>629</v>
      </c>
      <c r="I868" s="43" t="s">
        <v>517</v>
      </c>
      <c r="J868" s="43">
        <v>2027.0</v>
      </c>
      <c r="K868" s="43">
        <v>4.0</v>
      </c>
      <c r="L868" s="80"/>
      <c r="M868" s="43" t="s">
        <v>63</v>
      </c>
      <c r="N868" s="43"/>
      <c r="O868" s="43" t="s">
        <v>1550</v>
      </c>
      <c r="P868" s="80"/>
      <c r="Q868" s="43" t="s">
        <v>160</v>
      </c>
      <c r="R868" s="43" t="s">
        <v>161</v>
      </c>
      <c r="S868" s="44" t="s">
        <v>2724</v>
      </c>
      <c r="T868" s="81"/>
      <c r="U868" s="81"/>
      <c r="V868" s="39" t="s">
        <v>4612</v>
      </c>
      <c r="W868" s="81"/>
      <c r="X868" s="81"/>
      <c r="Y868" s="81"/>
      <c r="Z868" s="82"/>
      <c r="AA868" s="99"/>
      <c r="AB868" s="48" t="s">
        <v>61</v>
      </c>
      <c r="AC868" s="68" t="s">
        <v>61</v>
      </c>
      <c r="AD868" s="69" t="s">
        <v>61</v>
      </c>
      <c r="AE868" s="69" t="s">
        <v>61</v>
      </c>
      <c r="AF868" s="68" t="s">
        <v>61</v>
      </c>
      <c r="AG868" s="68" t="s">
        <v>61</v>
      </c>
      <c r="AH868" s="68" t="s">
        <v>61</v>
      </c>
      <c r="AI868" s="70" t="s">
        <v>61</v>
      </c>
      <c r="AJ868" s="114" t="s">
        <v>61</v>
      </c>
      <c r="AK868" s="82"/>
    </row>
    <row r="869" ht="24.0" customHeight="1">
      <c r="A869" s="35"/>
      <c r="B869" s="36">
        <v>1.0</v>
      </c>
      <c r="C869" s="37" t="str">
        <f>IFERROR(__xludf.DUMMYFUNCTION("""COMPUTED_VALUE"""),"Luke Bacon (1) - '27 C CA")</f>
        <v>Luke Bacon (1) - '27 C CA</v>
      </c>
      <c r="D869" s="38" t="s">
        <v>4613</v>
      </c>
      <c r="E869" s="51" t="s">
        <v>109</v>
      </c>
      <c r="F869" s="119">
        <v>45865.0</v>
      </c>
      <c r="G869" s="116" t="s">
        <v>1470</v>
      </c>
      <c r="H869" s="54" t="s">
        <v>1042</v>
      </c>
      <c r="I869" s="55" t="s">
        <v>4614</v>
      </c>
      <c r="J869" s="55">
        <v>2027.0</v>
      </c>
      <c r="K869" s="162" t="s">
        <v>2969</v>
      </c>
      <c r="L869" s="159" t="s">
        <v>61</v>
      </c>
      <c r="M869" s="55" t="s">
        <v>109</v>
      </c>
      <c r="N869" s="132"/>
      <c r="O869" s="55" t="s">
        <v>1989</v>
      </c>
      <c r="P869" s="55" t="s">
        <v>1765</v>
      </c>
      <c r="Q869" s="55" t="s">
        <v>52</v>
      </c>
      <c r="R869" s="55" t="s">
        <v>1471</v>
      </c>
      <c r="S869" s="58"/>
      <c r="T869" s="51">
        <v>4.25</v>
      </c>
      <c r="U869" s="51"/>
      <c r="V869" s="51" t="s">
        <v>4615</v>
      </c>
      <c r="W869" s="51" t="s">
        <v>2821</v>
      </c>
      <c r="X869" s="74"/>
      <c r="Y869" s="74"/>
      <c r="Z869" s="76"/>
      <c r="AA869" s="134"/>
      <c r="AB869" s="62" t="s">
        <v>4616</v>
      </c>
      <c r="AC869" s="63" t="s">
        <v>4617</v>
      </c>
      <c r="AD869" s="64" t="s">
        <v>4618</v>
      </c>
      <c r="AE869" s="64" t="s">
        <v>4619</v>
      </c>
      <c r="AF869" s="63" t="s">
        <v>60</v>
      </c>
      <c r="AG869" s="63"/>
      <c r="AH869" s="63"/>
      <c r="AI869" s="65"/>
      <c r="AJ869" s="66" t="s">
        <v>61</v>
      </c>
      <c r="AK869" s="60"/>
    </row>
    <row r="870" ht="24.0" customHeight="1">
      <c r="A870" s="35"/>
      <c r="B870" s="36">
        <v>1.0</v>
      </c>
      <c r="C870" s="37" t="str">
        <f>IFERROR(__xludf.DUMMYFUNCTION("""COMPUTED_VALUE"""),"Gavin Stanislawski (1) - '27 CINF IL")</f>
        <v>Gavin Stanislawski (1) - '27 CINF IL</v>
      </c>
      <c r="D870" s="38" t="s">
        <v>4620</v>
      </c>
      <c r="E870" s="39" t="s">
        <v>48</v>
      </c>
      <c r="F870" s="112">
        <v>46127.0</v>
      </c>
      <c r="G870" s="113" t="s">
        <v>1470</v>
      </c>
      <c r="H870" s="42" t="s">
        <v>788</v>
      </c>
      <c r="I870" s="43" t="s">
        <v>4621</v>
      </c>
      <c r="J870" s="43">
        <v>2027.0</v>
      </c>
      <c r="K870" s="187" t="s">
        <v>2969</v>
      </c>
      <c r="L870" s="158" t="s">
        <v>61</v>
      </c>
      <c r="M870" s="43" t="s">
        <v>72</v>
      </c>
      <c r="N870" s="44"/>
      <c r="O870" s="43" t="s">
        <v>1550</v>
      </c>
      <c r="P870" s="43"/>
      <c r="Q870" s="43" t="s">
        <v>307</v>
      </c>
      <c r="R870" s="43" t="s">
        <v>442</v>
      </c>
      <c r="S870" s="44" t="s">
        <v>4622</v>
      </c>
      <c r="T870" s="188" t="s">
        <v>4623</v>
      </c>
      <c r="U870" s="39"/>
      <c r="V870" s="39">
        <v>6.307708779E9</v>
      </c>
      <c r="W870" s="39"/>
      <c r="X870" s="39"/>
      <c r="Y870" s="39"/>
      <c r="Z870" s="46"/>
      <c r="AA870" s="47"/>
      <c r="AB870" s="48" t="s">
        <v>61</v>
      </c>
      <c r="AC870" s="68" t="s">
        <v>61</v>
      </c>
      <c r="AD870" s="69" t="s">
        <v>61</v>
      </c>
      <c r="AE870" s="69" t="s">
        <v>61</v>
      </c>
      <c r="AF870" s="68" t="s">
        <v>61</v>
      </c>
      <c r="AG870" s="68" t="s">
        <v>61</v>
      </c>
      <c r="AH870" s="68" t="s">
        <v>61</v>
      </c>
      <c r="AI870" s="70" t="s">
        <v>61</v>
      </c>
      <c r="AJ870" s="49" t="s">
        <v>61</v>
      </c>
      <c r="AK870" s="46"/>
    </row>
    <row r="871" ht="24.0" customHeight="1">
      <c r="A871" s="35"/>
      <c r="B871" s="36">
        <v>1.0</v>
      </c>
      <c r="C871" s="37" t="str">
        <f>IFERROR(__xludf.DUMMYFUNCTION("""COMPUTED_VALUE"""),"James Lockwood (3) - '28 RHP ")</f>
        <v>James Lockwood (3) - '28 RHP </v>
      </c>
      <c r="D871" s="38" t="s">
        <v>4624</v>
      </c>
      <c r="E871" s="51" t="s">
        <v>63</v>
      </c>
      <c r="F871" s="137"/>
      <c r="G871" s="133"/>
      <c r="H871" s="54" t="s">
        <v>916</v>
      </c>
      <c r="I871" s="55" t="s">
        <v>4625</v>
      </c>
      <c r="J871" s="55">
        <v>2028.0</v>
      </c>
      <c r="K871" s="162" t="s">
        <v>4626</v>
      </c>
      <c r="L871" s="57"/>
      <c r="M871" s="55" t="s">
        <v>63</v>
      </c>
      <c r="N871" s="57"/>
      <c r="O871" s="55" t="s">
        <v>1550</v>
      </c>
      <c r="P871" s="55" t="s">
        <v>4627</v>
      </c>
      <c r="Q871" s="57"/>
      <c r="R871" s="55" t="s">
        <v>3082</v>
      </c>
      <c r="S871" s="58" t="s">
        <v>2975</v>
      </c>
      <c r="T871" s="74"/>
      <c r="U871" s="74"/>
      <c r="V871" s="139"/>
      <c r="W871" s="51" t="s">
        <v>1724</v>
      </c>
      <c r="X871" s="74"/>
      <c r="Y871" s="74"/>
      <c r="Z871" s="76"/>
      <c r="AA871" s="134"/>
      <c r="AB871" s="62" t="s">
        <v>61</v>
      </c>
      <c r="AC871" s="63" t="s">
        <v>61</v>
      </c>
      <c r="AD871" s="64" t="s">
        <v>61</v>
      </c>
      <c r="AE871" s="64" t="s">
        <v>61</v>
      </c>
      <c r="AF871" s="63" t="s">
        <v>61</v>
      </c>
      <c r="AG871" s="63" t="s">
        <v>61</v>
      </c>
      <c r="AH871" s="63" t="s">
        <v>61</v>
      </c>
      <c r="AI871" s="65" t="s">
        <v>61</v>
      </c>
      <c r="AJ871" s="105" t="s">
        <v>61</v>
      </c>
      <c r="AK871" s="76"/>
    </row>
    <row r="872" ht="24.0" customHeight="1">
      <c r="A872" s="35"/>
      <c r="B872" s="189" t="s">
        <v>2969</v>
      </c>
      <c r="C872" s="37" t="str">
        <f>IFERROR(__xludf.DUMMYFUNCTION("""COMPUTED_VALUE"""),"Charlie Acierno (4) - '28 C ")</f>
        <v>Charlie Acierno (4) - '28 C </v>
      </c>
      <c r="D872" s="89" t="s">
        <v>4628</v>
      </c>
      <c r="E872" s="39" t="s">
        <v>109</v>
      </c>
      <c r="F872" s="156">
        <v>46169.0</v>
      </c>
      <c r="G872" s="122" t="s">
        <v>1430</v>
      </c>
      <c r="H872" s="138" t="s">
        <v>629</v>
      </c>
      <c r="I872" s="80" t="s">
        <v>4629</v>
      </c>
      <c r="J872" s="190" t="s">
        <v>4630</v>
      </c>
      <c r="K872" s="191" t="s">
        <v>4631</v>
      </c>
      <c r="L872" s="80"/>
      <c r="M872" s="43" t="s">
        <v>109</v>
      </c>
      <c r="N872" s="43"/>
      <c r="O872" s="80"/>
      <c r="P872" s="80"/>
      <c r="Q872" s="80"/>
      <c r="R872" s="80"/>
      <c r="S872" s="117" t="s">
        <v>1529</v>
      </c>
      <c r="T872" s="81"/>
      <c r="U872" s="81"/>
      <c r="V872" s="81"/>
      <c r="W872" s="81"/>
      <c r="X872" s="81"/>
      <c r="Y872" s="81"/>
      <c r="Z872" s="82"/>
      <c r="AA872" s="99" t="s">
        <v>4632</v>
      </c>
      <c r="AB872" s="48" t="s">
        <v>61</v>
      </c>
      <c r="AC872" s="68" t="s">
        <v>61</v>
      </c>
      <c r="AD872" s="69" t="s">
        <v>61</v>
      </c>
      <c r="AE872" s="69" t="s">
        <v>61</v>
      </c>
      <c r="AF872" s="68" t="s">
        <v>61</v>
      </c>
      <c r="AG872" s="68" t="s">
        <v>61</v>
      </c>
      <c r="AH872" s="68" t="s">
        <v>61</v>
      </c>
      <c r="AI872" s="70" t="s">
        <v>61</v>
      </c>
      <c r="AJ872" s="114" t="s">
        <v>61</v>
      </c>
      <c r="AK872" s="82"/>
    </row>
    <row r="873" ht="24.0" customHeight="1">
      <c r="A873" s="35"/>
      <c r="B873" s="189" t="s">
        <v>2969</v>
      </c>
      <c r="C873" s="37" t="str">
        <f>IFERROR(__xludf.DUMMYFUNCTION("""COMPUTED_VALUE"""),"Danny Beltran (4) - '28 MINF ")</f>
        <v>Danny Beltran (4) - '28 MINF </v>
      </c>
      <c r="D873" s="89" t="s">
        <v>4633</v>
      </c>
      <c r="E873" s="51" t="s">
        <v>48</v>
      </c>
      <c r="F873" s="154">
        <v>46169.0</v>
      </c>
      <c r="G873" s="133" t="s">
        <v>1430</v>
      </c>
      <c r="H873" s="141" t="s">
        <v>705</v>
      </c>
      <c r="I873" s="57" t="s">
        <v>4634</v>
      </c>
      <c r="J873" s="192" t="s">
        <v>4630</v>
      </c>
      <c r="K873" s="193" t="s">
        <v>4631</v>
      </c>
      <c r="L873" s="57"/>
      <c r="M873" s="55" t="s">
        <v>51</v>
      </c>
      <c r="N873" s="55"/>
      <c r="O873" s="57"/>
      <c r="P873" s="57"/>
      <c r="Q873" s="57"/>
      <c r="R873" s="57"/>
      <c r="S873" s="132" t="s">
        <v>1529</v>
      </c>
      <c r="T873" s="74"/>
      <c r="U873" s="74"/>
      <c r="V873" s="74"/>
      <c r="W873" s="74"/>
      <c r="X873" s="74"/>
      <c r="Y873" s="74"/>
      <c r="Z873" s="76"/>
      <c r="AA873" s="134"/>
      <c r="AB873" s="62" t="s">
        <v>61</v>
      </c>
      <c r="AC873" s="63" t="s">
        <v>61</v>
      </c>
      <c r="AD873" s="64" t="s">
        <v>61</v>
      </c>
      <c r="AE873" s="64" t="s">
        <v>61</v>
      </c>
      <c r="AF873" s="63" t="s">
        <v>61</v>
      </c>
      <c r="AG873" s="63" t="s">
        <v>61</v>
      </c>
      <c r="AH873" s="63" t="s">
        <v>61</v>
      </c>
      <c r="AI873" s="65" t="s">
        <v>61</v>
      </c>
      <c r="AJ873" s="105" t="s">
        <v>61</v>
      </c>
      <c r="AK873" s="76"/>
    </row>
    <row r="874" ht="24.0" customHeight="1">
      <c r="A874" s="35"/>
      <c r="B874" s="189" t="s">
        <v>2969</v>
      </c>
      <c r="C874" s="37" t="str">
        <f>IFERROR(__xludf.DUMMYFUNCTION("""COMPUTED_VALUE"""),"Jake Carruthers (4) - '27 OF ")</f>
        <v>Jake Carruthers (4) - '27 OF </v>
      </c>
      <c r="D874" s="89" t="s">
        <v>4635</v>
      </c>
      <c r="E874" s="39" t="s">
        <v>103</v>
      </c>
      <c r="F874" s="156">
        <v>46169.0</v>
      </c>
      <c r="G874" s="122" t="s">
        <v>1430</v>
      </c>
      <c r="H874" s="138" t="s">
        <v>136</v>
      </c>
      <c r="I874" s="80" t="s">
        <v>4636</v>
      </c>
      <c r="J874" s="190" t="s">
        <v>4637</v>
      </c>
      <c r="K874" s="191" t="s">
        <v>4631</v>
      </c>
      <c r="L874" s="80"/>
      <c r="M874" s="43" t="s">
        <v>103</v>
      </c>
      <c r="N874" s="43"/>
      <c r="O874" s="80"/>
      <c r="P874" s="80"/>
      <c r="Q874" s="80"/>
      <c r="R874" s="80"/>
      <c r="S874" s="117" t="s">
        <v>1529</v>
      </c>
      <c r="T874" s="81"/>
      <c r="U874" s="81"/>
      <c r="V874" s="81"/>
      <c r="W874" s="81"/>
      <c r="X874" s="81"/>
      <c r="Y874" s="81"/>
      <c r="Z874" s="82"/>
      <c r="AA874" s="99"/>
      <c r="AB874" s="48" t="s">
        <v>61</v>
      </c>
      <c r="AC874" s="68" t="s">
        <v>61</v>
      </c>
      <c r="AD874" s="69" t="s">
        <v>61</v>
      </c>
      <c r="AE874" s="69" t="s">
        <v>61</v>
      </c>
      <c r="AF874" s="68" t="s">
        <v>61</v>
      </c>
      <c r="AG874" s="68" t="s">
        <v>61</v>
      </c>
      <c r="AH874" s="68" t="s">
        <v>61</v>
      </c>
      <c r="AI874" s="70" t="s">
        <v>61</v>
      </c>
      <c r="AJ874" s="114" t="s">
        <v>61</v>
      </c>
      <c r="AK874" s="82"/>
    </row>
    <row r="875" ht="24.0" customHeight="1">
      <c r="A875" s="35"/>
      <c r="B875" s="36"/>
      <c r="C875" s="37" t="str">
        <f>IFERROR(__xludf.DUMMYFUNCTION("""COMPUTED_VALUE"""),"Gavin Coffey (4) - '27 RHP ")</f>
        <v>Gavin Coffey (4) - '27 RHP </v>
      </c>
      <c r="D875" s="89" t="s">
        <v>4638</v>
      </c>
      <c r="E875" s="51" t="s">
        <v>63</v>
      </c>
      <c r="F875" s="154">
        <v>46169.0</v>
      </c>
      <c r="G875" s="133" t="s">
        <v>1430</v>
      </c>
      <c r="H875" s="141" t="s">
        <v>788</v>
      </c>
      <c r="I875" s="57" t="s">
        <v>4639</v>
      </c>
      <c r="J875" s="192" t="s">
        <v>4637</v>
      </c>
      <c r="K875" s="193" t="s">
        <v>4631</v>
      </c>
      <c r="L875" s="57"/>
      <c r="M875" s="55" t="s">
        <v>63</v>
      </c>
      <c r="N875" s="55"/>
      <c r="O875" s="57"/>
      <c r="P875" s="57"/>
      <c r="Q875" s="57"/>
      <c r="R875" s="57"/>
      <c r="S875" s="132" t="s">
        <v>1418</v>
      </c>
      <c r="T875" s="74"/>
      <c r="U875" s="74"/>
      <c r="V875" s="74"/>
      <c r="W875" s="74"/>
      <c r="X875" s="74"/>
      <c r="Y875" s="74"/>
      <c r="Z875" s="76"/>
      <c r="AA875" s="134" t="s">
        <v>4640</v>
      </c>
      <c r="AB875" s="62" t="s">
        <v>61</v>
      </c>
      <c r="AC875" s="63" t="s">
        <v>61</v>
      </c>
      <c r="AD875" s="64" t="s">
        <v>61</v>
      </c>
      <c r="AE875" s="64" t="s">
        <v>61</v>
      </c>
      <c r="AF875" s="63" t="s">
        <v>61</v>
      </c>
      <c r="AG875" s="63" t="s">
        <v>61</v>
      </c>
      <c r="AH875" s="63" t="s">
        <v>61</v>
      </c>
      <c r="AI875" s="65" t="s">
        <v>61</v>
      </c>
      <c r="AJ875" s="105" t="s">
        <v>61</v>
      </c>
      <c r="AK875" s="76"/>
    </row>
    <row r="876" ht="24.0" customHeight="1">
      <c r="A876" s="35"/>
      <c r="B876" s="189" t="s">
        <v>2969</v>
      </c>
      <c r="C876" s="37" t="str">
        <f>IFERROR(__xludf.DUMMYFUNCTION("""COMPUTED_VALUE"""),"Bryce Conner (4) - '28 1B ")</f>
        <v>Bryce Conner (4) - '28 1B </v>
      </c>
      <c r="D876" s="89" t="s">
        <v>4641</v>
      </c>
      <c r="E876" s="39" t="s">
        <v>48</v>
      </c>
      <c r="F876" s="186">
        <v>46169.0</v>
      </c>
      <c r="G876" s="113" t="s">
        <v>1430</v>
      </c>
      <c r="H876" s="42" t="s">
        <v>408</v>
      </c>
      <c r="I876" s="43" t="s">
        <v>3510</v>
      </c>
      <c r="J876" s="43">
        <v>2028.0</v>
      </c>
      <c r="K876" s="187" t="s">
        <v>4631</v>
      </c>
      <c r="L876" s="80"/>
      <c r="M876" s="43" t="s">
        <v>1972</v>
      </c>
      <c r="N876" s="43"/>
      <c r="O876" s="80"/>
      <c r="P876" s="80"/>
      <c r="Q876" s="80"/>
      <c r="R876" s="80"/>
      <c r="S876" s="44" t="s">
        <v>1539</v>
      </c>
      <c r="T876" s="81"/>
      <c r="U876" s="81"/>
      <c r="V876" s="81"/>
      <c r="W876" s="81"/>
      <c r="X876" s="81"/>
      <c r="Y876" s="81"/>
      <c r="Z876" s="82"/>
      <c r="AA876" s="47" t="s">
        <v>4642</v>
      </c>
      <c r="AB876" s="48" t="s">
        <v>61</v>
      </c>
      <c r="AC876" s="68" t="s">
        <v>61</v>
      </c>
      <c r="AD876" s="69" t="s">
        <v>61</v>
      </c>
      <c r="AE876" s="69" t="s">
        <v>61</v>
      </c>
      <c r="AF876" s="68" t="s">
        <v>61</v>
      </c>
      <c r="AG876" s="68" t="s">
        <v>61</v>
      </c>
      <c r="AH876" s="68" t="s">
        <v>61</v>
      </c>
      <c r="AI876" s="70" t="s">
        <v>61</v>
      </c>
      <c r="AJ876" s="114" t="s">
        <v>61</v>
      </c>
      <c r="AK876" s="82"/>
    </row>
    <row r="877" ht="24.0" customHeight="1">
      <c r="A877" s="35"/>
      <c r="B877" s="36">
        <v>1.0</v>
      </c>
      <c r="C877" s="37" t="str">
        <f>IFERROR(__xludf.DUMMYFUNCTION("""COMPUTED_VALUE"""),"Jack Daggett (4) - '27 LHP MA")</f>
        <v>Jack Daggett (4) - '27 LHP MA</v>
      </c>
      <c r="D877" s="38" t="s">
        <v>4643</v>
      </c>
      <c r="E877" s="51" t="s">
        <v>122</v>
      </c>
      <c r="F877" s="115"/>
      <c r="G877" s="116"/>
      <c r="H877" s="54" t="s">
        <v>424</v>
      </c>
      <c r="I877" s="55" t="s">
        <v>4644</v>
      </c>
      <c r="J877" s="55">
        <v>2027.0</v>
      </c>
      <c r="K877" s="162" t="s">
        <v>4631</v>
      </c>
      <c r="L877" s="171" t="s">
        <v>61</v>
      </c>
      <c r="M877" s="55" t="s">
        <v>122</v>
      </c>
      <c r="N877" s="55"/>
      <c r="O877" s="55"/>
      <c r="P877" s="57"/>
      <c r="Q877" s="55" t="s">
        <v>85</v>
      </c>
      <c r="R877" s="55" t="s">
        <v>2801</v>
      </c>
      <c r="S877" s="58" t="s">
        <v>1424</v>
      </c>
      <c r="T877" s="51"/>
      <c r="U877" s="51"/>
      <c r="V877" s="51"/>
      <c r="W877" s="51"/>
      <c r="X877" s="51"/>
      <c r="Y877" s="51"/>
      <c r="Z877" s="60"/>
      <c r="AA877" s="73"/>
      <c r="AB877" s="62" t="s">
        <v>61</v>
      </c>
      <c r="AC877" s="63" t="s">
        <v>61</v>
      </c>
      <c r="AD877" s="64" t="s">
        <v>61</v>
      </c>
      <c r="AE877" s="64" t="s">
        <v>61</v>
      </c>
      <c r="AF877" s="63" t="s">
        <v>61</v>
      </c>
      <c r="AG877" s="63" t="s">
        <v>61</v>
      </c>
      <c r="AH877" s="63" t="s">
        <v>61</v>
      </c>
      <c r="AI877" s="65" t="s">
        <v>61</v>
      </c>
      <c r="AJ877" s="66" t="s">
        <v>61</v>
      </c>
      <c r="AK877" s="60"/>
    </row>
    <row r="878" ht="24.0" customHeight="1">
      <c r="A878" s="35"/>
      <c r="B878" s="189" t="s">
        <v>2969</v>
      </c>
      <c r="C878" s="37" t="str">
        <f>IFERROR(__xludf.DUMMYFUNCTION("""COMPUTED_VALUE"""),"Ander Elloriaga (4) - '28 C ")</f>
        <v>Ander Elloriaga (4) - '28 C </v>
      </c>
      <c r="D878" s="89" t="s">
        <v>4645</v>
      </c>
      <c r="E878" s="39" t="s">
        <v>109</v>
      </c>
      <c r="F878" s="156">
        <v>46169.0</v>
      </c>
      <c r="G878" s="122" t="s">
        <v>1430</v>
      </c>
      <c r="H878" s="138" t="s">
        <v>4646</v>
      </c>
      <c r="I878" s="80" t="s">
        <v>4647</v>
      </c>
      <c r="J878" s="190" t="s">
        <v>4630</v>
      </c>
      <c r="K878" s="191" t="s">
        <v>4631</v>
      </c>
      <c r="L878" s="80"/>
      <c r="M878" s="43" t="s">
        <v>109</v>
      </c>
      <c r="N878" s="43"/>
      <c r="O878" s="80"/>
      <c r="P878" s="80"/>
      <c r="Q878" s="80"/>
      <c r="R878" s="80"/>
      <c r="S878" s="117" t="s">
        <v>1529</v>
      </c>
      <c r="T878" s="81"/>
      <c r="U878" s="81"/>
      <c r="V878" s="81"/>
      <c r="W878" s="81"/>
      <c r="X878" s="81"/>
      <c r="Y878" s="81"/>
      <c r="Z878" s="82"/>
      <c r="AA878" s="99"/>
      <c r="AB878" s="48" t="s">
        <v>61</v>
      </c>
      <c r="AC878" s="68" t="s">
        <v>61</v>
      </c>
      <c r="AD878" s="69" t="s">
        <v>61</v>
      </c>
      <c r="AE878" s="69" t="s">
        <v>61</v>
      </c>
      <c r="AF878" s="68" t="s">
        <v>61</v>
      </c>
      <c r="AG878" s="68" t="s">
        <v>61</v>
      </c>
      <c r="AH878" s="68" t="s">
        <v>61</v>
      </c>
      <c r="AI878" s="70" t="s">
        <v>61</v>
      </c>
      <c r="AJ878" s="114" t="s">
        <v>61</v>
      </c>
      <c r="AK878" s="82"/>
    </row>
    <row r="879" ht="24.0" customHeight="1">
      <c r="A879" s="35"/>
      <c r="B879" s="189" t="s">
        <v>2969</v>
      </c>
      <c r="C879" s="37" t="str">
        <f>IFERROR(__xludf.DUMMYFUNCTION("""COMPUTED_VALUE"""),"Jackson Evans (4) - '28 MINF ")</f>
        <v>Jackson Evans (4) - '28 MINF </v>
      </c>
      <c r="D879" s="89" t="s">
        <v>4648</v>
      </c>
      <c r="E879" s="51" t="s">
        <v>48</v>
      </c>
      <c r="F879" s="154">
        <v>46169.0</v>
      </c>
      <c r="G879" s="133" t="s">
        <v>1430</v>
      </c>
      <c r="H879" s="141" t="s">
        <v>432</v>
      </c>
      <c r="I879" s="57" t="s">
        <v>2697</v>
      </c>
      <c r="J879" s="192" t="s">
        <v>4630</v>
      </c>
      <c r="K879" s="193" t="s">
        <v>4631</v>
      </c>
      <c r="L879" s="57"/>
      <c r="M879" s="55" t="s">
        <v>51</v>
      </c>
      <c r="N879" s="55"/>
      <c r="O879" s="57" t="s">
        <v>1989</v>
      </c>
      <c r="P879" s="57"/>
      <c r="Q879" s="57"/>
      <c r="R879" s="57"/>
      <c r="S879" s="132" t="s">
        <v>1529</v>
      </c>
      <c r="T879" s="74"/>
      <c r="U879" s="74"/>
      <c r="V879" s="74"/>
      <c r="W879" s="74"/>
      <c r="X879" s="74"/>
      <c r="Y879" s="74"/>
      <c r="Z879" s="76"/>
      <c r="AA879" s="134" t="s">
        <v>4649</v>
      </c>
      <c r="AB879" s="62" t="s">
        <v>61</v>
      </c>
      <c r="AC879" s="63" t="s">
        <v>61</v>
      </c>
      <c r="AD879" s="64" t="s">
        <v>61</v>
      </c>
      <c r="AE879" s="64" t="s">
        <v>61</v>
      </c>
      <c r="AF879" s="63" t="s">
        <v>61</v>
      </c>
      <c r="AG879" s="63" t="s">
        <v>61</v>
      </c>
      <c r="AH879" s="63" t="s">
        <v>61</v>
      </c>
      <c r="AI879" s="65" t="s">
        <v>61</v>
      </c>
      <c r="AJ879" s="105" t="s">
        <v>61</v>
      </c>
      <c r="AK879" s="76"/>
    </row>
    <row r="880" ht="24.0" customHeight="1">
      <c r="A880" s="35"/>
      <c r="B880" s="189" t="s">
        <v>2969</v>
      </c>
      <c r="C880" s="37" t="str">
        <f>IFERROR(__xludf.DUMMYFUNCTION("""COMPUTED_VALUE"""),"Sammy Fantauzzi (4) - '28 COF ")</f>
        <v>Sammy Fantauzzi (4) - '28 COF </v>
      </c>
      <c r="D880" s="89" t="s">
        <v>4650</v>
      </c>
      <c r="E880" s="39" t="s">
        <v>103</v>
      </c>
      <c r="F880" s="186">
        <v>46169.0</v>
      </c>
      <c r="G880" s="113" t="s">
        <v>1430</v>
      </c>
      <c r="H880" s="42" t="s">
        <v>1233</v>
      </c>
      <c r="I880" s="43" t="s">
        <v>4651</v>
      </c>
      <c r="J880" s="43">
        <v>2028.0</v>
      </c>
      <c r="K880" s="187" t="s">
        <v>4631</v>
      </c>
      <c r="L880" s="80"/>
      <c r="M880" s="43" t="s">
        <v>42</v>
      </c>
      <c r="N880" s="43"/>
      <c r="O880" s="80"/>
      <c r="P880" s="80"/>
      <c r="Q880" s="80"/>
      <c r="R880" s="80"/>
      <c r="S880" s="44" t="s">
        <v>1539</v>
      </c>
      <c r="T880" s="81"/>
      <c r="U880" s="81"/>
      <c r="V880" s="81"/>
      <c r="W880" s="81"/>
      <c r="X880" s="81"/>
      <c r="Y880" s="81"/>
      <c r="Z880" s="82"/>
      <c r="AA880" s="47" t="s">
        <v>4652</v>
      </c>
      <c r="AB880" s="48" t="s">
        <v>61</v>
      </c>
      <c r="AC880" s="68" t="s">
        <v>61</v>
      </c>
      <c r="AD880" s="69" t="s">
        <v>61</v>
      </c>
      <c r="AE880" s="69" t="s">
        <v>61</v>
      </c>
      <c r="AF880" s="68" t="s">
        <v>61</v>
      </c>
      <c r="AG880" s="68" t="s">
        <v>61</v>
      </c>
      <c r="AH880" s="68" t="s">
        <v>61</v>
      </c>
      <c r="AI880" s="70" t="s">
        <v>61</v>
      </c>
      <c r="AJ880" s="114" t="s">
        <v>61</v>
      </c>
      <c r="AK880" s="82"/>
    </row>
    <row r="881" ht="24.0" customHeight="1">
      <c r="A881" s="35"/>
      <c r="B881" s="189" t="s">
        <v>2969</v>
      </c>
      <c r="C881" s="37" t="str">
        <f>IFERROR(__xludf.DUMMYFUNCTION("""COMPUTED_VALUE"""),"Jackson Fleming (1) - '27 OF FL")</f>
        <v>Jackson Fleming (1) - '27 OF FL</v>
      </c>
      <c r="D881" s="89" t="s">
        <v>4653</v>
      </c>
      <c r="E881" s="51" t="s">
        <v>103</v>
      </c>
      <c r="F881" s="154">
        <v>46169.0</v>
      </c>
      <c r="G881" s="133" t="s">
        <v>1430</v>
      </c>
      <c r="H881" s="141" t="s">
        <v>432</v>
      </c>
      <c r="I881" s="57" t="s">
        <v>4654</v>
      </c>
      <c r="J881" s="55">
        <v>2027.0</v>
      </c>
      <c r="K881" s="55">
        <v>1.0</v>
      </c>
      <c r="L881" s="57"/>
      <c r="M881" s="55" t="s">
        <v>103</v>
      </c>
      <c r="N881" s="55" t="s">
        <v>2907</v>
      </c>
      <c r="O881" s="57"/>
      <c r="P881" s="57"/>
      <c r="Q881" s="57" t="s">
        <v>66</v>
      </c>
      <c r="R881" s="57" t="s">
        <v>4655</v>
      </c>
      <c r="S881" s="132" t="s">
        <v>1539</v>
      </c>
      <c r="T881" s="74"/>
      <c r="U881" s="74"/>
      <c r="V881" s="74"/>
      <c r="W881" s="74"/>
      <c r="X881" s="74"/>
      <c r="Y881" s="74"/>
      <c r="Z881" s="76"/>
      <c r="AA881" s="134" t="s">
        <v>4656</v>
      </c>
      <c r="AB881" s="62" t="s">
        <v>4657</v>
      </c>
      <c r="AC881" s="63" t="s">
        <v>4658</v>
      </c>
      <c r="AD881" s="64" t="s">
        <v>4659</v>
      </c>
      <c r="AE881" s="64" t="s">
        <v>4660</v>
      </c>
      <c r="AF881" s="63" t="s">
        <v>400</v>
      </c>
      <c r="AG881" s="63" t="s">
        <v>400</v>
      </c>
      <c r="AH881" s="63" t="s">
        <v>400</v>
      </c>
      <c r="AI881" s="65" t="s">
        <v>400</v>
      </c>
      <c r="AJ881" s="105" t="s">
        <v>61</v>
      </c>
      <c r="AK881" s="76"/>
    </row>
    <row r="882" ht="24.0" customHeight="1">
      <c r="A882" s="35"/>
      <c r="B882" s="189" t="s">
        <v>2969</v>
      </c>
      <c r="C882" s="37" t="str">
        <f>IFERROR(__xludf.DUMMYFUNCTION("""COMPUTED_VALUE"""),"Wyatt Gibson (3) - '27 OF FL")</f>
        <v>Wyatt Gibson (3) - '27 OF FL</v>
      </c>
      <c r="D882" s="89" t="s">
        <v>4661</v>
      </c>
      <c r="E882" s="39" t="s">
        <v>103</v>
      </c>
      <c r="F882" s="156">
        <v>46169.0</v>
      </c>
      <c r="G882" s="122" t="s">
        <v>1430</v>
      </c>
      <c r="H882" s="138" t="s">
        <v>1302</v>
      </c>
      <c r="I882" s="80" t="s">
        <v>4662</v>
      </c>
      <c r="J882" s="43">
        <v>2027.0</v>
      </c>
      <c r="K882" s="43">
        <v>3.0</v>
      </c>
      <c r="L882" s="80"/>
      <c r="M882" s="43" t="s">
        <v>103</v>
      </c>
      <c r="N882" s="43"/>
      <c r="O882" s="80"/>
      <c r="P882" s="80"/>
      <c r="Q882" s="80" t="s">
        <v>66</v>
      </c>
      <c r="R882" s="80" t="s">
        <v>4663</v>
      </c>
      <c r="S882" s="117" t="s">
        <v>3038</v>
      </c>
      <c r="T882" s="81"/>
      <c r="U882" s="81"/>
      <c r="V882" s="81"/>
      <c r="W882" s="81"/>
      <c r="X882" s="81"/>
      <c r="Y882" s="81"/>
      <c r="Z882" s="82"/>
      <c r="AA882" s="99"/>
      <c r="AB882" s="48" t="s">
        <v>61</v>
      </c>
      <c r="AC882" s="68" t="s">
        <v>61</v>
      </c>
      <c r="AD882" s="69" t="s">
        <v>61</v>
      </c>
      <c r="AE882" s="69" t="s">
        <v>61</v>
      </c>
      <c r="AF882" s="68" t="s">
        <v>61</v>
      </c>
      <c r="AG882" s="68" t="s">
        <v>61</v>
      </c>
      <c r="AH882" s="68" t="s">
        <v>61</v>
      </c>
      <c r="AI882" s="70" t="s">
        <v>61</v>
      </c>
      <c r="AJ882" s="114" t="s">
        <v>61</v>
      </c>
      <c r="AK882" s="82"/>
    </row>
    <row r="883" ht="24.0" customHeight="1">
      <c r="A883" s="35"/>
      <c r="B883" s="189" t="s">
        <v>2969</v>
      </c>
      <c r="C883" s="37" t="str">
        <f>IFERROR(__xludf.DUMMYFUNCTION("""COMPUTED_VALUE"""),"Sam Heintz (4) - '27 RHP FL")</f>
        <v>Sam Heintz (4) - '27 RHP FL</v>
      </c>
      <c r="D883" s="89" t="s">
        <v>4664</v>
      </c>
      <c r="E883" s="51" t="s">
        <v>63</v>
      </c>
      <c r="F883" s="154">
        <v>46169.0</v>
      </c>
      <c r="G883" s="133" t="s">
        <v>1430</v>
      </c>
      <c r="H883" s="141" t="s">
        <v>172</v>
      </c>
      <c r="I883" s="57" t="s">
        <v>4665</v>
      </c>
      <c r="J883" s="192" t="s">
        <v>4637</v>
      </c>
      <c r="K883" s="193" t="s">
        <v>4631</v>
      </c>
      <c r="L883" s="57"/>
      <c r="M883" s="55" t="s">
        <v>63</v>
      </c>
      <c r="N883" s="55" t="s">
        <v>51</v>
      </c>
      <c r="O883" s="57"/>
      <c r="P883" s="57"/>
      <c r="Q883" s="57" t="s">
        <v>66</v>
      </c>
      <c r="R883" s="57" t="s">
        <v>4666</v>
      </c>
      <c r="S883" s="132" t="s">
        <v>3038</v>
      </c>
      <c r="T883" s="74"/>
      <c r="U883" s="74"/>
      <c r="V883" s="74"/>
      <c r="W883" s="74"/>
      <c r="X883" s="74"/>
      <c r="Y883" s="74"/>
      <c r="Z883" s="76"/>
      <c r="AA883" s="134"/>
      <c r="AB883" s="62" t="s">
        <v>61</v>
      </c>
      <c r="AC883" s="63" t="s">
        <v>61</v>
      </c>
      <c r="AD883" s="64" t="s">
        <v>61</v>
      </c>
      <c r="AE883" s="64" t="s">
        <v>61</v>
      </c>
      <c r="AF883" s="63" t="s">
        <v>61</v>
      </c>
      <c r="AG883" s="63" t="s">
        <v>61</v>
      </c>
      <c r="AH883" s="63" t="s">
        <v>61</v>
      </c>
      <c r="AI883" s="65" t="s">
        <v>61</v>
      </c>
      <c r="AJ883" s="105" t="s">
        <v>61</v>
      </c>
      <c r="AK883" s="76"/>
    </row>
    <row r="884" ht="24.0" customHeight="1">
      <c r="A884" s="35"/>
      <c r="B884" s="189" t="s">
        <v>2969</v>
      </c>
      <c r="C884" s="37" t="str">
        <f>IFERROR(__xludf.DUMMYFUNCTION("""COMPUTED_VALUE"""),"Maxwell Kaiser (4) - '28 C ")</f>
        <v>Maxwell Kaiser (4) - '28 C </v>
      </c>
      <c r="D884" s="89" t="s">
        <v>4667</v>
      </c>
      <c r="E884" s="39" t="s">
        <v>109</v>
      </c>
      <c r="F884" s="186">
        <v>46169.0</v>
      </c>
      <c r="G884" s="113" t="s">
        <v>1430</v>
      </c>
      <c r="H884" s="42" t="s">
        <v>4668</v>
      </c>
      <c r="I884" s="43" t="s">
        <v>4669</v>
      </c>
      <c r="J884" s="43">
        <v>2028.0</v>
      </c>
      <c r="K884" s="187" t="s">
        <v>4631</v>
      </c>
      <c r="L884" s="80"/>
      <c r="M884" s="43" t="s">
        <v>109</v>
      </c>
      <c r="N884" s="43"/>
      <c r="O884" s="80"/>
      <c r="P884" s="80"/>
      <c r="Q884" s="80"/>
      <c r="R884" s="80"/>
      <c r="S884" s="44" t="s">
        <v>1539</v>
      </c>
      <c r="T884" s="81"/>
      <c r="U884" s="81"/>
      <c r="V884" s="81"/>
      <c r="W884" s="81"/>
      <c r="X884" s="81"/>
      <c r="Y884" s="81"/>
      <c r="Z884" s="82"/>
      <c r="AA884" s="47" t="s">
        <v>4670</v>
      </c>
      <c r="AB884" s="48" t="s">
        <v>61</v>
      </c>
      <c r="AC884" s="68" t="s">
        <v>61</v>
      </c>
      <c r="AD884" s="69" t="s">
        <v>61</v>
      </c>
      <c r="AE884" s="69" t="s">
        <v>61</v>
      </c>
      <c r="AF884" s="68" t="s">
        <v>61</v>
      </c>
      <c r="AG884" s="68" t="s">
        <v>61</v>
      </c>
      <c r="AH884" s="68" t="s">
        <v>61</v>
      </c>
      <c r="AI884" s="70" t="s">
        <v>61</v>
      </c>
      <c r="AJ884" s="114" t="s">
        <v>61</v>
      </c>
      <c r="AK884" s="82"/>
    </row>
    <row r="885" ht="24.0" customHeight="1">
      <c r="A885" s="35"/>
      <c r="B885" s="189" t="s">
        <v>2969</v>
      </c>
      <c r="C885" s="37" t="str">
        <f>IFERROR(__xludf.DUMMYFUNCTION("""COMPUTED_VALUE"""),"Cade Kuhlmeier (4) - '28 OF ")</f>
        <v>Cade Kuhlmeier (4) - '28 OF </v>
      </c>
      <c r="D885" s="89" t="s">
        <v>4671</v>
      </c>
      <c r="E885" s="51" t="s">
        <v>103</v>
      </c>
      <c r="F885" s="154">
        <v>46169.0</v>
      </c>
      <c r="G885" s="133" t="s">
        <v>1430</v>
      </c>
      <c r="H885" s="141" t="s">
        <v>1328</v>
      </c>
      <c r="I885" s="57" t="s">
        <v>4672</v>
      </c>
      <c r="J885" s="192" t="s">
        <v>4630</v>
      </c>
      <c r="K885" s="193" t="s">
        <v>4631</v>
      </c>
      <c r="L885" s="57"/>
      <c r="M885" s="55" t="s">
        <v>103</v>
      </c>
      <c r="N885" s="55"/>
      <c r="O885" s="57"/>
      <c r="P885" s="57"/>
      <c r="Q885" s="57"/>
      <c r="R885" s="57"/>
      <c r="S885" s="132" t="s">
        <v>1529</v>
      </c>
      <c r="T885" s="74"/>
      <c r="U885" s="74"/>
      <c r="V885" s="74"/>
      <c r="W885" s="74"/>
      <c r="X885" s="74"/>
      <c r="Y885" s="74"/>
      <c r="Z885" s="76"/>
      <c r="AA885" s="134"/>
      <c r="AB885" s="62" t="s">
        <v>61</v>
      </c>
      <c r="AC885" s="63" t="s">
        <v>61</v>
      </c>
      <c r="AD885" s="64" t="s">
        <v>61</v>
      </c>
      <c r="AE885" s="64" t="s">
        <v>61</v>
      </c>
      <c r="AF885" s="63" t="s">
        <v>61</v>
      </c>
      <c r="AG885" s="63" t="s">
        <v>61</v>
      </c>
      <c r="AH885" s="63" t="s">
        <v>61</v>
      </c>
      <c r="AI885" s="65" t="s">
        <v>61</v>
      </c>
      <c r="AJ885" s="105" t="s">
        <v>61</v>
      </c>
      <c r="AK885" s="76"/>
    </row>
    <row r="886" ht="24.0" customHeight="1">
      <c r="A886" s="35"/>
      <c r="B886" s="189" t="s">
        <v>2969</v>
      </c>
      <c r="C886" s="37" t="str">
        <f>IFERROR(__xludf.DUMMYFUNCTION("""COMPUTED_VALUE"""),"Nolan Parmer (4) - '27 RHP ")</f>
        <v>Nolan Parmer (4) - '27 RHP </v>
      </c>
      <c r="D886" s="89" t="s">
        <v>4673</v>
      </c>
      <c r="E886" s="39" t="s">
        <v>63</v>
      </c>
      <c r="F886" s="156">
        <v>46169.0</v>
      </c>
      <c r="G886" s="122" t="s">
        <v>1430</v>
      </c>
      <c r="H886" s="138" t="s">
        <v>2587</v>
      </c>
      <c r="I886" s="43" t="s">
        <v>4674</v>
      </c>
      <c r="J886" s="190" t="s">
        <v>4637</v>
      </c>
      <c r="K886" s="191" t="s">
        <v>4631</v>
      </c>
      <c r="L886" s="80"/>
      <c r="M886" s="43" t="s">
        <v>63</v>
      </c>
      <c r="N886" s="43"/>
      <c r="O886" s="80"/>
      <c r="P886" s="80"/>
      <c r="Q886" s="80"/>
      <c r="R886" s="80"/>
      <c r="S886" s="117" t="s">
        <v>1125</v>
      </c>
      <c r="T886" s="81"/>
      <c r="U886" s="81"/>
      <c r="V886" s="81"/>
      <c r="W886" s="81"/>
      <c r="X886" s="81"/>
      <c r="Y886" s="81"/>
      <c r="Z886" s="82"/>
      <c r="AA886" s="99" t="s">
        <v>4675</v>
      </c>
      <c r="AB886" s="48" t="s">
        <v>61</v>
      </c>
      <c r="AC886" s="68" t="s">
        <v>61</v>
      </c>
      <c r="AD886" s="69" t="s">
        <v>61</v>
      </c>
      <c r="AE886" s="69" t="s">
        <v>61</v>
      </c>
      <c r="AF886" s="68" t="s">
        <v>61</v>
      </c>
      <c r="AG886" s="68" t="s">
        <v>61</v>
      </c>
      <c r="AH886" s="68" t="s">
        <v>61</v>
      </c>
      <c r="AI886" s="70" t="s">
        <v>61</v>
      </c>
      <c r="AJ886" s="114" t="s">
        <v>61</v>
      </c>
      <c r="AK886" s="82"/>
    </row>
    <row r="887" ht="24.0" customHeight="1">
      <c r="A887" s="35"/>
      <c r="B887" s="189" t="s">
        <v>2969</v>
      </c>
      <c r="C887" s="37" t="str">
        <f>IFERROR(__xludf.DUMMYFUNCTION("""COMPUTED_VALUE"""),"Xavier Perez Jr (4) - '27 MINF ")</f>
        <v>Xavier Perez Jr (4) - '27 MINF </v>
      </c>
      <c r="D887" s="89" t="s">
        <v>4676</v>
      </c>
      <c r="E887" s="51" t="s">
        <v>48</v>
      </c>
      <c r="F887" s="154">
        <v>46169.0</v>
      </c>
      <c r="G887" s="133" t="s">
        <v>1430</v>
      </c>
      <c r="H887" s="141" t="s">
        <v>1311</v>
      </c>
      <c r="I887" s="57" t="s">
        <v>4677</v>
      </c>
      <c r="J887" s="192" t="s">
        <v>4637</v>
      </c>
      <c r="K887" s="193" t="s">
        <v>4631</v>
      </c>
      <c r="L887" s="57"/>
      <c r="M887" s="55" t="s">
        <v>51</v>
      </c>
      <c r="N887" s="55"/>
      <c r="O887" s="57"/>
      <c r="P887" s="57"/>
      <c r="Q887" s="57"/>
      <c r="R887" s="57"/>
      <c r="S887" s="132" t="s">
        <v>1529</v>
      </c>
      <c r="T887" s="74"/>
      <c r="U887" s="74"/>
      <c r="V887" s="74"/>
      <c r="W887" s="74"/>
      <c r="X887" s="74"/>
      <c r="Y887" s="74"/>
      <c r="Z887" s="76"/>
      <c r="AA887" s="134"/>
      <c r="AB887" s="62" t="s">
        <v>61</v>
      </c>
      <c r="AC887" s="63" t="s">
        <v>61</v>
      </c>
      <c r="AD887" s="64" t="s">
        <v>61</v>
      </c>
      <c r="AE887" s="64" t="s">
        <v>61</v>
      </c>
      <c r="AF887" s="63" t="s">
        <v>61</v>
      </c>
      <c r="AG887" s="63" t="s">
        <v>61</v>
      </c>
      <c r="AH887" s="63" t="s">
        <v>61</v>
      </c>
      <c r="AI887" s="65" t="s">
        <v>61</v>
      </c>
      <c r="AJ887" s="105" t="s">
        <v>61</v>
      </c>
      <c r="AK887" s="76"/>
    </row>
    <row r="888" ht="24.0" customHeight="1">
      <c r="A888" s="35"/>
      <c r="B888" s="189" t="s">
        <v>2969</v>
      </c>
      <c r="C888" s="37" t="str">
        <f>IFERROR(__xludf.DUMMYFUNCTION("""COMPUTED_VALUE"""),"Hayden Ramos (4) - '28 MINF ")</f>
        <v>Hayden Ramos (4) - '28 MINF </v>
      </c>
      <c r="D888" s="89" t="s">
        <v>4678</v>
      </c>
      <c r="E888" s="39" t="s">
        <v>48</v>
      </c>
      <c r="F888" s="186">
        <v>46169.0</v>
      </c>
      <c r="G888" s="113" t="s">
        <v>1430</v>
      </c>
      <c r="H888" s="42" t="s">
        <v>805</v>
      </c>
      <c r="I888" s="43" t="s">
        <v>1549</v>
      </c>
      <c r="J888" s="43">
        <v>2028.0</v>
      </c>
      <c r="K888" s="187" t="s">
        <v>4631</v>
      </c>
      <c r="L888" s="80"/>
      <c r="M888" s="43" t="s">
        <v>51</v>
      </c>
      <c r="N888" s="43"/>
      <c r="O888" s="80"/>
      <c r="P888" s="80"/>
      <c r="Q888" s="80"/>
      <c r="R888" s="80"/>
      <c r="S888" s="44" t="s">
        <v>1539</v>
      </c>
      <c r="T888" s="81"/>
      <c r="U888" s="81"/>
      <c r="V888" s="81"/>
      <c r="W888" s="81"/>
      <c r="X888" s="81"/>
      <c r="Y888" s="81"/>
      <c r="Z888" s="82"/>
      <c r="AA888" s="47" t="s">
        <v>4642</v>
      </c>
      <c r="AB888" s="48" t="s">
        <v>61</v>
      </c>
      <c r="AC888" s="68" t="s">
        <v>61</v>
      </c>
      <c r="AD888" s="69" t="s">
        <v>61</v>
      </c>
      <c r="AE888" s="69" t="s">
        <v>61</v>
      </c>
      <c r="AF888" s="68" t="s">
        <v>61</v>
      </c>
      <c r="AG888" s="68" t="s">
        <v>61</v>
      </c>
      <c r="AH888" s="68" t="s">
        <v>61</v>
      </c>
      <c r="AI888" s="70" t="s">
        <v>61</v>
      </c>
      <c r="AJ888" s="114" t="s">
        <v>61</v>
      </c>
      <c r="AK888" s="82"/>
    </row>
    <row r="889" ht="24.0" customHeight="1">
      <c r="A889" s="35"/>
      <c r="B889" s="189" t="s">
        <v>2969</v>
      </c>
      <c r="C889" s="37" t="str">
        <f>IFERROR(__xludf.DUMMYFUNCTION("""COMPUTED_VALUE"""),"Trey Slavik (2) - '27 MINF ")</f>
        <v>Trey Slavik (2) - '27 MINF </v>
      </c>
      <c r="D889" s="89" t="s">
        <v>4679</v>
      </c>
      <c r="E889" s="51" t="s">
        <v>48</v>
      </c>
      <c r="F889" s="194">
        <v>46169.0</v>
      </c>
      <c r="G889" s="116" t="s">
        <v>1430</v>
      </c>
      <c r="H889" s="54" t="s">
        <v>351</v>
      </c>
      <c r="I889" s="55" t="s">
        <v>4680</v>
      </c>
      <c r="J889" s="55">
        <v>2027.0</v>
      </c>
      <c r="K889" s="55">
        <v>2.0</v>
      </c>
      <c r="L889" s="57"/>
      <c r="M889" s="55" t="s">
        <v>51</v>
      </c>
      <c r="N889" s="55"/>
      <c r="O889" s="57"/>
      <c r="P889" s="57"/>
      <c r="Q889" s="57"/>
      <c r="R889" s="57"/>
      <c r="S889" s="58" t="s">
        <v>1539</v>
      </c>
      <c r="T889" s="74"/>
      <c r="U889" s="74"/>
      <c r="V889" s="74"/>
      <c r="W889" s="74"/>
      <c r="X889" s="74"/>
      <c r="Y889" s="74"/>
      <c r="Z889" s="76"/>
      <c r="AA889" s="134"/>
      <c r="AB889" s="62" t="s">
        <v>61</v>
      </c>
      <c r="AC889" s="63" t="s">
        <v>61</v>
      </c>
      <c r="AD889" s="64" t="s">
        <v>61</v>
      </c>
      <c r="AE889" s="64" t="s">
        <v>61</v>
      </c>
      <c r="AF889" s="63" t="s">
        <v>61</v>
      </c>
      <c r="AG889" s="63" t="s">
        <v>61</v>
      </c>
      <c r="AH889" s="63" t="s">
        <v>61</v>
      </c>
      <c r="AI889" s="65" t="s">
        <v>61</v>
      </c>
      <c r="AJ889" s="105" t="s">
        <v>61</v>
      </c>
      <c r="AK889" s="76"/>
    </row>
    <row r="890" ht="24.0" customHeight="1">
      <c r="A890" s="35"/>
      <c r="B890" s="189" t="s">
        <v>2969</v>
      </c>
      <c r="C890" s="37" t="str">
        <f>IFERROR(__xludf.DUMMYFUNCTION("""COMPUTED_VALUE"""),"Easton Stegbauer (4) - '27 C FL")</f>
        <v>Easton Stegbauer (4) - '27 C FL</v>
      </c>
      <c r="D890" s="89" t="s">
        <v>4681</v>
      </c>
      <c r="E890" s="39" t="s">
        <v>109</v>
      </c>
      <c r="F890" s="156">
        <v>46169.0</v>
      </c>
      <c r="G890" s="122" t="s">
        <v>1430</v>
      </c>
      <c r="H890" s="138" t="s">
        <v>729</v>
      </c>
      <c r="I890" s="80" t="s">
        <v>4682</v>
      </c>
      <c r="J890" s="190" t="s">
        <v>4637</v>
      </c>
      <c r="K890" s="191" t="s">
        <v>4631</v>
      </c>
      <c r="L890" s="80"/>
      <c r="M890" s="43" t="s">
        <v>109</v>
      </c>
      <c r="N890" s="43"/>
      <c r="O890" s="80"/>
      <c r="P890" s="80"/>
      <c r="Q890" s="80" t="s">
        <v>66</v>
      </c>
      <c r="R890" s="80"/>
      <c r="S890" s="117" t="s">
        <v>3038</v>
      </c>
      <c r="T890" s="81"/>
      <c r="U890" s="81"/>
      <c r="V890" s="81"/>
      <c r="W890" s="81"/>
      <c r="X890" s="81"/>
      <c r="Y890" s="81"/>
      <c r="Z890" s="82"/>
      <c r="AA890" s="99"/>
      <c r="AB890" s="48" t="s">
        <v>61</v>
      </c>
      <c r="AC890" s="68" t="s">
        <v>61</v>
      </c>
      <c r="AD890" s="69" t="s">
        <v>61</v>
      </c>
      <c r="AE890" s="69" t="s">
        <v>61</v>
      </c>
      <c r="AF890" s="68" t="s">
        <v>61</v>
      </c>
      <c r="AG890" s="68" t="s">
        <v>61</v>
      </c>
      <c r="AH890" s="68" t="s">
        <v>61</v>
      </c>
      <c r="AI890" s="70" t="s">
        <v>61</v>
      </c>
      <c r="AJ890" s="114" t="s">
        <v>61</v>
      </c>
      <c r="AK890" s="82"/>
    </row>
    <row r="891" ht="24.0" customHeight="1">
      <c r="A891" s="35"/>
      <c r="B891" s="189" t="s">
        <v>2969</v>
      </c>
      <c r="C891" s="37" t="str">
        <f>IFERROR(__xludf.DUMMYFUNCTION("""COMPUTED_VALUE"""),"Gus Steve (4) - '28 C ")</f>
        <v>Gus Steve (4) - '28 C </v>
      </c>
      <c r="D891" s="89" t="s">
        <v>4683</v>
      </c>
      <c r="E891" s="51" t="s">
        <v>109</v>
      </c>
      <c r="F891" s="154">
        <v>46170.0</v>
      </c>
      <c r="G891" s="133" t="s">
        <v>1430</v>
      </c>
      <c r="H891" s="141" t="s">
        <v>4575</v>
      </c>
      <c r="I891" s="57" t="s">
        <v>4684</v>
      </c>
      <c r="J891" s="192" t="s">
        <v>4630</v>
      </c>
      <c r="K891" s="193" t="s">
        <v>4631</v>
      </c>
      <c r="L891" s="57"/>
      <c r="M891" s="55" t="s">
        <v>109</v>
      </c>
      <c r="N891" s="55"/>
      <c r="O891" s="57"/>
      <c r="P891" s="57"/>
      <c r="Q891" s="57"/>
      <c r="R891" s="57" t="s">
        <v>4685</v>
      </c>
      <c r="S891" s="132" t="s">
        <v>1753</v>
      </c>
      <c r="T891" s="74"/>
      <c r="U891" s="74"/>
      <c r="V891" s="74"/>
      <c r="W891" s="74"/>
      <c r="X891" s="74"/>
      <c r="Y891" s="74"/>
      <c r="Z891" s="76"/>
      <c r="AA891" s="134"/>
      <c r="AB891" s="62" t="s">
        <v>61</v>
      </c>
      <c r="AC891" s="63" t="s">
        <v>61</v>
      </c>
      <c r="AD891" s="64" t="s">
        <v>61</v>
      </c>
      <c r="AE891" s="64" t="s">
        <v>61</v>
      </c>
      <c r="AF891" s="63" t="s">
        <v>61</v>
      </c>
      <c r="AG891" s="63" t="s">
        <v>61</v>
      </c>
      <c r="AH891" s="63" t="s">
        <v>61</v>
      </c>
      <c r="AI891" s="65" t="s">
        <v>61</v>
      </c>
      <c r="AJ891" s="105" t="s">
        <v>61</v>
      </c>
      <c r="AK891" s="76"/>
    </row>
    <row r="892" ht="24.0" customHeight="1">
      <c r="A892" s="35"/>
      <c r="B892" s="189" t="s">
        <v>2969</v>
      </c>
      <c r="C892" s="37" t="str">
        <f>IFERROR(__xludf.DUMMYFUNCTION("""COMPUTED_VALUE"""),"Kenny Sullivan (4) - '27 RHP GA")</f>
        <v>Kenny Sullivan (4) - '27 RHP GA</v>
      </c>
      <c r="D892" s="89" t="s">
        <v>4686</v>
      </c>
      <c r="E892" s="39" t="s">
        <v>63</v>
      </c>
      <c r="F892" s="156">
        <v>46170.0</v>
      </c>
      <c r="G892" s="122" t="s">
        <v>1430</v>
      </c>
      <c r="H892" s="138" t="s">
        <v>4687</v>
      </c>
      <c r="I892" s="80" t="s">
        <v>1786</v>
      </c>
      <c r="J892" s="190" t="s">
        <v>4637</v>
      </c>
      <c r="K892" s="191" t="s">
        <v>4631</v>
      </c>
      <c r="L892" s="80"/>
      <c r="M892" s="43" t="s">
        <v>63</v>
      </c>
      <c r="N892" s="43"/>
      <c r="O892" s="80"/>
      <c r="P892" s="80"/>
      <c r="Q892" s="80" t="s">
        <v>43</v>
      </c>
      <c r="R892" s="80" t="s">
        <v>4688</v>
      </c>
      <c r="S892" s="117" t="s">
        <v>1753</v>
      </c>
      <c r="T892" s="81"/>
      <c r="U892" s="81"/>
      <c r="V892" s="81"/>
      <c r="W892" s="81"/>
      <c r="X892" s="81"/>
      <c r="Y892" s="81"/>
      <c r="Z892" s="82"/>
      <c r="AA892" s="99" t="s">
        <v>4689</v>
      </c>
      <c r="AB892" s="48" t="s">
        <v>61</v>
      </c>
      <c r="AC892" s="68" t="s">
        <v>61</v>
      </c>
      <c r="AD892" s="69" t="s">
        <v>61</v>
      </c>
      <c r="AE892" s="69" t="s">
        <v>61</v>
      </c>
      <c r="AF892" s="68" t="s">
        <v>61</v>
      </c>
      <c r="AG892" s="68" t="s">
        <v>61</v>
      </c>
      <c r="AH892" s="68" t="s">
        <v>61</v>
      </c>
      <c r="AI892" s="70" t="s">
        <v>61</v>
      </c>
      <c r="AJ892" s="114" t="s">
        <v>61</v>
      </c>
      <c r="AK892" s="82"/>
    </row>
    <row r="893" ht="24.0" customHeight="1">
      <c r="A893" s="35"/>
      <c r="B893" s="189" t="s">
        <v>2969</v>
      </c>
      <c r="C893" s="37" t="str">
        <f>IFERROR(__xludf.DUMMYFUNCTION("""COMPUTED_VALUE"""),"Anthony Tenuto (3) - '27 RHP ")</f>
        <v>Anthony Tenuto (3) - '27 RHP </v>
      </c>
      <c r="D893" s="89" t="s">
        <v>4690</v>
      </c>
      <c r="E893" s="51" t="s">
        <v>63</v>
      </c>
      <c r="F893" s="154">
        <v>46169.0</v>
      </c>
      <c r="G893" s="133" t="s">
        <v>1430</v>
      </c>
      <c r="H893" s="141" t="s">
        <v>467</v>
      </c>
      <c r="I893" s="57" t="s">
        <v>4691</v>
      </c>
      <c r="J893" s="55">
        <v>2027.0</v>
      </c>
      <c r="K893" s="55">
        <v>3.0</v>
      </c>
      <c r="L893" s="57"/>
      <c r="M893" s="55" t="s">
        <v>63</v>
      </c>
      <c r="N893" s="55" t="s">
        <v>51</v>
      </c>
      <c r="O893" s="57"/>
      <c r="P893" s="57"/>
      <c r="Q893" s="57"/>
      <c r="R893" s="57" t="s">
        <v>4692</v>
      </c>
      <c r="S893" s="132" t="s">
        <v>3038</v>
      </c>
      <c r="T893" s="74"/>
      <c r="U893" s="74"/>
      <c r="V893" s="74"/>
      <c r="W893" s="74"/>
      <c r="X893" s="74"/>
      <c r="Y893" s="74"/>
      <c r="Z893" s="76"/>
      <c r="AA893" s="134"/>
      <c r="AB893" s="62" t="s">
        <v>61</v>
      </c>
      <c r="AC893" s="63" t="s">
        <v>61</v>
      </c>
      <c r="AD893" s="64" t="s">
        <v>61</v>
      </c>
      <c r="AE893" s="64" t="s">
        <v>61</v>
      </c>
      <c r="AF893" s="63" t="s">
        <v>61</v>
      </c>
      <c r="AG893" s="63" t="s">
        <v>61</v>
      </c>
      <c r="AH893" s="63" t="s">
        <v>61</v>
      </c>
      <c r="AI893" s="65" t="s">
        <v>61</v>
      </c>
      <c r="AJ893" s="105" t="s">
        <v>61</v>
      </c>
      <c r="AK893" s="76"/>
    </row>
    <row r="894" ht="24.0" customHeight="1">
      <c r="A894" s="35"/>
      <c r="B894" s="189" t="s">
        <v>2969</v>
      </c>
      <c r="C894" s="37" t="str">
        <f>IFERROR(__xludf.DUMMYFUNCTION("""COMPUTED_VALUE"""),"Jerrett Vaughan (4) - '28 C ")</f>
        <v>Jerrett Vaughan (4) - '28 C </v>
      </c>
      <c r="D894" s="89" t="s">
        <v>4693</v>
      </c>
      <c r="E894" s="39" t="s">
        <v>109</v>
      </c>
      <c r="F894" s="186">
        <v>46169.0</v>
      </c>
      <c r="G894" s="113" t="s">
        <v>1430</v>
      </c>
      <c r="H894" s="42" t="s">
        <v>4694</v>
      </c>
      <c r="I894" s="43" t="s">
        <v>2722</v>
      </c>
      <c r="J894" s="43">
        <v>2028.0</v>
      </c>
      <c r="K894" s="187" t="s">
        <v>4631</v>
      </c>
      <c r="L894" s="80"/>
      <c r="M894" s="43" t="s">
        <v>109</v>
      </c>
      <c r="N894" s="43"/>
      <c r="O894" s="80"/>
      <c r="P894" s="80"/>
      <c r="Q894" s="80"/>
      <c r="R894" s="80"/>
      <c r="S894" s="44" t="s">
        <v>1539</v>
      </c>
      <c r="T894" s="81"/>
      <c r="U894" s="81"/>
      <c r="V894" s="81"/>
      <c r="W894" s="81"/>
      <c r="X894" s="81"/>
      <c r="Y894" s="81"/>
      <c r="Z894" s="82"/>
      <c r="AA894" s="47" t="s">
        <v>4642</v>
      </c>
      <c r="AB894" s="48" t="s">
        <v>61</v>
      </c>
      <c r="AC894" s="68" t="s">
        <v>61</v>
      </c>
      <c r="AD894" s="69" t="s">
        <v>61</v>
      </c>
      <c r="AE894" s="69" t="s">
        <v>61</v>
      </c>
      <c r="AF894" s="68" t="s">
        <v>61</v>
      </c>
      <c r="AG894" s="68" t="s">
        <v>61</v>
      </c>
      <c r="AH894" s="68" t="s">
        <v>61</v>
      </c>
      <c r="AI894" s="70" t="s">
        <v>61</v>
      </c>
      <c r="AJ894" s="114" t="s">
        <v>61</v>
      </c>
      <c r="AK894" s="82"/>
    </row>
    <row r="895" ht="24.0" customHeight="1">
      <c r="A895" s="35"/>
      <c r="B895" s="189" t="s">
        <v>2969</v>
      </c>
      <c r="C895" s="37" t="str">
        <f>IFERROR(__xludf.DUMMYFUNCTION("""COMPUTED_VALUE"""),"Colin Watson (3) - '27 OF AL")</f>
        <v>Colin Watson (3) - '27 OF AL</v>
      </c>
      <c r="D895" s="89" t="s">
        <v>4695</v>
      </c>
      <c r="E895" s="51" t="s">
        <v>103</v>
      </c>
      <c r="F895" s="154">
        <v>46169.0</v>
      </c>
      <c r="G895" s="133" t="s">
        <v>1430</v>
      </c>
      <c r="H895" s="141" t="s">
        <v>673</v>
      </c>
      <c r="I895" s="57" t="s">
        <v>1329</v>
      </c>
      <c r="J895" s="55">
        <v>2027.0</v>
      </c>
      <c r="K895" s="55">
        <v>3.0</v>
      </c>
      <c r="L895" s="57"/>
      <c r="M895" s="55" t="s">
        <v>103</v>
      </c>
      <c r="N895" s="55"/>
      <c r="O895" s="57"/>
      <c r="P895" s="57"/>
      <c r="Q895" s="57" t="s">
        <v>731</v>
      </c>
      <c r="R895" s="57" t="s">
        <v>4696</v>
      </c>
      <c r="S895" s="132" t="s">
        <v>3038</v>
      </c>
      <c r="T895" s="74"/>
      <c r="U895" s="74"/>
      <c r="V895" s="74"/>
      <c r="W895" s="74"/>
      <c r="X895" s="74"/>
      <c r="Y895" s="74"/>
      <c r="Z895" s="76"/>
      <c r="AA895" s="134"/>
      <c r="AB895" s="62" t="s">
        <v>61</v>
      </c>
      <c r="AC895" s="63" t="s">
        <v>61</v>
      </c>
      <c r="AD895" s="64" t="s">
        <v>61</v>
      </c>
      <c r="AE895" s="64" t="s">
        <v>61</v>
      </c>
      <c r="AF895" s="63" t="s">
        <v>61</v>
      </c>
      <c r="AG895" s="63" t="s">
        <v>61</v>
      </c>
      <c r="AH895" s="63" t="s">
        <v>61</v>
      </c>
      <c r="AI895" s="65" t="s">
        <v>61</v>
      </c>
      <c r="AJ895" s="105" t="s">
        <v>61</v>
      </c>
      <c r="AK895" s="76"/>
    </row>
    <row r="896" ht="24.0" customHeight="1">
      <c r="A896" s="35"/>
      <c r="B896" s="36"/>
      <c r="C896" s="37" t="str">
        <f>IFERROR(__xludf.DUMMYFUNCTION("""COMPUTED_VALUE"""),"Madden Williams (4) - '27 RHP ")</f>
        <v>Madden Williams (4) - '27 RHP </v>
      </c>
      <c r="D896" s="89" t="s">
        <v>4697</v>
      </c>
      <c r="E896" s="39" t="s">
        <v>63</v>
      </c>
      <c r="F896" s="156">
        <v>46169.0</v>
      </c>
      <c r="G896" s="122" t="s">
        <v>1430</v>
      </c>
      <c r="H896" s="138" t="s">
        <v>4199</v>
      </c>
      <c r="I896" s="80" t="s">
        <v>1001</v>
      </c>
      <c r="J896" s="190" t="s">
        <v>4637</v>
      </c>
      <c r="K896" s="191" t="s">
        <v>4631</v>
      </c>
      <c r="L896" s="80"/>
      <c r="M896" s="43" t="s">
        <v>63</v>
      </c>
      <c r="N896" s="43"/>
      <c r="O896" s="80"/>
      <c r="P896" s="80"/>
      <c r="Q896" s="80"/>
      <c r="R896" s="80"/>
      <c r="S896" s="117" t="s">
        <v>1418</v>
      </c>
      <c r="T896" s="81"/>
      <c r="U896" s="81"/>
      <c r="V896" s="81"/>
      <c r="W896" s="81"/>
      <c r="X896" s="81"/>
      <c r="Y896" s="81"/>
      <c r="Z896" s="82"/>
      <c r="AA896" s="99" t="s">
        <v>4698</v>
      </c>
      <c r="AB896" s="48" t="s">
        <v>61</v>
      </c>
      <c r="AC896" s="68" t="s">
        <v>61</v>
      </c>
      <c r="AD896" s="69" t="s">
        <v>61</v>
      </c>
      <c r="AE896" s="69" t="s">
        <v>61</v>
      </c>
      <c r="AF896" s="68" t="s">
        <v>61</v>
      </c>
      <c r="AG896" s="68" t="s">
        <v>61</v>
      </c>
      <c r="AH896" s="68" t="s">
        <v>61</v>
      </c>
      <c r="AI896" s="70" t="s">
        <v>61</v>
      </c>
      <c r="AJ896" s="114" t="s">
        <v>61</v>
      </c>
      <c r="AK896" s="82"/>
    </row>
    <row r="897" ht="24.0" customHeight="1">
      <c r="A897" s="35"/>
      <c r="B897" s="36">
        <v>1.0</v>
      </c>
      <c r="C897" s="37" t="str">
        <f>IFERROR(__xludf.DUMMYFUNCTION("""COMPUTED_VALUE"""),"Jaxon Alcock (XX) - '27 SS OK")</f>
        <v>Jaxon Alcock (XX) - '27 SS OK</v>
      </c>
      <c r="D897" s="38" t="s">
        <v>4699</v>
      </c>
      <c r="E897" s="51" t="s">
        <v>48</v>
      </c>
      <c r="F897" s="119">
        <v>45855.0</v>
      </c>
      <c r="G897" s="116" t="s">
        <v>1430</v>
      </c>
      <c r="H897" s="54" t="s">
        <v>290</v>
      </c>
      <c r="I897" s="55" t="s">
        <v>4700</v>
      </c>
      <c r="J897" s="55">
        <v>2027.0</v>
      </c>
      <c r="K897" s="55" t="s">
        <v>410</v>
      </c>
      <c r="L897" s="55" t="s">
        <v>4701</v>
      </c>
      <c r="M897" s="55" t="s">
        <v>1398</v>
      </c>
      <c r="N897" s="132"/>
      <c r="O897" s="55" t="s">
        <v>1550</v>
      </c>
      <c r="P897" s="55"/>
      <c r="Q897" s="55" t="s">
        <v>698</v>
      </c>
      <c r="R897" s="55" t="s">
        <v>4702</v>
      </c>
      <c r="S897" s="58"/>
      <c r="T897" s="51">
        <v>4.0</v>
      </c>
      <c r="U897" s="51"/>
      <c r="V897" s="51"/>
      <c r="W897" s="51"/>
      <c r="X897" s="74"/>
      <c r="Y897" s="74"/>
      <c r="Z897" s="76"/>
      <c r="AA897" s="134" t="s">
        <v>4703</v>
      </c>
      <c r="AB897" s="62" t="s">
        <v>61</v>
      </c>
      <c r="AC897" s="63" t="s">
        <v>61</v>
      </c>
      <c r="AD897" s="64" t="s">
        <v>61</v>
      </c>
      <c r="AE897" s="64" t="s">
        <v>61</v>
      </c>
      <c r="AF897" s="63" t="s">
        <v>61</v>
      </c>
      <c r="AG897" s="63" t="s">
        <v>61</v>
      </c>
      <c r="AH897" s="63" t="s">
        <v>61</v>
      </c>
      <c r="AI897" s="65" t="s">
        <v>61</v>
      </c>
      <c r="AJ897" s="66" t="s">
        <v>61</v>
      </c>
      <c r="AK897" s="60"/>
    </row>
    <row r="898" ht="24.0" customHeight="1">
      <c r="A898" s="35"/>
      <c r="B898" s="36">
        <v>1.0</v>
      </c>
      <c r="C898" s="37" t="str">
        <f>IFERROR(__xludf.DUMMYFUNCTION("""COMPUTED_VALUE"""),"Truett Allen (XX) - '27 3B ")</f>
        <v>Truett Allen (XX) - '27 3B </v>
      </c>
      <c r="D898" s="38" t="s">
        <v>4704</v>
      </c>
      <c r="E898" s="39" t="s">
        <v>48</v>
      </c>
      <c r="F898" s="118"/>
      <c r="G898" s="113"/>
      <c r="H898" s="42" t="s">
        <v>4705</v>
      </c>
      <c r="I898" s="43" t="s">
        <v>336</v>
      </c>
      <c r="J898" s="43">
        <v>2027.0</v>
      </c>
      <c r="K898" s="43" t="s">
        <v>410</v>
      </c>
      <c r="L898" s="43" t="s">
        <v>1981</v>
      </c>
      <c r="M898" s="43" t="s">
        <v>1519</v>
      </c>
      <c r="N898" s="117"/>
      <c r="O898" s="43"/>
      <c r="P898" s="43" t="s">
        <v>4706</v>
      </c>
      <c r="Q898" s="43"/>
      <c r="R898" s="43" t="s">
        <v>4707</v>
      </c>
      <c r="S898" s="44" t="s">
        <v>4708</v>
      </c>
      <c r="T898" s="39"/>
      <c r="U898" s="39"/>
      <c r="V898" s="39"/>
      <c r="W898" s="39" t="s">
        <v>1724</v>
      </c>
      <c r="X898" s="81" t="s">
        <v>1550</v>
      </c>
      <c r="Y898" s="81"/>
      <c r="Z898" s="82"/>
      <c r="AA898" s="99"/>
      <c r="AB898" s="48" t="s">
        <v>61</v>
      </c>
      <c r="AC898" s="68" t="s">
        <v>61</v>
      </c>
      <c r="AD898" s="69" t="s">
        <v>61</v>
      </c>
      <c r="AE898" s="69" t="s">
        <v>61</v>
      </c>
      <c r="AF898" s="68" t="s">
        <v>61</v>
      </c>
      <c r="AG898" s="68" t="s">
        <v>61</v>
      </c>
      <c r="AH898" s="68" t="s">
        <v>61</v>
      </c>
      <c r="AI898" s="70" t="s">
        <v>61</v>
      </c>
      <c r="AJ898" s="49" t="s">
        <v>61</v>
      </c>
      <c r="AK898" s="46"/>
    </row>
    <row r="899" ht="24.0" customHeight="1">
      <c r="A899" s="35"/>
      <c r="B899" s="36">
        <v>1.0</v>
      </c>
      <c r="C899" s="37" t="str">
        <f>IFERROR(__xludf.DUMMYFUNCTION("""COMPUTED_VALUE"""),"Cam Arthur (XX) - '27 SS VA")</f>
        <v>Cam Arthur (XX) - '27 SS VA</v>
      </c>
      <c r="D899" s="38" t="s">
        <v>4709</v>
      </c>
      <c r="E899" s="51" t="s">
        <v>48</v>
      </c>
      <c r="F899" s="119">
        <v>45925.0</v>
      </c>
      <c r="G899" s="116" t="s">
        <v>1395</v>
      </c>
      <c r="H899" s="54" t="s">
        <v>2808</v>
      </c>
      <c r="I899" s="55" t="s">
        <v>4710</v>
      </c>
      <c r="J899" s="55">
        <v>2027.0</v>
      </c>
      <c r="K899" s="55" t="s">
        <v>410</v>
      </c>
      <c r="L899" s="55" t="s">
        <v>4711</v>
      </c>
      <c r="M899" s="55" t="s">
        <v>1398</v>
      </c>
      <c r="N899" s="132"/>
      <c r="O899" s="55"/>
      <c r="P899" s="55" t="s">
        <v>4712</v>
      </c>
      <c r="Q899" s="55" t="s">
        <v>125</v>
      </c>
      <c r="R899" s="55"/>
      <c r="S899" s="58" t="s">
        <v>4713</v>
      </c>
      <c r="T899" s="51"/>
      <c r="U899" s="51"/>
      <c r="V899" s="51"/>
      <c r="W899" s="51" t="s">
        <v>1564</v>
      </c>
      <c r="X899" s="74"/>
      <c r="Y899" s="74"/>
      <c r="Z899" s="76"/>
      <c r="AA899" s="134"/>
      <c r="AB899" s="62" t="s">
        <v>4714</v>
      </c>
      <c r="AC899" s="63" t="s">
        <v>4715</v>
      </c>
      <c r="AD899" s="64">
        <v>4.02</v>
      </c>
      <c r="AE899" s="64" t="s">
        <v>4716</v>
      </c>
      <c r="AF899" s="63" t="s">
        <v>4717</v>
      </c>
      <c r="AG899" s="63" t="s">
        <v>4718</v>
      </c>
      <c r="AH899" s="63" t="s">
        <v>60</v>
      </c>
      <c r="AI899" s="65" t="s">
        <v>81</v>
      </c>
      <c r="AJ899" s="66" t="s">
        <v>61</v>
      </c>
      <c r="AK899" s="60"/>
    </row>
    <row r="900" ht="24.0" customHeight="1">
      <c r="A900" s="35"/>
      <c r="B900" s="36">
        <v>1.0</v>
      </c>
      <c r="C900" s="37" t="str">
        <f>IFERROR(__xludf.DUMMYFUNCTION("""COMPUTED_VALUE"""),"Jacob Babcock (XX) - '27 MINF VA")</f>
        <v>Jacob Babcock (XX) - '27 MINF VA</v>
      </c>
      <c r="D900" s="38" t="s">
        <v>4719</v>
      </c>
      <c r="E900" s="39" t="s">
        <v>48</v>
      </c>
      <c r="F900" s="118">
        <v>45865.0</v>
      </c>
      <c r="G900" s="113" t="s">
        <v>1395</v>
      </c>
      <c r="H900" s="42" t="s">
        <v>284</v>
      </c>
      <c r="I900" s="43" t="s">
        <v>4720</v>
      </c>
      <c r="J900" s="43">
        <v>2027.0</v>
      </c>
      <c r="K900" s="43" t="s">
        <v>410</v>
      </c>
      <c r="L900" s="43" t="s">
        <v>4721</v>
      </c>
      <c r="M900" s="43" t="s">
        <v>51</v>
      </c>
      <c r="N900" s="117"/>
      <c r="O900" s="43" t="s">
        <v>1550</v>
      </c>
      <c r="P900" s="43" t="s">
        <v>3297</v>
      </c>
      <c r="Q900" s="43" t="s">
        <v>125</v>
      </c>
      <c r="R900" s="43" t="s">
        <v>126</v>
      </c>
      <c r="S900" s="44"/>
      <c r="T900" s="39">
        <v>4.0</v>
      </c>
      <c r="U900" s="39"/>
      <c r="V900" s="39" t="s">
        <v>4722</v>
      </c>
      <c r="W900" s="39" t="s">
        <v>2821</v>
      </c>
      <c r="X900" s="81"/>
      <c r="Y900" s="81"/>
      <c r="Z900" s="82"/>
      <c r="AA900" s="99"/>
      <c r="AB900" s="48" t="s">
        <v>4723</v>
      </c>
      <c r="AC900" s="68" t="s">
        <v>4724</v>
      </c>
      <c r="AD900" s="69" t="s">
        <v>4725</v>
      </c>
      <c r="AE900" s="69" t="s">
        <v>400</v>
      </c>
      <c r="AF900" s="68" t="s">
        <v>4726</v>
      </c>
      <c r="AG900" s="68" t="s">
        <v>400</v>
      </c>
      <c r="AH900" s="68" t="s">
        <v>400</v>
      </c>
      <c r="AI900" s="70" t="s">
        <v>400</v>
      </c>
      <c r="AJ900" s="49" t="s">
        <v>61</v>
      </c>
      <c r="AK900" s="46"/>
    </row>
    <row r="901" ht="24.0" customHeight="1">
      <c r="A901" s="35"/>
      <c r="B901" s="36">
        <v>1.0</v>
      </c>
      <c r="C901" s="37" t="str">
        <f>IFERROR(__xludf.DUMMYFUNCTION("""COMPUTED_VALUE"""),"Colt Babic (XX) - '27 INF SC")</f>
        <v>Colt Babic (XX) - '27 INF SC</v>
      </c>
      <c r="D901" s="38" t="s">
        <v>4727</v>
      </c>
      <c r="E901" s="51" t="s">
        <v>48</v>
      </c>
      <c r="F901" s="119">
        <v>45865.0</v>
      </c>
      <c r="G901" s="116" t="s">
        <v>1470</v>
      </c>
      <c r="H901" s="54" t="s">
        <v>3058</v>
      </c>
      <c r="I901" s="55" t="s">
        <v>4728</v>
      </c>
      <c r="J901" s="55">
        <v>2027.0</v>
      </c>
      <c r="K901" s="55" t="s">
        <v>410</v>
      </c>
      <c r="L901" s="55" t="s">
        <v>2018</v>
      </c>
      <c r="M901" s="55" t="s">
        <v>48</v>
      </c>
      <c r="N901" s="132"/>
      <c r="O901" s="55" t="s">
        <v>1550</v>
      </c>
      <c r="P901" s="55" t="s">
        <v>1654</v>
      </c>
      <c r="Q901" s="55" t="s">
        <v>286</v>
      </c>
      <c r="R901" s="55" t="s">
        <v>4729</v>
      </c>
      <c r="S901" s="58"/>
      <c r="T901" s="51"/>
      <c r="U901" s="51"/>
      <c r="V901" s="51" t="s">
        <v>4730</v>
      </c>
      <c r="W901" s="51" t="s">
        <v>2821</v>
      </c>
      <c r="X901" s="74"/>
      <c r="Y901" s="74"/>
      <c r="Z901" s="76"/>
      <c r="AA901" s="134"/>
      <c r="AB901" s="62" t="s">
        <v>61</v>
      </c>
      <c r="AC901" s="63" t="s">
        <v>61</v>
      </c>
      <c r="AD901" s="64" t="s">
        <v>61</v>
      </c>
      <c r="AE901" s="64" t="s">
        <v>61</v>
      </c>
      <c r="AF901" s="63" t="s">
        <v>61</v>
      </c>
      <c r="AG901" s="63" t="s">
        <v>61</v>
      </c>
      <c r="AH901" s="63" t="s">
        <v>61</v>
      </c>
      <c r="AI901" s="65" t="s">
        <v>61</v>
      </c>
      <c r="AJ901" s="66" t="s">
        <v>61</v>
      </c>
      <c r="AK901" s="60"/>
    </row>
    <row r="902" ht="24.0" customHeight="1">
      <c r="A902" s="35"/>
      <c r="B902" s="36">
        <v>1.0</v>
      </c>
      <c r="C902" s="37" t="str">
        <f>IFERROR(__xludf.DUMMYFUNCTION("""COMPUTED_VALUE"""),"August Backman (XX) - '27 OF FL")</f>
        <v>August Backman (XX) - '27 OF FL</v>
      </c>
      <c r="D902" s="38" t="s">
        <v>4731</v>
      </c>
      <c r="E902" s="39" t="s">
        <v>103</v>
      </c>
      <c r="F902" s="118"/>
      <c r="G902" s="113" t="s">
        <v>1430</v>
      </c>
      <c r="H902" s="42" t="s">
        <v>4732</v>
      </c>
      <c r="I902" s="43" t="s">
        <v>4733</v>
      </c>
      <c r="J902" s="43">
        <v>2027.0</v>
      </c>
      <c r="K902" s="43" t="s">
        <v>410</v>
      </c>
      <c r="L902" s="43" t="s">
        <v>2018</v>
      </c>
      <c r="M902" s="43" t="s">
        <v>103</v>
      </c>
      <c r="N902" s="117"/>
      <c r="O902" s="43"/>
      <c r="P902" s="43"/>
      <c r="Q902" s="43" t="s">
        <v>66</v>
      </c>
      <c r="R902" s="43" t="s">
        <v>1449</v>
      </c>
      <c r="S902" s="44" t="s">
        <v>1450</v>
      </c>
      <c r="T902" s="39" t="s">
        <v>1836</v>
      </c>
      <c r="U902" s="39"/>
      <c r="V902" s="39"/>
      <c r="W902" s="39"/>
      <c r="X902" s="81"/>
      <c r="Y902" s="81"/>
      <c r="Z902" s="82"/>
      <c r="AA902" s="99" t="s">
        <v>4734</v>
      </c>
      <c r="AB902" s="48" t="s">
        <v>61</v>
      </c>
      <c r="AC902" s="68" t="s">
        <v>61</v>
      </c>
      <c r="AD902" s="69" t="s">
        <v>61</v>
      </c>
      <c r="AE902" s="69" t="s">
        <v>61</v>
      </c>
      <c r="AF902" s="68" t="s">
        <v>61</v>
      </c>
      <c r="AG902" s="68" t="s">
        <v>61</v>
      </c>
      <c r="AH902" s="68" t="s">
        <v>61</v>
      </c>
      <c r="AI902" s="70" t="s">
        <v>61</v>
      </c>
      <c r="AJ902" s="49" t="s">
        <v>61</v>
      </c>
      <c r="AK902" s="46"/>
    </row>
    <row r="903" ht="24.0" customHeight="1">
      <c r="A903" s="35"/>
      <c r="B903" s="36">
        <v>1.0</v>
      </c>
      <c r="C903" s="37" t="str">
        <f>IFERROR(__xludf.DUMMYFUNCTION("""COMPUTED_VALUE"""),"Cooper Ball (XX) - '27 RHP NY")</f>
        <v>Cooper Ball (XX) - '27 RHP NY</v>
      </c>
      <c r="D903" s="38" t="s">
        <v>4735</v>
      </c>
      <c r="E903" s="51" t="s">
        <v>63</v>
      </c>
      <c r="F903" s="119">
        <v>45855.0</v>
      </c>
      <c r="G903" s="116" t="s">
        <v>1395</v>
      </c>
      <c r="H903" s="54" t="s">
        <v>696</v>
      </c>
      <c r="I903" s="55" t="s">
        <v>4736</v>
      </c>
      <c r="J903" s="55">
        <v>2027.0</v>
      </c>
      <c r="K903" s="55" t="s">
        <v>410</v>
      </c>
      <c r="L903" s="55" t="s">
        <v>4737</v>
      </c>
      <c r="M903" s="55" t="s">
        <v>63</v>
      </c>
      <c r="N903" s="132"/>
      <c r="O903" s="55"/>
      <c r="P903" s="55"/>
      <c r="Q903" s="55" t="s">
        <v>255</v>
      </c>
      <c r="R903" s="55"/>
      <c r="S903" s="58" t="s">
        <v>2332</v>
      </c>
      <c r="T903" s="51"/>
      <c r="U903" s="51"/>
      <c r="V903" s="51"/>
      <c r="W903" s="51"/>
      <c r="X903" s="74"/>
      <c r="Y903" s="74"/>
      <c r="Z903" s="76"/>
      <c r="AA903" s="134"/>
      <c r="AB903" s="62" t="s">
        <v>61</v>
      </c>
      <c r="AC903" s="63" t="s">
        <v>61</v>
      </c>
      <c r="AD903" s="64" t="s">
        <v>61</v>
      </c>
      <c r="AE903" s="64" t="s">
        <v>61</v>
      </c>
      <c r="AF903" s="63" t="s">
        <v>61</v>
      </c>
      <c r="AG903" s="63" t="s">
        <v>61</v>
      </c>
      <c r="AH903" s="63" t="s">
        <v>61</v>
      </c>
      <c r="AI903" s="65" t="s">
        <v>61</v>
      </c>
      <c r="AJ903" s="66" t="s">
        <v>61</v>
      </c>
      <c r="AK903" s="60"/>
    </row>
    <row r="904" ht="24.0" customHeight="1">
      <c r="A904" s="35"/>
      <c r="B904" s="36">
        <v>1.0</v>
      </c>
      <c r="C904" s="37" t="str">
        <f>IFERROR(__xludf.DUMMYFUNCTION("""COMPUTED_VALUE"""),"Brody Baxmann (XX) - '27 OF FL")</f>
        <v>Brody Baxmann (XX) - '27 OF FL</v>
      </c>
      <c r="D904" s="38" t="s">
        <v>4738</v>
      </c>
      <c r="E904" s="39" t="s">
        <v>103</v>
      </c>
      <c r="F904" s="118">
        <v>45865.0</v>
      </c>
      <c r="G904" s="113" t="s">
        <v>1395</v>
      </c>
      <c r="H904" s="42" t="s">
        <v>556</v>
      </c>
      <c r="I904" s="43" t="s">
        <v>4739</v>
      </c>
      <c r="J904" s="43">
        <v>2027.0</v>
      </c>
      <c r="K904" s="43" t="s">
        <v>410</v>
      </c>
      <c r="L904" s="43" t="s">
        <v>4740</v>
      </c>
      <c r="M904" s="43" t="s">
        <v>103</v>
      </c>
      <c r="N904" s="117"/>
      <c r="O904" s="43" t="s">
        <v>1989</v>
      </c>
      <c r="P904" s="43" t="s">
        <v>4741</v>
      </c>
      <c r="Q904" s="43" t="s">
        <v>66</v>
      </c>
      <c r="R904" s="43" t="s">
        <v>4742</v>
      </c>
      <c r="S904" s="44"/>
      <c r="T904" s="39">
        <v>3.9</v>
      </c>
      <c r="U904" s="39"/>
      <c r="V904" s="39" t="s">
        <v>4743</v>
      </c>
      <c r="W904" s="39" t="s">
        <v>2821</v>
      </c>
      <c r="X904" s="81"/>
      <c r="Y904" s="81"/>
      <c r="Z904" s="82"/>
      <c r="AA904" s="99"/>
      <c r="AB904" s="48" t="s">
        <v>61</v>
      </c>
      <c r="AC904" s="68" t="s">
        <v>61</v>
      </c>
      <c r="AD904" s="69" t="s">
        <v>61</v>
      </c>
      <c r="AE904" s="69" t="s">
        <v>61</v>
      </c>
      <c r="AF904" s="68" t="s">
        <v>61</v>
      </c>
      <c r="AG904" s="68" t="s">
        <v>61</v>
      </c>
      <c r="AH904" s="68" t="s">
        <v>61</v>
      </c>
      <c r="AI904" s="70" t="s">
        <v>61</v>
      </c>
      <c r="AJ904" s="49" t="s">
        <v>61</v>
      </c>
      <c r="AK904" s="46"/>
    </row>
    <row r="905" ht="24.0" customHeight="1">
      <c r="A905" s="35"/>
      <c r="B905" s="36">
        <v>1.0</v>
      </c>
      <c r="C905" s="37" t="str">
        <f>IFERROR(__xludf.DUMMYFUNCTION("""COMPUTED_VALUE"""),"Charlie Beck (XX) - '27 MINF NC")</f>
        <v>Charlie Beck (XX) - '27 MINF NC</v>
      </c>
      <c r="D905" s="38" t="s">
        <v>4744</v>
      </c>
      <c r="E905" s="51" t="s">
        <v>48</v>
      </c>
      <c r="F905" s="119">
        <v>45865.0</v>
      </c>
      <c r="G905" s="116" t="s">
        <v>1395</v>
      </c>
      <c r="H905" s="54" t="s">
        <v>629</v>
      </c>
      <c r="I905" s="55" t="s">
        <v>4745</v>
      </c>
      <c r="J905" s="55">
        <v>2027.0</v>
      </c>
      <c r="K905" s="55" t="s">
        <v>410</v>
      </c>
      <c r="L905" s="55" t="s">
        <v>2018</v>
      </c>
      <c r="M905" s="55" t="s">
        <v>51</v>
      </c>
      <c r="N905" s="132"/>
      <c r="O905" s="55" t="s">
        <v>1989</v>
      </c>
      <c r="P905" s="55" t="s">
        <v>4746</v>
      </c>
      <c r="Q905" s="55" t="s">
        <v>73</v>
      </c>
      <c r="R905" s="55" t="s">
        <v>4747</v>
      </c>
      <c r="S905" s="58"/>
      <c r="T905" s="51">
        <v>3.87</v>
      </c>
      <c r="U905" s="51"/>
      <c r="V905" s="51" t="s">
        <v>4748</v>
      </c>
      <c r="W905" s="51" t="s">
        <v>2821</v>
      </c>
      <c r="X905" s="74"/>
      <c r="Y905" s="74"/>
      <c r="Z905" s="76"/>
      <c r="AA905" s="134"/>
      <c r="AB905" s="62" t="s">
        <v>61</v>
      </c>
      <c r="AC905" s="63" t="s">
        <v>61</v>
      </c>
      <c r="AD905" s="64" t="s">
        <v>61</v>
      </c>
      <c r="AE905" s="64" t="s">
        <v>61</v>
      </c>
      <c r="AF905" s="63" t="s">
        <v>61</v>
      </c>
      <c r="AG905" s="63" t="s">
        <v>61</v>
      </c>
      <c r="AH905" s="63" t="s">
        <v>61</v>
      </c>
      <c r="AI905" s="65" t="s">
        <v>61</v>
      </c>
      <c r="AJ905" s="66" t="s">
        <v>61</v>
      </c>
      <c r="AK905" s="60"/>
    </row>
    <row r="906" ht="24.0" customHeight="1">
      <c r="A906" s="35"/>
      <c r="B906" s="36">
        <v>1.0</v>
      </c>
      <c r="C906" s="37" t="str">
        <f>IFERROR(__xludf.DUMMYFUNCTION("""COMPUTED_VALUE"""),"Beckett Berg (XX) - '27 RHP CA")</f>
        <v>Beckett Berg (XX) - '27 RHP CA</v>
      </c>
      <c r="D906" s="38" t="s">
        <v>4749</v>
      </c>
      <c r="E906" s="39" t="s">
        <v>63</v>
      </c>
      <c r="F906" s="118">
        <v>45869.0</v>
      </c>
      <c r="G906" s="113" t="s">
        <v>1395</v>
      </c>
      <c r="H906" s="42" t="s">
        <v>2088</v>
      </c>
      <c r="I906" s="43" t="s">
        <v>4750</v>
      </c>
      <c r="J906" s="43">
        <v>2027.0</v>
      </c>
      <c r="K906" s="43" t="s">
        <v>410</v>
      </c>
      <c r="L906" s="43" t="s">
        <v>4751</v>
      </c>
      <c r="M906" s="43" t="s">
        <v>63</v>
      </c>
      <c r="N906" s="117"/>
      <c r="O906" s="43" t="s">
        <v>1550</v>
      </c>
      <c r="P906" s="43" t="s">
        <v>4752</v>
      </c>
      <c r="Q906" s="43" t="s">
        <v>52</v>
      </c>
      <c r="R906" s="43" t="s">
        <v>4753</v>
      </c>
      <c r="S906" s="44"/>
      <c r="T906" s="39">
        <v>3.8</v>
      </c>
      <c r="U906" s="39"/>
      <c r="V906" s="39">
        <v>8.185000841E9</v>
      </c>
      <c r="W906" s="39"/>
      <c r="X906" s="81"/>
      <c r="Y906" s="81"/>
      <c r="Z906" s="82"/>
      <c r="AA906" s="99" t="s">
        <v>4754</v>
      </c>
      <c r="AB906" s="48" t="s">
        <v>61</v>
      </c>
      <c r="AC906" s="68" t="s">
        <v>61</v>
      </c>
      <c r="AD906" s="69" t="s">
        <v>61</v>
      </c>
      <c r="AE906" s="69" t="s">
        <v>61</v>
      </c>
      <c r="AF906" s="68" t="s">
        <v>61</v>
      </c>
      <c r="AG906" s="68" t="s">
        <v>61</v>
      </c>
      <c r="AH906" s="68" t="s">
        <v>61</v>
      </c>
      <c r="AI906" s="70" t="s">
        <v>61</v>
      </c>
      <c r="AJ906" s="49" t="s">
        <v>61</v>
      </c>
      <c r="AK906" s="46"/>
    </row>
    <row r="907" ht="24.0" customHeight="1">
      <c r="A907" s="35"/>
      <c r="B907" s="36">
        <v>1.0</v>
      </c>
      <c r="C907" s="37" t="str">
        <f>IFERROR(__xludf.DUMMYFUNCTION("""COMPUTED_VALUE"""),"Jackson Bernosky (XX) - '27 C CO")</f>
        <v>Jackson Bernosky (XX) - '27 C CO</v>
      </c>
      <c r="D907" s="38" t="s">
        <v>4755</v>
      </c>
      <c r="E907" s="51" t="s">
        <v>109</v>
      </c>
      <c r="F907" s="119">
        <v>45865.0</v>
      </c>
      <c r="G907" s="116" t="s">
        <v>1430</v>
      </c>
      <c r="H907" s="54" t="s">
        <v>432</v>
      </c>
      <c r="I907" s="55" t="s">
        <v>4756</v>
      </c>
      <c r="J907" s="55">
        <v>2027.0</v>
      </c>
      <c r="K907" s="55" t="s">
        <v>410</v>
      </c>
      <c r="L907" s="55" t="s">
        <v>1994</v>
      </c>
      <c r="M907" s="55" t="s">
        <v>109</v>
      </c>
      <c r="N907" s="132"/>
      <c r="O907" s="55" t="s">
        <v>1550</v>
      </c>
      <c r="P907" s="55" t="s">
        <v>4757</v>
      </c>
      <c r="Q907" s="55" t="s">
        <v>174</v>
      </c>
      <c r="R907" s="55" t="s">
        <v>1849</v>
      </c>
      <c r="S907" s="58"/>
      <c r="T907" s="51">
        <v>3.75</v>
      </c>
      <c r="U907" s="51"/>
      <c r="V907" s="51" t="s">
        <v>4758</v>
      </c>
      <c r="W907" s="51" t="s">
        <v>2821</v>
      </c>
      <c r="X907" s="74"/>
      <c r="Y907" s="74"/>
      <c r="Z907" s="76"/>
      <c r="AA907" s="134" t="s">
        <v>4759</v>
      </c>
      <c r="AB907" s="62" t="s">
        <v>61</v>
      </c>
      <c r="AC907" s="63" t="s">
        <v>61</v>
      </c>
      <c r="AD907" s="64" t="s">
        <v>61</v>
      </c>
      <c r="AE907" s="64" t="s">
        <v>61</v>
      </c>
      <c r="AF907" s="63" t="s">
        <v>61</v>
      </c>
      <c r="AG907" s="63" t="s">
        <v>61</v>
      </c>
      <c r="AH907" s="63" t="s">
        <v>61</v>
      </c>
      <c r="AI907" s="65" t="s">
        <v>61</v>
      </c>
      <c r="AJ907" s="66" t="s">
        <v>61</v>
      </c>
      <c r="AK907" s="60"/>
    </row>
    <row r="908" ht="24.0" customHeight="1">
      <c r="A908" s="35"/>
      <c r="B908" s="36">
        <v>1.0</v>
      </c>
      <c r="C908" s="37" t="str">
        <f>IFERROR(__xludf.DUMMYFUNCTION("""COMPUTED_VALUE"""),"Ben Bianchi (XX) - '27 RHP ")</f>
        <v>Ben Bianchi (XX) - '27 RHP </v>
      </c>
      <c r="D908" s="38" t="s">
        <v>4760</v>
      </c>
      <c r="E908" s="39" t="s">
        <v>63</v>
      </c>
      <c r="F908" s="118"/>
      <c r="G908" s="113"/>
      <c r="H908" s="42" t="s">
        <v>116</v>
      </c>
      <c r="I908" s="43" t="s">
        <v>4761</v>
      </c>
      <c r="J908" s="43">
        <v>2027.0</v>
      </c>
      <c r="K908" s="43" t="s">
        <v>410</v>
      </c>
      <c r="L908" s="43" t="s">
        <v>2615</v>
      </c>
      <c r="M908" s="43" t="s">
        <v>63</v>
      </c>
      <c r="N908" s="117"/>
      <c r="O908" s="43" t="s">
        <v>1550</v>
      </c>
      <c r="P908" s="43"/>
      <c r="Q908" s="43"/>
      <c r="R908" s="43"/>
      <c r="S908" s="44" t="s">
        <v>3508</v>
      </c>
      <c r="T908" s="39"/>
      <c r="U908" s="39"/>
      <c r="V908" s="39"/>
      <c r="W908" s="39" t="s">
        <v>1724</v>
      </c>
      <c r="X908" s="81"/>
      <c r="Y908" s="81"/>
      <c r="Z908" s="82"/>
      <c r="AA908" s="99"/>
      <c r="AB908" s="48" t="s">
        <v>61</v>
      </c>
      <c r="AC908" s="68" t="s">
        <v>61</v>
      </c>
      <c r="AD908" s="69" t="s">
        <v>61</v>
      </c>
      <c r="AE908" s="69" t="s">
        <v>61</v>
      </c>
      <c r="AF908" s="68" t="s">
        <v>61</v>
      </c>
      <c r="AG908" s="68" t="s">
        <v>61</v>
      </c>
      <c r="AH908" s="68" t="s">
        <v>61</v>
      </c>
      <c r="AI908" s="70" t="s">
        <v>61</v>
      </c>
      <c r="AJ908" s="49" t="s">
        <v>61</v>
      </c>
      <c r="AK908" s="46"/>
    </row>
    <row r="909" ht="24.0" customHeight="1">
      <c r="A909" s="35"/>
      <c r="B909" s="36">
        <v>1.0</v>
      </c>
      <c r="C909" s="37" t="str">
        <f>IFERROR(__xludf.DUMMYFUNCTION("""COMPUTED_VALUE"""),"Brady Bickham (XX) - '27 MINF CA")</f>
        <v>Brady Bickham (XX) - '27 MINF CA</v>
      </c>
      <c r="D909" s="38" t="s">
        <v>4762</v>
      </c>
      <c r="E909" s="51" t="s">
        <v>48</v>
      </c>
      <c r="F909" s="119">
        <v>45869.0</v>
      </c>
      <c r="G909" s="116" t="s">
        <v>1395</v>
      </c>
      <c r="H909" s="54" t="s">
        <v>517</v>
      </c>
      <c r="I909" s="55" t="s">
        <v>4763</v>
      </c>
      <c r="J909" s="55">
        <v>2027.0</v>
      </c>
      <c r="K909" s="55" t="s">
        <v>410</v>
      </c>
      <c r="L909" s="55" t="s">
        <v>4764</v>
      </c>
      <c r="M909" s="55" t="s">
        <v>51</v>
      </c>
      <c r="N909" s="132"/>
      <c r="O909" s="55" t="s">
        <v>1550</v>
      </c>
      <c r="P909" s="55" t="s">
        <v>4765</v>
      </c>
      <c r="Q909" s="55" t="s">
        <v>52</v>
      </c>
      <c r="R909" s="55" t="s">
        <v>3905</v>
      </c>
      <c r="S909" s="58"/>
      <c r="T909" s="51">
        <v>4.1</v>
      </c>
      <c r="U909" s="51"/>
      <c r="V909" s="51">
        <v>9.097271326E9</v>
      </c>
      <c r="W909" s="51"/>
      <c r="X909" s="74"/>
      <c r="Y909" s="74"/>
      <c r="Z909" s="76"/>
      <c r="AA909" s="134" t="s">
        <v>4766</v>
      </c>
      <c r="AB909" s="62" t="s">
        <v>4767</v>
      </c>
      <c r="AC909" s="63"/>
      <c r="AD909" s="64">
        <v>4.1</v>
      </c>
      <c r="AE909" s="64"/>
      <c r="AF909" s="63" t="s">
        <v>4768</v>
      </c>
      <c r="AG909" s="63"/>
      <c r="AH909" s="63"/>
      <c r="AI909" s="65"/>
      <c r="AJ909" s="66" t="s">
        <v>61</v>
      </c>
      <c r="AK909" s="60"/>
    </row>
    <row r="910" ht="24.0" customHeight="1">
      <c r="A910" s="35"/>
      <c r="B910" s="36">
        <v>1.0</v>
      </c>
      <c r="C910" s="37" t="str">
        <f>IFERROR(__xludf.DUMMYFUNCTION("""COMPUTED_VALUE"""),"Tristan Blum (XX) - '27 RHP PA")</f>
        <v>Tristan Blum (XX) - '27 RHP PA</v>
      </c>
      <c r="D910" s="38" t="s">
        <v>4769</v>
      </c>
      <c r="E910" s="39" t="s">
        <v>63</v>
      </c>
      <c r="F910" s="118">
        <v>45453.0</v>
      </c>
      <c r="G910" s="113" t="s">
        <v>1395</v>
      </c>
      <c r="H910" s="42" t="s">
        <v>1533</v>
      </c>
      <c r="I910" s="43" t="s">
        <v>4770</v>
      </c>
      <c r="J910" s="43">
        <v>2027.0</v>
      </c>
      <c r="K910" s="43" t="s">
        <v>410</v>
      </c>
      <c r="L910" s="43" t="s">
        <v>4771</v>
      </c>
      <c r="M910" s="43" t="s">
        <v>63</v>
      </c>
      <c r="N910" s="117"/>
      <c r="O910" s="43" t="s">
        <v>1550</v>
      </c>
      <c r="P910" s="43"/>
      <c r="Q910" s="43" t="s">
        <v>240</v>
      </c>
      <c r="R910" s="43" t="s">
        <v>4772</v>
      </c>
      <c r="S910" s="44" t="s">
        <v>4773</v>
      </c>
      <c r="T910" s="39"/>
      <c r="U910" s="39"/>
      <c r="V910" s="39"/>
      <c r="W910" s="39"/>
      <c r="X910" s="81"/>
      <c r="Y910" s="81"/>
      <c r="Z910" s="82"/>
      <c r="AA910" s="99" t="s">
        <v>4774</v>
      </c>
      <c r="AB910" s="48" t="s">
        <v>61</v>
      </c>
      <c r="AC910" s="68" t="s">
        <v>61</v>
      </c>
      <c r="AD910" s="69" t="s">
        <v>61</v>
      </c>
      <c r="AE910" s="69" t="s">
        <v>61</v>
      </c>
      <c r="AF910" s="68" t="s">
        <v>61</v>
      </c>
      <c r="AG910" s="68" t="s">
        <v>61</v>
      </c>
      <c r="AH910" s="68" t="s">
        <v>61</v>
      </c>
      <c r="AI910" s="70" t="s">
        <v>61</v>
      </c>
      <c r="AJ910" s="49" t="s">
        <v>61</v>
      </c>
      <c r="AK910" s="46"/>
    </row>
    <row r="911" ht="24.0" customHeight="1">
      <c r="A911" s="35"/>
      <c r="B911" s="36">
        <v>1.0</v>
      </c>
      <c r="C911" s="37" t="str">
        <f>IFERROR(__xludf.DUMMYFUNCTION("""COMPUTED_VALUE"""),"Vinny Boatwright (XX) - '27 RHP CA")</f>
        <v>Vinny Boatwright (XX) - '27 RHP CA</v>
      </c>
      <c r="D911" s="38" t="s">
        <v>4775</v>
      </c>
      <c r="E911" s="51" t="s">
        <v>63</v>
      </c>
      <c r="F911" s="119">
        <v>45865.0</v>
      </c>
      <c r="G911" s="116" t="s">
        <v>1470</v>
      </c>
      <c r="H911" s="54" t="s">
        <v>4776</v>
      </c>
      <c r="I911" s="55" t="s">
        <v>4777</v>
      </c>
      <c r="J911" s="55">
        <v>2027.0</v>
      </c>
      <c r="K911" s="55" t="s">
        <v>410</v>
      </c>
      <c r="L911" s="55" t="s">
        <v>2789</v>
      </c>
      <c r="M911" s="55" t="s">
        <v>63</v>
      </c>
      <c r="N911" s="132"/>
      <c r="O911" s="55" t="s">
        <v>1550</v>
      </c>
      <c r="P911" s="55" t="s">
        <v>4778</v>
      </c>
      <c r="Q911" s="55" t="s">
        <v>52</v>
      </c>
      <c r="R911" s="55" t="s">
        <v>4778</v>
      </c>
      <c r="S911" s="58"/>
      <c r="T911" s="51"/>
      <c r="U911" s="51"/>
      <c r="V911" s="51"/>
      <c r="W911" s="51" t="s">
        <v>2821</v>
      </c>
      <c r="X911" s="74"/>
      <c r="Y911" s="74"/>
      <c r="Z911" s="76"/>
      <c r="AA911" s="134"/>
      <c r="AB911" s="62" t="s">
        <v>61</v>
      </c>
      <c r="AC911" s="63" t="s">
        <v>61</v>
      </c>
      <c r="AD911" s="64" t="s">
        <v>61</v>
      </c>
      <c r="AE911" s="64" t="s">
        <v>61</v>
      </c>
      <c r="AF911" s="63" t="s">
        <v>61</v>
      </c>
      <c r="AG911" s="63" t="s">
        <v>61</v>
      </c>
      <c r="AH911" s="63" t="s">
        <v>61</v>
      </c>
      <c r="AI911" s="65" t="s">
        <v>61</v>
      </c>
      <c r="AJ911" s="66" t="s">
        <v>61</v>
      </c>
      <c r="AK911" s="60"/>
    </row>
    <row r="912" ht="24.0" customHeight="1">
      <c r="A912" s="35"/>
      <c r="B912" s="36">
        <v>1.0</v>
      </c>
      <c r="C912" s="37" t="str">
        <f>IFERROR(__xludf.DUMMYFUNCTION("""COMPUTED_VALUE"""),"Max Boehm (XX) - '27 RHP MA")</f>
        <v>Max Boehm (XX) - '27 RHP MA</v>
      </c>
      <c r="D912" s="38" t="s">
        <v>4779</v>
      </c>
      <c r="E912" s="39" t="s">
        <v>63</v>
      </c>
      <c r="F912" s="118"/>
      <c r="G912" s="113" t="s">
        <v>1395</v>
      </c>
      <c r="H912" s="42" t="s">
        <v>1997</v>
      </c>
      <c r="I912" s="43" t="s">
        <v>4780</v>
      </c>
      <c r="J912" s="43">
        <v>2027.0</v>
      </c>
      <c r="K912" s="43" t="s">
        <v>410</v>
      </c>
      <c r="L912" s="43" t="s">
        <v>4781</v>
      </c>
      <c r="M912" s="43" t="s">
        <v>63</v>
      </c>
      <c r="N912" s="117" t="s">
        <v>72</v>
      </c>
      <c r="O912" s="43" t="s">
        <v>1550</v>
      </c>
      <c r="P912" s="43"/>
      <c r="Q912" s="43" t="s">
        <v>85</v>
      </c>
      <c r="R912" s="43" t="s">
        <v>3627</v>
      </c>
      <c r="S912" s="44" t="s">
        <v>87</v>
      </c>
      <c r="T912" s="39"/>
      <c r="U912" s="39"/>
      <c r="V912" s="39"/>
      <c r="W912" s="39"/>
      <c r="X912" s="81"/>
      <c r="Y912" s="81"/>
      <c r="Z912" s="82"/>
      <c r="AA912" s="99"/>
      <c r="AB912" s="48" t="s">
        <v>61</v>
      </c>
      <c r="AC912" s="68" t="s">
        <v>61</v>
      </c>
      <c r="AD912" s="69" t="s">
        <v>61</v>
      </c>
      <c r="AE912" s="69" t="s">
        <v>61</v>
      </c>
      <c r="AF912" s="68" t="s">
        <v>61</v>
      </c>
      <c r="AG912" s="68" t="s">
        <v>61</v>
      </c>
      <c r="AH912" s="68" t="s">
        <v>61</v>
      </c>
      <c r="AI912" s="70" t="s">
        <v>61</v>
      </c>
      <c r="AJ912" s="49" t="s">
        <v>61</v>
      </c>
      <c r="AK912" s="46"/>
    </row>
    <row r="913" ht="24.0" customHeight="1">
      <c r="A913" s="35"/>
      <c r="B913" s="36">
        <v>1.0</v>
      </c>
      <c r="C913" s="37" t="str">
        <f>IFERROR(__xludf.DUMMYFUNCTION("""COMPUTED_VALUE"""),"Charlie Borchard (XX) - '27 C AZ")</f>
        <v>Charlie Borchard (XX) - '27 C AZ</v>
      </c>
      <c r="D913" s="38" t="s">
        <v>4782</v>
      </c>
      <c r="E913" s="51" t="s">
        <v>109</v>
      </c>
      <c r="F913" s="119">
        <v>45869.0</v>
      </c>
      <c r="G913" s="116" t="s">
        <v>1395</v>
      </c>
      <c r="H913" s="54" t="s">
        <v>629</v>
      </c>
      <c r="I913" s="55" t="s">
        <v>4783</v>
      </c>
      <c r="J913" s="55">
        <v>2027.0</v>
      </c>
      <c r="K913" s="55" t="s">
        <v>410</v>
      </c>
      <c r="L913" s="55" t="s">
        <v>410</v>
      </c>
      <c r="M913" s="55" t="s">
        <v>109</v>
      </c>
      <c r="N913" s="132"/>
      <c r="O913" s="55" t="s">
        <v>1989</v>
      </c>
      <c r="P913" s="55" t="s">
        <v>3630</v>
      </c>
      <c r="Q913" s="55" t="s">
        <v>319</v>
      </c>
      <c r="R913" s="55" t="s">
        <v>4784</v>
      </c>
      <c r="S913" s="58"/>
      <c r="T913" s="51">
        <v>4.15</v>
      </c>
      <c r="U913" s="51"/>
      <c r="V913" s="51" t="s">
        <v>4785</v>
      </c>
      <c r="W913" s="51"/>
      <c r="X913" s="74"/>
      <c r="Y913" s="74"/>
      <c r="Z913" s="76"/>
      <c r="AA913" s="134" t="s">
        <v>4786</v>
      </c>
      <c r="AB913" s="62" t="s">
        <v>61</v>
      </c>
      <c r="AC913" s="63" t="s">
        <v>61</v>
      </c>
      <c r="AD913" s="64" t="s">
        <v>61</v>
      </c>
      <c r="AE913" s="64" t="s">
        <v>61</v>
      </c>
      <c r="AF913" s="63" t="s">
        <v>61</v>
      </c>
      <c r="AG913" s="63" t="s">
        <v>61</v>
      </c>
      <c r="AH913" s="63" t="s">
        <v>61</v>
      </c>
      <c r="AI913" s="65" t="s">
        <v>61</v>
      </c>
      <c r="AJ913" s="66" t="s">
        <v>61</v>
      </c>
      <c r="AK913" s="60"/>
    </row>
    <row r="914" ht="24.0" customHeight="1">
      <c r="A914" s="35"/>
      <c r="B914" s="36">
        <v>1.0</v>
      </c>
      <c r="C914" s="37" t="str">
        <f>IFERROR(__xludf.DUMMYFUNCTION("""COMPUTED_VALUE"""),"Cason Borchardt (XX) - '27 OF ND")</f>
        <v>Cason Borchardt (XX) - '27 OF ND</v>
      </c>
      <c r="D914" s="38" t="s">
        <v>4787</v>
      </c>
      <c r="E914" s="39" t="s">
        <v>103</v>
      </c>
      <c r="F914" s="118">
        <v>45865.0</v>
      </c>
      <c r="G914" s="113" t="s">
        <v>1470</v>
      </c>
      <c r="H914" s="42" t="s">
        <v>4788</v>
      </c>
      <c r="I914" s="43" t="s">
        <v>4789</v>
      </c>
      <c r="J914" s="43">
        <v>2027.0</v>
      </c>
      <c r="K914" s="43" t="s">
        <v>410</v>
      </c>
      <c r="L914" s="43" t="s">
        <v>2789</v>
      </c>
      <c r="M914" s="43" t="s">
        <v>103</v>
      </c>
      <c r="N914" s="117"/>
      <c r="O914" s="43" t="s">
        <v>1556</v>
      </c>
      <c r="P914" s="43" t="s">
        <v>4790</v>
      </c>
      <c r="Q914" s="43" t="s">
        <v>4791</v>
      </c>
      <c r="R914" s="43" t="s">
        <v>4792</v>
      </c>
      <c r="S914" s="44"/>
      <c r="T914" s="39">
        <v>3.8</v>
      </c>
      <c r="U914" s="39"/>
      <c r="V914" s="39" t="s">
        <v>4793</v>
      </c>
      <c r="W914" s="39" t="s">
        <v>2821</v>
      </c>
      <c r="X914" s="81"/>
      <c r="Y914" s="81"/>
      <c r="Z914" s="82"/>
      <c r="AA914" s="99"/>
      <c r="AB914" s="48" t="s">
        <v>61</v>
      </c>
      <c r="AC914" s="68" t="s">
        <v>61</v>
      </c>
      <c r="AD914" s="69" t="s">
        <v>61</v>
      </c>
      <c r="AE914" s="69" t="s">
        <v>61</v>
      </c>
      <c r="AF914" s="68" t="s">
        <v>61</v>
      </c>
      <c r="AG914" s="68" t="s">
        <v>61</v>
      </c>
      <c r="AH914" s="68" t="s">
        <v>61</v>
      </c>
      <c r="AI914" s="70" t="s">
        <v>61</v>
      </c>
      <c r="AJ914" s="49" t="s">
        <v>61</v>
      </c>
      <c r="AK914" s="46"/>
    </row>
    <row r="915" ht="24.0" customHeight="1">
      <c r="A915" s="35"/>
      <c r="B915" s="36">
        <v>1.0</v>
      </c>
      <c r="C915" s="37" t="str">
        <f>IFERROR(__xludf.DUMMYFUNCTION("""COMPUTED_VALUE"""),"Brady Bradford (XX) - '27 INF CO")</f>
        <v>Brady Bradford (XX) - '27 INF CO</v>
      </c>
      <c r="D915" s="38" t="s">
        <v>4794</v>
      </c>
      <c r="E915" s="51" t="s">
        <v>48</v>
      </c>
      <c r="F915" s="119">
        <v>45865.0</v>
      </c>
      <c r="G915" s="116" t="s">
        <v>1395</v>
      </c>
      <c r="H915" s="54" t="s">
        <v>517</v>
      </c>
      <c r="I915" s="55" t="s">
        <v>4795</v>
      </c>
      <c r="J915" s="55">
        <v>2027.0</v>
      </c>
      <c r="K915" s="55" t="s">
        <v>410</v>
      </c>
      <c r="L915" s="55" t="s">
        <v>2144</v>
      </c>
      <c r="M915" s="55" t="s">
        <v>48</v>
      </c>
      <c r="N915" s="132"/>
      <c r="O915" s="55" t="s">
        <v>1989</v>
      </c>
      <c r="P915" s="55" t="s">
        <v>4796</v>
      </c>
      <c r="Q915" s="55" t="s">
        <v>174</v>
      </c>
      <c r="R915" s="55" t="s">
        <v>4797</v>
      </c>
      <c r="S915" s="58"/>
      <c r="T915" s="51">
        <v>4.0</v>
      </c>
      <c r="U915" s="51"/>
      <c r="V915" s="51" t="s">
        <v>4798</v>
      </c>
      <c r="W915" s="51" t="s">
        <v>2821</v>
      </c>
      <c r="X915" s="74"/>
      <c r="Y915" s="74"/>
      <c r="Z915" s="76"/>
      <c r="AA915" s="134"/>
      <c r="AB915" s="62" t="s">
        <v>61</v>
      </c>
      <c r="AC915" s="63" t="s">
        <v>61</v>
      </c>
      <c r="AD915" s="64" t="s">
        <v>61</v>
      </c>
      <c r="AE915" s="64" t="s">
        <v>61</v>
      </c>
      <c r="AF915" s="63" t="s">
        <v>61</v>
      </c>
      <c r="AG915" s="63" t="s">
        <v>61</v>
      </c>
      <c r="AH915" s="63" t="s">
        <v>61</v>
      </c>
      <c r="AI915" s="65" t="s">
        <v>61</v>
      </c>
      <c r="AJ915" s="66" t="s">
        <v>61</v>
      </c>
      <c r="AK915" s="60"/>
    </row>
    <row r="916" ht="24.0" customHeight="1">
      <c r="A916" s="35"/>
      <c r="B916" s="36">
        <v>1.0</v>
      </c>
      <c r="C916" s="37" t="str">
        <f>IFERROR(__xludf.DUMMYFUNCTION("""COMPUTED_VALUE"""),"Evan Brand (XX) - '27 2B GA")</f>
        <v>Evan Brand (XX) - '27 2B GA</v>
      </c>
      <c r="D916" s="38" t="s">
        <v>4799</v>
      </c>
      <c r="E916" s="39" t="s">
        <v>48</v>
      </c>
      <c r="F916" s="118"/>
      <c r="G916" s="113" t="s">
        <v>1430</v>
      </c>
      <c r="H916" s="42" t="s">
        <v>385</v>
      </c>
      <c r="I916" s="43" t="s">
        <v>4800</v>
      </c>
      <c r="J916" s="43">
        <v>2027.0</v>
      </c>
      <c r="K916" s="43" t="s">
        <v>410</v>
      </c>
      <c r="L916" s="43" t="s">
        <v>4801</v>
      </c>
      <c r="M916" s="43" t="s">
        <v>2838</v>
      </c>
      <c r="N916" s="117" t="s">
        <v>1519</v>
      </c>
      <c r="O916" s="43"/>
      <c r="P916" s="43"/>
      <c r="Q916" s="43" t="s">
        <v>43</v>
      </c>
      <c r="R916" s="43" t="s">
        <v>4802</v>
      </c>
      <c r="S916" s="44" t="s">
        <v>1120</v>
      </c>
      <c r="T916" s="39">
        <v>4.0</v>
      </c>
      <c r="U916" s="39"/>
      <c r="V916" s="39"/>
      <c r="W916" s="39"/>
      <c r="X916" s="81"/>
      <c r="Y916" s="81"/>
      <c r="Z916" s="82"/>
      <c r="AA916" s="99" t="s">
        <v>4803</v>
      </c>
      <c r="AB916" s="48" t="s">
        <v>61</v>
      </c>
      <c r="AC916" s="68" t="s">
        <v>61</v>
      </c>
      <c r="AD916" s="69" t="s">
        <v>61</v>
      </c>
      <c r="AE916" s="69" t="s">
        <v>61</v>
      </c>
      <c r="AF916" s="68" t="s">
        <v>61</v>
      </c>
      <c r="AG916" s="68" t="s">
        <v>61</v>
      </c>
      <c r="AH916" s="68" t="s">
        <v>61</v>
      </c>
      <c r="AI916" s="70" t="s">
        <v>61</v>
      </c>
      <c r="AJ916" s="49" t="s">
        <v>61</v>
      </c>
      <c r="AK916" s="46"/>
    </row>
    <row r="917" ht="24.0" customHeight="1">
      <c r="A917" s="35"/>
      <c r="B917" s="36">
        <v>1.0</v>
      </c>
      <c r="C917" s="37" t="str">
        <f>IFERROR(__xludf.DUMMYFUNCTION("""COMPUTED_VALUE"""),"Andrew Brech (XX) - '27 RHP MIF ")</f>
        <v>Andrew Brech (XX) - '27 RHP MIF </v>
      </c>
      <c r="D917" s="38" t="s">
        <v>4804</v>
      </c>
      <c r="E917" s="51"/>
      <c r="F917" s="119"/>
      <c r="G917" s="116"/>
      <c r="H917" s="54" t="s">
        <v>457</v>
      </c>
      <c r="I917" s="55" t="s">
        <v>4805</v>
      </c>
      <c r="J917" s="55">
        <v>2027.0</v>
      </c>
      <c r="K917" s="55" t="s">
        <v>410</v>
      </c>
      <c r="L917" s="55" t="s">
        <v>4801</v>
      </c>
      <c r="M917" s="55" t="s">
        <v>4806</v>
      </c>
      <c r="N917" s="132"/>
      <c r="O917" s="55"/>
      <c r="P917" s="55" t="s">
        <v>4807</v>
      </c>
      <c r="Q917" s="55"/>
      <c r="R917" s="55" t="s">
        <v>4808</v>
      </c>
      <c r="S917" s="58" t="s">
        <v>4438</v>
      </c>
      <c r="T917" s="51"/>
      <c r="U917" s="51"/>
      <c r="V917" s="51"/>
      <c r="W917" s="51" t="s">
        <v>1724</v>
      </c>
      <c r="X917" s="74" t="s">
        <v>1550</v>
      </c>
      <c r="Y917" s="74"/>
      <c r="Z917" s="76"/>
      <c r="AA917" s="134"/>
      <c r="AB917" s="62" t="s">
        <v>61</v>
      </c>
      <c r="AC917" s="63" t="s">
        <v>61</v>
      </c>
      <c r="AD917" s="64" t="s">
        <v>61</v>
      </c>
      <c r="AE917" s="64" t="s">
        <v>61</v>
      </c>
      <c r="AF917" s="63" t="s">
        <v>61</v>
      </c>
      <c r="AG917" s="63" t="s">
        <v>61</v>
      </c>
      <c r="AH917" s="63" t="s">
        <v>61</v>
      </c>
      <c r="AI917" s="65" t="s">
        <v>61</v>
      </c>
      <c r="AJ917" s="66" t="s">
        <v>61</v>
      </c>
      <c r="AK917" s="60"/>
    </row>
    <row r="918" ht="24.0" customHeight="1">
      <c r="A918" s="35"/>
      <c r="B918" s="36">
        <v>1.0</v>
      </c>
      <c r="C918" s="37" t="str">
        <f>IFERROR(__xludf.DUMMYFUNCTION("""COMPUTED_VALUE"""),"Connor Brooks (XX) - '27 RHP NC")</f>
        <v>Connor Brooks (XX) - '27 RHP NC</v>
      </c>
      <c r="D918" s="38" t="s">
        <v>4809</v>
      </c>
      <c r="E918" s="39" t="s">
        <v>63</v>
      </c>
      <c r="F918" s="118">
        <v>45925.0</v>
      </c>
      <c r="G918" s="113" t="s">
        <v>1395</v>
      </c>
      <c r="H918" s="42" t="s">
        <v>682</v>
      </c>
      <c r="I918" s="43" t="s">
        <v>221</v>
      </c>
      <c r="J918" s="43">
        <v>2027.0</v>
      </c>
      <c r="K918" s="43" t="s">
        <v>410</v>
      </c>
      <c r="L918" s="43" t="s">
        <v>2028</v>
      </c>
      <c r="M918" s="43" t="s">
        <v>63</v>
      </c>
      <c r="N918" s="117"/>
      <c r="O918" s="43"/>
      <c r="P918" s="43"/>
      <c r="Q918" s="43" t="s">
        <v>73</v>
      </c>
      <c r="R918" s="43"/>
      <c r="S918" s="44" t="s">
        <v>1766</v>
      </c>
      <c r="T918" s="39"/>
      <c r="U918" s="39"/>
      <c r="V918" s="39"/>
      <c r="W918" s="39" t="s">
        <v>1564</v>
      </c>
      <c r="X918" s="81"/>
      <c r="Y918" s="81"/>
      <c r="Z918" s="82"/>
      <c r="AA918" s="99"/>
      <c r="AB918" s="48" t="s">
        <v>4810</v>
      </c>
      <c r="AC918" s="68" t="s">
        <v>4811</v>
      </c>
      <c r="AD918" s="69" t="s">
        <v>4812</v>
      </c>
      <c r="AE918" s="69" t="s">
        <v>4813</v>
      </c>
      <c r="AF918" s="68" t="s">
        <v>4814</v>
      </c>
      <c r="AG918" s="68" t="s">
        <v>81</v>
      </c>
      <c r="AH918" s="68" t="s">
        <v>81</v>
      </c>
      <c r="AI918" s="70" t="s">
        <v>81</v>
      </c>
      <c r="AJ918" s="49" t="s">
        <v>61</v>
      </c>
      <c r="AK918" s="46"/>
    </row>
    <row r="919" ht="24.0" customHeight="1">
      <c r="A919" s="35"/>
      <c r="B919" s="36">
        <v>1.0</v>
      </c>
      <c r="C919" s="37" t="str">
        <f>IFERROR(__xludf.DUMMYFUNCTION("""COMPUTED_VALUE"""),"Pete Browand (XX) - '27 C WA")</f>
        <v>Pete Browand (XX) - '27 C WA</v>
      </c>
      <c r="D919" s="38" t="s">
        <v>4815</v>
      </c>
      <c r="E919" s="51" t="s">
        <v>109</v>
      </c>
      <c r="F919" s="119">
        <v>45865.0</v>
      </c>
      <c r="G919" s="116" t="s">
        <v>1430</v>
      </c>
      <c r="H919" s="54" t="s">
        <v>1979</v>
      </c>
      <c r="I919" s="55" t="s">
        <v>4816</v>
      </c>
      <c r="J919" s="55">
        <v>2027.0</v>
      </c>
      <c r="K919" s="55" t="s">
        <v>410</v>
      </c>
      <c r="L919" s="55" t="s">
        <v>4817</v>
      </c>
      <c r="M919" s="55" t="s">
        <v>109</v>
      </c>
      <c r="N919" s="132" t="s">
        <v>72</v>
      </c>
      <c r="O919" s="55" t="s">
        <v>1550</v>
      </c>
      <c r="P919" s="55" t="s">
        <v>4818</v>
      </c>
      <c r="Q919" s="55" t="s">
        <v>1575</v>
      </c>
      <c r="R919" s="55" t="s">
        <v>4819</v>
      </c>
      <c r="S919" s="58"/>
      <c r="T919" s="51">
        <v>3.99</v>
      </c>
      <c r="U919" s="51"/>
      <c r="V919" s="51" t="s">
        <v>4820</v>
      </c>
      <c r="W919" s="51" t="s">
        <v>2821</v>
      </c>
      <c r="X919" s="74"/>
      <c r="Y919" s="74"/>
      <c r="Z919" s="76"/>
      <c r="AA919" s="134"/>
      <c r="AB919" s="62" t="s">
        <v>61</v>
      </c>
      <c r="AC919" s="63" t="s">
        <v>61</v>
      </c>
      <c r="AD919" s="64" t="s">
        <v>61</v>
      </c>
      <c r="AE919" s="64" t="s">
        <v>61</v>
      </c>
      <c r="AF919" s="63" t="s">
        <v>61</v>
      </c>
      <c r="AG919" s="63" t="s">
        <v>61</v>
      </c>
      <c r="AH919" s="63" t="s">
        <v>61</v>
      </c>
      <c r="AI919" s="65" t="s">
        <v>61</v>
      </c>
      <c r="AJ919" s="66" t="s">
        <v>61</v>
      </c>
      <c r="AK919" s="60"/>
    </row>
    <row r="920" ht="24.0" customHeight="1">
      <c r="A920" s="35"/>
      <c r="B920" s="36">
        <v>1.0</v>
      </c>
      <c r="C920" s="37" t="str">
        <f>IFERROR(__xludf.DUMMYFUNCTION("""COMPUTED_VALUE"""),"Boston Brown (XX) - '27 RHP AL")</f>
        <v>Boston Brown (XX) - '27 RHP AL</v>
      </c>
      <c r="D920" s="38" t="s">
        <v>4821</v>
      </c>
      <c r="E920" s="39" t="s">
        <v>63</v>
      </c>
      <c r="F920" s="118">
        <v>45865.0</v>
      </c>
      <c r="G920" s="113" t="s">
        <v>1430</v>
      </c>
      <c r="H920" s="42" t="s">
        <v>4456</v>
      </c>
      <c r="I920" s="43" t="s">
        <v>605</v>
      </c>
      <c r="J920" s="43">
        <v>2027.0</v>
      </c>
      <c r="K920" s="43" t="s">
        <v>410</v>
      </c>
      <c r="L920" s="43" t="s">
        <v>4822</v>
      </c>
      <c r="M920" s="43" t="s">
        <v>63</v>
      </c>
      <c r="N920" s="117"/>
      <c r="O920" s="43" t="s">
        <v>1550</v>
      </c>
      <c r="P920" s="43" t="s">
        <v>4823</v>
      </c>
      <c r="Q920" s="43" t="s">
        <v>731</v>
      </c>
      <c r="R920" s="43" t="s">
        <v>2516</v>
      </c>
      <c r="S920" s="44"/>
      <c r="T920" s="39">
        <v>4.2</v>
      </c>
      <c r="U920" s="39"/>
      <c r="V920" s="39" t="s">
        <v>4824</v>
      </c>
      <c r="W920" s="39" t="s">
        <v>2821</v>
      </c>
      <c r="X920" s="81"/>
      <c r="Y920" s="81"/>
      <c r="Z920" s="82"/>
      <c r="AA920" s="99"/>
      <c r="AB920" s="48" t="s">
        <v>4825</v>
      </c>
      <c r="AC920" s="68" t="s">
        <v>4826</v>
      </c>
      <c r="AD920" s="69" t="s">
        <v>4827</v>
      </c>
      <c r="AE920" s="69" t="s">
        <v>4828</v>
      </c>
      <c r="AF920" s="68" t="s">
        <v>4829</v>
      </c>
      <c r="AG920" s="68" t="s">
        <v>549</v>
      </c>
      <c r="AH920" s="68" t="s">
        <v>4830</v>
      </c>
      <c r="AI920" s="70" t="s">
        <v>549</v>
      </c>
      <c r="AJ920" s="49" t="s">
        <v>61</v>
      </c>
      <c r="AK920" s="46"/>
    </row>
    <row r="921" ht="24.0" customHeight="1">
      <c r="A921" s="35"/>
      <c r="B921" s="36">
        <v>1.0</v>
      </c>
      <c r="C921" s="37" t="str">
        <f>IFERROR(__xludf.DUMMYFUNCTION("""COMPUTED_VALUE"""),"Carson Bruce (XX) - '27 OF GA")</f>
        <v>Carson Bruce (XX) - '27 OF GA</v>
      </c>
      <c r="D921" s="38" t="s">
        <v>4831</v>
      </c>
      <c r="E921" s="51" t="s">
        <v>103</v>
      </c>
      <c r="F921" s="119">
        <v>45865.0</v>
      </c>
      <c r="G921" s="116" t="s">
        <v>1395</v>
      </c>
      <c r="H921" s="54" t="s">
        <v>599</v>
      </c>
      <c r="I921" s="55" t="s">
        <v>4832</v>
      </c>
      <c r="J921" s="55">
        <v>2027.0</v>
      </c>
      <c r="K921" s="55" t="s">
        <v>410</v>
      </c>
      <c r="L921" s="55" t="s">
        <v>4833</v>
      </c>
      <c r="M921" s="55" t="s">
        <v>103</v>
      </c>
      <c r="N921" s="132"/>
      <c r="O921" s="55" t="s">
        <v>1556</v>
      </c>
      <c r="P921" s="55" t="s">
        <v>4834</v>
      </c>
      <c r="Q921" s="55" t="s">
        <v>43</v>
      </c>
      <c r="R921" s="55" t="s">
        <v>4835</v>
      </c>
      <c r="S921" s="58"/>
      <c r="T921" s="51">
        <v>4.0</v>
      </c>
      <c r="U921" s="51"/>
      <c r="V921" s="51" t="s">
        <v>4836</v>
      </c>
      <c r="W921" s="51" t="s">
        <v>2821</v>
      </c>
      <c r="X921" s="74"/>
      <c r="Y921" s="74"/>
      <c r="Z921" s="76"/>
      <c r="AA921" s="134"/>
      <c r="AB921" s="62" t="s">
        <v>4837</v>
      </c>
      <c r="AC921" s="63" t="s">
        <v>4838</v>
      </c>
      <c r="AD921" s="64">
        <v>3.8</v>
      </c>
      <c r="AE921" s="64" t="s">
        <v>4839</v>
      </c>
      <c r="AF921" s="63" t="s">
        <v>400</v>
      </c>
      <c r="AG921" s="63" t="s">
        <v>400</v>
      </c>
      <c r="AH921" s="63" t="s">
        <v>857</v>
      </c>
      <c r="AI921" s="65" t="s">
        <v>2612</v>
      </c>
      <c r="AJ921" s="66" t="s">
        <v>61</v>
      </c>
      <c r="AK921" s="60"/>
    </row>
    <row r="922" ht="24.0" customHeight="1">
      <c r="A922" s="35"/>
      <c r="B922" s="36">
        <v>1.0</v>
      </c>
      <c r="C922" s="37" t="str">
        <f>IFERROR(__xludf.DUMMYFUNCTION("""COMPUTED_VALUE"""),"Mason Bruesch (XX) - '27 RHP IL")</f>
        <v>Mason Bruesch (XX) - '27 RHP IL</v>
      </c>
      <c r="D922" s="38" t="s">
        <v>4840</v>
      </c>
      <c r="E922" s="39" t="s">
        <v>63</v>
      </c>
      <c r="F922" s="118">
        <v>45865.0</v>
      </c>
      <c r="G922" s="113" t="s">
        <v>1395</v>
      </c>
      <c r="H922" s="42" t="s">
        <v>1057</v>
      </c>
      <c r="I922" s="43" t="s">
        <v>4841</v>
      </c>
      <c r="J922" s="43">
        <v>2027.0</v>
      </c>
      <c r="K922" s="43" t="s">
        <v>410</v>
      </c>
      <c r="L922" s="43" t="s">
        <v>4842</v>
      </c>
      <c r="M922" s="43" t="s">
        <v>63</v>
      </c>
      <c r="N922" s="117"/>
      <c r="O922" s="43" t="s">
        <v>1550</v>
      </c>
      <c r="P922" s="43" t="s">
        <v>4843</v>
      </c>
      <c r="Q922" s="43" t="s">
        <v>307</v>
      </c>
      <c r="R922" s="43" t="s">
        <v>4843</v>
      </c>
      <c r="S922" s="44"/>
      <c r="T922" s="39">
        <v>3.83</v>
      </c>
      <c r="U922" s="39"/>
      <c r="V922" s="39" t="s">
        <v>4844</v>
      </c>
      <c r="W922" s="39" t="s">
        <v>2821</v>
      </c>
      <c r="X922" s="81"/>
      <c r="Y922" s="81"/>
      <c r="Z922" s="82"/>
      <c r="AA922" s="99"/>
      <c r="AB922" s="48" t="s">
        <v>61</v>
      </c>
      <c r="AC922" s="68" t="s">
        <v>61</v>
      </c>
      <c r="AD922" s="69" t="s">
        <v>61</v>
      </c>
      <c r="AE922" s="69" t="s">
        <v>61</v>
      </c>
      <c r="AF922" s="68" t="s">
        <v>61</v>
      </c>
      <c r="AG922" s="68" t="s">
        <v>61</v>
      </c>
      <c r="AH922" s="68" t="s">
        <v>61</v>
      </c>
      <c r="AI922" s="70" t="s">
        <v>61</v>
      </c>
      <c r="AJ922" s="49" t="s">
        <v>61</v>
      </c>
      <c r="AK922" s="46"/>
    </row>
    <row r="923" ht="24.0" customHeight="1">
      <c r="A923" s="35"/>
      <c r="B923" s="36">
        <v>1.0</v>
      </c>
      <c r="C923" s="37" t="str">
        <f>IFERROR(__xludf.DUMMYFUNCTION("""COMPUTED_VALUE"""),"Easton Brunson (XX) - '27 OF TX")</f>
        <v>Easton Brunson (XX) - '27 OF TX</v>
      </c>
      <c r="D923" s="38" t="s">
        <v>4845</v>
      </c>
      <c r="E923" s="51" t="s">
        <v>103</v>
      </c>
      <c r="F923" s="119">
        <v>45865.0</v>
      </c>
      <c r="G923" s="116" t="s">
        <v>1395</v>
      </c>
      <c r="H923" s="54" t="s">
        <v>729</v>
      </c>
      <c r="I923" s="55" t="s">
        <v>4846</v>
      </c>
      <c r="J923" s="55">
        <v>2027.0</v>
      </c>
      <c r="K923" s="55" t="s">
        <v>410</v>
      </c>
      <c r="L923" s="55" t="s">
        <v>4847</v>
      </c>
      <c r="M923" s="55" t="s">
        <v>103</v>
      </c>
      <c r="N923" s="132"/>
      <c r="O923" s="55" t="s">
        <v>1989</v>
      </c>
      <c r="P923" s="55" t="s">
        <v>4848</v>
      </c>
      <c r="Q923" s="55" t="s">
        <v>180</v>
      </c>
      <c r="R923" s="55" t="s">
        <v>4849</v>
      </c>
      <c r="S923" s="58"/>
      <c r="T923" s="51"/>
      <c r="U923" s="51"/>
      <c r="V923" s="51" t="s">
        <v>4850</v>
      </c>
      <c r="W923" s="51" t="s">
        <v>2821</v>
      </c>
      <c r="X923" s="74"/>
      <c r="Y923" s="74"/>
      <c r="Z923" s="76"/>
      <c r="AA923" s="134"/>
      <c r="AB923" s="62" t="s">
        <v>61</v>
      </c>
      <c r="AC923" s="63" t="s">
        <v>61</v>
      </c>
      <c r="AD923" s="64" t="s">
        <v>61</v>
      </c>
      <c r="AE923" s="64" t="s">
        <v>61</v>
      </c>
      <c r="AF923" s="63" t="s">
        <v>61</v>
      </c>
      <c r="AG923" s="63" t="s">
        <v>61</v>
      </c>
      <c r="AH923" s="63" t="s">
        <v>61</v>
      </c>
      <c r="AI923" s="65" t="s">
        <v>61</v>
      </c>
      <c r="AJ923" s="66" t="s">
        <v>61</v>
      </c>
      <c r="AK923" s="60"/>
    </row>
    <row r="924" ht="24.0" customHeight="1">
      <c r="A924" s="35"/>
      <c r="B924" s="36">
        <v>1.0</v>
      </c>
      <c r="C924" s="37" t="str">
        <f>IFERROR(__xludf.DUMMYFUNCTION("""COMPUTED_VALUE"""),"Patrick Bryan (XX) - '27 C MA")</f>
        <v>Patrick Bryan (XX) - '27 C MA</v>
      </c>
      <c r="D924" s="38" t="s">
        <v>4851</v>
      </c>
      <c r="E924" s="39" t="s">
        <v>109</v>
      </c>
      <c r="F924" s="118"/>
      <c r="G924" s="113" t="s">
        <v>1395</v>
      </c>
      <c r="H924" s="42" t="s">
        <v>70</v>
      </c>
      <c r="I924" s="43" t="s">
        <v>4852</v>
      </c>
      <c r="J924" s="43">
        <v>2027.0</v>
      </c>
      <c r="K924" s="43" t="s">
        <v>410</v>
      </c>
      <c r="L924" s="43" t="s">
        <v>4853</v>
      </c>
      <c r="M924" s="43" t="s">
        <v>109</v>
      </c>
      <c r="N924" s="117" t="s">
        <v>63</v>
      </c>
      <c r="O924" s="43" t="s">
        <v>2324</v>
      </c>
      <c r="P924" s="43"/>
      <c r="Q924" s="43" t="s">
        <v>85</v>
      </c>
      <c r="R924" s="43" t="s">
        <v>86</v>
      </c>
      <c r="S924" s="44" t="s">
        <v>2486</v>
      </c>
      <c r="T924" s="39"/>
      <c r="U924" s="39"/>
      <c r="V924" s="39"/>
      <c r="W924" s="39"/>
      <c r="X924" s="81"/>
      <c r="Y924" s="81"/>
      <c r="Z924" s="82"/>
      <c r="AA924" s="99"/>
      <c r="AB924" s="48" t="s">
        <v>61</v>
      </c>
      <c r="AC924" s="68" t="s">
        <v>61</v>
      </c>
      <c r="AD924" s="69" t="s">
        <v>61</v>
      </c>
      <c r="AE924" s="69" t="s">
        <v>61</v>
      </c>
      <c r="AF924" s="68" t="s">
        <v>61</v>
      </c>
      <c r="AG924" s="68" t="s">
        <v>61</v>
      </c>
      <c r="AH924" s="68" t="s">
        <v>61</v>
      </c>
      <c r="AI924" s="70" t="s">
        <v>61</v>
      </c>
      <c r="AJ924" s="49" t="s">
        <v>61</v>
      </c>
      <c r="AK924" s="46"/>
    </row>
    <row r="925" ht="24.0" customHeight="1">
      <c r="A925" s="35"/>
      <c r="B925" s="36">
        <v>1.0</v>
      </c>
      <c r="C925" s="37" t="str">
        <f>IFERROR(__xludf.DUMMYFUNCTION("""COMPUTED_VALUE"""),"Jackie Bryant (XX) - '27 OF TX")</f>
        <v>Jackie Bryant (XX) - '27 OF TX</v>
      </c>
      <c r="D925" s="38" t="s">
        <v>4854</v>
      </c>
      <c r="E925" s="51" t="s">
        <v>103</v>
      </c>
      <c r="F925" s="119">
        <v>45865.0</v>
      </c>
      <c r="G925" s="116" t="s">
        <v>1470</v>
      </c>
      <c r="H925" s="54" t="s">
        <v>4855</v>
      </c>
      <c r="I925" s="55" t="s">
        <v>2589</v>
      </c>
      <c r="J925" s="55">
        <v>2027.0</v>
      </c>
      <c r="K925" s="55" t="s">
        <v>410</v>
      </c>
      <c r="L925" s="55" t="s">
        <v>2679</v>
      </c>
      <c r="M925" s="55" t="s">
        <v>103</v>
      </c>
      <c r="N925" s="132"/>
      <c r="O925" s="55" t="s">
        <v>1550</v>
      </c>
      <c r="P925" s="55" t="s">
        <v>4856</v>
      </c>
      <c r="Q925" s="55" t="s">
        <v>180</v>
      </c>
      <c r="R925" s="55" t="s">
        <v>4857</v>
      </c>
      <c r="S925" s="58"/>
      <c r="T925" s="51"/>
      <c r="U925" s="51"/>
      <c r="V925" s="51" t="s">
        <v>4858</v>
      </c>
      <c r="W925" s="51" t="s">
        <v>2821</v>
      </c>
      <c r="X925" s="74"/>
      <c r="Y925" s="74"/>
      <c r="Z925" s="76"/>
      <c r="AA925" s="134"/>
      <c r="AB925" s="62" t="s">
        <v>61</v>
      </c>
      <c r="AC925" s="63" t="s">
        <v>61</v>
      </c>
      <c r="AD925" s="64" t="s">
        <v>61</v>
      </c>
      <c r="AE925" s="64" t="s">
        <v>61</v>
      </c>
      <c r="AF925" s="63" t="s">
        <v>61</v>
      </c>
      <c r="AG925" s="63" t="s">
        <v>61</v>
      </c>
      <c r="AH925" s="63" t="s">
        <v>61</v>
      </c>
      <c r="AI925" s="65" t="s">
        <v>61</v>
      </c>
      <c r="AJ925" s="66" t="s">
        <v>61</v>
      </c>
      <c r="AK925" s="60"/>
    </row>
    <row r="926" ht="24.0" customHeight="1">
      <c r="A926" s="35"/>
      <c r="B926" s="36">
        <v>1.0</v>
      </c>
      <c r="C926" s="37" t="str">
        <f>IFERROR(__xludf.DUMMYFUNCTION("""COMPUTED_VALUE"""),"Rocco Bucci (XX) - '27 OF OH")</f>
        <v>Rocco Bucci (XX) - '27 OF OH</v>
      </c>
      <c r="D926" s="38" t="s">
        <v>4859</v>
      </c>
      <c r="E926" s="39" t="s">
        <v>103</v>
      </c>
      <c r="F926" s="118">
        <v>45865.0</v>
      </c>
      <c r="G926" s="113" t="s">
        <v>1395</v>
      </c>
      <c r="H926" s="42" t="s">
        <v>1521</v>
      </c>
      <c r="I926" s="43" t="s">
        <v>4860</v>
      </c>
      <c r="J926" s="43">
        <v>2027.0</v>
      </c>
      <c r="K926" s="43" t="s">
        <v>410</v>
      </c>
      <c r="L926" s="43" t="s">
        <v>2123</v>
      </c>
      <c r="M926" s="43" t="s">
        <v>103</v>
      </c>
      <c r="N926" s="117"/>
      <c r="O926" s="43" t="s">
        <v>1556</v>
      </c>
      <c r="P926" s="43" t="s">
        <v>4861</v>
      </c>
      <c r="Q926" s="43" t="s">
        <v>529</v>
      </c>
      <c r="R926" s="43" t="s">
        <v>4862</v>
      </c>
      <c r="S926" s="44"/>
      <c r="T926" s="39">
        <v>4.0</v>
      </c>
      <c r="U926" s="39"/>
      <c r="V926" s="39" t="s">
        <v>4863</v>
      </c>
      <c r="W926" s="39" t="s">
        <v>2821</v>
      </c>
      <c r="X926" s="81"/>
      <c r="Y926" s="81"/>
      <c r="Z926" s="82"/>
      <c r="AA926" s="99"/>
      <c r="AB926" s="48" t="s">
        <v>61</v>
      </c>
      <c r="AC926" s="68" t="s">
        <v>61</v>
      </c>
      <c r="AD926" s="69" t="s">
        <v>61</v>
      </c>
      <c r="AE926" s="69" t="s">
        <v>61</v>
      </c>
      <c r="AF926" s="68" t="s">
        <v>61</v>
      </c>
      <c r="AG926" s="68" t="s">
        <v>61</v>
      </c>
      <c r="AH926" s="68" t="s">
        <v>61</v>
      </c>
      <c r="AI926" s="70" t="s">
        <v>61</v>
      </c>
      <c r="AJ926" s="49" t="s">
        <v>61</v>
      </c>
      <c r="AK926" s="46"/>
    </row>
    <row r="927" ht="24.0" customHeight="1">
      <c r="A927" s="35"/>
      <c r="B927" s="36">
        <v>1.0</v>
      </c>
      <c r="C927" s="37" t="str">
        <f>IFERROR(__xludf.DUMMYFUNCTION("""COMPUTED_VALUE"""),"Trent Buckley (XX) - '27 1B MS")</f>
        <v>Trent Buckley (XX) - '27 1B MS</v>
      </c>
      <c r="D927" s="38" t="s">
        <v>4864</v>
      </c>
      <c r="E927" s="51" t="s">
        <v>48</v>
      </c>
      <c r="F927" s="119">
        <v>45865.0</v>
      </c>
      <c r="G927" s="116" t="s">
        <v>1395</v>
      </c>
      <c r="H927" s="54" t="s">
        <v>187</v>
      </c>
      <c r="I927" s="55" t="s">
        <v>4865</v>
      </c>
      <c r="J927" s="55">
        <v>2027.0</v>
      </c>
      <c r="K927" s="55" t="s">
        <v>410</v>
      </c>
      <c r="L927" s="55" t="s">
        <v>4866</v>
      </c>
      <c r="M927" s="55" t="s">
        <v>1972</v>
      </c>
      <c r="N927" s="132"/>
      <c r="O927" s="55" t="s">
        <v>1989</v>
      </c>
      <c r="P927" s="55" t="s">
        <v>2538</v>
      </c>
      <c r="Q927" s="55" t="s">
        <v>483</v>
      </c>
      <c r="R927" s="55" t="s">
        <v>434</v>
      </c>
      <c r="S927" s="58"/>
      <c r="T927" s="51">
        <v>4.0</v>
      </c>
      <c r="U927" s="51"/>
      <c r="V927" s="51" t="s">
        <v>4867</v>
      </c>
      <c r="W927" s="51" t="s">
        <v>2821</v>
      </c>
      <c r="X927" s="74"/>
      <c r="Y927" s="74"/>
      <c r="Z927" s="76"/>
      <c r="AA927" s="134"/>
      <c r="AB927" s="62" t="s">
        <v>61</v>
      </c>
      <c r="AC927" s="63" t="s">
        <v>61</v>
      </c>
      <c r="AD927" s="64" t="s">
        <v>61</v>
      </c>
      <c r="AE927" s="64" t="s">
        <v>61</v>
      </c>
      <c r="AF927" s="63" t="s">
        <v>61</v>
      </c>
      <c r="AG927" s="63" t="s">
        <v>61</v>
      </c>
      <c r="AH927" s="63" t="s">
        <v>61</v>
      </c>
      <c r="AI927" s="65" t="s">
        <v>61</v>
      </c>
      <c r="AJ927" s="66" t="s">
        <v>61</v>
      </c>
      <c r="AK927" s="60"/>
    </row>
    <row r="928" ht="24.0" customHeight="1">
      <c r="A928" s="35"/>
      <c r="B928" s="36">
        <v>1.0</v>
      </c>
      <c r="C928" s="37" t="str">
        <f>IFERROR(__xludf.DUMMYFUNCTION("""COMPUTED_VALUE"""),"Jacob Budarz (XX) - '27 C CT")</f>
        <v>Jacob Budarz (XX) - '27 C CT</v>
      </c>
      <c r="D928" s="38" t="s">
        <v>4868</v>
      </c>
      <c r="E928" s="39" t="s">
        <v>109</v>
      </c>
      <c r="F928" s="118"/>
      <c r="G928" s="113" t="s">
        <v>1395</v>
      </c>
      <c r="H928" s="42" t="s">
        <v>284</v>
      </c>
      <c r="I928" s="43" t="s">
        <v>4869</v>
      </c>
      <c r="J928" s="43">
        <v>2027.0</v>
      </c>
      <c r="K928" s="43" t="s">
        <v>410</v>
      </c>
      <c r="L928" s="43" t="s">
        <v>4870</v>
      </c>
      <c r="M928" s="43" t="s">
        <v>109</v>
      </c>
      <c r="N928" s="117"/>
      <c r="O928" s="43" t="s">
        <v>1550</v>
      </c>
      <c r="P928" s="43"/>
      <c r="Q928" s="43" t="s">
        <v>160</v>
      </c>
      <c r="R928" s="43"/>
      <c r="S928" s="44" t="s">
        <v>3377</v>
      </c>
      <c r="T928" s="39"/>
      <c r="U928" s="39"/>
      <c r="V928" s="39"/>
      <c r="W928" s="39"/>
      <c r="X928" s="81"/>
      <c r="Y928" s="81"/>
      <c r="Z928" s="82"/>
      <c r="AA928" s="99"/>
      <c r="AB928" s="48" t="s">
        <v>4871</v>
      </c>
      <c r="AC928" s="68" t="s">
        <v>4872</v>
      </c>
      <c r="AD928" s="69">
        <v>3.7</v>
      </c>
      <c r="AE928" s="69" t="s">
        <v>400</v>
      </c>
      <c r="AF928" s="68" t="s">
        <v>400</v>
      </c>
      <c r="AG928" s="68" t="s">
        <v>400</v>
      </c>
      <c r="AH928" s="68" t="s">
        <v>400</v>
      </c>
      <c r="AI928" s="70" t="s">
        <v>400</v>
      </c>
      <c r="AJ928" s="49" t="s">
        <v>61</v>
      </c>
      <c r="AK928" s="46"/>
    </row>
    <row r="929" ht="24.0" customHeight="1">
      <c r="A929" s="35"/>
      <c r="B929" s="36">
        <v>1.0</v>
      </c>
      <c r="C929" s="37" t="str">
        <f>IFERROR(__xludf.DUMMYFUNCTION("""COMPUTED_VALUE"""),"Cooper Burti (XX) - '27 LHP NJ")</f>
        <v>Cooper Burti (XX) - '27 LHP NJ</v>
      </c>
      <c r="D929" s="38" t="s">
        <v>4873</v>
      </c>
      <c r="E929" s="51" t="s">
        <v>122</v>
      </c>
      <c r="F929" s="119"/>
      <c r="G929" s="116" t="s">
        <v>1395</v>
      </c>
      <c r="H929" s="54" t="s">
        <v>696</v>
      </c>
      <c r="I929" s="55" t="s">
        <v>4874</v>
      </c>
      <c r="J929" s="55">
        <v>2027.0</v>
      </c>
      <c r="K929" s="55" t="s">
        <v>410</v>
      </c>
      <c r="L929" s="55" t="s">
        <v>4875</v>
      </c>
      <c r="M929" s="55" t="s">
        <v>122</v>
      </c>
      <c r="N929" s="132"/>
      <c r="O929" s="55" t="s">
        <v>1556</v>
      </c>
      <c r="P929" s="55"/>
      <c r="Q929" s="55" t="s">
        <v>502</v>
      </c>
      <c r="R929" s="55" t="s">
        <v>4876</v>
      </c>
      <c r="S929" s="58" t="s">
        <v>4877</v>
      </c>
      <c r="T929" s="51"/>
      <c r="U929" s="51"/>
      <c r="V929" s="51"/>
      <c r="W929" s="51"/>
      <c r="X929" s="74"/>
      <c r="Y929" s="74"/>
      <c r="Z929" s="76"/>
      <c r="AA929" s="134"/>
      <c r="AB929" s="62" t="s">
        <v>61</v>
      </c>
      <c r="AC929" s="63" t="s">
        <v>61</v>
      </c>
      <c r="AD929" s="64" t="s">
        <v>61</v>
      </c>
      <c r="AE929" s="64" t="s">
        <v>61</v>
      </c>
      <c r="AF929" s="63" t="s">
        <v>61</v>
      </c>
      <c r="AG929" s="63" t="s">
        <v>61</v>
      </c>
      <c r="AH929" s="63" t="s">
        <v>61</v>
      </c>
      <c r="AI929" s="65" t="s">
        <v>61</v>
      </c>
      <c r="AJ929" s="66" t="s">
        <v>61</v>
      </c>
      <c r="AK929" s="60"/>
    </row>
    <row r="930" ht="24.0" customHeight="1">
      <c r="A930" s="35"/>
      <c r="B930" s="36">
        <v>1.0</v>
      </c>
      <c r="C930" s="37" t="str">
        <f>IFERROR(__xludf.DUMMYFUNCTION("""COMPUTED_VALUE"""),"Kenson Buth (XX) - '27 SS TX")</f>
        <v>Kenson Buth (XX) - '27 SS TX</v>
      </c>
      <c r="D930" s="38" t="s">
        <v>4878</v>
      </c>
      <c r="E930" s="39" t="s">
        <v>48</v>
      </c>
      <c r="F930" s="118">
        <v>45865.0</v>
      </c>
      <c r="G930" s="113" t="s">
        <v>1470</v>
      </c>
      <c r="H930" s="42" t="s">
        <v>4879</v>
      </c>
      <c r="I930" s="43" t="s">
        <v>4880</v>
      </c>
      <c r="J930" s="43">
        <v>2027.0</v>
      </c>
      <c r="K930" s="43" t="s">
        <v>410</v>
      </c>
      <c r="L930" s="43" t="s">
        <v>482</v>
      </c>
      <c r="M930" s="43" t="s">
        <v>1398</v>
      </c>
      <c r="N930" s="117"/>
      <c r="O930" s="43" t="s">
        <v>1989</v>
      </c>
      <c r="P930" s="43" t="s">
        <v>4881</v>
      </c>
      <c r="Q930" s="43" t="s">
        <v>180</v>
      </c>
      <c r="R930" s="43" t="s">
        <v>3751</v>
      </c>
      <c r="S930" s="44"/>
      <c r="T930" s="39">
        <v>4.0</v>
      </c>
      <c r="U930" s="39"/>
      <c r="V930" s="39" t="s">
        <v>4882</v>
      </c>
      <c r="W930" s="39" t="s">
        <v>2821</v>
      </c>
      <c r="X930" s="81"/>
      <c r="Y930" s="81"/>
      <c r="Z930" s="82"/>
      <c r="AA930" s="99"/>
      <c r="AB930" s="48" t="s">
        <v>61</v>
      </c>
      <c r="AC930" s="68" t="s">
        <v>61</v>
      </c>
      <c r="AD930" s="69" t="s">
        <v>61</v>
      </c>
      <c r="AE930" s="69" t="s">
        <v>61</v>
      </c>
      <c r="AF930" s="68" t="s">
        <v>61</v>
      </c>
      <c r="AG930" s="68" t="s">
        <v>61</v>
      </c>
      <c r="AH930" s="68" t="s">
        <v>61</v>
      </c>
      <c r="AI930" s="70" t="s">
        <v>61</v>
      </c>
      <c r="AJ930" s="49" t="s">
        <v>61</v>
      </c>
      <c r="AK930" s="46"/>
    </row>
    <row r="931" ht="24.0" customHeight="1">
      <c r="A931" s="35"/>
      <c r="B931" s="36">
        <v>1.0</v>
      </c>
      <c r="C931" s="37" t="str">
        <f>IFERROR(__xludf.DUMMYFUNCTION("""COMPUTED_VALUE"""),"Hector Cadena (XX) - '27 CINF TX")</f>
        <v>Hector Cadena (XX) - '27 CINF TX</v>
      </c>
      <c r="D931" s="38" t="s">
        <v>4883</v>
      </c>
      <c r="E931" s="51" t="s">
        <v>48</v>
      </c>
      <c r="F931" s="119">
        <v>45865.0</v>
      </c>
      <c r="G931" s="116" t="s">
        <v>1470</v>
      </c>
      <c r="H931" s="54" t="s">
        <v>4884</v>
      </c>
      <c r="I931" s="55" t="s">
        <v>4885</v>
      </c>
      <c r="J931" s="55">
        <v>2027.0</v>
      </c>
      <c r="K931" s="55" t="s">
        <v>410</v>
      </c>
      <c r="L931" s="55" t="s">
        <v>4886</v>
      </c>
      <c r="M931" s="55" t="s">
        <v>72</v>
      </c>
      <c r="N931" s="132"/>
      <c r="O931" s="55" t="s">
        <v>1550</v>
      </c>
      <c r="P931" s="55" t="s">
        <v>4887</v>
      </c>
      <c r="Q931" s="55" t="s">
        <v>180</v>
      </c>
      <c r="R931" s="55" t="s">
        <v>4888</v>
      </c>
      <c r="S931" s="58"/>
      <c r="T931" s="51">
        <v>4.0</v>
      </c>
      <c r="U931" s="51"/>
      <c r="V931" s="51" t="s">
        <v>4889</v>
      </c>
      <c r="W931" s="51" t="s">
        <v>2821</v>
      </c>
      <c r="X931" s="74"/>
      <c r="Y931" s="74"/>
      <c r="Z931" s="76"/>
      <c r="AA931" s="134"/>
      <c r="AB931" s="62" t="s">
        <v>61</v>
      </c>
      <c r="AC931" s="63" t="s">
        <v>61</v>
      </c>
      <c r="AD931" s="64" t="s">
        <v>61</v>
      </c>
      <c r="AE931" s="64" t="s">
        <v>61</v>
      </c>
      <c r="AF931" s="63" t="s">
        <v>61</v>
      </c>
      <c r="AG931" s="63" t="s">
        <v>61</v>
      </c>
      <c r="AH931" s="63" t="s">
        <v>61</v>
      </c>
      <c r="AI931" s="65" t="s">
        <v>61</v>
      </c>
      <c r="AJ931" s="66" t="s">
        <v>61</v>
      </c>
      <c r="AK931" s="60"/>
    </row>
    <row r="932" ht="24.0" customHeight="1">
      <c r="A932" s="35"/>
      <c r="B932" s="36">
        <v>1.0</v>
      </c>
      <c r="C932" s="37" t="str">
        <f>IFERROR(__xludf.DUMMYFUNCTION("""COMPUTED_VALUE"""),"Bear Calvo (XX) - '27 MINF CA")</f>
        <v>Bear Calvo (XX) - '27 MINF CA</v>
      </c>
      <c r="D932" s="38" t="s">
        <v>4890</v>
      </c>
      <c r="E932" s="39" t="s">
        <v>48</v>
      </c>
      <c r="F932" s="118">
        <v>45869.0</v>
      </c>
      <c r="G932" s="113" t="s">
        <v>1395</v>
      </c>
      <c r="H932" s="42" t="s">
        <v>4891</v>
      </c>
      <c r="I932" s="43" t="s">
        <v>4892</v>
      </c>
      <c r="J932" s="43">
        <v>2027.0</v>
      </c>
      <c r="K932" s="43" t="s">
        <v>410</v>
      </c>
      <c r="L932" s="43" t="s">
        <v>4893</v>
      </c>
      <c r="M932" s="43" t="s">
        <v>51</v>
      </c>
      <c r="N932" s="117"/>
      <c r="O932" s="43" t="s">
        <v>1550</v>
      </c>
      <c r="P932" s="43" t="s">
        <v>4894</v>
      </c>
      <c r="Q932" s="43" t="s">
        <v>52</v>
      </c>
      <c r="R932" s="43" t="s">
        <v>4895</v>
      </c>
      <c r="S932" s="44"/>
      <c r="T932" s="39">
        <v>4.0</v>
      </c>
      <c r="U932" s="39"/>
      <c r="V932" s="39">
        <v>7.148532492E9</v>
      </c>
      <c r="W932" s="39"/>
      <c r="X932" s="81"/>
      <c r="Y932" s="81"/>
      <c r="Z932" s="82"/>
      <c r="AA932" s="99" t="s">
        <v>4896</v>
      </c>
      <c r="AB932" s="48" t="s">
        <v>61</v>
      </c>
      <c r="AC932" s="68" t="s">
        <v>61</v>
      </c>
      <c r="AD932" s="69" t="s">
        <v>61</v>
      </c>
      <c r="AE932" s="69" t="s">
        <v>61</v>
      </c>
      <c r="AF932" s="68" t="s">
        <v>61</v>
      </c>
      <c r="AG932" s="68" t="s">
        <v>61</v>
      </c>
      <c r="AH932" s="68" t="s">
        <v>61</v>
      </c>
      <c r="AI932" s="70" t="s">
        <v>61</v>
      </c>
      <c r="AJ932" s="49" t="s">
        <v>61</v>
      </c>
      <c r="AK932" s="46"/>
    </row>
    <row r="933" ht="24.0" customHeight="1">
      <c r="A933" s="35"/>
      <c r="B933" s="36">
        <v>1.0</v>
      </c>
      <c r="C933" s="37" t="str">
        <f>IFERROR(__xludf.DUMMYFUNCTION("""COMPUTED_VALUE"""),"Jacob Carrasco (XX) - '27 C PA")</f>
        <v>Jacob Carrasco (XX) - '27 C PA</v>
      </c>
      <c r="D933" s="38" t="s">
        <v>4897</v>
      </c>
      <c r="E933" s="51" t="s">
        <v>109</v>
      </c>
      <c r="F933" s="119"/>
      <c r="G933" s="116" t="s">
        <v>1395</v>
      </c>
      <c r="H933" s="54" t="s">
        <v>284</v>
      </c>
      <c r="I933" s="55" t="s">
        <v>4898</v>
      </c>
      <c r="J933" s="55">
        <v>2027.0</v>
      </c>
      <c r="K933" s="55" t="s">
        <v>410</v>
      </c>
      <c r="L933" s="55" t="s">
        <v>2789</v>
      </c>
      <c r="M933" s="55" t="s">
        <v>109</v>
      </c>
      <c r="N933" s="132"/>
      <c r="O933" s="55" t="s">
        <v>4899</v>
      </c>
      <c r="P933" s="55"/>
      <c r="Q933" s="55" t="s">
        <v>240</v>
      </c>
      <c r="R933" s="55" t="s">
        <v>4900</v>
      </c>
      <c r="S933" s="58" t="s">
        <v>2029</v>
      </c>
      <c r="T933" s="51"/>
      <c r="U933" s="51"/>
      <c r="V933" s="51"/>
      <c r="W933" s="51"/>
      <c r="X933" s="74"/>
      <c r="Y933" s="74"/>
      <c r="Z933" s="76"/>
      <c r="AA933" s="134"/>
      <c r="AB933" s="62" t="s">
        <v>61</v>
      </c>
      <c r="AC933" s="63" t="s">
        <v>61</v>
      </c>
      <c r="AD933" s="64" t="s">
        <v>61</v>
      </c>
      <c r="AE933" s="64" t="s">
        <v>61</v>
      </c>
      <c r="AF933" s="63" t="s">
        <v>61</v>
      </c>
      <c r="AG933" s="63" t="s">
        <v>61</v>
      </c>
      <c r="AH933" s="63" t="s">
        <v>61</v>
      </c>
      <c r="AI933" s="65" t="s">
        <v>61</v>
      </c>
      <c r="AJ933" s="66" t="s">
        <v>61</v>
      </c>
      <c r="AK933" s="60"/>
    </row>
    <row r="934" ht="24.0" customHeight="1">
      <c r="A934" s="35"/>
      <c r="B934" s="36">
        <v>1.0</v>
      </c>
      <c r="C934" s="37" t="str">
        <f>IFERROR(__xludf.DUMMYFUNCTION("""COMPUTED_VALUE"""),"Eli Cash (XX) - '27 RHP NC")</f>
        <v>Eli Cash (XX) - '27 RHP NC</v>
      </c>
      <c r="D934" s="38" t="s">
        <v>4901</v>
      </c>
      <c r="E934" s="39" t="s">
        <v>63</v>
      </c>
      <c r="F934" s="118">
        <v>45925.0</v>
      </c>
      <c r="G934" s="113" t="s">
        <v>1395</v>
      </c>
      <c r="H934" s="42" t="s">
        <v>747</v>
      </c>
      <c r="I934" s="43" t="s">
        <v>624</v>
      </c>
      <c r="J934" s="43">
        <v>2027.0</v>
      </c>
      <c r="K934" s="43" t="s">
        <v>410</v>
      </c>
      <c r="L934" s="43" t="s">
        <v>4902</v>
      </c>
      <c r="M934" s="43" t="s">
        <v>63</v>
      </c>
      <c r="N934" s="117"/>
      <c r="O934" s="43"/>
      <c r="P934" s="43" t="s">
        <v>4903</v>
      </c>
      <c r="Q934" s="43" t="s">
        <v>73</v>
      </c>
      <c r="R934" s="43" t="s">
        <v>4904</v>
      </c>
      <c r="S934" s="44" t="s">
        <v>2019</v>
      </c>
      <c r="T934" s="39"/>
      <c r="U934" s="39"/>
      <c r="V934" s="39"/>
      <c r="W934" s="39" t="s">
        <v>1564</v>
      </c>
      <c r="X934" s="81"/>
      <c r="Y934" s="81"/>
      <c r="Z934" s="82"/>
      <c r="AA934" s="99"/>
      <c r="AB934" s="48" t="s">
        <v>4905</v>
      </c>
      <c r="AC934" s="68" t="s">
        <v>4906</v>
      </c>
      <c r="AD934" s="69" t="s">
        <v>4907</v>
      </c>
      <c r="AE934" s="69" t="s">
        <v>3402</v>
      </c>
      <c r="AF934" s="68" t="s">
        <v>4908</v>
      </c>
      <c r="AG934" s="68" t="s">
        <v>4909</v>
      </c>
      <c r="AH934" s="68" t="s">
        <v>4910</v>
      </c>
      <c r="AI934" s="70" t="s">
        <v>81</v>
      </c>
      <c r="AJ934" s="49" t="s">
        <v>61</v>
      </c>
      <c r="AK934" s="46"/>
    </row>
    <row r="935" ht="24.0" customHeight="1">
      <c r="A935" s="35"/>
      <c r="B935" s="36">
        <v>1.0</v>
      </c>
      <c r="C935" s="37" t="str">
        <f>IFERROR(__xludf.DUMMYFUNCTION("""COMPUTED_VALUE"""),"Alejandro Chavez (XX) - '27 SS MN")</f>
        <v>Alejandro Chavez (XX) - '27 SS MN</v>
      </c>
      <c r="D935" s="38" t="s">
        <v>4911</v>
      </c>
      <c r="E935" s="51" t="s">
        <v>48</v>
      </c>
      <c r="F935" s="119">
        <v>45865.0</v>
      </c>
      <c r="G935" s="116" t="s">
        <v>1395</v>
      </c>
      <c r="H935" s="54" t="s">
        <v>3504</v>
      </c>
      <c r="I935" s="55" t="s">
        <v>4912</v>
      </c>
      <c r="J935" s="55">
        <v>2027.0</v>
      </c>
      <c r="K935" s="55" t="s">
        <v>410</v>
      </c>
      <c r="L935" s="55"/>
      <c r="M935" s="55" t="s">
        <v>1398</v>
      </c>
      <c r="N935" s="132"/>
      <c r="O935" s="55" t="s">
        <v>1550</v>
      </c>
      <c r="P935" s="55" t="s">
        <v>4913</v>
      </c>
      <c r="Q935" s="55" t="s">
        <v>448</v>
      </c>
      <c r="R935" s="55" t="s">
        <v>4914</v>
      </c>
      <c r="S935" s="58"/>
      <c r="T935" s="51">
        <v>3.92</v>
      </c>
      <c r="U935" s="51"/>
      <c r="V935" s="51" t="s">
        <v>4915</v>
      </c>
      <c r="W935" s="51" t="s">
        <v>2821</v>
      </c>
      <c r="X935" s="74"/>
      <c r="Y935" s="74"/>
      <c r="Z935" s="76"/>
      <c r="AA935" s="134"/>
      <c r="AB935" s="62" t="s">
        <v>61</v>
      </c>
      <c r="AC935" s="63" t="s">
        <v>61</v>
      </c>
      <c r="AD935" s="64" t="s">
        <v>61</v>
      </c>
      <c r="AE935" s="64" t="s">
        <v>61</v>
      </c>
      <c r="AF935" s="63" t="s">
        <v>61</v>
      </c>
      <c r="AG935" s="63" t="s">
        <v>61</v>
      </c>
      <c r="AH935" s="63" t="s">
        <v>61</v>
      </c>
      <c r="AI935" s="65" t="s">
        <v>61</v>
      </c>
      <c r="AJ935" s="66" t="s">
        <v>61</v>
      </c>
      <c r="AK935" s="60"/>
    </row>
    <row r="936" ht="24.0" customHeight="1">
      <c r="A936" s="35"/>
      <c r="B936" s="36">
        <v>1.0</v>
      </c>
      <c r="C936" s="37" t="str">
        <f>IFERROR(__xludf.DUMMYFUNCTION("""COMPUTED_VALUE"""),"Noah Chrabolowski (XX) - '27 RHP NH")</f>
        <v>Noah Chrabolowski (XX) - '27 RHP NH</v>
      </c>
      <c r="D936" s="38" t="s">
        <v>4916</v>
      </c>
      <c r="E936" s="39" t="s">
        <v>63</v>
      </c>
      <c r="F936" s="112"/>
      <c r="G936" s="113" t="s">
        <v>1395</v>
      </c>
      <c r="H936" s="42" t="s">
        <v>49</v>
      </c>
      <c r="I936" s="43" t="s">
        <v>4917</v>
      </c>
      <c r="J936" s="195">
        <v>2027.0</v>
      </c>
      <c r="K936" s="43" t="s">
        <v>410</v>
      </c>
      <c r="L936" s="44" t="s">
        <v>1994</v>
      </c>
      <c r="M936" s="43" t="s">
        <v>63</v>
      </c>
      <c r="N936" s="44"/>
      <c r="O936" s="43"/>
      <c r="P936" s="43"/>
      <c r="Q936" s="43" t="s">
        <v>942</v>
      </c>
      <c r="R936" s="43" t="s">
        <v>4918</v>
      </c>
      <c r="S936" s="44" t="s">
        <v>4919</v>
      </c>
      <c r="T936" s="81"/>
      <c r="U936" s="81"/>
      <c r="V936" s="81"/>
      <c r="W936" s="81"/>
      <c r="X936" s="81"/>
      <c r="Y936" s="81"/>
      <c r="Z936" s="82"/>
      <c r="AA936" s="99"/>
      <c r="AB936" s="48" t="s">
        <v>61</v>
      </c>
      <c r="AC936" s="68" t="s">
        <v>61</v>
      </c>
      <c r="AD936" s="69" t="s">
        <v>61</v>
      </c>
      <c r="AE936" s="69" t="s">
        <v>61</v>
      </c>
      <c r="AF936" s="68" t="s">
        <v>61</v>
      </c>
      <c r="AG936" s="68" t="s">
        <v>61</v>
      </c>
      <c r="AH936" s="68" t="s">
        <v>61</v>
      </c>
      <c r="AI936" s="70" t="s">
        <v>61</v>
      </c>
      <c r="AJ936" s="49" t="s">
        <v>61</v>
      </c>
      <c r="AK936" s="46"/>
    </row>
    <row r="937" ht="24.0" customHeight="1">
      <c r="A937" s="35"/>
      <c r="B937" s="36">
        <v>1.0</v>
      </c>
      <c r="C937" s="37" t="str">
        <f>IFERROR(__xludf.DUMMYFUNCTION("""COMPUTED_VALUE"""),"Jonah Cohen (XX) - '27 RHP CA")</f>
        <v>Jonah Cohen (XX) - '27 RHP CA</v>
      </c>
      <c r="D937" s="38" t="s">
        <v>4920</v>
      </c>
      <c r="E937" s="51" t="s">
        <v>63</v>
      </c>
      <c r="F937" s="119">
        <v>45865.0</v>
      </c>
      <c r="G937" s="116" t="s">
        <v>1470</v>
      </c>
      <c r="H937" s="54" t="s">
        <v>4921</v>
      </c>
      <c r="I937" s="55" t="s">
        <v>1659</v>
      </c>
      <c r="J937" s="55">
        <v>2027.0</v>
      </c>
      <c r="K937" s="55" t="s">
        <v>410</v>
      </c>
      <c r="L937" s="55" t="s">
        <v>2018</v>
      </c>
      <c r="M937" s="55" t="s">
        <v>63</v>
      </c>
      <c r="N937" s="132"/>
      <c r="O937" s="55" t="s">
        <v>1550</v>
      </c>
      <c r="P937" s="55" t="s">
        <v>4922</v>
      </c>
      <c r="Q937" s="55" t="s">
        <v>52</v>
      </c>
      <c r="R937" s="55" t="s">
        <v>2527</v>
      </c>
      <c r="S937" s="58"/>
      <c r="T937" s="51">
        <v>3.7</v>
      </c>
      <c r="U937" s="51"/>
      <c r="V937" s="51" t="s">
        <v>4923</v>
      </c>
      <c r="W937" s="51" t="s">
        <v>2821</v>
      </c>
      <c r="X937" s="74"/>
      <c r="Y937" s="74"/>
      <c r="Z937" s="76"/>
      <c r="AA937" s="134" t="s">
        <v>4924</v>
      </c>
      <c r="AB937" s="62" t="s">
        <v>61</v>
      </c>
      <c r="AC937" s="63" t="s">
        <v>61</v>
      </c>
      <c r="AD937" s="64" t="s">
        <v>61</v>
      </c>
      <c r="AE937" s="64" t="s">
        <v>61</v>
      </c>
      <c r="AF937" s="63" t="s">
        <v>61</v>
      </c>
      <c r="AG937" s="63" t="s">
        <v>61</v>
      </c>
      <c r="AH937" s="63" t="s">
        <v>61</v>
      </c>
      <c r="AI937" s="65" t="s">
        <v>61</v>
      </c>
      <c r="AJ937" s="66" t="s">
        <v>61</v>
      </c>
      <c r="AK937" s="60"/>
    </row>
    <row r="938" ht="24.0" customHeight="1">
      <c r="A938" s="35"/>
      <c r="B938" s="36">
        <v>1.0</v>
      </c>
      <c r="C938" s="37" t="str">
        <f>IFERROR(__xludf.DUMMYFUNCTION("""COMPUTED_VALUE"""),"Holden Cohn (XX) - '27 C NJ")</f>
        <v>Holden Cohn (XX) - '27 C NJ</v>
      </c>
      <c r="D938" s="38" t="s">
        <v>4925</v>
      </c>
      <c r="E938" s="39" t="s">
        <v>109</v>
      </c>
      <c r="F938" s="118"/>
      <c r="G938" s="113" t="s">
        <v>1395</v>
      </c>
      <c r="H938" s="42" t="s">
        <v>4926</v>
      </c>
      <c r="I938" s="43" t="s">
        <v>4927</v>
      </c>
      <c r="J938" s="43">
        <v>2027.0</v>
      </c>
      <c r="K938" s="43" t="s">
        <v>410</v>
      </c>
      <c r="L938" s="43" t="s">
        <v>4928</v>
      </c>
      <c r="M938" s="43" t="s">
        <v>109</v>
      </c>
      <c r="N938" s="117"/>
      <c r="O938" s="43" t="s">
        <v>1550</v>
      </c>
      <c r="P938" s="43"/>
      <c r="Q938" s="43" t="s">
        <v>502</v>
      </c>
      <c r="R938" s="43" t="s">
        <v>4929</v>
      </c>
      <c r="S938" s="44" t="s">
        <v>2029</v>
      </c>
      <c r="T938" s="39"/>
      <c r="U938" s="39"/>
      <c r="V938" s="39"/>
      <c r="W938" s="39"/>
      <c r="X938" s="81"/>
      <c r="Y938" s="81"/>
      <c r="Z938" s="82"/>
      <c r="AA938" s="99"/>
      <c r="AB938" s="48" t="s">
        <v>61</v>
      </c>
      <c r="AC938" s="68" t="s">
        <v>61</v>
      </c>
      <c r="AD938" s="69" t="s">
        <v>61</v>
      </c>
      <c r="AE938" s="69" t="s">
        <v>61</v>
      </c>
      <c r="AF938" s="68" t="s">
        <v>61</v>
      </c>
      <c r="AG938" s="68" t="s">
        <v>61</v>
      </c>
      <c r="AH938" s="68" t="s">
        <v>61</v>
      </c>
      <c r="AI938" s="70" t="s">
        <v>61</v>
      </c>
      <c r="AJ938" s="49" t="s">
        <v>61</v>
      </c>
      <c r="AK938" s="46"/>
    </row>
    <row r="939" ht="24.0" customHeight="1">
      <c r="A939" s="35"/>
      <c r="B939" s="36">
        <v>1.0</v>
      </c>
      <c r="C939" s="37" t="str">
        <f>IFERROR(__xludf.DUMMYFUNCTION("""COMPUTED_VALUE"""),"Liam Collier (XX) - '27 OF GA")</f>
        <v>Liam Collier (XX) - '27 OF GA</v>
      </c>
      <c r="D939" s="38" t="s">
        <v>4930</v>
      </c>
      <c r="E939" s="51" t="s">
        <v>103</v>
      </c>
      <c r="F939" s="119">
        <v>45865.0</v>
      </c>
      <c r="G939" s="116" t="s">
        <v>1395</v>
      </c>
      <c r="H939" s="54" t="s">
        <v>1020</v>
      </c>
      <c r="I939" s="55" t="s">
        <v>4931</v>
      </c>
      <c r="J939" s="55">
        <v>2027.0</v>
      </c>
      <c r="K939" s="55" t="s">
        <v>410</v>
      </c>
      <c r="L939" s="55" t="s">
        <v>4932</v>
      </c>
      <c r="M939" s="55" t="s">
        <v>103</v>
      </c>
      <c r="N939" s="132"/>
      <c r="O939" s="55" t="s">
        <v>1556</v>
      </c>
      <c r="P939" s="55" t="s">
        <v>4933</v>
      </c>
      <c r="Q939" s="55" t="s">
        <v>43</v>
      </c>
      <c r="R939" s="55" t="s">
        <v>4934</v>
      </c>
      <c r="S939" s="58"/>
      <c r="T939" s="51">
        <v>4.2</v>
      </c>
      <c r="U939" s="51"/>
      <c r="V939" s="51" t="s">
        <v>4935</v>
      </c>
      <c r="W939" s="51" t="s">
        <v>2821</v>
      </c>
      <c r="X939" s="74"/>
      <c r="Y939" s="74"/>
      <c r="Z939" s="76"/>
      <c r="AA939" s="134"/>
      <c r="AB939" s="62" t="s">
        <v>61</v>
      </c>
      <c r="AC939" s="63" t="s">
        <v>61</v>
      </c>
      <c r="AD939" s="64" t="s">
        <v>61</v>
      </c>
      <c r="AE939" s="64" t="s">
        <v>61</v>
      </c>
      <c r="AF939" s="63" t="s">
        <v>61</v>
      </c>
      <c r="AG939" s="63" t="s">
        <v>61</v>
      </c>
      <c r="AH939" s="63" t="s">
        <v>61</v>
      </c>
      <c r="AI939" s="65" t="s">
        <v>61</v>
      </c>
      <c r="AJ939" s="66" t="s">
        <v>61</v>
      </c>
      <c r="AK939" s="60"/>
    </row>
    <row r="940" ht="24.0" customHeight="1">
      <c r="A940" s="35"/>
      <c r="B940" s="36">
        <v>1.0</v>
      </c>
      <c r="C940" s="37" t="str">
        <f>IFERROR(__xludf.DUMMYFUNCTION("""COMPUTED_VALUE"""),"Brady Collins (XX) - '27 C RI")</f>
        <v>Brady Collins (XX) - '27 C RI</v>
      </c>
      <c r="D940" s="38" t="s">
        <v>4936</v>
      </c>
      <c r="E940" s="39" t="s">
        <v>109</v>
      </c>
      <c r="F940" s="118"/>
      <c r="G940" s="113" t="s">
        <v>1395</v>
      </c>
      <c r="H940" s="42" t="s">
        <v>517</v>
      </c>
      <c r="I940" s="43" t="s">
        <v>152</v>
      </c>
      <c r="J940" s="43">
        <v>2027.0</v>
      </c>
      <c r="K940" s="43" t="s">
        <v>410</v>
      </c>
      <c r="L940" s="43"/>
      <c r="M940" s="43" t="s">
        <v>109</v>
      </c>
      <c r="N940" s="117" t="s">
        <v>42</v>
      </c>
      <c r="O940" s="43" t="s">
        <v>1550</v>
      </c>
      <c r="P940" s="43"/>
      <c r="Q940" s="43" t="s">
        <v>1611</v>
      </c>
      <c r="R940" s="43" t="s">
        <v>4937</v>
      </c>
      <c r="S940" s="44" t="s">
        <v>1424</v>
      </c>
      <c r="T940" s="39"/>
      <c r="U940" s="39"/>
      <c r="V940" s="39"/>
      <c r="W940" s="39"/>
      <c r="X940" s="81"/>
      <c r="Y940" s="81"/>
      <c r="Z940" s="82"/>
      <c r="AA940" s="99"/>
      <c r="AB940" s="48" t="s">
        <v>61</v>
      </c>
      <c r="AC940" s="68" t="s">
        <v>61</v>
      </c>
      <c r="AD940" s="69" t="s">
        <v>61</v>
      </c>
      <c r="AE940" s="69" t="s">
        <v>61</v>
      </c>
      <c r="AF940" s="68" t="s">
        <v>61</v>
      </c>
      <c r="AG940" s="68" t="s">
        <v>61</v>
      </c>
      <c r="AH940" s="68" t="s">
        <v>61</v>
      </c>
      <c r="AI940" s="70" t="s">
        <v>61</v>
      </c>
      <c r="AJ940" s="49" t="s">
        <v>61</v>
      </c>
      <c r="AK940" s="46"/>
    </row>
    <row r="941" ht="24.0" customHeight="1">
      <c r="A941" s="35"/>
      <c r="B941" s="36">
        <v>1.0</v>
      </c>
      <c r="C941" s="37" t="str">
        <f>IFERROR(__xludf.DUMMYFUNCTION("""COMPUTED_VALUE"""),"Freddy Corrado (XX) - '27 RHP PA")</f>
        <v>Freddy Corrado (XX) - '27 RHP PA</v>
      </c>
      <c r="D941" s="38" t="s">
        <v>4938</v>
      </c>
      <c r="E941" s="51" t="s">
        <v>63</v>
      </c>
      <c r="F941" s="119">
        <v>45865.0</v>
      </c>
      <c r="G941" s="116" t="s">
        <v>1470</v>
      </c>
      <c r="H941" s="54" t="s">
        <v>4939</v>
      </c>
      <c r="I941" s="55" t="s">
        <v>4940</v>
      </c>
      <c r="J941" s="55">
        <v>2027.0</v>
      </c>
      <c r="K941" s="55" t="s">
        <v>410</v>
      </c>
      <c r="L941" s="55"/>
      <c r="M941" s="55" t="s">
        <v>63</v>
      </c>
      <c r="N941" s="132"/>
      <c r="O941" s="55" t="s">
        <v>1550</v>
      </c>
      <c r="P941" s="55" t="s">
        <v>4941</v>
      </c>
      <c r="Q941" s="55" t="s">
        <v>240</v>
      </c>
      <c r="R941" s="55" t="s">
        <v>4942</v>
      </c>
      <c r="S941" s="58"/>
      <c r="T941" s="51">
        <v>4.0</v>
      </c>
      <c r="U941" s="51"/>
      <c r="V941" s="51" t="s">
        <v>4943</v>
      </c>
      <c r="W941" s="51" t="s">
        <v>2821</v>
      </c>
      <c r="X941" s="74"/>
      <c r="Y941" s="74"/>
      <c r="Z941" s="76"/>
      <c r="AA941" s="134"/>
      <c r="AB941" s="62" t="s">
        <v>61</v>
      </c>
      <c r="AC941" s="63" t="s">
        <v>61</v>
      </c>
      <c r="AD941" s="64" t="s">
        <v>61</v>
      </c>
      <c r="AE941" s="64" t="s">
        <v>61</v>
      </c>
      <c r="AF941" s="63" t="s">
        <v>61</v>
      </c>
      <c r="AG941" s="63" t="s">
        <v>61</v>
      </c>
      <c r="AH941" s="63" t="s">
        <v>61</v>
      </c>
      <c r="AI941" s="65" t="s">
        <v>61</v>
      </c>
      <c r="AJ941" s="66" t="s">
        <v>61</v>
      </c>
      <c r="AK941" s="60"/>
    </row>
    <row r="942" ht="24.0" customHeight="1">
      <c r="A942" s="35"/>
      <c r="B942" s="36">
        <v>1.0</v>
      </c>
      <c r="C942" s="37" t="str">
        <f>IFERROR(__xludf.DUMMYFUNCTION("""COMPUTED_VALUE"""),"Kaden Cortez (XX) - '27 RHP PA")</f>
        <v>Kaden Cortez (XX) - '27 RHP PA</v>
      </c>
      <c r="D942" s="38" t="s">
        <v>4944</v>
      </c>
      <c r="E942" s="39" t="s">
        <v>63</v>
      </c>
      <c r="F942" s="118"/>
      <c r="G942" s="113" t="s">
        <v>1395</v>
      </c>
      <c r="H942" s="42" t="s">
        <v>4945</v>
      </c>
      <c r="I942" s="43" t="s">
        <v>4946</v>
      </c>
      <c r="J942" s="43">
        <v>2027.0</v>
      </c>
      <c r="K942" s="43" t="s">
        <v>410</v>
      </c>
      <c r="L942" s="43" t="s">
        <v>4947</v>
      </c>
      <c r="M942" s="43" t="s">
        <v>63</v>
      </c>
      <c r="N942" s="117"/>
      <c r="O942" s="43" t="s">
        <v>1550</v>
      </c>
      <c r="P942" s="43"/>
      <c r="Q942" s="43" t="s">
        <v>240</v>
      </c>
      <c r="R942" s="43" t="s">
        <v>4948</v>
      </c>
      <c r="S942" s="44" t="s">
        <v>3516</v>
      </c>
      <c r="T942" s="39"/>
      <c r="U942" s="39"/>
      <c r="V942" s="39"/>
      <c r="W942" s="39"/>
      <c r="X942" s="81"/>
      <c r="Y942" s="81"/>
      <c r="Z942" s="82"/>
      <c r="AA942" s="99"/>
      <c r="AB942" s="48" t="s">
        <v>61</v>
      </c>
      <c r="AC942" s="68" t="s">
        <v>61</v>
      </c>
      <c r="AD942" s="69" t="s">
        <v>61</v>
      </c>
      <c r="AE942" s="69" t="s">
        <v>61</v>
      </c>
      <c r="AF942" s="68" t="s">
        <v>61</v>
      </c>
      <c r="AG942" s="68" t="s">
        <v>61</v>
      </c>
      <c r="AH942" s="68" t="s">
        <v>61</v>
      </c>
      <c r="AI942" s="70" t="s">
        <v>61</v>
      </c>
      <c r="AJ942" s="49" t="s">
        <v>61</v>
      </c>
      <c r="AK942" s="46"/>
    </row>
    <row r="943" ht="24.0" customHeight="1">
      <c r="A943" s="35"/>
      <c r="B943" s="36">
        <v>1.0</v>
      </c>
      <c r="C943" s="37" t="str">
        <f>IFERROR(__xludf.DUMMYFUNCTION("""COMPUTED_VALUE"""),"Jackson Crawford (XX) - '27 OF CO")</f>
        <v>Jackson Crawford (XX) - '27 OF CO</v>
      </c>
      <c r="D943" s="38" t="s">
        <v>4949</v>
      </c>
      <c r="E943" s="51" t="s">
        <v>103</v>
      </c>
      <c r="F943" s="119">
        <v>45865.0</v>
      </c>
      <c r="G943" s="116" t="s">
        <v>1395</v>
      </c>
      <c r="H943" s="54" t="s">
        <v>432</v>
      </c>
      <c r="I943" s="55" t="s">
        <v>4950</v>
      </c>
      <c r="J943" s="55">
        <v>2027.0</v>
      </c>
      <c r="K943" s="55" t="s">
        <v>410</v>
      </c>
      <c r="L943" s="55" t="s">
        <v>2018</v>
      </c>
      <c r="M943" s="55" t="s">
        <v>103</v>
      </c>
      <c r="N943" s="132"/>
      <c r="O943" s="55" t="s">
        <v>1556</v>
      </c>
      <c r="P943" s="55" t="s">
        <v>3191</v>
      </c>
      <c r="Q943" s="55" t="s">
        <v>174</v>
      </c>
      <c r="R943" s="55" t="s">
        <v>3073</v>
      </c>
      <c r="S943" s="58"/>
      <c r="T943" s="51">
        <v>3.8</v>
      </c>
      <c r="U943" s="51"/>
      <c r="V943" s="51" t="s">
        <v>4951</v>
      </c>
      <c r="W943" s="51" t="s">
        <v>2821</v>
      </c>
      <c r="X943" s="74"/>
      <c r="Y943" s="74"/>
      <c r="Z943" s="76"/>
      <c r="AA943" s="134"/>
      <c r="AB943" s="62" t="s">
        <v>61</v>
      </c>
      <c r="AC943" s="63" t="s">
        <v>61</v>
      </c>
      <c r="AD943" s="64" t="s">
        <v>61</v>
      </c>
      <c r="AE943" s="64" t="s">
        <v>61</v>
      </c>
      <c r="AF943" s="63" t="s">
        <v>61</v>
      </c>
      <c r="AG943" s="63" t="s">
        <v>61</v>
      </c>
      <c r="AH943" s="63" t="s">
        <v>61</v>
      </c>
      <c r="AI943" s="65" t="s">
        <v>61</v>
      </c>
      <c r="AJ943" s="66" t="s">
        <v>61</v>
      </c>
      <c r="AK943" s="60"/>
    </row>
    <row r="944" ht="24.0" customHeight="1">
      <c r="A944" s="35"/>
      <c r="B944" s="36">
        <v>1.0</v>
      </c>
      <c r="C944" s="37" t="str">
        <f>IFERROR(__xludf.DUMMYFUNCTION("""COMPUTED_VALUE"""),"Luke Crawford (XX) - '27 C MD")</f>
        <v>Luke Crawford (XX) - '27 C MD</v>
      </c>
      <c r="D944" s="38" t="s">
        <v>4952</v>
      </c>
      <c r="E944" s="39" t="s">
        <v>109</v>
      </c>
      <c r="F944" s="118">
        <v>45865.0</v>
      </c>
      <c r="G944" s="113" t="s">
        <v>1470</v>
      </c>
      <c r="H944" s="42" t="s">
        <v>1042</v>
      </c>
      <c r="I944" s="43" t="s">
        <v>4950</v>
      </c>
      <c r="J944" s="43">
        <v>2027.0</v>
      </c>
      <c r="K944" s="43" t="s">
        <v>410</v>
      </c>
      <c r="L944" s="43" t="s">
        <v>4781</v>
      </c>
      <c r="M944" s="43" t="s">
        <v>109</v>
      </c>
      <c r="N944" s="117"/>
      <c r="O944" s="43" t="s">
        <v>1989</v>
      </c>
      <c r="P944" s="43" t="s">
        <v>4953</v>
      </c>
      <c r="Q944" s="43" t="s">
        <v>195</v>
      </c>
      <c r="R944" s="43" t="s">
        <v>4954</v>
      </c>
      <c r="S944" s="44"/>
      <c r="T944" s="39">
        <v>4.0</v>
      </c>
      <c r="U944" s="39"/>
      <c r="V944" s="39" t="s">
        <v>4955</v>
      </c>
      <c r="W944" s="39" t="s">
        <v>2821</v>
      </c>
      <c r="X944" s="81"/>
      <c r="Y944" s="81"/>
      <c r="Z944" s="82"/>
      <c r="AA944" s="99"/>
      <c r="AB944" s="48" t="s">
        <v>4956</v>
      </c>
      <c r="AC944" s="68" t="s">
        <v>4957</v>
      </c>
      <c r="AD944" s="196">
        <v>0.94</v>
      </c>
      <c r="AE944" s="69"/>
      <c r="AF944" s="68" t="s">
        <v>4958</v>
      </c>
      <c r="AG944" s="68"/>
      <c r="AH944" s="68"/>
      <c r="AI944" s="70"/>
      <c r="AJ944" s="49" t="s">
        <v>61</v>
      </c>
      <c r="AK944" s="46"/>
    </row>
    <row r="945" ht="24.0" customHeight="1">
      <c r="A945" s="35"/>
      <c r="B945" s="36">
        <v>1.0</v>
      </c>
      <c r="C945" s="37" t="str">
        <f>IFERROR(__xludf.DUMMYFUNCTION("""COMPUTED_VALUE"""),"Drew Cross (XX) - '27 C TX")</f>
        <v>Drew Cross (XX) - '27 C TX</v>
      </c>
      <c r="D945" s="38" t="s">
        <v>4959</v>
      </c>
      <c r="E945" s="51" t="s">
        <v>109</v>
      </c>
      <c r="F945" s="119">
        <v>45865.0</v>
      </c>
      <c r="G945" s="116" t="s">
        <v>1470</v>
      </c>
      <c r="H945" s="54" t="s">
        <v>249</v>
      </c>
      <c r="I945" s="55" t="s">
        <v>4960</v>
      </c>
      <c r="J945" s="55">
        <v>2027.0</v>
      </c>
      <c r="K945" s="55" t="s">
        <v>410</v>
      </c>
      <c r="L945" s="55" t="s">
        <v>4961</v>
      </c>
      <c r="M945" s="55" t="s">
        <v>109</v>
      </c>
      <c r="N945" s="132"/>
      <c r="O945" s="55" t="s">
        <v>1550</v>
      </c>
      <c r="P945" s="55" t="s">
        <v>4962</v>
      </c>
      <c r="Q945" s="55" t="s">
        <v>180</v>
      </c>
      <c r="R945" s="55" t="s">
        <v>4962</v>
      </c>
      <c r="S945" s="58"/>
      <c r="T945" s="51">
        <v>4.0</v>
      </c>
      <c r="U945" s="51"/>
      <c r="V945" s="51" t="s">
        <v>4963</v>
      </c>
      <c r="W945" s="51" t="s">
        <v>2821</v>
      </c>
      <c r="X945" s="74"/>
      <c r="Y945" s="74"/>
      <c r="Z945" s="76"/>
      <c r="AA945" s="134"/>
      <c r="AB945" s="62" t="s">
        <v>61</v>
      </c>
      <c r="AC945" s="63" t="s">
        <v>61</v>
      </c>
      <c r="AD945" s="64" t="s">
        <v>61</v>
      </c>
      <c r="AE945" s="64" t="s">
        <v>61</v>
      </c>
      <c r="AF945" s="63" t="s">
        <v>61</v>
      </c>
      <c r="AG945" s="63" t="s">
        <v>61</v>
      </c>
      <c r="AH945" s="63" t="s">
        <v>61</v>
      </c>
      <c r="AI945" s="65" t="s">
        <v>61</v>
      </c>
      <c r="AJ945" s="66" t="s">
        <v>61</v>
      </c>
      <c r="AK945" s="60"/>
    </row>
    <row r="946" ht="24.0" customHeight="1">
      <c r="A946" s="35"/>
      <c r="B946" s="36">
        <v>1.0</v>
      </c>
      <c r="C946" s="37" t="str">
        <f>IFERROR(__xludf.DUMMYFUNCTION("""COMPUTED_VALUE"""),"Ike Crouser (XX) - '27 RHP MN")</f>
        <v>Ike Crouser (XX) - '27 RHP MN</v>
      </c>
      <c r="D946" s="38" t="s">
        <v>4964</v>
      </c>
      <c r="E946" s="39" t="s">
        <v>63</v>
      </c>
      <c r="F946" s="118">
        <v>45865.0</v>
      </c>
      <c r="G946" s="113" t="s">
        <v>1470</v>
      </c>
      <c r="H946" s="42" t="s">
        <v>4965</v>
      </c>
      <c r="I946" s="43" t="s">
        <v>4966</v>
      </c>
      <c r="J946" s="43">
        <v>2027.0</v>
      </c>
      <c r="K946" s="43" t="s">
        <v>410</v>
      </c>
      <c r="L946" s="43" t="s">
        <v>2571</v>
      </c>
      <c r="M946" s="43" t="s">
        <v>63</v>
      </c>
      <c r="N946" s="117"/>
      <c r="O946" s="43" t="s">
        <v>1550</v>
      </c>
      <c r="P946" s="43" t="s">
        <v>4967</v>
      </c>
      <c r="Q946" s="43" t="s">
        <v>448</v>
      </c>
      <c r="R946" s="43" t="s">
        <v>4968</v>
      </c>
      <c r="S946" s="44"/>
      <c r="T946" s="39">
        <v>4.09</v>
      </c>
      <c r="U946" s="39"/>
      <c r="V946" s="39" t="s">
        <v>4969</v>
      </c>
      <c r="W946" s="39" t="s">
        <v>2821</v>
      </c>
      <c r="X946" s="81"/>
      <c r="Y946" s="81"/>
      <c r="Z946" s="82"/>
      <c r="AA946" s="99"/>
      <c r="AB946" s="48" t="s">
        <v>61</v>
      </c>
      <c r="AC946" s="68" t="s">
        <v>61</v>
      </c>
      <c r="AD946" s="69" t="s">
        <v>61</v>
      </c>
      <c r="AE946" s="69" t="s">
        <v>61</v>
      </c>
      <c r="AF946" s="68" t="s">
        <v>61</v>
      </c>
      <c r="AG946" s="68" t="s">
        <v>61</v>
      </c>
      <c r="AH946" s="68" t="s">
        <v>61</v>
      </c>
      <c r="AI946" s="70" t="s">
        <v>61</v>
      </c>
      <c r="AJ946" s="49" t="s">
        <v>61</v>
      </c>
      <c r="AK946" s="46"/>
    </row>
    <row r="947" ht="24.0" customHeight="1">
      <c r="A947" s="35"/>
      <c r="B947" s="36">
        <v>1.0</v>
      </c>
      <c r="C947" s="37" t="str">
        <f>IFERROR(__xludf.DUMMYFUNCTION("""COMPUTED_VALUE"""),"Dylan Crowe (XX) - '27 SS MI")</f>
        <v>Dylan Crowe (XX) - '27 SS MI</v>
      </c>
      <c r="D947" s="38" t="s">
        <v>4970</v>
      </c>
      <c r="E947" s="51" t="s">
        <v>48</v>
      </c>
      <c r="F947" s="119">
        <v>45865.0</v>
      </c>
      <c r="G947" s="116" t="s">
        <v>1395</v>
      </c>
      <c r="H947" s="54" t="s">
        <v>2294</v>
      </c>
      <c r="I947" s="55" t="s">
        <v>4971</v>
      </c>
      <c r="J947" s="55">
        <v>2027.0</v>
      </c>
      <c r="K947" s="55" t="s">
        <v>410</v>
      </c>
      <c r="L947" s="55" t="s">
        <v>2018</v>
      </c>
      <c r="M947" s="55" t="s">
        <v>1398</v>
      </c>
      <c r="N947" s="132"/>
      <c r="O947" s="55" t="s">
        <v>1550</v>
      </c>
      <c r="P947" s="55" t="s">
        <v>4972</v>
      </c>
      <c r="Q947" s="55" t="s">
        <v>614</v>
      </c>
      <c r="R947" s="55" t="s">
        <v>4973</v>
      </c>
      <c r="S947" s="58"/>
      <c r="T947" s="51">
        <v>3.96</v>
      </c>
      <c r="U947" s="51"/>
      <c r="V947" s="51" t="s">
        <v>4974</v>
      </c>
      <c r="W947" s="51" t="s">
        <v>2821</v>
      </c>
      <c r="X947" s="74"/>
      <c r="Y947" s="74"/>
      <c r="Z947" s="76"/>
      <c r="AA947" s="134"/>
      <c r="AB947" s="62" t="s">
        <v>61</v>
      </c>
      <c r="AC947" s="63" t="s">
        <v>61</v>
      </c>
      <c r="AD947" s="64" t="s">
        <v>61</v>
      </c>
      <c r="AE947" s="64" t="s">
        <v>61</v>
      </c>
      <c r="AF947" s="63" t="s">
        <v>61</v>
      </c>
      <c r="AG947" s="63" t="s">
        <v>61</v>
      </c>
      <c r="AH947" s="63" t="s">
        <v>61</v>
      </c>
      <c r="AI947" s="65" t="s">
        <v>61</v>
      </c>
      <c r="AJ947" s="66" t="s">
        <v>61</v>
      </c>
      <c r="AK947" s="60"/>
    </row>
    <row r="948" ht="24.0" customHeight="1">
      <c r="A948" s="35"/>
      <c r="B948" s="36">
        <v>1.0</v>
      </c>
      <c r="C948" s="37" t="str">
        <f>IFERROR(__xludf.DUMMYFUNCTION("""COMPUTED_VALUE"""),"Hudson Cuevas (XX) - '27 SS TX")</f>
        <v>Hudson Cuevas (XX) - '27 SS TX</v>
      </c>
      <c r="D948" s="38" t="s">
        <v>4975</v>
      </c>
      <c r="E948" s="39" t="s">
        <v>48</v>
      </c>
      <c r="F948" s="118">
        <v>45865.0</v>
      </c>
      <c r="G948" s="113" t="s">
        <v>1470</v>
      </c>
      <c r="H948" s="42" t="s">
        <v>1678</v>
      </c>
      <c r="I948" s="43" t="s">
        <v>4976</v>
      </c>
      <c r="J948" s="43">
        <v>2027.0</v>
      </c>
      <c r="K948" s="43" t="s">
        <v>410</v>
      </c>
      <c r="L948" s="43" t="s">
        <v>2018</v>
      </c>
      <c r="M948" s="43" t="s">
        <v>1398</v>
      </c>
      <c r="N948" s="117"/>
      <c r="O948" s="43" t="s">
        <v>1550</v>
      </c>
      <c r="P948" s="43" t="s">
        <v>3620</v>
      </c>
      <c r="Q948" s="43" t="s">
        <v>180</v>
      </c>
      <c r="R948" s="43" t="s">
        <v>3620</v>
      </c>
      <c r="S948" s="44"/>
      <c r="T948" s="39">
        <v>5.3</v>
      </c>
      <c r="U948" s="39"/>
      <c r="V948" s="39" t="s">
        <v>4977</v>
      </c>
      <c r="W948" s="39" t="s">
        <v>2821</v>
      </c>
      <c r="X948" s="81"/>
      <c r="Y948" s="81"/>
      <c r="Z948" s="82"/>
      <c r="AA948" s="99"/>
      <c r="AB948" s="48" t="s">
        <v>61</v>
      </c>
      <c r="AC948" s="68" t="s">
        <v>61</v>
      </c>
      <c r="AD948" s="69" t="s">
        <v>61</v>
      </c>
      <c r="AE948" s="69" t="s">
        <v>61</v>
      </c>
      <c r="AF948" s="68" t="s">
        <v>61</v>
      </c>
      <c r="AG948" s="68" t="s">
        <v>61</v>
      </c>
      <c r="AH948" s="68" t="s">
        <v>61</v>
      </c>
      <c r="AI948" s="70" t="s">
        <v>61</v>
      </c>
      <c r="AJ948" s="49" t="s">
        <v>61</v>
      </c>
      <c r="AK948" s="46"/>
    </row>
    <row r="949" ht="24.0" customHeight="1">
      <c r="A949" s="35"/>
      <c r="B949" s="36">
        <v>1.0</v>
      </c>
      <c r="C949" s="37" t="str">
        <f>IFERROR(__xludf.DUMMYFUNCTION("""COMPUTED_VALUE"""),"Nate Curcio (XX) - '27 SS 3B, RHP ")</f>
        <v>Nate Curcio (XX) - '27 SS 3B, RHP </v>
      </c>
      <c r="D949" s="89" t="s">
        <v>4978</v>
      </c>
      <c r="E949" s="51"/>
      <c r="F949" s="119"/>
      <c r="G949" s="116"/>
      <c r="H949" s="54" t="s">
        <v>1109</v>
      </c>
      <c r="I949" s="55" t="s">
        <v>4979</v>
      </c>
      <c r="J949" s="55">
        <v>2027.0</v>
      </c>
      <c r="K949" s="55" t="s">
        <v>410</v>
      </c>
      <c r="L949" s="55" t="s">
        <v>4740</v>
      </c>
      <c r="M949" s="55" t="s">
        <v>4980</v>
      </c>
      <c r="N949" s="132"/>
      <c r="O949" s="55" t="s">
        <v>1550</v>
      </c>
      <c r="P949" s="55" t="s">
        <v>4981</v>
      </c>
      <c r="Q949" s="55"/>
      <c r="R949" s="55" t="s">
        <v>890</v>
      </c>
      <c r="S949" s="58" t="s">
        <v>3074</v>
      </c>
      <c r="T949" s="51"/>
      <c r="U949" s="51"/>
      <c r="V949" s="51"/>
      <c r="W949" s="51" t="s">
        <v>1724</v>
      </c>
      <c r="X949" s="74"/>
      <c r="Y949" s="74"/>
      <c r="Z949" s="76"/>
      <c r="AA949" s="134"/>
      <c r="AB949" s="62" t="s">
        <v>61</v>
      </c>
      <c r="AC949" s="63" t="s">
        <v>61</v>
      </c>
      <c r="AD949" s="64" t="s">
        <v>61</v>
      </c>
      <c r="AE949" s="64" t="s">
        <v>61</v>
      </c>
      <c r="AF949" s="63" t="s">
        <v>61</v>
      </c>
      <c r="AG949" s="63" t="s">
        <v>61</v>
      </c>
      <c r="AH949" s="63" t="s">
        <v>61</v>
      </c>
      <c r="AI949" s="65" t="s">
        <v>61</v>
      </c>
      <c r="AJ949" s="66" t="s">
        <v>61</v>
      </c>
      <c r="AK949" s="60"/>
    </row>
    <row r="950" ht="24.0" customHeight="1">
      <c r="A950" s="35"/>
      <c r="B950" s="36">
        <v>1.0</v>
      </c>
      <c r="C950" s="37" t="str">
        <f>IFERROR(__xludf.DUMMYFUNCTION("""COMPUTED_VALUE"""),"Coby Dagata (XX) - '27 RHP CT")</f>
        <v>Coby Dagata (XX) - '27 RHP CT</v>
      </c>
      <c r="D950" s="38" t="s">
        <v>4982</v>
      </c>
      <c r="E950" s="39" t="s">
        <v>63</v>
      </c>
      <c r="F950" s="118"/>
      <c r="G950" s="113" t="s">
        <v>1395</v>
      </c>
      <c r="H950" s="42" t="s">
        <v>4983</v>
      </c>
      <c r="I950" s="43" t="s">
        <v>4984</v>
      </c>
      <c r="J950" s="43">
        <v>2027.0</v>
      </c>
      <c r="K950" s="43" t="s">
        <v>410</v>
      </c>
      <c r="L950" s="43" t="s">
        <v>4985</v>
      </c>
      <c r="M950" s="43" t="s">
        <v>63</v>
      </c>
      <c r="N950" s="117"/>
      <c r="O950" s="43" t="s">
        <v>1550</v>
      </c>
      <c r="P950" s="43"/>
      <c r="Q950" s="43" t="s">
        <v>160</v>
      </c>
      <c r="R950" s="43" t="s">
        <v>4986</v>
      </c>
      <c r="S950" s="44" t="s">
        <v>4987</v>
      </c>
      <c r="T950" s="39"/>
      <c r="U950" s="39"/>
      <c r="V950" s="39"/>
      <c r="W950" s="39"/>
      <c r="X950" s="81"/>
      <c r="Y950" s="81"/>
      <c r="Z950" s="82"/>
      <c r="AA950" s="99"/>
      <c r="AB950" s="48" t="s">
        <v>61</v>
      </c>
      <c r="AC950" s="68" t="s">
        <v>61</v>
      </c>
      <c r="AD950" s="69" t="s">
        <v>61</v>
      </c>
      <c r="AE950" s="69" t="s">
        <v>61</v>
      </c>
      <c r="AF950" s="68" t="s">
        <v>61</v>
      </c>
      <c r="AG950" s="68" t="s">
        <v>61</v>
      </c>
      <c r="AH950" s="68" t="s">
        <v>61</v>
      </c>
      <c r="AI950" s="70" t="s">
        <v>61</v>
      </c>
      <c r="AJ950" s="49" t="s">
        <v>61</v>
      </c>
      <c r="AK950" s="46"/>
    </row>
    <row r="951" ht="24.0" customHeight="1">
      <c r="A951" s="35"/>
      <c r="B951" s="36">
        <v>1.0</v>
      </c>
      <c r="C951" s="37" t="str">
        <f>IFERROR(__xludf.DUMMYFUNCTION("""COMPUTED_VALUE"""),"Landon Dean (XX) - '27 RHP FL")</f>
        <v>Landon Dean (XX) - '27 RHP FL</v>
      </c>
      <c r="D951" s="38" t="s">
        <v>4988</v>
      </c>
      <c r="E951" s="51" t="s">
        <v>63</v>
      </c>
      <c r="F951" s="119">
        <v>45925.0</v>
      </c>
      <c r="G951" s="116" t="s">
        <v>1395</v>
      </c>
      <c r="H951" s="54" t="s">
        <v>1016</v>
      </c>
      <c r="I951" s="55" t="s">
        <v>715</v>
      </c>
      <c r="J951" s="55">
        <v>2027.0</v>
      </c>
      <c r="K951" s="55" t="s">
        <v>410</v>
      </c>
      <c r="L951" s="55" t="s">
        <v>4989</v>
      </c>
      <c r="M951" s="55" t="s">
        <v>63</v>
      </c>
      <c r="N951" s="132"/>
      <c r="O951" s="55"/>
      <c r="P951" s="55" t="s">
        <v>4990</v>
      </c>
      <c r="Q951" s="55" t="s">
        <v>66</v>
      </c>
      <c r="R951" s="55" t="s">
        <v>4991</v>
      </c>
      <c r="S951" s="58" t="s">
        <v>1450</v>
      </c>
      <c r="T951" s="51"/>
      <c r="U951" s="51"/>
      <c r="V951" s="51"/>
      <c r="W951" s="51" t="s">
        <v>1564</v>
      </c>
      <c r="X951" s="74"/>
      <c r="Y951" s="74"/>
      <c r="Z951" s="76"/>
      <c r="AA951" s="134"/>
      <c r="AB951" s="62" t="s">
        <v>61</v>
      </c>
      <c r="AC951" s="63" t="s">
        <v>61</v>
      </c>
      <c r="AD951" s="64" t="s">
        <v>61</v>
      </c>
      <c r="AE951" s="64" t="s">
        <v>61</v>
      </c>
      <c r="AF951" s="63" t="s">
        <v>61</v>
      </c>
      <c r="AG951" s="63" t="s">
        <v>61</v>
      </c>
      <c r="AH951" s="63" t="s">
        <v>61</v>
      </c>
      <c r="AI951" s="65" t="s">
        <v>61</v>
      </c>
      <c r="AJ951" s="66" t="s">
        <v>61</v>
      </c>
      <c r="AK951" s="60"/>
    </row>
    <row r="952" ht="24.0" customHeight="1">
      <c r="A952" s="35"/>
      <c r="B952" s="36">
        <v>1.0</v>
      </c>
      <c r="C952" s="37" t="str">
        <f>IFERROR(__xludf.DUMMYFUNCTION("""COMPUTED_VALUE"""),"Liam Delp (XX) - '27 MINF IN")</f>
        <v>Liam Delp (XX) - '27 MINF IN</v>
      </c>
      <c r="D952" s="38" t="s">
        <v>4992</v>
      </c>
      <c r="E952" s="39" t="s">
        <v>48</v>
      </c>
      <c r="F952" s="118">
        <v>45865.0</v>
      </c>
      <c r="G952" s="113" t="s">
        <v>1430</v>
      </c>
      <c r="H952" s="42" t="s">
        <v>1020</v>
      </c>
      <c r="I952" s="43" t="s">
        <v>4993</v>
      </c>
      <c r="J952" s="43">
        <v>2027.0</v>
      </c>
      <c r="K952" s="43" t="s">
        <v>410</v>
      </c>
      <c r="L952" s="43" t="s">
        <v>1981</v>
      </c>
      <c r="M952" s="43" t="s">
        <v>51</v>
      </c>
      <c r="N952" s="117"/>
      <c r="O952" s="43" t="s">
        <v>1550</v>
      </c>
      <c r="P952" s="43" t="s">
        <v>4994</v>
      </c>
      <c r="Q952" s="43" t="s">
        <v>153</v>
      </c>
      <c r="R952" s="43" t="s">
        <v>2314</v>
      </c>
      <c r="S952" s="44" t="s">
        <v>155</v>
      </c>
      <c r="T952" s="39">
        <v>3.7</v>
      </c>
      <c r="U952" s="39"/>
      <c r="V952" s="39" t="s">
        <v>4995</v>
      </c>
      <c r="W952" s="39" t="s">
        <v>2821</v>
      </c>
      <c r="X952" s="81"/>
      <c r="Y952" s="81"/>
      <c r="Z952" s="82"/>
      <c r="AA952" s="99"/>
      <c r="AB952" s="48" t="s">
        <v>4996</v>
      </c>
      <c r="AC952" s="68" t="s">
        <v>4997</v>
      </c>
      <c r="AD952" s="69" t="s">
        <v>4998</v>
      </c>
      <c r="AE952" s="69" t="s">
        <v>2784</v>
      </c>
      <c r="AF952" s="68" t="s">
        <v>4999</v>
      </c>
      <c r="AG952" s="68" t="s">
        <v>549</v>
      </c>
      <c r="AH952" s="68" t="s">
        <v>549</v>
      </c>
      <c r="AI952" s="70" t="s">
        <v>549</v>
      </c>
      <c r="AJ952" s="49" t="s">
        <v>61</v>
      </c>
      <c r="AK952" s="46"/>
    </row>
    <row r="953" ht="24.0" customHeight="1">
      <c r="A953" s="35"/>
      <c r="B953" s="36">
        <v>1.0</v>
      </c>
      <c r="C953" s="37" t="str">
        <f>IFERROR(__xludf.DUMMYFUNCTION("""COMPUTED_VALUE"""),"Baylor Denny (XX) - '27 SS AZ")</f>
        <v>Baylor Denny (XX) - '27 SS AZ</v>
      </c>
      <c r="D953" s="38" t="s">
        <v>5000</v>
      </c>
      <c r="E953" s="51" t="s">
        <v>48</v>
      </c>
      <c r="F953" s="119">
        <v>45945.0</v>
      </c>
      <c r="G953" s="116"/>
      <c r="H953" s="54" t="s">
        <v>482</v>
      </c>
      <c r="I953" s="55" t="s">
        <v>5001</v>
      </c>
      <c r="J953" s="55">
        <v>2027.0</v>
      </c>
      <c r="K953" s="55" t="s">
        <v>410</v>
      </c>
      <c r="L953" s="55" t="s">
        <v>5002</v>
      </c>
      <c r="M953" s="55" t="s">
        <v>1398</v>
      </c>
      <c r="N953" s="132"/>
      <c r="O953" s="55" t="s">
        <v>1550</v>
      </c>
      <c r="P953" s="55" t="s">
        <v>5003</v>
      </c>
      <c r="Q953" s="55" t="s">
        <v>319</v>
      </c>
      <c r="R953" s="55" t="s">
        <v>5004</v>
      </c>
      <c r="S953" s="58" t="s">
        <v>2001</v>
      </c>
      <c r="T953" s="51"/>
      <c r="U953" s="51"/>
      <c r="V953" s="51"/>
      <c r="W953" s="51" t="s">
        <v>1571</v>
      </c>
      <c r="X953" s="74"/>
      <c r="Y953" s="74"/>
      <c r="Z953" s="76"/>
      <c r="AA953" s="134"/>
      <c r="AB953" s="62" t="s">
        <v>61</v>
      </c>
      <c r="AC953" s="63" t="s">
        <v>61</v>
      </c>
      <c r="AD953" s="64" t="s">
        <v>61</v>
      </c>
      <c r="AE953" s="64" t="s">
        <v>61</v>
      </c>
      <c r="AF953" s="63" t="s">
        <v>61</v>
      </c>
      <c r="AG953" s="63" t="s">
        <v>61</v>
      </c>
      <c r="AH953" s="63" t="s">
        <v>61</v>
      </c>
      <c r="AI953" s="65" t="s">
        <v>61</v>
      </c>
      <c r="AJ953" s="66" t="s">
        <v>61</v>
      </c>
      <c r="AK953" s="60"/>
    </row>
    <row r="954" ht="24.0" customHeight="1">
      <c r="A954" s="35"/>
      <c r="B954" s="36">
        <v>1.0</v>
      </c>
      <c r="C954" s="37" t="str">
        <f>IFERROR(__xludf.DUMMYFUNCTION("""COMPUTED_VALUE"""),"Miles Desrosiers (XX) - '27 C NH")</f>
        <v>Miles Desrosiers (XX) - '27 C NH</v>
      </c>
      <c r="D954" s="38" t="s">
        <v>5005</v>
      </c>
      <c r="E954" s="39" t="s">
        <v>109</v>
      </c>
      <c r="F954" s="118"/>
      <c r="G954" s="113" t="s">
        <v>1395</v>
      </c>
      <c r="H954" s="42" t="s">
        <v>1104</v>
      </c>
      <c r="I954" s="43" t="s">
        <v>5006</v>
      </c>
      <c r="J954" s="43">
        <v>2027.0</v>
      </c>
      <c r="K954" s="43" t="s">
        <v>410</v>
      </c>
      <c r="L954" s="43"/>
      <c r="M954" s="43" t="s">
        <v>109</v>
      </c>
      <c r="N954" s="117"/>
      <c r="O954" s="43" t="s">
        <v>1989</v>
      </c>
      <c r="P954" s="43"/>
      <c r="Q954" s="43" t="s">
        <v>942</v>
      </c>
      <c r="R954" s="43" t="s">
        <v>5007</v>
      </c>
      <c r="S954" s="44" t="s">
        <v>538</v>
      </c>
      <c r="T954" s="39"/>
      <c r="U954" s="39"/>
      <c r="V954" s="39"/>
      <c r="W954" s="39"/>
      <c r="X954" s="81"/>
      <c r="Y954" s="81"/>
      <c r="Z954" s="82"/>
      <c r="AA954" s="99"/>
      <c r="AB954" s="48" t="s">
        <v>61</v>
      </c>
      <c r="AC954" s="68" t="s">
        <v>61</v>
      </c>
      <c r="AD954" s="69" t="s">
        <v>61</v>
      </c>
      <c r="AE954" s="69" t="s">
        <v>61</v>
      </c>
      <c r="AF954" s="68" t="s">
        <v>61</v>
      </c>
      <c r="AG954" s="68" t="s">
        <v>61</v>
      </c>
      <c r="AH954" s="68" t="s">
        <v>61</v>
      </c>
      <c r="AI954" s="70" t="s">
        <v>61</v>
      </c>
      <c r="AJ954" s="49" t="s">
        <v>61</v>
      </c>
      <c r="AK954" s="46"/>
    </row>
    <row r="955" ht="24.0" customHeight="1">
      <c r="A955" s="35"/>
      <c r="B955" s="36">
        <v>1.0</v>
      </c>
      <c r="C955" s="37" t="str">
        <f>IFERROR(__xludf.DUMMYFUNCTION("""COMPUTED_VALUE"""),"Joey DiMeo (XX) - '27 MINF NJ")</f>
        <v>Joey DiMeo (XX) - '27 MINF NJ</v>
      </c>
      <c r="D955" s="38" t="s">
        <v>5008</v>
      </c>
      <c r="E955" s="51" t="s">
        <v>48</v>
      </c>
      <c r="F955" s="119"/>
      <c r="G955" s="116"/>
      <c r="H955" s="54" t="s">
        <v>954</v>
      </c>
      <c r="I955" s="55" t="s">
        <v>5009</v>
      </c>
      <c r="J955" s="55">
        <v>2027.0</v>
      </c>
      <c r="K955" s="55" t="s">
        <v>410</v>
      </c>
      <c r="L955" s="55"/>
      <c r="M955" s="55" t="s">
        <v>51</v>
      </c>
      <c r="N955" s="132"/>
      <c r="O955" s="55" t="s">
        <v>1550</v>
      </c>
      <c r="P955" s="55"/>
      <c r="Q955" s="55" t="s">
        <v>502</v>
      </c>
      <c r="R955" s="55" t="s">
        <v>5010</v>
      </c>
      <c r="S955" s="58" t="s">
        <v>3066</v>
      </c>
      <c r="T955" s="51"/>
      <c r="U955" s="51"/>
      <c r="V955" s="51"/>
      <c r="W955" s="51"/>
      <c r="X955" s="74"/>
      <c r="Y955" s="74"/>
      <c r="Z955" s="76"/>
      <c r="AA955" s="134"/>
      <c r="AB955" s="62" t="s">
        <v>61</v>
      </c>
      <c r="AC955" s="63" t="s">
        <v>61</v>
      </c>
      <c r="AD955" s="64" t="s">
        <v>61</v>
      </c>
      <c r="AE955" s="64" t="s">
        <v>61</v>
      </c>
      <c r="AF955" s="63" t="s">
        <v>61</v>
      </c>
      <c r="AG955" s="63" t="s">
        <v>61</v>
      </c>
      <c r="AH955" s="63" t="s">
        <v>61</v>
      </c>
      <c r="AI955" s="65" t="s">
        <v>61</v>
      </c>
      <c r="AJ955" s="66" t="s">
        <v>61</v>
      </c>
      <c r="AK955" s="60"/>
    </row>
    <row r="956" ht="24.0" customHeight="1">
      <c r="A956" s="35"/>
      <c r="B956" s="36">
        <v>1.0</v>
      </c>
      <c r="C956" s="37" t="str">
        <f>IFERROR(__xludf.DUMMYFUNCTION("""COMPUTED_VALUE"""),"Colin DiRocco (XX) - '27 LHP CA")</f>
        <v>Colin DiRocco (XX) - '27 LHP CA</v>
      </c>
      <c r="D956" s="38" t="s">
        <v>5011</v>
      </c>
      <c r="E956" s="39" t="s">
        <v>122</v>
      </c>
      <c r="F956" s="118">
        <v>45869.0</v>
      </c>
      <c r="G956" s="113" t="s">
        <v>1395</v>
      </c>
      <c r="H956" s="42" t="s">
        <v>673</v>
      </c>
      <c r="I956" s="43" t="s">
        <v>5012</v>
      </c>
      <c r="J956" s="43">
        <v>2027.0</v>
      </c>
      <c r="K956" s="43" t="s">
        <v>410</v>
      </c>
      <c r="L956" s="43" t="s">
        <v>4833</v>
      </c>
      <c r="M956" s="43" t="s">
        <v>122</v>
      </c>
      <c r="N956" s="117"/>
      <c r="O956" s="43" t="s">
        <v>1556</v>
      </c>
      <c r="P956" s="43" t="s">
        <v>5013</v>
      </c>
      <c r="Q956" s="43" t="s">
        <v>52</v>
      </c>
      <c r="R956" s="43" t="s">
        <v>5014</v>
      </c>
      <c r="S956" s="44"/>
      <c r="T956" s="39">
        <v>4.3</v>
      </c>
      <c r="U956" s="39"/>
      <c r="V956" s="39">
        <v>9.495477048E9</v>
      </c>
      <c r="W956" s="39"/>
      <c r="X956" s="81"/>
      <c r="Y956" s="81"/>
      <c r="Z956" s="82"/>
      <c r="AA956" s="99" t="s">
        <v>5015</v>
      </c>
      <c r="AB956" s="48" t="s">
        <v>5016</v>
      </c>
      <c r="AC956" s="68" t="s">
        <v>5017</v>
      </c>
      <c r="AD956" s="69" t="s">
        <v>5018</v>
      </c>
      <c r="AE956" s="69"/>
      <c r="AF956" s="68" t="s">
        <v>5019</v>
      </c>
      <c r="AG956" s="68" t="s">
        <v>81</v>
      </c>
      <c r="AH956" s="68" t="s">
        <v>81</v>
      </c>
      <c r="AI956" s="70" t="s">
        <v>81</v>
      </c>
      <c r="AJ956" s="49" t="s">
        <v>61</v>
      </c>
      <c r="AK956" s="46"/>
    </row>
    <row r="957" ht="24.0" customHeight="1">
      <c r="A957" s="35"/>
      <c r="B957" s="36">
        <v>1.0</v>
      </c>
      <c r="C957" s="37" t="str">
        <f>IFERROR(__xludf.DUMMYFUNCTION("""COMPUTED_VALUE"""),"Ethan DuBois (XX) - '27 CINF NJ")</f>
        <v>Ethan DuBois (XX) - '27 CINF NJ</v>
      </c>
      <c r="D957" s="38" t="s">
        <v>5020</v>
      </c>
      <c r="E957" s="51" t="s">
        <v>48</v>
      </c>
      <c r="F957" s="119"/>
      <c r="G957" s="116" t="s">
        <v>1395</v>
      </c>
      <c r="H957" s="54" t="s">
        <v>266</v>
      </c>
      <c r="I957" s="55" t="s">
        <v>5021</v>
      </c>
      <c r="J957" s="55">
        <v>2027.0</v>
      </c>
      <c r="K957" s="55" t="s">
        <v>410</v>
      </c>
      <c r="L957" s="55" t="s">
        <v>5022</v>
      </c>
      <c r="M957" s="55" t="s">
        <v>72</v>
      </c>
      <c r="N957" s="132"/>
      <c r="O957" s="55" t="s">
        <v>1550</v>
      </c>
      <c r="P957" s="55"/>
      <c r="Q957" s="55" t="s">
        <v>502</v>
      </c>
      <c r="R957" s="55" t="s">
        <v>5023</v>
      </c>
      <c r="S957" s="58" t="s">
        <v>4162</v>
      </c>
      <c r="T957" s="51"/>
      <c r="U957" s="51"/>
      <c r="V957" s="51"/>
      <c r="W957" s="51"/>
      <c r="X957" s="74"/>
      <c r="Y957" s="74"/>
      <c r="Z957" s="76"/>
      <c r="AA957" s="134"/>
      <c r="AB957" s="62" t="s">
        <v>61</v>
      </c>
      <c r="AC957" s="63" t="s">
        <v>61</v>
      </c>
      <c r="AD957" s="64" t="s">
        <v>61</v>
      </c>
      <c r="AE957" s="64" t="s">
        <v>61</v>
      </c>
      <c r="AF957" s="63" t="s">
        <v>61</v>
      </c>
      <c r="AG957" s="63" t="s">
        <v>61</v>
      </c>
      <c r="AH957" s="63" t="s">
        <v>61</v>
      </c>
      <c r="AI957" s="65" t="s">
        <v>61</v>
      </c>
      <c r="AJ957" s="66" t="s">
        <v>61</v>
      </c>
      <c r="AK957" s="60"/>
    </row>
    <row r="958" ht="24.0" customHeight="1">
      <c r="A958" s="35"/>
      <c r="B958" s="36">
        <v>1.0</v>
      </c>
      <c r="C958" s="37" t="str">
        <f>IFERROR(__xludf.DUMMYFUNCTION("""COMPUTED_VALUE"""),"Koby Dues (XX) - '27 SS OH")</f>
        <v>Koby Dues (XX) - '27 SS OH</v>
      </c>
      <c r="D958" s="38" t="s">
        <v>5024</v>
      </c>
      <c r="E958" s="39" t="s">
        <v>48</v>
      </c>
      <c r="F958" s="118">
        <v>45865.0</v>
      </c>
      <c r="G958" s="113" t="s">
        <v>1430</v>
      </c>
      <c r="H958" s="42" t="s">
        <v>5025</v>
      </c>
      <c r="I958" s="43" t="s">
        <v>5026</v>
      </c>
      <c r="J958" s="43">
        <v>2027.0</v>
      </c>
      <c r="K958" s="43" t="s">
        <v>410</v>
      </c>
      <c r="L958" s="43" t="s">
        <v>5027</v>
      </c>
      <c r="M958" s="43" t="s">
        <v>1398</v>
      </c>
      <c r="N958" s="117"/>
      <c r="O958" s="43" t="s">
        <v>1550</v>
      </c>
      <c r="P958" s="43" t="s">
        <v>2067</v>
      </c>
      <c r="Q958" s="43" t="s">
        <v>529</v>
      </c>
      <c r="R958" s="43" t="s">
        <v>5028</v>
      </c>
      <c r="S958" s="44"/>
      <c r="T958" s="39">
        <v>4.0</v>
      </c>
      <c r="U958" s="39"/>
      <c r="V958" s="39" t="s">
        <v>5029</v>
      </c>
      <c r="W958" s="39" t="s">
        <v>2821</v>
      </c>
      <c r="X958" s="81"/>
      <c r="Y958" s="81"/>
      <c r="Z958" s="82"/>
      <c r="AA958" s="99"/>
      <c r="AB958" s="48" t="s">
        <v>61</v>
      </c>
      <c r="AC958" s="68" t="s">
        <v>61</v>
      </c>
      <c r="AD958" s="69" t="s">
        <v>61</v>
      </c>
      <c r="AE958" s="69" t="s">
        <v>61</v>
      </c>
      <c r="AF958" s="68" t="s">
        <v>61</v>
      </c>
      <c r="AG958" s="68" t="s">
        <v>61</v>
      </c>
      <c r="AH958" s="68" t="s">
        <v>61</v>
      </c>
      <c r="AI958" s="70" t="s">
        <v>61</v>
      </c>
      <c r="AJ958" s="49" t="s">
        <v>61</v>
      </c>
      <c r="AK958" s="46"/>
    </row>
    <row r="959" ht="24.0" customHeight="1">
      <c r="A959" s="35"/>
      <c r="B959" s="36">
        <v>1.0</v>
      </c>
      <c r="C959" s="37" t="str">
        <f>IFERROR(__xludf.DUMMYFUNCTION("""COMPUTED_VALUE"""),"Declan Ellingwood (XX) - '27 OF CT")</f>
        <v>Declan Ellingwood (XX) - '27 OF CT</v>
      </c>
      <c r="D959" s="38" t="s">
        <v>5030</v>
      </c>
      <c r="E959" s="51" t="s">
        <v>103</v>
      </c>
      <c r="F959" s="119"/>
      <c r="G959" s="116" t="s">
        <v>1395</v>
      </c>
      <c r="H959" s="54" t="s">
        <v>3612</v>
      </c>
      <c r="I959" s="55" t="s">
        <v>5031</v>
      </c>
      <c r="J959" s="55">
        <v>2027.0</v>
      </c>
      <c r="K959" s="55" t="s">
        <v>410</v>
      </c>
      <c r="L959" s="55" t="s">
        <v>2589</v>
      </c>
      <c r="M959" s="55" t="s">
        <v>103</v>
      </c>
      <c r="N959" s="132" t="s">
        <v>63</v>
      </c>
      <c r="O959" s="55" t="s">
        <v>1989</v>
      </c>
      <c r="P959" s="55"/>
      <c r="Q959" s="55" t="s">
        <v>160</v>
      </c>
      <c r="R959" s="55" t="s">
        <v>5032</v>
      </c>
      <c r="S959" s="58" t="s">
        <v>3377</v>
      </c>
      <c r="T959" s="51"/>
      <c r="U959" s="51"/>
      <c r="V959" s="51"/>
      <c r="W959" s="51"/>
      <c r="X959" s="74"/>
      <c r="Y959" s="74"/>
      <c r="Z959" s="76"/>
      <c r="AA959" s="134"/>
      <c r="AB959" s="62" t="s">
        <v>61</v>
      </c>
      <c r="AC959" s="63" t="s">
        <v>61</v>
      </c>
      <c r="AD959" s="64" t="s">
        <v>61</v>
      </c>
      <c r="AE959" s="64" t="s">
        <v>61</v>
      </c>
      <c r="AF959" s="63" t="s">
        <v>61</v>
      </c>
      <c r="AG959" s="63" t="s">
        <v>61</v>
      </c>
      <c r="AH959" s="63" t="s">
        <v>61</v>
      </c>
      <c r="AI959" s="65" t="s">
        <v>61</v>
      </c>
      <c r="AJ959" s="66" t="s">
        <v>61</v>
      </c>
      <c r="AK959" s="60"/>
    </row>
    <row r="960" ht="24.0" customHeight="1">
      <c r="A960" s="35"/>
      <c r="B960" s="36">
        <v>1.0</v>
      </c>
      <c r="C960" s="37" t="str">
        <f>IFERROR(__xludf.DUMMYFUNCTION("""COMPUTED_VALUE"""),"Mason Ellison (XX) - '27 RHP NH")</f>
        <v>Mason Ellison (XX) - '27 RHP NH</v>
      </c>
      <c r="D960" s="38" t="s">
        <v>5033</v>
      </c>
      <c r="E960" s="39" t="s">
        <v>63</v>
      </c>
      <c r="F960" s="118"/>
      <c r="G960" s="113" t="s">
        <v>1395</v>
      </c>
      <c r="H960" s="42" t="s">
        <v>1057</v>
      </c>
      <c r="I960" s="43" t="s">
        <v>5034</v>
      </c>
      <c r="J960" s="43">
        <v>2027.0</v>
      </c>
      <c r="K960" s="43" t="s">
        <v>410</v>
      </c>
      <c r="L960" s="43" t="s">
        <v>5035</v>
      </c>
      <c r="M960" s="43" t="s">
        <v>63</v>
      </c>
      <c r="N960" s="117"/>
      <c r="O960" s="43"/>
      <c r="P960" s="43"/>
      <c r="Q960" s="43" t="s">
        <v>942</v>
      </c>
      <c r="R960" s="43" t="s">
        <v>5036</v>
      </c>
      <c r="S960" s="44" t="s">
        <v>4051</v>
      </c>
      <c r="T960" s="39"/>
      <c r="U960" s="39"/>
      <c r="V960" s="39"/>
      <c r="W960" s="39"/>
      <c r="X960" s="81"/>
      <c r="Y960" s="81"/>
      <c r="Z960" s="82"/>
      <c r="AA960" s="99"/>
      <c r="AB960" s="48" t="s">
        <v>61</v>
      </c>
      <c r="AC960" s="68" t="s">
        <v>61</v>
      </c>
      <c r="AD960" s="69" t="s">
        <v>61</v>
      </c>
      <c r="AE960" s="69" t="s">
        <v>61</v>
      </c>
      <c r="AF960" s="68" t="s">
        <v>61</v>
      </c>
      <c r="AG960" s="68" t="s">
        <v>61</v>
      </c>
      <c r="AH960" s="68" t="s">
        <v>61</v>
      </c>
      <c r="AI960" s="70" t="s">
        <v>61</v>
      </c>
      <c r="AJ960" s="49" t="s">
        <v>61</v>
      </c>
      <c r="AK960" s="46"/>
    </row>
    <row r="961" ht="24.0" customHeight="1">
      <c r="A961" s="35"/>
      <c r="B961" s="36">
        <v>1.0</v>
      </c>
      <c r="C961" s="37" t="str">
        <f>IFERROR(__xludf.DUMMYFUNCTION("""COMPUTED_VALUE"""),"Brandon Emig (XX) - '27 RHP PA")</f>
        <v>Brandon Emig (XX) - '27 RHP PA</v>
      </c>
      <c r="D961" s="38" t="s">
        <v>5037</v>
      </c>
      <c r="E961" s="51" t="s">
        <v>63</v>
      </c>
      <c r="F961" s="119">
        <v>45865.0</v>
      </c>
      <c r="G961" s="116" t="s">
        <v>1430</v>
      </c>
      <c r="H961" s="54" t="s">
        <v>5038</v>
      </c>
      <c r="I961" s="55" t="s">
        <v>5039</v>
      </c>
      <c r="J961" s="55">
        <v>2027.0</v>
      </c>
      <c r="K961" s="55" t="s">
        <v>410</v>
      </c>
      <c r="L961" s="55" t="s">
        <v>5040</v>
      </c>
      <c r="M961" s="55" t="s">
        <v>63</v>
      </c>
      <c r="N961" s="132"/>
      <c r="O961" s="55" t="s">
        <v>1550</v>
      </c>
      <c r="P961" s="55" t="s">
        <v>5041</v>
      </c>
      <c r="Q961" s="55" t="s">
        <v>240</v>
      </c>
      <c r="R961" s="55" t="s">
        <v>5042</v>
      </c>
      <c r="S961" s="58"/>
      <c r="T961" s="51">
        <v>3.73</v>
      </c>
      <c r="U961" s="51"/>
      <c r="V961" s="51" t="s">
        <v>5043</v>
      </c>
      <c r="W961" s="51" t="s">
        <v>2821</v>
      </c>
      <c r="X961" s="74"/>
      <c r="Y961" s="74"/>
      <c r="Z961" s="76"/>
      <c r="AA961" s="134" t="s">
        <v>5044</v>
      </c>
      <c r="AB961" s="62" t="s">
        <v>5045</v>
      </c>
      <c r="AC961" s="63" t="s">
        <v>5046</v>
      </c>
      <c r="AD961" s="64">
        <v>3.69</v>
      </c>
      <c r="AE961" s="64" t="s">
        <v>5047</v>
      </c>
      <c r="AF961" s="63" t="s">
        <v>5048</v>
      </c>
      <c r="AG961" s="63" t="s">
        <v>81</v>
      </c>
      <c r="AH961" s="63" t="s">
        <v>5049</v>
      </c>
      <c r="AI961" s="65" t="s">
        <v>81</v>
      </c>
      <c r="AJ961" s="66" t="s">
        <v>61</v>
      </c>
      <c r="AK961" s="60"/>
    </row>
    <row r="962" ht="24.0" customHeight="1">
      <c r="A962" s="35"/>
      <c r="B962" s="36">
        <v>1.0</v>
      </c>
      <c r="C962" s="37" t="str">
        <f>IFERROR(__xludf.DUMMYFUNCTION("""COMPUTED_VALUE"""),"Lincoln Eure (XX) - '27 RHP UT")</f>
        <v>Lincoln Eure (XX) - '27 RHP UT</v>
      </c>
      <c r="D962" s="38" t="s">
        <v>5050</v>
      </c>
      <c r="E962" s="39" t="s">
        <v>63</v>
      </c>
      <c r="F962" s="118">
        <v>45865.0</v>
      </c>
      <c r="G962" s="113" t="s">
        <v>1395</v>
      </c>
      <c r="H962" s="42" t="s">
        <v>881</v>
      </c>
      <c r="I962" s="43" t="s">
        <v>5051</v>
      </c>
      <c r="J962" s="43">
        <v>2027.0</v>
      </c>
      <c r="K962" s="43" t="s">
        <v>410</v>
      </c>
      <c r="L962" s="43" t="s">
        <v>1981</v>
      </c>
      <c r="M962" s="43" t="s">
        <v>63</v>
      </c>
      <c r="N962" s="117" t="s">
        <v>1398</v>
      </c>
      <c r="O962" s="43" t="s">
        <v>1550</v>
      </c>
      <c r="P962" s="43" t="s">
        <v>5052</v>
      </c>
      <c r="Q962" s="43" t="s">
        <v>636</v>
      </c>
      <c r="R962" s="43" t="s">
        <v>5053</v>
      </c>
      <c r="S962" s="44"/>
      <c r="T962" s="39">
        <v>3.98</v>
      </c>
      <c r="U962" s="39"/>
      <c r="V962" s="39" t="s">
        <v>5054</v>
      </c>
      <c r="W962" s="39" t="s">
        <v>2821</v>
      </c>
      <c r="X962" s="81"/>
      <c r="Y962" s="81"/>
      <c r="Z962" s="82"/>
      <c r="AA962" s="99"/>
      <c r="AB962" s="48" t="s">
        <v>5055</v>
      </c>
      <c r="AC962" s="68" t="s">
        <v>5056</v>
      </c>
      <c r="AD962" s="69" t="s">
        <v>5057</v>
      </c>
      <c r="AE962" s="69"/>
      <c r="AF962" s="68"/>
      <c r="AG962" s="68" t="s">
        <v>81</v>
      </c>
      <c r="AH962" s="68" t="s">
        <v>81</v>
      </c>
      <c r="AI962" s="70" t="s">
        <v>81</v>
      </c>
      <c r="AJ962" s="49" t="s">
        <v>61</v>
      </c>
      <c r="AK962" s="46"/>
    </row>
    <row r="963" ht="24.0" customHeight="1">
      <c r="A963" s="35"/>
      <c r="B963" s="36">
        <v>1.0</v>
      </c>
      <c r="C963" s="37" t="str">
        <f>IFERROR(__xludf.DUMMYFUNCTION("""COMPUTED_VALUE"""),"Benjamin Faigin (XX) - '27 LHP NJ")</f>
        <v>Benjamin Faigin (XX) - '27 LHP NJ</v>
      </c>
      <c r="D963" s="38" t="s">
        <v>5058</v>
      </c>
      <c r="E963" s="51" t="s">
        <v>122</v>
      </c>
      <c r="F963" s="119"/>
      <c r="G963" s="116" t="s">
        <v>1395</v>
      </c>
      <c r="H963" s="54" t="s">
        <v>1566</v>
      </c>
      <c r="I963" s="55" t="s">
        <v>5059</v>
      </c>
      <c r="J963" s="55">
        <v>2027.0</v>
      </c>
      <c r="K963" s="55" t="s">
        <v>410</v>
      </c>
      <c r="L963" s="55" t="s">
        <v>5060</v>
      </c>
      <c r="M963" s="55" t="s">
        <v>122</v>
      </c>
      <c r="N963" s="132"/>
      <c r="O963" s="55" t="s">
        <v>1556</v>
      </c>
      <c r="P963" s="55"/>
      <c r="Q963" s="55" t="s">
        <v>502</v>
      </c>
      <c r="R963" s="55" t="s">
        <v>5061</v>
      </c>
      <c r="S963" s="58"/>
      <c r="T963" s="51"/>
      <c r="U963" s="51"/>
      <c r="V963" s="51"/>
      <c r="W963" s="51"/>
      <c r="X963" s="74"/>
      <c r="Y963" s="74"/>
      <c r="Z963" s="76"/>
      <c r="AA963" s="134"/>
      <c r="AB963" s="62" t="s">
        <v>61</v>
      </c>
      <c r="AC963" s="63" t="s">
        <v>61</v>
      </c>
      <c r="AD963" s="64" t="s">
        <v>61</v>
      </c>
      <c r="AE963" s="64" t="s">
        <v>61</v>
      </c>
      <c r="AF963" s="63" t="s">
        <v>61</v>
      </c>
      <c r="AG963" s="63" t="s">
        <v>61</v>
      </c>
      <c r="AH963" s="63" t="s">
        <v>61</v>
      </c>
      <c r="AI963" s="65" t="s">
        <v>61</v>
      </c>
      <c r="AJ963" s="66" t="s">
        <v>61</v>
      </c>
      <c r="AK963" s="60"/>
    </row>
    <row r="964" ht="24.0" customHeight="1">
      <c r="A964" s="35"/>
      <c r="B964" s="36">
        <v>1.0</v>
      </c>
      <c r="C964" s="37" t="str">
        <f>IFERROR(__xludf.DUMMYFUNCTION("""COMPUTED_VALUE"""),"Jon Fala (XX) - '27 SS ")</f>
        <v>Jon Fala (XX) - '27 SS </v>
      </c>
      <c r="D964" s="38" t="s">
        <v>5062</v>
      </c>
      <c r="E964" s="39" t="s">
        <v>48</v>
      </c>
      <c r="F964" s="118"/>
      <c r="G964" s="113"/>
      <c r="H964" s="42" t="s">
        <v>5063</v>
      </c>
      <c r="I964" s="43" t="s">
        <v>5064</v>
      </c>
      <c r="J964" s="43">
        <v>2027.0</v>
      </c>
      <c r="K964" s="43" t="s">
        <v>410</v>
      </c>
      <c r="L964" s="43" t="s">
        <v>5065</v>
      </c>
      <c r="M964" s="43" t="s">
        <v>1398</v>
      </c>
      <c r="N964" s="117"/>
      <c r="O964" s="43" t="s">
        <v>1550</v>
      </c>
      <c r="P964" s="43" t="s">
        <v>5066</v>
      </c>
      <c r="Q964" s="43"/>
      <c r="R964" s="43" t="s">
        <v>5067</v>
      </c>
      <c r="S964" s="44" t="s">
        <v>5068</v>
      </c>
      <c r="T964" s="39"/>
      <c r="U964" s="39"/>
      <c r="V964" s="39"/>
      <c r="W964" s="39" t="s">
        <v>1724</v>
      </c>
      <c r="X964" s="81"/>
      <c r="Y964" s="81"/>
      <c r="Z964" s="82"/>
      <c r="AA964" s="99"/>
      <c r="AB964" s="48" t="s">
        <v>61</v>
      </c>
      <c r="AC964" s="68" t="s">
        <v>61</v>
      </c>
      <c r="AD964" s="69" t="s">
        <v>61</v>
      </c>
      <c r="AE964" s="69" t="s">
        <v>61</v>
      </c>
      <c r="AF964" s="68" t="s">
        <v>61</v>
      </c>
      <c r="AG964" s="68" t="s">
        <v>61</v>
      </c>
      <c r="AH964" s="68" t="s">
        <v>61</v>
      </c>
      <c r="AI964" s="70" t="s">
        <v>61</v>
      </c>
      <c r="AJ964" s="49" t="s">
        <v>61</v>
      </c>
      <c r="AK964" s="46"/>
    </row>
    <row r="965" ht="24.0" customHeight="1">
      <c r="A965" s="35"/>
      <c r="B965" s="36">
        <v>1.0</v>
      </c>
      <c r="C965" s="37" t="str">
        <f>IFERROR(__xludf.DUMMYFUNCTION("""COMPUTED_VALUE"""),"Jeter Farina (XX) - '27 SS FL")</f>
        <v>Jeter Farina (XX) - '27 SS FL</v>
      </c>
      <c r="D965" s="38" t="s">
        <v>5069</v>
      </c>
      <c r="E965" s="51" t="s">
        <v>48</v>
      </c>
      <c r="F965" s="119"/>
      <c r="G965" s="116" t="s">
        <v>1430</v>
      </c>
      <c r="H965" s="54" t="s">
        <v>5070</v>
      </c>
      <c r="I965" s="55" t="s">
        <v>5071</v>
      </c>
      <c r="J965" s="55">
        <v>2027.0</v>
      </c>
      <c r="K965" s="55" t="s">
        <v>410</v>
      </c>
      <c r="L965" s="55" t="s">
        <v>2278</v>
      </c>
      <c r="M965" s="55" t="s">
        <v>1398</v>
      </c>
      <c r="N965" s="132"/>
      <c r="O965" s="55"/>
      <c r="P965" s="55"/>
      <c r="Q965" s="55" t="s">
        <v>66</v>
      </c>
      <c r="R965" s="55" t="s">
        <v>5072</v>
      </c>
      <c r="S965" s="58" t="s">
        <v>1539</v>
      </c>
      <c r="T965" s="51">
        <v>3.9</v>
      </c>
      <c r="U965" s="51"/>
      <c r="V965" s="51"/>
      <c r="W965" s="51"/>
      <c r="X965" s="74"/>
      <c r="Y965" s="74"/>
      <c r="Z965" s="76"/>
      <c r="AA965" s="134" t="s">
        <v>5073</v>
      </c>
      <c r="AB965" s="62" t="s">
        <v>61</v>
      </c>
      <c r="AC965" s="63" t="s">
        <v>61</v>
      </c>
      <c r="AD965" s="64" t="s">
        <v>61</v>
      </c>
      <c r="AE965" s="64" t="s">
        <v>61</v>
      </c>
      <c r="AF965" s="63" t="s">
        <v>61</v>
      </c>
      <c r="AG965" s="63" t="s">
        <v>61</v>
      </c>
      <c r="AH965" s="63" t="s">
        <v>61</v>
      </c>
      <c r="AI965" s="65" t="s">
        <v>61</v>
      </c>
      <c r="AJ965" s="66" t="s">
        <v>61</v>
      </c>
      <c r="AK965" s="60"/>
    </row>
    <row r="966" ht="24.0" customHeight="1">
      <c r="A966" s="35"/>
      <c r="B966" s="36">
        <v>1.0</v>
      </c>
      <c r="C966" s="37" t="str">
        <f>IFERROR(__xludf.DUMMYFUNCTION("""COMPUTED_VALUE"""),"Michael Fekete (XX) - '27 RHP NJ")</f>
        <v>Michael Fekete (XX) - '27 RHP NJ</v>
      </c>
      <c r="D966" s="38" t="s">
        <v>5074</v>
      </c>
      <c r="E966" s="39" t="s">
        <v>63</v>
      </c>
      <c r="F966" s="118"/>
      <c r="G966" s="113" t="s">
        <v>1395</v>
      </c>
      <c r="H966" s="42" t="s">
        <v>158</v>
      </c>
      <c r="I966" s="43" t="s">
        <v>5075</v>
      </c>
      <c r="J966" s="43">
        <v>2027.0</v>
      </c>
      <c r="K966" s="43" t="s">
        <v>410</v>
      </c>
      <c r="L966" s="43" t="s">
        <v>2123</v>
      </c>
      <c r="M966" s="43" t="s">
        <v>63</v>
      </c>
      <c r="N966" s="117"/>
      <c r="O966" s="43" t="s">
        <v>1550</v>
      </c>
      <c r="P966" s="43"/>
      <c r="Q966" s="43" t="s">
        <v>502</v>
      </c>
      <c r="R966" s="43" t="s">
        <v>5076</v>
      </c>
      <c r="S966" s="44" t="s">
        <v>2029</v>
      </c>
      <c r="T966" s="39"/>
      <c r="U966" s="39"/>
      <c r="V966" s="39"/>
      <c r="W966" s="39"/>
      <c r="X966" s="81"/>
      <c r="Y966" s="81"/>
      <c r="Z966" s="82"/>
      <c r="AA966" s="99"/>
      <c r="AB966" s="48" t="s">
        <v>61</v>
      </c>
      <c r="AC966" s="68" t="s">
        <v>61</v>
      </c>
      <c r="AD966" s="69" t="s">
        <v>61</v>
      </c>
      <c r="AE966" s="69" t="s">
        <v>61</v>
      </c>
      <c r="AF966" s="68" t="s">
        <v>61</v>
      </c>
      <c r="AG966" s="68" t="s">
        <v>61</v>
      </c>
      <c r="AH966" s="68" t="s">
        <v>61</v>
      </c>
      <c r="AI966" s="70" t="s">
        <v>61</v>
      </c>
      <c r="AJ966" s="49" t="s">
        <v>61</v>
      </c>
      <c r="AK966" s="46"/>
    </row>
    <row r="967" ht="24.0" customHeight="1">
      <c r="A967" s="35"/>
      <c r="B967" s="36">
        <v>1.0</v>
      </c>
      <c r="C967" s="37" t="str">
        <f>IFERROR(__xludf.DUMMYFUNCTION("""COMPUTED_VALUE"""),"George Ferguson (XX) - '27 RHP TX")</f>
        <v>George Ferguson (XX) - '27 RHP TX</v>
      </c>
      <c r="D967" s="38" t="s">
        <v>5077</v>
      </c>
      <c r="E967" s="51" t="s">
        <v>63</v>
      </c>
      <c r="F967" s="119">
        <v>45865.0</v>
      </c>
      <c r="G967" s="116" t="s">
        <v>1470</v>
      </c>
      <c r="H967" s="54" t="s">
        <v>419</v>
      </c>
      <c r="I967" s="55" t="s">
        <v>518</v>
      </c>
      <c r="J967" s="55">
        <v>2027.0</v>
      </c>
      <c r="K967" s="55" t="s">
        <v>410</v>
      </c>
      <c r="L967" s="55" t="s">
        <v>2018</v>
      </c>
      <c r="M967" s="55" t="s">
        <v>63</v>
      </c>
      <c r="N967" s="132"/>
      <c r="O967" s="55" t="s">
        <v>1550</v>
      </c>
      <c r="P967" s="55" t="s">
        <v>5078</v>
      </c>
      <c r="Q967" s="55" t="s">
        <v>180</v>
      </c>
      <c r="R967" s="55" t="s">
        <v>5078</v>
      </c>
      <c r="S967" s="58"/>
      <c r="T967" s="51"/>
      <c r="U967" s="51"/>
      <c r="V967" s="51" t="s">
        <v>5079</v>
      </c>
      <c r="W967" s="51" t="s">
        <v>2821</v>
      </c>
      <c r="X967" s="74"/>
      <c r="Y967" s="74"/>
      <c r="Z967" s="76"/>
      <c r="AA967" s="134"/>
      <c r="AB967" s="62" t="s">
        <v>61</v>
      </c>
      <c r="AC967" s="63" t="s">
        <v>61</v>
      </c>
      <c r="AD967" s="64" t="s">
        <v>61</v>
      </c>
      <c r="AE967" s="64" t="s">
        <v>61</v>
      </c>
      <c r="AF967" s="63" t="s">
        <v>61</v>
      </c>
      <c r="AG967" s="63" t="s">
        <v>61</v>
      </c>
      <c r="AH967" s="63" t="s">
        <v>61</v>
      </c>
      <c r="AI967" s="65" t="s">
        <v>61</v>
      </c>
      <c r="AJ967" s="66" t="s">
        <v>61</v>
      </c>
      <c r="AK967" s="60"/>
    </row>
    <row r="968" ht="24.0" customHeight="1">
      <c r="A968" s="35"/>
      <c r="B968" s="36">
        <v>1.0</v>
      </c>
      <c r="C968" s="37" t="str">
        <f>IFERROR(__xludf.DUMMYFUNCTION("""COMPUTED_VALUE"""),"Hunter Finck (XX) - '27 RHP ME")</f>
        <v>Hunter Finck (XX) - '27 RHP ME</v>
      </c>
      <c r="D968" s="38" t="s">
        <v>5080</v>
      </c>
      <c r="E968" s="39" t="s">
        <v>63</v>
      </c>
      <c r="F968" s="118"/>
      <c r="G968" s="113" t="s">
        <v>1395</v>
      </c>
      <c r="H968" s="42" t="s">
        <v>822</v>
      </c>
      <c r="I968" s="43" t="s">
        <v>5081</v>
      </c>
      <c r="J968" s="43">
        <v>2027.0</v>
      </c>
      <c r="K968" s="43" t="s">
        <v>410</v>
      </c>
      <c r="L968" s="43" t="s">
        <v>5082</v>
      </c>
      <c r="M968" s="43" t="s">
        <v>63</v>
      </c>
      <c r="N968" s="117"/>
      <c r="O968" s="43" t="s">
        <v>1550</v>
      </c>
      <c r="P968" s="43"/>
      <c r="Q968" s="43" t="s">
        <v>2224</v>
      </c>
      <c r="R968" s="43" t="s">
        <v>5083</v>
      </c>
      <c r="S968" s="44" t="s">
        <v>4503</v>
      </c>
      <c r="T968" s="39"/>
      <c r="U968" s="39"/>
      <c r="V968" s="39"/>
      <c r="W968" s="39"/>
      <c r="X968" s="81"/>
      <c r="Y968" s="81"/>
      <c r="Z968" s="82"/>
      <c r="AA968" s="99"/>
      <c r="AB968" s="48" t="s">
        <v>61</v>
      </c>
      <c r="AC968" s="68" t="s">
        <v>61</v>
      </c>
      <c r="AD968" s="69" t="s">
        <v>61</v>
      </c>
      <c r="AE968" s="69" t="s">
        <v>61</v>
      </c>
      <c r="AF968" s="68" t="s">
        <v>61</v>
      </c>
      <c r="AG968" s="68" t="s">
        <v>61</v>
      </c>
      <c r="AH968" s="68" t="s">
        <v>61</v>
      </c>
      <c r="AI968" s="70" t="s">
        <v>61</v>
      </c>
      <c r="AJ968" s="49" t="s">
        <v>61</v>
      </c>
      <c r="AK968" s="46"/>
    </row>
    <row r="969" ht="24.0" customHeight="1">
      <c r="A969" s="35"/>
      <c r="B969" s="36">
        <v>1.0</v>
      </c>
      <c r="C969" s="37" t="str">
        <f>IFERROR(__xludf.DUMMYFUNCTION("""COMPUTED_VALUE"""),"Joseph Flores Jr. (XX) - '27 SS CA")</f>
        <v>Joseph Flores Jr. (XX) - '27 SS CA</v>
      </c>
      <c r="D969" s="38" t="s">
        <v>5084</v>
      </c>
      <c r="E969" s="51" t="s">
        <v>48</v>
      </c>
      <c r="F969" s="119">
        <v>45865.0</v>
      </c>
      <c r="G969" s="116" t="s">
        <v>1470</v>
      </c>
      <c r="H969" s="54" t="s">
        <v>971</v>
      </c>
      <c r="I969" s="55" t="s">
        <v>5085</v>
      </c>
      <c r="J969" s="55">
        <v>2027.0</v>
      </c>
      <c r="K969" s="55" t="s">
        <v>410</v>
      </c>
      <c r="L969" s="55" t="s">
        <v>2758</v>
      </c>
      <c r="M969" s="55" t="s">
        <v>1398</v>
      </c>
      <c r="N969" s="132"/>
      <c r="O969" s="55" t="s">
        <v>1550</v>
      </c>
      <c r="P969" s="55" t="s">
        <v>1765</v>
      </c>
      <c r="Q969" s="55" t="s">
        <v>52</v>
      </c>
      <c r="R969" s="55" t="s">
        <v>3234</v>
      </c>
      <c r="S969" s="58"/>
      <c r="T969" s="51">
        <v>4.2</v>
      </c>
      <c r="U969" s="51"/>
      <c r="V969" s="51" t="s">
        <v>5086</v>
      </c>
      <c r="W969" s="51" t="s">
        <v>2821</v>
      </c>
      <c r="X969" s="74"/>
      <c r="Y969" s="74"/>
      <c r="Z969" s="76"/>
      <c r="AA969" s="134"/>
      <c r="AB969" s="62" t="s">
        <v>61</v>
      </c>
      <c r="AC969" s="63" t="s">
        <v>61</v>
      </c>
      <c r="AD969" s="64" t="s">
        <v>61</v>
      </c>
      <c r="AE969" s="64" t="s">
        <v>61</v>
      </c>
      <c r="AF969" s="63" t="s">
        <v>61</v>
      </c>
      <c r="AG969" s="63" t="s">
        <v>61</v>
      </c>
      <c r="AH969" s="63" t="s">
        <v>61</v>
      </c>
      <c r="AI969" s="65" t="s">
        <v>61</v>
      </c>
      <c r="AJ969" s="66" t="s">
        <v>61</v>
      </c>
      <c r="AK969" s="60"/>
    </row>
    <row r="970" ht="24.0" customHeight="1">
      <c r="A970" s="35"/>
      <c r="B970" s="36">
        <v>1.0</v>
      </c>
      <c r="C970" s="37" t="str">
        <f>IFERROR(__xludf.DUMMYFUNCTION("""COMPUTED_VALUE"""),"Zach Floyd (MA) (XX) - '27 RHP MA")</f>
        <v>Zach Floyd (MA) (XX) - '27 RHP MA</v>
      </c>
      <c r="D970" s="38" t="s">
        <v>5087</v>
      </c>
      <c r="E970" s="39" t="s">
        <v>63</v>
      </c>
      <c r="F970" s="118">
        <v>45855.0</v>
      </c>
      <c r="G970" s="113" t="s">
        <v>1395</v>
      </c>
      <c r="H970" s="42" t="s">
        <v>2773</v>
      </c>
      <c r="I970" s="43" t="s">
        <v>5088</v>
      </c>
      <c r="J970" s="43">
        <v>2027.0</v>
      </c>
      <c r="K970" s="43" t="s">
        <v>410</v>
      </c>
      <c r="L970" s="43" t="s">
        <v>2018</v>
      </c>
      <c r="M970" s="43" t="s">
        <v>63</v>
      </c>
      <c r="N970" s="117"/>
      <c r="O970" s="43"/>
      <c r="P970" s="43"/>
      <c r="Q970" s="43" t="s">
        <v>85</v>
      </c>
      <c r="R970" s="43" t="s">
        <v>2801</v>
      </c>
      <c r="S970" s="44" t="s">
        <v>5089</v>
      </c>
      <c r="T970" s="39"/>
      <c r="U970" s="39"/>
      <c r="V970" s="39"/>
      <c r="W970" s="39"/>
      <c r="X970" s="81"/>
      <c r="Y970" s="81"/>
      <c r="Z970" s="82"/>
      <c r="AA970" s="99" t="s">
        <v>5090</v>
      </c>
      <c r="AB970" s="48" t="s">
        <v>61</v>
      </c>
      <c r="AC970" s="68" t="s">
        <v>61</v>
      </c>
      <c r="AD970" s="69" t="s">
        <v>61</v>
      </c>
      <c r="AE970" s="69" t="s">
        <v>61</v>
      </c>
      <c r="AF970" s="68" t="s">
        <v>61</v>
      </c>
      <c r="AG970" s="68" t="s">
        <v>61</v>
      </c>
      <c r="AH970" s="68" t="s">
        <v>61</v>
      </c>
      <c r="AI970" s="70" t="s">
        <v>61</v>
      </c>
      <c r="AJ970" s="49" t="s">
        <v>61</v>
      </c>
      <c r="AK970" s="46"/>
    </row>
    <row r="971" ht="24.0" customHeight="1">
      <c r="A971" s="35"/>
      <c r="B971" s="36">
        <v>1.0</v>
      </c>
      <c r="C971" s="37" t="str">
        <f>IFERROR(__xludf.DUMMYFUNCTION("""COMPUTED_VALUE"""),"Dorian Fortes (XX) - '27 RHP MA")</f>
        <v>Dorian Fortes (XX) - '27 RHP MA</v>
      </c>
      <c r="D971" s="38" t="s">
        <v>5091</v>
      </c>
      <c r="E971" s="51" t="s">
        <v>63</v>
      </c>
      <c r="F971" s="119"/>
      <c r="G971" s="116" t="s">
        <v>1395</v>
      </c>
      <c r="H971" s="54" t="s">
        <v>5092</v>
      </c>
      <c r="I971" s="55" t="s">
        <v>5093</v>
      </c>
      <c r="J971" s="55">
        <v>2027.0</v>
      </c>
      <c r="K971" s="55" t="s">
        <v>410</v>
      </c>
      <c r="L971" s="55"/>
      <c r="M971" s="55" t="s">
        <v>63</v>
      </c>
      <c r="N971" s="132"/>
      <c r="O971" s="55" t="s">
        <v>1550</v>
      </c>
      <c r="P971" s="55"/>
      <c r="Q971" s="55" t="s">
        <v>85</v>
      </c>
      <c r="R971" s="55"/>
      <c r="S971" s="58" t="s">
        <v>2983</v>
      </c>
      <c r="T971" s="51"/>
      <c r="U971" s="51"/>
      <c r="V971" s="51"/>
      <c r="W971" s="51"/>
      <c r="X971" s="74"/>
      <c r="Y971" s="74"/>
      <c r="Z971" s="76"/>
      <c r="AA971" s="134"/>
      <c r="AB971" s="62" t="s">
        <v>61</v>
      </c>
      <c r="AC971" s="63" t="s">
        <v>61</v>
      </c>
      <c r="AD971" s="64" t="s">
        <v>61</v>
      </c>
      <c r="AE971" s="64" t="s">
        <v>61</v>
      </c>
      <c r="AF971" s="63" t="s">
        <v>61</v>
      </c>
      <c r="AG971" s="63" t="s">
        <v>61</v>
      </c>
      <c r="AH971" s="63" t="s">
        <v>61</v>
      </c>
      <c r="AI971" s="65" t="s">
        <v>61</v>
      </c>
      <c r="AJ971" s="66" t="s">
        <v>61</v>
      </c>
      <c r="AK971" s="60"/>
    </row>
    <row r="972" ht="24.0" customHeight="1">
      <c r="A972" s="35"/>
      <c r="B972" s="36">
        <v>1.0</v>
      </c>
      <c r="C972" s="37" t="str">
        <f>IFERROR(__xludf.DUMMYFUNCTION("""COMPUTED_VALUE"""),"Jackson Fournier (XX) - '27 CF MA")</f>
        <v>Jackson Fournier (XX) - '27 CF MA</v>
      </c>
      <c r="D972" s="38" t="s">
        <v>5094</v>
      </c>
      <c r="E972" s="39" t="s">
        <v>103</v>
      </c>
      <c r="F972" s="118"/>
      <c r="G972" s="113" t="s">
        <v>1395</v>
      </c>
      <c r="H972" s="42" t="s">
        <v>432</v>
      </c>
      <c r="I972" s="43" t="s">
        <v>5095</v>
      </c>
      <c r="J972" s="43">
        <v>2027.0</v>
      </c>
      <c r="K972" s="43" t="s">
        <v>410</v>
      </c>
      <c r="L972" s="43" t="s">
        <v>2230</v>
      </c>
      <c r="M972" s="43" t="s">
        <v>106</v>
      </c>
      <c r="N972" s="117"/>
      <c r="O972" s="43" t="s">
        <v>1989</v>
      </c>
      <c r="P972" s="43"/>
      <c r="Q972" s="43" t="s">
        <v>85</v>
      </c>
      <c r="R972" s="43" t="s">
        <v>818</v>
      </c>
      <c r="S972" s="44" t="s">
        <v>5096</v>
      </c>
      <c r="T972" s="39"/>
      <c r="U972" s="39"/>
      <c r="V972" s="39"/>
      <c r="W972" s="39"/>
      <c r="X972" s="81"/>
      <c r="Y972" s="81"/>
      <c r="Z972" s="82"/>
      <c r="AA972" s="99"/>
      <c r="AB972" s="48" t="s">
        <v>5097</v>
      </c>
      <c r="AC972" s="68" t="s">
        <v>5098</v>
      </c>
      <c r="AD972" s="69" t="s">
        <v>5099</v>
      </c>
      <c r="AE972" s="69" t="s">
        <v>836</v>
      </c>
      <c r="AF972" s="68" t="s">
        <v>5100</v>
      </c>
      <c r="AG972" s="68" t="s">
        <v>81</v>
      </c>
      <c r="AH972" s="68" t="s">
        <v>81</v>
      </c>
      <c r="AI972" s="70" t="s">
        <v>81</v>
      </c>
      <c r="AJ972" s="49" t="s">
        <v>61</v>
      </c>
      <c r="AK972" s="46"/>
    </row>
    <row r="973" ht="24.0" customHeight="1">
      <c r="A973" s="35"/>
      <c r="B973" s="36">
        <v>1.0</v>
      </c>
      <c r="C973" s="37" t="str">
        <f>IFERROR(__xludf.DUMMYFUNCTION("""COMPUTED_VALUE"""),"Dylan Frers (XX) - '27 RHP NY")</f>
        <v>Dylan Frers (XX) - '27 RHP NY</v>
      </c>
      <c r="D973" s="38" t="s">
        <v>5101</v>
      </c>
      <c r="E973" s="51" t="s">
        <v>63</v>
      </c>
      <c r="F973" s="119"/>
      <c r="G973" s="116" t="s">
        <v>1395</v>
      </c>
      <c r="H973" s="54" t="s">
        <v>2294</v>
      </c>
      <c r="I973" s="55" t="s">
        <v>5102</v>
      </c>
      <c r="J973" s="55">
        <v>2027.0</v>
      </c>
      <c r="K973" s="55" t="s">
        <v>410</v>
      </c>
      <c r="L973" s="55" t="s">
        <v>5060</v>
      </c>
      <c r="M973" s="55" t="s">
        <v>63</v>
      </c>
      <c r="N973" s="132"/>
      <c r="O973" s="55" t="s">
        <v>1989</v>
      </c>
      <c r="P973" s="55"/>
      <c r="Q973" s="55" t="s">
        <v>255</v>
      </c>
      <c r="R973" s="55" t="s">
        <v>5103</v>
      </c>
      <c r="S973" s="58" t="s">
        <v>5104</v>
      </c>
      <c r="T973" s="51"/>
      <c r="U973" s="51"/>
      <c r="V973" s="51"/>
      <c r="W973" s="51"/>
      <c r="X973" s="74"/>
      <c r="Y973" s="74"/>
      <c r="Z973" s="76"/>
      <c r="AA973" s="134"/>
      <c r="AB973" s="62" t="s">
        <v>61</v>
      </c>
      <c r="AC973" s="63" t="s">
        <v>61</v>
      </c>
      <c r="AD973" s="64" t="s">
        <v>61</v>
      </c>
      <c r="AE973" s="64" t="s">
        <v>61</v>
      </c>
      <c r="AF973" s="63" t="s">
        <v>61</v>
      </c>
      <c r="AG973" s="63" t="s">
        <v>61</v>
      </c>
      <c r="AH973" s="63" t="s">
        <v>61</v>
      </c>
      <c r="AI973" s="65" t="s">
        <v>61</v>
      </c>
      <c r="AJ973" s="66" t="s">
        <v>61</v>
      </c>
      <c r="AK973" s="60"/>
    </row>
    <row r="974" ht="24.0" customHeight="1">
      <c r="A974" s="35"/>
      <c r="B974" s="36">
        <v>1.0</v>
      </c>
      <c r="C974" s="37" t="str">
        <f>IFERROR(__xludf.DUMMYFUNCTION("""COMPUTED_VALUE"""),"Curt Friedrich (XX) - '27 OF NJ")</f>
        <v>Curt Friedrich (XX) - '27 OF NJ</v>
      </c>
      <c r="D974" s="38" t="s">
        <v>5105</v>
      </c>
      <c r="E974" s="39" t="s">
        <v>103</v>
      </c>
      <c r="F974" s="118">
        <v>45865.0</v>
      </c>
      <c r="G974" s="113" t="s">
        <v>1470</v>
      </c>
      <c r="H974" s="42" t="s">
        <v>5106</v>
      </c>
      <c r="I974" s="43" t="s">
        <v>5107</v>
      </c>
      <c r="J974" s="43">
        <v>2027.0</v>
      </c>
      <c r="K974" s="43" t="s">
        <v>410</v>
      </c>
      <c r="L974" s="43" t="s">
        <v>5108</v>
      </c>
      <c r="M974" s="43" t="s">
        <v>103</v>
      </c>
      <c r="N974" s="117" t="s">
        <v>122</v>
      </c>
      <c r="O974" s="43" t="s">
        <v>3667</v>
      </c>
      <c r="P974" s="43" t="s">
        <v>1249</v>
      </c>
      <c r="Q974" s="43" t="s">
        <v>502</v>
      </c>
      <c r="R974" s="43" t="s">
        <v>3065</v>
      </c>
      <c r="S974" s="44"/>
      <c r="T974" s="39">
        <v>3.9</v>
      </c>
      <c r="U974" s="39"/>
      <c r="V974" s="39" t="s">
        <v>5109</v>
      </c>
      <c r="W974" s="39" t="s">
        <v>2821</v>
      </c>
      <c r="X974" s="81"/>
      <c r="Y974" s="81"/>
      <c r="Z974" s="82"/>
      <c r="AA974" s="99"/>
      <c r="AB974" s="48" t="s">
        <v>61</v>
      </c>
      <c r="AC974" s="68" t="s">
        <v>61</v>
      </c>
      <c r="AD974" s="69" t="s">
        <v>61</v>
      </c>
      <c r="AE974" s="69" t="s">
        <v>61</v>
      </c>
      <c r="AF974" s="68" t="s">
        <v>61</v>
      </c>
      <c r="AG974" s="68" t="s">
        <v>61</v>
      </c>
      <c r="AH974" s="68" t="s">
        <v>61</v>
      </c>
      <c r="AI974" s="70" t="s">
        <v>61</v>
      </c>
      <c r="AJ974" s="49" t="s">
        <v>61</v>
      </c>
      <c r="AK974" s="46"/>
    </row>
    <row r="975" ht="24.0" customHeight="1">
      <c r="A975" s="35"/>
      <c r="B975" s="36">
        <v>1.0</v>
      </c>
      <c r="C975" s="37" t="str">
        <f>IFERROR(__xludf.DUMMYFUNCTION("""COMPUTED_VALUE"""),"Jack Frostholm (XX) - '27 CF MA")</f>
        <v>Jack Frostholm (XX) - '27 CF MA</v>
      </c>
      <c r="D975" s="38" t="s">
        <v>5110</v>
      </c>
      <c r="E975" s="51" t="s">
        <v>103</v>
      </c>
      <c r="F975" s="119"/>
      <c r="G975" s="116"/>
      <c r="H975" s="54" t="s">
        <v>424</v>
      </c>
      <c r="I975" s="55" t="s">
        <v>5111</v>
      </c>
      <c r="J975" s="55">
        <v>2027.0</v>
      </c>
      <c r="K975" s="55" t="s">
        <v>410</v>
      </c>
      <c r="L975" s="55"/>
      <c r="M975" s="55" t="s">
        <v>106</v>
      </c>
      <c r="N975" s="132"/>
      <c r="O975" s="55" t="s">
        <v>1550</v>
      </c>
      <c r="P975" s="55"/>
      <c r="Q975" s="55" t="s">
        <v>85</v>
      </c>
      <c r="R975" s="55" t="s">
        <v>3082</v>
      </c>
      <c r="S975" s="58" t="s">
        <v>1424</v>
      </c>
      <c r="T975" s="51"/>
      <c r="U975" s="51"/>
      <c r="V975" s="51"/>
      <c r="W975" s="51"/>
      <c r="X975" s="74"/>
      <c r="Y975" s="74"/>
      <c r="Z975" s="76"/>
      <c r="AA975" s="134"/>
      <c r="AB975" s="62" t="s">
        <v>61</v>
      </c>
      <c r="AC975" s="63" t="s">
        <v>61</v>
      </c>
      <c r="AD975" s="64" t="s">
        <v>61</v>
      </c>
      <c r="AE975" s="64" t="s">
        <v>61</v>
      </c>
      <c r="AF975" s="63" t="s">
        <v>61</v>
      </c>
      <c r="AG975" s="63" t="s">
        <v>61</v>
      </c>
      <c r="AH975" s="63" t="s">
        <v>61</v>
      </c>
      <c r="AI975" s="65" t="s">
        <v>61</v>
      </c>
      <c r="AJ975" s="66" t="s">
        <v>61</v>
      </c>
      <c r="AK975" s="60"/>
    </row>
    <row r="976" ht="24.0" customHeight="1">
      <c r="A976" s="35"/>
      <c r="B976" s="36">
        <v>1.0</v>
      </c>
      <c r="C976" s="37" t="str">
        <f>IFERROR(__xludf.DUMMYFUNCTION("""COMPUTED_VALUE"""),"Selvin Garrett (XX) - '27 SS TX")</f>
        <v>Selvin Garrett (XX) - '27 SS TX</v>
      </c>
      <c r="D976" s="38" t="s">
        <v>5112</v>
      </c>
      <c r="E976" s="39" t="s">
        <v>48</v>
      </c>
      <c r="F976" s="118">
        <v>45865.0</v>
      </c>
      <c r="G976" s="113" t="s">
        <v>1470</v>
      </c>
      <c r="H976" s="42" t="s">
        <v>5113</v>
      </c>
      <c r="I976" s="43" t="s">
        <v>781</v>
      </c>
      <c r="J976" s="43">
        <v>2027.0</v>
      </c>
      <c r="K976" s="43" t="s">
        <v>410</v>
      </c>
      <c r="L976" s="43" t="s">
        <v>4751</v>
      </c>
      <c r="M976" s="43" t="s">
        <v>1398</v>
      </c>
      <c r="N976" s="117"/>
      <c r="O976" s="43" t="s">
        <v>1550</v>
      </c>
      <c r="P976" s="43" t="s">
        <v>3842</v>
      </c>
      <c r="Q976" s="43" t="s">
        <v>180</v>
      </c>
      <c r="R976" s="43" t="s">
        <v>5114</v>
      </c>
      <c r="S976" s="44"/>
      <c r="T976" s="39"/>
      <c r="U976" s="39"/>
      <c r="V976" s="39" t="s">
        <v>5115</v>
      </c>
      <c r="W976" s="39" t="s">
        <v>2821</v>
      </c>
      <c r="X976" s="81"/>
      <c r="Y976" s="81"/>
      <c r="Z976" s="82"/>
      <c r="AA976" s="99"/>
      <c r="AB976" s="48" t="s">
        <v>61</v>
      </c>
      <c r="AC976" s="68" t="s">
        <v>61</v>
      </c>
      <c r="AD976" s="69" t="s">
        <v>61</v>
      </c>
      <c r="AE976" s="69" t="s">
        <v>61</v>
      </c>
      <c r="AF976" s="68" t="s">
        <v>61</v>
      </c>
      <c r="AG976" s="68" t="s">
        <v>61</v>
      </c>
      <c r="AH976" s="68" t="s">
        <v>61</v>
      </c>
      <c r="AI976" s="70" t="s">
        <v>61</v>
      </c>
      <c r="AJ976" s="49" t="s">
        <v>61</v>
      </c>
      <c r="AK976" s="46"/>
    </row>
    <row r="977" ht="24.0" customHeight="1">
      <c r="A977" s="35"/>
      <c r="B977" s="36">
        <v>1.0</v>
      </c>
      <c r="C977" s="37" t="str">
        <f>IFERROR(__xludf.DUMMYFUNCTION("""COMPUTED_VALUE"""),"Connor Gavigan (XX) - '27 OF FL")</f>
        <v>Connor Gavigan (XX) - '27 OF FL</v>
      </c>
      <c r="D977" s="38" t="s">
        <v>5116</v>
      </c>
      <c r="E977" s="51" t="s">
        <v>103</v>
      </c>
      <c r="F977" s="119"/>
      <c r="G977" s="116" t="s">
        <v>1430</v>
      </c>
      <c r="H977" s="54" t="s">
        <v>682</v>
      </c>
      <c r="I977" s="55" t="s">
        <v>5117</v>
      </c>
      <c r="J977" s="55">
        <v>2027.0</v>
      </c>
      <c r="K977" s="55" t="s">
        <v>410</v>
      </c>
      <c r="L977" s="55" t="s">
        <v>5118</v>
      </c>
      <c r="M977" s="55" t="s">
        <v>103</v>
      </c>
      <c r="N977" s="132"/>
      <c r="O977" s="55"/>
      <c r="P977" s="55" t="s">
        <v>5119</v>
      </c>
      <c r="Q977" s="55" t="s">
        <v>66</v>
      </c>
      <c r="R977" s="55" t="s">
        <v>5120</v>
      </c>
      <c r="S977" s="58" t="s">
        <v>5121</v>
      </c>
      <c r="T977" s="51" t="s">
        <v>5122</v>
      </c>
      <c r="U977" s="51"/>
      <c r="V977" s="51"/>
      <c r="W977" s="51" t="s">
        <v>1724</v>
      </c>
      <c r="X977" s="74" t="s">
        <v>1550</v>
      </c>
      <c r="Y977" s="74"/>
      <c r="Z977" s="76"/>
      <c r="AA977" s="134" t="s">
        <v>5123</v>
      </c>
      <c r="AB977" s="62" t="s">
        <v>5124</v>
      </c>
      <c r="AC977" s="63" t="s">
        <v>5125</v>
      </c>
      <c r="AD977" s="64" t="s">
        <v>5126</v>
      </c>
      <c r="AE977" s="64" t="s">
        <v>5127</v>
      </c>
      <c r="AF977" s="63" t="s">
        <v>5128</v>
      </c>
      <c r="AG977" s="63" t="s">
        <v>5128</v>
      </c>
      <c r="AH977" s="63" t="s">
        <v>5129</v>
      </c>
      <c r="AI977" s="65" t="s">
        <v>549</v>
      </c>
      <c r="AJ977" s="66" t="s">
        <v>61</v>
      </c>
      <c r="AK977" s="60"/>
    </row>
    <row r="978" ht="24.0" customHeight="1">
      <c r="A978" s="35"/>
      <c r="B978" s="36">
        <v>1.0</v>
      </c>
      <c r="C978" s="37" t="str">
        <f>IFERROR(__xludf.DUMMYFUNCTION("""COMPUTED_VALUE"""),"Angelo Geraldo (XX) - '27 3B FL")</f>
        <v>Angelo Geraldo (XX) - '27 3B FL</v>
      </c>
      <c r="D978" s="38" t="s">
        <v>5130</v>
      </c>
      <c r="E978" s="39" t="s">
        <v>48</v>
      </c>
      <c r="F978" s="118">
        <v>45865.0</v>
      </c>
      <c r="G978" s="113" t="s">
        <v>1395</v>
      </c>
      <c r="H978" s="42" t="s">
        <v>3732</v>
      </c>
      <c r="I978" s="43" t="s">
        <v>5131</v>
      </c>
      <c r="J978" s="43">
        <v>2027.0</v>
      </c>
      <c r="K978" s="43" t="s">
        <v>410</v>
      </c>
      <c r="L978" s="43" t="s">
        <v>5132</v>
      </c>
      <c r="M978" s="43" t="s">
        <v>1519</v>
      </c>
      <c r="N978" s="117"/>
      <c r="O978" s="43" t="s">
        <v>1550</v>
      </c>
      <c r="P978" s="43" t="s">
        <v>3506</v>
      </c>
      <c r="Q978" s="43" t="s">
        <v>66</v>
      </c>
      <c r="R978" s="43" t="s">
        <v>5133</v>
      </c>
      <c r="S978" s="44"/>
      <c r="T978" s="39">
        <v>3.8</v>
      </c>
      <c r="U978" s="39"/>
      <c r="V978" s="39" t="s">
        <v>5134</v>
      </c>
      <c r="W978" s="39" t="s">
        <v>2821</v>
      </c>
      <c r="X978" s="81"/>
      <c r="Y978" s="81"/>
      <c r="Z978" s="82"/>
      <c r="AA978" s="99"/>
      <c r="AB978" s="48" t="s">
        <v>61</v>
      </c>
      <c r="AC978" s="68" t="s">
        <v>61</v>
      </c>
      <c r="AD978" s="69" t="s">
        <v>61</v>
      </c>
      <c r="AE978" s="69" t="s">
        <v>61</v>
      </c>
      <c r="AF978" s="68" t="s">
        <v>61</v>
      </c>
      <c r="AG978" s="68" t="s">
        <v>61</v>
      </c>
      <c r="AH978" s="68" t="s">
        <v>61</v>
      </c>
      <c r="AI978" s="70" t="s">
        <v>61</v>
      </c>
      <c r="AJ978" s="49" t="s">
        <v>61</v>
      </c>
      <c r="AK978" s="46"/>
    </row>
    <row r="979" ht="24.0" customHeight="1">
      <c r="A979" s="35"/>
      <c r="B979" s="36">
        <v>1.0</v>
      </c>
      <c r="C979" s="37" t="str">
        <f>IFERROR(__xludf.DUMMYFUNCTION("""COMPUTED_VALUE"""),"Austin Gerken (XX) - '27 C CA")</f>
        <v>Austin Gerken (XX) - '27 C CA</v>
      </c>
      <c r="D979" s="38" t="s">
        <v>5135</v>
      </c>
      <c r="E979" s="51" t="s">
        <v>109</v>
      </c>
      <c r="F979" s="119">
        <v>45869.0</v>
      </c>
      <c r="G979" s="116" t="s">
        <v>1395</v>
      </c>
      <c r="H979" s="54" t="s">
        <v>472</v>
      </c>
      <c r="I979" s="55" t="s">
        <v>5136</v>
      </c>
      <c r="J979" s="55">
        <v>2027.0</v>
      </c>
      <c r="K979" s="55" t="s">
        <v>410</v>
      </c>
      <c r="L979" s="55" t="s">
        <v>2430</v>
      </c>
      <c r="M979" s="55" t="s">
        <v>109</v>
      </c>
      <c r="N979" s="132"/>
      <c r="O979" s="55" t="s">
        <v>1550</v>
      </c>
      <c r="P979" s="55" t="s">
        <v>5137</v>
      </c>
      <c r="Q979" s="55" t="s">
        <v>52</v>
      </c>
      <c r="R979" s="55" t="s">
        <v>5138</v>
      </c>
      <c r="S979" s="58"/>
      <c r="T979" s="51">
        <v>3.89</v>
      </c>
      <c r="U979" s="51"/>
      <c r="V979" s="51">
        <v>7.146009689E9</v>
      </c>
      <c r="W979" s="51"/>
      <c r="X979" s="74"/>
      <c r="Y979" s="74"/>
      <c r="Z979" s="76"/>
      <c r="AA979" s="134" t="s">
        <v>5139</v>
      </c>
      <c r="AB979" s="62" t="s">
        <v>61</v>
      </c>
      <c r="AC979" s="63" t="s">
        <v>61</v>
      </c>
      <c r="AD979" s="64" t="s">
        <v>61</v>
      </c>
      <c r="AE979" s="64" t="s">
        <v>61</v>
      </c>
      <c r="AF979" s="63" t="s">
        <v>61</v>
      </c>
      <c r="AG979" s="63" t="s">
        <v>61</v>
      </c>
      <c r="AH979" s="63" t="s">
        <v>61</v>
      </c>
      <c r="AI979" s="65" t="s">
        <v>61</v>
      </c>
      <c r="AJ979" s="66" t="s">
        <v>61</v>
      </c>
      <c r="AK979" s="60"/>
    </row>
    <row r="980" ht="24.0" customHeight="1">
      <c r="A980" s="35"/>
      <c r="B980" s="36">
        <v>1.0</v>
      </c>
      <c r="C980" s="37" t="str">
        <f>IFERROR(__xludf.DUMMYFUNCTION("""COMPUTED_VALUE"""),"Sam Godbout (XX) - '27 3B 2B, MIF, SS ")</f>
        <v>Sam Godbout (XX) - '27 3B 2B, MIF, SS </v>
      </c>
      <c r="D980" s="38" t="s">
        <v>5140</v>
      </c>
      <c r="E980" s="39"/>
      <c r="F980" s="118"/>
      <c r="G980" s="113"/>
      <c r="H980" s="42" t="s">
        <v>172</v>
      </c>
      <c r="I980" s="43" t="s">
        <v>5141</v>
      </c>
      <c r="J980" s="43">
        <v>2027.0</v>
      </c>
      <c r="K980" s="43" t="s">
        <v>410</v>
      </c>
      <c r="L980" s="43" t="s">
        <v>5142</v>
      </c>
      <c r="M980" s="43" t="s">
        <v>5143</v>
      </c>
      <c r="N980" s="117"/>
      <c r="O980" s="43"/>
      <c r="P980" s="43" t="s">
        <v>5144</v>
      </c>
      <c r="Q980" s="43"/>
      <c r="R980" s="43" t="s">
        <v>482</v>
      </c>
      <c r="S980" s="44" t="s">
        <v>4438</v>
      </c>
      <c r="T980" s="39"/>
      <c r="U980" s="39"/>
      <c r="V980" s="39"/>
      <c r="W980" s="39" t="s">
        <v>1724</v>
      </c>
      <c r="X980" s="81" t="s">
        <v>1550</v>
      </c>
      <c r="Y980" s="81"/>
      <c r="Z980" s="82"/>
      <c r="AA980" s="99"/>
      <c r="AB980" s="48" t="s">
        <v>61</v>
      </c>
      <c r="AC980" s="68" t="s">
        <v>61</v>
      </c>
      <c r="AD980" s="69" t="s">
        <v>61</v>
      </c>
      <c r="AE980" s="69" t="s">
        <v>61</v>
      </c>
      <c r="AF980" s="68" t="s">
        <v>61</v>
      </c>
      <c r="AG980" s="68" t="s">
        <v>61</v>
      </c>
      <c r="AH980" s="68" t="s">
        <v>61</v>
      </c>
      <c r="AI980" s="70" t="s">
        <v>61</v>
      </c>
      <c r="AJ980" s="49" t="s">
        <v>61</v>
      </c>
      <c r="AK980" s="46"/>
    </row>
    <row r="981" ht="24.0" customHeight="1">
      <c r="A981" s="35"/>
      <c r="B981" s="36">
        <v>1.0</v>
      </c>
      <c r="C981" s="37" t="str">
        <f>IFERROR(__xludf.DUMMYFUNCTION("""COMPUTED_VALUE"""),"Mariano Gonzalez (XX) - '27 LHP CA")</f>
        <v>Mariano Gonzalez (XX) - '27 LHP CA</v>
      </c>
      <c r="D981" s="38" t="s">
        <v>5145</v>
      </c>
      <c r="E981" s="51" t="s">
        <v>122</v>
      </c>
      <c r="F981" s="119">
        <v>45865.0</v>
      </c>
      <c r="G981" s="116" t="s">
        <v>1470</v>
      </c>
      <c r="H981" s="54" t="s">
        <v>5146</v>
      </c>
      <c r="I981" s="55" t="s">
        <v>5147</v>
      </c>
      <c r="J981" s="55">
        <v>2027.0</v>
      </c>
      <c r="K981" s="55" t="s">
        <v>410</v>
      </c>
      <c r="L981" s="55" t="s">
        <v>5148</v>
      </c>
      <c r="M981" s="55" t="s">
        <v>122</v>
      </c>
      <c r="N981" s="132"/>
      <c r="O981" s="55" t="s">
        <v>1556</v>
      </c>
      <c r="P981" s="55" t="s">
        <v>5149</v>
      </c>
      <c r="Q981" s="55" t="s">
        <v>52</v>
      </c>
      <c r="R981" s="55" t="s">
        <v>5150</v>
      </c>
      <c r="S981" s="58"/>
      <c r="T981" s="51"/>
      <c r="U981" s="51"/>
      <c r="V981" s="51" t="s">
        <v>5151</v>
      </c>
      <c r="W981" s="51" t="s">
        <v>2821</v>
      </c>
      <c r="X981" s="74"/>
      <c r="Y981" s="74"/>
      <c r="Z981" s="76"/>
      <c r="AA981" s="134"/>
      <c r="AB981" s="62" t="s">
        <v>61</v>
      </c>
      <c r="AC981" s="63" t="s">
        <v>61</v>
      </c>
      <c r="AD981" s="64" t="s">
        <v>61</v>
      </c>
      <c r="AE981" s="64" t="s">
        <v>61</v>
      </c>
      <c r="AF981" s="63" t="s">
        <v>61</v>
      </c>
      <c r="AG981" s="63" t="s">
        <v>61</v>
      </c>
      <c r="AH981" s="63" t="s">
        <v>61</v>
      </c>
      <c r="AI981" s="65" t="s">
        <v>61</v>
      </c>
      <c r="AJ981" s="66" t="s">
        <v>61</v>
      </c>
      <c r="AK981" s="60"/>
    </row>
    <row r="982" ht="24.0" customHeight="1">
      <c r="A982" s="35"/>
      <c r="B982" s="36">
        <v>1.0</v>
      </c>
      <c r="C982" s="37" t="str">
        <f>IFERROR(__xludf.DUMMYFUNCTION("""COMPUTED_VALUE"""),"Matthew Gorman (XX) - '27 LHP NE")</f>
        <v>Matthew Gorman (XX) - '27 LHP NE</v>
      </c>
      <c r="D982" s="38" t="s">
        <v>5152</v>
      </c>
      <c r="E982" s="39" t="s">
        <v>122</v>
      </c>
      <c r="F982" s="118">
        <v>45865.0</v>
      </c>
      <c r="G982" s="113" t="s">
        <v>1395</v>
      </c>
      <c r="H982" s="42" t="s">
        <v>312</v>
      </c>
      <c r="I982" s="43" t="s">
        <v>5153</v>
      </c>
      <c r="J982" s="43">
        <v>2027.0</v>
      </c>
      <c r="K982" s="43" t="s">
        <v>410</v>
      </c>
      <c r="L982" s="43" t="s">
        <v>3506</v>
      </c>
      <c r="M982" s="43" t="s">
        <v>122</v>
      </c>
      <c r="N982" s="117"/>
      <c r="O982" s="43"/>
      <c r="P982" s="43" t="s">
        <v>5154</v>
      </c>
      <c r="Q982" s="43" t="s">
        <v>519</v>
      </c>
      <c r="R982" s="43" t="s">
        <v>5155</v>
      </c>
      <c r="S982" s="44" t="s">
        <v>3456</v>
      </c>
      <c r="T982" s="39"/>
      <c r="U982" s="39"/>
      <c r="V982" s="39"/>
      <c r="W982" s="39" t="s">
        <v>1724</v>
      </c>
      <c r="X982" s="81" t="s">
        <v>1556</v>
      </c>
      <c r="Y982" s="81"/>
      <c r="Z982" s="82"/>
      <c r="AA982" s="99"/>
      <c r="AB982" s="48" t="s">
        <v>61</v>
      </c>
      <c r="AC982" s="68" t="s">
        <v>61</v>
      </c>
      <c r="AD982" s="69" t="s">
        <v>61</v>
      </c>
      <c r="AE982" s="69" t="s">
        <v>61</v>
      </c>
      <c r="AF982" s="68" t="s">
        <v>61</v>
      </c>
      <c r="AG982" s="68" t="s">
        <v>61</v>
      </c>
      <c r="AH982" s="68" t="s">
        <v>61</v>
      </c>
      <c r="AI982" s="70" t="s">
        <v>61</v>
      </c>
      <c r="AJ982" s="49" t="s">
        <v>61</v>
      </c>
      <c r="AK982" s="46"/>
    </row>
    <row r="983" ht="24.0" customHeight="1">
      <c r="A983" s="35"/>
      <c r="B983" s="36">
        <v>1.0</v>
      </c>
      <c r="C983" s="37" t="str">
        <f>IFERROR(__xludf.DUMMYFUNCTION("""COMPUTED_VALUE"""),"Jameson Gray (XX) - '27 LHP MA")</f>
        <v>Jameson Gray (XX) - '27 LHP MA</v>
      </c>
      <c r="D983" s="38" t="s">
        <v>5156</v>
      </c>
      <c r="E983" s="51" t="s">
        <v>122</v>
      </c>
      <c r="F983" s="119">
        <v>45856.0</v>
      </c>
      <c r="G983" s="116" t="s">
        <v>1395</v>
      </c>
      <c r="H983" s="54" t="s">
        <v>921</v>
      </c>
      <c r="I983" s="55" t="s">
        <v>1537</v>
      </c>
      <c r="J983" s="55">
        <v>2027.0</v>
      </c>
      <c r="K983" s="55" t="s">
        <v>410</v>
      </c>
      <c r="L983" s="55"/>
      <c r="M983" s="55" t="s">
        <v>122</v>
      </c>
      <c r="N983" s="132"/>
      <c r="O983" s="55"/>
      <c r="P983" s="55"/>
      <c r="Q983" s="55" t="s">
        <v>85</v>
      </c>
      <c r="R983" s="55" t="s">
        <v>3912</v>
      </c>
      <c r="S983" s="58" t="s">
        <v>87</v>
      </c>
      <c r="T983" s="51"/>
      <c r="U983" s="51"/>
      <c r="V983" s="51"/>
      <c r="W983" s="51"/>
      <c r="X983" s="74"/>
      <c r="Y983" s="74"/>
      <c r="Z983" s="76"/>
      <c r="AA983" s="134"/>
      <c r="AB983" s="62" t="s">
        <v>61</v>
      </c>
      <c r="AC983" s="63" t="s">
        <v>61</v>
      </c>
      <c r="AD983" s="64" t="s">
        <v>61</v>
      </c>
      <c r="AE983" s="64" t="s">
        <v>61</v>
      </c>
      <c r="AF983" s="63" t="s">
        <v>61</v>
      </c>
      <c r="AG983" s="63" t="s">
        <v>61</v>
      </c>
      <c r="AH983" s="63" t="s">
        <v>61</v>
      </c>
      <c r="AI983" s="65" t="s">
        <v>61</v>
      </c>
      <c r="AJ983" s="66" t="s">
        <v>61</v>
      </c>
      <c r="AK983" s="60"/>
    </row>
    <row r="984" ht="24.0" customHeight="1">
      <c r="A984" s="35"/>
      <c r="B984" s="36">
        <v>1.0</v>
      </c>
      <c r="C984" s="37" t="str">
        <f>IFERROR(__xludf.DUMMYFUNCTION("""COMPUTED_VALUE"""),"Connor Greb (XX) - '27 3B AL")</f>
        <v>Connor Greb (XX) - '27 3B AL</v>
      </c>
      <c r="D984" s="38" t="s">
        <v>5157</v>
      </c>
      <c r="E984" s="39" t="s">
        <v>48</v>
      </c>
      <c r="F984" s="118">
        <v>45865.0</v>
      </c>
      <c r="G984" s="113" t="s">
        <v>1430</v>
      </c>
      <c r="H984" s="42" t="s">
        <v>682</v>
      </c>
      <c r="I984" s="43" t="s">
        <v>5158</v>
      </c>
      <c r="J984" s="43">
        <v>2027.0</v>
      </c>
      <c r="K984" s="43" t="s">
        <v>410</v>
      </c>
      <c r="L984" s="43" t="s">
        <v>4822</v>
      </c>
      <c r="M984" s="43" t="s">
        <v>1519</v>
      </c>
      <c r="N984" s="117"/>
      <c r="O984" s="43" t="s">
        <v>1989</v>
      </c>
      <c r="P984" s="43" t="s">
        <v>5159</v>
      </c>
      <c r="Q984" s="43" t="s">
        <v>731</v>
      </c>
      <c r="R984" s="43" t="s">
        <v>5160</v>
      </c>
      <c r="S984" s="44"/>
      <c r="T984" s="39">
        <v>4.0</v>
      </c>
      <c r="U984" s="39"/>
      <c r="V984" s="39" t="s">
        <v>5161</v>
      </c>
      <c r="W984" s="39" t="s">
        <v>2821</v>
      </c>
      <c r="X984" s="81"/>
      <c r="Y984" s="81"/>
      <c r="Z984" s="82"/>
      <c r="AA984" s="99"/>
      <c r="AB984" s="48" t="s">
        <v>5162</v>
      </c>
      <c r="AC984" s="68" t="s">
        <v>5163</v>
      </c>
      <c r="AD984" s="69" t="s">
        <v>5164</v>
      </c>
      <c r="AE984" s="69" t="s">
        <v>5165</v>
      </c>
      <c r="AF984" s="68" t="s">
        <v>5166</v>
      </c>
      <c r="AG984" s="68" t="s">
        <v>417</v>
      </c>
      <c r="AH984" s="68" t="s">
        <v>857</v>
      </c>
      <c r="AI984" s="70" t="s">
        <v>857</v>
      </c>
      <c r="AJ984" s="49" t="s">
        <v>61</v>
      </c>
      <c r="AK984" s="46"/>
    </row>
    <row r="985" ht="24.0" customHeight="1">
      <c r="A985" s="35"/>
      <c r="B985" s="36">
        <v>1.0</v>
      </c>
      <c r="C985" s="37" t="str">
        <f>IFERROR(__xludf.DUMMYFUNCTION("""COMPUTED_VALUE"""),"Gavin Griffin (XX) - '27 OF MN")</f>
        <v>Gavin Griffin (XX) - '27 OF MN</v>
      </c>
      <c r="D985" s="38" t="s">
        <v>5167</v>
      </c>
      <c r="E985" s="51" t="s">
        <v>103</v>
      </c>
      <c r="F985" s="119">
        <v>45865.0</v>
      </c>
      <c r="G985" s="116" t="s">
        <v>1395</v>
      </c>
      <c r="H985" s="54" t="s">
        <v>788</v>
      </c>
      <c r="I985" s="55" t="s">
        <v>5168</v>
      </c>
      <c r="J985" s="55">
        <v>2027.0</v>
      </c>
      <c r="K985" s="55" t="s">
        <v>410</v>
      </c>
      <c r="L985" s="55" t="s">
        <v>5169</v>
      </c>
      <c r="M985" s="55" t="s">
        <v>103</v>
      </c>
      <c r="N985" s="132"/>
      <c r="O985" s="55" t="s">
        <v>1550</v>
      </c>
      <c r="P985" s="55" t="s">
        <v>5170</v>
      </c>
      <c r="Q985" s="55" t="s">
        <v>448</v>
      </c>
      <c r="R985" s="55" t="s">
        <v>5171</v>
      </c>
      <c r="S985" s="58"/>
      <c r="T985" s="51">
        <v>3.9</v>
      </c>
      <c r="U985" s="51"/>
      <c r="V985" s="51" t="s">
        <v>5172</v>
      </c>
      <c r="W985" s="51" t="s">
        <v>2821</v>
      </c>
      <c r="X985" s="74"/>
      <c r="Y985" s="74"/>
      <c r="Z985" s="76"/>
      <c r="AA985" s="134"/>
      <c r="AB985" s="62" t="s">
        <v>61</v>
      </c>
      <c r="AC985" s="63" t="s">
        <v>61</v>
      </c>
      <c r="AD985" s="64" t="s">
        <v>61</v>
      </c>
      <c r="AE985" s="64" t="s">
        <v>61</v>
      </c>
      <c r="AF985" s="63" t="s">
        <v>61</v>
      </c>
      <c r="AG985" s="63" t="s">
        <v>61</v>
      </c>
      <c r="AH985" s="63" t="s">
        <v>61</v>
      </c>
      <c r="AI985" s="65" t="s">
        <v>61</v>
      </c>
      <c r="AJ985" s="66" t="s">
        <v>61</v>
      </c>
      <c r="AK985" s="60"/>
    </row>
    <row r="986" ht="24.0" customHeight="1">
      <c r="A986" s="35"/>
      <c r="B986" s="36">
        <v>1.0</v>
      </c>
      <c r="C986" s="37" t="str">
        <f>IFERROR(__xludf.DUMMYFUNCTION("""COMPUTED_VALUE"""),"Brady Guth (XX) - '27 MINF CA")</f>
        <v>Brady Guth (XX) - '27 MINF CA</v>
      </c>
      <c r="D986" s="38" t="s">
        <v>5173</v>
      </c>
      <c r="E986" s="39" t="s">
        <v>48</v>
      </c>
      <c r="F986" s="118">
        <v>45869.0</v>
      </c>
      <c r="G986" s="113" t="s">
        <v>1395</v>
      </c>
      <c r="H986" s="42" t="s">
        <v>517</v>
      </c>
      <c r="I986" s="43" t="s">
        <v>5174</v>
      </c>
      <c r="J986" s="43">
        <v>2027.0</v>
      </c>
      <c r="K986" s="43" t="s">
        <v>410</v>
      </c>
      <c r="L986" s="43" t="s">
        <v>5175</v>
      </c>
      <c r="M986" s="43" t="s">
        <v>51</v>
      </c>
      <c r="N986" s="117"/>
      <c r="O986" s="43" t="s">
        <v>1550</v>
      </c>
      <c r="P986" s="43" t="s">
        <v>1370</v>
      </c>
      <c r="Q986" s="43" t="s">
        <v>52</v>
      </c>
      <c r="R986" s="43" t="s">
        <v>5138</v>
      </c>
      <c r="S986" s="44"/>
      <c r="T986" s="39">
        <v>3.5</v>
      </c>
      <c r="U986" s="39"/>
      <c r="V986" s="39">
        <v>7.145199594E9</v>
      </c>
      <c r="W986" s="39"/>
      <c r="X986" s="81"/>
      <c r="Y986" s="81"/>
      <c r="Z986" s="82"/>
      <c r="AA986" s="99" t="s">
        <v>5176</v>
      </c>
      <c r="AB986" s="48" t="s">
        <v>61</v>
      </c>
      <c r="AC986" s="68" t="s">
        <v>61</v>
      </c>
      <c r="AD986" s="69" t="s">
        <v>61</v>
      </c>
      <c r="AE986" s="69" t="s">
        <v>61</v>
      </c>
      <c r="AF986" s="68" t="s">
        <v>61</v>
      </c>
      <c r="AG986" s="68" t="s">
        <v>61</v>
      </c>
      <c r="AH986" s="68" t="s">
        <v>61</v>
      </c>
      <c r="AI986" s="70" t="s">
        <v>61</v>
      </c>
      <c r="AJ986" s="49" t="s">
        <v>61</v>
      </c>
      <c r="AK986" s="46"/>
    </row>
    <row r="987" ht="24.0" customHeight="1">
      <c r="A987" s="35"/>
      <c r="B987" s="36">
        <v>1.0</v>
      </c>
      <c r="C987" s="37" t="str">
        <f>IFERROR(__xludf.DUMMYFUNCTION("""COMPUTED_VALUE"""),"Cale Hackenberg (XX) - '27 C MI")</f>
        <v>Cale Hackenberg (XX) - '27 C MI</v>
      </c>
      <c r="D987" s="38" t="s">
        <v>5177</v>
      </c>
      <c r="E987" s="51" t="s">
        <v>109</v>
      </c>
      <c r="F987" s="119">
        <v>45865.0</v>
      </c>
      <c r="G987" s="116" t="s">
        <v>1430</v>
      </c>
      <c r="H987" s="54" t="s">
        <v>5178</v>
      </c>
      <c r="I987" s="55" t="s">
        <v>5179</v>
      </c>
      <c r="J987" s="55">
        <v>2027.0</v>
      </c>
      <c r="K987" s="55" t="s">
        <v>410</v>
      </c>
      <c r="L987" s="55" t="s">
        <v>5180</v>
      </c>
      <c r="M987" s="55" t="s">
        <v>109</v>
      </c>
      <c r="N987" s="132"/>
      <c r="O987" s="55" t="s">
        <v>1989</v>
      </c>
      <c r="P987" s="55" t="s">
        <v>5181</v>
      </c>
      <c r="Q987" s="55" t="s">
        <v>614</v>
      </c>
      <c r="R987" s="55" t="s">
        <v>5181</v>
      </c>
      <c r="S987" s="58"/>
      <c r="T987" s="51">
        <v>3.95</v>
      </c>
      <c r="U987" s="51"/>
      <c r="V987" s="51" t="s">
        <v>5182</v>
      </c>
      <c r="W987" s="51" t="s">
        <v>2821</v>
      </c>
      <c r="X987" s="74"/>
      <c r="Y987" s="74"/>
      <c r="Z987" s="76"/>
      <c r="AA987" s="134"/>
      <c r="AB987" s="62" t="s">
        <v>61</v>
      </c>
      <c r="AC987" s="63" t="s">
        <v>61</v>
      </c>
      <c r="AD987" s="64" t="s">
        <v>61</v>
      </c>
      <c r="AE987" s="64" t="s">
        <v>61</v>
      </c>
      <c r="AF987" s="63" t="s">
        <v>61</v>
      </c>
      <c r="AG987" s="63" t="s">
        <v>61</v>
      </c>
      <c r="AH987" s="63" t="s">
        <v>61</v>
      </c>
      <c r="AI987" s="65" t="s">
        <v>61</v>
      </c>
      <c r="AJ987" s="66" t="s">
        <v>61</v>
      </c>
      <c r="AK987" s="60"/>
    </row>
    <row r="988" ht="24.0" customHeight="1">
      <c r="A988" s="35"/>
      <c r="B988" s="36">
        <v>1.0</v>
      </c>
      <c r="C988" s="37" t="str">
        <f>IFERROR(__xludf.DUMMYFUNCTION("""COMPUTED_VALUE"""),"Colton Hadfield (XX) - '27 SS CA")</f>
        <v>Colton Hadfield (XX) - '27 SS CA</v>
      </c>
      <c r="D988" s="38" t="s">
        <v>5183</v>
      </c>
      <c r="E988" s="39" t="s">
        <v>48</v>
      </c>
      <c r="F988" s="118">
        <v>45865.0</v>
      </c>
      <c r="G988" s="113" t="s">
        <v>1470</v>
      </c>
      <c r="H988" s="42" t="s">
        <v>233</v>
      </c>
      <c r="I988" s="43" t="s">
        <v>5184</v>
      </c>
      <c r="J988" s="43">
        <v>2027.0</v>
      </c>
      <c r="K988" s="43" t="s">
        <v>410</v>
      </c>
      <c r="L988" s="43" t="s">
        <v>2045</v>
      </c>
      <c r="M988" s="43" t="s">
        <v>1398</v>
      </c>
      <c r="N988" s="117"/>
      <c r="O988" s="43" t="s">
        <v>1550</v>
      </c>
      <c r="P988" s="43" t="s">
        <v>5185</v>
      </c>
      <c r="Q988" s="43" t="s">
        <v>52</v>
      </c>
      <c r="R988" s="43" t="s">
        <v>5186</v>
      </c>
      <c r="S988" s="44"/>
      <c r="T988" s="39">
        <v>4.0</v>
      </c>
      <c r="U988" s="39"/>
      <c r="V988" s="39" t="s">
        <v>5187</v>
      </c>
      <c r="W988" s="39" t="s">
        <v>2821</v>
      </c>
      <c r="X988" s="81"/>
      <c r="Y988" s="81"/>
      <c r="Z988" s="82"/>
      <c r="AA988" s="99"/>
      <c r="AB988" s="48" t="s">
        <v>5188</v>
      </c>
      <c r="AC988" s="68" t="s">
        <v>5189</v>
      </c>
      <c r="AD988" s="69">
        <v>4.17</v>
      </c>
      <c r="AE988" s="69" t="s">
        <v>2583</v>
      </c>
      <c r="AF988" s="68" t="s">
        <v>81</v>
      </c>
      <c r="AG988" s="68" t="s">
        <v>81</v>
      </c>
      <c r="AH988" s="68" t="s">
        <v>81</v>
      </c>
      <c r="AI988" s="70" t="s">
        <v>857</v>
      </c>
      <c r="AJ988" s="49" t="s">
        <v>61</v>
      </c>
      <c r="AK988" s="46"/>
    </row>
    <row r="989" ht="24.0" customHeight="1">
      <c r="A989" s="35"/>
      <c r="B989" s="36">
        <v>1.0</v>
      </c>
      <c r="C989" s="37" t="str">
        <f>IFERROR(__xludf.DUMMYFUNCTION("""COMPUTED_VALUE"""),"William Haggerty (XX) - '27 RHP RI")</f>
        <v>William Haggerty (XX) - '27 RHP RI</v>
      </c>
      <c r="D989" s="38" t="s">
        <v>5190</v>
      </c>
      <c r="E989" s="51" t="s">
        <v>63</v>
      </c>
      <c r="F989" s="119"/>
      <c r="G989" s="116"/>
      <c r="H989" s="54" t="s">
        <v>1738</v>
      </c>
      <c r="I989" s="55" t="s">
        <v>5191</v>
      </c>
      <c r="J989" s="55">
        <v>2027.0</v>
      </c>
      <c r="K989" s="55" t="s">
        <v>410</v>
      </c>
      <c r="L989" s="55"/>
      <c r="M989" s="55" t="s">
        <v>63</v>
      </c>
      <c r="N989" s="132"/>
      <c r="O989" s="55" t="s">
        <v>1550</v>
      </c>
      <c r="P989" s="55"/>
      <c r="Q989" s="55" t="s">
        <v>1611</v>
      </c>
      <c r="R989" s="55" t="s">
        <v>5192</v>
      </c>
      <c r="S989" s="58" t="s">
        <v>5193</v>
      </c>
      <c r="T989" s="51"/>
      <c r="U989" s="51"/>
      <c r="V989" s="51"/>
      <c r="W989" s="51"/>
      <c r="X989" s="74"/>
      <c r="Y989" s="74"/>
      <c r="Z989" s="76"/>
      <c r="AA989" s="134"/>
      <c r="AB989" s="62" t="s">
        <v>61</v>
      </c>
      <c r="AC989" s="63" t="s">
        <v>61</v>
      </c>
      <c r="AD989" s="64" t="s">
        <v>61</v>
      </c>
      <c r="AE989" s="64" t="s">
        <v>61</v>
      </c>
      <c r="AF989" s="63" t="s">
        <v>61</v>
      </c>
      <c r="AG989" s="63" t="s">
        <v>61</v>
      </c>
      <c r="AH989" s="63" t="s">
        <v>61</v>
      </c>
      <c r="AI989" s="65" t="s">
        <v>61</v>
      </c>
      <c r="AJ989" s="66" t="s">
        <v>61</v>
      </c>
      <c r="AK989" s="60"/>
    </row>
    <row r="990" ht="24.0" customHeight="1">
      <c r="A990" s="35"/>
      <c r="B990" s="36">
        <v>1.0</v>
      </c>
      <c r="C990" s="37" t="str">
        <f>IFERROR(__xludf.DUMMYFUNCTION("""COMPUTED_VALUE"""),"Gerad Hanle (XX) - '27 LHP MN")</f>
        <v>Gerad Hanle (XX) - '27 LHP MN</v>
      </c>
      <c r="D990" s="38" t="s">
        <v>5194</v>
      </c>
      <c r="E990" s="39" t="s">
        <v>122</v>
      </c>
      <c r="F990" s="118">
        <v>45865.0</v>
      </c>
      <c r="G990" s="113" t="s">
        <v>1430</v>
      </c>
      <c r="H990" s="42" t="s">
        <v>5195</v>
      </c>
      <c r="I990" s="43" t="s">
        <v>5196</v>
      </c>
      <c r="J990" s="43">
        <v>2027.0</v>
      </c>
      <c r="K990" s="43" t="s">
        <v>410</v>
      </c>
      <c r="L990" s="43" t="s">
        <v>2018</v>
      </c>
      <c r="M990" s="43" t="s">
        <v>122</v>
      </c>
      <c r="N990" s="117"/>
      <c r="O990" s="43" t="s">
        <v>1556</v>
      </c>
      <c r="P990" s="43" t="s">
        <v>5197</v>
      </c>
      <c r="Q990" s="43" t="s">
        <v>448</v>
      </c>
      <c r="R990" s="43" t="s">
        <v>5198</v>
      </c>
      <c r="S990" s="44"/>
      <c r="T990" s="39">
        <v>3.8</v>
      </c>
      <c r="U990" s="39"/>
      <c r="V990" s="39" t="s">
        <v>5199</v>
      </c>
      <c r="W990" s="39" t="s">
        <v>2821</v>
      </c>
      <c r="X990" s="81"/>
      <c r="Y990" s="81"/>
      <c r="Z990" s="82"/>
      <c r="AA990" s="99"/>
      <c r="AB990" s="48" t="s">
        <v>61</v>
      </c>
      <c r="AC990" s="68" t="s">
        <v>61</v>
      </c>
      <c r="AD990" s="69" t="s">
        <v>61</v>
      </c>
      <c r="AE990" s="69" t="s">
        <v>61</v>
      </c>
      <c r="AF990" s="68" t="s">
        <v>61</v>
      </c>
      <c r="AG990" s="68" t="s">
        <v>61</v>
      </c>
      <c r="AH990" s="68" t="s">
        <v>61</v>
      </c>
      <c r="AI990" s="70" t="s">
        <v>61</v>
      </c>
      <c r="AJ990" s="49" t="s">
        <v>61</v>
      </c>
      <c r="AK990" s="46"/>
    </row>
    <row r="991" ht="24.0" customHeight="1">
      <c r="A991" s="35"/>
      <c r="B991" s="36">
        <v>1.0</v>
      </c>
      <c r="C991" s="37" t="str">
        <f>IFERROR(__xludf.DUMMYFUNCTION("""COMPUTED_VALUE"""),"Ryan Harless (XX) - '27 OF FL")</f>
        <v>Ryan Harless (XX) - '27 OF FL</v>
      </c>
      <c r="D991" s="38" t="s">
        <v>5200</v>
      </c>
      <c r="E991" s="51" t="s">
        <v>103</v>
      </c>
      <c r="F991" s="119"/>
      <c r="G991" s="116" t="s">
        <v>1430</v>
      </c>
      <c r="H991" s="54" t="s">
        <v>1206</v>
      </c>
      <c r="I991" s="55" t="s">
        <v>5201</v>
      </c>
      <c r="J991" s="55">
        <v>2027.0</v>
      </c>
      <c r="K991" s="55" t="s">
        <v>410</v>
      </c>
      <c r="L991" s="55" t="s">
        <v>2780</v>
      </c>
      <c r="M991" s="55" t="s">
        <v>103</v>
      </c>
      <c r="N991" s="132"/>
      <c r="O991" s="55"/>
      <c r="P991" s="55"/>
      <c r="Q991" s="55" t="s">
        <v>66</v>
      </c>
      <c r="R991" s="55" t="s">
        <v>5202</v>
      </c>
      <c r="S991" s="58" t="s">
        <v>5203</v>
      </c>
      <c r="T991" s="51">
        <v>4.0</v>
      </c>
      <c r="U991" s="51"/>
      <c r="V991" s="51"/>
      <c r="W991" s="51"/>
      <c r="X991" s="74"/>
      <c r="Y991" s="74"/>
      <c r="Z991" s="76"/>
      <c r="AA991" s="134" t="s">
        <v>5204</v>
      </c>
      <c r="AB991" s="62" t="s">
        <v>5205</v>
      </c>
      <c r="AC991" s="63" t="s">
        <v>5206</v>
      </c>
      <c r="AD991" s="64">
        <v>3.5</v>
      </c>
      <c r="AE991" s="64" t="s">
        <v>5207</v>
      </c>
      <c r="AF991" s="63" t="s">
        <v>5208</v>
      </c>
      <c r="AG991" s="63" t="s">
        <v>81</v>
      </c>
      <c r="AH991" s="63" t="s">
        <v>81</v>
      </c>
      <c r="AI991" s="65" t="s">
        <v>81</v>
      </c>
      <c r="AJ991" s="66" t="s">
        <v>61</v>
      </c>
      <c r="AK991" s="60"/>
    </row>
    <row r="992" ht="24.0" customHeight="1">
      <c r="A992" s="35"/>
      <c r="B992" s="36">
        <v>1.0</v>
      </c>
      <c r="C992" s="37" t="str">
        <f>IFERROR(__xludf.DUMMYFUNCTION("""COMPUTED_VALUE"""),"Beckett Haselhuhn (XX) - '27 1B TN")</f>
        <v>Beckett Haselhuhn (XX) - '27 1B TN</v>
      </c>
      <c r="D992" s="38" t="s">
        <v>5209</v>
      </c>
      <c r="E992" s="39" t="s">
        <v>48</v>
      </c>
      <c r="F992" s="118">
        <v>45865.0</v>
      </c>
      <c r="G992" s="113" t="s">
        <v>1395</v>
      </c>
      <c r="H992" s="42" t="s">
        <v>2088</v>
      </c>
      <c r="I992" s="43" t="s">
        <v>5210</v>
      </c>
      <c r="J992" s="43">
        <v>2027.0</v>
      </c>
      <c r="K992" s="43" t="s">
        <v>410</v>
      </c>
      <c r="L992" s="43" t="s">
        <v>5211</v>
      </c>
      <c r="M992" s="43" t="s">
        <v>1972</v>
      </c>
      <c r="N992" s="117"/>
      <c r="O992" s="43" t="s">
        <v>1556</v>
      </c>
      <c r="P992" s="43" t="s">
        <v>1591</v>
      </c>
      <c r="Q992" s="43" t="s">
        <v>330</v>
      </c>
      <c r="R992" s="43" t="s">
        <v>5212</v>
      </c>
      <c r="S992" s="44"/>
      <c r="T992" s="39">
        <v>3.93</v>
      </c>
      <c r="U992" s="39"/>
      <c r="V992" s="39" t="s">
        <v>5213</v>
      </c>
      <c r="W992" s="39" t="s">
        <v>2821</v>
      </c>
      <c r="X992" s="81"/>
      <c r="Y992" s="81"/>
      <c r="Z992" s="82"/>
      <c r="AA992" s="99"/>
      <c r="AB992" s="48" t="s">
        <v>61</v>
      </c>
      <c r="AC992" s="68" t="s">
        <v>61</v>
      </c>
      <c r="AD992" s="69" t="s">
        <v>61</v>
      </c>
      <c r="AE992" s="69" t="s">
        <v>61</v>
      </c>
      <c r="AF992" s="68" t="s">
        <v>61</v>
      </c>
      <c r="AG992" s="68" t="s">
        <v>61</v>
      </c>
      <c r="AH992" s="68" t="s">
        <v>61</v>
      </c>
      <c r="AI992" s="70" t="s">
        <v>61</v>
      </c>
      <c r="AJ992" s="49" t="s">
        <v>61</v>
      </c>
      <c r="AK992" s="46"/>
    </row>
    <row r="993" ht="24.0" customHeight="1">
      <c r="A993" s="35"/>
      <c r="B993" s="36">
        <v>1.0</v>
      </c>
      <c r="C993" s="37" t="str">
        <f>IFERROR(__xludf.DUMMYFUNCTION("""COMPUTED_VALUE"""),"Jacob Henderson (XX) - '27 SS FL")</f>
        <v>Jacob Henderson (XX) - '27 SS FL</v>
      </c>
      <c r="D993" s="38" t="s">
        <v>5214</v>
      </c>
      <c r="E993" s="51" t="s">
        <v>48</v>
      </c>
      <c r="F993" s="119"/>
      <c r="G993" s="116" t="s">
        <v>1430</v>
      </c>
      <c r="H993" s="54" t="s">
        <v>284</v>
      </c>
      <c r="I993" s="55" t="s">
        <v>5215</v>
      </c>
      <c r="J993" s="55">
        <v>2027.0</v>
      </c>
      <c r="K993" s="55" t="s">
        <v>410</v>
      </c>
      <c r="L993" s="55" t="s">
        <v>2154</v>
      </c>
      <c r="M993" s="55" t="s">
        <v>1398</v>
      </c>
      <c r="N993" s="132" t="s">
        <v>103</v>
      </c>
      <c r="O993" s="55" t="s">
        <v>1550</v>
      </c>
      <c r="P993" s="55"/>
      <c r="Q993" s="55" t="s">
        <v>66</v>
      </c>
      <c r="R993" s="55" t="s">
        <v>4663</v>
      </c>
      <c r="S993" s="58" t="s">
        <v>1539</v>
      </c>
      <c r="T993" s="51" t="s">
        <v>5216</v>
      </c>
      <c r="U993" s="51"/>
      <c r="V993" s="51"/>
      <c r="W993" s="51"/>
      <c r="X993" s="74"/>
      <c r="Y993" s="74"/>
      <c r="Z993" s="76"/>
      <c r="AA993" s="134" t="s">
        <v>5217</v>
      </c>
      <c r="AB993" s="62" t="s">
        <v>5218</v>
      </c>
      <c r="AC993" s="63" t="s">
        <v>5219</v>
      </c>
      <c r="AD993" s="64" t="s">
        <v>5220</v>
      </c>
      <c r="AE993" s="64" t="s">
        <v>5221</v>
      </c>
      <c r="AF993" s="63" t="s">
        <v>5222</v>
      </c>
      <c r="AG993" s="63" t="s">
        <v>60</v>
      </c>
      <c r="AH993" s="63" t="s">
        <v>60</v>
      </c>
      <c r="AI993" s="65" t="s">
        <v>81</v>
      </c>
      <c r="AJ993" s="66" t="s">
        <v>61</v>
      </c>
      <c r="AK993" s="60"/>
    </row>
    <row r="994" ht="24.0" customHeight="1">
      <c r="A994" s="35"/>
      <c r="B994" s="36">
        <v>1.0</v>
      </c>
      <c r="C994" s="37" t="str">
        <f>IFERROR(__xludf.DUMMYFUNCTION("""COMPUTED_VALUE"""),"Jude Henn (XX) - '27 RHP ")</f>
        <v>Jude Henn (XX) - '27 RHP </v>
      </c>
      <c r="D994" s="38" t="s">
        <v>5223</v>
      </c>
      <c r="E994" s="39" t="s">
        <v>63</v>
      </c>
      <c r="F994" s="118"/>
      <c r="G994" s="113" t="s">
        <v>1395</v>
      </c>
      <c r="H994" s="42" t="s">
        <v>2513</v>
      </c>
      <c r="I994" s="43" t="s">
        <v>1034</v>
      </c>
      <c r="J994" s="43">
        <v>2027.0</v>
      </c>
      <c r="K994" s="43" t="s">
        <v>410</v>
      </c>
      <c r="L994" s="43" t="s">
        <v>2018</v>
      </c>
      <c r="M994" s="43" t="s">
        <v>63</v>
      </c>
      <c r="N994" s="117"/>
      <c r="O994" s="43" t="s">
        <v>1550</v>
      </c>
      <c r="P994" s="43" t="s">
        <v>5224</v>
      </c>
      <c r="Q994" s="43"/>
      <c r="R994" s="43" t="s">
        <v>5225</v>
      </c>
      <c r="S994" s="44" t="s">
        <v>3264</v>
      </c>
      <c r="T994" s="39"/>
      <c r="U994" s="39"/>
      <c r="V994" s="39"/>
      <c r="W994" s="39" t="s">
        <v>1724</v>
      </c>
      <c r="X994" s="81"/>
      <c r="Y994" s="81"/>
      <c r="Z994" s="82"/>
      <c r="AA994" s="99"/>
      <c r="AB994" s="48" t="s">
        <v>5226</v>
      </c>
      <c r="AC994" s="68" t="s">
        <v>5227</v>
      </c>
      <c r="AD994" s="69" t="s">
        <v>5228</v>
      </c>
      <c r="AE994" s="69" t="s">
        <v>400</v>
      </c>
      <c r="AF994" s="68" t="s">
        <v>60</v>
      </c>
      <c r="AG994" s="68" t="s">
        <v>81</v>
      </c>
      <c r="AH994" s="68" t="s">
        <v>5229</v>
      </c>
      <c r="AI994" s="70" t="s">
        <v>81</v>
      </c>
      <c r="AJ994" s="49" t="s">
        <v>61</v>
      </c>
      <c r="AK994" s="46"/>
    </row>
    <row r="995" ht="24.0" customHeight="1">
      <c r="A995" s="35"/>
      <c r="B995" s="36">
        <v>1.0</v>
      </c>
      <c r="C995" s="37" t="str">
        <f>IFERROR(__xludf.DUMMYFUNCTION("""COMPUTED_VALUE"""),"Hayden Henry (XX) - '27 RHP KY")</f>
        <v>Hayden Henry (XX) - '27 RHP KY</v>
      </c>
      <c r="D995" s="38" t="s">
        <v>5230</v>
      </c>
      <c r="E995" s="51" t="s">
        <v>63</v>
      </c>
      <c r="F995" s="119">
        <v>45865.0</v>
      </c>
      <c r="G995" s="116" t="s">
        <v>1430</v>
      </c>
      <c r="H995" s="54" t="s">
        <v>805</v>
      </c>
      <c r="I995" s="55" t="s">
        <v>816</v>
      </c>
      <c r="J995" s="55">
        <v>2027.0</v>
      </c>
      <c r="K995" s="55" t="s">
        <v>410</v>
      </c>
      <c r="L995" s="55" t="s">
        <v>1981</v>
      </c>
      <c r="M995" s="55" t="s">
        <v>63</v>
      </c>
      <c r="N995" s="132"/>
      <c r="O995" s="55" t="s">
        <v>1550</v>
      </c>
      <c r="P995" s="55" t="s">
        <v>5231</v>
      </c>
      <c r="Q995" s="55" t="s">
        <v>543</v>
      </c>
      <c r="R995" s="55" t="s">
        <v>5232</v>
      </c>
      <c r="S995" s="58"/>
      <c r="T995" s="51">
        <v>4.0</v>
      </c>
      <c r="U995" s="51"/>
      <c r="V995" s="51" t="s">
        <v>5233</v>
      </c>
      <c r="W995" s="51" t="s">
        <v>2821</v>
      </c>
      <c r="X995" s="74"/>
      <c r="Y995" s="74"/>
      <c r="Z995" s="76"/>
      <c r="AA995" s="197"/>
      <c r="AB995" s="62" t="s">
        <v>61</v>
      </c>
      <c r="AC995" s="63" t="s">
        <v>61</v>
      </c>
      <c r="AD995" s="64" t="s">
        <v>61</v>
      </c>
      <c r="AE995" s="64" t="s">
        <v>61</v>
      </c>
      <c r="AF995" s="63" t="s">
        <v>61</v>
      </c>
      <c r="AG995" s="63" t="s">
        <v>61</v>
      </c>
      <c r="AH995" s="63" t="s">
        <v>61</v>
      </c>
      <c r="AI995" s="65" t="s">
        <v>61</v>
      </c>
      <c r="AJ995" s="66" t="s">
        <v>61</v>
      </c>
      <c r="AK995" s="60"/>
    </row>
    <row r="996" ht="24.0" customHeight="1">
      <c r="A996" s="35"/>
      <c r="B996" s="36">
        <v>1.0</v>
      </c>
      <c r="C996" s="37" t="str">
        <f>IFERROR(__xludf.DUMMYFUNCTION("""COMPUTED_VALUE"""),"Charlie Herr (XX) - '27 RHP IN")</f>
        <v>Charlie Herr (XX) - '27 RHP IN</v>
      </c>
      <c r="D996" s="38" t="s">
        <v>5234</v>
      </c>
      <c r="E996" s="39" t="s">
        <v>63</v>
      </c>
      <c r="F996" s="118">
        <v>45915.0</v>
      </c>
      <c r="G996" s="113" t="s">
        <v>1430</v>
      </c>
      <c r="H996" s="42" t="s">
        <v>629</v>
      </c>
      <c r="I996" s="43" t="s">
        <v>5235</v>
      </c>
      <c r="J996" s="43">
        <v>2027.0</v>
      </c>
      <c r="K996" s="43" t="s">
        <v>410</v>
      </c>
      <c r="L996" s="43" t="s">
        <v>5236</v>
      </c>
      <c r="M996" s="43" t="s">
        <v>63</v>
      </c>
      <c r="N996" s="117"/>
      <c r="O996" s="43"/>
      <c r="P996" s="43"/>
      <c r="Q996" s="43" t="s">
        <v>153</v>
      </c>
      <c r="R996" s="43" t="s">
        <v>5237</v>
      </c>
      <c r="S996" s="44" t="s">
        <v>3653</v>
      </c>
      <c r="T996" s="39"/>
      <c r="U996" s="39"/>
      <c r="V996" s="39"/>
      <c r="W996" s="39"/>
      <c r="X996" s="81"/>
      <c r="Y996" s="81"/>
      <c r="Z996" s="82"/>
      <c r="AA996" s="99"/>
      <c r="AB996" s="48" t="s">
        <v>5238</v>
      </c>
      <c r="AC996" s="68" t="s">
        <v>5239</v>
      </c>
      <c r="AD996" s="69" t="s">
        <v>58</v>
      </c>
      <c r="AE996" s="69" t="s">
        <v>5240</v>
      </c>
      <c r="AF996" s="68" t="s">
        <v>60</v>
      </c>
      <c r="AG996" s="68"/>
      <c r="AH996" s="68"/>
      <c r="AI996" s="70" t="s">
        <v>60</v>
      </c>
      <c r="AJ996" s="49" t="s">
        <v>61</v>
      </c>
      <c r="AK996" s="46"/>
    </row>
    <row r="997" ht="24.0" customHeight="1">
      <c r="A997" s="35"/>
      <c r="B997" s="36">
        <v>1.0</v>
      </c>
      <c r="C997" s="37" t="str">
        <f>IFERROR(__xludf.DUMMYFUNCTION("""COMPUTED_VALUE"""),"Cooper Hillen (XX) - '27 SS PA")</f>
        <v>Cooper Hillen (XX) - '27 SS PA</v>
      </c>
      <c r="D997" s="38" t="s">
        <v>5241</v>
      </c>
      <c r="E997" s="51" t="s">
        <v>48</v>
      </c>
      <c r="F997" s="119">
        <v>45865.0</v>
      </c>
      <c r="G997" s="116" t="s">
        <v>1470</v>
      </c>
      <c r="H997" s="54" t="s">
        <v>696</v>
      </c>
      <c r="I997" s="55" t="s">
        <v>5242</v>
      </c>
      <c r="J997" s="55">
        <v>2027.0</v>
      </c>
      <c r="K997" s="55" t="s">
        <v>410</v>
      </c>
      <c r="L997" s="55" t="s">
        <v>5108</v>
      </c>
      <c r="M997" s="55" t="s">
        <v>1398</v>
      </c>
      <c r="N997" s="132"/>
      <c r="O997" s="55" t="s">
        <v>1550</v>
      </c>
      <c r="P997" s="55" t="s">
        <v>3249</v>
      </c>
      <c r="Q997" s="55" t="s">
        <v>240</v>
      </c>
      <c r="R997" s="55" t="s">
        <v>5243</v>
      </c>
      <c r="S997" s="58"/>
      <c r="T997" s="51">
        <v>4.1</v>
      </c>
      <c r="U997" s="51"/>
      <c r="V997" s="51" t="s">
        <v>5244</v>
      </c>
      <c r="W997" s="51" t="s">
        <v>2821</v>
      </c>
      <c r="X997" s="74"/>
      <c r="Y997" s="74"/>
      <c r="Z997" s="76"/>
      <c r="AA997" s="134"/>
      <c r="AB997" s="62" t="s">
        <v>5245</v>
      </c>
      <c r="AC997" s="63" t="s">
        <v>5246</v>
      </c>
      <c r="AD997" s="64" t="s">
        <v>5247</v>
      </c>
      <c r="AE997" s="64" t="s">
        <v>5248</v>
      </c>
      <c r="AF997" s="63" t="s">
        <v>5249</v>
      </c>
      <c r="AG997" s="63" t="s">
        <v>549</v>
      </c>
      <c r="AH997" s="63" t="s">
        <v>549</v>
      </c>
      <c r="AI997" s="65" t="s">
        <v>549</v>
      </c>
      <c r="AJ997" s="66" t="s">
        <v>61</v>
      </c>
      <c r="AK997" s="60"/>
    </row>
    <row r="998" ht="24.0" customHeight="1">
      <c r="A998" s="35"/>
      <c r="B998" s="36">
        <v>1.0</v>
      </c>
      <c r="C998" s="37" t="str">
        <f>IFERROR(__xludf.DUMMYFUNCTION("""COMPUTED_VALUE"""),"Lucas Hodney (XX) - '27 MINF MA")</f>
        <v>Lucas Hodney (XX) - '27 MINF MA</v>
      </c>
      <c r="D998" s="38" t="s">
        <v>5250</v>
      </c>
      <c r="E998" s="39" t="s">
        <v>48</v>
      </c>
      <c r="F998" s="118"/>
      <c r="G998" s="113" t="s">
        <v>1395</v>
      </c>
      <c r="H998" s="42" t="s">
        <v>151</v>
      </c>
      <c r="I998" s="43" t="s">
        <v>5251</v>
      </c>
      <c r="J998" s="43">
        <v>2027.0</v>
      </c>
      <c r="K998" s="43" t="s">
        <v>410</v>
      </c>
      <c r="L998" s="43" t="s">
        <v>5252</v>
      </c>
      <c r="M998" s="43" t="s">
        <v>51</v>
      </c>
      <c r="N998" s="117"/>
      <c r="O998" s="43" t="s">
        <v>1550</v>
      </c>
      <c r="P998" s="43"/>
      <c r="Q998" s="43" t="s">
        <v>85</v>
      </c>
      <c r="R998" s="43" t="s">
        <v>5253</v>
      </c>
      <c r="S998" s="44" t="s">
        <v>87</v>
      </c>
      <c r="T998" s="39"/>
      <c r="U998" s="39"/>
      <c r="V998" s="39"/>
      <c r="W998" s="39"/>
      <c r="X998" s="81"/>
      <c r="Y998" s="81"/>
      <c r="Z998" s="82"/>
      <c r="AA998" s="198"/>
      <c r="AB998" s="48" t="s">
        <v>61</v>
      </c>
      <c r="AC998" s="68" t="s">
        <v>61</v>
      </c>
      <c r="AD998" s="69" t="s">
        <v>61</v>
      </c>
      <c r="AE998" s="69" t="s">
        <v>61</v>
      </c>
      <c r="AF998" s="68" t="s">
        <v>61</v>
      </c>
      <c r="AG998" s="68" t="s">
        <v>61</v>
      </c>
      <c r="AH998" s="68" t="s">
        <v>61</v>
      </c>
      <c r="AI998" s="70" t="s">
        <v>61</v>
      </c>
      <c r="AJ998" s="49" t="s">
        <v>61</v>
      </c>
      <c r="AK998" s="46"/>
    </row>
    <row r="999" ht="24.0" customHeight="1">
      <c r="A999" s="35"/>
      <c r="B999" s="36">
        <v>1.0</v>
      </c>
      <c r="C999" s="37" t="str">
        <f>IFERROR(__xludf.DUMMYFUNCTION("""COMPUTED_VALUE"""),"Payton Holinka (XX) - '27 RHP AZ")</f>
        <v>Payton Holinka (XX) - '27 RHP AZ</v>
      </c>
      <c r="D999" s="38" t="s">
        <v>5254</v>
      </c>
      <c r="E999" s="51" t="s">
        <v>63</v>
      </c>
      <c r="F999" s="119">
        <v>45945.0</v>
      </c>
      <c r="G999" s="116"/>
      <c r="H999" s="54" t="s">
        <v>1164</v>
      </c>
      <c r="I999" s="55" t="s">
        <v>5255</v>
      </c>
      <c r="J999" s="55">
        <v>2027.0</v>
      </c>
      <c r="K999" s="55" t="s">
        <v>410</v>
      </c>
      <c r="L999" s="55" t="s">
        <v>5256</v>
      </c>
      <c r="M999" s="55" t="s">
        <v>63</v>
      </c>
      <c r="N999" s="132"/>
      <c r="O999" s="55" t="s">
        <v>1550</v>
      </c>
      <c r="P999" s="55" t="s">
        <v>5257</v>
      </c>
      <c r="Q999" s="55" t="s">
        <v>319</v>
      </c>
      <c r="R999" s="55" t="s">
        <v>5258</v>
      </c>
      <c r="S999" s="58" t="s">
        <v>2029</v>
      </c>
      <c r="T999" s="51"/>
      <c r="U999" s="51"/>
      <c r="V999" s="51"/>
      <c r="W999" s="51" t="s">
        <v>1571</v>
      </c>
      <c r="X999" s="74"/>
      <c r="Y999" s="74"/>
      <c r="Z999" s="76"/>
      <c r="AA999" s="134"/>
      <c r="AB999" s="62" t="s">
        <v>61</v>
      </c>
      <c r="AC999" s="63" t="s">
        <v>61</v>
      </c>
      <c r="AD999" s="64" t="s">
        <v>61</v>
      </c>
      <c r="AE999" s="64" t="s">
        <v>61</v>
      </c>
      <c r="AF999" s="63" t="s">
        <v>61</v>
      </c>
      <c r="AG999" s="63" t="s">
        <v>61</v>
      </c>
      <c r="AH999" s="63" t="s">
        <v>61</v>
      </c>
      <c r="AI999" s="65" t="s">
        <v>61</v>
      </c>
      <c r="AJ999" s="66" t="s">
        <v>61</v>
      </c>
      <c r="AK999" s="60"/>
    </row>
    <row r="1000" ht="24.0" customHeight="1">
      <c r="A1000" s="35"/>
      <c r="B1000" s="36">
        <v>1.0</v>
      </c>
      <c r="C1000" s="37" t="str">
        <f>IFERROR(__xludf.DUMMYFUNCTION("""COMPUTED_VALUE"""),"Vaughn Howard (XX) - '27 SS FL")</f>
        <v>Vaughn Howard (XX) - '27 SS FL</v>
      </c>
      <c r="D1000" s="38" t="s">
        <v>5259</v>
      </c>
      <c r="E1000" s="39" t="s">
        <v>48</v>
      </c>
      <c r="F1000" s="118">
        <v>45865.0</v>
      </c>
      <c r="G1000" s="113" t="s">
        <v>1395</v>
      </c>
      <c r="H1000" s="42" t="s">
        <v>2732</v>
      </c>
      <c r="I1000" s="43" t="s">
        <v>111</v>
      </c>
      <c r="J1000" s="43">
        <v>2027.0</v>
      </c>
      <c r="K1000" s="43" t="s">
        <v>410</v>
      </c>
      <c r="L1000" s="43" t="s">
        <v>5260</v>
      </c>
      <c r="M1000" s="43" t="s">
        <v>1398</v>
      </c>
      <c r="N1000" s="117"/>
      <c r="O1000" s="43" t="s">
        <v>1550</v>
      </c>
      <c r="P1000" s="43" t="s">
        <v>5261</v>
      </c>
      <c r="Q1000" s="43" t="s">
        <v>66</v>
      </c>
      <c r="R1000" s="43" t="s">
        <v>5262</v>
      </c>
      <c r="S1000" s="44"/>
      <c r="T1000" s="39">
        <v>4.0</v>
      </c>
      <c r="U1000" s="39"/>
      <c r="V1000" s="39" t="s">
        <v>5263</v>
      </c>
      <c r="W1000" s="39" t="s">
        <v>2821</v>
      </c>
      <c r="X1000" s="81"/>
      <c r="Y1000" s="81"/>
      <c r="Z1000" s="82"/>
      <c r="AA1000" s="99"/>
      <c r="AB1000" s="48" t="s">
        <v>5264</v>
      </c>
      <c r="AC1000" s="68" t="s">
        <v>5265</v>
      </c>
      <c r="AD1000" s="69">
        <v>4.0</v>
      </c>
      <c r="AE1000" s="69" t="s">
        <v>5266</v>
      </c>
      <c r="AF1000" s="68" t="s">
        <v>5267</v>
      </c>
      <c r="AG1000" s="68" t="s">
        <v>81</v>
      </c>
      <c r="AH1000" s="68" t="s">
        <v>81</v>
      </c>
      <c r="AI1000" s="70" t="s">
        <v>1754</v>
      </c>
      <c r="AJ1000" s="49" t="s">
        <v>61</v>
      </c>
      <c r="AK1000" s="46"/>
    </row>
    <row r="1001" ht="24.0" customHeight="1">
      <c r="A1001" s="35"/>
      <c r="B1001" s="36">
        <v>1.0</v>
      </c>
      <c r="C1001" s="37" t="str">
        <f>IFERROR(__xludf.DUMMYFUNCTION("""COMPUTED_VALUE"""),"Tielor Howie (XX) - '27 OF KY")</f>
        <v>Tielor Howie (XX) - '27 OF KY</v>
      </c>
      <c r="D1001" s="38" t="s">
        <v>5268</v>
      </c>
      <c r="E1001" s="51" t="s">
        <v>103</v>
      </c>
      <c r="F1001" s="119">
        <v>45917.0</v>
      </c>
      <c r="G1001" s="116" t="s">
        <v>1430</v>
      </c>
      <c r="H1001" s="54" t="s">
        <v>5269</v>
      </c>
      <c r="I1001" s="55" t="s">
        <v>5270</v>
      </c>
      <c r="J1001" s="55">
        <v>2027.0</v>
      </c>
      <c r="K1001" s="55" t="s">
        <v>410</v>
      </c>
      <c r="L1001" s="55" t="s">
        <v>5271</v>
      </c>
      <c r="M1001" s="55" t="s">
        <v>103</v>
      </c>
      <c r="N1001" s="132"/>
      <c r="O1001" s="55" t="s">
        <v>1550</v>
      </c>
      <c r="P1001" s="55"/>
      <c r="Q1001" s="55" t="s">
        <v>543</v>
      </c>
      <c r="R1001" s="55" t="s">
        <v>5272</v>
      </c>
      <c r="S1001" s="58" t="s">
        <v>155</v>
      </c>
      <c r="T1001" s="51"/>
      <c r="U1001" s="51"/>
      <c r="V1001" s="51"/>
      <c r="W1001" s="51"/>
      <c r="X1001" s="74"/>
      <c r="Y1001" s="74"/>
      <c r="Z1001" s="76"/>
      <c r="AA1001" s="134"/>
      <c r="AB1001" s="62" t="s">
        <v>61</v>
      </c>
      <c r="AC1001" s="63" t="s">
        <v>61</v>
      </c>
      <c r="AD1001" s="64" t="s">
        <v>61</v>
      </c>
      <c r="AE1001" s="64" t="s">
        <v>61</v>
      </c>
      <c r="AF1001" s="63" t="s">
        <v>61</v>
      </c>
      <c r="AG1001" s="63" t="s">
        <v>61</v>
      </c>
      <c r="AH1001" s="63" t="s">
        <v>61</v>
      </c>
      <c r="AI1001" s="65" t="s">
        <v>61</v>
      </c>
      <c r="AJ1001" s="66" t="s">
        <v>61</v>
      </c>
      <c r="AK1001" s="60"/>
    </row>
    <row r="1002" ht="24.0" customHeight="1">
      <c r="A1002" s="35"/>
      <c r="B1002" s="36">
        <v>1.0</v>
      </c>
      <c r="C1002" s="37" t="str">
        <f>IFERROR(__xludf.DUMMYFUNCTION("""COMPUTED_VALUE"""),"Lucas Hubner (XX) - '27 RHP NY")</f>
        <v>Lucas Hubner (XX) - '27 RHP NY</v>
      </c>
      <c r="D1002" s="38" t="s">
        <v>5273</v>
      </c>
      <c r="E1002" s="39" t="s">
        <v>63</v>
      </c>
      <c r="F1002" s="118"/>
      <c r="G1002" s="113"/>
      <c r="H1002" s="42" t="s">
        <v>151</v>
      </c>
      <c r="I1002" s="43" t="s">
        <v>5274</v>
      </c>
      <c r="J1002" s="43">
        <v>2027.0</v>
      </c>
      <c r="K1002" s="43" t="s">
        <v>410</v>
      </c>
      <c r="L1002" s="43" t="s">
        <v>5275</v>
      </c>
      <c r="M1002" s="43" t="s">
        <v>63</v>
      </c>
      <c r="N1002" s="117"/>
      <c r="O1002" s="43" t="s">
        <v>1550</v>
      </c>
      <c r="P1002" s="43" t="s">
        <v>5276</v>
      </c>
      <c r="Q1002" s="43" t="s">
        <v>255</v>
      </c>
      <c r="R1002" s="43" t="s">
        <v>5277</v>
      </c>
      <c r="S1002" s="44" t="s">
        <v>3522</v>
      </c>
      <c r="T1002" s="39"/>
      <c r="U1002" s="39"/>
      <c r="V1002" s="39"/>
      <c r="W1002" s="39" t="s">
        <v>1724</v>
      </c>
      <c r="X1002" s="81"/>
      <c r="Y1002" s="81"/>
      <c r="Z1002" s="82"/>
      <c r="AA1002" s="99"/>
      <c r="AB1002" s="48" t="s">
        <v>61</v>
      </c>
      <c r="AC1002" s="68" t="s">
        <v>61</v>
      </c>
      <c r="AD1002" s="69" t="s">
        <v>61</v>
      </c>
      <c r="AE1002" s="69" t="s">
        <v>61</v>
      </c>
      <c r="AF1002" s="68" t="s">
        <v>61</v>
      </c>
      <c r="AG1002" s="68" t="s">
        <v>61</v>
      </c>
      <c r="AH1002" s="68" t="s">
        <v>61</v>
      </c>
      <c r="AI1002" s="70" t="s">
        <v>61</v>
      </c>
      <c r="AJ1002" s="49" t="s">
        <v>61</v>
      </c>
      <c r="AK1002" s="46"/>
    </row>
    <row r="1003" ht="24.0" customHeight="1">
      <c r="A1003" s="35"/>
      <c r="B1003" s="36">
        <v>1.0</v>
      </c>
      <c r="C1003" s="37" t="str">
        <f>IFERROR(__xludf.DUMMYFUNCTION("""COMPUTED_VALUE"""),"Colton Hyde (XX) - '27 RHP FL")</f>
        <v>Colton Hyde (XX) - '27 RHP FL</v>
      </c>
      <c r="D1003" s="38" t="s">
        <v>5278</v>
      </c>
      <c r="E1003" s="51" t="s">
        <v>63</v>
      </c>
      <c r="F1003" s="119"/>
      <c r="G1003" s="116" t="s">
        <v>1430</v>
      </c>
      <c r="H1003" s="54" t="s">
        <v>233</v>
      </c>
      <c r="I1003" s="55" t="s">
        <v>5279</v>
      </c>
      <c r="J1003" s="55">
        <v>2027.0</v>
      </c>
      <c r="K1003" s="55" t="s">
        <v>410</v>
      </c>
      <c r="L1003" s="55" t="s">
        <v>2557</v>
      </c>
      <c r="M1003" s="55" t="s">
        <v>63</v>
      </c>
      <c r="N1003" s="132"/>
      <c r="O1003" s="55"/>
      <c r="P1003" s="55"/>
      <c r="Q1003" s="55" t="s">
        <v>66</v>
      </c>
      <c r="R1003" s="55" t="s">
        <v>5280</v>
      </c>
      <c r="S1003" s="58" t="s">
        <v>1450</v>
      </c>
      <c r="T1003" s="51" t="s">
        <v>5281</v>
      </c>
      <c r="U1003" s="51"/>
      <c r="V1003" s="51"/>
      <c r="W1003" s="51"/>
      <c r="X1003" s="74"/>
      <c r="Y1003" s="74"/>
      <c r="Z1003" s="76"/>
      <c r="AA1003" s="134" t="s">
        <v>5282</v>
      </c>
      <c r="AB1003" s="62" t="s">
        <v>5283</v>
      </c>
      <c r="AC1003" s="63" t="s">
        <v>5284</v>
      </c>
      <c r="AD1003" s="64">
        <v>3.6</v>
      </c>
      <c r="AE1003" s="64" t="s">
        <v>2784</v>
      </c>
      <c r="AF1003" s="63" t="s">
        <v>60</v>
      </c>
      <c r="AG1003" s="63" t="s">
        <v>60</v>
      </c>
      <c r="AH1003" s="63" t="s">
        <v>60</v>
      </c>
      <c r="AI1003" s="65" t="s">
        <v>60</v>
      </c>
      <c r="AJ1003" s="66" t="s">
        <v>61</v>
      </c>
      <c r="AK1003" s="60"/>
    </row>
    <row r="1004" ht="24.0" customHeight="1">
      <c r="A1004" s="35"/>
      <c r="B1004" s="36">
        <v>1.0</v>
      </c>
      <c r="C1004" s="37" t="str">
        <f>IFERROR(__xludf.DUMMYFUNCTION("""COMPUTED_VALUE"""),"Jake Ivey (XX) - '27 LHP TX")</f>
        <v>Jake Ivey (XX) - '27 LHP TX</v>
      </c>
      <c r="D1004" s="38" t="s">
        <v>5285</v>
      </c>
      <c r="E1004" s="39" t="s">
        <v>122</v>
      </c>
      <c r="F1004" s="118">
        <v>45865.0</v>
      </c>
      <c r="G1004" s="113" t="s">
        <v>1470</v>
      </c>
      <c r="H1004" s="42" t="s">
        <v>136</v>
      </c>
      <c r="I1004" s="43" t="s">
        <v>5286</v>
      </c>
      <c r="J1004" s="43">
        <v>2027.0</v>
      </c>
      <c r="K1004" s="43" t="s">
        <v>410</v>
      </c>
      <c r="L1004" s="43" t="s">
        <v>4893</v>
      </c>
      <c r="M1004" s="43" t="s">
        <v>122</v>
      </c>
      <c r="N1004" s="117"/>
      <c r="O1004" s="43" t="s">
        <v>1556</v>
      </c>
      <c r="P1004" s="43" t="s">
        <v>5287</v>
      </c>
      <c r="Q1004" s="43" t="s">
        <v>180</v>
      </c>
      <c r="R1004" s="43" t="s">
        <v>5287</v>
      </c>
      <c r="S1004" s="44"/>
      <c r="T1004" s="39"/>
      <c r="U1004" s="39"/>
      <c r="V1004" s="39" t="s">
        <v>5288</v>
      </c>
      <c r="W1004" s="39" t="s">
        <v>2821</v>
      </c>
      <c r="X1004" s="81"/>
      <c r="Y1004" s="81"/>
      <c r="Z1004" s="82"/>
      <c r="AA1004" s="99"/>
      <c r="AB1004" s="48" t="s">
        <v>61</v>
      </c>
      <c r="AC1004" s="68" t="s">
        <v>61</v>
      </c>
      <c r="AD1004" s="69" t="s">
        <v>61</v>
      </c>
      <c r="AE1004" s="69" t="s">
        <v>61</v>
      </c>
      <c r="AF1004" s="68" t="s">
        <v>61</v>
      </c>
      <c r="AG1004" s="68" t="s">
        <v>61</v>
      </c>
      <c r="AH1004" s="68" t="s">
        <v>61</v>
      </c>
      <c r="AI1004" s="70" t="s">
        <v>61</v>
      </c>
      <c r="AJ1004" s="49" t="s">
        <v>61</v>
      </c>
      <c r="AK1004" s="46"/>
    </row>
    <row r="1005" ht="24.0" customHeight="1">
      <c r="A1005" s="35"/>
      <c r="B1005" s="36">
        <v>1.0</v>
      </c>
      <c r="C1005" s="37" t="str">
        <f>IFERROR(__xludf.DUMMYFUNCTION("""COMPUTED_VALUE"""),"Riley Jackson (XX) - '27 INF CA")</f>
        <v>Riley Jackson (XX) - '27 INF CA</v>
      </c>
      <c r="D1005" s="38" t="s">
        <v>5289</v>
      </c>
      <c r="E1005" s="51" t="s">
        <v>48</v>
      </c>
      <c r="F1005" s="119">
        <v>45865.0</v>
      </c>
      <c r="G1005" s="116" t="s">
        <v>1470</v>
      </c>
      <c r="H1005" s="54" t="s">
        <v>1187</v>
      </c>
      <c r="I1005" s="55" t="s">
        <v>432</v>
      </c>
      <c r="J1005" s="55">
        <v>2027.0</v>
      </c>
      <c r="K1005" s="55" t="s">
        <v>410</v>
      </c>
      <c r="L1005" s="55" t="s">
        <v>5290</v>
      </c>
      <c r="M1005" s="55" t="s">
        <v>48</v>
      </c>
      <c r="N1005" s="132"/>
      <c r="O1005" s="55" t="s">
        <v>1989</v>
      </c>
      <c r="P1005" s="55" t="s">
        <v>5291</v>
      </c>
      <c r="Q1005" s="55" t="s">
        <v>52</v>
      </c>
      <c r="R1005" s="55" t="s">
        <v>5292</v>
      </c>
      <c r="S1005" s="58"/>
      <c r="T1005" s="51">
        <v>4.0</v>
      </c>
      <c r="U1005" s="51"/>
      <c r="V1005" s="51" t="s">
        <v>5293</v>
      </c>
      <c r="W1005" s="51" t="s">
        <v>2821</v>
      </c>
      <c r="X1005" s="74"/>
      <c r="Y1005" s="74"/>
      <c r="Z1005" s="76"/>
      <c r="AA1005" s="134" t="s">
        <v>5294</v>
      </c>
      <c r="AB1005" s="62" t="s">
        <v>5295</v>
      </c>
      <c r="AC1005" s="63" t="s">
        <v>5296</v>
      </c>
      <c r="AD1005" s="64">
        <v>3.66</v>
      </c>
      <c r="AE1005" s="64" t="s">
        <v>400</v>
      </c>
      <c r="AF1005" s="63" t="s">
        <v>400</v>
      </c>
      <c r="AG1005" s="63" t="s">
        <v>400</v>
      </c>
      <c r="AH1005" s="63" t="s">
        <v>400</v>
      </c>
      <c r="AI1005" s="65" t="s">
        <v>400</v>
      </c>
      <c r="AJ1005" s="66" t="s">
        <v>61</v>
      </c>
      <c r="AK1005" s="60"/>
    </row>
    <row r="1006" ht="24.0" customHeight="1">
      <c r="A1006" s="35"/>
      <c r="B1006" s="36">
        <v>1.0</v>
      </c>
      <c r="C1006" s="37" t="str">
        <f>IFERROR(__xludf.DUMMYFUNCTION("""COMPUTED_VALUE"""),"Andrew Jimenez (XX) - '27 SS CA")</f>
        <v>Andrew Jimenez (XX) - '27 SS CA</v>
      </c>
      <c r="D1006" s="38" t="s">
        <v>5297</v>
      </c>
      <c r="E1006" s="39" t="s">
        <v>48</v>
      </c>
      <c r="F1006" s="118">
        <v>45869.0</v>
      </c>
      <c r="G1006" s="113" t="s">
        <v>1395</v>
      </c>
      <c r="H1006" s="42" t="s">
        <v>457</v>
      </c>
      <c r="I1006" s="43" t="s">
        <v>5298</v>
      </c>
      <c r="J1006" s="43">
        <v>2027.0</v>
      </c>
      <c r="K1006" s="43" t="s">
        <v>410</v>
      </c>
      <c r="L1006" s="43" t="s">
        <v>5299</v>
      </c>
      <c r="M1006" s="43" t="s">
        <v>1398</v>
      </c>
      <c r="N1006" s="117"/>
      <c r="O1006" s="43" t="s">
        <v>1550</v>
      </c>
      <c r="P1006" s="43" t="s">
        <v>5300</v>
      </c>
      <c r="Q1006" s="43" t="s">
        <v>52</v>
      </c>
      <c r="R1006" s="43" t="s">
        <v>5301</v>
      </c>
      <c r="S1006" s="44"/>
      <c r="T1006" s="39">
        <v>4.1</v>
      </c>
      <c r="U1006" s="39"/>
      <c r="V1006" s="39" t="s">
        <v>5302</v>
      </c>
      <c r="W1006" s="39"/>
      <c r="X1006" s="81"/>
      <c r="Y1006" s="81"/>
      <c r="Z1006" s="82"/>
      <c r="AA1006" s="99" t="s">
        <v>5303</v>
      </c>
      <c r="AB1006" s="48" t="s">
        <v>61</v>
      </c>
      <c r="AC1006" s="68" t="s">
        <v>61</v>
      </c>
      <c r="AD1006" s="69" t="s">
        <v>61</v>
      </c>
      <c r="AE1006" s="69" t="s">
        <v>61</v>
      </c>
      <c r="AF1006" s="68" t="s">
        <v>61</v>
      </c>
      <c r="AG1006" s="68" t="s">
        <v>61</v>
      </c>
      <c r="AH1006" s="68" t="s">
        <v>61</v>
      </c>
      <c r="AI1006" s="70" t="s">
        <v>61</v>
      </c>
      <c r="AJ1006" s="49" t="s">
        <v>61</v>
      </c>
      <c r="AK1006" s="46"/>
    </row>
    <row r="1007" ht="24.0" customHeight="1">
      <c r="A1007" s="35"/>
      <c r="B1007" s="36">
        <v>1.0</v>
      </c>
      <c r="C1007" s="37" t="str">
        <f>IFERROR(__xludf.DUMMYFUNCTION("""COMPUTED_VALUE"""),"Dekohta Jones (XX) - '27 OF ")</f>
        <v>Dekohta Jones (XX) - '27 OF </v>
      </c>
      <c r="D1007" s="38" t="s">
        <v>5304</v>
      </c>
      <c r="E1007" s="51" t="s">
        <v>103</v>
      </c>
      <c r="F1007" s="119"/>
      <c r="G1007" s="116"/>
      <c r="H1007" s="54" t="s">
        <v>5305</v>
      </c>
      <c r="I1007" s="55" t="s">
        <v>941</v>
      </c>
      <c r="J1007" s="55">
        <v>2027.0</v>
      </c>
      <c r="K1007" s="55" t="s">
        <v>410</v>
      </c>
      <c r="L1007" s="55" t="s">
        <v>5002</v>
      </c>
      <c r="M1007" s="55" t="s">
        <v>103</v>
      </c>
      <c r="N1007" s="132"/>
      <c r="O1007" s="55" t="s">
        <v>1550</v>
      </c>
      <c r="P1007" s="55" t="s">
        <v>5306</v>
      </c>
      <c r="Q1007" s="55"/>
      <c r="R1007" s="55" t="s">
        <v>5307</v>
      </c>
      <c r="S1007" s="58" t="s">
        <v>2665</v>
      </c>
      <c r="T1007" s="51"/>
      <c r="U1007" s="51"/>
      <c r="V1007" s="51"/>
      <c r="W1007" s="51" t="s">
        <v>1724</v>
      </c>
      <c r="X1007" s="74"/>
      <c r="Y1007" s="74"/>
      <c r="Z1007" s="76"/>
      <c r="AA1007" s="134"/>
      <c r="AB1007" s="62" t="s">
        <v>61</v>
      </c>
      <c r="AC1007" s="63" t="s">
        <v>61</v>
      </c>
      <c r="AD1007" s="64" t="s">
        <v>61</v>
      </c>
      <c r="AE1007" s="64" t="s">
        <v>61</v>
      </c>
      <c r="AF1007" s="63" t="s">
        <v>61</v>
      </c>
      <c r="AG1007" s="63" t="s">
        <v>61</v>
      </c>
      <c r="AH1007" s="63" t="s">
        <v>61</v>
      </c>
      <c r="AI1007" s="65" t="s">
        <v>61</v>
      </c>
      <c r="AJ1007" s="66" t="s">
        <v>61</v>
      </c>
      <c r="AK1007" s="60"/>
    </row>
    <row r="1008" ht="24.0" customHeight="1">
      <c r="A1008" s="35"/>
      <c r="B1008" s="36">
        <v>1.0</v>
      </c>
      <c r="C1008" s="37" t="str">
        <f>IFERROR(__xludf.DUMMYFUNCTION("""COMPUTED_VALUE"""),"Carter Kelly (XX) - '27 INF SC")</f>
        <v>Carter Kelly (XX) - '27 INF SC</v>
      </c>
      <c r="D1008" s="38" t="s">
        <v>5308</v>
      </c>
      <c r="E1008" s="39" t="s">
        <v>48</v>
      </c>
      <c r="F1008" s="118">
        <v>45865.0</v>
      </c>
      <c r="G1008" s="113" t="s">
        <v>1395</v>
      </c>
      <c r="H1008" s="42" t="s">
        <v>604</v>
      </c>
      <c r="I1008" s="43" t="s">
        <v>5309</v>
      </c>
      <c r="J1008" s="43">
        <v>2027.0</v>
      </c>
      <c r="K1008" s="43" t="s">
        <v>410</v>
      </c>
      <c r="L1008" s="43" t="s">
        <v>5310</v>
      </c>
      <c r="M1008" s="43" t="s">
        <v>48</v>
      </c>
      <c r="N1008" s="117"/>
      <c r="O1008" s="43" t="s">
        <v>1989</v>
      </c>
      <c r="P1008" s="43" t="s">
        <v>5311</v>
      </c>
      <c r="Q1008" s="43" t="s">
        <v>286</v>
      </c>
      <c r="R1008" s="43" t="s">
        <v>5312</v>
      </c>
      <c r="S1008" s="44"/>
      <c r="T1008" s="39">
        <v>4.0</v>
      </c>
      <c r="U1008" s="39"/>
      <c r="V1008" s="39" t="s">
        <v>5313</v>
      </c>
      <c r="W1008" s="39" t="s">
        <v>2821</v>
      </c>
      <c r="X1008" s="81"/>
      <c r="Y1008" s="81"/>
      <c r="Z1008" s="82"/>
      <c r="AA1008" s="99"/>
      <c r="AB1008" s="48" t="s">
        <v>61</v>
      </c>
      <c r="AC1008" s="68" t="s">
        <v>61</v>
      </c>
      <c r="AD1008" s="69" t="s">
        <v>61</v>
      </c>
      <c r="AE1008" s="69" t="s">
        <v>61</v>
      </c>
      <c r="AF1008" s="68" t="s">
        <v>61</v>
      </c>
      <c r="AG1008" s="68" t="s">
        <v>61</v>
      </c>
      <c r="AH1008" s="68" t="s">
        <v>61</v>
      </c>
      <c r="AI1008" s="70" t="s">
        <v>61</v>
      </c>
      <c r="AJ1008" s="49" t="s">
        <v>61</v>
      </c>
      <c r="AK1008" s="46"/>
    </row>
    <row r="1009" ht="24.0" customHeight="1">
      <c r="A1009" s="35"/>
      <c r="B1009" s="36">
        <v>1.0</v>
      </c>
      <c r="C1009" s="37" t="str">
        <f>IFERROR(__xludf.DUMMYFUNCTION("""COMPUTED_VALUE"""),"Austin Kightlinger (XX) - '27 INF AL")</f>
        <v>Austin Kightlinger (XX) - '27 INF AL</v>
      </c>
      <c r="D1009" s="38" t="s">
        <v>5314</v>
      </c>
      <c r="E1009" s="51" t="s">
        <v>48</v>
      </c>
      <c r="F1009" s="119">
        <v>45865.0</v>
      </c>
      <c r="G1009" s="116" t="s">
        <v>1430</v>
      </c>
      <c r="H1009" s="54" t="s">
        <v>472</v>
      </c>
      <c r="I1009" s="55" t="s">
        <v>5315</v>
      </c>
      <c r="J1009" s="55">
        <v>2027.0</v>
      </c>
      <c r="K1009" s="55" t="s">
        <v>410</v>
      </c>
      <c r="L1009" s="55" t="s">
        <v>5316</v>
      </c>
      <c r="M1009" s="55" t="s">
        <v>48</v>
      </c>
      <c r="N1009" s="132"/>
      <c r="O1009" s="55" t="s">
        <v>1989</v>
      </c>
      <c r="P1009" s="55" t="s">
        <v>5317</v>
      </c>
      <c r="Q1009" s="55" t="s">
        <v>731</v>
      </c>
      <c r="R1009" s="55" t="s">
        <v>2269</v>
      </c>
      <c r="S1009" s="58"/>
      <c r="T1009" s="51">
        <v>3.87</v>
      </c>
      <c r="U1009" s="51"/>
      <c r="V1009" s="51" t="s">
        <v>5318</v>
      </c>
      <c r="W1009" s="51" t="s">
        <v>2821</v>
      </c>
      <c r="X1009" s="74"/>
      <c r="Y1009" s="74"/>
      <c r="Z1009" s="76"/>
      <c r="AA1009" s="134"/>
      <c r="AB1009" s="62" t="s">
        <v>61</v>
      </c>
      <c r="AC1009" s="63" t="s">
        <v>61</v>
      </c>
      <c r="AD1009" s="64" t="s">
        <v>61</v>
      </c>
      <c r="AE1009" s="64" t="s">
        <v>61</v>
      </c>
      <c r="AF1009" s="63" t="s">
        <v>61</v>
      </c>
      <c r="AG1009" s="63" t="s">
        <v>61</v>
      </c>
      <c r="AH1009" s="63" t="s">
        <v>61</v>
      </c>
      <c r="AI1009" s="65" t="s">
        <v>61</v>
      </c>
      <c r="AJ1009" s="66" t="s">
        <v>61</v>
      </c>
      <c r="AK1009" s="60"/>
    </row>
    <row r="1010" ht="24.0" customHeight="1">
      <c r="A1010" s="35"/>
      <c r="B1010" s="36">
        <v>1.0</v>
      </c>
      <c r="C1010" s="37" t="str">
        <f>IFERROR(__xludf.DUMMYFUNCTION("""COMPUTED_VALUE"""),"Roy Kim (XX) - '27 LHP CA")</f>
        <v>Roy Kim (XX) - '27 LHP CA</v>
      </c>
      <c r="D1010" s="38" t="s">
        <v>5319</v>
      </c>
      <c r="E1010" s="39" t="s">
        <v>122</v>
      </c>
      <c r="F1010" s="118"/>
      <c r="G1010" s="113" t="s">
        <v>1430</v>
      </c>
      <c r="H1010" s="42" t="s">
        <v>5320</v>
      </c>
      <c r="I1010" s="43" t="s">
        <v>5321</v>
      </c>
      <c r="J1010" s="43">
        <v>2027.0</v>
      </c>
      <c r="K1010" s="43" t="s">
        <v>410</v>
      </c>
      <c r="L1010" s="43" t="s">
        <v>4853</v>
      </c>
      <c r="M1010" s="43" t="s">
        <v>122</v>
      </c>
      <c r="N1010" s="117"/>
      <c r="O1010" s="43"/>
      <c r="P1010" s="43"/>
      <c r="Q1010" s="43" t="s">
        <v>52</v>
      </c>
      <c r="R1010" s="43" t="s">
        <v>5322</v>
      </c>
      <c r="S1010" s="44" t="s">
        <v>5323</v>
      </c>
      <c r="T1010" s="39">
        <v>4.3</v>
      </c>
      <c r="U1010" s="39"/>
      <c r="V1010" s="39">
        <v>9.51557136E9</v>
      </c>
      <c r="W1010" s="39"/>
      <c r="X1010" s="81"/>
      <c r="Y1010" s="81"/>
      <c r="Z1010" s="82"/>
      <c r="AA1010" s="99" t="s">
        <v>5324</v>
      </c>
      <c r="AB1010" s="48" t="s">
        <v>61</v>
      </c>
      <c r="AC1010" s="68" t="s">
        <v>61</v>
      </c>
      <c r="AD1010" s="69" t="s">
        <v>61</v>
      </c>
      <c r="AE1010" s="69" t="s">
        <v>61</v>
      </c>
      <c r="AF1010" s="68" t="s">
        <v>61</v>
      </c>
      <c r="AG1010" s="68" t="s">
        <v>61</v>
      </c>
      <c r="AH1010" s="68" t="s">
        <v>61</v>
      </c>
      <c r="AI1010" s="70" t="s">
        <v>61</v>
      </c>
      <c r="AJ1010" s="49" t="s">
        <v>61</v>
      </c>
      <c r="AK1010" s="46"/>
    </row>
    <row r="1011" ht="24.0" customHeight="1">
      <c r="A1011" s="35"/>
      <c r="B1011" s="36">
        <v>1.0</v>
      </c>
      <c r="C1011" s="37" t="str">
        <f>IFERROR(__xludf.DUMMYFUNCTION("""COMPUTED_VALUE"""),"Ray Kim (XX) - '27 TWP NY")</f>
        <v>Ray Kim (XX) - '27 TWP NY</v>
      </c>
      <c r="D1011" s="38" t="s">
        <v>5325</v>
      </c>
      <c r="E1011" s="51"/>
      <c r="F1011" s="119"/>
      <c r="G1011" s="116" t="s">
        <v>1395</v>
      </c>
      <c r="H1011" s="54" t="s">
        <v>5326</v>
      </c>
      <c r="I1011" s="55" t="s">
        <v>5321</v>
      </c>
      <c r="J1011" s="55">
        <v>2027.0</v>
      </c>
      <c r="K1011" s="55" t="s">
        <v>410</v>
      </c>
      <c r="L1011" s="55" t="s">
        <v>4853</v>
      </c>
      <c r="M1011" s="55" t="s">
        <v>5327</v>
      </c>
      <c r="N1011" s="132" t="s">
        <v>51</v>
      </c>
      <c r="O1011" s="55" t="s">
        <v>1550</v>
      </c>
      <c r="P1011" s="55"/>
      <c r="Q1011" s="55" t="s">
        <v>255</v>
      </c>
      <c r="R1011" s="55" t="s">
        <v>5328</v>
      </c>
      <c r="S1011" s="58" t="s">
        <v>5329</v>
      </c>
      <c r="T1011" s="51"/>
      <c r="U1011" s="51"/>
      <c r="V1011" s="51"/>
      <c r="W1011" s="51"/>
      <c r="X1011" s="74"/>
      <c r="Y1011" s="74"/>
      <c r="Z1011" s="76"/>
      <c r="AA1011" s="100"/>
      <c r="AB1011" s="62" t="s">
        <v>61</v>
      </c>
      <c r="AC1011" s="63" t="s">
        <v>61</v>
      </c>
      <c r="AD1011" s="64" t="s">
        <v>61</v>
      </c>
      <c r="AE1011" s="64" t="s">
        <v>61</v>
      </c>
      <c r="AF1011" s="63" t="s">
        <v>61</v>
      </c>
      <c r="AG1011" s="63" t="s">
        <v>61</v>
      </c>
      <c r="AH1011" s="63" t="s">
        <v>61</v>
      </c>
      <c r="AI1011" s="65" t="s">
        <v>61</v>
      </c>
      <c r="AJ1011" s="66" t="s">
        <v>61</v>
      </c>
      <c r="AK1011" s="60"/>
    </row>
    <row r="1012" ht="24.0" customHeight="1">
      <c r="A1012" s="35"/>
      <c r="B1012" s="36">
        <v>1.0</v>
      </c>
      <c r="C1012" s="37" t="str">
        <f>IFERROR(__xludf.DUMMYFUNCTION("""COMPUTED_VALUE"""),"Everett Kincaid (XX) - '27 SS ")</f>
        <v>Everett Kincaid (XX) - '27 SS </v>
      </c>
      <c r="D1012" s="38" t="s">
        <v>5330</v>
      </c>
      <c r="E1012" s="39" t="s">
        <v>48</v>
      </c>
      <c r="F1012" s="118"/>
      <c r="G1012" s="113"/>
      <c r="H1012" s="42" t="s">
        <v>5331</v>
      </c>
      <c r="I1012" s="43" t="s">
        <v>5332</v>
      </c>
      <c r="J1012" s="43">
        <v>2027.0</v>
      </c>
      <c r="K1012" s="43" t="s">
        <v>410</v>
      </c>
      <c r="L1012" s="43" t="s">
        <v>2571</v>
      </c>
      <c r="M1012" s="43" t="s">
        <v>1398</v>
      </c>
      <c r="N1012" s="117"/>
      <c r="O1012" s="43"/>
      <c r="P1012" s="43" t="s">
        <v>5333</v>
      </c>
      <c r="Q1012" s="43"/>
      <c r="R1012" s="43" t="s">
        <v>5334</v>
      </c>
      <c r="S1012" s="44" t="s">
        <v>3098</v>
      </c>
      <c r="T1012" s="39"/>
      <c r="U1012" s="39"/>
      <c r="V1012" s="39"/>
      <c r="W1012" s="39" t="s">
        <v>1724</v>
      </c>
      <c r="X1012" s="81" t="s">
        <v>1550</v>
      </c>
      <c r="Y1012" s="81"/>
      <c r="Z1012" s="82"/>
      <c r="AA1012" s="99"/>
      <c r="AB1012" s="48" t="s">
        <v>61</v>
      </c>
      <c r="AC1012" s="68" t="s">
        <v>61</v>
      </c>
      <c r="AD1012" s="69" t="s">
        <v>61</v>
      </c>
      <c r="AE1012" s="69" t="s">
        <v>61</v>
      </c>
      <c r="AF1012" s="68" t="s">
        <v>61</v>
      </c>
      <c r="AG1012" s="68" t="s">
        <v>61</v>
      </c>
      <c r="AH1012" s="68" t="s">
        <v>61</v>
      </c>
      <c r="AI1012" s="70" t="s">
        <v>61</v>
      </c>
      <c r="AJ1012" s="49" t="s">
        <v>61</v>
      </c>
      <c r="AK1012" s="46"/>
    </row>
    <row r="1013" ht="24.0" customHeight="1">
      <c r="A1013" s="35"/>
      <c r="B1013" s="36">
        <v>1.0</v>
      </c>
      <c r="C1013" s="37" t="str">
        <f>IFERROR(__xludf.DUMMYFUNCTION("""COMPUTED_VALUE"""),"Mikah Krystofolski (XX) - '27 RHP ")</f>
        <v>Mikah Krystofolski (XX) - '27 RHP </v>
      </c>
      <c r="D1013" s="38" t="s">
        <v>5335</v>
      </c>
      <c r="E1013" s="51" t="s">
        <v>63</v>
      </c>
      <c r="F1013" s="119"/>
      <c r="G1013" s="116" t="s">
        <v>1395</v>
      </c>
      <c r="H1013" s="54" t="s">
        <v>5336</v>
      </c>
      <c r="I1013" s="55" t="s">
        <v>5337</v>
      </c>
      <c r="J1013" s="55">
        <v>2027.0</v>
      </c>
      <c r="K1013" s="55" t="s">
        <v>410</v>
      </c>
      <c r="L1013" s="55" t="s">
        <v>5338</v>
      </c>
      <c r="M1013" s="55" t="s">
        <v>63</v>
      </c>
      <c r="N1013" s="132"/>
      <c r="O1013" s="55" t="s">
        <v>1989</v>
      </c>
      <c r="P1013" s="55" t="s">
        <v>5339</v>
      </c>
      <c r="Q1013" s="55"/>
      <c r="R1013" s="55" t="s">
        <v>3640</v>
      </c>
      <c r="S1013" s="58" t="s">
        <v>1424</v>
      </c>
      <c r="T1013" s="51"/>
      <c r="U1013" s="51"/>
      <c r="V1013" s="51"/>
      <c r="W1013" s="51" t="s">
        <v>1724</v>
      </c>
      <c r="X1013" s="74"/>
      <c r="Y1013" s="74"/>
      <c r="Z1013" s="76"/>
      <c r="AA1013" s="134"/>
      <c r="AB1013" s="62" t="s">
        <v>61</v>
      </c>
      <c r="AC1013" s="63" t="s">
        <v>61</v>
      </c>
      <c r="AD1013" s="64" t="s">
        <v>61</v>
      </c>
      <c r="AE1013" s="64" t="s">
        <v>61</v>
      </c>
      <c r="AF1013" s="63" t="s">
        <v>61</v>
      </c>
      <c r="AG1013" s="63" t="s">
        <v>61</v>
      </c>
      <c r="AH1013" s="63" t="s">
        <v>61</v>
      </c>
      <c r="AI1013" s="65" t="s">
        <v>61</v>
      </c>
      <c r="AJ1013" s="66" t="s">
        <v>61</v>
      </c>
      <c r="AK1013" s="60"/>
    </row>
    <row r="1014" ht="24.0" customHeight="1">
      <c r="A1014" s="35"/>
      <c r="B1014" s="36">
        <v>1.0</v>
      </c>
      <c r="C1014" s="37" t="str">
        <f>IFERROR(__xludf.DUMMYFUNCTION("""COMPUTED_VALUE"""),"Brayden Landry (XX) - '27 SS ")</f>
        <v>Brayden Landry (XX) - '27 SS </v>
      </c>
      <c r="D1014" s="38" t="s">
        <v>5340</v>
      </c>
      <c r="E1014" s="39" t="s">
        <v>48</v>
      </c>
      <c r="F1014" s="118"/>
      <c r="G1014" s="113"/>
      <c r="H1014" s="42" t="s">
        <v>535</v>
      </c>
      <c r="I1014" s="43" t="s">
        <v>4548</v>
      </c>
      <c r="J1014" s="43">
        <v>2027.0</v>
      </c>
      <c r="K1014" s="43" t="s">
        <v>410</v>
      </c>
      <c r="L1014" s="43" t="s">
        <v>2018</v>
      </c>
      <c r="M1014" s="43" t="s">
        <v>1398</v>
      </c>
      <c r="N1014" s="117"/>
      <c r="O1014" s="43"/>
      <c r="P1014" s="43" t="s">
        <v>5341</v>
      </c>
      <c r="Q1014" s="43"/>
      <c r="R1014" s="43" t="s">
        <v>5342</v>
      </c>
      <c r="S1014" s="44" t="s">
        <v>3437</v>
      </c>
      <c r="T1014" s="39"/>
      <c r="U1014" s="39"/>
      <c r="V1014" s="39"/>
      <c r="W1014" s="39" t="s">
        <v>1724</v>
      </c>
      <c r="X1014" s="81" t="s">
        <v>1550</v>
      </c>
      <c r="Y1014" s="81"/>
      <c r="Z1014" s="82"/>
      <c r="AA1014" s="198"/>
      <c r="AB1014" s="48" t="s">
        <v>61</v>
      </c>
      <c r="AC1014" s="68" t="s">
        <v>61</v>
      </c>
      <c r="AD1014" s="69" t="s">
        <v>61</v>
      </c>
      <c r="AE1014" s="69" t="s">
        <v>61</v>
      </c>
      <c r="AF1014" s="68" t="s">
        <v>61</v>
      </c>
      <c r="AG1014" s="68" t="s">
        <v>61</v>
      </c>
      <c r="AH1014" s="68" t="s">
        <v>61</v>
      </c>
      <c r="AI1014" s="70" t="s">
        <v>61</v>
      </c>
      <c r="AJ1014" s="49" t="s">
        <v>61</v>
      </c>
      <c r="AK1014" s="46"/>
    </row>
    <row r="1015" ht="24.0" customHeight="1">
      <c r="A1015" s="35"/>
      <c r="B1015" s="36">
        <v>1.0</v>
      </c>
      <c r="C1015" s="37" t="str">
        <f>IFERROR(__xludf.DUMMYFUNCTION("""COMPUTED_VALUE"""),"AJ Lasota (XX) - '27 RHP CA")</f>
        <v>AJ Lasota (XX) - '27 RHP CA</v>
      </c>
      <c r="D1015" s="38" t="s">
        <v>5343</v>
      </c>
      <c r="E1015" s="51" t="s">
        <v>63</v>
      </c>
      <c r="F1015" s="119"/>
      <c r="G1015" s="116" t="s">
        <v>1430</v>
      </c>
      <c r="H1015" s="54" t="s">
        <v>5344</v>
      </c>
      <c r="I1015" s="55" t="s">
        <v>5345</v>
      </c>
      <c r="J1015" s="55">
        <v>2027.0</v>
      </c>
      <c r="K1015" s="55" t="s">
        <v>410</v>
      </c>
      <c r="L1015" s="55" t="s">
        <v>5346</v>
      </c>
      <c r="M1015" s="55" t="s">
        <v>63</v>
      </c>
      <c r="N1015" s="132"/>
      <c r="O1015" s="55"/>
      <c r="P1015" s="55"/>
      <c r="Q1015" s="55" t="s">
        <v>52</v>
      </c>
      <c r="R1015" s="55" t="s">
        <v>4753</v>
      </c>
      <c r="S1015" s="58" t="s">
        <v>5323</v>
      </c>
      <c r="T1015" s="51">
        <v>3.9</v>
      </c>
      <c r="U1015" s="51"/>
      <c r="V1015" s="51"/>
      <c r="W1015" s="51"/>
      <c r="X1015" s="74"/>
      <c r="Y1015" s="74"/>
      <c r="Z1015" s="76"/>
      <c r="AA1015" s="76" t="s">
        <v>5347</v>
      </c>
      <c r="AB1015" s="62" t="s">
        <v>61</v>
      </c>
      <c r="AC1015" s="63" t="s">
        <v>61</v>
      </c>
      <c r="AD1015" s="64" t="s">
        <v>61</v>
      </c>
      <c r="AE1015" s="64" t="s">
        <v>61</v>
      </c>
      <c r="AF1015" s="63" t="s">
        <v>61</v>
      </c>
      <c r="AG1015" s="63" t="s">
        <v>61</v>
      </c>
      <c r="AH1015" s="63" t="s">
        <v>61</v>
      </c>
      <c r="AI1015" s="65" t="s">
        <v>61</v>
      </c>
      <c r="AJ1015" s="66" t="s">
        <v>61</v>
      </c>
      <c r="AK1015" s="60"/>
    </row>
    <row r="1016" ht="24.0" customHeight="1">
      <c r="A1016" s="35"/>
      <c r="B1016" s="36">
        <v>1.0</v>
      </c>
      <c r="C1016" s="37" t="str">
        <f>IFERROR(__xludf.DUMMYFUNCTION("""COMPUTED_VALUE"""),"Luke Lawson (XX) - '27 SS TN")</f>
        <v>Luke Lawson (XX) - '27 SS TN</v>
      </c>
      <c r="D1016" s="38" t="s">
        <v>5348</v>
      </c>
      <c r="E1016" s="39" t="s">
        <v>48</v>
      </c>
      <c r="F1016" s="118">
        <v>45865.0</v>
      </c>
      <c r="G1016" s="113" t="s">
        <v>1395</v>
      </c>
      <c r="H1016" s="42" t="s">
        <v>1042</v>
      </c>
      <c r="I1016" s="43" t="s">
        <v>3498</v>
      </c>
      <c r="J1016" s="43">
        <v>2027.0</v>
      </c>
      <c r="K1016" s="43" t="s">
        <v>410</v>
      </c>
      <c r="L1016" s="43" t="s">
        <v>5349</v>
      </c>
      <c r="M1016" s="43" t="s">
        <v>1398</v>
      </c>
      <c r="N1016" s="117"/>
      <c r="O1016" s="43" t="s">
        <v>1550</v>
      </c>
      <c r="P1016" s="43" t="s">
        <v>5350</v>
      </c>
      <c r="Q1016" s="43" t="s">
        <v>330</v>
      </c>
      <c r="R1016" s="43" t="s">
        <v>5351</v>
      </c>
      <c r="S1016" s="44"/>
      <c r="T1016" s="39"/>
      <c r="U1016" s="39"/>
      <c r="V1016" s="39" t="s">
        <v>5352</v>
      </c>
      <c r="W1016" s="39" t="s">
        <v>2821</v>
      </c>
      <c r="X1016" s="81"/>
      <c r="Y1016" s="81"/>
      <c r="Z1016" s="82"/>
      <c r="AA1016" s="82"/>
      <c r="AB1016" s="48" t="s">
        <v>61</v>
      </c>
      <c r="AC1016" s="68" t="s">
        <v>61</v>
      </c>
      <c r="AD1016" s="69" t="s">
        <v>61</v>
      </c>
      <c r="AE1016" s="69" t="s">
        <v>61</v>
      </c>
      <c r="AF1016" s="68" t="s">
        <v>61</v>
      </c>
      <c r="AG1016" s="68" t="s">
        <v>61</v>
      </c>
      <c r="AH1016" s="68" t="s">
        <v>61</v>
      </c>
      <c r="AI1016" s="70" t="s">
        <v>61</v>
      </c>
      <c r="AJ1016" s="49" t="s">
        <v>61</v>
      </c>
      <c r="AK1016" s="46"/>
    </row>
    <row r="1017" ht="24.0" customHeight="1">
      <c r="A1017" s="35"/>
      <c r="B1017" s="36">
        <v>1.0</v>
      </c>
      <c r="C1017" s="37" t="str">
        <f>IFERROR(__xludf.DUMMYFUNCTION("""COMPUTED_VALUE"""),"Evan Lee (XX) - '27 OF VA")</f>
        <v>Evan Lee (XX) - '27 OF VA</v>
      </c>
      <c r="D1017" s="38" t="s">
        <v>5353</v>
      </c>
      <c r="E1017" s="51" t="s">
        <v>103</v>
      </c>
      <c r="F1017" s="119">
        <v>45865.0</v>
      </c>
      <c r="G1017" s="116" t="s">
        <v>1395</v>
      </c>
      <c r="H1017" s="54" t="s">
        <v>385</v>
      </c>
      <c r="I1017" s="55" t="s">
        <v>433</v>
      </c>
      <c r="J1017" s="55">
        <v>2027.0</v>
      </c>
      <c r="K1017" s="55" t="s">
        <v>410</v>
      </c>
      <c r="L1017" s="55" t="s">
        <v>5354</v>
      </c>
      <c r="M1017" s="55" t="s">
        <v>103</v>
      </c>
      <c r="N1017" s="132"/>
      <c r="O1017" s="55" t="s">
        <v>1556</v>
      </c>
      <c r="P1017" s="55" t="s">
        <v>3663</v>
      </c>
      <c r="Q1017" s="55" t="s">
        <v>125</v>
      </c>
      <c r="R1017" s="55" t="s">
        <v>5355</v>
      </c>
      <c r="S1017" s="58"/>
      <c r="T1017" s="51">
        <v>3.8</v>
      </c>
      <c r="U1017" s="51"/>
      <c r="V1017" s="51" t="s">
        <v>5356</v>
      </c>
      <c r="W1017" s="51" t="s">
        <v>2821</v>
      </c>
      <c r="X1017" s="74"/>
      <c r="Y1017" s="74"/>
      <c r="Z1017" s="76"/>
      <c r="AA1017" s="134"/>
      <c r="AB1017" s="62" t="s">
        <v>61</v>
      </c>
      <c r="AC1017" s="63" t="s">
        <v>61</v>
      </c>
      <c r="AD1017" s="64" t="s">
        <v>61</v>
      </c>
      <c r="AE1017" s="64" t="s">
        <v>61</v>
      </c>
      <c r="AF1017" s="63" t="s">
        <v>61</v>
      </c>
      <c r="AG1017" s="63" t="s">
        <v>61</v>
      </c>
      <c r="AH1017" s="63" t="s">
        <v>61</v>
      </c>
      <c r="AI1017" s="65" t="s">
        <v>61</v>
      </c>
      <c r="AJ1017" s="66" t="s">
        <v>61</v>
      </c>
      <c r="AK1017" s="60"/>
    </row>
    <row r="1018" ht="24.0" customHeight="1">
      <c r="A1018" s="35"/>
      <c r="B1018" s="36">
        <v>1.0</v>
      </c>
      <c r="C1018" s="37" t="str">
        <f>IFERROR(__xludf.DUMMYFUNCTION("""COMPUTED_VALUE"""),"Luke Leger (XX) - '27 LHP MA")</f>
        <v>Luke Leger (XX) - '27 LHP MA</v>
      </c>
      <c r="D1018" s="38" t="s">
        <v>5357</v>
      </c>
      <c r="E1018" s="39" t="s">
        <v>122</v>
      </c>
      <c r="F1018" s="118"/>
      <c r="G1018" s="113" t="s">
        <v>1395</v>
      </c>
      <c r="H1018" s="42" t="s">
        <v>1042</v>
      </c>
      <c r="I1018" s="43" t="s">
        <v>5358</v>
      </c>
      <c r="J1018" s="43">
        <v>2027.0</v>
      </c>
      <c r="K1018" s="43" t="s">
        <v>410</v>
      </c>
      <c r="L1018" s="43" t="s">
        <v>4870</v>
      </c>
      <c r="M1018" s="43" t="s">
        <v>122</v>
      </c>
      <c r="N1018" s="117"/>
      <c r="O1018" s="43" t="s">
        <v>1556</v>
      </c>
      <c r="P1018" s="43"/>
      <c r="Q1018" s="43" t="s">
        <v>85</v>
      </c>
      <c r="R1018" s="43" t="s">
        <v>5359</v>
      </c>
      <c r="S1018" s="44" t="s">
        <v>2989</v>
      </c>
      <c r="T1018" s="39"/>
      <c r="U1018" s="39"/>
      <c r="V1018" s="39"/>
      <c r="W1018" s="39"/>
      <c r="X1018" s="81"/>
      <c r="Y1018" s="81"/>
      <c r="Z1018" s="82"/>
      <c r="AA1018" s="99"/>
      <c r="AB1018" s="48" t="s">
        <v>61</v>
      </c>
      <c r="AC1018" s="68" t="s">
        <v>61</v>
      </c>
      <c r="AD1018" s="69" t="s">
        <v>61</v>
      </c>
      <c r="AE1018" s="69" t="s">
        <v>61</v>
      </c>
      <c r="AF1018" s="68" t="s">
        <v>61</v>
      </c>
      <c r="AG1018" s="68" t="s">
        <v>61</v>
      </c>
      <c r="AH1018" s="68" t="s">
        <v>61</v>
      </c>
      <c r="AI1018" s="70" t="s">
        <v>61</v>
      </c>
      <c r="AJ1018" s="49" t="s">
        <v>61</v>
      </c>
      <c r="AK1018" s="46"/>
    </row>
    <row r="1019" ht="24.0" customHeight="1">
      <c r="A1019" s="35"/>
      <c r="B1019" s="36">
        <v>1.0</v>
      </c>
      <c r="C1019" s="37" t="str">
        <f>IFERROR(__xludf.DUMMYFUNCTION("""COMPUTED_VALUE"""),"Parker Leoff (XX) - '27 SS CA")</f>
        <v>Parker Leoff (XX) - '27 SS CA</v>
      </c>
      <c r="D1019" s="38" t="s">
        <v>5360</v>
      </c>
      <c r="E1019" s="51" t="s">
        <v>48</v>
      </c>
      <c r="F1019" s="119">
        <v>45865.0</v>
      </c>
      <c r="G1019" s="116" t="s">
        <v>1470</v>
      </c>
      <c r="H1019" s="54" t="s">
        <v>1595</v>
      </c>
      <c r="I1019" s="55" t="s">
        <v>5361</v>
      </c>
      <c r="J1019" s="55">
        <v>2027.0</v>
      </c>
      <c r="K1019" s="55" t="s">
        <v>410</v>
      </c>
      <c r="L1019" s="55" t="s">
        <v>5362</v>
      </c>
      <c r="M1019" s="55" t="s">
        <v>1398</v>
      </c>
      <c r="N1019" s="132"/>
      <c r="O1019" s="55" t="s">
        <v>1989</v>
      </c>
      <c r="P1019" s="55" t="s">
        <v>5363</v>
      </c>
      <c r="Q1019" s="55" t="s">
        <v>52</v>
      </c>
      <c r="R1019" s="55" t="s">
        <v>1370</v>
      </c>
      <c r="S1019" s="58"/>
      <c r="T1019" s="51"/>
      <c r="U1019" s="51"/>
      <c r="V1019" s="51" t="s">
        <v>5364</v>
      </c>
      <c r="W1019" s="51" t="s">
        <v>2821</v>
      </c>
      <c r="X1019" s="74"/>
      <c r="Y1019" s="74"/>
      <c r="Z1019" s="76"/>
      <c r="AA1019" s="134" t="s">
        <v>5365</v>
      </c>
      <c r="AB1019" s="62" t="s">
        <v>61</v>
      </c>
      <c r="AC1019" s="63" t="s">
        <v>61</v>
      </c>
      <c r="AD1019" s="64" t="s">
        <v>61</v>
      </c>
      <c r="AE1019" s="64" t="s">
        <v>61</v>
      </c>
      <c r="AF1019" s="63" t="s">
        <v>61</v>
      </c>
      <c r="AG1019" s="63" t="s">
        <v>61</v>
      </c>
      <c r="AH1019" s="63" t="s">
        <v>61</v>
      </c>
      <c r="AI1019" s="65" t="s">
        <v>61</v>
      </c>
      <c r="AJ1019" s="66" t="s">
        <v>61</v>
      </c>
      <c r="AK1019" s="60"/>
    </row>
    <row r="1020" ht="24.0" customHeight="1">
      <c r="A1020" s="35"/>
      <c r="B1020" s="36">
        <v>1.0</v>
      </c>
      <c r="C1020" s="37" t="str">
        <f>IFERROR(__xludf.DUMMYFUNCTION("""COMPUTED_VALUE"""),"Jacob Lessman (XX) - '27 RHP TX")</f>
        <v>Jacob Lessman (XX) - '27 RHP TX</v>
      </c>
      <c r="D1020" s="38" t="s">
        <v>5366</v>
      </c>
      <c r="E1020" s="39" t="s">
        <v>63</v>
      </c>
      <c r="F1020" s="118">
        <v>45865.0</v>
      </c>
      <c r="G1020" s="113" t="s">
        <v>1470</v>
      </c>
      <c r="H1020" s="42" t="s">
        <v>284</v>
      </c>
      <c r="I1020" s="43" t="s">
        <v>5367</v>
      </c>
      <c r="J1020" s="43">
        <v>2027.0</v>
      </c>
      <c r="K1020" s="43" t="s">
        <v>410</v>
      </c>
      <c r="L1020" s="43" t="s">
        <v>5368</v>
      </c>
      <c r="M1020" s="43" t="s">
        <v>63</v>
      </c>
      <c r="N1020" s="117"/>
      <c r="O1020" s="43" t="s">
        <v>1550</v>
      </c>
      <c r="P1020" s="43" t="s">
        <v>5369</v>
      </c>
      <c r="Q1020" s="43" t="s">
        <v>180</v>
      </c>
      <c r="R1020" s="43" t="s">
        <v>5370</v>
      </c>
      <c r="S1020" s="44"/>
      <c r="T1020" s="39">
        <v>3.7</v>
      </c>
      <c r="U1020" s="39"/>
      <c r="V1020" s="39" t="s">
        <v>5371</v>
      </c>
      <c r="W1020" s="39" t="s">
        <v>2821</v>
      </c>
      <c r="X1020" s="81"/>
      <c r="Y1020" s="81"/>
      <c r="Z1020" s="82"/>
      <c r="AA1020" s="109"/>
      <c r="AB1020" s="48" t="s">
        <v>61</v>
      </c>
      <c r="AC1020" s="68" t="s">
        <v>61</v>
      </c>
      <c r="AD1020" s="69" t="s">
        <v>61</v>
      </c>
      <c r="AE1020" s="69" t="s">
        <v>61</v>
      </c>
      <c r="AF1020" s="68" t="s">
        <v>61</v>
      </c>
      <c r="AG1020" s="68" t="s">
        <v>61</v>
      </c>
      <c r="AH1020" s="68" t="s">
        <v>61</v>
      </c>
      <c r="AI1020" s="70" t="s">
        <v>61</v>
      </c>
      <c r="AJ1020" s="49" t="s">
        <v>61</v>
      </c>
      <c r="AK1020" s="46"/>
    </row>
    <row r="1021" ht="24.0" customHeight="1">
      <c r="A1021" s="35"/>
      <c r="B1021" s="36">
        <v>1.0</v>
      </c>
      <c r="C1021" s="37" t="str">
        <f>IFERROR(__xludf.DUMMYFUNCTION("""COMPUTED_VALUE"""),"Brett Liezert (XX) - '27 RHP KS")</f>
        <v>Brett Liezert (XX) - '27 RHP KS</v>
      </c>
      <c r="D1021" s="38" t="s">
        <v>5372</v>
      </c>
      <c r="E1021" s="51" t="s">
        <v>63</v>
      </c>
      <c r="F1021" s="119">
        <v>45925.0</v>
      </c>
      <c r="G1021" s="116" t="s">
        <v>1395</v>
      </c>
      <c r="H1021" s="54" t="s">
        <v>5373</v>
      </c>
      <c r="I1021" s="55" t="s">
        <v>5374</v>
      </c>
      <c r="J1021" s="55">
        <v>2027.0</v>
      </c>
      <c r="K1021" s="55" t="s">
        <v>410</v>
      </c>
      <c r="L1021" s="55" t="s">
        <v>1994</v>
      </c>
      <c r="M1021" s="55" t="s">
        <v>63</v>
      </c>
      <c r="N1021" s="132"/>
      <c r="O1021" s="55"/>
      <c r="P1021" s="55"/>
      <c r="Q1021" s="55" t="s">
        <v>112</v>
      </c>
      <c r="R1021" s="55"/>
      <c r="S1021" s="58" t="s">
        <v>3204</v>
      </c>
      <c r="T1021" s="51"/>
      <c r="U1021" s="51"/>
      <c r="V1021" s="51"/>
      <c r="W1021" s="51" t="s">
        <v>1564</v>
      </c>
      <c r="X1021" s="74"/>
      <c r="Y1021" s="74"/>
      <c r="Z1021" s="76"/>
      <c r="AA1021" s="100"/>
      <c r="AB1021" s="62" t="s">
        <v>61</v>
      </c>
      <c r="AC1021" s="63" t="s">
        <v>61</v>
      </c>
      <c r="AD1021" s="64" t="s">
        <v>61</v>
      </c>
      <c r="AE1021" s="64" t="s">
        <v>61</v>
      </c>
      <c r="AF1021" s="63" t="s">
        <v>61</v>
      </c>
      <c r="AG1021" s="63" t="s">
        <v>61</v>
      </c>
      <c r="AH1021" s="63" t="s">
        <v>61</v>
      </c>
      <c r="AI1021" s="65" t="s">
        <v>61</v>
      </c>
      <c r="AJ1021" s="66" t="s">
        <v>61</v>
      </c>
      <c r="AK1021" s="60"/>
    </row>
    <row r="1022" ht="24.0" customHeight="1">
      <c r="A1022" s="35"/>
      <c r="B1022" s="36">
        <v>1.0</v>
      </c>
      <c r="C1022" s="37" t="str">
        <f>IFERROR(__xludf.DUMMYFUNCTION("""COMPUTED_VALUE"""),"Isaac Lockwood (XX) - '27 RHP CO")</f>
        <v>Isaac Lockwood (XX) - '27 RHP CO</v>
      </c>
      <c r="D1022" s="38" t="s">
        <v>5375</v>
      </c>
      <c r="E1022" s="39" t="s">
        <v>63</v>
      </c>
      <c r="F1022" s="118">
        <v>45865.0</v>
      </c>
      <c r="G1022" s="113" t="s">
        <v>1470</v>
      </c>
      <c r="H1022" s="42" t="s">
        <v>850</v>
      </c>
      <c r="I1022" s="43" t="s">
        <v>4625</v>
      </c>
      <c r="J1022" s="43">
        <v>2027.0</v>
      </c>
      <c r="K1022" s="43" t="s">
        <v>410</v>
      </c>
      <c r="L1022" s="43" t="s">
        <v>4947</v>
      </c>
      <c r="M1022" s="43" t="s">
        <v>63</v>
      </c>
      <c r="N1022" s="117"/>
      <c r="O1022" s="43" t="s">
        <v>1550</v>
      </c>
      <c r="P1022" s="43" t="s">
        <v>5376</v>
      </c>
      <c r="Q1022" s="43" t="s">
        <v>174</v>
      </c>
      <c r="R1022" s="43" t="s">
        <v>5376</v>
      </c>
      <c r="S1022" s="44"/>
      <c r="T1022" s="39"/>
      <c r="U1022" s="39"/>
      <c r="V1022" s="39" t="s">
        <v>5377</v>
      </c>
      <c r="W1022" s="39" t="s">
        <v>2821</v>
      </c>
      <c r="X1022" s="81"/>
      <c r="Y1022" s="81"/>
      <c r="Z1022" s="82"/>
      <c r="AA1022" s="99"/>
      <c r="AB1022" s="48" t="s">
        <v>61</v>
      </c>
      <c r="AC1022" s="68" t="s">
        <v>61</v>
      </c>
      <c r="AD1022" s="69" t="s">
        <v>61</v>
      </c>
      <c r="AE1022" s="69" t="s">
        <v>61</v>
      </c>
      <c r="AF1022" s="68" t="s">
        <v>61</v>
      </c>
      <c r="AG1022" s="68" t="s">
        <v>61</v>
      </c>
      <c r="AH1022" s="68" t="s">
        <v>61</v>
      </c>
      <c r="AI1022" s="70" t="s">
        <v>61</v>
      </c>
      <c r="AJ1022" s="49" t="s">
        <v>61</v>
      </c>
      <c r="AK1022" s="46"/>
    </row>
    <row r="1023" ht="24.0" customHeight="1">
      <c r="A1023" s="35"/>
      <c r="B1023" s="36">
        <v>1.0</v>
      </c>
      <c r="C1023" s="37" t="str">
        <f>IFERROR(__xludf.DUMMYFUNCTION("""COMPUTED_VALUE"""),"Jackson Logan (XX) - '27 LHP MA")</f>
        <v>Jackson Logan (XX) - '27 LHP MA</v>
      </c>
      <c r="D1023" s="38" t="s">
        <v>5378</v>
      </c>
      <c r="E1023" s="51" t="s">
        <v>122</v>
      </c>
      <c r="F1023" s="119"/>
      <c r="G1023" s="116" t="s">
        <v>1395</v>
      </c>
      <c r="H1023" s="54" t="s">
        <v>432</v>
      </c>
      <c r="I1023" s="55" t="s">
        <v>1026</v>
      </c>
      <c r="J1023" s="55">
        <v>2027.0</v>
      </c>
      <c r="K1023" s="55" t="s">
        <v>410</v>
      </c>
      <c r="L1023" s="55" t="s">
        <v>2212</v>
      </c>
      <c r="M1023" s="55" t="s">
        <v>122</v>
      </c>
      <c r="N1023" s="132"/>
      <c r="O1023" s="55" t="s">
        <v>1556</v>
      </c>
      <c r="P1023" s="55"/>
      <c r="Q1023" s="55" t="s">
        <v>85</v>
      </c>
      <c r="R1023" s="55" t="s">
        <v>5379</v>
      </c>
      <c r="S1023" s="58" t="s">
        <v>2885</v>
      </c>
      <c r="T1023" s="51"/>
      <c r="U1023" s="51"/>
      <c r="V1023" s="51"/>
      <c r="W1023" s="51"/>
      <c r="X1023" s="74"/>
      <c r="Y1023" s="74"/>
      <c r="Z1023" s="76"/>
      <c r="AA1023" s="100"/>
      <c r="AB1023" s="62" t="s">
        <v>61</v>
      </c>
      <c r="AC1023" s="63" t="s">
        <v>61</v>
      </c>
      <c r="AD1023" s="64" t="s">
        <v>61</v>
      </c>
      <c r="AE1023" s="64" t="s">
        <v>61</v>
      </c>
      <c r="AF1023" s="63" t="s">
        <v>61</v>
      </c>
      <c r="AG1023" s="63" t="s">
        <v>61</v>
      </c>
      <c r="AH1023" s="63" t="s">
        <v>61</v>
      </c>
      <c r="AI1023" s="65" t="s">
        <v>61</v>
      </c>
      <c r="AJ1023" s="66" t="s">
        <v>61</v>
      </c>
      <c r="AK1023" s="60"/>
    </row>
    <row r="1024" ht="24.0" customHeight="1">
      <c r="A1024" s="35"/>
      <c r="B1024" s="36">
        <v>1.0</v>
      </c>
      <c r="C1024" s="37" t="str">
        <f>IFERROR(__xludf.DUMMYFUNCTION("""COMPUTED_VALUE"""),"Jake Lopez (XX) - '27 SS OK")</f>
        <v>Jake Lopez (XX) - '27 SS OK</v>
      </c>
      <c r="D1024" s="38" t="s">
        <v>5380</v>
      </c>
      <c r="E1024" s="39" t="s">
        <v>48</v>
      </c>
      <c r="F1024" s="118">
        <v>45865.0</v>
      </c>
      <c r="G1024" s="113" t="s">
        <v>1395</v>
      </c>
      <c r="H1024" s="42" t="s">
        <v>136</v>
      </c>
      <c r="I1024" s="43" t="s">
        <v>951</v>
      </c>
      <c r="J1024" s="43">
        <v>2027.0</v>
      </c>
      <c r="K1024" s="43" t="s">
        <v>410</v>
      </c>
      <c r="L1024" s="43" t="s">
        <v>2904</v>
      </c>
      <c r="M1024" s="43" t="s">
        <v>1398</v>
      </c>
      <c r="N1024" s="117"/>
      <c r="O1024" s="43" t="s">
        <v>1550</v>
      </c>
      <c r="P1024" s="43" t="s">
        <v>5381</v>
      </c>
      <c r="Q1024" s="43" t="s">
        <v>698</v>
      </c>
      <c r="R1024" s="43" t="s">
        <v>5382</v>
      </c>
      <c r="S1024" s="44"/>
      <c r="T1024" s="39">
        <v>3.6</v>
      </c>
      <c r="U1024" s="39"/>
      <c r="V1024" s="39" t="s">
        <v>5383</v>
      </c>
      <c r="W1024" s="39" t="s">
        <v>2821</v>
      </c>
      <c r="X1024" s="81"/>
      <c r="Y1024" s="81"/>
      <c r="Z1024" s="82"/>
      <c r="AA1024" s="198"/>
      <c r="AB1024" s="48" t="s">
        <v>5384</v>
      </c>
      <c r="AC1024" s="68" t="s">
        <v>5385</v>
      </c>
      <c r="AD1024" s="69">
        <v>3.6</v>
      </c>
      <c r="AE1024" s="69"/>
      <c r="AF1024" s="68" t="s">
        <v>5386</v>
      </c>
      <c r="AG1024" s="68" t="s">
        <v>5387</v>
      </c>
      <c r="AH1024" s="68"/>
      <c r="AI1024" s="70" t="s">
        <v>549</v>
      </c>
      <c r="AJ1024" s="49" t="s">
        <v>61</v>
      </c>
      <c r="AK1024" s="46"/>
    </row>
    <row r="1025" ht="24.0" customHeight="1">
      <c r="A1025" s="35"/>
      <c r="B1025" s="36">
        <v>1.0</v>
      </c>
      <c r="C1025" s="37" t="str">
        <f>IFERROR(__xludf.DUMMYFUNCTION("""COMPUTED_VALUE"""),"Jackson Loy (XX) - '27 C GA")</f>
        <v>Jackson Loy (XX) - '27 C GA</v>
      </c>
      <c r="D1025" s="38" t="s">
        <v>5388</v>
      </c>
      <c r="E1025" s="51" t="s">
        <v>109</v>
      </c>
      <c r="F1025" s="119">
        <v>45925.0</v>
      </c>
      <c r="G1025" s="116" t="s">
        <v>1395</v>
      </c>
      <c r="H1025" s="54" t="s">
        <v>432</v>
      </c>
      <c r="I1025" s="55" t="s">
        <v>5389</v>
      </c>
      <c r="J1025" s="55">
        <v>2027.0</v>
      </c>
      <c r="K1025" s="55" t="s">
        <v>410</v>
      </c>
      <c r="L1025" s="55" t="s">
        <v>5390</v>
      </c>
      <c r="M1025" s="55" t="s">
        <v>109</v>
      </c>
      <c r="N1025" s="132"/>
      <c r="O1025" s="55"/>
      <c r="P1025" s="55"/>
      <c r="Q1025" s="55" t="s">
        <v>43</v>
      </c>
      <c r="R1025" s="55"/>
      <c r="S1025" s="58" t="s">
        <v>1120</v>
      </c>
      <c r="T1025" s="51"/>
      <c r="U1025" s="51"/>
      <c r="V1025" s="51"/>
      <c r="W1025" s="51" t="s">
        <v>1564</v>
      </c>
      <c r="X1025" s="74"/>
      <c r="Y1025" s="74"/>
      <c r="Z1025" s="76"/>
      <c r="AA1025" s="100"/>
      <c r="AB1025" s="62" t="s">
        <v>61</v>
      </c>
      <c r="AC1025" s="63" t="s">
        <v>61</v>
      </c>
      <c r="AD1025" s="64" t="s">
        <v>61</v>
      </c>
      <c r="AE1025" s="64" t="s">
        <v>61</v>
      </c>
      <c r="AF1025" s="63" t="s">
        <v>61</v>
      </c>
      <c r="AG1025" s="63" t="s">
        <v>61</v>
      </c>
      <c r="AH1025" s="63" t="s">
        <v>61</v>
      </c>
      <c r="AI1025" s="65" t="s">
        <v>61</v>
      </c>
      <c r="AJ1025" s="66" t="s">
        <v>61</v>
      </c>
      <c r="AK1025" s="60"/>
    </row>
    <row r="1026" ht="24.0" customHeight="1">
      <c r="A1026" s="35"/>
      <c r="B1026" s="36">
        <v>1.0</v>
      </c>
      <c r="C1026" s="37" t="str">
        <f>IFERROR(__xludf.DUMMYFUNCTION("""COMPUTED_VALUE"""),"Caleb Lynn (XX) - '27 OF NC")</f>
        <v>Caleb Lynn (XX) - '27 OF NC</v>
      </c>
      <c r="D1026" s="38" t="s">
        <v>5391</v>
      </c>
      <c r="E1026" s="39" t="s">
        <v>103</v>
      </c>
      <c r="F1026" s="118">
        <v>45865.0</v>
      </c>
      <c r="G1026" s="113" t="s">
        <v>1395</v>
      </c>
      <c r="H1026" s="42" t="s">
        <v>589</v>
      </c>
      <c r="I1026" s="43" t="s">
        <v>5392</v>
      </c>
      <c r="J1026" s="43">
        <v>2027.0</v>
      </c>
      <c r="K1026" s="43" t="s">
        <v>410</v>
      </c>
      <c r="L1026" s="43" t="s">
        <v>2018</v>
      </c>
      <c r="M1026" s="43" t="s">
        <v>103</v>
      </c>
      <c r="N1026" s="117"/>
      <c r="O1026" s="43" t="s">
        <v>1989</v>
      </c>
      <c r="P1026" s="43" t="s">
        <v>5393</v>
      </c>
      <c r="Q1026" s="43" t="s">
        <v>73</v>
      </c>
      <c r="R1026" s="43" t="s">
        <v>5394</v>
      </c>
      <c r="S1026" s="44"/>
      <c r="T1026" s="39">
        <v>3.6</v>
      </c>
      <c r="U1026" s="39"/>
      <c r="V1026" s="39" t="s">
        <v>5395</v>
      </c>
      <c r="W1026" s="39" t="s">
        <v>2821</v>
      </c>
      <c r="X1026" s="81"/>
      <c r="Y1026" s="81"/>
      <c r="Z1026" s="82"/>
      <c r="AA1026" s="198"/>
      <c r="AB1026" s="48" t="s">
        <v>61</v>
      </c>
      <c r="AC1026" s="68" t="s">
        <v>61</v>
      </c>
      <c r="AD1026" s="69" t="s">
        <v>61</v>
      </c>
      <c r="AE1026" s="69" t="s">
        <v>61</v>
      </c>
      <c r="AF1026" s="68" t="s">
        <v>61</v>
      </c>
      <c r="AG1026" s="68" t="s">
        <v>61</v>
      </c>
      <c r="AH1026" s="68" t="s">
        <v>61</v>
      </c>
      <c r="AI1026" s="70" t="s">
        <v>61</v>
      </c>
      <c r="AJ1026" s="49" t="s">
        <v>61</v>
      </c>
      <c r="AK1026" s="46"/>
    </row>
    <row r="1027" ht="24.0" customHeight="1">
      <c r="A1027" s="35"/>
      <c r="B1027" s="36">
        <v>1.0</v>
      </c>
      <c r="C1027" s="37" t="str">
        <f>IFERROR(__xludf.DUMMYFUNCTION("""COMPUTED_VALUE"""),"Wyatt Lytle (XX) - '27 COF NC")</f>
        <v>Wyatt Lytle (XX) - '27 COF NC</v>
      </c>
      <c r="D1027" s="38" t="s">
        <v>5396</v>
      </c>
      <c r="E1027" s="51" t="s">
        <v>103</v>
      </c>
      <c r="F1027" s="119">
        <v>45865.0</v>
      </c>
      <c r="G1027" s="116" t="s">
        <v>1395</v>
      </c>
      <c r="H1027" s="54" t="s">
        <v>1302</v>
      </c>
      <c r="I1027" s="55" t="s">
        <v>5397</v>
      </c>
      <c r="J1027" s="55">
        <v>2027.0</v>
      </c>
      <c r="K1027" s="55" t="s">
        <v>410</v>
      </c>
      <c r="L1027" s="55" t="s">
        <v>5398</v>
      </c>
      <c r="M1027" s="55" t="s">
        <v>42</v>
      </c>
      <c r="N1027" s="132"/>
      <c r="O1027" s="55" t="s">
        <v>1550</v>
      </c>
      <c r="P1027" s="55" t="s">
        <v>5399</v>
      </c>
      <c r="Q1027" s="55" t="s">
        <v>73</v>
      </c>
      <c r="R1027" s="55" t="s">
        <v>5400</v>
      </c>
      <c r="S1027" s="58"/>
      <c r="T1027" s="51">
        <v>3.7</v>
      </c>
      <c r="U1027" s="51"/>
      <c r="V1027" s="51" t="s">
        <v>5401</v>
      </c>
      <c r="W1027" s="51" t="s">
        <v>2821</v>
      </c>
      <c r="X1027" s="74"/>
      <c r="Y1027" s="74"/>
      <c r="Z1027" s="76"/>
      <c r="AA1027" s="197"/>
      <c r="AB1027" s="62" t="s">
        <v>61</v>
      </c>
      <c r="AC1027" s="63" t="s">
        <v>61</v>
      </c>
      <c r="AD1027" s="64" t="s">
        <v>61</v>
      </c>
      <c r="AE1027" s="64" t="s">
        <v>61</v>
      </c>
      <c r="AF1027" s="63" t="s">
        <v>61</v>
      </c>
      <c r="AG1027" s="63" t="s">
        <v>61</v>
      </c>
      <c r="AH1027" s="63" t="s">
        <v>61</v>
      </c>
      <c r="AI1027" s="65" t="s">
        <v>61</v>
      </c>
      <c r="AJ1027" s="66" t="s">
        <v>61</v>
      </c>
      <c r="AK1027" s="60"/>
    </row>
    <row r="1028" ht="24.0" customHeight="1">
      <c r="A1028" s="35"/>
      <c r="B1028" s="36">
        <v>1.0</v>
      </c>
      <c r="C1028" s="37" t="str">
        <f>IFERROR(__xludf.DUMMYFUNCTION("""COMPUTED_VALUE"""),"Nick Machusko (XX) - '27 1B PA")</f>
        <v>Nick Machusko (XX) - '27 1B PA</v>
      </c>
      <c r="D1028" s="38" t="s">
        <v>5402</v>
      </c>
      <c r="E1028" s="39" t="s">
        <v>48</v>
      </c>
      <c r="F1028" s="118">
        <v>45936.0</v>
      </c>
      <c r="G1028" s="113" t="s">
        <v>1430</v>
      </c>
      <c r="H1028" s="42" t="s">
        <v>1123</v>
      </c>
      <c r="I1028" s="43" t="s">
        <v>5403</v>
      </c>
      <c r="J1028" s="43">
        <v>2027.0</v>
      </c>
      <c r="K1028" s="43" t="s">
        <v>410</v>
      </c>
      <c r="L1028" s="43" t="s">
        <v>2028</v>
      </c>
      <c r="M1028" s="43" t="s">
        <v>1972</v>
      </c>
      <c r="N1028" s="117" t="s">
        <v>1519</v>
      </c>
      <c r="O1028" s="43" t="s">
        <v>1550</v>
      </c>
      <c r="P1028" s="43"/>
      <c r="Q1028" s="43" t="s">
        <v>240</v>
      </c>
      <c r="R1028" s="43" t="s">
        <v>5404</v>
      </c>
      <c r="S1028" s="44" t="s">
        <v>1766</v>
      </c>
      <c r="T1028" s="39">
        <v>4.22</v>
      </c>
      <c r="U1028" s="39"/>
      <c r="V1028" s="39"/>
      <c r="W1028" s="39" t="s">
        <v>5405</v>
      </c>
      <c r="X1028" s="81"/>
      <c r="Y1028" s="81"/>
      <c r="Z1028" s="82"/>
      <c r="AA1028" s="198" t="s">
        <v>5406</v>
      </c>
      <c r="AB1028" s="48" t="s">
        <v>61</v>
      </c>
      <c r="AC1028" s="68" t="s">
        <v>61</v>
      </c>
      <c r="AD1028" s="69" t="s">
        <v>61</v>
      </c>
      <c r="AE1028" s="69" t="s">
        <v>61</v>
      </c>
      <c r="AF1028" s="68" t="s">
        <v>61</v>
      </c>
      <c r="AG1028" s="68" t="s">
        <v>61</v>
      </c>
      <c r="AH1028" s="68" t="s">
        <v>61</v>
      </c>
      <c r="AI1028" s="70" t="s">
        <v>61</v>
      </c>
      <c r="AJ1028" s="49" t="s">
        <v>61</v>
      </c>
      <c r="AK1028" s="46"/>
    </row>
    <row r="1029" ht="24.0" customHeight="1">
      <c r="A1029" s="35"/>
      <c r="B1029" s="36">
        <v>1.0</v>
      </c>
      <c r="C1029" s="37" t="str">
        <f>IFERROR(__xludf.DUMMYFUNCTION("""COMPUTED_VALUE"""),"Braedon Mackay (XX) - '27 SS FL")</f>
        <v>Braedon Mackay (XX) - '27 SS FL</v>
      </c>
      <c r="D1029" s="38" t="s">
        <v>5407</v>
      </c>
      <c r="E1029" s="51" t="s">
        <v>48</v>
      </c>
      <c r="F1029" s="119"/>
      <c r="G1029" s="116" t="s">
        <v>1430</v>
      </c>
      <c r="H1029" s="54" t="s">
        <v>5408</v>
      </c>
      <c r="I1029" s="55" t="s">
        <v>5409</v>
      </c>
      <c r="J1029" s="55">
        <v>2027.0</v>
      </c>
      <c r="K1029" s="55" t="s">
        <v>410</v>
      </c>
      <c r="L1029" s="55" t="s">
        <v>5410</v>
      </c>
      <c r="M1029" s="55" t="s">
        <v>1398</v>
      </c>
      <c r="N1029" s="132" t="s">
        <v>72</v>
      </c>
      <c r="O1029" s="55" t="s">
        <v>1550</v>
      </c>
      <c r="P1029" s="55" t="s">
        <v>5411</v>
      </c>
      <c r="Q1029" s="55" t="s">
        <v>66</v>
      </c>
      <c r="R1029" s="55" t="s">
        <v>4990</v>
      </c>
      <c r="S1029" s="58" t="s">
        <v>1450</v>
      </c>
      <c r="T1029" s="51" t="s">
        <v>5412</v>
      </c>
      <c r="U1029" s="51"/>
      <c r="V1029" s="51"/>
      <c r="W1029" s="51"/>
      <c r="X1029" s="74"/>
      <c r="Y1029" s="74"/>
      <c r="Z1029" s="76"/>
      <c r="AA1029" s="197" t="s">
        <v>5413</v>
      </c>
      <c r="AB1029" s="62" t="s">
        <v>5414</v>
      </c>
      <c r="AC1029" s="63" t="s">
        <v>5415</v>
      </c>
      <c r="AD1029" s="64" t="s">
        <v>5416</v>
      </c>
      <c r="AE1029" s="64" t="s">
        <v>400</v>
      </c>
      <c r="AF1029" s="63" t="s">
        <v>400</v>
      </c>
      <c r="AG1029" s="63"/>
      <c r="AH1029" s="63"/>
      <c r="AI1029" s="65"/>
      <c r="AJ1029" s="66" t="s">
        <v>61</v>
      </c>
      <c r="AK1029" s="60"/>
    </row>
    <row r="1030" ht="24.0" customHeight="1">
      <c r="A1030" s="35"/>
      <c r="B1030" s="36">
        <v>1.0</v>
      </c>
      <c r="C1030" s="37" t="str">
        <f>IFERROR(__xludf.DUMMYFUNCTION("""COMPUTED_VALUE"""),"Caden Mackey (XX) - '27 LHP TX")</f>
        <v>Caden Mackey (XX) - '27 LHP TX</v>
      </c>
      <c r="D1030" s="38" t="s">
        <v>5417</v>
      </c>
      <c r="E1030" s="39" t="s">
        <v>122</v>
      </c>
      <c r="F1030" s="118">
        <v>45865.0</v>
      </c>
      <c r="G1030" s="113" t="s">
        <v>1470</v>
      </c>
      <c r="H1030" s="42" t="s">
        <v>227</v>
      </c>
      <c r="I1030" s="43" t="s">
        <v>5418</v>
      </c>
      <c r="J1030" s="43">
        <v>2027.0</v>
      </c>
      <c r="K1030" s="43" t="s">
        <v>410</v>
      </c>
      <c r="L1030" s="43" t="s">
        <v>2018</v>
      </c>
      <c r="M1030" s="43" t="s">
        <v>122</v>
      </c>
      <c r="N1030" s="117"/>
      <c r="O1030" s="43" t="s">
        <v>3667</v>
      </c>
      <c r="P1030" s="43" t="s">
        <v>5419</v>
      </c>
      <c r="Q1030" s="43" t="s">
        <v>180</v>
      </c>
      <c r="R1030" s="43" t="s">
        <v>426</v>
      </c>
      <c r="S1030" s="44"/>
      <c r="T1030" s="39"/>
      <c r="U1030" s="39"/>
      <c r="V1030" s="39" t="s">
        <v>5420</v>
      </c>
      <c r="W1030" s="39" t="s">
        <v>2821</v>
      </c>
      <c r="X1030" s="81"/>
      <c r="Y1030" s="81"/>
      <c r="Z1030" s="82"/>
      <c r="AA1030" s="109"/>
      <c r="AB1030" s="48" t="s">
        <v>61</v>
      </c>
      <c r="AC1030" s="68" t="s">
        <v>61</v>
      </c>
      <c r="AD1030" s="69" t="s">
        <v>61</v>
      </c>
      <c r="AE1030" s="69" t="s">
        <v>61</v>
      </c>
      <c r="AF1030" s="68" t="s">
        <v>61</v>
      </c>
      <c r="AG1030" s="68" t="s">
        <v>61</v>
      </c>
      <c r="AH1030" s="68" t="s">
        <v>61</v>
      </c>
      <c r="AI1030" s="70" t="s">
        <v>61</v>
      </c>
      <c r="AJ1030" s="49" t="s">
        <v>61</v>
      </c>
      <c r="AK1030" s="46"/>
    </row>
    <row r="1031" ht="24.0" customHeight="1">
      <c r="A1031" s="35"/>
      <c r="B1031" s="36">
        <v>1.0</v>
      </c>
      <c r="C1031" s="37" t="str">
        <f>IFERROR(__xludf.DUMMYFUNCTION("""COMPUTED_VALUE"""),"Ryker Mahnke (XX) - '27 OF KS")</f>
        <v>Ryker Mahnke (XX) - '27 OF KS</v>
      </c>
      <c r="D1031" s="38" t="s">
        <v>5421</v>
      </c>
      <c r="E1031" s="51" t="s">
        <v>103</v>
      </c>
      <c r="F1031" s="119"/>
      <c r="G1031" s="116" t="s">
        <v>1430</v>
      </c>
      <c r="H1031" s="54" t="s">
        <v>5422</v>
      </c>
      <c r="I1031" s="55" t="s">
        <v>5423</v>
      </c>
      <c r="J1031" s="55">
        <v>2027.0</v>
      </c>
      <c r="K1031" s="55" t="s">
        <v>410</v>
      </c>
      <c r="L1031" s="55" t="s">
        <v>5424</v>
      </c>
      <c r="M1031" s="55" t="s">
        <v>103</v>
      </c>
      <c r="N1031" s="132"/>
      <c r="O1031" s="55"/>
      <c r="P1031" s="55"/>
      <c r="Q1031" s="55" t="s">
        <v>112</v>
      </c>
      <c r="R1031" s="55" t="s">
        <v>5425</v>
      </c>
      <c r="S1031" s="58" t="s">
        <v>113</v>
      </c>
      <c r="T1031" s="51" t="s">
        <v>5426</v>
      </c>
      <c r="U1031" s="51"/>
      <c r="V1031" s="51"/>
      <c r="W1031" s="51"/>
      <c r="X1031" s="74"/>
      <c r="Y1031" s="74"/>
      <c r="Z1031" s="76"/>
      <c r="AA1031" s="197" t="s">
        <v>5427</v>
      </c>
      <c r="AB1031" s="62" t="s">
        <v>5428</v>
      </c>
      <c r="AC1031" s="63" t="s">
        <v>5429</v>
      </c>
      <c r="AD1031" s="64">
        <v>3.8</v>
      </c>
      <c r="AE1031" s="64" t="s">
        <v>828</v>
      </c>
      <c r="AF1031" s="63" t="s">
        <v>417</v>
      </c>
      <c r="AG1031" s="63" t="s">
        <v>417</v>
      </c>
      <c r="AH1031" s="63" t="s">
        <v>60</v>
      </c>
      <c r="AI1031" s="65" t="s">
        <v>81</v>
      </c>
      <c r="AJ1031" s="66" t="s">
        <v>61</v>
      </c>
      <c r="AK1031" s="60"/>
    </row>
    <row r="1032" ht="24.0" customHeight="1">
      <c r="A1032" s="35"/>
      <c r="B1032" s="36">
        <v>1.0</v>
      </c>
      <c r="C1032" s="37" t="str">
        <f>IFERROR(__xludf.DUMMYFUNCTION("""COMPUTED_VALUE"""),"Nick Malinowski (XX) - '27 RHP NJ")</f>
        <v>Nick Malinowski (XX) - '27 RHP NJ</v>
      </c>
      <c r="D1032" s="38" t="s">
        <v>5430</v>
      </c>
      <c r="E1032" s="39" t="s">
        <v>63</v>
      </c>
      <c r="F1032" s="118">
        <v>45865.0</v>
      </c>
      <c r="G1032" s="113" t="s">
        <v>1430</v>
      </c>
      <c r="H1032" s="42" t="s">
        <v>1123</v>
      </c>
      <c r="I1032" s="43" t="s">
        <v>5431</v>
      </c>
      <c r="J1032" s="43">
        <v>2027.0</v>
      </c>
      <c r="K1032" s="43" t="s">
        <v>410</v>
      </c>
      <c r="L1032" s="43" t="s">
        <v>5432</v>
      </c>
      <c r="M1032" s="43" t="s">
        <v>63</v>
      </c>
      <c r="N1032" s="117"/>
      <c r="O1032" s="43"/>
      <c r="P1032" s="43"/>
      <c r="Q1032" s="43" t="s">
        <v>502</v>
      </c>
      <c r="R1032" s="43" t="s">
        <v>5433</v>
      </c>
      <c r="S1032" s="44" t="s">
        <v>5434</v>
      </c>
      <c r="T1032" s="39">
        <v>4.24</v>
      </c>
      <c r="U1032" s="39"/>
      <c r="V1032" s="39"/>
      <c r="W1032" s="39"/>
      <c r="X1032" s="81"/>
      <c r="Y1032" s="81"/>
      <c r="Z1032" s="82"/>
      <c r="AA1032" s="198" t="s">
        <v>5435</v>
      </c>
      <c r="AB1032" s="48" t="s">
        <v>5436</v>
      </c>
      <c r="AC1032" s="68" t="s">
        <v>5437</v>
      </c>
      <c r="AD1032" s="69">
        <v>4.27</v>
      </c>
      <c r="AE1032" s="69" t="s">
        <v>2417</v>
      </c>
      <c r="AF1032" s="68" t="s">
        <v>2583</v>
      </c>
      <c r="AG1032" s="68" t="s">
        <v>5438</v>
      </c>
      <c r="AH1032" s="68" t="s">
        <v>81</v>
      </c>
      <c r="AI1032" s="70" t="s">
        <v>81</v>
      </c>
      <c r="AJ1032" s="49" t="s">
        <v>61</v>
      </c>
      <c r="AK1032" s="46"/>
    </row>
    <row r="1033" ht="24.0" customHeight="1">
      <c r="A1033" s="35"/>
      <c r="B1033" s="36">
        <v>1.0</v>
      </c>
      <c r="C1033" s="37" t="str">
        <f>IFERROR(__xludf.DUMMYFUNCTION("""COMPUTED_VALUE"""),"JJ Mancuso (XX) - '27 COF PA")</f>
        <v>JJ Mancuso (XX) - '27 COF PA</v>
      </c>
      <c r="D1033" s="38" t="s">
        <v>5439</v>
      </c>
      <c r="E1033" s="51" t="s">
        <v>103</v>
      </c>
      <c r="F1033" s="119">
        <v>45865.0</v>
      </c>
      <c r="G1033" s="116" t="s">
        <v>1395</v>
      </c>
      <c r="H1033" s="54" t="s">
        <v>5440</v>
      </c>
      <c r="I1033" s="55" t="s">
        <v>5441</v>
      </c>
      <c r="J1033" s="55">
        <v>2027.0</v>
      </c>
      <c r="K1033" s="55" t="s">
        <v>410</v>
      </c>
      <c r="L1033" s="55" t="s">
        <v>5442</v>
      </c>
      <c r="M1033" s="55" t="s">
        <v>42</v>
      </c>
      <c r="N1033" s="132"/>
      <c r="O1033" s="55" t="s">
        <v>1550</v>
      </c>
      <c r="P1033" s="55" t="s">
        <v>5443</v>
      </c>
      <c r="Q1033" s="55" t="s">
        <v>240</v>
      </c>
      <c r="R1033" s="55" t="s">
        <v>5444</v>
      </c>
      <c r="S1033" s="58"/>
      <c r="T1033" s="51">
        <v>3.8</v>
      </c>
      <c r="U1033" s="51"/>
      <c r="V1033" s="51" t="s">
        <v>5445</v>
      </c>
      <c r="W1033" s="51" t="s">
        <v>2821</v>
      </c>
      <c r="X1033" s="74"/>
      <c r="Y1033" s="74"/>
      <c r="Z1033" s="76"/>
      <c r="AA1033" s="100"/>
      <c r="AB1033" s="62" t="s">
        <v>5446</v>
      </c>
      <c r="AC1033" s="63" t="s">
        <v>5447</v>
      </c>
      <c r="AD1033" s="64" t="s">
        <v>5448</v>
      </c>
      <c r="AE1033" s="64" t="s">
        <v>5449</v>
      </c>
      <c r="AF1033" s="63" t="s">
        <v>60</v>
      </c>
      <c r="AG1033" s="63" t="s">
        <v>60</v>
      </c>
      <c r="AH1033" s="63" t="s">
        <v>60</v>
      </c>
      <c r="AI1033" s="65" t="s">
        <v>60</v>
      </c>
      <c r="AJ1033" s="66" t="s">
        <v>61</v>
      </c>
      <c r="AK1033" s="60"/>
    </row>
    <row r="1034" ht="24.0" customHeight="1">
      <c r="A1034" s="35"/>
      <c r="B1034" s="36">
        <v>1.0</v>
      </c>
      <c r="C1034" s="37" t="str">
        <f>IFERROR(__xludf.DUMMYFUNCTION("""COMPUTED_VALUE"""),"Max Mangum (XX) - '27 RHP TX")</f>
        <v>Max Mangum (XX) - '27 RHP TX</v>
      </c>
      <c r="D1034" s="38" t="s">
        <v>5450</v>
      </c>
      <c r="E1034" s="39" t="s">
        <v>63</v>
      </c>
      <c r="F1034" s="118">
        <v>45865.0</v>
      </c>
      <c r="G1034" s="113" t="s">
        <v>1470</v>
      </c>
      <c r="H1034" s="42" t="s">
        <v>1997</v>
      </c>
      <c r="I1034" s="43" t="s">
        <v>5451</v>
      </c>
      <c r="J1034" s="43">
        <v>2027.0</v>
      </c>
      <c r="K1034" s="43" t="s">
        <v>410</v>
      </c>
      <c r="L1034" s="43" t="s">
        <v>2679</v>
      </c>
      <c r="M1034" s="43" t="s">
        <v>63</v>
      </c>
      <c r="N1034" s="117"/>
      <c r="O1034" s="43" t="s">
        <v>1550</v>
      </c>
      <c r="P1034" s="43" t="s">
        <v>5452</v>
      </c>
      <c r="Q1034" s="43" t="s">
        <v>180</v>
      </c>
      <c r="R1034" s="43" t="s">
        <v>5452</v>
      </c>
      <c r="S1034" s="44"/>
      <c r="T1034" s="39">
        <v>3.8</v>
      </c>
      <c r="U1034" s="39"/>
      <c r="V1034" s="39" t="s">
        <v>5453</v>
      </c>
      <c r="W1034" s="39" t="s">
        <v>2821</v>
      </c>
      <c r="X1034" s="81"/>
      <c r="Y1034" s="81"/>
      <c r="Z1034" s="82"/>
      <c r="AA1034" s="99"/>
      <c r="AB1034" s="48" t="s">
        <v>61</v>
      </c>
      <c r="AC1034" s="68" t="s">
        <v>61</v>
      </c>
      <c r="AD1034" s="69" t="s">
        <v>61</v>
      </c>
      <c r="AE1034" s="69" t="s">
        <v>61</v>
      </c>
      <c r="AF1034" s="68" t="s">
        <v>61</v>
      </c>
      <c r="AG1034" s="68" t="s">
        <v>61</v>
      </c>
      <c r="AH1034" s="68" t="s">
        <v>61</v>
      </c>
      <c r="AI1034" s="70" t="s">
        <v>61</v>
      </c>
      <c r="AJ1034" s="49" t="s">
        <v>61</v>
      </c>
      <c r="AK1034" s="46"/>
    </row>
    <row r="1035" ht="24.0" customHeight="1">
      <c r="A1035" s="35"/>
      <c r="B1035" s="36">
        <v>1.0</v>
      </c>
      <c r="C1035" s="37" t="str">
        <f>IFERROR(__xludf.DUMMYFUNCTION("""COMPUTED_VALUE"""),"Zion Martinez (XX) - '27 SS CA")</f>
        <v>Zion Martinez (XX) - '27 SS CA</v>
      </c>
      <c r="D1035" s="38" t="s">
        <v>5454</v>
      </c>
      <c r="E1035" s="51" t="s">
        <v>48</v>
      </c>
      <c r="F1035" s="119">
        <v>45865.0</v>
      </c>
      <c r="G1035" s="116" t="s">
        <v>1470</v>
      </c>
      <c r="H1035" s="54" t="s">
        <v>5455</v>
      </c>
      <c r="I1035" s="55" t="s">
        <v>386</v>
      </c>
      <c r="J1035" s="55">
        <v>2027.0</v>
      </c>
      <c r="K1035" s="55" t="s">
        <v>410</v>
      </c>
      <c r="L1035" s="55" t="s">
        <v>2018</v>
      </c>
      <c r="M1035" s="55" t="s">
        <v>1398</v>
      </c>
      <c r="N1035" s="132"/>
      <c r="O1035" s="55" t="s">
        <v>1989</v>
      </c>
      <c r="P1035" s="55" t="s">
        <v>5456</v>
      </c>
      <c r="Q1035" s="55" t="s">
        <v>52</v>
      </c>
      <c r="R1035" s="55" t="s">
        <v>5457</v>
      </c>
      <c r="S1035" s="58"/>
      <c r="T1035" s="51">
        <v>4.3</v>
      </c>
      <c r="U1035" s="51"/>
      <c r="V1035" s="51" t="s">
        <v>5458</v>
      </c>
      <c r="W1035" s="51" t="s">
        <v>2821</v>
      </c>
      <c r="X1035" s="74"/>
      <c r="Y1035" s="74"/>
      <c r="Z1035" s="76"/>
      <c r="AA1035" s="197" t="s">
        <v>5459</v>
      </c>
      <c r="AB1035" s="62" t="s">
        <v>5460</v>
      </c>
      <c r="AC1035" s="63" t="s">
        <v>5461</v>
      </c>
      <c r="AD1035" s="64" t="s">
        <v>5462</v>
      </c>
      <c r="AE1035" s="64" t="s">
        <v>400</v>
      </c>
      <c r="AF1035" s="63" t="s">
        <v>400</v>
      </c>
      <c r="AG1035" s="63" t="s">
        <v>81</v>
      </c>
      <c r="AH1035" s="63" t="s">
        <v>81</v>
      </c>
      <c r="AI1035" s="65" t="s">
        <v>81</v>
      </c>
      <c r="AJ1035" s="66" t="s">
        <v>61</v>
      </c>
      <c r="AK1035" s="60"/>
    </row>
    <row r="1036" ht="24.0" customHeight="1">
      <c r="A1036" s="35"/>
      <c r="B1036" s="36">
        <v>1.0</v>
      </c>
      <c r="C1036" s="37" t="str">
        <f>IFERROR(__xludf.DUMMYFUNCTION("""COMPUTED_VALUE"""),"Ted Masino (XX) - '27 RHP NJ")</f>
        <v>Ted Masino (XX) - '27 RHP NJ</v>
      </c>
      <c r="D1036" s="38" t="s">
        <v>5463</v>
      </c>
      <c r="E1036" s="39" t="s">
        <v>63</v>
      </c>
      <c r="F1036" s="118">
        <v>45865.0</v>
      </c>
      <c r="G1036" s="113" t="s">
        <v>1470</v>
      </c>
      <c r="H1036" s="42" t="s">
        <v>5464</v>
      </c>
      <c r="I1036" s="43" t="s">
        <v>5465</v>
      </c>
      <c r="J1036" s="43">
        <v>2027.0</v>
      </c>
      <c r="K1036" s="43" t="s">
        <v>410</v>
      </c>
      <c r="L1036" s="43" t="s">
        <v>2018</v>
      </c>
      <c r="M1036" s="43" t="s">
        <v>63</v>
      </c>
      <c r="N1036" s="117"/>
      <c r="O1036" s="43" t="s">
        <v>1550</v>
      </c>
      <c r="P1036" s="43" t="s">
        <v>5466</v>
      </c>
      <c r="Q1036" s="43" t="s">
        <v>502</v>
      </c>
      <c r="R1036" s="43" t="s">
        <v>3065</v>
      </c>
      <c r="S1036" s="44"/>
      <c r="T1036" s="39">
        <v>4.1</v>
      </c>
      <c r="U1036" s="39"/>
      <c r="V1036" s="39" t="s">
        <v>5467</v>
      </c>
      <c r="W1036" s="39" t="s">
        <v>2821</v>
      </c>
      <c r="X1036" s="81"/>
      <c r="Y1036" s="81"/>
      <c r="Z1036" s="82"/>
      <c r="AA1036" s="198"/>
      <c r="AB1036" s="48" t="s">
        <v>61</v>
      </c>
      <c r="AC1036" s="68" t="s">
        <v>61</v>
      </c>
      <c r="AD1036" s="69" t="s">
        <v>61</v>
      </c>
      <c r="AE1036" s="69" t="s">
        <v>61</v>
      </c>
      <c r="AF1036" s="68" t="s">
        <v>61</v>
      </c>
      <c r="AG1036" s="68" t="s">
        <v>61</v>
      </c>
      <c r="AH1036" s="68" t="s">
        <v>61</v>
      </c>
      <c r="AI1036" s="70" t="s">
        <v>61</v>
      </c>
      <c r="AJ1036" s="49" t="s">
        <v>61</v>
      </c>
      <c r="AK1036" s="46"/>
    </row>
    <row r="1037" ht="24.0" customHeight="1">
      <c r="A1037" s="35"/>
      <c r="B1037" s="36">
        <v>1.0</v>
      </c>
      <c r="C1037" s="37" t="str">
        <f>IFERROR(__xludf.DUMMYFUNCTION("""COMPUTED_VALUE"""),"Jonathan Mauro (XX) - '27 C FL")</f>
        <v>Jonathan Mauro (XX) - '27 C FL</v>
      </c>
      <c r="D1037" s="38" t="s">
        <v>5468</v>
      </c>
      <c r="E1037" s="51" t="s">
        <v>109</v>
      </c>
      <c r="F1037" s="119"/>
      <c r="G1037" s="116" t="s">
        <v>1430</v>
      </c>
      <c r="H1037" s="54" t="s">
        <v>5469</v>
      </c>
      <c r="I1037" s="55" t="s">
        <v>5470</v>
      </c>
      <c r="J1037" s="55">
        <v>2027.0</v>
      </c>
      <c r="K1037" s="55" t="s">
        <v>410</v>
      </c>
      <c r="L1037" s="55" t="s">
        <v>2538</v>
      </c>
      <c r="M1037" s="55" t="s">
        <v>109</v>
      </c>
      <c r="N1037" s="132"/>
      <c r="O1037" s="55"/>
      <c r="P1037" s="55"/>
      <c r="Q1037" s="55" t="s">
        <v>66</v>
      </c>
      <c r="R1037" s="55" t="s">
        <v>1449</v>
      </c>
      <c r="S1037" s="58" t="s">
        <v>1450</v>
      </c>
      <c r="T1037" s="51">
        <v>4.875</v>
      </c>
      <c r="U1037" s="51"/>
      <c r="V1037" s="51"/>
      <c r="W1037" s="51"/>
      <c r="X1037" s="74"/>
      <c r="Y1037" s="74"/>
      <c r="Z1037" s="76" t="s">
        <v>5471</v>
      </c>
      <c r="AA1037" s="197" t="s">
        <v>5472</v>
      </c>
      <c r="AB1037" s="62" t="s">
        <v>5473</v>
      </c>
      <c r="AC1037" s="63" t="s">
        <v>5474</v>
      </c>
      <c r="AD1037" s="64" t="s">
        <v>5475</v>
      </c>
      <c r="AE1037" s="64"/>
      <c r="AF1037" s="63"/>
      <c r="AG1037" s="63"/>
      <c r="AH1037" s="63"/>
      <c r="AI1037" s="65"/>
      <c r="AJ1037" s="66" t="s">
        <v>61</v>
      </c>
      <c r="AK1037" s="60"/>
    </row>
    <row r="1038" ht="24.0" customHeight="1">
      <c r="A1038" s="35"/>
      <c r="B1038" s="36">
        <v>1.0</v>
      </c>
      <c r="C1038" s="37" t="str">
        <f>IFERROR(__xludf.DUMMYFUNCTION("""COMPUTED_VALUE"""),"Brody Mauro (XX) - '27 COF NJ")</f>
        <v>Brody Mauro (XX) - '27 COF NJ</v>
      </c>
      <c r="D1038" s="38" t="s">
        <v>5476</v>
      </c>
      <c r="E1038" s="39" t="s">
        <v>103</v>
      </c>
      <c r="F1038" s="118"/>
      <c r="G1038" s="113" t="s">
        <v>1395</v>
      </c>
      <c r="H1038" s="42" t="s">
        <v>556</v>
      </c>
      <c r="I1038" s="43" t="s">
        <v>5470</v>
      </c>
      <c r="J1038" s="43">
        <v>2027.0</v>
      </c>
      <c r="K1038" s="43" t="s">
        <v>410</v>
      </c>
      <c r="L1038" s="43" t="s">
        <v>5477</v>
      </c>
      <c r="M1038" s="43" t="s">
        <v>42</v>
      </c>
      <c r="N1038" s="117"/>
      <c r="O1038" s="43" t="s">
        <v>1556</v>
      </c>
      <c r="P1038" s="43"/>
      <c r="Q1038" s="43" t="s">
        <v>502</v>
      </c>
      <c r="R1038" s="43" t="s">
        <v>918</v>
      </c>
      <c r="S1038" s="44" t="s">
        <v>5478</v>
      </c>
      <c r="T1038" s="39"/>
      <c r="U1038" s="39"/>
      <c r="V1038" s="39"/>
      <c r="W1038" s="39"/>
      <c r="X1038" s="81"/>
      <c r="Y1038" s="81"/>
      <c r="Z1038" s="82"/>
      <c r="AA1038" s="198"/>
      <c r="AB1038" s="48" t="s">
        <v>61</v>
      </c>
      <c r="AC1038" s="68" t="s">
        <v>61</v>
      </c>
      <c r="AD1038" s="69" t="s">
        <v>61</v>
      </c>
      <c r="AE1038" s="69" t="s">
        <v>61</v>
      </c>
      <c r="AF1038" s="68" t="s">
        <v>61</v>
      </c>
      <c r="AG1038" s="68" t="s">
        <v>61</v>
      </c>
      <c r="AH1038" s="68" t="s">
        <v>61</v>
      </c>
      <c r="AI1038" s="70" t="s">
        <v>61</v>
      </c>
      <c r="AJ1038" s="49" t="s">
        <v>61</v>
      </c>
      <c r="AK1038" s="46"/>
    </row>
    <row r="1039" ht="24.0" customHeight="1">
      <c r="A1039" s="35"/>
      <c r="B1039" s="36">
        <v>1.0</v>
      </c>
      <c r="C1039" s="37" t="str">
        <f>IFERROR(__xludf.DUMMYFUNCTION("""COMPUTED_VALUE"""),"Luke McAtee (XX) - '27 C MO")</f>
        <v>Luke McAtee (XX) - '27 C MO</v>
      </c>
      <c r="D1039" s="38" t="s">
        <v>5479</v>
      </c>
      <c r="E1039" s="51" t="s">
        <v>109</v>
      </c>
      <c r="F1039" s="119">
        <v>45865.0</v>
      </c>
      <c r="G1039" s="116" t="s">
        <v>1470</v>
      </c>
      <c r="H1039" s="54" t="s">
        <v>1042</v>
      </c>
      <c r="I1039" s="55" t="s">
        <v>2312</v>
      </c>
      <c r="J1039" s="55">
        <v>2027.0</v>
      </c>
      <c r="K1039" s="55" t="s">
        <v>410</v>
      </c>
      <c r="L1039" s="55" t="s">
        <v>2563</v>
      </c>
      <c r="M1039" s="55" t="s">
        <v>109</v>
      </c>
      <c r="N1039" s="132"/>
      <c r="O1039" s="55" t="s">
        <v>1550</v>
      </c>
      <c r="P1039" s="55" t="s">
        <v>5480</v>
      </c>
      <c r="Q1039" s="55" t="s">
        <v>585</v>
      </c>
      <c r="R1039" s="55" t="s">
        <v>5481</v>
      </c>
      <c r="S1039" s="58"/>
      <c r="T1039" s="51">
        <v>3.7</v>
      </c>
      <c r="U1039" s="51"/>
      <c r="V1039" s="51" t="s">
        <v>5482</v>
      </c>
      <c r="W1039" s="51" t="s">
        <v>2821</v>
      </c>
      <c r="X1039" s="74"/>
      <c r="Y1039" s="74"/>
      <c r="Z1039" s="76"/>
      <c r="AA1039" s="197"/>
      <c r="AB1039" s="62" t="s">
        <v>5483</v>
      </c>
      <c r="AC1039" s="63" t="s">
        <v>5484</v>
      </c>
      <c r="AD1039" s="64">
        <v>3.71</v>
      </c>
      <c r="AE1039" s="64" t="s">
        <v>5485</v>
      </c>
      <c r="AF1039" s="63" t="s">
        <v>5486</v>
      </c>
      <c r="AG1039" s="63" t="s">
        <v>81</v>
      </c>
      <c r="AH1039" s="63" t="s">
        <v>81</v>
      </c>
      <c r="AI1039" s="65" t="s">
        <v>81</v>
      </c>
      <c r="AJ1039" s="66" t="s">
        <v>61</v>
      </c>
      <c r="AK1039" s="60"/>
    </row>
    <row r="1040" ht="24.0" customHeight="1">
      <c r="A1040" s="35"/>
      <c r="B1040" s="36">
        <v>1.0</v>
      </c>
      <c r="C1040" s="37" t="str">
        <f>IFERROR(__xludf.DUMMYFUNCTION("""COMPUTED_VALUE"""),"Kyle McBride (XX) - '27 RHP NJ")</f>
        <v>Kyle McBride (XX) - '27 RHP NJ</v>
      </c>
      <c r="D1040" s="38" t="s">
        <v>5487</v>
      </c>
      <c r="E1040" s="39" t="s">
        <v>63</v>
      </c>
      <c r="F1040" s="118"/>
      <c r="G1040" s="113" t="s">
        <v>1395</v>
      </c>
      <c r="H1040" s="42" t="s">
        <v>3666</v>
      </c>
      <c r="I1040" s="43" t="s">
        <v>5488</v>
      </c>
      <c r="J1040" s="43">
        <v>2027.0</v>
      </c>
      <c r="K1040" s="43" t="s">
        <v>410</v>
      </c>
      <c r="L1040" s="43" t="s">
        <v>2023</v>
      </c>
      <c r="M1040" s="43" t="s">
        <v>63</v>
      </c>
      <c r="N1040" s="117"/>
      <c r="O1040" s="43"/>
      <c r="P1040" s="43"/>
      <c r="Q1040" s="43" t="s">
        <v>502</v>
      </c>
      <c r="R1040" s="43" t="s">
        <v>3065</v>
      </c>
      <c r="S1040" s="44" t="s">
        <v>2815</v>
      </c>
      <c r="T1040" s="39">
        <v>4.1</v>
      </c>
      <c r="U1040" s="39"/>
      <c r="V1040" s="39"/>
      <c r="W1040" s="39"/>
      <c r="X1040" s="81"/>
      <c r="Y1040" s="81"/>
      <c r="Z1040" s="82"/>
      <c r="AA1040" s="198" t="s">
        <v>5489</v>
      </c>
      <c r="AB1040" s="48" t="s">
        <v>61</v>
      </c>
      <c r="AC1040" s="68" t="s">
        <v>61</v>
      </c>
      <c r="AD1040" s="69" t="s">
        <v>61</v>
      </c>
      <c r="AE1040" s="69" t="s">
        <v>61</v>
      </c>
      <c r="AF1040" s="68" t="s">
        <v>61</v>
      </c>
      <c r="AG1040" s="68" t="s">
        <v>61</v>
      </c>
      <c r="AH1040" s="68" t="s">
        <v>61</v>
      </c>
      <c r="AI1040" s="70" t="s">
        <v>61</v>
      </c>
      <c r="AJ1040" s="49" t="s">
        <v>61</v>
      </c>
      <c r="AK1040" s="46"/>
    </row>
    <row r="1041" ht="24.0" customHeight="1">
      <c r="A1041" s="35"/>
      <c r="B1041" s="36">
        <v>1.0</v>
      </c>
      <c r="C1041" s="37" t="str">
        <f>IFERROR(__xludf.DUMMYFUNCTION("""COMPUTED_VALUE"""),"Maddox McCollum (XX) - '27 RHP GA")</f>
        <v>Maddox McCollum (XX) - '27 RHP GA</v>
      </c>
      <c r="D1041" s="38" t="s">
        <v>5490</v>
      </c>
      <c r="E1041" s="51" t="s">
        <v>63</v>
      </c>
      <c r="F1041" s="119">
        <v>45925.0</v>
      </c>
      <c r="G1041" s="116" t="s">
        <v>1395</v>
      </c>
      <c r="H1041" s="54" t="s">
        <v>5491</v>
      </c>
      <c r="I1041" s="55" t="s">
        <v>5492</v>
      </c>
      <c r="J1041" s="55">
        <v>2027.0</v>
      </c>
      <c r="K1041" s="55" t="s">
        <v>410</v>
      </c>
      <c r="L1041" s="55" t="s">
        <v>5493</v>
      </c>
      <c r="M1041" s="55" t="s">
        <v>63</v>
      </c>
      <c r="N1041" s="132"/>
      <c r="O1041" s="55"/>
      <c r="P1041" s="55"/>
      <c r="Q1041" s="55" t="s">
        <v>43</v>
      </c>
      <c r="R1041" s="55"/>
      <c r="S1041" s="58" t="s">
        <v>1120</v>
      </c>
      <c r="T1041" s="51"/>
      <c r="U1041" s="51"/>
      <c r="V1041" s="51"/>
      <c r="W1041" s="51" t="s">
        <v>1564</v>
      </c>
      <c r="X1041" s="74"/>
      <c r="Y1041" s="74"/>
      <c r="Z1041" s="76"/>
      <c r="AA1041" s="134"/>
      <c r="AB1041" s="62" t="s">
        <v>61</v>
      </c>
      <c r="AC1041" s="63" t="s">
        <v>61</v>
      </c>
      <c r="AD1041" s="64" t="s">
        <v>61</v>
      </c>
      <c r="AE1041" s="64" t="s">
        <v>61</v>
      </c>
      <c r="AF1041" s="63" t="s">
        <v>61</v>
      </c>
      <c r="AG1041" s="63" t="s">
        <v>61</v>
      </c>
      <c r="AH1041" s="63" t="s">
        <v>61</v>
      </c>
      <c r="AI1041" s="65" t="s">
        <v>61</v>
      </c>
      <c r="AJ1041" s="66" t="s">
        <v>61</v>
      </c>
      <c r="AK1041" s="60"/>
    </row>
    <row r="1042" ht="24.0" customHeight="1">
      <c r="A1042" s="35"/>
      <c r="B1042" s="36">
        <v>1.0</v>
      </c>
      <c r="C1042" s="37" t="str">
        <f>IFERROR(__xludf.DUMMYFUNCTION("""COMPUTED_VALUE"""),"Wyatt McDaniels (XX) - '27 C MS")</f>
        <v>Wyatt McDaniels (XX) - '27 C MS</v>
      </c>
      <c r="D1042" s="38" t="s">
        <v>5494</v>
      </c>
      <c r="E1042" s="39" t="s">
        <v>109</v>
      </c>
      <c r="F1042" s="118">
        <v>45865.0</v>
      </c>
      <c r="G1042" s="113" t="s">
        <v>1395</v>
      </c>
      <c r="H1042" s="42" t="s">
        <v>1302</v>
      </c>
      <c r="I1042" s="43" t="s">
        <v>5495</v>
      </c>
      <c r="J1042" s="43">
        <v>2027.0</v>
      </c>
      <c r="K1042" s="43" t="s">
        <v>410</v>
      </c>
      <c r="L1042" s="43" t="s">
        <v>5496</v>
      </c>
      <c r="M1042" s="43" t="s">
        <v>109</v>
      </c>
      <c r="N1042" s="117"/>
      <c r="O1042" s="43" t="s">
        <v>1550</v>
      </c>
      <c r="P1042" s="43" t="s">
        <v>5497</v>
      </c>
      <c r="Q1042" s="43" t="s">
        <v>483</v>
      </c>
      <c r="R1042" s="43" t="s">
        <v>5498</v>
      </c>
      <c r="S1042" s="44"/>
      <c r="T1042" s="39">
        <v>4.0</v>
      </c>
      <c r="U1042" s="39"/>
      <c r="V1042" s="39" t="s">
        <v>5499</v>
      </c>
      <c r="W1042" s="39" t="s">
        <v>2821</v>
      </c>
      <c r="X1042" s="81"/>
      <c r="Y1042" s="81"/>
      <c r="Z1042" s="82"/>
      <c r="AA1042" s="99"/>
      <c r="AB1042" s="48" t="s">
        <v>61</v>
      </c>
      <c r="AC1042" s="68" t="s">
        <v>61</v>
      </c>
      <c r="AD1042" s="69" t="s">
        <v>61</v>
      </c>
      <c r="AE1042" s="69" t="s">
        <v>61</v>
      </c>
      <c r="AF1042" s="68" t="s">
        <v>61</v>
      </c>
      <c r="AG1042" s="68" t="s">
        <v>61</v>
      </c>
      <c r="AH1042" s="68" t="s">
        <v>61</v>
      </c>
      <c r="AI1042" s="70" t="s">
        <v>61</v>
      </c>
      <c r="AJ1042" s="49" t="s">
        <v>61</v>
      </c>
      <c r="AK1042" s="46"/>
    </row>
    <row r="1043" ht="24.0" customHeight="1">
      <c r="A1043" s="35"/>
      <c r="B1043" s="36">
        <v>1.0</v>
      </c>
      <c r="C1043" s="37" t="str">
        <f>IFERROR(__xludf.DUMMYFUNCTION("""COMPUTED_VALUE"""),"Mason McGill (XX) - '27 LHP WV")</f>
        <v>Mason McGill (XX) - '27 LHP WV</v>
      </c>
      <c r="D1043" s="38" t="s">
        <v>5500</v>
      </c>
      <c r="E1043" s="51" t="s">
        <v>122</v>
      </c>
      <c r="F1043" s="119"/>
      <c r="G1043" s="116" t="s">
        <v>1395</v>
      </c>
      <c r="H1043" s="54" t="s">
        <v>1057</v>
      </c>
      <c r="I1043" s="55" t="s">
        <v>5501</v>
      </c>
      <c r="J1043" s="55">
        <v>2027.0</v>
      </c>
      <c r="K1043" s="55" t="s">
        <v>410</v>
      </c>
      <c r="L1043" s="55" t="s">
        <v>5502</v>
      </c>
      <c r="M1043" s="55" t="s">
        <v>122</v>
      </c>
      <c r="N1043" s="132"/>
      <c r="O1043" s="55" t="s">
        <v>1556</v>
      </c>
      <c r="P1043" s="55"/>
      <c r="Q1043" s="55" t="s">
        <v>3987</v>
      </c>
      <c r="R1043" s="55" t="s">
        <v>5503</v>
      </c>
      <c r="S1043" s="58" t="s">
        <v>3989</v>
      </c>
      <c r="T1043" s="51"/>
      <c r="U1043" s="51"/>
      <c r="V1043" s="51"/>
      <c r="W1043" s="51"/>
      <c r="X1043" s="74"/>
      <c r="Y1043" s="74"/>
      <c r="Z1043" s="76"/>
      <c r="AA1043" s="134"/>
      <c r="AB1043" s="62" t="s">
        <v>61</v>
      </c>
      <c r="AC1043" s="63" t="s">
        <v>61</v>
      </c>
      <c r="AD1043" s="64" t="s">
        <v>61</v>
      </c>
      <c r="AE1043" s="64" t="s">
        <v>61</v>
      </c>
      <c r="AF1043" s="63" t="s">
        <v>61</v>
      </c>
      <c r="AG1043" s="63" t="s">
        <v>61</v>
      </c>
      <c r="AH1043" s="63" t="s">
        <v>61</v>
      </c>
      <c r="AI1043" s="65" t="s">
        <v>61</v>
      </c>
      <c r="AJ1043" s="66" t="s">
        <v>61</v>
      </c>
      <c r="AK1043" s="60"/>
    </row>
    <row r="1044" ht="24.0" customHeight="1">
      <c r="A1044" s="35"/>
      <c r="B1044" s="36">
        <v>1.0</v>
      </c>
      <c r="C1044" s="37" t="str">
        <f>IFERROR(__xludf.DUMMYFUNCTION("""COMPUTED_VALUE"""),"Ty McGinley (XX) - '27 RHP AL")</f>
        <v>Ty McGinley (XX) - '27 RHP AL</v>
      </c>
      <c r="D1044" s="38" t="s">
        <v>5504</v>
      </c>
      <c r="E1044" s="39" t="s">
        <v>63</v>
      </c>
      <c r="F1044" s="118">
        <v>45865.0</v>
      </c>
      <c r="G1044" s="113" t="s">
        <v>1430</v>
      </c>
      <c r="H1044" s="42" t="s">
        <v>1536</v>
      </c>
      <c r="I1044" s="43" t="s">
        <v>5505</v>
      </c>
      <c r="J1044" s="43">
        <v>2027.0</v>
      </c>
      <c r="K1044" s="43" t="s">
        <v>410</v>
      </c>
      <c r="L1044" s="43" t="s">
        <v>2018</v>
      </c>
      <c r="M1044" s="43" t="s">
        <v>63</v>
      </c>
      <c r="N1044" s="117"/>
      <c r="O1044" s="43" t="s">
        <v>1550</v>
      </c>
      <c r="P1044" s="43" t="s">
        <v>5506</v>
      </c>
      <c r="Q1044" s="43" t="s">
        <v>731</v>
      </c>
      <c r="R1044" s="43" t="s">
        <v>5506</v>
      </c>
      <c r="S1044" s="44"/>
      <c r="T1044" s="39">
        <v>3.8</v>
      </c>
      <c r="U1044" s="39"/>
      <c r="V1044" s="39" t="s">
        <v>5507</v>
      </c>
      <c r="W1044" s="39" t="s">
        <v>2821</v>
      </c>
      <c r="X1044" s="81"/>
      <c r="Y1044" s="81"/>
      <c r="Z1044" s="82"/>
      <c r="AA1044" s="99"/>
      <c r="AB1044" s="48" t="s">
        <v>61</v>
      </c>
      <c r="AC1044" s="68" t="s">
        <v>61</v>
      </c>
      <c r="AD1044" s="69" t="s">
        <v>61</v>
      </c>
      <c r="AE1044" s="69" t="s">
        <v>61</v>
      </c>
      <c r="AF1044" s="68" t="s">
        <v>61</v>
      </c>
      <c r="AG1044" s="68" t="s">
        <v>61</v>
      </c>
      <c r="AH1044" s="68" t="s">
        <v>61</v>
      </c>
      <c r="AI1044" s="70" t="s">
        <v>61</v>
      </c>
      <c r="AJ1044" s="49" t="s">
        <v>61</v>
      </c>
      <c r="AK1044" s="46"/>
    </row>
    <row r="1045" ht="24.0" customHeight="1">
      <c r="A1045" s="35"/>
      <c r="B1045" s="36">
        <v>1.0</v>
      </c>
      <c r="C1045" s="37" t="str">
        <f>IFERROR(__xludf.DUMMYFUNCTION("""COMPUTED_VALUE"""),"Cooper McGowan (XX) - '27 SS WA")</f>
        <v>Cooper McGowan (XX) - '27 SS WA</v>
      </c>
      <c r="D1045" s="38" t="s">
        <v>5508</v>
      </c>
      <c r="E1045" s="51" t="s">
        <v>48</v>
      </c>
      <c r="F1045" s="119">
        <v>45865.0</v>
      </c>
      <c r="G1045" s="116" t="s">
        <v>1395</v>
      </c>
      <c r="H1045" s="54" t="s">
        <v>696</v>
      </c>
      <c r="I1045" s="55" t="s">
        <v>5509</v>
      </c>
      <c r="J1045" s="55">
        <v>2027.0</v>
      </c>
      <c r="K1045" s="55" t="s">
        <v>410</v>
      </c>
      <c r="L1045" s="55" t="s">
        <v>5510</v>
      </c>
      <c r="M1045" s="55" t="s">
        <v>1398</v>
      </c>
      <c r="N1045" s="132"/>
      <c r="O1045" s="55" t="s">
        <v>1550</v>
      </c>
      <c r="P1045" s="55" t="s">
        <v>5511</v>
      </c>
      <c r="Q1045" s="55" t="s">
        <v>1575</v>
      </c>
      <c r="R1045" s="55" t="s">
        <v>5512</v>
      </c>
      <c r="S1045" s="58"/>
      <c r="T1045" s="51">
        <v>3.8</v>
      </c>
      <c r="U1045" s="51"/>
      <c r="V1045" s="51" t="s">
        <v>5513</v>
      </c>
      <c r="W1045" s="51" t="s">
        <v>2821</v>
      </c>
      <c r="X1045" s="74"/>
      <c r="Y1045" s="74"/>
      <c r="Z1045" s="76"/>
      <c r="AA1045" s="134"/>
      <c r="AB1045" s="62" t="s">
        <v>61</v>
      </c>
      <c r="AC1045" s="63" t="s">
        <v>61</v>
      </c>
      <c r="AD1045" s="64" t="s">
        <v>61</v>
      </c>
      <c r="AE1045" s="64" t="s">
        <v>61</v>
      </c>
      <c r="AF1045" s="63" t="s">
        <v>61</v>
      </c>
      <c r="AG1045" s="63" t="s">
        <v>61</v>
      </c>
      <c r="AH1045" s="63" t="s">
        <v>61</v>
      </c>
      <c r="AI1045" s="65" t="s">
        <v>61</v>
      </c>
      <c r="AJ1045" s="66" t="s">
        <v>61</v>
      </c>
      <c r="AK1045" s="60"/>
    </row>
    <row r="1046" ht="24.0" customHeight="1">
      <c r="A1046" s="35"/>
      <c r="B1046" s="36">
        <v>1.0</v>
      </c>
      <c r="C1046" s="37" t="str">
        <f>IFERROR(__xludf.DUMMYFUNCTION("""COMPUTED_VALUE"""),"Brennan McKenna (XX) - '27 RHP ")</f>
        <v>Brennan McKenna (XX) - '27 RHP </v>
      </c>
      <c r="D1046" s="38" t="s">
        <v>5514</v>
      </c>
      <c r="E1046" s="39" t="s">
        <v>63</v>
      </c>
      <c r="F1046" s="118">
        <v>45925.0</v>
      </c>
      <c r="G1046" s="113" t="s">
        <v>1395</v>
      </c>
      <c r="H1046" s="42" t="s">
        <v>3417</v>
      </c>
      <c r="I1046" s="43" t="s">
        <v>2562</v>
      </c>
      <c r="J1046" s="43">
        <v>2027.0</v>
      </c>
      <c r="K1046" s="43" t="s">
        <v>410</v>
      </c>
      <c r="L1046" s="43" t="s">
        <v>2018</v>
      </c>
      <c r="M1046" s="43" t="s">
        <v>63</v>
      </c>
      <c r="N1046" s="117"/>
      <c r="O1046" s="43"/>
      <c r="P1046" s="43"/>
      <c r="Q1046" s="43"/>
      <c r="R1046" s="43"/>
      <c r="S1046" s="44" t="s">
        <v>1820</v>
      </c>
      <c r="T1046" s="39"/>
      <c r="U1046" s="39"/>
      <c r="V1046" s="39"/>
      <c r="W1046" s="39" t="s">
        <v>1564</v>
      </c>
      <c r="X1046" s="81"/>
      <c r="Y1046" s="81"/>
      <c r="Z1046" s="82"/>
      <c r="AA1046" s="99"/>
      <c r="AB1046" s="48" t="s">
        <v>61</v>
      </c>
      <c r="AC1046" s="68" t="s">
        <v>61</v>
      </c>
      <c r="AD1046" s="69" t="s">
        <v>61</v>
      </c>
      <c r="AE1046" s="69" t="s">
        <v>61</v>
      </c>
      <c r="AF1046" s="68" t="s">
        <v>61</v>
      </c>
      <c r="AG1046" s="68" t="s">
        <v>61</v>
      </c>
      <c r="AH1046" s="68" t="s">
        <v>61</v>
      </c>
      <c r="AI1046" s="70" t="s">
        <v>61</v>
      </c>
      <c r="AJ1046" s="49" t="s">
        <v>61</v>
      </c>
      <c r="AK1046" s="46"/>
    </row>
    <row r="1047" ht="24.0" customHeight="1">
      <c r="A1047" s="35"/>
      <c r="B1047" s="36">
        <v>1.0</v>
      </c>
      <c r="C1047" s="37" t="str">
        <f>IFERROR(__xludf.DUMMYFUNCTION("""COMPUTED_VALUE"""),"Hudson Meredith (XX) - '27 LHP KY")</f>
        <v>Hudson Meredith (XX) - '27 LHP KY</v>
      </c>
      <c r="D1047" s="38" t="s">
        <v>5515</v>
      </c>
      <c r="E1047" s="51" t="s">
        <v>122</v>
      </c>
      <c r="F1047" s="119"/>
      <c r="G1047" s="116" t="s">
        <v>1430</v>
      </c>
      <c r="H1047" s="54" t="s">
        <v>1678</v>
      </c>
      <c r="I1047" s="55" t="s">
        <v>5516</v>
      </c>
      <c r="J1047" s="55">
        <v>2027.0</v>
      </c>
      <c r="K1047" s="55" t="s">
        <v>410</v>
      </c>
      <c r="L1047" s="55" t="s">
        <v>5517</v>
      </c>
      <c r="M1047" s="55" t="s">
        <v>122</v>
      </c>
      <c r="N1047" s="132"/>
      <c r="O1047" s="55"/>
      <c r="P1047" s="55"/>
      <c r="Q1047" s="55" t="s">
        <v>543</v>
      </c>
      <c r="R1047" s="55" t="s">
        <v>2680</v>
      </c>
      <c r="S1047" s="58" t="s">
        <v>5518</v>
      </c>
      <c r="T1047" s="51"/>
      <c r="U1047" s="51"/>
      <c r="V1047" s="51"/>
      <c r="W1047" s="51"/>
      <c r="X1047" s="74"/>
      <c r="Y1047" s="74"/>
      <c r="Z1047" s="76"/>
      <c r="AA1047" s="100" t="s">
        <v>5519</v>
      </c>
      <c r="AB1047" s="62" t="s">
        <v>5520</v>
      </c>
      <c r="AC1047" s="63" t="s">
        <v>5521</v>
      </c>
      <c r="AD1047" s="64" t="s">
        <v>5522</v>
      </c>
      <c r="AE1047" s="64" t="s">
        <v>400</v>
      </c>
      <c r="AF1047" s="63" t="s">
        <v>5523</v>
      </c>
      <c r="AG1047" s="63" t="s">
        <v>81</v>
      </c>
      <c r="AH1047" s="63" t="s">
        <v>81</v>
      </c>
      <c r="AI1047" s="65" t="s">
        <v>81</v>
      </c>
      <c r="AJ1047" s="66" t="s">
        <v>61</v>
      </c>
      <c r="AK1047" s="60"/>
    </row>
    <row r="1048" ht="24.0" customHeight="1">
      <c r="A1048" s="35"/>
      <c r="B1048" s="36">
        <v>1.0</v>
      </c>
      <c r="C1048" s="37" t="str">
        <f>IFERROR(__xludf.DUMMYFUNCTION("""COMPUTED_VALUE"""),"Mason Meyer (XX) - '27 C IN")</f>
        <v>Mason Meyer (XX) - '27 C IN</v>
      </c>
      <c r="D1048" s="38" t="s">
        <v>5524</v>
      </c>
      <c r="E1048" s="39" t="s">
        <v>109</v>
      </c>
      <c r="F1048" s="118">
        <v>45865.0</v>
      </c>
      <c r="G1048" s="113" t="s">
        <v>1395</v>
      </c>
      <c r="H1048" s="42" t="s">
        <v>1057</v>
      </c>
      <c r="I1048" s="43" t="s">
        <v>5525</v>
      </c>
      <c r="J1048" s="43">
        <v>2027.0</v>
      </c>
      <c r="K1048" s="43" t="s">
        <v>410</v>
      </c>
      <c r="L1048" s="43" t="s">
        <v>1977</v>
      </c>
      <c r="M1048" s="43" t="s">
        <v>109</v>
      </c>
      <c r="N1048" s="117"/>
      <c r="O1048" s="43" t="s">
        <v>1550</v>
      </c>
      <c r="P1048" s="43" t="s">
        <v>3069</v>
      </c>
      <c r="Q1048" s="43" t="s">
        <v>153</v>
      </c>
      <c r="R1048" s="43" t="s">
        <v>5526</v>
      </c>
      <c r="S1048" s="44"/>
      <c r="T1048" s="39">
        <v>4.0</v>
      </c>
      <c r="U1048" s="39"/>
      <c r="V1048" s="39" t="s">
        <v>5527</v>
      </c>
      <c r="W1048" s="39" t="s">
        <v>2821</v>
      </c>
      <c r="X1048" s="81"/>
      <c r="Y1048" s="81"/>
      <c r="Z1048" s="82"/>
      <c r="AA1048" s="109"/>
      <c r="AB1048" s="48" t="s">
        <v>61</v>
      </c>
      <c r="AC1048" s="68" t="s">
        <v>61</v>
      </c>
      <c r="AD1048" s="69" t="s">
        <v>61</v>
      </c>
      <c r="AE1048" s="69" t="s">
        <v>61</v>
      </c>
      <c r="AF1048" s="68" t="s">
        <v>61</v>
      </c>
      <c r="AG1048" s="68" t="s">
        <v>61</v>
      </c>
      <c r="AH1048" s="68" t="s">
        <v>61</v>
      </c>
      <c r="AI1048" s="70" t="s">
        <v>61</v>
      </c>
      <c r="AJ1048" s="49" t="s">
        <v>61</v>
      </c>
      <c r="AK1048" s="46"/>
    </row>
    <row r="1049" ht="24.0" customHeight="1">
      <c r="A1049" s="35"/>
      <c r="B1049" s="36">
        <v>1.0</v>
      </c>
      <c r="C1049" s="37" t="str">
        <f>IFERROR(__xludf.DUMMYFUNCTION("""COMPUTED_VALUE"""),"Michael Meyers (XX) - '27 RHP NJ")</f>
        <v>Michael Meyers (XX) - '27 RHP NJ</v>
      </c>
      <c r="D1049" s="38" t="s">
        <v>5528</v>
      </c>
      <c r="E1049" s="51" t="s">
        <v>63</v>
      </c>
      <c r="F1049" s="119"/>
      <c r="G1049" s="116" t="s">
        <v>1395</v>
      </c>
      <c r="H1049" s="54" t="s">
        <v>158</v>
      </c>
      <c r="I1049" s="55" t="s">
        <v>5529</v>
      </c>
      <c r="J1049" s="55">
        <v>2027.0</v>
      </c>
      <c r="K1049" s="55" t="s">
        <v>410</v>
      </c>
      <c r="L1049" s="55" t="s">
        <v>5530</v>
      </c>
      <c r="M1049" s="55" t="s">
        <v>63</v>
      </c>
      <c r="N1049" s="132"/>
      <c r="O1049" s="55"/>
      <c r="P1049" s="55"/>
      <c r="Q1049" s="55" t="s">
        <v>502</v>
      </c>
      <c r="R1049" s="55"/>
      <c r="S1049" s="58" t="s">
        <v>3066</v>
      </c>
      <c r="T1049" s="51"/>
      <c r="U1049" s="51"/>
      <c r="V1049" s="51"/>
      <c r="W1049" s="51"/>
      <c r="X1049" s="74"/>
      <c r="Y1049" s="74"/>
      <c r="Z1049" s="76"/>
      <c r="AA1049" s="100"/>
      <c r="AB1049" s="62" t="s">
        <v>61</v>
      </c>
      <c r="AC1049" s="63" t="s">
        <v>61</v>
      </c>
      <c r="AD1049" s="64" t="s">
        <v>61</v>
      </c>
      <c r="AE1049" s="64" t="s">
        <v>61</v>
      </c>
      <c r="AF1049" s="63" t="s">
        <v>61</v>
      </c>
      <c r="AG1049" s="63" t="s">
        <v>61</v>
      </c>
      <c r="AH1049" s="63" t="s">
        <v>61</v>
      </c>
      <c r="AI1049" s="65" t="s">
        <v>61</v>
      </c>
      <c r="AJ1049" s="66" t="s">
        <v>61</v>
      </c>
      <c r="AK1049" s="60"/>
    </row>
    <row r="1050" ht="24.0" customHeight="1">
      <c r="A1050" s="35"/>
      <c r="B1050" s="36">
        <v>1.0</v>
      </c>
      <c r="C1050" s="37" t="str">
        <f>IFERROR(__xludf.DUMMYFUNCTION("""COMPUTED_VALUE"""),"Bryan Miller (XX) - '27 C VA")</f>
        <v>Bryan Miller (XX) - '27 C VA</v>
      </c>
      <c r="D1050" s="38" t="s">
        <v>5531</v>
      </c>
      <c r="E1050" s="39" t="s">
        <v>109</v>
      </c>
      <c r="F1050" s="118"/>
      <c r="G1050" s="113" t="s">
        <v>1430</v>
      </c>
      <c r="H1050" s="42" t="s">
        <v>4852</v>
      </c>
      <c r="I1050" s="43" t="s">
        <v>5532</v>
      </c>
      <c r="J1050" s="43">
        <v>2027.0</v>
      </c>
      <c r="K1050" s="43" t="s">
        <v>410</v>
      </c>
      <c r="L1050" s="43" t="s">
        <v>5533</v>
      </c>
      <c r="M1050" s="43" t="s">
        <v>109</v>
      </c>
      <c r="N1050" s="117"/>
      <c r="O1050" s="43" t="s">
        <v>1989</v>
      </c>
      <c r="P1050" s="43"/>
      <c r="Q1050" s="43" t="s">
        <v>125</v>
      </c>
      <c r="R1050" s="43" t="s">
        <v>5534</v>
      </c>
      <c r="S1050" s="44" t="s">
        <v>5203</v>
      </c>
      <c r="T1050" s="39">
        <v>4.0</v>
      </c>
      <c r="U1050" s="39"/>
      <c r="V1050" s="39"/>
      <c r="W1050" s="39"/>
      <c r="X1050" s="81"/>
      <c r="Y1050" s="81"/>
      <c r="Z1050" s="82" t="s">
        <v>5471</v>
      </c>
      <c r="AA1050" s="99" t="s">
        <v>5535</v>
      </c>
      <c r="AB1050" s="48" t="s">
        <v>61</v>
      </c>
      <c r="AC1050" s="68" t="s">
        <v>61</v>
      </c>
      <c r="AD1050" s="69" t="s">
        <v>61</v>
      </c>
      <c r="AE1050" s="69" t="s">
        <v>61</v>
      </c>
      <c r="AF1050" s="68" t="s">
        <v>61</v>
      </c>
      <c r="AG1050" s="68" t="s">
        <v>61</v>
      </c>
      <c r="AH1050" s="68" t="s">
        <v>61</v>
      </c>
      <c r="AI1050" s="70" t="s">
        <v>61</v>
      </c>
      <c r="AJ1050" s="49" t="s">
        <v>61</v>
      </c>
      <c r="AK1050" s="46"/>
    </row>
    <row r="1051" ht="24.0" customHeight="1">
      <c r="A1051" s="35"/>
      <c r="B1051" s="36">
        <v>1.0</v>
      </c>
      <c r="C1051" s="37" t="str">
        <f>IFERROR(__xludf.DUMMYFUNCTION("""COMPUTED_VALUE"""),"George Minjack (XX) - '27 3B VA")</f>
        <v>George Minjack (XX) - '27 3B VA</v>
      </c>
      <c r="D1051" s="38" t="s">
        <v>5536</v>
      </c>
      <c r="E1051" s="51" t="s">
        <v>48</v>
      </c>
      <c r="F1051" s="119">
        <v>45865.0</v>
      </c>
      <c r="G1051" s="116" t="s">
        <v>1430</v>
      </c>
      <c r="H1051" s="54" t="s">
        <v>419</v>
      </c>
      <c r="I1051" s="55" t="s">
        <v>5537</v>
      </c>
      <c r="J1051" s="55">
        <v>2027.0</v>
      </c>
      <c r="K1051" s="55" t="s">
        <v>410</v>
      </c>
      <c r="L1051" s="55" t="s">
        <v>5538</v>
      </c>
      <c r="M1051" s="55" t="s">
        <v>1519</v>
      </c>
      <c r="N1051" s="132"/>
      <c r="O1051" s="55" t="s">
        <v>1550</v>
      </c>
      <c r="P1051" s="55" t="s">
        <v>5539</v>
      </c>
      <c r="Q1051" s="55" t="s">
        <v>125</v>
      </c>
      <c r="R1051" s="55" t="s">
        <v>5540</v>
      </c>
      <c r="S1051" s="58" t="s">
        <v>2432</v>
      </c>
      <c r="T1051" s="51"/>
      <c r="U1051" s="51"/>
      <c r="V1051" s="51" t="s">
        <v>5541</v>
      </c>
      <c r="W1051" s="51" t="s">
        <v>2821</v>
      </c>
      <c r="X1051" s="74"/>
      <c r="Y1051" s="74"/>
      <c r="Z1051" s="76"/>
      <c r="AA1051" s="134"/>
      <c r="AB1051" s="62" t="s">
        <v>5542</v>
      </c>
      <c r="AC1051" s="63" t="s">
        <v>5543</v>
      </c>
      <c r="AD1051" s="64">
        <v>3.6</v>
      </c>
      <c r="AE1051" s="64" t="s">
        <v>5544</v>
      </c>
      <c r="AF1051" s="63" t="s">
        <v>60</v>
      </c>
      <c r="AG1051" s="63" t="s">
        <v>81</v>
      </c>
      <c r="AH1051" s="63" t="s">
        <v>81</v>
      </c>
      <c r="AI1051" s="65" t="s">
        <v>81</v>
      </c>
      <c r="AJ1051" s="66" t="s">
        <v>61</v>
      </c>
      <c r="AK1051" s="60"/>
    </row>
    <row r="1052" ht="24.0" customHeight="1">
      <c r="A1052" s="35"/>
      <c r="B1052" s="36">
        <v>1.0</v>
      </c>
      <c r="C1052" s="37" t="str">
        <f>IFERROR(__xludf.DUMMYFUNCTION("""COMPUTED_VALUE"""),"Hunter Minner (XX) - '27 RHP IA")</f>
        <v>Hunter Minner (XX) - '27 RHP IA</v>
      </c>
      <c r="D1052" s="38" t="s">
        <v>5545</v>
      </c>
      <c r="E1052" s="39" t="s">
        <v>63</v>
      </c>
      <c r="F1052" s="118">
        <v>45865.0</v>
      </c>
      <c r="G1052" s="113" t="s">
        <v>1430</v>
      </c>
      <c r="H1052" s="42" t="s">
        <v>822</v>
      </c>
      <c r="I1052" s="43" t="s">
        <v>5546</v>
      </c>
      <c r="J1052" s="43">
        <v>2027.0</v>
      </c>
      <c r="K1052" s="43" t="s">
        <v>410</v>
      </c>
      <c r="L1052" s="43" t="s">
        <v>2335</v>
      </c>
      <c r="M1052" s="43" t="s">
        <v>63</v>
      </c>
      <c r="N1052" s="117"/>
      <c r="O1052" s="43" t="s">
        <v>1550</v>
      </c>
      <c r="P1052" s="43" t="s">
        <v>5547</v>
      </c>
      <c r="Q1052" s="43" t="s">
        <v>360</v>
      </c>
      <c r="R1052" s="43" t="s">
        <v>5548</v>
      </c>
      <c r="S1052" s="44"/>
      <c r="T1052" s="39">
        <v>4.0</v>
      </c>
      <c r="U1052" s="39"/>
      <c r="V1052" s="39" t="s">
        <v>5549</v>
      </c>
      <c r="W1052" s="39" t="s">
        <v>2821</v>
      </c>
      <c r="X1052" s="81"/>
      <c r="Y1052" s="81"/>
      <c r="Z1052" s="82"/>
      <c r="AA1052" s="198"/>
      <c r="AB1052" s="48" t="s">
        <v>61</v>
      </c>
      <c r="AC1052" s="68" t="s">
        <v>61</v>
      </c>
      <c r="AD1052" s="69" t="s">
        <v>61</v>
      </c>
      <c r="AE1052" s="69" t="s">
        <v>61</v>
      </c>
      <c r="AF1052" s="68" t="s">
        <v>61</v>
      </c>
      <c r="AG1052" s="68" t="s">
        <v>61</v>
      </c>
      <c r="AH1052" s="68" t="s">
        <v>61</v>
      </c>
      <c r="AI1052" s="70" t="s">
        <v>61</v>
      </c>
      <c r="AJ1052" s="49" t="s">
        <v>61</v>
      </c>
      <c r="AK1052" s="46"/>
    </row>
    <row r="1053" ht="24.0" customHeight="1">
      <c r="A1053" s="35"/>
      <c r="B1053" s="36">
        <v>1.0</v>
      </c>
      <c r="C1053" s="37" t="str">
        <f>IFERROR(__xludf.DUMMYFUNCTION("""COMPUTED_VALUE"""),"Aaron Minton (XX) - '27 OF CA")</f>
        <v>Aaron Minton (XX) - '27 OF CA</v>
      </c>
      <c r="D1053" s="38" t="s">
        <v>5550</v>
      </c>
      <c r="E1053" s="51" t="s">
        <v>103</v>
      </c>
      <c r="F1053" s="119">
        <v>45869.0</v>
      </c>
      <c r="G1053" s="116" t="s">
        <v>1395</v>
      </c>
      <c r="H1053" s="54" t="s">
        <v>5551</v>
      </c>
      <c r="I1053" s="55" t="s">
        <v>5552</v>
      </c>
      <c r="J1053" s="55">
        <v>2027.0</v>
      </c>
      <c r="K1053" s="55" t="s">
        <v>410</v>
      </c>
      <c r="L1053" s="55" t="s">
        <v>2323</v>
      </c>
      <c r="M1053" s="55" t="s">
        <v>103</v>
      </c>
      <c r="N1053" s="132"/>
      <c r="O1053" s="55" t="s">
        <v>1550</v>
      </c>
      <c r="P1053" s="55" t="s">
        <v>5553</v>
      </c>
      <c r="Q1053" s="55" t="s">
        <v>52</v>
      </c>
      <c r="R1053" s="55" t="s">
        <v>5554</v>
      </c>
      <c r="S1053" s="58"/>
      <c r="T1053" s="51" t="s">
        <v>5555</v>
      </c>
      <c r="U1053" s="51"/>
      <c r="V1053" s="51">
        <v>6.507699294E9</v>
      </c>
      <c r="W1053" s="51"/>
      <c r="X1053" s="74"/>
      <c r="Y1053" s="74"/>
      <c r="Z1053" s="76"/>
      <c r="AA1053" s="100" t="s">
        <v>5556</v>
      </c>
      <c r="AB1053" s="62" t="s">
        <v>61</v>
      </c>
      <c r="AC1053" s="63" t="s">
        <v>61</v>
      </c>
      <c r="AD1053" s="64" t="s">
        <v>61</v>
      </c>
      <c r="AE1053" s="64" t="s">
        <v>61</v>
      </c>
      <c r="AF1053" s="63" t="s">
        <v>61</v>
      </c>
      <c r="AG1053" s="63" t="s">
        <v>61</v>
      </c>
      <c r="AH1053" s="63" t="s">
        <v>61</v>
      </c>
      <c r="AI1053" s="65" t="s">
        <v>61</v>
      </c>
      <c r="AJ1053" s="66" t="s">
        <v>61</v>
      </c>
      <c r="AK1053" s="60"/>
    </row>
    <row r="1054" ht="24.0" customHeight="1">
      <c r="A1054" s="35"/>
      <c r="B1054" s="36">
        <v>1.0</v>
      </c>
      <c r="C1054" s="37" t="str">
        <f>IFERROR(__xludf.DUMMYFUNCTION("""COMPUTED_VALUE"""),"Hunter Mishock (XX) - '27 OF PA")</f>
        <v>Hunter Mishock (XX) - '27 OF PA</v>
      </c>
      <c r="D1054" s="38" t="s">
        <v>5557</v>
      </c>
      <c r="E1054" s="39" t="s">
        <v>103</v>
      </c>
      <c r="F1054" s="118">
        <v>45865.0</v>
      </c>
      <c r="G1054" s="113" t="s">
        <v>1470</v>
      </c>
      <c r="H1054" s="42" t="s">
        <v>822</v>
      </c>
      <c r="I1054" s="43" t="s">
        <v>5558</v>
      </c>
      <c r="J1054" s="43">
        <v>2027.0</v>
      </c>
      <c r="K1054" s="43" t="s">
        <v>410</v>
      </c>
      <c r="L1054" s="43" t="s">
        <v>5559</v>
      </c>
      <c r="M1054" s="43" t="s">
        <v>103</v>
      </c>
      <c r="N1054" s="117"/>
      <c r="O1054" s="43" t="s">
        <v>1550</v>
      </c>
      <c r="P1054" s="43" t="s">
        <v>5560</v>
      </c>
      <c r="Q1054" s="43" t="s">
        <v>240</v>
      </c>
      <c r="R1054" s="43" t="s">
        <v>5561</v>
      </c>
      <c r="S1054" s="44"/>
      <c r="T1054" s="39">
        <v>4.4</v>
      </c>
      <c r="U1054" s="39"/>
      <c r="V1054" s="39" t="s">
        <v>5562</v>
      </c>
      <c r="W1054" s="39" t="s">
        <v>2821</v>
      </c>
      <c r="X1054" s="81"/>
      <c r="Y1054" s="81"/>
      <c r="Z1054" s="82"/>
      <c r="AA1054" s="109"/>
      <c r="AB1054" s="48" t="s">
        <v>5563</v>
      </c>
      <c r="AC1054" s="68" t="s">
        <v>5564</v>
      </c>
      <c r="AD1054" s="69">
        <v>4.55</v>
      </c>
      <c r="AE1054" s="69" t="s">
        <v>5565</v>
      </c>
      <c r="AF1054" s="68" t="s">
        <v>5565</v>
      </c>
      <c r="AG1054" s="68" t="s">
        <v>81</v>
      </c>
      <c r="AH1054" s="68" t="s">
        <v>81</v>
      </c>
      <c r="AI1054" s="70" t="s">
        <v>81</v>
      </c>
      <c r="AJ1054" s="49" t="s">
        <v>61</v>
      </c>
      <c r="AK1054" s="46"/>
    </row>
    <row r="1055" ht="24.0" customHeight="1">
      <c r="A1055" s="35"/>
      <c r="B1055" s="36">
        <v>1.0</v>
      </c>
      <c r="C1055" s="37" t="str">
        <f>IFERROR(__xludf.DUMMYFUNCTION("""COMPUTED_VALUE"""),"Keith Mitchell (XX) - '27 OF KY")</f>
        <v>Keith Mitchell (XX) - '27 OF KY</v>
      </c>
      <c r="D1055" s="38" t="s">
        <v>5566</v>
      </c>
      <c r="E1055" s="51" t="s">
        <v>103</v>
      </c>
      <c r="F1055" s="119">
        <v>45865.0</v>
      </c>
      <c r="G1055" s="116" t="s">
        <v>1430</v>
      </c>
      <c r="H1055" s="54" t="s">
        <v>5567</v>
      </c>
      <c r="I1055" s="55" t="s">
        <v>5568</v>
      </c>
      <c r="J1055" s="55">
        <v>2027.0</v>
      </c>
      <c r="K1055" s="55" t="s">
        <v>410</v>
      </c>
      <c r="L1055" s="55" t="s">
        <v>5569</v>
      </c>
      <c r="M1055" s="55" t="s">
        <v>103</v>
      </c>
      <c r="N1055" s="132"/>
      <c r="O1055" s="55" t="s">
        <v>1550</v>
      </c>
      <c r="P1055" s="55" t="s">
        <v>5570</v>
      </c>
      <c r="Q1055" s="55" t="s">
        <v>543</v>
      </c>
      <c r="R1055" s="55" t="s">
        <v>5571</v>
      </c>
      <c r="S1055" s="58"/>
      <c r="T1055" s="51">
        <v>4.0</v>
      </c>
      <c r="U1055" s="51"/>
      <c r="V1055" s="51" t="s">
        <v>5572</v>
      </c>
      <c r="W1055" s="51" t="s">
        <v>2821</v>
      </c>
      <c r="X1055" s="74"/>
      <c r="Y1055" s="74"/>
      <c r="Z1055" s="76"/>
      <c r="AA1055" s="134"/>
      <c r="AB1055" s="62" t="s">
        <v>5573</v>
      </c>
      <c r="AC1055" s="63" t="s">
        <v>5574</v>
      </c>
      <c r="AD1055" s="64" t="s">
        <v>5575</v>
      </c>
      <c r="AE1055" s="64" t="s">
        <v>5576</v>
      </c>
      <c r="AF1055" s="63" t="s">
        <v>60</v>
      </c>
      <c r="AG1055" s="63" t="s">
        <v>60</v>
      </c>
      <c r="AH1055" s="63" t="s">
        <v>5577</v>
      </c>
      <c r="AI1055" s="65" t="s">
        <v>81</v>
      </c>
      <c r="AJ1055" s="66" t="s">
        <v>61</v>
      </c>
      <c r="AK1055" s="60"/>
    </row>
    <row r="1056" ht="24.0" customHeight="1">
      <c r="A1056" s="35"/>
      <c r="B1056" s="36">
        <v>1.0</v>
      </c>
      <c r="C1056" s="37" t="str">
        <f>IFERROR(__xludf.DUMMYFUNCTION("""COMPUTED_VALUE"""),"Jameson Moan (XX) - '27 C FL")</f>
        <v>Jameson Moan (XX) - '27 C FL</v>
      </c>
      <c r="D1056" s="38" t="s">
        <v>5578</v>
      </c>
      <c r="E1056" s="39" t="s">
        <v>109</v>
      </c>
      <c r="F1056" s="118">
        <v>45865.0</v>
      </c>
      <c r="G1056" s="113" t="s">
        <v>1395</v>
      </c>
      <c r="H1056" s="42" t="s">
        <v>921</v>
      </c>
      <c r="I1056" s="43" t="s">
        <v>4259</v>
      </c>
      <c r="J1056" s="43">
        <v>2027.0</v>
      </c>
      <c r="K1056" s="43" t="s">
        <v>410</v>
      </c>
      <c r="L1056" s="43" t="s">
        <v>5579</v>
      </c>
      <c r="M1056" s="43" t="s">
        <v>109</v>
      </c>
      <c r="N1056" s="117"/>
      <c r="O1056" s="43" t="s">
        <v>1550</v>
      </c>
      <c r="P1056" s="43" t="s">
        <v>5580</v>
      </c>
      <c r="Q1056" s="43" t="s">
        <v>66</v>
      </c>
      <c r="R1056" s="43" t="s">
        <v>5581</v>
      </c>
      <c r="S1056" s="44"/>
      <c r="T1056" s="39"/>
      <c r="U1056" s="39"/>
      <c r="V1056" s="39" t="s">
        <v>5582</v>
      </c>
      <c r="W1056" s="39" t="s">
        <v>2821</v>
      </c>
      <c r="X1056" s="81"/>
      <c r="Y1056" s="81"/>
      <c r="Z1056" s="82"/>
      <c r="AA1056" s="99"/>
      <c r="AB1056" s="48" t="s">
        <v>5583</v>
      </c>
      <c r="AC1056" s="68" t="s">
        <v>5584</v>
      </c>
      <c r="AD1056" s="69">
        <v>3.8</v>
      </c>
      <c r="AE1056" s="69" t="s">
        <v>5585</v>
      </c>
      <c r="AF1056" s="68" t="s">
        <v>60</v>
      </c>
      <c r="AG1056" s="68"/>
      <c r="AH1056" s="68"/>
      <c r="AI1056" s="70"/>
      <c r="AJ1056" s="49" t="s">
        <v>61</v>
      </c>
      <c r="AK1056" s="46"/>
    </row>
    <row r="1057" ht="24.0" customHeight="1">
      <c r="A1057" s="35"/>
      <c r="B1057" s="36">
        <v>1.0</v>
      </c>
      <c r="C1057" s="37" t="str">
        <f>IFERROR(__xludf.DUMMYFUNCTION("""COMPUTED_VALUE"""),"Finn Moore (XX) - '27 3B KS")</f>
        <v>Finn Moore (XX) - '27 3B KS</v>
      </c>
      <c r="D1057" s="38" t="s">
        <v>5586</v>
      </c>
      <c r="E1057" s="51" t="s">
        <v>48</v>
      </c>
      <c r="F1057" s="119">
        <v>45865.0</v>
      </c>
      <c r="G1057" s="116" t="s">
        <v>1395</v>
      </c>
      <c r="H1057" s="54" t="s">
        <v>768</v>
      </c>
      <c r="I1057" s="55" t="s">
        <v>2049</v>
      </c>
      <c r="J1057" s="55">
        <v>2027.0</v>
      </c>
      <c r="K1057" s="55" t="s">
        <v>410</v>
      </c>
      <c r="L1057" s="55" t="s">
        <v>2154</v>
      </c>
      <c r="M1057" s="55" t="s">
        <v>1519</v>
      </c>
      <c r="N1057" s="132"/>
      <c r="O1057" s="55" t="s">
        <v>1550</v>
      </c>
      <c r="P1057" s="55" t="s">
        <v>5587</v>
      </c>
      <c r="Q1057" s="55" t="s">
        <v>112</v>
      </c>
      <c r="R1057" s="55" t="s">
        <v>5588</v>
      </c>
      <c r="S1057" s="58"/>
      <c r="T1057" s="51">
        <v>4.0</v>
      </c>
      <c r="U1057" s="51"/>
      <c r="V1057" s="51" t="s">
        <v>5589</v>
      </c>
      <c r="W1057" s="51" t="s">
        <v>2821</v>
      </c>
      <c r="X1057" s="74"/>
      <c r="Y1057" s="74"/>
      <c r="Z1057" s="76"/>
      <c r="AA1057" s="134"/>
      <c r="AB1057" s="62" t="s">
        <v>61</v>
      </c>
      <c r="AC1057" s="63" t="s">
        <v>61</v>
      </c>
      <c r="AD1057" s="64" t="s">
        <v>61</v>
      </c>
      <c r="AE1057" s="64" t="s">
        <v>61</v>
      </c>
      <c r="AF1057" s="63" t="s">
        <v>61</v>
      </c>
      <c r="AG1057" s="63" t="s">
        <v>61</v>
      </c>
      <c r="AH1057" s="63" t="s">
        <v>61</v>
      </c>
      <c r="AI1057" s="65" t="s">
        <v>61</v>
      </c>
      <c r="AJ1057" s="66" t="s">
        <v>61</v>
      </c>
      <c r="AK1057" s="60"/>
    </row>
    <row r="1058" ht="24.0" customHeight="1">
      <c r="A1058" s="35"/>
      <c r="B1058" s="36">
        <v>1.0</v>
      </c>
      <c r="C1058" s="37" t="str">
        <f>IFERROR(__xludf.DUMMYFUNCTION("""COMPUTED_VALUE"""),"Pratt Morley (XX) - '27 RHP UT")</f>
        <v>Pratt Morley (XX) - '27 RHP UT</v>
      </c>
      <c r="D1058" s="38" t="s">
        <v>5590</v>
      </c>
      <c r="E1058" s="39" t="s">
        <v>63</v>
      </c>
      <c r="F1058" s="118">
        <v>45945.0</v>
      </c>
      <c r="G1058" s="113"/>
      <c r="H1058" s="42" t="s">
        <v>5591</v>
      </c>
      <c r="I1058" s="43" t="s">
        <v>5592</v>
      </c>
      <c r="J1058" s="43">
        <v>2027.0</v>
      </c>
      <c r="K1058" s="43" t="s">
        <v>410</v>
      </c>
      <c r="L1058" s="43" t="s">
        <v>5593</v>
      </c>
      <c r="M1058" s="43" t="s">
        <v>63</v>
      </c>
      <c r="N1058" s="117"/>
      <c r="O1058" s="43" t="s">
        <v>1550</v>
      </c>
      <c r="P1058" s="43" t="s">
        <v>5594</v>
      </c>
      <c r="Q1058" s="43" t="s">
        <v>636</v>
      </c>
      <c r="R1058" s="43" t="s">
        <v>5594</v>
      </c>
      <c r="S1058" s="44" t="s">
        <v>1493</v>
      </c>
      <c r="T1058" s="39"/>
      <c r="U1058" s="39"/>
      <c r="V1058" s="39"/>
      <c r="W1058" s="39" t="s">
        <v>1571</v>
      </c>
      <c r="X1058" s="81"/>
      <c r="Y1058" s="81"/>
      <c r="Z1058" s="82"/>
      <c r="AA1058" s="99"/>
      <c r="AB1058" s="48" t="s">
        <v>61</v>
      </c>
      <c r="AC1058" s="68" t="s">
        <v>61</v>
      </c>
      <c r="AD1058" s="69" t="s">
        <v>61</v>
      </c>
      <c r="AE1058" s="69" t="s">
        <v>61</v>
      </c>
      <c r="AF1058" s="68" t="s">
        <v>61</v>
      </c>
      <c r="AG1058" s="68" t="s">
        <v>61</v>
      </c>
      <c r="AH1058" s="68" t="s">
        <v>61</v>
      </c>
      <c r="AI1058" s="70" t="s">
        <v>61</v>
      </c>
      <c r="AJ1058" s="49" t="s">
        <v>61</v>
      </c>
      <c r="AK1058" s="46"/>
    </row>
    <row r="1059" ht="24.0" customHeight="1">
      <c r="A1059" s="35"/>
      <c r="B1059" s="36">
        <v>1.0</v>
      </c>
      <c r="C1059" s="37" t="str">
        <f>IFERROR(__xludf.DUMMYFUNCTION("""COMPUTED_VALUE"""),"Mac Morris (XX) - '27 INF SC")</f>
        <v>Mac Morris (XX) - '27 INF SC</v>
      </c>
      <c r="D1059" s="38" t="s">
        <v>5595</v>
      </c>
      <c r="E1059" s="51" t="s">
        <v>48</v>
      </c>
      <c r="F1059" s="119">
        <v>45865.0</v>
      </c>
      <c r="G1059" s="116" t="s">
        <v>1470</v>
      </c>
      <c r="H1059" s="54" t="s">
        <v>1051</v>
      </c>
      <c r="I1059" s="55" t="s">
        <v>2958</v>
      </c>
      <c r="J1059" s="55">
        <v>2027.0</v>
      </c>
      <c r="K1059" s="55" t="s">
        <v>410</v>
      </c>
      <c r="L1059" s="55" t="s">
        <v>4961</v>
      </c>
      <c r="M1059" s="55" t="s">
        <v>48</v>
      </c>
      <c r="N1059" s="132"/>
      <c r="O1059" s="55" t="s">
        <v>1550</v>
      </c>
      <c r="P1059" s="55" t="s">
        <v>5596</v>
      </c>
      <c r="Q1059" s="55" t="s">
        <v>286</v>
      </c>
      <c r="R1059" s="55" t="s">
        <v>482</v>
      </c>
      <c r="S1059" s="58"/>
      <c r="T1059" s="51"/>
      <c r="U1059" s="51"/>
      <c r="V1059" s="51" t="s">
        <v>5597</v>
      </c>
      <c r="W1059" s="51" t="s">
        <v>2821</v>
      </c>
      <c r="X1059" s="74"/>
      <c r="Y1059" s="74"/>
      <c r="Z1059" s="76"/>
      <c r="AA1059" s="100"/>
      <c r="AB1059" s="62" t="s">
        <v>61</v>
      </c>
      <c r="AC1059" s="63" t="s">
        <v>61</v>
      </c>
      <c r="AD1059" s="64" t="s">
        <v>61</v>
      </c>
      <c r="AE1059" s="64" t="s">
        <v>61</v>
      </c>
      <c r="AF1059" s="63" t="s">
        <v>61</v>
      </c>
      <c r="AG1059" s="63" t="s">
        <v>61</v>
      </c>
      <c r="AH1059" s="63" t="s">
        <v>61</v>
      </c>
      <c r="AI1059" s="65" t="s">
        <v>61</v>
      </c>
      <c r="AJ1059" s="66" t="s">
        <v>61</v>
      </c>
      <c r="AK1059" s="60"/>
    </row>
    <row r="1060" ht="24.0" customHeight="1">
      <c r="A1060" s="35"/>
      <c r="B1060" s="36">
        <v>1.0</v>
      </c>
      <c r="C1060" s="37" t="str">
        <f>IFERROR(__xludf.DUMMYFUNCTION("""COMPUTED_VALUE"""),"Cody Moseman (XX) - '27 RHP CA")</f>
        <v>Cody Moseman (XX) - '27 RHP CA</v>
      </c>
      <c r="D1060" s="38" t="s">
        <v>5598</v>
      </c>
      <c r="E1060" s="39" t="s">
        <v>63</v>
      </c>
      <c r="F1060" s="118">
        <v>45869.0</v>
      </c>
      <c r="G1060" s="113" t="s">
        <v>1395</v>
      </c>
      <c r="H1060" s="42" t="s">
        <v>3469</v>
      </c>
      <c r="I1060" s="43" t="s">
        <v>5599</v>
      </c>
      <c r="J1060" s="43">
        <v>2027.0</v>
      </c>
      <c r="K1060" s="43" t="s">
        <v>410</v>
      </c>
      <c r="L1060" s="43" t="s">
        <v>2490</v>
      </c>
      <c r="M1060" s="43" t="s">
        <v>63</v>
      </c>
      <c r="N1060" s="117"/>
      <c r="O1060" s="43" t="s">
        <v>1550</v>
      </c>
      <c r="P1060" s="43" t="s">
        <v>1999</v>
      </c>
      <c r="Q1060" s="43" t="s">
        <v>52</v>
      </c>
      <c r="R1060" s="43" t="s">
        <v>5600</v>
      </c>
      <c r="S1060" s="44"/>
      <c r="T1060" s="39">
        <v>4.0</v>
      </c>
      <c r="U1060" s="39"/>
      <c r="V1060" s="39" t="s">
        <v>5601</v>
      </c>
      <c r="W1060" s="39"/>
      <c r="X1060" s="81"/>
      <c r="Y1060" s="81"/>
      <c r="Z1060" s="82"/>
      <c r="AA1060" s="109" t="s">
        <v>5602</v>
      </c>
      <c r="AB1060" s="48" t="s">
        <v>61</v>
      </c>
      <c r="AC1060" s="68" t="s">
        <v>61</v>
      </c>
      <c r="AD1060" s="69" t="s">
        <v>61</v>
      </c>
      <c r="AE1060" s="69" t="s">
        <v>61</v>
      </c>
      <c r="AF1060" s="68" t="s">
        <v>61</v>
      </c>
      <c r="AG1060" s="68" t="s">
        <v>61</v>
      </c>
      <c r="AH1060" s="68" t="s">
        <v>61</v>
      </c>
      <c r="AI1060" s="70" t="s">
        <v>61</v>
      </c>
      <c r="AJ1060" s="49" t="s">
        <v>61</v>
      </c>
      <c r="AK1060" s="46"/>
    </row>
    <row r="1061" ht="24.0" customHeight="1">
      <c r="A1061" s="35"/>
      <c r="B1061" s="36">
        <v>1.0</v>
      </c>
      <c r="C1061" s="37" t="str">
        <f>IFERROR(__xludf.DUMMYFUNCTION("""COMPUTED_VALUE"""),"Jack Munson (XX) - '27 OF UT")</f>
        <v>Jack Munson (XX) - '27 OF UT</v>
      </c>
      <c r="D1061" s="38" t="s">
        <v>5603</v>
      </c>
      <c r="E1061" s="51" t="s">
        <v>103</v>
      </c>
      <c r="F1061" s="119">
        <v>45865.0</v>
      </c>
      <c r="G1061" s="116" t="s">
        <v>1395</v>
      </c>
      <c r="H1061" s="54" t="s">
        <v>424</v>
      </c>
      <c r="I1061" s="55" t="s">
        <v>5604</v>
      </c>
      <c r="J1061" s="55">
        <v>2027.0</v>
      </c>
      <c r="K1061" s="55" t="s">
        <v>410</v>
      </c>
      <c r="L1061" s="55" t="s">
        <v>5605</v>
      </c>
      <c r="M1061" s="55" t="s">
        <v>103</v>
      </c>
      <c r="N1061" s="132"/>
      <c r="O1061" s="55" t="s">
        <v>1989</v>
      </c>
      <c r="P1061" s="55" t="s">
        <v>5052</v>
      </c>
      <c r="Q1061" s="55" t="s">
        <v>636</v>
      </c>
      <c r="R1061" s="55" t="s">
        <v>5053</v>
      </c>
      <c r="S1061" s="58"/>
      <c r="T1061" s="51">
        <v>3.87</v>
      </c>
      <c r="U1061" s="51"/>
      <c r="V1061" s="51" t="s">
        <v>5606</v>
      </c>
      <c r="W1061" s="51" t="s">
        <v>2821</v>
      </c>
      <c r="X1061" s="74"/>
      <c r="Y1061" s="74"/>
      <c r="Z1061" s="76"/>
      <c r="AA1061" s="100"/>
      <c r="AB1061" s="62" t="s">
        <v>5607</v>
      </c>
      <c r="AC1061" s="63" t="s">
        <v>5608</v>
      </c>
      <c r="AD1061" s="64" t="s">
        <v>5609</v>
      </c>
      <c r="AE1061" s="64" t="s">
        <v>5610</v>
      </c>
      <c r="AF1061" s="63" t="s">
        <v>60</v>
      </c>
      <c r="AG1061" s="63" t="s">
        <v>81</v>
      </c>
      <c r="AH1061" s="63" t="s">
        <v>5611</v>
      </c>
      <c r="AI1061" s="65" t="s">
        <v>81</v>
      </c>
      <c r="AJ1061" s="66" t="s">
        <v>61</v>
      </c>
      <c r="AK1061" s="60"/>
    </row>
    <row r="1062" ht="24.0" customHeight="1">
      <c r="A1062" s="35"/>
      <c r="B1062" s="36">
        <v>1.0</v>
      </c>
      <c r="C1062" s="37" t="str">
        <f>IFERROR(__xludf.DUMMYFUNCTION("""COMPUTED_VALUE"""),"Colin Murphy (XX) - '27 1B AZ")</f>
        <v>Colin Murphy (XX) - '27 1B AZ</v>
      </c>
      <c r="D1062" s="38" t="s">
        <v>5612</v>
      </c>
      <c r="E1062" s="39" t="s">
        <v>48</v>
      </c>
      <c r="F1062" s="118">
        <v>45869.0</v>
      </c>
      <c r="G1062" s="113" t="s">
        <v>1395</v>
      </c>
      <c r="H1062" s="42" t="s">
        <v>673</v>
      </c>
      <c r="I1062" s="43" t="s">
        <v>5613</v>
      </c>
      <c r="J1062" s="43">
        <v>2027.0</v>
      </c>
      <c r="K1062" s="43" t="s">
        <v>410</v>
      </c>
      <c r="L1062" s="43" t="s">
        <v>5614</v>
      </c>
      <c r="M1062" s="43" t="s">
        <v>1972</v>
      </c>
      <c r="N1062" s="117" t="s">
        <v>103</v>
      </c>
      <c r="O1062" s="43" t="s">
        <v>1550</v>
      </c>
      <c r="P1062" s="43" t="s">
        <v>3630</v>
      </c>
      <c r="Q1062" s="43" t="s">
        <v>319</v>
      </c>
      <c r="R1062" s="43" t="s">
        <v>5615</v>
      </c>
      <c r="S1062" s="44"/>
      <c r="T1062" s="39">
        <v>3.89</v>
      </c>
      <c r="U1062" s="39"/>
      <c r="V1062" s="39" t="s">
        <v>5616</v>
      </c>
      <c r="W1062" s="39"/>
      <c r="X1062" s="81"/>
      <c r="Y1062" s="81"/>
      <c r="Z1062" s="82"/>
      <c r="AA1062" s="99" t="s">
        <v>5617</v>
      </c>
      <c r="AB1062" s="48" t="s">
        <v>61</v>
      </c>
      <c r="AC1062" s="68" t="s">
        <v>61</v>
      </c>
      <c r="AD1062" s="69" t="s">
        <v>61</v>
      </c>
      <c r="AE1062" s="69" t="s">
        <v>61</v>
      </c>
      <c r="AF1062" s="68" t="s">
        <v>61</v>
      </c>
      <c r="AG1062" s="68" t="s">
        <v>61</v>
      </c>
      <c r="AH1062" s="68" t="s">
        <v>61</v>
      </c>
      <c r="AI1062" s="70" t="s">
        <v>61</v>
      </c>
      <c r="AJ1062" s="49" t="s">
        <v>61</v>
      </c>
      <c r="AK1062" s="46"/>
    </row>
    <row r="1063" ht="24.0" customHeight="1">
      <c r="A1063" s="35"/>
      <c r="B1063" s="36">
        <v>1.0</v>
      </c>
      <c r="C1063" s="37" t="str">
        <f>IFERROR(__xludf.DUMMYFUNCTION("""COMPUTED_VALUE"""),"Connor Murray (XX) - '27 RHP PA")</f>
        <v>Connor Murray (XX) - '27 RHP PA</v>
      </c>
      <c r="D1063" s="38" t="s">
        <v>5618</v>
      </c>
      <c r="E1063" s="51" t="s">
        <v>63</v>
      </c>
      <c r="F1063" s="119"/>
      <c r="G1063" s="116" t="s">
        <v>1395</v>
      </c>
      <c r="H1063" s="54" t="s">
        <v>682</v>
      </c>
      <c r="I1063" s="55" t="s">
        <v>5619</v>
      </c>
      <c r="J1063" s="55">
        <v>2027.0</v>
      </c>
      <c r="K1063" s="55" t="s">
        <v>410</v>
      </c>
      <c r="L1063" s="55" t="s">
        <v>2018</v>
      </c>
      <c r="M1063" s="55" t="s">
        <v>63</v>
      </c>
      <c r="N1063" s="132"/>
      <c r="O1063" s="55" t="s">
        <v>1550</v>
      </c>
      <c r="P1063" s="55"/>
      <c r="Q1063" s="55" t="s">
        <v>240</v>
      </c>
      <c r="R1063" s="55" t="s">
        <v>5620</v>
      </c>
      <c r="S1063" s="58" t="s">
        <v>5621</v>
      </c>
      <c r="T1063" s="51"/>
      <c r="U1063" s="51"/>
      <c r="V1063" s="51"/>
      <c r="W1063" s="51"/>
      <c r="X1063" s="74"/>
      <c r="Y1063" s="74"/>
      <c r="Z1063" s="76"/>
      <c r="AA1063" s="197"/>
      <c r="AB1063" s="62" t="s">
        <v>61</v>
      </c>
      <c r="AC1063" s="63" t="s">
        <v>61</v>
      </c>
      <c r="AD1063" s="64" t="s">
        <v>61</v>
      </c>
      <c r="AE1063" s="64" t="s">
        <v>61</v>
      </c>
      <c r="AF1063" s="63" t="s">
        <v>61</v>
      </c>
      <c r="AG1063" s="63" t="s">
        <v>61</v>
      </c>
      <c r="AH1063" s="63" t="s">
        <v>61</v>
      </c>
      <c r="AI1063" s="65" t="s">
        <v>61</v>
      </c>
      <c r="AJ1063" s="66" t="s">
        <v>61</v>
      </c>
      <c r="AK1063" s="60"/>
    </row>
    <row r="1064" ht="24.0" customHeight="1">
      <c r="A1064" s="35"/>
      <c r="B1064" s="36">
        <v>1.0</v>
      </c>
      <c r="C1064" s="37" t="str">
        <f>IFERROR(__xludf.DUMMYFUNCTION("""COMPUTED_VALUE"""),"Ryan Neumann (XX) - '27 RHP CO")</f>
        <v>Ryan Neumann (XX) - '27 RHP CO</v>
      </c>
      <c r="D1064" s="38" t="s">
        <v>5622</v>
      </c>
      <c r="E1064" s="39" t="s">
        <v>63</v>
      </c>
      <c r="F1064" s="118">
        <v>45865.0</v>
      </c>
      <c r="G1064" s="113" t="s">
        <v>1430</v>
      </c>
      <c r="H1064" s="42" t="s">
        <v>1206</v>
      </c>
      <c r="I1064" s="43" t="s">
        <v>5623</v>
      </c>
      <c r="J1064" s="43">
        <v>2027.0</v>
      </c>
      <c r="K1064" s="43" t="s">
        <v>410</v>
      </c>
      <c r="L1064" s="43" t="s">
        <v>1981</v>
      </c>
      <c r="M1064" s="43" t="s">
        <v>63</v>
      </c>
      <c r="N1064" s="117"/>
      <c r="O1064" s="43" t="s">
        <v>1550</v>
      </c>
      <c r="P1064" s="43" t="s">
        <v>5624</v>
      </c>
      <c r="Q1064" s="43" t="s">
        <v>174</v>
      </c>
      <c r="R1064" s="43" t="s">
        <v>1849</v>
      </c>
      <c r="S1064" s="44"/>
      <c r="T1064" s="39">
        <v>3.9</v>
      </c>
      <c r="U1064" s="39"/>
      <c r="V1064" s="39" t="s">
        <v>5625</v>
      </c>
      <c r="W1064" s="39" t="s">
        <v>2821</v>
      </c>
      <c r="X1064" s="81"/>
      <c r="Y1064" s="81"/>
      <c r="Z1064" s="82"/>
      <c r="AA1064" s="198"/>
      <c r="AB1064" s="48" t="s">
        <v>5626</v>
      </c>
      <c r="AC1064" s="68" t="s">
        <v>5627</v>
      </c>
      <c r="AD1064" s="69" t="s">
        <v>5628</v>
      </c>
      <c r="AE1064" s="69" t="s">
        <v>400</v>
      </c>
      <c r="AF1064" s="68" t="s">
        <v>5629</v>
      </c>
      <c r="AG1064" s="68" t="s">
        <v>400</v>
      </c>
      <c r="AH1064" s="68" t="s">
        <v>400</v>
      </c>
      <c r="AI1064" s="70" t="s">
        <v>400</v>
      </c>
      <c r="AJ1064" s="49" t="s">
        <v>61</v>
      </c>
      <c r="AK1064" s="46"/>
    </row>
    <row r="1065" ht="24.0" customHeight="1">
      <c r="A1065" s="35"/>
      <c r="B1065" s="36">
        <v>1.0</v>
      </c>
      <c r="C1065" s="37" t="str">
        <f>IFERROR(__xludf.DUMMYFUNCTION("""COMPUTED_VALUE"""),"Peter Nickson (XX) - '27 SS MO")</f>
        <v>Peter Nickson (XX) - '27 SS MO</v>
      </c>
      <c r="D1065" s="38" t="s">
        <v>5630</v>
      </c>
      <c r="E1065" s="51" t="s">
        <v>48</v>
      </c>
      <c r="F1065" s="119"/>
      <c r="G1065" s="116" t="s">
        <v>1430</v>
      </c>
      <c r="H1065" s="54" t="s">
        <v>1141</v>
      </c>
      <c r="I1065" s="55" t="s">
        <v>5631</v>
      </c>
      <c r="J1065" s="55">
        <v>2027.0</v>
      </c>
      <c r="K1065" s="55" t="s">
        <v>410</v>
      </c>
      <c r="L1065" s="55" t="s">
        <v>2067</v>
      </c>
      <c r="M1065" s="55" t="s">
        <v>1398</v>
      </c>
      <c r="N1065" s="132"/>
      <c r="O1065" s="55"/>
      <c r="P1065" s="55"/>
      <c r="Q1065" s="55" t="s">
        <v>585</v>
      </c>
      <c r="R1065" s="55" t="s">
        <v>5632</v>
      </c>
      <c r="S1065" s="58" t="s">
        <v>113</v>
      </c>
      <c r="T1065" s="51">
        <v>3.9</v>
      </c>
      <c r="U1065" s="51"/>
      <c r="V1065" s="51"/>
      <c r="W1065" s="51"/>
      <c r="X1065" s="74"/>
      <c r="Y1065" s="74"/>
      <c r="Z1065" s="76"/>
      <c r="AA1065" s="197" t="s">
        <v>5633</v>
      </c>
      <c r="AB1065" s="62" t="s">
        <v>5634</v>
      </c>
      <c r="AC1065" s="63" t="s">
        <v>5635</v>
      </c>
      <c r="AD1065" s="64">
        <v>4.09</v>
      </c>
      <c r="AE1065" s="64" t="s">
        <v>5636</v>
      </c>
      <c r="AF1065" s="63" t="s">
        <v>5637</v>
      </c>
      <c r="AG1065" s="63" t="s">
        <v>400</v>
      </c>
      <c r="AH1065" s="63" t="s">
        <v>400</v>
      </c>
      <c r="AI1065" s="65" t="s">
        <v>400</v>
      </c>
      <c r="AJ1065" s="66" t="s">
        <v>61</v>
      </c>
      <c r="AK1065" s="60"/>
    </row>
    <row r="1066" ht="24.0" customHeight="1">
      <c r="A1066" s="35"/>
      <c r="B1066" s="36">
        <v>1.0</v>
      </c>
      <c r="C1066" s="37" t="str">
        <f>IFERROR(__xludf.DUMMYFUNCTION("""COMPUTED_VALUE"""),"Andrew Noe (XX) - '27 SS ")</f>
        <v>Andrew Noe (XX) - '27 SS </v>
      </c>
      <c r="D1066" s="38" t="s">
        <v>5638</v>
      </c>
      <c r="E1066" s="39" t="s">
        <v>48</v>
      </c>
      <c r="F1066" s="118"/>
      <c r="G1066" s="113"/>
      <c r="H1066" s="42" t="s">
        <v>457</v>
      </c>
      <c r="I1066" s="43" t="s">
        <v>5639</v>
      </c>
      <c r="J1066" s="43">
        <v>2027.0</v>
      </c>
      <c r="K1066" s="43" t="s">
        <v>410</v>
      </c>
      <c r="L1066" s="43" t="s">
        <v>5530</v>
      </c>
      <c r="M1066" s="43" t="s">
        <v>1398</v>
      </c>
      <c r="N1066" s="117"/>
      <c r="O1066" s="43" t="s">
        <v>1989</v>
      </c>
      <c r="P1066" s="43" t="s">
        <v>5640</v>
      </c>
      <c r="Q1066" s="43"/>
      <c r="R1066" s="43" t="s">
        <v>5641</v>
      </c>
      <c r="S1066" s="44" t="s">
        <v>2724</v>
      </c>
      <c r="T1066" s="39"/>
      <c r="U1066" s="39"/>
      <c r="V1066" s="39"/>
      <c r="W1066" s="39" t="s">
        <v>1724</v>
      </c>
      <c r="X1066" s="81"/>
      <c r="Y1066" s="81"/>
      <c r="Z1066" s="82"/>
      <c r="AA1066" s="198"/>
      <c r="AB1066" s="48" t="s">
        <v>61</v>
      </c>
      <c r="AC1066" s="68" t="s">
        <v>61</v>
      </c>
      <c r="AD1066" s="69" t="s">
        <v>61</v>
      </c>
      <c r="AE1066" s="69" t="s">
        <v>61</v>
      </c>
      <c r="AF1066" s="68" t="s">
        <v>61</v>
      </c>
      <c r="AG1066" s="68" t="s">
        <v>61</v>
      </c>
      <c r="AH1066" s="68" t="s">
        <v>61</v>
      </c>
      <c r="AI1066" s="70" t="s">
        <v>61</v>
      </c>
      <c r="AJ1066" s="49" t="s">
        <v>61</v>
      </c>
      <c r="AK1066" s="46"/>
    </row>
    <row r="1067" ht="24.0" customHeight="1">
      <c r="A1067" s="35"/>
      <c r="B1067" s="36">
        <v>1.0</v>
      </c>
      <c r="C1067" s="37" t="str">
        <f>IFERROR(__xludf.DUMMYFUNCTION("""COMPUTED_VALUE"""),"Lincoln Norris (XX) - '27 MINF IA")</f>
        <v>Lincoln Norris (XX) - '27 MINF IA</v>
      </c>
      <c r="D1067" s="38" t="s">
        <v>5642</v>
      </c>
      <c r="E1067" s="51" t="s">
        <v>48</v>
      </c>
      <c r="F1067" s="119">
        <v>45865.0</v>
      </c>
      <c r="G1067" s="116" t="s">
        <v>1395</v>
      </c>
      <c r="H1067" s="54" t="s">
        <v>881</v>
      </c>
      <c r="I1067" s="55" t="s">
        <v>5643</v>
      </c>
      <c r="J1067" s="55">
        <v>2027.0</v>
      </c>
      <c r="K1067" s="55" t="s">
        <v>410</v>
      </c>
      <c r="L1067" s="55" t="s">
        <v>2018</v>
      </c>
      <c r="M1067" s="55" t="s">
        <v>51</v>
      </c>
      <c r="N1067" s="132"/>
      <c r="O1067" s="55" t="s">
        <v>1550</v>
      </c>
      <c r="P1067" s="55" t="s">
        <v>5644</v>
      </c>
      <c r="Q1067" s="55" t="s">
        <v>360</v>
      </c>
      <c r="R1067" s="55" t="s">
        <v>5645</v>
      </c>
      <c r="S1067" s="58"/>
      <c r="T1067" s="51">
        <v>4.0</v>
      </c>
      <c r="U1067" s="51"/>
      <c r="V1067" s="51" t="s">
        <v>5646</v>
      </c>
      <c r="W1067" s="51" t="s">
        <v>2821</v>
      </c>
      <c r="X1067" s="74"/>
      <c r="Y1067" s="74"/>
      <c r="Z1067" s="76"/>
      <c r="AA1067" s="197"/>
      <c r="AB1067" s="62" t="s">
        <v>61</v>
      </c>
      <c r="AC1067" s="63" t="s">
        <v>61</v>
      </c>
      <c r="AD1067" s="64" t="s">
        <v>61</v>
      </c>
      <c r="AE1067" s="64" t="s">
        <v>61</v>
      </c>
      <c r="AF1067" s="63" t="s">
        <v>61</v>
      </c>
      <c r="AG1067" s="63" t="s">
        <v>61</v>
      </c>
      <c r="AH1067" s="63" t="s">
        <v>61</v>
      </c>
      <c r="AI1067" s="65" t="s">
        <v>61</v>
      </c>
      <c r="AJ1067" s="66" t="s">
        <v>61</v>
      </c>
      <c r="AK1067" s="60"/>
    </row>
    <row r="1068" ht="24.0" customHeight="1">
      <c r="A1068" s="35"/>
      <c r="B1068" s="36">
        <v>1.0</v>
      </c>
      <c r="C1068" s="37" t="str">
        <f>IFERROR(__xludf.DUMMYFUNCTION("""COMPUTED_VALUE"""),"Finnian O'Loughlin (XX) - '27 COF NJ")</f>
        <v>Finnian O'Loughlin (XX) - '27 COF NJ</v>
      </c>
      <c r="D1068" s="38" t="s">
        <v>5647</v>
      </c>
      <c r="E1068" s="39" t="s">
        <v>103</v>
      </c>
      <c r="F1068" s="118"/>
      <c r="G1068" s="113" t="s">
        <v>1395</v>
      </c>
      <c r="H1068" s="42" t="s">
        <v>5648</v>
      </c>
      <c r="I1068" s="43" t="s">
        <v>5649</v>
      </c>
      <c r="J1068" s="43">
        <v>2027.0</v>
      </c>
      <c r="K1068" s="43" t="s">
        <v>410</v>
      </c>
      <c r="L1068" s="43"/>
      <c r="M1068" s="43" t="s">
        <v>42</v>
      </c>
      <c r="N1068" s="117" t="s">
        <v>63</v>
      </c>
      <c r="O1068" s="43" t="s">
        <v>1550</v>
      </c>
      <c r="P1068" s="43"/>
      <c r="Q1068" s="43" t="s">
        <v>502</v>
      </c>
      <c r="R1068" s="43" t="s">
        <v>3065</v>
      </c>
      <c r="S1068" s="44" t="s">
        <v>3690</v>
      </c>
      <c r="T1068" s="39"/>
      <c r="U1068" s="39"/>
      <c r="V1068" s="39"/>
      <c r="W1068" s="39"/>
      <c r="X1068" s="81"/>
      <c r="Y1068" s="81"/>
      <c r="Z1068" s="82"/>
      <c r="AA1068" s="109"/>
      <c r="AB1068" s="48" t="s">
        <v>61</v>
      </c>
      <c r="AC1068" s="68" t="s">
        <v>61</v>
      </c>
      <c r="AD1068" s="69" t="s">
        <v>61</v>
      </c>
      <c r="AE1068" s="69" t="s">
        <v>61</v>
      </c>
      <c r="AF1068" s="68" t="s">
        <v>61</v>
      </c>
      <c r="AG1068" s="68" t="s">
        <v>61</v>
      </c>
      <c r="AH1068" s="68" t="s">
        <v>61</v>
      </c>
      <c r="AI1068" s="70" t="s">
        <v>61</v>
      </c>
      <c r="AJ1068" s="49" t="s">
        <v>61</v>
      </c>
      <c r="AK1068" s="46"/>
    </row>
    <row r="1069" ht="24.0" customHeight="1">
      <c r="A1069" s="35"/>
      <c r="B1069" s="36">
        <v>1.0</v>
      </c>
      <c r="C1069" s="37" t="str">
        <f>IFERROR(__xludf.DUMMYFUNCTION("""COMPUTED_VALUE"""),"Grady Openden (XX) - '27 RHP AZ")</f>
        <v>Grady Openden (XX) - '27 RHP AZ</v>
      </c>
      <c r="D1069" s="38" t="s">
        <v>5650</v>
      </c>
      <c r="E1069" s="51" t="s">
        <v>63</v>
      </c>
      <c r="F1069" s="119">
        <v>45865.0</v>
      </c>
      <c r="G1069" s="116" t="s">
        <v>1395</v>
      </c>
      <c r="H1069" s="54" t="s">
        <v>2995</v>
      </c>
      <c r="I1069" s="55" t="s">
        <v>5651</v>
      </c>
      <c r="J1069" s="55">
        <v>2027.0</v>
      </c>
      <c r="K1069" s="55" t="s">
        <v>410</v>
      </c>
      <c r="L1069" s="55" t="s">
        <v>5652</v>
      </c>
      <c r="M1069" s="55" t="s">
        <v>63</v>
      </c>
      <c r="N1069" s="132"/>
      <c r="O1069" s="55" t="s">
        <v>1550</v>
      </c>
      <c r="P1069" s="55" t="s">
        <v>3630</v>
      </c>
      <c r="Q1069" s="55" t="s">
        <v>319</v>
      </c>
      <c r="R1069" s="55" t="s">
        <v>5653</v>
      </c>
      <c r="S1069" s="58"/>
      <c r="T1069" s="51">
        <v>3.77</v>
      </c>
      <c r="U1069" s="51"/>
      <c r="V1069" s="51" t="s">
        <v>5654</v>
      </c>
      <c r="W1069" s="51" t="s">
        <v>2821</v>
      </c>
      <c r="X1069" s="74"/>
      <c r="Y1069" s="74"/>
      <c r="Z1069" s="76"/>
      <c r="AA1069" s="197"/>
      <c r="AB1069" s="62" t="s">
        <v>5655</v>
      </c>
      <c r="AC1069" s="63" t="s">
        <v>5656</v>
      </c>
      <c r="AD1069" s="64" t="s">
        <v>5657</v>
      </c>
      <c r="AE1069" s="64" t="s">
        <v>400</v>
      </c>
      <c r="AF1069" s="63" t="s">
        <v>400</v>
      </c>
      <c r="AG1069" s="63" t="s">
        <v>81</v>
      </c>
      <c r="AH1069" s="63" t="s">
        <v>81</v>
      </c>
      <c r="AI1069" s="65" t="s">
        <v>81</v>
      </c>
      <c r="AJ1069" s="66" t="s">
        <v>61</v>
      </c>
      <c r="AK1069" s="60"/>
    </row>
    <row r="1070" ht="24.0" customHeight="1">
      <c r="A1070" s="35"/>
      <c r="B1070" s="36">
        <v>1.0</v>
      </c>
      <c r="C1070" s="37" t="str">
        <f>IFERROR(__xludf.DUMMYFUNCTION("""COMPUTED_VALUE"""),"Tyrus Ostowski (XX) - '27 RHP CT")</f>
        <v>Tyrus Ostowski (XX) - '27 RHP CT</v>
      </c>
      <c r="D1070" s="38" t="s">
        <v>5658</v>
      </c>
      <c r="E1070" s="39" t="s">
        <v>63</v>
      </c>
      <c r="F1070" s="118"/>
      <c r="G1070" s="113" t="s">
        <v>1395</v>
      </c>
      <c r="H1070" s="42" t="s">
        <v>5659</v>
      </c>
      <c r="I1070" s="43" t="s">
        <v>5660</v>
      </c>
      <c r="J1070" s="43">
        <v>2027.0</v>
      </c>
      <c r="K1070" s="43" t="s">
        <v>410</v>
      </c>
      <c r="L1070" s="43" t="s">
        <v>5661</v>
      </c>
      <c r="M1070" s="43" t="s">
        <v>63</v>
      </c>
      <c r="N1070" s="117" t="s">
        <v>106</v>
      </c>
      <c r="O1070" s="43" t="s">
        <v>2324</v>
      </c>
      <c r="P1070" s="43"/>
      <c r="Q1070" s="43" t="s">
        <v>160</v>
      </c>
      <c r="R1070" s="43" t="s">
        <v>5662</v>
      </c>
      <c r="S1070" s="44" t="s">
        <v>5663</v>
      </c>
      <c r="T1070" s="39"/>
      <c r="U1070" s="39"/>
      <c r="V1070" s="39"/>
      <c r="W1070" s="39"/>
      <c r="X1070" s="81"/>
      <c r="Y1070" s="81"/>
      <c r="Z1070" s="82"/>
      <c r="AA1070" s="198"/>
      <c r="AB1070" s="48" t="s">
        <v>61</v>
      </c>
      <c r="AC1070" s="68" t="s">
        <v>61</v>
      </c>
      <c r="AD1070" s="69" t="s">
        <v>61</v>
      </c>
      <c r="AE1070" s="69" t="s">
        <v>61</v>
      </c>
      <c r="AF1070" s="68" t="s">
        <v>61</v>
      </c>
      <c r="AG1070" s="68" t="s">
        <v>61</v>
      </c>
      <c r="AH1070" s="68" t="s">
        <v>61</v>
      </c>
      <c r="AI1070" s="70" t="s">
        <v>61</v>
      </c>
      <c r="AJ1070" s="49" t="s">
        <v>61</v>
      </c>
      <c r="AK1070" s="46"/>
    </row>
    <row r="1071" ht="24.0" customHeight="1">
      <c r="A1071" s="35"/>
      <c r="B1071" s="36">
        <v>1.0</v>
      </c>
      <c r="C1071" s="37" t="str">
        <f>IFERROR(__xludf.DUMMYFUNCTION("""COMPUTED_VALUE"""),"Tyrus Ostrowski (XX) - '27 OF NY")</f>
        <v>Tyrus Ostrowski (XX) - '27 OF NY</v>
      </c>
      <c r="D1071" s="38" t="s">
        <v>5664</v>
      </c>
      <c r="E1071" s="51" t="s">
        <v>103</v>
      </c>
      <c r="F1071" s="119">
        <v>45865.0</v>
      </c>
      <c r="G1071" s="116" t="s">
        <v>1395</v>
      </c>
      <c r="H1071" s="54" t="s">
        <v>5659</v>
      </c>
      <c r="I1071" s="55" t="s">
        <v>5665</v>
      </c>
      <c r="J1071" s="55">
        <v>2027.0</v>
      </c>
      <c r="K1071" s="55" t="s">
        <v>410</v>
      </c>
      <c r="L1071" s="55" t="s">
        <v>605</v>
      </c>
      <c r="M1071" s="55" t="s">
        <v>103</v>
      </c>
      <c r="N1071" s="132"/>
      <c r="O1071" s="55"/>
      <c r="P1071" s="55" t="s">
        <v>5666</v>
      </c>
      <c r="Q1071" s="55" t="s">
        <v>255</v>
      </c>
      <c r="R1071" s="55" t="s">
        <v>5667</v>
      </c>
      <c r="S1071" s="58"/>
      <c r="T1071" s="51">
        <v>4.0</v>
      </c>
      <c r="U1071" s="51"/>
      <c r="V1071" s="51" t="s">
        <v>5668</v>
      </c>
      <c r="W1071" s="51" t="s">
        <v>2821</v>
      </c>
      <c r="X1071" s="74"/>
      <c r="Y1071" s="74"/>
      <c r="Z1071" s="76"/>
      <c r="AA1071" s="197"/>
      <c r="AB1071" s="62" t="s">
        <v>61</v>
      </c>
      <c r="AC1071" s="63" t="s">
        <v>61</v>
      </c>
      <c r="AD1071" s="64" t="s">
        <v>61</v>
      </c>
      <c r="AE1071" s="64" t="s">
        <v>61</v>
      </c>
      <c r="AF1071" s="63" t="s">
        <v>61</v>
      </c>
      <c r="AG1071" s="63" t="s">
        <v>61</v>
      </c>
      <c r="AH1071" s="63" t="s">
        <v>61</v>
      </c>
      <c r="AI1071" s="65" t="s">
        <v>61</v>
      </c>
      <c r="AJ1071" s="66" t="s">
        <v>61</v>
      </c>
      <c r="AK1071" s="60"/>
    </row>
    <row r="1072" ht="24.0" customHeight="1">
      <c r="A1072" s="35"/>
      <c r="B1072" s="36">
        <v>1.0</v>
      </c>
      <c r="C1072" s="37" t="str">
        <f>IFERROR(__xludf.DUMMYFUNCTION("""COMPUTED_VALUE"""),"Brady Palmer (XX) - '27 MINF NY")</f>
        <v>Brady Palmer (XX) - '27 MINF NY</v>
      </c>
      <c r="D1072" s="38" t="s">
        <v>5669</v>
      </c>
      <c r="E1072" s="39" t="s">
        <v>48</v>
      </c>
      <c r="F1072" s="118"/>
      <c r="G1072" s="113" t="s">
        <v>1395</v>
      </c>
      <c r="H1072" s="42" t="s">
        <v>517</v>
      </c>
      <c r="I1072" s="43" t="s">
        <v>3152</v>
      </c>
      <c r="J1072" s="43">
        <v>2027.0</v>
      </c>
      <c r="K1072" s="43" t="s">
        <v>410</v>
      </c>
      <c r="L1072" s="43" t="s">
        <v>5067</v>
      </c>
      <c r="M1072" s="43" t="s">
        <v>51</v>
      </c>
      <c r="N1072" s="117"/>
      <c r="O1072" s="43" t="s">
        <v>2324</v>
      </c>
      <c r="P1072" s="43"/>
      <c r="Q1072" s="43" t="s">
        <v>255</v>
      </c>
      <c r="R1072" s="43" t="s">
        <v>5670</v>
      </c>
      <c r="S1072" s="44" t="s">
        <v>5671</v>
      </c>
      <c r="T1072" s="39"/>
      <c r="U1072" s="39"/>
      <c r="V1072" s="39"/>
      <c r="W1072" s="39"/>
      <c r="X1072" s="81"/>
      <c r="Y1072" s="81"/>
      <c r="Z1072" s="82"/>
      <c r="AA1072" s="99"/>
      <c r="AB1072" s="48" t="s">
        <v>61</v>
      </c>
      <c r="AC1072" s="68" t="s">
        <v>61</v>
      </c>
      <c r="AD1072" s="69" t="s">
        <v>61</v>
      </c>
      <c r="AE1072" s="69" t="s">
        <v>61</v>
      </c>
      <c r="AF1072" s="68" t="s">
        <v>61</v>
      </c>
      <c r="AG1072" s="68" t="s">
        <v>61</v>
      </c>
      <c r="AH1072" s="68" t="s">
        <v>61</v>
      </c>
      <c r="AI1072" s="70" t="s">
        <v>61</v>
      </c>
      <c r="AJ1072" s="49" t="s">
        <v>61</v>
      </c>
      <c r="AK1072" s="46"/>
    </row>
    <row r="1073" ht="24.0" customHeight="1">
      <c r="A1073" s="35"/>
      <c r="B1073" s="36">
        <v>1.0</v>
      </c>
      <c r="C1073" s="37" t="str">
        <f>IFERROR(__xludf.DUMMYFUNCTION("""COMPUTED_VALUE"""),"Steven Pannullo (XX) - '27 RHP NJ")</f>
        <v>Steven Pannullo (XX) - '27 RHP NJ</v>
      </c>
      <c r="D1073" s="38" t="s">
        <v>5672</v>
      </c>
      <c r="E1073" s="51" t="s">
        <v>63</v>
      </c>
      <c r="F1073" s="119">
        <v>45865.0</v>
      </c>
      <c r="G1073" s="116" t="s">
        <v>1470</v>
      </c>
      <c r="H1073" s="54" t="s">
        <v>5673</v>
      </c>
      <c r="I1073" s="55" t="s">
        <v>5674</v>
      </c>
      <c r="J1073" s="55">
        <v>2027.0</v>
      </c>
      <c r="K1073" s="55" t="s">
        <v>410</v>
      </c>
      <c r="L1073" s="55" t="s">
        <v>2018</v>
      </c>
      <c r="M1073" s="55" t="s">
        <v>63</v>
      </c>
      <c r="N1073" s="132"/>
      <c r="O1073" s="55" t="s">
        <v>1550</v>
      </c>
      <c r="P1073" s="55" t="s">
        <v>5675</v>
      </c>
      <c r="Q1073" s="55" t="s">
        <v>502</v>
      </c>
      <c r="R1073" s="55" t="s">
        <v>3065</v>
      </c>
      <c r="S1073" s="58"/>
      <c r="T1073" s="51">
        <v>3.6</v>
      </c>
      <c r="U1073" s="51"/>
      <c r="V1073" s="51" t="s">
        <v>5676</v>
      </c>
      <c r="W1073" s="51" t="s">
        <v>2821</v>
      </c>
      <c r="X1073" s="74"/>
      <c r="Y1073" s="74"/>
      <c r="Z1073" s="76"/>
      <c r="AA1073" s="100"/>
      <c r="AB1073" s="62" t="s">
        <v>61</v>
      </c>
      <c r="AC1073" s="63" t="s">
        <v>61</v>
      </c>
      <c r="AD1073" s="64" t="s">
        <v>61</v>
      </c>
      <c r="AE1073" s="64" t="s">
        <v>61</v>
      </c>
      <c r="AF1073" s="63" t="s">
        <v>61</v>
      </c>
      <c r="AG1073" s="63" t="s">
        <v>61</v>
      </c>
      <c r="AH1073" s="63" t="s">
        <v>61</v>
      </c>
      <c r="AI1073" s="65" t="s">
        <v>61</v>
      </c>
      <c r="AJ1073" s="66" t="s">
        <v>61</v>
      </c>
      <c r="AK1073" s="60"/>
    </row>
    <row r="1074" ht="24.0" customHeight="1">
      <c r="A1074" s="35"/>
      <c r="B1074" s="36">
        <v>1.0</v>
      </c>
      <c r="C1074" s="37" t="str">
        <f>IFERROR(__xludf.DUMMYFUNCTION("""COMPUTED_VALUE"""),"Sam Pearson (XX) - '27 SS KY")</f>
        <v>Sam Pearson (XX) - '27 SS KY</v>
      </c>
      <c r="D1074" s="38" t="s">
        <v>5677</v>
      </c>
      <c r="E1074" s="39" t="s">
        <v>48</v>
      </c>
      <c r="F1074" s="118">
        <v>45865.0</v>
      </c>
      <c r="G1074" s="113" t="s">
        <v>1430</v>
      </c>
      <c r="H1074" s="42" t="s">
        <v>172</v>
      </c>
      <c r="I1074" s="43" t="s">
        <v>452</v>
      </c>
      <c r="J1074" s="43">
        <v>2027.0</v>
      </c>
      <c r="K1074" s="43" t="s">
        <v>410</v>
      </c>
      <c r="L1074" s="43" t="s">
        <v>5678</v>
      </c>
      <c r="M1074" s="43" t="s">
        <v>1398</v>
      </c>
      <c r="N1074" s="117"/>
      <c r="O1074" s="43" t="s">
        <v>1989</v>
      </c>
      <c r="P1074" s="43" t="s">
        <v>3539</v>
      </c>
      <c r="Q1074" s="43" t="s">
        <v>543</v>
      </c>
      <c r="R1074" s="43" t="s">
        <v>5679</v>
      </c>
      <c r="S1074" s="44"/>
      <c r="T1074" s="39">
        <v>4.0</v>
      </c>
      <c r="U1074" s="39"/>
      <c r="V1074" s="39" t="s">
        <v>5680</v>
      </c>
      <c r="W1074" s="39" t="s">
        <v>2821</v>
      </c>
      <c r="X1074" s="81"/>
      <c r="Y1074" s="81"/>
      <c r="Z1074" s="82"/>
      <c r="AA1074" s="198" t="s">
        <v>5681</v>
      </c>
      <c r="AB1074" s="48" t="s">
        <v>5682</v>
      </c>
      <c r="AC1074" s="68" t="s">
        <v>5683</v>
      </c>
      <c r="AD1074" s="69">
        <v>4.0</v>
      </c>
      <c r="AE1074" s="69" t="s">
        <v>2784</v>
      </c>
      <c r="AF1074" s="68" t="s">
        <v>690</v>
      </c>
      <c r="AG1074" s="68" t="s">
        <v>60</v>
      </c>
      <c r="AH1074" s="68" t="s">
        <v>60</v>
      </c>
      <c r="AI1074" s="70" t="s">
        <v>81</v>
      </c>
      <c r="AJ1074" s="49" t="s">
        <v>61</v>
      </c>
      <c r="AK1074" s="46"/>
    </row>
    <row r="1075" ht="24.0" customHeight="1">
      <c r="A1075" s="35"/>
      <c r="B1075" s="36">
        <v>1.0</v>
      </c>
      <c r="C1075" s="37" t="str">
        <f>IFERROR(__xludf.DUMMYFUNCTION("""COMPUTED_VALUE"""),"Briar Persing (XX) - '27 RHP PA")</f>
        <v>Briar Persing (XX) - '27 RHP PA</v>
      </c>
      <c r="D1075" s="38" t="s">
        <v>5684</v>
      </c>
      <c r="E1075" s="51" t="s">
        <v>63</v>
      </c>
      <c r="F1075" s="119">
        <v>45865.0</v>
      </c>
      <c r="G1075" s="116" t="s">
        <v>1470</v>
      </c>
      <c r="H1075" s="54" t="s">
        <v>5685</v>
      </c>
      <c r="I1075" s="55" t="s">
        <v>5686</v>
      </c>
      <c r="J1075" s="55">
        <v>2027.0</v>
      </c>
      <c r="K1075" s="55" t="s">
        <v>410</v>
      </c>
      <c r="L1075" s="55" t="s">
        <v>5108</v>
      </c>
      <c r="M1075" s="55" t="s">
        <v>63</v>
      </c>
      <c r="N1075" s="132"/>
      <c r="O1075" s="55" t="s">
        <v>1550</v>
      </c>
      <c r="P1075" s="55" t="s">
        <v>5687</v>
      </c>
      <c r="Q1075" s="55" t="s">
        <v>240</v>
      </c>
      <c r="R1075" s="55" t="s">
        <v>5687</v>
      </c>
      <c r="S1075" s="58"/>
      <c r="T1075" s="51"/>
      <c r="U1075" s="51"/>
      <c r="V1075" s="51" t="s">
        <v>5688</v>
      </c>
      <c r="W1075" s="51" t="s">
        <v>2821</v>
      </c>
      <c r="X1075" s="74"/>
      <c r="Y1075" s="74"/>
      <c r="Z1075" s="76"/>
      <c r="AA1075" s="197"/>
      <c r="AB1075" s="62" t="s">
        <v>61</v>
      </c>
      <c r="AC1075" s="63" t="s">
        <v>61</v>
      </c>
      <c r="AD1075" s="64" t="s">
        <v>61</v>
      </c>
      <c r="AE1075" s="64" t="s">
        <v>61</v>
      </c>
      <c r="AF1075" s="63" t="s">
        <v>61</v>
      </c>
      <c r="AG1075" s="63" t="s">
        <v>61</v>
      </c>
      <c r="AH1075" s="63" t="s">
        <v>61</v>
      </c>
      <c r="AI1075" s="65" t="s">
        <v>61</v>
      </c>
      <c r="AJ1075" s="66" t="s">
        <v>61</v>
      </c>
      <c r="AK1075" s="60"/>
    </row>
    <row r="1076" ht="24.0" customHeight="1">
      <c r="A1076" s="35"/>
      <c r="B1076" s="36">
        <v>1.0</v>
      </c>
      <c r="C1076" s="37" t="str">
        <f>IFERROR(__xludf.DUMMYFUNCTION("""COMPUTED_VALUE"""),"Jackson Phillips (XX) - '27 RHP CO")</f>
        <v>Jackson Phillips (XX) - '27 RHP CO</v>
      </c>
      <c r="D1076" s="38" t="s">
        <v>5689</v>
      </c>
      <c r="E1076" s="39" t="s">
        <v>63</v>
      </c>
      <c r="F1076" s="118">
        <v>45865.0</v>
      </c>
      <c r="G1076" s="113" t="s">
        <v>1395</v>
      </c>
      <c r="H1076" s="42" t="s">
        <v>432</v>
      </c>
      <c r="I1076" s="43" t="s">
        <v>5690</v>
      </c>
      <c r="J1076" s="43">
        <v>2027.0</v>
      </c>
      <c r="K1076" s="43" t="s">
        <v>410</v>
      </c>
      <c r="L1076" s="43" t="s">
        <v>2018</v>
      </c>
      <c r="M1076" s="43" t="s">
        <v>63</v>
      </c>
      <c r="N1076" s="117"/>
      <c r="O1076" s="43" t="s">
        <v>1550</v>
      </c>
      <c r="P1076" s="43" t="s">
        <v>1595</v>
      </c>
      <c r="Q1076" s="43" t="s">
        <v>174</v>
      </c>
      <c r="R1076" s="43" t="s">
        <v>5691</v>
      </c>
      <c r="S1076" s="44" t="s">
        <v>580</v>
      </c>
      <c r="T1076" s="39">
        <v>3.9</v>
      </c>
      <c r="U1076" s="39"/>
      <c r="V1076" s="39" t="s">
        <v>5692</v>
      </c>
      <c r="W1076" s="39" t="s">
        <v>2821</v>
      </c>
      <c r="X1076" s="81"/>
      <c r="Y1076" s="81"/>
      <c r="Z1076" s="82"/>
      <c r="AA1076" s="198"/>
      <c r="AB1076" s="48" t="s">
        <v>61</v>
      </c>
      <c r="AC1076" s="68" t="s">
        <v>61</v>
      </c>
      <c r="AD1076" s="69" t="s">
        <v>61</v>
      </c>
      <c r="AE1076" s="69" t="s">
        <v>61</v>
      </c>
      <c r="AF1076" s="68" t="s">
        <v>61</v>
      </c>
      <c r="AG1076" s="68" t="s">
        <v>61</v>
      </c>
      <c r="AH1076" s="68" t="s">
        <v>61</v>
      </c>
      <c r="AI1076" s="70" t="s">
        <v>61</v>
      </c>
      <c r="AJ1076" s="49" t="s">
        <v>61</v>
      </c>
      <c r="AK1076" s="46"/>
    </row>
    <row r="1077" ht="24.0" customHeight="1">
      <c r="A1077" s="35"/>
      <c r="B1077" s="36">
        <v>1.0</v>
      </c>
      <c r="C1077" s="37" t="str">
        <f>IFERROR(__xludf.DUMMYFUNCTION("""COMPUTED_VALUE"""),"Dylan Poloski (XX) - '27 RHP RI")</f>
        <v>Dylan Poloski (XX) - '27 RHP RI</v>
      </c>
      <c r="D1077" s="38" t="s">
        <v>5693</v>
      </c>
      <c r="E1077" s="51" t="s">
        <v>63</v>
      </c>
      <c r="F1077" s="119"/>
      <c r="G1077" s="116" t="s">
        <v>1395</v>
      </c>
      <c r="H1077" s="54" t="s">
        <v>2294</v>
      </c>
      <c r="I1077" s="55" t="s">
        <v>5694</v>
      </c>
      <c r="J1077" s="55">
        <v>2027.0</v>
      </c>
      <c r="K1077" s="55" t="s">
        <v>410</v>
      </c>
      <c r="L1077" s="55" t="s">
        <v>5695</v>
      </c>
      <c r="M1077" s="55" t="s">
        <v>63</v>
      </c>
      <c r="N1077" s="132"/>
      <c r="O1077" s="55" t="s">
        <v>1550</v>
      </c>
      <c r="P1077" s="55"/>
      <c r="Q1077" s="55" t="s">
        <v>1611</v>
      </c>
      <c r="R1077" s="55" t="s">
        <v>1612</v>
      </c>
      <c r="S1077" s="58" t="s">
        <v>2981</v>
      </c>
      <c r="T1077" s="51"/>
      <c r="U1077" s="51"/>
      <c r="V1077" s="51"/>
      <c r="W1077" s="51"/>
      <c r="X1077" s="74"/>
      <c r="Y1077" s="74"/>
      <c r="Z1077" s="76"/>
      <c r="AA1077" s="100"/>
      <c r="AB1077" s="62" t="s">
        <v>61</v>
      </c>
      <c r="AC1077" s="63" t="s">
        <v>61</v>
      </c>
      <c r="AD1077" s="64" t="s">
        <v>61</v>
      </c>
      <c r="AE1077" s="64" t="s">
        <v>61</v>
      </c>
      <c r="AF1077" s="63" t="s">
        <v>61</v>
      </c>
      <c r="AG1077" s="63" t="s">
        <v>61</v>
      </c>
      <c r="AH1077" s="63" t="s">
        <v>61</v>
      </c>
      <c r="AI1077" s="65" t="s">
        <v>61</v>
      </c>
      <c r="AJ1077" s="66" t="s">
        <v>61</v>
      </c>
      <c r="AK1077" s="60"/>
    </row>
    <row r="1078" ht="24.0" customHeight="1">
      <c r="A1078" s="35"/>
      <c r="B1078" s="36">
        <v>1.0</v>
      </c>
      <c r="C1078" s="37" t="str">
        <f>IFERROR(__xludf.DUMMYFUNCTION("""COMPUTED_VALUE"""),"Carson Richter (XX) - '27 OF CA")</f>
        <v>Carson Richter (XX) - '27 OF CA</v>
      </c>
      <c r="D1078" s="38" t="s">
        <v>5696</v>
      </c>
      <c r="E1078" s="39" t="s">
        <v>103</v>
      </c>
      <c r="F1078" s="118">
        <v>45865.0</v>
      </c>
      <c r="G1078" s="113" t="s">
        <v>1470</v>
      </c>
      <c r="H1078" s="42" t="s">
        <v>599</v>
      </c>
      <c r="I1078" s="43" t="s">
        <v>5697</v>
      </c>
      <c r="J1078" s="43">
        <v>2027.0</v>
      </c>
      <c r="K1078" s="43" t="s">
        <v>410</v>
      </c>
      <c r="L1078" s="43" t="s">
        <v>2557</v>
      </c>
      <c r="M1078" s="43" t="s">
        <v>103</v>
      </c>
      <c r="N1078" s="117"/>
      <c r="O1078" s="43" t="s">
        <v>1550</v>
      </c>
      <c r="P1078" s="43" t="s">
        <v>5698</v>
      </c>
      <c r="Q1078" s="43" t="s">
        <v>52</v>
      </c>
      <c r="R1078" s="43" t="s">
        <v>5698</v>
      </c>
      <c r="S1078" s="44"/>
      <c r="T1078" s="39"/>
      <c r="U1078" s="39"/>
      <c r="V1078" s="39" t="s">
        <v>5699</v>
      </c>
      <c r="W1078" s="39" t="s">
        <v>2821</v>
      </c>
      <c r="X1078" s="81"/>
      <c r="Y1078" s="81"/>
      <c r="Z1078" s="82"/>
      <c r="AA1078" s="109"/>
      <c r="AB1078" s="48" t="s">
        <v>61</v>
      </c>
      <c r="AC1078" s="68" t="s">
        <v>61</v>
      </c>
      <c r="AD1078" s="69" t="s">
        <v>61</v>
      </c>
      <c r="AE1078" s="69" t="s">
        <v>61</v>
      </c>
      <c r="AF1078" s="68" t="s">
        <v>61</v>
      </c>
      <c r="AG1078" s="68" t="s">
        <v>61</v>
      </c>
      <c r="AH1078" s="68" t="s">
        <v>61</v>
      </c>
      <c r="AI1078" s="70" t="s">
        <v>61</v>
      </c>
      <c r="AJ1078" s="49" t="s">
        <v>61</v>
      </c>
      <c r="AK1078" s="46"/>
    </row>
    <row r="1079" ht="24.0" customHeight="1">
      <c r="A1079" s="35"/>
      <c r="B1079" s="36">
        <v>1.0</v>
      </c>
      <c r="C1079" s="37" t="str">
        <f>IFERROR(__xludf.DUMMYFUNCTION("""COMPUTED_VALUE"""),"Lubin Rincon (XX) - '27 SS TX")</f>
        <v>Lubin Rincon (XX) - '27 SS TX</v>
      </c>
      <c r="D1079" s="38" t="s">
        <v>5700</v>
      </c>
      <c r="E1079" s="51" t="s">
        <v>48</v>
      </c>
      <c r="F1079" s="119">
        <v>45865.0</v>
      </c>
      <c r="G1079" s="116" t="s">
        <v>1470</v>
      </c>
      <c r="H1079" s="54" t="s">
        <v>5701</v>
      </c>
      <c r="I1079" s="55" t="s">
        <v>5702</v>
      </c>
      <c r="J1079" s="55">
        <v>2027.0</v>
      </c>
      <c r="K1079" s="55" t="s">
        <v>410</v>
      </c>
      <c r="L1079" s="55" t="s">
        <v>4751</v>
      </c>
      <c r="M1079" s="55" t="s">
        <v>1398</v>
      </c>
      <c r="N1079" s="132"/>
      <c r="O1079" s="55" t="s">
        <v>1989</v>
      </c>
      <c r="P1079" s="55" t="s">
        <v>1783</v>
      </c>
      <c r="Q1079" s="55" t="s">
        <v>180</v>
      </c>
      <c r="R1079" s="55" t="s">
        <v>5703</v>
      </c>
      <c r="S1079" s="58"/>
      <c r="T1079" s="51">
        <v>4.0</v>
      </c>
      <c r="U1079" s="51"/>
      <c r="V1079" s="51" t="s">
        <v>5704</v>
      </c>
      <c r="W1079" s="51" t="s">
        <v>2821</v>
      </c>
      <c r="X1079" s="74"/>
      <c r="Y1079" s="74"/>
      <c r="Z1079" s="76"/>
      <c r="AA1079" s="100"/>
      <c r="AB1079" s="62" t="s">
        <v>61</v>
      </c>
      <c r="AC1079" s="63" t="s">
        <v>61</v>
      </c>
      <c r="AD1079" s="64" t="s">
        <v>61</v>
      </c>
      <c r="AE1079" s="64" t="s">
        <v>61</v>
      </c>
      <c r="AF1079" s="63" t="s">
        <v>61</v>
      </c>
      <c r="AG1079" s="63" t="s">
        <v>61</v>
      </c>
      <c r="AH1079" s="63" t="s">
        <v>61</v>
      </c>
      <c r="AI1079" s="65" t="s">
        <v>61</v>
      </c>
      <c r="AJ1079" s="66" t="s">
        <v>61</v>
      </c>
      <c r="AK1079" s="60"/>
    </row>
    <row r="1080" ht="24.0" customHeight="1">
      <c r="A1080" s="35"/>
      <c r="B1080" s="36">
        <v>1.0</v>
      </c>
      <c r="C1080" s="37" t="str">
        <f>IFERROR(__xludf.DUMMYFUNCTION("""COMPUTED_VALUE"""),"Justin Rodrigues (XX) - '27 MINF NV")</f>
        <v>Justin Rodrigues (XX) - '27 MINF NV</v>
      </c>
      <c r="D1080" s="38" t="s">
        <v>5705</v>
      </c>
      <c r="E1080" s="39" t="s">
        <v>48</v>
      </c>
      <c r="F1080" s="118">
        <v>45865.0</v>
      </c>
      <c r="G1080" s="113" t="s">
        <v>1395</v>
      </c>
      <c r="H1080" s="42" t="s">
        <v>988</v>
      </c>
      <c r="I1080" s="43" t="s">
        <v>5706</v>
      </c>
      <c r="J1080" s="43">
        <v>2027.0</v>
      </c>
      <c r="K1080" s="43" t="s">
        <v>410</v>
      </c>
      <c r="L1080" s="43" t="s">
        <v>5707</v>
      </c>
      <c r="M1080" s="43" t="s">
        <v>51</v>
      </c>
      <c r="N1080" s="117"/>
      <c r="O1080" s="43" t="s">
        <v>1550</v>
      </c>
      <c r="P1080" s="43" t="s">
        <v>5708</v>
      </c>
      <c r="Q1080" s="43" t="s">
        <v>1968</v>
      </c>
      <c r="R1080" s="43" t="s">
        <v>5709</v>
      </c>
      <c r="S1080" s="44"/>
      <c r="T1080" s="39">
        <v>4.0</v>
      </c>
      <c r="U1080" s="39"/>
      <c r="V1080" s="39" t="s">
        <v>5710</v>
      </c>
      <c r="W1080" s="39" t="s">
        <v>2821</v>
      </c>
      <c r="X1080" s="81"/>
      <c r="Y1080" s="81"/>
      <c r="Z1080" s="82"/>
      <c r="AA1080" s="109"/>
      <c r="AB1080" s="48" t="s">
        <v>61</v>
      </c>
      <c r="AC1080" s="68" t="s">
        <v>61</v>
      </c>
      <c r="AD1080" s="69" t="s">
        <v>61</v>
      </c>
      <c r="AE1080" s="69" t="s">
        <v>61</v>
      </c>
      <c r="AF1080" s="68" t="s">
        <v>61</v>
      </c>
      <c r="AG1080" s="68" t="s">
        <v>61</v>
      </c>
      <c r="AH1080" s="68" t="s">
        <v>61</v>
      </c>
      <c r="AI1080" s="70" t="s">
        <v>61</v>
      </c>
      <c r="AJ1080" s="49" t="s">
        <v>61</v>
      </c>
      <c r="AK1080" s="46"/>
    </row>
    <row r="1081" ht="24.0" customHeight="1">
      <c r="A1081" s="35"/>
      <c r="B1081" s="36">
        <v>1.0</v>
      </c>
      <c r="C1081" s="37" t="str">
        <f>IFERROR(__xludf.DUMMYFUNCTION("""COMPUTED_VALUE"""),"Nolan Rolloff (XX) - '27 SS MN")</f>
        <v>Nolan Rolloff (XX) - '27 SS MN</v>
      </c>
      <c r="D1081" s="38" t="s">
        <v>5711</v>
      </c>
      <c r="E1081" s="51" t="s">
        <v>48</v>
      </c>
      <c r="F1081" s="119">
        <v>45865.0</v>
      </c>
      <c r="G1081" s="116" t="s">
        <v>1470</v>
      </c>
      <c r="H1081" s="54" t="s">
        <v>2587</v>
      </c>
      <c r="I1081" s="55" t="s">
        <v>5712</v>
      </c>
      <c r="J1081" s="55">
        <v>2027.0</v>
      </c>
      <c r="K1081" s="55" t="s">
        <v>410</v>
      </c>
      <c r="L1081" s="55" t="s">
        <v>5713</v>
      </c>
      <c r="M1081" s="55" t="s">
        <v>1398</v>
      </c>
      <c r="N1081" s="132"/>
      <c r="O1081" s="55" t="s">
        <v>1550</v>
      </c>
      <c r="P1081" s="55" t="s">
        <v>5714</v>
      </c>
      <c r="Q1081" s="55" t="s">
        <v>448</v>
      </c>
      <c r="R1081" s="55" t="s">
        <v>5715</v>
      </c>
      <c r="S1081" s="58"/>
      <c r="T1081" s="51">
        <v>3.75</v>
      </c>
      <c r="U1081" s="51"/>
      <c r="V1081" s="51" t="s">
        <v>5716</v>
      </c>
      <c r="W1081" s="51" t="s">
        <v>2821</v>
      </c>
      <c r="X1081" s="74"/>
      <c r="Y1081" s="74"/>
      <c r="Z1081" s="76"/>
      <c r="AA1081" s="100"/>
      <c r="AB1081" s="62" t="s">
        <v>5717</v>
      </c>
      <c r="AC1081" s="63" t="s">
        <v>5718</v>
      </c>
      <c r="AD1081" s="64" t="s">
        <v>5719</v>
      </c>
      <c r="AE1081" s="64" t="s">
        <v>5720</v>
      </c>
      <c r="AF1081" s="63" t="s">
        <v>417</v>
      </c>
      <c r="AG1081" s="63" t="s">
        <v>2749</v>
      </c>
      <c r="AH1081" s="63" t="s">
        <v>417</v>
      </c>
      <c r="AI1081" s="65" t="s">
        <v>417</v>
      </c>
      <c r="AJ1081" s="66" t="s">
        <v>61</v>
      </c>
      <c r="AK1081" s="60"/>
    </row>
    <row r="1082" ht="24.0" customHeight="1">
      <c r="A1082" s="35"/>
      <c r="B1082" s="36">
        <v>1.0</v>
      </c>
      <c r="C1082" s="37" t="str">
        <f>IFERROR(__xludf.DUMMYFUNCTION("""COMPUTED_VALUE"""),"Quinn Rooney (XX) - '27 1B IL")</f>
        <v>Quinn Rooney (XX) - '27 1B IL</v>
      </c>
      <c r="D1082" s="38" t="s">
        <v>5721</v>
      </c>
      <c r="E1082" s="39" t="s">
        <v>48</v>
      </c>
      <c r="F1082" s="118">
        <v>45858.0</v>
      </c>
      <c r="G1082" s="113" t="s">
        <v>1395</v>
      </c>
      <c r="H1082" s="42" t="s">
        <v>1158</v>
      </c>
      <c r="I1082" s="43" t="s">
        <v>5722</v>
      </c>
      <c r="J1082" s="43">
        <v>2027.0</v>
      </c>
      <c r="K1082" s="43" t="s">
        <v>410</v>
      </c>
      <c r="L1082" s="43" t="s">
        <v>4791</v>
      </c>
      <c r="M1082" s="43" t="s">
        <v>1972</v>
      </c>
      <c r="N1082" s="117" t="s">
        <v>122</v>
      </c>
      <c r="O1082" s="43" t="s">
        <v>1556</v>
      </c>
      <c r="P1082" s="43"/>
      <c r="Q1082" s="43" t="s">
        <v>307</v>
      </c>
      <c r="R1082" s="43"/>
      <c r="S1082" s="44" t="s">
        <v>5723</v>
      </c>
      <c r="T1082" s="39">
        <v>4.0</v>
      </c>
      <c r="U1082" s="39"/>
      <c r="V1082" s="39"/>
      <c r="W1082" s="39"/>
      <c r="X1082" s="81"/>
      <c r="Y1082" s="81"/>
      <c r="Z1082" s="82"/>
      <c r="AA1082" s="198" t="s">
        <v>5724</v>
      </c>
      <c r="AB1082" s="48" t="s">
        <v>5725</v>
      </c>
      <c r="AC1082" s="68" t="s">
        <v>5726</v>
      </c>
      <c r="AD1082" s="69" t="s">
        <v>5727</v>
      </c>
      <c r="AE1082" s="69" t="s">
        <v>5728</v>
      </c>
      <c r="AF1082" s="68"/>
      <c r="AG1082" s="68"/>
      <c r="AH1082" s="68"/>
      <c r="AI1082" s="70" t="s">
        <v>81</v>
      </c>
      <c r="AJ1082" s="49" t="s">
        <v>61</v>
      </c>
      <c r="AK1082" s="46"/>
    </row>
    <row r="1083" ht="24.0" customHeight="1">
      <c r="A1083" s="35"/>
      <c r="B1083" s="36">
        <v>1.0</v>
      </c>
      <c r="C1083" s="37" t="str">
        <f>IFERROR(__xludf.DUMMYFUNCTION("""COMPUTED_VALUE"""),"Jack Runk (XX) - '27 MINF MN")</f>
        <v>Jack Runk (XX) - '27 MINF MN</v>
      </c>
      <c r="D1083" s="38" t="s">
        <v>5729</v>
      </c>
      <c r="E1083" s="51" t="s">
        <v>48</v>
      </c>
      <c r="F1083" s="119">
        <v>45865.0</v>
      </c>
      <c r="G1083" s="116" t="s">
        <v>1430</v>
      </c>
      <c r="H1083" s="54" t="s">
        <v>424</v>
      </c>
      <c r="I1083" s="55" t="s">
        <v>5730</v>
      </c>
      <c r="J1083" s="55">
        <v>2027.0</v>
      </c>
      <c r="K1083" s="55" t="s">
        <v>410</v>
      </c>
      <c r="L1083" s="55" t="s">
        <v>5731</v>
      </c>
      <c r="M1083" s="55" t="s">
        <v>51</v>
      </c>
      <c r="N1083" s="132"/>
      <c r="O1083" s="55" t="s">
        <v>1989</v>
      </c>
      <c r="P1083" s="55" t="s">
        <v>5732</v>
      </c>
      <c r="Q1083" s="55" t="s">
        <v>448</v>
      </c>
      <c r="R1083" s="55" t="s">
        <v>5733</v>
      </c>
      <c r="S1083" s="58"/>
      <c r="T1083" s="51">
        <v>4.0</v>
      </c>
      <c r="U1083" s="51"/>
      <c r="V1083" s="51" t="s">
        <v>5734</v>
      </c>
      <c r="W1083" s="51" t="s">
        <v>2821</v>
      </c>
      <c r="X1083" s="74"/>
      <c r="Y1083" s="74"/>
      <c r="Z1083" s="76"/>
      <c r="AA1083" s="197"/>
      <c r="AB1083" s="62" t="s">
        <v>61</v>
      </c>
      <c r="AC1083" s="63" t="s">
        <v>61</v>
      </c>
      <c r="AD1083" s="64" t="s">
        <v>61</v>
      </c>
      <c r="AE1083" s="64" t="s">
        <v>61</v>
      </c>
      <c r="AF1083" s="63" t="s">
        <v>61</v>
      </c>
      <c r="AG1083" s="63" t="s">
        <v>61</v>
      </c>
      <c r="AH1083" s="63" t="s">
        <v>61</v>
      </c>
      <c r="AI1083" s="65" t="s">
        <v>61</v>
      </c>
      <c r="AJ1083" s="66" t="s">
        <v>61</v>
      </c>
      <c r="AK1083" s="60"/>
    </row>
    <row r="1084" ht="24.0" customHeight="1">
      <c r="A1084" s="35"/>
      <c r="B1084" s="36">
        <v>1.0</v>
      </c>
      <c r="C1084" s="37" t="str">
        <f>IFERROR(__xludf.DUMMYFUNCTION("""COMPUTED_VALUE"""),"Cole Ryherd (XX) - '27 SS KS")</f>
        <v>Cole Ryherd (XX) - '27 SS KS</v>
      </c>
      <c r="D1084" s="38" t="s">
        <v>5735</v>
      </c>
      <c r="E1084" s="39" t="s">
        <v>48</v>
      </c>
      <c r="F1084" s="118">
        <v>45925.0</v>
      </c>
      <c r="G1084" s="113" t="s">
        <v>1395</v>
      </c>
      <c r="H1084" s="42" t="s">
        <v>324</v>
      </c>
      <c r="I1084" s="43" t="s">
        <v>5736</v>
      </c>
      <c r="J1084" s="43">
        <v>2027.0</v>
      </c>
      <c r="K1084" s="43" t="s">
        <v>410</v>
      </c>
      <c r="L1084" s="43" t="s">
        <v>5737</v>
      </c>
      <c r="M1084" s="43" t="s">
        <v>1398</v>
      </c>
      <c r="N1084" s="117"/>
      <c r="O1084" s="43"/>
      <c r="P1084" s="43" t="s">
        <v>3286</v>
      </c>
      <c r="Q1084" s="43" t="s">
        <v>112</v>
      </c>
      <c r="R1084" s="43" t="s">
        <v>5738</v>
      </c>
      <c r="S1084" s="44" t="s">
        <v>3456</v>
      </c>
      <c r="T1084" s="39"/>
      <c r="U1084" s="39"/>
      <c r="V1084" s="39"/>
      <c r="W1084" s="39" t="s">
        <v>1564</v>
      </c>
      <c r="X1084" s="81"/>
      <c r="Y1084" s="81"/>
      <c r="Z1084" s="82"/>
      <c r="AA1084" s="99"/>
      <c r="AB1084" s="48" t="s">
        <v>61</v>
      </c>
      <c r="AC1084" s="68" t="s">
        <v>61</v>
      </c>
      <c r="AD1084" s="69" t="s">
        <v>61</v>
      </c>
      <c r="AE1084" s="69" t="s">
        <v>61</v>
      </c>
      <c r="AF1084" s="68" t="s">
        <v>61</v>
      </c>
      <c r="AG1084" s="68" t="s">
        <v>61</v>
      </c>
      <c r="AH1084" s="68" t="s">
        <v>61</v>
      </c>
      <c r="AI1084" s="70" t="s">
        <v>61</v>
      </c>
      <c r="AJ1084" s="49" t="s">
        <v>61</v>
      </c>
      <c r="AK1084" s="46"/>
    </row>
    <row r="1085" ht="24.0" customHeight="1">
      <c r="A1085" s="35"/>
      <c r="B1085" s="36">
        <v>1.0</v>
      </c>
      <c r="C1085" s="37" t="str">
        <f>IFERROR(__xludf.DUMMYFUNCTION("""COMPUTED_VALUE"""),"Brady Sack (XX) - '27 RHP AL")</f>
        <v>Brady Sack (XX) - '27 RHP AL</v>
      </c>
      <c r="D1085" s="38" t="s">
        <v>5739</v>
      </c>
      <c r="E1085" s="51" t="s">
        <v>63</v>
      </c>
      <c r="F1085" s="119">
        <v>45865.0</v>
      </c>
      <c r="G1085" s="116" t="s">
        <v>1395</v>
      </c>
      <c r="H1085" s="54" t="s">
        <v>517</v>
      </c>
      <c r="I1085" s="55" t="s">
        <v>5740</v>
      </c>
      <c r="J1085" s="55">
        <v>2027.0</v>
      </c>
      <c r="K1085" s="55" t="s">
        <v>410</v>
      </c>
      <c r="L1085" s="55" t="s">
        <v>5260</v>
      </c>
      <c r="M1085" s="55" t="s">
        <v>63</v>
      </c>
      <c r="N1085" s="132"/>
      <c r="O1085" s="55" t="s">
        <v>1550</v>
      </c>
      <c r="P1085" s="55" t="s">
        <v>4822</v>
      </c>
      <c r="Q1085" s="55" t="s">
        <v>731</v>
      </c>
      <c r="R1085" s="55" t="s">
        <v>4822</v>
      </c>
      <c r="S1085" s="58"/>
      <c r="T1085" s="51">
        <v>3.87</v>
      </c>
      <c r="U1085" s="51"/>
      <c r="V1085" s="51" t="s">
        <v>5741</v>
      </c>
      <c r="W1085" s="51" t="s">
        <v>2821</v>
      </c>
      <c r="X1085" s="74"/>
      <c r="Y1085" s="74"/>
      <c r="Z1085" s="76"/>
      <c r="AA1085" s="134"/>
      <c r="AB1085" s="62" t="s">
        <v>61</v>
      </c>
      <c r="AC1085" s="63" t="s">
        <v>61</v>
      </c>
      <c r="AD1085" s="64" t="s">
        <v>61</v>
      </c>
      <c r="AE1085" s="64" t="s">
        <v>61</v>
      </c>
      <c r="AF1085" s="63" t="s">
        <v>61</v>
      </c>
      <c r="AG1085" s="63" t="s">
        <v>61</v>
      </c>
      <c r="AH1085" s="63" t="s">
        <v>61</v>
      </c>
      <c r="AI1085" s="65" t="s">
        <v>61</v>
      </c>
      <c r="AJ1085" s="66" t="s">
        <v>61</v>
      </c>
      <c r="AK1085" s="60"/>
    </row>
    <row r="1086" ht="24.0" customHeight="1">
      <c r="A1086" s="35"/>
      <c r="B1086" s="36">
        <v>1.0</v>
      </c>
      <c r="C1086" s="37" t="str">
        <f>IFERROR(__xludf.DUMMYFUNCTION("""COMPUTED_VALUE"""),"Angel Salcedo (XX) - '27 RHP ")</f>
        <v>Angel Salcedo (XX) - '27 RHP </v>
      </c>
      <c r="D1086" s="38" t="s">
        <v>5742</v>
      </c>
      <c r="E1086" s="39" t="s">
        <v>63</v>
      </c>
      <c r="F1086" s="118"/>
      <c r="G1086" s="113"/>
      <c r="H1086" s="42" t="s">
        <v>5743</v>
      </c>
      <c r="I1086" s="43" t="s">
        <v>5744</v>
      </c>
      <c r="J1086" s="43">
        <v>2027.0</v>
      </c>
      <c r="K1086" s="43" t="s">
        <v>410</v>
      </c>
      <c r="L1086" s="43" t="s">
        <v>5745</v>
      </c>
      <c r="M1086" s="43" t="s">
        <v>63</v>
      </c>
      <c r="N1086" s="117"/>
      <c r="O1086" s="43" t="s">
        <v>1550</v>
      </c>
      <c r="P1086" s="43" t="s">
        <v>5746</v>
      </c>
      <c r="Q1086" s="43"/>
      <c r="R1086" s="43" t="s">
        <v>5747</v>
      </c>
      <c r="S1086" s="44" t="s">
        <v>3264</v>
      </c>
      <c r="T1086" s="39"/>
      <c r="U1086" s="39"/>
      <c r="V1086" s="39"/>
      <c r="W1086" s="39" t="s">
        <v>1724</v>
      </c>
      <c r="X1086" s="81"/>
      <c r="Y1086" s="81"/>
      <c r="Z1086" s="82"/>
      <c r="AA1086" s="99"/>
      <c r="AB1086" s="48" t="s">
        <v>61</v>
      </c>
      <c r="AC1086" s="68" t="s">
        <v>61</v>
      </c>
      <c r="AD1086" s="69" t="s">
        <v>61</v>
      </c>
      <c r="AE1086" s="69" t="s">
        <v>61</v>
      </c>
      <c r="AF1086" s="68" t="s">
        <v>61</v>
      </c>
      <c r="AG1086" s="68" t="s">
        <v>61</v>
      </c>
      <c r="AH1086" s="68" t="s">
        <v>61</v>
      </c>
      <c r="AI1086" s="70" t="s">
        <v>61</v>
      </c>
      <c r="AJ1086" s="49" t="s">
        <v>61</v>
      </c>
      <c r="AK1086" s="46"/>
    </row>
    <row r="1087" ht="24.0" customHeight="1">
      <c r="A1087" s="35"/>
      <c r="B1087" s="36">
        <v>1.0</v>
      </c>
      <c r="C1087" s="37" t="str">
        <f>IFERROR(__xludf.DUMMYFUNCTION("""COMPUTED_VALUE"""),"Ben Samuels (XX) - '27 RHP MA")</f>
        <v>Ben Samuels (XX) - '27 RHP MA</v>
      </c>
      <c r="D1087" s="38" t="s">
        <v>5748</v>
      </c>
      <c r="E1087" s="51" t="s">
        <v>63</v>
      </c>
      <c r="F1087" s="119"/>
      <c r="G1087" s="116" t="s">
        <v>1395</v>
      </c>
      <c r="H1087" s="54" t="s">
        <v>116</v>
      </c>
      <c r="I1087" s="55" t="s">
        <v>5749</v>
      </c>
      <c r="J1087" s="55">
        <v>2027.0</v>
      </c>
      <c r="K1087" s="55" t="s">
        <v>410</v>
      </c>
      <c r="L1087" s="55" t="s">
        <v>2323</v>
      </c>
      <c r="M1087" s="55" t="s">
        <v>63</v>
      </c>
      <c r="N1087" s="132"/>
      <c r="O1087" s="55" t="s">
        <v>1550</v>
      </c>
      <c r="P1087" s="55"/>
      <c r="Q1087" s="55" t="s">
        <v>85</v>
      </c>
      <c r="R1087" s="55" t="s">
        <v>2485</v>
      </c>
      <c r="S1087" s="58" t="s">
        <v>2989</v>
      </c>
      <c r="T1087" s="51"/>
      <c r="U1087" s="51"/>
      <c r="V1087" s="51"/>
      <c r="W1087" s="51"/>
      <c r="X1087" s="74"/>
      <c r="Y1087" s="74"/>
      <c r="Z1087" s="76"/>
      <c r="AA1087" s="134"/>
      <c r="AB1087" s="62" t="s">
        <v>61</v>
      </c>
      <c r="AC1087" s="63" t="s">
        <v>61</v>
      </c>
      <c r="AD1087" s="64" t="s">
        <v>61</v>
      </c>
      <c r="AE1087" s="64" t="s">
        <v>61</v>
      </c>
      <c r="AF1087" s="63" t="s">
        <v>61</v>
      </c>
      <c r="AG1087" s="63" t="s">
        <v>61</v>
      </c>
      <c r="AH1087" s="63" t="s">
        <v>61</v>
      </c>
      <c r="AI1087" s="65" t="s">
        <v>61</v>
      </c>
      <c r="AJ1087" s="66" t="s">
        <v>61</v>
      </c>
      <c r="AK1087" s="60"/>
    </row>
    <row r="1088" ht="24.0" customHeight="1">
      <c r="A1088" s="35"/>
      <c r="B1088" s="36">
        <v>1.0</v>
      </c>
      <c r="C1088" s="37" t="str">
        <f>IFERROR(__xludf.DUMMYFUNCTION("""COMPUTED_VALUE"""),"Daniel Sanchez (XX) - '27 RHP VA")</f>
        <v>Daniel Sanchez (XX) - '27 RHP VA</v>
      </c>
      <c r="D1088" s="38" t="s">
        <v>5750</v>
      </c>
      <c r="E1088" s="39" t="s">
        <v>63</v>
      </c>
      <c r="F1088" s="118">
        <v>45865.0</v>
      </c>
      <c r="G1088" s="113" t="s">
        <v>1470</v>
      </c>
      <c r="H1088" s="42" t="s">
        <v>5751</v>
      </c>
      <c r="I1088" s="43" t="s">
        <v>5752</v>
      </c>
      <c r="J1088" s="43">
        <v>2027.0</v>
      </c>
      <c r="K1088" s="43" t="s">
        <v>410</v>
      </c>
      <c r="L1088" s="43" t="s">
        <v>5299</v>
      </c>
      <c r="M1088" s="43" t="s">
        <v>63</v>
      </c>
      <c r="N1088" s="117"/>
      <c r="O1088" s="43" t="s">
        <v>1989</v>
      </c>
      <c r="P1088" s="43" t="s">
        <v>5753</v>
      </c>
      <c r="Q1088" s="43" t="s">
        <v>125</v>
      </c>
      <c r="R1088" s="43" t="s">
        <v>5754</v>
      </c>
      <c r="S1088" s="44"/>
      <c r="T1088" s="39">
        <v>4.0</v>
      </c>
      <c r="U1088" s="39"/>
      <c r="V1088" s="39" t="s">
        <v>5755</v>
      </c>
      <c r="W1088" s="39" t="s">
        <v>2821</v>
      </c>
      <c r="X1088" s="81"/>
      <c r="Y1088" s="81"/>
      <c r="Z1088" s="82"/>
      <c r="AA1088" s="99"/>
      <c r="AB1088" s="48" t="s">
        <v>61</v>
      </c>
      <c r="AC1088" s="68" t="s">
        <v>61</v>
      </c>
      <c r="AD1088" s="69" t="s">
        <v>61</v>
      </c>
      <c r="AE1088" s="69" t="s">
        <v>61</v>
      </c>
      <c r="AF1088" s="68" t="s">
        <v>61</v>
      </c>
      <c r="AG1088" s="68" t="s">
        <v>61</v>
      </c>
      <c r="AH1088" s="68" t="s">
        <v>61</v>
      </c>
      <c r="AI1088" s="70" t="s">
        <v>61</v>
      </c>
      <c r="AJ1088" s="49" t="s">
        <v>61</v>
      </c>
      <c r="AK1088" s="46"/>
    </row>
    <row r="1089" ht="24.0" customHeight="1">
      <c r="A1089" s="35"/>
      <c r="B1089" s="36">
        <v>1.0</v>
      </c>
      <c r="C1089" s="37" t="str">
        <f>IFERROR(__xludf.DUMMYFUNCTION("""COMPUTED_VALUE"""),"Parker Sansone (XX) - '27 RHP MO")</f>
        <v>Parker Sansone (XX) - '27 RHP MO</v>
      </c>
      <c r="D1089" s="38" t="s">
        <v>5756</v>
      </c>
      <c r="E1089" s="51" t="s">
        <v>63</v>
      </c>
      <c r="F1089" s="119">
        <v>45865.0</v>
      </c>
      <c r="G1089" s="116" t="s">
        <v>1430</v>
      </c>
      <c r="H1089" s="54" t="s">
        <v>1595</v>
      </c>
      <c r="I1089" s="55" t="s">
        <v>5757</v>
      </c>
      <c r="J1089" s="55">
        <v>2027.0</v>
      </c>
      <c r="K1089" s="55" t="s">
        <v>410</v>
      </c>
      <c r="L1089" s="55" t="s">
        <v>5758</v>
      </c>
      <c r="M1089" s="55" t="s">
        <v>63</v>
      </c>
      <c r="N1089" s="132"/>
      <c r="O1089" s="55" t="s">
        <v>1550</v>
      </c>
      <c r="P1089" s="55" t="s">
        <v>5759</v>
      </c>
      <c r="Q1089" s="55" t="s">
        <v>585</v>
      </c>
      <c r="R1089" s="55" t="s">
        <v>5760</v>
      </c>
      <c r="S1089" s="58"/>
      <c r="T1089" s="51">
        <v>4.0</v>
      </c>
      <c r="U1089" s="51"/>
      <c r="V1089" s="51" t="s">
        <v>5761</v>
      </c>
      <c r="W1089" s="51" t="s">
        <v>2821</v>
      </c>
      <c r="X1089" s="74"/>
      <c r="Y1089" s="74"/>
      <c r="Z1089" s="76"/>
      <c r="AA1089" s="134"/>
      <c r="AB1089" s="62" t="s">
        <v>61</v>
      </c>
      <c r="AC1089" s="63" t="s">
        <v>61</v>
      </c>
      <c r="AD1089" s="64" t="s">
        <v>61</v>
      </c>
      <c r="AE1089" s="64" t="s">
        <v>61</v>
      </c>
      <c r="AF1089" s="63" t="s">
        <v>61</v>
      </c>
      <c r="AG1089" s="63" t="s">
        <v>61</v>
      </c>
      <c r="AH1089" s="63" t="s">
        <v>61</v>
      </c>
      <c r="AI1089" s="65" t="s">
        <v>61</v>
      </c>
      <c r="AJ1089" s="66" t="s">
        <v>61</v>
      </c>
      <c r="AK1089" s="60"/>
    </row>
    <row r="1090" ht="24.0" customHeight="1">
      <c r="A1090" s="35"/>
      <c r="B1090" s="36">
        <v>1.0</v>
      </c>
      <c r="C1090" s="37" t="str">
        <f>IFERROR(__xludf.DUMMYFUNCTION("""COMPUTED_VALUE"""),"Lucas Sarno (XX) - '27 MINF MA")</f>
        <v>Lucas Sarno (XX) - '27 MINF MA</v>
      </c>
      <c r="D1090" s="38" t="s">
        <v>5762</v>
      </c>
      <c r="E1090" s="39" t="s">
        <v>48</v>
      </c>
      <c r="F1090" s="118"/>
      <c r="G1090" s="113" t="s">
        <v>1395</v>
      </c>
      <c r="H1090" s="42" t="s">
        <v>151</v>
      </c>
      <c r="I1090" s="43" t="s">
        <v>5763</v>
      </c>
      <c r="J1090" s="43">
        <v>2027.0</v>
      </c>
      <c r="K1090" s="43" t="s">
        <v>410</v>
      </c>
      <c r="L1090" s="43" t="s">
        <v>2447</v>
      </c>
      <c r="M1090" s="43" t="s">
        <v>51</v>
      </c>
      <c r="N1090" s="117"/>
      <c r="O1090" s="43" t="s">
        <v>1550</v>
      </c>
      <c r="P1090" s="43"/>
      <c r="Q1090" s="43" t="s">
        <v>85</v>
      </c>
      <c r="R1090" s="43" t="s">
        <v>2801</v>
      </c>
      <c r="S1090" s="44" t="s">
        <v>2983</v>
      </c>
      <c r="T1090" s="39"/>
      <c r="U1090" s="39"/>
      <c r="V1090" s="39"/>
      <c r="W1090" s="39"/>
      <c r="X1090" s="81"/>
      <c r="Y1090" s="81"/>
      <c r="Z1090" s="82"/>
      <c r="AA1090" s="99"/>
      <c r="AB1090" s="48" t="s">
        <v>5764</v>
      </c>
      <c r="AC1090" s="68" t="s">
        <v>5765</v>
      </c>
      <c r="AD1090" s="69" t="s">
        <v>5766</v>
      </c>
      <c r="AE1090" s="69" t="s">
        <v>400</v>
      </c>
      <c r="AF1090" s="68" t="s">
        <v>5767</v>
      </c>
      <c r="AG1090" s="68" t="s">
        <v>400</v>
      </c>
      <c r="AH1090" s="68" t="s">
        <v>81</v>
      </c>
      <c r="AI1090" s="70" t="s">
        <v>81</v>
      </c>
      <c r="AJ1090" s="49" t="s">
        <v>61</v>
      </c>
      <c r="AK1090" s="46"/>
    </row>
    <row r="1091" ht="24.0" customHeight="1">
      <c r="A1091" s="35"/>
      <c r="B1091" s="36">
        <v>1.0</v>
      </c>
      <c r="C1091" s="37" t="str">
        <f>IFERROR(__xludf.DUMMYFUNCTION("""COMPUTED_VALUE"""),"John Saunders (XX) - '27 RHP PA")</f>
        <v>John Saunders (XX) - '27 RHP PA</v>
      </c>
      <c r="D1091" s="38" t="s">
        <v>5768</v>
      </c>
      <c r="E1091" s="51" t="s">
        <v>63</v>
      </c>
      <c r="F1091" s="119"/>
      <c r="G1091" s="116" t="s">
        <v>1395</v>
      </c>
      <c r="H1091" s="54" t="s">
        <v>39</v>
      </c>
      <c r="I1091" s="55" t="s">
        <v>5769</v>
      </c>
      <c r="J1091" s="55">
        <v>2027.0</v>
      </c>
      <c r="K1091" s="55" t="s">
        <v>410</v>
      </c>
      <c r="L1091" s="55" t="s">
        <v>5770</v>
      </c>
      <c r="M1091" s="55" t="s">
        <v>63</v>
      </c>
      <c r="N1091" s="132"/>
      <c r="O1091" s="55" t="s">
        <v>1550</v>
      </c>
      <c r="P1091" s="55"/>
      <c r="Q1091" s="55" t="s">
        <v>240</v>
      </c>
      <c r="R1091" s="55" t="s">
        <v>5771</v>
      </c>
      <c r="S1091" s="58" t="s">
        <v>5772</v>
      </c>
      <c r="T1091" s="51"/>
      <c r="U1091" s="51"/>
      <c r="V1091" s="51"/>
      <c r="W1091" s="51"/>
      <c r="X1091" s="74"/>
      <c r="Y1091" s="74"/>
      <c r="Z1091" s="76"/>
      <c r="AA1091" s="134"/>
      <c r="AB1091" s="62" t="s">
        <v>61</v>
      </c>
      <c r="AC1091" s="63" t="s">
        <v>61</v>
      </c>
      <c r="AD1091" s="64" t="s">
        <v>61</v>
      </c>
      <c r="AE1091" s="64" t="s">
        <v>61</v>
      </c>
      <c r="AF1091" s="63" t="s">
        <v>61</v>
      </c>
      <c r="AG1091" s="63" t="s">
        <v>61</v>
      </c>
      <c r="AH1091" s="63" t="s">
        <v>61</v>
      </c>
      <c r="AI1091" s="65" t="s">
        <v>61</v>
      </c>
      <c r="AJ1091" s="66" t="s">
        <v>61</v>
      </c>
      <c r="AK1091" s="60"/>
    </row>
    <row r="1092" ht="24.0" customHeight="1">
      <c r="A1092" s="35"/>
      <c r="B1092" s="36">
        <v>1.0</v>
      </c>
      <c r="C1092" s="37" t="str">
        <f>IFERROR(__xludf.DUMMYFUNCTION("""COMPUTED_VALUE"""),"Andrew Scarlett (XX) - '27 LHP CT")</f>
        <v>Andrew Scarlett (XX) - '27 LHP CT</v>
      </c>
      <c r="D1092" s="38" t="s">
        <v>5773</v>
      </c>
      <c r="E1092" s="39" t="s">
        <v>122</v>
      </c>
      <c r="F1092" s="118"/>
      <c r="G1092" s="113" t="s">
        <v>1395</v>
      </c>
      <c r="H1092" s="42" t="s">
        <v>457</v>
      </c>
      <c r="I1092" s="43" t="s">
        <v>5774</v>
      </c>
      <c r="J1092" s="43">
        <v>2027.0</v>
      </c>
      <c r="K1092" s="43" t="s">
        <v>410</v>
      </c>
      <c r="L1092" s="43" t="s">
        <v>5236</v>
      </c>
      <c r="M1092" s="43" t="s">
        <v>122</v>
      </c>
      <c r="N1092" s="117"/>
      <c r="O1092" s="43" t="s">
        <v>3667</v>
      </c>
      <c r="P1092" s="43"/>
      <c r="Q1092" s="43" t="s">
        <v>160</v>
      </c>
      <c r="R1092" s="43" t="s">
        <v>4264</v>
      </c>
      <c r="S1092" s="44" t="s">
        <v>5775</v>
      </c>
      <c r="T1092" s="39"/>
      <c r="U1092" s="39"/>
      <c r="V1092" s="39"/>
      <c r="W1092" s="39"/>
      <c r="X1092" s="81"/>
      <c r="Y1092" s="81"/>
      <c r="Z1092" s="82"/>
      <c r="AA1092" s="99"/>
      <c r="AB1092" s="48" t="s">
        <v>61</v>
      </c>
      <c r="AC1092" s="68" t="s">
        <v>61</v>
      </c>
      <c r="AD1092" s="69" t="s">
        <v>61</v>
      </c>
      <c r="AE1092" s="69" t="s">
        <v>61</v>
      </c>
      <c r="AF1092" s="68" t="s">
        <v>61</v>
      </c>
      <c r="AG1092" s="68" t="s">
        <v>61</v>
      </c>
      <c r="AH1092" s="68" t="s">
        <v>61</v>
      </c>
      <c r="AI1092" s="70" t="s">
        <v>61</v>
      </c>
      <c r="AJ1092" s="49" t="s">
        <v>61</v>
      </c>
      <c r="AK1092" s="46"/>
    </row>
    <row r="1093" ht="24.0" customHeight="1">
      <c r="A1093" s="35"/>
      <c r="B1093" s="36">
        <v>1.0</v>
      </c>
      <c r="C1093" s="37" t="str">
        <f>IFERROR(__xludf.DUMMYFUNCTION("""COMPUTED_VALUE"""),"Ben Schaeffer (XX) - '27 OF IN")</f>
        <v>Ben Schaeffer (XX) - '27 OF IN</v>
      </c>
      <c r="D1093" s="38" t="s">
        <v>5776</v>
      </c>
      <c r="E1093" s="51" t="s">
        <v>103</v>
      </c>
      <c r="F1093" s="119">
        <v>45915.0</v>
      </c>
      <c r="G1093" s="116" t="s">
        <v>1430</v>
      </c>
      <c r="H1093" s="54" t="s">
        <v>116</v>
      </c>
      <c r="I1093" s="55" t="s">
        <v>5777</v>
      </c>
      <c r="J1093" s="55">
        <v>2027.0</v>
      </c>
      <c r="K1093" s="55" t="s">
        <v>410</v>
      </c>
      <c r="L1093" s="55" t="s">
        <v>5778</v>
      </c>
      <c r="M1093" s="55" t="s">
        <v>103</v>
      </c>
      <c r="N1093" s="132"/>
      <c r="O1093" s="55" t="s">
        <v>1989</v>
      </c>
      <c r="P1093" s="55" t="s">
        <v>5779</v>
      </c>
      <c r="Q1093" s="55" t="s">
        <v>153</v>
      </c>
      <c r="R1093" s="55" t="s">
        <v>5780</v>
      </c>
      <c r="S1093" s="58" t="s">
        <v>3653</v>
      </c>
      <c r="T1093" s="51"/>
      <c r="U1093" s="51"/>
      <c r="V1093" s="51"/>
      <c r="W1093" s="51"/>
      <c r="X1093" s="74"/>
      <c r="Y1093" s="74"/>
      <c r="Z1093" s="76"/>
      <c r="AA1093" s="134"/>
      <c r="AB1093" s="62" t="s">
        <v>61</v>
      </c>
      <c r="AC1093" s="63" t="s">
        <v>61</v>
      </c>
      <c r="AD1093" s="64" t="s">
        <v>61</v>
      </c>
      <c r="AE1093" s="64" t="s">
        <v>61</v>
      </c>
      <c r="AF1093" s="63" t="s">
        <v>61</v>
      </c>
      <c r="AG1093" s="63" t="s">
        <v>61</v>
      </c>
      <c r="AH1093" s="63" t="s">
        <v>61</v>
      </c>
      <c r="AI1093" s="65" t="s">
        <v>61</v>
      </c>
      <c r="AJ1093" s="66" t="s">
        <v>61</v>
      </c>
      <c r="AK1093" s="60"/>
    </row>
    <row r="1094" ht="24.0" customHeight="1">
      <c r="A1094" s="35"/>
      <c r="B1094" s="36">
        <v>1.0</v>
      </c>
      <c r="C1094" s="37" t="str">
        <f>IFERROR(__xludf.DUMMYFUNCTION("""COMPUTED_VALUE"""),"Jackson Schilling (XX) - '27 C OH")</f>
        <v>Jackson Schilling (XX) - '27 C OH</v>
      </c>
      <c r="D1094" s="38" t="s">
        <v>5781</v>
      </c>
      <c r="E1094" s="39" t="s">
        <v>109</v>
      </c>
      <c r="F1094" s="118">
        <v>45865.0</v>
      </c>
      <c r="G1094" s="113" t="s">
        <v>1470</v>
      </c>
      <c r="H1094" s="42" t="s">
        <v>432</v>
      </c>
      <c r="I1094" s="43" t="s">
        <v>5782</v>
      </c>
      <c r="J1094" s="43">
        <v>2027.0</v>
      </c>
      <c r="K1094" s="43" t="s">
        <v>410</v>
      </c>
      <c r="L1094" s="43" t="s">
        <v>5783</v>
      </c>
      <c r="M1094" s="43" t="s">
        <v>109</v>
      </c>
      <c r="N1094" s="117"/>
      <c r="O1094" s="43" t="s">
        <v>1550</v>
      </c>
      <c r="P1094" s="43" t="s">
        <v>5784</v>
      </c>
      <c r="Q1094" s="43" t="s">
        <v>529</v>
      </c>
      <c r="R1094" s="43" t="s">
        <v>5785</v>
      </c>
      <c r="S1094" s="44"/>
      <c r="T1094" s="39">
        <v>3.8</v>
      </c>
      <c r="U1094" s="39"/>
      <c r="V1094" s="39" t="s">
        <v>5786</v>
      </c>
      <c r="W1094" s="39" t="s">
        <v>2821</v>
      </c>
      <c r="X1094" s="81"/>
      <c r="Y1094" s="81"/>
      <c r="Z1094" s="82"/>
      <c r="AA1094" s="99"/>
      <c r="AB1094" s="48" t="s">
        <v>61</v>
      </c>
      <c r="AC1094" s="68" t="s">
        <v>61</v>
      </c>
      <c r="AD1094" s="69" t="s">
        <v>61</v>
      </c>
      <c r="AE1094" s="69" t="s">
        <v>61</v>
      </c>
      <c r="AF1094" s="68" t="s">
        <v>61</v>
      </c>
      <c r="AG1094" s="68" t="s">
        <v>61</v>
      </c>
      <c r="AH1094" s="68" t="s">
        <v>61</v>
      </c>
      <c r="AI1094" s="70" t="s">
        <v>61</v>
      </c>
      <c r="AJ1094" s="49" t="s">
        <v>61</v>
      </c>
      <c r="AK1094" s="46"/>
    </row>
    <row r="1095" ht="24.0" customHeight="1">
      <c r="A1095" s="35"/>
      <c r="B1095" s="36">
        <v>1.0</v>
      </c>
      <c r="C1095" s="37" t="str">
        <f>IFERROR(__xludf.DUMMYFUNCTION("""COMPUTED_VALUE"""),"Jackson Shepherd (XX) - '27 3B CO")</f>
        <v>Jackson Shepherd (XX) - '27 3B CO</v>
      </c>
      <c r="D1095" s="38" t="s">
        <v>5787</v>
      </c>
      <c r="E1095" s="51" t="s">
        <v>48</v>
      </c>
      <c r="F1095" s="119">
        <v>45865.0</v>
      </c>
      <c r="G1095" s="116" t="s">
        <v>1470</v>
      </c>
      <c r="H1095" s="54" t="s">
        <v>432</v>
      </c>
      <c r="I1095" s="55" t="s">
        <v>1782</v>
      </c>
      <c r="J1095" s="55">
        <v>2027.0</v>
      </c>
      <c r="K1095" s="55" t="s">
        <v>410</v>
      </c>
      <c r="L1095" s="55" t="s">
        <v>2904</v>
      </c>
      <c r="M1095" s="55" t="s">
        <v>1519</v>
      </c>
      <c r="N1095" s="132"/>
      <c r="O1095" s="55" t="s">
        <v>1550</v>
      </c>
      <c r="P1095" s="55" t="s">
        <v>5788</v>
      </c>
      <c r="Q1095" s="55" t="s">
        <v>174</v>
      </c>
      <c r="R1095" s="55" t="s">
        <v>579</v>
      </c>
      <c r="S1095" s="58"/>
      <c r="T1095" s="51"/>
      <c r="U1095" s="51"/>
      <c r="V1095" s="51" t="s">
        <v>5789</v>
      </c>
      <c r="W1095" s="51" t="s">
        <v>2821</v>
      </c>
      <c r="X1095" s="74"/>
      <c r="Y1095" s="74"/>
      <c r="Z1095" s="76"/>
      <c r="AA1095" s="134"/>
      <c r="AB1095" s="62" t="s">
        <v>61</v>
      </c>
      <c r="AC1095" s="63" t="s">
        <v>61</v>
      </c>
      <c r="AD1095" s="64" t="s">
        <v>61</v>
      </c>
      <c r="AE1095" s="64" t="s">
        <v>61</v>
      </c>
      <c r="AF1095" s="63" t="s">
        <v>61</v>
      </c>
      <c r="AG1095" s="63" t="s">
        <v>61</v>
      </c>
      <c r="AH1095" s="63" t="s">
        <v>61</v>
      </c>
      <c r="AI1095" s="65" t="s">
        <v>61</v>
      </c>
      <c r="AJ1095" s="66" t="s">
        <v>61</v>
      </c>
      <c r="AK1095" s="60"/>
    </row>
    <row r="1096" ht="24.0" customHeight="1">
      <c r="A1096" s="35"/>
      <c r="B1096" s="36">
        <v>1.0</v>
      </c>
      <c r="C1096" s="37" t="str">
        <f>IFERROR(__xludf.DUMMYFUNCTION("""COMPUTED_VALUE"""),"Owen Shirey (XX) - '27 SS NC")</f>
        <v>Owen Shirey (XX) - '27 SS NC</v>
      </c>
      <c r="D1096" s="38" t="s">
        <v>5790</v>
      </c>
      <c r="E1096" s="39" t="s">
        <v>48</v>
      </c>
      <c r="F1096" s="118">
        <v>45925.0</v>
      </c>
      <c r="G1096" s="113" t="s">
        <v>1395</v>
      </c>
      <c r="H1096" s="42" t="s">
        <v>64</v>
      </c>
      <c r="I1096" s="43" t="s">
        <v>5791</v>
      </c>
      <c r="J1096" s="43">
        <v>2027.0</v>
      </c>
      <c r="K1096" s="43" t="s">
        <v>410</v>
      </c>
      <c r="L1096" s="43" t="s">
        <v>2028</v>
      </c>
      <c r="M1096" s="43" t="s">
        <v>1398</v>
      </c>
      <c r="N1096" s="117"/>
      <c r="O1096" s="43"/>
      <c r="P1096" s="43" t="s">
        <v>5792</v>
      </c>
      <c r="Q1096" s="43" t="s">
        <v>73</v>
      </c>
      <c r="R1096" s="43" t="s">
        <v>5793</v>
      </c>
      <c r="S1096" s="44" t="s">
        <v>1599</v>
      </c>
      <c r="T1096" s="39"/>
      <c r="U1096" s="39"/>
      <c r="V1096" s="39"/>
      <c r="W1096" s="39" t="s">
        <v>1564</v>
      </c>
      <c r="X1096" s="81"/>
      <c r="Y1096" s="81"/>
      <c r="Z1096" s="82"/>
      <c r="AA1096" s="99"/>
      <c r="AB1096" s="48" t="s">
        <v>5794</v>
      </c>
      <c r="AC1096" s="68" t="s">
        <v>5795</v>
      </c>
      <c r="AD1096" s="69" t="s">
        <v>5796</v>
      </c>
      <c r="AE1096" s="69" t="s">
        <v>5797</v>
      </c>
      <c r="AF1096" s="68" t="s">
        <v>5798</v>
      </c>
      <c r="AG1096" s="68" t="s">
        <v>81</v>
      </c>
      <c r="AH1096" s="68" t="s">
        <v>5799</v>
      </c>
      <c r="AI1096" s="70" t="s">
        <v>81</v>
      </c>
      <c r="AJ1096" s="49" t="s">
        <v>61</v>
      </c>
      <c r="AK1096" s="46"/>
    </row>
    <row r="1097" ht="24.0" customHeight="1">
      <c r="A1097" s="35"/>
      <c r="B1097" s="36">
        <v>1.0</v>
      </c>
      <c r="C1097" s="37" t="str">
        <f>IFERROR(__xludf.DUMMYFUNCTION("""COMPUTED_VALUE"""),"Judah Shirlen (XX) - '27 SS MD")</f>
        <v>Judah Shirlen (XX) - '27 SS MD</v>
      </c>
      <c r="D1097" s="38" t="s">
        <v>5800</v>
      </c>
      <c r="E1097" s="51" t="s">
        <v>48</v>
      </c>
      <c r="F1097" s="119">
        <v>45865.0</v>
      </c>
      <c r="G1097" s="116" t="s">
        <v>1395</v>
      </c>
      <c r="H1097" s="54" t="s">
        <v>5801</v>
      </c>
      <c r="I1097" s="55" t="s">
        <v>5802</v>
      </c>
      <c r="J1097" s="55">
        <v>2027.0</v>
      </c>
      <c r="K1097" s="55" t="s">
        <v>410</v>
      </c>
      <c r="L1097" s="55" t="s">
        <v>4130</v>
      </c>
      <c r="M1097" s="55" t="s">
        <v>1398</v>
      </c>
      <c r="N1097" s="132"/>
      <c r="O1097" s="55" t="s">
        <v>1550</v>
      </c>
      <c r="P1097" s="55" t="s">
        <v>5803</v>
      </c>
      <c r="Q1097" s="55" t="s">
        <v>195</v>
      </c>
      <c r="R1097" s="55" t="s">
        <v>5804</v>
      </c>
      <c r="S1097" s="58"/>
      <c r="T1097" s="51">
        <v>3.8</v>
      </c>
      <c r="U1097" s="51"/>
      <c r="V1097" s="51" t="s">
        <v>5805</v>
      </c>
      <c r="W1097" s="51" t="s">
        <v>2821</v>
      </c>
      <c r="X1097" s="74"/>
      <c r="Y1097" s="74"/>
      <c r="Z1097" s="76"/>
      <c r="AA1097" s="134"/>
      <c r="AB1097" s="62" t="s">
        <v>61</v>
      </c>
      <c r="AC1097" s="63" t="s">
        <v>61</v>
      </c>
      <c r="AD1097" s="64" t="s">
        <v>61</v>
      </c>
      <c r="AE1097" s="64" t="s">
        <v>61</v>
      </c>
      <c r="AF1097" s="63" t="s">
        <v>61</v>
      </c>
      <c r="AG1097" s="63" t="s">
        <v>61</v>
      </c>
      <c r="AH1097" s="63" t="s">
        <v>61</v>
      </c>
      <c r="AI1097" s="65" t="s">
        <v>61</v>
      </c>
      <c r="AJ1097" s="66" t="s">
        <v>61</v>
      </c>
      <c r="AK1097" s="60"/>
    </row>
    <row r="1098" ht="24.0" customHeight="1">
      <c r="A1098" s="35"/>
      <c r="B1098" s="36">
        <v>1.0</v>
      </c>
      <c r="C1098" s="37" t="str">
        <f>IFERROR(__xludf.DUMMYFUNCTION("""COMPUTED_VALUE"""),"Cooper Sievert (XX) - '27 SS WI")</f>
        <v>Cooper Sievert (XX) - '27 SS WI</v>
      </c>
      <c r="D1098" s="38" t="s">
        <v>5806</v>
      </c>
      <c r="E1098" s="39" t="s">
        <v>48</v>
      </c>
      <c r="F1098" s="118">
        <v>45865.0</v>
      </c>
      <c r="G1098" s="113" t="s">
        <v>1395</v>
      </c>
      <c r="H1098" s="42" t="s">
        <v>696</v>
      </c>
      <c r="I1098" s="43" t="s">
        <v>5807</v>
      </c>
      <c r="J1098" s="43">
        <v>2027.0</v>
      </c>
      <c r="K1098" s="43" t="s">
        <v>410</v>
      </c>
      <c r="L1098" s="43" t="s">
        <v>5808</v>
      </c>
      <c r="M1098" s="43" t="s">
        <v>1398</v>
      </c>
      <c r="N1098" s="117"/>
      <c r="O1098" s="43" t="s">
        <v>1550</v>
      </c>
      <c r="P1098" s="43" t="s">
        <v>5809</v>
      </c>
      <c r="Q1098" s="43" t="s">
        <v>1153</v>
      </c>
      <c r="R1098" s="43" t="s">
        <v>5810</v>
      </c>
      <c r="S1098" s="44"/>
      <c r="T1098" s="39">
        <v>4.0</v>
      </c>
      <c r="U1098" s="39"/>
      <c r="V1098" s="39" t="s">
        <v>5811</v>
      </c>
      <c r="W1098" s="39" t="s">
        <v>2821</v>
      </c>
      <c r="X1098" s="81"/>
      <c r="Y1098" s="81"/>
      <c r="Z1098" s="82"/>
      <c r="AA1098" s="99"/>
      <c r="AB1098" s="48" t="s">
        <v>61</v>
      </c>
      <c r="AC1098" s="68" t="s">
        <v>61</v>
      </c>
      <c r="AD1098" s="69" t="s">
        <v>61</v>
      </c>
      <c r="AE1098" s="69" t="s">
        <v>61</v>
      </c>
      <c r="AF1098" s="68" t="s">
        <v>61</v>
      </c>
      <c r="AG1098" s="68" t="s">
        <v>61</v>
      </c>
      <c r="AH1098" s="68" t="s">
        <v>61</v>
      </c>
      <c r="AI1098" s="70" t="s">
        <v>61</v>
      </c>
      <c r="AJ1098" s="49" t="s">
        <v>61</v>
      </c>
      <c r="AK1098" s="46"/>
    </row>
    <row r="1099" ht="24.0" customHeight="1">
      <c r="A1099" s="35"/>
      <c r="B1099" s="36">
        <v>1.0</v>
      </c>
      <c r="C1099" s="37" t="str">
        <f>IFERROR(__xludf.DUMMYFUNCTION("""COMPUTED_VALUE"""),"Brady Smith (XX) - '27 RHP IA")</f>
        <v>Brady Smith (XX) - '27 RHP IA</v>
      </c>
      <c r="D1099" s="38" t="s">
        <v>5812</v>
      </c>
      <c r="E1099" s="51" t="s">
        <v>63</v>
      </c>
      <c r="F1099" s="119">
        <v>45865.0</v>
      </c>
      <c r="G1099" s="116" t="s">
        <v>1430</v>
      </c>
      <c r="H1099" s="54" t="s">
        <v>517</v>
      </c>
      <c r="I1099" s="55" t="s">
        <v>1338</v>
      </c>
      <c r="J1099" s="55">
        <v>2027.0</v>
      </c>
      <c r="K1099" s="55" t="s">
        <v>410</v>
      </c>
      <c r="L1099" s="55" t="s">
        <v>1981</v>
      </c>
      <c r="M1099" s="55" t="s">
        <v>63</v>
      </c>
      <c r="N1099" s="132"/>
      <c r="O1099" s="55" t="s">
        <v>1550</v>
      </c>
      <c r="P1099" s="55" t="s">
        <v>5813</v>
      </c>
      <c r="Q1099" s="55" t="s">
        <v>360</v>
      </c>
      <c r="R1099" s="55" t="s">
        <v>5814</v>
      </c>
      <c r="S1099" s="58"/>
      <c r="T1099" s="51">
        <v>3.9</v>
      </c>
      <c r="U1099" s="51"/>
      <c r="V1099" s="51" t="s">
        <v>5815</v>
      </c>
      <c r="W1099" s="51" t="s">
        <v>2821</v>
      </c>
      <c r="X1099" s="74"/>
      <c r="Y1099" s="74"/>
      <c r="Z1099" s="76"/>
      <c r="AA1099" s="134"/>
      <c r="AB1099" s="62" t="s">
        <v>61</v>
      </c>
      <c r="AC1099" s="63" t="s">
        <v>61</v>
      </c>
      <c r="AD1099" s="64" t="s">
        <v>61</v>
      </c>
      <c r="AE1099" s="64" t="s">
        <v>61</v>
      </c>
      <c r="AF1099" s="63" t="s">
        <v>61</v>
      </c>
      <c r="AG1099" s="63" t="s">
        <v>61</v>
      </c>
      <c r="AH1099" s="63" t="s">
        <v>61</v>
      </c>
      <c r="AI1099" s="65" t="s">
        <v>61</v>
      </c>
      <c r="AJ1099" s="66" t="s">
        <v>61</v>
      </c>
      <c r="AK1099" s="60"/>
    </row>
    <row r="1100" ht="24.0" customHeight="1">
      <c r="A1100" s="35"/>
      <c r="B1100" s="36">
        <v>1.0</v>
      </c>
      <c r="C1100" s="37" t="str">
        <f>IFERROR(__xludf.DUMMYFUNCTION("""COMPUTED_VALUE"""),"Grant Stafford (XX) - '27 SS TX")</f>
        <v>Grant Stafford (XX) - '27 SS TX</v>
      </c>
      <c r="D1100" s="38" t="s">
        <v>5816</v>
      </c>
      <c r="E1100" s="39" t="s">
        <v>48</v>
      </c>
      <c r="F1100" s="118">
        <v>45865.0</v>
      </c>
      <c r="G1100" s="113" t="s">
        <v>1470</v>
      </c>
      <c r="H1100" s="42" t="s">
        <v>278</v>
      </c>
      <c r="I1100" s="43" t="s">
        <v>5817</v>
      </c>
      <c r="J1100" s="43">
        <v>2027.0</v>
      </c>
      <c r="K1100" s="43" t="s">
        <v>410</v>
      </c>
      <c r="L1100" s="43" t="s">
        <v>2355</v>
      </c>
      <c r="M1100" s="43" t="s">
        <v>1398</v>
      </c>
      <c r="N1100" s="117"/>
      <c r="O1100" s="43" t="s">
        <v>1989</v>
      </c>
      <c r="P1100" s="43" t="s">
        <v>5818</v>
      </c>
      <c r="Q1100" s="43" t="s">
        <v>180</v>
      </c>
      <c r="R1100" s="43" t="s">
        <v>5818</v>
      </c>
      <c r="S1100" s="44"/>
      <c r="T1100" s="39"/>
      <c r="U1100" s="39"/>
      <c r="V1100" s="39" t="s">
        <v>5819</v>
      </c>
      <c r="W1100" s="39" t="s">
        <v>2821</v>
      </c>
      <c r="X1100" s="81"/>
      <c r="Y1100" s="81"/>
      <c r="Z1100" s="82"/>
      <c r="AA1100" s="99"/>
      <c r="AB1100" s="48" t="s">
        <v>5820</v>
      </c>
      <c r="AC1100" s="68"/>
      <c r="AD1100" s="69"/>
      <c r="AE1100" s="69"/>
      <c r="AF1100" s="68"/>
      <c r="AG1100" s="68"/>
      <c r="AH1100" s="68"/>
      <c r="AI1100" s="70" t="s">
        <v>5821</v>
      </c>
      <c r="AJ1100" s="49" t="s">
        <v>61</v>
      </c>
      <c r="AK1100" s="46"/>
    </row>
    <row r="1101" ht="24.0" customHeight="1">
      <c r="A1101" s="35"/>
      <c r="B1101" s="36">
        <v>1.0</v>
      </c>
      <c r="C1101" s="37" t="str">
        <f>IFERROR(__xludf.DUMMYFUNCTION("""COMPUTED_VALUE"""),"Barrett Standley (XX) - '27 OF OK")</f>
        <v>Barrett Standley (XX) - '27 OF OK</v>
      </c>
      <c r="D1101" s="38" t="s">
        <v>5822</v>
      </c>
      <c r="E1101" s="51" t="s">
        <v>103</v>
      </c>
      <c r="F1101" s="119">
        <v>45865.0</v>
      </c>
      <c r="G1101" s="116" t="s">
        <v>1395</v>
      </c>
      <c r="H1101" s="54" t="s">
        <v>3707</v>
      </c>
      <c r="I1101" s="55" t="s">
        <v>5823</v>
      </c>
      <c r="J1101" s="55">
        <v>2027.0</v>
      </c>
      <c r="K1101" s="55" t="s">
        <v>410</v>
      </c>
      <c r="L1101" s="55" t="s">
        <v>5824</v>
      </c>
      <c r="M1101" s="55" t="s">
        <v>103</v>
      </c>
      <c r="N1101" s="132"/>
      <c r="O1101" s="55" t="s">
        <v>2324</v>
      </c>
      <c r="P1101" s="55" t="s">
        <v>3861</v>
      </c>
      <c r="Q1101" s="55" t="s">
        <v>698</v>
      </c>
      <c r="R1101" s="55" t="s">
        <v>3861</v>
      </c>
      <c r="S1101" s="58"/>
      <c r="T1101" s="51">
        <v>4.1</v>
      </c>
      <c r="U1101" s="51"/>
      <c r="V1101" s="51" t="s">
        <v>5825</v>
      </c>
      <c r="W1101" s="51" t="s">
        <v>2821</v>
      </c>
      <c r="X1101" s="74"/>
      <c r="Y1101" s="74"/>
      <c r="Z1101" s="76"/>
      <c r="AA1101" s="134"/>
      <c r="AB1101" s="62" t="s">
        <v>61</v>
      </c>
      <c r="AC1101" s="63" t="s">
        <v>61</v>
      </c>
      <c r="AD1101" s="64" t="s">
        <v>61</v>
      </c>
      <c r="AE1101" s="64" t="s">
        <v>61</v>
      </c>
      <c r="AF1101" s="63" t="s">
        <v>61</v>
      </c>
      <c r="AG1101" s="63" t="s">
        <v>61</v>
      </c>
      <c r="AH1101" s="63" t="s">
        <v>61</v>
      </c>
      <c r="AI1101" s="65" t="s">
        <v>61</v>
      </c>
      <c r="AJ1101" s="66" t="s">
        <v>61</v>
      </c>
      <c r="AK1101" s="60"/>
    </row>
    <row r="1102" ht="24.0" customHeight="1">
      <c r="A1102" s="35"/>
      <c r="B1102" s="36">
        <v>1.0</v>
      </c>
      <c r="C1102" s="37" t="str">
        <f>IFERROR(__xludf.DUMMYFUNCTION("""COMPUTED_VALUE"""),"Caleb Stanton (XX) - '27 CINF FL")</f>
        <v>Caleb Stanton (XX) - '27 CINF FL</v>
      </c>
      <c r="D1102" s="38" t="s">
        <v>5826</v>
      </c>
      <c r="E1102" s="39" t="s">
        <v>48</v>
      </c>
      <c r="F1102" s="118">
        <v>46149.0</v>
      </c>
      <c r="G1102" s="113" t="s">
        <v>1430</v>
      </c>
      <c r="H1102" s="42" t="s">
        <v>589</v>
      </c>
      <c r="I1102" s="43" t="s">
        <v>5827</v>
      </c>
      <c r="J1102" s="43">
        <v>2027.0</v>
      </c>
      <c r="K1102" s="43" t="s">
        <v>410</v>
      </c>
      <c r="L1102" s="43" t="s">
        <v>5828</v>
      </c>
      <c r="M1102" s="43" t="s">
        <v>72</v>
      </c>
      <c r="N1102" s="117"/>
      <c r="O1102" s="43"/>
      <c r="P1102" s="43"/>
      <c r="Q1102" s="43" t="s">
        <v>66</v>
      </c>
      <c r="R1102" s="43"/>
      <c r="S1102" s="44" t="s">
        <v>1125</v>
      </c>
      <c r="T1102" s="39"/>
      <c r="U1102" s="39"/>
      <c r="V1102" s="39"/>
      <c r="W1102" s="39"/>
      <c r="X1102" s="81"/>
      <c r="Y1102" s="81"/>
      <c r="Z1102" s="82"/>
      <c r="AA1102" s="99" t="s">
        <v>5829</v>
      </c>
      <c r="AB1102" s="48" t="s">
        <v>61</v>
      </c>
      <c r="AC1102" s="68" t="s">
        <v>61</v>
      </c>
      <c r="AD1102" s="69" t="s">
        <v>61</v>
      </c>
      <c r="AE1102" s="69" t="s">
        <v>61</v>
      </c>
      <c r="AF1102" s="68" t="s">
        <v>61</v>
      </c>
      <c r="AG1102" s="68" t="s">
        <v>61</v>
      </c>
      <c r="AH1102" s="68" t="s">
        <v>61</v>
      </c>
      <c r="AI1102" s="70" t="s">
        <v>61</v>
      </c>
      <c r="AJ1102" s="49" t="s">
        <v>61</v>
      </c>
      <c r="AK1102" s="46"/>
    </row>
    <row r="1103" ht="24.0" customHeight="1">
      <c r="A1103" s="35"/>
      <c r="B1103" s="36">
        <v>1.0</v>
      </c>
      <c r="C1103" s="37" t="str">
        <f>IFERROR(__xludf.DUMMYFUNCTION("""COMPUTED_VALUE"""),"Reid Stanton (XX) - '27 RHP CT")</f>
        <v>Reid Stanton (XX) - '27 RHP CT</v>
      </c>
      <c r="D1103" s="38" t="s">
        <v>5830</v>
      </c>
      <c r="E1103" s="51" t="s">
        <v>63</v>
      </c>
      <c r="F1103" s="119"/>
      <c r="G1103" s="116" t="s">
        <v>1395</v>
      </c>
      <c r="H1103" s="54" t="s">
        <v>1700</v>
      </c>
      <c r="I1103" s="55" t="s">
        <v>5827</v>
      </c>
      <c r="J1103" s="55">
        <v>2027.0</v>
      </c>
      <c r="K1103" s="55" t="s">
        <v>410</v>
      </c>
      <c r="L1103" s="55" t="s">
        <v>5828</v>
      </c>
      <c r="M1103" s="55" t="s">
        <v>63</v>
      </c>
      <c r="N1103" s="132"/>
      <c r="O1103" s="55" t="s">
        <v>1550</v>
      </c>
      <c r="P1103" s="55"/>
      <c r="Q1103" s="55" t="s">
        <v>160</v>
      </c>
      <c r="R1103" s="55" t="s">
        <v>5831</v>
      </c>
      <c r="S1103" s="58" t="s">
        <v>5832</v>
      </c>
      <c r="T1103" s="51"/>
      <c r="U1103" s="51"/>
      <c r="V1103" s="51"/>
      <c r="W1103" s="51"/>
      <c r="X1103" s="74"/>
      <c r="Y1103" s="74"/>
      <c r="Z1103" s="76"/>
      <c r="AA1103" s="134"/>
      <c r="AB1103" s="62" t="s">
        <v>61</v>
      </c>
      <c r="AC1103" s="63" t="s">
        <v>61</v>
      </c>
      <c r="AD1103" s="64" t="s">
        <v>61</v>
      </c>
      <c r="AE1103" s="64" t="s">
        <v>61</v>
      </c>
      <c r="AF1103" s="63" t="s">
        <v>61</v>
      </c>
      <c r="AG1103" s="63" t="s">
        <v>61</v>
      </c>
      <c r="AH1103" s="63" t="s">
        <v>61</v>
      </c>
      <c r="AI1103" s="65" t="s">
        <v>61</v>
      </c>
      <c r="AJ1103" s="66" t="s">
        <v>61</v>
      </c>
      <c r="AK1103" s="60"/>
    </row>
    <row r="1104" ht="24.0" customHeight="1">
      <c r="A1104" s="35"/>
      <c r="B1104" s="36">
        <v>1.0</v>
      </c>
      <c r="C1104" s="37" t="str">
        <f>IFERROR(__xludf.DUMMYFUNCTION("""COMPUTED_VALUE"""),"Jackson Staples (XX) - '27 COF NJ")</f>
        <v>Jackson Staples (XX) - '27 COF NJ</v>
      </c>
      <c r="D1104" s="38" t="s">
        <v>5833</v>
      </c>
      <c r="E1104" s="39" t="s">
        <v>103</v>
      </c>
      <c r="F1104" s="118"/>
      <c r="G1104" s="113" t="s">
        <v>1395</v>
      </c>
      <c r="H1104" s="42" t="s">
        <v>432</v>
      </c>
      <c r="I1104" s="43" t="s">
        <v>5834</v>
      </c>
      <c r="J1104" s="43">
        <v>2027.0</v>
      </c>
      <c r="K1104" s="43" t="s">
        <v>410</v>
      </c>
      <c r="L1104" s="43" t="s">
        <v>2877</v>
      </c>
      <c r="M1104" s="43" t="s">
        <v>42</v>
      </c>
      <c r="N1104" s="117"/>
      <c r="O1104" s="43" t="s">
        <v>1550</v>
      </c>
      <c r="P1104" s="43"/>
      <c r="Q1104" s="43" t="s">
        <v>502</v>
      </c>
      <c r="R1104" s="43" t="s">
        <v>5835</v>
      </c>
      <c r="S1104" s="44" t="s">
        <v>3066</v>
      </c>
      <c r="T1104" s="39"/>
      <c r="U1104" s="39"/>
      <c r="V1104" s="39"/>
      <c r="W1104" s="39"/>
      <c r="X1104" s="81"/>
      <c r="Y1104" s="81"/>
      <c r="Z1104" s="82"/>
      <c r="AA1104" s="99"/>
      <c r="AB1104" s="48" t="s">
        <v>61</v>
      </c>
      <c r="AC1104" s="68" t="s">
        <v>61</v>
      </c>
      <c r="AD1104" s="69" t="s">
        <v>61</v>
      </c>
      <c r="AE1104" s="69" t="s">
        <v>61</v>
      </c>
      <c r="AF1104" s="68" t="s">
        <v>61</v>
      </c>
      <c r="AG1104" s="68" t="s">
        <v>61</v>
      </c>
      <c r="AH1104" s="68" t="s">
        <v>61</v>
      </c>
      <c r="AI1104" s="70" t="s">
        <v>61</v>
      </c>
      <c r="AJ1104" s="49" t="s">
        <v>61</v>
      </c>
      <c r="AK1104" s="46"/>
    </row>
    <row r="1105" ht="24.0" customHeight="1">
      <c r="A1105" s="35"/>
      <c r="B1105" s="36">
        <v>1.0</v>
      </c>
      <c r="C1105" s="37" t="str">
        <f>IFERROR(__xludf.DUMMYFUNCTION("""COMPUTED_VALUE"""),"Chace Staude (XX) - '27 SS WI")</f>
        <v>Chace Staude (XX) - '27 SS WI</v>
      </c>
      <c r="D1105" s="38" t="s">
        <v>5836</v>
      </c>
      <c r="E1105" s="51" t="s">
        <v>48</v>
      </c>
      <c r="F1105" s="119">
        <v>45865.0</v>
      </c>
      <c r="G1105" s="116" t="s">
        <v>1395</v>
      </c>
      <c r="H1105" s="54" t="s">
        <v>5837</v>
      </c>
      <c r="I1105" s="55" t="s">
        <v>5838</v>
      </c>
      <c r="J1105" s="55">
        <v>2027.0</v>
      </c>
      <c r="K1105" s="55" t="s">
        <v>410</v>
      </c>
      <c r="L1105" s="55" t="s">
        <v>4753</v>
      </c>
      <c r="M1105" s="55" t="s">
        <v>1398</v>
      </c>
      <c r="N1105" s="132"/>
      <c r="O1105" s="55" t="s">
        <v>1989</v>
      </c>
      <c r="P1105" s="55" t="s">
        <v>5839</v>
      </c>
      <c r="Q1105" s="55" t="s">
        <v>1153</v>
      </c>
      <c r="R1105" s="55" t="s">
        <v>5840</v>
      </c>
      <c r="S1105" s="58"/>
      <c r="T1105" s="51">
        <v>4.05</v>
      </c>
      <c r="U1105" s="51"/>
      <c r="V1105" s="51" t="s">
        <v>5841</v>
      </c>
      <c r="W1105" s="51" t="s">
        <v>2821</v>
      </c>
      <c r="X1105" s="74"/>
      <c r="Y1105" s="74"/>
      <c r="Z1105" s="76"/>
      <c r="AA1105" s="134"/>
      <c r="AB1105" s="62" t="s">
        <v>61</v>
      </c>
      <c r="AC1105" s="63" t="s">
        <v>61</v>
      </c>
      <c r="AD1105" s="64" t="s">
        <v>61</v>
      </c>
      <c r="AE1105" s="64" t="s">
        <v>61</v>
      </c>
      <c r="AF1105" s="63" t="s">
        <v>61</v>
      </c>
      <c r="AG1105" s="63" t="s">
        <v>61</v>
      </c>
      <c r="AH1105" s="63" t="s">
        <v>61</v>
      </c>
      <c r="AI1105" s="65" t="s">
        <v>61</v>
      </c>
      <c r="AJ1105" s="66" t="s">
        <v>61</v>
      </c>
      <c r="AK1105" s="60"/>
    </row>
    <row r="1106" ht="24.0" customHeight="1">
      <c r="A1106" s="35"/>
      <c r="B1106" s="36">
        <v>1.0</v>
      </c>
      <c r="C1106" s="37" t="str">
        <f>IFERROR(__xludf.DUMMYFUNCTION("""COMPUTED_VALUE"""),"Troy Stimpson (XX) - '27 C PA")</f>
        <v>Troy Stimpson (XX) - '27 C PA</v>
      </c>
      <c r="D1106" s="38" t="s">
        <v>5842</v>
      </c>
      <c r="E1106" s="39" t="s">
        <v>109</v>
      </c>
      <c r="F1106" s="118">
        <v>45865.0</v>
      </c>
      <c r="G1106" s="113" t="s">
        <v>1430</v>
      </c>
      <c r="H1106" s="42" t="s">
        <v>1281</v>
      </c>
      <c r="I1106" s="43" t="s">
        <v>5843</v>
      </c>
      <c r="J1106" s="43">
        <v>2027.0</v>
      </c>
      <c r="K1106" s="43" t="s">
        <v>410</v>
      </c>
      <c r="L1106" s="43" t="s">
        <v>5844</v>
      </c>
      <c r="M1106" s="43" t="s">
        <v>109</v>
      </c>
      <c r="N1106" s="117"/>
      <c r="O1106" s="43" t="s">
        <v>1550</v>
      </c>
      <c r="P1106" s="43" t="s">
        <v>5845</v>
      </c>
      <c r="Q1106" s="43" t="s">
        <v>240</v>
      </c>
      <c r="R1106" s="43" t="s">
        <v>5846</v>
      </c>
      <c r="S1106" s="44"/>
      <c r="T1106" s="39">
        <v>4.3</v>
      </c>
      <c r="U1106" s="39"/>
      <c r="V1106" s="39" t="s">
        <v>5847</v>
      </c>
      <c r="W1106" s="39" t="s">
        <v>2821</v>
      </c>
      <c r="X1106" s="81"/>
      <c r="Y1106" s="81"/>
      <c r="Z1106" s="82"/>
      <c r="AA1106" s="99"/>
      <c r="AB1106" s="48" t="s">
        <v>61</v>
      </c>
      <c r="AC1106" s="68" t="s">
        <v>61</v>
      </c>
      <c r="AD1106" s="69" t="s">
        <v>61</v>
      </c>
      <c r="AE1106" s="69" t="s">
        <v>61</v>
      </c>
      <c r="AF1106" s="68" t="s">
        <v>61</v>
      </c>
      <c r="AG1106" s="68" t="s">
        <v>61</v>
      </c>
      <c r="AH1106" s="68" t="s">
        <v>61</v>
      </c>
      <c r="AI1106" s="70" t="s">
        <v>61</v>
      </c>
      <c r="AJ1106" s="49" t="s">
        <v>61</v>
      </c>
      <c r="AK1106" s="46"/>
    </row>
    <row r="1107" ht="24.0" customHeight="1">
      <c r="A1107" s="35"/>
      <c r="B1107" s="36">
        <v>1.0</v>
      </c>
      <c r="C1107" s="37" t="str">
        <f>IFERROR(__xludf.DUMMYFUNCTION("""COMPUTED_VALUE"""),"Collin Strickland (XX) - '27 OF FL")</f>
        <v>Collin Strickland (XX) - '27 OF FL</v>
      </c>
      <c r="D1107" s="38" t="s">
        <v>5848</v>
      </c>
      <c r="E1107" s="51" t="s">
        <v>103</v>
      </c>
      <c r="F1107" s="119"/>
      <c r="G1107" s="116" t="s">
        <v>1430</v>
      </c>
      <c r="H1107" s="54" t="s">
        <v>4522</v>
      </c>
      <c r="I1107" s="55" t="s">
        <v>5849</v>
      </c>
      <c r="J1107" s="55">
        <v>2027.0</v>
      </c>
      <c r="K1107" s="55" t="s">
        <v>410</v>
      </c>
      <c r="L1107" s="55" t="s">
        <v>2144</v>
      </c>
      <c r="M1107" s="55" t="s">
        <v>103</v>
      </c>
      <c r="N1107" s="132"/>
      <c r="O1107" s="55"/>
      <c r="P1107" s="55"/>
      <c r="Q1107" s="55" t="s">
        <v>66</v>
      </c>
      <c r="R1107" s="55" t="s">
        <v>1631</v>
      </c>
      <c r="S1107" s="58" t="s">
        <v>1539</v>
      </c>
      <c r="T1107" s="51" t="s">
        <v>1836</v>
      </c>
      <c r="U1107" s="51"/>
      <c r="V1107" s="51"/>
      <c r="W1107" s="51"/>
      <c r="X1107" s="74"/>
      <c r="Y1107" s="74"/>
      <c r="Z1107" s="76"/>
      <c r="AA1107" s="76" t="s">
        <v>5850</v>
      </c>
      <c r="AB1107" s="62" t="s">
        <v>61</v>
      </c>
      <c r="AC1107" s="63" t="s">
        <v>61</v>
      </c>
      <c r="AD1107" s="64" t="s">
        <v>61</v>
      </c>
      <c r="AE1107" s="64" t="s">
        <v>61</v>
      </c>
      <c r="AF1107" s="63" t="s">
        <v>61</v>
      </c>
      <c r="AG1107" s="63" t="s">
        <v>61</v>
      </c>
      <c r="AH1107" s="63" t="s">
        <v>61</v>
      </c>
      <c r="AI1107" s="65" t="s">
        <v>61</v>
      </c>
      <c r="AJ1107" s="66" t="s">
        <v>61</v>
      </c>
      <c r="AK1107" s="60"/>
    </row>
    <row r="1108" ht="24.0" customHeight="1">
      <c r="A1108" s="35"/>
      <c r="B1108" s="36">
        <v>1.0</v>
      </c>
      <c r="C1108" s="37" t="str">
        <f>IFERROR(__xludf.DUMMYFUNCTION("""COMPUTED_VALUE"""),"Aiden Sun (XX) - '27 CINF CA")</f>
        <v>Aiden Sun (XX) - '27 CINF CA</v>
      </c>
      <c r="D1108" s="38" t="s">
        <v>5851</v>
      </c>
      <c r="E1108" s="39" t="s">
        <v>48</v>
      </c>
      <c r="F1108" s="118">
        <v>45869.0</v>
      </c>
      <c r="G1108" s="113" t="s">
        <v>1395</v>
      </c>
      <c r="H1108" s="42" t="s">
        <v>193</v>
      </c>
      <c r="I1108" s="43" t="s">
        <v>5852</v>
      </c>
      <c r="J1108" s="43">
        <v>2027.0</v>
      </c>
      <c r="K1108" s="43" t="s">
        <v>410</v>
      </c>
      <c r="L1108" s="43" t="s">
        <v>5853</v>
      </c>
      <c r="M1108" s="43" t="s">
        <v>72</v>
      </c>
      <c r="N1108" s="117"/>
      <c r="O1108" s="43" t="s">
        <v>1550</v>
      </c>
      <c r="P1108" s="43" t="s">
        <v>5854</v>
      </c>
      <c r="Q1108" s="43" t="s">
        <v>52</v>
      </c>
      <c r="R1108" s="43" t="s">
        <v>5855</v>
      </c>
      <c r="S1108" s="44"/>
      <c r="T1108" s="39">
        <v>4.0</v>
      </c>
      <c r="U1108" s="39"/>
      <c r="V1108" s="39" t="s">
        <v>5856</v>
      </c>
      <c r="W1108" s="39"/>
      <c r="X1108" s="81"/>
      <c r="Y1108" s="81"/>
      <c r="Z1108" s="82"/>
      <c r="AA1108" s="82" t="s">
        <v>5857</v>
      </c>
      <c r="AB1108" s="48" t="s">
        <v>61</v>
      </c>
      <c r="AC1108" s="68" t="s">
        <v>61</v>
      </c>
      <c r="AD1108" s="69" t="s">
        <v>61</v>
      </c>
      <c r="AE1108" s="69" t="s">
        <v>61</v>
      </c>
      <c r="AF1108" s="68" t="s">
        <v>61</v>
      </c>
      <c r="AG1108" s="68" t="s">
        <v>61</v>
      </c>
      <c r="AH1108" s="68" t="s">
        <v>61</v>
      </c>
      <c r="AI1108" s="70" t="s">
        <v>61</v>
      </c>
      <c r="AJ1108" s="49" t="s">
        <v>61</v>
      </c>
      <c r="AK1108" s="46"/>
    </row>
    <row r="1109" ht="24.0" customHeight="1">
      <c r="A1109" s="35"/>
      <c r="B1109" s="36">
        <v>1.0</v>
      </c>
      <c r="C1109" s="37" t="str">
        <f>IFERROR(__xludf.DUMMYFUNCTION("""COMPUTED_VALUE"""),"Michael Suokko (XX) - '27 RHP WI")</f>
        <v>Michael Suokko (XX) - '27 RHP WI</v>
      </c>
      <c r="D1109" s="38" t="s">
        <v>5858</v>
      </c>
      <c r="E1109" s="51" t="s">
        <v>63</v>
      </c>
      <c r="F1109" s="119"/>
      <c r="G1109" s="116" t="s">
        <v>1430</v>
      </c>
      <c r="H1109" s="54" t="s">
        <v>158</v>
      </c>
      <c r="I1109" s="55" t="s">
        <v>5859</v>
      </c>
      <c r="J1109" s="55">
        <v>2027.0</v>
      </c>
      <c r="K1109" s="55" t="s">
        <v>410</v>
      </c>
      <c r="L1109" s="55" t="s">
        <v>5860</v>
      </c>
      <c r="M1109" s="55" t="s">
        <v>63</v>
      </c>
      <c r="N1109" s="132"/>
      <c r="O1109" s="55" t="s">
        <v>1550</v>
      </c>
      <c r="P1109" s="55" t="s">
        <v>5861</v>
      </c>
      <c r="Q1109" s="55" t="s">
        <v>1153</v>
      </c>
      <c r="R1109" s="55" t="s">
        <v>5862</v>
      </c>
      <c r="S1109" s="58" t="s">
        <v>5863</v>
      </c>
      <c r="T1109" s="51">
        <v>3.7</v>
      </c>
      <c r="U1109" s="51"/>
      <c r="V1109" s="51"/>
      <c r="W1109" s="51" t="s">
        <v>1724</v>
      </c>
      <c r="X1109" s="74"/>
      <c r="Y1109" s="74"/>
      <c r="Z1109" s="76"/>
      <c r="AA1109" s="76"/>
      <c r="AB1109" s="62" t="s">
        <v>61</v>
      </c>
      <c r="AC1109" s="63" t="s">
        <v>61</v>
      </c>
      <c r="AD1109" s="64" t="s">
        <v>61</v>
      </c>
      <c r="AE1109" s="64" t="s">
        <v>61</v>
      </c>
      <c r="AF1109" s="63" t="s">
        <v>61</v>
      </c>
      <c r="AG1109" s="63" t="s">
        <v>61</v>
      </c>
      <c r="AH1109" s="63" t="s">
        <v>61</v>
      </c>
      <c r="AI1109" s="65" t="s">
        <v>61</v>
      </c>
      <c r="AJ1109" s="66" t="s">
        <v>61</v>
      </c>
      <c r="AK1109" s="60"/>
    </row>
    <row r="1110" ht="24.0" customHeight="1">
      <c r="A1110" s="35"/>
      <c r="B1110" s="36">
        <v>1.0</v>
      </c>
      <c r="C1110" s="37" t="str">
        <f>IFERROR(__xludf.DUMMYFUNCTION("""COMPUTED_VALUE"""),"Rylan Sutton (XX) - '27 OF MO")</f>
        <v>Rylan Sutton (XX) - '27 OF MO</v>
      </c>
      <c r="D1110" s="38" t="s">
        <v>5864</v>
      </c>
      <c r="E1110" s="39" t="s">
        <v>103</v>
      </c>
      <c r="F1110" s="118">
        <v>45865.0</v>
      </c>
      <c r="G1110" s="113" t="s">
        <v>1430</v>
      </c>
      <c r="H1110" s="42" t="s">
        <v>328</v>
      </c>
      <c r="I1110" s="43" t="s">
        <v>5865</v>
      </c>
      <c r="J1110" s="43">
        <v>2027.0</v>
      </c>
      <c r="K1110" s="43" t="s">
        <v>410</v>
      </c>
      <c r="L1110" s="43" t="s">
        <v>4866</v>
      </c>
      <c r="M1110" s="43" t="s">
        <v>103</v>
      </c>
      <c r="N1110" s="117" t="s">
        <v>1972</v>
      </c>
      <c r="O1110" s="43" t="s">
        <v>1556</v>
      </c>
      <c r="P1110" s="43" t="s">
        <v>5866</v>
      </c>
      <c r="Q1110" s="43" t="s">
        <v>585</v>
      </c>
      <c r="R1110" s="43" t="s">
        <v>5866</v>
      </c>
      <c r="S1110" s="44"/>
      <c r="T1110" s="39">
        <v>4.2</v>
      </c>
      <c r="U1110" s="39"/>
      <c r="V1110" s="39" t="s">
        <v>5867</v>
      </c>
      <c r="W1110" s="39" t="s">
        <v>2821</v>
      </c>
      <c r="X1110" s="81"/>
      <c r="Y1110" s="81"/>
      <c r="Z1110" s="82"/>
      <c r="AA1110" s="82"/>
      <c r="AB1110" s="48" t="s">
        <v>5868</v>
      </c>
      <c r="AC1110" s="68" t="s">
        <v>5869</v>
      </c>
      <c r="AD1110" s="69" t="s">
        <v>5870</v>
      </c>
      <c r="AE1110" s="69" t="s">
        <v>5585</v>
      </c>
      <c r="AF1110" s="68" t="s">
        <v>2853</v>
      </c>
      <c r="AG1110" s="68" t="s">
        <v>81</v>
      </c>
      <c r="AH1110" s="68" t="s">
        <v>81</v>
      </c>
      <c r="AI1110" s="70" t="s">
        <v>81</v>
      </c>
      <c r="AJ1110" s="49" t="s">
        <v>61</v>
      </c>
      <c r="AK1110" s="46"/>
    </row>
    <row r="1111" ht="24.0" customHeight="1">
      <c r="A1111" s="35"/>
      <c r="B1111" s="36">
        <v>1.0</v>
      </c>
      <c r="C1111" s="37" t="str">
        <f>IFERROR(__xludf.DUMMYFUNCTION("""COMPUTED_VALUE"""),"Braden Swaney (XX) - '27 OF NE")</f>
        <v>Braden Swaney (XX) - '27 OF NE</v>
      </c>
      <c r="D1111" s="38" t="s">
        <v>5871</v>
      </c>
      <c r="E1111" s="51" t="s">
        <v>103</v>
      </c>
      <c r="F1111" s="119">
        <v>45865.0</v>
      </c>
      <c r="G1111" s="116" t="s">
        <v>1395</v>
      </c>
      <c r="H1111" s="54" t="s">
        <v>512</v>
      </c>
      <c r="I1111" s="55" t="s">
        <v>5872</v>
      </c>
      <c r="J1111" s="55">
        <v>2027.0</v>
      </c>
      <c r="K1111" s="55" t="s">
        <v>410</v>
      </c>
      <c r="L1111" s="55" t="s">
        <v>5873</v>
      </c>
      <c r="M1111" s="55" t="s">
        <v>103</v>
      </c>
      <c r="N1111" s="132"/>
      <c r="O1111" s="55" t="s">
        <v>1556</v>
      </c>
      <c r="P1111" s="55" t="s">
        <v>5874</v>
      </c>
      <c r="Q1111" s="55" t="s">
        <v>519</v>
      </c>
      <c r="R1111" s="55" t="s">
        <v>5875</v>
      </c>
      <c r="S1111" s="58"/>
      <c r="T1111" s="51">
        <v>3.7</v>
      </c>
      <c r="U1111" s="51"/>
      <c r="V1111" s="51" t="s">
        <v>5876</v>
      </c>
      <c r="W1111" s="51" t="s">
        <v>2821</v>
      </c>
      <c r="X1111" s="74"/>
      <c r="Y1111" s="74"/>
      <c r="Z1111" s="76"/>
      <c r="AA1111" s="76"/>
      <c r="AB1111" s="62" t="s">
        <v>61</v>
      </c>
      <c r="AC1111" s="63" t="s">
        <v>61</v>
      </c>
      <c r="AD1111" s="64" t="s">
        <v>61</v>
      </c>
      <c r="AE1111" s="64" t="s">
        <v>61</v>
      </c>
      <c r="AF1111" s="63" t="s">
        <v>61</v>
      </c>
      <c r="AG1111" s="63" t="s">
        <v>61</v>
      </c>
      <c r="AH1111" s="63" t="s">
        <v>61</v>
      </c>
      <c r="AI1111" s="65" t="s">
        <v>61</v>
      </c>
      <c r="AJ1111" s="66" t="s">
        <v>61</v>
      </c>
      <c r="AK1111" s="60"/>
    </row>
    <row r="1112" ht="24.0" customHeight="1">
      <c r="A1112" s="35"/>
      <c r="B1112" s="36">
        <v>1.0</v>
      </c>
      <c r="C1112" s="37" t="str">
        <f>IFERROR(__xludf.DUMMYFUNCTION("""COMPUTED_VALUE"""),"Jack Swanson (XX) - '27 SS CT")</f>
        <v>Jack Swanson (XX) - '27 SS CT</v>
      </c>
      <c r="D1112" s="38" t="s">
        <v>5877</v>
      </c>
      <c r="E1112" s="39" t="s">
        <v>48</v>
      </c>
      <c r="F1112" s="118"/>
      <c r="G1112" s="113" t="s">
        <v>1395</v>
      </c>
      <c r="H1112" s="42" t="s">
        <v>424</v>
      </c>
      <c r="I1112" s="43" t="s">
        <v>5878</v>
      </c>
      <c r="J1112" s="43">
        <v>2027.0</v>
      </c>
      <c r="K1112" s="43" t="s">
        <v>410</v>
      </c>
      <c r="L1112" s="43" t="s">
        <v>5879</v>
      </c>
      <c r="M1112" s="43" t="s">
        <v>1398</v>
      </c>
      <c r="N1112" s="117"/>
      <c r="O1112" s="43" t="s">
        <v>1989</v>
      </c>
      <c r="P1112" s="43"/>
      <c r="Q1112" s="43" t="s">
        <v>160</v>
      </c>
      <c r="R1112" s="43" t="s">
        <v>5880</v>
      </c>
      <c r="S1112" s="44" t="s">
        <v>5881</v>
      </c>
      <c r="T1112" s="39"/>
      <c r="U1112" s="39"/>
      <c r="V1112" s="39"/>
      <c r="W1112" s="39"/>
      <c r="X1112" s="81"/>
      <c r="Y1112" s="81"/>
      <c r="Z1112" s="82"/>
      <c r="AA1112" s="82" t="s">
        <v>5882</v>
      </c>
      <c r="AB1112" s="48" t="s">
        <v>5883</v>
      </c>
      <c r="AC1112" s="68" t="s">
        <v>5884</v>
      </c>
      <c r="AD1112" s="69">
        <v>90.0</v>
      </c>
      <c r="AE1112" s="69"/>
      <c r="AF1112" s="68"/>
      <c r="AG1112" s="68"/>
      <c r="AH1112" s="68"/>
      <c r="AI1112" s="70"/>
      <c r="AJ1112" s="49" t="s">
        <v>61</v>
      </c>
      <c r="AK1112" s="46"/>
    </row>
    <row r="1113" ht="24.0" customHeight="1">
      <c r="A1113" s="35"/>
      <c r="B1113" s="36">
        <v>1.0</v>
      </c>
      <c r="C1113" s="37" t="str">
        <f>IFERROR(__xludf.DUMMYFUNCTION("""COMPUTED_VALUE"""),"Andrew Talbert (XX) - '27 CF IL")</f>
        <v>Andrew Talbert (XX) - '27 CF IL</v>
      </c>
      <c r="D1113" s="38" t="s">
        <v>5885</v>
      </c>
      <c r="E1113" s="51" t="s">
        <v>103</v>
      </c>
      <c r="F1113" s="119">
        <v>45865.0</v>
      </c>
      <c r="G1113" s="116" t="s">
        <v>1395</v>
      </c>
      <c r="H1113" s="54" t="s">
        <v>457</v>
      </c>
      <c r="I1113" s="55" t="s">
        <v>5886</v>
      </c>
      <c r="J1113" s="55">
        <v>2027.0</v>
      </c>
      <c r="K1113" s="55" t="s">
        <v>410</v>
      </c>
      <c r="L1113" s="55" t="s">
        <v>5887</v>
      </c>
      <c r="M1113" s="55" t="s">
        <v>106</v>
      </c>
      <c r="N1113" s="132"/>
      <c r="O1113" s="55" t="s">
        <v>1550</v>
      </c>
      <c r="P1113" s="55" t="s">
        <v>5888</v>
      </c>
      <c r="Q1113" s="55" t="s">
        <v>307</v>
      </c>
      <c r="R1113" s="55" t="s">
        <v>5888</v>
      </c>
      <c r="S1113" s="58"/>
      <c r="T1113" s="51">
        <v>4.5</v>
      </c>
      <c r="U1113" s="51"/>
      <c r="V1113" s="51" t="s">
        <v>5889</v>
      </c>
      <c r="W1113" s="51" t="s">
        <v>2821</v>
      </c>
      <c r="X1113" s="74"/>
      <c r="Y1113" s="74"/>
      <c r="Z1113" s="76"/>
      <c r="AA1113" s="100"/>
      <c r="AB1113" s="62" t="s">
        <v>61</v>
      </c>
      <c r="AC1113" s="63" t="s">
        <v>61</v>
      </c>
      <c r="AD1113" s="64" t="s">
        <v>61</v>
      </c>
      <c r="AE1113" s="64" t="s">
        <v>61</v>
      </c>
      <c r="AF1113" s="63" t="s">
        <v>61</v>
      </c>
      <c r="AG1113" s="63" t="s">
        <v>61</v>
      </c>
      <c r="AH1113" s="63" t="s">
        <v>61</v>
      </c>
      <c r="AI1113" s="65" t="s">
        <v>61</v>
      </c>
      <c r="AJ1113" s="66" t="s">
        <v>61</v>
      </c>
      <c r="AK1113" s="60"/>
    </row>
    <row r="1114" ht="24.0" customHeight="1">
      <c r="A1114" s="35"/>
      <c r="B1114" s="36">
        <v>1.0</v>
      </c>
      <c r="C1114" s="37" t="str">
        <f>IFERROR(__xludf.DUMMYFUNCTION("""COMPUTED_VALUE"""),"Austin Tamborra (XX) - '27 OF GA")</f>
        <v>Austin Tamborra (XX) - '27 OF GA</v>
      </c>
      <c r="D1114" s="38" t="s">
        <v>5890</v>
      </c>
      <c r="E1114" s="39" t="s">
        <v>103</v>
      </c>
      <c r="F1114" s="118"/>
      <c r="G1114" s="113" t="s">
        <v>1430</v>
      </c>
      <c r="H1114" s="42" t="s">
        <v>472</v>
      </c>
      <c r="I1114" s="43" t="s">
        <v>5891</v>
      </c>
      <c r="J1114" s="43">
        <v>2027.0</v>
      </c>
      <c r="K1114" s="43" t="s">
        <v>410</v>
      </c>
      <c r="L1114" s="43"/>
      <c r="M1114" s="43" t="s">
        <v>103</v>
      </c>
      <c r="N1114" s="117"/>
      <c r="O1114" s="43"/>
      <c r="P1114" s="43"/>
      <c r="Q1114" s="43" t="s">
        <v>43</v>
      </c>
      <c r="R1114" s="43" t="s">
        <v>5892</v>
      </c>
      <c r="S1114" s="44" t="s">
        <v>1120</v>
      </c>
      <c r="T1114" s="39" t="s">
        <v>5893</v>
      </c>
      <c r="U1114" s="39"/>
      <c r="V1114" s="39"/>
      <c r="W1114" s="39"/>
      <c r="X1114" s="81"/>
      <c r="Y1114" s="81"/>
      <c r="Z1114" s="82"/>
      <c r="AA1114" s="109" t="s">
        <v>5894</v>
      </c>
      <c r="AB1114" s="48" t="s">
        <v>61</v>
      </c>
      <c r="AC1114" s="68" t="s">
        <v>61</v>
      </c>
      <c r="AD1114" s="69" t="s">
        <v>61</v>
      </c>
      <c r="AE1114" s="69" t="s">
        <v>61</v>
      </c>
      <c r="AF1114" s="68" t="s">
        <v>61</v>
      </c>
      <c r="AG1114" s="68" t="s">
        <v>61</v>
      </c>
      <c r="AH1114" s="68" t="s">
        <v>61</v>
      </c>
      <c r="AI1114" s="70" t="s">
        <v>61</v>
      </c>
      <c r="AJ1114" s="49" t="s">
        <v>61</v>
      </c>
      <c r="AK1114" s="46"/>
    </row>
    <row r="1115" ht="24.0" customHeight="1">
      <c r="A1115" s="35"/>
      <c r="B1115" s="36">
        <v>1.0</v>
      </c>
      <c r="C1115" s="37" t="str">
        <f>IFERROR(__xludf.DUMMYFUNCTION("""COMPUTED_VALUE"""),"Jack Tarbox (XX) - '27 CINF MA")</f>
        <v>Jack Tarbox (XX) - '27 CINF MA</v>
      </c>
      <c r="D1115" s="38" t="s">
        <v>5895</v>
      </c>
      <c r="E1115" s="51" t="s">
        <v>48</v>
      </c>
      <c r="F1115" s="119"/>
      <c r="G1115" s="116" t="s">
        <v>1395</v>
      </c>
      <c r="H1115" s="54" t="s">
        <v>424</v>
      </c>
      <c r="I1115" s="55" t="s">
        <v>5896</v>
      </c>
      <c r="J1115" s="55">
        <v>2027.0</v>
      </c>
      <c r="K1115" s="55" t="s">
        <v>410</v>
      </c>
      <c r="L1115" s="55" t="s">
        <v>5897</v>
      </c>
      <c r="M1115" s="55" t="s">
        <v>72</v>
      </c>
      <c r="N1115" s="132" t="s">
        <v>63</v>
      </c>
      <c r="O1115" s="55" t="s">
        <v>1550</v>
      </c>
      <c r="P1115" s="55"/>
      <c r="Q1115" s="55" t="s">
        <v>85</v>
      </c>
      <c r="R1115" s="55" t="s">
        <v>3082</v>
      </c>
      <c r="S1115" s="58" t="s">
        <v>2989</v>
      </c>
      <c r="T1115" s="51"/>
      <c r="U1115" s="51"/>
      <c r="V1115" s="51"/>
      <c r="W1115" s="51"/>
      <c r="X1115" s="74"/>
      <c r="Y1115" s="74"/>
      <c r="Z1115" s="76"/>
      <c r="AA1115" s="134"/>
      <c r="AB1115" s="62" t="s">
        <v>61</v>
      </c>
      <c r="AC1115" s="63" t="s">
        <v>61</v>
      </c>
      <c r="AD1115" s="64" t="s">
        <v>61</v>
      </c>
      <c r="AE1115" s="64" t="s">
        <v>61</v>
      </c>
      <c r="AF1115" s="63" t="s">
        <v>61</v>
      </c>
      <c r="AG1115" s="63" t="s">
        <v>61</v>
      </c>
      <c r="AH1115" s="63" t="s">
        <v>61</v>
      </c>
      <c r="AI1115" s="65" t="s">
        <v>61</v>
      </c>
      <c r="AJ1115" s="66" t="s">
        <v>61</v>
      </c>
      <c r="AK1115" s="60"/>
    </row>
    <row r="1116" ht="24.0" customHeight="1">
      <c r="A1116" s="35"/>
      <c r="B1116" s="36">
        <v>1.0</v>
      </c>
      <c r="C1116" s="37" t="str">
        <f>IFERROR(__xludf.DUMMYFUNCTION("""COMPUTED_VALUE"""),"Noah Thompson (XX) - '27 SS DE")</f>
        <v>Noah Thompson (XX) - '27 SS DE</v>
      </c>
      <c r="D1116" s="38" t="s">
        <v>5898</v>
      </c>
      <c r="E1116" s="39" t="s">
        <v>48</v>
      </c>
      <c r="F1116" s="118">
        <v>45865.0</v>
      </c>
      <c r="G1116" s="113" t="s">
        <v>1395</v>
      </c>
      <c r="H1116" s="42" t="s">
        <v>49</v>
      </c>
      <c r="I1116" s="43" t="s">
        <v>1797</v>
      </c>
      <c r="J1116" s="43">
        <v>2027.0</v>
      </c>
      <c r="K1116" s="43" t="s">
        <v>410</v>
      </c>
      <c r="L1116" s="43" t="s">
        <v>5442</v>
      </c>
      <c r="M1116" s="43" t="s">
        <v>1398</v>
      </c>
      <c r="N1116" s="117"/>
      <c r="O1116" s="43" t="s">
        <v>1989</v>
      </c>
      <c r="P1116" s="43" t="s">
        <v>5185</v>
      </c>
      <c r="Q1116" s="43" t="s">
        <v>508</v>
      </c>
      <c r="R1116" s="43" t="s">
        <v>5899</v>
      </c>
      <c r="S1116" s="44"/>
      <c r="T1116" s="39"/>
      <c r="U1116" s="39"/>
      <c r="V1116" s="39" t="s">
        <v>5900</v>
      </c>
      <c r="W1116" s="39" t="s">
        <v>2821</v>
      </c>
      <c r="X1116" s="81"/>
      <c r="Y1116" s="81"/>
      <c r="Z1116" s="82"/>
      <c r="AA1116" s="82"/>
      <c r="AB1116" s="48" t="s">
        <v>61</v>
      </c>
      <c r="AC1116" s="68" t="s">
        <v>61</v>
      </c>
      <c r="AD1116" s="69" t="s">
        <v>61</v>
      </c>
      <c r="AE1116" s="69" t="s">
        <v>61</v>
      </c>
      <c r="AF1116" s="68" t="s">
        <v>61</v>
      </c>
      <c r="AG1116" s="68" t="s">
        <v>61</v>
      </c>
      <c r="AH1116" s="68" t="s">
        <v>61</v>
      </c>
      <c r="AI1116" s="70" t="s">
        <v>61</v>
      </c>
      <c r="AJ1116" s="49" t="s">
        <v>61</v>
      </c>
      <c r="AK1116" s="46"/>
    </row>
    <row r="1117" ht="24.0" customHeight="1">
      <c r="A1117" s="35"/>
      <c r="B1117" s="36">
        <v>1.0</v>
      </c>
      <c r="C1117" s="37" t="str">
        <f>IFERROR(__xludf.DUMMYFUNCTION("""COMPUTED_VALUE"""),"Jaxson Torres (XX) - '27 RHP NY")</f>
        <v>Jaxson Torres (XX) - '27 RHP NY</v>
      </c>
      <c r="D1117" s="38" t="s">
        <v>5901</v>
      </c>
      <c r="E1117" s="51" t="s">
        <v>63</v>
      </c>
      <c r="F1117" s="115"/>
      <c r="G1117" s="116" t="s">
        <v>1395</v>
      </c>
      <c r="H1117" s="54" t="s">
        <v>4535</v>
      </c>
      <c r="I1117" s="55" t="s">
        <v>5902</v>
      </c>
      <c r="J1117" s="55">
        <v>2027.0</v>
      </c>
      <c r="K1117" s="55" t="s">
        <v>410</v>
      </c>
      <c r="L1117" s="58" t="s">
        <v>1994</v>
      </c>
      <c r="M1117" s="55" t="s">
        <v>63</v>
      </c>
      <c r="N1117" s="58"/>
      <c r="O1117" s="55" t="s">
        <v>1550</v>
      </c>
      <c r="P1117" s="55"/>
      <c r="Q1117" s="55" t="s">
        <v>255</v>
      </c>
      <c r="R1117" s="55" t="s">
        <v>5903</v>
      </c>
      <c r="S1117" s="58" t="s">
        <v>2724</v>
      </c>
      <c r="T1117" s="51"/>
      <c r="U1117" s="51"/>
      <c r="V1117" s="51"/>
      <c r="W1117" s="51"/>
      <c r="X1117" s="51"/>
      <c r="Y1117" s="51"/>
      <c r="Z1117" s="60"/>
      <c r="AA1117" s="60" t="s">
        <v>1994</v>
      </c>
      <c r="AB1117" s="62" t="s">
        <v>5904</v>
      </c>
      <c r="AC1117" s="63" t="s">
        <v>5905</v>
      </c>
      <c r="AD1117" s="64">
        <v>2.7</v>
      </c>
      <c r="AE1117" s="64" t="s">
        <v>400</v>
      </c>
      <c r="AF1117" s="63" t="s">
        <v>5906</v>
      </c>
      <c r="AG1117" s="63" t="s">
        <v>5907</v>
      </c>
      <c r="AH1117" s="63" t="s">
        <v>81</v>
      </c>
      <c r="AI1117" s="65" t="s">
        <v>81</v>
      </c>
      <c r="AJ1117" s="66" t="s">
        <v>61</v>
      </c>
      <c r="AK1117" s="60"/>
    </row>
    <row r="1118" ht="24.0" customHeight="1">
      <c r="A1118" s="35"/>
      <c r="B1118" s="36">
        <v>1.0</v>
      </c>
      <c r="C1118" s="37" t="str">
        <f>IFERROR(__xludf.DUMMYFUNCTION("""COMPUTED_VALUE"""),"Andrew Valentino (XX) - '27 RHP CT")</f>
        <v>Andrew Valentino (XX) - '27 RHP CT</v>
      </c>
      <c r="D1118" s="38" t="s">
        <v>5908</v>
      </c>
      <c r="E1118" s="39" t="s">
        <v>63</v>
      </c>
      <c r="F1118" s="118"/>
      <c r="G1118" s="113" t="s">
        <v>1395</v>
      </c>
      <c r="H1118" s="42" t="s">
        <v>457</v>
      </c>
      <c r="I1118" s="43" t="s">
        <v>5909</v>
      </c>
      <c r="J1118" s="43">
        <v>2027.0</v>
      </c>
      <c r="K1118" s="43" t="s">
        <v>410</v>
      </c>
      <c r="L1118" s="43" t="s">
        <v>2458</v>
      </c>
      <c r="M1118" s="43" t="s">
        <v>63</v>
      </c>
      <c r="N1118" s="117"/>
      <c r="O1118" s="43" t="s">
        <v>1550</v>
      </c>
      <c r="P1118" s="43"/>
      <c r="Q1118" s="43" t="s">
        <v>160</v>
      </c>
      <c r="R1118" s="43" t="s">
        <v>4077</v>
      </c>
      <c r="S1118" s="44" t="s">
        <v>2888</v>
      </c>
      <c r="T1118" s="39"/>
      <c r="U1118" s="39"/>
      <c r="V1118" s="39"/>
      <c r="W1118" s="39"/>
      <c r="X1118" s="81"/>
      <c r="Y1118" s="81"/>
      <c r="Z1118" s="82"/>
      <c r="AA1118" s="198"/>
      <c r="AB1118" s="48" t="s">
        <v>61</v>
      </c>
      <c r="AC1118" s="68" t="s">
        <v>61</v>
      </c>
      <c r="AD1118" s="69" t="s">
        <v>61</v>
      </c>
      <c r="AE1118" s="69" t="s">
        <v>61</v>
      </c>
      <c r="AF1118" s="68" t="s">
        <v>61</v>
      </c>
      <c r="AG1118" s="68" t="s">
        <v>61</v>
      </c>
      <c r="AH1118" s="68" t="s">
        <v>61</v>
      </c>
      <c r="AI1118" s="70" t="s">
        <v>61</v>
      </c>
      <c r="AJ1118" s="49" t="s">
        <v>61</v>
      </c>
      <c r="AK1118" s="46"/>
    </row>
    <row r="1119" ht="24.0" customHeight="1">
      <c r="A1119" s="35"/>
      <c r="B1119" s="36">
        <v>1.0</v>
      </c>
      <c r="C1119" s="37" t="str">
        <f>IFERROR(__xludf.DUMMYFUNCTION("""COMPUTED_VALUE"""),"Parker Vandercook (XX) - '27 RHP TN")</f>
        <v>Parker Vandercook (XX) - '27 RHP TN</v>
      </c>
      <c r="D1119" s="38" t="s">
        <v>5910</v>
      </c>
      <c r="E1119" s="51" t="s">
        <v>63</v>
      </c>
      <c r="F1119" s="119">
        <v>45865.0</v>
      </c>
      <c r="G1119" s="116" t="s">
        <v>1395</v>
      </c>
      <c r="H1119" s="54" t="s">
        <v>1595</v>
      </c>
      <c r="I1119" s="55" t="s">
        <v>5911</v>
      </c>
      <c r="J1119" s="55">
        <v>2027.0</v>
      </c>
      <c r="K1119" s="55" t="s">
        <v>410</v>
      </c>
      <c r="L1119" s="55" t="s">
        <v>5912</v>
      </c>
      <c r="M1119" s="55" t="s">
        <v>63</v>
      </c>
      <c r="N1119" s="132"/>
      <c r="O1119" s="55" t="s">
        <v>1550</v>
      </c>
      <c r="P1119" s="55" t="s">
        <v>3430</v>
      </c>
      <c r="Q1119" s="55" t="s">
        <v>330</v>
      </c>
      <c r="R1119" s="55" t="s">
        <v>3430</v>
      </c>
      <c r="S1119" s="58"/>
      <c r="T1119" s="51"/>
      <c r="U1119" s="51"/>
      <c r="V1119" s="51" t="s">
        <v>5913</v>
      </c>
      <c r="W1119" s="51" t="s">
        <v>2821</v>
      </c>
      <c r="X1119" s="74"/>
      <c r="Y1119" s="74"/>
      <c r="Z1119" s="76"/>
      <c r="AA1119" s="100"/>
      <c r="AB1119" s="62" t="s">
        <v>61</v>
      </c>
      <c r="AC1119" s="63" t="s">
        <v>61</v>
      </c>
      <c r="AD1119" s="64" t="s">
        <v>61</v>
      </c>
      <c r="AE1119" s="64" t="s">
        <v>61</v>
      </c>
      <c r="AF1119" s="63" t="s">
        <v>61</v>
      </c>
      <c r="AG1119" s="63" t="s">
        <v>61</v>
      </c>
      <c r="AH1119" s="63" t="s">
        <v>61</v>
      </c>
      <c r="AI1119" s="65" t="s">
        <v>61</v>
      </c>
      <c r="AJ1119" s="66" t="s">
        <v>61</v>
      </c>
      <c r="AK1119" s="60"/>
    </row>
    <row r="1120" ht="24.0" customHeight="1">
      <c r="A1120" s="35"/>
      <c r="B1120" s="36">
        <v>1.0</v>
      </c>
      <c r="C1120" s="37" t="str">
        <f>IFERROR(__xludf.DUMMYFUNCTION("""COMPUTED_VALUE"""),"Jack Vasquez (XX) - '27 LHP ")</f>
        <v>Jack Vasquez (XX) - '27 LHP </v>
      </c>
      <c r="D1120" s="38" t="s">
        <v>5914</v>
      </c>
      <c r="E1120" s="39" t="s">
        <v>122</v>
      </c>
      <c r="F1120" s="118"/>
      <c r="G1120" s="113"/>
      <c r="H1120" s="42" t="s">
        <v>424</v>
      </c>
      <c r="I1120" s="43" t="s">
        <v>5915</v>
      </c>
      <c r="J1120" s="43">
        <v>2027.0</v>
      </c>
      <c r="K1120" s="43" t="s">
        <v>410</v>
      </c>
      <c r="L1120" s="43" t="s">
        <v>1994</v>
      </c>
      <c r="M1120" s="43" t="s">
        <v>122</v>
      </c>
      <c r="N1120" s="117"/>
      <c r="O1120" s="43"/>
      <c r="P1120" s="43" t="s">
        <v>5916</v>
      </c>
      <c r="Q1120" s="43"/>
      <c r="R1120" s="43" t="s">
        <v>5917</v>
      </c>
      <c r="S1120" s="44" t="s">
        <v>4708</v>
      </c>
      <c r="T1120" s="39"/>
      <c r="U1120" s="39"/>
      <c r="V1120" s="39"/>
      <c r="W1120" s="39" t="s">
        <v>1724</v>
      </c>
      <c r="X1120" s="81" t="s">
        <v>3667</v>
      </c>
      <c r="Y1120" s="81"/>
      <c r="Z1120" s="82"/>
      <c r="AA1120" s="82"/>
      <c r="AB1120" s="48" t="s">
        <v>61</v>
      </c>
      <c r="AC1120" s="68" t="s">
        <v>61</v>
      </c>
      <c r="AD1120" s="69" t="s">
        <v>61</v>
      </c>
      <c r="AE1120" s="69" t="s">
        <v>61</v>
      </c>
      <c r="AF1120" s="68" t="s">
        <v>61</v>
      </c>
      <c r="AG1120" s="68" t="s">
        <v>61</v>
      </c>
      <c r="AH1120" s="68" t="s">
        <v>61</v>
      </c>
      <c r="AI1120" s="70" t="s">
        <v>61</v>
      </c>
      <c r="AJ1120" s="49" t="s">
        <v>61</v>
      </c>
      <c r="AK1120" s="46"/>
    </row>
    <row r="1121" ht="24.0" customHeight="1">
      <c r="A1121" s="35"/>
      <c r="B1121" s="36">
        <v>1.0</v>
      </c>
      <c r="C1121" s="37" t="str">
        <f>IFERROR(__xludf.DUMMYFUNCTION("""COMPUTED_VALUE"""),"Gavin Wainwright (XX) - '27 RHP MA")</f>
        <v>Gavin Wainwright (XX) - '27 RHP MA</v>
      </c>
      <c r="D1121" s="38" t="s">
        <v>5918</v>
      </c>
      <c r="E1121" s="51" t="s">
        <v>63</v>
      </c>
      <c r="F1121" s="119"/>
      <c r="G1121" s="116" t="s">
        <v>1395</v>
      </c>
      <c r="H1121" s="54" t="s">
        <v>788</v>
      </c>
      <c r="I1121" s="55" t="s">
        <v>5919</v>
      </c>
      <c r="J1121" s="55">
        <v>2027.0</v>
      </c>
      <c r="K1121" s="55" t="s">
        <v>410</v>
      </c>
      <c r="L1121" s="55" t="s">
        <v>5920</v>
      </c>
      <c r="M1121" s="55" t="s">
        <v>63</v>
      </c>
      <c r="N1121" s="132"/>
      <c r="O1121" s="55" t="s">
        <v>1550</v>
      </c>
      <c r="P1121" s="55"/>
      <c r="Q1121" s="55" t="s">
        <v>85</v>
      </c>
      <c r="R1121" s="55" t="s">
        <v>3124</v>
      </c>
      <c r="S1121" s="58" t="s">
        <v>1424</v>
      </c>
      <c r="T1121" s="51"/>
      <c r="U1121" s="51"/>
      <c r="V1121" s="51"/>
      <c r="W1121" s="51"/>
      <c r="X1121" s="74"/>
      <c r="Y1121" s="74"/>
      <c r="Z1121" s="76"/>
      <c r="AA1121" s="197"/>
      <c r="AB1121" s="62" t="s">
        <v>5921</v>
      </c>
      <c r="AC1121" s="63" t="s">
        <v>5922</v>
      </c>
      <c r="AD1121" s="64">
        <v>3.7</v>
      </c>
      <c r="AE1121" s="64" t="s">
        <v>828</v>
      </c>
      <c r="AF1121" s="63" t="s">
        <v>60</v>
      </c>
      <c r="AG1121" s="63" t="s">
        <v>2749</v>
      </c>
      <c r="AH1121" s="63" t="s">
        <v>60</v>
      </c>
      <c r="AI1121" s="65" t="s">
        <v>60</v>
      </c>
      <c r="AJ1121" s="66" t="s">
        <v>61</v>
      </c>
      <c r="AK1121" s="60"/>
    </row>
    <row r="1122" ht="24.0" customHeight="1">
      <c r="A1122" s="35"/>
      <c r="B1122" s="36">
        <v>1.0</v>
      </c>
      <c r="C1122" s="37" t="str">
        <f>IFERROR(__xludf.DUMMYFUNCTION("""COMPUTED_VALUE"""),"Nixon Warren (XX) - '27 OF UT")</f>
        <v>Nixon Warren (XX) - '27 OF UT</v>
      </c>
      <c r="D1122" s="38" t="s">
        <v>5923</v>
      </c>
      <c r="E1122" s="39" t="s">
        <v>103</v>
      </c>
      <c r="F1122" s="118">
        <v>45865.0</v>
      </c>
      <c r="G1122" s="113" t="s">
        <v>1395</v>
      </c>
      <c r="H1122" s="42" t="s">
        <v>5924</v>
      </c>
      <c r="I1122" s="43" t="s">
        <v>2751</v>
      </c>
      <c r="J1122" s="43">
        <v>2027.0</v>
      </c>
      <c r="K1122" s="43" t="s">
        <v>410</v>
      </c>
      <c r="L1122" s="43" t="s">
        <v>5593</v>
      </c>
      <c r="M1122" s="43" t="s">
        <v>103</v>
      </c>
      <c r="N1122" s="117"/>
      <c r="O1122" s="43" t="s">
        <v>3667</v>
      </c>
      <c r="P1122" s="43" t="s">
        <v>5594</v>
      </c>
      <c r="Q1122" s="43" t="s">
        <v>636</v>
      </c>
      <c r="R1122" s="43" t="s">
        <v>5594</v>
      </c>
      <c r="S1122" s="44"/>
      <c r="T1122" s="39">
        <v>3.8</v>
      </c>
      <c r="U1122" s="39"/>
      <c r="V1122" s="39" t="s">
        <v>5925</v>
      </c>
      <c r="W1122" s="39" t="s">
        <v>2821</v>
      </c>
      <c r="X1122" s="81"/>
      <c r="Y1122" s="81"/>
      <c r="Z1122" s="82"/>
      <c r="AA1122" s="198"/>
      <c r="AB1122" s="48" t="s">
        <v>5926</v>
      </c>
      <c r="AC1122" s="68" t="s">
        <v>5927</v>
      </c>
      <c r="AD1122" s="69" t="s">
        <v>5928</v>
      </c>
      <c r="AE1122" s="69" t="s">
        <v>5929</v>
      </c>
      <c r="AF1122" s="68" t="s">
        <v>5930</v>
      </c>
      <c r="AG1122" s="68" t="s">
        <v>81</v>
      </c>
      <c r="AH1122" s="68" t="s">
        <v>857</v>
      </c>
      <c r="AI1122" s="70" t="s">
        <v>81</v>
      </c>
      <c r="AJ1122" s="49" t="s">
        <v>61</v>
      </c>
      <c r="AK1122" s="46"/>
    </row>
    <row r="1123" ht="24.0" customHeight="1">
      <c r="A1123" s="35"/>
      <c r="B1123" s="36">
        <v>1.0</v>
      </c>
      <c r="C1123" s="37" t="str">
        <f>IFERROR(__xludf.DUMMYFUNCTION("""COMPUTED_VALUE"""),"JJ Watkins (XX) - '27 CF NJ")</f>
        <v>JJ Watkins (XX) - '27 CF NJ</v>
      </c>
      <c r="D1123" s="38" t="s">
        <v>5931</v>
      </c>
      <c r="E1123" s="51" t="s">
        <v>103</v>
      </c>
      <c r="F1123" s="119"/>
      <c r="G1123" s="116" t="s">
        <v>1395</v>
      </c>
      <c r="H1123" s="54" t="s">
        <v>5440</v>
      </c>
      <c r="I1123" s="55" t="s">
        <v>5932</v>
      </c>
      <c r="J1123" s="55">
        <v>2027.0</v>
      </c>
      <c r="K1123" s="55" t="s">
        <v>410</v>
      </c>
      <c r="L1123" s="55" t="s">
        <v>4870</v>
      </c>
      <c r="M1123" s="55" t="s">
        <v>106</v>
      </c>
      <c r="N1123" s="132"/>
      <c r="O1123" s="55" t="s">
        <v>1550</v>
      </c>
      <c r="P1123" s="55"/>
      <c r="Q1123" s="55" t="s">
        <v>502</v>
      </c>
      <c r="R1123" s="55" t="s">
        <v>5933</v>
      </c>
      <c r="S1123" s="58" t="s">
        <v>4162</v>
      </c>
      <c r="T1123" s="51"/>
      <c r="U1123" s="51"/>
      <c r="V1123" s="51"/>
      <c r="W1123" s="51"/>
      <c r="X1123" s="74"/>
      <c r="Y1123" s="74"/>
      <c r="Z1123" s="76"/>
      <c r="AA1123" s="197"/>
      <c r="AB1123" s="62" t="s">
        <v>61</v>
      </c>
      <c r="AC1123" s="63" t="s">
        <v>61</v>
      </c>
      <c r="AD1123" s="64" t="s">
        <v>61</v>
      </c>
      <c r="AE1123" s="64" t="s">
        <v>61</v>
      </c>
      <c r="AF1123" s="63" t="s">
        <v>61</v>
      </c>
      <c r="AG1123" s="63" t="s">
        <v>61</v>
      </c>
      <c r="AH1123" s="63" t="s">
        <v>61</v>
      </c>
      <c r="AI1123" s="65" t="s">
        <v>61</v>
      </c>
      <c r="AJ1123" s="66" t="s">
        <v>61</v>
      </c>
      <c r="AK1123" s="60"/>
    </row>
    <row r="1124" ht="24.0" customHeight="1">
      <c r="A1124" s="35"/>
      <c r="B1124" s="36">
        <v>1.0</v>
      </c>
      <c r="C1124" s="37" t="str">
        <f>IFERROR(__xludf.DUMMYFUNCTION("""COMPUTED_VALUE"""),"Ricky Watt (XX) - '27 C NJ")</f>
        <v>Ricky Watt (XX) - '27 C NJ</v>
      </c>
      <c r="D1124" s="89" t="s">
        <v>5934</v>
      </c>
      <c r="E1124" s="39" t="s">
        <v>109</v>
      </c>
      <c r="F1124" s="156">
        <v>46169.0</v>
      </c>
      <c r="G1124" s="113" t="s">
        <v>1470</v>
      </c>
      <c r="H1124" s="42" t="s">
        <v>5935</v>
      </c>
      <c r="I1124" s="43" t="s">
        <v>5936</v>
      </c>
      <c r="J1124" s="43">
        <v>2027.0</v>
      </c>
      <c r="K1124" s="43" t="s">
        <v>410</v>
      </c>
      <c r="L1124" s="80"/>
      <c r="M1124" s="43" t="s">
        <v>109</v>
      </c>
      <c r="N1124" s="43" t="s">
        <v>103</v>
      </c>
      <c r="O1124" s="43" t="s">
        <v>3774</v>
      </c>
      <c r="P1124" s="43" t="s">
        <v>5937</v>
      </c>
      <c r="Q1124" s="43" t="s">
        <v>502</v>
      </c>
      <c r="R1124" s="43" t="s">
        <v>5938</v>
      </c>
      <c r="S1124" s="44"/>
      <c r="T1124" s="81"/>
      <c r="U1124" s="39"/>
      <c r="V1124" s="39" t="s">
        <v>5939</v>
      </c>
      <c r="W1124" s="81"/>
      <c r="X1124" s="81"/>
      <c r="Y1124" s="81"/>
      <c r="Z1124" s="82"/>
      <c r="AA1124" s="48" t="s">
        <v>5940</v>
      </c>
      <c r="AB1124" s="48" t="s">
        <v>5941</v>
      </c>
      <c r="AC1124" s="68" t="s">
        <v>5942</v>
      </c>
      <c r="AD1124" s="69" t="s">
        <v>5943</v>
      </c>
      <c r="AE1124" s="69" t="s">
        <v>5944</v>
      </c>
      <c r="AF1124" s="68" t="s">
        <v>60</v>
      </c>
      <c r="AG1124" s="68" t="s">
        <v>60</v>
      </c>
      <c r="AH1124" s="68" t="s">
        <v>81</v>
      </c>
      <c r="AI1124" s="70" t="s">
        <v>81</v>
      </c>
      <c r="AJ1124" s="114" t="s">
        <v>61</v>
      </c>
      <c r="AK1124" s="82"/>
    </row>
    <row r="1125" ht="24.0" customHeight="1">
      <c r="A1125" s="35"/>
      <c r="B1125" s="36">
        <v>1.0</v>
      </c>
      <c r="C1125" s="37" t="str">
        <f>IFERROR(__xludf.DUMMYFUNCTION("""COMPUTED_VALUE"""),"Ricky Watt (XX) - '27 C NJ")</f>
        <v>Ricky Watt (XX) - '27 C NJ</v>
      </c>
      <c r="D1125" s="89" t="s">
        <v>5934</v>
      </c>
      <c r="E1125" s="51" t="s">
        <v>109</v>
      </c>
      <c r="F1125" s="154">
        <v>46169.0</v>
      </c>
      <c r="G1125" s="116" t="s">
        <v>1470</v>
      </c>
      <c r="H1125" s="54" t="s">
        <v>5935</v>
      </c>
      <c r="I1125" s="55" t="s">
        <v>5936</v>
      </c>
      <c r="J1125" s="199">
        <v>2027.0</v>
      </c>
      <c r="K1125" s="55" t="s">
        <v>410</v>
      </c>
      <c r="L1125" s="55" t="s">
        <v>1994</v>
      </c>
      <c r="M1125" s="55" t="s">
        <v>109</v>
      </c>
      <c r="N1125" s="55" t="s">
        <v>103</v>
      </c>
      <c r="O1125" s="55" t="s">
        <v>3774</v>
      </c>
      <c r="P1125" s="55" t="s">
        <v>5937</v>
      </c>
      <c r="Q1125" s="55" t="s">
        <v>502</v>
      </c>
      <c r="R1125" s="55" t="s">
        <v>5938</v>
      </c>
      <c r="S1125" s="132"/>
      <c r="T1125" s="74"/>
      <c r="U1125" s="74"/>
      <c r="V1125" s="51" t="s">
        <v>5939</v>
      </c>
      <c r="W1125" s="74"/>
      <c r="X1125" s="74"/>
      <c r="Y1125" s="74"/>
      <c r="Z1125" s="76"/>
      <c r="AA1125" s="200"/>
      <c r="AB1125" s="62" t="s">
        <v>5941</v>
      </c>
      <c r="AC1125" s="63" t="s">
        <v>5942</v>
      </c>
      <c r="AD1125" s="64" t="s">
        <v>5943</v>
      </c>
      <c r="AE1125" s="64" t="s">
        <v>5944</v>
      </c>
      <c r="AF1125" s="63" t="s">
        <v>60</v>
      </c>
      <c r="AG1125" s="63" t="s">
        <v>60</v>
      </c>
      <c r="AH1125" s="63" t="s">
        <v>81</v>
      </c>
      <c r="AI1125" s="65" t="s">
        <v>81</v>
      </c>
      <c r="AJ1125" s="105" t="s">
        <v>61</v>
      </c>
      <c r="AK1125" s="76"/>
    </row>
    <row r="1126" ht="24.0" customHeight="1">
      <c r="A1126" s="35"/>
      <c r="B1126" s="36">
        <v>1.0</v>
      </c>
      <c r="C1126" s="37" t="str">
        <f>IFERROR(__xludf.DUMMYFUNCTION("""COMPUTED_VALUE""")," CO")</f>
        <v> CO</v>
      </c>
      <c r="D1126" s="38" t="s">
        <v>5945</v>
      </c>
      <c r="E1126" s="39" t="s">
        <v>63</v>
      </c>
      <c r="F1126" s="118">
        <v>45865.0</v>
      </c>
      <c r="G1126" s="113" t="s">
        <v>1395</v>
      </c>
      <c r="H1126" s="42" t="s">
        <v>136</v>
      </c>
      <c r="I1126" s="43" t="s">
        <v>5946</v>
      </c>
      <c r="J1126" s="179"/>
      <c r="K1126" s="43" t="s">
        <v>410</v>
      </c>
      <c r="L1126" s="43" t="s">
        <v>2018</v>
      </c>
      <c r="M1126" s="43" t="s">
        <v>63</v>
      </c>
      <c r="N1126" s="117"/>
      <c r="O1126" s="43" t="s">
        <v>1550</v>
      </c>
      <c r="P1126" s="43" t="s">
        <v>5947</v>
      </c>
      <c r="Q1126" s="43" t="s">
        <v>174</v>
      </c>
      <c r="R1126" s="43" t="s">
        <v>280</v>
      </c>
      <c r="S1126" s="44"/>
      <c r="T1126" s="39">
        <v>3.8</v>
      </c>
      <c r="U1126" s="39"/>
      <c r="V1126" s="39" t="s">
        <v>5948</v>
      </c>
      <c r="W1126" s="39" t="s">
        <v>2821</v>
      </c>
      <c r="X1126" s="81"/>
      <c r="Y1126" s="81"/>
      <c r="Z1126" s="82"/>
      <c r="AA1126" s="99"/>
      <c r="AB1126" s="48" t="s">
        <v>5949</v>
      </c>
      <c r="AC1126" s="68" t="s">
        <v>5950</v>
      </c>
      <c r="AD1126" s="69" t="s">
        <v>5951</v>
      </c>
      <c r="AE1126" s="69" t="s">
        <v>400</v>
      </c>
      <c r="AF1126" s="68" t="s">
        <v>5952</v>
      </c>
      <c r="AG1126" s="68" t="s">
        <v>400</v>
      </c>
      <c r="AH1126" s="68" t="s">
        <v>400</v>
      </c>
      <c r="AI1126" s="70" t="s">
        <v>5953</v>
      </c>
      <c r="AJ1126" s="49" t="s">
        <v>61</v>
      </c>
      <c r="AK1126" s="46"/>
    </row>
    <row r="1127" ht="24.0" customHeight="1">
      <c r="A1127" s="35"/>
      <c r="B1127" s="36">
        <v>1.0</v>
      </c>
      <c r="C1127" s="37" t="str">
        <f>IFERROR(__xludf.DUMMYFUNCTION("""COMPUTED_VALUE"""),"Andrew Weber (XX) - '27 RHP CA")</f>
        <v>Andrew Weber (XX) - '27 RHP CA</v>
      </c>
      <c r="D1127" s="38" t="s">
        <v>5954</v>
      </c>
      <c r="E1127" s="51" t="s">
        <v>63</v>
      </c>
      <c r="F1127" s="119">
        <v>45865.0</v>
      </c>
      <c r="G1127" s="116" t="s">
        <v>1470</v>
      </c>
      <c r="H1127" s="54" t="s">
        <v>457</v>
      </c>
      <c r="I1127" s="55" t="s">
        <v>5955</v>
      </c>
      <c r="J1127" s="55">
        <v>2027.0</v>
      </c>
      <c r="K1127" s="55" t="s">
        <v>410</v>
      </c>
      <c r="L1127" s="55" t="s">
        <v>482</v>
      </c>
      <c r="M1127" s="55" t="s">
        <v>63</v>
      </c>
      <c r="N1127" s="132"/>
      <c r="O1127" s="55" t="s">
        <v>1550</v>
      </c>
      <c r="P1127" s="55" t="s">
        <v>5956</v>
      </c>
      <c r="Q1127" s="55" t="s">
        <v>52</v>
      </c>
      <c r="R1127" s="55" t="s">
        <v>5957</v>
      </c>
      <c r="S1127" s="58"/>
      <c r="T1127" s="51">
        <v>4.0</v>
      </c>
      <c r="U1127" s="51"/>
      <c r="V1127" s="51" t="s">
        <v>5958</v>
      </c>
      <c r="W1127" s="51" t="s">
        <v>2821</v>
      </c>
      <c r="X1127" s="74"/>
      <c r="Y1127" s="74"/>
      <c r="Z1127" s="76"/>
      <c r="AA1127" s="134"/>
      <c r="AB1127" s="62" t="s">
        <v>61</v>
      </c>
      <c r="AC1127" s="63" t="s">
        <v>61</v>
      </c>
      <c r="AD1127" s="64" t="s">
        <v>61</v>
      </c>
      <c r="AE1127" s="64" t="s">
        <v>61</v>
      </c>
      <c r="AF1127" s="63" t="s">
        <v>61</v>
      </c>
      <c r="AG1127" s="63" t="s">
        <v>61</v>
      </c>
      <c r="AH1127" s="63" t="s">
        <v>61</v>
      </c>
      <c r="AI1127" s="65" t="s">
        <v>61</v>
      </c>
      <c r="AJ1127" s="66" t="s">
        <v>61</v>
      </c>
      <c r="AK1127" s="60"/>
    </row>
    <row r="1128" ht="24.0" customHeight="1">
      <c r="A1128" s="35"/>
      <c r="B1128" s="36">
        <v>1.0</v>
      </c>
      <c r="C1128" s="37" t="str">
        <f>IFERROR(__xludf.DUMMYFUNCTION("""COMPUTED_VALUE"""),"Connor Wells (XX) - '27 LHP SC")</f>
        <v>Connor Wells (XX) - '27 LHP SC</v>
      </c>
      <c r="D1128" s="38" t="s">
        <v>5959</v>
      </c>
      <c r="E1128" s="39" t="s">
        <v>122</v>
      </c>
      <c r="F1128" s="118">
        <v>45865.0</v>
      </c>
      <c r="G1128" s="113" t="s">
        <v>1470</v>
      </c>
      <c r="H1128" s="42" t="s">
        <v>682</v>
      </c>
      <c r="I1128" s="43" t="s">
        <v>409</v>
      </c>
      <c r="J1128" s="43">
        <v>2027.0</v>
      </c>
      <c r="K1128" s="43" t="s">
        <v>410</v>
      </c>
      <c r="L1128" s="43" t="s">
        <v>5960</v>
      </c>
      <c r="M1128" s="43" t="s">
        <v>122</v>
      </c>
      <c r="N1128" s="117"/>
      <c r="O1128" s="43" t="s">
        <v>1556</v>
      </c>
      <c r="P1128" s="43" t="s">
        <v>5961</v>
      </c>
      <c r="Q1128" s="43" t="s">
        <v>286</v>
      </c>
      <c r="R1128" s="43" t="s">
        <v>5962</v>
      </c>
      <c r="S1128" s="44"/>
      <c r="T1128" s="39"/>
      <c r="U1128" s="39"/>
      <c r="V1128" s="39" t="s">
        <v>5963</v>
      </c>
      <c r="W1128" s="39" t="s">
        <v>2821</v>
      </c>
      <c r="X1128" s="81"/>
      <c r="Y1128" s="81"/>
      <c r="Z1128" s="82"/>
      <c r="AA1128" s="99"/>
      <c r="AB1128" s="48" t="s">
        <v>61</v>
      </c>
      <c r="AC1128" s="68" t="s">
        <v>61</v>
      </c>
      <c r="AD1128" s="69" t="s">
        <v>61</v>
      </c>
      <c r="AE1128" s="69" t="s">
        <v>61</v>
      </c>
      <c r="AF1128" s="68" t="s">
        <v>61</v>
      </c>
      <c r="AG1128" s="68" t="s">
        <v>61</v>
      </c>
      <c r="AH1128" s="68" t="s">
        <v>61</v>
      </c>
      <c r="AI1128" s="70" t="s">
        <v>61</v>
      </c>
      <c r="AJ1128" s="49" t="s">
        <v>61</v>
      </c>
      <c r="AK1128" s="46"/>
    </row>
    <row r="1129" ht="24.0" customHeight="1">
      <c r="A1129" s="35"/>
      <c r="B1129" s="36">
        <v>1.0</v>
      </c>
      <c r="C1129" s="37" t="str">
        <f>IFERROR(__xludf.DUMMYFUNCTION("""COMPUTED_VALUE"""),"Hunter West (XX) - '27 RHP PA")</f>
        <v>Hunter West (XX) - '27 RHP PA</v>
      </c>
      <c r="D1129" s="38" t="s">
        <v>5964</v>
      </c>
      <c r="E1129" s="51" t="s">
        <v>63</v>
      </c>
      <c r="F1129" s="119">
        <v>45865.0</v>
      </c>
      <c r="G1129" s="116" t="s">
        <v>1430</v>
      </c>
      <c r="H1129" s="54" t="s">
        <v>822</v>
      </c>
      <c r="I1129" s="55" t="s">
        <v>5965</v>
      </c>
      <c r="J1129" s="55">
        <v>2027.0</v>
      </c>
      <c r="K1129" s="55" t="s">
        <v>410</v>
      </c>
      <c r="L1129" s="55" t="s">
        <v>2323</v>
      </c>
      <c r="M1129" s="55" t="s">
        <v>63</v>
      </c>
      <c r="N1129" s="132"/>
      <c r="O1129" s="55" t="s">
        <v>1550</v>
      </c>
      <c r="P1129" s="55" t="s">
        <v>3999</v>
      </c>
      <c r="Q1129" s="55" t="s">
        <v>240</v>
      </c>
      <c r="R1129" s="55" t="s">
        <v>5966</v>
      </c>
      <c r="S1129" s="58"/>
      <c r="T1129" s="51">
        <v>3.8</v>
      </c>
      <c r="U1129" s="51"/>
      <c r="V1129" s="51" t="s">
        <v>5967</v>
      </c>
      <c r="W1129" s="51" t="s">
        <v>2821</v>
      </c>
      <c r="X1129" s="74"/>
      <c r="Y1129" s="74"/>
      <c r="Z1129" s="76"/>
      <c r="AA1129" s="134"/>
      <c r="AB1129" s="62" t="s">
        <v>61</v>
      </c>
      <c r="AC1129" s="63" t="s">
        <v>61</v>
      </c>
      <c r="AD1129" s="64" t="s">
        <v>61</v>
      </c>
      <c r="AE1129" s="64" t="s">
        <v>61</v>
      </c>
      <c r="AF1129" s="63" t="s">
        <v>61</v>
      </c>
      <c r="AG1129" s="63" t="s">
        <v>61</v>
      </c>
      <c r="AH1129" s="63" t="s">
        <v>61</v>
      </c>
      <c r="AI1129" s="65" t="s">
        <v>61</v>
      </c>
      <c r="AJ1129" s="66" t="s">
        <v>61</v>
      </c>
      <c r="AK1129" s="60"/>
    </row>
    <row r="1130" ht="24.0" customHeight="1">
      <c r="A1130" s="35"/>
      <c r="B1130" s="36">
        <v>1.0</v>
      </c>
      <c r="C1130" s="37" t="str">
        <f>IFERROR(__xludf.DUMMYFUNCTION("""COMPUTED_VALUE"""),"DeShaun White (XX) - '27 OF PA")</f>
        <v>DeShaun White (XX) - '27 OF PA</v>
      </c>
      <c r="D1130" s="38" t="s">
        <v>5968</v>
      </c>
      <c r="E1130" s="39" t="s">
        <v>103</v>
      </c>
      <c r="F1130" s="118"/>
      <c r="G1130" s="113" t="s">
        <v>1430</v>
      </c>
      <c r="H1130" s="42" t="s">
        <v>5969</v>
      </c>
      <c r="I1130" s="43" t="s">
        <v>5970</v>
      </c>
      <c r="J1130" s="43">
        <v>2027.0</v>
      </c>
      <c r="K1130" s="43" t="s">
        <v>410</v>
      </c>
      <c r="L1130" s="43" t="s">
        <v>5971</v>
      </c>
      <c r="M1130" s="43" t="s">
        <v>103</v>
      </c>
      <c r="N1130" s="117"/>
      <c r="O1130" s="43"/>
      <c r="P1130" s="43"/>
      <c r="Q1130" s="43" t="s">
        <v>240</v>
      </c>
      <c r="R1130" s="43" t="s">
        <v>5972</v>
      </c>
      <c r="S1130" s="44" t="s">
        <v>2029</v>
      </c>
      <c r="T1130" s="39" t="s">
        <v>5426</v>
      </c>
      <c r="U1130" s="39"/>
      <c r="V1130" s="39"/>
      <c r="W1130" s="39"/>
      <c r="X1130" s="81"/>
      <c r="Y1130" s="81"/>
      <c r="Z1130" s="82"/>
      <c r="AA1130" s="99" t="s">
        <v>5973</v>
      </c>
      <c r="AB1130" s="48" t="s">
        <v>5974</v>
      </c>
      <c r="AC1130" s="68" t="s">
        <v>5975</v>
      </c>
      <c r="AD1130" s="69">
        <v>3.5</v>
      </c>
      <c r="AE1130" s="69" t="s">
        <v>400</v>
      </c>
      <c r="AF1130" s="68" t="s">
        <v>5976</v>
      </c>
      <c r="AG1130" s="68" t="s">
        <v>549</v>
      </c>
      <c r="AH1130" s="68" t="s">
        <v>5977</v>
      </c>
      <c r="AI1130" s="70" t="s">
        <v>549</v>
      </c>
      <c r="AJ1130" s="49" t="s">
        <v>61</v>
      </c>
      <c r="AK1130" s="46"/>
    </row>
    <row r="1131" ht="24.0" customHeight="1">
      <c r="A1131" s="35"/>
      <c r="B1131" s="36">
        <v>1.0</v>
      </c>
      <c r="C1131" s="37" t="str">
        <f>IFERROR(__xludf.DUMMYFUNCTION("""COMPUTED_VALUE"""),"Jamari Whitley (XX) - '27 RHP NJ")</f>
        <v>Jamari Whitley (XX) - '27 RHP NJ</v>
      </c>
      <c r="D1131" s="38" t="s">
        <v>5978</v>
      </c>
      <c r="E1131" s="51" t="s">
        <v>63</v>
      </c>
      <c r="F1131" s="119">
        <v>45855.0</v>
      </c>
      <c r="G1131" s="116" t="s">
        <v>1395</v>
      </c>
      <c r="H1131" s="54" t="s">
        <v>5979</v>
      </c>
      <c r="I1131" s="55" t="s">
        <v>5980</v>
      </c>
      <c r="J1131" s="55">
        <v>2027.0</v>
      </c>
      <c r="K1131" s="55" t="s">
        <v>410</v>
      </c>
      <c r="L1131" s="55"/>
      <c r="M1131" s="55" t="s">
        <v>63</v>
      </c>
      <c r="N1131" s="132"/>
      <c r="O1131" s="55"/>
      <c r="P1131" s="55"/>
      <c r="Q1131" s="55" t="s">
        <v>502</v>
      </c>
      <c r="R1131" s="55"/>
      <c r="S1131" s="58" t="s">
        <v>5981</v>
      </c>
      <c r="T1131" s="51"/>
      <c r="U1131" s="51"/>
      <c r="V1131" s="51"/>
      <c r="W1131" s="51"/>
      <c r="X1131" s="74"/>
      <c r="Y1131" s="74"/>
      <c r="Z1131" s="76"/>
      <c r="AA1131" s="134"/>
      <c r="AB1131" s="62" t="s">
        <v>61</v>
      </c>
      <c r="AC1131" s="63" t="s">
        <v>61</v>
      </c>
      <c r="AD1131" s="64" t="s">
        <v>61</v>
      </c>
      <c r="AE1131" s="64" t="s">
        <v>61</v>
      </c>
      <c r="AF1131" s="63" t="s">
        <v>61</v>
      </c>
      <c r="AG1131" s="63" t="s">
        <v>61</v>
      </c>
      <c r="AH1131" s="63" t="s">
        <v>61</v>
      </c>
      <c r="AI1131" s="65" t="s">
        <v>61</v>
      </c>
      <c r="AJ1131" s="66" t="s">
        <v>61</v>
      </c>
      <c r="AK1131" s="60"/>
    </row>
    <row r="1132" ht="24.0" customHeight="1">
      <c r="A1132" s="35"/>
      <c r="B1132" s="36">
        <v>1.0</v>
      </c>
      <c r="C1132" s="37" t="str">
        <f>IFERROR(__xludf.DUMMYFUNCTION("""COMPUTED_VALUE"""),"Tosh Whitworth (XX) - '27 RHP CA")</f>
        <v>Tosh Whitworth (XX) - '27 RHP CA</v>
      </c>
      <c r="D1132" s="38" t="s">
        <v>5982</v>
      </c>
      <c r="E1132" s="39" t="s">
        <v>63</v>
      </c>
      <c r="F1132" s="118">
        <v>45869.0</v>
      </c>
      <c r="G1132" s="113" t="s">
        <v>1395</v>
      </c>
      <c r="H1132" s="42" t="s">
        <v>5983</v>
      </c>
      <c r="I1132" s="43" t="s">
        <v>5984</v>
      </c>
      <c r="J1132" s="43">
        <v>2027.0</v>
      </c>
      <c r="K1132" s="43" t="s">
        <v>410</v>
      </c>
      <c r="L1132" s="43" t="s">
        <v>2789</v>
      </c>
      <c r="M1132" s="43" t="s">
        <v>63</v>
      </c>
      <c r="N1132" s="117"/>
      <c r="O1132" s="43" t="s">
        <v>1550</v>
      </c>
      <c r="P1132" s="43" t="s">
        <v>5985</v>
      </c>
      <c r="Q1132" s="43" t="s">
        <v>52</v>
      </c>
      <c r="R1132" s="43" t="s">
        <v>5985</v>
      </c>
      <c r="S1132" s="44"/>
      <c r="T1132" s="39">
        <v>4.3</v>
      </c>
      <c r="U1132" s="39"/>
      <c r="V1132" s="39">
        <v>8.054533219E9</v>
      </c>
      <c r="W1132" s="39"/>
      <c r="X1132" s="81"/>
      <c r="Y1132" s="81"/>
      <c r="Z1132" s="82"/>
      <c r="AA1132" s="99" t="s">
        <v>5986</v>
      </c>
      <c r="AB1132" s="48" t="s">
        <v>5987</v>
      </c>
      <c r="AC1132" s="68" t="s">
        <v>5988</v>
      </c>
      <c r="AD1132" s="69" t="s">
        <v>5989</v>
      </c>
      <c r="AE1132" s="69" t="s">
        <v>5990</v>
      </c>
      <c r="AF1132" s="68" t="s">
        <v>5991</v>
      </c>
      <c r="AG1132" s="68" t="s">
        <v>5992</v>
      </c>
      <c r="AH1132" s="68" t="s">
        <v>549</v>
      </c>
      <c r="AI1132" s="70" t="s">
        <v>549</v>
      </c>
      <c r="AJ1132" s="49" t="s">
        <v>61</v>
      </c>
      <c r="AK1132" s="46"/>
    </row>
    <row r="1133" ht="24.0" customHeight="1">
      <c r="A1133" s="35"/>
      <c r="B1133" s="36">
        <v>1.0</v>
      </c>
      <c r="C1133" s="37" t="str">
        <f>IFERROR(__xludf.DUMMYFUNCTION("""COMPUTED_VALUE"""),"Anthony Williams (XX) - '27 SS MD")</f>
        <v>Anthony Williams (XX) - '27 SS MD</v>
      </c>
      <c r="D1133" s="38" t="s">
        <v>5993</v>
      </c>
      <c r="E1133" s="51" t="s">
        <v>48</v>
      </c>
      <c r="F1133" s="119"/>
      <c r="G1133" s="116" t="s">
        <v>1430</v>
      </c>
      <c r="H1133" s="54" t="s">
        <v>467</v>
      </c>
      <c r="I1133" s="55" t="s">
        <v>1001</v>
      </c>
      <c r="J1133" s="55">
        <v>2027.0</v>
      </c>
      <c r="K1133" s="55" t="s">
        <v>410</v>
      </c>
      <c r="L1133" s="55" t="s">
        <v>2323</v>
      </c>
      <c r="M1133" s="55" t="s">
        <v>1398</v>
      </c>
      <c r="N1133" s="132" t="s">
        <v>1519</v>
      </c>
      <c r="O1133" s="55" t="s">
        <v>1550</v>
      </c>
      <c r="P1133" s="55" t="s">
        <v>5994</v>
      </c>
      <c r="Q1133" s="55" t="s">
        <v>195</v>
      </c>
      <c r="R1133" s="55" t="s">
        <v>3585</v>
      </c>
      <c r="S1133" s="58" t="s">
        <v>3112</v>
      </c>
      <c r="T1133" s="51">
        <v>4.0</v>
      </c>
      <c r="U1133" s="51"/>
      <c r="V1133" s="51"/>
      <c r="W1133" s="51" t="s">
        <v>1724</v>
      </c>
      <c r="X1133" s="74"/>
      <c r="Y1133" s="74"/>
      <c r="Z1133" s="76"/>
      <c r="AA1133" s="134" t="s">
        <v>5995</v>
      </c>
      <c r="AB1133" s="62" t="s">
        <v>5996</v>
      </c>
      <c r="AC1133" s="63" t="s">
        <v>5997</v>
      </c>
      <c r="AD1133" s="64" t="s">
        <v>5998</v>
      </c>
      <c r="AE1133" s="64" t="s">
        <v>400</v>
      </c>
      <c r="AF1133" s="63" t="s">
        <v>5999</v>
      </c>
      <c r="AG1133" s="63" t="s">
        <v>81</v>
      </c>
      <c r="AH1133" s="63" t="s">
        <v>81</v>
      </c>
      <c r="AI1133" s="65" t="s">
        <v>81</v>
      </c>
      <c r="AJ1133" s="66" t="s">
        <v>61</v>
      </c>
      <c r="AK1133" s="60"/>
    </row>
    <row r="1134" ht="24.0" customHeight="1">
      <c r="A1134" s="35"/>
      <c r="B1134" s="36">
        <v>1.0</v>
      </c>
      <c r="C1134" s="37" t="str">
        <f>IFERROR(__xludf.DUMMYFUNCTION("""COMPUTED_VALUE"""),"Luke Winbush (XX) - '27 SS GA")</f>
        <v>Luke Winbush (XX) - '27 SS GA</v>
      </c>
      <c r="D1134" s="38" t="s">
        <v>6000</v>
      </c>
      <c r="E1134" s="39" t="s">
        <v>48</v>
      </c>
      <c r="F1134" s="118">
        <v>45865.0</v>
      </c>
      <c r="G1134" s="113" t="s">
        <v>1395</v>
      </c>
      <c r="H1134" s="42" t="s">
        <v>1042</v>
      </c>
      <c r="I1134" s="43" t="s">
        <v>6001</v>
      </c>
      <c r="J1134" s="43">
        <v>2027.0</v>
      </c>
      <c r="K1134" s="43" t="s">
        <v>410</v>
      </c>
      <c r="L1134" s="43" t="s">
        <v>6002</v>
      </c>
      <c r="M1134" s="43" t="s">
        <v>1398</v>
      </c>
      <c r="N1134" s="117"/>
      <c r="O1134" s="43" t="s">
        <v>1550</v>
      </c>
      <c r="P1134" s="43" t="s">
        <v>1973</v>
      </c>
      <c r="Q1134" s="43" t="s">
        <v>43</v>
      </c>
      <c r="R1134" s="43" t="s">
        <v>6003</v>
      </c>
      <c r="S1134" s="44" t="s">
        <v>6004</v>
      </c>
      <c r="T1134" s="39">
        <v>4.46</v>
      </c>
      <c r="U1134" s="39"/>
      <c r="V1134" s="39" t="s">
        <v>6005</v>
      </c>
      <c r="W1134" s="39" t="s">
        <v>2821</v>
      </c>
      <c r="X1134" s="81"/>
      <c r="Y1134" s="81"/>
      <c r="Z1134" s="82"/>
      <c r="AA1134" s="99"/>
      <c r="AB1134" s="48" t="s">
        <v>6006</v>
      </c>
      <c r="AC1134" s="68" t="s">
        <v>6007</v>
      </c>
      <c r="AD1134" s="69" t="s">
        <v>6008</v>
      </c>
      <c r="AE1134" s="69" t="s">
        <v>2417</v>
      </c>
      <c r="AF1134" s="68" t="s">
        <v>81</v>
      </c>
      <c r="AG1134" s="68" t="s">
        <v>81</v>
      </c>
      <c r="AH1134" s="68" t="s">
        <v>81</v>
      </c>
      <c r="AI1134" s="70" t="s">
        <v>81</v>
      </c>
      <c r="AJ1134" s="49" t="s">
        <v>61</v>
      </c>
      <c r="AK1134" s="46"/>
    </row>
    <row r="1135" ht="24.0" customHeight="1">
      <c r="A1135" s="35"/>
      <c r="B1135" s="36">
        <v>1.0</v>
      </c>
      <c r="C1135" s="37" t="str">
        <f>IFERROR(__xludf.DUMMYFUNCTION("""COMPUTED_VALUE"""),"Austin Winge (XX) - '27 RHP IL")</f>
        <v>Austin Winge (XX) - '27 RHP IL</v>
      </c>
      <c r="D1135" s="38" t="s">
        <v>6009</v>
      </c>
      <c r="E1135" s="51" t="s">
        <v>63</v>
      </c>
      <c r="F1135" s="119">
        <v>45858.0</v>
      </c>
      <c r="G1135" s="116" t="s">
        <v>1395</v>
      </c>
      <c r="H1135" s="54" t="s">
        <v>472</v>
      </c>
      <c r="I1135" s="55" t="s">
        <v>6010</v>
      </c>
      <c r="J1135" s="55">
        <v>2027.0</v>
      </c>
      <c r="K1135" s="55" t="s">
        <v>410</v>
      </c>
      <c r="L1135" s="55" t="s">
        <v>2028</v>
      </c>
      <c r="M1135" s="55" t="s">
        <v>63</v>
      </c>
      <c r="N1135" s="132"/>
      <c r="O1135" s="55"/>
      <c r="P1135" s="55"/>
      <c r="Q1135" s="55" t="s">
        <v>307</v>
      </c>
      <c r="R1135" s="55"/>
      <c r="S1135" s="58" t="s">
        <v>443</v>
      </c>
      <c r="T1135" s="51"/>
      <c r="U1135" s="51"/>
      <c r="V1135" s="51"/>
      <c r="W1135" s="51"/>
      <c r="X1135" s="74"/>
      <c r="Y1135" s="74"/>
      <c r="Z1135" s="76"/>
      <c r="AA1135" s="134"/>
      <c r="AB1135" s="62" t="s">
        <v>6011</v>
      </c>
      <c r="AC1135" s="63" t="s">
        <v>6012</v>
      </c>
      <c r="AD1135" s="64" t="s">
        <v>6013</v>
      </c>
      <c r="AE1135" s="64" t="s">
        <v>400</v>
      </c>
      <c r="AF1135" s="63" t="s">
        <v>6014</v>
      </c>
      <c r="AG1135" s="63" t="s">
        <v>1942</v>
      </c>
      <c r="AH1135" s="63"/>
      <c r="AI1135" s="65"/>
      <c r="AJ1135" s="66" t="s">
        <v>61</v>
      </c>
      <c r="AK1135" s="60"/>
    </row>
    <row r="1136" ht="24.0" customHeight="1">
      <c r="A1136" s="35"/>
      <c r="B1136" s="36">
        <v>1.0</v>
      </c>
      <c r="C1136" s="37" t="str">
        <f>IFERROR(__xludf.DUMMYFUNCTION("""COMPUTED_VALUE"""),"Brendan Winkler (XX) - '27 RHP WA")</f>
        <v>Brendan Winkler (XX) - '27 RHP WA</v>
      </c>
      <c r="D1136" s="38" t="s">
        <v>6015</v>
      </c>
      <c r="E1136" s="39" t="s">
        <v>63</v>
      </c>
      <c r="F1136" s="118"/>
      <c r="G1136" s="113"/>
      <c r="H1136" s="42" t="s">
        <v>4306</v>
      </c>
      <c r="I1136" s="43" t="s">
        <v>6016</v>
      </c>
      <c r="J1136" s="123">
        <v>2027.0</v>
      </c>
      <c r="K1136" s="43" t="s">
        <v>410</v>
      </c>
      <c r="L1136" s="43" t="s">
        <v>2144</v>
      </c>
      <c r="M1136" s="43" t="s">
        <v>63</v>
      </c>
      <c r="N1136" s="117"/>
      <c r="O1136" s="43"/>
      <c r="P1136" s="43" t="s">
        <v>6017</v>
      </c>
      <c r="Q1136" s="43" t="s">
        <v>1575</v>
      </c>
      <c r="R1136" s="43" t="s">
        <v>6018</v>
      </c>
      <c r="S1136" s="44" t="s">
        <v>3437</v>
      </c>
      <c r="T1136" s="39"/>
      <c r="U1136" s="39"/>
      <c r="V1136" s="39"/>
      <c r="W1136" s="39" t="s">
        <v>1724</v>
      </c>
      <c r="X1136" s="81" t="s">
        <v>1550</v>
      </c>
      <c r="Y1136" s="81"/>
      <c r="Z1136" s="82"/>
      <c r="AA1136" s="99"/>
      <c r="AB1136" s="48" t="s">
        <v>6019</v>
      </c>
      <c r="AC1136" s="68" t="s">
        <v>6020</v>
      </c>
      <c r="AD1136" s="196">
        <v>0.92</v>
      </c>
      <c r="AE1136" s="69" t="s">
        <v>6021</v>
      </c>
      <c r="AF1136" s="68" t="s">
        <v>6022</v>
      </c>
      <c r="AG1136" s="68" t="s">
        <v>2854</v>
      </c>
      <c r="AH1136" s="68" t="s">
        <v>5128</v>
      </c>
      <c r="AI1136" s="70" t="s">
        <v>6023</v>
      </c>
      <c r="AJ1136" s="49" t="s">
        <v>61</v>
      </c>
      <c r="AK1136" s="46"/>
    </row>
    <row r="1137" ht="24.0" customHeight="1">
      <c r="A1137" s="35"/>
      <c r="B1137" s="36">
        <v>1.0</v>
      </c>
      <c r="C1137" s="37" t="str">
        <f>IFERROR(__xludf.DUMMYFUNCTION("""COMPUTED_VALUE""")," AZ")</f>
        <v> AZ</v>
      </c>
      <c r="D1137" s="38" t="s">
        <v>6024</v>
      </c>
      <c r="E1137" s="51" t="s">
        <v>48</v>
      </c>
      <c r="F1137" s="119">
        <v>45865.0</v>
      </c>
      <c r="G1137" s="116" t="s">
        <v>1395</v>
      </c>
      <c r="H1137" s="54" t="s">
        <v>3666</v>
      </c>
      <c r="I1137" s="55" t="s">
        <v>6025</v>
      </c>
      <c r="J1137" s="201"/>
      <c r="K1137" s="55" t="s">
        <v>410</v>
      </c>
      <c r="L1137" s="55" t="s">
        <v>6026</v>
      </c>
      <c r="M1137" s="55" t="s">
        <v>1398</v>
      </c>
      <c r="N1137" s="132"/>
      <c r="O1137" s="55" t="s">
        <v>1550</v>
      </c>
      <c r="P1137" s="55" t="s">
        <v>5257</v>
      </c>
      <c r="Q1137" s="55" t="s">
        <v>319</v>
      </c>
      <c r="R1137" s="55" t="s">
        <v>6027</v>
      </c>
      <c r="S1137" s="58"/>
      <c r="T1137" s="51">
        <v>4.44</v>
      </c>
      <c r="U1137" s="51"/>
      <c r="V1137" s="51" t="s">
        <v>6028</v>
      </c>
      <c r="W1137" s="51" t="s">
        <v>2821</v>
      </c>
      <c r="X1137" s="74"/>
      <c r="Y1137" s="74"/>
      <c r="Z1137" s="76"/>
      <c r="AA1137" s="134"/>
      <c r="AB1137" s="62" t="s">
        <v>61</v>
      </c>
      <c r="AC1137" s="63" t="s">
        <v>61</v>
      </c>
      <c r="AD1137" s="64" t="s">
        <v>61</v>
      </c>
      <c r="AE1137" s="64" t="s">
        <v>61</v>
      </c>
      <c r="AF1137" s="63" t="s">
        <v>61</v>
      </c>
      <c r="AG1137" s="63" t="s">
        <v>61</v>
      </c>
      <c r="AH1137" s="63" t="s">
        <v>61</v>
      </c>
      <c r="AI1137" s="65" t="s">
        <v>61</v>
      </c>
      <c r="AJ1137" s="66" t="s">
        <v>61</v>
      </c>
      <c r="AK1137" s="60"/>
    </row>
    <row r="1138" ht="24.0" customHeight="1">
      <c r="A1138" s="35"/>
      <c r="B1138" s="36">
        <v>1.0</v>
      </c>
      <c r="C1138" s="37" t="str">
        <f>IFERROR(__xludf.DUMMYFUNCTION("""COMPUTED_VALUE"""),"Mason Woods (XX) - '27 LHP TN")</f>
        <v>Mason Woods (XX) - '27 LHP TN</v>
      </c>
      <c r="D1138" s="38" t="s">
        <v>6029</v>
      </c>
      <c r="E1138" s="39" t="s">
        <v>122</v>
      </c>
      <c r="F1138" s="118">
        <v>45945.0</v>
      </c>
      <c r="G1138" s="113"/>
      <c r="H1138" s="42" t="s">
        <v>1057</v>
      </c>
      <c r="I1138" s="43" t="s">
        <v>6030</v>
      </c>
      <c r="J1138" s="43">
        <v>2027.0</v>
      </c>
      <c r="K1138" s="43" t="s">
        <v>410</v>
      </c>
      <c r="L1138" s="43" t="s">
        <v>6031</v>
      </c>
      <c r="M1138" s="43" t="s">
        <v>122</v>
      </c>
      <c r="N1138" s="117"/>
      <c r="O1138" s="43" t="s">
        <v>1556</v>
      </c>
      <c r="P1138" s="43" t="s">
        <v>6032</v>
      </c>
      <c r="Q1138" s="43" t="s">
        <v>330</v>
      </c>
      <c r="R1138" s="43" t="s">
        <v>6033</v>
      </c>
      <c r="S1138" s="44" t="s">
        <v>1579</v>
      </c>
      <c r="T1138" s="39"/>
      <c r="U1138" s="39"/>
      <c r="V1138" s="39"/>
      <c r="W1138" s="39" t="s">
        <v>1571</v>
      </c>
      <c r="X1138" s="81"/>
      <c r="Y1138" s="81"/>
      <c r="Z1138" s="82"/>
      <c r="AA1138" s="99"/>
      <c r="AB1138" s="48" t="s">
        <v>61</v>
      </c>
      <c r="AC1138" s="68" t="s">
        <v>61</v>
      </c>
      <c r="AD1138" s="69" t="s">
        <v>61</v>
      </c>
      <c r="AE1138" s="69" t="s">
        <v>61</v>
      </c>
      <c r="AF1138" s="68" t="s">
        <v>61</v>
      </c>
      <c r="AG1138" s="68" t="s">
        <v>61</v>
      </c>
      <c r="AH1138" s="68" t="s">
        <v>61</v>
      </c>
      <c r="AI1138" s="70" t="s">
        <v>61</v>
      </c>
      <c r="AJ1138" s="49" t="s">
        <v>61</v>
      </c>
      <c r="AK1138" s="46"/>
    </row>
    <row r="1139" ht="24.0" customHeight="1">
      <c r="A1139" s="35"/>
      <c r="B1139" s="36">
        <v>1.0</v>
      </c>
      <c r="C1139" s="37" t="str">
        <f>IFERROR(__xludf.DUMMYFUNCTION("""COMPUTED_VALUE"""),"Trevor Yancey (XX) - '27 RHP NC")</f>
        <v>Trevor Yancey (XX) - '27 RHP NC</v>
      </c>
      <c r="D1139" s="38" t="s">
        <v>6034</v>
      </c>
      <c r="E1139" s="51" t="s">
        <v>63</v>
      </c>
      <c r="F1139" s="119">
        <v>45865.0</v>
      </c>
      <c r="G1139" s="116" t="s">
        <v>1470</v>
      </c>
      <c r="H1139" s="54" t="s">
        <v>1271</v>
      </c>
      <c r="I1139" s="55" t="s">
        <v>6035</v>
      </c>
      <c r="J1139" s="55">
        <v>2027.0</v>
      </c>
      <c r="K1139" s="55" t="s">
        <v>410</v>
      </c>
      <c r="L1139" s="55" t="s">
        <v>2018</v>
      </c>
      <c r="M1139" s="55" t="s">
        <v>63</v>
      </c>
      <c r="N1139" s="132"/>
      <c r="O1139" s="55" t="s">
        <v>1550</v>
      </c>
      <c r="P1139" s="55" t="s">
        <v>5792</v>
      </c>
      <c r="Q1139" s="55" t="s">
        <v>73</v>
      </c>
      <c r="R1139" s="55" t="s">
        <v>5793</v>
      </c>
      <c r="S1139" s="58"/>
      <c r="T1139" s="51">
        <v>3.6</v>
      </c>
      <c r="U1139" s="51"/>
      <c r="V1139" s="51" t="s">
        <v>6036</v>
      </c>
      <c r="W1139" s="51" t="s">
        <v>2821</v>
      </c>
      <c r="X1139" s="74"/>
      <c r="Y1139" s="74"/>
      <c r="Z1139" s="76"/>
      <c r="AA1139" s="134"/>
      <c r="AB1139" s="62" t="s">
        <v>61</v>
      </c>
      <c r="AC1139" s="63" t="s">
        <v>61</v>
      </c>
      <c r="AD1139" s="64" t="s">
        <v>61</v>
      </c>
      <c r="AE1139" s="64" t="s">
        <v>61</v>
      </c>
      <c r="AF1139" s="63" t="s">
        <v>61</v>
      </c>
      <c r="AG1139" s="63" t="s">
        <v>61</v>
      </c>
      <c r="AH1139" s="63" t="s">
        <v>61</v>
      </c>
      <c r="AI1139" s="65" t="s">
        <v>61</v>
      </c>
      <c r="AJ1139" s="66" t="s">
        <v>61</v>
      </c>
      <c r="AK1139" s="60"/>
    </row>
    <row r="1140" ht="24.0" customHeight="1">
      <c r="A1140" s="35"/>
      <c r="B1140" s="36">
        <v>1.0</v>
      </c>
      <c r="C1140" s="37" t="str">
        <f>IFERROR(__xludf.DUMMYFUNCTION("""COMPUTED_VALUE"""),"Brady Yates (XX) - '27 3B MO")</f>
        <v>Brady Yates (XX) - '27 3B MO</v>
      </c>
      <c r="D1140" s="38" t="s">
        <v>6037</v>
      </c>
      <c r="E1140" s="39" t="s">
        <v>48</v>
      </c>
      <c r="F1140" s="118">
        <v>45865.0</v>
      </c>
      <c r="G1140" s="113" t="s">
        <v>1395</v>
      </c>
      <c r="H1140" s="42" t="s">
        <v>517</v>
      </c>
      <c r="I1140" s="43" t="s">
        <v>6038</v>
      </c>
      <c r="J1140" s="43">
        <v>2027.0</v>
      </c>
      <c r="K1140" s="43" t="s">
        <v>410</v>
      </c>
      <c r="L1140" s="43" t="s">
        <v>6039</v>
      </c>
      <c r="M1140" s="43" t="s">
        <v>1519</v>
      </c>
      <c r="N1140" s="117"/>
      <c r="O1140" s="43" t="s">
        <v>1550</v>
      </c>
      <c r="P1140" s="43" t="s">
        <v>2839</v>
      </c>
      <c r="Q1140" s="43" t="s">
        <v>585</v>
      </c>
      <c r="R1140" s="43" t="s">
        <v>6040</v>
      </c>
      <c r="S1140" s="44"/>
      <c r="T1140" s="39">
        <v>4.25</v>
      </c>
      <c r="U1140" s="39"/>
      <c r="V1140" s="39" t="s">
        <v>6041</v>
      </c>
      <c r="W1140" s="39" t="s">
        <v>2821</v>
      </c>
      <c r="X1140" s="81"/>
      <c r="Y1140" s="81"/>
      <c r="Z1140" s="82"/>
      <c r="AA1140" s="99"/>
      <c r="AB1140" s="48" t="s">
        <v>61</v>
      </c>
      <c r="AC1140" s="68" t="s">
        <v>61</v>
      </c>
      <c r="AD1140" s="69" t="s">
        <v>61</v>
      </c>
      <c r="AE1140" s="69" t="s">
        <v>61</v>
      </c>
      <c r="AF1140" s="68" t="s">
        <v>61</v>
      </c>
      <c r="AG1140" s="68" t="s">
        <v>61</v>
      </c>
      <c r="AH1140" s="68" t="s">
        <v>61</v>
      </c>
      <c r="AI1140" s="70" t="s">
        <v>61</v>
      </c>
      <c r="AJ1140" s="49" t="s">
        <v>61</v>
      </c>
      <c r="AK1140" s="46"/>
    </row>
    <row r="1141" ht="24.0" customHeight="1">
      <c r="A1141" s="35"/>
      <c r="B1141" s="36">
        <v>1.0</v>
      </c>
      <c r="C1141" s="37" t="str">
        <f>IFERROR(__xludf.DUMMYFUNCTION("""COMPUTED_VALUE"""),"Beckett York (XX) - '27 SS MO")</f>
        <v>Beckett York (XX) - '27 SS MO</v>
      </c>
      <c r="D1141" s="38" t="s">
        <v>6042</v>
      </c>
      <c r="E1141" s="51" t="s">
        <v>48</v>
      </c>
      <c r="F1141" s="119">
        <v>45865.0</v>
      </c>
      <c r="G1141" s="116" t="s">
        <v>1470</v>
      </c>
      <c r="H1141" s="54" t="s">
        <v>2088</v>
      </c>
      <c r="I1141" s="55" t="s">
        <v>6043</v>
      </c>
      <c r="J1141" s="55">
        <v>2027.0</v>
      </c>
      <c r="K1141" s="55" t="s">
        <v>410</v>
      </c>
      <c r="L1141" s="55" t="s">
        <v>5424</v>
      </c>
      <c r="M1141" s="55" t="s">
        <v>1398</v>
      </c>
      <c r="N1141" s="132"/>
      <c r="O1141" s="55" t="s">
        <v>1989</v>
      </c>
      <c r="P1141" s="55" t="s">
        <v>4465</v>
      </c>
      <c r="Q1141" s="55" t="s">
        <v>585</v>
      </c>
      <c r="R1141" s="55" t="s">
        <v>6044</v>
      </c>
      <c r="S1141" s="58"/>
      <c r="T1141" s="51">
        <v>3.8</v>
      </c>
      <c r="U1141" s="51"/>
      <c r="V1141" s="51" t="s">
        <v>6045</v>
      </c>
      <c r="W1141" s="51" t="s">
        <v>2821</v>
      </c>
      <c r="X1141" s="74"/>
      <c r="Y1141" s="74"/>
      <c r="Z1141" s="76"/>
      <c r="AA1141" s="134"/>
      <c r="AB1141" s="62" t="s">
        <v>61</v>
      </c>
      <c r="AC1141" s="63" t="s">
        <v>61</v>
      </c>
      <c r="AD1141" s="64" t="s">
        <v>61</v>
      </c>
      <c r="AE1141" s="64" t="s">
        <v>61</v>
      </c>
      <c r="AF1141" s="63" t="s">
        <v>61</v>
      </c>
      <c r="AG1141" s="63" t="s">
        <v>61</v>
      </c>
      <c r="AH1141" s="63" t="s">
        <v>61</v>
      </c>
      <c r="AI1141" s="65" t="s">
        <v>61</v>
      </c>
      <c r="AJ1141" s="66" t="s">
        <v>61</v>
      </c>
      <c r="AK1141" s="60"/>
    </row>
    <row r="1142" ht="24.0" customHeight="1">
      <c r="A1142" s="35"/>
      <c r="B1142" s="36">
        <v>1.0</v>
      </c>
      <c r="C1142" s="37" t="str">
        <f>IFERROR(__xludf.DUMMYFUNCTION("""COMPUTED_VALUE"""),"Ryan Younglas (XX) - '27 3B OH")</f>
        <v>Ryan Younglas (XX) - '27 3B OH</v>
      </c>
      <c r="D1142" s="38" t="s">
        <v>6046</v>
      </c>
      <c r="E1142" s="39" t="s">
        <v>48</v>
      </c>
      <c r="F1142" s="118">
        <v>45865.0</v>
      </c>
      <c r="G1142" s="113" t="s">
        <v>1470</v>
      </c>
      <c r="H1142" s="42" t="s">
        <v>1206</v>
      </c>
      <c r="I1142" s="43" t="s">
        <v>6047</v>
      </c>
      <c r="J1142" s="43">
        <v>2027.0</v>
      </c>
      <c r="K1142" s="43" t="s">
        <v>410</v>
      </c>
      <c r="L1142" s="43" t="s">
        <v>2108</v>
      </c>
      <c r="M1142" s="43" t="s">
        <v>1519</v>
      </c>
      <c r="N1142" s="117"/>
      <c r="O1142" s="43" t="s">
        <v>1989</v>
      </c>
      <c r="P1142" s="43" t="s">
        <v>6048</v>
      </c>
      <c r="Q1142" s="43" t="s">
        <v>529</v>
      </c>
      <c r="R1142" s="43" t="s">
        <v>6049</v>
      </c>
      <c r="S1142" s="44"/>
      <c r="T1142" s="39"/>
      <c r="U1142" s="39"/>
      <c r="V1142" s="39" t="s">
        <v>6050</v>
      </c>
      <c r="W1142" s="39" t="s">
        <v>2821</v>
      </c>
      <c r="X1142" s="81"/>
      <c r="Y1142" s="81"/>
      <c r="Z1142" s="82"/>
      <c r="AA1142" s="99"/>
      <c r="AB1142" s="48" t="s">
        <v>61</v>
      </c>
      <c r="AC1142" s="68" t="s">
        <v>61</v>
      </c>
      <c r="AD1142" s="69" t="s">
        <v>61</v>
      </c>
      <c r="AE1142" s="69" t="s">
        <v>61</v>
      </c>
      <c r="AF1142" s="68" t="s">
        <v>61</v>
      </c>
      <c r="AG1142" s="68" t="s">
        <v>61</v>
      </c>
      <c r="AH1142" s="68" t="s">
        <v>61</v>
      </c>
      <c r="AI1142" s="70" t="s">
        <v>61</v>
      </c>
      <c r="AJ1142" s="49" t="s">
        <v>61</v>
      </c>
      <c r="AK1142" s="46"/>
    </row>
    <row r="1143" ht="24.0" customHeight="1">
      <c r="A1143" s="35"/>
      <c r="B1143" s="36">
        <v>1.0</v>
      </c>
      <c r="C1143" s="37" t="str">
        <f>IFERROR(__xludf.DUMMYFUNCTION("""COMPUTED_VALUE"""),"Colin Zimbelman (XX) - '27 C KS")</f>
        <v>Colin Zimbelman (XX) - '27 C KS</v>
      </c>
      <c r="D1143" s="38" t="s">
        <v>6051</v>
      </c>
      <c r="E1143" s="51" t="s">
        <v>109</v>
      </c>
      <c r="F1143" s="119">
        <v>45865.0</v>
      </c>
      <c r="G1143" s="116" t="s">
        <v>1470</v>
      </c>
      <c r="H1143" s="54" t="s">
        <v>673</v>
      </c>
      <c r="I1143" s="55" t="s">
        <v>6052</v>
      </c>
      <c r="J1143" s="55">
        <v>2027.0</v>
      </c>
      <c r="K1143" s="55" t="s">
        <v>410</v>
      </c>
      <c r="L1143" s="55" t="s">
        <v>6053</v>
      </c>
      <c r="M1143" s="55" t="s">
        <v>109</v>
      </c>
      <c r="N1143" s="132"/>
      <c r="O1143" s="55" t="s">
        <v>1550</v>
      </c>
      <c r="P1143" s="55" t="s">
        <v>6054</v>
      </c>
      <c r="Q1143" s="55" t="s">
        <v>112</v>
      </c>
      <c r="R1143" s="55" t="s">
        <v>6055</v>
      </c>
      <c r="S1143" s="58"/>
      <c r="T1143" s="51">
        <v>4.0</v>
      </c>
      <c r="U1143" s="51"/>
      <c r="V1143" s="51" t="s">
        <v>6056</v>
      </c>
      <c r="W1143" s="51" t="s">
        <v>2821</v>
      </c>
      <c r="X1143" s="74"/>
      <c r="Y1143" s="74"/>
      <c r="Z1143" s="76"/>
      <c r="AA1143" s="134"/>
      <c r="AB1143" s="62" t="s">
        <v>6057</v>
      </c>
      <c r="AC1143" s="63" t="s">
        <v>6058</v>
      </c>
      <c r="AD1143" s="64">
        <v>4.0</v>
      </c>
      <c r="AE1143" s="64" t="s">
        <v>6059</v>
      </c>
      <c r="AF1143" s="63" t="s">
        <v>60</v>
      </c>
      <c r="AG1143" s="63" t="s">
        <v>60</v>
      </c>
      <c r="AH1143" s="63" t="s">
        <v>81</v>
      </c>
      <c r="AI1143" s="65" t="s">
        <v>81</v>
      </c>
      <c r="AJ1143" s="66" t="s">
        <v>61</v>
      </c>
      <c r="AK1143" s="60"/>
    </row>
    <row r="1144" ht="24.0" customHeight="1">
      <c r="A1144" s="35"/>
      <c r="B1144" s="36"/>
      <c r="C1144" s="37" t="str">
        <f>IFERROR(__xludf.DUMMYFUNCTION("""COMPUTED_VALUE"""),"Roan Mohan (4) - '27 RHP TX")</f>
        <v>Roan Mohan (4) - '27 RHP TX</v>
      </c>
      <c r="D1144" s="38" t="s">
        <v>6060</v>
      </c>
      <c r="E1144" s="39" t="s">
        <v>63</v>
      </c>
      <c r="F1144" s="118">
        <v>46175.0</v>
      </c>
      <c r="G1144" s="113" t="s">
        <v>1395</v>
      </c>
      <c r="H1144" s="42" t="s">
        <v>6061</v>
      </c>
      <c r="I1144" s="43" t="s">
        <v>6062</v>
      </c>
      <c r="J1144" s="43">
        <v>2027.0</v>
      </c>
      <c r="K1144" s="43">
        <v>4.0</v>
      </c>
      <c r="L1144" s="80"/>
      <c r="M1144" s="43" t="s">
        <v>63</v>
      </c>
      <c r="N1144" s="43"/>
      <c r="O1144" s="43" t="s">
        <v>1550</v>
      </c>
      <c r="P1144" s="43"/>
      <c r="Q1144" s="43" t="s">
        <v>180</v>
      </c>
      <c r="R1144" s="43" t="s">
        <v>6063</v>
      </c>
      <c r="S1144" s="44" t="s">
        <v>6064</v>
      </c>
      <c r="T1144" s="81"/>
      <c r="U1144" s="81"/>
      <c r="V1144" s="39" t="s">
        <v>6065</v>
      </c>
      <c r="W1144" s="39" t="s">
        <v>6066</v>
      </c>
      <c r="X1144" s="81"/>
      <c r="Y1144" s="81"/>
      <c r="Z1144" s="82"/>
      <c r="AA1144" s="47"/>
      <c r="AB1144" s="48" t="s">
        <v>61</v>
      </c>
      <c r="AC1144" s="68" t="s">
        <v>61</v>
      </c>
      <c r="AD1144" s="69" t="s">
        <v>61</v>
      </c>
      <c r="AE1144" s="69" t="s">
        <v>61</v>
      </c>
      <c r="AF1144" s="68" t="s">
        <v>61</v>
      </c>
      <c r="AG1144" s="68" t="s">
        <v>61</v>
      </c>
      <c r="AH1144" s="68" t="s">
        <v>61</v>
      </c>
      <c r="AI1144" s="70" t="s">
        <v>61</v>
      </c>
      <c r="AJ1144" s="114" t="s">
        <v>61</v>
      </c>
      <c r="AK1144" s="82"/>
    </row>
    <row r="1145" ht="24.0" customHeight="1">
      <c r="A1145" s="35"/>
      <c r="B1145" s="36">
        <v>1.0</v>
      </c>
      <c r="C1145" s="37" t="str">
        <f>IFERROR(__xludf.DUMMYFUNCTION("""COMPUTED_VALUE"""),"Devin Montesano (4) - '27 RHP CT")</f>
        <v>Devin Montesano (4) - '27 RHP CT</v>
      </c>
      <c r="D1145" s="89" t="s">
        <v>6067</v>
      </c>
      <c r="E1145" s="51" t="s">
        <v>63</v>
      </c>
      <c r="F1145" s="194">
        <v>46175.0</v>
      </c>
      <c r="G1145" s="116" t="s">
        <v>1395</v>
      </c>
      <c r="H1145" s="54" t="s">
        <v>6068</v>
      </c>
      <c r="I1145" s="55" t="s">
        <v>6069</v>
      </c>
      <c r="J1145" s="55">
        <v>2027.0</v>
      </c>
      <c r="K1145" s="55">
        <v>4.0</v>
      </c>
      <c r="L1145" s="159"/>
      <c r="M1145" s="55" t="s">
        <v>63</v>
      </c>
      <c r="N1145" s="55" t="s">
        <v>103</v>
      </c>
      <c r="O1145" s="55" t="s">
        <v>1550</v>
      </c>
      <c r="P1145" s="57"/>
      <c r="Q1145" s="55" t="s">
        <v>160</v>
      </c>
      <c r="R1145" s="55" t="s">
        <v>6070</v>
      </c>
      <c r="S1145" s="58" t="s">
        <v>5832</v>
      </c>
      <c r="T1145" s="74"/>
      <c r="U1145" s="51" t="s">
        <v>6071</v>
      </c>
      <c r="V1145" s="74"/>
      <c r="W1145" s="74"/>
      <c r="X1145" s="74"/>
      <c r="Y1145" s="74"/>
      <c r="Z1145" s="76"/>
      <c r="AA1145" s="73" t="s">
        <v>6072</v>
      </c>
      <c r="AB1145" s="62" t="s">
        <v>61</v>
      </c>
      <c r="AC1145" s="63" t="s">
        <v>61</v>
      </c>
      <c r="AD1145" s="64" t="s">
        <v>61</v>
      </c>
      <c r="AE1145" s="64" t="s">
        <v>61</v>
      </c>
      <c r="AF1145" s="63" t="s">
        <v>61</v>
      </c>
      <c r="AG1145" s="63" t="s">
        <v>61</v>
      </c>
      <c r="AH1145" s="63" t="s">
        <v>61</v>
      </c>
      <c r="AI1145" s="65" t="s">
        <v>61</v>
      </c>
      <c r="AJ1145" s="105" t="s">
        <v>61</v>
      </c>
      <c r="AK1145" s="76"/>
    </row>
    <row r="1146" ht="24.0" customHeight="1">
      <c r="A1146" s="35"/>
      <c r="B1146" s="36">
        <v>1.0</v>
      </c>
      <c r="C1146" s="37" t="str">
        <f>IFERROR(__xludf.DUMMYFUNCTION("""COMPUTED_VALUE"""),"Nathan Gill (4) - '27 RHP CA")</f>
        <v>Nathan Gill (4) - '27 RHP CA</v>
      </c>
      <c r="D1146" s="89" t="s">
        <v>6073</v>
      </c>
      <c r="E1146" s="39" t="s">
        <v>63</v>
      </c>
      <c r="F1146" s="156">
        <v>46176.0</v>
      </c>
      <c r="G1146" s="113" t="s">
        <v>1470</v>
      </c>
      <c r="H1146" s="42" t="s">
        <v>164</v>
      </c>
      <c r="I1146" s="43" t="s">
        <v>6074</v>
      </c>
      <c r="J1146" s="43">
        <v>2027.0</v>
      </c>
      <c r="K1146" s="43">
        <v>4.0</v>
      </c>
      <c r="L1146" s="80"/>
      <c r="M1146" s="43" t="s">
        <v>63</v>
      </c>
      <c r="N1146" s="43" t="s">
        <v>3774</v>
      </c>
      <c r="O1146" s="43" t="s">
        <v>3774</v>
      </c>
      <c r="P1146" s="43" t="s">
        <v>6075</v>
      </c>
      <c r="Q1146" s="43" t="s">
        <v>52</v>
      </c>
      <c r="R1146" s="43" t="s">
        <v>6076</v>
      </c>
      <c r="S1146" s="44" t="s">
        <v>6077</v>
      </c>
      <c r="T1146" s="39">
        <v>3.85</v>
      </c>
      <c r="U1146" s="81"/>
      <c r="V1146" s="81"/>
      <c r="W1146" s="81"/>
      <c r="X1146" s="39" t="s">
        <v>6078</v>
      </c>
      <c r="Y1146" s="81"/>
      <c r="Z1146" s="82"/>
      <c r="AA1146" s="47" t="s">
        <v>6079</v>
      </c>
      <c r="AB1146" s="48" t="s">
        <v>61</v>
      </c>
      <c r="AC1146" s="68" t="s">
        <v>61</v>
      </c>
      <c r="AD1146" s="69" t="s">
        <v>61</v>
      </c>
      <c r="AE1146" s="69" t="s">
        <v>61</v>
      </c>
      <c r="AF1146" s="68" t="s">
        <v>61</v>
      </c>
      <c r="AG1146" s="68" t="s">
        <v>61</v>
      </c>
      <c r="AH1146" s="68" t="s">
        <v>61</v>
      </c>
      <c r="AI1146" s="70" t="s">
        <v>61</v>
      </c>
      <c r="AJ1146" s="114" t="s">
        <v>61</v>
      </c>
      <c r="AK1146" s="82"/>
    </row>
    <row r="1147" ht="24.0" customHeight="1">
      <c r="A1147" s="35"/>
      <c r="B1147" s="36">
        <v>1.0</v>
      </c>
      <c r="C1147" s="37" t="str">
        <f>IFERROR(__xludf.DUMMYFUNCTION("""COMPUTED_VALUE"""),"Jonah Lewis (XX) - '27 MINF MD")</f>
        <v>Jonah Lewis (XX) - '27 MINF MD</v>
      </c>
      <c r="D1147" s="89" t="s">
        <v>6080</v>
      </c>
      <c r="E1147" s="51" t="s">
        <v>48</v>
      </c>
      <c r="F1147" s="154">
        <v>46176.0</v>
      </c>
      <c r="G1147" s="116" t="s">
        <v>6081</v>
      </c>
      <c r="H1147" s="54" t="s">
        <v>4921</v>
      </c>
      <c r="I1147" s="55" t="s">
        <v>2628</v>
      </c>
      <c r="J1147" s="55">
        <v>2027.0</v>
      </c>
      <c r="K1147" s="55" t="s">
        <v>410</v>
      </c>
      <c r="L1147" s="57"/>
      <c r="M1147" s="55" t="s">
        <v>51</v>
      </c>
      <c r="N1147" s="55"/>
      <c r="O1147" s="57"/>
      <c r="P1147" s="57"/>
      <c r="Q1147" s="55" t="s">
        <v>195</v>
      </c>
      <c r="R1147" s="55" t="s">
        <v>5804</v>
      </c>
      <c r="S1147" s="58" t="s">
        <v>4713</v>
      </c>
      <c r="T1147" s="51">
        <v>3.0</v>
      </c>
      <c r="U1147" s="74"/>
      <c r="V1147" s="51" t="s">
        <v>6082</v>
      </c>
      <c r="W1147" s="74"/>
      <c r="X1147" s="74"/>
      <c r="Y1147" s="74"/>
      <c r="Z1147" s="76"/>
      <c r="AA1147" s="73" t="s">
        <v>6083</v>
      </c>
      <c r="AB1147" s="62" t="s">
        <v>61</v>
      </c>
      <c r="AC1147" s="63" t="s">
        <v>61</v>
      </c>
      <c r="AD1147" s="64" t="s">
        <v>61</v>
      </c>
      <c r="AE1147" s="64" t="s">
        <v>61</v>
      </c>
      <c r="AF1147" s="63" t="s">
        <v>61</v>
      </c>
      <c r="AG1147" s="63" t="s">
        <v>61</v>
      </c>
      <c r="AH1147" s="63" t="s">
        <v>61</v>
      </c>
      <c r="AI1147" s="65" t="s">
        <v>61</v>
      </c>
      <c r="AJ1147" s="105" t="s">
        <v>61</v>
      </c>
      <c r="AK1147" s="76"/>
    </row>
    <row r="1148" ht="24.0" customHeight="1">
      <c r="A1148" s="35"/>
      <c r="B1148" s="36">
        <v>1.0</v>
      </c>
      <c r="C1148" s="37" t="str">
        <f>IFERROR(__xludf.DUMMYFUNCTION("""COMPUTED_VALUE"""),"Cooper Mengel (2) - '27 RHP MD")</f>
        <v>Cooper Mengel (2) - '27 RHP MD</v>
      </c>
      <c r="D1148" s="89" t="s">
        <v>6084</v>
      </c>
      <c r="E1148" s="39" t="s">
        <v>63</v>
      </c>
      <c r="F1148" s="156">
        <v>46176.0</v>
      </c>
      <c r="G1148" s="113" t="s">
        <v>6081</v>
      </c>
      <c r="H1148" s="42" t="s">
        <v>696</v>
      </c>
      <c r="I1148" s="43" t="s">
        <v>6085</v>
      </c>
      <c r="J1148" s="43">
        <v>2027.0</v>
      </c>
      <c r="K1148" s="43">
        <v>2.0</v>
      </c>
      <c r="L1148" s="80"/>
      <c r="M1148" s="43" t="s">
        <v>63</v>
      </c>
      <c r="N1148" s="43"/>
      <c r="O1148" s="80"/>
      <c r="P1148" s="80"/>
      <c r="Q1148" s="43" t="s">
        <v>195</v>
      </c>
      <c r="R1148" s="43" t="s">
        <v>6086</v>
      </c>
      <c r="S1148" s="44" t="s">
        <v>6087</v>
      </c>
      <c r="T1148" s="39">
        <v>3.9</v>
      </c>
      <c r="U1148" s="81"/>
      <c r="V1148" s="39" t="s">
        <v>6088</v>
      </c>
      <c r="W1148" s="81"/>
      <c r="X1148" s="81"/>
      <c r="Y1148" s="81"/>
      <c r="Z1148" s="82"/>
      <c r="AA1148" s="99"/>
      <c r="AB1148" s="48" t="s">
        <v>61</v>
      </c>
      <c r="AC1148" s="68" t="s">
        <v>61</v>
      </c>
      <c r="AD1148" s="69" t="s">
        <v>61</v>
      </c>
      <c r="AE1148" s="69" t="s">
        <v>61</v>
      </c>
      <c r="AF1148" s="68" t="s">
        <v>61</v>
      </c>
      <c r="AG1148" s="68" t="s">
        <v>61</v>
      </c>
      <c r="AH1148" s="68" t="s">
        <v>61</v>
      </c>
      <c r="AI1148" s="70" t="s">
        <v>61</v>
      </c>
      <c r="AJ1148" s="114" t="s">
        <v>61</v>
      </c>
      <c r="AK1148" s="82"/>
    </row>
    <row r="1149" ht="24.0" customHeight="1">
      <c r="A1149" s="35"/>
      <c r="B1149" s="36">
        <v>1.0</v>
      </c>
      <c r="C1149" s="37" t="str">
        <f>IFERROR(__xludf.DUMMYFUNCTION("""COMPUTED_VALUE"""),"Jake Lindsey (2) - '27 C MD")</f>
        <v>Jake Lindsey (2) - '27 C MD</v>
      </c>
      <c r="D1149" s="89" t="s">
        <v>6089</v>
      </c>
      <c r="E1149" s="51" t="s">
        <v>109</v>
      </c>
      <c r="F1149" s="154">
        <v>46176.0</v>
      </c>
      <c r="G1149" s="116" t="s">
        <v>6081</v>
      </c>
      <c r="H1149" s="54" t="s">
        <v>136</v>
      </c>
      <c r="I1149" s="55" t="s">
        <v>6090</v>
      </c>
      <c r="J1149" s="55">
        <v>2027.0</v>
      </c>
      <c r="K1149" s="55">
        <v>2.0</v>
      </c>
      <c r="L1149" s="57"/>
      <c r="M1149" s="55" t="s">
        <v>109</v>
      </c>
      <c r="N1149" s="55"/>
      <c r="O1149" s="57"/>
      <c r="P1149" s="57"/>
      <c r="Q1149" s="55" t="s">
        <v>195</v>
      </c>
      <c r="R1149" s="55" t="s">
        <v>4410</v>
      </c>
      <c r="S1149" s="58" t="s">
        <v>576</v>
      </c>
      <c r="T1149" s="51">
        <v>3.9</v>
      </c>
      <c r="U1149" s="74"/>
      <c r="V1149" s="51" t="s">
        <v>6091</v>
      </c>
      <c r="W1149" s="74"/>
      <c r="X1149" s="74"/>
      <c r="Y1149" s="74"/>
      <c r="Z1149" s="76"/>
      <c r="AA1149" s="73" t="s">
        <v>6092</v>
      </c>
      <c r="AB1149" s="62" t="s">
        <v>61</v>
      </c>
      <c r="AC1149" s="63" t="s">
        <v>61</v>
      </c>
      <c r="AD1149" s="64" t="s">
        <v>61</v>
      </c>
      <c r="AE1149" s="64" t="s">
        <v>61</v>
      </c>
      <c r="AF1149" s="63" t="s">
        <v>61</v>
      </c>
      <c r="AG1149" s="63" t="s">
        <v>61</v>
      </c>
      <c r="AH1149" s="63" t="s">
        <v>61</v>
      </c>
      <c r="AI1149" s="65" t="s">
        <v>61</v>
      </c>
      <c r="AJ1149" s="105" t="s">
        <v>61</v>
      </c>
      <c r="AK1149" s="76"/>
    </row>
    <row r="1150" ht="24.0" customHeight="1">
      <c r="A1150" s="35"/>
      <c r="B1150" s="36">
        <v>1.0</v>
      </c>
      <c r="C1150" s="37" t="str">
        <f>IFERROR(__xludf.DUMMYFUNCTION("""COMPUTED_VALUE"""),"Blake Frazier (4) - '28 RHP MD")</f>
        <v>Blake Frazier (4) - '28 RHP MD</v>
      </c>
      <c r="D1150" s="89" t="s">
        <v>6093</v>
      </c>
      <c r="E1150" s="39" t="s">
        <v>63</v>
      </c>
      <c r="F1150" s="156">
        <v>46176.0</v>
      </c>
      <c r="G1150" s="113" t="s">
        <v>6081</v>
      </c>
      <c r="H1150" s="42" t="s">
        <v>496</v>
      </c>
      <c r="I1150" s="43" t="s">
        <v>6094</v>
      </c>
      <c r="J1150" s="43">
        <v>2028.0</v>
      </c>
      <c r="K1150" s="43">
        <v>4.0</v>
      </c>
      <c r="L1150" s="80"/>
      <c r="M1150" s="43" t="s">
        <v>63</v>
      </c>
      <c r="N1150" s="43"/>
      <c r="O1150" s="80"/>
      <c r="P1150" s="80"/>
      <c r="Q1150" s="43" t="s">
        <v>195</v>
      </c>
      <c r="R1150" s="43" t="s">
        <v>6095</v>
      </c>
      <c r="S1150" s="44" t="s">
        <v>1637</v>
      </c>
      <c r="T1150" s="39">
        <v>3.7</v>
      </c>
      <c r="U1150" s="81"/>
      <c r="V1150" s="39" t="s">
        <v>6096</v>
      </c>
      <c r="W1150" s="81"/>
      <c r="X1150" s="81"/>
      <c r="Y1150" s="81"/>
      <c r="Z1150" s="82"/>
      <c r="AA1150" s="47" t="s">
        <v>6097</v>
      </c>
      <c r="AB1150" s="48" t="s">
        <v>61</v>
      </c>
      <c r="AC1150" s="68" t="s">
        <v>61</v>
      </c>
      <c r="AD1150" s="69" t="s">
        <v>61</v>
      </c>
      <c r="AE1150" s="69" t="s">
        <v>61</v>
      </c>
      <c r="AF1150" s="68" t="s">
        <v>61</v>
      </c>
      <c r="AG1150" s="68" t="s">
        <v>61</v>
      </c>
      <c r="AH1150" s="68" t="s">
        <v>61</v>
      </c>
      <c r="AI1150" s="70" t="s">
        <v>61</v>
      </c>
      <c r="AJ1150" s="114" t="s">
        <v>61</v>
      </c>
      <c r="AK1150" s="82"/>
    </row>
    <row r="1151" ht="24.0" customHeight="1">
      <c r="A1151" s="35"/>
      <c r="B1151" s="36">
        <v>1.0</v>
      </c>
      <c r="C1151" s="37" t="str">
        <f>IFERROR(__xludf.DUMMYFUNCTION("""COMPUTED_VALUE"""),"Will Stark (2) - '28 MIF MD")</f>
        <v>Will Stark (2) - '28 MIF MD</v>
      </c>
      <c r="D1151" s="89" t="s">
        <v>6098</v>
      </c>
      <c r="E1151" s="51"/>
      <c r="F1151" s="154">
        <v>46176.0</v>
      </c>
      <c r="G1151" s="116" t="s">
        <v>6081</v>
      </c>
      <c r="H1151" s="54" t="s">
        <v>110</v>
      </c>
      <c r="I1151" s="55" t="s">
        <v>6099</v>
      </c>
      <c r="J1151" s="55">
        <v>2028.0</v>
      </c>
      <c r="K1151" s="55">
        <v>2.0</v>
      </c>
      <c r="L1151" s="57"/>
      <c r="M1151" s="55" t="s">
        <v>3643</v>
      </c>
      <c r="N1151" s="55"/>
      <c r="O1151" s="57"/>
      <c r="P1151" s="57"/>
      <c r="Q1151" s="55" t="s">
        <v>195</v>
      </c>
      <c r="R1151" s="55" t="s">
        <v>6100</v>
      </c>
      <c r="S1151" s="58" t="s">
        <v>4411</v>
      </c>
      <c r="T1151" s="51">
        <v>3.91</v>
      </c>
      <c r="U1151" s="74"/>
      <c r="V1151" s="51" t="s">
        <v>6101</v>
      </c>
      <c r="W1151" s="74"/>
      <c r="X1151" s="74"/>
      <c r="Y1151" s="74"/>
      <c r="Z1151" s="76"/>
      <c r="AA1151" s="73" t="s">
        <v>6102</v>
      </c>
      <c r="AB1151" s="62" t="s">
        <v>61</v>
      </c>
      <c r="AC1151" s="63" t="s">
        <v>61</v>
      </c>
      <c r="AD1151" s="64" t="s">
        <v>61</v>
      </c>
      <c r="AE1151" s="64" t="s">
        <v>61</v>
      </c>
      <c r="AF1151" s="63" t="s">
        <v>61</v>
      </c>
      <c r="AG1151" s="63" t="s">
        <v>61</v>
      </c>
      <c r="AH1151" s="63" t="s">
        <v>61</v>
      </c>
      <c r="AI1151" s="65" t="s">
        <v>61</v>
      </c>
      <c r="AJ1151" s="105" t="s">
        <v>61</v>
      </c>
      <c r="AK1151" s="76"/>
    </row>
    <row r="1152" ht="24.0" customHeight="1">
      <c r="A1152" s="35"/>
      <c r="B1152" s="36">
        <v>1.0</v>
      </c>
      <c r="C1152" s="37" t="str">
        <f>IFERROR(__xludf.DUMMYFUNCTION("""COMPUTED_VALUE"""),"Christian Adams (XX) - '28 C MD")</f>
        <v>Christian Adams (XX) - '28 C MD</v>
      </c>
      <c r="D1152" s="89" t="s">
        <v>6103</v>
      </c>
      <c r="E1152" s="39" t="s">
        <v>109</v>
      </c>
      <c r="F1152" s="156">
        <v>46176.0</v>
      </c>
      <c r="G1152" s="113" t="s">
        <v>6081</v>
      </c>
      <c r="H1152" s="42" t="s">
        <v>6104</v>
      </c>
      <c r="I1152" s="43" t="s">
        <v>1591</v>
      </c>
      <c r="J1152" s="43">
        <v>2028.0</v>
      </c>
      <c r="K1152" s="43" t="s">
        <v>410</v>
      </c>
      <c r="L1152" s="80"/>
      <c r="M1152" s="43" t="s">
        <v>109</v>
      </c>
      <c r="N1152" s="43"/>
      <c r="O1152" s="80"/>
      <c r="P1152" s="80"/>
      <c r="Q1152" s="43" t="s">
        <v>195</v>
      </c>
      <c r="R1152" s="43" t="s">
        <v>2955</v>
      </c>
      <c r="S1152" s="117"/>
      <c r="T1152" s="39">
        <v>3.0</v>
      </c>
      <c r="U1152" s="81"/>
      <c r="V1152" s="39" t="s">
        <v>6105</v>
      </c>
      <c r="W1152" s="81"/>
      <c r="X1152" s="81"/>
      <c r="Y1152" s="81"/>
      <c r="Z1152" s="82"/>
      <c r="AA1152" s="47" t="s">
        <v>6106</v>
      </c>
      <c r="AB1152" s="48" t="s">
        <v>61</v>
      </c>
      <c r="AC1152" s="68" t="s">
        <v>61</v>
      </c>
      <c r="AD1152" s="69" t="s">
        <v>61</v>
      </c>
      <c r="AE1152" s="69" t="s">
        <v>61</v>
      </c>
      <c r="AF1152" s="68" t="s">
        <v>61</v>
      </c>
      <c r="AG1152" s="68" t="s">
        <v>61</v>
      </c>
      <c r="AH1152" s="68" t="s">
        <v>61</v>
      </c>
      <c r="AI1152" s="70" t="s">
        <v>61</v>
      </c>
      <c r="AJ1152" s="114" t="s">
        <v>61</v>
      </c>
      <c r="AK1152" s="82"/>
    </row>
    <row r="1153" ht="24.0" customHeight="1">
      <c r="A1153" s="35"/>
      <c r="B1153" s="36">
        <v>1.0</v>
      </c>
      <c r="C1153" s="37" t="str">
        <f>IFERROR(__xludf.DUMMYFUNCTION("""COMPUTED_VALUE"""),"Caleb Lambert (2) - '28 OF MD")</f>
        <v>Caleb Lambert (2) - '28 OF MD</v>
      </c>
      <c r="D1153" s="89" t="s">
        <v>6107</v>
      </c>
      <c r="E1153" s="51" t="s">
        <v>103</v>
      </c>
      <c r="F1153" s="154">
        <v>46176.0</v>
      </c>
      <c r="G1153" s="116" t="s">
        <v>6081</v>
      </c>
      <c r="H1153" s="54" t="s">
        <v>589</v>
      </c>
      <c r="I1153" s="55" t="s">
        <v>6108</v>
      </c>
      <c r="J1153" s="55">
        <v>2028.0</v>
      </c>
      <c r="K1153" s="55">
        <v>2.0</v>
      </c>
      <c r="L1153" s="57"/>
      <c r="M1153" s="55" t="s">
        <v>103</v>
      </c>
      <c r="N1153" s="55"/>
      <c r="O1153" s="57"/>
      <c r="P1153" s="57"/>
      <c r="Q1153" s="55" t="s">
        <v>195</v>
      </c>
      <c r="R1153" s="55" t="s">
        <v>5804</v>
      </c>
      <c r="S1153" s="132"/>
      <c r="T1153" s="51">
        <v>3.8</v>
      </c>
      <c r="U1153" s="74"/>
      <c r="V1153" s="51" t="s">
        <v>6109</v>
      </c>
      <c r="W1153" s="74"/>
      <c r="X1153" s="74"/>
      <c r="Y1153" s="74"/>
      <c r="Z1153" s="76"/>
      <c r="AA1153" s="73" t="s">
        <v>6110</v>
      </c>
      <c r="AB1153" s="62" t="s">
        <v>61</v>
      </c>
      <c r="AC1153" s="63" t="s">
        <v>61</v>
      </c>
      <c r="AD1153" s="64" t="s">
        <v>61</v>
      </c>
      <c r="AE1153" s="64" t="s">
        <v>61</v>
      </c>
      <c r="AF1153" s="63" t="s">
        <v>61</v>
      </c>
      <c r="AG1153" s="63" t="s">
        <v>61</v>
      </c>
      <c r="AH1153" s="63" t="s">
        <v>61</v>
      </c>
      <c r="AI1153" s="65" t="s">
        <v>61</v>
      </c>
      <c r="AJ1153" s="105" t="s">
        <v>61</v>
      </c>
      <c r="AK1153" s="76"/>
    </row>
    <row r="1154" ht="24.0" customHeight="1">
      <c r="A1154" s="35"/>
      <c r="B1154" s="36">
        <v>1.0</v>
      </c>
      <c r="C1154" s="37" t="str">
        <f>IFERROR(__xludf.DUMMYFUNCTION("""COMPUTED_VALUE"""),"Caleb Sutch (2) - '28 C MD")</f>
        <v>Caleb Sutch (2) - '28 C MD</v>
      </c>
      <c r="D1154" s="89" t="s">
        <v>6111</v>
      </c>
      <c r="E1154" s="39" t="s">
        <v>109</v>
      </c>
      <c r="F1154" s="156">
        <v>46176.0</v>
      </c>
      <c r="G1154" s="113" t="s">
        <v>6081</v>
      </c>
      <c r="H1154" s="42" t="s">
        <v>589</v>
      </c>
      <c r="I1154" s="43" t="s">
        <v>6112</v>
      </c>
      <c r="J1154" s="43">
        <v>2028.0</v>
      </c>
      <c r="K1154" s="43">
        <v>2.0</v>
      </c>
      <c r="L1154" s="80"/>
      <c r="M1154" s="43" t="s">
        <v>109</v>
      </c>
      <c r="N1154" s="43"/>
      <c r="O1154" s="80"/>
      <c r="P1154" s="80"/>
      <c r="Q1154" s="43" t="s">
        <v>195</v>
      </c>
      <c r="R1154" s="43" t="s">
        <v>5803</v>
      </c>
      <c r="S1154" s="44" t="s">
        <v>6087</v>
      </c>
      <c r="T1154" s="39">
        <v>3.8</v>
      </c>
      <c r="U1154" s="81"/>
      <c r="V1154" s="39" t="s">
        <v>6113</v>
      </c>
      <c r="W1154" s="81"/>
      <c r="X1154" s="81"/>
      <c r="Y1154" s="81"/>
      <c r="Z1154" s="82"/>
      <c r="AA1154" s="47" t="s">
        <v>6114</v>
      </c>
      <c r="AB1154" s="48" t="s">
        <v>61</v>
      </c>
      <c r="AC1154" s="68" t="s">
        <v>61</v>
      </c>
      <c r="AD1154" s="69" t="s">
        <v>61</v>
      </c>
      <c r="AE1154" s="69" t="s">
        <v>61</v>
      </c>
      <c r="AF1154" s="68" t="s">
        <v>61</v>
      </c>
      <c r="AG1154" s="68" t="s">
        <v>61</v>
      </c>
      <c r="AH1154" s="68" t="s">
        <v>61</v>
      </c>
      <c r="AI1154" s="70" t="s">
        <v>61</v>
      </c>
      <c r="AJ1154" s="114" t="s">
        <v>61</v>
      </c>
      <c r="AK1154" s="82"/>
    </row>
    <row r="1155" ht="24.0" customHeight="1">
      <c r="A1155" s="35"/>
      <c r="B1155" s="36">
        <v>1.0</v>
      </c>
      <c r="C1155" s="37" t="str">
        <f>IFERROR(__xludf.DUMMYFUNCTION("""COMPUTED_VALUE"""),"Ethan Noyes (2) - '27 RHP MD")</f>
        <v>Ethan Noyes (2) - '27 RHP MD</v>
      </c>
      <c r="D1155" s="89" t="s">
        <v>6115</v>
      </c>
      <c r="E1155" s="51" t="s">
        <v>63</v>
      </c>
      <c r="F1155" s="154">
        <v>46176.0</v>
      </c>
      <c r="G1155" s="116" t="s">
        <v>6081</v>
      </c>
      <c r="H1155" s="54" t="s">
        <v>266</v>
      </c>
      <c r="I1155" s="55" t="s">
        <v>6116</v>
      </c>
      <c r="J1155" s="55">
        <v>2027.0</v>
      </c>
      <c r="K1155" s="55">
        <v>2.0</v>
      </c>
      <c r="L1155" s="57"/>
      <c r="M1155" s="55" t="s">
        <v>63</v>
      </c>
      <c r="N1155" s="55"/>
      <c r="O1155" s="57"/>
      <c r="P1155" s="57"/>
      <c r="Q1155" s="55" t="s">
        <v>195</v>
      </c>
      <c r="R1155" s="55" t="s">
        <v>4410</v>
      </c>
      <c r="S1155" s="132"/>
      <c r="T1155" s="51">
        <v>3.8</v>
      </c>
      <c r="U1155" s="74"/>
      <c r="V1155" s="51" t="s">
        <v>6117</v>
      </c>
      <c r="W1155" s="74"/>
      <c r="X1155" s="74"/>
      <c r="Y1155" s="74"/>
      <c r="Z1155" s="76"/>
      <c r="AA1155" s="73" t="s">
        <v>6118</v>
      </c>
      <c r="AB1155" s="62" t="s">
        <v>61</v>
      </c>
      <c r="AC1155" s="63" t="s">
        <v>61</v>
      </c>
      <c r="AD1155" s="64" t="s">
        <v>61</v>
      </c>
      <c r="AE1155" s="64" t="s">
        <v>61</v>
      </c>
      <c r="AF1155" s="63" t="s">
        <v>61</v>
      </c>
      <c r="AG1155" s="63" t="s">
        <v>61</v>
      </c>
      <c r="AH1155" s="63" t="s">
        <v>61</v>
      </c>
      <c r="AI1155" s="65" t="s">
        <v>61</v>
      </c>
      <c r="AJ1155" s="105" t="s">
        <v>61</v>
      </c>
      <c r="AK1155" s="76"/>
    </row>
    <row r="1156" ht="24.0" customHeight="1">
      <c r="A1156" s="35"/>
      <c r="B1156" s="36">
        <v>1.0</v>
      </c>
      <c r="C1156" s="37" t="str">
        <f>IFERROR(__xludf.DUMMYFUNCTION("""COMPUTED_VALUE"""),"Brady Mamula (2) - '27 MINF MD")</f>
        <v>Brady Mamula (2) - '27 MINF MD</v>
      </c>
      <c r="D1156" s="89" t="s">
        <v>6119</v>
      </c>
      <c r="E1156" s="39" t="s">
        <v>48</v>
      </c>
      <c r="F1156" s="156">
        <v>46176.0</v>
      </c>
      <c r="G1156" s="113" t="s">
        <v>6081</v>
      </c>
      <c r="H1156" s="42" t="s">
        <v>517</v>
      </c>
      <c r="I1156" s="43" t="s">
        <v>6120</v>
      </c>
      <c r="J1156" s="43">
        <v>2027.0</v>
      </c>
      <c r="K1156" s="43">
        <v>2.0</v>
      </c>
      <c r="L1156" s="80"/>
      <c r="M1156" s="43" t="s">
        <v>51</v>
      </c>
      <c r="N1156" s="43"/>
      <c r="O1156" s="43" t="s">
        <v>1550</v>
      </c>
      <c r="P1156" s="80"/>
      <c r="Q1156" s="43" t="s">
        <v>195</v>
      </c>
      <c r="R1156" s="43" t="s">
        <v>5804</v>
      </c>
      <c r="S1156" s="44" t="s">
        <v>4713</v>
      </c>
      <c r="T1156" s="39">
        <v>3.8</v>
      </c>
      <c r="U1156" s="81"/>
      <c r="V1156" s="39" t="s">
        <v>6121</v>
      </c>
      <c r="W1156" s="81"/>
      <c r="X1156" s="81"/>
      <c r="Y1156" s="81"/>
      <c r="Z1156" s="82"/>
      <c r="AA1156" s="47" t="s">
        <v>6122</v>
      </c>
      <c r="AB1156" s="48" t="s">
        <v>61</v>
      </c>
      <c r="AC1156" s="68" t="s">
        <v>61</v>
      </c>
      <c r="AD1156" s="69" t="s">
        <v>61</v>
      </c>
      <c r="AE1156" s="69" t="s">
        <v>61</v>
      </c>
      <c r="AF1156" s="68" t="s">
        <v>61</v>
      </c>
      <c r="AG1156" s="68" t="s">
        <v>61</v>
      </c>
      <c r="AH1156" s="68" t="s">
        <v>61</v>
      </c>
      <c r="AI1156" s="70" t="s">
        <v>61</v>
      </c>
      <c r="AJ1156" s="114" t="s">
        <v>61</v>
      </c>
      <c r="AK1156" s="82"/>
    </row>
    <row r="1157" ht="24.0" customHeight="1">
      <c r="A1157" s="35"/>
      <c r="B1157" s="36">
        <v>1.0</v>
      </c>
      <c r="C1157" s="37" t="str">
        <f>IFERROR(__xludf.DUMMYFUNCTION("""COMPUTED_VALUE"""),"Kohen Madden (2) - '27 MINF MD")</f>
        <v>Kohen Madden (2) - '27 MINF MD</v>
      </c>
      <c r="D1157" s="89" t="s">
        <v>6123</v>
      </c>
      <c r="E1157" s="51" t="s">
        <v>48</v>
      </c>
      <c r="F1157" s="154">
        <v>46176.0</v>
      </c>
      <c r="G1157" s="116" t="s">
        <v>6081</v>
      </c>
      <c r="H1157" s="54" t="s">
        <v>6124</v>
      </c>
      <c r="I1157" s="55" t="s">
        <v>4199</v>
      </c>
      <c r="J1157" s="55">
        <v>2027.0</v>
      </c>
      <c r="K1157" s="55">
        <v>2.0</v>
      </c>
      <c r="L1157" s="57"/>
      <c r="M1157" s="55" t="s">
        <v>51</v>
      </c>
      <c r="N1157" s="55"/>
      <c r="O1157" s="57"/>
      <c r="P1157" s="57"/>
      <c r="Q1157" s="55" t="s">
        <v>195</v>
      </c>
      <c r="R1157" s="55" t="s">
        <v>6125</v>
      </c>
      <c r="S1157" s="58" t="s">
        <v>3822</v>
      </c>
      <c r="T1157" s="51">
        <v>3.5</v>
      </c>
      <c r="U1157" s="74"/>
      <c r="V1157" s="51" t="s">
        <v>6126</v>
      </c>
      <c r="W1157" s="74"/>
      <c r="X1157" s="74"/>
      <c r="Y1157" s="74"/>
      <c r="Z1157" s="76"/>
      <c r="AA1157" s="134"/>
      <c r="AB1157" s="62" t="s">
        <v>61</v>
      </c>
      <c r="AC1157" s="63" t="s">
        <v>61</v>
      </c>
      <c r="AD1157" s="64" t="s">
        <v>61</v>
      </c>
      <c r="AE1157" s="64" t="s">
        <v>61</v>
      </c>
      <c r="AF1157" s="63" t="s">
        <v>61</v>
      </c>
      <c r="AG1157" s="63" t="s">
        <v>61</v>
      </c>
      <c r="AH1157" s="63" t="s">
        <v>61</v>
      </c>
      <c r="AI1157" s="65" t="s">
        <v>61</v>
      </c>
      <c r="AJ1157" s="105" t="s">
        <v>61</v>
      </c>
      <c r="AK1157" s="76"/>
    </row>
    <row r="1158" ht="24.0" customHeight="1">
      <c r="A1158" s="35"/>
      <c r="B1158" s="36">
        <v>1.0</v>
      </c>
      <c r="C1158" s="37" t="str">
        <f>IFERROR(__xludf.DUMMYFUNCTION("""COMPUTED_VALUE"""),"Casen Reedy (4) - '27 RHP TX")</f>
        <v>Casen Reedy (4) - '27 RHP TX</v>
      </c>
      <c r="D1158" s="89" t="s">
        <v>6127</v>
      </c>
      <c r="E1158" s="39" t="s">
        <v>63</v>
      </c>
      <c r="F1158" s="156">
        <v>46175.0</v>
      </c>
      <c r="G1158" s="113" t="s">
        <v>1395</v>
      </c>
      <c r="H1158" s="42" t="s">
        <v>6128</v>
      </c>
      <c r="I1158" s="43" t="s">
        <v>6129</v>
      </c>
      <c r="J1158" s="43">
        <v>2027.0</v>
      </c>
      <c r="K1158" s="43">
        <v>4.0</v>
      </c>
      <c r="L1158" s="80"/>
      <c r="M1158" s="43" t="s">
        <v>63</v>
      </c>
      <c r="N1158" s="43"/>
      <c r="O1158" s="43" t="s">
        <v>1550</v>
      </c>
      <c r="P1158" s="80"/>
      <c r="Q1158" s="43" t="s">
        <v>180</v>
      </c>
      <c r="R1158" s="43" t="s">
        <v>6130</v>
      </c>
      <c r="S1158" s="117"/>
      <c r="T1158" s="39" t="s">
        <v>6131</v>
      </c>
      <c r="U1158" s="81"/>
      <c r="V1158" s="39" t="s">
        <v>6132</v>
      </c>
      <c r="W1158" s="39"/>
      <c r="X1158" s="81"/>
      <c r="Y1158" s="81"/>
      <c r="Z1158" s="82"/>
      <c r="AA1158" s="68" t="s">
        <v>6133</v>
      </c>
      <c r="AB1158" s="48" t="s">
        <v>61</v>
      </c>
      <c r="AC1158" s="68" t="s">
        <v>61</v>
      </c>
      <c r="AD1158" s="69" t="s">
        <v>61</v>
      </c>
      <c r="AE1158" s="69" t="s">
        <v>61</v>
      </c>
      <c r="AF1158" s="68" t="s">
        <v>61</v>
      </c>
      <c r="AG1158" s="68" t="s">
        <v>61</v>
      </c>
      <c r="AH1158" s="68" t="s">
        <v>61</v>
      </c>
      <c r="AI1158" s="70" t="s">
        <v>61</v>
      </c>
      <c r="AJ1158" s="114" t="s">
        <v>61</v>
      </c>
      <c r="AK1158" s="82"/>
    </row>
    <row r="1159" ht="24.0" customHeight="1">
      <c r="A1159" s="35"/>
      <c r="B1159" s="36">
        <v>1.0</v>
      </c>
      <c r="C1159" s="37" t="str">
        <f>IFERROR(__xludf.DUMMYFUNCTION("""COMPUTED_VALUE"""),"Jackson Barker (4) - '27 RHP KS")</f>
        <v>Jackson Barker (4) - '27 RHP KS</v>
      </c>
      <c r="D1159" s="89" t="s">
        <v>6134</v>
      </c>
      <c r="E1159" s="51" t="s">
        <v>63</v>
      </c>
      <c r="F1159" s="154">
        <v>46175.0</v>
      </c>
      <c r="G1159" s="116" t="s">
        <v>1395</v>
      </c>
      <c r="H1159" s="54" t="s">
        <v>432</v>
      </c>
      <c r="I1159" s="55" t="s">
        <v>3755</v>
      </c>
      <c r="J1159" s="55">
        <v>2027.0</v>
      </c>
      <c r="K1159" s="55">
        <v>4.0</v>
      </c>
      <c r="L1159" s="57"/>
      <c r="M1159" s="55" t="s">
        <v>63</v>
      </c>
      <c r="N1159" s="55"/>
      <c r="O1159" s="55" t="s">
        <v>1550</v>
      </c>
      <c r="P1159" s="57"/>
      <c r="Q1159" s="55" t="s">
        <v>112</v>
      </c>
      <c r="R1159" s="55" t="s">
        <v>6135</v>
      </c>
      <c r="S1159" s="58" t="s">
        <v>1486</v>
      </c>
      <c r="T1159" s="51" t="s">
        <v>3893</v>
      </c>
      <c r="U1159" s="74"/>
      <c r="V1159" s="51" t="s">
        <v>6136</v>
      </c>
      <c r="W1159" s="51"/>
      <c r="X1159" s="74"/>
      <c r="Y1159" s="74"/>
      <c r="Z1159" s="76"/>
      <c r="AA1159" s="63" t="s">
        <v>6137</v>
      </c>
      <c r="AB1159" s="62" t="s">
        <v>6138</v>
      </c>
      <c r="AC1159" s="63" t="s">
        <v>6139</v>
      </c>
      <c r="AD1159" s="64" t="s">
        <v>6140</v>
      </c>
      <c r="AE1159" s="64" t="s">
        <v>6141</v>
      </c>
      <c r="AF1159" s="63" t="s">
        <v>6142</v>
      </c>
      <c r="AG1159" s="63" t="s">
        <v>81</v>
      </c>
      <c r="AH1159" s="63" t="s">
        <v>81</v>
      </c>
      <c r="AI1159" s="65" t="s">
        <v>81</v>
      </c>
      <c r="AJ1159" s="105" t="s">
        <v>61</v>
      </c>
      <c r="AK1159" s="76"/>
    </row>
    <row r="1160" ht="24.0" customHeight="1">
      <c r="A1160" s="35"/>
      <c r="B1160" s="36">
        <v>1.0</v>
      </c>
      <c r="C1160" s="37" t="str">
        <f>IFERROR(__xludf.DUMMYFUNCTION("""COMPUTED_VALUE"""),"Julian Adorador (4) - '27 SS CA")</f>
        <v>Julian Adorador (4) - '27 SS CA</v>
      </c>
      <c r="D1160" s="89" t="s">
        <v>6143</v>
      </c>
      <c r="E1160" s="39" t="s">
        <v>48</v>
      </c>
      <c r="F1160" s="156">
        <v>46175.0</v>
      </c>
      <c r="G1160" s="113" t="s">
        <v>1395</v>
      </c>
      <c r="H1160" s="42" t="s">
        <v>6144</v>
      </c>
      <c r="I1160" s="43" t="s">
        <v>6145</v>
      </c>
      <c r="J1160" s="43">
        <v>2027.0</v>
      </c>
      <c r="K1160" s="43">
        <v>4.0</v>
      </c>
      <c r="L1160" s="80"/>
      <c r="M1160" s="43" t="s">
        <v>1398</v>
      </c>
      <c r="N1160" s="43" t="s">
        <v>1519</v>
      </c>
      <c r="O1160" s="80"/>
      <c r="P1160" s="80"/>
      <c r="Q1160" s="43" t="s">
        <v>52</v>
      </c>
      <c r="R1160" s="43" t="s">
        <v>6146</v>
      </c>
      <c r="S1160" s="117"/>
      <c r="T1160" s="39" t="s">
        <v>4451</v>
      </c>
      <c r="U1160" s="39" t="s">
        <v>6147</v>
      </c>
      <c r="V1160" s="81"/>
      <c r="W1160" s="81"/>
      <c r="X1160" s="81"/>
      <c r="Y1160" s="81"/>
      <c r="Z1160" s="82"/>
      <c r="AA1160" s="48" t="s">
        <v>6148</v>
      </c>
      <c r="AB1160" s="48" t="s">
        <v>61</v>
      </c>
      <c r="AC1160" s="68" t="s">
        <v>61</v>
      </c>
      <c r="AD1160" s="69" t="s">
        <v>61</v>
      </c>
      <c r="AE1160" s="69" t="s">
        <v>61</v>
      </c>
      <c r="AF1160" s="68" t="s">
        <v>61</v>
      </c>
      <c r="AG1160" s="68" t="s">
        <v>61</v>
      </c>
      <c r="AH1160" s="68" t="s">
        <v>61</v>
      </c>
      <c r="AI1160" s="70" t="s">
        <v>61</v>
      </c>
      <c r="AJ1160" s="114" t="s">
        <v>61</v>
      </c>
      <c r="AK1160" s="82"/>
    </row>
    <row r="1161" ht="24.0" customHeight="1">
      <c r="A1161" s="35"/>
      <c r="B1161" s="36">
        <v>1.0</v>
      </c>
      <c r="C1161" s="37" t="str">
        <f>IFERROR(__xludf.DUMMYFUNCTION("""COMPUTED_VALUE"""),"Ethan Walker (4) - '27 MIF CA")</f>
        <v>Ethan Walker (4) - '27 MIF CA</v>
      </c>
      <c r="D1161" s="89" t="s">
        <v>6149</v>
      </c>
      <c r="E1161" s="51"/>
      <c r="F1161" s="154">
        <v>46175.0</v>
      </c>
      <c r="G1161" s="116" t="s">
        <v>1395</v>
      </c>
      <c r="H1161" s="54" t="s">
        <v>266</v>
      </c>
      <c r="I1161" s="55" t="s">
        <v>2737</v>
      </c>
      <c r="J1161" s="55">
        <v>2027.0</v>
      </c>
      <c r="K1161" s="55">
        <v>4.0</v>
      </c>
      <c r="L1161" s="57"/>
      <c r="M1161" s="55" t="s">
        <v>3643</v>
      </c>
      <c r="N1161" s="55" t="s">
        <v>103</v>
      </c>
      <c r="O1161" s="57"/>
      <c r="P1161" s="57"/>
      <c r="Q1161" s="55" t="s">
        <v>52</v>
      </c>
      <c r="R1161" s="55" t="s">
        <v>6150</v>
      </c>
      <c r="S1161" s="132"/>
      <c r="T1161" s="51" t="s">
        <v>6151</v>
      </c>
      <c r="U1161" s="74"/>
      <c r="V1161" s="74"/>
      <c r="W1161" s="74"/>
      <c r="X1161" s="74"/>
      <c r="Y1161" s="74"/>
      <c r="Z1161" s="76"/>
      <c r="AA1161" s="73" t="s">
        <v>6152</v>
      </c>
      <c r="AB1161" s="62" t="s">
        <v>61</v>
      </c>
      <c r="AC1161" s="63" t="s">
        <v>61</v>
      </c>
      <c r="AD1161" s="64" t="s">
        <v>61</v>
      </c>
      <c r="AE1161" s="64" t="s">
        <v>61</v>
      </c>
      <c r="AF1161" s="63" t="s">
        <v>61</v>
      </c>
      <c r="AG1161" s="63" t="s">
        <v>61</v>
      </c>
      <c r="AH1161" s="63" t="s">
        <v>61</v>
      </c>
      <c r="AI1161" s="65" t="s">
        <v>61</v>
      </c>
      <c r="AJ1161" s="105" t="s">
        <v>61</v>
      </c>
      <c r="AK1161" s="76"/>
    </row>
    <row r="1162" ht="24.0" customHeight="1">
      <c r="A1162" s="35"/>
      <c r="B1162" s="36">
        <v>1.0</v>
      </c>
      <c r="C1162" s="37" t="str">
        <f>IFERROR(__xludf.DUMMYFUNCTION("""COMPUTED_VALUE"""),"Jack Burke (4) - '27 RHP GA")</f>
        <v>Jack Burke (4) - '27 RHP GA</v>
      </c>
      <c r="D1162" s="89" t="s">
        <v>6153</v>
      </c>
      <c r="E1162" s="39" t="s">
        <v>63</v>
      </c>
      <c r="F1162" s="156">
        <v>46177.0</v>
      </c>
      <c r="G1162" s="113" t="s">
        <v>1395</v>
      </c>
      <c r="H1162" s="42" t="s">
        <v>424</v>
      </c>
      <c r="I1162" s="43" t="s">
        <v>6154</v>
      </c>
      <c r="J1162" s="43">
        <v>2027.0</v>
      </c>
      <c r="K1162" s="43">
        <v>4.0</v>
      </c>
      <c r="L1162" s="80"/>
      <c r="M1162" s="43" t="s">
        <v>63</v>
      </c>
      <c r="N1162" s="43"/>
      <c r="O1162" s="43" t="s">
        <v>1550</v>
      </c>
      <c r="P1162" s="43" t="s">
        <v>4200</v>
      </c>
      <c r="Q1162" s="43" t="s">
        <v>43</v>
      </c>
      <c r="R1162" s="43" t="s">
        <v>6155</v>
      </c>
      <c r="S1162" s="117"/>
      <c r="T1162" s="81"/>
      <c r="U1162" s="81"/>
      <c r="V1162" s="39" t="s">
        <v>6156</v>
      </c>
      <c r="W1162" s="39" t="s">
        <v>6157</v>
      </c>
      <c r="X1162" s="81"/>
      <c r="Y1162" s="81"/>
      <c r="Z1162" s="82"/>
      <c r="AA1162" s="68" t="s">
        <v>6158</v>
      </c>
      <c r="AB1162" s="48" t="s">
        <v>61</v>
      </c>
      <c r="AC1162" s="68" t="s">
        <v>61</v>
      </c>
      <c r="AD1162" s="69" t="s">
        <v>61</v>
      </c>
      <c r="AE1162" s="69" t="s">
        <v>61</v>
      </c>
      <c r="AF1162" s="68" t="s">
        <v>61</v>
      </c>
      <c r="AG1162" s="68" t="s">
        <v>61</v>
      </c>
      <c r="AH1162" s="68" t="s">
        <v>61</v>
      </c>
      <c r="AI1162" s="70" t="s">
        <v>61</v>
      </c>
      <c r="AJ1162" s="114" t="s">
        <v>61</v>
      </c>
      <c r="AK1162" s="82"/>
    </row>
    <row r="1163" ht="24.0" customHeight="1">
      <c r="A1163" s="35"/>
      <c r="B1163" s="36">
        <v>1.0</v>
      </c>
      <c r="C1163" s="37" t="str">
        <f>IFERROR(__xludf.DUMMYFUNCTION("""COMPUTED_VALUE"""),"Rylin Lyemance (4) - '27 3B GA")</f>
        <v>Rylin Lyemance (4) - '27 3B GA</v>
      </c>
      <c r="D1163" s="89" t="s">
        <v>6159</v>
      </c>
      <c r="E1163" s="51" t="s">
        <v>48</v>
      </c>
      <c r="F1163" s="154">
        <v>46177.0</v>
      </c>
      <c r="G1163" s="116" t="s">
        <v>1395</v>
      </c>
      <c r="H1163" s="54" t="s">
        <v>6160</v>
      </c>
      <c r="I1163" s="55" t="s">
        <v>6161</v>
      </c>
      <c r="J1163" s="55">
        <v>2027.0</v>
      </c>
      <c r="K1163" s="55">
        <v>4.0</v>
      </c>
      <c r="L1163" s="57"/>
      <c r="M1163" s="55" t="s">
        <v>1519</v>
      </c>
      <c r="N1163" s="55" t="s">
        <v>1972</v>
      </c>
      <c r="O1163" s="57"/>
      <c r="P1163" s="55" t="s">
        <v>1973</v>
      </c>
      <c r="Q1163" s="55" t="s">
        <v>43</v>
      </c>
      <c r="R1163" s="55" t="s">
        <v>6162</v>
      </c>
      <c r="S1163" s="132"/>
      <c r="T1163" s="51" t="s">
        <v>6163</v>
      </c>
      <c r="U1163" s="51" t="s">
        <v>6164</v>
      </c>
      <c r="V1163" s="51" t="s">
        <v>6165</v>
      </c>
      <c r="W1163" s="74"/>
      <c r="X1163" s="74"/>
      <c r="Y1163" s="74"/>
      <c r="Z1163" s="76"/>
      <c r="AA1163" s="62" t="s">
        <v>6166</v>
      </c>
      <c r="AB1163" s="62" t="s">
        <v>61</v>
      </c>
      <c r="AC1163" s="63" t="s">
        <v>61</v>
      </c>
      <c r="AD1163" s="64" t="s">
        <v>61</v>
      </c>
      <c r="AE1163" s="64" t="s">
        <v>61</v>
      </c>
      <c r="AF1163" s="63" t="s">
        <v>61</v>
      </c>
      <c r="AG1163" s="63" t="s">
        <v>61</v>
      </c>
      <c r="AH1163" s="63" t="s">
        <v>61</v>
      </c>
      <c r="AI1163" s="65" t="s">
        <v>61</v>
      </c>
      <c r="AJ1163" s="105" t="s">
        <v>61</v>
      </c>
      <c r="AK1163" s="76"/>
    </row>
    <row r="1164" ht="24.0" customHeight="1">
      <c r="A1164" s="35"/>
      <c r="B1164" s="36">
        <v>1.0</v>
      </c>
      <c r="C1164" s="37" t="str">
        <f>IFERROR(__xludf.DUMMYFUNCTION("""COMPUTED_VALUE"""),"Bryce Fontenot (4) - '27 1B GA")</f>
        <v>Bryce Fontenot (4) - '27 1B GA</v>
      </c>
      <c r="D1164" s="89" t="s">
        <v>6167</v>
      </c>
      <c r="E1164" s="39" t="s">
        <v>48</v>
      </c>
      <c r="F1164" s="156">
        <v>46177.0</v>
      </c>
      <c r="G1164" s="113" t="s">
        <v>1395</v>
      </c>
      <c r="H1164" s="42" t="s">
        <v>408</v>
      </c>
      <c r="I1164" s="43" t="s">
        <v>6168</v>
      </c>
      <c r="J1164" s="43">
        <v>2027.0</v>
      </c>
      <c r="K1164" s="43">
        <v>4.0</v>
      </c>
      <c r="L1164" s="80"/>
      <c r="M1164" s="43" t="s">
        <v>1972</v>
      </c>
      <c r="N1164" s="43" t="s">
        <v>4229</v>
      </c>
      <c r="O1164" s="43" t="s">
        <v>1550</v>
      </c>
      <c r="P1164" s="43" t="s">
        <v>6169</v>
      </c>
      <c r="Q1164" s="43" t="s">
        <v>43</v>
      </c>
      <c r="R1164" s="80"/>
      <c r="S1164" s="117"/>
      <c r="T1164" s="81"/>
      <c r="U1164" s="81"/>
      <c r="V1164" s="81"/>
      <c r="W1164" s="81"/>
      <c r="X1164" s="81"/>
      <c r="Y1164" s="39" t="s">
        <v>6170</v>
      </c>
      <c r="Z1164" s="82"/>
      <c r="AA1164" s="48"/>
      <c r="AB1164" s="48" t="s">
        <v>61</v>
      </c>
      <c r="AC1164" s="68" t="s">
        <v>61</v>
      </c>
      <c r="AD1164" s="69" t="s">
        <v>61</v>
      </c>
      <c r="AE1164" s="69" t="s">
        <v>61</v>
      </c>
      <c r="AF1164" s="68" t="s">
        <v>61</v>
      </c>
      <c r="AG1164" s="68" t="s">
        <v>61</v>
      </c>
      <c r="AH1164" s="68" t="s">
        <v>61</v>
      </c>
      <c r="AI1164" s="70" t="s">
        <v>61</v>
      </c>
      <c r="AJ1164" s="114" t="s">
        <v>61</v>
      </c>
      <c r="AK1164" s="82"/>
    </row>
    <row r="1165" ht="24.0" customHeight="1">
      <c r="A1165" s="35"/>
      <c r="B1165" s="36">
        <v>1.0</v>
      </c>
      <c r="C1165" s="37" t="str">
        <f>IFERROR(__xludf.DUMMYFUNCTION("""COMPUTED_VALUE"""),"Ka'alekahi Kuhaulua (4) - '27  HI")</f>
        <v>Ka'alekahi Kuhaulua (4) - '27  HI</v>
      </c>
      <c r="D1165" s="89" t="s">
        <v>6171</v>
      </c>
      <c r="E1165" s="51" t="s">
        <v>61</v>
      </c>
      <c r="F1165" s="154">
        <v>46177.0</v>
      </c>
      <c r="G1165" s="116" t="s">
        <v>1395</v>
      </c>
      <c r="H1165" s="54" t="s">
        <v>6172</v>
      </c>
      <c r="I1165" s="55" t="s">
        <v>6173</v>
      </c>
      <c r="J1165" s="55">
        <v>2027.0</v>
      </c>
      <c r="K1165" s="55">
        <v>4.0</v>
      </c>
      <c r="L1165" s="57"/>
      <c r="M1165" s="55"/>
      <c r="N1165" s="55"/>
      <c r="O1165" s="57"/>
      <c r="P1165" s="57"/>
      <c r="Q1165" s="55" t="s">
        <v>148</v>
      </c>
      <c r="R1165" s="57"/>
      <c r="S1165" s="132"/>
      <c r="T1165" s="74"/>
      <c r="U1165" s="74"/>
      <c r="V1165" s="74"/>
      <c r="W1165" s="74"/>
      <c r="X1165" s="74"/>
      <c r="Y1165" s="51" t="s">
        <v>6174</v>
      </c>
      <c r="Z1165" s="76"/>
      <c r="AA1165" s="62"/>
      <c r="AB1165" s="62" t="s">
        <v>61</v>
      </c>
      <c r="AC1165" s="63" t="s">
        <v>61</v>
      </c>
      <c r="AD1165" s="64" t="s">
        <v>61</v>
      </c>
      <c r="AE1165" s="64" t="s">
        <v>61</v>
      </c>
      <c r="AF1165" s="63" t="s">
        <v>61</v>
      </c>
      <c r="AG1165" s="63" t="s">
        <v>61</v>
      </c>
      <c r="AH1165" s="63" t="s">
        <v>61</v>
      </c>
      <c r="AI1165" s="65" t="s">
        <v>61</v>
      </c>
      <c r="AJ1165" s="105" t="s">
        <v>61</v>
      </c>
      <c r="AK1165" s="76"/>
    </row>
    <row r="1166" ht="24.0" customHeight="1">
      <c r="A1166" s="35"/>
      <c r="B1166" s="36">
        <v>1.0</v>
      </c>
      <c r="C1166" s="37" t="str">
        <f>IFERROR(__xludf.DUMMYFUNCTION("""COMPUTED_VALUE"""),"Boston Hanna (4) - '27 OF FL")</f>
        <v>Boston Hanna (4) - '27 OF FL</v>
      </c>
      <c r="D1166" s="89" t="s">
        <v>6175</v>
      </c>
      <c r="E1166" s="39" t="s">
        <v>103</v>
      </c>
      <c r="F1166" s="156">
        <v>46177.0</v>
      </c>
      <c r="G1166" s="113" t="s">
        <v>1395</v>
      </c>
      <c r="H1166" s="42" t="s">
        <v>4456</v>
      </c>
      <c r="I1166" s="43" t="s">
        <v>6176</v>
      </c>
      <c r="J1166" s="43">
        <v>2027.0</v>
      </c>
      <c r="K1166" s="43">
        <v>4.0</v>
      </c>
      <c r="L1166" s="80"/>
      <c r="M1166" s="43" t="s">
        <v>103</v>
      </c>
      <c r="N1166" s="43"/>
      <c r="O1166" s="80"/>
      <c r="P1166" s="43" t="s">
        <v>138</v>
      </c>
      <c r="Q1166" s="43" t="s">
        <v>66</v>
      </c>
      <c r="R1166" s="43" t="s">
        <v>6177</v>
      </c>
      <c r="S1166" s="117"/>
      <c r="T1166" s="39" t="s">
        <v>6178</v>
      </c>
      <c r="U1166" s="81"/>
      <c r="V1166" s="81"/>
      <c r="W1166" s="39" t="s">
        <v>6179</v>
      </c>
      <c r="X1166" s="81"/>
      <c r="Y1166" s="81"/>
      <c r="Z1166" s="82"/>
      <c r="AA1166" s="68" t="s">
        <v>6180</v>
      </c>
      <c r="AB1166" s="48" t="s">
        <v>61</v>
      </c>
      <c r="AC1166" s="68" t="s">
        <v>61</v>
      </c>
      <c r="AD1166" s="69" t="s">
        <v>61</v>
      </c>
      <c r="AE1166" s="69" t="s">
        <v>61</v>
      </c>
      <c r="AF1166" s="68" t="s">
        <v>61</v>
      </c>
      <c r="AG1166" s="68" t="s">
        <v>61</v>
      </c>
      <c r="AH1166" s="68" t="s">
        <v>61</v>
      </c>
      <c r="AI1166" s="70" t="s">
        <v>61</v>
      </c>
      <c r="AJ1166" s="114" t="s">
        <v>61</v>
      </c>
      <c r="AK1166" s="82"/>
    </row>
    <row r="1167" ht="24.0" customHeight="1">
      <c r="A1167" s="35"/>
      <c r="B1167" s="36">
        <v>1.0</v>
      </c>
      <c r="C1167" s="37" t="str">
        <f>IFERROR(__xludf.DUMMYFUNCTION("""COMPUTED_VALUE"""),"Ian Palumbo (4) - '28 OF AZ")</f>
        <v>Ian Palumbo (4) - '28 OF AZ</v>
      </c>
      <c r="D1167" s="89" t="s">
        <v>3628</v>
      </c>
      <c r="E1167" s="51" t="s">
        <v>103</v>
      </c>
      <c r="F1167" s="154">
        <v>46177.0</v>
      </c>
      <c r="G1167" s="116" t="s">
        <v>1395</v>
      </c>
      <c r="H1167" s="54" t="s">
        <v>2406</v>
      </c>
      <c r="I1167" s="55" t="s">
        <v>3629</v>
      </c>
      <c r="J1167" s="55">
        <v>2028.0</v>
      </c>
      <c r="K1167" s="55">
        <v>4.0</v>
      </c>
      <c r="L1167" s="57"/>
      <c r="M1167" s="55" t="s">
        <v>103</v>
      </c>
      <c r="N1167" s="55"/>
      <c r="O1167" s="55" t="s">
        <v>1556</v>
      </c>
      <c r="P1167" s="55" t="s">
        <v>3630</v>
      </c>
      <c r="Q1167" s="55" t="s">
        <v>319</v>
      </c>
      <c r="R1167" s="55" t="s">
        <v>4784</v>
      </c>
      <c r="S1167" s="58" t="s">
        <v>1077</v>
      </c>
      <c r="T1167" s="74"/>
      <c r="U1167" s="51" t="s">
        <v>6181</v>
      </c>
      <c r="V1167" s="51" t="s">
        <v>6182</v>
      </c>
      <c r="W1167" s="74"/>
      <c r="X1167" s="74"/>
      <c r="Y1167" s="74"/>
      <c r="Z1167" s="76"/>
      <c r="AA1167" s="62" t="s">
        <v>6183</v>
      </c>
      <c r="AB1167" s="62" t="s">
        <v>61</v>
      </c>
      <c r="AC1167" s="63" t="s">
        <v>61</v>
      </c>
      <c r="AD1167" s="64" t="s">
        <v>61</v>
      </c>
      <c r="AE1167" s="64" t="s">
        <v>61</v>
      </c>
      <c r="AF1167" s="63" t="s">
        <v>61</v>
      </c>
      <c r="AG1167" s="63" t="s">
        <v>61</v>
      </c>
      <c r="AH1167" s="63" t="s">
        <v>61</v>
      </c>
      <c r="AI1167" s="65" t="s">
        <v>61</v>
      </c>
      <c r="AJ1167" s="105" t="s">
        <v>61</v>
      </c>
      <c r="AK1167" s="76"/>
    </row>
    <row r="1168" ht="24.0" customHeight="1">
      <c r="A1168" s="35"/>
      <c r="B1168" s="36">
        <v>1.0</v>
      </c>
      <c r="C1168" s="37" t="str">
        <f>IFERROR(__xludf.DUMMYFUNCTION("""COMPUTED_VALUE"""),"Hudson Olive (4) - '28 RHP AL")</f>
        <v>Hudson Olive (4) - '28 RHP AL</v>
      </c>
      <c r="D1168" s="89" t="s">
        <v>6184</v>
      </c>
      <c r="E1168" s="39" t="s">
        <v>63</v>
      </c>
      <c r="F1168" s="156">
        <v>46177.0</v>
      </c>
      <c r="G1168" s="113" t="s">
        <v>1395</v>
      </c>
      <c r="H1168" s="42" t="s">
        <v>1678</v>
      </c>
      <c r="I1168" s="43" t="s">
        <v>6185</v>
      </c>
      <c r="J1168" s="43">
        <v>2028.0</v>
      </c>
      <c r="K1168" s="43">
        <v>4.0</v>
      </c>
      <c r="L1168" s="80"/>
      <c r="M1168" s="43" t="s">
        <v>63</v>
      </c>
      <c r="N1168" s="43" t="s">
        <v>1519</v>
      </c>
      <c r="O1168" s="43" t="s">
        <v>1550</v>
      </c>
      <c r="P1168" s="43" t="s">
        <v>3720</v>
      </c>
      <c r="Q1168" s="43" t="s">
        <v>731</v>
      </c>
      <c r="R1168" s="43" t="s">
        <v>6186</v>
      </c>
      <c r="S1168" s="117"/>
      <c r="T1168" s="81"/>
      <c r="U1168" s="81"/>
      <c r="V1168" s="81"/>
      <c r="W1168" s="81"/>
      <c r="X1168" s="81"/>
      <c r="Y1168" s="39" t="s">
        <v>6187</v>
      </c>
      <c r="Z1168" s="82"/>
      <c r="AA1168" s="48"/>
      <c r="AB1168" s="48" t="s">
        <v>61</v>
      </c>
      <c r="AC1168" s="68" t="s">
        <v>61</v>
      </c>
      <c r="AD1168" s="69" t="s">
        <v>61</v>
      </c>
      <c r="AE1168" s="69" t="s">
        <v>61</v>
      </c>
      <c r="AF1168" s="68" t="s">
        <v>61</v>
      </c>
      <c r="AG1168" s="68" t="s">
        <v>61</v>
      </c>
      <c r="AH1168" s="68" t="s">
        <v>61</v>
      </c>
      <c r="AI1168" s="70" t="s">
        <v>61</v>
      </c>
      <c r="AJ1168" s="114" t="s">
        <v>61</v>
      </c>
      <c r="AK1168" s="82"/>
    </row>
    <row r="1169" ht="24.0" customHeight="1">
      <c r="A1169" s="35"/>
      <c r="B1169" s="36">
        <v>1.0</v>
      </c>
      <c r="C1169" s="37" t="str">
        <f>IFERROR(__xludf.DUMMYFUNCTION("""COMPUTED_VALUE"""),"Brody McGaha (4) - '28 MIF IN")</f>
        <v>Brody McGaha (4) - '28 MIF IN</v>
      </c>
      <c r="D1169" s="89" t="s">
        <v>6188</v>
      </c>
      <c r="E1169" s="51"/>
      <c r="F1169" s="154">
        <v>46177.0</v>
      </c>
      <c r="G1169" s="116" t="s">
        <v>1395</v>
      </c>
      <c r="H1169" s="54" t="s">
        <v>556</v>
      </c>
      <c r="I1169" s="55" t="s">
        <v>6189</v>
      </c>
      <c r="J1169" s="55">
        <v>2028.0</v>
      </c>
      <c r="K1169" s="55">
        <v>4.0</v>
      </c>
      <c r="L1169" s="57"/>
      <c r="M1169" s="55" t="s">
        <v>3643</v>
      </c>
      <c r="N1169" s="55"/>
      <c r="O1169" s="57"/>
      <c r="P1169" s="57"/>
      <c r="Q1169" s="55" t="s">
        <v>153</v>
      </c>
      <c r="R1169" s="57"/>
      <c r="S1169" s="58" t="s">
        <v>6190</v>
      </c>
      <c r="T1169" s="51" t="s">
        <v>2364</v>
      </c>
      <c r="U1169" s="51" t="s">
        <v>6191</v>
      </c>
      <c r="V1169" s="74"/>
      <c r="W1169" s="74"/>
      <c r="X1169" s="74"/>
      <c r="Y1169" s="74"/>
      <c r="Z1169" s="76"/>
      <c r="AA1169" s="62" t="s">
        <v>6192</v>
      </c>
      <c r="AB1169" s="62" t="s">
        <v>61</v>
      </c>
      <c r="AC1169" s="63" t="s">
        <v>61</v>
      </c>
      <c r="AD1169" s="64" t="s">
        <v>61</v>
      </c>
      <c r="AE1169" s="64" t="s">
        <v>61</v>
      </c>
      <c r="AF1169" s="63" t="s">
        <v>61</v>
      </c>
      <c r="AG1169" s="63" t="s">
        <v>61</v>
      </c>
      <c r="AH1169" s="63" t="s">
        <v>61</v>
      </c>
      <c r="AI1169" s="65" t="s">
        <v>61</v>
      </c>
      <c r="AJ1169" s="105" t="s">
        <v>61</v>
      </c>
      <c r="AK1169" s="76"/>
    </row>
    <row r="1170" ht="24.0" customHeight="1">
      <c r="A1170" s="35"/>
      <c r="B1170" s="36">
        <v>1.0</v>
      </c>
      <c r="C1170" s="37" t="str">
        <f>IFERROR(__xludf.DUMMYFUNCTION("""COMPUTED_VALUE"""),"Ricardo Hurtado (XX) - '27 SS CA")</f>
        <v>Ricardo Hurtado (XX) - '27 SS CA</v>
      </c>
      <c r="D1170" s="89" t="s">
        <v>6193</v>
      </c>
      <c r="E1170" s="39" t="s">
        <v>48</v>
      </c>
      <c r="F1170" s="156">
        <v>46177.0</v>
      </c>
      <c r="G1170" s="113" t="s">
        <v>1395</v>
      </c>
      <c r="H1170" s="42" t="s">
        <v>6194</v>
      </c>
      <c r="I1170" s="43" t="s">
        <v>6195</v>
      </c>
      <c r="J1170" s="43">
        <v>2027.0</v>
      </c>
      <c r="K1170" s="43" t="s">
        <v>410</v>
      </c>
      <c r="L1170" s="80"/>
      <c r="M1170" s="43" t="s">
        <v>1398</v>
      </c>
      <c r="N1170" s="43" t="s">
        <v>103</v>
      </c>
      <c r="O1170" s="80"/>
      <c r="P1170" s="80"/>
      <c r="Q1170" s="43" t="s">
        <v>52</v>
      </c>
      <c r="R1170" s="43" t="s">
        <v>6196</v>
      </c>
      <c r="S1170" s="117"/>
      <c r="T1170" s="39" t="s">
        <v>6197</v>
      </c>
      <c r="U1170" s="39" t="s">
        <v>6198</v>
      </c>
      <c r="V1170" s="39" t="s">
        <v>6199</v>
      </c>
      <c r="W1170" s="81"/>
      <c r="X1170" s="81"/>
      <c r="Y1170" s="81"/>
      <c r="Z1170" s="82"/>
      <c r="AA1170" s="48" t="s">
        <v>6200</v>
      </c>
      <c r="AB1170" s="48" t="s">
        <v>61</v>
      </c>
      <c r="AC1170" s="68" t="s">
        <v>61</v>
      </c>
      <c r="AD1170" s="69" t="s">
        <v>61</v>
      </c>
      <c r="AE1170" s="69" t="s">
        <v>61</v>
      </c>
      <c r="AF1170" s="68" t="s">
        <v>61</v>
      </c>
      <c r="AG1170" s="68" t="s">
        <v>61</v>
      </c>
      <c r="AH1170" s="68" t="s">
        <v>61</v>
      </c>
      <c r="AI1170" s="70" t="s">
        <v>61</v>
      </c>
      <c r="AJ1170" s="114" t="s">
        <v>61</v>
      </c>
      <c r="AK1170" s="82"/>
    </row>
    <row r="1171" ht="24.0" customHeight="1">
      <c r="A1171" s="35"/>
      <c r="B1171" s="36">
        <v>1.0</v>
      </c>
      <c r="C1171" s="37" t="str">
        <f>IFERROR(__xludf.DUMMYFUNCTION("""COMPUTED_VALUE"""),"Ayden Collier (1) - '27 OF TX")</f>
        <v>Ayden Collier (1) - '27 OF TX</v>
      </c>
      <c r="D1171" s="89" t="s">
        <v>6201</v>
      </c>
      <c r="E1171" s="51" t="s">
        <v>103</v>
      </c>
      <c r="F1171" s="154">
        <v>46177.0</v>
      </c>
      <c r="G1171" s="116" t="s">
        <v>1395</v>
      </c>
      <c r="H1171" s="54" t="s">
        <v>200</v>
      </c>
      <c r="I1171" s="55" t="s">
        <v>4931</v>
      </c>
      <c r="J1171" s="55">
        <v>2027.0</v>
      </c>
      <c r="K1171" s="162" t="s">
        <v>2969</v>
      </c>
      <c r="L1171" s="57"/>
      <c r="M1171" s="55" t="s">
        <v>103</v>
      </c>
      <c r="N1171" s="55"/>
      <c r="O1171" s="55" t="s">
        <v>1556</v>
      </c>
      <c r="P1171" s="55" t="s">
        <v>4139</v>
      </c>
      <c r="Q1171" s="55" t="s">
        <v>180</v>
      </c>
      <c r="R1171" s="55" t="s">
        <v>6202</v>
      </c>
      <c r="S1171" s="58" t="s">
        <v>3782</v>
      </c>
      <c r="T1171" s="51" t="s">
        <v>2364</v>
      </c>
      <c r="U1171" s="51" t="s">
        <v>6203</v>
      </c>
      <c r="V1171" s="51" t="s">
        <v>6204</v>
      </c>
      <c r="W1171" s="74"/>
      <c r="X1171" s="74"/>
      <c r="Y1171" s="74"/>
      <c r="Z1171" s="76"/>
      <c r="AA1171" s="62" t="s">
        <v>6205</v>
      </c>
      <c r="AB1171" s="62" t="s">
        <v>6203</v>
      </c>
      <c r="AC1171" s="63" t="s">
        <v>6206</v>
      </c>
      <c r="AD1171" s="64" t="s">
        <v>6207</v>
      </c>
      <c r="AE1171" s="64" t="s">
        <v>400</v>
      </c>
      <c r="AF1171" s="63" t="s">
        <v>400</v>
      </c>
      <c r="AG1171" s="63" t="s">
        <v>81</v>
      </c>
      <c r="AH1171" s="63" t="s">
        <v>81</v>
      </c>
      <c r="AI1171" s="65" t="s">
        <v>81</v>
      </c>
      <c r="AJ1171" s="105" t="s">
        <v>61</v>
      </c>
      <c r="AK1171" s="76"/>
    </row>
    <row r="1172" ht="24.0" customHeight="1">
      <c r="A1172" s="35"/>
      <c r="B1172" s="36">
        <v>1.0</v>
      </c>
      <c r="C1172" s="37" t="str">
        <f>IFERROR(__xludf.DUMMYFUNCTION("""COMPUTED_VALUE"""),"Peyton Bell (4) - '28  LA")</f>
        <v>Peyton Bell (4) - '28  LA</v>
      </c>
      <c r="D1172" s="89" t="s">
        <v>6208</v>
      </c>
      <c r="E1172" s="39" t="s">
        <v>61</v>
      </c>
      <c r="F1172" s="156">
        <v>46177.0</v>
      </c>
      <c r="G1172" s="113" t="s">
        <v>1395</v>
      </c>
      <c r="H1172" s="42" t="s">
        <v>3085</v>
      </c>
      <c r="I1172" s="43" t="s">
        <v>2643</v>
      </c>
      <c r="J1172" s="43">
        <v>2028.0</v>
      </c>
      <c r="K1172" s="43">
        <v>4.0</v>
      </c>
      <c r="L1172" s="80"/>
      <c r="M1172" s="43"/>
      <c r="N1172" s="43"/>
      <c r="O1172" s="80"/>
      <c r="P1172" s="80"/>
      <c r="Q1172" s="43" t="s">
        <v>337</v>
      </c>
      <c r="R1172" s="80"/>
      <c r="S1172" s="44" t="s">
        <v>1200</v>
      </c>
      <c r="T1172" s="39" t="s">
        <v>6209</v>
      </c>
      <c r="U1172" s="81"/>
      <c r="V1172" s="81"/>
      <c r="W1172" s="81"/>
      <c r="X1172" s="81"/>
      <c r="Y1172" s="39"/>
      <c r="Z1172" s="82"/>
      <c r="AA1172" s="47" t="s">
        <v>6210</v>
      </c>
      <c r="AB1172" s="48" t="s">
        <v>61</v>
      </c>
      <c r="AC1172" s="68" t="s">
        <v>61</v>
      </c>
      <c r="AD1172" s="69" t="s">
        <v>61</v>
      </c>
      <c r="AE1172" s="69" t="s">
        <v>61</v>
      </c>
      <c r="AF1172" s="68" t="s">
        <v>61</v>
      </c>
      <c r="AG1172" s="68" t="s">
        <v>61</v>
      </c>
      <c r="AH1172" s="68" t="s">
        <v>61</v>
      </c>
      <c r="AI1172" s="70" t="s">
        <v>61</v>
      </c>
      <c r="AJ1172" s="114" t="s">
        <v>61</v>
      </c>
      <c r="AK1172" s="82"/>
    </row>
    <row r="1173" ht="24.0" customHeight="1">
      <c r="A1173" s="35"/>
      <c r="B1173" s="36">
        <v>1.0</v>
      </c>
      <c r="C1173" s="37" t="str">
        <f>IFERROR(__xludf.DUMMYFUNCTION("""COMPUTED_VALUE"""),"Sean Creasy (4) - '27 CINF MO")</f>
        <v>Sean Creasy (4) - '27 CINF MO</v>
      </c>
      <c r="D1173" s="89" t="s">
        <v>6211</v>
      </c>
      <c r="E1173" s="51" t="s">
        <v>48</v>
      </c>
      <c r="F1173" s="154">
        <v>46178.0</v>
      </c>
      <c r="G1173" s="116" t="s">
        <v>6081</v>
      </c>
      <c r="H1173" s="54" t="s">
        <v>1243</v>
      </c>
      <c r="I1173" s="55" t="s">
        <v>6212</v>
      </c>
      <c r="J1173" s="55">
        <v>2027.0</v>
      </c>
      <c r="K1173" s="55">
        <v>4.0</v>
      </c>
      <c r="L1173" s="57"/>
      <c r="M1173" s="55" t="s">
        <v>72</v>
      </c>
      <c r="N1173" s="55"/>
      <c r="O1173" s="55" t="s">
        <v>1989</v>
      </c>
      <c r="P1173" s="55" t="s">
        <v>4757</v>
      </c>
      <c r="Q1173" s="55" t="s">
        <v>585</v>
      </c>
      <c r="R1173" s="55" t="s">
        <v>6213</v>
      </c>
      <c r="S1173" s="58" t="s">
        <v>2025</v>
      </c>
      <c r="T1173" s="51" t="s">
        <v>6214</v>
      </c>
      <c r="U1173" s="74"/>
      <c r="V1173" s="51" t="s">
        <v>6215</v>
      </c>
      <c r="W1173" s="74"/>
      <c r="X1173" s="74"/>
      <c r="Y1173" s="74"/>
      <c r="Z1173" s="76"/>
      <c r="AA1173" s="134"/>
      <c r="AB1173" s="62" t="s">
        <v>61</v>
      </c>
      <c r="AC1173" s="63" t="s">
        <v>61</v>
      </c>
      <c r="AD1173" s="64" t="s">
        <v>61</v>
      </c>
      <c r="AE1173" s="64" t="s">
        <v>61</v>
      </c>
      <c r="AF1173" s="63" t="s">
        <v>61</v>
      </c>
      <c r="AG1173" s="63" t="s">
        <v>61</v>
      </c>
      <c r="AH1173" s="63" t="s">
        <v>61</v>
      </c>
      <c r="AI1173" s="65" t="s">
        <v>61</v>
      </c>
      <c r="AJ1173" s="105" t="s">
        <v>61</v>
      </c>
      <c r="AK1173" s="76"/>
    </row>
    <row r="1174" ht="24.0" customHeight="1">
      <c r="A1174" s="35"/>
      <c r="B1174" s="36">
        <v>1.0</v>
      </c>
      <c r="C1174" s="37" t="str">
        <f>IFERROR(__xludf.DUMMYFUNCTION("""COMPUTED_VALUE"""),"Grant Helms (4) - '27 CINF NC")</f>
        <v>Grant Helms (4) - '27 CINF NC</v>
      </c>
      <c r="D1174" s="89" t="s">
        <v>3202</v>
      </c>
      <c r="E1174" s="39" t="s">
        <v>48</v>
      </c>
      <c r="F1174" s="156">
        <v>46178.0</v>
      </c>
      <c r="G1174" s="113" t="s">
        <v>6081</v>
      </c>
      <c r="H1174" s="42" t="s">
        <v>278</v>
      </c>
      <c r="I1174" s="43" t="s">
        <v>3203</v>
      </c>
      <c r="J1174" s="43">
        <v>2027.0</v>
      </c>
      <c r="K1174" s="43">
        <v>4.0</v>
      </c>
      <c r="L1174" s="80"/>
      <c r="M1174" s="43" t="s">
        <v>72</v>
      </c>
      <c r="N1174" s="43" t="s">
        <v>103</v>
      </c>
      <c r="O1174" s="43" t="s">
        <v>1550</v>
      </c>
      <c r="P1174" s="43" t="s">
        <v>6216</v>
      </c>
      <c r="Q1174" s="43" t="s">
        <v>73</v>
      </c>
      <c r="R1174" s="43" t="s">
        <v>6217</v>
      </c>
      <c r="S1174" s="44" t="s">
        <v>3204</v>
      </c>
      <c r="T1174" s="39">
        <v>4.35</v>
      </c>
      <c r="U1174" s="81"/>
      <c r="V1174" s="39" t="s">
        <v>6218</v>
      </c>
      <c r="W1174" s="81"/>
      <c r="X1174" s="81"/>
      <c r="Y1174" s="81"/>
      <c r="Z1174" s="82"/>
      <c r="AA1174" s="99"/>
      <c r="AB1174" s="48" t="s">
        <v>61</v>
      </c>
      <c r="AC1174" s="68" t="s">
        <v>61</v>
      </c>
      <c r="AD1174" s="69" t="s">
        <v>61</v>
      </c>
      <c r="AE1174" s="69" t="s">
        <v>61</v>
      </c>
      <c r="AF1174" s="68" t="s">
        <v>61</v>
      </c>
      <c r="AG1174" s="68" t="s">
        <v>61</v>
      </c>
      <c r="AH1174" s="68" t="s">
        <v>61</v>
      </c>
      <c r="AI1174" s="70" t="s">
        <v>61</v>
      </c>
      <c r="AJ1174" s="114" t="s">
        <v>61</v>
      </c>
      <c r="AK1174" s="82"/>
    </row>
    <row r="1175" ht="24.0" customHeight="1">
      <c r="A1175" s="35"/>
      <c r="B1175" s="36">
        <v>1.0</v>
      </c>
      <c r="C1175" s="37" t="str">
        <f>IFERROR(__xludf.DUMMYFUNCTION("""COMPUTED_VALUE"""),"Kason Webb (2) - '27 RHP AZ")</f>
        <v>Kason Webb (2) - '27 RHP AZ</v>
      </c>
      <c r="D1175" s="89" t="s">
        <v>6219</v>
      </c>
      <c r="E1175" s="51" t="s">
        <v>63</v>
      </c>
      <c r="F1175" s="154">
        <v>46178.0</v>
      </c>
      <c r="G1175" s="116" t="s">
        <v>1470</v>
      </c>
      <c r="H1175" s="54" t="s">
        <v>392</v>
      </c>
      <c r="I1175" s="55" t="s">
        <v>1114</v>
      </c>
      <c r="J1175" s="55">
        <v>2027.0</v>
      </c>
      <c r="K1175" s="55">
        <v>2.0</v>
      </c>
      <c r="L1175" s="57"/>
      <c r="M1175" s="55" t="s">
        <v>63</v>
      </c>
      <c r="N1175" s="55" t="s">
        <v>48</v>
      </c>
      <c r="O1175" s="55" t="s">
        <v>3774</v>
      </c>
      <c r="P1175" s="55" t="s">
        <v>3630</v>
      </c>
      <c r="Q1175" s="55" t="s">
        <v>319</v>
      </c>
      <c r="R1175" s="55" t="s">
        <v>6220</v>
      </c>
      <c r="S1175" s="58" t="s">
        <v>6221</v>
      </c>
      <c r="T1175" s="51">
        <v>3.8</v>
      </c>
      <c r="U1175" s="51" t="s">
        <v>6222</v>
      </c>
      <c r="V1175" s="51" t="s">
        <v>6223</v>
      </c>
      <c r="W1175" s="74"/>
      <c r="X1175" s="74"/>
      <c r="Y1175" s="51" t="s">
        <v>6224</v>
      </c>
      <c r="Z1175" s="76"/>
      <c r="AA1175" s="134"/>
      <c r="AB1175" s="62" t="s">
        <v>61</v>
      </c>
      <c r="AC1175" s="63" t="s">
        <v>61</v>
      </c>
      <c r="AD1175" s="64" t="s">
        <v>61</v>
      </c>
      <c r="AE1175" s="64" t="s">
        <v>61</v>
      </c>
      <c r="AF1175" s="63" t="s">
        <v>61</v>
      </c>
      <c r="AG1175" s="63" t="s">
        <v>61</v>
      </c>
      <c r="AH1175" s="63" t="s">
        <v>61</v>
      </c>
      <c r="AI1175" s="65" t="s">
        <v>61</v>
      </c>
      <c r="AJ1175" s="105" t="s">
        <v>61</v>
      </c>
      <c r="AK1175" s="76"/>
    </row>
    <row r="1176" ht="24.0" customHeight="1">
      <c r="A1176" s="35"/>
      <c r="B1176" s="36">
        <v>1.0</v>
      </c>
      <c r="C1176" s="37" t="str">
        <f>IFERROR(__xludf.DUMMYFUNCTION("""COMPUTED_VALUE"""),"Max Wilkerson (1) - '28 SS FL")</f>
        <v>Max Wilkerson (1) - '28 SS FL</v>
      </c>
      <c r="D1176" s="89" t="s">
        <v>6225</v>
      </c>
      <c r="E1176" s="39" t="s">
        <v>48</v>
      </c>
      <c r="F1176" s="156">
        <v>46180.0</v>
      </c>
      <c r="G1176" s="113" t="s">
        <v>1395</v>
      </c>
      <c r="H1176" s="42" t="s">
        <v>1997</v>
      </c>
      <c r="I1176" s="43" t="s">
        <v>6226</v>
      </c>
      <c r="J1176" s="43">
        <v>2028.0</v>
      </c>
      <c r="K1176" s="43">
        <v>1.0</v>
      </c>
      <c r="L1176" s="80"/>
      <c r="M1176" s="43" t="s">
        <v>1398</v>
      </c>
      <c r="N1176" s="43"/>
      <c r="O1176" s="80"/>
      <c r="P1176" s="80"/>
      <c r="Q1176" s="43" t="s">
        <v>66</v>
      </c>
      <c r="R1176" s="43" t="s">
        <v>6227</v>
      </c>
      <c r="S1176" s="44" t="s">
        <v>1450</v>
      </c>
      <c r="T1176" s="81"/>
      <c r="U1176" s="81"/>
      <c r="V1176" s="81"/>
      <c r="W1176" s="39" t="s">
        <v>6228</v>
      </c>
      <c r="X1176" s="81"/>
      <c r="Y1176" s="81"/>
      <c r="Z1176" s="82"/>
      <c r="AA1176" s="47" t="s">
        <v>6229</v>
      </c>
      <c r="AB1176" s="48" t="s">
        <v>61</v>
      </c>
      <c r="AC1176" s="68" t="s">
        <v>61</v>
      </c>
      <c r="AD1176" s="69" t="s">
        <v>61</v>
      </c>
      <c r="AE1176" s="69" t="s">
        <v>61</v>
      </c>
      <c r="AF1176" s="68" t="s">
        <v>61</v>
      </c>
      <c r="AG1176" s="68" t="s">
        <v>61</v>
      </c>
      <c r="AH1176" s="68" t="s">
        <v>61</v>
      </c>
      <c r="AI1176" s="70" t="s">
        <v>61</v>
      </c>
      <c r="AJ1176" s="114" t="s">
        <v>61</v>
      </c>
      <c r="AK1176" s="82"/>
    </row>
    <row r="1177" ht="24.0" customHeight="1">
      <c r="A1177" s="35"/>
      <c r="B1177" s="36">
        <v>1.0</v>
      </c>
      <c r="C1177" s="37" t="str">
        <f>IFERROR(__xludf.DUMMYFUNCTION("""COMPUTED_VALUE"""),"Trever Harmic (4) - '28 RHP FL")</f>
        <v>Trever Harmic (4) - '28 RHP FL</v>
      </c>
      <c r="D1177" s="89" t="s">
        <v>6230</v>
      </c>
      <c r="E1177" s="51" t="s">
        <v>63</v>
      </c>
      <c r="F1177" s="154">
        <v>46180.0</v>
      </c>
      <c r="G1177" s="116" t="s">
        <v>1395</v>
      </c>
      <c r="H1177" s="54" t="s">
        <v>6231</v>
      </c>
      <c r="I1177" s="55" t="s">
        <v>6232</v>
      </c>
      <c r="J1177" s="55">
        <v>2028.0</v>
      </c>
      <c r="K1177" s="55">
        <v>4.0</v>
      </c>
      <c r="L1177" s="57"/>
      <c r="M1177" s="55" t="s">
        <v>63</v>
      </c>
      <c r="N1177" s="55"/>
      <c r="O1177" s="57"/>
      <c r="P1177" s="57"/>
      <c r="Q1177" s="55" t="s">
        <v>66</v>
      </c>
      <c r="R1177" s="55" t="s">
        <v>6233</v>
      </c>
      <c r="S1177" s="58" t="s">
        <v>1450</v>
      </c>
      <c r="T1177" s="74"/>
      <c r="U1177" s="74"/>
      <c r="V1177" s="74"/>
      <c r="W1177" s="51" t="s">
        <v>6228</v>
      </c>
      <c r="X1177" s="74"/>
      <c r="Y1177" s="74"/>
      <c r="Z1177" s="76"/>
      <c r="AA1177" s="73" t="s">
        <v>6234</v>
      </c>
      <c r="AB1177" s="62" t="s">
        <v>61</v>
      </c>
      <c r="AC1177" s="63" t="s">
        <v>61</v>
      </c>
      <c r="AD1177" s="64" t="s">
        <v>61</v>
      </c>
      <c r="AE1177" s="64" t="s">
        <v>61</v>
      </c>
      <c r="AF1177" s="63" t="s">
        <v>61</v>
      </c>
      <c r="AG1177" s="63" t="s">
        <v>61</v>
      </c>
      <c r="AH1177" s="63" t="s">
        <v>61</v>
      </c>
      <c r="AI1177" s="65" t="s">
        <v>61</v>
      </c>
      <c r="AJ1177" s="105" t="s">
        <v>61</v>
      </c>
      <c r="AK1177" s="76"/>
    </row>
    <row r="1178" ht="24.0" customHeight="1">
      <c r="A1178" s="35"/>
      <c r="B1178" s="36">
        <v>1.0</v>
      </c>
      <c r="C1178" s="37" t="str">
        <f>IFERROR(__xludf.DUMMYFUNCTION("""COMPUTED_VALUE"""),"Will Zyblock (4) - '28 C FL")</f>
        <v>Will Zyblock (4) - '28 C FL</v>
      </c>
      <c r="D1178" s="89" t="s">
        <v>6235</v>
      </c>
      <c r="E1178" s="39" t="s">
        <v>109</v>
      </c>
      <c r="F1178" s="156">
        <v>46180.0</v>
      </c>
      <c r="G1178" s="113" t="s">
        <v>1395</v>
      </c>
      <c r="H1178" s="42" t="s">
        <v>110</v>
      </c>
      <c r="I1178" s="43" t="s">
        <v>6236</v>
      </c>
      <c r="J1178" s="43">
        <v>2028.0</v>
      </c>
      <c r="K1178" s="43">
        <v>4.0</v>
      </c>
      <c r="L1178" s="80"/>
      <c r="M1178" s="43" t="s">
        <v>109</v>
      </c>
      <c r="N1178" s="43" t="s">
        <v>6237</v>
      </c>
      <c r="O1178" s="80"/>
      <c r="P1178" s="80"/>
      <c r="Q1178" s="43" t="s">
        <v>66</v>
      </c>
      <c r="R1178" s="43" t="s">
        <v>6238</v>
      </c>
      <c r="S1178" s="44" t="s">
        <v>1450</v>
      </c>
      <c r="T1178" s="81"/>
      <c r="U1178" s="81"/>
      <c r="V1178" s="81"/>
      <c r="W1178" s="39" t="s">
        <v>6228</v>
      </c>
      <c r="X1178" s="81"/>
      <c r="Y1178" s="81"/>
      <c r="Z1178" s="82"/>
      <c r="AA1178" s="47" t="s">
        <v>6239</v>
      </c>
      <c r="AB1178" s="48" t="s">
        <v>61</v>
      </c>
      <c r="AC1178" s="68" t="s">
        <v>61</v>
      </c>
      <c r="AD1178" s="69" t="s">
        <v>61</v>
      </c>
      <c r="AE1178" s="69" t="s">
        <v>61</v>
      </c>
      <c r="AF1178" s="68" t="s">
        <v>61</v>
      </c>
      <c r="AG1178" s="68" t="s">
        <v>61</v>
      </c>
      <c r="AH1178" s="68" t="s">
        <v>61</v>
      </c>
      <c r="AI1178" s="70" t="s">
        <v>61</v>
      </c>
      <c r="AJ1178" s="114" t="s">
        <v>61</v>
      </c>
      <c r="AK1178" s="82"/>
    </row>
    <row r="1179" ht="24.0" customHeight="1">
      <c r="A1179" s="35"/>
      <c r="B1179" s="36">
        <v>1.0</v>
      </c>
      <c r="C1179" s="37" t="str">
        <f>IFERROR(__xludf.DUMMYFUNCTION("""COMPUTED_VALUE"""),"Evan Snyder (1) - '28 OF FL")</f>
        <v>Evan Snyder (1) - '28 OF FL</v>
      </c>
      <c r="D1179" s="89" t="s">
        <v>6240</v>
      </c>
      <c r="E1179" s="51" t="s">
        <v>103</v>
      </c>
      <c r="F1179" s="154">
        <v>46180.0</v>
      </c>
      <c r="G1179" s="116" t="s">
        <v>1395</v>
      </c>
      <c r="H1179" s="54" t="s">
        <v>385</v>
      </c>
      <c r="I1179" s="55" t="s">
        <v>6241</v>
      </c>
      <c r="J1179" s="55">
        <v>2028.0</v>
      </c>
      <c r="K1179" s="55">
        <v>1.0</v>
      </c>
      <c r="L1179" s="57"/>
      <c r="M1179" s="55" t="s">
        <v>103</v>
      </c>
      <c r="N1179" s="55"/>
      <c r="O1179" s="57"/>
      <c r="P1179" s="57"/>
      <c r="Q1179" s="55" t="s">
        <v>66</v>
      </c>
      <c r="R1179" s="55" t="s">
        <v>6242</v>
      </c>
      <c r="S1179" s="58" t="s">
        <v>1450</v>
      </c>
      <c r="T1179" s="74"/>
      <c r="U1179" s="74"/>
      <c r="V1179" s="74"/>
      <c r="W1179" s="51" t="s">
        <v>6228</v>
      </c>
      <c r="X1179" s="74"/>
      <c r="Y1179" s="74"/>
      <c r="Z1179" s="76"/>
      <c r="AA1179" s="73" t="s">
        <v>6243</v>
      </c>
      <c r="AB1179" s="62" t="s">
        <v>61</v>
      </c>
      <c r="AC1179" s="63" t="s">
        <v>61</v>
      </c>
      <c r="AD1179" s="64" t="s">
        <v>61</v>
      </c>
      <c r="AE1179" s="64" t="s">
        <v>61</v>
      </c>
      <c r="AF1179" s="63" t="s">
        <v>61</v>
      </c>
      <c r="AG1179" s="63" t="s">
        <v>61</v>
      </c>
      <c r="AH1179" s="63" t="s">
        <v>61</v>
      </c>
      <c r="AI1179" s="65" t="s">
        <v>61</v>
      </c>
      <c r="AJ1179" s="105" t="s">
        <v>61</v>
      </c>
      <c r="AK1179" s="76"/>
    </row>
    <row r="1180" ht="24.0" customHeight="1">
      <c r="A1180" s="35"/>
      <c r="B1180" s="36">
        <v>1.0</v>
      </c>
      <c r="C1180" s="37" t="str">
        <f>IFERROR(__xludf.DUMMYFUNCTION("""COMPUTED_VALUE"""),"Vance Tate (46056) - '28 RHP FL")</f>
        <v>Vance Tate (46056) - '28 RHP FL</v>
      </c>
      <c r="D1180" s="89" t="s">
        <v>6244</v>
      </c>
      <c r="E1180" s="39" t="s">
        <v>63</v>
      </c>
      <c r="F1180" s="156">
        <v>46180.0</v>
      </c>
      <c r="G1180" s="113" t="s">
        <v>1395</v>
      </c>
      <c r="H1180" s="42" t="s">
        <v>6245</v>
      </c>
      <c r="I1180" s="43" t="s">
        <v>178</v>
      </c>
      <c r="J1180" s="43">
        <v>2028.0</v>
      </c>
      <c r="K1180" s="202">
        <v>46056.0</v>
      </c>
      <c r="L1180" s="80"/>
      <c r="M1180" s="43" t="s">
        <v>63</v>
      </c>
      <c r="N1180" s="43"/>
      <c r="O1180" s="80"/>
      <c r="P1180" s="80"/>
      <c r="Q1180" s="43" t="s">
        <v>66</v>
      </c>
      <c r="R1180" s="80"/>
      <c r="S1180" s="44" t="s">
        <v>1450</v>
      </c>
      <c r="T1180" s="81"/>
      <c r="U1180" s="81"/>
      <c r="V1180" s="81"/>
      <c r="W1180" s="39" t="s">
        <v>6228</v>
      </c>
      <c r="X1180" s="81"/>
      <c r="Y1180" s="81"/>
      <c r="Z1180" s="82"/>
      <c r="AA1180" s="47" t="s">
        <v>6246</v>
      </c>
      <c r="AB1180" s="48" t="s">
        <v>61</v>
      </c>
      <c r="AC1180" s="68" t="s">
        <v>61</v>
      </c>
      <c r="AD1180" s="69" t="s">
        <v>61</v>
      </c>
      <c r="AE1180" s="69" t="s">
        <v>61</v>
      </c>
      <c r="AF1180" s="68" t="s">
        <v>61</v>
      </c>
      <c r="AG1180" s="68" t="s">
        <v>61</v>
      </c>
      <c r="AH1180" s="68" t="s">
        <v>61</v>
      </c>
      <c r="AI1180" s="70" t="s">
        <v>61</v>
      </c>
      <c r="AJ1180" s="114" t="s">
        <v>61</v>
      </c>
      <c r="AK1180" s="82"/>
    </row>
    <row r="1181" ht="24.0" customHeight="1">
      <c r="A1181" s="35"/>
      <c r="B1181" s="36">
        <v>1.0</v>
      </c>
      <c r="C1181" s="37" t="str">
        <f>IFERROR(__xludf.DUMMYFUNCTION("""COMPUTED_VALUE"""),"Cooper Bennett (4) - '28 RHP FL")</f>
        <v>Cooper Bennett (4) - '28 RHP FL</v>
      </c>
      <c r="D1181" s="89" t="s">
        <v>6247</v>
      </c>
      <c r="E1181" s="51" t="s">
        <v>63</v>
      </c>
      <c r="F1181" s="154">
        <v>46180.0</v>
      </c>
      <c r="G1181" s="116" t="s">
        <v>1395</v>
      </c>
      <c r="H1181" s="54" t="s">
        <v>696</v>
      </c>
      <c r="I1181" s="55" t="s">
        <v>6248</v>
      </c>
      <c r="J1181" s="55">
        <v>2028.0</v>
      </c>
      <c r="K1181" s="55">
        <v>4.0</v>
      </c>
      <c r="L1181" s="57"/>
      <c r="M1181" s="55" t="s">
        <v>63</v>
      </c>
      <c r="N1181" s="55"/>
      <c r="O1181" s="57"/>
      <c r="P1181" s="57"/>
      <c r="Q1181" s="55" t="s">
        <v>66</v>
      </c>
      <c r="R1181" s="55" t="s">
        <v>6238</v>
      </c>
      <c r="S1181" s="58" t="s">
        <v>1450</v>
      </c>
      <c r="T1181" s="74"/>
      <c r="U1181" s="74"/>
      <c r="V1181" s="74"/>
      <c r="W1181" s="51" t="s">
        <v>6228</v>
      </c>
      <c r="X1181" s="74"/>
      <c r="Y1181" s="74"/>
      <c r="Z1181" s="76"/>
      <c r="AA1181" s="73" t="s">
        <v>6249</v>
      </c>
      <c r="AB1181" s="62" t="s">
        <v>61</v>
      </c>
      <c r="AC1181" s="63" t="s">
        <v>61</v>
      </c>
      <c r="AD1181" s="64" t="s">
        <v>61</v>
      </c>
      <c r="AE1181" s="64" t="s">
        <v>61</v>
      </c>
      <c r="AF1181" s="63" t="s">
        <v>61</v>
      </c>
      <c r="AG1181" s="63" t="s">
        <v>61</v>
      </c>
      <c r="AH1181" s="63" t="s">
        <v>61</v>
      </c>
      <c r="AI1181" s="65" t="s">
        <v>61</v>
      </c>
      <c r="AJ1181" s="105" t="s">
        <v>61</v>
      </c>
      <c r="AK1181" s="76"/>
    </row>
    <row r="1182" ht="24.0" customHeight="1">
      <c r="A1182" s="35"/>
      <c r="B1182" s="36">
        <v>1.0</v>
      </c>
      <c r="C1182" s="37" t="str">
        <f>IFERROR(__xludf.DUMMYFUNCTION("""COMPUTED_VALUE"""),"Peyton Bell (1) - '28 2B LA")</f>
        <v>Peyton Bell (1) - '28 2B LA</v>
      </c>
      <c r="D1182" s="89" t="s">
        <v>6208</v>
      </c>
      <c r="E1182" s="39" t="s">
        <v>48</v>
      </c>
      <c r="F1182" s="156">
        <v>46180.0</v>
      </c>
      <c r="G1182" s="113" t="s">
        <v>1395</v>
      </c>
      <c r="H1182" s="42" t="s">
        <v>3085</v>
      </c>
      <c r="I1182" s="43" t="s">
        <v>2643</v>
      </c>
      <c r="J1182" s="43">
        <v>2028.0</v>
      </c>
      <c r="K1182" s="43">
        <v>1.0</v>
      </c>
      <c r="L1182" s="80"/>
      <c r="M1182" s="43" t="s">
        <v>2838</v>
      </c>
      <c r="N1182" s="43"/>
      <c r="O1182" s="80"/>
      <c r="P1182" s="80"/>
      <c r="Q1182" s="43" t="s">
        <v>337</v>
      </c>
      <c r="R1182" s="43" t="s">
        <v>6250</v>
      </c>
      <c r="S1182" s="44" t="s">
        <v>1200</v>
      </c>
      <c r="T1182" s="81"/>
      <c r="U1182" s="81"/>
      <c r="V1182" s="81"/>
      <c r="W1182" s="39" t="s">
        <v>6228</v>
      </c>
      <c r="X1182" s="81"/>
      <c r="Y1182" s="81"/>
      <c r="Z1182" s="82"/>
      <c r="AA1182" s="47" t="s">
        <v>6251</v>
      </c>
      <c r="AB1182" s="48" t="s">
        <v>61</v>
      </c>
      <c r="AC1182" s="68" t="s">
        <v>61</v>
      </c>
      <c r="AD1182" s="69" t="s">
        <v>61</v>
      </c>
      <c r="AE1182" s="69" t="s">
        <v>61</v>
      </c>
      <c r="AF1182" s="68" t="s">
        <v>61</v>
      </c>
      <c r="AG1182" s="68" t="s">
        <v>61</v>
      </c>
      <c r="AH1182" s="68" t="s">
        <v>61</v>
      </c>
      <c r="AI1182" s="70" t="s">
        <v>61</v>
      </c>
      <c r="AJ1182" s="114" t="s">
        <v>61</v>
      </c>
      <c r="AK1182" s="82"/>
    </row>
    <row r="1183" ht="24.0" customHeight="1">
      <c r="A1183" s="35"/>
      <c r="B1183" s="36">
        <v>1.0</v>
      </c>
      <c r="C1183" s="37" t="str">
        <f>IFERROR(__xludf.DUMMYFUNCTION("""COMPUTED_VALUE"""),"Grant Oustalet (1) - '28 3B LA")</f>
        <v>Grant Oustalet (1) - '28 3B LA</v>
      </c>
      <c r="D1183" s="89" t="s">
        <v>6252</v>
      </c>
      <c r="E1183" s="51" t="s">
        <v>48</v>
      </c>
      <c r="F1183" s="154">
        <v>46180.0</v>
      </c>
      <c r="G1183" s="116" t="s">
        <v>1395</v>
      </c>
      <c r="H1183" s="54" t="s">
        <v>278</v>
      </c>
      <c r="I1183" s="55" t="s">
        <v>6253</v>
      </c>
      <c r="J1183" s="55">
        <v>2028.0</v>
      </c>
      <c r="K1183" s="55">
        <v>1.0</v>
      </c>
      <c r="L1183" s="57"/>
      <c r="M1183" s="55" t="s">
        <v>1519</v>
      </c>
      <c r="N1183" s="55"/>
      <c r="O1183" s="57"/>
      <c r="P1183" s="57"/>
      <c r="Q1183" s="55" t="s">
        <v>337</v>
      </c>
      <c r="R1183" s="55" t="s">
        <v>6250</v>
      </c>
      <c r="S1183" s="58" t="s">
        <v>1200</v>
      </c>
      <c r="T1183" s="74"/>
      <c r="U1183" s="74"/>
      <c r="V1183" s="74"/>
      <c r="W1183" s="51" t="s">
        <v>6228</v>
      </c>
      <c r="X1183" s="74"/>
      <c r="Y1183" s="74"/>
      <c r="Z1183" s="76"/>
      <c r="AA1183" s="73" t="s">
        <v>6254</v>
      </c>
      <c r="AB1183" s="62" t="s">
        <v>61</v>
      </c>
      <c r="AC1183" s="63" t="s">
        <v>61</v>
      </c>
      <c r="AD1183" s="64" t="s">
        <v>61</v>
      </c>
      <c r="AE1183" s="64" t="s">
        <v>61</v>
      </c>
      <c r="AF1183" s="63" t="s">
        <v>61</v>
      </c>
      <c r="AG1183" s="63" t="s">
        <v>61</v>
      </c>
      <c r="AH1183" s="63" t="s">
        <v>61</v>
      </c>
      <c r="AI1183" s="65" t="s">
        <v>61</v>
      </c>
      <c r="AJ1183" s="105" t="s">
        <v>61</v>
      </c>
      <c r="AK1183" s="76"/>
    </row>
    <row r="1184" ht="24.0" customHeight="1">
      <c r="A1184" s="35"/>
      <c r="B1184" s="36">
        <v>1.0</v>
      </c>
      <c r="C1184" s="37" t="str">
        <f>IFERROR(__xludf.DUMMYFUNCTION("""COMPUTED_VALUE"""),"Reis Wascom (2) - '28 2B LA")</f>
        <v>Reis Wascom (2) - '28 2B LA</v>
      </c>
      <c r="D1184" s="89" t="s">
        <v>6255</v>
      </c>
      <c r="E1184" s="39" t="s">
        <v>48</v>
      </c>
      <c r="F1184" s="156">
        <v>46180.0</v>
      </c>
      <c r="G1184" s="113" t="s">
        <v>1395</v>
      </c>
      <c r="H1184" s="42" t="s">
        <v>6256</v>
      </c>
      <c r="I1184" s="43" t="s">
        <v>6257</v>
      </c>
      <c r="J1184" s="43">
        <v>2028.0</v>
      </c>
      <c r="K1184" s="43">
        <v>2.0</v>
      </c>
      <c r="L1184" s="80"/>
      <c r="M1184" s="43" t="s">
        <v>2838</v>
      </c>
      <c r="N1184" s="43"/>
      <c r="O1184" s="80"/>
      <c r="P1184" s="80"/>
      <c r="Q1184" s="43" t="s">
        <v>337</v>
      </c>
      <c r="R1184" s="80"/>
      <c r="S1184" s="44" t="s">
        <v>1200</v>
      </c>
      <c r="T1184" s="81"/>
      <c r="U1184" s="81"/>
      <c r="V1184" s="81"/>
      <c r="W1184" s="39" t="s">
        <v>6228</v>
      </c>
      <c r="X1184" s="81"/>
      <c r="Y1184" s="81"/>
      <c r="Z1184" s="82"/>
      <c r="AA1184" s="47" t="s">
        <v>6258</v>
      </c>
      <c r="AB1184" s="48" t="s">
        <v>61</v>
      </c>
      <c r="AC1184" s="68" t="s">
        <v>61</v>
      </c>
      <c r="AD1184" s="69" t="s">
        <v>61</v>
      </c>
      <c r="AE1184" s="69" t="s">
        <v>61</v>
      </c>
      <c r="AF1184" s="68" t="s">
        <v>61</v>
      </c>
      <c r="AG1184" s="68" t="s">
        <v>61</v>
      </c>
      <c r="AH1184" s="68" t="s">
        <v>61</v>
      </c>
      <c r="AI1184" s="70" t="s">
        <v>61</v>
      </c>
      <c r="AJ1184" s="114" t="s">
        <v>61</v>
      </c>
      <c r="AK1184" s="82"/>
    </row>
    <row r="1185" ht="24.0" customHeight="1">
      <c r="A1185" s="35"/>
      <c r="B1185" s="36">
        <v>1.0</v>
      </c>
      <c r="C1185" s="37" t="str">
        <f>IFERROR(__xludf.DUMMYFUNCTION("""COMPUTED_VALUE"""),"Bryce Fontenot (2) - '27 1B GA")</f>
        <v>Bryce Fontenot (2) - '27 1B GA</v>
      </c>
      <c r="D1185" s="89" t="s">
        <v>6167</v>
      </c>
      <c r="E1185" s="51" t="s">
        <v>48</v>
      </c>
      <c r="F1185" s="154">
        <v>46180.0</v>
      </c>
      <c r="G1185" s="116" t="s">
        <v>1395</v>
      </c>
      <c r="H1185" s="54" t="s">
        <v>408</v>
      </c>
      <c r="I1185" s="55" t="s">
        <v>6168</v>
      </c>
      <c r="J1185" s="55">
        <v>2027.0</v>
      </c>
      <c r="K1185" s="55">
        <v>2.0</v>
      </c>
      <c r="L1185" s="57"/>
      <c r="M1185" s="55" t="s">
        <v>1972</v>
      </c>
      <c r="N1185" s="55"/>
      <c r="O1185" s="57"/>
      <c r="P1185" s="57"/>
      <c r="Q1185" s="55" t="s">
        <v>43</v>
      </c>
      <c r="R1185" s="55" t="s">
        <v>6259</v>
      </c>
      <c r="S1185" s="58" t="s">
        <v>4178</v>
      </c>
      <c r="T1185" s="74"/>
      <c r="U1185" s="74"/>
      <c r="V1185" s="74"/>
      <c r="W1185" s="51" t="s">
        <v>6228</v>
      </c>
      <c r="X1185" s="74"/>
      <c r="Y1185" s="74"/>
      <c r="Z1185" s="76"/>
      <c r="AA1185" s="73" t="s">
        <v>6260</v>
      </c>
      <c r="AB1185" s="62" t="s">
        <v>61</v>
      </c>
      <c r="AC1185" s="63" t="s">
        <v>61</v>
      </c>
      <c r="AD1185" s="64" t="s">
        <v>61</v>
      </c>
      <c r="AE1185" s="64" t="s">
        <v>61</v>
      </c>
      <c r="AF1185" s="63" t="s">
        <v>61</v>
      </c>
      <c r="AG1185" s="63" t="s">
        <v>61</v>
      </c>
      <c r="AH1185" s="63" t="s">
        <v>61</v>
      </c>
      <c r="AI1185" s="65" t="s">
        <v>61</v>
      </c>
      <c r="AJ1185" s="105" t="s">
        <v>61</v>
      </c>
      <c r="AK1185" s="76"/>
    </row>
    <row r="1186" ht="24.0" customHeight="1">
      <c r="A1186" s="35"/>
      <c r="B1186" s="36">
        <v>1.0</v>
      </c>
      <c r="C1186" s="37" t="str">
        <f>IFERROR(__xludf.DUMMYFUNCTION("""COMPUTED_VALUE"""),"Chance Williams (1) - '27 OF GA")</f>
        <v>Chance Williams (1) - '27 OF GA</v>
      </c>
      <c r="D1186" s="89" t="s">
        <v>6261</v>
      </c>
      <c r="E1186" s="39" t="s">
        <v>103</v>
      </c>
      <c r="F1186" s="156">
        <v>46180.0</v>
      </c>
      <c r="G1186" s="113" t="s">
        <v>1395</v>
      </c>
      <c r="H1186" s="42" t="s">
        <v>6262</v>
      </c>
      <c r="I1186" s="43" t="s">
        <v>1001</v>
      </c>
      <c r="J1186" s="43">
        <v>2027.0</v>
      </c>
      <c r="K1186" s="43">
        <v>1.0</v>
      </c>
      <c r="L1186" s="80"/>
      <c r="M1186" s="43" t="s">
        <v>103</v>
      </c>
      <c r="N1186" s="43"/>
      <c r="O1186" s="80"/>
      <c r="P1186" s="80"/>
      <c r="Q1186" s="43" t="s">
        <v>43</v>
      </c>
      <c r="R1186" s="43" t="s">
        <v>6263</v>
      </c>
      <c r="S1186" s="44" t="s">
        <v>4178</v>
      </c>
      <c r="T1186" s="81"/>
      <c r="U1186" s="81"/>
      <c r="V1186" s="81"/>
      <c r="W1186" s="39" t="s">
        <v>6228</v>
      </c>
      <c r="X1186" s="81"/>
      <c r="Y1186" s="81"/>
      <c r="Z1186" s="82"/>
      <c r="AA1186" s="47" t="s">
        <v>6264</v>
      </c>
      <c r="AB1186" s="48" t="s">
        <v>6265</v>
      </c>
      <c r="AC1186" s="68" t="s">
        <v>6266</v>
      </c>
      <c r="AD1186" s="69" t="s">
        <v>6267</v>
      </c>
      <c r="AE1186" s="69" t="s">
        <v>6268</v>
      </c>
      <c r="AF1186" s="68" t="s">
        <v>60</v>
      </c>
      <c r="AG1186" s="68" t="s">
        <v>60</v>
      </c>
      <c r="AH1186" s="68" t="s">
        <v>60</v>
      </c>
      <c r="AI1186" s="70" t="s">
        <v>60</v>
      </c>
      <c r="AJ1186" s="114" t="s">
        <v>61</v>
      </c>
      <c r="AK1186" s="82"/>
    </row>
    <row r="1187" ht="24.0" customHeight="1">
      <c r="A1187" s="35"/>
      <c r="B1187" s="36">
        <v>1.0</v>
      </c>
      <c r="C1187" s="37" t="str">
        <f>IFERROR(__xludf.DUMMYFUNCTION("""COMPUTED_VALUE"""),"Rylin Lyemance (1) - '27 3B GA")</f>
        <v>Rylin Lyemance (1) - '27 3B GA</v>
      </c>
      <c r="D1187" s="89" t="s">
        <v>6159</v>
      </c>
      <c r="E1187" s="51" t="s">
        <v>48</v>
      </c>
      <c r="F1187" s="154">
        <v>46180.0</v>
      </c>
      <c r="G1187" s="116" t="s">
        <v>1395</v>
      </c>
      <c r="H1187" s="54" t="s">
        <v>6160</v>
      </c>
      <c r="I1187" s="55" t="s">
        <v>6161</v>
      </c>
      <c r="J1187" s="55">
        <v>2027.0</v>
      </c>
      <c r="K1187" s="55">
        <v>1.0</v>
      </c>
      <c r="L1187" s="57"/>
      <c r="M1187" s="55" t="s">
        <v>1519</v>
      </c>
      <c r="N1187" s="55"/>
      <c r="O1187" s="57"/>
      <c r="P1187" s="57"/>
      <c r="Q1187" s="55" t="s">
        <v>43</v>
      </c>
      <c r="R1187" s="55" t="s">
        <v>6162</v>
      </c>
      <c r="S1187" s="58" t="s">
        <v>4178</v>
      </c>
      <c r="T1187" s="74"/>
      <c r="U1187" s="74"/>
      <c r="V1187" s="74"/>
      <c r="W1187" s="51" t="s">
        <v>6228</v>
      </c>
      <c r="X1187" s="74"/>
      <c r="Y1187" s="74"/>
      <c r="Z1187" s="76"/>
      <c r="AA1187" s="73" t="s">
        <v>6269</v>
      </c>
      <c r="AB1187" s="62" t="s">
        <v>61</v>
      </c>
      <c r="AC1187" s="63" t="s">
        <v>61</v>
      </c>
      <c r="AD1187" s="64" t="s">
        <v>61</v>
      </c>
      <c r="AE1187" s="64" t="s">
        <v>61</v>
      </c>
      <c r="AF1187" s="63" t="s">
        <v>61</v>
      </c>
      <c r="AG1187" s="63" t="s">
        <v>61</v>
      </c>
      <c r="AH1187" s="63" t="s">
        <v>61</v>
      </c>
      <c r="AI1187" s="65" t="s">
        <v>61</v>
      </c>
      <c r="AJ1187" s="105" t="s">
        <v>61</v>
      </c>
      <c r="AK1187" s="76"/>
    </row>
    <row r="1188" ht="24.0" customHeight="1">
      <c r="A1188" s="35"/>
      <c r="B1188" s="36">
        <v>1.0</v>
      </c>
      <c r="C1188" s="37" t="str">
        <f>IFERROR(__xludf.DUMMYFUNCTION("""COMPUTED_VALUE"""),"Makayle Moon (2) - '27 OF SC")</f>
        <v>Makayle Moon (2) - '27 OF SC</v>
      </c>
      <c r="D1188" s="89" t="s">
        <v>6270</v>
      </c>
      <c r="E1188" s="39" t="s">
        <v>103</v>
      </c>
      <c r="F1188" s="156">
        <v>46180.0</v>
      </c>
      <c r="G1188" s="113" t="s">
        <v>1395</v>
      </c>
      <c r="H1188" s="42" t="s">
        <v>6271</v>
      </c>
      <c r="I1188" s="43" t="s">
        <v>6272</v>
      </c>
      <c r="J1188" s="43">
        <v>2027.0</v>
      </c>
      <c r="K1188" s="43">
        <v>2.0</v>
      </c>
      <c r="L1188" s="80"/>
      <c r="M1188" s="43" t="s">
        <v>103</v>
      </c>
      <c r="N1188" s="43"/>
      <c r="O1188" s="80"/>
      <c r="P1188" s="80"/>
      <c r="Q1188" s="43" t="s">
        <v>286</v>
      </c>
      <c r="R1188" s="80"/>
      <c r="S1188" s="44" t="s">
        <v>4178</v>
      </c>
      <c r="T1188" s="81"/>
      <c r="U1188" s="81"/>
      <c r="V1188" s="81"/>
      <c r="W1188" s="39" t="s">
        <v>6228</v>
      </c>
      <c r="X1188" s="81"/>
      <c r="Y1188" s="81"/>
      <c r="Z1188" s="82"/>
      <c r="AA1188" s="47" t="s">
        <v>6273</v>
      </c>
      <c r="AB1188" s="48" t="s">
        <v>61</v>
      </c>
      <c r="AC1188" s="68" t="s">
        <v>61</v>
      </c>
      <c r="AD1188" s="69" t="s">
        <v>61</v>
      </c>
      <c r="AE1188" s="69" t="s">
        <v>61</v>
      </c>
      <c r="AF1188" s="68" t="s">
        <v>61</v>
      </c>
      <c r="AG1188" s="68" t="s">
        <v>61</v>
      </c>
      <c r="AH1188" s="68" t="s">
        <v>61</v>
      </c>
      <c r="AI1188" s="70" t="s">
        <v>61</v>
      </c>
      <c r="AJ1188" s="114" t="s">
        <v>61</v>
      </c>
      <c r="AK1188" s="82"/>
    </row>
    <row r="1189" ht="24.0" customHeight="1">
      <c r="A1189" s="35"/>
      <c r="B1189" s="36">
        <v>1.0</v>
      </c>
      <c r="C1189" s="37" t="str">
        <f>IFERROR(__xludf.DUMMYFUNCTION("""COMPUTED_VALUE"""),"Jack Burke (2) - '27 RHP GA")</f>
        <v>Jack Burke (2) - '27 RHP GA</v>
      </c>
      <c r="D1189" s="89" t="s">
        <v>6153</v>
      </c>
      <c r="E1189" s="51" t="s">
        <v>63</v>
      </c>
      <c r="F1189" s="154">
        <v>46180.0</v>
      </c>
      <c r="G1189" s="116" t="s">
        <v>1395</v>
      </c>
      <c r="H1189" s="54" t="s">
        <v>424</v>
      </c>
      <c r="I1189" s="55" t="s">
        <v>6154</v>
      </c>
      <c r="J1189" s="55">
        <v>2027.0</v>
      </c>
      <c r="K1189" s="55">
        <v>2.0</v>
      </c>
      <c r="L1189" s="57"/>
      <c r="M1189" s="55" t="s">
        <v>63</v>
      </c>
      <c r="N1189" s="55"/>
      <c r="O1189" s="57"/>
      <c r="P1189" s="57"/>
      <c r="Q1189" s="55" t="s">
        <v>43</v>
      </c>
      <c r="R1189" s="55" t="s">
        <v>6155</v>
      </c>
      <c r="S1189" s="58" t="s">
        <v>4178</v>
      </c>
      <c r="T1189" s="74"/>
      <c r="U1189" s="74"/>
      <c r="V1189" s="74"/>
      <c r="W1189" s="51" t="s">
        <v>6228</v>
      </c>
      <c r="X1189" s="74"/>
      <c r="Y1189" s="74"/>
      <c r="Z1189" s="76"/>
      <c r="AA1189" s="73" t="s">
        <v>6274</v>
      </c>
      <c r="AB1189" s="62" t="s">
        <v>61</v>
      </c>
      <c r="AC1189" s="63" t="s">
        <v>61</v>
      </c>
      <c r="AD1189" s="64" t="s">
        <v>61</v>
      </c>
      <c r="AE1189" s="64" t="s">
        <v>61</v>
      </c>
      <c r="AF1189" s="63" t="s">
        <v>61</v>
      </c>
      <c r="AG1189" s="63" t="s">
        <v>61</v>
      </c>
      <c r="AH1189" s="63" t="s">
        <v>61</v>
      </c>
      <c r="AI1189" s="65" t="s">
        <v>61</v>
      </c>
      <c r="AJ1189" s="105" t="s">
        <v>61</v>
      </c>
      <c r="AK1189" s="76"/>
    </row>
    <row r="1190" ht="24.0" customHeight="1">
      <c r="A1190" s="35"/>
      <c r="B1190" s="36">
        <v>1.0</v>
      </c>
      <c r="C1190" s="37" t="str">
        <f>IFERROR(__xludf.DUMMYFUNCTION("""COMPUTED_VALUE"""),"Jackson Barker (2) - '27 RHP KS")</f>
        <v>Jackson Barker (2) - '27 RHP KS</v>
      </c>
      <c r="D1190" s="89" t="s">
        <v>6134</v>
      </c>
      <c r="E1190" s="39" t="s">
        <v>63</v>
      </c>
      <c r="F1190" s="156">
        <v>46180.0</v>
      </c>
      <c r="G1190" s="113" t="s">
        <v>1395</v>
      </c>
      <c r="H1190" s="42" t="s">
        <v>432</v>
      </c>
      <c r="I1190" s="43" t="s">
        <v>3755</v>
      </c>
      <c r="J1190" s="43">
        <v>2027.0</v>
      </c>
      <c r="K1190" s="43">
        <v>2.0</v>
      </c>
      <c r="L1190" s="80"/>
      <c r="M1190" s="43" t="s">
        <v>63</v>
      </c>
      <c r="N1190" s="43"/>
      <c r="O1190" s="80"/>
      <c r="P1190" s="80"/>
      <c r="Q1190" s="43" t="s">
        <v>112</v>
      </c>
      <c r="R1190" s="43" t="s">
        <v>6275</v>
      </c>
      <c r="S1190" s="44" t="s">
        <v>1486</v>
      </c>
      <c r="T1190" s="81"/>
      <c r="U1190" s="81"/>
      <c r="V1190" s="81"/>
      <c r="W1190" s="39" t="s">
        <v>6228</v>
      </c>
      <c r="X1190" s="81"/>
      <c r="Y1190" s="81"/>
      <c r="Z1190" s="82"/>
      <c r="AA1190" s="47" t="s">
        <v>6276</v>
      </c>
      <c r="AB1190" s="48" t="s">
        <v>6138</v>
      </c>
      <c r="AC1190" s="68" t="s">
        <v>6139</v>
      </c>
      <c r="AD1190" s="69" t="s">
        <v>6140</v>
      </c>
      <c r="AE1190" s="69" t="s">
        <v>6141</v>
      </c>
      <c r="AF1190" s="68" t="s">
        <v>6142</v>
      </c>
      <c r="AG1190" s="68" t="s">
        <v>81</v>
      </c>
      <c r="AH1190" s="68" t="s">
        <v>81</v>
      </c>
      <c r="AI1190" s="70" t="s">
        <v>81</v>
      </c>
      <c r="AJ1190" s="114" t="s">
        <v>61</v>
      </c>
      <c r="AK1190" s="82"/>
    </row>
    <row r="1191" ht="24.0" customHeight="1">
      <c r="A1191" s="35"/>
      <c r="B1191" s="36">
        <v>1.0</v>
      </c>
      <c r="C1191" s="37" t="str">
        <f>IFERROR(__xludf.DUMMYFUNCTION("""COMPUTED_VALUE"""),"Evan Loftis (3) - '27 RHP MO")</f>
        <v>Evan Loftis (3) - '27 RHP MO</v>
      </c>
      <c r="D1191" s="89" t="s">
        <v>6277</v>
      </c>
      <c r="E1191" s="51" t="s">
        <v>63</v>
      </c>
      <c r="F1191" s="154">
        <v>46180.0</v>
      </c>
      <c r="G1191" s="116" t="s">
        <v>1395</v>
      </c>
      <c r="H1191" s="54" t="s">
        <v>385</v>
      </c>
      <c r="I1191" s="55" t="s">
        <v>6278</v>
      </c>
      <c r="J1191" s="55">
        <v>2027.0</v>
      </c>
      <c r="K1191" s="55">
        <v>3.0</v>
      </c>
      <c r="L1191" s="57"/>
      <c r="M1191" s="55" t="s">
        <v>63</v>
      </c>
      <c r="N1191" s="55"/>
      <c r="O1191" s="57"/>
      <c r="P1191" s="57"/>
      <c r="Q1191" s="55" t="s">
        <v>585</v>
      </c>
      <c r="R1191" s="55" t="s">
        <v>6279</v>
      </c>
      <c r="S1191" s="58" t="s">
        <v>1486</v>
      </c>
      <c r="T1191" s="74"/>
      <c r="U1191" s="74"/>
      <c r="V1191" s="74"/>
      <c r="W1191" s="51" t="s">
        <v>6228</v>
      </c>
      <c r="X1191" s="74"/>
      <c r="Y1191" s="74"/>
      <c r="Z1191" s="76"/>
      <c r="AA1191" s="73" t="s">
        <v>6280</v>
      </c>
      <c r="AB1191" s="62" t="s">
        <v>61</v>
      </c>
      <c r="AC1191" s="63" t="s">
        <v>61</v>
      </c>
      <c r="AD1191" s="64" t="s">
        <v>61</v>
      </c>
      <c r="AE1191" s="64" t="s">
        <v>61</v>
      </c>
      <c r="AF1191" s="63" t="s">
        <v>61</v>
      </c>
      <c r="AG1191" s="63" t="s">
        <v>61</v>
      </c>
      <c r="AH1191" s="63" t="s">
        <v>61</v>
      </c>
      <c r="AI1191" s="65" t="s">
        <v>61</v>
      </c>
      <c r="AJ1191" s="105" t="s">
        <v>61</v>
      </c>
      <c r="AK1191" s="76"/>
    </row>
    <row r="1192" ht="24.0" customHeight="1">
      <c r="A1192" s="35"/>
      <c r="B1192" s="36">
        <v>1.0</v>
      </c>
      <c r="C1192" s="37" t="str">
        <f>IFERROR(__xludf.DUMMYFUNCTION("""COMPUTED_VALUE"""),"Michael Killian (3) - '27 OF TX")</f>
        <v>Michael Killian (3) - '27 OF TX</v>
      </c>
      <c r="D1192" s="89" t="s">
        <v>6281</v>
      </c>
      <c r="E1192" s="39" t="s">
        <v>103</v>
      </c>
      <c r="F1192" s="156">
        <v>46180.0</v>
      </c>
      <c r="G1192" s="113" t="s">
        <v>1395</v>
      </c>
      <c r="H1192" s="42" t="s">
        <v>158</v>
      </c>
      <c r="I1192" s="43" t="s">
        <v>6282</v>
      </c>
      <c r="J1192" s="43">
        <v>2027.0</v>
      </c>
      <c r="K1192" s="43">
        <v>3.0</v>
      </c>
      <c r="L1192" s="80"/>
      <c r="M1192" s="43" t="s">
        <v>103</v>
      </c>
      <c r="N1192" s="43"/>
      <c r="O1192" s="80"/>
      <c r="P1192" s="80"/>
      <c r="Q1192" s="43" t="s">
        <v>180</v>
      </c>
      <c r="R1192" s="43" t="s">
        <v>6283</v>
      </c>
      <c r="S1192" s="44" t="s">
        <v>4480</v>
      </c>
      <c r="T1192" s="81"/>
      <c r="U1192" s="81"/>
      <c r="V1192" s="81"/>
      <c r="W1192" s="39" t="s">
        <v>6228</v>
      </c>
      <c r="X1192" s="81"/>
      <c r="Y1192" s="81"/>
      <c r="Z1192" s="82"/>
      <c r="AA1192" s="47" t="s">
        <v>6284</v>
      </c>
      <c r="AB1192" s="48" t="s">
        <v>61</v>
      </c>
      <c r="AC1192" s="68" t="s">
        <v>61</v>
      </c>
      <c r="AD1192" s="69" t="s">
        <v>61</v>
      </c>
      <c r="AE1192" s="69" t="s">
        <v>61</v>
      </c>
      <c r="AF1192" s="68" t="s">
        <v>61</v>
      </c>
      <c r="AG1192" s="68" t="s">
        <v>61</v>
      </c>
      <c r="AH1192" s="68" t="s">
        <v>61</v>
      </c>
      <c r="AI1192" s="70" t="s">
        <v>61</v>
      </c>
      <c r="AJ1192" s="114" t="s">
        <v>61</v>
      </c>
      <c r="AK1192" s="82"/>
    </row>
    <row r="1193" ht="24.0" customHeight="1">
      <c r="A1193" s="35"/>
      <c r="B1193" s="36">
        <v>1.0</v>
      </c>
      <c r="C1193" s="37" t="str">
        <f>IFERROR(__xludf.DUMMYFUNCTION("""COMPUTED_VALUE"""),"Jameson Mayfield (1) - '27 SS TX")</f>
        <v>Jameson Mayfield (1) - '27 SS TX</v>
      </c>
      <c r="D1193" s="89" t="s">
        <v>6285</v>
      </c>
      <c r="E1193" s="51" t="s">
        <v>48</v>
      </c>
      <c r="F1193" s="154">
        <v>46180.0</v>
      </c>
      <c r="G1193" s="116" t="s">
        <v>1395</v>
      </c>
      <c r="H1193" s="54" t="s">
        <v>921</v>
      </c>
      <c r="I1193" s="55" t="s">
        <v>6286</v>
      </c>
      <c r="J1193" s="55">
        <v>2027.0</v>
      </c>
      <c r="K1193" s="55">
        <v>1.0</v>
      </c>
      <c r="L1193" s="57"/>
      <c r="M1193" s="55" t="s">
        <v>1398</v>
      </c>
      <c r="N1193" s="55"/>
      <c r="O1193" s="57"/>
      <c r="P1193" s="57"/>
      <c r="Q1193" s="55" t="s">
        <v>180</v>
      </c>
      <c r="R1193" s="55" t="s">
        <v>6283</v>
      </c>
      <c r="S1193" s="58" t="s">
        <v>4480</v>
      </c>
      <c r="T1193" s="74"/>
      <c r="U1193" s="74"/>
      <c r="V1193" s="74"/>
      <c r="W1193" s="51" t="s">
        <v>6228</v>
      </c>
      <c r="X1193" s="74"/>
      <c r="Y1193" s="74"/>
      <c r="Z1193" s="76"/>
      <c r="AA1193" s="73" t="s">
        <v>6287</v>
      </c>
      <c r="AB1193" s="62" t="s">
        <v>6288</v>
      </c>
      <c r="AC1193" s="63" t="s">
        <v>6289</v>
      </c>
      <c r="AD1193" s="64">
        <v>4.0</v>
      </c>
      <c r="AE1193" s="64" t="s">
        <v>400</v>
      </c>
      <c r="AF1193" s="63" t="s">
        <v>60</v>
      </c>
      <c r="AG1193" s="63" t="s">
        <v>60</v>
      </c>
      <c r="AH1193" s="63" t="s">
        <v>81</v>
      </c>
      <c r="AI1193" s="65" t="s">
        <v>81</v>
      </c>
      <c r="AJ1193" s="105" t="s">
        <v>61</v>
      </c>
      <c r="AK1193" s="76"/>
    </row>
    <row r="1194" ht="24.0" customHeight="1">
      <c r="A1194" s="35"/>
      <c r="B1194" s="36">
        <v>1.0</v>
      </c>
      <c r="C1194" s="37" t="str">
        <f>IFERROR(__xludf.DUMMYFUNCTION("""COMPUTED_VALUE"""),"Cole Schott (1) - '27 3B TX")</f>
        <v>Cole Schott (1) - '27 3B TX</v>
      </c>
      <c r="D1194" s="89" t="s">
        <v>6290</v>
      </c>
      <c r="E1194" s="39" t="s">
        <v>48</v>
      </c>
      <c r="F1194" s="156">
        <v>46180.0</v>
      </c>
      <c r="G1194" s="113" t="s">
        <v>1395</v>
      </c>
      <c r="H1194" s="42" t="s">
        <v>324</v>
      </c>
      <c r="I1194" s="43" t="s">
        <v>6291</v>
      </c>
      <c r="J1194" s="43">
        <v>2027.0</v>
      </c>
      <c r="K1194" s="43">
        <v>1.0</v>
      </c>
      <c r="L1194" s="80"/>
      <c r="M1194" s="43" t="s">
        <v>1519</v>
      </c>
      <c r="N1194" s="43"/>
      <c r="O1194" s="80"/>
      <c r="P1194" s="80"/>
      <c r="Q1194" s="43" t="s">
        <v>180</v>
      </c>
      <c r="R1194" s="43" t="s">
        <v>6283</v>
      </c>
      <c r="S1194" s="44" t="s">
        <v>4480</v>
      </c>
      <c r="T1194" s="81"/>
      <c r="U1194" s="81"/>
      <c r="V1194" s="81"/>
      <c r="W1194" s="39" t="s">
        <v>6228</v>
      </c>
      <c r="X1194" s="81"/>
      <c r="Y1194" s="81"/>
      <c r="Z1194" s="82"/>
      <c r="AA1194" s="47" t="s">
        <v>6292</v>
      </c>
      <c r="AB1194" s="48" t="s">
        <v>6293</v>
      </c>
      <c r="AC1194" s="68" t="s">
        <v>6294</v>
      </c>
      <c r="AD1194" s="69" t="s">
        <v>6295</v>
      </c>
      <c r="AE1194" s="69"/>
      <c r="AF1194" s="68" t="s">
        <v>6296</v>
      </c>
      <c r="AG1194" s="68"/>
      <c r="AH1194" s="68"/>
      <c r="AI1194" s="70"/>
      <c r="AJ1194" s="114" t="s">
        <v>61</v>
      </c>
      <c r="AK1194" s="82"/>
    </row>
    <row r="1195" ht="24.0" customHeight="1">
      <c r="A1195" s="35"/>
      <c r="B1195" s="36">
        <v>1.0</v>
      </c>
      <c r="C1195" s="37" t="str">
        <f>IFERROR(__xludf.DUMMYFUNCTION("""COMPUTED_VALUE"""),"Reid Williams (1) - '27 OF TX")</f>
        <v>Reid Williams (1) - '27 OF TX</v>
      </c>
      <c r="D1195" s="89" t="s">
        <v>6297</v>
      </c>
      <c r="E1195" s="51" t="s">
        <v>103</v>
      </c>
      <c r="F1195" s="154">
        <v>46180.0</v>
      </c>
      <c r="G1195" s="116" t="s">
        <v>1395</v>
      </c>
      <c r="H1195" s="54" t="s">
        <v>1700</v>
      </c>
      <c r="I1195" s="55" t="s">
        <v>1001</v>
      </c>
      <c r="J1195" s="55">
        <v>2027.0</v>
      </c>
      <c r="K1195" s="55">
        <v>1.0</v>
      </c>
      <c r="L1195" s="57"/>
      <c r="M1195" s="55" t="s">
        <v>103</v>
      </c>
      <c r="N1195" s="55"/>
      <c r="O1195" s="57"/>
      <c r="P1195" s="57"/>
      <c r="Q1195" s="55" t="s">
        <v>180</v>
      </c>
      <c r="R1195" s="57"/>
      <c r="S1195" s="58" t="s">
        <v>4480</v>
      </c>
      <c r="T1195" s="74"/>
      <c r="U1195" s="74"/>
      <c r="V1195" s="74"/>
      <c r="W1195" s="51" t="s">
        <v>6228</v>
      </c>
      <c r="X1195" s="74"/>
      <c r="Y1195" s="74"/>
      <c r="Z1195" s="76"/>
      <c r="AA1195" s="73" t="s">
        <v>6298</v>
      </c>
      <c r="AB1195" s="62" t="s">
        <v>6299</v>
      </c>
      <c r="AC1195" s="63" t="s">
        <v>6300</v>
      </c>
      <c r="AD1195" s="64" t="s">
        <v>6301</v>
      </c>
      <c r="AE1195" s="64" t="s">
        <v>6302</v>
      </c>
      <c r="AF1195" s="63" t="s">
        <v>6303</v>
      </c>
      <c r="AG1195" s="63" t="s">
        <v>400</v>
      </c>
      <c r="AH1195" s="63" t="s">
        <v>400</v>
      </c>
      <c r="AI1195" s="65" t="s">
        <v>400</v>
      </c>
      <c r="AJ1195" s="105" t="s">
        <v>61</v>
      </c>
      <c r="AK1195" s="76"/>
    </row>
    <row r="1196" ht="24.0" customHeight="1">
      <c r="A1196" s="35"/>
      <c r="B1196" s="36">
        <v>1.0</v>
      </c>
      <c r="C1196" s="37" t="str">
        <f>IFERROR(__xludf.DUMMYFUNCTION("""COMPUTED_VALUE"""),"Carson Roy (1) - '27 OF TX")</f>
        <v>Carson Roy (1) - '27 OF TX</v>
      </c>
      <c r="D1196" s="89" t="s">
        <v>6304</v>
      </c>
      <c r="E1196" s="39" t="s">
        <v>103</v>
      </c>
      <c r="F1196" s="156">
        <v>46180.0</v>
      </c>
      <c r="G1196" s="113" t="s">
        <v>1395</v>
      </c>
      <c r="H1196" s="42" t="s">
        <v>599</v>
      </c>
      <c r="I1196" s="43" t="s">
        <v>5320</v>
      </c>
      <c r="J1196" s="43">
        <v>2027.0</v>
      </c>
      <c r="K1196" s="43">
        <v>1.0</v>
      </c>
      <c r="L1196" s="80"/>
      <c r="M1196" s="43" t="s">
        <v>103</v>
      </c>
      <c r="N1196" s="43"/>
      <c r="O1196" s="80"/>
      <c r="P1196" s="80"/>
      <c r="Q1196" s="43" t="s">
        <v>180</v>
      </c>
      <c r="R1196" s="43" t="s">
        <v>6305</v>
      </c>
      <c r="S1196" s="44" t="s">
        <v>4480</v>
      </c>
      <c r="T1196" s="81"/>
      <c r="U1196" s="81"/>
      <c r="V1196" s="81"/>
      <c r="W1196" s="39" t="s">
        <v>6228</v>
      </c>
      <c r="X1196" s="81"/>
      <c r="Y1196" s="81"/>
      <c r="Z1196" s="82"/>
      <c r="AA1196" s="47" t="s">
        <v>6306</v>
      </c>
      <c r="AB1196" s="48" t="s">
        <v>61</v>
      </c>
      <c r="AC1196" s="68" t="s">
        <v>61</v>
      </c>
      <c r="AD1196" s="69" t="s">
        <v>61</v>
      </c>
      <c r="AE1196" s="69" t="s">
        <v>61</v>
      </c>
      <c r="AF1196" s="68" t="s">
        <v>61</v>
      </c>
      <c r="AG1196" s="68" t="s">
        <v>61</v>
      </c>
      <c r="AH1196" s="68" t="s">
        <v>61</v>
      </c>
      <c r="AI1196" s="70" t="s">
        <v>61</v>
      </c>
      <c r="AJ1196" s="114" t="s">
        <v>61</v>
      </c>
      <c r="AK1196" s="82"/>
    </row>
    <row r="1197" ht="24.0" customHeight="1">
      <c r="A1197" s="35"/>
      <c r="B1197" s="36">
        <v>1.0</v>
      </c>
      <c r="C1197" s="37" t="str">
        <f>IFERROR(__xludf.DUMMYFUNCTION("""COMPUTED_VALUE"""),"Connor Jennings (2) - '27 1B TX")</f>
        <v>Connor Jennings (2) - '27 1B TX</v>
      </c>
      <c r="D1197" s="89" t="s">
        <v>6307</v>
      </c>
      <c r="E1197" s="51" t="s">
        <v>48</v>
      </c>
      <c r="F1197" s="154">
        <v>46180.0</v>
      </c>
      <c r="G1197" s="116" t="s">
        <v>1395</v>
      </c>
      <c r="H1197" s="54" t="s">
        <v>682</v>
      </c>
      <c r="I1197" s="55" t="s">
        <v>3724</v>
      </c>
      <c r="J1197" s="55">
        <v>2027.0</v>
      </c>
      <c r="K1197" s="55">
        <v>2.0</v>
      </c>
      <c r="L1197" s="57"/>
      <c r="M1197" s="55" t="s">
        <v>1972</v>
      </c>
      <c r="N1197" s="55"/>
      <c r="O1197" s="57"/>
      <c r="P1197" s="57"/>
      <c r="Q1197" s="55" t="s">
        <v>180</v>
      </c>
      <c r="R1197" s="55" t="s">
        <v>6308</v>
      </c>
      <c r="S1197" s="58" t="s">
        <v>4480</v>
      </c>
      <c r="T1197" s="74"/>
      <c r="U1197" s="74"/>
      <c r="V1197" s="74"/>
      <c r="W1197" s="51" t="s">
        <v>6228</v>
      </c>
      <c r="X1197" s="74"/>
      <c r="Y1197" s="74"/>
      <c r="Z1197" s="76"/>
      <c r="AA1197" s="73" t="s">
        <v>6309</v>
      </c>
      <c r="AB1197" s="62" t="s">
        <v>61</v>
      </c>
      <c r="AC1197" s="63" t="s">
        <v>61</v>
      </c>
      <c r="AD1197" s="64" t="s">
        <v>61</v>
      </c>
      <c r="AE1197" s="64" t="s">
        <v>61</v>
      </c>
      <c r="AF1197" s="63" t="s">
        <v>61</v>
      </c>
      <c r="AG1197" s="63" t="s">
        <v>61</v>
      </c>
      <c r="AH1197" s="63" t="s">
        <v>61</v>
      </c>
      <c r="AI1197" s="65" t="s">
        <v>61</v>
      </c>
      <c r="AJ1197" s="105" t="s">
        <v>61</v>
      </c>
      <c r="AK1197" s="76"/>
    </row>
    <row r="1198" ht="24.0" customHeight="1">
      <c r="A1198" s="35"/>
      <c r="B1198" s="36">
        <v>1.0</v>
      </c>
      <c r="C1198" s="37" t="str">
        <f>IFERROR(__xludf.DUMMYFUNCTION("""COMPUTED_VALUE"""),"Landon Del Tufo (3) - '27 LHP FL")</f>
        <v>Landon Del Tufo (3) - '27 LHP FL</v>
      </c>
      <c r="D1198" s="89" t="s">
        <v>6310</v>
      </c>
      <c r="E1198" s="39" t="s">
        <v>122</v>
      </c>
      <c r="F1198" s="156">
        <v>46180.0</v>
      </c>
      <c r="G1198" s="113" t="s">
        <v>1395</v>
      </c>
      <c r="H1198" s="42" t="s">
        <v>1016</v>
      </c>
      <c r="I1198" s="43" t="s">
        <v>6311</v>
      </c>
      <c r="J1198" s="43">
        <v>2027.0</v>
      </c>
      <c r="K1198" s="43">
        <v>3.0</v>
      </c>
      <c r="L1198" s="80"/>
      <c r="M1198" s="43" t="s">
        <v>122</v>
      </c>
      <c r="N1198" s="43"/>
      <c r="O1198" s="80"/>
      <c r="P1198" s="80"/>
      <c r="Q1198" s="43" t="s">
        <v>66</v>
      </c>
      <c r="R1198" s="43" t="s">
        <v>6312</v>
      </c>
      <c r="S1198" s="44" t="s">
        <v>6313</v>
      </c>
      <c r="T1198" s="81"/>
      <c r="U1198" s="81"/>
      <c r="V1198" s="81"/>
      <c r="W1198" s="39" t="s">
        <v>6228</v>
      </c>
      <c r="X1198" s="81"/>
      <c r="Y1198" s="81"/>
      <c r="Z1198" s="82"/>
      <c r="AA1198" s="47" t="s">
        <v>6314</v>
      </c>
      <c r="AB1198" s="48" t="s">
        <v>61</v>
      </c>
      <c r="AC1198" s="68" t="s">
        <v>61</v>
      </c>
      <c r="AD1198" s="69" t="s">
        <v>61</v>
      </c>
      <c r="AE1198" s="69" t="s">
        <v>61</v>
      </c>
      <c r="AF1198" s="68" t="s">
        <v>61</v>
      </c>
      <c r="AG1198" s="68" t="s">
        <v>61</v>
      </c>
      <c r="AH1198" s="68" t="s">
        <v>61</v>
      </c>
      <c r="AI1198" s="70" t="s">
        <v>61</v>
      </c>
      <c r="AJ1198" s="114" t="s">
        <v>61</v>
      </c>
      <c r="AK1198" s="82"/>
    </row>
    <row r="1199" ht="24.0" customHeight="1">
      <c r="A1199" s="35"/>
      <c r="B1199" s="36">
        <v>1.0</v>
      </c>
      <c r="C1199" s="37" t="str">
        <f>IFERROR(__xludf.DUMMYFUNCTION("""COMPUTED_VALUE"""),"Eli Primm (3) - '27 OF GA")</f>
        <v>Eli Primm (3) - '27 OF GA</v>
      </c>
      <c r="D1199" s="89" t="s">
        <v>6315</v>
      </c>
      <c r="E1199" s="51" t="s">
        <v>103</v>
      </c>
      <c r="F1199" s="154">
        <v>46180.0</v>
      </c>
      <c r="G1199" s="116" t="s">
        <v>1395</v>
      </c>
      <c r="H1199" s="54" t="s">
        <v>747</v>
      </c>
      <c r="I1199" s="55" t="s">
        <v>6316</v>
      </c>
      <c r="J1199" s="55">
        <v>2027.0</v>
      </c>
      <c r="K1199" s="55">
        <v>3.0</v>
      </c>
      <c r="L1199" s="57"/>
      <c r="M1199" s="55" t="s">
        <v>103</v>
      </c>
      <c r="N1199" s="55"/>
      <c r="O1199" s="57"/>
      <c r="P1199" s="57"/>
      <c r="Q1199" s="55" t="s">
        <v>43</v>
      </c>
      <c r="R1199" s="55" t="s">
        <v>6317</v>
      </c>
      <c r="S1199" s="58" t="s">
        <v>1350</v>
      </c>
      <c r="T1199" s="74"/>
      <c r="U1199" s="74"/>
      <c r="V1199" s="74"/>
      <c r="W1199" s="51" t="s">
        <v>6228</v>
      </c>
      <c r="X1199" s="74"/>
      <c r="Y1199" s="74"/>
      <c r="Z1199" s="76"/>
      <c r="AA1199" s="73" t="s">
        <v>6318</v>
      </c>
      <c r="AB1199" s="62" t="s">
        <v>61</v>
      </c>
      <c r="AC1199" s="63" t="s">
        <v>61</v>
      </c>
      <c r="AD1199" s="64" t="s">
        <v>61</v>
      </c>
      <c r="AE1199" s="64" t="s">
        <v>61</v>
      </c>
      <c r="AF1199" s="63" t="s">
        <v>61</v>
      </c>
      <c r="AG1199" s="63" t="s">
        <v>61</v>
      </c>
      <c r="AH1199" s="63" t="s">
        <v>61</v>
      </c>
      <c r="AI1199" s="65" t="s">
        <v>61</v>
      </c>
      <c r="AJ1199" s="105" t="s">
        <v>61</v>
      </c>
      <c r="AK1199" s="76"/>
    </row>
    <row r="1200" ht="24.0" customHeight="1">
      <c r="A1200" s="35"/>
      <c r="B1200" s="36">
        <v>1.0</v>
      </c>
      <c r="C1200" s="37" t="str">
        <f>IFERROR(__xludf.DUMMYFUNCTION("""COMPUTED_VALUE"""),"Colin Bennett (3) - '27 RHP MI")</f>
        <v>Colin Bennett (3) - '27 RHP MI</v>
      </c>
      <c r="D1200" s="89" t="s">
        <v>6319</v>
      </c>
      <c r="E1200" s="39" t="s">
        <v>63</v>
      </c>
      <c r="F1200" s="156">
        <v>46180.0</v>
      </c>
      <c r="G1200" s="113" t="s">
        <v>1395</v>
      </c>
      <c r="H1200" s="42" t="s">
        <v>673</v>
      </c>
      <c r="I1200" s="43" t="s">
        <v>6248</v>
      </c>
      <c r="J1200" s="43">
        <v>2027.0</v>
      </c>
      <c r="K1200" s="43">
        <v>3.0</v>
      </c>
      <c r="L1200" s="80"/>
      <c r="M1200" s="43" t="s">
        <v>63</v>
      </c>
      <c r="N1200" s="43"/>
      <c r="O1200" s="80"/>
      <c r="P1200" s="80"/>
      <c r="Q1200" s="43" t="s">
        <v>614</v>
      </c>
      <c r="R1200" s="80"/>
      <c r="S1200" s="44" t="s">
        <v>263</v>
      </c>
      <c r="T1200" s="81"/>
      <c r="U1200" s="81"/>
      <c r="V1200" s="81"/>
      <c r="W1200" s="39" t="s">
        <v>6228</v>
      </c>
      <c r="X1200" s="81"/>
      <c r="Y1200" s="81"/>
      <c r="Z1200" s="82"/>
      <c r="AA1200" s="47" t="s">
        <v>6320</v>
      </c>
      <c r="AB1200" s="48" t="s">
        <v>61</v>
      </c>
      <c r="AC1200" s="68" t="s">
        <v>61</v>
      </c>
      <c r="AD1200" s="69" t="s">
        <v>61</v>
      </c>
      <c r="AE1200" s="69" t="s">
        <v>61</v>
      </c>
      <c r="AF1200" s="68" t="s">
        <v>61</v>
      </c>
      <c r="AG1200" s="68" t="s">
        <v>61</v>
      </c>
      <c r="AH1200" s="68" t="s">
        <v>61</v>
      </c>
      <c r="AI1200" s="70" t="s">
        <v>61</v>
      </c>
      <c r="AJ1200" s="114" t="s">
        <v>61</v>
      </c>
      <c r="AK1200" s="82"/>
    </row>
    <row r="1201" ht="24.0" customHeight="1">
      <c r="A1201" s="35"/>
      <c r="B1201" s="36">
        <v>1.0</v>
      </c>
      <c r="C1201" s="37" t="str">
        <f>IFERROR(__xludf.DUMMYFUNCTION("""COMPUTED_VALUE"""),"Eric Tani (3) - '27 SS CA")</f>
        <v>Eric Tani (3) - '27 SS CA</v>
      </c>
      <c r="D1201" s="89" t="s">
        <v>6321</v>
      </c>
      <c r="E1201" s="51" t="s">
        <v>48</v>
      </c>
      <c r="F1201" s="154">
        <v>46180.0</v>
      </c>
      <c r="G1201" s="116" t="s">
        <v>1395</v>
      </c>
      <c r="H1201" s="54" t="s">
        <v>130</v>
      </c>
      <c r="I1201" s="55" t="s">
        <v>6322</v>
      </c>
      <c r="J1201" s="55">
        <v>2027.0</v>
      </c>
      <c r="K1201" s="55">
        <v>3.0</v>
      </c>
      <c r="L1201" s="57"/>
      <c r="M1201" s="55" t="s">
        <v>1398</v>
      </c>
      <c r="N1201" s="55"/>
      <c r="O1201" s="57"/>
      <c r="P1201" s="57"/>
      <c r="Q1201" s="55" t="s">
        <v>52</v>
      </c>
      <c r="R1201" s="55" t="s">
        <v>4132</v>
      </c>
      <c r="S1201" s="58" t="s">
        <v>6323</v>
      </c>
      <c r="T1201" s="74"/>
      <c r="U1201" s="74"/>
      <c r="V1201" s="74"/>
      <c r="W1201" s="51" t="s">
        <v>6228</v>
      </c>
      <c r="X1201" s="74"/>
      <c r="Y1201" s="74"/>
      <c r="Z1201" s="76"/>
      <c r="AA1201" s="73" t="s">
        <v>6324</v>
      </c>
      <c r="AB1201" s="62" t="s">
        <v>61</v>
      </c>
      <c r="AC1201" s="63" t="s">
        <v>61</v>
      </c>
      <c r="AD1201" s="64" t="s">
        <v>61</v>
      </c>
      <c r="AE1201" s="64" t="s">
        <v>61</v>
      </c>
      <c r="AF1201" s="63" t="s">
        <v>61</v>
      </c>
      <c r="AG1201" s="63" t="s">
        <v>61</v>
      </c>
      <c r="AH1201" s="63" t="s">
        <v>61</v>
      </c>
      <c r="AI1201" s="65" t="s">
        <v>61</v>
      </c>
      <c r="AJ1201" s="105" t="s">
        <v>61</v>
      </c>
      <c r="AK1201" s="76"/>
    </row>
    <row r="1202" ht="24.0" customHeight="1">
      <c r="A1202" s="35"/>
      <c r="B1202" s="36">
        <v>1.0</v>
      </c>
      <c r="C1202" s="37" t="str">
        <f>IFERROR(__xludf.DUMMYFUNCTION("""COMPUTED_VALUE"""),"Sebastian Grove (3) - '27 2B ")</f>
        <v>Sebastian Grove (3) - '27 2B </v>
      </c>
      <c r="D1202" s="89" t="s">
        <v>6325</v>
      </c>
      <c r="E1202" s="39" t="s">
        <v>48</v>
      </c>
      <c r="F1202" s="156">
        <v>46180.0</v>
      </c>
      <c r="G1202" s="113" t="s">
        <v>1395</v>
      </c>
      <c r="H1202" s="42" t="s">
        <v>497</v>
      </c>
      <c r="I1202" s="43" t="s">
        <v>6326</v>
      </c>
      <c r="J1202" s="43">
        <v>2027.0</v>
      </c>
      <c r="K1202" s="43">
        <v>3.0</v>
      </c>
      <c r="L1202" s="80"/>
      <c r="M1202" s="43" t="s">
        <v>2838</v>
      </c>
      <c r="N1202" s="43"/>
      <c r="O1202" s="80"/>
      <c r="P1202" s="80"/>
      <c r="Q1202" s="80"/>
      <c r="R1202" s="80"/>
      <c r="S1202" s="44" t="s">
        <v>6323</v>
      </c>
      <c r="T1202" s="81"/>
      <c r="U1202" s="81"/>
      <c r="V1202" s="81"/>
      <c r="W1202" s="39" t="s">
        <v>6228</v>
      </c>
      <c r="X1202" s="81"/>
      <c r="Y1202" s="81"/>
      <c r="Z1202" s="82"/>
      <c r="AA1202" s="47" t="s">
        <v>6327</v>
      </c>
      <c r="AB1202" s="48" t="s">
        <v>61</v>
      </c>
      <c r="AC1202" s="68" t="s">
        <v>61</v>
      </c>
      <c r="AD1202" s="69" t="s">
        <v>61</v>
      </c>
      <c r="AE1202" s="69" t="s">
        <v>61</v>
      </c>
      <c r="AF1202" s="68" t="s">
        <v>61</v>
      </c>
      <c r="AG1202" s="68" t="s">
        <v>61</v>
      </c>
      <c r="AH1202" s="68" t="s">
        <v>61</v>
      </c>
      <c r="AI1202" s="70" t="s">
        <v>61</v>
      </c>
      <c r="AJ1202" s="114" t="s">
        <v>61</v>
      </c>
      <c r="AK1202" s="82"/>
    </row>
    <row r="1203" ht="24.0" customHeight="1">
      <c r="A1203" s="35"/>
      <c r="B1203" s="36">
        <v>1.0</v>
      </c>
      <c r="C1203" s="37" t="str">
        <f>IFERROR(__xludf.DUMMYFUNCTION("""COMPUTED_VALUE"""),"Carson Caras (3) - '27 RHP CA")</f>
        <v>Carson Caras (3) - '27 RHP CA</v>
      </c>
      <c r="D1203" s="89" t="s">
        <v>6328</v>
      </c>
      <c r="E1203" s="51" t="s">
        <v>63</v>
      </c>
      <c r="F1203" s="154">
        <v>46180.0</v>
      </c>
      <c r="G1203" s="116" t="s">
        <v>1395</v>
      </c>
      <c r="H1203" s="54" t="s">
        <v>599</v>
      </c>
      <c r="I1203" s="55" t="s">
        <v>6329</v>
      </c>
      <c r="J1203" s="55">
        <v>2027.0</v>
      </c>
      <c r="K1203" s="55">
        <v>3.0</v>
      </c>
      <c r="L1203" s="57"/>
      <c r="M1203" s="55" t="s">
        <v>63</v>
      </c>
      <c r="N1203" s="55"/>
      <c r="O1203" s="57"/>
      <c r="P1203" s="57"/>
      <c r="Q1203" s="55" t="s">
        <v>52</v>
      </c>
      <c r="R1203" s="55" t="s">
        <v>4132</v>
      </c>
      <c r="S1203" s="58" t="s">
        <v>6323</v>
      </c>
      <c r="T1203" s="74"/>
      <c r="U1203" s="74"/>
      <c r="V1203" s="74"/>
      <c r="W1203" s="51" t="s">
        <v>6228</v>
      </c>
      <c r="X1203" s="74"/>
      <c r="Y1203" s="74"/>
      <c r="Z1203" s="76"/>
      <c r="AA1203" s="73" t="s">
        <v>6330</v>
      </c>
      <c r="AB1203" s="62" t="s">
        <v>61</v>
      </c>
      <c r="AC1203" s="63" t="s">
        <v>61</v>
      </c>
      <c r="AD1203" s="64" t="s">
        <v>61</v>
      </c>
      <c r="AE1203" s="64" t="s">
        <v>61</v>
      </c>
      <c r="AF1203" s="63" t="s">
        <v>61</v>
      </c>
      <c r="AG1203" s="63" t="s">
        <v>61</v>
      </c>
      <c r="AH1203" s="63" t="s">
        <v>61</v>
      </c>
      <c r="AI1203" s="65" t="s">
        <v>61</v>
      </c>
      <c r="AJ1203" s="105" t="s">
        <v>61</v>
      </c>
      <c r="AK1203" s="76"/>
    </row>
    <row r="1204" ht="24.0" customHeight="1">
      <c r="A1204" s="35"/>
      <c r="B1204" s="36">
        <v>1.0</v>
      </c>
      <c r="C1204" s="37" t="str">
        <f>IFERROR(__xludf.DUMMYFUNCTION("""COMPUTED_VALUE"""),"Peyton Landers (2) - '27 RHP FL")</f>
        <v>Peyton Landers (2) - '27 RHP FL</v>
      </c>
      <c r="D1204" s="89" t="s">
        <v>6331</v>
      </c>
      <c r="E1204" s="39" t="s">
        <v>63</v>
      </c>
      <c r="F1204" s="156">
        <v>46180.0</v>
      </c>
      <c r="G1204" s="113" t="s">
        <v>1395</v>
      </c>
      <c r="H1204" s="42" t="s">
        <v>3085</v>
      </c>
      <c r="I1204" s="43" t="s">
        <v>4148</v>
      </c>
      <c r="J1204" s="43">
        <v>2027.0</v>
      </c>
      <c r="K1204" s="43">
        <v>2.0</v>
      </c>
      <c r="L1204" s="80"/>
      <c r="M1204" s="43" t="s">
        <v>63</v>
      </c>
      <c r="N1204" s="43"/>
      <c r="O1204" s="80"/>
      <c r="P1204" s="80"/>
      <c r="Q1204" s="43" t="s">
        <v>66</v>
      </c>
      <c r="R1204" s="43" t="s">
        <v>6332</v>
      </c>
      <c r="S1204" s="44" t="s">
        <v>5518</v>
      </c>
      <c r="T1204" s="81"/>
      <c r="U1204" s="81"/>
      <c r="V1204" s="81"/>
      <c r="W1204" s="39" t="s">
        <v>6228</v>
      </c>
      <c r="X1204" s="81"/>
      <c r="Y1204" s="81"/>
      <c r="Z1204" s="82"/>
      <c r="AA1204" s="47" t="s">
        <v>6333</v>
      </c>
      <c r="AB1204" s="48" t="s">
        <v>61</v>
      </c>
      <c r="AC1204" s="68" t="s">
        <v>61</v>
      </c>
      <c r="AD1204" s="69" t="s">
        <v>61</v>
      </c>
      <c r="AE1204" s="69" t="s">
        <v>61</v>
      </c>
      <c r="AF1204" s="68" t="s">
        <v>61</v>
      </c>
      <c r="AG1204" s="68" t="s">
        <v>61</v>
      </c>
      <c r="AH1204" s="68" t="s">
        <v>61</v>
      </c>
      <c r="AI1204" s="70" t="s">
        <v>61</v>
      </c>
      <c r="AJ1204" s="114" t="s">
        <v>61</v>
      </c>
      <c r="AK1204" s="82"/>
    </row>
    <row r="1205" ht="24.0" customHeight="1">
      <c r="A1205" s="35"/>
      <c r="B1205" s="36">
        <v>1.0</v>
      </c>
      <c r="C1205" s="37" t="str">
        <f>IFERROR(__xludf.DUMMYFUNCTION("""COMPUTED_VALUE"""),"Max Bachmann (3) - '27 SS TX")</f>
        <v>Max Bachmann (3) - '27 SS TX</v>
      </c>
      <c r="D1205" s="89" t="s">
        <v>6334</v>
      </c>
      <c r="E1205" s="51" t="s">
        <v>48</v>
      </c>
      <c r="F1205" s="154">
        <v>46180.0</v>
      </c>
      <c r="G1205" s="116" t="s">
        <v>1395</v>
      </c>
      <c r="H1205" s="54" t="s">
        <v>1997</v>
      </c>
      <c r="I1205" s="55" t="s">
        <v>6335</v>
      </c>
      <c r="J1205" s="55">
        <v>2027.0</v>
      </c>
      <c r="K1205" s="55">
        <v>3.0</v>
      </c>
      <c r="L1205" s="57"/>
      <c r="M1205" s="55" t="s">
        <v>1398</v>
      </c>
      <c r="N1205" s="55"/>
      <c r="O1205" s="57"/>
      <c r="P1205" s="57"/>
      <c r="Q1205" s="55" t="s">
        <v>180</v>
      </c>
      <c r="R1205" s="55" t="s">
        <v>6336</v>
      </c>
      <c r="S1205" s="58" t="s">
        <v>6337</v>
      </c>
      <c r="T1205" s="74"/>
      <c r="U1205" s="74"/>
      <c r="V1205" s="74"/>
      <c r="W1205" s="51" t="s">
        <v>6228</v>
      </c>
      <c r="X1205" s="74"/>
      <c r="Y1205" s="74"/>
      <c r="Z1205" s="76"/>
      <c r="AA1205" s="73" t="s">
        <v>6338</v>
      </c>
      <c r="AB1205" s="62" t="s">
        <v>61</v>
      </c>
      <c r="AC1205" s="63" t="s">
        <v>61</v>
      </c>
      <c r="AD1205" s="64" t="s">
        <v>61</v>
      </c>
      <c r="AE1205" s="64" t="s">
        <v>61</v>
      </c>
      <c r="AF1205" s="63" t="s">
        <v>61</v>
      </c>
      <c r="AG1205" s="63" t="s">
        <v>61</v>
      </c>
      <c r="AH1205" s="63" t="s">
        <v>61</v>
      </c>
      <c r="AI1205" s="65" t="s">
        <v>61</v>
      </c>
      <c r="AJ1205" s="105" t="s">
        <v>61</v>
      </c>
      <c r="AK1205" s="76"/>
    </row>
    <row r="1206" ht="24.0" customHeight="1">
      <c r="A1206" s="35"/>
      <c r="B1206" s="36">
        <v>1.0</v>
      </c>
      <c r="C1206" s="37" t="str">
        <f>IFERROR(__xludf.DUMMYFUNCTION("""COMPUTED_VALUE"""),"Howie Donoho (3) - '27 3B MO")</f>
        <v>Howie Donoho (3) - '27 3B MO</v>
      </c>
      <c r="D1206" s="89" t="s">
        <v>6339</v>
      </c>
      <c r="E1206" s="39" t="s">
        <v>48</v>
      </c>
      <c r="F1206" s="156">
        <v>46180.0</v>
      </c>
      <c r="G1206" s="113" t="s">
        <v>1395</v>
      </c>
      <c r="H1206" s="42" t="s">
        <v>5270</v>
      </c>
      <c r="I1206" s="43" t="s">
        <v>6340</v>
      </c>
      <c r="J1206" s="43">
        <v>2027.0</v>
      </c>
      <c r="K1206" s="43">
        <v>3.0</v>
      </c>
      <c r="L1206" s="80"/>
      <c r="M1206" s="43" t="s">
        <v>1519</v>
      </c>
      <c r="N1206" s="43"/>
      <c r="O1206" s="80"/>
      <c r="P1206" s="80"/>
      <c r="Q1206" s="43" t="s">
        <v>585</v>
      </c>
      <c r="R1206" s="43" t="s">
        <v>6341</v>
      </c>
      <c r="S1206" s="44" t="s">
        <v>113</v>
      </c>
      <c r="T1206" s="81"/>
      <c r="U1206" s="81"/>
      <c r="V1206" s="81"/>
      <c r="W1206" s="39" t="s">
        <v>6228</v>
      </c>
      <c r="X1206" s="81"/>
      <c r="Y1206" s="81"/>
      <c r="Z1206" s="82"/>
      <c r="AA1206" s="47" t="s">
        <v>6342</v>
      </c>
      <c r="AB1206" s="48" t="s">
        <v>61</v>
      </c>
      <c r="AC1206" s="68" t="s">
        <v>61</v>
      </c>
      <c r="AD1206" s="69" t="s">
        <v>61</v>
      </c>
      <c r="AE1206" s="69" t="s">
        <v>61</v>
      </c>
      <c r="AF1206" s="68" t="s">
        <v>61</v>
      </c>
      <c r="AG1206" s="68" t="s">
        <v>61</v>
      </c>
      <c r="AH1206" s="68" t="s">
        <v>61</v>
      </c>
      <c r="AI1206" s="70" t="s">
        <v>61</v>
      </c>
      <c r="AJ1206" s="114" t="s">
        <v>61</v>
      </c>
      <c r="AK1206" s="82"/>
    </row>
    <row r="1207" ht="24.0" customHeight="1">
      <c r="A1207" s="35"/>
      <c r="B1207" s="36">
        <v>1.0</v>
      </c>
      <c r="C1207" s="37" t="str">
        <f>IFERROR(__xludf.DUMMYFUNCTION("""COMPUTED_VALUE"""),"Hudson Hardesty (2) - '27 1B MO")</f>
        <v>Hudson Hardesty (2) - '27 1B MO</v>
      </c>
      <c r="D1207" s="89" t="s">
        <v>6343</v>
      </c>
      <c r="E1207" s="51" t="s">
        <v>48</v>
      </c>
      <c r="F1207" s="154">
        <v>46180.0</v>
      </c>
      <c r="G1207" s="116" t="s">
        <v>1395</v>
      </c>
      <c r="H1207" s="54" t="s">
        <v>1678</v>
      </c>
      <c r="I1207" s="55" t="s">
        <v>6344</v>
      </c>
      <c r="J1207" s="55">
        <v>2027.0</v>
      </c>
      <c r="K1207" s="55">
        <v>2.0</v>
      </c>
      <c r="L1207" s="57"/>
      <c r="M1207" s="55" t="s">
        <v>1972</v>
      </c>
      <c r="N1207" s="55"/>
      <c r="O1207" s="57"/>
      <c r="P1207" s="57"/>
      <c r="Q1207" s="55" t="s">
        <v>585</v>
      </c>
      <c r="R1207" s="55" t="s">
        <v>6345</v>
      </c>
      <c r="S1207" s="58" t="s">
        <v>113</v>
      </c>
      <c r="T1207" s="74"/>
      <c r="U1207" s="74"/>
      <c r="V1207" s="74"/>
      <c r="W1207" s="51" t="s">
        <v>6228</v>
      </c>
      <c r="X1207" s="74"/>
      <c r="Y1207" s="74"/>
      <c r="Z1207" s="76"/>
      <c r="AA1207" s="73" t="s">
        <v>6346</v>
      </c>
      <c r="AB1207" s="62" t="s">
        <v>61</v>
      </c>
      <c r="AC1207" s="63" t="s">
        <v>61</v>
      </c>
      <c r="AD1207" s="64" t="s">
        <v>61</v>
      </c>
      <c r="AE1207" s="64" t="s">
        <v>61</v>
      </c>
      <c r="AF1207" s="63" t="s">
        <v>61</v>
      </c>
      <c r="AG1207" s="63" t="s">
        <v>61</v>
      </c>
      <c r="AH1207" s="63" t="s">
        <v>61</v>
      </c>
      <c r="AI1207" s="65" t="s">
        <v>61</v>
      </c>
      <c r="AJ1207" s="105" t="s">
        <v>61</v>
      </c>
      <c r="AK1207" s="76"/>
    </row>
    <row r="1208" ht="24.0" customHeight="1">
      <c r="A1208" s="35"/>
      <c r="B1208" s="36">
        <v>1.0</v>
      </c>
      <c r="C1208" s="37" t="str">
        <f>IFERROR(__xludf.DUMMYFUNCTION("""COMPUTED_VALUE"""),"Owen Lester (1) - '27 OF KS")</f>
        <v>Owen Lester (1) - '27 OF KS</v>
      </c>
      <c r="D1208" s="89" t="s">
        <v>6347</v>
      </c>
      <c r="E1208" s="39" t="s">
        <v>103</v>
      </c>
      <c r="F1208" s="156">
        <v>46180.0</v>
      </c>
      <c r="G1208" s="113" t="s">
        <v>1395</v>
      </c>
      <c r="H1208" s="42" t="s">
        <v>64</v>
      </c>
      <c r="I1208" s="43" t="s">
        <v>6348</v>
      </c>
      <c r="J1208" s="43">
        <v>2027.0</v>
      </c>
      <c r="K1208" s="43">
        <v>1.0</v>
      </c>
      <c r="L1208" s="80"/>
      <c r="M1208" s="43" t="s">
        <v>103</v>
      </c>
      <c r="N1208" s="43"/>
      <c r="O1208" s="80"/>
      <c r="P1208" s="80"/>
      <c r="Q1208" s="43" t="s">
        <v>112</v>
      </c>
      <c r="R1208" s="43" t="s">
        <v>6349</v>
      </c>
      <c r="S1208" s="44" t="s">
        <v>113</v>
      </c>
      <c r="T1208" s="81"/>
      <c r="U1208" s="81"/>
      <c r="V1208" s="81"/>
      <c r="W1208" s="39" t="s">
        <v>6228</v>
      </c>
      <c r="X1208" s="81"/>
      <c r="Y1208" s="81"/>
      <c r="Z1208" s="82"/>
      <c r="AA1208" s="47" t="s">
        <v>6350</v>
      </c>
      <c r="AB1208" s="48" t="s">
        <v>61</v>
      </c>
      <c r="AC1208" s="68" t="s">
        <v>61</v>
      </c>
      <c r="AD1208" s="69" t="s">
        <v>61</v>
      </c>
      <c r="AE1208" s="69" t="s">
        <v>61</v>
      </c>
      <c r="AF1208" s="68" t="s">
        <v>61</v>
      </c>
      <c r="AG1208" s="68" t="s">
        <v>61</v>
      </c>
      <c r="AH1208" s="68" t="s">
        <v>61</v>
      </c>
      <c r="AI1208" s="70" t="s">
        <v>61</v>
      </c>
      <c r="AJ1208" s="114" t="s">
        <v>61</v>
      </c>
      <c r="AK1208" s="82"/>
    </row>
    <row r="1209" ht="24.0" customHeight="1">
      <c r="A1209" s="35"/>
      <c r="B1209" s="36">
        <v>1.0</v>
      </c>
      <c r="C1209" s="37" t="str">
        <f>IFERROR(__xludf.DUMMYFUNCTION("""COMPUTED_VALUE"""),"Carson Reffel (2) - '27 OF CO")</f>
        <v>Carson Reffel (2) - '27 OF CO</v>
      </c>
      <c r="D1209" s="89" t="s">
        <v>6351</v>
      </c>
      <c r="E1209" s="51" t="s">
        <v>103</v>
      </c>
      <c r="F1209" s="154">
        <v>46180.0</v>
      </c>
      <c r="G1209" s="116" t="s">
        <v>1395</v>
      </c>
      <c r="H1209" s="54" t="s">
        <v>599</v>
      </c>
      <c r="I1209" s="55" t="s">
        <v>6352</v>
      </c>
      <c r="J1209" s="55">
        <v>2027.0</v>
      </c>
      <c r="K1209" s="55">
        <v>2.0</v>
      </c>
      <c r="L1209" s="57"/>
      <c r="M1209" s="55" t="s">
        <v>103</v>
      </c>
      <c r="N1209" s="55"/>
      <c r="O1209" s="57"/>
      <c r="P1209" s="57"/>
      <c r="Q1209" s="55" t="s">
        <v>174</v>
      </c>
      <c r="R1209" s="55" t="s">
        <v>6353</v>
      </c>
      <c r="S1209" s="58" t="s">
        <v>580</v>
      </c>
      <c r="T1209" s="74"/>
      <c r="U1209" s="74"/>
      <c r="V1209" s="74"/>
      <c r="W1209" s="51" t="s">
        <v>6228</v>
      </c>
      <c r="X1209" s="74"/>
      <c r="Y1209" s="74"/>
      <c r="Z1209" s="76"/>
      <c r="AA1209" s="73" t="s">
        <v>6354</v>
      </c>
      <c r="AB1209" s="62" t="s">
        <v>61</v>
      </c>
      <c r="AC1209" s="63" t="s">
        <v>61</v>
      </c>
      <c r="AD1209" s="64" t="s">
        <v>61</v>
      </c>
      <c r="AE1209" s="64" t="s">
        <v>61</v>
      </c>
      <c r="AF1209" s="63" t="s">
        <v>61</v>
      </c>
      <c r="AG1209" s="63" t="s">
        <v>61</v>
      </c>
      <c r="AH1209" s="63" t="s">
        <v>61</v>
      </c>
      <c r="AI1209" s="65" t="s">
        <v>61</v>
      </c>
      <c r="AJ1209" s="105" t="s">
        <v>61</v>
      </c>
      <c r="AK1209" s="76"/>
    </row>
    <row r="1210" ht="24.0" customHeight="1">
      <c r="A1210" s="35"/>
      <c r="B1210" s="36">
        <v>1.0</v>
      </c>
      <c r="C1210" s="37" t="str">
        <f>IFERROR(__xludf.DUMMYFUNCTION("""COMPUTED_VALUE"""),"Mason Borders (2) - '27 3B TN")</f>
        <v>Mason Borders (2) - '27 3B TN</v>
      </c>
      <c r="D1210" s="89" t="s">
        <v>6355</v>
      </c>
      <c r="E1210" s="39" t="s">
        <v>48</v>
      </c>
      <c r="F1210" s="156">
        <v>46180.0</v>
      </c>
      <c r="G1210" s="113" t="s">
        <v>1395</v>
      </c>
      <c r="H1210" s="42" t="s">
        <v>1057</v>
      </c>
      <c r="I1210" s="43" t="s">
        <v>6356</v>
      </c>
      <c r="J1210" s="43">
        <v>2027.0</v>
      </c>
      <c r="K1210" s="43">
        <v>2.0</v>
      </c>
      <c r="L1210" s="80"/>
      <c r="M1210" s="43" t="s">
        <v>1519</v>
      </c>
      <c r="N1210" s="43"/>
      <c r="O1210" s="80"/>
      <c r="P1210" s="80"/>
      <c r="Q1210" s="43" t="s">
        <v>330</v>
      </c>
      <c r="R1210" s="43" t="s">
        <v>6357</v>
      </c>
      <c r="S1210" s="44" t="s">
        <v>2231</v>
      </c>
      <c r="T1210" s="81"/>
      <c r="U1210" s="81"/>
      <c r="V1210" s="81"/>
      <c r="W1210" s="39" t="s">
        <v>6228</v>
      </c>
      <c r="X1210" s="81"/>
      <c r="Y1210" s="81"/>
      <c r="Z1210" s="82"/>
      <c r="AA1210" s="47" t="s">
        <v>6358</v>
      </c>
      <c r="AB1210" s="48" t="s">
        <v>61</v>
      </c>
      <c r="AC1210" s="68" t="s">
        <v>61</v>
      </c>
      <c r="AD1210" s="69" t="s">
        <v>61</v>
      </c>
      <c r="AE1210" s="69" t="s">
        <v>61</v>
      </c>
      <c r="AF1210" s="68" t="s">
        <v>61</v>
      </c>
      <c r="AG1210" s="68" t="s">
        <v>61</v>
      </c>
      <c r="AH1210" s="68" t="s">
        <v>61</v>
      </c>
      <c r="AI1210" s="70" t="s">
        <v>61</v>
      </c>
      <c r="AJ1210" s="114" t="s">
        <v>61</v>
      </c>
      <c r="AK1210" s="82"/>
    </row>
    <row r="1211" ht="24.0" customHeight="1">
      <c r="A1211" s="35"/>
      <c r="B1211" s="36">
        <v>1.0</v>
      </c>
      <c r="C1211" s="37" t="str">
        <f>IFERROR(__xludf.DUMMYFUNCTION("""COMPUTED_VALUE"""),"Ty Simms (3) - '27 OF NE")</f>
        <v>Ty Simms (3) - '27 OF NE</v>
      </c>
      <c r="D1211" s="89" t="s">
        <v>6359</v>
      </c>
      <c r="E1211" s="51" t="s">
        <v>103</v>
      </c>
      <c r="F1211" s="154">
        <v>46180.0</v>
      </c>
      <c r="G1211" s="116" t="s">
        <v>1395</v>
      </c>
      <c r="H1211" s="54" t="s">
        <v>1536</v>
      </c>
      <c r="I1211" s="55" t="s">
        <v>6360</v>
      </c>
      <c r="J1211" s="55">
        <v>2027.0</v>
      </c>
      <c r="K1211" s="55">
        <v>3.0</v>
      </c>
      <c r="L1211" s="57"/>
      <c r="M1211" s="55" t="s">
        <v>103</v>
      </c>
      <c r="N1211" s="55"/>
      <c r="O1211" s="57"/>
      <c r="P1211" s="57"/>
      <c r="Q1211" s="55" t="s">
        <v>519</v>
      </c>
      <c r="R1211" s="57"/>
      <c r="S1211" s="58" t="s">
        <v>6361</v>
      </c>
      <c r="T1211" s="74"/>
      <c r="U1211" s="74"/>
      <c r="V1211" s="74"/>
      <c r="W1211" s="51" t="s">
        <v>6228</v>
      </c>
      <c r="X1211" s="74"/>
      <c r="Y1211" s="74"/>
      <c r="Z1211" s="76"/>
      <c r="AA1211" s="73" t="s">
        <v>6362</v>
      </c>
      <c r="AB1211" s="62" t="s">
        <v>61</v>
      </c>
      <c r="AC1211" s="63" t="s">
        <v>61</v>
      </c>
      <c r="AD1211" s="64" t="s">
        <v>61</v>
      </c>
      <c r="AE1211" s="64" t="s">
        <v>61</v>
      </c>
      <c r="AF1211" s="63" t="s">
        <v>61</v>
      </c>
      <c r="AG1211" s="63" t="s">
        <v>61</v>
      </c>
      <c r="AH1211" s="63" t="s">
        <v>61</v>
      </c>
      <c r="AI1211" s="65" t="s">
        <v>61</v>
      </c>
      <c r="AJ1211" s="105" t="s">
        <v>61</v>
      </c>
      <c r="AK1211" s="76"/>
    </row>
    <row r="1212" ht="24.0" customHeight="1">
      <c r="A1212" s="35"/>
      <c r="B1212" s="36">
        <v>1.0</v>
      </c>
      <c r="C1212" s="37" t="str">
        <f>IFERROR(__xludf.DUMMYFUNCTION("""COMPUTED_VALUE"""),"Tommy Costello (3) - '27 OF KS")</f>
        <v>Tommy Costello (3) - '27 OF KS</v>
      </c>
      <c r="D1212" s="89" t="s">
        <v>6363</v>
      </c>
      <c r="E1212" s="39" t="s">
        <v>103</v>
      </c>
      <c r="F1212" s="156">
        <v>46180.0</v>
      </c>
      <c r="G1212" s="113" t="s">
        <v>1395</v>
      </c>
      <c r="H1212" s="42" t="s">
        <v>1267</v>
      </c>
      <c r="I1212" s="43" t="s">
        <v>6364</v>
      </c>
      <c r="J1212" s="43">
        <v>2027.0</v>
      </c>
      <c r="K1212" s="43">
        <v>3.0</v>
      </c>
      <c r="L1212" s="80"/>
      <c r="M1212" s="43" t="s">
        <v>103</v>
      </c>
      <c r="N1212" s="43"/>
      <c r="O1212" s="80"/>
      <c r="P1212" s="80"/>
      <c r="Q1212" s="43" t="s">
        <v>112</v>
      </c>
      <c r="R1212" s="43" t="s">
        <v>6365</v>
      </c>
      <c r="S1212" s="44" t="s">
        <v>6366</v>
      </c>
      <c r="T1212" s="81"/>
      <c r="U1212" s="81"/>
      <c r="V1212" s="81"/>
      <c r="W1212" s="39" t="s">
        <v>6228</v>
      </c>
      <c r="X1212" s="81"/>
      <c r="Y1212" s="81"/>
      <c r="Z1212" s="82"/>
      <c r="AA1212" s="47" t="s">
        <v>6367</v>
      </c>
      <c r="AB1212" s="48" t="s">
        <v>61</v>
      </c>
      <c r="AC1212" s="68" t="s">
        <v>61</v>
      </c>
      <c r="AD1212" s="69" t="s">
        <v>61</v>
      </c>
      <c r="AE1212" s="69" t="s">
        <v>61</v>
      </c>
      <c r="AF1212" s="68" t="s">
        <v>61</v>
      </c>
      <c r="AG1212" s="68" t="s">
        <v>61</v>
      </c>
      <c r="AH1212" s="68" t="s">
        <v>61</v>
      </c>
      <c r="AI1212" s="70" t="s">
        <v>61</v>
      </c>
      <c r="AJ1212" s="114" t="s">
        <v>61</v>
      </c>
      <c r="AK1212" s="82"/>
    </row>
    <row r="1213" ht="24.0" customHeight="1">
      <c r="A1213" s="35"/>
      <c r="B1213" s="36">
        <v>1.0</v>
      </c>
      <c r="C1213" s="37" t="str">
        <f>IFERROR(__xludf.DUMMYFUNCTION("""COMPUTED_VALUE"""),"Ty Lange (2) - '27 SS MO")</f>
        <v>Ty Lange (2) - '27 SS MO</v>
      </c>
      <c r="D1213" s="89" t="s">
        <v>6368</v>
      </c>
      <c r="E1213" s="51" t="s">
        <v>48</v>
      </c>
      <c r="F1213" s="154">
        <v>46180.0</v>
      </c>
      <c r="G1213" s="116" t="s">
        <v>1395</v>
      </c>
      <c r="H1213" s="54" t="s">
        <v>1536</v>
      </c>
      <c r="I1213" s="55" t="s">
        <v>2717</v>
      </c>
      <c r="J1213" s="55">
        <v>2027.0</v>
      </c>
      <c r="K1213" s="55">
        <v>2.0</v>
      </c>
      <c r="L1213" s="57"/>
      <c r="M1213" s="55" t="s">
        <v>1398</v>
      </c>
      <c r="N1213" s="55"/>
      <c r="O1213" s="57"/>
      <c r="P1213" s="57"/>
      <c r="Q1213" s="55" t="s">
        <v>585</v>
      </c>
      <c r="R1213" s="55" t="s">
        <v>6279</v>
      </c>
      <c r="S1213" s="58" t="s">
        <v>6366</v>
      </c>
      <c r="T1213" s="74"/>
      <c r="U1213" s="74"/>
      <c r="V1213" s="74"/>
      <c r="W1213" s="51" t="s">
        <v>6228</v>
      </c>
      <c r="X1213" s="74"/>
      <c r="Y1213" s="74"/>
      <c r="Z1213" s="76"/>
      <c r="AA1213" s="73" t="s">
        <v>6369</v>
      </c>
      <c r="AB1213" s="62" t="s">
        <v>61</v>
      </c>
      <c r="AC1213" s="63" t="s">
        <v>61</v>
      </c>
      <c r="AD1213" s="64" t="s">
        <v>61</v>
      </c>
      <c r="AE1213" s="64" t="s">
        <v>61</v>
      </c>
      <c r="AF1213" s="63" t="s">
        <v>61</v>
      </c>
      <c r="AG1213" s="63" t="s">
        <v>61</v>
      </c>
      <c r="AH1213" s="63" t="s">
        <v>61</v>
      </c>
      <c r="AI1213" s="65" t="s">
        <v>61</v>
      </c>
      <c r="AJ1213" s="105" t="s">
        <v>61</v>
      </c>
      <c r="AK1213" s="76"/>
    </row>
    <row r="1214" ht="24.0" customHeight="1">
      <c r="A1214" s="35"/>
      <c r="B1214" s="36">
        <v>1.0</v>
      </c>
      <c r="C1214" s="37" t="str">
        <f>IFERROR(__xludf.DUMMYFUNCTION("""COMPUTED_VALUE"""),"Samuel Reisenbichler (3) - '27 OF MO")</f>
        <v>Samuel Reisenbichler (3) - '27 OF MO</v>
      </c>
      <c r="D1214" s="89" t="s">
        <v>6370</v>
      </c>
      <c r="E1214" s="39" t="s">
        <v>103</v>
      </c>
      <c r="F1214" s="156">
        <v>46180.0</v>
      </c>
      <c r="G1214" s="113" t="s">
        <v>1395</v>
      </c>
      <c r="H1214" s="42" t="s">
        <v>6371</v>
      </c>
      <c r="I1214" s="43" t="s">
        <v>6372</v>
      </c>
      <c r="J1214" s="43">
        <v>2027.0</v>
      </c>
      <c r="K1214" s="43">
        <v>3.0</v>
      </c>
      <c r="L1214" s="80"/>
      <c r="M1214" s="43" t="s">
        <v>103</v>
      </c>
      <c r="N1214" s="43"/>
      <c r="O1214" s="80"/>
      <c r="P1214" s="80"/>
      <c r="Q1214" s="43" t="s">
        <v>585</v>
      </c>
      <c r="R1214" s="43" t="s">
        <v>6373</v>
      </c>
      <c r="S1214" s="44" t="s">
        <v>6366</v>
      </c>
      <c r="T1214" s="81"/>
      <c r="U1214" s="81"/>
      <c r="V1214" s="81"/>
      <c r="W1214" s="39" t="s">
        <v>6228</v>
      </c>
      <c r="X1214" s="81"/>
      <c r="Y1214" s="81"/>
      <c r="Z1214" s="82"/>
      <c r="AA1214" s="47" t="s">
        <v>6374</v>
      </c>
      <c r="AB1214" s="48" t="s">
        <v>61</v>
      </c>
      <c r="AC1214" s="68" t="s">
        <v>61</v>
      </c>
      <c r="AD1214" s="69" t="s">
        <v>61</v>
      </c>
      <c r="AE1214" s="69" t="s">
        <v>61</v>
      </c>
      <c r="AF1214" s="68" t="s">
        <v>61</v>
      </c>
      <c r="AG1214" s="68" t="s">
        <v>61</v>
      </c>
      <c r="AH1214" s="68" t="s">
        <v>61</v>
      </c>
      <c r="AI1214" s="70" t="s">
        <v>61</v>
      </c>
      <c r="AJ1214" s="114" t="s">
        <v>61</v>
      </c>
      <c r="AK1214" s="82"/>
    </row>
    <row r="1215" ht="24.0" customHeight="1">
      <c r="A1215" s="35"/>
      <c r="B1215" s="36">
        <v>1.0</v>
      </c>
      <c r="C1215" s="37" t="str">
        <f>IFERROR(__xludf.DUMMYFUNCTION("""COMPUTED_VALUE"""),"Taylan Ray (3) - '27 OF KS")</f>
        <v>Taylan Ray (3) - '27 OF KS</v>
      </c>
      <c r="D1215" s="89" t="s">
        <v>6375</v>
      </c>
      <c r="E1215" s="51" t="s">
        <v>103</v>
      </c>
      <c r="F1215" s="154">
        <v>46180.0</v>
      </c>
      <c r="G1215" s="116" t="s">
        <v>1395</v>
      </c>
      <c r="H1215" s="54" t="s">
        <v>6376</v>
      </c>
      <c r="I1215" s="55" t="s">
        <v>5326</v>
      </c>
      <c r="J1215" s="55">
        <v>2027.0</v>
      </c>
      <c r="K1215" s="55">
        <v>3.0</v>
      </c>
      <c r="L1215" s="57"/>
      <c r="M1215" s="55" t="s">
        <v>103</v>
      </c>
      <c r="N1215" s="55"/>
      <c r="O1215" s="57"/>
      <c r="P1215" s="57"/>
      <c r="Q1215" s="55" t="s">
        <v>112</v>
      </c>
      <c r="R1215" s="57"/>
      <c r="S1215" s="58" t="s">
        <v>6366</v>
      </c>
      <c r="T1215" s="74"/>
      <c r="U1215" s="74"/>
      <c r="V1215" s="74"/>
      <c r="W1215" s="51" t="s">
        <v>6228</v>
      </c>
      <c r="X1215" s="74"/>
      <c r="Y1215" s="74"/>
      <c r="Z1215" s="76"/>
      <c r="AA1215" s="73" t="s">
        <v>6377</v>
      </c>
      <c r="AB1215" s="62" t="s">
        <v>61</v>
      </c>
      <c r="AC1215" s="63" t="s">
        <v>61</v>
      </c>
      <c r="AD1215" s="64" t="s">
        <v>61</v>
      </c>
      <c r="AE1215" s="64" t="s">
        <v>61</v>
      </c>
      <c r="AF1215" s="63" t="s">
        <v>61</v>
      </c>
      <c r="AG1215" s="63" t="s">
        <v>61</v>
      </c>
      <c r="AH1215" s="63" t="s">
        <v>61</v>
      </c>
      <c r="AI1215" s="65" t="s">
        <v>61</v>
      </c>
      <c r="AJ1215" s="105" t="s">
        <v>61</v>
      </c>
      <c r="AK1215" s="76"/>
    </row>
    <row r="1216" ht="24.0" customHeight="1">
      <c r="A1216" s="35"/>
      <c r="B1216" s="36">
        <v>1.0</v>
      </c>
      <c r="C1216" s="37" t="str">
        <f>IFERROR(__xludf.DUMMYFUNCTION("""COMPUTED_VALUE"""),"Cole Peterson (3) - '27 OF TX")</f>
        <v>Cole Peterson (3) - '27 OF TX</v>
      </c>
      <c r="D1216" s="89" t="s">
        <v>6378</v>
      </c>
      <c r="E1216" s="39" t="s">
        <v>103</v>
      </c>
      <c r="F1216" s="156">
        <v>46180.0</v>
      </c>
      <c r="G1216" s="113" t="s">
        <v>1395</v>
      </c>
      <c r="H1216" s="42" t="s">
        <v>324</v>
      </c>
      <c r="I1216" s="43" t="s">
        <v>1263</v>
      </c>
      <c r="J1216" s="43">
        <v>2027.0</v>
      </c>
      <c r="K1216" s="43">
        <v>3.0</v>
      </c>
      <c r="L1216" s="80"/>
      <c r="M1216" s="43" t="s">
        <v>103</v>
      </c>
      <c r="N1216" s="43"/>
      <c r="O1216" s="80"/>
      <c r="P1216" s="80"/>
      <c r="Q1216" s="43" t="s">
        <v>180</v>
      </c>
      <c r="R1216" s="43" t="s">
        <v>6379</v>
      </c>
      <c r="S1216" s="44" t="s">
        <v>1884</v>
      </c>
      <c r="T1216" s="81"/>
      <c r="U1216" s="81"/>
      <c r="V1216" s="81"/>
      <c r="W1216" s="39" t="s">
        <v>6228</v>
      </c>
      <c r="X1216" s="81"/>
      <c r="Y1216" s="81"/>
      <c r="Z1216" s="82"/>
      <c r="AA1216" s="47" t="s">
        <v>6380</v>
      </c>
      <c r="AB1216" s="48" t="s">
        <v>61</v>
      </c>
      <c r="AC1216" s="68" t="s">
        <v>61</v>
      </c>
      <c r="AD1216" s="69" t="s">
        <v>61</v>
      </c>
      <c r="AE1216" s="69" t="s">
        <v>61</v>
      </c>
      <c r="AF1216" s="68" t="s">
        <v>61</v>
      </c>
      <c r="AG1216" s="68" t="s">
        <v>61</v>
      </c>
      <c r="AH1216" s="68" t="s">
        <v>61</v>
      </c>
      <c r="AI1216" s="70" t="s">
        <v>61</v>
      </c>
      <c r="AJ1216" s="114" t="s">
        <v>61</v>
      </c>
      <c r="AK1216" s="82"/>
    </row>
    <row r="1217" ht="24.0" customHeight="1">
      <c r="A1217" s="35"/>
      <c r="B1217" s="36">
        <v>1.0</v>
      </c>
      <c r="C1217" s="37" t="str">
        <f>IFERROR(__xludf.DUMMYFUNCTION("""COMPUTED_VALUE"""),"Boston Hanna (3) - '27 OF FL")</f>
        <v>Boston Hanna (3) - '27 OF FL</v>
      </c>
      <c r="D1217" s="89" t="s">
        <v>6175</v>
      </c>
      <c r="E1217" s="51" t="s">
        <v>103</v>
      </c>
      <c r="F1217" s="154">
        <v>46180.0</v>
      </c>
      <c r="G1217" s="116" t="s">
        <v>1395</v>
      </c>
      <c r="H1217" s="54" t="s">
        <v>4456</v>
      </c>
      <c r="I1217" s="55" t="s">
        <v>6176</v>
      </c>
      <c r="J1217" s="55">
        <v>2027.0</v>
      </c>
      <c r="K1217" s="55">
        <v>3.0</v>
      </c>
      <c r="L1217" s="57"/>
      <c r="M1217" s="55" t="s">
        <v>103</v>
      </c>
      <c r="N1217" s="55"/>
      <c r="O1217" s="57"/>
      <c r="P1217" s="57"/>
      <c r="Q1217" s="55" t="s">
        <v>66</v>
      </c>
      <c r="R1217" s="55" t="s">
        <v>6381</v>
      </c>
      <c r="S1217" s="58" t="s">
        <v>6382</v>
      </c>
      <c r="T1217" s="74"/>
      <c r="U1217" s="74"/>
      <c r="V1217" s="74"/>
      <c r="W1217" s="51" t="s">
        <v>6228</v>
      </c>
      <c r="X1217" s="74"/>
      <c r="Y1217" s="74"/>
      <c r="Z1217" s="76"/>
      <c r="AA1217" s="73" t="s">
        <v>6383</v>
      </c>
      <c r="AB1217" s="62" t="s">
        <v>61</v>
      </c>
      <c r="AC1217" s="63" t="s">
        <v>61</v>
      </c>
      <c r="AD1217" s="64" t="s">
        <v>61</v>
      </c>
      <c r="AE1217" s="64" t="s">
        <v>61</v>
      </c>
      <c r="AF1217" s="63" t="s">
        <v>61</v>
      </c>
      <c r="AG1217" s="63" t="s">
        <v>61</v>
      </c>
      <c r="AH1217" s="63" t="s">
        <v>61</v>
      </c>
      <c r="AI1217" s="65" t="s">
        <v>61</v>
      </c>
      <c r="AJ1217" s="105" t="s">
        <v>61</v>
      </c>
      <c r="AK1217" s="76"/>
    </row>
    <row r="1218" ht="24.0" customHeight="1">
      <c r="A1218" s="35"/>
      <c r="B1218" s="36">
        <v>1.0</v>
      </c>
      <c r="C1218" s="37" t="str">
        <f>IFERROR(__xludf.DUMMYFUNCTION("""COMPUTED_VALUE"""),"Ayden Collier (1) - '27 OF TX")</f>
        <v>Ayden Collier (1) - '27 OF TX</v>
      </c>
      <c r="D1218" s="89" t="s">
        <v>6201</v>
      </c>
      <c r="E1218" s="39" t="s">
        <v>103</v>
      </c>
      <c r="F1218" s="156">
        <v>46180.0</v>
      </c>
      <c r="G1218" s="113" t="s">
        <v>1395</v>
      </c>
      <c r="H1218" s="42" t="s">
        <v>200</v>
      </c>
      <c r="I1218" s="43" t="s">
        <v>4931</v>
      </c>
      <c r="J1218" s="43">
        <v>2027.0</v>
      </c>
      <c r="K1218" s="43">
        <v>1.0</v>
      </c>
      <c r="L1218" s="80"/>
      <c r="M1218" s="43" t="s">
        <v>103</v>
      </c>
      <c r="N1218" s="43"/>
      <c r="O1218" s="80"/>
      <c r="P1218" s="80"/>
      <c r="Q1218" s="43" t="s">
        <v>180</v>
      </c>
      <c r="R1218" s="43" t="s">
        <v>6384</v>
      </c>
      <c r="S1218" s="44" t="s">
        <v>3782</v>
      </c>
      <c r="T1218" s="81"/>
      <c r="U1218" s="81"/>
      <c r="V1218" s="81"/>
      <c r="W1218" s="39" t="s">
        <v>6228</v>
      </c>
      <c r="X1218" s="81"/>
      <c r="Y1218" s="81"/>
      <c r="Z1218" s="82"/>
      <c r="AA1218" s="47" t="s">
        <v>6385</v>
      </c>
      <c r="AB1218" s="48" t="s">
        <v>6203</v>
      </c>
      <c r="AC1218" s="68" t="s">
        <v>6206</v>
      </c>
      <c r="AD1218" s="69" t="s">
        <v>6207</v>
      </c>
      <c r="AE1218" s="69" t="s">
        <v>400</v>
      </c>
      <c r="AF1218" s="68" t="s">
        <v>400</v>
      </c>
      <c r="AG1218" s="68" t="s">
        <v>81</v>
      </c>
      <c r="AH1218" s="68" t="s">
        <v>81</v>
      </c>
      <c r="AI1218" s="70" t="s">
        <v>81</v>
      </c>
      <c r="AJ1218" s="114" t="s">
        <v>61</v>
      </c>
      <c r="AK1218" s="82"/>
    </row>
    <row r="1219" ht="24.0" customHeight="1">
      <c r="A1219" s="35"/>
      <c r="B1219" s="36">
        <v>1.0</v>
      </c>
      <c r="C1219" s="37" t="str">
        <f>IFERROR(__xludf.DUMMYFUNCTION("""COMPUTED_VALUE"""),"Christopher England (3) - '27 3B AL")</f>
        <v>Christopher England (3) - '27 3B AL</v>
      </c>
      <c r="D1219" s="89" t="s">
        <v>6386</v>
      </c>
      <c r="E1219" s="51" t="s">
        <v>48</v>
      </c>
      <c r="F1219" s="154">
        <v>46181.0</v>
      </c>
      <c r="G1219" s="116" t="s">
        <v>6387</v>
      </c>
      <c r="H1219" s="54" t="s">
        <v>3763</v>
      </c>
      <c r="I1219" s="55" t="s">
        <v>6388</v>
      </c>
      <c r="J1219" s="55">
        <v>2027.0</v>
      </c>
      <c r="K1219" s="55">
        <v>3.0</v>
      </c>
      <c r="L1219" s="57"/>
      <c r="M1219" s="55" t="s">
        <v>1519</v>
      </c>
      <c r="N1219" s="55"/>
      <c r="O1219" s="57"/>
      <c r="P1219" s="57"/>
      <c r="Q1219" s="55" t="s">
        <v>731</v>
      </c>
      <c r="R1219" s="55" t="s">
        <v>6389</v>
      </c>
      <c r="S1219" s="58" t="s">
        <v>4622</v>
      </c>
      <c r="T1219" s="74"/>
      <c r="U1219" s="74"/>
      <c r="V1219" s="74"/>
      <c r="W1219" s="51" t="s">
        <v>6390</v>
      </c>
      <c r="X1219" s="74"/>
      <c r="Y1219" s="74"/>
      <c r="Z1219" s="76"/>
      <c r="AA1219" s="73" t="s">
        <v>6391</v>
      </c>
      <c r="AB1219" s="62" t="s">
        <v>61</v>
      </c>
      <c r="AC1219" s="63" t="s">
        <v>61</v>
      </c>
      <c r="AD1219" s="64" t="s">
        <v>61</v>
      </c>
      <c r="AE1219" s="64" t="s">
        <v>61</v>
      </c>
      <c r="AF1219" s="63" t="s">
        <v>61</v>
      </c>
      <c r="AG1219" s="63" t="s">
        <v>61</v>
      </c>
      <c r="AH1219" s="63" t="s">
        <v>61</v>
      </c>
      <c r="AI1219" s="65" t="s">
        <v>61</v>
      </c>
      <c r="AJ1219" s="105" t="s">
        <v>61</v>
      </c>
      <c r="AK1219" s="76"/>
    </row>
    <row r="1220" ht="24.0" customHeight="1">
      <c r="A1220" s="35"/>
      <c r="B1220" s="36">
        <v>1.0</v>
      </c>
      <c r="C1220" s="37" t="str">
        <f>IFERROR(__xludf.DUMMYFUNCTION("""COMPUTED_VALUE"""),"Colton Sumpter (3) - '27 RHP GA")</f>
        <v>Colton Sumpter (3) - '27 RHP GA</v>
      </c>
      <c r="D1220" s="89" t="s">
        <v>6392</v>
      </c>
      <c r="E1220" s="39" t="s">
        <v>63</v>
      </c>
      <c r="F1220" s="156">
        <v>46181.0</v>
      </c>
      <c r="G1220" s="113" t="s">
        <v>6387</v>
      </c>
      <c r="H1220" s="42" t="s">
        <v>233</v>
      </c>
      <c r="I1220" s="43" t="s">
        <v>6393</v>
      </c>
      <c r="J1220" s="43">
        <v>2027.0</v>
      </c>
      <c r="K1220" s="43">
        <v>3.0</v>
      </c>
      <c r="L1220" s="80"/>
      <c r="M1220" s="43" t="s">
        <v>63</v>
      </c>
      <c r="N1220" s="43"/>
      <c r="O1220" s="80"/>
      <c r="P1220" s="80"/>
      <c r="Q1220" s="43" t="s">
        <v>43</v>
      </c>
      <c r="R1220" s="43" t="s">
        <v>6394</v>
      </c>
      <c r="S1220" s="44" t="s">
        <v>4622</v>
      </c>
      <c r="T1220" s="81"/>
      <c r="U1220" s="81"/>
      <c r="V1220" s="81"/>
      <c r="W1220" s="39" t="s">
        <v>6390</v>
      </c>
      <c r="X1220" s="81"/>
      <c r="Y1220" s="81"/>
      <c r="Z1220" s="82"/>
      <c r="AA1220" s="47" t="s">
        <v>6395</v>
      </c>
      <c r="AB1220" s="48" t="s">
        <v>61</v>
      </c>
      <c r="AC1220" s="68" t="s">
        <v>61</v>
      </c>
      <c r="AD1220" s="69" t="s">
        <v>61</v>
      </c>
      <c r="AE1220" s="69" t="s">
        <v>61</v>
      </c>
      <c r="AF1220" s="68" t="s">
        <v>61</v>
      </c>
      <c r="AG1220" s="68" t="s">
        <v>61</v>
      </c>
      <c r="AH1220" s="68" t="s">
        <v>61</v>
      </c>
      <c r="AI1220" s="70" t="s">
        <v>61</v>
      </c>
      <c r="AJ1220" s="114" t="s">
        <v>61</v>
      </c>
      <c r="AK1220" s="82"/>
    </row>
    <row r="1221" ht="24.0" customHeight="1">
      <c r="A1221" s="35"/>
      <c r="B1221" s="36">
        <v>1.0</v>
      </c>
      <c r="C1221" s="37" t="str">
        <f>IFERROR(__xludf.DUMMYFUNCTION("""COMPUTED_VALUE"""),"Miles Norman (1) - '27 OF GA")</f>
        <v>Miles Norman (1) - '27 OF GA</v>
      </c>
      <c r="D1221" s="89" t="s">
        <v>6396</v>
      </c>
      <c r="E1221" s="51" t="s">
        <v>103</v>
      </c>
      <c r="F1221" s="154">
        <v>46181.0</v>
      </c>
      <c r="G1221" s="116" t="s">
        <v>6387</v>
      </c>
      <c r="H1221" s="54" t="s">
        <v>1104</v>
      </c>
      <c r="I1221" s="55" t="s">
        <v>6397</v>
      </c>
      <c r="J1221" s="55">
        <v>2027.0</v>
      </c>
      <c r="K1221" s="55">
        <v>1.0</v>
      </c>
      <c r="L1221" s="57"/>
      <c r="M1221" s="55" t="s">
        <v>103</v>
      </c>
      <c r="N1221" s="55"/>
      <c r="O1221" s="57"/>
      <c r="P1221" s="57"/>
      <c r="Q1221" s="55" t="s">
        <v>43</v>
      </c>
      <c r="R1221" s="55" t="s">
        <v>6398</v>
      </c>
      <c r="S1221" s="58" t="s">
        <v>6399</v>
      </c>
      <c r="T1221" s="74"/>
      <c r="U1221" s="74"/>
      <c r="V1221" s="74"/>
      <c r="W1221" s="51" t="s">
        <v>6390</v>
      </c>
      <c r="X1221" s="74"/>
      <c r="Y1221" s="74"/>
      <c r="Z1221" s="76"/>
      <c r="AA1221" s="73" t="s">
        <v>6400</v>
      </c>
      <c r="AB1221" s="62" t="s">
        <v>61</v>
      </c>
      <c r="AC1221" s="63" t="s">
        <v>61</v>
      </c>
      <c r="AD1221" s="64" t="s">
        <v>61</v>
      </c>
      <c r="AE1221" s="64" t="s">
        <v>61</v>
      </c>
      <c r="AF1221" s="63" t="s">
        <v>61</v>
      </c>
      <c r="AG1221" s="63" t="s">
        <v>61</v>
      </c>
      <c r="AH1221" s="63" t="s">
        <v>61</v>
      </c>
      <c r="AI1221" s="65" t="s">
        <v>61</v>
      </c>
      <c r="AJ1221" s="105" t="s">
        <v>61</v>
      </c>
      <c r="AK1221" s="76"/>
    </row>
    <row r="1222" ht="24.0" customHeight="1">
      <c r="A1222" s="35"/>
      <c r="B1222" s="36">
        <v>1.0</v>
      </c>
      <c r="C1222" s="37" t="str">
        <f>IFERROR(__xludf.DUMMYFUNCTION("""COMPUTED_VALUE"""),"Casey von Waldner (3) - '27 RHP GA")</f>
        <v>Casey von Waldner (3) - '27 RHP GA</v>
      </c>
      <c r="D1222" s="89" t="s">
        <v>6401</v>
      </c>
      <c r="E1222" s="39" t="s">
        <v>63</v>
      </c>
      <c r="F1222" s="156">
        <v>46181.0</v>
      </c>
      <c r="G1222" s="113" t="s">
        <v>6387</v>
      </c>
      <c r="H1222" s="42" t="s">
        <v>618</v>
      </c>
      <c r="I1222" s="43" t="s">
        <v>6402</v>
      </c>
      <c r="J1222" s="43">
        <v>2027.0</v>
      </c>
      <c r="K1222" s="43">
        <v>3.0</v>
      </c>
      <c r="L1222" s="80"/>
      <c r="M1222" s="43" t="s">
        <v>63</v>
      </c>
      <c r="N1222" s="43"/>
      <c r="O1222" s="80"/>
      <c r="P1222" s="80"/>
      <c r="Q1222" s="43" t="s">
        <v>43</v>
      </c>
      <c r="R1222" s="43" t="s">
        <v>6403</v>
      </c>
      <c r="S1222" s="44" t="s">
        <v>6399</v>
      </c>
      <c r="T1222" s="81"/>
      <c r="U1222" s="81"/>
      <c r="V1222" s="81"/>
      <c r="W1222" s="39" t="s">
        <v>6390</v>
      </c>
      <c r="X1222" s="81"/>
      <c r="Y1222" s="81"/>
      <c r="Z1222" s="82"/>
      <c r="AA1222" s="47" t="s">
        <v>6404</v>
      </c>
      <c r="AB1222" s="48" t="s">
        <v>61</v>
      </c>
      <c r="AC1222" s="68" t="s">
        <v>61</v>
      </c>
      <c r="AD1222" s="69" t="s">
        <v>61</v>
      </c>
      <c r="AE1222" s="69" t="s">
        <v>61</v>
      </c>
      <c r="AF1222" s="68" t="s">
        <v>61</v>
      </c>
      <c r="AG1222" s="68" t="s">
        <v>61</v>
      </c>
      <c r="AH1222" s="68" t="s">
        <v>61</v>
      </c>
      <c r="AI1222" s="70" t="s">
        <v>61</v>
      </c>
      <c r="AJ1222" s="114" t="s">
        <v>61</v>
      </c>
      <c r="AK1222" s="82"/>
    </row>
    <row r="1223" ht="24.0" customHeight="1">
      <c r="A1223" s="35"/>
      <c r="B1223" s="36">
        <v>1.0</v>
      </c>
      <c r="C1223" s="37" t="str">
        <f>IFERROR(__xludf.DUMMYFUNCTION("""COMPUTED_VALUE"""),"Gabe Grubbs (3) - '27 SS GA")</f>
        <v>Gabe Grubbs (3) - '27 SS GA</v>
      </c>
      <c r="D1223" s="89" t="s">
        <v>6405</v>
      </c>
      <c r="E1223" s="51" t="s">
        <v>48</v>
      </c>
      <c r="F1223" s="154">
        <v>46181.0</v>
      </c>
      <c r="G1223" s="116" t="s">
        <v>6387</v>
      </c>
      <c r="H1223" s="54" t="s">
        <v>272</v>
      </c>
      <c r="I1223" s="55" t="s">
        <v>6406</v>
      </c>
      <c r="J1223" s="55">
        <v>2027.0</v>
      </c>
      <c r="K1223" s="55">
        <v>3.0</v>
      </c>
      <c r="L1223" s="57"/>
      <c r="M1223" s="55" t="s">
        <v>1398</v>
      </c>
      <c r="N1223" s="55"/>
      <c r="O1223" s="57"/>
      <c r="P1223" s="57"/>
      <c r="Q1223" s="55" t="s">
        <v>43</v>
      </c>
      <c r="R1223" s="55" t="s">
        <v>6407</v>
      </c>
      <c r="S1223" s="58" t="s">
        <v>6399</v>
      </c>
      <c r="T1223" s="74"/>
      <c r="U1223" s="74"/>
      <c r="V1223" s="74"/>
      <c r="W1223" s="51" t="s">
        <v>6390</v>
      </c>
      <c r="X1223" s="74"/>
      <c r="Y1223" s="74"/>
      <c r="Z1223" s="76"/>
      <c r="AA1223" s="73" t="s">
        <v>6408</v>
      </c>
      <c r="AB1223" s="62" t="s">
        <v>61</v>
      </c>
      <c r="AC1223" s="63" t="s">
        <v>61</v>
      </c>
      <c r="AD1223" s="64" t="s">
        <v>61</v>
      </c>
      <c r="AE1223" s="64" t="s">
        <v>61</v>
      </c>
      <c r="AF1223" s="63" t="s">
        <v>61</v>
      </c>
      <c r="AG1223" s="63" t="s">
        <v>61</v>
      </c>
      <c r="AH1223" s="63" t="s">
        <v>61</v>
      </c>
      <c r="AI1223" s="65" t="s">
        <v>61</v>
      </c>
      <c r="AJ1223" s="105" t="s">
        <v>61</v>
      </c>
      <c r="AK1223" s="76"/>
    </row>
    <row r="1224" ht="24.0" customHeight="1">
      <c r="A1224" s="35"/>
      <c r="B1224" s="36">
        <v>1.0</v>
      </c>
      <c r="C1224" s="37" t="str">
        <f>IFERROR(__xludf.DUMMYFUNCTION("""COMPUTED_VALUE"""),"Kayden Pledger (3) - '27 SS TN")</f>
        <v>Kayden Pledger (3) - '27 SS TN</v>
      </c>
      <c r="D1224" s="89" t="s">
        <v>6409</v>
      </c>
      <c r="E1224" s="39" t="s">
        <v>48</v>
      </c>
      <c r="F1224" s="156">
        <v>46181.0</v>
      </c>
      <c r="G1224" s="113" t="s">
        <v>6387</v>
      </c>
      <c r="H1224" s="42" t="s">
        <v>1506</v>
      </c>
      <c r="I1224" s="43" t="s">
        <v>6410</v>
      </c>
      <c r="J1224" s="43">
        <v>2027.0</v>
      </c>
      <c r="K1224" s="43">
        <v>3.0</v>
      </c>
      <c r="L1224" s="80"/>
      <c r="M1224" s="43" t="s">
        <v>1398</v>
      </c>
      <c r="N1224" s="43"/>
      <c r="O1224" s="80"/>
      <c r="P1224" s="80"/>
      <c r="Q1224" s="43" t="s">
        <v>330</v>
      </c>
      <c r="R1224" s="43" t="s">
        <v>6411</v>
      </c>
      <c r="S1224" s="44" t="s">
        <v>6412</v>
      </c>
      <c r="T1224" s="81"/>
      <c r="U1224" s="81"/>
      <c r="V1224" s="81"/>
      <c r="W1224" s="39" t="s">
        <v>6390</v>
      </c>
      <c r="X1224" s="81"/>
      <c r="Y1224" s="81"/>
      <c r="Z1224" s="82"/>
      <c r="AA1224" s="47" t="s">
        <v>6413</v>
      </c>
      <c r="AB1224" s="48" t="s">
        <v>61</v>
      </c>
      <c r="AC1224" s="68" t="s">
        <v>61</v>
      </c>
      <c r="AD1224" s="69" t="s">
        <v>61</v>
      </c>
      <c r="AE1224" s="69" t="s">
        <v>61</v>
      </c>
      <c r="AF1224" s="68" t="s">
        <v>61</v>
      </c>
      <c r="AG1224" s="68" t="s">
        <v>61</v>
      </c>
      <c r="AH1224" s="68" t="s">
        <v>61</v>
      </c>
      <c r="AI1224" s="70" t="s">
        <v>61</v>
      </c>
      <c r="AJ1224" s="114" t="s">
        <v>61</v>
      </c>
      <c r="AK1224" s="82"/>
    </row>
    <row r="1225" ht="24.0" customHeight="1">
      <c r="A1225" s="35"/>
      <c r="B1225" s="36">
        <v>1.0</v>
      </c>
      <c r="C1225" s="37" t="str">
        <f>IFERROR(__xludf.DUMMYFUNCTION("""COMPUTED_VALUE"""),"Logan Grubbs (2) - '27 OF NV")</f>
        <v>Logan Grubbs (2) - '27 OF NV</v>
      </c>
      <c r="D1225" s="89" t="s">
        <v>6414</v>
      </c>
      <c r="E1225" s="51" t="s">
        <v>103</v>
      </c>
      <c r="F1225" s="154">
        <v>46181.0</v>
      </c>
      <c r="G1225" s="116" t="s">
        <v>6387</v>
      </c>
      <c r="H1225" s="54" t="s">
        <v>1026</v>
      </c>
      <c r="I1225" s="55" t="s">
        <v>6406</v>
      </c>
      <c r="J1225" s="55">
        <v>2027.0</v>
      </c>
      <c r="K1225" s="55">
        <v>2.0</v>
      </c>
      <c r="L1225" s="57"/>
      <c r="M1225" s="55" t="s">
        <v>103</v>
      </c>
      <c r="N1225" s="55"/>
      <c r="O1225" s="57"/>
      <c r="P1225" s="57"/>
      <c r="Q1225" s="55" t="s">
        <v>1968</v>
      </c>
      <c r="R1225" s="55" t="s">
        <v>5709</v>
      </c>
      <c r="S1225" s="58" t="s">
        <v>230</v>
      </c>
      <c r="T1225" s="74"/>
      <c r="U1225" s="74"/>
      <c r="V1225" s="74"/>
      <c r="W1225" s="51" t="s">
        <v>6390</v>
      </c>
      <c r="X1225" s="74"/>
      <c r="Y1225" s="74"/>
      <c r="Z1225" s="76"/>
      <c r="AA1225" s="73" t="s">
        <v>6415</v>
      </c>
      <c r="AB1225" s="62" t="s">
        <v>61</v>
      </c>
      <c r="AC1225" s="63" t="s">
        <v>61</v>
      </c>
      <c r="AD1225" s="64" t="s">
        <v>61</v>
      </c>
      <c r="AE1225" s="64" t="s">
        <v>61</v>
      </c>
      <c r="AF1225" s="63" t="s">
        <v>61</v>
      </c>
      <c r="AG1225" s="63" t="s">
        <v>61</v>
      </c>
      <c r="AH1225" s="63" t="s">
        <v>61</v>
      </c>
      <c r="AI1225" s="65" t="s">
        <v>61</v>
      </c>
      <c r="AJ1225" s="105" t="s">
        <v>61</v>
      </c>
      <c r="AK1225" s="76"/>
    </row>
    <row r="1226" ht="24.0" customHeight="1">
      <c r="A1226" s="35"/>
      <c r="B1226" s="36">
        <v>1.0</v>
      </c>
      <c r="C1226" s="37" t="str">
        <f>IFERROR(__xludf.DUMMYFUNCTION("""COMPUTED_VALUE"""),"Cooper Daniel (2) - '27 RHP TN")</f>
        <v>Cooper Daniel (2) - '27 RHP TN</v>
      </c>
      <c r="D1226" s="89" t="s">
        <v>6416</v>
      </c>
      <c r="E1226" s="39" t="s">
        <v>63</v>
      </c>
      <c r="F1226" s="156">
        <v>46181.0</v>
      </c>
      <c r="G1226" s="113" t="s">
        <v>6387</v>
      </c>
      <c r="H1226" s="42" t="s">
        <v>696</v>
      </c>
      <c r="I1226" s="43" t="s">
        <v>5751</v>
      </c>
      <c r="J1226" s="43">
        <v>2027.0</v>
      </c>
      <c r="K1226" s="43">
        <v>2.0</v>
      </c>
      <c r="L1226" s="80"/>
      <c r="M1226" s="43" t="s">
        <v>63</v>
      </c>
      <c r="N1226" s="43"/>
      <c r="O1226" s="80"/>
      <c r="P1226" s="80"/>
      <c r="Q1226" s="43" t="s">
        <v>330</v>
      </c>
      <c r="R1226" s="80"/>
      <c r="S1226" s="44" t="s">
        <v>2841</v>
      </c>
      <c r="T1226" s="81"/>
      <c r="U1226" s="81"/>
      <c r="V1226" s="81"/>
      <c r="W1226" s="39" t="s">
        <v>6390</v>
      </c>
      <c r="X1226" s="81"/>
      <c r="Y1226" s="81"/>
      <c r="Z1226" s="82"/>
      <c r="AA1226" s="47" t="s">
        <v>6417</v>
      </c>
      <c r="AB1226" s="48" t="s">
        <v>61</v>
      </c>
      <c r="AC1226" s="68" t="s">
        <v>61</v>
      </c>
      <c r="AD1226" s="69" t="s">
        <v>61</v>
      </c>
      <c r="AE1226" s="69" t="s">
        <v>61</v>
      </c>
      <c r="AF1226" s="68" t="s">
        <v>61</v>
      </c>
      <c r="AG1226" s="68" t="s">
        <v>61</v>
      </c>
      <c r="AH1226" s="68" t="s">
        <v>61</v>
      </c>
      <c r="AI1226" s="70" t="s">
        <v>61</v>
      </c>
      <c r="AJ1226" s="114" t="s">
        <v>61</v>
      </c>
      <c r="AK1226" s="82"/>
    </row>
    <row r="1227" ht="24.0" customHeight="1">
      <c r="A1227" s="35"/>
      <c r="B1227" s="36">
        <v>1.0</v>
      </c>
      <c r="C1227" s="37" t="str">
        <f>IFERROR(__xludf.DUMMYFUNCTION("""COMPUTED_VALUE"""),"Ryan Kume (2) - '27 SS TX")</f>
        <v>Ryan Kume (2) - '27 SS TX</v>
      </c>
      <c r="D1227" s="89" t="s">
        <v>6418</v>
      </c>
      <c r="E1227" s="51" t="s">
        <v>48</v>
      </c>
      <c r="F1227" s="154">
        <v>46181.0</v>
      </c>
      <c r="G1227" s="116" t="s">
        <v>6387</v>
      </c>
      <c r="H1227" s="54" t="s">
        <v>1206</v>
      </c>
      <c r="I1227" s="55" t="s">
        <v>3258</v>
      </c>
      <c r="J1227" s="55">
        <v>2027.0</v>
      </c>
      <c r="K1227" s="55">
        <v>2.0</v>
      </c>
      <c r="L1227" s="57"/>
      <c r="M1227" s="55" t="s">
        <v>1398</v>
      </c>
      <c r="N1227" s="55"/>
      <c r="O1227" s="57"/>
      <c r="P1227" s="57"/>
      <c r="Q1227" s="55" t="s">
        <v>180</v>
      </c>
      <c r="R1227" s="57"/>
      <c r="S1227" s="58" t="s">
        <v>6419</v>
      </c>
      <c r="T1227" s="74"/>
      <c r="U1227" s="74"/>
      <c r="V1227" s="74"/>
      <c r="W1227" s="51" t="s">
        <v>6390</v>
      </c>
      <c r="X1227" s="74"/>
      <c r="Y1227" s="74"/>
      <c r="Z1227" s="76"/>
      <c r="AA1227" s="73" t="s">
        <v>6420</v>
      </c>
      <c r="AB1227" s="62" t="s">
        <v>61</v>
      </c>
      <c r="AC1227" s="63" t="s">
        <v>61</v>
      </c>
      <c r="AD1227" s="64" t="s">
        <v>61</v>
      </c>
      <c r="AE1227" s="64" t="s">
        <v>61</v>
      </c>
      <c r="AF1227" s="63" t="s">
        <v>61</v>
      </c>
      <c r="AG1227" s="63" t="s">
        <v>61</v>
      </c>
      <c r="AH1227" s="63" t="s">
        <v>61</v>
      </c>
      <c r="AI1227" s="65" t="s">
        <v>61</v>
      </c>
      <c r="AJ1227" s="105" t="s">
        <v>61</v>
      </c>
      <c r="AK1227" s="76"/>
    </row>
    <row r="1228" ht="24.0" customHeight="1">
      <c r="A1228" s="35"/>
      <c r="B1228" s="36">
        <v>1.0</v>
      </c>
      <c r="C1228" s="37" t="str">
        <f>IFERROR(__xludf.DUMMYFUNCTION("""COMPUTED_VALUE"""),"Finn Torvik (2) - '27 3B CO")</f>
        <v>Finn Torvik (2) - '27 3B CO</v>
      </c>
      <c r="D1228" s="89" t="s">
        <v>6421</v>
      </c>
      <c r="E1228" s="39" t="s">
        <v>48</v>
      </c>
      <c r="F1228" s="156">
        <v>46181.0</v>
      </c>
      <c r="G1228" s="113" t="s">
        <v>6387</v>
      </c>
      <c r="H1228" s="42" t="s">
        <v>768</v>
      </c>
      <c r="I1228" s="43" t="s">
        <v>6422</v>
      </c>
      <c r="J1228" s="43">
        <v>2027.0</v>
      </c>
      <c r="K1228" s="43">
        <v>2.0</v>
      </c>
      <c r="L1228" s="80"/>
      <c r="M1228" s="43" t="s">
        <v>1519</v>
      </c>
      <c r="N1228" s="43"/>
      <c r="O1228" s="80"/>
      <c r="P1228" s="80"/>
      <c r="Q1228" s="43" t="s">
        <v>174</v>
      </c>
      <c r="R1228" s="43" t="s">
        <v>6423</v>
      </c>
      <c r="S1228" s="44" t="s">
        <v>580</v>
      </c>
      <c r="T1228" s="81"/>
      <c r="U1228" s="81"/>
      <c r="V1228" s="81"/>
      <c r="W1228" s="39" t="s">
        <v>6390</v>
      </c>
      <c r="X1228" s="81"/>
      <c r="Y1228" s="81"/>
      <c r="Z1228" s="82"/>
      <c r="AA1228" s="47" t="s">
        <v>6424</v>
      </c>
      <c r="AB1228" s="48" t="s">
        <v>6425</v>
      </c>
      <c r="AC1228" s="68" t="s">
        <v>6426</v>
      </c>
      <c r="AD1228" s="69" t="s">
        <v>6427</v>
      </c>
      <c r="AE1228" s="69"/>
      <c r="AF1228" s="68" t="s">
        <v>400</v>
      </c>
      <c r="AG1228" s="68" t="s">
        <v>400</v>
      </c>
      <c r="AH1228" s="68" t="s">
        <v>400</v>
      </c>
      <c r="AI1228" s="70" t="s">
        <v>81</v>
      </c>
      <c r="AJ1228" s="114" t="s">
        <v>61</v>
      </c>
      <c r="AK1228" s="82"/>
    </row>
    <row r="1229" ht="24.0" customHeight="1">
      <c r="A1229" s="35"/>
      <c r="B1229" s="36">
        <v>1.0</v>
      </c>
      <c r="C1229" s="37" t="str">
        <f>IFERROR(__xludf.DUMMYFUNCTION("""COMPUTED_VALUE"""),"Henry Christy (3) - '27 SS CO")</f>
        <v>Henry Christy (3) - '27 SS CO</v>
      </c>
      <c r="D1229" s="89" t="s">
        <v>6428</v>
      </c>
      <c r="E1229" s="51" t="s">
        <v>48</v>
      </c>
      <c r="F1229" s="154">
        <v>46181.0</v>
      </c>
      <c r="G1229" s="116" t="s">
        <v>6387</v>
      </c>
      <c r="H1229" s="54" t="s">
        <v>816</v>
      </c>
      <c r="I1229" s="55" t="s">
        <v>6429</v>
      </c>
      <c r="J1229" s="55">
        <v>2027.0</v>
      </c>
      <c r="K1229" s="55">
        <v>3.0</v>
      </c>
      <c r="L1229" s="57"/>
      <c r="M1229" s="55" t="s">
        <v>1398</v>
      </c>
      <c r="N1229" s="55"/>
      <c r="O1229" s="57"/>
      <c r="P1229" s="57"/>
      <c r="Q1229" s="55" t="s">
        <v>174</v>
      </c>
      <c r="R1229" s="57"/>
      <c r="S1229" s="58" t="s">
        <v>580</v>
      </c>
      <c r="T1229" s="74"/>
      <c r="U1229" s="74"/>
      <c r="V1229" s="74"/>
      <c r="W1229" s="51" t="s">
        <v>6390</v>
      </c>
      <c r="X1229" s="74"/>
      <c r="Y1229" s="74"/>
      <c r="Z1229" s="76"/>
      <c r="AA1229" s="134"/>
      <c r="AB1229" s="62" t="s">
        <v>61</v>
      </c>
      <c r="AC1229" s="63" t="s">
        <v>61</v>
      </c>
      <c r="AD1229" s="64" t="s">
        <v>61</v>
      </c>
      <c r="AE1229" s="64" t="s">
        <v>61</v>
      </c>
      <c r="AF1229" s="63" t="s">
        <v>61</v>
      </c>
      <c r="AG1229" s="63" t="s">
        <v>61</v>
      </c>
      <c r="AH1229" s="63" t="s">
        <v>61</v>
      </c>
      <c r="AI1229" s="65" t="s">
        <v>61</v>
      </c>
      <c r="AJ1229" s="105" t="s">
        <v>61</v>
      </c>
      <c r="AK1229" s="76"/>
    </row>
    <row r="1230" ht="24.0" customHeight="1">
      <c r="A1230" s="35"/>
      <c r="B1230" s="36">
        <v>1.0</v>
      </c>
      <c r="C1230" s="37" t="str">
        <f>IFERROR(__xludf.DUMMYFUNCTION("""COMPUTED_VALUE"""),"Daelan Jones-Teasley (1) - '28 LHP GA")</f>
        <v>Daelan Jones-Teasley (1) - '28 LHP GA</v>
      </c>
      <c r="D1230" s="89" t="s">
        <v>6430</v>
      </c>
      <c r="E1230" s="39" t="s">
        <v>122</v>
      </c>
      <c r="F1230" s="156">
        <v>46181.0</v>
      </c>
      <c r="G1230" s="113" t="s">
        <v>6387</v>
      </c>
      <c r="H1230" s="42" t="s">
        <v>6431</v>
      </c>
      <c r="I1230" s="43" t="s">
        <v>6432</v>
      </c>
      <c r="J1230" s="43">
        <v>2028.0</v>
      </c>
      <c r="K1230" s="43">
        <v>1.0</v>
      </c>
      <c r="L1230" s="80"/>
      <c r="M1230" s="43" t="s">
        <v>122</v>
      </c>
      <c r="N1230" s="43"/>
      <c r="O1230" s="80"/>
      <c r="P1230" s="80"/>
      <c r="Q1230" s="43" t="s">
        <v>43</v>
      </c>
      <c r="R1230" s="43" t="s">
        <v>6398</v>
      </c>
      <c r="S1230" s="44" t="s">
        <v>4622</v>
      </c>
      <c r="T1230" s="81"/>
      <c r="U1230" s="81"/>
      <c r="V1230" s="81"/>
      <c r="W1230" s="39" t="s">
        <v>6390</v>
      </c>
      <c r="X1230" s="81"/>
      <c r="Y1230" s="81"/>
      <c r="Z1230" s="82"/>
      <c r="AA1230" s="47" t="s">
        <v>6433</v>
      </c>
      <c r="AB1230" s="48" t="s">
        <v>61</v>
      </c>
      <c r="AC1230" s="68" t="s">
        <v>61</v>
      </c>
      <c r="AD1230" s="69" t="s">
        <v>61</v>
      </c>
      <c r="AE1230" s="69" t="s">
        <v>61</v>
      </c>
      <c r="AF1230" s="68" t="s">
        <v>61</v>
      </c>
      <c r="AG1230" s="68" t="s">
        <v>61</v>
      </c>
      <c r="AH1230" s="68" t="s">
        <v>61</v>
      </c>
      <c r="AI1230" s="70" t="s">
        <v>61</v>
      </c>
      <c r="AJ1230" s="114" t="s">
        <v>61</v>
      </c>
      <c r="AK1230" s="82"/>
    </row>
    <row r="1231" ht="24.0" customHeight="1">
      <c r="A1231" s="35"/>
      <c r="B1231" s="36">
        <v>1.0</v>
      </c>
      <c r="C1231" s="37" t="str">
        <f>IFERROR(__xludf.DUMMYFUNCTION("""COMPUTED_VALUE"""),"Koa Peters (2) - '27 CINF GA")</f>
        <v>Koa Peters (2) - '27 CINF GA</v>
      </c>
      <c r="D1231" s="89" t="s">
        <v>6434</v>
      </c>
      <c r="E1231" s="51" t="s">
        <v>48</v>
      </c>
      <c r="F1231" s="154">
        <v>46177.0</v>
      </c>
      <c r="G1231" s="116" t="s">
        <v>6387</v>
      </c>
      <c r="H1231" s="54" t="s">
        <v>6435</v>
      </c>
      <c r="I1231" s="55" t="s">
        <v>6436</v>
      </c>
      <c r="J1231" s="55">
        <v>2027.0</v>
      </c>
      <c r="K1231" s="55">
        <v>2.0</v>
      </c>
      <c r="L1231" s="57"/>
      <c r="M1231" s="55" t="s">
        <v>72</v>
      </c>
      <c r="N1231" s="55"/>
      <c r="O1231" s="57"/>
      <c r="P1231" s="57"/>
      <c r="Q1231" s="55" t="s">
        <v>43</v>
      </c>
      <c r="R1231" s="55" t="s">
        <v>6437</v>
      </c>
      <c r="S1231" s="132"/>
      <c r="T1231" s="74"/>
      <c r="U1231" s="74"/>
      <c r="V1231" s="51" t="s">
        <v>6438</v>
      </c>
      <c r="W1231" s="51" t="s">
        <v>6439</v>
      </c>
      <c r="X1231" s="74"/>
      <c r="Y1231" s="74"/>
      <c r="Z1231" s="76"/>
      <c r="AA1231" s="63" t="s">
        <v>6440</v>
      </c>
      <c r="AB1231" s="62" t="s">
        <v>6438</v>
      </c>
      <c r="AC1231" s="63" t="s">
        <v>6441</v>
      </c>
      <c r="AD1231" s="64">
        <v>3.4</v>
      </c>
      <c r="AE1231" s="64" t="s">
        <v>6442</v>
      </c>
      <c r="AF1231" s="63" t="s">
        <v>6443</v>
      </c>
      <c r="AG1231" s="63" t="s">
        <v>857</v>
      </c>
      <c r="AH1231" s="63" t="s">
        <v>857</v>
      </c>
      <c r="AI1231" s="65" t="s">
        <v>857</v>
      </c>
      <c r="AJ1231" s="105" t="s">
        <v>61</v>
      </c>
      <c r="AK1231" s="76"/>
    </row>
    <row r="1232" ht="24.0" customHeight="1">
      <c r="A1232" s="35"/>
      <c r="B1232" s="36">
        <v>1.0</v>
      </c>
      <c r="C1232" s="37" t="str">
        <f>IFERROR(__xludf.DUMMYFUNCTION("""COMPUTED_VALUE"""),"")</f>
        <v/>
      </c>
      <c r="D1232" s="89" t="s">
        <v>61</v>
      </c>
      <c r="E1232" s="39" t="s">
        <v>61</v>
      </c>
      <c r="F1232" s="121"/>
      <c r="G1232" s="122"/>
      <c r="H1232" s="138"/>
      <c r="I1232" s="80"/>
      <c r="J1232" s="80"/>
      <c r="K1232" s="95"/>
      <c r="L1232" s="80"/>
      <c r="M1232" s="43"/>
      <c r="N1232" s="43"/>
      <c r="O1232" s="80"/>
      <c r="P1232" s="80"/>
      <c r="Q1232" s="80"/>
      <c r="R1232" s="80"/>
      <c r="S1232" s="117"/>
      <c r="T1232" s="81"/>
      <c r="U1232" s="81"/>
      <c r="V1232" s="81"/>
      <c r="W1232" s="81"/>
      <c r="X1232" s="81"/>
      <c r="Y1232" s="81"/>
      <c r="Z1232" s="82"/>
      <c r="AA1232" s="99"/>
      <c r="AB1232" s="48" t="s">
        <v>61</v>
      </c>
      <c r="AC1232" s="68" t="s">
        <v>61</v>
      </c>
      <c r="AD1232" s="69" t="s">
        <v>61</v>
      </c>
      <c r="AE1232" s="69" t="s">
        <v>61</v>
      </c>
      <c r="AF1232" s="68" t="s">
        <v>61</v>
      </c>
      <c r="AG1232" s="68" t="s">
        <v>61</v>
      </c>
      <c r="AH1232" s="68" t="s">
        <v>61</v>
      </c>
      <c r="AI1232" s="70" t="s">
        <v>61</v>
      </c>
      <c r="AJ1232" s="114" t="s">
        <v>61</v>
      </c>
      <c r="AK1232" s="82"/>
    </row>
    <row r="1233" ht="24.0" customHeight="1">
      <c r="A1233" s="35"/>
      <c r="B1233" s="36">
        <v>1.0</v>
      </c>
      <c r="C1233" s="37" t="str">
        <f>IFERROR(__xludf.DUMMYFUNCTION("""COMPUTED_VALUE"""),"")</f>
        <v/>
      </c>
      <c r="D1233" s="89" t="s">
        <v>61</v>
      </c>
      <c r="E1233" s="51" t="s">
        <v>61</v>
      </c>
      <c r="F1233" s="137"/>
      <c r="G1233" s="133"/>
      <c r="H1233" s="141"/>
      <c r="I1233" s="57"/>
      <c r="J1233" s="57"/>
      <c r="K1233" s="72"/>
      <c r="L1233" s="57"/>
      <c r="M1233" s="55"/>
      <c r="N1233" s="55"/>
      <c r="O1233" s="57"/>
      <c r="P1233" s="57"/>
      <c r="Q1233" s="57"/>
      <c r="R1233" s="57"/>
      <c r="S1233" s="132"/>
      <c r="T1233" s="74"/>
      <c r="U1233" s="74"/>
      <c r="V1233" s="74"/>
      <c r="W1233" s="74"/>
      <c r="X1233" s="74"/>
      <c r="Y1233" s="74"/>
      <c r="Z1233" s="76"/>
      <c r="AA1233" s="134"/>
      <c r="AB1233" s="62" t="s">
        <v>61</v>
      </c>
      <c r="AC1233" s="63" t="s">
        <v>61</v>
      </c>
      <c r="AD1233" s="64" t="s">
        <v>61</v>
      </c>
      <c r="AE1233" s="64" t="s">
        <v>61</v>
      </c>
      <c r="AF1233" s="63" t="s">
        <v>61</v>
      </c>
      <c r="AG1233" s="63" t="s">
        <v>61</v>
      </c>
      <c r="AH1233" s="63" t="s">
        <v>61</v>
      </c>
      <c r="AI1233" s="65" t="s">
        <v>61</v>
      </c>
      <c r="AJ1233" s="105" t="s">
        <v>61</v>
      </c>
      <c r="AK1233" s="76"/>
    </row>
    <row r="1234" ht="24.0" customHeight="1">
      <c r="A1234" s="35"/>
      <c r="B1234" s="36">
        <v>1.0</v>
      </c>
      <c r="C1234" s="37" t="str">
        <f>IFERROR(__xludf.DUMMYFUNCTION("""COMPUTED_VALUE"""),"")</f>
        <v/>
      </c>
      <c r="D1234" s="89" t="s">
        <v>61</v>
      </c>
      <c r="E1234" s="39" t="s">
        <v>61</v>
      </c>
      <c r="F1234" s="121"/>
      <c r="G1234" s="122"/>
      <c r="H1234" s="138"/>
      <c r="I1234" s="80"/>
      <c r="J1234" s="80"/>
      <c r="K1234" s="95"/>
      <c r="L1234" s="80"/>
      <c r="M1234" s="43"/>
      <c r="N1234" s="43"/>
      <c r="O1234" s="80"/>
      <c r="P1234" s="80"/>
      <c r="Q1234" s="80"/>
      <c r="R1234" s="80"/>
      <c r="S1234" s="117"/>
      <c r="T1234" s="81"/>
      <c r="U1234" s="81"/>
      <c r="V1234" s="81"/>
      <c r="W1234" s="81"/>
      <c r="X1234" s="81"/>
      <c r="Y1234" s="81"/>
      <c r="Z1234" s="82"/>
      <c r="AA1234" s="99"/>
      <c r="AB1234" s="48" t="s">
        <v>61</v>
      </c>
      <c r="AC1234" s="68" t="s">
        <v>61</v>
      </c>
      <c r="AD1234" s="69" t="s">
        <v>61</v>
      </c>
      <c r="AE1234" s="69" t="s">
        <v>61</v>
      </c>
      <c r="AF1234" s="68" t="s">
        <v>61</v>
      </c>
      <c r="AG1234" s="68" t="s">
        <v>61</v>
      </c>
      <c r="AH1234" s="68" t="s">
        <v>61</v>
      </c>
      <c r="AI1234" s="70" t="s">
        <v>61</v>
      </c>
      <c r="AJ1234" s="114" t="s">
        <v>61</v>
      </c>
      <c r="AK1234" s="82"/>
    </row>
    <row r="1235" ht="24.0" customHeight="1">
      <c r="A1235" s="35"/>
      <c r="B1235" s="36">
        <v>1.0</v>
      </c>
      <c r="C1235" s="37" t="str">
        <f>IFERROR(__xludf.DUMMYFUNCTION("""COMPUTED_VALUE"""),"")</f>
        <v/>
      </c>
      <c r="D1235" s="89" t="s">
        <v>61</v>
      </c>
      <c r="E1235" s="51" t="s">
        <v>61</v>
      </c>
      <c r="F1235" s="137"/>
      <c r="G1235" s="133"/>
      <c r="H1235" s="141"/>
      <c r="I1235" s="57"/>
      <c r="J1235" s="57"/>
      <c r="K1235" s="72"/>
      <c r="L1235" s="57"/>
      <c r="M1235" s="55"/>
      <c r="N1235" s="55"/>
      <c r="O1235" s="57"/>
      <c r="P1235" s="57"/>
      <c r="Q1235" s="57"/>
      <c r="R1235" s="57"/>
      <c r="S1235" s="132"/>
      <c r="T1235" s="74"/>
      <c r="U1235" s="74"/>
      <c r="V1235" s="74"/>
      <c r="W1235" s="74"/>
      <c r="X1235" s="74"/>
      <c r="Y1235" s="74"/>
      <c r="Z1235" s="76"/>
      <c r="AA1235" s="134"/>
      <c r="AB1235" s="62" t="s">
        <v>61</v>
      </c>
      <c r="AC1235" s="63" t="s">
        <v>61</v>
      </c>
      <c r="AD1235" s="64" t="s">
        <v>61</v>
      </c>
      <c r="AE1235" s="64" t="s">
        <v>61</v>
      </c>
      <c r="AF1235" s="63" t="s">
        <v>61</v>
      </c>
      <c r="AG1235" s="63" t="s">
        <v>61</v>
      </c>
      <c r="AH1235" s="63" t="s">
        <v>61</v>
      </c>
      <c r="AI1235" s="65" t="s">
        <v>61</v>
      </c>
      <c r="AJ1235" s="105" t="s">
        <v>61</v>
      </c>
      <c r="AK1235" s="76"/>
    </row>
    <row r="1236" ht="24.0" customHeight="1">
      <c r="A1236" s="35"/>
      <c r="B1236" s="36">
        <v>1.0</v>
      </c>
      <c r="C1236" s="37" t="str">
        <f>IFERROR(__xludf.DUMMYFUNCTION("""COMPUTED_VALUE"""),"")</f>
        <v/>
      </c>
      <c r="D1236" s="89" t="s">
        <v>61</v>
      </c>
      <c r="E1236" s="39" t="s">
        <v>61</v>
      </c>
      <c r="F1236" s="121"/>
      <c r="G1236" s="122"/>
      <c r="H1236" s="138"/>
      <c r="I1236" s="80"/>
      <c r="J1236" s="80"/>
      <c r="K1236" s="95"/>
      <c r="L1236" s="80"/>
      <c r="M1236" s="43"/>
      <c r="N1236" s="43"/>
      <c r="O1236" s="80"/>
      <c r="P1236" s="80"/>
      <c r="Q1236" s="80"/>
      <c r="R1236" s="80"/>
      <c r="S1236" s="117"/>
      <c r="T1236" s="81"/>
      <c r="U1236" s="81"/>
      <c r="V1236" s="81"/>
      <c r="W1236" s="81"/>
      <c r="X1236" s="81"/>
      <c r="Y1236" s="81"/>
      <c r="Z1236" s="82"/>
      <c r="AA1236" s="99"/>
      <c r="AB1236" s="48" t="s">
        <v>61</v>
      </c>
      <c r="AC1236" s="68" t="s">
        <v>61</v>
      </c>
      <c r="AD1236" s="69" t="s">
        <v>61</v>
      </c>
      <c r="AE1236" s="69" t="s">
        <v>61</v>
      </c>
      <c r="AF1236" s="68" t="s">
        <v>61</v>
      </c>
      <c r="AG1236" s="68" t="s">
        <v>61</v>
      </c>
      <c r="AH1236" s="68" t="s">
        <v>61</v>
      </c>
      <c r="AI1236" s="70" t="s">
        <v>61</v>
      </c>
      <c r="AJ1236" s="114" t="s">
        <v>61</v>
      </c>
      <c r="AK1236" s="82"/>
    </row>
    <row r="1237" ht="24.0" customHeight="1">
      <c r="A1237" s="35"/>
      <c r="B1237" s="36">
        <v>1.0</v>
      </c>
      <c r="C1237" s="37" t="str">
        <f>IFERROR(__xludf.DUMMYFUNCTION("""COMPUTED_VALUE"""),"")</f>
        <v/>
      </c>
      <c r="D1237" s="89" t="s">
        <v>61</v>
      </c>
      <c r="E1237" s="51" t="s">
        <v>61</v>
      </c>
      <c r="F1237" s="137"/>
      <c r="G1237" s="133"/>
      <c r="H1237" s="141"/>
      <c r="I1237" s="57"/>
      <c r="J1237" s="57"/>
      <c r="K1237" s="72"/>
      <c r="L1237" s="57"/>
      <c r="M1237" s="55"/>
      <c r="N1237" s="55"/>
      <c r="O1237" s="57"/>
      <c r="P1237" s="57"/>
      <c r="Q1237" s="57"/>
      <c r="R1237" s="57"/>
      <c r="S1237" s="132"/>
      <c r="T1237" s="74"/>
      <c r="U1237" s="74"/>
      <c r="V1237" s="74"/>
      <c r="W1237" s="74"/>
      <c r="X1237" s="74"/>
      <c r="Y1237" s="74"/>
      <c r="Z1237" s="76"/>
      <c r="AA1237" s="134"/>
      <c r="AB1237" s="62" t="s">
        <v>61</v>
      </c>
      <c r="AC1237" s="63" t="s">
        <v>61</v>
      </c>
      <c r="AD1237" s="64" t="s">
        <v>61</v>
      </c>
      <c r="AE1237" s="64" t="s">
        <v>61</v>
      </c>
      <c r="AF1237" s="63" t="s">
        <v>61</v>
      </c>
      <c r="AG1237" s="63" t="s">
        <v>61</v>
      </c>
      <c r="AH1237" s="63" t="s">
        <v>61</v>
      </c>
      <c r="AI1237" s="65" t="s">
        <v>61</v>
      </c>
      <c r="AJ1237" s="105" t="s">
        <v>61</v>
      </c>
      <c r="AK1237" s="76"/>
    </row>
    <row r="1238" ht="24.0" customHeight="1">
      <c r="A1238" s="35"/>
      <c r="B1238" s="36">
        <v>1.0</v>
      </c>
      <c r="C1238" s="37" t="str">
        <f>IFERROR(__xludf.DUMMYFUNCTION("""COMPUTED_VALUE"""),"")</f>
        <v/>
      </c>
      <c r="D1238" s="89" t="s">
        <v>61</v>
      </c>
      <c r="E1238" s="39" t="s">
        <v>61</v>
      </c>
      <c r="F1238" s="121"/>
      <c r="G1238" s="122"/>
      <c r="H1238" s="138"/>
      <c r="I1238" s="80"/>
      <c r="J1238" s="80"/>
      <c r="K1238" s="95"/>
      <c r="L1238" s="80"/>
      <c r="M1238" s="43"/>
      <c r="N1238" s="43"/>
      <c r="O1238" s="80"/>
      <c r="P1238" s="80"/>
      <c r="Q1238" s="80"/>
      <c r="R1238" s="80"/>
      <c r="S1238" s="117"/>
      <c r="T1238" s="81"/>
      <c r="U1238" s="81"/>
      <c r="V1238" s="81"/>
      <c r="W1238" s="81"/>
      <c r="X1238" s="81"/>
      <c r="Y1238" s="81"/>
      <c r="Z1238" s="82"/>
      <c r="AA1238" s="99"/>
      <c r="AB1238" s="48" t="s">
        <v>61</v>
      </c>
      <c r="AC1238" s="68" t="s">
        <v>61</v>
      </c>
      <c r="AD1238" s="69" t="s">
        <v>61</v>
      </c>
      <c r="AE1238" s="69" t="s">
        <v>61</v>
      </c>
      <c r="AF1238" s="68" t="s">
        <v>61</v>
      </c>
      <c r="AG1238" s="68" t="s">
        <v>61</v>
      </c>
      <c r="AH1238" s="68" t="s">
        <v>61</v>
      </c>
      <c r="AI1238" s="70" t="s">
        <v>61</v>
      </c>
      <c r="AJ1238" s="114" t="s">
        <v>61</v>
      </c>
      <c r="AK1238" s="82"/>
    </row>
    <row r="1239" ht="24.0" customHeight="1">
      <c r="A1239" s="35"/>
      <c r="B1239" s="36">
        <v>1.0</v>
      </c>
      <c r="C1239" s="37" t="str">
        <f>IFERROR(__xludf.DUMMYFUNCTION("""COMPUTED_VALUE"""),"")</f>
        <v/>
      </c>
      <c r="D1239" s="89" t="s">
        <v>61</v>
      </c>
      <c r="E1239" s="51" t="s">
        <v>61</v>
      </c>
      <c r="F1239" s="137"/>
      <c r="G1239" s="133"/>
      <c r="H1239" s="141"/>
      <c r="I1239" s="57"/>
      <c r="J1239" s="57"/>
      <c r="K1239" s="72"/>
      <c r="L1239" s="57"/>
      <c r="M1239" s="55"/>
      <c r="N1239" s="55"/>
      <c r="O1239" s="57"/>
      <c r="P1239" s="57"/>
      <c r="Q1239" s="57"/>
      <c r="R1239" s="57"/>
      <c r="S1239" s="132"/>
      <c r="T1239" s="74"/>
      <c r="U1239" s="74"/>
      <c r="V1239" s="74"/>
      <c r="W1239" s="74"/>
      <c r="X1239" s="74"/>
      <c r="Y1239" s="74"/>
      <c r="Z1239" s="76"/>
      <c r="AA1239" s="134"/>
      <c r="AB1239" s="62" t="s">
        <v>61</v>
      </c>
      <c r="AC1239" s="63" t="s">
        <v>61</v>
      </c>
      <c r="AD1239" s="64" t="s">
        <v>61</v>
      </c>
      <c r="AE1239" s="64" t="s">
        <v>61</v>
      </c>
      <c r="AF1239" s="63" t="s">
        <v>61</v>
      </c>
      <c r="AG1239" s="63" t="s">
        <v>61</v>
      </c>
      <c r="AH1239" s="63" t="s">
        <v>61</v>
      </c>
      <c r="AI1239" s="65" t="s">
        <v>61</v>
      </c>
      <c r="AJ1239" s="105" t="s">
        <v>61</v>
      </c>
      <c r="AK1239" s="76"/>
    </row>
    <row r="1240" ht="24.0" customHeight="1">
      <c r="A1240" s="35"/>
      <c r="B1240" s="36">
        <v>1.0</v>
      </c>
      <c r="C1240" s="37" t="str">
        <f>IFERROR(__xludf.DUMMYFUNCTION("""COMPUTED_VALUE"""),"")</f>
        <v/>
      </c>
      <c r="D1240" s="89" t="s">
        <v>61</v>
      </c>
      <c r="E1240" s="39" t="s">
        <v>61</v>
      </c>
      <c r="F1240" s="121"/>
      <c r="G1240" s="122"/>
      <c r="H1240" s="138"/>
      <c r="I1240" s="80"/>
      <c r="J1240" s="80"/>
      <c r="K1240" s="95"/>
      <c r="L1240" s="80"/>
      <c r="M1240" s="43"/>
      <c r="N1240" s="43"/>
      <c r="O1240" s="80"/>
      <c r="P1240" s="80"/>
      <c r="Q1240" s="80"/>
      <c r="R1240" s="80"/>
      <c r="S1240" s="117"/>
      <c r="T1240" s="81"/>
      <c r="U1240" s="81"/>
      <c r="V1240" s="81"/>
      <c r="W1240" s="81"/>
      <c r="X1240" s="81"/>
      <c r="Y1240" s="81"/>
      <c r="Z1240" s="82"/>
      <c r="AA1240" s="99"/>
      <c r="AB1240" s="48" t="s">
        <v>61</v>
      </c>
      <c r="AC1240" s="68" t="s">
        <v>61</v>
      </c>
      <c r="AD1240" s="69" t="s">
        <v>61</v>
      </c>
      <c r="AE1240" s="69" t="s">
        <v>61</v>
      </c>
      <c r="AF1240" s="68" t="s">
        <v>61</v>
      </c>
      <c r="AG1240" s="68" t="s">
        <v>61</v>
      </c>
      <c r="AH1240" s="68" t="s">
        <v>61</v>
      </c>
      <c r="AI1240" s="70" t="s">
        <v>61</v>
      </c>
      <c r="AJ1240" s="114" t="s">
        <v>61</v>
      </c>
      <c r="AK1240" s="82"/>
    </row>
    <row r="1241" ht="24.0" customHeight="1">
      <c r="A1241" s="35"/>
      <c r="B1241" s="36">
        <v>1.0</v>
      </c>
      <c r="C1241" s="37" t="str">
        <f>IFERROR(__xludf.DUMMYFUNCTION("""COMPUTED_VALUE"""),"")</f>
        <v/>
      </c>
      <c r="D1241" s="89" t="s">
        <v>61</v>
      </c>
      <c r="E1241" s="51" t="s">
        <v>61</v>
      </c>
      <c r="F1241" s="137"/>
      <c r="G1241" s="133"/>
      <c r="H1241" s="141"/>
      <c r="I1241" s="57"/>
      <c r="J1241" s="57"/>
      <c r="K1241" s="72"/>
      <c r="L1241" s="57"/>
      <c r="M1241" s="55"/>
      <c r="N1241" s="55"/>
      <c r="O1241" s="57"/>
      <c r="P1241" s="57"/>
      <c r="Q1241" s="57"/>
      <c r="R1241" s="57"/>
      <c r="S1241" s="132"/>
      <c r="T1241" s="74"/>
      <c r="U1241" s="74"/>
      <c r="V1241" s="74"/>
      <c r="W1241" s="74"/>
      <c r="X1241" s="74"/>
      <c r="Y1241" s="74"/>
      <c r="Z1241" s="76"/>
      <c r="AA1241" s="134"/>
      <c r="AB1241" s="62" t="s">
        <v>61</v>
      </c>
      <c r="AC1241" s="63" t="s">
        <v>61</v>
      </c>
      <c r="AD1241" s="64" t="s">
        <v>61</v>
      </c>
      <c r="AE1241" s="64" t="s">
        <v>61</v>
      </c>
      <c r="AF1241" s="63" t="s">
        <v>61</v>
      </c>
      <c r="AG1241" s="63" t="s">
        <v>61</v>
      </c>
      <c r="AH1241" s="63" t="s">
        <v>61</v>
      </c>
      <c r="AI1241" s="65" t="s">
        <v>61</v>
      </c>
      <c r="AJ1241" s="105" t="s">
        <v>61</v>
      </c>
      <c r="AK1241" s="76"/>
    </row>
    <row r="1242" ht="24.0" customHeight="1">
      <c r="A1242" s="35"/>
      <c r="B1242" s="36">
        <v>1.0</v>
      </c>
      <c r="C1242" s="37" t="str">
        <f>IFERROR(__xludf.DUMMYFUNCTION("""COMPUTED_VALUE"""),"")</f>
        <v/>
      </c>
      <c r="D1242" s="89" t="s">
        <v>61</v>
      </c>
      <c r="E1242" s="39" t="s">
        <v>61</v>
      </c>
      <c r="F1242" s="121"/>
      <c r="G1242" s="122"/>
      <c r="H1242" s="138"/>
      <c r="I1242" s="80"/>
      <c r="J1242" s="80"/>
      <c r="K1242" s="95"/>
      <c r="L1242" s="80"/>
      <c r="M1242" s="43"/>
      <c r="N1242" s="43"/>
      <c r="O1242" s="80"/>
      <c r="P1242" s="80"/>
      <c r="Q1242" s="80"/>
      <c r="R1242" s="80"/>
      <c r="S1242" s="117"/>
      <c r="T1242" s="81"/>
      <c r="U1242" s="81"/>
      <c r="V1242" s="81"/>
      <c r="W1242" s="81"/>
      <c r="X1242" s="81"/>
      <c r="Y1242" s="81"/>
      <c r="Z1242" s="82"/>
      <c r="AA1242" s="99"/>
      <c r="AB1242" s="48" t="s">
        <v>61</v>
      </c>
      <c r="AC1242" s="68" t="s">
        <v>61</v>
      </c>
      <c r="AD1242" s="69" t="s">
        <v>61</v>
      </c>
      <c r="AE1242" s="69" t="s">
        <v>61</v>
      </c>
      <c r="AF1242" s="68" t="s">
        <v>61</v>
      </c>
      <c r="AG1242" s="68" t="s">
        <v>61</v>
      </c>
      <c r="AH1242" s="68" t="s">
        <v>61</v>
      </c>
      <c r="AI1242" s="70" t="s">
        <v>61</v>
      </c>
      <c r="AJ1242" s="114" t="s">
        <v>61</v>
      </c>
      <c r="AK1242" s="82"/>
    </row>
    <row r="1243" ht="24.0" customHeight="1">
      <c r="A1243" s="35"/>
      <c r="B1243" s="36">
        <v>1.0</v>
      </c>
      <c r="C1243" s="37" t="str">
        <f>IFERROR(__xludf.DUMMYFUNCTION("""COMPUTED_VALUE"""),"")</f>
        <v/>
      </c>
      <c r="D1243" s="89" t="s">
        <v>61</v>
      </c>
      <c r="E1243" s="51" t="s">
        <v>61</v>
      </c>
      <c r="F1243" s="137"/>
      <c r="G1243" s="133"/>
      <c r="H1243" s="141"/>
      <c r="I1243" s="57"/>
      <c r="J1243" s="57"/>
      <c r="K1243" s="72"/>
      <c r="L1243" s="57"/>
      <c r="M1243" s="55"/>
      <c r="N1243" s="55"/>
      <c r="O1243" s="57"/>
      <c r="P1243" s="57"/>
      <c r="Q1243" s="57"/>
      <c r="R1243" s="57"/>
      <c r="S1243" s="132"/>
      <c r="T1243" s="74"/>
      <c r="U1243" s="74"/>
      <c r="V1243" s="74"/>
      <c r="W1243" s="74"/>
      <c r="X1243" s="74"/>
      <c r="Y1243" s="74"/>
      <c r="Z1243" s="76"/>
      <c r="AA1243" s="134"/>
      <c r="AB1243" s="62" t="s">
        <v>61</v>
      </c>
      <c r="AC1243" s="63" t="s">
        <v>61</v>
      </c>
      <c r="AD1243" s="64" t="s">
        <v>61</v>
      </c>
      <c r="AE1243" s="64" t="s">
        <v>61</v>
      </c>
      <c r="AF1243" s="63" t="s">
        <v>61</v>
      </c>
      <c r="AG1243" s="63" t="s">
        <v>61</v>
      </c>
      <c r="AH1243" s="63" t="s">
        <v>61</v>
      </c>
      <c r="AI1243" s="65" t="s">
        <v>61</v>
      </c>
      <c r="AJ1243" s="105" t="s">
        <v>61</v>
      </c>
      <c r="AK1243" s="76"/>
    </row>
    <row r="1244" ht="24.0" customHeight="1">
      <c r="A1244" s="35"/>
      <c r="B1244" s="36">
        <v>1.0</v>
      </c>
      <c r="C1244" s="37" t="str">
        <f>IFERROR(__xludf.DUMMYFUNCTION("""COMPUTED_VALUE"""),"")</f>
        <v/>
      </c>
      <c r="D1244" s="89" t="s">
        <v>61</v>
      </c>
      <c r="E1244" s="39" t="s">
        <v>61</v>
      </c>
      <c r="F1244" s="121"/>
      <c r="G1244" s="122"/>
      <c r="H1244" s="138"/>
      <c r="I1244" s="80"/>
      <c r="J1244" s="80"/>
      <c r="K1244" s="95"/>
      <c r="L1244" s="80"/>
      <c r="M1244" s="43"/>
      <c r="N1244" s="43"/>
      <c r="O1244" s="80"/>
      <c r="P1244" s="80"/>
      <c r="Q1244" s="80"/>
      <c r="R1244" s="80"/>
      <c r="S1244" s="117"/>
      <c r="T1244" s="81"/>
      <c r="U1244" s="81"/>
      <c r="V1244" s="81"/>
      <c r="W1244" s="81"/>
      <c r="X1244" s="81"/>
      <c r="Y1244" s="81"/>
      <c r="Z1244" s="82"/>
      <c r="AA1244" s="99"/>
      <c r="AB1244" s="48" t="s">
        <v>61</v>
      </c>
      <c r="AC1244" s="68" t="s">
        <v>61</v>
      </c>
      <c r="AD1244" s="69" t="s">
        <v>61</v>
      </c>
      <c r="AE1244" s="69" t="s">
        <v>61</v>
      </c>
      <c r="AF1244" s="68" t="s">
        <v>61</v>
      </c>
      <c r="AG1244" s="68" t="s">
        <v>61</v>
      </c>
      <c r="AH1244" s="68" t="s">
        <v>61</v>
      </c>
      <c r="AI1244" s="70" t="s">
        <v>61</v>
      </c>
      <c r="AJ1244" s="114" t="s">
        <v>61</v>
      </c>
      <c r="AK1244" s="82"/>
    </row>
    <row r="1245" ht="24.0" customHeight="1">
      <c r="A1245" s="35"/>
      <c r="B1245" s="36">
        <v>1.0</v>
      </c>
      <c r="C1245" s="37" t="str">
        <f>IFERROR(__xludf.DUMMYFUNCTION("""COMPUTED_VALUE"""),"")</f>
        <v/>
      </c>
      <c r="D1245" s="89" t="s">
        <v>61</v>
      </c>
      <c r="E1245" s="51" t="s">
        <v>61</v>
      </c>
      <c r="F1245" s="137"/>
      <c r="G1245" s="133"/>
      <c r="H1245" s="141"/>
      <c r="I1245" s="57"/>
      <c r="J1245" s="57"/>
      <c r="K1245" s="72"/>
      <c r="L1245" s="57"/>
      <c r="M1245" s="55"/>
      <c r="N1245" s="55"/>
      <c r="O1245" s="57"/>
      <c r="P1245" s="57"/>
      <c r="Q1245" s="57"/>
      <c r="R1245" s="57"/>
      <c r="S1245" s="132"/>
      <c r="T1245" s="74"/>
      <c r="U1245" s="74"/>
      <c r="V1245" s="74"/>
      <c r="W1245" s="74"/>
      <c r="X1245" s="74"/>
      <c r="Y1245" s="74"/>
      <c r="Z1245" s="76"/>
      <c r="AA1245" s="134"/>
      <c r="AB1245" s="62" t="s">
        <v>61</v>
      </c>
      <c r="AC1245" s="63" t="s">
        <v>61</v>
      </c>
      <c r="AD1245" s="64" t="s">
        <v>61</v>
      </c>
      <c r="AE1245" s="64" t="s">
        <v>61</v>
      </c>
      <c r="AF1245" s="63" t="s">
        <v>61</v>
      </c>
      <c r="AG1245" s="63" t="s">
        <v>61</v>
      </c>
      <c r="AH1245" s="63" t="s">
        <v>61</v>
      </c>
      <c r="AI1245" s="65" t="s">
        <v>61</v>
      </c>
      <c r="AJ1245" s="105" t="s">
        <v>61</v>
      </c>
      <c r="AK1245" s="76"/>
    </row>
    <row r="1246" ht="24.0" customHeight="1">
      <c r="A1246" s="35"/>
      <c r="B1246" s="36">
        <v>1.0</v>
      </c>
      <c r="C1246" s="37" t="str">
        <f>IFERROR(__xludf.DUMMYFUNCTION("""COMPUTED_VALUE"""),"")</f>
        <v/>
      </c>
      <c r="D1246" s="89" t="s">
        <v>61</v>
      </c>
      <c r="E1246" s="39" t="s">
        <v>61</v>
      </c>
      <c r="F1246" s="121"/>
      <c r="G1246" s="122"/>
      <c r="H1246" s="138"/>
      <c r="I1246" s="80"/>
      <c r="J1246" s="80"/>
      <c r="K1246" s="95"/>
      <c r="L1246" s="80"/>
      <c r="M1246" s="43"/>
      <c r="N1246" s="43"/>
      <c r="O1246" s="80"/>
      <c r="P1246" s="80"/>
      <c r="Q1246" s="80"/>
      <c r="R1246" s="80"/>
      <c r="S1246" s="117"/>
      <c r="T1246" s="81"/>
      <c r="U1246" s="81"/>
      <c r="V1246" s="81"/>
      <c r="W1246" s="81"/>
      <c r="X1246" s="81"/>
      <c r="Y1246" s="81"/>
      <c r="Z1246" s="82"/>
      <c r="AA1246" s="99"/>
      <c r="AB1246" s="48" t="s">
        <v>61</v>
      </c>
      <c r="AC1246" s="68" t="s">
        <v>61</v>
      </c>
      <c r="AD1246" s="69" t="s">
        <v>61</v>
      </c>
      <c r="AE1246" s="69" t="s">
        <v>61</v>
      </c>
      <c r="AF1246" s="68" t="s">
        <v>61</v>
      </c>
      <c r="AG1246" s="68" t="s">
        <v>61</v>
      </c>
      <c r="AH1246" s="68" t="s">
        <v>61</v>
      </c>
      <c r="AI1246" s="70" t="s">
        <v>61</v>
      </c>
      <c r="AJ1246" s="114" t="s">
        <v>61</v>
      </c>
      <c r="AK1246" s="82"/>
    </row>
    <row r="1247" ht="24.0" customHeight="1">
      <c r="A1247" s="35"/>
      <c r="B1247" s="36">
        <v>1.0</v>
      </c>
      <c r="C1247" s="37" t="str">
        <f>IFERROR(__xludf.DUMMYFUNCTION("""COMPUTED_VALUE"""),"")</f>
        <v/>
      </c>
      <c r="D1247" s="89" t="s">
        <v>61</v>
      </c>
      <c r="E1247" s="51" t="s">
        <v>61</v>
      </c>
      <c r="F1247" s="137"/>
      <c r="G1247" s="133"/>
      <c r="H1247" s="141"/>
      <c r="I1247" s="57"/>
      <c r="J1247" s="57"/>
      <c r="K1247" s="72"/>
      <c r="L1247" s="57"/>
      <c r="M1247" s="55"/>
      <c r="N1247" s="55"/>
      <c r="O1247" s="57"/>
      <c r="P1247" s="57"/>
      <c r="Q1247" s="57"/>
      <c r="R1247" s="57"/>
      <c r="S1247" s="132"/>
      <c r="T1247" s="74"/>
      <c r="U1247" s="74"/>
      <c r="V1247" s="74"/>
      <c r="W1247" s="74"/>
      <c r="X1247" s="74"/>
      <c r="Y1247" s="74"/>
      <c r="Z1247" s="76"/>
      <c r="AA1247" s="134"/>
      <c r="AB1247" s="62" t="s">
        <v>61</v>
      </c>
      <c r="AC1247" s="63" t="s">
        <v>61</v>
      </c>
      <c r="AD1247" s="64" t="s">
        <v>61</v>
      </c>
      <c r="AE1247" s="64" t="s">
        <v>61</v>
      </c>
      <c r="AF1247" s="63" t="s">
        <v>61</v>
      </c>
      <c r="AG1247" s="63" t="s">
        <v>61</v>
      </c>
      <c r="AH1247" s="63" t="s">
        <v>61</v>
      </c>
      <c r="AI1247" s="65" t="s">
        <v>61</v>
      </c>
      <c r="AJ1247" s="105" t="s">
        <v>61</v>
      </c>
      <c r="AK1247" s="76"/>
    </row>
    <row r="1248" ht="24.0" customHeight="1">
      <c r="A1248" s="35"/>
      <c r="B1248" s="36">
        <v>1.0</v>
      </c>
      <c r="C1248" s="37" t="str">
        <f>IFERROR(__xludf.DUMMYFUNCTION("""COMPUTED_VALUE"""),"")</f>
        <v/>
      </c>
      <c r="D1248" s="89" t="s">
        <v>61</v>
      </c>
      <c r="E1248" s="39" t="s">
        <v>61</v>
      </c>
      <c r="F1248" s="121"/>
      <c r="G1248" s="122"/>
      <c r="H1248" s="138"/>
      <c r="I1248" s="80"/>
      <c r="J1248" s="80"/>
      <c r="K1248" s="95"/>
      <c r="L1248" s="80"/>
      <c r="M1248" s="43"/>
      <c r="N1248" s="43"/>
      <c r="O1248" s="80"/>
      <c r="P1248" s="80"/>
      <c r="Q1248" s="80"/>
      <c r="R1248" s="80"/>
      <c r="S1248" s="117"/>
      <c r="T1248" s="81"/>
      <c r="U1248" s="81"/>
      <c r="V1248" s="81"/>
      <c r="W1248" s="81"/>
      <c r="X1248" s="81"/>
      <c r="Y1248" s="81"/>
      <c r="Z1248" s="82"/>
      <c r="AA1248" s="99"/>
      <c r="AB1248" s="48" t="s">
        <v>61</v>
      </c>
      <c r="AC1248" s="68" t="s">
        <v>61</v>
      </c>
      <c r="AD1248" s="69" t="s">
        <v>61</v>
      </c>
      <c r="AE1248" s="69" t="s">
        <v>61</v>
      </c>
      <c r="AF1248" s="68" t="s">
        <v>61</v>
      </c>
      <c r="AG1248" s="68" t="s">
        <v>61</v>
      </c>
      <c r="AH1248" s="68" t="s">
        <v>61</v>
      </c>
      <c r="AI1248" s="70" t="s">
        <v>61</v>
      </c>
      <c r="AJ1248" s="114" t="s">
        <v>61</v>
      </c>
      <c r="AK1248" s="82"/>
    </row>
    <row r="1249" ht="24.0" customHeight="1">
      <c r="A1249" s="35"/>
      <c r="B1249" s="36">
        <v>1.0</v>
      </c>
      <c r="C1249" s="37" t="str">
        <f>IFERROR(__xludf.DUMMYFUNCTION("""COMPUTED_VALUE"""),"")</f>
        <v/>
      </c>
      <c r="D1249" s="89" t="s">
        <v>61</v>
      </c>
      <c r="E1249" s="51" t="s">
        <v>61</v>
      </c>
      <c r="F1249" s="137"/>
      <c r="G1249" s="133"/>
      <c r="H1249" s="141"/>
      <c r="I1249" s="57"/>
      <c r="J1249" s="57"/>
      <c r="K1249" s="72"/>
      <c r="L1249" s="57"/>
      <c r="M1249" s="55"/>
      <c r="N1249" s="55"/>
      <c r="O1249" s="57"/>
      <c r="P1249" s="57"/>
      <c r="Q1249" s="57"/>
      <c r="R1249" s="57"/>
      <c r="S1249" s="132"/>
      <c r="T1249" s="74"/>
      <c r="U1249" s="74"/>
      <c r="V1249" s="74"/>
      <c r="W1249" s="74"/>
      <c r="X1249" s="74"/>
      <c r="Y1249" s="74"/>
      <c r="Z1249" s="76"/>
      <c r="AA1249" s="134"/>
      <c r="AB1249" s="62" t="s">
        <v>61</v>
      </c>
      <c r="AC1249" s="63" t="s">
        <v>61</v>
      </c>
      <c r="AD1249" s="64" t="s">
        <v>61</v>
      </c>
      <c r="AE1249" s="64" t="s">
        <v>61</v>
      </c>
      <c r="AF1249" s="63" t="s">
        <v>61</v>
      </c>
      <c r="AG1249" s="63" t="s">
        <v>61</v>
      </c>
      <c r="AH1249" s="63" t="s">
        <v>61</v>
      </c>
      <c r="AI1249" s="65" t="s">
        <v>61</v>
      </c>
      <c r="AJ1249" s="105" t="s">
        <v>61</v>
      </c>
      <c r="AK1249" s="76"/>
    </row>
    <row r="1250" ht="24.0" customHeight="1">
      <c r="A1250" s="35"/>
      <c r="B1250" s="36">
        <v>1.0</v>
      </c>
      <c r="C1250" s="37" t="str">
        <f>IFERROR(__xludf.DUMMYFUNCTION("""COMPUTED_VALUE"""),"")</f>
        <v/>
      </c>
      <c r="D1250" s="89" t="s">
        <v>61</v>
      </c>
      <c r="E1250" s="39" t="s">
        <v>61</v>
      </c>
      <c r="F1250" s="121"/>
      <c r="G1250" s="122"/>
      <c r="H1250" s="138"/>
      <c r="I1250" s="80"/>
      <c r="J1250" s="80"/>
      <c r="K1250" s="95"/>
      <c r="L1250" s="80"/>
      <c r="M1250" s="43"/>
      <c r="N1250" s="43"/>
      <c r="O1250" s="80"/>
      <c r="P1250" s="80"/>
      <c r="Q1250" s="80"/>
      <c r="R1250" s="80"/>
      <c r="S1250" s="117"/>
      <c r="T1250" s="81"/>
      <c r="U1250" s="81"/>
      <c r="V1250" s="81"/>
      <c r="W1250" s="81"/>
      <c r="X1250" s="81"/>
      <c r="Y1250" s="81"/>
      <c r="Z1250" s="82"/>
      <c r="AA1250" s="99"/>
      <c r="AB1250" s="48" t="s">
        <v>61</v>
      </c>
      <c r="AC1250" s="68" t="s">
        <v>61</v>
      </c>
      <c r="AD1250" s="69" t="s">
        <v>61</v>
      </c>
      <c r="AE1250" s="69" t="s">
        <v>61</v>
      </c>
      <c r="AF1250" s="68" t="s">
        <v>61</v>
      </c>
      <c r="AG1250" s="68" t="s">
        <v>61</v>
      </c>
      <c r="AH1250" s="68" t="s">
        <v>61</v>
      </c>
      <c r="AI1250" s="70" t="s">
        <v>61</v>
      </c>
      <c r="AJ1250" s="114" t="s">
        <v>61</v>
      </c>
      <c r="AK1250" s="82"/>
    </row>
    <row r="1251" ht="24.0" customHeight="1">
      <c r="A1251" s="35"/>
      <c r="B1251" s="36">
        <v>1.0</v>
      </c>
      <c r="C1251" s="37" t="str">
        <f>IFERROR(__xludf.DUMMYFUNCTION("""COMPUTED_VALUE"""),"")</f>
        <v/>
      </c>
      <c r="D1251" s="89" t="s">
        <v>61</v>
      </c>
      <c r="E1251" s="51" t="s">
        <v>61</v>
      </c>
      <c r="F1251" s="137"/>
      <c r="G1251" s="133"/>
      <c r="H1251" s="141"/>
      <c r="I1251" s="57"/>
      <c r="J1251" s="57"/>
      <c r="K1251" s="72"/>
      <c r="L1251" s="57"/>
      <c r="M1251" s="55"/>
      <c r="N1251" s="55"/>
      <c r="O1251" s="57"/>
      <c r="P1251" s="57"/>
      <c r="Q1251" s="57"/>
      <c r="R1251" s="57"/>
      <c r="S1251" s="132"/>
      <c r="T1251" s="74"/>
      <c r="U1251" s="74"/>
      <c r="V1251" s="74"/>
      <c r="W1251" s="74"/>
      <c r="X1251" s="74"/>
      <c r="Y1251" s="74"/>
      <c r="Z1251" s="76"/>
      <c r="AA1251" s="134"/>
      <c r="AB1251" s="62" t="s">
        <v>61</v>
      </c>
      <c r="AC1251" s="63" t="s">
        <v>61</v>
      </c>
      <c r="AD1251" s="64" t="s">
        <v>61</v>
      </c>
      <c r="AE1251" s="64" t="s">
        <v>61</v>
      </c>
      <c r="AF1251" s="63" t="s">
        <v>61</v>
      </c>
      <c r="AG1251" s="63" t="s">
        <v>61</v>
      </c>
      <c r="AH1251" s="63" t="s">
        <v>61</v>
      </c>
      <c r="AI1251" s="65" t="s">
        <v>61</v>
      </c>
      <c r="AJ1251" s="105" t="s">
        <v>61</v>
      </c>
      <c r="AK1251" s="76"/>
    </row>
    <row r="1252" ht="24.0" customHeight="1">
      <c r="A1252" s="35"/>
      <c r="B1252" s="36">
        <v>1.0</v>
      </c>
      <c r="C1252" s="37" t="str">
        <f>IFERROR(__xludf.DUMMYFUNCTION("""COMPUTED_VALUE"""),"")</f>
        <v/>
      </c>
      <c r="D1252" s="89" t="s">
        <v>61</v>
      </c>
      <c r="E1252" s="39" t="s">
        <v>61</v>
      </c>
      <c r="F1252" s="121"/>
      <c r="G1252" s="122"/>
      <c r="H1252" s="138"/>
      <c r="I1252" s="80"/>
      <c r="J1252" s="80"/>
      <c r="K1252" s="95"/>
      <c r="L1252" s="80"/>
      <c r="M1252" s="43"/>
      <c r="N1252" s="43"/>
      <c r="O1252" s="80"/>
      <c r="P1252" s="80"/>
      <c r="Q1252" s="80"/>
      <c r="R1252" s="80"/>
      <c r="S1252" s="117"/>
      <c r="T1252" s="81"/>
      <c r="U1252" s="81"/>
      <c r="V1252" s="81"/>
      <c r="W1252" s="81"/>
      <c r="X1252" s="81"/>
      <c r="Y1252" s="81"/>
      <c r="Z1252" s="82"/>
      <c r="AA1252" s="99"/>
      <c r="AB1252" s="48" t="s">
        <v>61</v>
      </c>
      <c r="AC1252" s="68" t="s">
        <v>61</v>
      </c>
      <c r="AD1252" s="69" t="s">
        <v>61</v>
      </c>
      <c r="AE1252" s="69" t="s">
        <v>61</v>
      </c>
      <c r="AF1252" s="68" t="s">
        <v>61</v>
      </c>
      <c r="AG1252" s="68" t="s">
        <v>61</v>
      </c>
      <c r="AH1252" s="68" t="s">
        <v>61</v>
      </c>
      <c r="AI1252" s="70" t="s">
        <v>61</v>
      </c>
      <c r="AJ1252" s="114" t="s">
        <v>61</v>
      </c>
      <c r="AK1252" s="82"/>
    </row>
    <row r="1253" ht="24.0" customHeight="1">
      <c r="A1253" s="35"/>
      <c r="B1253" s="36">
        <v>1.0</v>
      </c>
      <c r="C1253" s="37" t="str">
        <f>IFERROR(__xludf.DUMMYFUNCTION("""COMPUTED_VALUE"""),"")</f>
        <v/>
      </c>
      <c r="D1253" s="89" t="s">
        <v>61</v>
      </c>
      <c r="E1253" s="51" t="s">
        <v>61</v>
      </c>
      <c r="F1253" s="137"/>
      <c r="G1253" s="133"/>
      <c r="H1253" s="141"/>
      <c r="I1253" s="57"/>
      <c r="J1253" s="57"/>
      <c r="K1253" s="72"/>
      <c r="L1253" s="57"/>
      <c r="M1253" s="55"/>
      <c r="N1253" s="55"/>
      <c r="O1253" s="57"/>
      <c r="P1253" s="57"/>
      <c r="Q1253" s="57"/>
      <c r="R1253" s="57"/>
      <c r="S1253" s="132"/>
      <c r="T1253" s="74"/>
      <c r="U1253" s="74"/>
      <c r="V1253" s="74"/>
      <c r="W1253" s="74"/>
      <c r="X1253" s="74"/>
      <c r="Y1253" s="74"/>
      <c r="Z1253" s="76"/>
      <c r="AA1253" s="134"/>
      <c r="AB1253" s="62" t="s">
        <v>61</v>
      </c>
      <c r="AC1253" s="63" t="s">
        <v>61</v>
      </c>
      <c r="AD1253" s="64" t="s">
        <v>61</v>
      </c>
      <c r="AE1253" s="64" t="s">
        <v>61</v>
      </c>
      <c r="AF1253" s="63" t="s">
        <v>61</v>
      </c>
      <c r="AG1253" s="63" t="s">
        <v>61</v>
      </c>
      <c r="AH1253" s="63" t="s">
        <v>61</v>
      </c>
      <c r="AI1253" s="65" t="s">
        <v>61</v>
      </c>
      <c r="AJ1253" s="105" t="s">
        <v>61</v>
      </c>
      <c r="AK1253" s="76"/>
    </row>
    <row r="1254" ht="24.0" customHeight="1">
      <c r="A1254" s="35"/>
      <c r="B1254" s="36">
        <v>1.0</v>
      </c>
      <c r="C1254" s="37" t="str">
        <f>IFERROR(__xludf.DUMMYFUNCTION("""COMPUTED_VALUE"""),"")</f>
        <v/>
      </c>
      <c r="D1254" s="89" t="s">
        <v>61</v>
      </c>
      <c r="E1254" s="39" t="s">
        <v>61</v>
      </c>
      <c r="F1254" s="121"/>
      <c r="G1254" s="122"/>
      <c r="H1254" s="138"/>
      <c r="I1254" s="80"/>
      <c r="J1254" s="80"/>
      <c r="K1254" s="95"/>
      <c r="L1254" s="80"/>
      <c r="M1254" s="43"/>
      <c r="N1254" s="43"/>
      <c r="O1254" s="80"/>
      <c r="P1254" s="80"/>
      <c r="Q1254" s="80"/>
      <c r="R1254" s="80"/>
      <c r="S1254" s="117"/>
      <c r="T1254" s="81"/>
      <c r="U1254" s="81"/>
      <c r="V1254" s="81"/>
      <c r="W1254" s="81"/>
      <c r="X1254" s="81"/>
      <c r="Y1254" s="81"/>
      <c r="Z1254" s="82"/>
      <c r="AA1254" s="99"/>
      <c r="AB1254" s="48" t="s">
        <v>61</v>
      </c>
      <c r="AC1254" s="68" t="s">
        <v>61</v>
      </c>
      <c r="AD1254" s="69" t="s">
        <v>61</v>
      </c>
      <c r="AE1254" s="69" t="s">
        <v>61</v>
      </c>
      <c r="AF1254" s="68" t="s">
        <v>61</v>
      </c>
      <c r="AG1254" s="68" t="s">
        <v>61</v>
      </c>
      <c r="AH1254" s="68" t="s">
        <v>61</v>
      </c>
      <c r="AI1254" s="70" t="s">
        <v>61</v>
      </c>
      <c r="AJ1254" s="114" t="s">
        <v>61</v>
      </c>
      <c r="AK1254" s="82"/>
    </row>
    <row r="1255" ht="24.0" customHeight="1">
      <c r="A1255" s="35"/>
      <c r="B1255" s="36">
        <v>1.0</v>
      </c>
      <c r="C1255" s="37" t="str">
        <f>IFERROR(__xludf.DUMMYFUNCTION("""COMPUTED_VALUE"""),"")</f>
        <v/>
      </c>
      <c r="D1255" s="89" t="s">
        <v>61</v>
      </c>
      <c r="E1255" s="51" t="s">
        <v>61</v>
      </c>
      <c r="F1255" s="137"/>
      <c r="G1255" s="133"/>
      <c r="H1255" s="141"/>
      <c r="I1255" s="57"/>
      <c r="J1255" s="57"/>
      <c r="K1255" s="72"/>
      <c r="L1255" s="57"/>
      <c r="M1255" s="55"/>
      <c r="N1255" s="55"/>
      <c r="O1255" s="57"/>
      <c r="P1255" s="57"/>
      <c r="Q1255" s="57"/>
      <c r="R1255" s="57"/>
      <c r="S1255" s="132"/>
      <c r="T1255" s="74"/>
      <c r="U1255" s="74"/>
      <c r="V1255" s="74"/>
      <c r="W1255" s="74"/>
      <c r="X1255" s="74"/>
      <c r="Y1255" s="74"/>
      <c r="Z1255" s="76"/>
      <c r="AA1255" s="134"/>
      <c r="AB1255" s="62" t="s">
        <v>61</v>
      </c>
      <c r="AC1255" s="63" t="s">
        <v>61</v>
      </c>
      <c r="AD1255" s="64" t="s">
        <v>61</v>
      </c>
      <c r="AE1255" s="64" t="s">
        <v>61</v>
      </c>
      <c r="AF1255" s="63" t="s">
        <v>61</v>
      </c>
      <c r="AG1255" s="63" t="s">
        <v>61</v>
      </c>
      <c r="AH1255" s="63" t="s">
        <v>61</v>
      </c>
      <c r="AI1255" s="65" t="s">
        <v>61</v>
      </c>
      <c r="AJ1255" s="105" t="s">
        <v>61</v>
      </c>
      <c r="AK1255" s="76"/>
    </row>
    <row r="1256" ht="24.0" customHeight="1">
      <c r="A1256" s="35"/>
      <c r="B1256" s="36">
        <v>1.0</v>
      </c>
      <c r="C1256" s="37" t="str">
        <f>IFERROR(__xludf.DUMMYFUNCTION("""COMPUTED_VALUE"""),"")</f>
        <v/>
      </c>
      <c r="D1256" s="89" t="s">
        <v>61</v>
      </c>
      <c r="E1256" s="39" t="s">
        <v>61</v>
      </c>
      <c r="F1256" s="121"/>
      <c r="G1256" s="122"/>
      <c r="H1256" s="138"/>
      <c r="I1256" s="80"/>
      <c r="J1256" s="80"/>
      <c r="K1256" s="95"/>
      <c r="L1256" s="80"/>
      <c r="M1256" s="43"/>
      <c r="N1256" s="43"/>
      <c r="O1256" s="80"/>
      <c r="P1256" s="80"/>
      <c r="Q1256" s="80"/>
      <c r="R1256" s="80"/>
      <c r="S1256" s="117"/>
      <c r="T1256" s="81"/>
      <c r="U1256" s="81"/>
      <c r="V1256" s="81"/>
      <c r="W1256" s="81"/>
      <c r="X1256" s="81"/>
      <c r="Y1256" s="81"/>
      <c r="Z1256" s="82"/>
      <c r="AA1256" s="99"/>
      <c r="AB1256" s="48" t="s">
        <v>61</v>
      </c>
      <c r="AC1256" s="68" t="s">
        <v>61</v>
      </c>
      <c r="AD1256" s="69" t="s">
        <v>61</v>
      </c>
      <c r="AE1256" s="69" t="s">
        <v>61</v>
      </c>
      <c r="AF1256" s="68" t="s">
        <v>61</v>
      </c>
      <c r="AG1256" s="68" t="s">
        <v>61</v>
      </c>
      <c r="AH1256" s="68" t="s">
        <v>61</v>
      </c>
      <c r="AI1256" s="70" t="s">
        <v>61</v>
      </c>
      <c r="AJ1256" s="114" t="s">
        <v>61</v>
      </c>
      <c r="AK1256" s="82"/>
    </row>
    <row r="1257" ht="24.0" customHeight="1">
      <c r="A1257" s="35"/>
      <c r="B1257" s="36">
        <v>1.0</v>
      </c>
      <c r="C1257" s="37" t="str">
        <f>IFERROR(__xludf.DUMMYFUNCTION("""COMPUTED_VALUE"""),"")</f>
        <v/>
      </c>
      <c r="D1257" s="89" t="s">
        <v>61</v>
      </c>
      <c r="E1257" s="51" t="s">
        <v>61</v>
      </c>
      <c r="F1257" s="137"/>
      <c r="G1257" s="133"/>
      <c r="H1257" s="141"/>
      <c r="I1257" s="57"/>
      <c r="J1257" s="57"/>
      <c r="K1257" s="72"/>
      <c r="L1257" s="57"/>
      <c r="M1257" s="55"/>
      <c r="N1257" s="55"/>
      <c r="O1257" s="57"/>
      <c r="P1257" s="57"/>
      <c r="Q1257" s="57"/>
      <c r="R1257" s="57"/>
      <c r="S1257" s="132"/>
      <c r="T1257" s="74"/>
      <c r="U1257" s="74"/>
      <c r="V1257" s="74"/>
      <c r="W1257" s="74"/>
      <c r="X1257" s="74"/>
      <c r="Y1257" s="74"/>
      <c r="Z1257" s="76"/>
      <c r="AA1257" s="134"/>
      <c r="AB1257" s="62" t="s">
        <v>61</v>
      </c>
      <c r="AC1257" s="63" t="s">
        <v>61</v>
      </c>
      <c r="AD1257" s="64" t="s">
        <v>61</v>
      </c>
      <c r="AE1257" s="64" t="s">
        <v>61</v>
      </c>
      <c r="AF1257" s="63" t="s">
        <v>61</v>
      </c>
      <c r="AG1257" s="63" t="s">
        <v>61</v>
      </c>
      <c r="AH1257" s="63" t="s">
        <v>61</v>
      </c>
      <c r="AI1257" s="65" t="s">
        <v>61</v>
      </c>
      <c r="AJ1257" s="105" t="s">
        <v>61</v>
      </c>
      <c r="AK1257" s="76"/>
    </row>
    <row r="1258" ht="24.0" customHeight="1">
      <c r="A1258" s="35"/>
      <c r="B1258" s="36">
        <v>1.0</v>
      </c>
      <c r="C1258" s="37" t="str">
        <f>IFERROR(__xludf.DUMMYFUNCTION("""COMPUTED_VALUE"""),"")</f>
        <v/>
      </c>
      <c r="D1258" s="89" t="s">
        <v>61</v>
      </c>
      <c r="E1258" s="39" t="s">
        <v>61</v>
      </c>
      <c r="F1258" s="121"/>
      <c r="G1258" s="122"/>
      <c r="H1258" s="138"/>
      <c r="I1258" s="80"/>
      <c r="J1258" s="80"/>
      <c r="K1258" s="95"/>
      <c r="L1258" s="80"/>
      <c r="M1258" s="43"/>
      <c r="N1258" s="43"/>
      <c r="O1258" s="80"/>
      <c r="P1258" s="80"/>
      <c r="Q1258" s="80"/>
      <c r="R1258" s="80"/>
      <c r="S1258" s="117"/>
      <c r="T1258" s="81"/>
      <c r="U1258" s="81"/>
      <c r="V1258" s="81"/>
      <c r="W1258" s="81"/>
      <c r="X1258" s="81"/>
      <c r="Y1258" s="81"/>
      <c r="Z1258" s="82"/>
      <c r="AA1258" s="99"/>
      <c r="AB1258" s="48" t="s">
        <v>61</v>
      </c>
      <c r="AC1258" s="68" t="s">
        <v>61</v>
      </c>
      <c r="AD1258" s="69" t="s">
        <v>61</v>
      </c>
      <c r="AE1258" s="69" t="s">
        <v>61</v>
      </c>
      <c r="AF1258" s="68" t="s">
        <v>61</v>
      </c>
      <c r="AG1258" s="68" t="s">
        <v>61</v>
      </c>
      <c r="AH1258" s="68" t="s">
        <v>61</v>
      </c>
      <c r="AI1258" s="70" t="s">
        <v>61</v>
      </c>
      <c r="AJ1258" s="114" t="s">
        <v>61</v>
      </c>
      <c r="AK1258" s="82"/>
    </row>
    <row r="1259" ht="24.0" customHeight="1">
      <c r="A1259" s="35"/>
      <c r="B1259" s="36">
        <v>1.0</v>
      </c>
      <c r="C1259" s="37" t="str">
        <f>IFERROR(__xludf.DUMMYFUNCTION("""COMPUTED_VALUE"""),"")</f>
        <v/>
      </c>
      <c r="D1259" s="89" t="s">
        <v>61</v>
      </c>
      <c r="E1259" s="51" t="s">
        <v>61</v>
      </c>
      <c r="F1259" s="137"/>
      <c r="G1259" s="133"/>
      <c r="H1259" s="141"/>
      <c r="I1259" s="57"/>
      <c r="J1259" s="57"/>
      <c r="K1259" s="72"/>
      <c r="L1259" s="57"/>
      <c r="M1259" s="55"/>
      <c r="N1259" s="55"/>
      <c r="O1259" s="57"/>
      <c r="P1259" s="57"/>
      <c r="Q1259" s="57"/>
      <c r="R1259" s="57"/>
      <c r="S1259" s="132"/>
      <c r="T1259" s="74"/>
      <c r="U1259" s="74"/>
      <c r="V1259" s="74"/>
      <c r="W1259" s="74"/>
      <c r="X1259" s="74"/>
      <c r="Y1259" s="74"/>
      <c r="Z1259" s="76"/>
      <c r="AA1259" s="134"/>
      <c r="AB1259" s="62" t="s">
        <v>61</v>
      </c>
      <c r="AC1259" s="63" t="s">
        <v>61</v>
      </c>
      <c r="AD1259" s="64" t="s">
        <v>61</v>
      </c>
      <c r="AE1259" s="64" t="s">
        <v>61</v>
      </c>
      <c r="AF1259" s="63" t="s">
        <v>61</v>
      </c>
      <c r="AG1259" s="63" t="s">
        <v>61</v>
      </c>
      <c r="AH1259" s="63" t="s">
        <v>61</v>
      </c>
      <c r="AI1259" s="65" t="s">
        <v>61</v>
      </c>
      <c r="AJ1259" s="105" t="s">
        <v>61</v>
      </c>
      <c r="AK1259" s="76"/>
    </row>
    <row r="1260" ht="24.0" customHeight="1">
      <c r="A1260" s="35"/>
      <c r="B1260" s="36">
        <v>1.0</v>
      </c>
      <c r="C1260" s="37" t="str">
        <f>IFERROR(__xludf.DUMMYFUNCTION("""COMPUTED_VALUE"""),"")</f>
        <v/>
      </c>
      <c r="D1260" s="89" t="s">
        <v>61</v>
      </c>
      <c r="E1260" s="39" t="s">
        <v>61</v>
      </c>
      <c r="F1260" s="121"/>
      <c r="G1260" s="122"/>
      <c r="H1260" s="138"/>
      <c r="I1260" s="80"/>
      <c r="J1260" s="80"/>
      <c r="K1260" s="95"/>
      <c r="L1260" s="80"/>
      <c r="M1260" s="43"/>
      <c r="N1260" s="43"/>
      <c r="O1260" s="80"/>
      <c r="P1260" s="80"/>
      <c r="Q1260" s="80"/>
      <c r="R1260" s="80"/>
      <c r="S1260" s="117"/>
      <c r="T1260" s="81"/>
      <c r="U1260" s="81"/>
      <c r="V1260" s="81"/>
      <c r="W1260" s="81"/>
      <c r="X1260" s="81"/>
      <c r="Y1260" s="81"/>
      <c r="Z1260" s="82"/>
      <c r="AA1260" s="99"/>
      <c r="AB1260" s="48" t="s">
        <v>61</v>
      </c>
      <c r="AC1260" s="68" t="s">
        <v>61</v>
      </c>
      <c r="AD1260" s="69" t="s">
        <v>61</v>
      </c>
      <c r="AE1260" s="69" t="s">
        <v>61</v>
      </c>
      <c r="AF1260" s="68" t="s">
        <v>61</v>
      </c>
      <c r="AG1260" s="68" t="s">
        <v>61</v>
      </c>
      <c r="AH1260" s="68" t="s">
        <v>61</v>
      </c>
      <c r="AI1260" s="70" t="s">
        <v>61</v>
      </c>
      <c r="AJ1260" s="114" t="s">
        <v>61</v>
      </c>
      <c r="AK1260" s="82"/>
    </row>
    <row r="1261" ht="24.0" customHeight="1">
      <c r="A1261" s="35"/>
      <c r="B1261" s="36">
        <v>1.0</v>
      </c>
      <c r="C1261" s="37" t="str">
        <f>IFERROR(__xludf.DUMMYFUNCTION("""COMPUTED_VALUE"""),"")</f>
        <v/>
      </c>
      <c r="D1261" s="89" t="s">
        <v>61</v>
      </c>
      <c r="E1261" s="51" t="s">
        <v>61</v>
      </c>
      <c r="F1261" s="137"/>
      <c r="G1261" s="133"/>
      <c r="H1261" s="141"/>
      <c r="I1261" s="57"/>
      <c r="J1261" s="57"/>
      <c r="K1261" s="72"/>
      <c r="L1261" s="57"/>
      <c r="M1261" s="55"/>
      <c r="N1261" s="55"/>
      <c r="O1261" s="57"/>
      <c r="P1261" s="57"/>
      <c r="Q1261" s="57"/>
      <c r="R1261" s="57"/>
      <c r="S1261" s="132"/>
      <c r="T1261" s="74"/>
      <c r="U1261" s="74"/>
      <c r="V1261" s="74"/>
      <c r="W1261" s="74"/>
      <c r="X1261" s="74"/>
      <c r="Y1261" s="74"/>
      <c r="Z1261" s="76"/>
      <c r="AA1261" s="134"/>
      <c r="AB1261" s="62" t="s">
        <v>61</v>
      </c>
      <c r="AC1261" s="63" t="s">
        <v>61</v>
      </c>
      <c r="AD1261" s="64" t="s">
        <v>61</v>
      </c>
      <c r="AE1261" s="64" t="s">
        <v>61</v>
      </c>
      <c r="AF1261" s="63" t="s">
        <v>61</v>
      </c>
      <c r="AG1261" s="63" t="s">
        <v>61</v>
      </c>
      <c r="AH1261" s="63" t="s">
        <v>61</v>
      </c>
      <c r="AI1261" s="65" t="s">
        <v>61</v>
      </c>
      <c r="AJ1261" s="105" t="s">
        <v>61</v>
      </c>
      <c r="AK1261" s="76"/>
    </row>
    <row r="1262" ht="24.0" customHeight="1">
      <c r="A1262" s="35"/>
      <c r="B1262" s="36">
        <v>1.0</v>
      </c>
      <c r="C1262" s="37" t="str">
        <f>IFERROR(__xludf.DUMMYFUNCTION("""COMPUTED_VALUE"""),"")</f>
        <v/>
      </c>
      <c r="D1262" s="89" t="s">
        <v>61</v>
      </c>
      <c r="E1262" s="39" t="s">
        <v>61</v>
      </c>
      <c r="F1262" s="121"/>
      <c r="G1262" s="122"/>
      <c r="H1262" s="138"/>
      <c r="I1262" s="80"/>
      <c r="J1262" s="80"/>
      <c r="K1262" s="95"/>
      <c r="L1262" s="80"/>
      <c r="M1262" s="43"/>
      <c r="N1262" s="43"/>
      <c r="O1262" s="80"/>
      <c r="P1262" s="80"/>
      <c r="Q1262" s="80"/>
      <c r="R1262" s="80"/>
      <c r="S1262" s="117"/>
      <c r="T1262" s="81"/>
      <c r="U1262" s="81"/>
      <c r="V1262" s="81"/>
      <c r="W1262" s="81"/>
      <c r="X1262" s="81"/>
      <c r="Y1262" s="81"/>
      <c r="Z1262" s="82"/>
      <c r="AA1262" s="99"/>
      <c r="AB1262" s="48" t="s">
        <v>61</v>
      </c>
      <c r="AC1262" s="68" t="s">
        <v>61</v>
      </c>
      <c r="AD1262" s="69" t="s">
        <v>61</v>
      </c>
      <c r="AE1262" s="69" t="s">
        <v>61</v>
      </c>
      <c r="AF1262" s="68" t="s">
        <v>61</v>
      </c>
      <c r="AG1262" s="68" t="s">
        <v>61</v>
      </c>
      <c r="AH1262" s="68" t="s">
        <v>61</v>
      </c>
      <c r="AI1262" s="70" t="s">
        <v>61</v>
      </c>
      <c r="AJ1262" s="114" t="s">
        <v>61</v>
      </c>
      <c r="AK1262" s="82"/>
    </row>
    <row r="1263" ht="24.0" customHeight="1">
      <c r="A1263" s="35"/>
      <c r="B1263" s="36">
        <v>1.0</v>
      </c>
      <c r="C1263" s="37" t="str">
        <f>IFERROR(__xludf.DUMMYFUNCTION("""COMPUTED_VALUE"""),"")</f>
        <v/>
      </c>
      <c r="D1263" s="89" t="s">
        <v>61</v>
      </c>
      <c r="E1263" s="51" t="s">
        <v>61</v>
      </c>
      <c r="F1263" s="137"/>
      <c r="G1263" s="133"/>
      <c r="H1263" s="141"/>
      <c r="I1263" s="57"/>
      <c r="J1263" s="57"/>
      <c r="K1263" s="72"/>
      <c r="L1263" s="57"/>
      <c r="M1263" s="55"/>
      <c r="N1263" s="55"/>
      <c r="O1263" s="57"/>
      <c r="P1263" s="57"/>
      <c r="Q1263" s="57"/>
      <c r="R1263" s="57"/>
      <c r="S1263" s="132"/>
      <c r="T1263" s="74"/>
      <c r="U1263" s="74"/>
      <c r="V1263" s="74"/>
      <c r="W1263" s="74"/>
      <c r="X1263" s="74"/>
      <c r="Y1263" s="74"/>
      <c r="Z1263" s="76"/>
      <c r="AA1263" s="134"/>
      <c r="AB1263" s="62" t="s">
        <v>61</v>
      </c>
      <c r="AC1263" s="63" t="s">
        <v>61</v>
      </c>
      <c r="AD1263" s="64" t="s">
        <v>61</v>
      </c>
      <c r="AE1263" s="64" t="s">
        <v>61</v>
      </c>
      <c r="AF1263" s="63" t="s">
        <v>61</v>
      </c>
      <c r="AG1263" s="63" t="s">
        <v>61</v>
      </c>
      <c r="AH1263" s="63" t="s">
        <v>61</v>
      </c>
      <c r="AI1263" s="65" t="s">
        <v>61</v>
      </c>
      <c r="AJ1263" s="105" t="s">
        <v>61</v>
      </c>
      <c r="AK1263" s="76"/>
    </row>
    <row r="1264" ht="24.0" customHeight="1">
      <c r="A1264" s="35"/>
      <c r="B1264" s="36">
        <v>1.0</v>
      </c>
      <c r="C1264" s="37" t="str">
        <f>IFERROR(__xludf.DUMMYFUNCTION("""COMPUTED_VALUE"""),"")</f>
        <v/>
      </c>
      <c r="D1264" s="89" t="s">
        <v>61</v>
      </c>
      <c r="E1264" s="39" t="s">
        <v>61</v>
      </c>
      <c r="F1264" s="121"/>
      <c r="G1264" s="122"/>
      <c r="H1264" s="138"/>
      <c r="I1264" s="80"/>
      <c r="J1264" s="80"/>
      <c r="K1264" s="95"/>
      <c r="L1264" s="80"/>
      <c r="M1264" s="43"/>
      <c r="N1264" s="43"/>
      <c r="O1264" s="80"/>
      <c r="P1264" s="80"/>
      <c r="Q1264" s="80"/>
      <c r="R1264" s="80"/>
      <c r="S1264" s="117"/>
      <c r="T1264" s="81"/>
      <c r="U1264" s="81"/>
      <c r="V1264" s="81"/>
      <c r="W1264" s="81"/>
      <c r="X1264" s="81"/>
      <c r="Y1264" s="81"/>
      <c r="Z1264" s="82"/>
      <c r="AA1264" s="99"/>
      <c r="AB1264" s="48" t="s">
        <v>61</v>
      </c>
      <c r="AC1264" s="68" t="s">
        <v>61</v>
      </c>
      <c r="AD1264" s="69" t="s">
        <v>61</v>
      </c>
      <c r="AE1264" s="69" t="s">
        <v>61</v>
      </c>
      <c r="AF1264" s="68" t="s">
        <v>61</v>
      </c>
      <c r="AG1264" s="68" t="s">
        <v>61</v>
      </c>
      <c r="AH1264" s="68" t="s">
        <v>61</v>
      </c>
      <c r="AI1264" s="70" t="s">
        <v>61</v>
      </c>
      <c r="AJ1264" s="114" t="s">
        <v>61</v>
      </c>
      <c r="AK1264" s="82"/>
    </row>
    <row r="1265" ht="24.0" customHeight="1">
      <c r="A1265" s="35"/>
      <c r="B1265" s="36">
        <v>1.0</v>
      </c>
      <c r="C1265" s="37" t="str">
        <f>IFERROR(__xludf.DUMMYFUNCTION("""COMPUTED_VALUE"""),"")</f>
        <v/>
      </c>
      <c r="D1265" s="89" t="s">
        <v>61</v>
      </c>
      <c r="E1265" s="51" t="s">
        <v>61</v>
      </c>
      <c r="F1265" s="137"/>
      <c r="G1265" s="133"/>
      <c r="H1265" s="141"/>
      <c r="I1265" s="57"/>
      <c r="J1265" s="57"/>
      <c r="K1265" s="72"/>
      <c r="L1265" s="57"/>
      <c r="M1265" s="55"/>
      <c r="N1265" s="55"/>
      <c r="O1265" s="57"/>
      <c r="P1265" s="57"/>
      <c r="Q1265" s="57"/>
      <c r="R1265" s="57"/>
      <c r="S1265" s="132"/>
      <c r="T1265" s="74"/>
      <c r="U1265" s="74"/>
      <c r="V1265" s="74"/>
      <c r="W1265" s="74"/>
      <c r="X1265" s="74"/>
      <c r="Y1265" s="74"/>
      <c r="Z1265" s="76"/>
      <c r="AA1265" s="134"/>
      <c r="AB1265" s="62" t="s">
        <v>61</v>
      </c>
      <c r="AC1265" s="63" t="s">
        <v>61</v>
      </c>
      <c r="AD1265" s="64" t="s">
        <v>61</v>
      </c>
      <c r="AE1265" s="64" t="s">
        <v>61</v>
      </c>
      <c r="AF1265" s="63" t="s">
        <v>61</v>
      </c>
      <c r="AG1265" s="63" t="s">
        <v>61</v>
      </c>
      <c r="AH1265" s="63" t="s">
        <v>61</v>
      </c>
      <c r="AI1265" s="65" t="s">
        <v>61</v>
      </c>
      <c r="AJ1265" s="105" t="s">
        <v>61</v>
      </c>
      <c r="AK1265" s="76"/>
    </row>
    <row r="1266" ht="24.0" customHeight="1">
      <c r="A1266" s="35"/>
      <c r="B1266" s="36">
        <v>1.0</v>
      </c>
      <c r="C1266" s="37" t="str">
        <f>IFERROR(__xludf.DUMMYFUNCTION("""COMPUTED_VALUE"""),"")</f>
        <v/>
      </c>
      <c r="D1266" s="89" t="s">
        <v>61</v>
      </c>
      <c r="E1266" s="39" t="s">
        <v>61</v>
      </c>
      <c r="F1266" s="121"/>
      <c r="G1266" s="122"/>
      <c r="H1266" s="138"/>
      <c r="I1266" s="80"/>
      <c r="J1266" s="80"/>
      <c r="K1266" s="95"/>
      <c r="L1266" s="80"/>
      <c r="M1266" s="43"/>
      <c r="N1266" s="43"/>
      <c r="O1266" s="80"/>
      <c r="P1266" s="80"/>
      <c r="Q1266" s="80"/>
      <c r="R1266" s="80"/>
      <c r="S1266" s="117"/>
      <c r="T1266" s="81"/>
      <c r="U1266" s="81"/>
      <c r="V1266" s="81"/>
      <c r="W1266" s="81"/>
      <c r="X1266" s="81"/>
      <c r="Y1266" s="81"/>
      <c r="Z1266" s="82"/>
      <c r="AA1266" s="99"/>
      <c r="AB1266" s="48" t="s">
        <v>61</v>
      </c>
      <c r="AC1266" s="68" t="s">
        <v>61</v>
      </c>
      <c r="AD1266" s="69" t="s">
        <v>61</v>
      </c>
      <c r="AE1266" s="69" t="s">
        <v>61</v>
      </c>
      <c r="AF1266" s="68" t="s">
        <v>61</v>
      </c>
      <c r="AG1266" s="68" t="s">
        <v>61</v>
      </c>
      <c r="AH1266" s="68" t="s">
        <v>61</v>
      </c>
      <c r="AI1266" s="70" t="s">
        <v>61</v>
      </c>
      <c r="AJ1266" s="114" t="s">
        <v>61</v>
      </c>
      <c r="AK1266" s="82"/>
    </row>
    <row r="1267" ht="24.0" customHeight="1">
      <c r="A1267" s="35"/>
      <c r="B1267" s="36">
        <v>1.0</v>
      </c>
      <c r="C1267" s="37" t="str">
        <f>IFERROR(__xludf.DUMMYFUNCTION("""COMPUTED_VALUE"""),"")</f>
        <v/>
      </c>
      <c r="D1267" s="89" t="s">
        <v>61</v>
      </c>
      <c r="E1267" s="51" t="s">
        <v>61</v>
      </c>
      <c r="F1267" s="137"/>
      <c r="G1267" s="133"/>
      <c r="H1267" s="141"/>
      <c r="I1267" s="57"/>
      <c r="J1267" s="57"/>
      <c r="K1267" s="72"/>
      <c r="L1267" s="57"/>
      <c r="M1267" s="55"/>
      <c r="N1267" s="55"/>
      <c r="O1267" s="57"/>
      <c r="P1267" s="57"/>
      <c r="Q1267" s="57"/>
      <c r="R1267" s="57"/>
      <c r="S1267" s="132"/>
      <c r="T1267" s="74"/>
      <c r="U1267" s="74"/>
      <c r="V1267" s="74"/>
      <c r="W1267" s="74"/>
      <c r="X1267" s="74"/>
      <c r="Y1267" s="74"/>
      <c r="Z1267" s="76"/>
      <c r="AA1267" s="134"/>
      <c r="AB1267" s="62" t="s">
        <v>61</v>
      </c>
      <c r="AC1267" s="63" t="s">
        <v>61</v>
      </c>
      <c r="AD1267" s="64" t="s">
        <v>61</v>
      </c>
      <c r="AE1267" s="64" t="s">
        <v>61</v>
      </c>
      <c r="AF1267" s="63" t="s">
        <v>61</v>
      </c>
      <c r="AG1267" s="63" t="s">
        <v>61</v>
      </c>
      <c r="AH1267" s="63" t="s">
        <v>61</v>
      </c>
      <c r="AI1267" s="65" t="s">
        <v>61</v>
      </c>
      <c r="AJ1267" s="105" t="s">
        <v>61</v>
      </c>
      <c r="AK1267" s="76"/>
    </row>
    <row r="1268" ht="24.0" customHeight="1">
      <c r="A1268" s="35"/>
      <c r="B1268" s="36">
        <v>1.0</v>
      </c>
      <c r="C1268" s="37" t="str">
        <f>IFERROR(__xludf.DUMMYFUNCTION("""COMPUTED_VALUE"""),"")</f>
        <v/>
      </c>
      <c r="D1268" s="89" t="s">
        <v>61</v>
      </c>
      <c r="E1268" s="39" t="s">
        <v>61</v>
      </c>
      <c r="F1268" s="121"/>
      <c r="G1268" s="122"/>
      <c r="H1268" s="138"/>
      <c r="I1268" s="80"/>
      <c r="J1268" s="80"/>
      <c r="K1268" s="95"/>
      <c r="L1268" s="80"/>
      <c r="M1268" s="43"/>
      <c r="N1268" s="43"/>
      <c r="O1268" s="80"/>
      <c r="P1268" s="80"/>
      <c r="Q1268" s="80"/>
      <c r="R1268" s="80"/>
      <c r="S1268" s="117"/>
      <c r="T1268" s="81"/>
      <c r="U1268" s="81"/>
      <c r="V1268" s="81"/>
      <c r="W1268" s="81"/>
      <c r="X1268" s="81"/>
      <c r="Y1268" s="81"/>
      <c r="Z1268" s="82"/>
      <c r="AA1268" s="99"/>
      <c r="AB1268" s="48" t="s">
        <v>61</v>
      </c>
      <c r="AC1268" s="68" t="s">
        <v>61</v>
      </c>
      <c r="AD1268" s="69" t="s">
        <v>61</v>
      </c>
      <c r="AE1268" s="69" t="s">
        <v>61</v>
      </c>
      <c r="AF1268" s="68" t="s">
        <v>61</v>
      </c>
      <c r="AG1268" s="68" t="s">
        <v>61</v>
      </c>
      <c r="AH1268" s="68" t="s">
        <v>61</v>
      </c>
      <c r="AI1268" s="70" t="s">
        <v>61</v>
      </c>
      <c r="AJ1268" s="114" t="s">
        <v>61</v>
      </c>
      <c r="AK1268" s="82"/>
    </row>
    <row r="1269" ht="24.0" customHeight="1">
      <c r="A1269" s="35"/>
      <c r="B1269" s="36">
        <v>1.0</v>
      </c>
      <c r="C1269" s="37" t="str">
        <f>IFERROR(__xludf.DUMMYFUNCTION("""COMPUTED_VALUE"""),"")</f>
        <v/>
      </c>
      <c r="D1269" s="89" t="s">
        <v>61</v>
      </c>
      <c r="E1269" s="51" t="s">
        <v>61</v>
      </c>
      <c r="F1269" s="137"/>
      <c r="G1269" s="133"/>
      <c r="H1269" s="141"/>
      <c r="I1269" s="57"/>
      <c r="J1269" s="57"/>
      <c r="K1269" s="72"/>
      <c r="L1269" s="57"/>
      <c r="M1269" s="55"/>
      <c r="N1269" s="55"/>
      <c r="O1269" s="57"/>
      <c r="P1269" s="57"/>
      <c r="Q1269" s="57"/>
      <c r="R1269" s="57"/>
      <c r="S1269" s="132"/>
      <c r="T1269" s="74"/>
      <c r="U1269" s="74"/>
      <c r="V1269" s="74"/>
      <c r="W1269" s="74"/>
      <c r="X1269" s="74"/>
      <c r="Y1269" s="74"/>
      <c r="Z1269" s="76"/>
      <c r="AA1269" s="134"/>
      <c r="AB1269" s="62" t="s">
        <v>61</v>
      </c>
      <c r="AC1269" s="63" t="s">
        <v>61</v>
      </c>
      <c r="AD1269" s="64" t="s">
        <v>61</v>
      </c>
      <c r="AE1269" s="64" t="s">
        <v>61</v>
      </c>
      <c r="AF1269" s="63" t="s">
        <v>61</v>
      </c>
      <c r="AG1269" s="63" t="s">
        <v>61</v>
      </c>
      <c r="AH1269" s="63" t="s">
        <v>61</v>
      </c>
      <c r="AI1269" s="65" t="s">
        <v>61</v>
      </c>
      <c r="AJ1269" s="105" t="s">
        <v>61</v>
      </c>
      <c r="AK1269" s="76"/>
    </row>
    <row r="1270" ht="24.0" customHeight="1">
      <c r="A1270" s="35"/>
      <c r="B1270" s="36">
        <v>1.0</v>
      </c>
      <c r="C1270" s="37" t="str">
        <f>IFERROR(__xludf.DUMMYFUNCTION("""COMPUTED_VALUE"""),"")</f>
        <v/>
      </c>
      <c r="D1270" s="89" t="s">
        <v>61</v>
      </c>
      <c r="E1270" s="39" t="s">
        <v>61</v>
      </c>
      <c r="F1270" s="121"/>
      <c r="G1270" s="122"/>
      <c r="H1270" s="138"/>
      <c r="I1270" s="80"/>
      <c r="J1270" s="80"/>
      <c r="K1270" s="95"/>
      <c r="L1270" s="80"/>
      <c r="M1270" s="43"/>
      <c r="N1270" s="43"/>
      <c r="O1270" s="80"/>
      <c r="P1270" s="80"/>
      <c r="Q1270" s="80"/>
      <c r="R1270" s="80"/>
      <c r="S1270" s="117"/>
      <c r="T1270" s="81"/>
      <c r="U1270" s="81"/>
      <c r="V1270" s="81"/>
      <c r="W1270" s="81"/>
      <c r="X1270" s="81"/>
      <c r="Y1270" s="81"/>
      <c r="Z1270" s="82"/>
      <c r="AA1270" s="99"/>
      <c r="AB1270" s="48" t="s">
        <v>61</v>
      </c>
      <c r="AC1270" s="68" t="s">
        <v>61</v>
      </c>
      <c r="AD1270" s="69" t="s">
        <v>61</v>
      </c>
      <c r="AE1270" s="69" t="s">
        <v>61</v>
      </c>
      <c r="AF1270" s="68" t="s">
        <v>61</v>
      </c>
      <c r="AG1270" s="68" t="s">
        <v>61</v>
      </c>
      <c r="AH1270" s="68" t="s">
        <v>61</v>
      </c>
      <c r="AI1270" s="70" t="s">
        <v>61</v>
      </c>
      <c r="AJ1270" s="114" t="s">
        <v>61</v>
      </c>
      <c r="AK1270" s="82"/>
    </row>
    <row r="1271" ht="24.0" customHeight="1">
      <c r="A1271" s="35"/>
      <c r="B1271" s="36">
        <v>1.0</v>
      </c>
      <c r="C1271" s="37" t="str">
        <f>IFERROR(__xludf.DUMMYFUNCTION("""COMPUTED_VALUE"""),"")</f>
        <v/>
      </c>
      <c r="D1271" s="89" t="s">
        <v>61</v>
      </c>
      <c r="E1271" s="51" t="s">
        <v>61</v>
      </c>
      <c r="F1271" s="137"/>
      <c r="G1271" s="133"/>
      <c r="H1271" s="141"/>
      <c r="I1271" s="57"/>
      <c r="J1271" s="57"/>
      <c r="K1271" s="72"/>
      <c r="L1271" s="57"/>
      <c r="M1271" s="55"/>
      <c r="N1271" s="55"/>
      <c r="O1271" s="57"/>
      <c r="P1271" s="57"/>
      <c r="Q1271" s="57"/>
      <c r="R1271" s="57"/>
      <c r="S1271" s="132"/>
      <c r="T1271" s="74"/>
      <c r="U1271" s="74"/>
      <c r="V1271" s="74"/>
      <c r="W1271" s="74"/>
      <c r="X1271" s="74"/>
      <c r="Y1271" s="74"/>
      <c r="Z1271" s="76"/>
      <c r="AA1271" s="134"/>
      <c r="AB1271" s="62" t="s">
        <v>61</v>
      </c>
      <c r="AC1271" s="63" t="s">
        <v>61</v>
      </c>
      <c r="AD1271" s="64" t="s">
        <v>61</v>
      </c>
      <c r="AE1271" s="64" t="s">
        <v>61</v>
      </c>
      <c r="AF1271" s="63" t="s">
        <v>61</v>
      </c>
      <c r="AG1271" s="63" t="s">
        <v>61</v>
      </c>
      <c r="AH1271" s="63" t="s">
        <v>61</v>
      </c>
      <c r="AI1271" s="65" t="s">
        <v>61</v>
      </c>
      <c r="AJ1271" s="105" t="s">
        <v>61</v>
      </c>
      <c r="AK1271" s="76"/>
    </row>
    <row r="1272" ht="24.0" customHeight="1">
      <c r="A1272" s="35"/>
      <c r="B1272" s="36">
        <v>1.0</v>
      </c>
      <c r="C1272" s="37" t="str">
        <f>IFERROR(__xludf.DUMMYFUNCTION("""COMPUTED_VALUE"""),"")</f>
        <v/>
      </c>
      <c r="D1272" s="89" t="s">
        <v>61</v>
      </c>
      <c r="E1272" s="39" t="s">
        <v>61</v>
      </c>
      <c r="F1272" s="121"/>
      <c r="G1272" s="122"/>
      <c r="H1272" s="138"/>
      <c r="I1272" s="80"/>
      <c r="J1272" s="80"/>
      <c r="K1272" s="95"/>
      <c r="L1272" s="80"/>
      <c r="M1272" s="43"/>
      <c r="N1272" s="43"/>
      <c r="O1272" s="80"/>
      <c r="P1272" s="80"/>
      <c r="Q1272" s="80"/>
      <c r="R1272" s="80"/>
      <c r="S1272" s="117"/>
      <c r="T1272" s="81"/>
      <c r="U1272" s="81"/>
      <c r="V1272" s="81"/>
      <c r="W1272" s="81"/>
      <c r="X1272" s="81"/>
      <c r="Y1272" s="81"/>
      <c r="Z1272" s="82"/>
      <c r="AA1272" s="99"/>
      <c r="AB1272" s="48" t="s">
        <v>61</v>
      </c>
      <c r="AC1272" s="68" t="s">
        <v>61</v>
      </c>
      <c r="AD1272" s="69" t="s">
        <v>61</v>
      </c>
      <c r="AE1272" s="69" t="s">
        <v>61</v>
      </c>
      <c r="AF1272" s="68" t="s">
        <v>61</v>
      </c>
      <c r="AG1272" s="68" t="s">
        <v>61</v>
      </c>
      <c r="AH1272" s="68" t="s">
        <v>61</v>
      </c>
      <c r="AI1272" s="70" t="s">
        <v>61</v>
      </c>
      <c r="AJ1272" s="114" t="s">
        <v>61</v>
      </c>
      <c r="AK1272" s="82"/>
    </row>
    <row r="1273" ht="24.0" customHeight="1">
      <c r="A1273" s="35"/>
      <c r="B1273" s="36">
        <v>1.0</v>
      </c>
      <c r="C1273" s="37" t="str">
        <f>IFERROR(__xludf.DUMMYFUNCTION("""COMPUTED_VALUE"""),"")</f>
        <v/>
      </c>
      <c r="D1273" s="89" t="s">
        <v>61</v>
      </c>
      <c r="E1273" s="51" t="s">
        <v>61</v>
      </c>
      <c r="F1273" s="137"/>
      <c r="G1273" s="133"/>
      <c r="H1273" s="141"/>
      <c r="I1273" s="57"/>
      <c r="J1273" s="57"/>
      <c r="K1273" s="72"/>
      <c r="L1273" s="57"/>
      <c r="M1273" s="55"/>
      <c r="N1273" s="55"/>
      <c r="O1273" s="57"/>
      <c r="P1273" s="57"/>
      <c r="Q1273" s="57"/>
      <c r="R1273" s="57"/>
      <c r="S1273" s="132"/>
      <c r="T1273" s="74"/>
      <c r="U1273" s="74"/>
      <c r="V1273" s="74"/>
      <c r="W1273" s="74"/>
      <c r="X1273" s="74"/>
      <c r="Y1273" s="74"/>
      <c r="Z1273" s="76"/>
      <c r="AA1273" s="134"/>
      <c r="AB1273" s="62" t="s">
        <v>61</v>
      </c>
      <c r="AC1273" s="63" t="s">
        <v>61</v>
      </c>
      <c r="AD1273" s="64" t="s">
        <v>61</v>
      </c>
      <c r="AE1273" s="64" t="s">
        <v>61</v>
      </c>
      <c r="AF1273" s="63" t="s">
        <v>61</v>
      </c>
      <c r="AG1273" s="63" t="s">
        <v>61</v>
      </c>
      <c r="AH1273" s="63" t="s">
        <v>61</v>
      </c>
      <c r="AI1273" s="65" t="s">
        <v>61</v>
      </c>
      <c r="AJ1273" s="105" t="s">
        <v>61</v>
      </c>
      <c r="AK1273" s="76"/>
    </row>
    <row r="1274" ht="24.0" customHeight="1">
      <c r="A1274" s="35"/>
      <c r="B1274" s="36">
        <v>1.0</v>
      </c>
      <c r="C1274" s="37" t="str">
        <f>IFERROR(__xludf.DUMMYFUNCTION("""COMPUTED_VALUE"""),"")</f>
        <v/>
      </c>
      <c r="D1274" s="89" t="s">
        <v>61</v>
      </c>
      <c r="E1274" s="39" t="s">
        <v>61</v>
      </c>
      <c r="F1274" s="121"/>
      <c r="G1274" s="122"/>
      <c r="H1274" s="138"/>
      <c r="I1274" s="80"/>
      <c r="J1274" s="80"/>
      <c r="K1274" s="95"/>
      <c r="L1274" s="80"/>
      <c r="M1274" s="43"/>
      <c r="N1274" s="43"/>
      <c r="O1274" s="80"/>
      <c r="P1274" s="80"/>
      <c r="Q1274" s="80"/>
      <c r="R1274" s="80"/>
      <c r="S1274" s="117"/>
      <c r="T1274" s="81"/>
      <c r="U1274" s="81"/>
      <c r="V1274" s="81"/>
      <c r="W1274" s="81"/>
      <c r="X1274" s="81"/>
      <c r="Y1274" s="81"/>
      <c r="Z1274" s="82"/>
      <c r="AA1274" s="99"/>
      <c r="AB1274" s="48" t="s">
        <v>61</v>
      </c>
      <c r="AC1274" s="68" t="s">
        <v>61</v>
      </c>
      <c r="AD1274" s="69" t="s">
        <v>61</v>
      </c>
      <c r="AE1274" s="69" t="s">
        <v>61</v>
      </c>
      <c r="AF1274" s="68" t="s">
        <v>61</v>
      </c>
      <c r="AG1274" s="68" t="s">
        <v>61</v>
      </c>
      <c r="AH1274" s="68" t="s">
        <v>61</v>
      </c>
      <c r="AI1274" s="70" t="s">
        <v>61</v>
      </c>
      <c r="AJ1274" s="114" t="s">
        <v>61</v>
      </c>
      <c r="AK1274" s="82"/>
    </row>
    <row r="1275" ht="24.0" customHeight="1">
      <c r="A1275" s="35"/>
      <c r="B1275" s="36">
        <v>1.0</v>
      </c>
      <c r="C1275" s="37" t="str">
        <f>IFERROR(__xludf.DUMMYFUNCTION("""COMPUTED_VALUE"""),"")</f>
        <v/>
      </c>
      <c r="D1275" s="89" t="s">
        <v>61</v>
      </c>
      <c r="E1275" s="51" t="s">
        <v>61</v>
      </c>
      <c r="F1275" s="137"/>
      <c r="G1275" s="133"/>
      <c r="H1275" s="141"/>
      <c r="I1275" s="57"/>
      <c r="J1275" s="57"/>
      <c r="K1275" s="72"/>
      <c r="L1275" s="57"/>
      <c r="M1275" s="55"/>
      <c r="N1275" s="55"/>
      <c r="O1275" s="57"/>
      <c r="P1275" s="57"/>
      <c r="Q1275" s="57"/>
      <c r="R1275" s="57"/>
      <c r="S1275" s="132"/>
      <c r="T1275" s="74"/>
      <c r="U1275" s="74"/>
      <c r="V1275" s="74"/>
      <c r="W1275" s="74"/>
      <c r="X1275" s="74"/>
      <c r="Y1275" s="74"/>
      <c r="Z1275" s="76"/>
      <c r="AA1275" s="134"/>
      <c r="AB1275" s="62" t="s">
        <v>61</v>
      </c>
      <c r="AC1275" s="63" t="s">
        <v>61</v>
      </c>
      <c r="AD1275" s="64" t="s">
        <v>61</v>
      </c>
      <c r="AE1275" s="64" t="s">
        <v>61</v>
      </c>
      <c r="AF1275" s="63" t="s">
        <v>61</v>
      </c>
      <c r="AG1275" s="63" t="s">
        <v>61</v>
      </c>
      <c r="AH1275" s="63" t="s">
        <v>61</v>
      </c>
      <c r="AI1275" s="65" t="s">
        <v>61</v>
      </c>
      <c r="AJ1275" s="105" t="s">
        <v>61</v>
      </c>
      <c r="AK1275" s="76"/>
    </row>
    <row r="1276" ht="24.0" customHeight="1">
      <c r="A1276" s="35"/>
      <c r="B1276" s="36">
        <v>1.0</v>
      </c>
      <c r="C1276" s="37" t="str">
        <f>IFERROR(__xludf.DUMMYFUNCTION("""COMPUTED_VALUE"""),"")</f>
        <v/>
      </c>
      <c r="D1276" s="89" t="s">
        <v>61</v>
      </c>
      <c r="E1276" s="39" t="s">
        <v>61</v>
      </c>
      <c r="F1276" s="121"/>
      <c r="G1276" s="122"/>
      <c r="H1276" s="138"/>
      <c r="I1276" s="80"/>
      <c r="J1276" s="80"/>
      <c r="K1276" s="95"/>
      <c r="L1276" s="80"/>
      <c r="M1276" s="43"/>
      <c r="N1276" s="43"/>
      <c r="O1276" s="80"/>
      <c r="P1276" s="80"/>
      <c r="Q1276" s="80"/>
      <c r="R1276" s="80"/>
      <c r="S1276" s="117"/>
      <c r="T1276" s="81"/>
      <c r="U1276" s="81"/>
      <c r="V1276" s="81"/>
      <c r="W1276" s="81"/>
      <c r="X1276" s="81"/>
      <c r="Y1276" s="81"/>
      <c r="Z1276" s="82"/>
      <c r="AA1276" s="99"/>
      <c r="AB1276" s="48" t="s">
        <v>61</v>
      </c>
      <c r="AC1276" s="68" t="s">
        <v>61</v>
      </c>
      <c r="AD1276" s="69" t="s">
        <v>61</v>
      </c>
      <c r="AE1276" s="69" t="s">
        <v>61</v>
      </c>
      <c r="AF1276" s="68" t="s">
        <v>61</v>
      </c>
      <c r="AG1276" s="68" t="s">
        <v>61</v>
      </c>
      <c r="AH1276" s="68" t="s">
        <v>61</v>
      </c>
      <c r="AI1276" s="70" t="s">
        <v>61</v>
      </c>
      <c r="AJ1276" s="114" t="s">
        <v>61</v>
      </c>
      <c r="AK1276" s="82"/>
    </row>
    <row r="1277" ht="24.0" customHeight="1">
      <c r="A1277" s="35"/>
      <c r="B1277" s="36">
        <v>1.0</v>
      </c>
      <c r="C1277" s="37" t="str">
        <f>IFERROR(__xludf.DUMMYFUNCTION("""COMPUTED_VALUE"""),"")</f>
        <v/>
      </c>
      <c r="D1277" s="89" t="s">
        <v>61</v>
      </c>
      <c r="E1277" s="51" t="s">
        <v>61</v>
      </c>
      <c r="F1277" s="137"/>
      <c r="G1277" s="133"/>
      <c r="H1277" s="141"/>
      <c r="I1277" s="57"/>
      <c r="J1277" s="57"/>
      <c r="K1277" s="72"/>
      <c r="L1277" s="57"/>
      <c r="M1277" s="55"/>
      <c r="N1277" s="55"/>
      <c r="O1277" s="57"/>
      <c r="P1277" s="57"/>
      <c r="Q1277" s="57"/>
      <c r="R1277" s="57"/>
      <c r="S1277" s="132"/>
      <c r="T1277" s="74"/>
      <c r="U1277" s="74"/>
      <c r="V1277" s="74"/>
      <c r="W1277" s="74"/>
      <c r="X1277" s="74"/>
      <c r="Y1277" s="74"/>
      <c r="Z1277" s="76"/>
      <c r="AA1277" s="134"/>
      <c r="AB1277" s="62" t="s">
        <v>61</v>
      </c>
      <c r="AC1277" s="63" t="s">
        <v>61</v>
      </c>
      <c r="AD1277" s="64" t="s">
        <v>61</v>
      </c>
      <c r="AE1277" s="64" t="s">
        <v>61</v>
      </c>
      <c r="AF1277" s="63" t="s">
        <v>61</v>
      </c>
      <c r="AG1277" s="63" t="s">
        <v>61</v>
      </c>
      <c r="AH1277" s="63" t="s">
        <v>61</v>
      </c>
      <c r="AI1277" s="65" t="s">
        <v>61</v>
      </c>
      <c r="AJ1277" s="105" t="s">
        <v>61</v>
      </c>
      <c r="AK1277" s="76"/>
    </row>
    <row r="1278" ht="24.0" customHeight="1">
      <c r="A1278" s="35"/>
      <c r="B1278" s="36">
        <v>1.0</v>
      </c>
      <c r="C1278" s="37" t="str">
        <f>IFERROR(__xludf.DUMMYFUNCTION("""COMPUTED_VALUE"""),"")</f>
        <v/>
      </c>
      <c r="D1278" s="89" t="s">
        <v>61</v>
      </c>
      <c r="E1278" s="39" t="s">
        <v>61</v>
      </c>
      <c r="F1278" s="121"/>
      <c r="G1278" s="122"/>
      <c r="H1278" s="138"/>
      <c r="I1278" s="80"/>
      <c r="J1278" s="80"/>
      <c r="K1278" s="95"/>
      <c r="L1278" s="80"/>
      <c r="M1278" s="43"/>
      <c r="N1278" s="43"/>
      <c r="O1278" s="80"/>
      <c r="P1278" s="80"/>
      <c r="Q1278" s="80"/>
      <c r="R1278" s="80"/>
      <c r="S1278" s="117"/>
      <c r="T1278" s="81"/>
      <c r="U1278" s="81"/>
      <c r="V1278" s="81"/>
      <c r="W1278" s="81"/>
      <c r="X1278" s="81"/>
      <c r="Y1278" s="81"/>
      <c r="Z1278" s="82"/>
      <c r="AA1278" s="99"/>
      <c r="AB1278" s="48" t="s">
        <v>61</v>
      </c>
      <c r="AC1278" s="68" t="s">
        <v>61</v>
      </c>
      <c r="AD1278" s="69" t="s">
        <v>61</v>
      </c>
      <c r="AE1278" s="69" t="s">
        <v>61</v>
      </c>
      <c r="AF1278" s="68" t="s">
        <v>61</v>
      </c>
      <c r="AG1278" s="68" t="s">
        <v>61</v>
      </c>
      <c r="AH1278" s="68" t="s">
        <v>61</v>
      </c>
      <c r="AI1278" s="70" t="s">
        <v>61</v>
      </c>
      <c r="AJ1278" s="114" t="s">
        <v>61</v>
      </c>
      <c r="AK1278" s="82"/>
    </row>
    <row r="1279" ht="24.0" customHeight="1">
      <c r="A1279" s="35"/>
      <c r="B1279" s="36">
        <v>1.0</v>
      </c>
      <c r="C1279" s="37" t="str">
        <f>IFERROR(__xludf.DUMMYFUNCTION("""COMPUTED_VALUE"""),"")</f>
        <v/>
      </c>
      <c r="D1279" s="89" t="s">
        <v>61</v>
      </c>
      <c r="E1279" s="51" t="s">
        <v>61</v>
      </c>
      <c r="F1279" s="137"/>
      <c r="G1279" s="133"/>
      <c r="H1279" s="141"/>
      <c r="I1279" s="57"/>
      <c r="J1279" s="57"/>
      <c r="K1279" s="72"/>
      <c r="L1279" s="57"/>
      <c r="M1279" s="55"/>
      <c r="N1279" s="55"/>
      <c r="O1279" s="57"/>
      <c r="P1279" s="57"/>
      <c r="Q1279" s="57"/>
      <c r="R1279" s="57"/>
      <c r="S1279" s="132"/>
      <c r="T1279" s="74"/>
      <c r="U1279" s="74"/>
      <c r="V1279" s="74"/>
      <c r="W1279" s="74"/>
      <c r="X1279" s="74"/>
      <c r="Y1279" s="74"/>
      <c r="Z1279" s="76"/>
      <c r="AA1279" s="134"/>
      <c r="AB1279" s="62" t="s">
        <v>61</v>
      </c>
      <c r="AC1279" s="63" t="s">
        <v>61</v>
      </c>
      <c r="AD1279" s="64" t="s">
        <v>61</v>
      </c>
      <c r="AE1279" s="64" t="s">
        <v>61</v>
      </c>
      <c r="AF1279" s="63" t="s">
        <v>61</v>
      </c>
      <c r="AG1279" s="63" t="s">
        <v>61</v>
      </c>
      <c r="AH1279" s="63" t="s">
        <v>61</v>
      </c>
      <c r="AI1279" s="65" t="s">
        <v>61</v>
      </c>
      <c r="AJ1279" s="105" t="s">
        <v>61</v>
      </c>
      <c r="AK1279" s="76"/>
    </row>
    <row r="1280" ht="24.0" customHeight="1">
      <c r="A1280" s="35"/>
      <c r="B1280" s="36">
        <v>1.0</v>
      </c>
      <c r="C1280" s="37" t="str">
        <f>IFERROR(__xludf.DUMMYFUNCTION("""COMPUTED_VALUE"""),"")</f>
        <v/>
      </c>
      <c r="D1280" s="89" t="s">
        <v>61</v>
      </c>
      <c r="E1280" s="39" t="s">
        <v>61</v>
      </c>
      <c r="F1280" s="121"/>
      <c r="G1280" s="122"/>
      <c r="H1280" s="138"/>
      <c r="I1280" s="80"/>
      <c r="J1280" s="80"/>
      <c r="K1280" s="95"/>
      <c r="L1280" s="80"/>
      <c r="M1280" s="43"/>
      <c r="N1280" s="43"/>
      <c r="O1280" s="80"/>
      <c r="P1280" s="80"/>
      <c r="Q1280" s="80"/>
      <c r="R1280" s="80"/>
      <c r="S1280" s="117"/>
      <c r="T1280" s="81"/>
      <c r="U1280" s="81"/>
      <c r="V1280" s="81"/>
      <c r="W1280" s="81"/>
      <c r="X1280" s="81"/>
      <c r="Y1280" s="81"/>
      <c r="Z1280" s="82"/>
      <c r="AA1280" s="99"/>
      <c r="AB1280" s="48" t="s">
        <v>61</v>
      </c>
      <c r="AC1280" s="68" t="s">
        <v>61</v>
      </c>
      <c r="AD1280" s="69" t="s">
        <v>61</v>
      </c>
      <c r="AE1280" s="69" t="s">
        <v>61</v>
      </c>
      <c r="AF1280" s="68" t="s">
        <v>61</v>
      </c>
      <c r="AG1280" s="68" t="s">
        <v>61</v>
      </c>
      <c r="AH1280" s="68" t="s">
        <v>61</v>
      </c>
      <c r="AI1280" s="70" t="s">
        <v>61</v>
      </c>
      <c r="AJ1280" s="114" t="s">
        <v>61</v>
      </c>
      <c r="AK1280" s="82"/>
    </row>
    <row r="1281" ht="24.0" customHeight="1">
      <c r="A1281" s="35"/>
      <c r="B1281" s="36">
        <v>1.0</v>
      </c>
      <c r="C1281" s="37" t="str">
        <f>IFERROR(__xludf.DUMMYFUNCTION("""COMPUTED_VALUE"""),"")</f>
        <v/>
      </c>
      <c r="D1281" s="89" t="s">
        <v>61</v>
      </c>
      <c r="E1281" s="51" t="s">
        <v>61</v>
      </c>
      <c r="F1281" s="137"/>
      <c r="G1281" s="133"/>
      <c r="H1281" s="141"/>
      <c r="I1281" s="57"/>
      <c r="J1281" s="57"/>
      <c r="K1281" s="72"/>
      <c r="L1281" s="57"/>
      <c r="M1281" s="55"/>
      <c r="N1281" s="55"/>
      <c r="O1281" s="57"/>
      <c r="P1281" s="57"/>
      <c r="Q1281" s="57"/>
      <c r="R1281" s="57"/>
      <c r="S1281" s="132"/>
      <c r="T1281" s="74"/>
      <c r="U1281" s="74"/>
      <c r="V1281" s="74"/>
      <c r="W1281" s="74"/>
      <c r="X1281" s="74"/>
      <c r="Y1281" s="74"/>
      <c r="Z1281" s="76"/>
      <c r="AA1281" s="134"/>
      <c r="AB1281" s="62" t="s">
        <v>61</v>
      </c>
      <c r="AC1281" s="63" t="s">
        <v>61</v>
      </c>
      <c r="AD1281" s="64" t="s">
        <v>61</v>
      </c>
      <c r="AE1281" s="64" t="s">
        <v>61</v>
      </c>
      <c r="AF1281" s="63" t="s">
        <v>61</v>
      </c>
      <c r="AG1281" s="63" t="s">
        <v>61</v>
      </c>
      <c r="AH1281" s="63" t="s">
        <v>61</v>
      </c>
      <c r="AI1281" s="65" t="s">
        <v>61</v>
      </c>
      <c r="AJ1281" s="105" t="s">
        <v>61</v>
      </c>
      <c r="AK1281" s="76"/>
    </row>
    <row r="1282" ht="24.0" customHeight="1">
      <c r="A1282" s="35"/>
      <c r="B1282" s="36">
        <v>1.0</v>
      </c>
      <c r="C1282" s="37" t="str">
        <f>IFERROR(__xludf.DUMMYFUNCTION("""COMPUTED_VALUE"""),"")</f>
        <v/>
      </c>
      <c r="D1282" s="89" t="s">
        <v>61</v>
      </c>
      <c r="E1282" s="39" t="s">
        <v>61</v>
      </c>
      <c r="F1282" s="121"/>
      <c r="G1282" s="122"/>
      <c r="H1282" s="138"/>
      <c r="I1282" s="80"/>
      <c r="J1282" s="80"/>
      <c r="K1282" s="95"/>
      <c r="L1282" s="80"/>
      <c r="M1282" s="43"/>
      <c r="N1282" s="43"/>
      <c r="O1282" s="80"/>
      <c r="P1282" s="80"/>
      <c r="Q1282" s="80"/>
      <c r="R1282" s="80"/>
      <c r="S1282" s="117"/>
      <c r="T1282" s="81"/>
      <c r="U1282" s="81"/>
      <c r="V1282" s="81"/>
      <c r="W1282" s="81"/>
      <c r="X1282" s="81"/>
      <c r="Y1282" s="81"/>
      <c r="Z1282" s="82"/>
      <c r="AA1282" s="99"/>
      <c r="AB1282" s="48" t="s">
        <v>61</v>
      </c>
      <c r="AC1282" s="68" t="s">
        <v>61</v>
      </c>
      <c r="AD1282" s="69" t="s">
        <v>61</v>
      </c>
      <c r="AE1282" s="69" t="s">
        <v>61</v>
      </c>
      <c r="AF1282" s="68" t="s">
        <v>61</v>
      </c>
      <c r="AG1282" s="68" t="s">
        <v>61</v>
      </c>
      <c r="AH1282" s="68" t="s">
        <v>61</v>
      </c>
      <c r="AI1282" s="70" t="s">
        <v>61</v>
      </c>
      <c r="AJ1282" s="114" t="s">
        <v>61</v>
      </c>
      <c r="AK1282" s="82"/>
    </row>
    <row r="1283" ht="24.0" customHeight="1">
      <c r="A1283" s="35"/>
      <c r="B1283" s="36">
        <v>1.0</v>
      </c>
      <c r="C1283" s="37" t="str">
        <f>IFERROR(__xludf.DUMMYFUNCTION("""COMPUTED_VALUE"""),"")</f>
        <v/>
      </c>
      <c r="D1283" s="89" t="s">
        <v>61</v>
      </c>
      <c r="E1283" s="51" t="s">
        <v>61</v>
      </c>
      <c r="F1283" s="137"/>
      <c r="G1283" s="133"/>
      <c r="H1283" s="141"/>
      <c r="I1283" s="57"/>
      <c r="J1283" s="57"/>
      <c r="K1283" s="72"/>
      <c r="L1283" s="57"/>
      <c r="M1283" s="55"/>
      <c r="N1283" s="55"/>
      <c r="O1283" s="57"/>
      <c r="P1283" s="57"/>
      <c r="Q1283" s="57"/>
      <c r="R1283" s="57"/>
      <c r="S1283" s="132"/>
      <c r="T1283" s="74"/>
      <c r="U1283" s="74"/>
      <c r="V1283" s="74"/>
      <c r="W1283" s="74"/>
      <c r="X1283" s="74"/>
      <c r="Y1283" s="74"/>
      <c r="Z1283" s="76"/>
      <c r="AA1283" s="134"/>
      <c r="AB1283" s="62" t="s">
        <v>61</v>
      </c>
      <c r="AC1283" s="63" t="s">
        <v>61</v>
      </c>
      <c r="AD1283" s="64" t="s">
        <v>61</v>
      </c>
      <c r="AE1283" s="64" t="s">
        <v>61</v>
      </c>
      <c r="AF1283" s="63" t="s">
        <v>61</v>
      </c>
      <c r="AG1283" s="63" t="s">
        <v>61</v>
      </c>
      <c r="AH1283" s="63" t="s">
        <v>61</v>
      </c>
      <c r="AI1283" s="65" t="s">
        <v>61</v>
      </c>
      <c r="AJ1283" s="105" t="s">
        <v>61</v>
      </c>
      <c r="AK1283" s="76"/>
    </row>
    <row r="1284" ht="24.0" customHeight="1">
      <c r="A1284" s="35"/>
      <c r="B1284" s="36">
        <v>1.0</v>
      </c>
      <c r="C1284" s="37" t="str">
        <f>IFERROR(__xludf.DUMMYFUNCTION("""COMPUTED_VALUE"""),"")</f>
        <v/>
      </c>
      <c r="D1284" s="89" t="s">
        <v>61</v>
      </c>
      <c r="E1284" s="39" t="s">
        <v>61</v>
      </c>
      <c r="F1284" s="121"/>
      <c r="G1284" s="122"/>
      <c r="H1284" s="138"/>
      <c r="I1284" s="80"/>
      <c r="J1284" s="80"/>
      <c r="K1284" s="95"/>
      <c r="L1284" s="80"/>
      <c r="M1284" s="43"/>
      <c r="N1284" s="43"/>
      <c r="O1284" s="80"/>
      <c r="P1284" s="80"/>
      <c r="Q1284" s="80"/>
      <c r="R1284" s="80"/>
      <c r="S1284" s="117"/>
      <c r="T1284" s="81"/>
      <c r="U1284" s="81"/>
      <c r="V1284" s="81"/>
      <c r="W1284" s="81"/>
      <c r="X1284" s="81"/>
      <c r="Y1284" s="81"/>
      <c r="Z1284" s="82"/>
      <c r="AA1284" s="99"/>
      <c r="AB1284" s="48" t="s">
        <v>61</v>
      </c>
      <c r="AC1284" s="68" t="s">
        <v>61</v>
      </c>
      <c r="AD1284" s="69" t="s">
        <v>61</v>
      </c>
      <c r="AE1284" s="69" t="s">
        <v>61</v>
      </c>
      <c r="AF1284" s="68" t="s">
        <v>61</v>
      </c>
      <c r="AG1284" s="68" t="s">
        <v>61</v>
      </c>
      <c r="AH1284" s="68" t="s">
        <v>61</v>
      </c>
      <c r="AI1284" s="70" t="s">
        <v>61</v>
      </c>
      <c r="AJ1284" s="114" t="s">
        <v>61</v>
      </c>
      <c r="AK1284" s="82"/>
    </row>
    <row r="1285" ht="24.0" customHeight="1">
      <c r="A1285" s="35"/>
      <c r="B1285" s="36">
        <v>1.0</v>
      </c>
      <c r="C1285" s="37" t="str">
        <f>IFERROR(__xludf.DUMMYFUNCTION("""COMPUTED_VALUE"""),"")</f>
        <v/>
      </c>
      <c r="D1285" s="89" t="s">
        <v>61</v>
      </c>
      <c r="E1285" s="51" t="s">
        <v>61</v>
      </c>
      <c r="F1285" s="137"/>
      <c r="G1285" s="133"/>
      <c r="H1285" s="141"/>
      <c r="I1285" s="57"/>
      <c r="J1285" s="57"/>
      <c r="K1285" s="72"/>
      <c r="L1285" s="57"/>
      <c r="M1285" s="55"/>
      <c r="N1285" s="55"/>
      <c r="O1285" s="57"/>
      <c r="P1285" s="57"/>
      <c r="Q1285" s="57"/>
      <c r="R1285" s="57"/>
      <c r="S1285" s="132"/>
      <c r="T1285" s="74"/>
      <c r="U1285" s="74"/>
      <c r="V1285" s="74"/>
      <c r="W1285" s="74"/>
      <c r="X1285" s="74"/>
      <c r="Y1285" s="74"/>
      <c r="Z1285" s="76"/>
      <c r="AA1285" s="134"/>
      <c r="AB1285" s="62" t="s">
        <v>61</v>
      </c>
      <c r="AC1285" s="63" t="s">
        <v>61</v>
      </c>
      <c r="AD1285" s="64" t="s">
        <v>61</v>
      </c>
      <c r="AE1285" s="64" t="s">
        <v>61</v>
      </c>
      <c r="AF1285" s="63" t="s">
        <v>61</v>
      </c>
      <c r="AG1285" s="63" t="s">
        <v>61</v>
      </c>
      <c r="AH1285" s="63" t="s">
        <v>61</v>
      </c>
      <c r="AI1285" s="65" t="s">
        <v>61</v>
      </c>
      <c r="AJ1285" s="105" t="s">
        <v>61</v>
      </c>
      <c r="AK1285" s="76"/>
    </row>
    <row r="1286" ht="24.0" customHeight="1">
      <c r="A1286" s="35"/>
      <c r="B1286" s="36">
        <v>1.0</v>
      </c>
      <c r="C1286" s="37" t="str">
        <f>IFERROR(__xludf.DUMMYFUNCTION("""COMPUTED_VALUE"""),"")</f>
        <v/>
      </c>
      <c r="D1286" s="89" t="s">
        <v>61</v>
      </c>
      <c r="E1286" s="39" t="s">
        <v>61</v>
      </c>
      <c r="F1286" s="121"/>
      <c r="G1286" s="122"/>
      <c r="H1286" s="138"/>
      <c r="I1286" s="80"/>
      <c r="J1286" s="80"/>
      <c r="K1286" s="95"/>
      <c r="L1286" s="80"/>
      <c r="M1286" s="43"/>
      <c r="N1286" s="43"/>
      <c r="O1286" s="80"/>
      <c r="P1286" s="80"/>
      <c r="Q1286" s="80"/>
      <c r="R1286" s="80"/>
      <c r="S1286" s="117"/>
      <c r="T1286" s="81"/>
      <c r="U1286" s="81"/>
      <c r="V1286" s="81"/>
      <c r="W1286" s="81"/>
      <c r="X1286" s="81"/>
      <c r="Y1286" s="81"/>
      <c r="Z1286" s="82"/>
      <c r="AA1286" s="99"/>
      <c r="AB1286" s="48" t="s">
        <v>61</v>
      </c>
      <c r="AC1286" s="68" t="s">
        <v>61</v>
      </c>
      <c r="AD1286" s="69" t="s">
        <v>61</v>
      </c>
      <c r="AE1286" s="69" t="s">
        <v>61</v>
      </c>
      <c r="AF1286" s="68" t="s">
        <v>61</v>
      </c>
      <c r="AG1286" s="68" t="s">
        <v>61</v>
      </c>
      <c r="AH1286" s="68" t="s">
        <v>61</v>
      </c>
      <c r="AI1286" s="70" t="s">
        <v>61</v>
      </c>
      <c r="AJ1286" s="114" t="s">
        <v>61</v>
      </c>
      <c r="AK1286" s="82"/>
    </row>
    <row r="1287" ht="24.0" customHeight="1">
      <c r="A1287" s="35"/>
      <c r="B1287" s="36">
        <v>1.0</v>
      </c>
      <c r="C1287" s="37" t="str">
        <f>IFERROR(__xludf.DUMMYFUNCTION("""COMPUTED_VALUE"""),"")</f>
        <v/>
      </c>
      <c r="D1287" s="89" t="s">
        <v>61</v>
      </c>
      <c r="E1287" s="51" t="s">
        <v>61</v>
      </c>
      <c r="F1287" s="137"/>
      <c r="G1287" s="133"/>
      <c r="H1287" s="141"/>
      <c r="I1287" s="57"/>
      <c r="J1287" s="57"/>
      <c r="K1287" s="72"/>
      <c r="L1287" s="57"/>
      <c r="M1287" s="55"/>
      <c r="N1287" s="55"/>
      <c r="O1287" s="57"/>
      <c r="P1287" s="57"/>
      <c r="Q1287" s="57"/>
      <c r="R1287" s="57"/>
      <c r="S1287" s="132"/>
      <c r="T1287" s="74"/>
      <c r="U1287" s="74"/>
      <c r="V1287" s="74"/>
      <c r="W1287" s="74"/>
      <c r="X1287" s="74"/>
      <c r="Y1287" s="74"/>
      <c r="Z1287" s="76"/>
      <c r="AA1287" s="134"/>
      <c r="AB1287" s="62" t="s">
        <v>61</v>
      </c>
      <c r="AC1287" s="63" t="s">
        <v>61</v>
      </c>
      <c r="AD1287" s="64" t="s">
        <v>61</v>
      </c>
      <c r="AE1287" s="64" t="s">
        <v>61</v>
      </c>
      <c r="AF1287" s="63" t="s">
        <v>61</v>
      </c>
      <c r="AG1287" s="63" t="s">
        <v>61</v>
      </c>
      <c r="AH1287" s="63" t="s">
        <v>61</v>
      </c>
      <c r="AI1287" s="65" t="s">
        <v>61</v>
      </c>
      <c r="AJ1287" s="105" t="s">
        <v>61</v>
      </c>
      <c r="AK1287" s="76"/>
    </row>
    <row r="1288" ht="24.0" customHeight="1">
      <c r="A1288" s="35"/>
      <c r="B1288" s="36">
        <v>1.0</v>
      </c>
      <c r="C1288" s="37" t="str">
        <f>IFERROR(__xludf.DUMMYFUNCTION("""COMPUTED_VALUE"""),"")</f>
        <v/>
      </c>
      <c r="D1288" s="89" t="s">
        <v>61</v>
      </c>
      <c r="E1288" s="39" t="s">
        <v>61</v>
      </c>
      <c r="F1288" s="121"/>
      <c r="G1288" s="122"/>
      <c r="H1288" s="138"/>
      <c r="I1288" s="80"/>
      <c r="J1288" s="80"/>
      <c r="K1288" s="95"/>
      <c r="L1288" s="80"/>
      <c r="M1288" s="43"/>
      <c r="N1288" s="43"/>
      <c r="O1288" s="80"/>
      <c r="P1288" s="80"/>
      <c r="Q1288" s="80"/>
      <c r="R1288" s="80"/>
      <c r="S1288" s="117"/>
      <c r="T1288" s="81"/>
      <c r="U1288" s="81"/>
      <c r="V1288" s="81"/>
      <c r="W1288" s="81"/>
      <c r="X1288" s="81"/>
      <c r="Y1288" s="81"/>
      <c r="Z1288" s="82"/>
      <c r="AA1288" s="99"/>
      <c r="AB1288" s="48" t="s">
        <v>61</v>
      </c>
      <c r="AC1288" s="68" t="s">
        <v>61</v>
      </c>
      <c r="AD1288" s="69" t="s">
        <v>61</v>
      </c>
      <c r="AE1288" s="69" t="s">
        <v>61</v>
      </c>
      <c r="AF1288" s="68" t="s">
        <v>61</v>
      </c>
      <c r="AG1288" s="68" t="s">
        <v>61</v>
      </c>
      <c r="AH1288" s="68" t="s">
        <v>61</v>
      </c>
      <c r="AI1288" s="70" t="s">
        <v>61</v>
      </c>
      <c r="AJ1288" s="114" t="s">
        <v>61</v>
      </c>
      <c r="AK1288" s="82"/>
    </row>
    <row r="1289" ht="24.0" customHeight="1">
      <c r="A1289" s="35"/>
      <c r="B1289" s="36">
        <v>1.0</v>
      </c>
      <c r="C1289" s="37" t="str">
        <f>IFERROR(__xludf.DUMMYFUNCTION("""COMPUTED_VALUE"""),"")</f>
        <v/>
      </c>
      <c r="D1289" s="89" t="s">
        <v>61</v>
      </c>
      <c r="E1289" s="51" t="s">
        <v>61</v>
      </c>
      <c r="F1289" s="137"/>
      <c r="G1289" s="133"/>
      <c r="H1289" s="141"/>
      <c r="I1289" s="57"/>
      <c r="J1289" s="57"/>
      <c r="K1289" s="72"/>
      <c r="L1289" s="57"/>
      <c r="M1289" s="55"/>
      <c r="N1289" s="55"/>
      <c r="O1289" s="57"/>
      <c r="P1289" s="57"/>
      <c r="Q1289" s="57"/>
      <c r="R1289" s="57"/>
      <c r="S1289" s="132"/>
      <c r="T1289" s="74"/>
      <c r="U1289" s="74"/>
      <c r="V1289" s="74"/>
      <c r="W1289" s="74"/>
      <c r="X1289" s="74"/>
      <c r="Y1289" s="74"/>
      <c r="Z1289" s="76"/>
      <c r="AA1289" s="134"/>
      <c r="AB1289" s="62" t="s">
        <v>61</v>
      </c>
      <c r="AC1289" s="63" t="s">
        <v>61</v>
      </c>
      <c r="AD1289" s="64" t="s">
        <v>61</v>
      </c>
      <c r="AE1289" s="64" t="s">
        <v>61</v>
      </c>
      <c r="AF1289" s="63" t="s">
        <v>61</v>
      </c>
      <c r="AG1289" s="63" t="s">
        <v>61</v>
      </c>
      <c r="AH1289" s="63" t="s">
        <v>61</v>
      </c>
      <c r="AI1289" s="65" t="s">
        <v>61</v>
      </c>
      <c r="AJ1289" s="105" t="s">
        <v>61</v>
      </c>
      <c r="AK1289" s="76"/>
    </row>
    <row r="1290" ht="24.0" customHeight="1">
      <c r="A1290" s="35"/>
      <c r="B1290" s="36">
        <v>1.0</v>
      </c>
      <c r="C1290" s="37" t="str">
        <f>IFERROR(__xludf.DUMMYFUNCTION("""COMPUTED_VALUE"""),"")</f>
        <v/>
      </c>
      <c r="D1290" s="89" t="s">
        <v>61</v>
      </c>
      <c r="E1290" s="39" t="s">
        <v>61</v>
      </c>
      <c r="F1290" s="121"/>
      <c r="G1290" s="122"/>
      <c r="H1290" s="138"/>
      <c r="I1290" s="80"/>
      <c r="J1290" s="80"/>
      <c r="K1290" s="95"/>
      <c r="L1290" s="80"/>
      <c r="M1290" s="43"/>
      <c r="N1290" s="43"/>
      <c r="O1290" s="80"/>
      <c r="P1290" s="80"/>
      <c r="Q1290" s="80"/>
      <c r="R1290" s="80"/>
      <c r="S1290" s="117"/>
      <c r="T1290" s="81"/>
      <c r="U1290" s="81"/>
      <c r="V1290" s="81"/>
      <c r="W1290" s="81"/>
      <c r="X1290" s="81"/>
      <c r="Y1290" s="81"/>
      <c r="Z1290" s="82"/>
      <c r="AA1290" s="99"/>
      <c r="AB1290" s="48" t="s">
        <v>61</v>
      </c>
      <c r="AC1290" s="68" t="s">
        <v>61</v>
      </c>
      <c r="AD1290" s="69" t="s">
        <v>61</v>
      </c>
      <c r="AE1290" s="69" t="s">
        <v>61</v>
      </c>
      <c r="AF1290" s="68" t="s">
        <v>61</v>
      </c>
      <c r="AG1290" s="68" t="s">
        <v>61</v>
      </c>
      <c r="AH1290" s="68" t="s">
        <v>61</v>
      </c>
      <c r="AI1290" s="70" t="s">
        <v>61</v>
      </c>
      <c r="AJ1290" s="114" t="s">
        <v>61</v>
      </c>
      <c r="AK1290" s="82"/>
    </row>
    <row r="1291" ht="24.0" customHeight="1">
      <c r="A1291" s="35"/>
      <c r="B1291" s="36">
        <v>1.0</v>
      </c>
      <c r="C1291" s="37" t="str">
        <f>IFERROR(__xludf.DUMMYFUNCTION("""COMPUTED_VALUE"""),"")</f>
        <v/>
      </c>
      <c r="D1291" s="89" t="s">
        <v>61</v>
      </c>
      <c r="E1291" s="51" t="s">
        <v>61</v>
      </c>
      <c r="F1291" s="137"/>
      <c r="G1291" s="133"/>
      <c r="H1291" s="141"/>
      <c r="I1291" s="57"/>
      <c r="J1291" s="57"/>
      <c r="K1291" s="72"/>
      <c r="L1291" s="57"/>
      <c r="M1291" s="55"/>
      <c r="N1291" s="55"/>
      <c r="O1291" s="57"/>
      <c r="P1291" s="57"/>
      <c r="Q1291" s="57"/>
      <c r="R1291" s="57"/>
      <c r="S1291" s="132"/>
      <c r="T1291" s="74"/>
      <c r="U1291" s="74"/>
      <c r="V1291" s="74"/>
      <c r="W1291" s="74"/>
      <c r="X1291" s="74"/>
      <c r="Y1291" s="74"/>
      <c r="Z1291" s="76"/>
      <c r="AA1291" s="134"/>
      <c r="AB1291" s="62" t="s">
        <v>61</v>
      </c>
      <c r="AC1291" s="63" t="s">
        <v>61</v>
      </c>
      <c r="AD1291" s="64" t="s">
        <v>61</v>
      </c>
      <c r="AE1291" s="64" t="s">
        <v>61</v>
      </c>
      <c r="AF1291" s="63" t="s">
        <v>61</v>
      </c>
      <c r="AG1291" s="63" t="s">
        <v>61</v>
      </c>
      <c r="AH1291" s="63" t="s">
        <v>61</v>
      </c>
      <c r="AI1291" s="65" t="s">
        <v>61</v>
      </c>
      <c r="AJ1291" s="105" t="s">
        <v>61</v>
      </c>
      <c r="AK1291" s="76"/>
    </row>
    <row r="1292" ht="24.0" customHeight="1">
      <c r="A1292" s="35"/>
      <c r="B1292" s="36">
        <v>1.0</v>
      </c>
      <c r="C1292" s="37" t="str">
        <f>IFERROR(__xludf.DUMMYFUNCTION("""COMPUTED_VALUE"""),"")</f>
        <v/>
      </c>
      <c r="D1292" s="89" t="s">
        <v>61</v>
      </c>
      <c r="E1292" s="39" t="s">
        <v>61</v>
      </c>
      <c r="F1292" s="121"/>
      <c r="G1292" s="122"/>
      <c r="H1292" s="138"/>
      <c r="I1292" s="80"/>
      <c r="J1292" s="80"/>
      <c r="K1292" s="95"/>
      <c r="L1292" s="80"/>
      <c r="M1292" s="43"/>
      <c r="N1292" s="43"/>
      <c r="O1292" s="80"/>
      <c r="P1292" s="80"/>
      <c r="Q1292" s="80"/>
      <c r="R1292" s="80"/>
      <c r="S1292" s="117"/>
      <c r="T1292" s="81"/>
      <c r="U1292" s="81"/>
      <c r="V1292" s="81"/>
      <c r="W1292" s="81"/>
      <c r="X1292" s="81"/>
      <c r="Y1292" s="81"/>
      <c r="Z1292" s="82"/>
      <c r="AA1292" s="99"/>
      <c r="AB1292" s="48" t="s">
        <v>61</v>
      </c>
      <c r="AC1292" s="68" t="s">
        <v>61</v>
      </c>
      <c r="AD1292" s="69" t="s">
        <v>61</v>
      </c>
      <c r="AE1292" s="69" t="s">
        <v>61</v>
      </c>
      <c r="AF1292" s="68" t="s">
        <v>61</v>
      </c>
      <c r="AG1292" s="68" t="s">
        <v>61</v>
      </c>
      <c r="AH1292" s="68" t="s">
        <v>61</v>
      </c>
      <c r="AI1292" s="70" t="s">
        <v>61</v>
      </c>
      <c r="AJ1292" s="114" t="s">
        <v>61</v>
      </c>
      <c r="AK1292" s="82"/>
    </row>
    <row r="1293" ht="24.0" customHeight="1">
      <c r="A1293" s="35"/>
      <c r="B1293" s="36">
        <v>1.0</v>
      </c>
      <c r="C1293" s="37" t="str">
        <f>IFERROR(__xludf.DUMMYFUNCTION("""COMPUTED_VALUE"""),"")</f>
        <v/>
      </c>
      <c r="D1293" s="89" t="s">
        <v>61</v>
      </c>
      <c r="E1293" s="51" t="s">
        <v>61</v>
      </c>
      <c r="F1293" s="137"/>
      <c r="G1293" s="133"/>
      <c r="H1293" s="141"/>
      <c r="I1293" s="57"/>
      <c r="J1293" s="57"/>
      <c r="K1293" s="72"/>
      <c r="L1293" s="57"/>
      <c r="M1293" s="55"/>
      <c r="N1293" s="55"/>
      <c r="O1293" s="57"/>
      <c r="P1293" s="57"/>
      <c r="Q1293" s="57"/>
      <c r="R1293" s="57"/>
      <c r="S1293" s="132"/>
      <c r="T1293" s="74"/>
      <c r="U1293" s="74"/>
      <c r="V1293" s="74"/>
      <c r="W1293" s="74"/>
      <c r="X1293" s="74"/>
      <c r="Y1293" s="74"/>
      <c r="Z1293" s="76"/>
      <c r="AA1293" s="134"/>
      <c r="AB1293" s="62" t="s">
        <v>61</v>
      </c>
      <c r="AC1293" s="63" t="s">
        <v>61</v>
      </c>
      <c r="AD1293" s="64" t="s">
        <v>61</v>
      </c>
      <c r="AE1293" s="64" t="s">
        <v>61</v>
      </c>
      <c r="AF1293" s="63" t="s">
        <v>61</v>
      </c>
      <c r="AG1293" s="63" t="s">
        <v>61</v>
      </c>
      <c r="AH1293" s="63" t="s">
        <v>61</v>
      </c>
      <c r="AI1293" s="65" t="s">
        <v>61</v>
      </c>
      <c r="AJ1293" s="105" t="s">
        <v>61</v>
      </c>
      <c r="AK1293" s="76"/>
    </row>
    <row r="1294" ht="24.0" customHeight="1">
      <c r="A1294" s="35"/>
      <c r="B1294" s="36">
        <v>1.0</v>
      </c>
      <c r="C1294" s="37" t="str">
        <f>IFERROR(__xludf.DUMMYFUNCTION("""COMPUTED_VALUE"""),"")</f>
        <v/>
      </c>
      <c r="D1294" s="89" t="s">
        <v>61</v>
      </c>
      <c r="E1294" s="39" t="s">
        <v>61</v>
      </c>
      <c r="F1294" s="121"/>
      <c r="G1294" s="122"/>
      <c r="H1294" s="138"/>
      <c r="I1294" s="80"/>
      <c r="J1294" s="80"/>
      <c r="K1294" s="95"/>
      <c r="L1294" s="80"/>
      <c r="M1294" s="43"/>
      <c r="N1294" s="43"/>
      <c r="O1294" s="80"/>
      <c r="P1294" s="80"/>
      <c r="Q1294" s="80"/>
      <c r="R1294" s="80"/>
      <c r="S1294" s="117"/>
      <c r="T1294" s="81"/>
      <c r="U1294" s="81"/>
      <c r="V1294" s="81"/>
      <c r="W1294" s="81"/>
      <c r="X1294" s="81"/>
      <c r="Y1294" s="81"/>
      <c r="Z1294" s="82"/>
      <c r="AA1294" s="99"/>
      <c r="AB1294" s="48" t="s">
        <v>61</v>
      </c>
      <c r="AC1294" s="68" t="s">
        <v>61</v>
      </c>
      <c r="AD1294" s="69" t="s">
        <v>61</v>
      </c>
      <c r="AE1294" s="69" t="s">
        <v>61</v>
      </c>
      <c r="AF1294" s="68" t="s">
        <v>61</v>
      </c>
      <c r="AG1294" s="68" t="s">
        <v>61</v>
      </c>
      <c r="AH1294" s="68" t="s">
        <v>61</v>
      </c>
      <c r="AI1294" s="70" t="s">
        <v>61</v>
      </c>
      <c r="AJ1294" s="114" t="s">
        <v>61</v>
      </c>
      <c r="AK1294" s="82"/>
    </row>
    <row r="1295" ht="24.0" customHeight="1">
      <c r="A1295" s="35"/>
      <c r="B1295" s="36">
        <v>1.0</v>
      </c>
      <c r="C1295" s="37" t="str">
        <f>IFERROR(__xludf.DUMMYFUNCTION("""COMPUTED_VALUE"""),"")</f>
        <v/>
      </c>
      <c r="D1295" s="89" t="s">
        <v>61</v>
      </c>
      <c r="E1295" s="51" t="s">
        <v>61</v>
      </c>
      <c r="F1295" s="137"/>
      <c r="G1295" s="133"/>
      <c r="H1295" s="141"/>
      <c r="I1295" s="57"/>
      <c r="J1295" s="57"/>
      <c r="K1295" s="72"/>
      <c r="L1295" s="57"/>
      <c r="M1295" s="55"/>
      <c r="N1295" s="55"/>
      <c r="O1295" s="57"/>
      <c r="P1295" s="57"/>
      <c r="Q1295" s="57"/>
      <c r="R1295" s="57"/>
      <c r="S1295" s="132"/>
      <c r="T1295" s="74"/>
      <c r="U1295" s="74"/>
      <c r="V1295" s="74"/>
      <c r="W1295" s="74"/>
      <c r="X1295" s="74"/>
      <c r="Y1295" s="74"/>
      <c r="Z1295" s="76"/>
      <c r="AA1295" s="134"/>
      <c r="AB1295" s="62" t="s">
        <v>61</v>
      </c>
      <c r="AC1295" s="63" t="s">
        <v>61</v>
      </c>
      <c r="AD1295" s="64" t="s">
        <v>61</v>
      </c>
      <c r="AE1295" s="64" t="s">
        <v>61</v>
      </c>
      <c r="AF1295" s="63" t="s">
        <v>61</v>
      </c>
      <c r="AG1295" s="63" t="s">
        <v>61</v>
      </c>
      <c r="AH1295" s="63" t="s">
        <v>61</v>
      </c>
      <c r="AI1295" s="65" t="s">
        <v>61</v>
      </c>
      <c r="AJ1295" s="105" t="s">
        <v>61</v>
      </c>
      <c r="AK1295" s="76"/>
    </row>
    <row r="1296" ht="24.0" customHeight="1">
      <c r="A1296" s="35"/>
      <c r="B1296" s="36">
        <v>1.0</v>
      </c>
      <c r="C1296" s="37" t="str">
        <f>IFERROR(__xludf.DUMMYFUNCTION("""COMPUTED_VALUE"""),"")</f>
        <v/>
      </c>
      <c r="D1296" s="89" t="s">
        <v>61</v>
      </c>
      <c r="E1296" s="39" t="s">
        <v>61</v>
      </c>
      <c r="F1296" s="121"/>
      <c r="G1296" s="122"/>
      <c r="H1296" s="138"/>
      <c r="I1296" s="80"/>
      <c r="J1296" s="80"/>
      <c r="K1296" s="95"/>
      <c r="L1296" s="80"/>
      <c r="M1296" s="43"/>
      <c r="N1296" s="43"/>
      <c r="O1296" s="80"/>
      <c r="P1296" s="80"/>
      <c r="Q1296" s="80"/>
      <c r="R1296" s="80"/>
      <c r="S1296" s="117"/>
      <c r="T1296" s="81"/>
      <c r="U1296" s="81"/>
      <c r="V1296" s="81"/>
      <c r="W1296" s="81"/>
      <c r="X1296" s="81"/>
      <c r="Y1296" s="81"/>
      <c r="Z1296" s="82"/>
      <c r="AA1296" s="99"/>
      <c r="AB1296" s="48" t="s">
        <v>61</v>
      </c>
      <c r="AC1296" s="68" t="s">
        <v>61</v>
      </c>
      <c r="AD1296" s="69" t="s">
        <v>61</v>
      </c>
      <c r="AE1296" s="69" t="s">
        <v>61</v>
      </c>
      <c r="AF1296" s="68" t="s">
        <v>61</v>
      </c>
      <c r="AG1296" s="68" t="s">
        <v>61</v>
      </c>
      <c r="AH1296" s="68" t="s">
        <v>61</v>
      </c>
      <c r="AI1296" s="70" t="s">
        <v>61</v>
      </c>
      <c r="AJ1296" s="114" t="s">
        <v>61</v>
      </c>
      <c r="AK1296" s="82"/>
    </row>
    <row r="1297" ht="24.0" customHeight="1">
      <c r="A1297" s="35"/>
      <c r="B1297" s="36">
        <v>1.0</v>
      </c>
      <c r="C1297" s="37" t="str">
        <f>IFERROR(__xludf.DUMMYFUNCTION("""COMPUTED_VALUE"""),"")</f>
        <v/>
      </c>
      <c r="D1297" s="89" t="s">
        <v>61</v>
      </c>
      <c r="E1297" s="51" t="s">
        <v>61</v>
      </c>
      <c r="F1297" s="137"/>
      <c r="G1297" s="133"/>
      <c r="H1297" s="141"/>
      <c r="I1297" s="57"/>
      <c r="J1297" s="57"/>
      <c r="K1297" s="72"/>
      <c r="L1297" s="57"/>
      <c r="M1297" s="55"/>
      <c r="N1297" s="55"/>
      <c r="O1297" s="57"/>
      <c r="P1297" s="57"/>
      <c r="Q1297" s="57"/>
      <c r="R1297" s="57"/>
      <c r="S1297" s="132"/>
      <c r="T1297" s="74"/>
      <c r="U1297" s="74"/>
      <c r="V1297" s="74"/>
      <c r="W1297" s="74"/>
      <c r="X1297" s="74"/>
      <c r="Y1297" s="74"/>
      <c r="Z1297" s="76"/>
      <c r="AA1297" s="134"/>
      <c r="AB1297" s="62" t="s">
        <v>61</v>
      </c>
      <c r="AC1297" s="63" t="s">
        <v>61</v>
      </c>
      <c r="AD1297" s="64" t="s">
        <v>61</v>
      </c>
      <c r="AE1297" s="64" t="s">
        <v>61</v>
      </c>
      <c r="AF1297" s="63" t="s">
        <v>61</v>
      </c>
      <c r="AG1297" s="63" t="s">
        <v>61</v>
      </c>
      <c r="AH1297" s="63" t="s">
        <v>61</v>
      </c>
      <c r="AI1297" s="65" t="s">
        <v>61</v>
      </c>
      <c r="AJ1297" s="105" t="s">
        <v>61</v>
      </c>
      <c r="AK1297" s="76"/>
    </row>
    <row r="1298" ht="24.0" customHeight="1">
      <c r="A1298" s="35"/>
      <c r="B1298" s="36">
        <v>1.0</v>
      </c>
      <c r="C1298" s="37" t="str">
        <f>IFERROR(__xludf.DUMMYFUNCTION("""COMPUTED_VALUE"""),"")</f>
        <v/>
      </c>
      <c r="D1298" s="89" t="s">
        <v>61</v>
      </c>
      <c r="E1298" s="39" t="s">
        <v>61</v>
      </c>
      <c r="F1298" s="121"/>
      <c r="G1298" s="122"/>
      <c r="H1298" s="138"/>
      <c r="I1298" s="80"/>
      <c r="J1298" s="80"/>
      <c r="K1298" s="95"/>
      <c r="L1298" s="80"/>
      <c r="M1298" s="43"/>
      <c r="N1298" s="43"/>
      <c r="O1298" s="80"/>
      <c r="P1298" s="80"/>
      <c r="Q1298" s="80"/>
      <c r="R1298" s="80"/>
      <c r="S1298" s="117"/>
      <c r="T1298" s="81"/>
      <c r="U1298" s="81"/>
      <c r="V1298" s="81"/>
      <c r="W1298" s="81"/>
      <c r="X1298" s="81"/>
      <c r="Y1298" s="81"/>
      <c r="Z1298" s="82"/>
      <c r="AA1298" s="99"/>
      <c r="AB1298" s="48" t="s">
        <v>61</v>
      </c>
      <c r="AC1298" s="68" t="s">
        <v>61</v>
      </c>
      <c r="AD1298" s="69" t="s">
        <v>61</v>
      </c>
      <c r="AE1298" s="69" t="s">
        <v>61</v>
      </c>
      <c r="AF1298" s="68" t="s">
        <v>61</v>
      </c>
      <c r="AG1298" s="68" t="s">
        <v>61</v>
      </c>
      <c r="AH1298" s="68" t="s">
        <v>61</v>
      </c>
      <c r="AI1298" s="70" t="s">
        <v>61</v>
      </c>
      <c r="AJ1298" s="114" t="s">
        <v>61</v>
      </c>
      <c r="AK1298" s="82"/>
    </row>
    <row r="1299" ht="24.0" customHeight="1">
      <c r="A1299" s="35"/>
      <c r="B1299" s="36">
        <v>1.0</v>
      </c>
      <c r="C1299" s="37" t="str">
        <f>IFERROR(__xludf.DUMMYFUNCTION("""COMPUTED_VALUE"""),"")</f>
        <v/>
      </c>
      <c r="D1299" s="89" t="s">
        <v>61</v>
      </c>
      <c r="E1299" s="51" t="s">
        <v>61</v>
      </c>
      <c r="F1299" s="137"/>
      <c r="G1299" s="133"/>
      <c r="H1299" s="141"/>
      <c r="I1299" s="57"/>
      <c r="J1299" s="57"/>
      <c r="K1299" s="72"/>
      <c r="L1299" s="57"/>
      <c r="M1299" s="55"/>
      <c r="N1299" s="55"/>
      <c r="O1299" s="57"/>
      <c r="P1299" s="57"/>
      <c r="Q1299" s="57"/>
      <c r="R1299" s="57"/>
      <c r="S1299" s="132"/>
      <c r="T1299" s="74"/>
      <c r="U1299" s="74"/>
      <c r="V1299" s="74"/>
      <c r="W1299" s="74"/>
      <c r="X1299" s="74"/>
      <c r="Y1299" s="74"/>
      <c r="Z1299" s="76"/>
      <c r="AA1299" s="134"/>
      <c r="AB1299" s="62" t="s">
        <v>61</v>
      </c>
      <c r="AC1299" s="63" t="s">
        <v>61</v>
      </c>
      <c r="AD1299" s="64" t="s">
        <v>61</v>
      </c>
      <c r="AE1299" s="64" t="s">
        <v>61</v>
      </c>
      <c r="AF1299" s="63" t="s">
        <v>61</v>
      </c>
      <c r="AG1299" s="63" t="s">
        <v>61</v>
      </c>
      <c r="AH1299" s="63" t="s">
        <v>61</v>
      </c>
      <c r="AI1299" s="65" t="s">
        <v>61</v>
      </c>
      <c r="AJ1299" s="105" t="s">
        <v>61</v>
      </c>
      <c r="AK1299" s="76"/>
    </row>
    <row r="1300" ht="24.0" customHeight="1">
      <c r="A1300" s="35"/>
      <c r="B1300" s="36">
        <v>1.0</v>
      </c>
      <c r="C1300" s="37" t="str">
        <f>IFERROR(__xludf.DUMMYFUNCTION("""COMPUTED_VALUE"""),"")</f>
        <v/>
      </c>
      <c r="D1300" s="89" t="s">
        <v>61</v>
      </c>
      <c r="E1300" s="39" t="s">
        <v>61</v>
      </c>
      <c r="F1300" s="121"/>
      <c r="G1300" s="122"/>
      <c r="H1300" s="138"/>
      <c r="I1300" s="80"/>
      <c r="J1300" s="80"/>
      <c r="K1300" s="95"/>
      <c r="L1300" s="80"/>
      <c r="M1300" s="43"/>
      <c r="N1300" s="43"/>
      <c r="O1300" s="80"/>
      <c r="P1300" s="80"/>
      <c r="Q1300" s="80"/>
      <c r="R1300" s="80"/>
      <c r="S1300" s="117"/>
      <c r="T1300" s="81"/>
      <c r="U1300" s="81"/>
      <c r="V1300" s="81"/>
      <c r="W1300" s="81"/>
      <c r="X1300" s="81"/>
      <c r="Y1300" s="81"/>
      <c r="Z1300" s="82"/>
      <c r="AA1300" s="99"/>
      <c r="AB1300" s="48" t="s">
        <v>61</v>
      </c>
      <c r="AC1300" s="68" t="s">
        <v>61</v>
      </c>
      <c r="AD1300" s="69" t="s">
        <v>61</v>
      </c>
      <c r="AE1300" s="69" t="s">
        <v>61</v>
      </c>
      <c r="AF1300" s="68" t="s">
        <v>61</v>
      </c>
      <c r="AG1300" s="68" t="s">
        <v>61</v>
      </c>
      <c r="AH1300" s="68" t="s">
        <v>61</v>
      </c>
      <c r="AI1300" s="70" t="s">
        <v>61</v>
      </c>
      <c r="AJ1300" s="114" t="s">
        <v>61</v>
      </c>
      <c r="AK1300" s="82"/>
    </row>
    <row r="1301" ht="24.0" customHeight="1">
      <c r="A1301" s="35"/>
      <c r="B1301" s="36">
        <v>1.0</v>
      </c>
      <c r="C1301" s="37" t="str">
        <f>IFERROR(__xludf.DUMMYFUNCTION("""COMPUTED_VALUE"""),"")</f>
        <v/>
      </c>
      <c r="D1301" s="89" t="s">
        <v>61</v>
      </c>
      <c r="E1301" s="51" t="s">
        <v>61</v>
      </c>
      <c r="F1301" s="137"/>
      <c r="G1301" s="133"/>
      <c r="H1301" s="141"/>
      <c r="I1301" s="57"/>
      <c r="J1301" s="57"/>
      <c r="K1301" s="72"/>
      <c r="L1301" s="57"/>
      <c r="M1301" s="55"/>
      <c r="N1301" s="55"/>
      <c r="O1301" s="57"/>
      <c r="P1301" s="57"/>
      <c r="Q1301" s="57"/>
      <c r="R1301" s="57"/>
      <c r="S1301" s="132"/>
      <c r="T1301" s="74"/>
      <c r="U1301" s="74"/>
      <c r="V1301" s="74"/>
      <c r="W1301" s="74"/>
      <c r="X1301" s="74"/>
      <c r="Y1301" s="74"/>
      <c r="Z1301" s="76"/>
      <c r="AA1301" s="134"/>
      <c r="AB1301" s="62" t="s">
        <v>61</v>
      </c>
      <c r="AC1301" s="63" t="s">
        <v>61</v>
      </c>
      <c r="AD1301" s="64" t="s">
        <v>61</v>
      </c>
      <c r="AE1301" s="64" t="s">
        <v>61</v>
      </c>
      <c r="AF1301" s="63" t="s">
        <v>61</v>
      </c>
      <c r="AG1301" s="63" t="s">
        <v>61</v>
      </c>
      <c r="AH1301" s="63" t="s">
        <v>61</v>
      </c>
      <c r="AI1301" s="65" t="s">
        <v>61</v>
      </c>
      <c r="AJ1301" s="105" t="s">
        <v>61</v>
      </c>
      <c r="AK1301" s="76"/>
    </row>
    <row r="1302" ht="24.0" customHeight="1">
      <c r="A1302" s="35"/>
      <c r="B1302" s="36">
        <v>1.0</v>
      </c>
      <c r="C1302" s="37" t="str">
        <f>IFERROR(__xludf.DUMMYFUNCTION("""COMPUTED_VALUE"""),"")</f>
        <v/>
      </c>
      <c r="D1302" s="89" t="s">
        <v>61</v>
      </c>
      <c r="E1302" s="39" t="s">
        <v>61</v>
      </c>
      <c r="F1302" s="121"/>
      <c r="G1302" s="122"/>
      <c r="H1302" s="138"/>
      <c r="I1302" s="80"/>
      <c r="J1302" s="80"/>
      <c r="K1302" s="95"/>
      <c r="L1302" s="80"/>
      <c r="M1302" s="43"/>
      <c r="N1302" s="43"/>
      <c r="O1302" s="80"/>
      <c r="P1302" s="80"/>
      <c r="Q1302" s="80"/>
      <c r="R1302" s="80"/>
      <c r="S1302" s="117"/>
      <c r="T1302" s="81"/>
      <c r="U1302" s="81"/>
      <c r="V1302" s="81"/>
      <c r="W1302" s="81"/>
      <c r="X1302" s="81"/>
      <c r="Y1302" s="81"/>
      <c r="Z1302" s="82"/>
      <c r="AA1302" s="99"/>
      <c r="AB1302" s="48" t="s">
        <v>61</v>
      </c>
      <c r="AC1302" s="68" t="s">
        <v>61</v>
      </c>
      <c r="AD1302" s="69" t="s">
        <v>61</v>
      </c>
      <c r="AE1302" s="69" t="s">
        <v>61</v>
      </c>
      <c r="AF1302" s="68" t="s">
        <v>61</v>
      </c>
      <c r="AG1302" s="68" t="s">
        <v>61</v>
      </c>
      <c r="AH1302" s="68" t="s">
        <v>61</v>
      </c>
      <c r="AI1302" s="70" t="s">
        <v>61</v>
      </c>
      <c r="AJ1302" s="114" t="s">
        <v>61</v>
      </c>
      <c r="AK1302" s="82"/>
    </row>
    <row r="1303" ht="24.0" customHeight="1">
      <c r="A1303" s="35"/>
      <c r="B1303" s="36">
        <v>1.0</v>
      </c>
      <c r="C1303" s="37" t="str">
        <f>IFERROR(__xludf.DUMMYFUNCTION("""COMPUTED_VALUE"""),"")</f>
        <v/>
      </c>
      <c r="D1303" s="89" t="s">
        <v>61</v>
      </c>
      <c r="E1303" s="51" t="s">
        <v>61</v>
      </c>
      <c r="F1303" s="137"/>
      <c r="G1303" s="133"/>
      <c r="H1303" s="141"/>
      <c r="I1303" s="57"/>
      <c r="J1303" s="57"/>
      <c r="K1303" s="72"/>
      <c r="L1303" s="57"/>
      <c r="M1303" s="55"/>
      <c r="N1303" s="55"/>
      <c r="O1303" s="57"/>
      <c r="P1303" s="57"/>
      <c r="Q1303" s="57"/>
      <c r="R1303" s="57"/>
      <c r="S1303" s="132"/>
      <c r="T1303" s="74"/>
      <c r="U1303" s="74"/>
      <c r="V1303" s="74"/>
      <c r="W1303" s="74"/>
      <c r="X1303" s="74"/>
      <c r="Y1303" s="74"/>
      <c r="Z1303" s="76"/>
      <c r="AA1303" s="134"/>
      <c r="AB1303" s="62" t="s">
        <v>61</v>
      </c>
      <c r="AC1303" s="63" t="s">
        <v>61</v>
      </c>
      <c r="AD1303" s="64" t="s">
        <v>61</v>
      </c>
      <c r="AE1303" s="64" t="s">
        <v>61</v>
      </c>
      <c r="AF1303" s="63" t="s">
        <v>61</v>
      </c>
      <c r="AG1303" s="63" t="s">
        <v>61</v>
      </c>
      <c r="AH1303" s="63" t="s">
        <v>61</v>
      </c>
      <c r="AI1303" s="65" t="s">
        <v>61</v>
      </c>
      <c r="AJ1303" s="105" t="s">
        <v>61</v>
      </c>
      <c r="AK1303" s="76"/>
    </row>
    <row r="1304" ht="24.0" customHeight="1">
      <c r="A1304" s="35"/>
      <c r="B1304" s="36">
        <v>1.0</v>
      </c>
      <c r="C1304" s="37" t="str">
        <f>IFERROR(__xludf.DUMMYFUNCTION("""COMPUTED_VALUE"""),"")</f>
        <v/>
      </c>
      <c r="D1304" s="89" t="s">
        <v>61</v>
      </c>
      <c r="E1304" s="39" t="s">
        <v>61</v>
      </c>
      <c r="F1304" s="121"/>
      <c r="G1304" s="122"/>
      <c r="H1304" s="138"/>
      <c r="I1304" s="80"/>
      <c r="J1304" s="80"/>
      <c r="K1304" s="95"/>
      <c r="L1304" s="80"/>
      <c r="M1304" s="43"/>
      <c r="N1304" s="43"/>
      <c r="O1304" s="80"/>
      <c r="P1304" s="80"/>
      <c r="Q1304" s="80"/>
      <c r="R1304" s="80"/>
      <c r="S1304" s="117"/>
      <c r="T1304" s="81"/>
      <c r="U1304" s="81"/>
      <c r="V1304" s="81"/>
      <c r="W1304" s="81"/>
      <c r="X1304" s="81"/>
      <c r="Y1304" s="81"/>
      <c r="Z1304" s="82"/>
      <c r="AA1304" s="99"/>
      <c r="AB1304" s="48" t="s">
        <v>61</v>
      </c>
      <c r="AC1304" s="68" t="s">
        <v>61</v>
      </c>
      <c r="AD1304" s="69" t="s">
        <v>61</v>
      </c>
      <c r="AE1304" s="69" t="s">
        <v>61</v>
      </c>
      <c r="AF1304" s="68" t="s">
        <v>61</v>
      </c>
      <c r="AG1304" s="68" t="s">
        <v>61</v>
      </c>
      <c r="AH1304" s="68" t="s">
        <v>61</v>
      </c>
      <c r="AI1304" s="70" t="s">
        <v>61</v>
      </c>
      <c r="AJ1304" s="114" t="s">
        <v>61</v>
      </c>
      <c r="AK1304" s="82"/>
    </row>
    <row r="1305" ht="24.0" customHeight="1">
      <c r="A1305" s="35"/>
      <c r="B1305" s="36">
        <v>1.0</v>
      </c>
      <c r="C1305" s="37" t="str">
        <f>IFERROR(__xludf.DUMMYFUNCTION("""COMPUTED_VALUE"""),"")</f>
        <v/>
      </c>
      <c r="D1305" s="89" t="s">
        <v>61</v>
      </c>
      <c r="E1305" s="51" t="s">
        <v>61</v>
      </c>
      <c r="F1305" s="137"/>
      <c r="G1305" s="133"/>
      <c r="H1305" s="141"/>
      <c r="I1305" s="57"/>
      <c r="J1305" s="57"/>
      <c r="K1305" s="72"/>
      <c r="L1305" s="57"/>
      <c r="M1305" s="55"/>
      <c r="N1305" s="55"/>
      <c r="O1305" s="57"/>
      <c r="P1305" s="57"/>
      <c r="Q1305" s="57"/>
      <c r="R1305" s="57"/>
      <c r="S1305" s="132"/>
      <c r="T1305" s="74"/>
      <c r="U1305" s="74"/>
      <c r="V1305" s="74"/>
      <c r="W1305" s="74"/>
      <c r="X1305" s="74"/>
      <c r="Y1305" s="74"/>
      <c r="Z1305" s="76"/>
      <c r="AA1305" s="134"/>
      <c r="AB1305" s="62" t="s">
        <v>61</v>
      </c>
      <c r="AC1305" s="63" t="s">
        <v>61</v>
      </c>
      <c r="AD1305" s="64" t="s">
        <v>61</v>
      </c>
      <c r="AE1305" s="64" t="s">
        <v>61</v>
      </c>
      <c r="AF1305" s="63" t="s">
        <v>61</v>
      </c>
      <c r="AG1305" s="63" t="s">
        <v>61</v>
      </c>
      <c r="AH1305" s="63" t="s">
        <v>61</v>
      </c>
      <c r="AI1305" s="65" t="s">
        <v>61</v>
      </c>
      <c r="AJ1305" s="105" t="s">
        <v>61</v>
      </c>
      <c r="AK1305" s="76"/>
    </row>
    <row r="1306" ht="24.0" customHeight="1">
      <c r="A1306" s="35"/>
      <c r="B1306" s="36">
        <v>1.0</v>
      </c>
      <c r="C1306" s="37" t="str">
        <f>IFERROR(__xludf.DUMMYFUNCTION("""COMPUTED_VALUE"""),"")</f>
        <v/>
      </c>
      <c r="D1306" s="89" t="s">
        <v>61</v>
      </c>
      <c r="E1306" s="39" t="s">
        <v>61</v>
      </c>
      <c r="F1306" s="121"/>
      <c r="G1306" s="122"/>
      <c r="H1306" s="138"/>
      <c r="I1306" s="80"/>
      <c r="J1306" s="80"/>
      <c r="K1306" s="95"/>
      <c r="L1306" s="80"/>
      <c r="M1306" s="43"/>
      <c r="N1306" s="43"/>
      <c r="O1306" s="80"/>
      <c r="P1306" s="80"/>
      <c r="Q1306" s="80"/>
      <c r="R1306" s="80"/>
      <c r="S1306" s="117"/>
      <c r="T1306" s="81"/>
      <c r="U1306" s="81"/>
      <c r="V1306" s="81"/>
      <c r="W1306" s="81"/>
      <c r="X1306" s="81"/>
      <c r="Y1306" s="81"/>
      <c r="Z1306" s="82"/>
      <c r="AA1306" s="99"/>
      <c r="AB1306" s="48" t="s">
        <v>61</v>
      </c>
      <c r="AC1306" s="68" t="s">
        <v>61</v>
      </c>
      <c r="AD1306" s="69" t="s">
        <v>61</v>
      </c>
      <c r="AE1306" s="69" t="s">
        <v>61</v>
      </c>
      <c r="AF1306" s="68" t="s">
        <v>61</v>
      </c>
      <c r="AG1306" s="68" t="s">
        <v>61</v>
      </c>
      <c r="AH1306" s="68" t="s">
        <v>61</v>
      </c>
      <c r="AI1306" s="70" t="s">
        <v>61</v>
      </c>
      <c r="AJ1306" s="114" t="s">
        <v>61</v>
      </c>
      <c r="AK1306" s="82"/>
    </row>
    <row r="1307" ht="24.0" customHeight="1">
      <c r="A1307" s="35"/>
      <c r="B1307" s="36">
        <v>1.0</v>
      </c>
      <c r="C1307" s="37" t="str">
        <f>IFERROR(__xludf.DUMMYFUNCTION("""COMPUTED_VALUE"""),"")</f>
        <v/>
      </c>
      <c r="D1307" s="89" t="s">
        <v>61</v>
      </c>
      <c r="E1307" s="51" t="s">
        <v>61</v>
      </c>
      <c r="F1307" s="137"/>
      <c r="G1307" s="133"/>
      <c r="H1307" s="141"/>
      <c r="I1307" s="57"/>
      <c r="J1307" s="57"/>
      <c r="K1307" s="72"/>
      <c r="L1307" s="57"/>
      <c r="M1307" s="55"/>
      <c r="N1307" s="55"/>
      <c r="O1307" s="57"/>
      <c r="P1307" s="57"/>
      <c r="Q1307" s="57"/>
      <c r="R1307" s="57"/>
      <c r="S1307" s="132"/>
      <c r="T1307" s="74"/>
      <c r="U1307" s="74"/>
      <c r="V1307" s="74"/>
      <c r="W1307" s="74"/>
      <c r="X1307" s="74"/>
      <c r="Y1307" s="74"/>
      <c r="Z1307" s="76"/>
      <c r="AA1307" s="134"/>
      <c r="AB1307" s="62" t="s">
        <v>61</v>
      </c>
      <c r="AC1307" s="63" t="s">
        <v>61</v>
      </c>
      <c r="AD1307" s="64" t="s">
        <v>61</v>
      </c>
      <c r="AE1307" s="64" t="s">
        <v>61</v>
      </c>
      <c r="AF1307" s="63" t="s">
        <v>61</v>
      </c>
      <c r="AG1307" s="63" t="s">
        <v>61</v>
      </c>
      <c r="AH1307" s="63" t="s">
        <v>61</v>
      </c>
      <c r="AI1307" s="65" t="s">
        <v>61</v>
      </c>
      <c r="AJ1307" s="105" t="s">
        <v>61</v>
      </c>
      <c r="AK1307" s="76"/>
    </row>
    <row r="1308" ht="24.0" customHeight="1">
      <c r="A1308" s="35"/>
      <c r="B1308" s="36">
        <v>1.0</v>
      </c>
      <c r="C1308" s="37" t="str">
        <f>IFERROR(__xludf.DUMMYFUNCTION("""COMPUTED_VALUE"""),"")</f>
        <v/>
      </c>
      <c r="D1308" s="89" t="s">
        <v>61</v>
      </c>
      <c r="E1308" s="39" t="s">
        <v>61</v>
      </c>
      <c r="F1308" s="121"/>
      <c r="G1308" s="122"/>
      <c r="H1308" s="138"/>
      <c r="I1308" s="80"/>
      <c r="J1308" s="80"/>
      <c r="K1308" s="95"/>
      <c r="L1308" s="80"/>
      <c r="M1308" s="43"/>
      <c r="N1308" s="43"/>
      <c r="O1308" s="80"/>
      <c r="P1308" s="80"/>
      <c r="Q1308" s="80"/>
      <c r="R1308" s="80"/>
      <c r="S1308" s="117"/>
      <c r="T1308" s="81"/>
      <c r="U1308" s="81"/>
      <c r="V1308" s="81"/>
      <c r="W1308" s="81"/>
      <c r="X1308" s="81"/>
      <c r="Y1308" s="81"/>
      <c r="Z1308" s="82"/>
      <c r="AA1308" s="99"/>
      <c r="AB1308" s="48" t="s">
        <v>61</v>
      </c>
      <c r="AC1308" s="68" t="s">
        <v>61</v>
      </c>
      <c r="AD1308" s="69" t="s">
        <v>61</v>
      </c>
      <c r="AE1308" s="69" t="s">
        <v>61</v>
      </c>
      <c r="AF1308" s="68" t="s">
        <v>61</v>
      </c>
      <c r="AG1308" s="68" t="s">
        <v>61</v>
      </c>
      <c r="AH1308" s="68" t="s">
        <v>61</v>
      </c>
      <c r="AI1308" s="70" t="s">
        <v>61</v>
      </c>
      <c r="AJ1308" s="114" t="s">
        <v>61</v>
      </c>
      <c r="AK1308" s="82"/>
    </row>
    <row r="1309" ht="24.0" customHeight="1">
      <c r="A1309" s="35"/>
      <c r="B1309" s="36">
        <v>1.0</v>
      </c>
      <c r="C1309" s="37" t="str">
        <f>IFERROR(__xludf.DUMMYFUNCTION("""COMPUTED_VALUE"""),"")</f>
        <v/>
      </c>
      <c r="D1309" s="89" t="s">
        <v>61</v>
      </c>
      <c r="E1309" s="51" t="s">
        <v>61</v>
      </c>
      <c r="F1309" s="137"/>
      <c r="G1309" s="133"/>
      <c r="H1309" s="141"/>
      <c r="I1309" s="57"/>
      <c r="J1309" s="57"/>
      <c r="K1309" s="72"/>
      <c r="L1309" s="57"/>
      <c r="M1309" s="55"/>
      <c r="N1309" s="55"/>
      <c r="O1309" s="57"/>
      <c r="P1309" s="57"/>
      <c r="Q1309" s="57"/>
      <c r="R1309" s="57"/>
      <c r="S1309" s="132"/>
      <c r="T1309" s="74"/>
      <c r="U1309" s="74"/>
      <c r="V1309" s="74"/>
      <c r="W1309" s="74"/>
      <c r="X1309" s="74"/>
      <c r="Y1309" s="74"/>
      <c r="Z1309" s="76"/>
      <c r="AA1309" s="134"/>
      <c r="AB1309" s="62" t="s">
        <v>61</v>
      </c>
      <c r="AC1309" s="63" t="s">
        <v>61</v>
      </c>
      <c r="AD1309" s="64" t="s">
        <v>61</v>
      </c>
      <c r="AE1309" s="64" t="s">
        <v>61</v>
      </c>
      <c r="AF1309" s="63" t="s">
        <v>61</v>
      </c>
      <c r="AG1309" s="63" t="s">
        <v>61</v>
      </c>
      <c r="AH1309" s="63" t="s">
        <v>61</v>
      </c>
      <c r="AI1309" s="65" t="s">
        <v>61</v>
      </c>
      <c r="AJ1309" s="105" t="s">
        <v>61</v>
      </c>
      <c r="AK1309" s="76"/>
    </row>
    <row r="1310" ht="24.0" customHeight="1">
      <c r="A1310" s="35"/>
      <c r="B1310" s="36">
        <v>1.0</v>
      </c>
      <c r="C1310" s="37" t="str">
        <f>IFERROR(__xludf.DUMMYFUNCTION("""COMPUTED_VALUE"""),"")</f>
        <v/>
      </c>
      <c r="D1310" s="89" t="s">
        <v>61</v>
      </c>
      <c r="E1310" s="39" t="s">
        <v>61</v>
      </c>
      <c r="F1310" s="121"/>
      <c r="G1310" s="122"/>
      <c r="H1310" s="138"/>
      <c r="I1310" s="80"/>
      <c r="J1310" s="80"/>
      <c r="K1310" s="95"/>
      <c r="L1310" s="80"/>
      <c r="M1310" s="43"/>
      <c r="N1310" s="43"/>
      <c r="O1310" s="80"/>
      <c r="P1310" s="80"/>
      <c r="Q1310" s="80"/>
      <c r="R1310" s="80"/>
      <c r="S1310" s="117"/>
      <c r="T1310" s="81"/>
      <c r="U1310" s="81"/>
      <c r="V1310" s="81"/>
      <c r="W1310" s="81"/>
      <c r="X1310" s="81"/>
      <c r="Y1310" s="81"/>
      <c r="Z1310" s="82"/>
      <c r="AA1310" s="99"/>
      <c r="AB1310" s="48" t="s">
        <v>61</v>
      </c>
      <c r="AC1310" s="68" t="s">
        <v>61</v>
      </c>
      <c r="AD1310" s="69" t="s">
        <v>61</v>
      </c>
      <c r="AE1310" s="69" t="s">
        <v>61</v>
      </c>
      <c r="AF1310" s="68" t="s">
        <v>61</v>
      </c>
      <c r="AG1310" s="68" t="s">
        <v>61</v>
      </c>
      <c r="AH1310" s="68" t="s">
        <v>61</v>
      </c>
      <c r="AI1310" s="70" t="s">
        <v>61</v>
      </c>
      <c r="AJ1310" s="114" t="s">
        <v>61</v>
      </c>
      <c r="AK1310" s="82"/>
    </row>
    <row r="1311" ht="24.0" customHeight="1">
      <c r="A1311" s="35"/>
      <c r="B1311" s="36">
        <v>1.0</v>
      </c>
      <c r="C1311" s="37" t="str">
        <f>IFERROR(__xludf.DUMMYFUNCTION("""COMPUTED_VALUE"""),"")</f>
        <v/>
      </c>
      <c r="D1311" s="89" t="s">
        <v>61</v>
      </c>
      <c r="E1311" s="51" t="s">
        <v>61</v>
      </c>
      <c r="F1311" s="137"/>
      <c r="G1311" s="133"/>
      <c r="H1311" s="141"/>
      <c r="I1311" s="57"/>
      <c r="J1311" s="57"/>
      <c r="K1311" s="72"/>
      <c r="L1311" s="57"/>
      <c r="M1311" s="55"/>
      <c r="N1311" s="55"/>
      <c r="O1311" s="57"/>
      <c r="P1311" s="57"/>
      <c r="Q1311" s="57"/>
      <c r="R1311" s="57"/>
      <c r="S1311" s="132"/>
      <c r="T1311" s="74"/>
      <c r="U1311" s="74"/>
      <c r="V1311" s="74"/>
      <c r="W1311" s="74"/>
      <c r="X1311" s="74"/>
      <c r="Y1311" s="74"/>
      <c r="Z1311" s="76"/>
      <c r="AA1311" s="134"/>
      <c r="AB1311" s="62" t="s">
        <v>61</v>
      </c>
      <c r="AC1311" s="63" t="s">
        <v>61</v>
      </c>
      <c r="AD1311" s="64" t="s">
        <v>61</v>
      </c>
      <c r="AE1311" s="64" t="s">
        <v>61</v>
      </c>
      <c r="AF1311" s="63" t="s">
        <v>61</v>
      </c>
      <c r="AG1311" s="63" t="s">
        <v>61</v>
      </c>
      <c r="AH1311" s="63" t="s">
        <v>61</v>
      </c>
      <c r="AI1311" s="65" t="s">
        <v>61</v>
      </c>
      <c r="AJ1311" s="105" t="s">
        <v>61</v>
      </c>
      <c r="AK1311" s="76"/>
    </row>
    <row r="1312" ht="24.0" customHeight="1">
      <c r="A1312" s="35"/>
      <c r="B1312" s="36">
        <v>1.0</v>
      </c>
      <c r="C1312" s="37" t="str">
        <f>IFERROR(__xludf.DUMMYFUNCTION("""COMPUTED_VALUE"""),"")</f>
        <v/>
      </c>
      <c r="D1312" s="89" t="s">
        <v>61</v>
      </c>
      <c r="E1312" s="39" t="s">
        <v>61</v>
      </c>
      <c r="F1312" s="121"/>
      <c r="G1312" s="122"/>
      <c r="H1312" s="138"/>
      <c r="I1312" s="80"/>
      <c r="J1312" s="80"/>
      <c r="K1312" s="95"/>
      <c r="L1312" s="80"/>
      <c r="M1312" s="43"/>
      <c r="N1312" s="43"/>
      <c r="O1312" s="80"/>
      <c r="P1312" s="80"/>
      <c r="Q1312" s="80"/>
      <c r="R1312" s="80"/>
      <c r="S1312" s="117"/>
      <c r="T1312" s="81"/>
      <c r="U1312" s="81"/>
      <c r="V1312" s="81"/>
      <c r="W1312" s="81"/>
      <c r="X1312" s="81"/>
      <c r="Y1312" s="81"/>
      <c r="Z1312" s="82"/>
      <c r="AA1312" s="99"/>
      <c r="AB1312" s="48" t="s">
        <v>61</v>
      </c>
      <c r="AC1312" s="68" t="s">
        <v>61</v>
      </c>
      <c r="AD1312" s="69" t="s">
        <v>61</v>
      </c>
      <c r="AE1312" s="69" t="s">
        <v>61</v>
      </c>
      <c r="AF1312" s="68" t="s">
        <v>61</v>
      </c>
      <c r="AG1312" s="68" t="s">
        <v>61</v>
      </c>
      <c r="AH1312" s="68" t="s">
        <v>61</v>
      </c>
      <c r="AI1312" s="70" t="s">
        <v>61</v>
      </c>
      <c r="AJ1312" s="114" t="s">
        <v>61</v>
      </c>
      <c r="AK1312" s="82"/>
    </row>
    <row r="1313" ht="24.0" customHeight="1">
      <c r="A1313" s="35"/>
      <c r="B1313" s="36">
        <v>1.0</v>
      </c>
      <c r="C1313" s="37" t="str">
        <f>IFERROR(__xludf.DUMMYFUNCTION("""COMPUTED_VALUE"""),"")</f>
        <v/>
      </c>
      <c r="D1313" s="89" t="s">
        <v>61</v>
      </c>
      <c r="E1313" s="51" t="s">
        <v>61</v>
      </c>
      <c r="F1313" s="137"/>
      <c r="G1313" s="133"/>
      <c r="H1313" s="141"/>
      <c r="I1313" s="57"/>
      <c r="J1313" s="57"/>
      <c r="K1313" s="72"/>
      <c r="L1313" s="57"/>
      <c r="M1313" s="55"/>
      <c r="N1313" s="55"/>
      <c r="O1313" s="57"/>
      <c r="P1313" s="57"/>
      <c r="Q1313" s="57"/>
      <c r="R1313" s="57"/>
      <c r="S1313" s="132"/>
      <c r="T1313" s="74"/>
      <c r="U1313" s="74"/>
      <c r="V1313" s="74"/>
      <c r="W1313" s="74"/>
      <c r="X1313" s="74"/>
      <c r="Y1313" s="74"/>
      <c r="Z1313" s="76"/>
      <c r="AA1313" s="134"/>
      <c r="AB1313" s="62" t="s">
        <v>61</v>
      </c>
      <c r="AC1313" s="63" t="s">
        <v>61</v>
      </c>
      <c r="AD1313" s="64" t="s">
        <v>61</v>
      </c>
      <c r="AE1313" s="64" t="s">
        <v>61</v>
      </c>
      <c r="AF1313" s="63" t="s">
        <v>61</v>
      </c>
      <c r="AG1313" s="63" t="s">
        <v>61</v>
      </c>
      <c r="AH1313" s="63" t="s">
        <v>61</v>
      </c>
      <c r="AI1313" s="65" t="s">
        <v>61</v>
      </c>
      <c r="AJ1313" s="105" t="s">
        <v>61</v>
      </c>
      <c r="AK1313" s="76"/>
    </row>
    <row r="1314" ht="24.0" customHeight="1">
      <c r="A1314" s="35"/>
      <c r="B1314" s="36">
        <v>1.0</v>
      </c>
      <c r="C1314" s="37" t="str">
        <f>IFERROR(__xludf.DUMMYFUNCTION("""COMPUTED_VALUE"""),"")</f>
        <v/>
      </c>
      <c r="D1314" s="89" t="s">
        <v>61</v>
      </c>
      <c r="E1314" s="39" t="s">
        <v>61</v>
      </c>
      <c r="F1314" s="121"/>
      <c r="G1314" s="122"/>
      <c r="H1314" s="138"/>
      <c r="I1314" s="80"/>
      <c r="J1314" s="80"/>
      <c r="K1314" s="95"/>
      <c r="L1314" s="80"/>
      <c r="M1314" s="43"/>
      <c r="N1314" s="43"/>
      <c r="O1314" s="80"/>
      <c r="P1314" s="80"/>
      <c r="Q1314" s="80"/>
      <c r="R1314" s="80"/>
      <c r="S1314" s="117"/>
      <c r="T1314" s="81"/>
      <c r="U1314" s="81"/>
      <c r="V1314" s="81"/>
      <c r="W1314" s="81"/>
      <c r="X1314" s="81"/>
      <c r="Y1314" s="81"/>
      <c r="Z1314" s="82"/>
      <c r="AA1314" s="99"/>
      <c r="AB1314" s="48" t="s">
        <v>61</v>
      </c>
      <c r="AC1314" s="68" t="s">
        <v>61</v>
      </c>
      <c r="AD1314" s="69" t="s">
        <v>61</v>
      </c>
      <c r="AE1314" s="69" t="s">
        <v>61</v>
      </c>
      <c r="AF1314" s="68" t="s">
        <v>61</v>
      </c>
      <c r="AG1314" s="68" t="s">
        <v>61</v>
      </c>
      <c r="AH1314" s="68" t="s">
        <v>61</v>
      </c>
      <c r="AI1314" s="70" t="s">
        <v>61</v>
      </c>
      <c r="AJ1314" s="114" t="s">
        <v>61</v>
      </c>
      <c r="AK1314" s="82"/>
    </row>
    <row r="1315" ht="24.0" customHeight="1">
      <c r="A1315" s="35"/>
      <c r="B1315" s="36">
        <v>1.0</v>
      </c>
      <c r="C1315" s="37" t="str">
        <f>IFERROR(__xludf.DUMMYFUNCTION("""COMPUTED_VALUE"""),"")</f>
        <v/>
      </c>
      <c r="D1315" s="89" t="s">
        <v>61</v>
      </c>
      <c r="E1315" s="51" t="s">
        <v>61</v>
      </c>
      <c r="F1315" s="137"/>
      <c r="G1315" s="133"/>
      <c r="H1315" s="141"/>
      <c r="I1315" s="57"/>
      <c r="J1315" s="57"/>
      <c r="K1315" s="72"/>
      <c r="L1315" s="57"/>
      <c r="M1315" s="55"/>
      <c r="N1315" s="55"/>
      <c r="O1315" s="57"/>
      <c r="P1315" s="57"/>
      <c r="Q1315" s="57"/>
      <c r="R1315" s="57"/>
      <c r="S1315" s="132"/>
      <c r="T1315" s="74"/>
      <c r="U1315" s="74"/>
      <c r="V1315" s="74"/>
      <c r="W1315" s="74"/>
      <c r="X1315" s="74"/>
      <c r="Y1315" s="74"/>
      <c r="Z1315" s="76"/>
      <c r="AA1315" s="134"/>
      <c r="AB1315" s="62" t="s">
        <v>61</v>
      </c>
      <c r="AC1315" s="63" t="s">
        <v>61</v>
      </c>
      <c r="AD1315" s="64" t="s">
        <v>61</v>
      </c>
      <c r="AE1315" s="64" t="s">
        <v>61</v>
      </c>
      <c r="AF1315" s="63" t="s">
        <v>61</v>
      </c>
      <c r="AG1315" s="63" t="s">
        <v>61</v>
      </c>
      <c r="AH1315" s="63" t="s">
        <v>61</v>
      </c>
      <c r="AI1315" s="65" t="s">
        <v>61</v>
      </c>
      <c r="AJ1315" s="105" t="s">
        <v>61</v>
      </c>
      <c r="AK1315" s="76"/>
    </row>
    <row r="1316" ht="24.0" customHeight="1">
      <c r="A1316" s="35"/>
      <c r="B1316" s="36">
        <v>1.0</v>
      </c>
      <c r="C1316" s="37" t="str">
        <f>IFERROR(__xludf.DUMMYFUNCTION("""COMPUTED_VALUE"""),"")</f>
        <v/>
      </c>
      <c r="D1316" s="89" t="s">
        <v>61</v>
      </c>
      <c r="E1316" s="39" t="s">
        <v>61</v>
      </c>
      <c r="F1316" s="121"/>
      <c r="G1316" s="122"/>
      <c r="H1316" s="138"/>
      <c r="I1316" s="80"/>
      <c r="J1316" s="80"/>
      <c r="K1316" s="95"/>
      <c r="L1316" s="80"/>
      <c r="M1316" s="43"/>
      <c r="N1316" s="43"/>
      <c r="O1316" s="80"/>
      <c r="P1316" s="80"/>
      <c r="Q1316" s="80"/>
      <c r="R1316" s="80"/>
      <c r="S1316" s="117"/>
      <c r="T1316" s="81"/>
      <c r="U1316" s="81"/>
      <c r="V1316" s="81"/>
      <c r="W1316" s="81"/>
      <c r="X1316" s="81"/>
      <c r="Y1316" s="81"/>
      <c r="Z1316" s="82"/>
      <c r="AA1316" s="99"/>
      <c r="AB1316" s="48" t="s">
        <v>61</v>
      </c>
      <c r="AC1316" s="68" t="s">
        <v>61</v>
      </c>
      <c r="AD1316" s="69" t="s">
        <v>61</v>
      </c>
      <c r="AE1316" s="69" t="s">
        <v>61</v>
      </c>
      <c r="AF1316" s="68" t="s">
        <v>61</v>
      </c>
      <c r="AG1316" s="68" t="s">
        <v>61</v>
      </c>
      <c r="AH1316" s="68" t="s">
        <v>61</v>
      </c>
      <c r="AI1316" s="70" t="s">
        <v>61</v>
      </c>
      <c r="AJ1316" s="114" t="s">
        <v>61</v>
      </c>
      <c r="AK1316" s="82"/>
    </row>
    <row r="1317" ht="24.0" customHeight="1">
      <c r="A1317" s="35"/>
      <c r="B1317" s="36">
        <v>1.0</v>
      </c>
      <c r="C1317" s="37" t="str">
        <f>IFERROR(__xludf.DUMMYFUNCTION("""COMPUTED_VALUE"""),"")</f>
        <v/>
      </c>
      <c r="D1317" s="89" t="s">
        <v>61</v>
      </c>
      <c r="E1317" s="51" t="s">
        <v>61</v>
      </c>
      <c r="F1317" s="137"/>
      <c r="G1317" s="133"/>
      <c r="H1317" s="141"/>
      <c r="I1317" s="57"/>
      <c r="J1317" s="57"/>
      <c r="K1317" s="72"/>
      <c r="L1317" s="57"/>
      <c r="M1317" s="55"/>
      <c r="N1317" s="55"/>
      <c r="O1317" s="57"/>
      <c r="P1317" s="57"/>
      <c r="Q1317" s="57"/>
      <c r="R1317" s="57"/>
      <c r="S1317" s="132"/>
      <c r="T1317" s="74"/>
      <c r="U1317" s="74"/>
      <c r="V1317" s="74"/>
      <c r="W1317" s="74"/>
      <c r="X1317" s="74"/>
      <c r="Y1317" s="74"/>
      <c r="Z1317" s="76"/>
      <c r="AA1317" s="134"/>
      <c r="AB1317" s="62" t="s">
        <v>61</v>
      </c>
      <c r="AC1317" s="63" t="s">
        <v>61</v>
      </c>
      <c r="AD1317" s="64" t="s">
        <v>61</v>
      </c>
      <c r="AE1317" s="64" t="s">
        <v>61</v>
      </c>
      <c r="AF1317" s="63" t="s">
        <v>61</v>
      </c>
      <c r="AG1317" s="63" t="s">
        <v>61</v>
      </c>
      <c r="AH1317" s="63" t="s">
        <v>61</v>
      </c>
      <c r="AI1317" s="65" t="s">
        <v>61</v>
      </c>
      <c r="AJ1317" s="105" t="s">
        <v>61</v>
      </c>
      <c r="AK1317" s="76"/>
    </row>
    <row r="1318" ht="24.0" customHeight="1">
      <c r="A1318" s="35"/>
      <c r="B1318" s="36">
        <v>1.0</v>
      </c>
      <c r="C1318" s="37" t="str">
        <f>IFERROR(__xludf.DUMMYFUNCTION("""COMPUTED_VALUE"""),"")</f>
        <v/>
      </c>
      <c r="D1318" s="89" t="s">
        <v>61</v>
      </c>
      <c r="E1318" s="39" t="s">
        <v>61</v>
      </c>
      <c r="F1318" s="121"/>
      <c r="G1318" s="122"/>
      <c r="H1318" s="138"/>
      <c r="I1318" s="80"/>
      <c r="J1318" s="80"/>
      <c r="K1318" s="95"/>
      <c r="L1318" s="80"/>
      <c r="M1318" s="43"/>
      <c r="N1318" s="43"/>
      <c r="O1318" s="80"/>
      <c r="P1318" s="80"/>
      <c r="Q1318" s="80"/>
      <c r="R1318" s="80"/>
      <c r="S1318" s="117"/>
      <c r="T1318" s="81"/>
      <c r="U1318" s="81"/>
      <c r="V1318" s="81"/>
      <c r="W1318" s="81"/>
      <c r="X1318" s="81"/>
      <c r="Y1318" s="81"/>
      <c r="Z1318" s="82"/>
      <c r="AA1318" s="99"/>
      <c r="AB1318" s="48" t="s">
        <v>61</v>
      </c>
      <c r="AC1318" s="68" t="s">
        <v>61</v>
      </c>
      <c r="AD1318" s="69" t="s">
        <v>61</v>
      </c>
      <c r="AE1318" s="69" t="s">
        <v>61</v>
      </c>
      <c r="AF1318" s="68" t="s">
        <v>61</v>
      </c>
      <c r="AG1318" s="68" t="s">
        <v>61</v>
      </c>
      <c r="AH1318" s="68" t="s">
        <v>61</v>
      </c>
      <c r="AI1318" s="70" t="s">
        <v>61</v>
      </c>
      <c r="AJ1318" s="114" t="s">
        <v>61</v>
      </c>
      <c r="AK1318" s="82"/>
    </row>
    <row r="1319" ht="24.0" customHeight="1">
      <c r="A1319" s="35"/>
      <c r="B1319" s="36">
        <v>1.0</v>
      </c>
      <c r="C1319" s="37" t="str">
        <f>IFERROR(__xludf.DUMMYFUNCTION("""COMPUTED_VALUE"""),"")</f>
        <v/>
      </c>
      <c r="D1319" s="89" t="s">
        <v>61</v>
      </c>
      <c r="E1319" s="51" t="s">
        <v>61</v>
      </c>
      <c r="F1319" s="137"/>
      <c r="G1319" s="133"/>
      <c r="H1319" s="141"/>
      <c r="I1319" s="57"/>
      <c r="J1319" s="57"/>
      <c r="K1319" s="72"/>
      <c r="L1319" s="57"/>
      <c r="M1319" s="55"/>
      <c r="N1319" s="55"/>
      <c r="O1319" s="57"/>
      <c r="P1319" s="57"/>
      <c r="Q1319" s="57"/>
      <c r="R1319" s="57"/>
      <c r="S1319" s="132"/>
      <c r="T1319" s="74"/>
      <c r="U1319" s="74"/>
      <c r="V1319" s="74"/>
      <c r="W1319" s="74"/>
      <c r="X1319" s="74"/>
      <c r="Y1319" s="74"/>
      <c r="Z1319" s="76"/>
      <c r="AA1319" s="134"/>
      <c r="AB1319" s="62" t="s">
        <v>61</v>
      </c>
      <c r="AC1319" s="63" t="s">
        <v>61</v>
      </c>
      <c r="AD1319" s="64" t="s">
        <v>61</v>
      </c>
      <c r="AE1319" s="64" t="s">
        <v>61</v>
      </c>
      <c r="AF1319" s="63" t="s">
        <v>61</v>
      </c>
      <c r="AG1319" s="63" t="s">
        <v>61</v>
      </c>
      <c r="AH1319" s="63" t="s">
        <v>61</v>
      </c>
      <c r="AI1319" s="65" t="s">
        <v>61</v>
      </c>
      <c r="AJ1319" s="105" t="s">
        <v>61</v>
      </c>
      <c r="AK1319" s="76"/>
    </row>
    <row r="1320" ht="24.0" customHeight="1">
      <c r="A1320" s="35"/>
      <c r="B1320" s="36">
        <v>1.0</v>
      </c>
      <c r="C1320" s="37" t="str">
        <f>IFERROR(__xludf.DUMMYFUNCTION("""COMPUTED_VALUE"""),"")</f>
        <v/>
      </c>
      <c r="D1320" s="89" t="s">
        <v>61</v>
      </c>
      <c r="E1320" s="39" t="s">
        <v>61</v>
      </c>
      <c r="F1320" s="121"/>
      <c r="G1320" s="122"/>
      <c r="H1320" s="138"/>
      <c r="I1320" s="80"/>
      <c r="J1320" s="80"/>
      <c r="K1320" s="95"/>
      <c r="L1320" s="80"/>
      <c r="M1320" s="43"/>
      <c r="N1320" s="43"/>
      <c r="O1320" s="80"/>
      <c r="P1320" s="80"/>
      <c r="Q1320" s="80"/>
      <c r="R1320" s="80"/>
      <c r="S1320" s="117"/>
      <c r="T1320" s="81"/>
      <c r="U1320" s="81"/>
      <c r="V1320" s="81"/>
      <c r="W1320" s="81"/>
      <c r="X1320" s="81"/>
      <c r="Y1320" s="81"/>
      <c r="Z1320" s="82"/>
      <c r="AA1320" s="99"/>
      <c r="AB1320" s="48" t="s">
        <v>61</v>
      </c>
      <c r="AC1320" s="68" t="s">
        <v>61</v>
      </c>
      <c r="AD1320" s="69" t="s">
        <v>61</v>
      </c>
      <c r="AE1320" s="69" t="s">
        <v>61</v>
      </c>
      <c r="AF1320" s="68" t="s">
        <v>61</v>
      </c>
      <c r="AG1320" s="68" t="s">
        <v>61</v>
      </c>
      <c r="AH1320" s="68" t="s">
        <v>61</v>
      </c>
      <c r="AI1320" s="70" t="s">
        <v>61</v>
      </c>
      <c r="AJ1320" s="114" t="s">
        <v>61</v>
      </c>
      <c r="AK1320" s="82"/>
    </row>
    <row r="1321" ht="24.0" customHeight="1">
      <c r="A1321" s="35"/>
      <c r="B1321" s="36">
        <v>1.0</v>
      </c>
      <c r="C1321" s="37" t="str">
        <f>IFERROR(__xludf.DUMMYFUNCTION("""COMPUTED_VALUE"""),"")</f>
        <v/>
      </c>
      <c r="D1321" s="89" t="s">
        <v>61</v>
      </c>
      <c r="E1321" s="51" t="s">
        <v>61</v>
      </c>
      <c r="F1321" s="137"/>
      <c r="G1321" s="133"/>
      <c r="H1321" s="141"/>
      <c r="I1321" s="57"/>
      <c r="J1321" s="57"/>
      <c r="K1321" s="72"/>
      <c r="L1321" s="57"/>
      <c r="M1321" s="55"/>
      <c r="N1321" s="55"/>
      <c r="O1321" s="57"/>
      <c r="P1321" s="57"/>
      <c r="Q1321" s="57"/>
      <c r="R1321" s="57"/>
      <c r="S1321" s="132"/>
      <c r="T1321" s="74"/>
      <c r="U1321" s="74"/>
      <c r="V1321" s="74"/>
      <c r="W1321" s="74"/>
      <c r="X1321" s="74"/>
      <c r="Y1321" s="74"/>
      <c r="Z1321" s="76"/>
      <c r="AA1321" s="134"/>
      <c r="AB1321" s="62" t="s">
        <v>61</v>
      </c>
      <c r="AC1321" s="63" t="s">
        <v>61</v>
      </c>
      <c r="AD1321" s="64" t="s">
        <v>61</v>
      </c>
      <c r="AE1321" s="64" t="s">
        <v>61</v>
      </c>
      <c r="AF1321" s="63" t="s">
        <v>61</v>
      </c>
      <c r="AG1321" s="63" t="s">
        <v>61</v>
      </c>
      <c r="AH1321" s="63" t="s">
        <v>61</v>
      </c>
      <c r="AI1321" s="65" t="s">
        <v>61</v>
      </c>
      <c r="AJ1321" s="105" t="s">
        <v>61</v>
      </c>
      <c r="AK1321" s="76"/>
    </row>
    <row r="1322" ht="24.0" customHeight="1">
      <c r="A1322" s="35"/>
      <c r="B1322" s="36">
        <v>1.0</v>
      </c>
      <c r="C1322" s="37" t="str">
        <f>IFERROR(__xludf.DUMMYFUNCTION("""COMPUTED_VALUE"""),"")</f>
        <v/>
      </c>
      <c r="D1322" s="89" t="s">
        <v>61</v>
      </c>
      <c r="E1322" s="39" t="s">
        <v>61</v>
      </c>
      <c r="F1322" s="121"/>
      <c r="G1322" s="122"/>
      <c r="H1322" s="138"/>
      <c r="I1322" s="80"/>
      <c r="J1322" s="80"/>
      <c r="K1322" s="95"/>
      <c r="L1322" s="80"/>
      <c r="M1322" s="43"/>
      <c r="N1322" s="43"/>
      <c r="O1322" s="80"/>
      <c r="P1322" s="80"/>
      <c r="Q1322" s="80"/>
      <c r="R1322" s="80"/>
      <c r="S1322" s="117"/>
      <c r="T1322" s="81"/>
      <c r="U1322" s="81"/>
      <c r="V1322" s="81"/>
      <c r="W1322" s="81"/>
      <c r="X1322" s="81"/>
      <c r="Y1322" s="81"/>
      <c r="Z1322" s="82"/>
      <c r="AA1322" s="99"/>
      <c r="AB1322" s="48" t="s">
        <v>61</v>
      </c>
      <c r="AC1322" s="68" t="s">
        <v>61</v>
      </c>
      <c r="AD1322" s="69" t="s">
        <v>61</v>
      </c>
      <c r="AE1322" s="69" t="s">
        <v>61</v>
      </c>
      <c r="AF1322" s="68" t="s">
        <v>61</v>
      </c>
      <c r="AG1322" s="68" t="s">
        <v>61</v>
      </c>
      <c r="AH1322" s="68" t="s">
        <v>61</v>
      </c>
      <c r="AI1322" s="70" t="s">
        <v>61</v>
      </c>
      <c r="AJ1322" s="114" t="s">
        <v>61</v>
      </c>
      <c r="AK1322" s="82"/>
    </row>
    <row r="1323" ht="24.0" customHeight="1">
      <c r="A1323" s="35"/>
      <c r="B1323" s="36">
        <v>1.0</v>
      </c>
      <c r="C1323" s="37" t="str">
        <f>IFERROR(__xludf.DUMMYFUNCTION("""COMPUTED_VALUE"""),"")</f>
        <v/>
      </c>
      <c r="D1323" s="89" t="s">
        <v>61</v>
      </c>
      <c r="E1323" s="51" t="s">
        <v>61</v>
      </c>
      <c r="F1323" s="137"/>
      <c r="G1323" s="133"/>
      <c r="H1323" s="141"/>
      <c r="I1323" s="57"/>
      <c r="J1323" s="57"/>
      <c r="K1323" s="72"/>
      <c r="L1323" s="57"/>
      <c r="M1323" s="55"/>
      <c r="N1323" s="55"/>
      <c r="O1323" s="57"/>
      <c r="P1323" s="57"/>
      <c r="Q1323" s="57"/>
      <c r="R1323" s="57"/>
      <c r="S1323" s="132"/>
      <c r="T1323" s="74"/>
      <c r="U1323" s="74"/>
      <c r="V1323" s="74"/>
      <c r="W1323" s="74"/>
      <c r="X1323" s="74"/>
      <c r="Y1323" s="74"/>
      <c r="Z1323" s="76"/>
      <c r="AA1323" s="134"/>
      <c r="AB1323" s="62" t="s">
        <v>61</v>
      </c>
      <c r="AC1323" s="63" t="s">
        <v>61</v>
      </c>
      <c r="AD1323" s="64" t="s">
        <v>61</v>
      </c>
      <c r="AE1323" s="64" t="s">
        <v>61</v>
      </c>
      <c r="AF1323" s="63" t="s">
        <v>61</v>
      </c>
      <c r="AG1323" s="63" t="s">
        <v>61</v>
      </c>
      <c r="AH1323" s="63" t="s">
        <v>61</v>
      </c>
      <c r="AI1323" s="65" t="s">
        <v>61</v>
      </c>
      <c r="AJ1323" s="105" t="s">
        <v>61</v>
      </c>
      <c r="AK1323" s="76"/>
    </row>
    <row r="1324" ht="24.0" customHeight="1">
      <c r="A1324" s="35"/>
      <c r="B1324" s="36">
        <v>1.0</v>
      </c>
      <c r="C1324" s="37" t="str">
        <f>IFERROR(__xludf.DUMMYFUNCTION("""COMPUTED_VALUE"""),"")</f>
        <v/>
      </c>
      <c r="D1324" s="89" t="s">
        <v>61</v>
      </c>
      <c r="E1324" s="39" t="s">
        <v>61</v>
      </c>
      <c r="F1324" s="121"/>
      <c r="G1324" s="122"/>
      <c r="H1324" s="138"/>
      <c r="I1324" s="80"/>
      <c r="J1324" s="80"/>
      <c r="K1324" s="95"/>
      <c r="L1324" s="80"/>
      <c r="M1324" s="43"/>
      <c r="N1324" s="43"/>
      <c r="O1324" s="80"/>
      <c r="P1324" s="80"/>
      <c r="Q1324" s="80"/>
      <c r="R1324" s="80"/>
      <c r="S1324" s="117"/>
      <c r="T1324" s="81"/>
      <c r="U1324" s="81"/>
      <c r="V1324" s="81"/>
      <c r="W1324" s="81"/>
      <c r="X1324" s="81"/>
      <c r="Y1324" s="81"/>
      <c r="Z1324" s="82"/>
      <c r="AA1324" s="99"/>
      <c r="AB1324" s="48" t="s">
        <v>61</v>
      </c>
      <c r="AC1324" s="68" t="s">
        <v>61</v>
      </c>
      <c r="AD1324" s="69" t="s">
        <v>61</v>
      </c>
      <c r="AE1324" s="69" t="s">
        <v>61</v>
      </c>
      <c r="AF1324" s="68" t="s">
        <v>61</v>
      </c>
      <c r="AG1324" s="68" t="s">
        <v>61</v>
      </c>
      <c r="AH1324" s="68" t="s">
        <v>61</v>
      </c>
      <c r="AI1324" s="70" t="s">
        <v>61</v>
      </c>
      <c r="AJ1324" s="114" t="s">
        <v>61</v>
      </c>
      <c r="AK1324" s="82"/>
    </row>
    <row r="1325" ht="24.0" customHeight="1">
      <c r="A1325" s="35"/>
      <c r="B1325" s="36">
        <v>1.0</v>
      </c>
      <c r="C1325" s="37" t="str">
        <f>IFERROR(__xludf.DUMMYFUNCTION("""COMPUTED_VALUE"""),"")</f>
        <v/>
      </c>
      <c r="D1325" s="89" t="s">
        <v>61</v>
      </c>
      <c r="E1325" s="51" t="s">
        <v>61</v>
      </c>
      <c r="F1325" s="137"/>
      <c r="G1325" s="133"/>
      <c r="H1325" s="141"/>
      <c r="I1325" s="57"/>
      <c r="J1325" s="57"/>
      <c r="K1325" s="72"/>
      <c r="L1325" s="57"/>
      <c r="M1325" s="55"/>
      <c r="N1325" s="55"/>
      <c r="O1325" s="57"/>
      <c r="P1325" s="57"/>
      <c r="Q1325" s="57"/>
      <c r="R1325" s="57"/>
      <c r="S1325" s="132"/>
      <c r="T1325" s="74"/>
      <c r="U1325" s="74"/>
      <c r="V1325" s="74"/>
      <c r="W1325" s="74"/>
      <c r="X1325" s="74"/>
      <c r="Y1325" s="74"/>
      <c r="Z1325" s="76"/>
      <c r="AA1325" s="134"/>
      <c r="AB1325" s="62" t="s">
        <v>61</v>
      </c>
      <c r="AC1325" s="63" t="s">
        <v>61</v>
      </c>
      <c r="AD1325" s="64" t="s">
        <v>61</v>
      </c>
      <c r="AE1325" s="64" t="s">
        <v>61</v>
      </c>
      <c r="AF1325" s="63" t="s">
        <v>61</v>
      </c>
      <c r="AG1325" s="63" t="s">
        <v>61</v>
      </c>
      <c r="AH1325" s="63" t="s">
        <v>61</v>
      </c>
      <c r="AI1325" s="65" t="s">
        <v>61</v>
      </c>
      <c r="AJ1325" s="105" t="s">
        <v>61</v>
      </c>
      <c r="AK1325" s="76"/>
    </row>
    <row r="1326" ht="24.0" customHeight="1">
      <c r="A1326" s="35"/>
      <c r="B1326" s="36">
        <v>1.0</v>
      </c>
      <c r="C1326" s="37" t="str">
        <f>IFERROR(__xludf.DUMMYFUNCTION("""COMPUTED_VALUE"""),"")</f>
        <v/>
      </c>
      <c r="D1326" s="89" t="s">
        <v>61</v>
      </c>
      <c r="E1326" s="39" t="s">
        <v>61</v>
      </c>
      <c r="F1326" s="121"/>
      <c r="G1326" s="122"/>
      <c r="H1326" s="138"/>
      <c r="I1326" s="80"/>
      <c r="J1326" s="80"/>
      <c r="K1326" s="95"/>
      <c r="L1326" s="80"/>
      <c r="M1326" s="43"/>
      <c r="N1326" s="43"/>
      <c r="O1326" s="80"/>
      <c r="P1326" s="80"/>
      <c r="Q1326" s="80"/>
      <c r="R1326" s="80"/>
      <c r="S1326" s="117"/>
      <c r="T1326" s="81"/>
      <c r="U1326" s="81"/>
      <c r="V1326" s="81"/>
      <c r="W1326" s="81"/>
      <c r="X1326" s="81"/>
      <c r="Y1326" s="81"/>
      <c r="Z1326" s="82"/>
      <c r="AA1326" s="99"/>
      <c r="AB1326" s="48" t="s">
        <v>61</v>
      </c>
      <c r="AC1326" s="68" t="s">
        <v>61</v>
      </c>
      <c r="AD1326" s="69" t="s">
        <v>61</v>
      </c>
      <c r="AE1326" s="69" t="s">
        <v>61</v>
      </c>
      <c r="AF1326" s="68" t="s">
        <v>61</v>
      </c>
      <c r="AG1326" s="68" t="s">
        <v>61</v>
      </c>
      <c r="AH1326" s="68" t="s">
        <v>61</v>
      </c>
      <c r="AI1326" s="70" t="s">
        <v>61</v>
      </c>
      <c r="AJ1326" s="114" t="s">
        <v>61</v>
      </c>
      <c r="AK1326" s="82"/>
    </row>
    <row r="1327" ht="24.0" customHeight="1">
      <c r="A1327" s="35"/>
      <c r="B1327" s="36">
        <v>1.0</v>
      </c>
      <c r="C1327" s="37" t="str">
        <f>IFERROR(__xludf.DUMMYFUNCTION("""COMPUTED_VALUE"""),"")</f>
        <v/>
      </c>
      <c r="D1327" s="89" t="s">
        <v>61</v>
      </c>
      <c r="E1327" s="51" t="s">
        <v>61</v>
      </c>
      <c r="F1327" s="137"/>
      <c r="G1327" s="133"/>
      <c r="H1327" s="141"/>
      <c r="I1327" s="57"/>
      <c r="J1327" s="57"/>
      <c r="K1327" s="72"/>
      <c r="L1327" s="57"/>
      <c r="M1327" s="55"/>
      <c r="N1327" s="55"/>
      <c r="O1327" s="57"/>
      <c r="P1327" s="57"/>
      <c r="Q1327" s="57"/>
      <c r="R1327" s="57"/>
      <c r="S1327" s="132"/>
      <c r="T1327" s="74"/>
      <c r="U1327" s="74"/>
      <c r="V1327" s="74"/>
      <c r="W1327" s="74"/>
      <c r="X1327" s="74"/>
      <c r="Y1327" s="74"/>
      <c r="Z1327" s="76"/>
      <c r="AA1327" s="134"/>
      <c r="AB1327" s="62" t="s">
        <v>61</v>
      </c>
      <c r="AC1327" s="63" t="s">
        <v>61</v>
      </c>
      <c r="AD1327" s="64" t="s">
        <v>61</v>
      </c>
      <c r="AE1327" s="64" t="s">
        <v>61</v>
      </c>
      <c r="AF1327" s="63" t="s">
        <v>61</v>
      </c>
      <c r="AG1327" s="63" t="s">
        <v>61</v>
      </c>
      <c r="AH1327" s="63" t="s">
        <v>61</v>
      </c>
      <c r="AI1327" s="65" t="s">
        <v>61</v>
      </c>
      <c r="AJ1327" s="105" t="s">
        <v>61</v>
      </c>
      <c r="AK1327" s="76"/>
    </row>
    <row r="1328" ht="24.0" customHeight="1">
      <c r="A1328" s="35"/>
      <c r="B1328" s="36">
        <v>1.0</v>
      </c>
      <c r="C1328" s="37" t="str">
        <f>IFERROR(__xludf.DUMMYFUNCTION("""COMPUTED_VALUE"""),"")</f>
        <v/>
      </c>
      <c r="D1328" s="89" t="s">
        <v>61</v>
      </c>
      <c r="E1328" s="39" t="s">
        <v>61</v>
      </c>
      <c r="F1328" s="121"/>
      <c r="G1328" s="122"/>
      <c r="H1328" s="138"/>
      <c r="I1328" s="80"/>
      <c r="J1328" s="80"/>
      <c r="K1328" s="95"/>
      <c r="L1328" s="80"/>
      <c r="M1328" s="43"/>
      <c r="N1328" s="43"/>
      <c r="O1328" s="80"/>
      <c r="P1328" s="80"/>
      <c r="Q1328" s="80"/>
      <c r="R1328" s="80"/>
      <c r="S1328" s="117"/>
      <c r="T1328" s="81"/>
      <c r="U1328" s="81"/>
      <c r="V1328" s="81"/>
      <c r="W1328" s="81"/>
      <c r="X1328" s="81"/>
      <c r="Y1328" s="81"/>
      <c r="Z1328" s="82"/>
      <c r="AA1328" s="99"/>
      <c r="AB1328" s="48" t="s">
        <v>61</v>
      </c>
      <c r="AC1328" s="68" t="s">
        <v>61</v>
      </c>
      <c r="AD1328" s="69" t="s">
        <v>61</v>
      </c>
      <c r="AE1328" s="69" t="s">
        <v>61</v>
      </c>
      <c r="AF1328" s="68" t="s">
        <v>61</v>
      </c>
      <c r="AG1328" s="68" t="s">
        <v>61</v>
      </c>
      <c r="AH1328" s="68" t="s">
        <v>61</v>
      </c>
      <c r="AI1328" s="70" t="s">
        <v>61</v>
      </c>
      <c r="AJ1328" s="114" t="s">
        <v>61</v>
      </c>
      <c r="AK1328" s="82"/>
    </row>
    <row r="1329" ht="24.0" customHeight="1">
      <c r="A1329" s="35"/>
      <c r="B1329" s="36">
        <v>1.0</v>
      </c>
      <c r="C1329" s="37" t="str">
        <f>IFERROR(__xludf.DUMMYFUNCTION("""COMPUTED_VALUE"""),"")</f>
        <v/>
      </c>
      <c r="D1329" s="89" t="s">
        <v>61</v>
      </c>
      <c r="E1329" s="51" t="s">
        <v>61</v>
      </c>
      <c r="F1329" s="137"/>
      <c r="G1329" s="133"/>
      <c r="H1329" s="141"/>
      <c r="I1329" s="57"/>
      <c r="J1329" s="57"/>
      <c r="K1329" s="72"/>
      <c r="L1329" s="57"/>
      <c r="M1329" s="55"/>
      <c r="N1329" s="55"/>
      <c r="O1329" s="57"/>
      <c r="P1329" s="57"/>
      <c r="Q1329" s="57"/>
      <c r="R1329" s="57"/>
      <c r="S1329" s="132"/>
      <c r="T1329" s="74"/>
      <c r="U1329" s="74"/>
      <c r="V1329" s="74"/>
      <c r="W1329" s="74"/>
      <c r="X1329" s="74"/>
      <c r="Y1329" s="74"/>
      <c r="Z1329" s="76"/>
      <c r="AA1329" s="134"/>
      <c r="AB1329" s="62" t="s">
        <v>61</v>
      </c>
      <c r="AC1329" s="63" t="s">
        <v>61</v>
      </c>
      <c r="AD1329" s="64" t="s">
        <v>61</v>
      </c>
      <c r="AE1329" s="64" t="s">
        <v>61</v>
      </c>
      <c r="AF1329" s="63" t="s">
        <v>61</v>
      </c>
      <c r="AG1329" s="63" t="s">
        <v>61</v>
      </c>
      <c r="AH1329" s="63" t="s">
        <v>61</v>
      </c>
      <c r="AI1329" s="65" t="s">
        <v>61</v>
      </c>
      <c r="AJ1329" s="105" t="s">
        <v>61</v>
      </c>
      <c r="AK1329" s="76"/>
    </row>
    <row r="1330" ht="24.0" customHeight="1">
      <c r="A1330" s="35"/>
      <c r="B1330" s="36">
        <v>1.0</v>
      </c>
      <c r="C1330" s="37" t="str">
        <f>IFERROR(__xludf.DUMMYFUNCTION("""COMPUTED_VALUE"""),"")</f>
        <v/>
      </c>
      <c r="D1330" s="89" t="s">
        <v>61</v>
      </c>
      <c r="E1330" s="39" t="s">
        <v>61</v>
      </c>
      <c r="F1330" s="121"/>
      <c r="G1330" s="122"/>
      <c r="H1330" s="138"/>
      <c r="I1330" s="80"/>
      <c r="J1330" s="80"/>
      <c r="K1330" s="95"/>
      <c r="L1330" s="80"/>
      <c r="M1330" s="43"/>
      <c r="N1330" s="43"/>
      <c r="O1330" s="80"/>
      <c r="P1330" s="80"/>
      <c r="Q1330" s="80"/>
      <c r="R1330" s="80"/>
      <c r="S1330" s="117"/>
      <c r="T1330" s="81"/>
      <c r="U1330" s="81"/>
      <c r="V1330" s="81"/>
      <c r="W1330" s="81"/>
      <c r="X1330" s="81"/>
      <c r="Y1330" s="81"/>
      <c r="Z1330" s="82"/>
      <c r="AA1330" s="99"/>
      <c r="AB1330" s="48" t="s">
        <v>61</v>
      </c>
      <c r="AC1330" s="68" t="s">
        <v>61</v>
      </c>
      <c r="AD1330" s="69" t="s">
        <v>61</v>
      </c>
      <c r="AE1330" s="69" t="s">
        <v>61</v>
      </c>
      <c r="AF1330" s="68" t="s">
        <v>61</v>
      </c>
      <c r="AG1330" s="68" t="s">
        <v>61</v>
      </c>
      <c r="AH1330" s="68" t="s">
        <v>61</v>
      </c>
      <c r="AI1330" s="70" t="s">
        <v>61</v>
      </c>
      <c r="AJ1330" s="114" t="s">
        <v>61</v>
      </c>
      <c r="AK1330" s="82"/>
    </row>
    <row r="1331" ht="24.0" customHeight="1">
      <c r="A1331" s="35"/>
      <c r="B1331" s="36">
        <v>1.0</v>
      </c>
      <c r="C1331" s="37" t="str">
        <f>IFERROR(__xludf.DUMMYFUNCTION("""COMPUTED_VALUE"""),"")</f>
        <v/>
      </c>
      <c r="D1331" s="89" t="s">
        <v>61</v>
      </c>
      <c r="E1331" s="51" t="s">
        <v>61</v>
      </c>
      <c r="F1331" s="137"/>
      <c r="G1331" s="133"/>
      <c r="H1331" s="141"/>
      <c r="I1331" s="57"/>
      <c r="J1331" s="57"/>
      <c r="K1331" s="72"/>
      <c r="L1331" s="57"/>
      <c r="M1331" s="55"/>
      <c r="N1331" s="55"/>
      <c r="O1331" s="57"/>
      <c r="P1331" s="57"/>
      <c r="Q1331" s="57"/>
      <c r="R1331" s="57"/>
      <c r="S1331" s="132"/>
      <c r="T1331" s="74"/>
      <c r="U1331" s="74"/>
      <c r="V1331" s="74"/>
      <c r="W1331" s="74"/>
      <c r="X1331" s="74"/>
      <c r="Y1331" s="74"/>
      <c r="Z1331" s="76"/>
      <c r="AA1331" s="134"/>
      <c r="AB1331" s="62" t="s">
        <v>61</v>
      </c>
      <c r="AC1331" s="63" t="s">
        <v>61</v>
      </c>
      <c r="AD1331" s="64" t="s">
        <v>61</v>
      </c>
      <c r="AE1331" s="64" t="s">
        <v>61</v>
      </c>
      <c r="AF1331" s="63" t="s">
        <v>61</v>
      </c>
      <c r="AG1331" s="63" t="s">
        <v>61</v>
      </c>
      <c r="AH1331" s="63" t="s">
        <v>61</v>
      </c>
      <c r="AI1331" s="65" t="s">
        <v>61</v>
      </c>
      <c r="AJ1331" s="105" t="s">
        <v>61</v>
      </c>
      <c r="AK1331" s="76"/>
    </row>
    <row r="1332" ht="24.0" customHeight="1">
      <c r="A1332" s="35"/>
      <c r="B1332" s="36">
        <v>1.0</v>
      </c>
      <c r="C1332" s="37" t="str">
        <f>IFERROR(__xludf.DUMMYFUNCTION("""COMPUTED_VALUE"""),"")</f>
        <v/>
      </c>
      <c r="D1332" s="89" t="s">
        <v>61</v>
      </c>
      <c r="E1332" s="39" t="s">
        <v>61</v>
      </c>
      <c r="F1332" s="121"/>
      <c r="G1332" s="122"/>
      <c r="H1332" s="138"/>
      <c r="I1332" s="80"/>
      <c r="J1332" s="80"/>
      <c r="K1332" s="95"/>
      <c r="L1332" s="80"/>
      <c r="M1332" s="43"/>
      <c r="N1332" s="43"/>
      <c r="O1332" s="80"/>
      <c r="P1332" s="80"/>
      <c r="Q1332" s="80"/>
      <c r="R1332" s="80"/>
      <c r="S1332" s="117"/>
      <c r="T1332" s="81"/>
      <c r="U1332" s="81"/>
      <c r="V1332" s="81"/>
      <c r="W1332" s="81"/>
      <c r="X1332" s="81"/>
      <c r="Y1332" s="81"/>
      <c r="Z1332" s="82"/>
      <c r="AA1332" s="99"/>
      <c r="AB1332" s="48" t="s">
        <v>61</v>
      </c>
      <c r="AC1332" s="68" t="s">
        <v>61</v>
      </c>
      <c r="AD1332" s="69" t="s">
        <v>61</v>
      </c>
      <c r="AE1332" s="69" t="s">
        <v>61</v>
      </c>
      <c r="AF1332" s="68" t="s">
        <v>61</v>
      </c>
      <c r="AG1332" s="68" t="s">
        <v>61</v>
      </c>
      <c r="AH1332" s="68" t="s">
        <v>61</v>
      </c>
      <c r="AI1332" s="70" t="s">
        <v>61</v>
      </c>
      <c r="AJ1332" s="114" t="s">
        <v>61</v>
      </c>
      <c r="AK1332" s="82"/>
    </row>
    <row r="1333" ht="24.0" customHeight="1">
      <c r="A1333" s="35"/>
      <c r="B1333" s="36">
        <v>1.0</v>
      </c>
      <c r="C1333" s="37" t="str">
        <f>IFERROR(__xludf.DUMMYFUNCTION("""COMPUTED_VALUE"""),"")</f>
        <v/>
      </c>
      <c r="D1333" s="89" t="s">
        <v>61</v>
      </c>
      <c r="E1333" s="51" t="s">
        <v>61</v>
      </c>
      <c r="F1333" s="137"/>
      <c r="G1333" s="133"/>
      <c r="H1333" s="141"/>
      <c r="I1333" s="57"/>
      <c r="J1333" s="57"/>
      <c r="K1333" s="72"/>
      <c r="L1333" s="57"/>
      <c r="M1333" s="55"/>
      <c r="N1333" s="55"/>
      <c r="O1333" s="57"/>
      <c r="P1333" s="57"/>
      <c r="Q1333" s="57"/>
      <c r="R1333" s="57"/>
      <c r="S1333" s="132"/>
      <c r="T1333" s="74"/>
      <c r="U1333" s="74"/>
      <c r="V1333" s="74"/>
      <c r="W1333" s="74"/>
      <c r="X1333" s="74"/>
      <c r="Y1333" s="74"/>
      <c r="Z1333" s="76"/>
      <c r="AA1333" s="134"/>
      <c r="AB1333" s="62" t="s">
        <v>61</v>
      </c>
      <c r="AC1333" s="63" t="s">
        <v>61</v>
      </c>
      <c r="AD1333" s="64" t="s">
        <v>61</v>
      </c>
      <c r="AE1333" s="64" t="s">
        <v>61</v>
      </c>
      <c r="AF1333" s="63" t="s">
        <v>61</v>
      </c>
      <c r="AG1333" s="63" t="s">
        <v>61</v>
      </c>
      <c r="AH1333" s="63" t="s">
        <v>61</v>
      </c>
      <c r="AI1333" s="65" t="s">
        <v>61</v>
      </c>
      <c r="AJ1333" s="105" t="s">
        <v>61</v>
      </c>
      <c r="AK1333" s="76"/>
    </row>
    <row r="1334" ht="24.0" customHeight="1">
      <c r="A1334" s="35"/>
      <c r="B1334" s="36">
        <v>1.0</v>
      </c>
      <c r="C1334" s="37" t="str">
        <f>IFERROR(__xludf.DUMMYFUNCTION("""COMPUTED_VALUE"""),"")</f>
        <v/>
      </c>
      <c r="D1334" s="89" t="s">
        <v>61</v>
      </c>
      <c r="E1334" s="39" t="s">
        <v>61</v>
      </c>
      <c r="F1334" s="121"/>
      <c r="G1334" s="122"/>
      <c r="H1334" s="138"/>
      <c r="I1334" s="80"/>
      <c r="J1334" s="80"/>
      <c r="K1334" s="95"/>
      <c r="L1334" s="80"/>
      <c r="M1334" s="43"/>
      <c r="N1334" s="43"/>
      <c r="O1334" s="80"/>
      <c r="P1334" s="80"/>
      <c r="Q1334" s="80"/>
      <c r="R1334" s="80"/>
      <c r="S1334" s="117"/>
      <c r="T1334" s="81"/>
      <c r="U1334" s="81"/>
      <c r="V1334" s="81"/>
      <c r="W1334" s="81"/>
      <c r="X1334" s="81"/>
      <c r="Y1334" s="81"/>
      <c r="Z1334" s="82"/>
      <c r="AA1334" s="99"/>
      <c r="AB1334" s="48" t="s">
        <v>61</v>
      </c>
      <c r="AC1334" s="68" t="s">
        <v>61</v>
      </c>
      <c r="AD1334" s="69" t="s">
        <v>61</v>
      </c>
      <c r="AE1334" s="69" t="s">
        <v>61</v>
      </c>
      <c r="AF1334" s="68" t="s">
        <v>61</v>
      </c>
      <c r="AG1334" s="68" t="s">
        <v>61</v>
      </c>
      <c r="AH1334" s="68" t="s">
        <v>61</v>
      </c>
      <c r="AI1334" s="70" t="s">
        <v>61</v>
      </c>
      <c r="AJ1334" s="114" t="s">
        <v>61</v>
      </c>
      <c r="AK1334" s="82"/>
    </row>
    <row r="1335" ht="24.0" customHeight="1">
      <c r="A1335" s="35"/>
      <c r="B1335" s="36">
        <v>1.0</v>
      </c>
      <c r="C1335" s="37" t="str">
        <f>IFERROR(__xludf.DUMMYFUNCTION("""COMPUTED_VALUE"""),"")</f>
        <v/>
      </c>
      <c r="D1335" s="89" t="s">
        <v>61</v>
      </c>
      <c r="E1335" s="51" t="s">
        <v>61</v>
      </c>
      <c r="F1335" s="137"/>
      <c r="G1335" s="133"/>
      <c r="H1335" s="141"/>
      <c r="I1335" s="57"/>
      <c r="J1335" s="57"/>
      <c r="K1335" s="72"/>
      <c r="L1335" s="57"/>
      <c r="M1335" s="55"/>
      <c r="N1335" s="55"/>
      <c r="O1335" s="57"/>
      <c r="P1335" s="57"/>
      <c r="Q1335" s="57"/>
      <c r="R1335" s="57"/>
      <c r="S1335" s="132"/>
      <c r="T1335" s="74"/>
      <c r="U1335" s="74"/>
      <c r="V1335" s="74"/>
      <c r="W1335" s="74"/>
      <c r="X1335" s="74"/>
      <c r="Y1335" s="74"/>
      <c r="Z1335" s="76"/>
      <c r="AA1335" s="134"/>
      <c r="AB1335" s="62" t="s">
        <v>61</v>
      </c>
      <c r="AC1335" s="63" t="s">
        <v>61</v>
      </c>
      <c r="AD1335" s="64" t="s">
        <v>61</v>
      </c>
      <c r="AE1335" s="64" t="s">
        <v>61</v>
      </c>
      <c r="AF1335" s="63" t="s">
        <v>61</v>
      </c>
      <c r="AG1335" s="63" t="s">
        <v>61</v>
      </c>
      <c r="AH1335" s="63" t="s">
        <v>61</v>
      </c>
      <c r="AI1335" s="65" t="s">
        <v>61</v>
      </c>
      <c r="AJ1335" s="105" t="s">
        <v>61</v>
      </c>
      <c r="AK1335" s="76"/>
    </row>
    <row r="1336" ht="24.0" customHeight="1">
      <c r="A1336" s="35"/>
      <c r="B1336" s="36">
        <v>1.0</v>
      </c>
      <c r="C1336" s="37" t="str">
        <f>IFERROR(__xludf.DUMMYFUNCTION("""COMPUTED_VALUE"""),"")</f>
        <v/>
      </c>
      <c r="D1336" s="89" t="s">
        <v>61</v>
      </c>
      <c r="E1336" s="39" t="s">
        <v>61</v>
      </c>
      <c r="F1336" s="121"/>
      <c r="G1336" s="122"/>
      <c r="H1336" s="138"/>
      <c r="I1336" s="80"/>
      <c r="J1336" s="80"/>
      <c r="K1336" s="95"/>
      <c r="L1336" s="80"/>
      <c r="M1336" s="43"/>
      <c r="N1336" s="43"/>
      <c r="O1336" s="80"/>
      <c r="P1336" s="80"/>
      <c r="Q1336" s="80"/>
      <c r="R1336" s="80"/>
      <c r="S1336" s="117"/>
      <c r="T1336" s="81"/>
      <c r="U1336" s="81"/>
      <c r="V1336" s="81"/>
      <c r="W1336" s="81"/>
      <c r="X1336" s="81"/>
      <c r="Y1336" s="81"/>
      <c r="Z1336" s="82"/>
      <c r="AA1336" s="99"/>
      <c r="AB1336" s="48" t="s">
        <v>61</v>
      </c>
      <c r="AC1336" s="68" t="s">
        <v>61</v>
      </c>
      <c r="AD1336" s="69" t="s">
        <v>61</v>
      </c>
      <c r="AE1336" s="69" t="s">
        <v>61</v>
      </c>
      <c r="AF1336" s="68" t="s">
        <v>61</v>
      </c>
      <c r="AG1336" s="68" t="s">
        <v>61</v>
      </c>
      <c r="AH1336" s="68" t="s">
        <v>61</v>
      </c>
      <c r="AI1336" s="70" t="s">
        <v>61</v>
      </c>
      <c r="AJ1336" s="114" t="s">
        <v>61</v>
      </c>
      <c r="AK1336" s="82"/>
    </row>
    <row r="1337" ht="24.0" customHeight="1">
      <c r="A1337" s="35"/>
      <c r="B1337" s="36">
        <v>1.0</v>
      </c>
      <c r="C1337" s="37" t="str">
        <f>IFERROR(__xludf.DUMMYFUNCTION("""COMPUTED_VALUE"""),"")</f>
        <v/>
      </c>
      <c r="D1337" s="89" t="s">
        <v>61</v>
      </c>
      <c r="E1337" s="51" t="s">
        <v>61</v>
      </c>
      <c r="F1337" s="137"/>
      <c r="G1337" s="133"/>
      <c r="H1337" s="141"/>
      <c r="I1337" s="57"/>
      <c r="J1337" s="57"/>
      <c r="K1337" s="72"/>
      <c r="L1337" s="57"/>
      <c r="M1337" s="55"/>
      <c r="N1337" s="55"/>
      <c r="O1337" s="57"/>
      <c r="P1337" s="57"/>
      <c r="Q1337" s="57"/>
      <c r="R1337" s="57"/>
      <c r="S1337" s="132"/>
      <c r="T1337" s="74"/>
      <c r="U1337" s="74"/>
      <c r="V1337" s="74"/>
      <c r="W1337" s="74"/>
      <c r="X1337" s="74"/>
      <c r="Y1337" s="74"/>
      <c r="Z1337" s="76"/>
      <c r="AA1337" s="134"/>
      <c r="AB1337" s="62" t="s">
        <v>61</v>
      </c>
      <c r="AC1337" s="63" t="s">
        <v>61</v>
      </c>
      <c r="AD1337" s="64" t="s">
        <v>61</v>
      </c>
      <c r="AE1337" s="64" t="s">
        <v>61</v>
      </c>
      <c r="AF1337" s="63" t="s">
        <v>61</v>
      </c>
      <c r="AG1337" s="63" t="s">
        <v>61</v>
      </c>
      <c r="AH1337" s="63" t="s">
        <v>61</v>
      </c>
      <c r="AI1337" s="65" t="s">
        <v>61</v>
      </c>
      <c r="AJ1337" s="105" t="s">
        <v>61</v>
      </c>
      <c r="AK1337" s="76"/>
    </row>
    <row r="1338" ht="24.0" customHeight="1">
      <c r="A1338" s="35"/>
      <c r="B1338" s="36">
        <v>1.0</v>
      </c>
      <c r="C1338" s="37" t="str">
        <f>IFERROR(__xludf.DUMMYFUNCTION("""COMPUTED_VALUE"""),"")</f>
        <v/>
      </c>
      <c r="D1338" s="89" t="s">
        <v>61</v>
      </c>
      <c r="E1338" s="39" t="s">
        <v>61</v>
      </c>
      <c r="F1338" s="121"/>
      <c r="G1338" s="122"/>
      <c r="H1338" s="138"/>
      <c r="I1338" s="80"/>
      <c r="J1338" s="80"/>
      <c r="K1338" s="95"/>
      <c r="L1338" s="80"/>
      <c r="M1338" s="43"/>
      <c r="N1338" s="43"/>
      <c r="O1338" s="80"/>
      <c r="P1338" s="80"/>
      <c r="Q1338" s="80"/>
      <c r="R1338" s="80"/>
      <c r="S1338" s="117"/>
      <c r="T1338" s="81"/>
      <c r="U1338" s="81"/>
      <c r="V1338" s="81"/>
      <c r="W1338" s="81"/>
      <c r="X1338" s="81"/>
      <c r="Y1338" s="81"/>
      <c r="Z1338" s="82"/>
      <c r="AA1338" s="99"/>
      <c r="AB1338" s="48" t="s">
        <v>61</v>
      </c>
      <c r="AC1338" s="68" t="s">
        <v>61</v>
      </c>
      <c r="AD1338" s="69" t="s">
        <v>61</v>
      </c>
      <c r="AE1338" s="69" t="s">
        <v>61</v>
      </c>
      <c r="AF1338" s="68" t="s">
        <v>61</v>
      </c>
      <c r="AG1338" s="68" t="s">
        <v>61</v>
      </c>
      <c r="AH1338" s="68" t="s">
        <v>61</v>
      </c>
      <c r="AI1338" s="70" t="s">
        <v>61</v>
      </c>
      <c r="AJ1338" s="114" t="s">
        <v>61</v>
      </c>
      <c r="AK1338" s="82"/>
    </row>
    <row r="1339" ht="24.0" customHeight="1">
      <c r="A1339" s="35"/>
      <c r="B1339" s="36">
        <v>1.0</v>
      </c>
      <c r="C1339" s="37" t="str">
        <f>IFERROR(__xludf.DUMMYFUNCTION("""COMPUTED_VALUE"""),"")</f>
        <v/>
      </c>
      <c r="D1339" s="89" t="s">
        <v>61</v>
      </c>
      <c r="E1339" s="51" t="s">
        <v>61</v>
      </c>
      <c r="F1339" s="137"/>
      <c r="G1339" s="133"/>
      <c r="H1339" s="141"/>
      <c r="I1339" s="57"/>
      <c r="J1339" s="57"/>
      <c r="K1339" s="72"/>
      <c r="L1339" s="57"/>
      <c r="M1339" s="55"/>
      <c r="N1339" s="55"/>
      <c r="O1339" s="57"/>
      <c r="P1339" s="57"/>
      <c r="Q1339" s="57"/>
      <c r="R1339" s="57"/>
      <c r="S1339" s="132"/>
      <c r="T1339" s="74"/>
      <c r="U1339" s="74"/>
      <c r="V1339" s="74"/>
      <c r="W1339" s="74"/>
      <c r="X1339" s="74"/>
      <c r="Y1339" s="74"/>
      <c r="Z1339" s="76"/>
      <c r="AA1339" s="134"/>
      <c r="AB1339" s="62" t="s">
        <v>61</v>
      </c>
      <c r="AC1339" s="63" t="s">
        <v>61</v>
      </c>
      <c r="AD1339" s="64" t="s">
        <v>61</v>
      </c>
      <c r="AE1339" s="64" t="s">
        <v>61</v>
      </c>
      <c r="AF1339" s="63" t="s">
        <v>61</v>
      </c>
      <c r="AG1339" s="63" t="s">
        <v>61</v>
      </c>
      <c r="AH1339" s="63" t="s">
        <v>61</v>
      </c>
      <c r="AI1339" s="65" t="s">
        <v>61</v>
      </c>
      <c r="AJ1339" s="105" t="s">
        <v>61</v>
      </c>
      <c r="AK1339" s="76"/>
    </row>
    <row r="1340" ht="24.0" customHeight="1">
      <c r="A1340" s="35"/>
      <c r="B1340" s="36">
        <v>1.0</v>
      </c>
      <c r="C1340" s="37" t="str">
        <f>IFERROR(__xludf.DUMMYFUNCTION("""COMPUTED_VALUE"""),"")</f>
        <v/>
      </c>
      <c r="D1340" s="89" t="s">
        <v>61</v>
      </c>
      <c r="E1340" s="39" t="s">
        <v>61</v>
      </c>
      <c r="F1340" s="121"/>
      <c r="G1340" s="122"/>
      <c r="H1340" s="138"/>
      <c r="I1340" s="80"/>
      <c r="J1340" s="80"/>
      <c r="K1340" s="95"/>
      <c r="L1340" s="80"/>
      <c r="M1340" s="43"/>
      <c r="N1340" s="43"/>
      <c r="O1340" s="80"/>
      <c r="P1340" s="80"/>
      <c r="Q1340" s="80"/>
      <c r="R1340" s="80"/>
      <c r="S1340" s="117"/>
      <c r="T1340" s="81"/>
      <c r="U1340" s="81"/>
      <c r="V1340" s="81"/>
      <c r="W1340" s="81"/>
      <c r="X1340" s="81"/>
      <c r="Y1340" s="81"/>
      <c r="Z1340" s="82"/>
      <c r="AA1340" s="99"/>
      <c r="AB1340" s="48" t="s">
        <v>61</v>
      </c>
      <c r="AC1340" s="68" t="s">
        <v>61</v>
      </c>
      <c r="AD1340" s="69" t="s">
        <v>61</v>
      </c>
      <c r="AE1340" s="69" t="s">
        <v>61</v>
      </c>
      <c r="AF1340" s="68" t="s">
        <v>61</v>
      </c>
      <c r="AG1340" s="68" t="s">
        <v>61</v>
      </c>
      <c r="AH1340" s="68" t="s">
        <v>61</v>
      </c>
      <c r="AI1340" s="70" t="s">
        <v>61</v>
      </c>
      <c r="AJ1340" s="114" t="s">
        <v>61</v>
      </c>
      <c r="AK1340" s="82"/>
    </row>
    <row r="1341" ht="24.0" customHeight="1">
      <c r="A1341" s="35"/>
      <c r="B1341" s="36">
        <v>1.0</v>
      </c>
      <c r="C1341" s="37" t="str">
        <f>IFERROR(__xludf.DUMMYFUNCTION("""COMPUTED_VALUE"""),"")</f>
        <v/>
      </c>
      <c r="D1341" s="89" t="s">
        <v>61</v>
      </c>
      <c r="E1341" s="51" t="s">
        <v>61</v>
      </c>
      <c r="F1341" s="137"/>
      <c r="G1341" s="133"/>
      <c r="H1341" s="141"/>
      <c r="I1341" s="57"/>
      <c r="J1341" s="57"/>
      <c r="K1341" s="72"/>
      <c r="L1341" s="57"/>
      <c r="M1341" s="55"/>
      <c r="N1341" s="55"/>
      <c r="O1341" s="57"/>
      <c r="P1341" s="57"/>
      <c r="Q1341" s="57"/>
      <c r="R1341" s="57"/>
      <c r="S1341" s="132"/>
      <c r="T1341" s="74"/>
      <c r="U1341" s="74"/>
      <c r="V1341" s="74"/>
      <c r="W1341" s="74"/>
      <c r="X1341" s="74"/>
      <c r="Y1341" s="74"/>
      <c r="Z1341" s="76"/>
      <c r="AA1341" s="134"/>
      <c r="AB1341" s="62" t="s">
        <v>61</v>
      </c>
      <c r="AC1341" s="63" t="s">
        <v>61</v>
      </c>
      <c r="AD1341" s="64" t="s">
        <v>61</v>
      </c>
      <c r="AE1341" s="64" t="s">
        <v>61</v>
      </c>
      <c r="AF1341" s="63" t="s">
        <v>61</v>
      </c>
      <c r="AG1341" s="63" t="s">
        <v>61</v>
      </c>
      <c r="AH1341" s="63" t="s">
        <v>61</v>
      </c>
      <c r="AI1341" s="65" t="s">
        <v>61</v>
      </c>
      <c r="AJ1341" s="105" t="s">
        <v>61</v>
      </c>
      <c r="AK1341" s="76"/>
    </row>
    <row r="1342" ht="24.0" customHeight="1">
      <c r="A1342" s="35"/>
      <c r="B1342" s="36">
        <v>1.0</v>
      </c>
      <c r="C1342" s="37" t="str">
        <f>IFERROR(__xludf.DUMMYFUNCTION("""COMPUTED_VALUE"""),"")</f>
        <v/>
      </c>
      <c r="D1342" s="89" t="s">
        <v>61</v>
      </c>
      <c r="E1342" s="39" t="s">
        <v>61</v>
      </c>
      <c r="F1342" s="121"/>
      <c r="G1342" s="122"/>
      <c r="H1342" s="138"/>
      <c r="I1342" s="80"/>
      <c r="J1342" s="80"/>
      <c r="K1342" s="95"/>
      <c r="L1342" s="80"/>
      <c r="M1342" s="43"/>
      <c r="N1342" s="43"/>
      <c r="O1342" s="80"/>
      <c r="P1342" s="80"/>
      <c r="Q1342" s="80"/>
      <c r="R1342" s="80"/>
      <c r="S1342" s="117"/>
      <c r="T1342" s="81"/>
      <c r="U1342" s="81"/>
      <c r="V1342" s="81"/>
      <c r="W1342" s="81"/>
      <c r="X1342" s="81"/>
      <c r="Y1342" s="81"/>
      <c r="Z1342" s="82"/>
      <c r="AA1342" s="99"/>
      <c r="AB1342" s="48" t="s">
        <v>61</v>
      </c>
      <c r="AC1342" s="68" t="s">
        <v>61</v>
      </c>
      <c r="AD1342" s="69" t="s">
        <v>61</v>
      </c>
      <c r="AE1342" s="69" t="s">
        <v>61</v>
      </c>
      <c r="AF1342" s="68" t="s">
        <v>61</v>
      </c>
      <c r="AG1342" s="68" t="s">
        <v>61</v>
      </c>
      <c r="AH1342" s="68" t="s">
        <v>61</v>
      </c>
      <c r="AI1342" s="70" t="s">
        <v>61</v>
      </c>
      <c r="AJ1342" s="114" t="s">
        <v>61</v>
      </c>
      <c r="AK1342" s="82"/>
    </row>
    <row r="1343" ht="24.0" customHeight="1">
      <c r="A1343" s="35"/>
      <c r="B1343" s="36">
        <v>1.0</v>
      </c>
      <c r="C1343" s="37" t="str">
        <f>IFERROR(__xludf.DUMMYFUNCTION("""COMPUTED_VALUE"""),"")</f>
        <v/>
      </c>
      <c r="D1343" s="89" t="s">
        <v>61</v>
      </c>
      <c r="E1343" s="51" t="s">
        <v>61</v>
      </c>
      <c r="F1343" s="137"/>
      <c r="G1343" s="133"/>
      <c r="H1343" s="141"/>
      <c r="I1343" s="57"/>
      <c r="J1343" s="57"/>
      <c r="K1343" s="72"/>
      <c r="L1343" s="57"/>
      <c r="M1343" s="55"/>
      <c r="N1343" s="55"/>
      <c r="O1343" s="57"/>
      <c r="P1343" s="57"/>
      <c r="Q1343" s="57"/>
      <c r="R1343" s="57"/>
      <c r="S1343" s="132"/>
      <c r="T1343" s="74"/>
      <c r="U1343" s="74"/>
      <c r="V1343" s="74"/>
      <c r="W1343" s="74"/>
      <c r="X1343" s="74"/>
      <c r="Y1343" s="74"/>
      <c r="Z1343" s="76"/>
      <c r="AA1343" s="134"/>
      <c r="AB1343" s="62" t="s">
        <v>61</v>
      </c>
      <c r="AC1343" s="63" t="s">
        <v>61</v>
      </c>
      <c r="AD1343" s="64" t="s">
        <v>61</v>
      </c>
      <c r="AE1343" s="64" t="s">
        <v>61</v>
      </c>
      <c r="AF1343" s="63" t="s">
        <v>61</v>
      </c>
      <c r="AG1343" s="63" t="s">
        <v>61</v>
      </c>
      <c r="AH1343" s="63" t="s">
        <v>61</v>
      </c>
      <c r="AI1343" s="65" t="s">
        <v>61</v>
      </c>
      <c r="AJ1343" s="105" t="s">
        <v>61</v>
      </c>
      <c r="AK1343" s="76"/>
    </row>
    <row r="1344" ht="24.0" customHeight="1">
      <c r="A1344" s="35"/>
      <c r="B1344" s="36">
        <v>1.0</v>
      </c>
      <c r="C1344" s="37" t="str">
        <f>IFERROR(__xludf.DUMMYFUNCTION("""COMPUTED_VALUE"""),"")</f>
        <v/>
      </c>
      <c r="D1344" s="89" t="s">
        <v>61</v>
      </c>
      <c r="E1344" s="39" t="s">
        <v>61</v>
      </c>
      <c r="F1344" s="121"/>
      <c r="G1344" s="122"/>
      <c r="H1344" s="138"/>
      <c r="I1344" s="80"/>
      <c r="J1344" s="80"/>
      <c r="K1344" s="95"/>
      <c r="L1344" s="80"/>
      <c r="M1344" s="43"/>
      <c r="N1344" s="43"/>
      <c r="O1344" s="80"/>
      <c r="P1344" s="80"/>
      <c r="Q1344" s="80"/>
      <c r="R1344" s="80"/>
      <c r="S1344" s="117"/>
      <c r="T1344" s="81"/>
      <c r="U1344" s="81"/>
      <c r="V1344" s="81"/>
      <c r="W1344" s="81"/>
      <c r="X1344" s="81"/>
      <c r="Y1344" s="81"/>
      <c r="Z1344" s="82"/>
      <c r="AA1344" s="99"/>
      <c r="AB1344" s="48" t="s">
        <v>61</v>
      </c>
      <c r="AC1344" s="68" t="s">
        <v>61</v>
      </c>
      <c r="AD1344" s="69" t="s">
        <v>61</v>
      </c>
      <c r="AE1344" s="69" t="s">
        <v>61</v>
      </c>
      <c r="AF1344" s="68" t="s">
        <v>61</v>
      </c>
      <c r="AG1344" s="68" t="s">
        <v>61</v>
      </c>
      <c r="AH1344" s="68" t="s">
        <v>61</v>
      </c>
      <c r="AI1344" s="70" t="s">
        <v>61</v>
      </c>
      <c r="AJ1344" s="114" t="s">
        <v>61</v>
      </c>
      <c r="AK1344" s="82"/>
    </row>
    <row r="1345" ht="24.0" customHeight="1">
      <c r="A1345" s="35"/>
      <c r="B1345" s="36">
        <v>1.0</v>
      </c>
      <c r="C1345" s="37" t="str">
        <f>IFERROR(__xludf.DUMMYFUNCTION("""COMPUTED_VALUE"""),"")</f>
        <v/>
      </c>
      <c r="D1345" s="89" t="s">
        <v>61</v>
      </c>
      <c r="E1345" s="51" t="s">
        <v>61</v>
      </c>
      <c r="F1345" s="137"/>
      <c r="G1345" s="133"/>
      <c r="H1345" s="141"/>
      <c r="I1345" s="57"/>
      <c r="J1345" s="57"/>
      <c r="K1345" s="72"/>
      <c r="L1345" s="57"/>
      <c r="M1345" s="55"/>
      <c r="N1345" s="55"/>
      <c r="O1345" s="57"/>
      <c r="P1345" s="57"/>
      <c r="Q1345" s="57"/>
      <c r="R1345" s="57"/>
      <c r="S1345" s="132"/>
      <c r="T1345" s="74"/>
      <c r="U1345" s="74"/>
      <c r="V1345" s="74"/>
      <c r="W1345" s="74"/>
      <c r="X1345" s="74"/>
      <c r="Y1345" s="74"/>
      <c r="Z1345" s="76"/>
      <c r="AA1345" s="134"/>
      <c r="AB1345" s="62" t="s">
        <v>61</v>
      </c>
      <c r="AC1345" s="63" t="s">
        <v>61</v>
      </c>
      <c r="AD1345" s="64" t="s">
        <v>61</v>
      </c>
      <c r="AE1345" s="64" t="s">
        <v>61</v>
      </c>
      <c r="AF1345" s="63" t="s">
        <v>61</v>
      </c>
      <c r="AG1345" s="63" t="s">
        <v>61</v>
      </c>
      <c r="AH1345" s="63" t="s">
        <v>61</v>
      </c>
      <c r="AI1345" s="65" t="s">
        <v>61</v>
      </c>
      <c r="AJ1345" s="105" t="s">
        <v>61</v>
      </c>
      <c r="AK1345" s="76"/>
    </row>
    <row r="1346" ht="24.0" customHeight="1">
      <c r="A1346" s="35"/>
      <c r="B1346" s="36">
        <v>1.0</v>
      </c>
      <c r="C1346" s="37" t="str">
        <f>IFERROR(__xludf.DUMMYFUNCTION("""COMPUTED_VALUE"""),"")</f>
        <v/>
      </c>
      <c r="D1346" s="89" t="s">
        <v>61</v>
      </c>
      <c r="E1346" s="39" t="s">
        <v>61</v>
      </c>
      <c r="F1346" s="121"/>
      <c r="G1346" s="122"/>
      <c r="H1346" s="138"/>
      <c r="I1346" s="80"/>
      <c r="J1346" s="80"/>
      <c r="K1346" s="95"/>
      <c r="L1346" s="80"/>
      <c r="M1346" s="43"/>
      <c r="N1346" s="43"/>
      <c r="O1346" s="80"/>
      <c r="P1346" s="80"/>
      <c r="Q1346" s="80"/>
      <c r="R1346" s="80"/>
      <c r="S1346" s="117"/>
      <c r="T1346" s="81"/>
      <c r="U1346" s="81"/>
      <c r="V1346" s="81"/>
      <c r="W1346" s="81"/>
      <c r="X1346" s="81"/>
      <c r="Y1346" s="81"/>
      <c r="Z1346" s="82"/>
      <c r="AA1346" s="99"/>
      <c r="AB1346" s="48" t="s">
        <v>61</v>
      </c>
      <c r="AC1346" s="68" t="s">
        <v>61</v>
      </c>
      <c r="AD1346" s="69" t="s">
        <v>61</v>
      </c>
      <c r="AE1346" s="69" t="s">
        <v>61</v>
      </c>
      <c r="AF1346" s="68" t="s">
        <v>61</v>
      </c>
      <c r="AG1346" s="68" t="s">
        <v>61</v>
      </c>
      <c r="AH1346" s="68" t="s">
        <v>61</v>
      </c>
      <c r="AI1346" s="70" t="s">
        <v>61</v>
      </c>
      <c r="AJ1346" s="114" t="s">
        <v>61</v>
      </c>
      <c r="AK1346" s="82"/>
    </row>
    <row r="1347" ht="24.0" customHeight="1">
      <c r="A1347" s="35"/>
      <c r="B1347" s="36">
        <v>1.0</v>
      </c>
      <c r="C1347" s="37" t="str">
        <f>IFERROR(__xludf.DUMMYFUNCTION("""COMPUTED_VALUE"""),"")</f>
        <v/>
      </c>
      <c r="D1347" s="89" t="s">
        <v>61</v>
      </c>
      <c r="E1347" s="51" t="s">
        <v>61</v>
      </c>
      <c r="F1347" s="137"/>
      <c r="G1347" s="133"/>
      <c r="H1347" s="141"/>
      <c r="I1347" s="57"/>
      <c r="J1347" s="57"/>
      <c r="K1347" s="72"/>
      <c r="L1347" s="57"/>
      <c r="M1347" s="55"/>
      <c r="N1347" s="55"/>
      <c r="O1347" s="57"/>
      <c r="P1347" s="57"/>
      <c r="Q1347" s="57"/>
      <c r="R1347" s="57"/>
      <c r="S1347" s="132"/>
      <c r="T1347" s="74"/>
      <c r="U1347" s="74"/>
      <c r="V1347" s="74"/>
      <c r="W1347" s="74"/>
      <c r="X1347" s="74"/>
      <c r="Y1347" s="74"/>
      <c r="Z1347" s="76"/>
      <c r="AA1347" s="134"/>
      <c r="AB1347" s="62" t="s">
        <v>61</v>
      </c>
      <c r="AC1347" s="63" t="s">
        <v>61</v>
      </c>
      <c r="AD1347" s="64" t="s">
        <v>61</v>
      </c>
      <c r="AE1347" s="64" t="s">
        <v>61</v>
      </c>
      <c r="AF1347" s="63" t="s">
        <v>61</v>
      </c>
      <c r="AG1347" s="63" t="s">
        <v>61</v>
      </c>
      <c r="AH1347" s="63" t="s">
        <v>61</v>
      </c>
      <c r="AI1347" s="65" t="s">
        <v>61</v>
      </c>
      <c r="AJ1347" s="105" t="s">
        <v>61</v>
      </c>
      <c r="AK1347" s="76"/>
    </row>
    <row r="1348" ht="24.0" customHeight="1">
      <c r="A1348" s="35"/>
      <c r="B1348" s="36">
        <v>1.0</v>
      </c>
      <c r="C1348" s="37" t="str">
        <f>IFERROR(__xludf.DUMMYFUNCTION("""COMPUTED_VALUE"""),"")</f>
        <v/>
      </c>
      <c r="D1348" s="89" t="s">
        <v>61</v>
      </c>
      <c r="E1348" s="39" t="s">
        <v>61</v>
      </c>
      <c r="F1348" s="121"/>
      <c r="G1348" s="122"/>
      <c r="H1348" s="138"/>
      <c r="I1348" s="80"/>
      <c r="J1348" s="80"/>
      <c r="K1348" s="95"/>
      <c r="L1348" s="80"/>
      <c r="M1348" s="43"/>
      <c r="N1348" s="43"/>
      <c r="O1348" s="80"/>
      <c r="P1348" s="80"/>
      <c r="Q1348" s="80"/>
      <c r="R1348" s="80"/>
      <c r="S1348" s="117"/>
      <c r="T1348" s="81"/>
      <c r="U1348" s="81"/>
      <c r="V1348" s="81"/>
      <c r="W1348" s="81"/>
      <c r="X1348" s="81"/>
      <c r="Y1348" s="81"/>
      <c r="Z1348" s="82"/>
      <c r="AA1348" s="99"/>
      <c r="AB1348" s="48" t="s">
        <v>61</v>
      </c>
      <c r="AC1348" s="68" t="s">
        <v>61</v>
      </c>
      <c r="AD1348" s="69" t="s">
        <v>61</v>
      </c>
      <c r="AE1348" s="69" t="s">
        <v>61</v>
      </c>
      <c r="AF1348" s="68" t="s">
        <v>61</v>
      </c>
      <c r="AG1348" s="68" t="s">
        <v>61</v>
      </c>
      <c r="AH1348" s="68" t="s">
        <v>61</v>
      </c>
      <c r="AI1348" s="70" t="s">
        <v>61</v>
      </c>
      <c r="AJ1348" s="114" t="s">
        <v>61</v>
      </c>
      <c r="AK1348" s="82"/>
    </row>
    <row r="1349" ht="24.0" customHeight="1">
      <c r="A1349" s="35"/>
      <c r="B1349" s="36">
        <v>1.0</v>
      </c>
      <c r="C1349" s="37" t="str">
        <f>IFERROR(__xludf.DUMMYFUNCTION("""COMPUTED_VALUE"""),"")</f>
        <v/>
      </c>
      <c r="D1349" s="89" t="s">
        <v>61</v>
      </c>
      <c r="E1349" s="51" t="s">
        <v>61</v>
      </c>
      <c r="F1349" s="137"/>
      <c r="G1349" s="133"/>
      <c r="H1349" s="141"/>
      <c r="I1349" s="57"/>
      <c r="J1349" s="57"/>
      <c r="K1349" s="72"/>
      <c r="L1349" s="57"/>
      <c r="M1349" s="55"/>
      <c r="N1349" s="55"/>
      <c r="O1349" s="57"/>
      <c r="P1349" s="57"/>
      <c r="Q1349" s="57"/>
      <c r="R1349" s="57"/>
      <c r="S1349" s="132"/>
      <c r="T1349" s="74"/>
      <c r="U1349" s="74"/>
      <c r="V1349" s="74"/>
      <c r="W1349" s="74"/>
      <c r="X1349" s="74"/>
      <c r="Y1349" s="74"/>
      <c r="Z1349" s="76"/>
      <c r="AA1349" s="134"/>
      <c r="AB1349" s="62" t="s">
        <v>61</v>
      </c>
      <c r="AC1349" s="63" t="s">
        <v>61</v>
      </c>
      <c r="AD1349" s="64" t="s">
        <v>61</v>
      </c>
      <c r="AE1349" s="64" t="s">
        <v>61</v>
      </c>
      <c r="AF1349" s="63" t="s">
        <v>61</v>
      </c>
      <c r="AG1349" s="63" t="s">
        <v>61</v>
      </c>
      <c r="AH1349" s="63" t="s">
        <v>61</v>
      </c>
      <c r="AI1349" s="65" t="s">
        <v>61</v>
      </c>
      <c r="AJ1349" s="105" t="s">
        <v>61</v>
      </c>
      <c r="AK1349" s="76"/>
    </row>
    <row r="1350" ht="24.0" customHeight="1">
      <c r="A1350" s="35"/>
      <c r="B1350" s="36">
        <v>1.0</v>
      </c>
      <c r="C1350" s="37" t="str">
        <f>IFERROR(__xludf.DUMMYFUNCTION("""COMPUTED_VALUE"""),"")</f>
        <v/>
      </c>
      <c r="D1350" s="89" t="s">
        <v>61</v>
      </c>
      <c r="E1350" s="39" t="s">
        <v>61</v>
      </c>
      <c r="F1350" s="121"/>
      <c r="G1350" s="122"/>
      <c r="H1350" s="138"/>
      <c r="I1350" s="80"/>
      <c r="J1350" s="80"/>
      <c r="K1350" s="95"/>
      <c r="L1350" s="80"/>
      <c r="M1350" s="43"/>
      <c r="N1350" s="43"/>
      <c r="O1350" s="80"/>
      <c r="P1350" s="80"/>
      <c r="Q1350" s="80"/>
      <c r="R1350" s="80"/>
      <c r="S1350" s="117"/>
      <c r="T1350" s="81"/>
      <c r="U1350" s="81"/>
      <c r="V1350" s="81"/>
      <c r="W1350" s="81"/>
      <c r="X1350" s="81"/>
      <c r="Y1350" s="81"/>
      <c r="Z1350" s="82"/>
      <c r="AA1350" s="99"/>
      <c r="AB1350" s="48" t="s">
        <v>61</v>
      </c>
      <c r="AC1350" s="68" t="s">
        <v>61</v>
      </c>
      <c r="AD1350" s="69" t="s">
        <v>61</v>
      </c>
      <c r="AE1350" s="69" t="s">
        <v>61</v>
      </c>
      <c r="AF1350" s="68" t="s">
        <v>61</v>
      </c>
      <c r="AG1350" s="68" t="s">
        <v>61</v>
      </c>
      <c r="AH1350" s="68" t="s">
        <v>61</v>
      </c>
      <c r="AI1350" s="70" t="s">
        <v>61</v>
      </c>
      <c r="AJ1350" s="114" t="s">
        <v>61</v>
      </c>
      <c r="AK1350" s="82"/>
    </row>
    <row r="1351" ht="24.0" customHeight="1">
      <c r="A1351" s="35"/>
      <c r="B1351" s="36">
        <v>1.0</v>
      </c>
      <c r="C1351" s="37" t="str">
        <f>IFERROR(__xludf.DUMMYFUNCTION("""COMPUTED_VALUE"""),"")</f>
        <v/>
      </c>
      <c r="D1351" s="89" t="s">
        <v>61</v>
      </c>
      <c r="E1351" s="51" t="s">
        <v>61</v>
      </c>
      <c r="F1351" s="137"/>
      <c r="G1351" s="133"/>
      <c r="H1351" s="141"/>
      <c r="I1351" s="57"/>
      <c r="J1351" s="57"/>
      <c r="K1351" s="72"/>
      <c r="L1351" s="57"/>
      <c r="M1351" s="55"/>
      <c r="N1351" s="55"/>
      <c r="O1351" s="57"/>
      <c r="P1351" s="57"/>
      <c r="Q1351" s="57"/>
      <c r="R1351" s="57"/>
      <c r="S1351" s="132"/>
      <c r="T1351" s="74"/>
      <c r="U1351" s="74"/>
      <c r="V1351" s="74"/>
      <c r="W1351" s="74"/>
      <c r="X1351" s="74"/>
      <c r="Y1351" s="74"/>
      <c r="Z1351" s="76"/>
      <c r="AA1351" s="134"/>
      <c r="AB1351" s="62" t="s">
        <v>61</v>
      </c>
      <c r="AC1351" s="63" t="s">
        <v>61</v>
      </c>
      <c r="AD1351" s="64" t="s">
        <v>61</v>
      </c>
      <c r="AE1351" s="64" t="s">
        <v>61</v>
      </c>
      <c r="AF1351" s="63" t="s">
        <v>61</v>
      </c>
      <c r="AG1351" s="63" t="s">
        <v>61</v>
      </c>
      <c r="AH1351" s="63" t="s">
        <v>61</v>
      </c>
      <c r="AI1351" s="65" t="s">
        <v>61</v>
      </c>
      <c r="AJ1351" s="105" t="s">
        <v>61</v>
      </c>
      <c r="AK1351" s="76"/>
    </row>
    <row r="1352" ht="24.0" customHeight="1">
      <c r="A1352" s="35"/>
      <c r="B1352" s="36">
        <v>1.0</v>
      </c>
      <c r="C1352" s="37" t="str">
        <f>IFERROR(__xludf.DUMMYFUNCTION("""COMPUTED_VALUE"""),"")</f>
        <v/>
      </c>
      <c r="D1352" s="89" t="s">
        <v>61</v>
      </c>
      <c r="E1352" s="39" t="s">
        <v>61</v>
      </c>
      <c r="F1352" s="121"/>
      <c r="G1352" s="122"/>
      <c r="H1352" s="138"/>
      <c r="I1352" s="80"/>
      <c r="J1352" s="80"/>
      <c r="K1352" s="95"/>
      <c r="L1352" s="80"/>
      <c r="M1352" s="43"/>
      <c r="N1352" s="43"/>
      <c r="O1352" s="80"/>
      <c r="P1352" s="80"/>
      <c r="Q1352" s="80"/>
      <c r="R1352" s="80"/>
      <c r="S1352" s="117"/>
      <c r="T1352" s="81"/>
      <c r="U1352" s="81"/>
      <c r="V1352" s="81"/>
      <c r="W1352" s="81"/>
      <c r="X1352" s="81"/>
      <c r="Y1352" s="81"/>
      <c r="Z1352" s="82"/>
      <c r="AA1352" s="99"/>
      <c r="AB1352" s="48" t="s">
        <v>61</v>
      </c>
      <c r="AC1352" s="68" t="s">
        <v>61</v>
      </c>
      <c r="AD1352" s="69" t="s">
        <v>61</v>
      </c>
      <c r="AE1352" s="69" t="s">
        <v>61</v>
      </c>
      <c r="AF1352" s="68" t="s">
        <v>61</v>
      </c>
      <c r="AG1352" s="68" t="s">
        <v>61</v>
      </c>
      <c r="AH1352" s="68" t="s">
        <v>61</v>
      </c>
      <c r="AI1352" s="70" t="s">
        <v>61</v>
      </c>
      <c r="AJ1352" s="114" t="s">
        <v>61</v>
      </c>
      <c r="AK1352" s="82"/>
    </row>
    <row r="1353" ht="24.0" customHeight="1">
      <c r="A1353" s="35"/>
      <c r="B1353" s="36">
        <v>1.0</v>
      </c>
      <c r="C1353" s="37" t="str">
        <f>IFERROR(__xludf.DUMMYFUNCTION("""COMPUTED_VALUE"""),"")</f>
        <v/>
      </c>
      <c r="D1353" s="89" t="s">
        <v>61</v>
      </c>
      <c r="E1353" s="51" t="s">
        <v>61</v>
      </c>
      <c r="F1353" s="137"/>
      <c r="G1353" s="133"/>
      <c r="H1353" s="141"/>
      <c r="I1353" s="57"/>
      <c r="J1353" s="57"/>
      <c r="K1353" s="72"/>
      <c r="L1353" s="57"/>
      <c r="M1353" s="55"/>
      <c r="N1353" s="55"/>
      <c r="O1353" s="57"/>
      <c r="P1353" s="57"/>
      <c r="Q1353" s="57"/>
      <c r="R1353" s="57"/>
      <c r="S1353" s="132"/>
      <c r="T1353" s="74"/>
      <c r="U1353" s="74"/>
      <c r="V1353" s="74"/>
      <c r="W1353" s="74"/>
      <c r="X1353" s="74"/>
      <c r="Y1353" s="74"/>
      <c r="Z1353" s="76"/>
      <c r="AA1353" s="134"/>
      <c r="AB1353" s="62" t="s">
        <v>61</v>
      </c>
      <c r="AC1353" s="63" t="s">
        <v>61</v>
      </c>
      <c r="AD1353" s="64" t="s">
        <v>61</v>
      </c>
      <c r="AE1353" s="64" t="s">
        <v>61</v>
      </c>
      <c r="AF1353" s="63" t="s">
        <v>61</v>
      </c>
      <c r="AG1353" s="63" t="s">
        <v>61</v>
      </c>
      <c r="AH1353" s="63" t="s">
        <v>61</v>
      </c>
      <c r="AI1353" s="65" t="s">
        <v>61</v>
      </c>
      <c r="AJ1353" s="105" t="s">
        <v>61</v>
      </c>
      <c r="AK1353" s="76"/>
    </row>
    <row r="1354" ht="24.0" customHeight="1">
      <c r="A1354" s="35"/>
      <c r="B1354" s="36">
        <v>1.0</v>
      </c>
      <c r="C1354" s="37" t="str">
        <f>IFERROR(__xludf.DUMMYFUNCTION("""COMPUTED_VALUE"""),"")</f>
        <v/>
      </c>
      <c r="D1354" s="89" t="s">
        <v>61</v>
      </c>
      <c r="E1354" s="39" t="s">
        <v>61</v>
      </c>
      <c r="F1354" s="121"/>
      <c r="G1354" s="122"/>
      <c r="H1354" s="138"/>
      <c r="I1354" s="80"/>
      <c r="J1354" s="80"/>
      <c r="K1354" s="95"/>
      <c r="L1354" s="80"/>
      <c r="M1354" s="43"/>
      <c r="N1354" s="43"/>
      <c r="O1354" s="80"/>
      <c r="P1354" s="80"/>
      <c r="Q1354" s="80"/>
      <c r="R1354" s="80"/>
      <c r="S1354" s="117"/>
      <c r="T1354" s="81"/>
      <c r="U1354" s="81"/>
      <c r="V1354" s="81"/>
      <c r="W1354" s="81"/>
      <c r="X1354" s="81"/>
      <c r="Y1354" s="81"/>
      <c r="Z1354" s="82"/>
      <c r="AA1354" s="99"/>
      <c r="AB1354" s="48" t="s">
        <v>61</v>
      </c>
      <c r="AC1354" s="68" t="s">
        <v>61</v>
      </c>
      <c r="AD1354" s="69" t="s">
        <v>61</v>
      </c>
      <c r="AE1354" s="69" t="s">
        <v>61</v>
      </c>
      <c r="AF1354" s="68" t="s">
        <v>61</v>
      </c>
      <c r="AG1354" s="68" t="s">
        <v>61</v>
      </c>
      <c r="AH1354" s="68" t="s">
        <v>61</v>
      </c>
      <c r="AI1354" s="70" t="s">
        <v>61</v>
      </c>
      <c r="AJ1354" s="114" t="s">
        <v>61</v>
      </c>
      <c r="AK1354" s="82"/>
    </row>
    <row r="1355" ht="24.0" customHeight="1">
      <c r="A1355" s="35"/>
      <c r="B1355" s="36">
        <v>1.0</v>
      </c>
      <c r="C1355" s="37" t="str">
        <f>IFERROR(__xludf.DUMMYFUNCTION("""COMPUTED_VALUE"""),"")</f>
        <v/>
      </c>
      <c r="D1355" s="89" t="s">
        <v>61</v>
      </c>
      <c r="E1355" s="51" t="s">
        <v>61</v>
      </c>
      <c r="F1355" s="137"/>
      <c r="G1355" s="133"/>
      <c r="H1355" s="141"/>
      <c r="I1355" s="57"/>
      <c r="J1355" s="57"/>
      <c r="K1355" s="72"/>
      <c r="L1355" s="57"/>
      <c r="M1355" s="55"/>
      <c r="N1355" s="55"/>
      <c r="O1355" s="57"/>
      <c r="P1355" s="57"/>
      <c r="Q1355" s="57"/>
      <c r="R1355" s="57"/>
      <c r="S1355" s="132"/>
      <c r="T1355" s="74"/>
      <c r="U1355" s="74"/>
      <c r="V1355" s="74"/>
      <c r="W1355" s="74"/>
      <c r="X1355" s="74"/>
      <c r="Y1355" s="74"/>
      <c r="Z1355" s="76"/>
      <c r="AA1355" s="134"/>
      <c r="AB1355" s="62" t="s">
        <v>61</v>
      </c>
      <c r="AC1355" s="63" t="s">
        <v>61</v>
      </c>
      <c r="AD1355" s="64" t="s">
        <v>61</v>
      </c>
      <c r="AE1355" s="64" t="s">
        <v>61</v>
      </c>
      <c r="AF1355" s="63" t="s">
        <v>61</v>
      </c>
      <c r="AG1355" s="63" t="s">
        <v>61</v>
      </c>
      <c r="AH1355" s="63" t="s">
        <v>61</v>
      </c>
      <c r="AI1355" s="65" t="s">
        <v>61</v>
      </c>
      <c r="AJ1355" s="105" t="s">
        <v>61</v>
      </c>
      <c r="AK1355" s="76"/>
    </row>
    <row r="1356" ht="24.0" customHeight="1">
      <c r="A1356" s="35"/>
      <c r="B1356" s="36">
        <v>1.0</v>
      </c>
      <c r="C1356" s="37" t="str">
        <f>IFERROR(__xludf.DUMMYFUNCTION("""COMPUTED_VALUE"""),"")</f>
        <v/>
      </c>
      <c r="D1356" s="89" t="s">
        <v>61</v>
      </c>
      <c r="E1356" s="39" t="s">
        <v>61</v>
      </c>
      <c r="F1356" s="121"/>
      <c r="G1356" s="122"/>
      <c r="H1356" s="138"/>
      <c r="I1356" s="80"/>
      <c r="J1356" s="80"/>
      <c r="K1356" s="95"/>
      <c r="L1356" s="80"/>
      <c r="M1356" s="43"/>
      <c r="N1356" s="43"/>
      <c r="O1356" s="80"/>
      <c r="P1356" s="80"/>
      <c r="Q1356" s="80"/>
      <c r="R1356" s="80"/>
      <c r="S1356" s="117"/>
      <c r="T1356" s="81"/>
      <c r="U1356" s="81"/>
      <c r="V1356" s="81"/>
      <c r="W1356" s="81"/>
      <c r="X1356" s="81"/>
      <c r="Y1356" s="81"/>
      <c r="Z1356" s="82"/>
      <c r="AA1356" s="99"/>
      <c r="AB1356" s="48" t="s">
        <v>61</v>
      </c>
      <c r="AC1356" s="68" t="s">
        <v>61</v>
      </c>
      <c r="AD1356" s="69" t="s">
        <v>61</v>
      </c>
      <c r="AE1356" s="69" t="s">
        <v>61</v>
      </c>
      <c r="AF1356" s="68" t="s">
        <v>61</v>
      </c>
      <c r="AG1356" s="68" t="s">
        <v>61</v>
      </c>
      <c r="AH1356" s="68" t="s">
        <v>61</v>
      </c>
      <c r="AI1356" s="70" t="s">
        <v>61</v>
      </c>
      <c r="AJ1356" s="114" t="s">
        <v>61</v>
      </c>
      <c r="AK1356" s="82"/>
    </row>
    <row r="1357" ht="24.0" customHeight="1">
      <c r="A1357" s="35"/>
      <c r="B1357" s="36">
        <v>1.0</v>
      </c>
      <c r="C1357" s="37" t="str">
        <f>IFERROR(__xludf.DUMMYFUNCTION("""COMPUTED_VALUE"""),"")</f>
        <v/>
      </c>
      <c r="D1357" s="89" t="s">
        <v>61</v>
      </c>
      <c r="E1357" s="51" t="s">
        <v>61</v>
      </c>
      <c r="F1357" s="137"/>
      <c r="G1357" s="133"/>
      <c r="H1357" s="141"/>
      <c r="I1357" s="57"/>
      <c r="J1357" s="57"/>
      <c r="K1357" s="72"/>
      <c r="L1357" s="57"/>
      <c r="M1357" s="55"/>
      <c r="N1357" s="55"/>
      <c r="O1357" s="57"/>
      <c r="P1357" s="57"/>
      <c r="Q1357" s="57"/>
      <c r="R1357" s="57"/>
      <c r="S1357" s="132"/>
      <c r="T1357" s="74"/>
      <c r="U1357" s="74"/>
      <c r="V1357" s="74"/>
      <c r="W1357" s="74"/>
      <c r="X1357" s="74"/>
      <c r="Y1357" s="74"/>
      <c r="Z1357" s="76"/>
      <c r="AA1357" s="134"/>
      <c r="AB1357" s="62" t="s">
        <v>61</v>
      </c>
      <c r="AC1357" s="63" t="s">
        <v>61</v>
      </c>
      <c r="AD1357" s="64" t="s">
        <v>61</v>
      </c>
      <c r="AE1357" s="64" t="s">
        <v>61</v>
      </c>
      <c r="AF1357" s="63" t="s">
        <v>61</v>
      </c>
      <c r="AG1357" s="63" t="s">
        <v>61</v>
      </c>
      <c r="AH1357" s="63" t="s">
        <v>61</v>
      </c>
      <c r="AI1357" s="65" t="s">
        <v>61</v>
      </c>
      <c r="AJ1357" s="105" t="s">
        <v>61</v>
      </c>
      <c r="AK1357" s="76"/>
    </row>
    <row r="1358" ht="24.0" customHeight="1">
      <c r="A1358" s="35"/>
      <c r="B1358" s="36">
        <v>1.0</v>
      </c>
      <c r="C1358" s="37" t="str">
        <f>IFERROR(__xludf.DUMMYFUNCTION("""COMPUTED_VALUE"""),"")</f>
        <v/>
      </c>
      <c r="D1358" s="89" t="s">
        <v>61</v>
      </c>
      <c r="E1358" s="39" t="s">
        <v>61</v>
      </c>
      <c r="F1358" s="121"/>
      <c r="G1358" s="122"/>
      <c r="H1358" s="138"/>
      <c r="I1358" s="80"/>
      <c r="J1358" s="80"/>
      <c r="K1358" s="95"/>
      <c r="L1358" s="80"/>
      <c r="M1358" s="43"/>
      <c r="N1358" s="43"/>
      <c r="O1358" s="80"/>
      <c r="P1358" s="80"/>
      <c r="Q1358" s="80"/>
      <c r="R1358" s="80"/>
      <c r="S1358" s="117"/>
      <c r="T1358" s="81"/>
      <c r="U1358" s="81"/>
      <c r="V1358" s="81"/>
      <c r="W1358" s="81"/>
      <c r="X1358" s="81"/>
      <c r="Y1358" s="81"/>
      <c r="Z1358" s="82"/>
      <c r="AA1358" s="99"/>
      <c r="AB1358" s="48" t="s">
        <v>61</v>
      </c>
      <c r="AC1358" s="68" t="s">
        <v>61</v>
      </c>
      <c r="AD1358" s="69" t="s">
        <v>61</v>
      </c>
      <c r="AE1358" s="69" t="s">
        <v>61</v>
      </c>
      <c r="AF1358" s="68" t="s">
        <v>61</v>
      </c>
      <c r="AG1358" s="68" t="s">
        <v>61</v>
      </c>
      <c r="AH1358" s="68" t="s">
        <v>61</v>
      </c>
      <c r="AI1358" s="70" t="s">
        <v>61</v>
      </c>
      <c r="AJ1358" s="114" t="s">
        <v>61</v>
      </c>
      <c r="AK1358" s="82"/>
    </row>
    <row r="1359" ht="24.0" customHeight="1">
      <c r="A1359" s="35"/>
      <c r="B1359" s="36">
        <v>1.0</v>
      </c>
      <c r="C1359" s="37" t="str">
        <f>IFERROR(__xludf.DUMMYFUNCTION("""COMPUTED_VALUE"""),"")</f>
        <v/>
      </c>
      <c r="D1359" s="89" t="s">
        <v>61</v>
      </c>
      <c r="E1359" s="51" t="s">
        <v>61</v>
      </c>
      <c r="F1359" s="137"/>
      <c r="G1359" s="133"/>
      <c r="H1359" s="141"/>
      <c r="I1359" s="57"/>
      <c r="J1359" s="57"/>
      <c r="K1359" s="72"/>
      <c r="L1359" s="57"/>
      <c r="M1359" s="55"/>
      <c r="N1359" s="55"/>
      <c r="O1359" s="57"/>
      <c r="P1359" s="57"/>
      <c r="Q1359" s="57"/>
      <c r="R1359" s="57"/>
      <c r="S1359" s="132"/>
      <c r="T1359" s="74"/>
      <c r="U1359" s="74"/>
      <c r="V1359" s="74"/>
      <c r="W1359" s="74"/>
      <c r="X1359" s="74"/>
      <c r="Y1359" s="74"/>
      <c r="Z1359" s="76"/>
      <c r="AA1359" s="134"/>
      <c r="AB1359" s="62" t="s">
        <v>61</v>
      </c>
      <c r="AC1359" s="63" t="s">
        <v>61</v>
      </c>
      <c r="AD1359" s="64" t="s">
        <v>61</v>
      </c>
      <c r="AE1359" s="64" t="s">
        <v>61</v>
      </c>
      <c r="AF1359" s="63" t="s">
        <v>61</v>
      </c>
      <c r="AG1359" s="63" t="s">
        <v>61</v>
      </c>
      <c r="AH1359" s="63" t="s">
        <v>61</v>
      </c>
      <c r="AI1359" s="65" t="s">
        <v>61</v>
      </c>
      <c r="AJ1359" s="105" t="s">
        <v>61</v>
      </c>
      <c r="AK1359" s="76"/>
    </row>
    <row r="1360" ht="24.0" customHeight="1">
      <c r="A1360" s="35"/>
      <c r="B1360" s="36">
        <v>1.0</v>
      </c>
      <c r="C1360" s="37" t="str">
        <f>IFERROR(__xludf.DUMMYFUNCTION("""COMPUTED_VALUE"""),"")</f>
        <v/>
      </c>
      <c r="D1360" s="89" t="s">
        <v>61</v>
      </c>
      <c r="E1360" s="39" t="s">
        <v>61</v>
      </c>
      <c r="F1360" s="121"/>
      <c r="G1360" s="122"/>
      <c r="H1360" s="138"/>
      <c r="I1360" s="80"/>
      <c r="J1360" s="80"/>
      <c r="K1360" s="95"/>
      <c r="L1360" s="80"/>
      <c r="M1360" s="43"/>
      <c r="N1360" s="43"/>
      <c r="O1360" s="80"/>
      <c r="P1360" s="80"/>
      <c r="Q1360" s="80"/>
      <c r="R1360" s="80"/>
      <c r="S1360" s="117"/>
      <c r="T1360" s="81"/>
      <c r="U1360" s="81"/>
      <c r="V1360" s="81"/>
      <c r="W1360" s="81"/>
      <c r="X1360" s="81"/>
      <c r="Y1360" s="81"/>
      <c r="Z1360" s="82"/>
      <c r="AA1360" s="99"/>
      <c r="AB1360" s="48" t="s">
        <v>61</v>
      </c>
      <c r="AC1360" s="68" t="s">
        <v>61</v>
      </c>
      <c r="AD1360" s="69" t="s">
        <v>61</v>
      </c>
      <c r="AE1360" s="69" t="s">
        <v>61</v>
      </c>
      <c r="AF1360" s="68" t="s">
        <v>61</v>
      </c>
      <c r="AG1360" s="68" t="s">
        <v>61</v>
      </c>
      <c r="AH1360" s="68" t="s">
        <v>61</v>
      </c>
      <c r="AI1360" s="70" t="s">
        <v>61</v>
      </c>
      <c r="AJ1360" s="114" t="s">
        <v>61</v>
      </c>
      <c r="AK1360" s="82"/>
    </row>
    <row r="1361" ht="24.0" customHeight="1">
      <c r="A1361" s="35"/>
      <c r="B1361" s="36">
        <v>1.0</v>
      </c>
      <c r="C1361" s="37" t="str">
        <f>IFERROR(__xludf.DUMMYFUNCTION("""COMPUTED_VALUE"""),"")</f>
        <v/>
      </c>
      <c r="D1361" s="89" t="s">
        <v>61</v>
      </c>
      <c r="E1361" s="51" t="s">
        <v>61</v>
      </c>
      <c r="F1361" s="137"/>
      <c r="G1361" s="133"/>
      <c r="H1361" s="141"/>
      <c r="I1361" s="57"/>
      <c r="J1361" s="57"/>
      <c r="K1361" s="72"/>
      <c r="L1361" s="57"/>
      <c r="M1361" s="55"/>
      <c r="N1361" s="55"/>
      <c r="O1361" s="57"/>
      <c r="P1361" s="57"/>
      <c r="Q1361" s="57"/>
      <c r="R1361" s="57"/>
      <c r="S1361" s="132"/>
      <c r="T1361" s="74"/>
      <c r="U1361" s="74"/>
      <c r="V1361" s="74"/>
      <c r="W1361" s="74"/>
      <c r="X1361" s="74"/>
      <c r="Y1361" s="74"/>
      <c r="Z1361" s="76"/>
      <c r="AA1361" s="134"/>
      <c r="AB1361" s="62" t="s">
        <v>61</v>
      </c>
      <c r="AC1361" s="63" t="s">
        <v>61</v>
      </c>
      <c r="AD1361" s="64" t="s">
        <v>61</v>
      </c>
      <c r="AE1361" s="64" t="s">
        <v>61</v>
      </c>
      <c r="AF1361" s="63" t="s">
        <v>61</v>
      </c>
      <c r="AG1361" s="63" t="s">
        <v>61</v>
      </c>
      <c r="AH1361" s="63" t="s">
        <v>61</v>
      </c>
      <c r="AI1361" s="65" t="s">
        <v>61</v>
      </c>
      <c r="AJ1361" s="105" t="s">
        <v>61</v>
      </c>
      <c r="AK1361" s="76"/>
    </row>
    <row r="1362" ht="24.0" customHeight="1">
      <c r="A1362" s="35"/>
      <c r="B1362" s="36">
        <v>1.0</v>
      </c>
      <c r="C1362" s="37" t="str">
        <f>IFERROR(__xludf.DUMMYFUNCTION("""COMPUTED_VALUE"""),"")</f>
        <v/>
      </c>
      <c r="D1362" s="89" t="s">
        <v>61</v>
      </c>
      <c r="E1362" s="39" t="s">
        <v>61</v>
      </c>
      <c r="F1362" s="121"/>
      <c r="G1362" s="122"/>
      <c r="H1362" s="138"/>
      <c r="I1362" s="80"/>
      <c r="J1362" s="80"/>
      <c r="K1362" s="95"/>
      <c r="L1362" s="80"/>
      <c r="M1362" s="43"/>
      <c r="N1362" s="43"/>
      <c r="O1362" s="80"/>
      <c r="P1362" s="80"/>
      <c r="Q1362" s="80"/>
      <c r="R1362" s="80"/>
      <c r="S1362" s="117"/>
      <c r="T1362" s="81"/>
      <c r="U1362" s="81"/>
      <c r="V1362" s="81"/>
      <c r="W1362" s="81"/>
      <c r="X1362" s="81"/>
      <c r="Y1362" s="81"/>
      <c r="Z1362" s="82"/>
      <c r="AA1362" s="99"/>
      <c r="AB1362" s="48" t="s">
        <v>61</v>
      </c>
      <c r="AC1362" s="68" t="s">
        <v>61</v>
      </c>
      <c r="AD1362" s="69" t="s">
        <v>61</v>
      </c>
      <c r="AE1362" s="69" t="s">
        <v>61</v>
      </c>
      <c r="AF1362" s="68" t="s">
        <v>61</v>
      </c>
      <c r="AG1362" s="68" t="s">
        <v>61</v>
      </c>
      <c r="AH1362" s="68" t="s">
        <v>61</v>
      </c>
      <c r="AI1362" s="70" t="s">
        <v>61</v>
      </c>
      <c r="AJ1362" s="114" t="s">
        <v>61</v>
      </c>
      <c r="AK1362" s="82"/>
    </row>
    <row r="1363" ht="24.0" customHeight="1">
      <c r="A1363" s="35"/>
      <c r="B1363" s="36">
        <v>1.0</v>
      </c>
      <c r="C1363" s="37" t="str">
        <f>IFERROR(__xludf.DUMMYFUNCTION("""COMPUTED_VALUE"""),"")</f>
        <v/>
      </c>
      <c r="D1363" s="89" t="s">
        <v>61</v>
      </c>
      <c r="E1363" s="51" t="s">
        <v>61</v>
      </c>
      <c r="F1363" s="137"/>
      <c r="G1363" s="133"/>
      <c r="H1363" s="141"/>
      <c r="I1363" s="57"/>
      <c r="J1363" s="57"/>
      <c r="K1363" s="72"/>
      <c r="L1363" s="57"/>
      <c r="M1363" s="55"/>
      <c r="N1363" s="55"/>
      <c r="O1363" s="57"/>
      <c r="P1363" s="57"/>
      <c r="Q1363" s="57"/>
      <c r="R1363" s="57"/>
      <c r="S1363" s="132"/>
      <c r="T1363" s="74"/>
      <c r="U1363" s="74"/>
      <c r="V1363" s="74"/>
      <c r="W1363" s="74"/>
      <c r="X1363" s="74"/>
      <c r="Y1363" s="74"/>
      <c r="Z1363" s="76"/>
      <c r="AA1363" s="134"/>
      <c r="AB1363" s="62" t="s">
        <v>61</v>
      </c>
      <c r="AC1363" s="63" t="s">
        <v>61</v>
      </c>
      <c r="AD1363" s="64" t="s">
        <v>61</v>
      </c>
      <c r="AE1363" s="64" t="s">
        <v>61</v>
      </c>
      <c r="AF1363" s="63" t="s">
        <v>61</v>
      </c>
      <c r="AG1363" s="63" t="s">
        <v>61</v>
      </c>
      <c r="AH1363" s="63" t="s">
        <v>61</v>
      </c>
      <c r="AI1363" s="65" t="s">
        <v>61</v>
      </c>
      <c r="AJ1363" s="105" t="s">
        <v>61</v>
      </c>
      <c r="AK1363" s="76"/>
    </row>
    <row r="1364" ht="24.0" customHeight="1">
      <c r="A1364" s="35"/>
      <c r="B1364" s="36">
        <v>1.0</v>
      </c>
      <c r="C1364" s="37" t="str">
        <f>IFERROR(__xludf.DUMMYFUNCTION("""COMPUTED_VALUE"""),"")</f>
        <v/>
      </c>
      <c r="D1364" s="89" t="s">
        <v>61</v>
      </c>
      <c r="E1364" s="39" t="s">
        <v>61</v>
      </c>
      <c r="F1364" s="121"/>
      <c r="G1364" s="122"/>
      <c r="H1364" s="138"/>
      <c r="I1364" s="80"/>
      <c r="J1364" s="80"/>
      <c r="K1364" s="95"/>
      <c r="L1364" s="80"/>
      <c r="M1364" s="43"/>
      <c r="N1364" s="43"/>
      <c r="O1364" s="80"/>
      <c r="P1364" s="80"/>
      <c r="Q1364" s="80"/>
      <c r="R1364" s="80"/>
      <c r="S1364" s="117"/>
      <c r="T1364" s="81"/>
      <c r="U1364" s="81"/>
      <c r="V1364" s="81"/>
      <c r="W1364" s="81"/>
      <c r="X1364" s="81"/>
      <c r="Y1364" s="81"/>
      <c r="Z1364" s="82"/>
      <c r="AA1364" s="99"/>
      <c r="AB1364" s="48" t="s">
        <v>61</v>
      </c>
      <c r="AC1364" s="68" t="s">
        <v>61</v>
      </c>
      <c r="AD1364" s="69" t="s">
        <v>61</v>
      </c>
      <c r="AE1364" s="69" t="s">
        <v>61</v>
      </c>
      <c r="AF1364" s="68" t="s">
        <v>61</v>
      </c>
      <c r="AG1364" s="68" t="s">
        <v>61</v>
      </c>
      <c r="AH1364" s="68" t="s">
        <v>61</v>
      </c>
      <c r="AI1364" s="70" t="s">
        <v>61</v>
      </c>
      <c r="AJ1364" s="114" t="s">
        <v>61</v>
      </c>
      <c r="AK1364" s="82"/>
    </row>
    <row r="1365" ht="24.0" customHeight="1">
      <c r="A1365" s="35"/>
      <c r="B1365" s="36">
        <v>1.0</v>
      </c>
      <c r="C1365" s="37" t="str">
        <f>IFERROR(__xludf.DUMMYFUNCTION("""COMPUTED_VALUE"""),"")</f>
        <v/>
      </c>
      <c r="D1365" s="89" t="s">
        <v>61</v>
      </c>
      <c r="E1365" s="51" t="s">
        <v>61</v>
      </c>
      <c r="F1365" s="137"/>
      <c r="G1365" s="133"/>
      <c r="H1365" s="141"/>
      <c r="I1365" s="57"/>
      <c r="J1365" s="57"/>
      <c r="K1365" s="72"/>
      <c r="L1365" s="57"/>
      <c r="M1365" s="55"/>
      <c r="N1365" s="55"/>
      <c r="O1365" s="57"/>
      <c r="P1365" s="57"/>
      <c r="Q1365" s="57"/>
      <c r="R1365" s="57"/>
      <c r="S1365" s="132"/>
      <c r="T1365" s="74"/>
      <c r="U1365" s="74"/>
      <c r="V1365" s="74"/>
      <c r="W1365" s="74"/>
      <c r="X1365" s="74"/>
      <c r="Y1365" s="74"/>
      <c r="Z1365" s="76"/>
      <c r="AA1365" s="134"/>
      <c r="AB1365" s="62" t="s">
        <v>61</v>
      </c>
      <c r="AC1365" s="63" t="s">
        <v>61</v>
      </c>
      <c r="AD1365" s="64" t="s">
        <v>61</v>
      </c>
      <c r="AE1365" s="64" t="s">
        <v>61</v>
      </c>
      <c r="AF1365" s="63" t="s">
        <v>61</v>
      </c>
      <c r="AG1365" s="63" t="s">
        <v>61</v>
      </c>
      <c r="AH1365" s="63" t="s">
        <v>61</v>
      </c>
      <c r="AI1365" s="65" t="s">
        <v>61</v>
      </c>
      <c r="AJ1365" s="105" t="s">
        <v>61</v>
      </c>
      <c r="AK1365" s="76"/>
    </row>
    <row r="1366" ht="24.0" customHeight="1">
      <c r="A1366" s="35"/>
      <c r="B1366" s="36">
        <v>1.0</v>
      </c>
      <c r="C1366" s="37" t="str">
        <f>IFERROR(__xludf.DUMMYFUNCTION("""COMPUTED_VALUE"""),"")</f>
        <v/>
      </c>
      <c r="D1366" s="89" t="s">
        <v>61</v>
      </c>
      <c r="E1366" s="39" t="s">
        <v>61</v>
      </c>
      <c r="F1366" s="121"/>
      <c r="G1366" s="122"/>
      <c r="H1366" s="138"/>
      <c r="I1366" s="80"/>
      <c r="J1366" s="80"/>
      <c r="K1366" s="95"/>
      <c r="L1366" s="80"/>
      <c r="M1366" s="43"/>
      <c r="N1366" s="43"/>
      <c r="O1366" s="80"/>
      <c r="P1366" s="80"/>
      <c r="Q1366" s="80"/>
      <c r="R1366" s="80"/>
      <c r="S1366" s="117"/>
      <c r="T1366" s="81"/>
      <c r="U1366" s="81"/>
      <c r="V1366" s="81"/>
      <c r="W1366" s="81"/>
      <c r="X1366" s="81"/>
      <c r="Y1366" s="81"/>
      <c r="Z1366" s="82"/>
      <c r="AA1366" s="99"/>
      <c r="AB1366" s="48" t="s">
        <v>61</v>
      </c>
      <c r="AC1366" s="68" t="s">
        <v>61</v>
      </c>
      <c r="AD1366" s="69" t="s">
        <v>61</v>
      </c>
      <c r="AE1366" s="69" t="s">
        <v>61</v>
      </c>
      <c r="AF1366" s="68" t="s">
        <v>61</v>
      </c>
      <c r="AG1366" s="68" t="s">
        <v>61</v>
      </c>
      <c r="AH1366" s="68" t="s">
        <v>61</v>
      </c>
      <c r="AI1366" s="70" t="s">
        <v>61</v>
      </c>
      <c r="AJ1366" s="114" t="s">
        <v>61</v>
      </c>
      <c r="AK1366" s="82"/>
    </row>
    <row r="1367" ht="24.0" customHeight="1">
      <c r="A1367" s="35"/>
      <c r="B1367" s="36">
        <v>1.0</v>
      </c>
      <c r="C1367" s="37" t="str">
        <f>IFERROR(__xludf.DUMMYFUNCTION("""COMPUTED_VALUE"""),"")</f>
        <v/>
      </c>
      <c r="D1367" s="89" t="s">
        <v>61</v>
      </c>
      <c r="E1367" s="51" t="s">
        <v>61</v>
      </c>
      <c r="F1367" s="137"/>
      <c r="G1367" s="133"/>
      <c r="H1367" s="141"/>
      <c r="I1367" s="57"/>
      <c r="J1367" s="57"/>
      <c r="K1367" s="72"/>
      <c r="L1367" s="57"/>
      <c r="M1367" s="55"/>
      <c r="N1367" s="55"/>
      <c r="O1367" s="57"/>
      <c r="P1367" s="57"/>
      <c r="Q1367" s="57"/>
      <c r="R1367" s="57"/>
      <c r="S1367" s="132"/>
      <c r="T1367" s="74"/>
      <c r="U1367" s="74"/>
      <c r="V1367" s="74"/>
      <c r="W1367" s="74"/>
      <c r="X1367" s="74"/>
      <c r="Y1367" s="74"/>
      <c r="Z1367" s="76"/>
      <c r="AA1367" s="134"/>
      <c r="AB1367" s="62" t="s">
        <v>61</v>
      </c>
      <c r="AC1367" s="63" t="s">
        <v>61</v>
      </c>
      <c r="AD1367" s="64" t="s">
        <v>61</v>
      </c>
      <c r="AE1367" s="64" t="s">
        <v>61</v>
      </c>
      <c r="AF1367" s="63" t="s">
        <v>61</v>
      </c>
      <c r="AG1367" s="63" t="s">
        <v>61</v>
      </c>
      <c r="AH1367" s="63" t="s">
        <v>61</v>
      </c>
      <c r="AI1367" s="65" t="s">
        <v>61</v>
      </c>
      <c r="AJ1367" s="105" t="s">
        <v>61</v>
      </c>
      <c r="AK1367" s="76"/>
    </row>
    <row r="1368" ht="24.0" customHeight="1">
      <c r="A1368" s="35"/>
      <c r="B1368" s="36">
        <v>1.0</v>
      </c>
      <c r="C1368" s="37" t="str">
        <f>IFERROR(__xludf.DUMMYFUNCTION("""COMPUTED_VALUE"""),"")</f>
        <v/>
      </c>
      <c r="D1368" s="89" t="s">
        <v>61</v>
      </c>
      <c r="E1368" s="39" t="s">
        <v>61</v>
      </c>
      <c r="F1368" s="121"/>
      <c r="G1368" s="122"/>
      <c r="H1368" s="138"/>
      <c r="I1368" s="80"/>
      <c r="J1368" s="80"/>
      <c r="K1368" s="95"/>
      <c r="L1368" s="80"/>
      <c r="M1368" s="43"/>
      <c r="N1368" s="43"/>
      <c r="O1368" s="80"/>
      <c r="P1368" s="80"/>
      <c r="Q1368" s="80"/>
      <c r="R1368" s="80"/>
      <c r="S1368" s="117"/>
      <c r="T1368" s="81"/>
      <c r="U1368" s="81"/>
      <c r="V1368" s="81"/>
      <c r="W1368" s="81"/>
      <c r="X1368" s="81"/>
      <c r="Y1368" s="81"/>
      <c r="Z1368" s="82"/>
      <c r="AA1368" s="99"/>
      <c r="AB1368" s="48" t="s">
        <v>61</v>
      </c>
      <c r="AC1368" s="68" t="s">
        <v>61</v>
      </c>
      <c r="AD1368" s="69" t="s">
        <v>61</v>
      </c>
      <c r="AE1368" s="69" t="s">
        <v>61</v>
      </c>
      <c r="AF1368" s="68" t="s">
        <v>61</v>
      </c>
      <c r="AG1368" s="68" t="s">
        <v>61</v>
      </c>
      <c r="AH1368" s="68" t="s">
        <v>61</v>
      </c>
      <c r="AI1368" s="70" t="s">
        <v>61</v>
      </c>
      <c r="AJ1368" s="114" t="s">
        <v>61</v>
      </c>
      <c r="AK1368" s="82"/>
    </row>
    <row r="1369" ht="24.0" customHeight="1">
      <c r="A1369" s="35"/>
      <c r="B1369" s="36">
        <v>1.0</v>
      </c>
      <c r="C1369" s="37" t="str">
        <f>IFERROR(__xludf.DUMMYFUNCTION("""COMPUTED_VALUE"""),"")</f>
        <v/>
      </c>
      <c r="D1369" s="89" t="s">
        <v>61</v>
      </c>
      <c r="E1369" s="51" t="s">
        <v>61</v>
      </c>
      <c r="F1369" s="137"/>
      <c r="G1369" s="133"/>
      <c r="H1369" s="141"/>
      <c r="I1369" s="57"/>
      <c r="J1369" s="57"/>
      <c r="K1369" s="72"/>
      <c r="L1369" s="57"/>
      <c r="M1369" s="55"/>
      <c r="N1369" s="55"/>
      <c r="O1369" s="57"/>
      <c r="P1369" s="57"/>
      <c r="Q1369" s="57"/>
      <c r="R1369" s="57"/>
      <c r="S1369" s="132"/>
      <c r="T1369" s="74"/>
      <c r="U1369" s="74"/>
      <c r="V1369" s="74"/>
      <c r="W1369" s="74"/>
      <c r="X1369" s="74"/>
      <c r="Y1369" s="74"/>
      <c r="Z1369" s="76"/>
      <c r="AA1369" s="134"/>
      <c r="AB1369" s="62" t="s">
        <v>61</v>
      </c>
      <c r="AC1369" s="63" t="s">
        <v>61</v>
      </c>
      <c r="AD1369" s="64" t="s">
        <v>61</v>
      </c>
      <c r="AE1369" s="64" t="s">
        <v>61</v>
      </c>
      <c r="AF1369" s="63" t="s">
        <v>61</v>
      </c>
      <c r="AG1369" s="63" t="s">
        <v>61</v>
      </c>
      <c r="AH1369" s="63" t="s">
        <v>61</v>
      </c>
      <c r="AI1369" s="65" t="s">
        <v>61</v>
      </c>
      <c r="AJ1369" s="105" t="s">
        <v>61</v>
      </c>
      <c r="AK1369" s="76"/>
    </row>
    <row r="1370" ht="24.0" customHeight="1">
      <c r="A1370" s="35"/>
      <c r="B1370" s="36">
        <v>1.0</v>
      </c>
      <c r="C1370" s="37" t="str">
        <f>IFERROR(__xludf.DUMMYFUNCTION("""COMPUTED_VALUE"""),"")</f>
        <v/>
      </c>
      <c r="D1370" s="89" t="s">
        <v>61</v>
      </c>
      <c r="E1370" s="39" t="s">
        <v>61</v>
      </c>
      <c r="F1370" s="121"/>
      <c r="G1370" s="122"/>
      <c r="H1370" s="138"/>
      <c r="I1370" s="80"/>
      <c r="J1370" s="80"/>
      <c r="K1370" s="95"/>
      <c r="L1370" s="80"/>
      <c r="M1370" s="43"/>
      <c r="N1370" s="43"/>
      <c r="O1370" s="80"/>
      <c r="P1370" s="80"/>
      <c r="Q1370" s="80"/>
      <c r="R1370" s="80"/>
      <c r="S1370" s="117"/>
      <c r="T1370" s="81"/>
      <c r="U1370" s="81"/>
      <c r="V1370" s="81"/>
      <c r="W1370" s="81"/>
      <c r="X1370" s="81"/>
      <c r="Y1370" s="81"/>
      <c r="Z1370" s="82"/>
      <c r="AA1370" s="99"/>
      <c r="AB1370" s="48" t="s">
        <v>61</v>
      </c>
      <c r="AC1370" s="68" t="s">
        <v>61</v>
      </c>
      <c r="AD1370" s="69" t="s">
        <v>61</v>
      </c>
      <c r="AE1370" s="69" t="s">
        <v>61</v>
      </c>
      <c r="AF1370" s="68" t="s">
        <v>61</v>
      </c>
      <c r="AG1370" s="68" t="s">
        <v>61</v>
      </c>
      <c r="AH1370" s="68" t="s">
        <v>61</v>
      </c>
      <c r="AI1370" s="70" t="s">
        <v>61</v>
      </c>
      <c r="AJ1370" s="114" t="s">
        <v>61</v>
      </c>
      <c r="AK1370" s="82"/>
    </row>
    <row r="1371" ht="24.0" customHeight="1">
      <c r="A1371" s="35"/>
      <c r="B1371" s="36">
        <v>1.0</v>
      </c>
      <c r="C1371" s="37" t="str">
        <f>IFERROR(__xludf.DUMMYFUNCTION("""COMPUTED_VALUE"""),"")</f>
        <v/>
      </c>
      <c r="D1371" s="89" t="s">
        <v>61</v>
      </c>
      <c r="E1371" s="51" t="s">
        <v>61</v>
      </c>
      <c r="F1371" s="137"/>
      <c r="G1371" s="133"/>
      <c r="H1371" s="141"/>
      <c r="I1371" s="57"/>
      <c r="J1371" s="57"/>
      <c r="K1371" s="72"/>
      <c r="L1371" s="57"/>
      <c r="M1371" s="55"/>
      <c r="N1371" s="55"/>
      <c r="O1371" s="57"/>
      <c r="P1371" s="57"/>
      <c r="Q1371" s="57"/>
      <c r="R1371" s="57"/>
      <c r="S1371" s="132"/>
      <c r="T1371" s="74"/>
      <c r="U1371" s="74"/>
      <c r="V1371" s="74"/>
      <c r="W1371" s="74"/>
      <c r="X1371" s="74"/>
      <c r="Y1371" s="74"/>
      <c r="Z1371" s="76"/>
      <c r="AA1371" s="134"/>
      <c r="AB1371" s="62" t="s">
        <v>61</v>
      </c>
      <c r="AC1371" s="63" t="s">
        <v>61</v>
      </c>
      <c r="AD1371" s="64" t="s">
        <v>61</v>
      </c>
      <c r="AE1371" s="64" t="s">
        <v>61</v>
      </c>
      <c r="AF1371" s="63" t="s">
        <v>61</v>
      </c>
      <c r="AG1371" s="63" t="s">
        <v>61</v>
      </c>
      <c r="AH1371" s="63" t="s">
        <v>61</v>
      </c>
      <c r="AI1371" s="65" t="s">
        <v>61</v>
      </c>
      <c r="AJ1371" s="105" t="s">
        <v>61</v>
      </c>
      <c r="AK1371" s="76"/>
    </row>
    <row r="1372" ht="24.0" customHeight="1">
      <c r="A1372" s="35"/>
      <c r="B1372" s="36">
        <v>1.0</v>
      </c>
      <c r="C1372" s="37" t="str">
        <f>IFERROR(__xludf.DUMMYFUNCTION("""COMPUTED_VALUE"""),"")</f>
        <v/>
      </c>
      <c r="D1372" s="89" t="s">
        <v>61</v>
      </c>
      <c r="E1372" s="39" t="s">
        <v>61</v>
      </c>
      <c r="F1372" s="121"/>
      <c r="G1372" s="122"/>
      <c r="H1372" s="138"/>
      <c r="I1372" s="80"/>
      <c r="J1372" s="80"/>
      <c r="K1372" s="95"/>
      <c r="L1372" s="80"/>
      <c r="M1372" s="43"/>
      <c r="N1372" s="43"/>
      <c r="O1372" s="80"/>
      <c r="P1372" s="80"/>
      <c r="Q1372" s="80"/>
      <c r="R1372" s="80"/>
      <c r="S1372" s="117"/>
      <c r="T1372" s="81"/>
      <c r="U1372" s="81"/>
      <c r="V1372" s="81"/>
      <c r="W1372" s="81"/>
      <c r="X1372" s="81"/>
      <c r="Y1372" s="81"/>
      <c r="Z1372" s="82"/>
      <c r="AA1372" s="99"/>
      <c r="AB1372" s="48" t="s">
        <v>61</v>
      </c>
      <c r="AC1372" s="68" t="s">
        <v>61</v>
      </c>
      <c r="AD1372" s="69" t="s">
        <v>61</v>
      </c>
      <c r="AE1372" s="69" t="s">
        <v>61</v>
      </c>
      <c r="AF1372" s="68" t="s">
        <v>61</v>
      </c>
      <c r="AG1372" s="68" t="s">
        <v>61</v>
      </c>
      <c r="AH1372" s="68" t="s">
        <v>61</v>
      </c>
      <c r="AI1372" s="70" t="s">
        <v>61</v>
      </c>
      <c r="AJ1372" s="114" t="s">
        <v>61</v>
      </c>
      <c r="AK1372" s="82"/>
    </row>
    <row r="1373" ht="24.0" customHeight="1">
      <c r="A1373" s="35"/>
      <c r="B1373" s="36">
        <v>1.0</v>
      </c>
      <c r="C1373" s="37" t="str">
        <f>IFERROR(__xludf.DUMMYFUNCTION("""COMPUTED_VALUE"""),"")</f>
        <v/>
      </c>
      <c r="D1373" s="89" t="s">
        <v>61</v>
      </c>
      <c r="E1373" s="51" t="s">
        <v>61</v>
      </c>
      <c r="F1373" s="137"/>
      <c r="G1373" s="133"/>
      <c r="H1373" s="141"/>
      <c r="I1373" s="57"/>
      <c r="J1373" s="57"/>
      <c r="K1373" s="72"/>
      <c r="L1373" s="57"/>
      <c r="M1373" s="55"/>
      <c r="N1373" s="55"/>
      <c r="O1373" s="57"/>
      <c r="P1373" s="57"/>
      <c r="Q1373" s="57"/>
      <c r="R1373" s="57"/>
      <c r="S1373" s="132"/>
      <c r="T1373" s="74"/>
      <c r="U1373" s="74"/>
      <c r="V1373" s="74"/>
      <c r="W1373" s="74"/>
      <c r="X1373" s="74"/>
      <c r="Y1373" s="74"/>
      <c r="Z1373" s="76"/>
      <c r="AA1373" s="134"/>
      <c r="AB1373" s="62" t="s">
        <v>61</v>
      </c>
      <c r="AC1373" s="63" t="s">
        <v>61</v>
      </c>
      <c r="AD1373" s="64" t="s">
        <v>61</v>
      </c>
      <c r="AE1373" s="64" t="s">
        <v>61</v>
      </c>
      <c r="AF1373" s="63" t="s">
        <v>61</v>
      </c>
      <c r="AG1373" s="63" t="s">
        <v>61</v>
      </c>
      <c r="AH1373" s="63" t="s">
        <v>61</v>
      </c>
      <c r="AI1373" s="65" t="s">
        <v>61</v>
      </c>
      <c r="AJ1373" s="105" t="s">
        <v>61</v>
      </c>
      <c r="AK1373" s="76"/>
    </row>
    <row r="1374" ht="24.0" customHeight="1">
      <c r="A1374" s="35"/>
      <c r="B1374" s="36">
        <v>1.0</v>
      </c>
      <c r="C1374" s="37" t="str">
        <f>IFERROR(__xludf.DUMMYFUNCTION("""COMPUTED_VALUE"""),"")</f>
        <v/>
      </c>
      <c r="D1374" s="89" t="s">
        <v>61</v>
      </c>
      <c r="E1374" s="39" t="s">
        <v>61</v>
      </c>
      <c r="F1374" s="121"/>
      <c r="G1374" s="122"/>
      <c r="H1374" s="138"/>
      <c r="I1374" s="80"/>
      <c r="J1374" s="80"/>
      <c r="K1374" s="95"/>
      <c r="L1374" s="80"/>
      <c r="M1374" s="43"/>
      <c r="N1374" s="43"/>
      <c r="O1374" s="80"/>
      <c r="P1374" s="80"/>
      <c r="Q1374" s="80"/>
      <c r="R1374" s="80"/>
      <c r="S1374" s="117"/>
      <c r="T1374" s="81"/>
      <c r="U1374" s="81"/>
      <c r="V1374" s="81"/>
      <c r="W1374" s="81"/>
      <c r="X1374" s="81"/>
      <c r="Y1374" s="81"/>
      <c r="Z1374" s="82"/>
      <c r="AA1374" s="99"/>
      <c r="AB1374" s="48" t="s">
        <v>61</v>
      </c>
      <c r="AC1374" s="68" t="s">
        <v>61</v>
      </c>
      <c r="AD1374" s="69" t="s">
        <v>61</v>
      </c>
      <c r="AE1374" s="69" t="s">
        <v>61</v>
      </c>
      <c r="AF1374" s="68" t="s">
        <v>61</v>
      </c>
      <c r="AG1374" s="68" t="s">
        <v>61</v>
      </c>
      <c r="AH1374" s="68" t="s">
        <v>61</v>
      </c>
      <c r="AI1374" s="70" t="s">
        <v>61</v>
      </c>
      <c r="AJ1374" s="114" t="s">
        <v>61</v>
      </c>
      <c r="AK1374" s="82"/>
    </row>
    <row r="1375" ht="24.0" customHeight="1">
      <c r="A1375" s="35"/>
      <c r="B1375" s="36">
        <v>1.0</v>
      </c>
      <c r="C1375" s="37" t="str">
        <f>IFERROR(__xludf.DUMMYFUNCTION("""COMPUTED_VALUE"""),"")</f>
        <v/>
      </c>
      <c r="D1375" s="89" t="s">
        <v>61</v>
      </c>
      <c r="E1375" s="51" t="s">
        <v>61</v>
      </c>
      <c r="F1375" s="137"/>
      <c r="G1375" s="133"/>
      <c r="H1375" s="141"/>
      <c r="I1375" s="57"/>
      <c r="J1375" s="57"/>
      <c r="K1375" s="72"/>
      <c r="L1375" s="57"/>
      <c r="M1375" s="55"/>
      <c r="N1375" s="55"/>
      <c r="O1375" s="57"/>
      <c r="P1375" s="57"/>
      <c r="Q1375" s="57"/>
      <c r="R1375" s="57"/>
      <c r="S1375" s="132"/>
      <c r="T1375" s="74"/>
      <c r="U1375" s="74"/>
      <c r="V1375" s="74"/>
      <c r="W1375" s="74"/>
      <c r="X1375" s="74"/>
      <c r="Y1375" s="74"/>
      <c r="Z1375" s="76"/>
      <c r="AA1375" s="134"/>
      <c r="AB1375" s="62" t="s">
        <v>61</v>
      </c>
      <c r="AC1375" s="63" t="s">
        <v>61</v>
      </c>
      <c r="AD1375" s="64" t="s">
        <v>61</v>
      </c>
      <c r="AE1375" s="64" t="s">
        <v>61</v>
      </c>
      <c r="AF1375" s="63" t="s">
        <v>61</v>
      </c>
      <c r="AG1375" s="63" t="s">
        <v>61</v>
      </c>
      <c r="AH1375" s="63" t="s">
        <v>61</v>
      </c>
      <c r="AI1375" s="65" t="s">
        <v>61</v>
      </c>
      <c r="AJ1375" s="105" t="s">
        <v>61</v>
      </c>
      <c r="AK1375" s="76"/>
    </row>
    <row r="1376" ht="24.0" customHeight="1">
      <c r="A1376" s="35"/>
      <c r="B1376" s="36">
        <v>1.0</v>
      </c>
      <c r="C1376" s="37" t="str">
        <f>IFERROR(__xludf.DUMMYFUNCTION("""COMPUTED_VALUE"""),"")</f>
        <v/>
      </c>
      <c r="D1376" s="89" t="s">
        <v>61</v>
      </c>
      <c r="E1376" s="39" t="s">
        <v>61</v>
      </c>
      <c r="F1376" s="121"/>
      <c r="G1376" s="122"/>
      <c r="H1376" s="138"/>
      <c r="I1376" s="80"/>
      <c r="J1376" s="80"/>
      <c r="K1376" s="95"/>
      <c r="L1376" s="80"/>
      <c r="M1376" s="43"/>
      <c r="N1376" s="43"/>
      <c r="O1376" s="80"/>
      <c r="P1376" s="80"/>
      <c r="Q1376" s="80"/>
      <c r="R1376" s="80"/>
      <c r="S1376" s="117"/>
      <c r="T1376" s="81"/>
      <c r="U1376" s="81"/>
      <c r="V1376" s="81"/>
      <c r="W1376" s="81"/>
      <c r="X1376" s="81"/>
      <c r="Y1376" s="81"/>
      <c r="Z1376" s="82"/>
      <c r="AA1376" s="99"/>
      <c r="AB1376" s="48" t="s">
        <v>61</v>
      </c>
      <c r="AC1376" s="68" t="s">
        <v>61</v>
      </c>
      <c r="AD1376" s="69" t="s">
        <v>61</v>
      </c>
      <c r="AE1376" s="69" t="s">
        <v>61</v>
      </c>
      <c r="AF1376" s="68" t="s">
        <v>61</v>
      </c>
      <c r="AG1376" s="68" t="s">
        <v>61</v>
      </c>
      <c r="AH1376" s="68" t="s">
        <v>61</v>
      </c>
      <c r="AI1376" s="70" t="s">
        <v>61</v>
      </c>
      <c r="AJ1376" s="114" t="s">
        <v>61</v>
      </c>
      <c r="AK1376" s="82"/>
    </row>
    <row r="1377" ht="24.0" customHeight="1">
      <c r="A1377" s="35"/>
      <c r="B1377" s="36">
        <v>1.0</v>
      </c>
      <c r="C1377" s="37" t="str">
        <f>IFERROR(__xludf.DUMMYFUNCTION("""COMPUTED_VALUE"""),"")</f>
        <v/>
      </c>
      <c r="D1377" s="89" t="s">
        <v>61</v>
      </c>
      <c r="E1377" s="51" t="s">
        <v>61</v>
      </c>
      <c r="F1377" s="137"/>
      <c r="G1377" s="133"/>
      <c r="H1377" s="141"/>
      <c r="I1377" s="57"/>
      <c r="J1377" s="57"/>
      <c r="K1377" s="72"/>
      <c r="L1377" s="57"/>
      <c r="M1377" s="55"/>
      <c r="N1377" s="55"/>
      <c r="O1377" s="57"/>
      <c r="P1377" s="57"/>
      <c r="Q1377" s="57"/>
      <c r="R1377" s="57"/>
      <c r="S1377" s="132"/>
      <c r="T1377" s="74"/>
      <c r="U1377" s="74"/>
      <c r="V1377" s="74"/>
      <c r="W1377" s="74"/>
      <c r="X1377" s="74"/>
      <c r="Y1377" s="74"/>
      <c r="Z1377" s="76"/>
      <c r="AA1377" s="134"/>
      <c r="AB1377" s="62" t="s">
        <v>61</v>
      </c>
      <c r="AC1377" s="63" t="s">
        <v>61</v>
      </c>
      <c r="AD1377" s="64" t="s">
        <v>61</v>
      </c>
      <c r="AE1377" s="64" t="s">
        <v>61</v>
      </c>
      <c r="AF1377" s="63" t="s">
        <v>61</v>
      </c>
      <c r="AG1377" s="63" t="s">
        <v>61</v>
      </c>
      <c r="AH1377" s="63" t="s">
        <v>61</v>
      </c>
      <c r="AI1377" s="65" t="s">
        <v>61</v>
      </c>
      <c r="AJ1377" s="105" t="s">
        <v>61</v>
      </c>
      <c r="AK1377" s="76"/>
    </row>
    <row r="1378" ht="24.0" customHeight="1">
      <c r="A1378" s="35"/>
      <c r="B1378" s="36">
        <v>1.0</v>
      </c>
      <c r="C1378" s="37" t="str">
        <f>IFERROR(__xludf.DUMMYFUNCTION("""COMPUTED_VALUE"""),"")</f>
        <v/>
      </c>
      <c r="D1378" s="89" t="s">
        <v>61</v>
      </c>
      <c r="E1378" s="39" t="s">
        <v>61</v>
      </c>
      <c r="F1378" s="121"/>
      <c r="G1378" s="122"/>
      <c r="H1378" s="138"/>
      <c r="I1378" s="80"/>
      <c r="J1378" s="80"/>
      <c r="K1378" s="95"/>
      <c r="L1378" s="80"/>
      <c r="M1378" s="43"/>
      <c r="N1378" s="43"/>
      <c r="O1378" s="80"/>
      <c r="P1378" s="80"/>
      <c r="Q1378" s="80"/>
      <c r="R1378" s="80"/>
      <c r="S1378" s="117"/>
      <c r="T1378" s="81"/>
      <c r="U1378" s="81"/>
      <c r="V1378" s="81"/>
      <c r="W1378" s="81"/>
      <c r="X1378" s="81"/>
      <c r="Y1378" s="81"/>
      <c r="Z1378" s="82"/>
      <c r="AA1378" s="99"/>
      <c r="AB1378" s="48" t="s">
        <v>61</v>
      </c>
      <c r="AC1378" s="68" t="s">
        <v>61</v>
      </c>
      <c r="AD1378" s="69" t="s">
        <v>61</v>
      </c>
      <c r="AE1378" s="69" t="s">
        <v>61</v>
      </c>
      <c r="AF1378" s="68" t="s">
        <v>61</v>
      </c>
      <c r="AG1378" s="68" t="s">
        <v>61</v>
      </c>
      <c r="AH1378" s="68" t="s">
        <v>61</v>
      </c>
      <c r="AI1378" s="70" t="s">
        <v>61</v>
      </c>
      <c r="AJ1378" s="114" t="s">
        <v>61</v>
      </c>
      <c r="AK1378" s="82"/>
    </row>
    <row r="1379" ht="24.0" customHeight="1">
      <c r="A1379" s="35"/>
      <c r="B1379" s="36">
        <v>1.0</v>
      </c>
      <c r="C1379" s="37" t="str">
        <f>IFERROR(__xludf.DUMMYFUNCTION("""COMPUTED_VALUE"""),"")</f>
        <v/>
      </c>
      <c r="D1379" s="89" t="s">
        <v>61</v>
      </c>
      <c r="E1379" s="51" t="s">
        <v>61</v>
      </c>
      <c r="F1379" s="137"/>
      <c r="G1379" s="133"/>
      <c r="H1379" s="141"/>
      <c r="I1379" s="57"/>
      <c r="J1379" s="57"/>
      <c r="K1379" s="72"/>
      <c r="L1379" s="57"/>
      <c r="M1379" s="55"/>
      <c r="N1379" s="55"/>
      <c r="O1379" s="57"/>
      <c r="P1379" s="57"/>
      <c r="Q1379" s="57"/>
      <c r="R1379" s="57"/>
      <c r="S1379" s="132"/>
      <c r="T1379" s="74"/>
      <c r="U1379" s="74"/>
      <c r="V1379" s="74"/>
      <c r="W1379" s="74"/>
      <c r="X1379" s="74"/>
      <c r="Y1379" s="74"/>
      <c r="Z1379" s="76"/>
      <c r="AA1379" s="134"/>
      <c r="AB1379" s="62" t="s">
        <v>61</v>
      </c>
      <c r="AC1379" s="63" t="s">
        <v>61</v>
      </c>
      <c r="AD1379" s="64" t="s">
        <v>61</v>
      </c>
      <c r="AE1379" s="64" t="s">
        <v>61</v>
      </c>
      <c r="AF1379" s="63" t="s">
        <v>61</v>
      </c>
      <c r="AG1379" s="63" t="s">
        <v>61</v>
      </c>
      <c r="AH1379" s="63" t="s">
        <v>61</v>
      </c>
      <c r="AI1379" s="65" t="s">
        <v>61</v>
      </c>
      <c r="AJ1379" s="105" t="s">
        <v>61</v>
      </c>
      <c r="AK1379" s="76"/>
    </row>
    <row r="1380" ht="24.0" customHeight="1">
      <c r="A1380" s="35"/>
      <c r="B1380" s="36">
        <v>1.0</v>
      </c>
      <c r="C1380" s="37" t="str">
        <f>IFERROR(__xludf.DUMMYFUNCTION("""COMPUTED_VALUE"""),"")</f>
        <v/>
      </c>
      <c r="D1380" s="89" t="s">
        <v>61</v>
      </c>
      <c r="E1380" s="39" t="s">
        <v>61</v>
      </c>
      <c r="F1380" s="121"/>
      <c r="G1380" s="122"/>
      <c r="H1380" s="138"/>
      <c r="I1380" s="80"/>
      <c r="J1380" s="80"/>
      <c r="K1380" s="95"/>
      <c r="L1380" s="80"/>
      <c r="M1380" s="43"/>
      <c r="N1380" s="43"/>
      <c r="O1380" s="80"/>
      <c r="P1380" s="80"/>
      <c r="Q1380" s="80"/>
      <c r="R1380" s="80"/>
      <c r="S1380" s="117"/>
      <c r="T1380" s="81"/>
      <c r="U1380" s="81"/>
      <c r="V1380" s="81"/>
      <c r="W1380" s="81"/>
      <c r="X1380" s="81"/>
      <c r="Y1380" s="81"/>
      <c r="Z1380" s="82"/>
      <c r="AA1380" s="99"/>
      <c r="AB1380" s="48" t="s">
        <v>61</v>
      </c>
      <c r="AC1380" s="68" t="s">
        <v>61</v>
      </c>
      <c r="AD1380" s="69" t="s">
        <v>61</v>
      </c>
      <c r="AE1380" s="69" t="s">
        <v>61</v>
      </c>
      <c r="AF1380" s="68" t="s">
        <v>61</v>
      </c>
      <c r="AG1380" s="68" t="s">
        <v>61</v>
      </c>
      <c r="AH1380" s="68" t="s">
        <v>61</v>
      </c>
      <c r="AI1380" s="70" t="s">
        <v>61</v>
      </c>
      <c r="AJ1380" s="114" t="s">
        <v>61</v>
      </c>
      <c r="AK1380" s="82"/>
    </row>
    <row r="1381" ht="24.0" customHeight="1">
      <c r="A1381" s="35"/>
      <c r="B1381" s="36">
        <v>1.0</v>
      </c>
      <c r="C1381" s="37" t="str">
        <f>IFERROR(__xludf.DUMMYFUNCTION("""COMPUTED_VALUE"""),"")</f>
        <v/>
      </c>
      <c r="D1381" s="89" t="s">
        <v>61</v>
      </c>
      <c r="E1381" s="51" t="s">
        <v>61</v>
      </c>
      <c r="F1381" s="137"/>
      <c r="G1381" s="133"/>
      <c r="H1381" s="141"/>
      <c r="I1381" s="57"/>
      <c r="J1381" s="57"/>
      <c r="K1381" s="72"/>
      <c r="L1381" s="57"/>
      <c r="M1381" s="55"/>
      <c r="N1381" s="55"/>
      <c r="O1381" s="57"/>
      <c r="P1381" s="57"/>
      <c r="Q1381" s="57"/>
      <c r="R1381" s="57"/>
      <c r="S1381" s="132"/>
      <c r="T1381" s="74"/>
      <c r="U1381" s="74"/>
      <c r="V1381" s="74"/>
      <c r="W1381" s="74"/>
      <c r="X1381" s="74"/>
      <c r="Y1381" s="74"/>
      <c r="Z1381" s="76"/>
      <c r="AA1381" s="134"/>
      <c r="AB1381" s="62" t="s">
        <v>61</v>
      </c>
      <c r="AC1381" s="63" t="s">
        <v>61</v>
      </c>
      <c r="AD1381" s="64" t="s">
        <v>61</v>
      </c>
      <c r="AE1381" s="64" t="s">
        <v>61</v>
      </c>
      <c r="AF1381" s="63" t="s">
        <v>61</v>
      </c>
      <c r="AG1381" s="63" t="s">
        <v>61</v>
      </c>
      <c r="AH1381" s="63" t="s">
        <v>61</v>
      </c>
      <c r="AI1381" s="65" t="s">
        <v>61</v>
      </c>
      <c r="AJ1381" s="105" t="s">
        <v>61</v>
      </c>
      <c r="AK1381" s="76"/>
    </row>
    <row r="1382" ht="24.0" customHeight="1">
      <c r="A1382" s="35"/>
      <c r="B1382" s="36">
        <v>1.0</v>
      </c>
      <c r="C1382" s="37" t="str">
        <f>IFERROR(__xludf.DUMMYFUNCTION("""COMPUTED_VALUE"""),"")</f>
        <v/>
      </c>
      <c r="D1382" s="89" t="s">
        <v>61</v>
      </c>
      <c r="E1382" s="39" t="s">
        <v>61</v>
      </c>
      <c r="F1382" s="121"/>
      <c r="G1382" s="122"/>
      <c r="H1382" s="138"/>
      <c r="I1382" s="80"/>
      <c r="J1382" s="80"/>
      <c r="K1382" s="95"/>
      <c r="L1382" s="80"/>
      <c r="M1382" s="43"/>
      <c r="N1382" s="43"/>
      <c r="O1382" s="80"/>
      <c r="P1382" s="80"/>
      <c r="Q1382" s="80"/>
      <c r="R1382" s="80"/>
      <c r="S1382" s="117"/>
      <c r="T1382" s="81"/>
      <c r="U1382" s="81"/>
      <c r="V1382" s="81"/>
      <c r="W1382" s="81"/>
      <c r="X1382" s="81"/>
      <c r="Y1382" s="81"/>
      <c r="Z1382" s="82"/>
      <c r="AA1382" s="99"/>
      <c r="AB1382" s="48" t="s">
        <v>61</v>
      </c>
      <c r="AC1382" s="68" t="s">
        <v>61</v>
      </c>
      <c r="AD1382" s="69" t="s">
        <v>61</v>
      </c>
      <c r="AE1382" s="69" t="s">
        <v>61</v>
      </c>
      <c r="AF1382" s="68" t="s">
        <v>61</v>
      </c>
      <c r="AG1382" s="68" t="s">
        <v>61</v>
      </c>
      <c r="AH1382" s="68" t="s">
        <v>61</v>
      </c>
      <c r="AI1382" s="70" t="s">
        <v>61</v>
      </c>
      <c r="AJ1382" s="114" t="s">
        <v>61</v>
      </c>
      <c r="AK1382" s="82"/>
    </row>
    <row r="1383" ht="24.0" customHeight="1">
      <c r="A1383" s="35"/>
      <c r="B1383" s="36">
        <v>1.0</v>
      </c>
      <c r="C1383" s="37" t="str">
        <f>IFERROR(__xludf.DUMMYFUNCTION("""COMPUTED_VALUE"""),"")</f>
        <v/>
      </c>
      <c r="D1383" s="89" t="s">
        <v>61</v>
      </c>
      <c r="E1383" s="51" t="s">
        <v>61</v>
      </c>
      <c r="F1383" s="137"/>
      <c r="G1383" s="133"/>
      <c r="H1383" s="141"/>
      <c r="I1383" s="57"/>
      <c r="J1383" s="57"/>
      <c r="K1383" s="72"/>
      <c r="L1383" s="57"/>
      <c r="M1383" s="55"/>
      <c r="N1383" s="55"/>
      <c r="O1383" s="57"/>
      <c r="P1383" s="57"/>
      <c r="Q1383" s="57"/>
      <c r="R1383" s="57"/>
      <c r="S1383" s="132"/>
      <c r="T1383" s="74"/>
      <c r="U1383" s="74"/>
      <c r="V1383" s="74"/>
      <c r="W1383" s="74"/>
      <c r="X1383" s="74"/>
      <c r="Y1383" s="74"/>
      <c r="Z1383" s="76"/>
      <c r="AA1383" s="134"/>
      <c r="AB1383" s="62" t="s">
        <v>61</v>
      </c>
      <c r="AC1383" s="63" t="s">
        <v>61</v>
      </c>
      <c r="AD1383" s="64" t="s">
        <v>61</v>
      </c>
      <c r="AE1383" s="64" t="s">
        <v>61</v>
      </c>
      <c r="AF1383" s="63" t="s">
        <v>61</v>
      </c>
      <c r="AG1383" s="63" t="s">
        <v>61</v>
      </c>
      <c r="AH1383" s="63" t="s">
        <v>61</v>
      </c>
      <c r="AI1383" s="65" t="s">
        <v>61</v>
      </c>
      <c r="AJ1383" s="105" t="s">
        <v>61</v>
      </c>
      <c r="AK1383" s="76"/>
    </row>
    <row r="1384" ht="24.0" customHeight="1">
      <c r="A1384" s="35"/>
      <c r="B1384" s="36">
        <v>1.0</v>
      </c>
      <c r="C1384" s="37" t="str">
        <f>IFERROR(__xludf.DUMMYFUNCTION("""COMPUTED_VALUE"""),"")</f>
        <v/>
      </c>
      <c r="D1384" s="89" t="s">
        <v>61</v>
      </c>
      <c r="E1384" s="39" t="s">
        <v>61</v>
      </c>
      <c r="F1384" s="121"/>
      <c r="G1384" s="122"/>
      <c r="H1384" s="138"/>
      <c r="I1384" s="80"/>
      <c r="J1384" s="80"/>
      <c r="K1384" s="95"/>
      <c r="L1384" s="80"/>
      <c r="M1384" s="43"/>
      <c r="N1384" s="43"/>
      <c r="O1384" s="80"/>
      <c r="P1384" s="80"/>
      <c r="Q1384" s="80"/>
      <c r="R1384" s="80"/>
      <c r="S1384" s="117"/>
      <c r="T1384" s="81"/>
      <c r="U1384" s="81"/>
      <c r="V1384" s="81"/>
      <c r="W1384" s="81"/>
      <c r="X1384" s="81"/>
      <c r="Y1384" s="81"/>
      <c r="Z1384" s="82"/>
      <c r="AA1384" s="99"/>
      <c r="AB1384" s="48" t="s">
        <v>61</v>
      </c>
      <c r="AC1384" s="68" t="s">
        <v>61</v>
      </c>
      <c r="AD1384" s="69" t="s">
        <v>61</v>
      </c>
      <c r="AE1384" s="69" t="s">
        <v>61</v>
      </c>
      <c r="AF1384" s="68" t="s">
        <v>61</v>
      </c>
      <c r="AG1384" s="68" t="s">
        <v>61</v>
      </c>
      <c r="AH1384" s="68" t="s">
        <v>61</v>
      </c>
      <c r="AI1384" s="70" t="s">
        <v>61</v>
      </c>
      <c r="AJ1384" s="114" t="s">
        <v>61</v>
      </c>
      <c r="AK1384" s="82"/>
    </row>
    <row r="1385" ht="24.0" customHeight="1">
      <c r="A1385" s="35"/>
      <c r="B1385" s="36">
        <v>1.0</v>
      </c>
      <c r="C1385" s="37" t="str">
        <f>IFERROR(__xludf.DUMMYFUNCTION("""COMPUTED_VALUE"""),"")</f>
        <v/>
      </c>
      <c r="D1385" s="89" t="s">
        <v>61</v>
      </c>
      <c r="E1385" s="51" t="s">
        <v>61</v>
      </c>
      <c r="F1385" s="137"/>
      <c r="G1385" s="133"/>
      <c r="H1385" s="141"/>
      <c r="I1385" s="57"/>
      <c r="J1385" s="57"/>
      <c r="K1385" s="72"/>
      <c r="L1385" s="57"/>
      <c r="M1385" s="55"/>
      <c r="N1385" s="55"/>
      <c r="O1385" s="57"/>
      <c r="P1385" s="57"/>
      <c r="Q1385" s="57"/>
      <c r="R1385" s="57"/>
      <c r="S1385" s="132"/>
      <c r="T1385" s="74"/>
      <c r="U1385" s="74"/>
      <c r="V1385" s="74"/>
      <c r="W1385" s="74"/>
      <c r="X1385" s="74"/>
      <c r="Y1385" s="74"/>
      <c r="Z1385" s="76"/>
      <c r="AA1385" s="134"/>
      <c r="AB1385" s="62" t="s">
        <v>61</v>
      </c>
      <c r="AC1385" s="63" t="s">
        <v>61</v>
      </c>
      <c r="AD1385" s="64" t="s">
        <v>61</v>
      </c>
      <c r="AE1385" s="64" t="s">
        <v>61</v>
      </c>
      <c r="AF1385" s="63" t="s">
        <v>61</v>
      </c>
      <c r="AG1385" s="63" t="s">
        <v>61</v>
      </c>
      <c r="AH1385" s="63" t="s">
        <v>61</v>
      </c>
      <c r="AI1385" s="65" t="s">
        <v>61</v>
      </c>
      <c r="AJ1385" s="105" t="s">
        <v>61</v>
      </c>
      <c r="AK1385" s="76"/>
    </row>
    <row r="1386" ht="24.0" customHeight="1">
      <c r="A1386" s="35"/>
      <c r="B1386" s="36">
        <v>1.0</v>
      </c>
      <c r="C1386" s="37" t="str">
        <f>IFERROR(__xludf.DUMMYFUNCTION("""COMPUTED_VALUE"""),"")</f>
        <v/>
      </c>
      <c r="D1386" s="89" t="s">
        <v>61</v>
      </c>
      <c r="E1386" s="39" t="s">
        <v>61</v>
      </c>
      <c r="F1386" s="121"/>
      <c r="G1386" s="122"/>
      <c r="H1386" s="138"/>
      <c r="I1386" s="80"/>
      <c r="J1386" s="80"/>
      <c r="K1386" s="95"/>
      <c r="L1386" s="80"/>
      <c r="M1386" s="43"/>
      <c r="N1386" s="43"/>
      <c r="O1386" s="80"/>
      <c r="P1386" s="80"/>
      <c r="Q1386" s="80"/>
      <c r="R1386" s="80"/>
      <c r="S1386" s="117"/>
      <c r="T1386" s="81"/>
      <c r="U1386" s="81"/>
      <c r="V1386" s="81"/>
      <c r="W1386" s="81"/>
      <c r="X1386" s="81"/>
      <c r="Y1386" s="81"/>
      <c r="Z1386" s="82"/>
      <c r="AA1386" s="99"/>
      <c r="AB1386" s="48" t="s">
        <v>61</v>
      </c>
      <c r="AC1386" s="68" t="s">
        <v>61</v>
      </c>
      <c r="AD1386" s="69" t="s">
        <v>61</v>
      </c>
      <c r="AE1386" s="69" t="s">
        <v>61</v>
      </c>
      <c r="AF1386" s="68" t="s">
        <v>61</v>
      </c>
      <c r="AG1386" s="68" t="s">
        <v>61</v>
      </c>
      <c r="AH1386" s="68" t="s">
        <v>61</v>
      </c>
      <c r="AI1386" s="70" t="s">
        <v>61</v>
      </c>
      <c r="AJ1386" s="114" t="s">
        <v>61</v>
      </c>
      <c r="AK1386" s="82"/>
    </row>
    <row r="1387" ht="24.0" customHeight="1">
      <c r="A1387" s="35"/>
      <c r="B1387" s="36">
        <v>1.0</v>
      </c>
      <c r="C1387" s="37" t="str">
        <f>IFERROR(__xludf.DUMMYFUNCTION("""COMPUTED_VALUE"""),"")</f>
        <v/>
      </c>
      <c r="D1387" s="89" t="s">
        <v>61</v>
      </c>
      <c r="E1387" s="51" t="s">
        <v>61</v>
      </c>
      <c r="F1387" s="137"/>
      <c r="G1387" s="133"/>
      <c r="H1387" s="141"/>
      <c r="I1387" s="57"/>
      <c r="J1387" s="57"/>
      <c r="K1387" s="72"/>
      <c r="L1387" s="57"/>
      <c r="M1387" s="55"/>
      <c r="N1387" s="55"/>
      <c r="O1387" s="57"/>
      <c r="P1387" s="57"/>
      <c r="Q1387" s="57"/>
      <c r="R1387" s="57"/>
      <c r="S1387" s="132"/>
      <c r="T1387" s="74"/>
      <c r="U1387" s="74"/>
      <c r="V1387" s="74"/>
      <c r="W1387" s="74"/>
      <c r="X1387" s="74"/>
      <c r="Y1387" s="74"/>
      <c r="Z1387" s="76"/>
      <c r="AA1387" s="134"/>
      <c r="AB1387" s="62" t="s">
        <v>61</v>
      </c>
      <c r="AC1387" s="63" t="s">
        <v>61</v>
      </c>
      <c r="AD1387" s="64" t="s">
        <v>61</v>
      </c>
      <c r="AE1387" s="64" t="s">
        <v>61</v>
      </c>
      <c r="AF1387" s="63" t="s">
        <v>61</v>
      </c>
      <c r="AG1387" s="63" t="s">
        <v>61</v>
      </c>
      <c r="AH1387" s="63" t="s">
        <v>61</v>
      </c>
      <c r="AI1387" s="65" t="s">
        <v>61</v>
      </c>
      <c r="AJ1387" s="105" t="s">
        <v>61</v>
      </c>
      <c r="AK1387" s="76"/>
    </row>
    <row r="1388" ht="24.0" customHeight="1">
      <c r="A1388" s="35"/>
      <c r="B1388" s="36">
        <v>1.0</v>
      </c>
      <c r="C1388" s="37" t="str">
        <f>IFERROR(__xludf.DUMMYFUNCTION("""COMPUTED_VALUE"""),"")</f>
        <v/>
      </c>
      <c r="D1388" s="89" t="s">
        <v>61</v>
      </c>
      <c r="E1388" s="39" t="s">
        <v>61</v>
      </c>
      <c r="F1388" s="121"/>
      <c r="G1388" s="122"/>
      <c r="H1388" s="138"/>
      <c r="I1388" s="80"/>
      <c r="J1388" s="80"/>
      <c r="K1388" s="95"/>
      <c r="L1388" s="80"/>
      <c r="M1388" s="43"/>
      <c r="N1388" s="43"/>
      <c r="O1388" s="80"/>
      <c r="P1388" s="80"/>
      <c r="Q1388" s="80"/>
      <c r="R1388" s="80"/>
      <c r="S1388" s="117"/>
      <c r="T1388" s="81"/>
      <c r="U1388" s="81"/>
      <c r="V1388" s="81"/>
      <c r="W1388" s="81"/>
      <c r="X1388" s="81"/>
      <c r="Y1388" s="81"/>
      <c r="Z1388" s="82"/>
      <c r="AA1388" s="99"/>
      <c r="AB1388" s="48" t="s">
        <v>61</v>
      </c>
      <c r="AC1388" s="68" t="s">
        <v>61</v>
      </c>
      <c r="AD1388" s="69" t="s">
        <v>61</v>
      </c>
      <c r="AE1388" s="69" t="s">
        <v>61</v>
      </c>
      <c r="AF1388" s="68" t="s">
        <v>61</v>
      </c>
      <c r="AG1388" s="68" t="s">
        <v>61</v>
      </c>
      <c r="AH1388" s="68" t="s">
        <v>61</v>
      </c>
      <c r="AI1388" s="70" t="s">
        <v>61</v>
      </c>
      <c r="AJ1388" s="114" t="s">
        <v>61</v>
      </c>
      <c r="AK1388" s="82"/>
    </row>
    <row r="1389" ht="24.0" customHeight="1">
      <c r="A1389" s="35"/>
      <c r="B1389" s="36">
        <v>1.0</v>
      </c>
      <c r="C1389" s="37" t="str">
        <f>IFERROR(__xludf.DUMMYFUNCTION("""COMPUTED_VALUE"""),"")</f>
        <v/>
      </c>
      <c r="D1389" s="89" t="s">
        <v>61</v>
      </c>
      <c r="E1389" s="51" t="s">
        <v>61</v>
      </c>
      <c r="F1389" s="137"/>
      <c r="G1389" s="133"/>
      <c r="H1389" s="141"/>
      <c r="I1389" s="57"/>
      <c r="J1389" s="57"/>
      <c r="K1389" s="72"/>
      <c r="L1389" s="57"/>
      <c r="M1389" s="55"/>
      <c r="N1389" s="55"/>
      <c r="O1389" s="57"/>
      <c r="P1389" s="57"/>
      <c r="Q1389" s="57"/>
      <c r="R1389" s="57"/>
      <c r="S1389" s="132"/>
      <c r="T1389" s="74"/>
      <c r="U1389" s="74"/>
      <c r="V1389" s="74"/>
      <c r="W1389" s="74"/>
      <c r="X1389" s="74"/>
      <c r="Y1389" s="74"/>
      <c r="Z1389" s="76"/>
      <c r="AA1389" s="134"/>
      <c r="AB1389" s="62" t="s">
        <v>61</v>
      </c>
      <c r="AC1389" s="63" t="s">
        <v>61</v>
      </c>
      <c r="AD1389" s="64" t="s">
        <v>61</v>
      </c>
      <c r="AE1389" s="64" t="s">
        <v>61</v>
      </c>
      <c r="AF1389" s="63" t="s">
        <v>61</v>
      </c>
      <c r="AG1389" s="63" t="s">
        <v>61</v>
      </c>
      <c r="AH1389" s="63" t="s">
        <v>61</v>
      </c>
      <c r="AI1389" s="65" t="s">
        <v>61</v>
      </c>
      <c r="AJ1389" s="105" t="s">
        <v>61</v>
      </c>
      <c r="AK1389" s="76"/>
    </row>
    <row r="1390" ht="24.0" customHeight="1">
      <c r="A1390" s="35"/>
      <c r="B1390" s="36">
        <v>1.0</v>
      </c>
      <c r="C1390" s="37" t="str">
        <f>IFERROR(__xludf.DUMMYFUNCTION("""COMPUTED_VALUE"""),"")</f>
        <v/>
      </c>
      <c r="D1390" s="89" t="s">
        <v>61</v>
      </c>
      <c r="E1390" s="39" t="s">
        <v>61</v>
      </c>
      <c r="F1390" s="121"/>
      <c r="G1390" s="122"/>
      <c r="H1390" s="138"/>
      <c r="I1390" s="80"/>
      <c r="J1390" s="80"/>
      <c r="K1390" s="95"/>
      <c r="L1390" s="80"/>
      <c r="M1390" s="43"/>
      <c r="N1390" s="43"/>
      <c r="O1390" s="80"/>
      <c r="P1390" s="80"/>
      <c r="Q1390" s="80"/>
      <c r="R1390" s="80"/>
      <c r="S1390" s="117"/>
      <c r="T1390" s="81"/>
      <c r="U1390" s="81"/>
      <c r="V1390" s="81"/>
      <c r="W1390" s="81"/>
      <c r="X1390" s="81"/>
      <c r="Y1390" s="81"/>
      <c r="Z1390" s="82"/>
      <c r="AA1390" s="99"/>
      <c r="AB1390" s="48" t="s">
        <v>61</v>
      </c>
      <c r="AC1390" s="68" t="s">
        <v>61</v>
      </c>
      <c r="AD1390" s="69" t="s">
        <v>61</v>
      </c>
      <c r="AE1390" s="69" t="s">
        <v>61</v>
      </c>
      <c r="AF1390" s="68" t="s">
        <v>61</v>
      </c>
      <c r="AG1390" s="68" t="s">
        <v>61</v>
      </c>
      <c r="AH1390" s="68" t="s">
        <v>61</v>
      </c>
      <c r="AI1390" s="70" t="s">
        <v>61</v>
      </c>
      <c r="AJ1390" s="114" t="s">
        <v>61</v>
      </c>
      <c r="AK1390" s="82"/>
    </row>
    <row r="1391" ht="24.0" customHeight="1">
      <c r="A1391" s="35"/>
      <c r="B1391" s="36">
        <v>1.0</v>
      </c>
      <c r="C1391" s="37" t="str">
        <f>IFERROR(__xludf.DUMMYFUNCTION("""COMPUTED_VALUE"""),"")</f>
        <v/>
      </c>
      <c r="D1391" s="89" t="s">
        <v>61</v>
      </c>
      <c r="E1391" s="51" t="s">
        <v>61</v>
      </c>
      <c r="F1391" s="137"/>
      <c r="G1391" s="133"/>
      <c r="H1391" s="141"/>
      <c r="I1391" s="57"/>
      <c r="J1391" s="57"/>
      <c r="K1391" s="72"/>
      <c r="L1391" s="57"/>
      <c r="M1391" s="55"/>
      <c r="N1391" s="55"/>
      <c r="O1391" s="57"/>
      <c r="P1391" s="57"/>
      <c r="Q1391" s="57"/>
      <c r="R1391" s="57"/>
      <c r="S1391" s="132"/>
      <c r="T1391" s="74"/>
      <c r="U1391" s="74"/>
      <c r="V1391" s="74"/>
      <c r="W1391" s="74"/>
      <c r="X1391" s="74"/>
      <c r="Y1391" s="74"/>
      <c r="Z1391" s="76"/>
      <c r="AA1391" s="134"/>
      <c r="AB1391" s="62" t="s">
        <v>61</v>
      </c>
      <c r="AC1391" s="63" t="s">
        <v>61</v>
      </c>
      <c r="AD1391" s="64" t="s">
        <v>61</v>
      </c>
      <c r="AE1391" s="64" t="s">
        <v>61</v>
      </c>
      <c r="AF1391" s="63" t="s">
        <v>61</v>
      </c>
      <c r="AG1391" s="63" t="s">
        <v>61</v>
      </c>
      <c r="AH1391" s="63" t="s">
        <v>61</v>
      </c>
      <c r="AI1391" s="65" t="s">
        <v>61</v>
      </c>
      <c r="AJ1391" s="105" t="s">
        <v>61</v>
      </c>
      <c r="AK1391" s="76"/>
    </row>
    <row r="1392" ht="24.0" customHeight="1">
      <c r="A1392" s="35"/>
      <c r="B1392" s="36">
        <v>1.0</v>
      </c>
      <c r="C1392" s="37" t="str">
        <f>IFERROR(__xludf.DUMMYFUNCTION("""COMPUTED_VALUE"""),"")</f>
        <v/>
      </c>
      <c r="D1392" s="89" t="s">
        <v>61</v>
      </c>
      <c r="E1392" s="39" t="s">
        <v>61</v>
      </c>
      <c r="F1392" s="121"/>
      <c r="G1392" s="122"/>
      <c r="H1392" s="138"/>
      <c r="I1392" s="80"/>
      <c r="J1392" s="80"/>
      <c r="K1392" s="95"/>
      <c r="L1392" s="80"/>
      <c r="M1392" s="43"/>
      <c r="N1392" s="43"/>
      <c r="O1392" s="80"/>
      <c r="P1392" s="80"/>
      <c r="Q1392" s="80"/>
      <c r="R1392" s="80"/>
      <c r="S1392" s="117"/>
      <c r="T1392" s="81"/>
      <c r="U1392" s="81"/>
      <c r="V1392" s="81"/>
      <c r="W1392" s="81"/>
      <c r="X1392" s="81"/>
      <c r="Y1392" s="81"/>
      <c r="Z1392" s="82"/>
      <c r="AA1392" s="99"/>
      <c r="AB1392" s="48" t="s">
        <v>61</v>
      </c>
      <c r="AC1392" s="68" t="s">
        <v>61</v>
      </c>
      <c r="AD1392" s="69" t="s">
        <v>61</v>
      </c>
      <c r="AE1392" s="69" t="s">
        <v>61</v>
      </c>
      <c r="AF1392" s="68" t="s">
        <v>61</v>
      </c>
      <c r="AG1392" s="68" t="s">
        <v>61</v>
      </c>
      <c r="AH1392" s="68" t="s">
        <v>61</v>
      </c>
      <c r="AI1392" s="70" t="s">
        <v>61</v>
      </c>
      <c r="AJ1392" s="114" t="s">
        <v>61</v>
      </c>
      <c r="AK1392" s="82"/>
    </row>
    <row r="1393" ht="24.0" customHeight="1">
      <c r="A1393" s="35"/>
      <c r="B1393" s="36">
        <v>1.0</v>
      </c>
      <c r="C1393" s="37" t="str">
        <f>IFERROR(__xludf.DUMMYFUNCTION("""COMPUTED_VALUE"""),"")</f>
        <v/>
      </c>
      <c r="D1393" s="89" t="s">
        <v>61</v>
      </c>
      <c r="E1393" s="51" t="s">
        <v>61</v>
      </c>
      <c r="F1393" s="137"/>
      <c r="G1393" s="133"/>
      <c r="H1393" s="141"/>
      <c r="I1393" s="57"/>
      <c r="J1393" s="57"/>
      <c r="K1393" s="72"/>
      <c r="L1393" s="57"/>
      <c r="M1393" s="55"/>
      <c r="N1393" s="55"/>
      <c r="O1393" s="57"/>
      <c r="P1393" s="57"/>
      <c r="Q1393" s="57"/>
      <c r="R1393" s="57"/>
      <c r="S1393" s="132"/>
      <c r="T1393" s="74"/>
      <c r="U1393" s="74"/>
      <c r="V1393" s="74"/>
      <c r="W1393" s="74"/>
      <c r="X1393" s="74"/>
      <c r="Y1393" s="74"/>
      <c r="Z1393" s="76"/>
      <c r="AA1393" s="134"/>
      <c r="AB1393" s="62" t="s">
        <v>61</v>
      </c>
      <c r="AC1393" s="63" t="s">
        <v>61</v>
      </c>
      <c r="AD1393" s="64" t="s">
        <v>61</v>
      </c>
      <c r="AE1393" s="64" t="s">
        <v>61</v>
      </c>
      <c r="AF1393" s="63" t="s">
        <v>61</v>
      </c>
      <c r="AG1393" s="63" t="s">
        <v>61</v>
      </c>
      <c r="AH1393" s="63" t="s">
        <v>61</v>
      </c>
      <c r="AI1393" s="65" t="s">
        <v>61</v>
      </c>
      <c r="AJ1393" s="105" t="s">
        <v>61</v>
      </c>
      <c r="AK1393" s="76"/>
    </row>
    <row r="1394" ht="24.0" customHeight="1">
      <c r="A1394" s="35"/>
      <c r="B1394" s="36">
        <v>1.0</v>
      </c>
      <c r="C1394" s="37" t="str">
        <f>IFERROR(__xludf.DUMMYFUNCTION("""COMPUTED_VALUE"""),"")</f>
        <v/>
      </c>
      <c r="D1394" s="89" t="s">
        <v>61</v>
      </c>
      <c r="E1394" s="39" t="s">
        <v>61</v>
      </c>
      <c r="F1394" s="121"/>
      <c r="G1394" s="122"/>
      <c r="H1394" s="138"/>
      <c r="I1394" s="80"/>
      <c r="J1394" s="80"/>
      <c r="K1394" s="95"/>
      <c r="L1394" s="80"/>
      <c r="M1394" s="43"/>
      <c r="N1394" s="43"/>
      <c r="O1394" s="80"/>
      <c r="P1394" s="80"/>
      <c r="Q1394" s="80"/>
      <c r="R1394" s="80"/>
      <c r="S1394" s="117"/>
      <c r="T1394" s="81"/>
      <c r="U1394" s="81"/>
      <c r="V1394" s="81"/>
      <c r="W1394" s="81"/>
      <c r="X1394" s="81"/>
      <c r="Y1394" s="81"/>
      <c r="Z1394" s="82"/>
      <c r="AA1394" s="99"/>
      <c r="AB1394" s="48" t="s">
        <v>61</v>
      </c>
      <c r="AC1394" s="68" t="s">
        <v>61</v>
      </c>
      <c r="AD1394" s="69" t="s">
        <v>61</v>
      </c>
      <c r="AE1394" s="69" t="s">
        <v>61</v>
      </c>
      <c r="AF1394" s="68" t="s">
        <v>61</v>
      </c>
      <c r="AG1394" s="68" t="s">
        <v>61</v>
      </c>
      <c r="AH1394" s="68" t="s">
        <v>61</v>
      </c>
      <c r="AI1394" s="70" t="s">
        <v>61</v>
      </c>
      <c r="AJ1394" s="114" t="s">
        <v>61</v>
      </c>
      <c r="AK1394" s="82"/>
    </row>
    <row r="1395" ht="24.0" customHeight="1">
      <c r="A1395" s="35"/>
      <c r="B1395" s="36">
        <v>1.0</v>
      </c>
      <c r="C1395" s="37" t="str">
        <f>IFERROR(__xludf.DUMMYFUNCTION("""COMPUTED_VALUE"""),"")</f>
        <v/>
      </c>
      <c r="D1395" s="89" t="s">
        <v>61</v>
      </c>
      <c r="E1395" s="51" t="s">
        <v>61</v>
      </c>
      <c r="F1395" s="137"/>
      <c r="G1395" s="133"/>
      <c r="H1395" s="141"/>
      <c r="I1395" s="57"/>
      <c r="J1395" s="57"/>
      <c r="K1395" s="72"/>
      <c r="L1395" s="57"/>
      <c r="M1395" s="55"/>
      <c r="N1395" s="55"/>
      <c r="O1395" s="57"/>
      <c r="P1395" s="57"/>
      <c r="Q1395" s="57"/>
      <c r="R1395" s="57"/>
      <c r="S1395" s="132"/>
      <c r="T1395" s="74"/>
      <c r="U1395" s="74"/>
      <c r="V1395" s="74"/>
      <c r="W1395" s="74"/>
      <c r="X1395" s="74"/>
      <c r="Y1395" s="74"/>
      <c r="Z1395" s="76"/>
      <c r="AA1395" s="134"/>
      <c r="AB1395" s="62" t="s">
        <v>61</v>
      </c>
      <c r="AC1395" s="63" t="s">
        <v>61</v>
      </c>
      <c r="AD1395" s="64" t="s">
        <v>61</v>
      </c>
      <c r="AE1395" s="64" t="s">
        <v>61</v>
      </c>
      <c r="AF1395" s="63" t="s">
        <v>61</v>
      </c>
      <c r="AG1395" s="63" t="s">
        <v>61</v>
      </c>
      <c r="AH1395" s="63" t="s">
        <v>61</v>
      </c>
      <c r="AI1395" s="65" t="s">
        <v>61</v>
      </c>
      <c r="AJ1395" s="105" t="s">
        <v>61</v>
      </c>
      <c r="AK1395" s="76"/>
    </row>
    <row r="1396" ht="24.0" customHeight="1">
      <c r="A1396" s="35"/>
      <c r="B1396" s="36">
        <v>1.0</v>
      </c>
      <c r="C1396" s="37" t="str">
        <f>IFERROR(__xludf.DUMMYFUNCTION("""COMPUTED_VALUE"""),"")</f>
        <v/>
      </c>
      <c r="D1396" s="89" t="s">
        <v>61</v>
      </c>
      <c r="E1396" s="39" t="s">
        <v>61</v>
      </c>
      <c r="F1396" s="121"/>
      <c r="G1396" s="122"/>
      <c r="H1396" s="138"/>
      <c r="I1396" s="80"/>
      <c r="J1396" s="80"/>
      <c r="K1396" s="95"/>
      <c r="L1396" s="80"/>
      <c r="M1396" s="43"/>
      <c r="N1396" s="43"/>
      <c r="O1396" s="80"/>
      <c r="P1396" s="80"/>
      <c r="Q1396" s="80"/>
      <c r="R1396" s="80"/>
      <c r="S1396" s="117"/>
      <c r="T1396" s="81"/>
      <c r="U1396" s="81"/>
      <c r="V1396" s="81"/>
      <c r="W1396" s="81"/>
      <c r="X1396" s="81"/>
      <c r="Y1396" s="81"/>
      <c r="Z1396" s="82"/>
      <c r="AA1396" s="99"/>
      <c r="AB1396" s="48" t="s">
        <v>61</v>
      </c>
      <c r="AC1396" s="68" t="s">
        <v>61</v>
      </c>
      <c r="AD1396" s="69" t="s">
        <v>61</v>
      </c>
      <c r="AE1396" s="69" t="s">
        <v>61</v>
      </c>
      <c r="AF1396" s="68" t="s">
        <v>61</v>
      </c>
      <c r="AG1396" s="68" t="s">
        <v>61</v>
      </c>
      <c r="AH1396" s="68" t="s">
        <v>61</v>
      </c>
      <c r="AI1396" s="70" t="s">
        <v>61</v>
      </c>
      <c r="AJ1396" s="114" t="s">
        <v>61</v>
      </c>
      <c r="AK1396" s="82"/>
    </row>
    <row r="1397" ht="24.0" customHeight="1">
      <c r="A1397" s="35"/>
      <c r="B1397" s="36">
        <v>1.0</v>
      </c>
      <c r="C1397" s="37" t="str">
        <f>IFERROR(__xludf.DUMMYFUNCTION("""COMPUTED_VALUE"""),"")</f>
        <v/>
      </c>
      <c r="D1397" s="89" t="s">
        <v>61</v>
      </c>
      <c r="E1397" s="51" t="s">
        <v>61</v>
      </c>
      <c r="F1397" s="137"/>
      <c r="G1397" s="133"/>
      <c r="H1397" s="141"/>
      <c r="I1397" s="57"/>
      <c r="J1397" s="57"/>
      <c r="K1397" s="72"/>
      <c r="L1397" s="57"/>
      <c r="M1397" s="55"/>
      <c r="N1397" s="55"/>
      <c r="O1397" s="57"/>
      <c r="P1397" s="57"/>
      <c r="Q1397" s="57"/>
      <c r="R1397" s="57"/>
      <c r="S1397" s="132"/>
      <c r="T1397" s="74"/>
      <c r="U1397" s="74"/>
      <c r="V1397" s="74"/>
      <c r="W1397" s="74"/>
      <c r="X1397" s="74"/>
      <c r="Y1397" s="74"/>
      <c r="Z1397" s="76"/>
      <c r="AA1397" s="134"/>
      <c r="AB1397" s="62" t="s">
        <v>61</v>
      </c>
      <c r="AC1397" s="63" t="s">
        <v>61</v>
      </c>
      <c r="AD1397" s="64" t="s">
        <v>61</v>
      </c>
      <c r="AE1397" s="64" t="s">
        <v>61</v>
      </c>
      <c r="AF1397" s="63" t="s">
        <v>61</v>
      </c>
      <c r="AG1397" s="63" t="s">
        <v>61</v>
      </c>
      <c r="AH1397" s="63" t="s">
        <v>61</v>
      </c>
      <c r="AI1397" s="65" t="s">
        <v>61</v>
      </c>
      <c r="AJ1397" s="105" t="s">
        <v>61</v>
      </c>
      <c r="AK1397" s="76"/>
    </row>
    <row r="1398" ht="24.0" customHeight="1">
      <c r="A1398" s="35"/>
      <c r="B1398" s="36">
        <v>1.0</v>
      </c>
      <c r="C1398" s="37" t="str">
        <f>IFERROR(__xludf.DUMMYFUNCTION("""COMPUTED_VALUE"""),"")</f>
        <v/>
      </c>
      <c r="D1398" s="89" t="s">
        <v>61</v>
      </c>
      <c r="E1398" s="39" t="s">
        <v>61</v>
      </c>
      <c r="F1398" s="121"/>
      <c r="G1398" s="122"/>
      <c r="H1398" s="138"/>
      <c r="I1398" s="80"/>
      <c r="J1398" s="80"/>
      <c r="K1398" s="95"/>
      <c r="L1398" s="80"/>
      <c r="M1398" s="43"/>
      <c r="N1398" s="43"/>
      <c r="O1398" s="80"/>
      <c r="P1398" s="80"/>
      <c r="Q1398" s="80"/>
      <c r="R1398" s="80"/>
      <c r="S1398" s="117"/>
      <c r="T1398" s="81"/>
      <c r="U1398" s="81"/>
      <c r="V1398" s="81"/>
      <c r="W1398" s="81"/>
      <c r="X1398" s="81"/>
      <c r="Y1398" s="81"/>
      <c r="Z1398" s="82"/>
      <c r="AA1398" s="99"/>
      <c r="AB1398" s="48" t="s">
        <v>61</v>
      </c>
      <c r="AC1398" s="68" t="s">
        <v>61</v>
      </c>
      <c r="AD1398" s="69" t="s">
        <v>61</v>
      </c>
      <c r="AE1398" s="69" t="s">
        <v>61</v>
      </c>
      <c r="AF1398" s="68" t="s">
        <v>61</v>
      </c>
      <c r="AG1398" s="68" t="s">
        <v>61</v>
      </c>
      <c r="AH1398" s="68" t="s">
        <v>61</v>
      </c>
      <c r="AI1398" s="70" t="s">
        <v>61</v>
      </c>
      <c r="AJ1398" s="114" t="s">
        <v>61</v>
      </c>
      <c r="AK1398" s="82"/>
    </row>
    <row r="1399" ht="24.0" customHeight="1">
      <c r="A1399" s="35"/>
      <c r="B1399" s="36">
        <v>1.0</v>
      </c>
      <c r="C1399" s="37" t="str">
        <f>IFERROR(__xludf.DUMMYFUNCTION("""COMPUTED_VALUE"""),"")</f>
        <v/>
      </c>
      <c r="D1399" s="89" t="s">
        <v>61</v>
      </c>
      <c r="E1399" s="51" t="s">
        <v>61</v>
      </c>
      <c r="F1399" s="137"/>
      <c r="G1399" s="133"/>
      <c r="H1399" s="141"/>
      <c r="I1399" s="57"/>
      <c r="J1399" s="57"/>
      <c r="K1399" s="72"/>
      <c r="L1399" s="57"/>
      <c r="M1399" s="55"/>
      <c r="N1399" s="55"/>
      <c r="O1399" s="57"/>
      <c r="P1399" s="57"/>
      <c r="Q1399" s="57"/>
      <c r="R1399" s="57"/>
      <c r="S1399" s="132"/>
      <c r="T1399" s="74"/>
      <c r="U1399" s="74"/>
      <c r="V1399" s="74"/>
      <c r="W1399" s="74"/>
      <c r="X1399" s="74"/>
      <c r="Y1399" s="74"/>
      <c r="Z1399" s="76"/>
      <c r="AA1399" s="134"/>
      <c r="AB1399" s="62" t="s">
        <v>61</v>
      </c>
      <c r="AC1399" s="63" t="s">
        <v>61</v>
      </c>
      <c r="AD1399" s="64" t="s">
        <v>61</v>
      </c>
      <c r="AE1399" s="64" t="s">
        <v>61</v>
      </c>
      <c r="AF1399" s="63" t="s">
        <v>61</v>
      </c>
      <c r="AG1399" s="63" t="s">
        <v>61</v>
      </c>
      <c r="AH1399" s="63" t="s">
        <v>61</v>
      </c>
      <c r="AI1399" s="65" t="s">
        <v>61</v>
      </c>
      <c r="AJ1399" s="105" t="s">
        <v>61</v>
      </c>
      <c r="AK1399" s="76"/>
    </row>
    <row r="1400" ht="24.0" customHeight="1">
      <c r="A1400" s="35"/>
      <c r="B1400" s="36">
        <v>1.0</v>
      </c>
      <c r="C1400" s="37" t="str">
        <f>IFERROR(__xludf.DUMMYFUNCTION("""COMPUTED_VALUE"""),"")</f>
        <v/>
      </c>
      <c r="D1400" s="89" t="s">
        <v>61</v>
      </c>
      <c r="E1400" s="39" t="s">
        <v>61</v>
      </c>
      <c r="F1400" s="121"/>
      <c r="G1400" s="122"/>
      <c r="H1400" s="138"/>
      <c r="I1400" s="80"/>
      <c r="J1400" s="80"/>
      <c r="K1400" s="95"/>
      <c r="L1400" s="80"/>
      <c r="M1400" s="43"/>
      <c r="N1400" s="43"/>
      <c r="O1400" s="80"/>
      <c r="P1400" s="80"/>
      <c r="Q1400" s="80"/>
      <c r="R1400" s="80"/>
      <c r="S1400" s="117"/>
      <c r="T1400" s="81"/>
      <c r="U1400" s="81"/>
      <c r="V1400" s="81"/>
      <c r="W1400" s="81"/>
      <c r="X1400" s="81"/>
      <c r="Y1400" s="81"/>
      <c r="Z1400" s="82"/>
      <c r="AA1400" s="99"/>
      <c r="AB1400" s="48" t="s">
        <v>61</v>
      </c>
      <c r="AC1400" s="68" t="s">
        <v>61</v>
      </c>
      <c r="AD1400" s="69" t="s">
        <v>61</v>
      </c>
      <c r="AE1400" s="69" t="s">
        <v>61</v>
      </c>
      <c r="AF1400" s="68" t="s">
        <v>61</v>
      </c>
      <c r="AG1400" s="68" t="s">
        <v>61</v>
      </c>
      <c r="AH1400" s="68" t="s">
        <v>61</v>
      </c>
      <c r="AI1400" s="70" t="s">
        <v>61</v>
      </c>
      <c r="AJ1400" s="114" t="s">
        <v>61</v>
      </c>
      <c r="AK1400" s="82"/>
    </row>
    <row r="1401" ht="24.0" customHeight="1">
      <c r="A1401" s="35"/>
      <c r="B1401" s="36">
        <v>1.0</v>
      </c>
      <c r="C1401" s="37" t="str">
        <f>IFERROR(__xludf.DUMMYFUNCTION("""COMPUTED_VALUE"""),"")</f>
        <v/>
      </c>
      <c r="D1401" s="89" t="s">
        <v>61</v>
      </c>
      <c r="E1401" s="51" t="s">
        <v>61</v>
      </c>
      <c r="F1401" s="137"/>
      <c r="G1401" s="133"/>
      <c r="H1401" s="141"/>
      <c r="I1401" s="57"/>
      <c r="J1401" s="57"/>
      <c r="K1401" s="72"/>
      <c r="L1401" s="57"/>
      <c r="M1401" s="55"/>
      <c r="N1401" s="55"/>
      <c r="O1401" s="57"/>
      <c r="P1401" s="57"/>
      <c r="Q1401" s="57"/>
      <c r="R1401" s="57"/>
      <c r="S1401" s="132"/>
      <c r="T1401" s="74"/>
      <c r="U1401" s="74"/>
      <c r="V1401" s="74"/>
      <c r="W1401" s="74"/>
      <c r="X1401" s="74"/>
      <c r="Y1401" s="74"/>
      <c r="Z1401" s="76"/>
      <c r="AA1401" s="134"/>
      <c r="AB1401" s="62" t="s">
        <v>61</v>
      </c>
      <c r="AC1401" s="63" t="s">
        <v>61</v>
      </c>
      <c r="AD1401" s="64" t="s">
        <v>61</v>
      </c>
      <c r="AE1401" s="64" t="s">
        <v>61</v>
      </c>
      <c r="AF1401" s="63" t="s">
        <v>61</v>
      </c>
      <c r="AG1401" s="63" t="s">
        <v>61</v>
      </c>
      <c r="AH1401" s="63" t="s">
        <v>61</v>
      </c>
      <c r="AI1401" s="65" t="s">
        <v>61</v>
      </c>
      <c r="AJ1401" s="105" t="s">
        <v>61</v>
      </c>
      <c r="AK1401" s="76"/>
    </row>
    <row r="1402" ht="24.0" customHeight="1">
      <c r="A1402" s="35"/>
      <c r="B1402" s="36">
        <v>1.0</v>
      </c>
      <c r="C1402" s="37" t="str">
        <f>IFERROR(__xludf.DUMMYFUNCTION("""COMPUTED_VALUE"""),"")</f>
        <v/>
      </c>
      <c r="D1402" s="89" t="s">
        <v>61</v>
      </c>
      <c r="E1402" s="39" t="s">
        <v>61</v>
      </c>
      <c r="F1402" s="121"/>
      <c r="G1402" s="122"/>
      <c r="H1402" s="138"/>
      <c r="I1402" s="80"/>
      <c r="J1402" s="80"/>
      <c r="K1402" s="95"/>
      <c r="L1402" s="80"/>
      <c r="M1402" s="43"/>
      <c r="N1402" s="43"/>
      <c r="O1402" s="80"/>
      <c r="P1402" s="80"/>
      <c r="Q1402" s="80"/>
      <c r="R1402" s="80"/>
      <c r="S1402" s="117"/>
      <c r="T1402" s="81"/>
      <c r="U1402" s="81"/>
      <c r="V1402" s="81"/>
      <c r="W1402" s="81"/>
      <c r="X1402" s="81"/>
      <c r="Y1402" s="81"/>
      <c r="Z1402" s="82"/>
      <c r="AA1402" s="99"/>
      <c r="AB1402" s="48" t="s">
        <v>61</v>
      </c>
      <c r="AC1402" s="68" t="s">
        <v>61</v>
      </c>
      <c r="AD1402" s="69" t="s">
        <v>61</v>
      </c>
      <c r="AE1402" s="69" t="s">
        <v>61</v>
      </c>
      <c r="AF1402" s="68" t="s">
        <v>61</v>
      </c>
      <c r="AG1402" s="68" t="s">
        <v>61</v>
      </c>
      <c r="AH1402" s="68" t="s">
        <v>61</v>
      </c>
      <c r="AI1402" s="70" t="s">
        <v>61</v>
      </c>
      <c r="AJ1402" s="114" t="s">
        <v>61</v>
      </c>
      <c r="AK1402" s="82"/>
    </row>
    <row r="1403" ht="24.0" customHeight="1">
      <c r="A1403" s="35"/>
      <c r="B1403" s="36">
        <v>1.0</v>
      </c>
      <c r="C1403" s="37" t="str">
        <f>IFERROR(__xludf.DUMMYFUNCTION("""COMPUTED_VALUE"""),"")</f>
        <v/>
      </c>
      <c r="D1403" s="89" t="s">
        <v>61</v>
      </c>
      <c r="E1403" s="51" t="s">
        <v>61</v>
      </c>
      <c r="F1403" s="137"/>
      <c r="G1403" s="133"/>
      <c r="H1403" s="141"/>
      <c r="I1403" s="57"/>
      <c r="J1403" s="57"/>
      <c r="K1403" s="72"/>
      <c r="L1403" s="57"/>
      <c r="M1403" s="55"/>
      <c r="N1403" s="55"/>
      <c r="O1403" s="57"/>
      <c r="P1403" s="57"/>
      <c r="Q1403" s="57"/>
      <c r="R1403" s="57"/>
      <c r="S1403" s="132"/>
      <c r="T1403" s="74"/>
      <c r="U1403" s="74"/>
      <c r="V1403" s="74"/>
      <c r="W1403" s="74"/>
      <c r="X1403" s="74"/>
      <c r="Y1403" s="74"/>
      <c r="Z1403" s="76"/>
      <c r="AA1403" s="134"/>
      <c r="AB1403" s="62" t="s">
        <v>61</v>
      </c>
      <c r="AC1403" s="63" t="s">
        <v>61</v>
      </c>
      <c r="AD1403" s="64" t="s">
        <v>61</v>
      </c>
      <c r="AE1403" s="64" t="s">
        <v>61</v>
      </c>
      <c r="AF1403" s="63" t="s">
        <v>61</v>
      </c>
      <c r="AG1403" s="63" t="s">
        <v>61</v>
      </c>
      <c r="AH1403" s="63" t="s">
        <v>61</v>
      </c>
      <c r="AI1403" s="65" t="s">
        <v>61</v>
      </c>
      <c r="AJ1403" s="105" t="s">
        <v>61</v>
      </c>
      <c r="AK1403" s="76"/>
    </row>
    <row r="1404" ht="24.0" customHeight="1">
      <c r="A1404" s="35"/>
      <c r="B1404" s="36">
        <v>1.0</v>
      </c>
      <c r="C1404" s="37" t="str">
        <f>IFERROR(__xludf.DUMMYFUNCTION("""COMPUTED_VALUE"""),"")</f>
        <v/>
      </c>
      <c r="D1404" s="89" t="s">
        <v>61</v>
      </c>
      <c r="E1404" s="39" t="s">
        <v>61</v>
      </c>
      <c r="F1404" s="121"/>
      <c r="G1404" s="122"/>
      <c r="H1404" s="138"/>
      <c r="I1404" s="80"/>
      <c r="J1404" s="80"/>
      <c r="K1404" s="95"/>
      <c r="L1404" s="80"/>
      <c r="M1404" s="43"/>
      <c r="N1404" s="43"/>
      <c r="O1404" s="80"/>
      <c r="P1404" s="80"/>
      <c r="Q1404" s="80"/>
      <c r="R1404" s="80"/>
      <c r="S1404" s="117"/>
      <c r="T1404" s="81"/>
      <c r="U1404" s="81"/>
      <c r="V1404" s="81"/>
      <c r="W1404" s="81"/>
      <c r="X1404" s="81"/>
      <c r="Y1404" s="81"/>
      <c r="Z1404" s="82"/>
      <c r="AA1404" s="99"/>
      <c r="AB1404" s="48" t="s">
        <v>61</v>
      </c>
      <c r="AC1404" s="68" t="s">
        <v>61</v>
      </c>
      <c r="AD1404" s="69" t="s">
        <v>61</v>
      </c>
      <c r="AE1404" s="69" t="s">
        <v>61</v>
      </c>
      <c r="AF1404" s="68" t="s">
        <v>61</v>
      </c>
      <c r="AG1404" s="68" t="s">
        <v>61</v>
      </c>
      <c r="AH1404" s="68" t="s">
        <v>61</v>
      </c>
      <c r="AI1404" s="70" t="s">
        <v>61</v>
      </c>
      <c r="AJ1404" s="114" t="s">
        <v>61</v>
      </c>
      <c r="AK1404" s="82"/>
    </row>
    <row r="1405" ht="24.0" customHeight="1">
      <c r="A1405" s="35"/>
      <c r="B1405" s="36">
        <v>1.0</v>
      </c>
      <c r="C1405" s="37" t="str">
        <f>IFERROR(__xludf.DUMMYFUNCTION("""COMPUTED_VALUE"""),"")</f>
        <v/>
      </c>
      <c r="D1405" s="89" t="s">
        <v>61</v>
      </c>
      <c r="E1405" s="51" t="s">
        <v>61</v>
      </c>
      <c r="F1405" s="137"/>
      <c r="G1405" s="133"/>
      <c r="H1405" s="141"/>
      <c r="I1405" s="57"/>
      <c r="J1405" s="57"/>
      <c r="K1405" s="72"/>
      <c r="L1405" s="57"/>
      <c r="M1405" s="55"/>
      <c r="N1405" s="55"/>
      <c r="O1405" s="57"/>
      <c r="P1405" s="57"/>
      <c r="Q1405" s="57"/>
      <c r="R1405" s="57"/>
      <c r="S1405" s="132"/>
      <c r="T1405" s="74"/>
      <c r="U1405" s="74"/>
      <c r="V1405" s="74"/>
      <c r="W1405" s="74"/>
      <c r="X1405" s="74"/>
      <c r="Y1405" s="74"/>
      <c r="Z1405" s="76"/>
      <c r="AA1405" s="134"/>
      <c r="AB1405" s="62" t="s">
        <v>61</v>
      </c>
      <c r="AC1405" s="63" t="s">
        <v>61</v>
      </c>
      <c r="AD1405" s="64" t="s">
        <v>61</v>
      </c>
      <c r="AE1405" s="64" t="s">
        <v>61</v>
      </c>
      <c r="AF1405" s="63" t="s">
        <v>61</v>
      </c>
      <c r="AG1405" s="63" t="s">
        <v>61</v>
      </c>
      <c r="AH1405" s="63" t="s">
        <v>61</v>
      </c>
      <c r="AI1405" s="65" t="s">
        <v>61</v>
      </c>
      <c r="AJ1405" s="105" t="s">
        <v>61</v>
      </c>
      <c r="AK1405" s="76"/>
    </row>
    <row r="1406" ht="24.0" customHeight="1">
      <c r="A1406" s="35"/>
      <c r="B1406" s="36">
        <v>1.0</v>
      </c>
      <c r="C1406" s="37" t="str">
        <f>IFERROR(__xludf.DUMMYFUNCTION("""COMPUTED_VALUE"""),"")</f>
        <v/>
      </c>
      <c r="D1406" s="89" t="s">
        <v>61</v>
      </c>
      <c r="E1406" s="39" t="s">
        <v>61</v>
      </c>
      <c r="F1406" s="121"/>
      <c r="G1406" s="122"/>
      <c r="H1406" s="138"/>
      <c r="I1406" s="80"/>
      <c r="J1406" s="80"/>
      <c r="K1406" s="95"/>
      <c r="L1406" s="80"/>
      <c r="M1406" s="43"/>
      <c r="N1406" s="43"/>
      <c r="O1406" s="80"/>
      <c r="P1406" s="80"/>
      <c r="Q1406" s="80"/>
      <c r="R1406" s="80"/>
      <c r="S1406" s="117"/>
      <c r="T1406" s="81"/>
      <c r="U1406" s="81"/>
      <c r="V1406" s="81"/>
      <c r="W1406" s="81"/>
      <c r="X1406" s="81"/>
      <c r="Y1406" s="81"/>
      <c r="Z1406" s="82"/>
      <c r="AA1406" s="99"/>
      <c r="AB1406" s="48" t="s">
        <v>61</v>
      </c>
      <c r="AC1406" s="68" t="s">
        <v>61</v>
      </c>
      <c r="AD1406" s="69" t="s">
        <v>61</v>
      </c>
      <c r="AE1406" s="69" t="s">
        <v>61</v>
      </c>
      <c r="AF1406" s="68" t="s">
        <v>61</v>
      </c>
      <c r="AG1406" s="68" t="s">
        <v>61</v>
      </c>
      <c r="AH1406" s="68" t="s">
        <v>61</v>
      </c>
      <c r="AI1406" s="70" t="s">
        <v>61</v>
      </c>
      <c r="AJ1406" s="114" t="s">
        <v>61</v>
      </c>
      <c r="AK1406" s="82"/>
    </row>
    <row r="1407" ht="24.0" customHeight="1">
      <c r="A1407" s="35"/>
      <c r="B1407" s="36">
        <v>1.0</v>
      </c>
      <c r="C1407" s="37" t="str">
        <f>IFERROR(__xludf.DUMMYFUNCTION("""COMPUTED_VALUE"""),"")</f>
        <v/>
      </c>
      <c r="D1407" s="89" t="s">
        <v>61</v>
      </c>
      <c r="E1407" s="51" t="s">
        <v>61</v>
      </c>
      <c r="F1407" s="137"/>
      <c r="G1407" s="133"/>
      <c r="H1407" s="141"/>
      <c r="I1407" s="57"/>
      <c r="J1407" s="57"/>
      <c r="K1407" s="72"/>
      <c r="L1407" s="57"/>
      <c r="M1407" s="55"/>
      <c r="N1407" s="55"/>
      <c r="O1407" s="57"/>
      <c r="P1407" s="57"/>
      <c r="Q1407" s="57"/>
      <c r="R1407" s="57"/>
      <c r="S1407" s="132"/>
      <c r="T1407" s="74"/>
      <c r="U1407" s="74"/>
      <c r="V1407" s="74"/>
      <c r="W1407" s="74"/>
      <c r="X1407" s="74"/>
      <c r="Y1407" s="74"/>
      <c r="Z1407" s="76"/>
      <c r="AA1407" s="134"/>
      <c r="AB1407" s="62" t="s">
        <v>61</v>
      </c>
      <c r="AC1407" s="63" t="s">
        <v>61</v>
      </c>
      <c r="AD1407" s="64" t="s">
        <v>61</v>
      </c>
      <c r="AE1407" s="64" t="s">
        <v>61</v>
      </c>
      <c r="AF1407" s="63" t="s">
        <v>61</v>
      </c>
      <c r="AG1407" s="63" t="s">
        <v>61</v>
      </c>
      <c r="AH1407" s="63" t="s">
        <v>61</v>
      </c>
      <c r="AI1407" s="65" t="s">
        <v>61</v>
      </c>
      <c r="AJ1407" s="105" t="s">
        <v>61</v>
      </c>
      <c r="AK1407" s="76"/>
    </row>
    <row r="1408" ht="24.0" customHeight="1">
      <c r="A1408" s="35"/>
      <c r="B1408" s="36">
        <v>1.0</v>
      </c>
      <c r="C1408" s="37" t="str">
        <f>IFERROR(__xludf.DUMMYFUNCTION("""COMPUTED_VALUE"""),"")</f>
        <v/>
      </c>
      <c r="D1408" s="89" t="s">
        <v>61</v>
      </c>
      <c r="E1408" s="39" t="s">
        <v>61</v>
      </c>
      <c r="F1408" s="121"/>
      <c r="G1408" s="122"/>
      <c r="H1408" s="138"/>
      <c r="I1408" s="80"/>
      <c r="J1408" s="80"/>
      <c r="K1408" s="95"/>
      <c r="L1408" s="80"/>
      <c r="M1408" s="43"/>
      <c r="N1408" s="43"/>
      <c r="O1408" s="80"/>
      <c r="P1408" s="80"/>
      <c r="Q1408" s="80"/>
      <c r="R1408" s="80"/>
      <c r="S1408" s="117"/>
      <c r="T1408" s="81"/>
      <c r="U1408" s="81"/>
      <c r="V1408" s="81"/>
      <c r="W1408" s="81"/>
      <c r="X1408" s="81"/>
      <c r="Y1408" s="81"/>
      <c r="Z1408" s="82"/>
      <c r="AA1408" s="99"/>
      <c r="AB1408" s="48" t="s">
        <v>61</v>
      </c>
      <c r="AC1408" s="68" t="s">
        <v>61</v>
      </c>
      <c r="AD1408" s="69" t="s">
        <v>61</v>
      </c>
      <c r="AE1408" s="69" t="s">
        <v>61</v>
      </c>
      <c r="AF1408" s="68" t="s">
        <v>61</v>
      </c>
      <c r="AG1408" s="68" t="s">
        <v>61</v>
      </c>
      <c r="AH1408" s="68" t="s">
        <v>61</v>
      </c>
      <c r="AI1408" s="70" t="s">
        <v>61</v>
      </c>
      <c r="AJ1408" s="114" t="s">
        <v>61</v>
      </c>
      <c r="AK1408" s="82"/>
    </row>
    <row r="1409" ht="24.0" customHeight="1">
      <c r="A1409" s="35"/>
      <c r="B1409" s="36">
        <v>1.0</v>
      </c>
      <c r="C1409" s="37" t="str">
        <f>IFERROR(__xludf.DUMMYFUNCTION("""COMPUTED_VALUE"""),"")</f>
        <v/>
      </c>
      <c r="D1409" s="89" t="s">
        <v>61</v>
      </c>
      <c r="E1409" s="51" t="s">
        <v>61</v>
      </c>
      <c r="F1409" s="137"/>
      <c r="G1409" s="133"/>
      <c r="H1409" s="141"/>
      <c r="I1409" s="57"/>
      <c r="J1409" s="57"/>
      <c r="K1409" s="72"/>
      <c r="L1409" s="57"/>
      <c r="M1409" s="55"/>
      <c r="N1409" s="55"/>
      <c r="O1409" s="57"/>
      <c r="P1409" s="57"/>
      <c r="Q1409" s="57"/>
      <c r="R1409" s="57"/>
      <c r="S1409" s="132"/>
      <c r="T1409" s="74"/>
      <c r="U1409" s="74"/>
      <c r="V1409" s="74"/>
      <c r="W1409" s="74"/>
      <c r="X1409" s="74"/>
      <c r="Y1409" s="74"/>
      <c r="Z1409" s="76"/>
      <c r="AA1409" s="134"/>
      <c r="AB1409" s="62" t="s">
        <v>61</v>
      </c>
      <c r="AC1409" s="63" t="s">
        <v>61</v>
      </c>
      <c r="AD1409" s="64" t="s">
        <v>61</v>
      </c>
      <c r="AE1409" s="64" t="s">
        <v>61</v>
      </c>
      <c r="AF1409" s="63" t="s">
        <v>61</v>
      </c>
      <c r="AG1409" s="63" t="s">
        <v>61</v>
      </c>
      <c r="AH1409" s="63" t="s">
        <v>61</v>
      </c>
      <c r="AI1409" s="65" t="s">
        <v>61</v>
      </c>
      <c r="AJ1409" s="105" t="s">
        <v>61</v>
      </c>
      <c r="AK1409" s="76"/>
    </row>
    <row r="1410" ht="24.0" customHeight="1">
      <c r="A1410" s="35"/>
      <c r="B1410" s="36">
        <v>1.0</v>
      </c>
      <c r="C1410" s="37" t="str">
        <f>IFERROR(__xludf.DUMMYFUNCTION("""COMPUTED_VALUE"""),"")</f>
        <v/>
      </c>
      <c r="D1410" s="89" t="s">
        <v>61</v>
      </c>
      <c r="E1410" s="39" t="s">
        <v>61</v>
      </c>
      <c r="F1410" s="121"/>
      <c r="G1410" s="122"/>
      <c r="H1410" s="138"/>
      <c r="I1410" s="80"/>
      <c r="J1410" s="80"/>
      <c r="K1410" s="95"/>
      <c r="L1410" s="80"/>
      <c r="M1410" s="43"/>
      <c r="N1410" s="43"/>
      <c r="O1410" s="80"/>
      <c r="P1410" s="80"/>
      <c r="Q1410" s="80"/>
      <c r="R1410" s="80"/>
      <c r="S1410" s="117"/>
      <c r="T1410" s="81"/>
      <c r="U1410" s="81"/>
      <c r="V1410" s="81"/>
      <c r="W1410" s="81"/>
      <c r="X1410" s="81"/>
      <c r="Y1410" s="81"/>
      <c r="Z1410" s="82"/>
      <c r="AA1410" s="99"/>
      <c r="AB1410" s="48" t="s">
        <v>61</v>
      </c>
      <c r="AC1410" s="68" t="s">
        <v>61</v>
      </c>
      <c r="AD1410" s="69" t="s">
        <v>61</v>
      </c>
      <c r="AE1410" s="69" t="s">
        <v>61</v>
      </c>
      <c r="AF1410" s="68" t="s">
        <v>61</v>
      </c>
      <c r="AG1410" s="68" t="s">
        <v>61</v>
      </c>
      <c r="AH1410" s="68" t="s">
        <v>61</v>
      </c>
      <c r="AI1410" s="70" t="s">
        <v>61</v>
      </c>
      <c r="AJ1410" s="114" t="s">
        <v>61</v>
      </c>
      <c r="AK1410" s="82"/>
    </row>
    <row r="1411" ht="24.0" customHeight="1">
      <c r="A1411" s="35"/>
      <c r="B1411" s="36">
        <v>1.0</v>
      </c>
      <c r="C1411" s="37" t="str">
        <f>IFERROR(__xludf.DUMMYFUNCTION("""COMPUTED_VALUE"""),"")</f>
        <v/>
      </c>
      <c r="D1411" s="89" t="s">
        <v>61</v>
      </c>
      <c r="E1411" s="51" t="s">
        <v>61</v>
      </c>
      <c r="F1411" s="137"/>
      <c r="G1411" s="133"/>
      <c r="H1411" s="141"/>
      <c r="I1411" s="57"/>
      <c r="J1411" s="57"/>
      <c r="K1411" s="72"/>
      <c r="L1411" s="57"/>
      <c r="M1411" s="55"/>
      <c r="N1411" s="55"/>
      <c r="O1411" s="57"/>
      <c r="P1411" s="57"/>
      <c r="Q1411" s="57"/>
      <c r="R1411" s="57"/>
      <c r="S1411" s="132"/>
      <c r="T1411" s="74"/>
      <c r="U1411" s="74"/>
      <c r="V1411" s="74"/>
      <c r="W1411" s="74"/>
      <c r="X1411" s="74"/>
      <c r="Y1411" s="74"/>
      <c r="Z1411" s="76"/>
      <c r="AA1411" s="134"/>
      <c r="AB1411" s="62" t="s">
        <v>61</v>
      </c>
      <c r="AC1411" s="63" t="s">
        <v>61</v>
      </c>
      <c r="AD1411" s="64" t="s">
        <v>61</v>
      </c>
      <c r="AE1411" s="64" t="s">
        <v>61</v>
      </c>
      <c r="AF1411" s="63" t="s">
        <v>61</v>
      </c>
      <c r="AG1411" s="63" t="s">
        <v>61</v>
      </c>
      <c r="AH1411" s="63" t="s">
        <v>61</v>
      </c>
      <c r="AI1411" s="65" t="s">
        <v>61</v>
      </c>
      <c r="AJ1411" s="105" t="s">
        <v>61</v>
      </c>
      <c r="AK1411" s="76"/>
    </row>
    <row r="1412" ht="24.0" customHeight="1">
      <c r="A1412" s="35"/>
      <c r="B1412" s="36">
        <v>1.0</v>
      </c>
      <c r="C1412" s="37" t="str">
        <f>IFERROR(__xludf.DUMMYFUNCTION("""COMPUTED_VALUE"""),"")</f>
        <v/>
      </c>
      <c r="D1412" s="89" t="s">
        <v>61</v>
      </c>
      <c r="E1412" s="39" t="s">
        <v>61</v>
      </c>
      <c r="F1412" s="121"/>
      <c r="G1412" s="122"/>
      <c r="H1412" s="138"/>
      <c r="I1412" s="80"/>
      <c r="J1412" s="80"/>
      <c r="K1412" s="95"/>
      <c r="L1412" s="80"/>
      <c r="M1412" s="43"/>
      <c r="N1412" s="43"/>
      <c r="O1412" s="80"/>
      <c r="P1412" s="80"/>
      <c r="Q1412" s="80"/>
      <c r="R1412" s="80"/>
      <c r="S1412" s="117"/>
      <c r="T1412" s="81"/>
      <c r="U1412" s="81"/>
      <c r="V1412" s="81"/>
      <c r="W1412" s="81"/>
      <c r="X1412" s="81"/>
      <c r="Y1412" s="81"/>
      <c r="Z1412" s="82"/>
      <c r="AA1412" s="99"/>
      <c r="AB1412" s="48" t="s">
        <v>61</v>
      </c>
      <c r="AC1412" s="68" t="s">
        <v>61</v>
      </c>
      <c r="AD1412" s="69" t="s">
        <v>61</v>
      </c>
      <c r="AE1412" s="69" t="s">
        <v>61</v>
      </c>
      <c r="AF1412" s="68" t="s">
        <v>61</v>
      </c>
      <c r="AG1412" s="68" t="s">
        <v>61</v>
      </c>
      <c r="AH1412" s="68" t="s">
        <v>61</v>
      </c>
      <c r="AI1412" s="70" t="s">
        <v>61</v>
      </c>
      <c r="AJ1412" s="114" t="s">
        <v>61</v>
      </c>
      <c r="AK1412" s="82"/>
    </row>
    <row r="1413" ht="24.0" customHeight="1">
      <c r="A1413" s="35"/>
      <c r="B1413" s="36">
        <v>1.0</v>
      </c>
      <c r="C1413" s="37" t="str">
        <f>IFERROR(__xludf.DUMMYFUNCTION("""COMPUTED_VALUE"""),"")</f>
        <v/>
      </c>
      <c r="D1413" s="89" t="s">
        <v>61</v>
      </c>
      <c r="E1413" s="51" t="s">
        <v>61</v>
      </c>
      <c r="F1413" s="137"/>
      <c r="G1413" s="133"/>
      <c r="H1413" s="141"/>
      <c r="I1413" s="57"/>
      <c r="J1413" s="57"/>
      <c r="K1413" s="72"/>
      <c r="L1413" s="57"/>
      <c r="M1413" s="55"/>
      <c r="N1413" s="55"/>
      <c r="O1413" s="57"/>
      <c r="P1413" s="57"/>
      <c r="Q1413" s="57"/>
      <c r="R1413" s="57"/>
      <c r="S1413" s="132"/>
      <c r="T1413" s="74"/>
      <c r="U1413" s="74"/>
      <c r="V1413" s="74"/>
      <c r="W1413" s="74"/>
      <c r="X1413" s="74"/>
      <c r="Y1413" s="74"/>
      <c r="Z1413" s="76"/>
      <c r="AA1413" s="134"/>
      <c r="AB1413" s="62" t="s">
        <v>61</v>
      </c>
      <c r="AC1413" s="63" t="s">
        <v>61</v>
      </c>
      <c r="AD1413" s="64" t="s">
        <v>61</v>
      </c>
      <c r="AE1413" s="64" t="s">
        <v>61</v>
      </c>
      <c r="AF1413" s="63" t="s">
        <v>61</v>
      </c>
      <c r="AG1413" s="63" t="s">
        <v>61</v>
      </c>
      <c r="AH1413" s="63" t="s">
        <v>61</v>
      </c>
      <c r="AI1413" s="65" t="s">
        <v>61</v>
      </c>
      <c r="AJ1413" s="105" t="s">
        <v>61</v>
      </c>
      <c r="AK1413" s="76"/>
    </row>
    <row r="1414" ht="24.0" customHeight="1">
      <c r="A1414" s="35"/>
      <c r="B1414" s="36">
        <v>1.0</v>
      </c>
      <c r="C1414" s="37" t="str">
        <f>IFERROR(__xludf.DUMMYFUNCTION("""COMPUTED_VALUE"""),"")</f>
        <v/>
      </c>
      <c r="D1414" s="89" t="s">
        <v>61</v>
      </c>
      <c r="E1414" s="39" t="s">
        <v>61</v>
      </c>
      <c r="F1414" s="121"/>
      <c r="G1414" s="122"/>
      <c r="H1414" s="138"/>
      <c r="I1414" s="80"/>
      <c r="J1414" s="80"/>
      <c r="K1414" s="95"/>
      <c r="L1414" s="80"/>
      <c r="M1414" s="43"/>
      <c r="N1414" s="43"/>
      <c r="O1414" s="80"/>
      <c r="P1414" s="80"/>
      <c r="Q1414" s="80"/>
      <c r="R1414" s="80"/>
      <c r="S1414" s="117"/>
      <c r="T1414" s="81"/>
      <c r="U1414" s="81"/>
      <c r="V1414" s="81"/>
      <c r="W1414" s="81"/>
      <c r="X1414" s="81"/>
      <c r="Y1414" s="81"/>
      <c r="Z1414" s="82"/>
      <c r="AA1414" s="99"/>
      <c r="AB1414" s="48" t="s">
        <v>61</v>
      </c>
      <c r="AC1414" s="68" t="s">
        <v>61</v>
      </c>
      <c r="AD1414" s="69" t="s">
        <v>61</v>
      </c>
      <c r="AE1414" s="69" t="s">
        <v>61</v>
      </c>
      <c r="AF1414" s="68" t="s">
        <v>61</v>
      </c>
      <c r="AG1414" s="68" t="s">
        <v>61</v>
      </c>
      <c r="AH1414" s="68" t="s">
        <v>61</v>
      </c>
      <c r="AI1414" s="70" t="s">
        <v>61</v>
      </c>
      <c r="AJ1414" s="114" t="s">
        <v>61</v>
      </c>
      <c r="AK1414" s="82"/>
    </row>
    <row r="1415" ht="24.0" customHeight="1">
      <c r="A1415" s="35"/>
      <c r="B1415" s="36">
        <v>1.0</v>
      </c>
      <c r="C1415" s="37" t="str">
        <f>IFERROR(__xludf.DUMMYFUNCTION("""COMPUTED_VALUE"""),"")</f>
        <v/>
      </c>
      <c r="D1415" s="89" t="s">
        <v>61</v>
      </c>
      <c r="E1415" s="51" t="s">
        <v>61</v>
      </c>
      <c r="F1415" s="137"/>
      <c r="G1415" s="133"/>
      <c r="H1415" s="141"/>
      <c r="I1415" s="57"/>
      <c r="J1415" s="57"/>
      <c r="K1415" s="72"/>
      <c r="L1415" s="57"/>
      <c r="M1415" s="55"/>
      <c r="N1415" s="55"/>
      <c r="O1415" s="57"/>
      <c r="P1415" s="57"/>
      <c r="Q1415" s="57"/>
      <c r="R1415" s="57"/>
      <c r="S1415" s="132"/>
      <c r="T1415" s="74"/>
      <c r="U1415" s="74"/>
      <c r="V1415" s="74"/>
      <c r="W1415" s="74"/>
      <c r="X1415" s="74"/>
      <c r="Y1415" s="74"/>
      <c r="Z1415" s="76"/>
      <c r="AA1415" s="134"/>
      <c r="AB1415" s="62" t="s">
        <v>61</v>
      </c>
      <c r="AC1415" s="63" t="s">
        <v>61</v>
      </c>
      <c r="AD1415" s="64" t="s">
        <v>61</v>
      </c>
      <c r="AE1415" s="64" t="s">
        <v>61</v>
      </c>
      <c r="AF1415" s="63" t="s">
        <v>61</v>
      </c>
      <c r="AG1415" s="63" t="s">
        <v>61</v>
      </c>
      <c r="AH1415" s="63" t="s">
        <v>61</v>
      </c>
      <c r="AI1415" s="65" t="s">
        <v>61</v>
      </c>
      <c r="AJ1415" s="105" t="s">
        <v>61</v>
      </c>
      <c r="AK1415" s="76"/>
    </row>
    <row r="1416" ht="24.0" customHeight="1">
      <c r="A1416" s="35"/>
      <c r="B1416" s="36">
        <v>1.0</v>
      </c>
      <c r="C1416" s="37" t="str">
        <f>IFERROR(__xludf.DUMMYFUNCTION("""COMPUTED_VALUE"""),"")</f>
        <v/>
      </c>
      <c r="D1416" s="89" t="s">
        <v>61</v>
      </c>
      <c r="E1416" s="39" t="s">
        <v>61</v>
      </c>
      <c r="F1416" s="121"/>
      <c r="G1416" s="122"/>
      <c r="H1416" s="138"/>
      <c r="I1416" s="80"/>
      <c r="J1416" s="80"/>
      <c r="K1416" s="95"/>
      <c r="L1416" s="80"/>
      <c r="M1416" s="43"/>
      <c r="N1416" s="43"/>
      <c r="O1416" s="80"/>
      <c r="P1416" s="80"/>
      <c r="Q1416" s="80"/>
      <c r="R1416" s="80"/>
      <c r="S1416" s="117"/>
      <c r="T1416" s="81"/>
      <c r="U1416" s="81"/>
      <c r="V1416" s="81"/>
      <c r="W1416" s="81"/>
      <c r="X1416" s="81"/>
      <c r="Y1416" s="81"/>
      <c r="Z1416" s="82"/>
      <c r="AA1416" s="99"/>
      <c r="AB1416" s="48" t="s">
        <v>61</v>
      </c>
      <c r="AC1416" s="68" t="s">
        <v>61</v>
      </c>
      <c r="AD1416" s="69" t="s">
        <v>61</v>
      </c>
      <c r="AE1416" s="69" t="s">
        <v>61</v>
      </c>
      <c r="AF1416" s="68" t="s">
        <v>61</v>
      </c>
      <c r="AG1416" s="68" t="s">
        <v>61</v>
      </c>
      <c r="AH1416" s="68" t="s">
        <v>61</v>
      </c>
      <c r="AI1416" s="70" t="s">
        <v>61</v>
      </c>
      <c r="AJ1416" s="114" t="s">
        <v>61</v>
      </c>
      <c r="AK1416" s="82"/>
    </row>
    <row r="1417" ht="24.0" customHeight="1">
      <c r="A1417" s="35"/>
      <c r="B1417" s="36">
        <v>1.0</v>
      </c>
      <c r="C1417" s="37" t="str">
        <f>IFERROR(__xludf.DUMMYFUNCTION("""COMPUTED_VALUE"""),"")</f>
        <v/>
      </c>
      <c r="D1417" s="89" t="s">
        <v>61</v>
      </c>
      <c r="E1417" s="51" t="s">
        <v>61</v>
      </c>
      <c r="F1417" s="137"/>
      <c r="G1417" s="133"/>
      <c r="H1417" s="141"/>
      <c r="I1417" s="57"/>
      <c r="J1417" s="57"/>
      <c r="K1417" s="72"/>
      <c r="L1417" s="57"/>
      <c r="M1417" s="55"/>
      <c r="N1417" s="55"/>
      <c r="O1417" s="57"/>
      <c r="P1417" s="57"/>
      <c r="Q1417" s="57"/>
      <c r="R1417" s="57"/>
      <c r="S1417" s="132"/>
      <c r="T1417" s="74"/>
      <c r="U1417" s="74"/>
      <c r="V1417" s="74"/>
      <c r="W1417" s="74"/>
      <c r="X1417" s="74"/>
      <c r="Y1417" s="74"/>
      <c r="Z1417" s="76"/>
      <c r="AA1417" s="134"/>
      <c r="AB1417" s="62" t="s">
        <v>61</v>
      </c>
      <c r="AC1417" s="63" t="s">
        <v>61</v>
      </c>
      <c r="AD1417" s="64" t="s">
        <v>61</v>
      </c>
      <c r="AE1417" s="64" t="s">
        <v>61</v>
      </c>
      <c r="AF1417" s="63" t="s">
        <v>61</v>
      </c>
      <c r="AG1417" s="63" t="s">
        <v>61</v>
      </c>
      <c r="AH1417" s="63" t="s">
        <v>61</v>
      </c>
      <c r="AI1417" s="65" t="s">
        <v>61</v>
      </c>
      <c r="AJ1417" s="105" t="s">
        <v>61</v>
      </c>
      <c r="AK1417" s="76"/>
    </row>
    <row r="1418" ht="24.0" customHeight="1">
      <c r="A1418" s="35"/>
      <c r="B1418" s="36">
        <v>1.0</v>
      </c>
      <c r="C1418" s="37" t="str">
        <f>IFERROR(__xludf.DUMMYFUNCTION("""COMPUTED_VALUE"""),"")</f>
        <v/>
      </c>
      <c r="D1418" s="89" t="s">
        <v>61</v>
      </c>
      <c r="E1418" s="39" t="s">
        <v>61</v>
      </c>
      <c r="F1418" s="121"/>
      <c r="G1418" s="122"/>
      <c r="H1418" s="138"/>
      <c r="I1418" s="80"/>
      <c r="J1418" s="80"/>
      <c r="K1418" s="95"/>
      <c r="L1418" s="80"/>
      <c r="M1418" s="43"/>
      <c r="N1418" s="43"/>
      <c r="O1418" s="80"/>
      <c r="P1418" s="80"/>
      <c r="Q1418" s="80"/>
      <c r="R1418" s="80"/>
      <c r="S1418" s="117"/>
      <c r="T1418" s="81"/>
      <c r="U1418" s="81"/>
      <c r="V1418" s="81"/>
      <c r="W1418" s="81"/>
      <c r="X1418" s="81"/>
      <c r="Y1418" s="81"/>
      <c r="Z1418" s="82"/>
      <c r="AA1418" s="99"/>
      <c r="AB1418" s="48" t="s">
        <v>61</v>
      </c>
      <c r="AC1418" s="68" t="s">
        <v>61</v>
      </c>
      <c r="AD1418" s="69" t="s">
        <v>61</v>
      </c>
      <c r="AE1418" s="69" t="s">
        <v>61</v>
      </c>
      <c r="AF1418" s="68" t="s">
        <v>61</v>
      </c>
      <c r="AG1418" s="68" t="s">
        <v>61</v>
      </c>
      <c r="AH1418" s="68" t="s">
        <v>61</v>
      </c>
      <c r="AI1418" s="70" t="s">
        <v>61</v>
      </c>
      <c r="AJ1418" s="114" t="s">
        <v>61</v>
      </c>
      <c r="AK1418" s="82"/>
    </row>
    <row r="1419" ht="24.0" customHeight="1">
      <c r="A1419" s="35"/>
      <c r="B1419" s="36">
        <v>1.0</v>
      </c>
      <c r="C1419" s="37" t="str">
        <f>IFERROR(__xludf.DUMMYFUNCTION("""COMPUTED_VALUE"""),"")</f>
        <v/>
      </c>
      <c r="D1419" s="89" t="s">
        <v>61</v>
      </c>
      <c r="E1419" s="51" t="s">
        <v>61</v>
      </c>
      <c r="F1419" s="137"/>
      <c r="G1419" s="133"/>
      <c r="H1419" s="141"/>
      <c r="I1419" s="57"/>
      <c r="J1419" s="57"/>
      <c r="K1419" s="72"/>
      <c r="L1419" s="57"/>
      <c r="M1419" s="55"/>
      <c r="N1419" s="55"/>
      <c r="O1419" s="57"/>
      <c r="P1419" s="57"/>
      <c r="Q1419" s="57"/>
      <c r="R1419" s="57"/>
      <c r="S1419" s="132"/>
      <c r="T1419" s="74"/>
      <c r="U1419" s="74"/>
      <c r="V1419" s="74"/>
      <c r="W1419" s="74"/>
      <c r="X1419" s="74"/>
      <c r="Y1419" s="74"/>
      <c r="Z1419" s="76"/>
      <c r="AA1419" s="134"/>
      <c r="AB1419" s="62" t="s">
        <v>61</v>
      </c>
      <c r="AC1419" s="63" t="s">
        <v>61</v>
      </c>
      <c r="AD1419" s="64" t="s">
        <v>61</v>
      </c>
      <c r="AE1419" s="64" t="s">
        <v>61</v>
      </c>
      <c r="AF1419" s="63" t="s">
        <v>61</v>
      </c>
      <c r="AG1419" s="63" t="s">
        <v>61</v>
      </c>
      <c r="AH1419" s="63" t="s">
        <v>61</v>
      </c>
      <c r="AI1419" s="65" t="s">
        <v>61</v>
      </c>
      <c r="AJ1419" s="105" t="s">
        <v>61</v>
      </c>
      <c r="AK1419" s="76"/>
    </row>
    <row r="1420" ht="24.0" customHeight="1">
      <c r="A1420" s="35"/>
      <c r="B1420" s="36">
        <v>1.0</v>
      </c>
      <c r="C1420" s="37" t="str">
        <f>IFERROR(__xludf.DUMMYFUNCTION("""COMPUTED_VALUE"""),"")</f>
        <v/>
      </c>
      <c r="D1420" s="89" t="s">
        <v>61</v>
      </c>
      <c r="E1420" s="39" t="s">
        <v>61</v>
      </c>
      <c r="F1420" s="121"/>
      <c r="G1420" s="122"/>
      <c r="H1420" s="138"/>
      <c r="I1420" s="80"/>
      <c r="J1420" s="80"/>
      <c r="K1420" s="95"/>
      <c r="L1420" s="80"/>
      <c r="M1420" s="43"/>
      <c r="N1420" s="43"/>
      <c r="O1420" s="80"/>
      <c r="P1420" s="80"/>
      <c r="Q1420" s="80"/>
      <c r="R1420" s="80"/>
      <c r="S1420" s="117"/>
      <c r="T1420" s="81"/>
      <c r="U1420" s="81"/>
      <c r="V1420" s="81"/>
      <c r="W1420" s="81"/>
      <c r="X1420" s="81"/>
      <c r="Y1420" s="81"/>
      <c r="Z1420" s="82"/>
      <c r="AA1420" s="99"/>
      <c r="AB1420" s="48" t="s">
        <v>61</v>
      </c>
      <c r="AC1420" s="68" t="s">
        <v>61</v>
      </c>
      <c r="AD1420" s="69" t="s">
        <v>61</v>
      </c>
      <c r="AE1420" s="69" t="s">
        <v>61</v>
      </c>
      <c r="AF1420" s="68" t="s">
        <v>61</v>
      </c>
      <c r="AG1420" s="68" t="s">
        <v>61</v>
      </c>
      <c r="AH1420" s="68" t="s">
        <v>61</v>
      </c>
      <c r="AI1420" s="70" t="s">
        <v>61</v>
      </c>
      <c r="AJ1420" s="114" t="s">
        <v>61</v>
      </c>
      <c r="AK1420" s="82"/>
    </row>
    <row r="1421" ht="24.0" customHeight="1">
      <c r="A1421" s="35"/>
      <c r="B1421" s="36">
        <v>1.0</v>
      </c>
      <c r="C1421" s="37" t="str">
        <f>IFERROR(__xludf.DUMMYFUNCTION("""COMPUTED_VALUE"""),"")</f>
        <v/>
      </c>
      <c r="D1421" s="89" t="s">
        <v>61</v>
      </c>
      <c r="E1421" s="51" t="s">
        <v>61</v>
      </c>
      <c r="F1421" s="137"/>
      <c r="G1421" s="133"/>
      <c r="H1421" s="141"/>
      <c r="I1421" s="57"/>
      <c r="J1421" s="57"/>
      <c r="K1421" s="72"/>
      <c r="L1421" s="57"/>
      <c r="M1421" s="55"/>
      <c r="N1421" s="55"/>
      <c r="O1421" s="57"/>
      <c r="P1421" s="57"/>
      <c r="Q1421" s="57"/>
      <c r="R1421" s="57"/>
      <c r="S1421" s="132"/>
      <c r="T1421" s="74"/>
      <c r="U1421" s="74"/>
      <c r="V1421" s="74"/>
      <c r="W1421" s="74"/>
      <c r="X1421" s="74"/>
      <c r="Y1421" s="74"/>
      <c r="Z1421" s="76"/>
      <c r="AA1421" s="134"/>
      <c r="AB1421" s="62" t="s">
        <v>61</v>
      </c>
      <c r="AC1421" s="63" t="s">
        <v>61</v>
      </c>
      <c r="AD1421" s="64" t="s">
        <v>61</v>
      </c>
      <c r="AE1421" s="64" t="s">
        <v>61</v>
      </c>
      <c r="AF1421" s="63" t="s">
        <v>61</v>
      </c>
      <c r="AG1421" s="63" t="s">
        <v>61</v>
      </c>
      <c r="AH1421" s="63" t="s">
        <v>61</v>
      </c>
      <c r="AI1421" s="65" t="s">
        <v>61</v>
      </c>
      <c r="AJ1421" s="105" t="s">
        <v>61</v>
      </c>
      <c r="AK1421" s="76"/>
    </row>
    <row r="1422" ht="24.0" customHeight="1">
      <c r="A1422" s="35"/>
      <c r="B1422" s="36">
        <v>1.0</v>
      </c>
      <c r="C1422" s="37" t="str">
        <f>IFERROR(__xludf.DUMMYFUNCTION("""COMPUTED_VALUE"""),"")</f>
        <v/>
      </c>
      <c r="D1422" s="89" t="s">
        <v>61</v>
      </c>
      <c r="E1422" s="39" t="s">
        <v>61</v>
      </c>
      <c r="F1422" s="121"/>
      <c r="G1422" s="122"/>
      <c r="H1422" s="138"/>
      <c r="I1422" s="80"/>
      <c r="J1422" s="80"/>
      <c r="K1422" s="95"/>
      <c r="L1422" s="80"/>
      <c r="M1422" s="43"/>
      <c r="N1422" s="43"/>
      <c r="O1422" s="80"/>
      <c r="P1422" s="80"/>
      <c r="Q1422" s="80"/>
      <c r="R1422" s="80"/>
      <c r="S1422" s="117"/>
      <c r="T1422" s="81"/>
      <c r="U1422" s="81"/>
      <c r="V1422" s="81"/>
      <c r="W1422" s="81"/>
      <c r="X1422" s="81"/>
      <c r="Y1422" s="81"/>
      <c r="Z1422" s="82"/>
      <c r="AA1422" s="99"/>
      <c r="AB1422" s="48" t="s">
        <v>61</v>
      </c>
      <c r="AC1422" s="68" t="s">
        <v>61</v>
      </c>
      <c r="AD1422" s="69" t="s">
        <v>61</v>
      </c>
      <c r="AE1422" s="69" t="s">
        <v>61</v>
      </c>
      <c r="AF1422" s="68" t="s">
        <v>61</v>
      </c>
      <c r="AG1422" s="68" t="s">
        <v>61</v>
      </c>
      <c r="AH1422" s="68" t="s">
        <v>61</v>
      </c>
      <c r="AI1422" s="70" t="s">
        <v>61</v>
      </c>
      <c r="AJ1422" s="114" t="s">
        <v>61</v>
      </c>
      <c r="AK1422" s="82"/>
    </row>
    <row r="1423" ht="24.0" customHeight="1">
      <c r="A1423" s="35"/>
      <c r="B1423" s="36">
        <v>1.0</v>
      </c>
      <c r="C1423" s="37" t="str">
        <f>IFERROR(__xludf.DUMMYFUNCTION("""COMPUTED_VALUE"""),"")</f>
        <v/>
      </c>
      <c r="D1423" s="89" t="s">
        <v>61</v>
      </c>
      <c r="E1423" s="51" t="s">
        <v>61</v>
      </c>
      <c r="F1423" s="137"/>
      <c r="G1423" s="133"/>
      <c r="H1423" s="141"/>
      <c r="I1423" s="57"/>
      <c r="J1423" s="57"/>
      <c r="K1423" s="72"/>
      <c r="L1423" s="57"/>
      <c r="M1423" s="55"/>
      <c r="N1423" s="55"/>
      <c r="O1423" s="57"/>
      <c r="P1423" s="57"/>
      <c r="Q1423" s="57"/>
      <c r="R1423" s="57"/>
      <c r="S1423" s="132"/>
      <c r="T1423" s="74"/>
      <c r="U1423" s="74"/>
      <c r="V1423" s="74"/>
      <c r="W1423" s="74"/>
      <c r="X1423" s="74"/>
      <c r="Y1423" s="74"/>
      <c r="Z1423" s="76"/>
      <c r="AA1423" s="134"/>
      <c r="AB1423" s="62" t="s">
        <v>61</v>
      </c>
      <c r="AC1423" s="63" t="s">
        <v>61</v>
      </c>
      <c r="AD1423" s="64" t="s">
        <v>61</v>
      </c>
      <c r="AE1423" s="64" t="s">
        <v>61</v>
      </c>
      <c r="AF1423" s="63" t="s">
        <v>61</v>
      </c>
      <c r="AG1423" s="63" t="s">
        <v>61</v>
      </c>
      <c r="AH1423" s="63" t="s">
        <v>61</v>
      </c>
      <c r="AI1423" s="65" t="s">
        <v>61</v>
      </c>
      <c r="AJ1423" s="105" t="s">
        <v>61</v>
      </c>
      <c r="AK1423" s="76"/>
    </row>
    <row r="1424" ht="24.0" customHeight="1">
      <c r="A1424" s="35"/>
      <c r="B1424" s="36">
        <v>1.0</v>
      </c>
      <c r="C1424" s="37" t="str">
        <f>IFERROR(__xludf.DUMMYFUNCTION("""COMPUTED_VALUE"""),"")</f>
        <v/>
      </c>
      <c r="D1424" s="89" t="s">
        <v>61</v>
      </c>
      <c r="E1424" s="39" t="s">
        <v>61</v>
      </c>
      <c r="F1424" s="121"/>
      <c r="G1424" s="122"/>
      <c r="H1424" s="138"/>
      <c r="I1424" s="80"/>
      <c r="J1424" s="80"/>
      <c r="K1424" s="95"/>
      <c r="L1424" s="80"/>
      <c r="M1424" s="43"/>
      <c r="N1424" s="43"/>
      <c r="O1424" s="80"/>
      <c r="P1424" s="80"/>
      <c r="Q1424" s="80"/>
      <c r="R1424" s="80"/>
      <c r="S1424" s="117"/>
      <c r="T1424" s="81"/>
      <c r="U1424" s="81"/>
      <c r="V1424" s="81"/>
      <c r="W1424" s="81"/>
      <c r="X1424" s="81"/>
      <c r="Y1424" s="81"/>
      <c r="Z1424" s="82"/>
      <c r="AA1424" s="99"/>
      <c r="AB1424" s="48" t="s">
        <v>61</v>
      </c>
      <c r="AC1424" s="68" t="s">
        <v>61</v>
      </c>
      <c r="AD1424" s="69" t="s">
        <v>61</v>
      </c>
      <c r="AE1424" s="69" t="s">
        <v>61</v>
      </c>
      <c r="AF1424" s="68" t="s">
        <v>61</v>
      </c>
      <c r="AG1424" s="68" t="s">
        <v>61</v>
      </c>
      <c r="AH1424" s="68" t="s">
        <v>61</v>
      </c>
      <c r="AI1424" s="70" t="s">
        <v>61</v>
      </c>
      <c r="AJ1424" s="114" t="s">
        <v>61</v>
      </c>
      <c r="AK1424" s="82"/>
    </row>
    <row r="1425" ht="24.0" customHeight="1">
      <c r="A1425" s="35"/>
      <c r="B1425" s="36">
        <v>1.0</v>
      </c>
      <c r="C1425" s="37" t="str">
        <f>IFERROR(__xludf.DUMMYFUNCTION("""COMPUTED_VALUE"""),"")</f>
        <v/>
      </c>
      <c r="D1425" s="89" t="s">
        <v>61</v>
      </c>
      <c r="E1425" s="51" t="s">
        <v>61</v>
      </c>
      <c r="F1425" s="137"/>
      <c r="G1425" s="133"/>
      <c r="H1425" s="141"/>
      <c r="I1425" s="57"/>
      <c r="J1425" s="57"/>
      <c r="K1425" s="72"/>
      <c r="L1425" s="57"/>
      <c r="M1425" s="55"/>
      <c r="N1425" s="55"/>
      <c r="O1425" s="57"/>
      <c r="P1425" s="57"/>
      <c r="Q1425" s="57"/>
      <c r="R1425" s="57"/>
      <c r="S1425" s="132"/>
      <c r="T1425" s="74"/>
      <c r="U1425" s="74"/>
      <c r="V1425" s="74"/>
      <c r="W1425" s="74"/>
      <c r="X1425" s="74"/>
      <c r="Y1425" s="74"/>
      <c r="Z1425" s="76"/>
      <c r="AA1425" s="134"/>
      <c r="AB1425" s="62" t="s">
        <v>61</v>
      </c>
      <c r="AC1425" s="63" t="s">
        <v>61</v>
      </c>
      <c r="AD1425" s="64" t="s">
        <v>61</v>
      </c>
      <c r="AE1425" s="64" t="s">
        <v>61</v>
      </c>
      <c r="AF1425" s="63" t="s">
        <v>61</v>
      </c>
      <c r="AG1425" s="63" t="s">
        <v>61</v>
      </c>
      <c r="AH1425" s="63" t="s">
        <v>61</v>
      </c>
      <c r="AI1425" s="65" t="s">
        <v>61</v>
      </c>
      <c r="AJ1425" s="105" t="s">
        <v>61</v>
      </c>
      <c r="AK1425" s="76"/>
    </row>
    <row r="1426" ht="24.0" customHeight="1">
      <c r="A1426" s="35"/>
      <c r="B1426" s="36">
        <v>1.0</v>
      </c>
      <c r="C1426" s="37" t="str">
        <f>IFERROR(__xludf.DUMMYFUNCTION("""COMPUTED_VALUE"""),"")</f>
        <v/>
      </c>
      <c r="D1426" s="89" t="s">
        <v>61</v>
      </c>
      <c r="E1426" s="39" t="s">
        <v>61</v>
      </c>
      <c r="F1426" s="121"/>
      <c r="G1426" s="122"/>
      <c r="H1426" s="138"/>
      <c r="I1426" s="80"/>
      <c r="J1426" s="80"/>
      <c r="K1426" s="95"/>
      <c r="L1426" s="80"/>
      <c r="M1426" s="43"/>
      <c r="N1426" s="43"/>
      <c r="O1426" s="80"/>
      <c r="P1426" s="80"/>
      <c r="Q1426" s="80"/>
      <c r="R1426" s="80"/>
      <c r="S1426" s="117"/>
      <c r="T1426" s="81"/>
      <c r="U1426" s="81"/>
      <c r="V1426" s="81"/>
      <c r="W1426" s="81"/>
      <c r="X1426" s="81"/>
      <c r="Y1426" s="81"/>
      <c r="Z1426" s="82"/>
      <c r="AA1426" s="99"/>
      <c r="AB1426" s="48" t="s">
        <v>61</v>
      </c>
      <c r="AC1426" s="68" t="s">
        <v>61</v>
      </c>
      <c r="AD1426" s="69" t="s">
        <v>61</v>
      </c>
      <c r="AE1426" s="69" t="s">
        <v>61</v>
      </c>
      <c r="AF1426" s="68" t="s">
        <v>61</v>
      </c>
      <c r="AG1426" s="68" t="s">
        <v>61</v>
      </c>
      <c r="AH1426" s="68" t="s">
        <v>61</v>
      </c>
      <c r="AI1426" s="70" t="s">
        <v>61</v>
      </c>
      <c r="AJ1426" s="114" t="s">
        <v>61</v>
      </c>
      <c r="AK1426" s="82"/>
    </row>
    <row r="1427" ht="24.0" customHeight="1">
      <c r="A1427" s="35"/>
      <c r="B1427" s="36">
        <v>1.0</v>
      </c>
      <c r="C1427" s="37" t="str">
        <f>IFERROR(__xludf.DUMMYFUNCTION("""COMPUTED_VALUE"""),"")</f>
        <v/>
      </c>
      <c r="D1427" s="89" t="s">
        <v>61</v>
      </c>
      <c r="E1427" s="51" t="s">
        <v>61</v>
      </c>
      <c r="F1427" s="137"/>
      <c r="G1427" s="133"/>
      <c r="H1427" s="141"/>
      <c r="I1427" s="57"/>
      <c r="J1427" s="57"/>
      <c r="K1427" s="72"/>
      <c r="L1427" s="57"/>
      <c r="M1427" s="55"/>
      <c r="N1427" s="55"/>
      <c r="O1427" s="57"/>
      <c r="P1427" s="57"/>
      <c r="Q1427" s="57"/>
      <c r="R1427" s="57"/>
      <c r="S1427" s="132"/>
      <c r="T1427" s="74"/>
      <c r="U1427" s="74"/>
      <c r="V1427" s="74"/>
      <c r="W1427" s="74"/>
      <c r="X1427" s="74"/>
      <c r="Y1427" s="74"/>
      <c r="Z1427" s="76"/>
      <c r="AA1427" s="134"/>
      <c r="AB1427" s="62" t="s">
        <v>61</v>
      </c>
      <c r="AC1427" s="63" t="s">
        <v>61</v>
      </c>
      <c r="AD1427" s="64" t="s">
        <v>61</v>
      </c>
      <c r="AE1427" s="64" t="s">
        <v>61</v>
      </c>
      <c r="AF1427" s="63" t="s">
        <v>61</v>
      </c>
      <c r="AG1427" s="63" t="s">
        <v>61</v>
      </c>
      <c r="AH1427" s="63" t="s">
        <v>61</v>
      </c>
      <c r="AI1427" s="65" t="s">
        <v>61</v>
      </c>
      <c r="AJ1427" s="105" t="s">
        <v>61</v>
      </c>
      <c r="AK1427" s="76"/>
    </row>
    <row r="1428" ht="24.0" customHeight="1">
      <c r="A1428" s="35"/>
      <c r="B1428" s="36">
        <v>1.0</v>
      </c>
      <c r="C1428" s="37" t="str">
        <f>IFERROR(__xludf.DUMMYFUNCTION("""COMPUTED_VALUE"""),"")</f>
        <v/>
      </c>
      <c r="D1428" s="89" t="s">
        <v>61</v>
      </c>
      <c r="E1428" s="39" t="s">
        <v>61</v>
      </c>
      <c r="F1428" s="121"/>
      <c r="G1428" s="122"/>
      <c r="H1428" s="138"/>
      <c r="I1428" s="80"/>
      <c r="J1428" s="80"/>
      <c r="K1428" s="95"/>
      <c r="L1428" s="80"/>
      <c r="M1428" s="43"/>
      <c r="N1428" s="43"/>
      <c r="O1428" s="80"/>
      <c r="P1428" s="80"/>
      <c r="Q1428" s="80"/>
      <c r="R1428" s="80"/>
      <c r="S1428" s="117"/>
      <c r="T1428" s="81"/>
      <c r="U1428" s="81"/>
      <c r="V1428" s="81"/>
      <c r="W1428" s="81"/>
      <c r="X1428" s="81"/>
      <c r="Y1428" s="81"/>
      <c r="Z1428" s="82"/>
      <c r="AA1428" s="99"/>
      <c r="AB1428" s="48" t="s">
        <v>61</v>
      </c>
      <c r="AC1428" s="68" t="s">
        <v>61</v>
      </c>
      <c r="AD1428" s="69" t="s">
        <v>61</v>
      </c>
      <c r="AE1428" s="69" t="s">
        <v>61</v>
      </c>
      <c r="AF1428" s="68" t="s">
        <v>61</v>
      </c>
      <c r="AG1428" s="68" t="s">
        <v>61</v>
      </c>
      <c r="AH1428" s="68" t="s">
        <v>61</v>
      </c>
      <c r="AI1428" s="70" t="s">
        <v>61</v>
      </c>
      <c r="AJ1428" s="114" t="s">
        <v>61</v>
      </c>
      <c r="AK1428" s="82"/>
    </row>
    <row r="1429" ht="24.0" customHeight="1">
      <c r="A1429" s="35"/>
      <c r="B1429" s="36">
        <v>1.0</v>
      </c>
      <c r="C1429" s="37" t="str">
        <f>IFERROR(__xludf.DUMMYFUNCTION("""COMPUTED_VALUE"""),"")</f>
        <v/>
      </c>
      <c r="D1429" s="89" t="s">
        <v>61</v>
      </c>
      <c r="E1429" s="51" t="s">
        <v>61</v>
      </c>
      <c r="F1429" s="137"/>
      <c r="G1429" s="133"/>
      <c r="H1429" s="141"/>
      <c r="I1429" s="57"/>
      <c r="J1429" s="57"/>
      <c r="K1429" s="72"/>
      <c r="L1429" s="57"/>
      <c r="M1429" s="55"/>
      <c r="N1429" s="55"/>
      <c r="O1429" s="57"/>
      <c r="P1429" s="57"/>
      <c r="Q1429" s="57"/>
      <c r="R1429" s="57"/>
      <c r="S1429" s="132"/>
      <c r="T1429" s="74"/>
      <c r="U1429" s="74"/>
      <c r="V1429" s="74"/>
      <c r="W1429" s="74"/>
      <c r="X1429" s="74"/>
      <c r="Y1429" s="74"/>
      <c r="Z1429" s="76"/>
      <c r="AA1429" s="134"/>
      <c r="AB1429" s="62" t="s">
        <v>61</v>
      </c>
      <c r="AC1429" s="63" t="s">
        <v>61</v>
      </c>
      <c r="AD1429" s="64" t="s">
        <v>61</v>
      </c>
      <c r="AE1429" s="64" t="s">
        <v>61</v>
      </c>
      <c r="AF1429" s="63" t="s">
        <v>61</v>
      </c>
      <c r="AG1429" s="63" t="s">
        <v>61</v>
      </c>
      <c r="AH1429" s="63" t="s">
        <v>61</v>
      </c>
      <c r="AI1429" s="65" t="s">
        <v>61</v>
      </c>
      <c r="AJ1429" s="105" t="s">
        <v>61</v>
      </c>
      <c r="AK1429" s="76"/>
    </row>
    <row r="1430" ht="24.0" customHeight="1">
      <c r="A1430" s="35"/>
      <c r="B1430" s="36">
        <v>1.0</v>
      </c>
      <c r="C1430" s="37" t="str">
        <f>IFERROR(__xludf.DUMMYFUNCTION("""COMPUTED_VALUE"""),"")</f>
        <v/>
      </c>
      <c r="D1430" s="89" t="s">
        <v>61</v>
      </c>
      <c r="E1430" s="39" t="s">
        <v>61</v>
      </c>
      <c r="F1430" s="121"/>
      <c r="G1430" s="122"/>
      <c r="H1430" s="138"/>
      <c r="I1430" s="80"/>
      <c r="J1430" s="80"/>
      <c r="K1430" s="95"/>
      <c r="L1430" s="80"/>
      <c r="M1430" s="43"/>
      <c r="N1430" s="43"/>
      <c r="O1430" s="80"/>
      <c r="P1430" s="80"/>
      <c r="Q1430" s="80"/>
      <c r="R1430" s="80"/>
      <c r="S1430" s="117"/>
      <c r="T1430" s="81"/>
      <c r="U1430" s="81"/>
      <c r="V1430" s="81"/>
      <c r="W1430" s="81"/>
      <c r="X1430" s="81"/>
      <c r="Y1430" s="81"/>
      <c r="Z1430" s="82"/>
      <c r="AA1430" s="99"/>
      <c r="AB1430" s="48" t="s">
        <v>61</v>
      </c>
      <c r="AC1430" s="68" t="s">
        <v>61</v>
      </c>
      <c r="AD1430" s="69" t="s">
        <v>61</v>
      </c>
      <c r="AE1430" s="69" t="s">
        <v>61</v>
      </c>
      <c r="AF1430" s="68" t="s">
        <v>61</v>
      </c>
      <c r="AG1430" s="68" t="s">
        <v>61</v>
      </c>
      <c r="AH1430" s="68" t="s">
        <v>61</v>
      </c>
      <c r="AI1430" s="70" t="s">
        <v>61</v>
      </c>
      <c r="AJ1430" s="114" t="s">
        <v>61</v>
      </c>
      <c r="AK1430" s="82"/>
    </row>
    <row r="1431" ht="24.0" customHeight="1">
      <c r="A1431" s="35"/>
      <c r="B1431" s="36">
        <v>1.0</v>
      </c>
      <c r="C1431" s="37" t="str">
        <f>IFERROR(__xludf.DUMMYFUNCTION("""COMPUTED_VALUE"""),"")</f>
        <v/>
      </c>
      <c r="D1431" s="89" t="s">
        <v>61</v>
      </c>
      <c r="E1431" s="51" t="s">
        <v>61</v>
      </c>
      <c r="F1431" s="137"/>
      <c r="G1431" s="133"/>
      <c r="H1431" s="141"/>
      <c r="I1431" s="57"/>
      <c r="J1431" s="57"/>
      <c r="K1431" s="72"/>
      <c r="L1431" s="57"/>
      <c r="M1431" s="55"/>
      <c r="N1431" s="55"/>
      <c r="O1431" s="57"/>
      <c r="P1431" s="57"/>
      <c r="Q1431" s="57"/>
      <c r="R1431" s="57"/>
      <c r="S1431" s="132"/>
      <c r="T1431" s="74"/>
      <c r="U1431" s="74"/>
      <c r="V1431" s="74"/>
      <c r="W1431" s="74"/>
      <c r="X1431" s="74"/>
      <c r="Y1431" s="74"/>
      <c r="Z1431" s="76"/>
      <c r="AA1431" s="134"/>
      <c r="AB1431" s="62" t="s">
        <v>61</v>
      </c>
      <c r="AC1431" s="63" t="s">
        <v>61</v>
      </c>
      <c r="AD1431" s="64" t="s">
        <v>61</v>
      </c>
      <c r="AE1431" s="64" t="s">
        <v>61</v>
      </c>
      <c r="AF1431" s="63" t="s">
        <v>61</v>
      </c>
      <c r="AG1431" s="63" t="s">
        <v>61</v>
      </c>
      <c r="AH1431" s="63" t="s">
        <v>61</v>
      </c>
      <c r="AI1431" s="65" t="s">
        <v>61</v>
      </c>
      <c r="AJ1431" s="105" t="s">
        <v>61</v>
      </c>
      <c r="AK1431" s="76"/>
    </row>
    <row r="1432" ht="24.0" customHeight="1">
      <c r="A1432" s="35"/>
      <c r="B1432" s="36">
        <v>1.0</v>
      </c>
      <c r="C1432" s="37" t="str">
        <f>IFERROR(__xludf.DUMMYFUNCTION("""COMPUTED_VALUE"""),"")</f>
        <v/>
      </c>
      <c r="D1432" s="89" t="s">
        <v>61</v>
      </c>
      <c r="E1432" s="39" t="s">
        <v>61</v>
      </c>
      <c r="F1432" s="121"/>
      <c r="G1432" s="122"/>
      <c r="H1432" s="138"/>
      <c r="I1432" s="80"/>
      <c r="J1432" s="80"/>
      <c r="K1432" s="95"/>
      <c r="L1432" s="80"/>
      <c r="M1432" s="43"/>
      <c r="N1432" s="43"/>
      <c r="O1432" s="80"/>
      <c r="P1432" s="80"/>
      <c r="Q1432" s="80"/>
      <c r="R1432" s="80"/>
      <c r="S1432" s="117"/>
      <c r="T1432" s="81"/>
      <c r="U1432" s="81"/>
      <c r="V1432" s="81"/>
      <c r="W1432" s="81"/>
      <c r="X1432" s="81"/>
      <c r="Y1432" s="81"/>
      <c r="Z1432" s="82"/>
      <c r="AA1432" s="99"/>
      <c r="AB1432" s="48" t="s">
        <v>61</v>
      </c>
      <c r="AC1432" s="68" t="s">
        <v>61</v>
      </c>
      <c r="AD1432" s="69" t="s">
        <v>61</v>
      </c>
      <c r="AE1432" s="69" t="s">
        <v>61</v>
      </c>
      <c r="AF1432" s="68" t="s">
        <v>61</v>
      </c>
      <c r="AG1432" s="68" t="s">
        <v>61</v>
      </c>
      <c r="AH1432" s="68" t="s">
        <v>61</v>
      </c>
      <c r="AI1432" s="70" t="s">
        <v>61</v>
      </c>
      <c r="AJ1432" s="114" t="s">
        <v>61</v>
      </c>
      <c r="AK1432" s="82"/>
    </row>
    <row r="1433" ht="24.0" customHeight="1">
      <c r="A1433" s="35"/>
      <c r="B1433" s="36">
        <v>1.0</v>
      </c>
      <c r="C1433" s="37" t="str">
        <f>IFERROR(__xludf.DUMMYFUNCTION("""COMPUTED_VALUE"""),"")</f>
        <v/>
      </c>
      <c r="D1433" s="89" t="s">
        <v>61</v>
      </c>
      <c r="E1433" s="51" t="s">
        <v>61</v>
      </c>
      <c r="F1433" s="137"/>
      <c r="G1433" s="133"/>
      <c r="H1433" s="141"/>
      <c r="I1433" s="57"/>
      <c r="J1433" s="57"/>
      <c r="K1433" s="72"/>
      <c r="L1433" s="57"/>
      <c r="M1433" s="55"/>
      <c r="N1433" s="55"/>
      <c r="O1433" s="57"/>
      <c r="P1433" s="57"/>
      <c r="Q1433" s="57"/>
      <c r="R1433" s="57"/>
      <c r="S1433" s="132"/>
      <c r="T1433" s="74"/>
      <c r="U1433" s="74"/>
      <c r="V1433" s="74"/>
      <c r="W1433" s="74"/>
      <c r="X1433" s="74"/>
      <c r="Y1433" s="74"/>
      <c r="Z1433" s="76"/>
      <c r="AA1433" s="134"/>
      <c r="AB1433" s="62" t="s">
        <v>61</v>
      </c>
      <c r="AC1433" s="63" t="s">
        <v>61</v>
      </c>
      <c r="AD1433" s="64" t="s">
        <v>61</v>
      </c>
      <c r="AE1433" s="64" t="s">
        <v>61</v>
      </c>
      <c r="AF1433" s="63" t="s">
        <v>61</v>
      </c>
      <c r="AG1433" s="63" t="s">
        <v>61</v>
      </c>
      <c r="AH1433" s="63" t="s">
        <v>61</v>
      </c>
      <c r="AI1433" s="65" t="s">
        <v>61</v>
      </c>
      <c r="AJ1433" s="105" t="s">
        <v>61</v>
      </c>
      <c r="AK1433" s="76"/>
    </row>
    <row r="1434" ht="24.0" customHeight="1">
      <c r="A1434" s="35"/>
      <c r="B1434" s="36">
        <v>1.0</v>
      </c>
      <c r="C1434" s="37" t="str">
        <f>IFERROR(__xludf.DUMMYFUNCTION("""COMPUTED_VALUE"""),"")</f>
        <v/>
      </c>
      <c r="D1434" s="89" t="s">
        <v>61</v>
      </c>
      <c r="E1434" s="39" t="s">
        <v>61</v>
      </c>
      <c r="F1434" s="121"/>
      <c r="G1434" s="122"/>
      <c r="H1434" s="138"/>
      <c r="I1434" s="80"/>
      <c r="J1434" s="80"/>
      <c r="K1434" s="95"/>
      <c r="L1434" s="80"/>
      <c r="M1434" s="43"/>
      <c r="N1434" s="43"/>
      <c r="O1434" s="80"/>
      <c r="P1434" s="80"/>
      <c r="Q1434" s="80"/>
      <c r="R1434" s="80"/>
      <c r="S1434" s="117"/>
      <c r="T1434" s="81"/>
      <c r="U1434" s="81"/>
      <c r="V1434" s="81"/>
      <c r="W1434" s="81"/>
      <c r="X1434" s="81"/>
      <c r="Y1434" s="81"/>
      <c r="Z1434" s="82"/>
      <c r="AA1434" s="99"/>
      <c r="AB1434" s="48" t="s">
        <v>61</v>
      </c>
      <c r="AC1434" s="68" t="s">
        <v>61</v>
      </c>
      <c r="AD1434" s="69" t="s">
        <v>61</v>
      </c>
      <c r="AE1434" s="69" t="s">
        <v>61</v>
      </c>
      <c r="AF1434" s="68" t="s">
        <v>61</v>
      </c>
      <c r="AG1434" s="68" t="s">
        <v>61</v>
      </c>
      <c r="AH1434" s="68" t="s">
        <v>61</v>
      </c>
      <c r="AI1434" s="70" t="s">
        <v>61</v>
      </c>
      <c r="AJ1434" s="114" t="s">
        <v>61</v>
      </c>
      <c r="AK1434" s="82"/>
    </row>
    <row r="1435" ht="24.0" customHeight="1">
      <c r="A1435" s="35"/>
      <c r="B1435" s="36">
        <v>1.0</v>
      </c>
      <c r="C1435" s="37" t="str">
        <f>IFERROR(__xludf.DUMMYFUNCTION("""COMPUTED_VALUE"""),"")</f>
        <v/>
      </c>
      <c r="D1435" s="89" t="s">
        <v>61</v>
      </c>
      <c r="E1435" s="51" t="s">
        <v>61</v>
      </c>
      <c r="F1435" s="137"/>
      <c r="G1435" s="133"/>
      <c r="H1435" s="141"/>
      <c r="I1435" s="57"/>
      <c r="J1435" s="57"/>
      <c r="K1435" s="72"/>
      <c r="L1435" s="57"/>
      <c r="M1435" s="55"/>
      <c r="N1435" s="55"/>
      <c r="O1435" s="57"/>
      <c r="P1435" s="57"/>
      <c r="Q1435" s="57"/>
      <c r="R1435" s="57"/>
      <c r="S1435" s="132"/>
      <c r="T1435" s="74"/>
      <c r="U1435" s="74"/>
      <c r="V1435" s="74"/>
      <c r="W1435" s="74"/>
      <c r="X1435" s="74"/>
      <c r="Y1435" s="74"/>
      <c r="Z1435" s="76"/>
      <c r="AA1435" s="134"/>
      <c r="AB1435" s="62" t="s">
        <v>61</v>
      </c>
      <c r="AC1435" s="63" t="s">
        <v>61</v>
      </c>
      <c r="AD1435" s="64" t="s">
        <v>61</v>
      </c>
      <c r="AE1435" s="64" t="s">
        <v>61</v>
      </c>
      <c r="AF1435" s="63" t="s">
        <v>61</v>
      </c>
      <c r="AG1435" s="63" t="s">
        <v>61</v>
      </c>
      <c r="AH1435" s="63" t="s">
        <v>61</v>
      </c>
      <c r="AI1435" s="65" t="s">
        <v>61</v>
      </c>
      <c r="AJ1435" s="105" t="s">
        <v>61</v>
      </c>
      <c r="AK1435" s="76"/>
    </row>
    <row r="1436" ht="24.0" customHeight="1">
      <c r="A1436" s="35"/>
      <c r="B1436" s="36">
        <v>1.0</v>
      </c>
      <c r="C1436" s="37" t="str">
        <f>IFERROR(__xludf.DUMMYFUNCTION("""COMPUTED_VALUE"""),"")</f>
        <v/>
      </c>
      <c r="D1436" s="89" t="s">
        <v>61</v>
      </c>
      <c r="E1436" s="39" t="s">
        <v>61</v>
      </c>
      <c r="F1436" s="121"/>
      <c r="G1436" s="122"/>
      <c r="H1436" s="138"/>
      <c r="I1436" s="80"/>
      <c r="J1436" s="80"/>
      <c r="K1436" s="95"/>
      <c r="L1436" s="80"/>
      <c r="M1436" s="43"/>
      <c r="N1436" s="43"/>
      <c r="O1436" s="80"/>
      <c r="P1436" s="80"/>
      <c r="Q1436" s="80"/>
      <c r="R1436" s="80"/>
      <c r="S1436" s="117"/>
      <c r="T1436" s="81"/>
      <c r="U1436" s="81"/>
      <c r="V1436" s="81"/>
      <c r="W1436" s="81"/>
      <c r="X1436" s="81"/>
      <c r="Y1436" s="81"/>
      <c r="Z1436" s="82"/>
      <c r="AA1436" s="99"/>
      <c r="AB1436" s="48" t="s">
        <v>61</v>
      </c>
      <c r="AC1436" s="68" t="s">
        <v>61</v>
      </c>
      <c r="AD1436" s="69" t="s">
        <v>61</v>
      </c>
      <c r="AE1436" s="69" t="s">
        <v>61</v>
      </c>
      <c r="AF1436" s="68" t="s">
        <v>61</v>
      </c>
      <c r="AG1436" s="68" t="s">
        <v>61</v>
      </c>
      <c r="AH1436" s="68" t="s">
        <v>61</v>
      </c>
      <c r="AI1436" s="70" t="s">
        <v>61</v>
      </c>
      <c r="AJ1436" s="114" t="s">
        <v>61</v>
      </c>
      <c r="AK1436" s="82"/>
    </row>
    <row r="1437" ht="24.0" customHeight="1">
      <c r="A1437" s="35"/>
      <c r="B1437" s="36">
        <v>1.0</v>
      </c>
      <c r="C1437" s="37" t="str">
        <f>IFERROR(__xludf.DUMMYFUNCTION("""COMPUTED_VALUE"""),"")</f>
        <v/>
      </c>
      <c r="D1437" s="89" t="s">
        <v>61</v>
      </c>
      <c r="E1437" s="51" t="s">
        <v>61</v>
      </c>
      <c r="F1437" s="137"/>
      <c r="G1437" s="133"/>
      <c r="H1437" s="141"/>
      <c r="I1437" s="57"/>
      <c r="J1437" s="57"/>
      <c r="K1437" s="72"/>
      <c r="L1437" s="57"/>
      <c r="M1437" s="55"/>
      <c r="N1437" s="55"/>
      <c r="O1437" s="57"/>
      <c r="P1437" s="57"/>
      <c r="Q1437" s="57"/>
      <c r="R1437" s="57"/>
      <c r="S1437" s="132"/>
      <c r="T1437" s="74"/>
      <c r="U1437" s="74"/>
      <c r="V1437" s="74"/>
      <c r="W1437" s="74"/>
      <c r="X1437" s="74"/>
      <c r="Y1437" s="74"/>
      <c r="Z1437" s="76"/>
      <c r="AA1437" s="134"/>
      <c r="AB1437" s="62" t="s">
        <v>61</v>
      </c>
      <c r="AC1437" s="63" t="s">
        <v>61</v>
      </c>
      <c r="AD1437" s="64" t="s">
        <v>61</v>
      </c>
      <c r="AE1437" s="64" t="s">
        <v>61</v>
      </c>
      <c r="AF1437" s="63" t="s">
        <v>61</v>
      </c>
      <c r="AG1437" s="63" t="s">
        <v>61</v>
      </c>
      <c r="AH1437" s="63" t="s">
        <v>61</v>
      </c>
      <c r="AI1437" s="65" t="s">
        <v>61</v>
      </c>
      <c r="AJ1437" s="105" t="s">
        <v>61</v>
      </c>
      <c r="AK1437" s="76"/>
    </row>
    <row r="1438" ht="24.0" customHeight="1">
      <c r="A1438" s="35"/>
      <c r="B1438" s="36">
        <v>1.0</v>
      </c>
      <c r="C1438" s="37" t="str">
        <f>IFERROR(__xludf.DUMMYFUNCTION("""COMPUTED_VALUE"""),"")</f>
        <v/>
      </c>
      <c r="D1438" s="89" t="s">
        <v>61</v>
      </c>
      <c r="E1438" s="39" t="s">
        <v>61</v>
      </c>
      <c r="F1438" s="121"/>
      <c r="G1438" s="122"/>
      <c r="H1438" s="138"/>
      <c r="I1438" s="80"/>
      <c r="J1438" s="80"/>
      <c r="K1438" s="95"/>
      <c r="L1438" s="80"/>
      <c r="M1438" s="43"/>
      <c r="N1438" s="43"/>
      <c r="O1438" s="80"/>
      <c r="P1438" s="80"/>
      <c r="Q1438" s="80"/>
      <c r="R1438" s="80"/>
      <c r="S1438" s="117"/>
      <c r="T1438" s="81"/>
      <c r="U1438" s="81"/>
      <c r="V1438" s="81"/>
      <c r="W1438" s="81"/>
      <c r="X1438" s="81"/>
      <c r="Y1438" s="81"/>
      <c r="Z1438" s="82"/>
      <c r="AA1438" s="99"/>
      <c r="AB1438" s="48" t="s">
        <v>61</v>
      </c>
      <c r="AC1438" s="68" t="s">
        <v>61</v>
      </c>
      <c r="AD1438" s="69" t="s">
        <v>61</v>
      </c>
      <c r="AE1438" s="69" t="s">
        <v>61</v>
      </c>
      <c r="AF1438" s="68" t="s">
        <v>61</v>
      </c>
      <c r="AG1438" s="68" t="s">
        <v>61</v>
      </c>
      <c r="AH1438" s="68" t="s">
        <v>61</v>
      </c>
      <c r="AI1438" s="70" t="s">
        <v>61</v>
      </c>
      <c r="AJ1438" s="114" t="s">
        <v>61</v>
      </c>
      <c r="AK1438" s="82"/>
    </row>
    <row r="1439" ht="24.0" customHeight="1">
      <c r="A1439" s="35"/>
      <c r="B1439" s="36">
        <v>1.0</v>
      </c>
      <c r="C1439" s="37" t="str">
        <f>IFERROR(__xludf.DUMMYFUNCTION("""COMPUTED_VALUE"""),"")</f>
        <v/>
      </c>
      <c r="D1439" s="89" t="s">
        <v>61</v>
      </c>
      <c r="E1439" s="51" t="s">
        <v>61</v>
      </c>
      <c r="F1439" s="137"/>
      <c r="G1439" s="133"/>
      <c r="H1439" s="141"/>
      <c r="I1439" s="57"/>
      <c r="J1439" s="57"/>
      <c r="K1439" s="72"/>
      <c r="L1439" s="57"/>
      <c r="M1439" s="55"/>
      <c r="N1439" s="55"/>
      <c r="O1439" s="57"/>
      <c r="P1439" s="57"/>
      <c r="Q1439" s="57"/>
      <c r="R1439" s="57"/>
      <c r="S1439" s="132"/>
      <c r="T1439" s="74"/>
      <c r="U1439" s="74"/>
      <c r="V1439" s="74"/>
      <c r="W1439" s="74"/>
      <c r="X1439" s="74"/>
      <c r="Y1439" s="74"/>
      <c r="Z1439" s="76"/>
      <c r="AA1439" s="134"/>
      <c r="AB1439" s="62" t="s">
        <v>61</v>
      </c>
      <c r="AC1439" s="63" t="s">
        <v>61</v>
      </c>
      <c r="AD1439" s="64" t="s">
        <v>61</v>
      </c>
      <c r="AE1439" s="64" t="s">
        <v>61</v>
      </c>
      <c r="AF1439" s="63" t="s">
        <v>61</v>
      </c>
      <c r="AG1439" s="63" t="s">
        <v>61</v>
      </c>
      <c r="AH1439" s="63" t="s">
        <v>61</v>
      </c>
      <c r="AI1439" s="65" t="s">
        <v>61</v>
      </c>
      <c r="AJ1439" s="105" t="s">
        <v>61</v>
      </c>
      <c r="AK1439" s="76"/>
    </row>
    <row r="1440" ht="24.0" customHeight="1">
      <c r="A1440" s="35"/>
      <c r="B1440" s="36">
        <v>1.0</v>
      </c>
      <c r="C1440" s="37" t="str">
        <f>IFERROR(__xludf.DUMMYFUNCTION("""COMPUTED_VALUE"""),"")</f>
        <v/>
      </c>
      <c r="D1440" s="89" t="s">
        <v>61</v>
      </c>
      <c r="E1440" s="39" t="s">
        <v>61</v>
      </c>
      <c r="F1440" s="121"/>
      <c r="G1440" s="122"/>
      <c r="H1440" s="138"/>
      <c r="I1440" s="80"/>
      <c r="J1440" s="80"/>
      <c r="K1440" s="95"/>
      <c r="L1440" s="80"/>
      <c r="M1440" s="43"/>
      <c r="N1440" s="43"/>
      <c r="O1440" s="80"/>
      <c r="P1440" s="80"/>
      <c r="Q1440" s="80"/>
      <c r="R1440" s="80"/>
      <c r="S1440" s="117"/>
      <c r="T1440" s="81"/>
      <c r="U1440" s="81"/>
      <c r="V1440" s="81"/>
      <c r="W1440" s="81"/>
      <c r="X1440" s="81"/>
      <c r="Y1440" s="81"/>
      <c r="Z1440" s="82"/>
      <c r="AA1440" s="99"/>
      <c r="AB1440" s="48" t="s">
        <v>61</v>
      </c>
      <c r="AC1440" s="68" t="s">
        <v>61</v>
      </c>
      <c r="AD1440" s="69" t="s">
        <v>61</v>
      </c>
      <c r="AE1440" s="69" t="s">
        <v>61</v>
      </c>
      <c r="AF1440" s="68" t="s">
        <v>61</v>
      </c>
      <c r="AG1440" s="68" t="s">
        <v>61</v>
      </c>
      <c r="AH1440" s="68" t="s">
        <v>61</v>
      </c>
      <c r="AI1440" s="70" t="s">
        <v>61</v>
      </c>
      <c r="AJ1440" s="114" t="s">
        <v>61</v>
      </c>
      <c r="AK1440" s="82"/>
    </row>
    <row r="1441" ht="24.0" customHeight="1">
      <c r="A1441" s="35"/>
      <c r="B1441" s="36">
        <v>1.0</v>
      </c>
      <c r="C1441" s="37" t="str">
        <f>IFERROR(__xludf.DUMMYFUNCTION("""COMPUTED_VALUE"""),"")</f>
        <v/>
      </c>
      <c r="D1441" s="89" t="s">
        <v>61</v>
      </c>
      <c r="E1441" s="51" t="s">
        <v>61</v>
      </c>
      <c r="F1441" s="137"/>
      <c r="G1441" s="133"/>
      <c r="H1441" s="141"/>
      <c r="I1441" s="57"/>
      <c r="J1441" s="57"/>
      <c r="K1441" s="72"/>
      <c r="L1441" s="57"/>
      <c r="M1441" s="55"/>
      <c r="N1441" s="55"/>
      <c r="O1441" s="57"/>
      <c r="P1441" s="57"/>
      <c r="Q1441" s="57"/>
      <c r="R1441" s="57"/>
      <c r="S1441" s="132"/>
      <c r="T1441" s="74"/>
      <c r="U1441" s="74"/>
      <c r="V1441" s="74"/>
      <c r="W1441" s="74"/>
      <c r="X1441" s="74"/>
      <c r="Y1441" s="74"/>
      <c r="Z1441" s="76"/>
      <c r="AA1441" s="134"/>
      <c r="AB1441" s="62" t="s">
        <v>61</v>
      </c>
      <c r="AC1441" s="63" t="s">
        <v>61</v>
      </c>
      <c r="AD1441" s="64" t="s">
        <v>61</v>
      </c>
      <c r="AE1441" s="64" t="s">
        <v>61</v>
      </c>
      <c r="AF1441" s="63" t="s">
        <v>61</v>
      </c>
      <c r="AG1441" s="63" t="s">
        <v>61</v>
      </c>
      <c r="AH1441" s="63" t="s">
        <v>61</v>
      </c>
      <c r="AI1441" s="65" t="s">
        <v>61</v>
      </c>
      <c r="AJ1441" s="105" t="s">
        <v>61</v>
      </c>
      <c r="AK1441" s="76"/>
    </row>
    <row r="1442" ht="24.0" customHeight="1">
      <c r="A1442" s="35"/>
      <c r="B1442" s="36">
        <v>1.0</v>
      </c>
      <c r="C1442" s="37" t="str">
        <f>IFERROR(__xludf.DUMMYFUNCTION("""COMPUTED_VALUE"""),"")</f>
        <v/>
      </c>
      <c r="D1442" s="89" t="s">
        <v>61</v>
      </c>
      <c r="E1442" s="39" t="s">
        <v>61</v>
      </c>
      <c r="F1442" s="121"/>
      <c r="G1442" s="122"/>
      <c r="H1442" s="138"/>
      <c r="I1442" s="80"/>
      <c r="J1442" s="80"/>
      <c r="K1442" s="95"/>
      <c r="L1442" s="80"/>
      <c r="M1442" s="43"/>
      <c r="N1442" s="43"/>
      <c r="O1442" s="80"/>
      <c r="P1442" s="80"/>
      <c r="Q1442" s="80"/>
      <c r="R1442" s="80"/>
      <c r="S1442" s="117"/>
      <c r="T1442" s="81"/>
      <c r="U1442" s="81"/>
      <c r="V1442" s="81"/>
      <c r="W1442" s="81"/>
      <c r="X1442" s="81"/>
      <c r="Y1442" s="81"/>
      <c r="Z1442" s="82"/>
      <c r="AA1442" s="99"/>
      <c r="AB1442" s="48" t="s">
        <v>61</v>
      </c>
      <c r="AC1442" s="68" t="s">
        <v>61</v>
      </c>
      <c r="AD1442" s="69" t="s">
        <v>61</v>
      </c>
      <c r="AE1442" s="69" t="s">
        <v>61</v>
      </c>
      <c r="AF1442" s="68" t="s">
        <v>61</v>
      </c>
      <c r="AG1442" s="68" t="s">
        <v>61</v>
      </c>
      <c r="AH1442" s="68" t="s">
        <v>61</v>
      </c>
      <c r="AI1442" s="70" t="s">
        <v>61</v>
      </c>
      <c r="AJ1442" s="114" t="s">
        <v>61</v>
      </c>
      <c r="AK1442" s="82"/>
    </row>
    <row r="1443" ht="24.0" customHeight="1">
      <c r="A1443" s="35"/>
      <c r="B1443" s="36">
        <v>1.0</v>
      </c>
      <c r="C1443" s="37" t="str">
        <f>IFERROR(__xludf.DUMMYFUNCTION("""COMPUTED_VALUE"""),"")</f>
        <v/>
      </c>
      <c r="D1443" s="89" t="s">
        <v>61</v>
      </c>
      <c r="E1443" s="51" t="s">
        <v>61</v>
      </c>
      <c r="F1443" s="137"/>
      <c r="G1443" s="133"/>
      <c r="H1443" s="141"/>
      <c r="I1443" s="57"/>
      <c r="J1443" s="57"/>
      <c r="K1443" s="72"/>
      <c r="L1443" s="57"/>
      <c r="M1443" s="55"/>
      <c r="N1443" s="55"/>
      <c r="O1443" s="57"/>
      <c r="P1443" s="57"/>
      <c r="Q1443" s="57"/>
      <c r="R1443" s="57"/>
      <c r="S1443" s="132"/>
      <c r="T1443" s="74"/>
      <c r="U1443" s="74"/>
      <c r="V1443" s="74"/>
      <c r="W1443" s="74"/>
      <c r="X1443" s="74"/>
      <c r="Y1443" s="74"/>
      <c r="Z1443" s="76"/>
      <c r="AA1443" s="134"/>
      <c r="AB1443" s="62" t="s">
        <v>61</v>
      </c>
      <c r="AC1443" s="63" t="s">
        <v>61</v>
      </c>
      <c r="AD1443" s="64" t="s">
        <v>61</v>
      </c>
      <c r="AE1443" s="64" t="s">
        <v>61</v>
      </c>
      <c r="AF1443" s="63" t="s">
        <v>61</v>
      </c>
      <c r="AG1443" s="63" t="s">
        <v>61</v>
      </c>
      <c r="AH1443" s="63" t="s">
        <v>61</v>
      </c>
      <c r="AI1443" s="65" t="s">
        <v>61</v>
      </c>
      <c r="AJ1443" s="105" t="s">
        <v>61</v>
      </c>
      <c r="AK1443" s="76"/>
    </row>
    <row r="1444" ht="24.0" customHeight="1">
      <c r="A1444" s="35"/>
      <c r="B1444" s="36">
        <v>1.0</v>
      </c>
      <c r="C1444" s="37" t="str">
        <f>IFERROR(__xludf.DUMMYFUNCTION("""COMPUTED_VALUE"""),"")</f>
        <v/>
      </c>
      <c r="D1444" s="89" t="s">
        <v>61</v>
      </c>
      <c r="E1444" s="39" t="s">
        <v>61</v>
      </c>
      <c r="F1444" s="121"/>
      <c r="G1444" s="122"/>
      <c r="H1444" s="138"/>
      <c r="I1444" s="80"/>
      <c r="J1444" s="80"/>
      <c r="K1444" s="95"/>
      <c r="L1444" s="80"/>
      <c r="M1444" s="43"/>
      <c r="N1444" s="43"/>
      <c r="O1444" s="80"/>
      <c r="P1444" s="80"/>
      <c r="Q1444" s="80"/>
      <c r="R1444" s="80"/>
      <c r="S1444" s="117"/>
      <c r="T1444" s="81"/>
      <c r="U1444" s="81"/>
      <c r="V1444" s="81"/>
      <c r="W1444" s="81"/>
      <c r="X1444" s="81"/>
      <c r="Y1444" s="81"/>
      <c r="Z1444" s="82"/>
      <c r="AA1444" s="99"/>
      <c r="AB1444" s="48" t="s">
        <v>61</v>
      </c>
      <c r="AC1444" s="68" t="s">
        <v>61</v>
      </c>
      <c r="AD1444" s="69" t="s">
        <v>61</v>
      </c>
      <c r="AE1444" s="69" t="s">
        <v>61</v>
      </c>
      <c r="AF1444" s="68" t="s">
        <v>61</v>
      </c>
      <c r="AG1444" s="68" t="s">
        <v>61</v>
      </c>
      <c r="AH1444" s="68" t="s">
        <v>61</v>
      </c>
      <c r="AI1444" s="70" t="s">
        <v>61</v>
      </c>
      <c r="AJ1444" s="114" t="s">
        <v>61</v>
      </c>
      <c r="AK1444" s="82"/>
    </row>
    <row r="1445" ht="24.0" customHeight="1">
      <c r="A1445" s="35"/>
      <c r="B1445" s="36">
        <v>1.0</v>
      </c>
      <c r="C1445" s="37" t="str">
        <f>IFERROR(__xludf.DUMMYFUNCTION("""COMPUTED_VALUE"""),"")</f>
        <v/>
      </c>
      <c r="D1445" s="89" t="s">
        <v>61</v>
      </c>
      <c r="E1445" s="51" t="s">
        <v>61</v>
      </c>
      <c r="F1445" s="137"/>
      <c r="G1445" s="133"/>
      <c r="H1445" s="141"/>
      <c r="I1445" s="57"/>
      <c r="J1445" s="57"/>
      <c r="K1445" s="72"/>
      <c r="L1445" s="57"/>
      <c r="M1445" s="55"/>
      <c r="N1445" s="55"/>
      <c r="O1445" s="57"/>
      <c r="P1445" s="57"/>
      <c r="Q1445" s="57"/>
      <c r="R1445" s="57"/>
      <c r="S1445" s="132"/>
      <c r="T1445" s="74"/>
      <c r="U1445" s="74"/>
      <c r="V1445" s="74"/>
      <c r="W1445" s="74"/>
      <c r="X1445" s="74"/>
      <c r="Y1445" s="74"/>
      <c r="Z1445" s="76"/>
      <c r="AA1445" s="134"/>
      <c r="AB1445" s="62" t="s">
        <v>61</v>
      </c>
      <c r="AC1445" s="63" t="s">
        <v>61</v>
      </c>
      <c r="AD1445" s="64" t="s">
        <v>61</v>
      </c>
      <c r="AE1445" s="64" t="s">
        <v>61</v>
      </c>
      <c r="AF1445" s="63" t="s">
        <v>61</v>
      </c>
      <c r="AG1445" s="63" t="s">
        <v>61</v>
      </c>
      <c r="AH1445" s="63" t="s">
        <v>61</v>
      </c>
      <c r="AI1445" s="65" t="s">
        <v>61</v>
      </c>
      <c r="AJ1445" s="105" t="s">
        <v>61</v>
      </c>
      <c r="AK1445" s="76"/>
    </row>
    <row r="1446" ht="24.0" customHeight="1">
      <c r="A1446" s="35"/>
      <c r="B1446" s="36">
        <v>1.0</v>
      </c>
      <c r="C1446" s="37" t="str">
        <f>IFERROR(__xludf.DUMMYFUNCTION("""COMPUTED_VALUE"""),"")</f>
        <v/>
      </c>
      <c r="D1446" s="89" t="s">
        <v>61</v>
      </c>
      <c r="E1446" s="39" t="s">
        <v>61</v>
      </c>
      <c r="F1446" s="121"/>
      <c r="G1446" s="122"/>
      <c r="H1446" s="138"/>
      <c r="I1446" s="80"/>
      <c r="J1446" s="80"/>
      <c r="K1446" s="95"/>
      <c r="L1446" s="80"/>
      <c r="M1446" s="43"/>
      <c r="N1446" s="43"/>
      <c r="O1446" s="80"/>
      <c r="P1446" s="80"/>
      <c r="Q1446" s="80"/>
      <c r="R1446" s="80"/>
      <c r="S1446" s="117"/>
      <c r="T1446" s="81"/>
      <c r="U1446" s="81"/>
      <c r="V1446" s="81"/>
      <c r="W1446" s="81"/>
      <c r="X1446" s="81"/>
      <c r="Y1446" s="81"/>
      <c r="Z1446" s="82"/>
      <c r="AA1446" s="99"/>
      <c r="AB1446" s="48" t="s">
        <v>61</v>
      </c>
      <c r="AC1446" s="68" t="s">
        <v>61</v>
      </c>
      <c r="AD1446" s="69" t="s">
        <v>61</v>
      </c>
      <c r="AE1446" s="69" t="s">
        <v>61</v>
      </c>
      <c r="AF1446" s="68" t="s">
        <v>61</v>
      </c>
      <c r="AG1446" s="68" t="s">
        <v>61</v>
      </c>
      <c r="AH1446" s="68" t="s">
        <v>61</v>
      </c>
      <c r="AI1446" s="70" t="s">
        <v>61</v>
      </c>
      <c r="AJ1446" s="114" t="s">
        <v>61</v>
      </c>
      <c r="AK1446" s="82"/>
    </row>
    <row r="1447" ht="24.0" customHeight="1">
      <c r="A1447" s="35"/>
      <c r="B1447" s="36">
        <v>1.0</v>
      </c>
      <c r="C1447" s="37" t="str">
        <f>IFERROR(__xludf.DUMMYFUNCTION("""COMPUTED_VALUE"""),"")</f>
        <v/>
      </c>
      <c r="D1447" s="89" t="s">
        <v>61</v>
      </c>
      <c r="E1447" s="51" t="s">
        <v>61</v>
      </c>
      <c r="F1447" s="137"/>
      <c r="G1447" s="133"/>
      <c r="H1447" s="141"/>
      <c r="I1447" s="57"/>
      <c r="J1447" s="57"/>
      <c r="K1447" s="72"/>
      <c r="L1447" s="57"/>
      <c r="M1447" s="55"/>
      <c r="N1447" s="55"/>
      <c r="O1447" s="57"/>
      <c r="P1447" s="57"/>
      <c r="Q1447" s="57"/>
      <c r="R1447" s="57"/>
      <c r="S1447" s="132"/>
      <c r="T1447" s="74"/>
      <c r="U1447" s="74"/>
      <c r="V1447" s="74"/>
      <c r="W1447" s="74"/>
      <c r="X1447" s="74"/>
      <c r="Y1447" s="74"/>
      <c r="Z1447" s="76"/>
      <c r="AA1447" s="134"/>
      <c r="AB1447" s="62" t="s">
        <v>61</v>
      </c>
      <c r="AC1447" s="63" t="s">
        <v>61</v>
      </c>
      <c r="AD1447" s="64" t="s">
        <v>61</v>
      </c>
      <c r="AE1447" s="64" t="s">
        <v>61</v>
      </c>
      <c r="AF1447" s="63" t="s">
        <v>61</v>
      </c>
      <c r="AG1447" s="63" t="s">
        <v>61</v>
      </c>
      <c r="AH1447" s="63" t="s">
        <v>61</v>
      </c>
      <c r="AI1447" s="65" t="s">
        <v>61</v>
      </c>
      <c r="AJ1447" s="105" t="s">
        <v>61</v>
      </c>
      <c r="AK1447" s="76"/>
    </row>
    <row r="1448" ht="24.0" customHeight="1">
      <c r="A1448" s="35"/>
      <c r="B1448" s="36">
        <v>1.0</v>
      </c>
      <c r="C1448" s="37" t="str">
        <f>IFERROR(__xludf.DUMMYFUNCTION("""COMPUTED_VALUE"""),"")</f>
        <v/>
      </c>
      <c r="D1448" s="89" t="s">
        <v>61</v>
      </c>
      <c r="E1448" s="39" t="s">
        <v>61</v>
      </c>
      <c r="F1448" s="121"/>
      <c r="G1448" s="122"/>
      <c r="H1448" s="138"/>
      <c r="I1448" s="80"/>
      <c r="J1448" s="80"/>
      <c r="K1448" s="95"/>
      <c r="L1448" s="80"/>
      <c r="M1448" s="43"/>
      <c r="N1448" s="43"/>
      <c r="O1448" s="80"/>
      <c r="P1448" s="80"/>
      <c r="Q1448" s="80"/>
      <c r="R1448" s="80"/>
      <c r="S1448" s="117"/>
      <c r="T1448" s="81"/>
      <c r="U1448" s="81"/>
      <c r="V1448" s="81"/>
      <c r="W1448" s="81"/>
      <c r="X1448" s="81"/>
      <c r="Y1448" s="81"/>
      <c r="Z1448" s="82"/>
      <c r="AA1448" s="99"/>
      <c r="AB1448" s="48" t="s">
        <v>61</v>
      </c>
      <c r="AC1448" s="68" t="s">
        <v>61</v>
      </c>
      <c r="AD1448" s="69" t="s">
        <v>61</v>
      </c>
      <c r="AE1448" s="69" t="s">
        <v>61</v>
      </c>
      <c r="AF1448" s="68" t="s">
        <v>61</v>
      </c>
      <c r="AG1448" s="68" t="s">
        <v>61</v>
      </c>
      <c r="AH1448" s="68" t="s">
        <v>61</v>
      </c>
      <c r="AI1448" s="70" t="s">
        <v>61</v>
      </c>
      <c r="AJ1448" s="114" t="s">
        <v>61</v>
      </c>
      <c r="AK1448" s="82"/>
    </row>
    <row r="1449" ht="24.0" customHeight="1">
      <c r="A1449" s="35"/>
      <c r="B1449" s="36">
        <v>1.0</v>
      </c>
      <c r="C1449" s="37" t="str">
        <f>IFERROR(__xludf.DUMMYFUNCTION("""COMPUTED_VALUE"""),"")</f>
        <v/>
      </c>
      <c r="D1449" s="89" t="s">
        <v>61</v>
      </c>
      <c r="E1449" s="51" t="s">
        <v>61</v>
      </c>
      <c r="F1449" s="137"/>
      <c r="G1449" s="133"/>
      <c r="H1449" s="141"/>
      <c r="I1449" s="57"/>
      <c r="J1449" s="57"/>
      <c r="K1449" s="72"/>
      <c r="L1449" s="57"/>
      <c r="M1449" s="55"/>
      <c r="N1449" s="55"/>
      <c r="O1449" s="57"/>
      <c r="P1449" s="57"/>
      <c r="Q1449" s="57"/>
      <c r="R1449" s="57"/>
      <c r="S1449" s="132"/>
      <c r="T1449" s="74"/>
      <c r="U1449" s="74"/>
      <c r="V1449" s="74"/>
      <c r="W1449" s="74"/>
      <c r="X1449" s="74"/>
      <c r="Y1449" s="74"/>
      <c r="Z1449" s="76"/>
      <c r="AA1449" s="134"/>
      <c r="AB1449" s="62" t="s">
        <v>61</v>
      </c>
      <c r="AC1449" s="63" t="s">
        <v>61</v>
      </c>
      <c r="AD1449" s="64" t="s">
        <v>61</v>
      </c>
      <c r="AE1449" s="64" t="s">
        <v>61</v>
      </c>
      <c r="AF1449" s="63" t="s">
        <v>61</v>
      </c>
      <c r="AG1449" s="63" t="s">
        <v>61</v>
      </c>
      <c r="AH1449" s="63" t="s">
        <v>61</v>
      </c>
      <c r="AI1449" s="65" t="s">
        <v>61</v>
      </c>
      <c r="AJ1449" s="105" t="s">
        <v>61</v>
      </c>
      <c r="AK1449" s="76"/>
    </row>
    <row r="1450" ht="24.0" customHeight="1">
      <c r="A1450" s="35"/>
      <c r="B1450" s="36">
        <v>1.0</v>
      </c>
      <c r="C1450" s="37" t="str">
        <f>IFERROR(__xludf.DUMMYFUNCTION("""COMPUTED_VALUE"""),"")</f>
        <v/>
      </c>
      <c r="D1450" s="89" t="s">
        <v>61</v>
      </c>
      <c r="E1450" s="39" t="s">
        <v>61</v>
      </c>
      <c r="F1450" s="121"/>
      <c r="G1450" s="122"/>
      <c r="H1450" s="138"/>
      <c r="I1450" s="80"/>
      <c r="J1450" s="80"/>
      <c r="K1450" s="95"/>
      <c r="L1450" s="80"/>
      <c r="M1450" s="43"/>
      <c r="N1450" s="43"/>
      <c r="O1450" s="80"/>
      <c r="P1450" s="80"/>
      <c r="Q1450" s="80"/>
      <c r="R1450" s="80"/>
      <c r="S1450" s="117"/>
      <c r="T1450" s="81"/>
      <c r="U1450" s="81"/>
      <c r="V1450" s="81"/>
      <c r="W1450" s="81"/>
      <c r="X1450" s="81"/>
      <c r="Y1450" s="81"/>
      <c r="Z1450" s="82"/>
      <c r="AA1450" s="99"/>
      <c r="AB1450" s="48" t="s">
        <v>61</v>
      </c>
      <c r="AC1450" s="68" t="s">
        <v>61</v>
      </c>
      <c r="AD1450" s="69" t="s">
        <v>61</v>
      </c>
      <c r="AE1450" s="69" t="s">
        <v>61</v>
      </c>
      <c r="AF1450" s="68" t="s">
        <v>61</v>
      </c>
      <c r="AG1450" s="68" t="s">
        <v>61</v>
      </c>
      <c r="AH1450" s="68" t="s">
        <v>61</v>
      </c>
      <c r="AI1450" s="70" t="s">
        <v>61</v>
      </c>
      <c r="AJ1450" s="114" t="s">
        <v>61</v>
      </c>
      <c r="AK1450" s="82"/>
    </row>
    <row r="1451" ht="24.0" customHeight="1">
      <c r="A1451" s="35"/>
      <c r="B1451" s="36">
        <v>1.0</v>
      </c>
      <c r="C1451" s="37" t="str">
        <f>IFERROR(__xludf.DUMMYFUNCTION("""COMPUTED_VALUE"""),"")</f>
        <v/>
      </c>
      <c r="D1451" s="89" t="s">
        <v>61</v>
      </c>
      <c r="E1451" s="51" t="s">
        <v>61</v>
      </c>
      <c r="F1451" s="137"/>
      <c r="G1451" s="133"/>
      <c r="H1451" s="141"/>
      <c r="I1451" s="57"/>
      <c r="J1451" s="57"/>
      <c r="K1451" s="72"/>
      <c r="L1451" s="57"/>
      <c r="M1451" s="55"/>
      <c r="N1451" s="55"/>
      <c r="O1451" s="57"/>
      <c r="P1451" s="57"/>
      <c r="Q1451" s="57"/>
      <c r="R1451" s="57"/>
      <c r="S1451" s="132"/>
      <c r="T1451" s="74"/>
      <c r="U1451" s="74"/>
      <c r="V1451" s="74"/>
      <c r="W1451" s="74"/>
      <c r="X1451" s="74"/>
      <c r="Y1451" s="74"/>
      <c r="Z1451" s="76"/>
      <c r="AA1451" s="134"/>
      <c r="AB1451" s="62" t="s">
        <v>61</v>
      </c>
      <c r="AC1451" s="63" t="s">
        <v>61</v>
      </c>
      <c r="AD1451" s="64" t="s">
        <v>61</v>
      </c>
      <c r="AE1451" s="64" t="s">
        <v>61</v>
      </c>
      <c r="AF1451" s="63" t="s">
        <v>61</v>
      </c>
      <c r="AG1451" s="63" t="s">
        <v>61</v>
      </c>
      <c r="AH1451" s="63" t="s">
        <v>61</v>
      </c>
      <c r="AI1451" s="65" t="s">
        <v>61</v>
      </c>
      <c r="AJ1451" s="105" t="s">
        <v>61</v>
      </c>
      <c r="AK1451" s="76"/>
    </row>
    <row r="1452" ht="24.0" customHeight="1">
      <c r="A1452" s="35"/>
      <c r="B1452" s="36">
        <v>1.0</v>
      </c>
      <c r="C1452" s="37" t="str">
        <f>IFERROR(__xludf.DUMMYFUNCTION("""COMPUTED_VALUE"""),"")</f>
        <v/>
      </c>
      <c r="D1452" s="89" t="s">
        <v>61</v>
      </c>
      <c r="E1452" s="39" t="s">
        <v>61</v>
      </c>
      <c r="F1452" s="121"/>
      <c r="G1452" s="122"/>
      <c r="H1452" s="138"/>
      <c r="I1452" s="80"/>
      <c r="J1452" s="80"/>
      <c r="K1452" s="95"/>
      <c r="L1452" s="80"/>
      <c r="M1452" s="43"/>
      <c r="N1452" s="43"/>
      <c r="O1452" s="80"/>
      <c r="P1452" s="80"/>
      <c r="Q1452" s="80"/>
      <c r="R1452" s="80"/>
      <c r="S1452" s="117"/>
      <c r="T1452" s="81"/>
      <c r="U1452" s="81"/>
      <c r="V1452" s="81"/>
      <c r="W1452" s="81"/>
      <c r="X1452" s="81"/>
      <c r="Y1452" s="81"/>
      <c r="Z1452" s="82"/>
      <c r="AA1452" s="99"/>
      <c r="AB1452" s="48" t="s">
        <v>61</v>
      </c>
      <c r="AC1452" s="68" t="s">
        <v>61</v>
      </c>
      <c r="AD1452" s="69" t="s">
        <v>61</v>
      </c>
      <c r="AE1452" s="69" t="s">
        <v>61</v>
      </c>
      <c r="AF1452" s="68" t="s">
        <v>61</v>
      </c>
      <c r="AG1452" s="68" t="s">
        <v>61</v>
      </c>
      <c r="AH1452" s="68" t="s">
        <v>61</v>
      </c>
      <c r="AI1452" s="70" t="s">
        <v>61</v>
      </c>
      <c r="AJ1452" s="114" t="s">
        <v>61</v>
      </c>
      <c r="AK1452" s="82"/>
    </row>
    <row r="1453" ht="24.0" customHeight="1">
      <c r="A1453" s="35"/>
      <c r="B1453" s="36">
        <v>1.0</v>
      </c>
      <c r="C1453" s="37" t="str">
        <f>IFERROR(__xludf.DUMMYFUNCTION("""COMPUTED_VALUE"""),"")</f>
        <v/>
      </c>
      <c r="D1453" s="89" t="s">
        <v>61</v>
      </c>
      <c r="E1453" s="51" t="s">
        <v>61</v>
      </c>
      <c r="F1453" s="137"/>
      <c r="G1453" s="133"/>
      <c r="H1453" s="141"/>
      <c r="I1453" s="57"/>
      <c r="J1453" s="57"/>
      <c r="K1453" s="72"/>
      <c r="L1453" s="57"/>
      <c r="M1453" s="55"/>
      <c r="N1453" s="55"/>
      <c r="O1453" s="57"/>
      <c r="P1453" s="57"/>
      <c r="Q1453" s="57"/>
      <c r="R1453" s="57"/>
      <c r="S1453" s="132"/>
      <c r="T1453" s="74"/>
      <c r="U1453" s="74"/>
      <c r="V1453" s="74"/>
      <c r="W1453" s="74"/>
      <c r="X1453" s="74"/>
      <c r="Y1453" s="74"/>
      <c r="Z1453" s="76"/>
      <c r="AA1453" s="134"/>
      <c r="AB1453" s="62" t="s">
        <v>61</v>
      </c>
      <c r="AC1453" s="63" t="s">
        <v>61</v>
      </c>
      <c r="AD1453" s="64" t="s">
        <v>61</v>
      </c>
      <c r="AE1453" s="64" t="s">
        <v>61</v>
      </c>
      <c r="AF1453" s="63" t="s">
        <v>61</v>
      </c>
      <c r="AG1453" s="63" t="s">
        <v>61</v>
      </c>
      <c r="AH1453" s="63" t="s">
        <v>61</v>
      </c>
      <c r="AI1453" s="65" t="s">
        <v>61</v>
      </c>
      <c r="AJ1453" s="105" t="s">
        <v>61</v>
      </c>
      <c r="AK1453" s="76"/>
    </row>
    <row r="1454" ht="24.0" customHeight="1">
      <c r="A1454" s="35"/>
      <c r="B1454" s="36">
        <v>1.0</v>
      </c>
      <c r="C1454" s="37" t="str">
        <f>IFERROR(__xludf.DUMMYFUNCTION("""COMPUTED_VALUE"""),"")</f>
        <v/>
      </c>
      <c r="D1454" s="89" t="s">
        <v>61</v>
      </c>
      <c r="E1454" s="39" t="s">
        <v>61</v>
      </c>
      <c r="F1454" s="121"/>
      <c r="G1454" s="122"/>
      <c r="H1454" s="138"/>
      <c r="I1454" s="80"/>
      <c r="J1454" s="80"/>
      <c r="K1454" s="95"/>
      <c r="L1454" s="80"/>
      <c r="M1454" s="43"/>
      <c r="N1454" s="43"/>
      <c r="O1454" s="80"/>
      <c r="P1454" s="80"/>
      <c r="Q1454" s="80"/>
      <c r="R1454" s="80"/>
      <c r="S1454" s="117"/>
      <c r="T1454" s="81"/>
      <c r="U1454" s="81"/>
      <c r="V1454" s="81"/>
      <c r="W1454" s="81"/>
      <c r="X1454" s="81"/>
      <c r="Y1454" s="81"/>
      <c r="Z1454" s="82"/>
      <c r="AA1454" s="99"/>
      <c r="AB1454" s="48" t="s">
        <v>61</v>
      </c>
      <c r="AC1454" s="68" t="s">
        <v>61</v>
      </c>
      <c r="AD1454" s="69" t="s">
        <v>61</v>
      </c>
      <c r="AE1454" s="69" t="s">
        <v>61</v>
      </c>
      <c r="AF1454" s="68" t="s">
        <v>61</v>
      </c>
      <c r="AG1454" s="68" t="s">
        <v>61</v>
      </c>
      <c r="AH1454" s="68" t="s">
        <v>61</v>
      </c>
      <c r="AI1454" s="70" t="s">
        <v>61</v>
      </c>
      <c r="AJ1454" s="114" t="s">
        <v>61</v>
      </c>
      <c r="AK1454" s="82"/>
    </row>
    <row r="1455" ht="24.0" customHeight="1">
      <c r="A1455" s="35"/>
      <c r="B1455" s="36">
        <v>1.0</v>
      </c>
      <c r="C1455" s="37" t="str">
        <f>IFERROR(__xludf.DUMMYFUNCTION("""COMPUTED_VALUE"""),"")</f>
        <v/>
      </c>
      <c r="D1455" s="89" t="s">
        <v>61</v>
      </c>
      <c r="E1455" s="51" t="s">
        <v>61</v>
      </c>
      <c r="F1455" s="137"/>
      <c r="G1455" s="133"/>
      <c r="H1455" s="141"/>
      <c r="I1455" s="57"/>
      <c r="J1455" s="57"/>
      <c r="K1455" s="72"/>
      <c r="L1455" s="57"/>
      <c r="M1455" s="55"/>
      <c r="N1455" s="55"/>
      <c r="O1455" s="57"/>
      <c r="P1455" s="57"/>
      <c r="Q1455" s="57"/>
      <c r="R1455" s="57"/>
      <c r="S1455" s="132"/>
      <c r="T1455" s="74"/>
      <c r="U1455" s="74"/>
      <c r="V1455" s="74"/>
      <c r="W1455" s="74"/>
      <c r="X1455" s="74"/>
      <c r="Y1455" s="74"/>
      <c r="Z1455" s="76"/>
      <c r="AA1455" s="134"/>
      <c r="AB1455" s="62" t="s">
        <v>61</v>
      </c>
      <c r="AC1455" s="63" t="s">
        <v>61</v>
      </c>
      <c r="AD1455" s="64" t="s">
        <v>61</v>
      </c>
      <c r="AE1455" s="64" t="s">
        <v>61</v>
      </c>
      <c r="AF1455" s="63" t="s">
        <v>61</v>
      </c>
      <c r="AG1455" s="63" t="s">
        <v>61</v>
      </c>
      <c r="AH1455" s="63" t="s">
        <v>61</v>
      </c>
      <c r="AI1455" s="65" t="s">
        <v>61</v>
      </c>
      <c r="AJ1455" s="105" t="s">
        <v>61</v>
      </c>
      <c r="AK1455" s="76"/>
    </row>
    <row r="1456" ht="24.0" customHeight="1">
      <c r="A1456" s="35"/>
      <c r="B1456" s="36">
        <v>1.0</v>
      </c>
      <c r="C1456" s="37" t="str">
        <f>IFERROR(__xludf.DUMMYFUNCTION("""COMPUTED_VALUE"""),"")</f>
        <v/>
      </c>
      <c r="D1456" s="89" t="s">
        <v>61</v>
      </c>
      <c r="E1456" s="39" t="s">
        <v>61</v>
      </c>
      <c r="F1456" s="121"/>
      <c r="G1456" s="122"/>
      <c r="H1456" s="138"/>
      <c r="I1456" s="80"/>
      <c r="J1456" s="80"/>
      <c r="K1456" s="95"/>
      <c r="L1456" s="80"/>
      <c r="M1456" s="43"/>
      <c r="N1456" s="43"/>
      <c r="O1456" s="80"/>
      <c r="P1456" s="80"/>
      <c r="Q1456" s="80"/>
      <c r="R1456" s="80"/>
      <c r="S1456" s="117"/>
      <c r="T1456" s="81"/>
      <c r="U1456" s="81"/>
      <c r="V1456" s="81"/>
      <c r="W1456" s="81"/>
      <c r="X1456" s="81"/>
      <c r="Y1456" s="81"/>
      <c r="Z1456" s="82"/>
      <c r="AA1456" s="99"/>
      <c r="AB1456" s="48" t="s">
        <v>61</v>
      </c>
      <c r="AC1456" s="68" t="s">
        <v>61</v>
      </c>
      <c r="AD1456" s="69" t="s">
        <v>61</v>
      </c>
      <c r="AE1456" s="69" t="s">
        <v>61</v>
      </c>
      <c r="AF1456" s="68" t="s">
        <v>61</v>
      </c>
      <c r="AG1456" s="68" t="s">
        <v>61</v>
      </c>
      <c r="AH1456" s="68" t="s">
        <v>61</v>
      </c>
      <c r="AI1456" s="70" t="s">
        <v>61</v>
      </c>
      <c r="AJ1456" s="114" t="s">
        <v>61</v>
      </c>
      <c r="AK1456" s="82"/>
    </row>
    <row r="1457" ht="24.0" customHeight="1">
      <c r="A1457" s="35"/>
      <c r="B1457" s="36">
        <v>1.0</v>
      </c>
      <c r="C1457" s="37" t="str">
        <f>IFERROR(__xludf.DUMMYFUNCTION("""COMPUTED_VALUE"""),"")</f>
        <v/>
      </c>
      <c r="D1457" s="89" t="s">
        <v>61</v>
      </c>
      <c r="E1457" s="51" t="s">
        <v>61</v>
      </c>
      <c r="F1457" s="137"/>
      <c r="G1457" s="133"/>
      <c r="H1457" s="141"/>
      <c r="I1457" s="57"/>
      <c r="J1457" s="57"/>
      <c r="K1457" s="72"/>
      <c r="L1457" s="57"/>
      <c r="M1457" s="55"/>
      <c r="N1457" s="55"/>
      <c r="O1457" s="57"/>
      <c r="P1457" s="57"/>
      <c r="Q1457" s="57"/>
      <c r="R1457" s="57"/>
      <c r="S1457" s="132"/>
      <c r="T1457" s="74"/>
      <c r="U1457" s="74"/>
      <c r="V1457" s="74"/>
      <c r="W1457" s="74"/>
      <c r="X1457" s="74"/>
      <c r="Y1457" s="74"/>
      <c r="Z1457" s="76"/>
      <c r="AA1457" s="134"/>
      <c r="AB1457" s="62" t="s">
        <v>61</v>
      </c>
      <c r="AC1457" s="63" t="s">
        <v>61</v>
      </c>
      <c r="AD1457" s="64" t="s">
        <v>61</v>
      </c>
      <c r="AE1457" s="64" t="s">
        <v>61</v>
      </c>
      <c r="AF1457" s="63" t="s">
        <v>61</v>
      </c>
      <c r="AG1457" s="63" t="s">
        <v>61</v>
      </c>
      <c r="AH1457" s="63" t="s">
        <v>61</v>
      </c>
      <c r="AI1457" s="65" t="s">
        <v>61</v>
      </c>
      <c r="AJ1457" s="105" t="s">
        <v>61</v>
      </c>
      <c r="AK1457" s="76"/>
    </row>
    <row r="1458" ht="24.0" customHeight="1">
      <c r="A1458" s="35"/>
      <c r="B1458" s="36">
        <v>1.0</v>
      </c>
      <c r="C1458" s="37" t="str">
        <f>IFERROR(__xludf.DUMMYFUNCTION("""COMPUTED_VALUE"""),"")</f>
        <v/>
      </c>
      <c r="D1458" s="89" t="s">
        <v>61</v>
      </c>
      <c r="E1458" s="39" t="s">
        <v>61</v>
      </c>
      <c r="F1458" s="121"/>
      <c r="G1458" s="122"/>
      <c r="H1458" s="138"/>
      <c r="I1458" s="80"/>
      <c r="J1458" s="80"/>
      <c r="K1458" s="95"/>
      <c r="L1458" s="80"/>
      <c r="M1458" s="43"/>
      <c r="N1458" s="43"/>
      <c r="O1458" s="80"/>
      <c r="P1458" s="80"/>
      <c r="Q1458" s="80"/>
      <c r="R1458" s="80"/>
      <c r="S1458" s="117"/>
      <c r="T1458" s="81"/>
      <c r="U1458" s="81"/>
      <c r="V1458" s="81"/>
      <c r="W1458" s="81"/>
      <c r="X1458" s="81"/>
      <c r="Y1458" s="81"/>
      <c r="Z1458" s="82"/>
      <c r="AA1458" s="99"/>
      <c r="AB1458" s="48" t="s">
        <v>61</v>
      </c>
      <c r="AC1458" s="68" t="s">
        <v>61</v>
      </c>
      <c r="AD1458" s="69" t="s">
        <v>61</v>
      </c>
      <c r="AE1458" s="69" t="s">
        <v>61</v>
      </c>
      <c r="AF1458" s="68" t="s">
        <v>61</v>
      </c>
      <c r="AG1458" s="68" t="s">
        <v>61</v>
      </c>
      <c r="AH1458" s="68" t="s">
        <v>61</v>
      </c>
      <c r="AI1458" s="70" t="s">
        <v>61</v>
      </c>
      <c r="AJ1458" s="114" t="s">
        <v>61</v>
      </c>
      <c r="AK1458" s="82"/>
    </row>
    <row r="1459" ht="24.0" customHeight="1">
      <c r="A1459" s="35"/>
      <c r="B1459" s="36">
        <v>1.0</v>
      </c>
      <c r="C1459" s="37" t="str">
        <f>IFERROR(__xludf.DUMMYFUNCTION("""COMPUTED_VALUE"""),"")</f>
        <v/>
      </c>
      <c r="D1459" s="89" t="s">
        <v>61</v>
      </c>
      <c r="E1459" s="51" t="s">
        <v>61</v>
      </c>
      <c r="F1459" s="137"/>
      <c r="G1459" s="133"/>
      <c r="H1459" s="141"/>
      <c r="I1459" s="57"/>
      <c r="J1459" s="57"/>
      <c r="K1459" s="72"/>
      <c r="L1459" s="57"/>
      <c r="M1459" s="55"/>
      <c r="N1459" s="55"/>
      <c r="O1459" s="57"/>
      <c r="P1459" s="57"/>
      <c r="Q1459" s="57"/>
      <c r="R1459" s="57"/>
      <c r="S1459" s="132"/>
      <c r="T1459" s="74"/>
      <c r="U1459" s="74"/>
      <c r="V1459" s="74"/>
      <c r="W1459" s="74"/>
      <c r="X1459" s="74"/>
      <c r="Y1459" s="74"/>
      <c r="Z1459" s="76"/>
      <c r="AA1459" s="134"/>
      <c r="AB1459" s="62" t="s">
        <v>61</v>
      </c>
      <c r="AC1459" s="63" t="s">
        <v>61</v>
      </c>
      <c r="AD1459" s="64" t="s">
        <v>61</v>
      </c>
      <c r="AE1459" s="64" t="s">
        <v>61</v>
      </c>
      <c r="AF1459" s="63" t="s">
        <v>61</v>
      </c>
      <c r="AG1459" s="63" t="s">
        <v>61</v>
      </c>
      <c r="AH1459" s="63" t="s">
        <v>61</v>
      </c>
      <c r="AI1459" s="65" t="s">
        <v>61</v>
      </c>
      <c r="AJ1459" s="105" t="s">
        <v>61</v>
      </c>
      <c r="AK1459" s="76"/>
    </row>
    <row r="1460" ht="24.0" customHeight="1">
      <c r="A1460" s="35"/>
      <c r="B1460" s="36">
        <v>1.0</v>
      </c>
      <c r="C1460" s="37" t="str">
        <f>IFERROR(__xludf.DUMMYFUNCTION("""COMPUTED_VALUE"""),"")</f>
        <v/>
      </c>
      <c r="D1460" s="89" t="s">
        <v>61</v>
      </c>
      <c r="E1460" s="39" t="s">
        <v>61</v>
      </c>
      <c r="F1460" s="121"/>
      <c r="G1460" s="122"/>
      <c r="H1460" s="138"/>
      <c r="I1460" s="80"/>
      <c r="J1460" s="80"/>
      <c r="K1460" s="95"/>
      <c r="L1460" s="80"/>
      <c r="M1460" s="43"/>
      <c r="N1460" s="43"/>
      <c r="O1460" s="80"/>
      <c r="P1460" s="80"/>
      <c r="Q1460" s="80"/>
      <c r="R1460" s="80"/>
      <c r="S1460" s="117"/>
      <c r="T1460" s="81"/>
      <c r="U1460" s="81"/>
      <c r="V1460" s="81"/>
      <c r="W1460" s="81"/>
      <c r="X1460" s="81"/>
      <c r="Y1460" s="81"/>
      <c r="Z1460" s="82"/>
      <c r="AA1460" s="99"/>
      <c r="AB1460" s="48" t="s">
        <v>61</v>
      </c>
      <c r="AC1460" s="68" t="s">
        <v>61</v>
      </c>
      <c r="AD1460" s="69" t="s">
        <v>61</v>
      </c>
      <c r="AE1460" s="69" t="s">
        <v>61</v>
      </c>
      <c r="AF1460" s="68" t="s">
        <v>61</v>
      </c>
      <c r="AG1460" s="68" t="s">
        <v>61</v>
      </c>
      <c r="AH1460" s="68" t="s">
        <v>61</v>
      </c>
      <c r="AI1460" s="70" t="s">
        <v>61</v>
      </c>
      <c r="AJ1460" s="114" t="s">
        <v>61</v>
      </c>
      <c r="AK1460" s="82"/>
    </row>
    <row r="1461" ht="24.0" customHeight="1">
      <c r="A1461" s="35"/>
      <c r="B1461" s="36">
        <v>1.0</v>
      </c>
      <c r="C1461" s="37" t="str">
        <f>IFERROR(__xludf.DUMMYFUNCTION("""COMPUTED_VALUE"""),"")</f>
        <v/>
      </c>
      <c r="D1461" s="89" t="s">
        <v>61</v>
      </c>
      <c r="E1461" s="51" t="s">
        <v>61</v>
      </c>
      <c r="F1461" s="137"/>
      <c r="G1461" s="133"/>
      <c r="H1461" s="141"/>
      <c r="I1461" s="57"/>
      <c r="J1461" s="57"/>
      <c r="K1461" s="72"/>
      <c r="L1461" s="57"/>
      <c r="M1461" s="55"/>
      <c r="N1461" s="55"/>
      <c r="O1461" s="57"/>
      <c r="P1461" s="57"/>
      <c r="Q1461" s="57"/>
      <c r="R1461" s="57"/>
      <c r="S1461" s="132"/>
      <c r="T1461" s="74"/>
      <c r="U1461" s="74"/>
      <c r="V1461" s="74"/>
      <c r="W1461" s="74"/>
      <c r="X1461" s="74"/>
      <c r="Y1461" s="74"/>
      <c r="Z1461" s="76"/>
      <c r="AA1461" s="134"/>
      <c r="AB1461" s="62" t="s">
        <v>61</v>
      </c>
      <c r="AC1461" s="63" t="s">
        <v>61</v>
      </c>
      <c r="AD1461" s="64" t="s">
        <v>61</v>
      </c>
      <c r="AE1461" s="64" t="s">
        <v>61</v>
      </c>
      <c r="AF1461" s="63" t="s">
        <v>61</v>
      </c>
      <c r="AG1461" s="63" t="s">
        <v>61</v>
      </c>
      <c r="AH1461" s="63" t="s">
        <v>61</v>
      </c>
      <c r="AI1461" s="65" t="s">
        <v>61</v>
      </c>
      <c r="AJ1461" s="105" t="s">
        <v>61</v>
      </c>
      <c r="AK1461" s="76"/>
    </row>
    <row r="1462" ht="24.0" customHeight="1">
      <c r="A1462" s="35"/>
      <c r="B1462" s="36">
        <v>1.0</v>
      </c>
      <c r="C1462" s="37" t="str">
        <f>IFERROR(__xludf.DUMMYFUNCTION("""COMPUTED_VALUE"""),"")</f>
        <v/>
      </c>
      <c r="D1462" s="89" t="s">
        <v>61</v>
      </c>
      <c r="E1462" s="39" t="s">
        <v>61</v>
      </c>
      <c r="F1462" s="121"/>
      <c r="G1462" s="122"/>
      <c r="H1462" s="138"/>
      <c r="I1462" s="80"/>
      <c r="J1462" s="80"/>
      <c r="K1462" s="95"/>
      <c r="L1462" s="80"/>
      <c r="M1462" s="43"/>
      <c r="N1462" s="43"/>
      <c r="O1462" s="80"/>
      <c r="P1462" s="80"/>
      <c r="Q1462" s="80"/>
      <c r="R1462" s="80"/>
      <c r="S1462" s="117"/>
      <c r="T1462" s="81"/>
      <c r="U1462" s="81"/>
      <c r="V1462" s="81"/>
      <c r="W1462" s="81"/>
      <c r="X1462" s="81"/>
      <c r="Y1462" s="81"/>
      <c r="Z1462" s="82"/>
      <c r="AA1462" s="99"/>
      <c r="AB1462" s="48" t="s">
        <v>61</v>
      </c>
      <c r="AC1462" s="68" t="s">
        <v>61</v>
      </c>
      <c r="AD1462" s="69" t="s">
        <v>61</v>
      </c>
      <c r="AE1462" s="69" t="s">
        <v>61</v>
      </c>
      <c r="AF1462" s="68" t="s">
        <v>61</v>
      </c>
      <c r="AG1462" s="68" t="s">
        <v>61</v>
      </c>
      <c r="AH1462" s="68" t="s">
        <v>61</v>
      </c>
      <c r="AI1462" s="70" t="s">
        <v>61</v>
      </c>
      <c r="AJ1462" s="114" t="s">
        <v>61</v>
      </c>
      <c r="AK1462" s="82"/>
    </row>
    <row r="1463" ht="24.0" customHeight="1">
      <c r="A1463" s="35"/>
      <c r="B1463" s="36">
        <v>1.0</v>
      </c>
      <c r="C1463" s="37" t="str">
        <f>IFERROR(__xludf.DUMMYFUNCTION("""COMPUTED_VALUE"""),"")</f>
        <v/>
      </c>
      <c r="D1463" s="89" t="s">
        <v>61</v>
      </c>
      <c r="E1463" s="51" t="s">
        <v>61</v>
      </c>
      <c r="F1463" s="137"/>
      <c r="G1463" s="133"/>
      <c r="H1463" s="141"/>
      <c r="I1463" s="57"/>
      <c r="J1463" s="57"/>
      <c r="K1463" s="72"/>
      <c r="L1463" s="57"/>
      <c r="M1463" s="55"/>
      <c r="N1463" s="55"/>
      <c r="O1463" s="57"/>
      <c r="P1463" s="57"/>
      <c r="Q1463" s="57"/>
      <c r="R1463" s="57"/>
      <c r="S1463" s="132"/>
      <c r="T1463" s="74"/>
      <c r="U1463" s="74"/>
      <c r="V1463" s="74"/>
      <c r="W1463" s="74"/>
      <c r="X1463" s="74"/>
      <c r="Y1463" s="74"/>
      <c r="Z1463" s="76"/>
      <c r="AA1463" s="134"/>
      <c r="AB1463" s="62" t="s">
        <v>61</v>
      </c>
      <c r="AC1463" s="63" t="s">
        <v>61</v>
      </c>
      <c r="AD1463" s="64" t="s">
        <v>61</v>
      </c>
      <c r="AE1463" s="64" t="s">
        <v>61</v>
      </c>
      <c r="AF1463" s="63" t="s">
        <v>61</v>
      </c>
      <c r="AG1463" s="63" t="s">
        <v>61</v>
      </c>
      <c r="AH1463" s="63" t="s">
        <v>61</v>
      </c>
      <c r="AI1463" s="65" t="s">
        <v>61</v>
      </c>
      <c r="AJ1463" s="105" t="s">
        <v>61</v>
      </c>
      <c r="AK1463" s="76"/>
    </row>
    <row r="1464" ht="24.0" customHeight="1">
      <c r="A1464" s="35"/>
      <c r="B1464" s="36">
        <v>1.0</v>
      </c>
      <c r="C1464" s="37" t="str">
        <f>IFERROR(__xludf.DUMMYFUNCTION("""COMPUTED_VALUE"""),"")</f>
        <v/>
      </c>
      <c r="D1464" s="89" t="s">
        <v>61</v>
      </c>
      <c r="E1464" s="39" t="s">
        <v>61</v>
      </c>
      <c r="F1464" s="121"/>
      <c r="G1464" s="122"/>
      <c r="H1464" s="138"/>
      <c r="I1464" s="80"/>
      <c r="J1464" s="80"/>
      <c r="K1464" s="95"/>
      <c r="L1464" s="80"/>
      <c r="M1464" s="43"/>
      <c r="N1464" s="43"/>
      <c r="O1464" s="80"/>
      <c r="P1464" s="80"/>
      <c r="Q1464" s="80"/>
      <c r="R1464" s="80"/>
      <c r="S1464" s="117"/>
      <c r="T1464" s="81"/>
      <c r="U1464" s="81"/>
      <c r="V1464" s="81"/>
      <c r="W1464" s="81"/>
      <c r="X1464" s="81"/>
      <c r="Y1464" s="81"/>
      <c r="Z1464" s="82"/>
      <c r="AA1464" s="99"/>
      <c r="AB1464" s="48" t="s">
        <v>61</v>
      </c>
      <c r="AC1464" s="68" t="s">
        <v>61</v>
      </c>
      <c r="AD1464" s="69" t="s">
        <v>61</v>
      </c>
      <c r="AE1464" s="69" t="s">
        <v>61</v>
      </c>
      <c r="AF1464" s="68" t="s">
        <v>61</v>
      </c>
      <c r="AG1464" s="68" t="s">
        <v>61</v>
      </c>
      <c r="AH1464" s="68" t="s">
        <v>61</v>
      </c>
      <c r="AI1464" s="70" t="s">
        <v>61</v>
      </c>
      <c r="AJ1464" s="114" t="s">
        <v>61</v>
      </c>
      <c r="AK1464" s="82"/>
    </row>
    <row r="1465" ht="24.0" customHeight="1">
      <c r="A1465" s="35"/>
      <c r="B1465" s="36">
        <v>1.0</v>
      </c>
      <c r="C1465" s="37" t="str">
        <f>IFERROR(__xludf.DUMMYFUNCTION("""COMPUTED_VALUE"""),"")</f>
        <v/>
      </c>
      <c r="D1465" s="89" t="s">
        <v>61</v>
      </c>
      <c r="E1465" s="51" t="s">
        <v>61</v>
      </c>
      <c r="F1465" s="137"/>
      <c r="G1465" s="133"/>
      <c r="H1465" s="141"/>
      <c r="I1465" s="57"/>
      <c r="J1465" s="57"/>
      <c r="K1465" s="72"/>
      <c r="L1465" s="57"/>
      <c r="M1465" s="55"/>
      <c r="N1465" s="55"/>
      <c r="O1465" s="57"/>
      <c r="P1465" s="57"/>
      <c r="Q1465" s="57"/>
      <c r="R1465" s="57"/>
      <c r="S1465" s="132"/>
      <c r="T1465" s="74"/>
      <c r="U1465" s="74"/>
      <c r="V1465" s="74"/>
      <c r="W1465" s="74"/>
      <c r="X1465" s="74"/>
      <c r="Y1465" s="74"/>
      <c r="Z1465" s="76"/>
      <c r="AA1465" s="134"/>
      <c r="AB1465" s="62" t="s">
        <v>61</v>
      </c>
      <c r="AC1465" s="63" t="s">
        <v>61</v>
      </c>
      <c r="AD1465" s="64" t="s">
        <v>61</v>
      </c>
      <c r="AE1465" s="64" t="s">
        <v>61</v>
      </c>
      <c r="AF1465" s="63" t="s">
        <v>61</v>
      </c>
      <c r="AG1465" s="63" t="s">
        <v>61</v>
      </c>
      <c r="AH1465" s="63" t="s">
        <v>61</v>
      </c>
      <c r="AI1465" s="65" t="s">
        <v>61</v>
      </c>
      <c r="AJ1465" s="105" t="s">
        <v>61</v>
      </c>
      <c r="AK1465" s="76"/>
    </row>
    <row r="1466" ht="24.0" customHeight="1">
      <c r="A1466" s="35"/>
      <c r="B1466" s="36">
        <v>1.0</v>
      </c>
      <c r="C1466" s="37" t="str">
        <f>IFERROR(__xludf.DUMMYFUNCTION("""COMPUTED_VALUE"""),"")</f>
        <v/>
      </c>
      <c r="D1466" s="89" t="s">
        <v>61</v>
      </c>
      <c r="E1466" s="39" t="s">
        <v>61</v>
      </c>
      <c r="F1466" s="121"/>
      <c r="G1466" s="122"/>
      <c r="H1466" s="138"/>
      <c r="I1466" s="80"/>
      <c r="J1466" s="80"/>
      <c r="K1466" s="95"/>
      <c r="L1466" s="80"/>
      <c r="M1466" s="43"/>
      <c r="N1466" s="43"/>
      <c r="O1466" s="80"/>
      <c r="P1466" s="80"/>
      <c r="Q1466" s="80"/>
      <c r="R1466" s="80"/>
      <c r="S1466" s="117"/>
      <c r="T1466" s="81"/>
      <c r="U1466" s="81"/>
      <c r="V1466" s="81"/>
      <c r="W1466" s="81"/>
      <c r="X1466" s="81"/>
      <c r="Y1466" s="81"/>
      <c r="Z1466" s="82"/>
      <c r="AA1466" s="99"/>
      <c r="AB1466" s="48" t="s">
        <v>61</v>
      </c>
      <c r="AC1466" s="68" t="s">
        <v>61</v>
      </c>
      <c r="AD1466" s="69" t="s">
        <v>61</v>
      </c>
      <c r="AE1466" s="69" t="s">
        <v>61</v>
      </c>
      <c r="AF1466" s="68" t="s">
        <v>61</v>
      </c>
      <c r="AG1466" s="68" t="s">
        <v>61</v>
      </c>
      <c r="AH1466" s="68" t="s">
        <v>61</v>
      </c>
      <c r="AI1466" s="70" t="s">
        <v>61</v>
      </c>
      <c r="AJ1466" s="114" t="s">
        <v>61</v>
      </c>
      <c r="AK1466" s="82"/>
    </row>
    <row r="1467" ht="24.0" customHeight="1">
      <c r="A1467" s="35"/>
      <c r="B1467" s="36">
        <v>1.0</v>
      </c>
      <c r="C1467" s="37" t="str">
        <f>IFERROR(__xludf.DUMMYFUNCTION("""COMPUTED_VALUE"""),"")</f>
        <v/>
      </c>
      <c r="D1467" s="89" t="s">
        <v>61</v>
      </c>
      <c r="E1467" s="51" t="s">
        <v>61</v>
      </c>
      <c r="F1467" s="137"/>
      <c r="G1467" s="133"/>
      <c r="H1467" s="141"/>
      <c r="I1467" s="57"/>
      <c r="J1467" s="57"/>
      <c r="K1467" s="72"/>
      <c r="L1467" s="57"/>
      <c r="M1467" s="55"/>
      <c r="N1467" s="55"/>
      <c r="O1467" s="57"/>
      <c r="P1467" s="57"/>
      <c r="Q1467" s="57"/>
      <c r="R1467" s="57"/>
      <c r="S1467" s="132"/>
      <c r="T1467" s="74"/>
      <c r="U1467" s="74"/>
      <c r="V1467" s="74"/>
      <c r="W1467" s="74"/>
      <c r="X1467" s="74"/>
      <c r="Y1467" s="74"/>
      <c r="Z1467" s="76"/>
      <c r="AA1467" s="134"/>
      <c r="AB1467" s="62" t="s">
        <v>61</v>
      </c>
      <c r="AC1467" s="63" t="s">
        <v>61</v>
      </c>
      <c r="AD1467" s="64" t="s">
        <v>61</v>
      </c>
      <c r="AE1467" s="64" t="s">
        <v>61</v>
      </c>
      <c r="AF1467" s="63" t="s">
        <v>61</v>
      </c>
      <c r="AG1467" s="63" t="s">
        <v>61</v>
      </c>
      <c r="AH1467" s="63" t="s">
        <v>61</v>
      </c>
      <c r="AI1467" s="65" t="s">
        <v>61</v>
      </c>
      <c r="AJ1467" s="105" t="s">
        <v>61</v>
      </c>
      <c r="AK1467" s="76"/>
    </row>
    <row r="1468" ht="24.0" customHeight="1">
      <c r="A1468" s="35"/>
      <c r="B1468" s="36">
        <v>1.0</v>
      </c>
      <c r="C1468" s="37" t="str">
        <f>IFERROR(__xludf.DUMMYFUNCTION("""COMPUTED_VALUE"""),"")</f>
        <v/>
      </c>
      <c r="D1468" s="89" t="s">
        <v>61</v>
      </c>
      <c r="E1468" s="39" t="s">
        <v>61</v>
      </c>
      <c r="F1468" s="121"/>
      <c r="G1468" s="122"/>
      <c r="H1468" s="138"/>
      <c r="I1468" s="80"/>
      <c r="J1468" s="80"/>
      <c r="K1468" s="95"/>
      <c r="L1468" s="80"/>
      <c r="M1468" s="43"/>
      <c r="N1468" s="43"/>
      <c r="O1468" s="80"/>
      <c r="P1468" s="80"/>
      <c r="Q1468" s="80"/>
      <c r="R1468" s="80"/>
      <c r="S1468" s="117"/>
      <c r="T1468" s="81"/>
      <c r="U1468" s="81"/>
      <c r="V1468" s="81"/>
      <c r="W1468" s="81"/>
      <c r="X1468" s="81"/>
      <c r="Y1468" s="81"/>
      <c r="Z1468" s="82"/>
      <c r="AA1468" s="99"/>
      <c r="AB1468" s="48" t="s">
        <v>61</v>
      </c>
      <c r="AC1468" s="68" t="s">
        <v>61</v>
      </c>
      <c r="AD1468" s="69" t="s">
        <v>61</v>
      </c>
      <c r="AE1468" s="69" t="s">
        <v>61</v>
      </c>
      <c r="AF1468" s="68" t="s">
        <v>61</v>
      </c>
      <c r="AG1468" s="68" t="s">
        <v>61</v>
      </c>
      <c r="AH1468" s="68" t="s">
        <v>61</v>
      </c>
      <c r="AI1468" s="70" t="s">
        <v>61</v>
      </c>
      <c r="AJ1468" s="114" t="s">
        <v>61</v>
      </c>
      <c r="AK1468" s="82"/>
    </row>
    <row r="1469" ht="24.0" customHeight="1">
      <c r="A1469" s="35"/>
      <c r="B1469" s="36">
        <v>1.0</v>
      </c>
      <c r="C1469" s="37" t="str">
        <f>IFERROR(__xludf.DUMMYFUNCTION("""COMPUTED_VALUE"""),"")</f>
        <v/>
      </c>
      <c r="D1469" s="89" t="s">
        <v>61</v>
      </c>
      <c r="E1469" s="51" t="s">
        <v>61</v>
      </c>
      <c r="F1469" s="137"/>
      <c r="G1469" s="133"/>
      <c r="H1469" s="141"/>
      <c r="I1469" s="57"/>
      <c r="J1469" s="57"/>
      <c r="K1469" s="72"/>
      <c r="L1469" s="57"/>
      <c r="M1469" s="55"/>
      <c r="N1469" s="55"/>
      <c r="O1469" s="57"/>
      <c r="P1469" s="57"/>
      <c r="Q1469" s="57"/>
      <c r="R1469" s="57"/>
      <c r="S1469" s="132"/>
      <c r="T1469" s="74"/>
      <c r="U1469" s="74"/>
      <c r="V1469" s="74"/>
      <c r="W1469" s="74"/>
      <c r="X1469" s="74"/>
      <c r="Y1469" s="74"/>
      <c r="Z1469" s="76"/>
      <c r="AA1469" s="134"/>
      <c r="AB1469" s="62" t="s">
        <v>61</v>
      </c>
      <c r="AC1469" s="63" t="s">
        <v>61</v>
      </c>
      <c r="AD1469" s="64" t="s">
        <v>61</v>
      </c>
      <c r="AE1469" s="64" t="s">
        <v>61</v>
      </c>
      <c r="AF1469" s="63" t="s">
        <v>61</v>
      </c>
      <c r="AG1469" s="63" t="s">
        <v>61</v>
      </c>
      <c r="AH1469" s="63" t="s">
        <v>61</v>
      </c>
      <c r="AI1469" s="65" t="s">
        <v>61</v>
      </c>
      <c r="AJ1469" s="105" t="s">
        <v>61</v>
      </c>
      <c r="AK1469" s="76"/>
    </row>
    <row r="1470" ht="24.0" customHeight="1">
      <c r="A1470" s="35"/>
      <c r="B1470" s="36">
        <v>1.0</v>
      </c>
      <c r="C1470" s="37" t="str">
        <f>IFERROR(__xludf.DUMMYFUNCTION("""COMPUTED_VALUE"""),"")</f>
        <v/>
      </c>
      <c r="D1470" s="89" t="s">
        <v>61</v>
      </c>
      <c r="E1470" s="39" t="s">
        <v>61</v>
      </c>
      <c r="F1470" s="121"/>
      <c r="G1470" s="122"/>
      <c r="H1470" s="138"/>
      <c r="I1470" s="80"/>
      <c r="J1470" s="80"/>
      <c r="K1470" s="95"/>
      <c r="L1470" s="80"/>
      <c r="M1470" s="43"/>
      <c r="N1470" s="43"/>
      <c r="O1470" s="80"/>
      <c r="P1470" s="80"/>
      <c r="Q1470" s="80"/>
      <c r="R1470" s="80"/>
      <c r="S1470" s="117"/>
      <c r="T1470" s="81"/>
      <c r="U1470" s="81"/>
      <c r="V1470" s="81"/>
      <c r="W1470" s="81"/>
      <c r="X1470" s="81"/>
      <c r="Y1470" s="81"/>
      <c r="Z1470" s="82"/>
      <c r="AA1470" s="99"/>
      <c r="AB1470" s="48" t="s">
        <v>61</v>
      </c>
      <c r="AC1470" s="68" t="s">
        <v>61</v>
      </c>
      <c r="AD1470" s="69" t="s">
        <v>61</v>
      </c>
      <c r="AE1470" s="69" t="s">
        <v>61</v>
      </c>
      <c r="AF1470" s="68" t="s">
        <v>61</v>
      </c>
      <c r="AG1470" s="68" t="s">
        <v>61</v>
      </c>
      <c r="AH1470" s="68" t="s">
        <v>61</v>
      </c>
      <c r="AI1470" s="70" t="s">
        <v>61</v>
      </c>
      <c r="AJ1470" s="114" t="s">
        <v>61</v>
      </c>
      <c r="AK1470" s="82"/>
    </row>
    <row r="1471" ht="24.0" customHeight="1">
      <c r="A1471" s="35"/>
      <c r="B1471" s="36">
        <v>1.0</v>
      </c>
      <c r="C1471" s="37" t="str">
        <f>IFERROR(__xludf.DUMMYFUNCTION("""COMPUTED_VALUE"""),"")</f>
        <v/>
      </c>
      <c r="D1471" s="89" t="s">
        <v>61</v>
      </c>
      <c r="E1471" s="51" t="s">
        <v>61</v>
      </c>
      <c r="F1471" s="137"/>
      <c r="G1471" s="133"/>
      <c r="H1471" s="141"/>
      <c r="I1471" s="57"/>
      <c r="J1471" s="57"/>
      <c r="K1471" s="72"/>
      <c r="L1471" s="57"/>
      <c r="M1471" s="55"/>
      <c r="N1471" s="55"/>
      <c r="O1471" s="57"/>
      <c r="P1471" s="57"/>
      <c r="Q1471" s="57"/>
      <c r="R1471" s="57"/>
      <c r="S1471" s="132"/>
      <c r="T1471" s="74"/>
      <c r="U1471" s="74"/>
      <c r="V1471" s="74"/>
      <c r="W1471" s="74"/>
      <c r="X1471" s="74"/>
      <c r="Y1471" s="74"/>
      <c r="Z1471" s="76"/>
      <c r="AA1471" s="134"/>
      <c r="AB1471" s="62" t="s">
        <v>61</v>
      </c>
      <c r="AC1471" s="63" t="s">
        <v>61</v>
      </c>
      <c r="AD1471" s="64" t="s">
        <v>61</v>
      </c>
      <c r="AE1471" s="64" t="s">
        <v>61</v>
      </c>
      <c r="AF1471" s="63" t="s">
        <v>61</v>
      </c>
      <c r="AG1471" s="63" t="s">
        <v>61</v>
      </c>
      <c r="AH1471" s="63" t="s">
        <v>61</v>
      </c>
      <c r="AI1471" s="65" t="s">
        <v>61</v>
      </c>
      <c r="AJ1471" s="105" t="s">
        <v>61</v>
      </c>
      <c r="AK1471" s="76"/>
    </row>
    <row r="1472" ht="24.0" customHeight="1">
      <c r="A1472" s="35"/>
      <c r="B1472" s="36">
        <v>1.0</v>
      </c>
      <c r="C1472" s="37" t="str">
        <f>IFERROR(__xludf.DUMMYFUNCTION("""COMPUTED_VALUE"""),"")</f>
        <v/>
      </c>
      <c r="D1472" s="89" t="s">
        <v>61</v>
      </c>
      <c r="E1472" s="39" t="s">
        <v>61</v>
      </c>
      <c r="F1472" s="121"/>
      <c r="G1472" s="122"/>
      <c r="H1472" s="138"/>
      <c r="I1472" s="80"/>
      <c r="J1472" s="80"/>
      <c r="K1472" s="95"/>
      <c r="L1472" s="80"/>
      <c r="M1472" s="43"/>
      <c r="N1472" s="43"/>
      <c r="O1472" s="80"/>
      <c r="P1472" s="80"/>
      <c r="Q1472" s="80"/>
      <c r="R1472" s="80"/>
      <c r="S1472" s="117"/>
      <c r="T1472" s="81"/>
      <c r="U1472" s="81"/>
      <c r="V1472" s="81"/>
      <c r="W1472" s="81"/>
      <c r="X1472" s="81"/>
      <c r="Y1472" s="81"/>
      <c r="Z1472" s="82"/>
      <c r="AA1472" s="99"/>
      <c r="AB1472" s="48" t="s">
        <v>61</v>
      </c>
      <c r="AC1472" s="68" t="s">
        <v>61</v>
      </c>
      <c r="AD1472" s="69" t="s">
        <v>61</v>
      </c>
      <c r="AE1472" s="69" t="s">
        <v>61</v>
      </c>
      <c r="AF1472" s="68" t="s">
        <v>61</v>
      </c>
      <c r="AG1472" s="68" t="s">
        <v>61</v>
      </c>
      <c r="AH1472" s="68" t="s">
        <v>61</v>
      </c>
      <c r="AI1472" s="70" t="s">
        <v>61</v>
      </c>
      <c r="AJ1472" s="114" t="s">
        <v>61</v>
      </c>
      <c r="AK1472" s="82"/>
    </row>
    <row r="1473" ht="24.0" customHeight="1">
      <c r="A1473" s="35"/>
      <c r="B1473" s="36">
        <v>1.0</v>
      </c>
      <c r="C1473" s="37" t="str">
        <f>IFERROR(__xludf.DUMMYFUNCTION("""COMPUTED_VALUE"""),"")</f>
        <v/>
      </c>
      <c r="D1473" s="89" t="s">
        <v>61</v>
      </c>
      <c r="E1473" s="51" t="s">
        <v>61</v>
      </c>
      <c r="F1473" s="137"/>
      <c r="G1473" s="133"/>
      <c r="H1473" s="141"/>
      <c r="I1473" s="57"/>
      <c r="J1473" s="57"/>
      <c r="K1473" s="72"/>
      <c r="L1473" s="57"/>
      <c r="M1473" s="55"/>
      <c r="N1473" s="55"/>
      <c r="O1473" s="57"/>
      <c r="P1473" s="57"/>
      <c r="Q1473" s="57"/>
      <c r="R1473" s="57"/>
      <c r="S1473" s="132"/>
      <c r="T1473" s="74"/>
      <c r="U1473" s="74"/>
      <c r="V1473" s="74"/>
      <c r="W1473" s="74"/>
      <c r="X1473" s="74"/>
      <c r="Y1473" s="74"/>
      <c r="Z1473" s="76"/>
      <c r="AA1473" s="134"/>
      <c r="AB1473" s="62" t="s">
        <v>61</v>
      </c>
      <c r="AC1473" s="63" t="s">
        <v>61</v>
      </c>
      <c r="AD1473" s="64" t="s">
        <v>61</v>
      </c>
      <c r="AE1473" s="64" t="s">
        <v>61</v>
      </c>
      <c r="AF1473" s="63" t="s">
        <v>61</v>
      </c>
      <c r="AG1473" s="63" t="s">
        <v>61</v>
      </c>
      <c r="AH1473" s="63" t="s">
        <v>61</v>
      </c>
      <c r="AI1473" s="65" t="s">
        <v>61</v>
      </c>
      <c r="AJ1473" s="105" t="s">
        <v>61</v>
      </c>
      <c r="AK1473" s="76"/>
    </row>
    <row r="1474" ht="24.0" customHeight="1">
      <c r="A1474" s="35"/>
      <c r="B1474" s="36">
        <v>1.0</v>
      </c>
      <c r="C1474" s="37" t="str">
        <f>IFERROR(__xludf.DUMMYFUNCTION("""COMPUTED_VALUE"""),"")</f>
        <v/>
      </c>
      <c r="D1474" s="89" t="s">
        <v>61</v>
      </c>
      <c r="E1474" s="39" t="s">
        <v>61</v>
      </c>
      <c r="F1474" s="121"/>
      <c r="G1474" s="122"/>
      <c r="H1474" s="138"/>
      <c r="I1474" s="80"/>
      <c r="J1474" s="80"/>
      <c r="K1474" s="95"/>
      <c r="L1474" s="80"/>
      <c r="M1474" s="43"/>
      <c r="N1474" s="43"/>
      <c r="O1474" s="80"/>
      <c r="P1474" s="80"/>
      <c r="Q1474" s="80"/>
      <c r="R1474" s="80"/>
      <c r="S1474" s="117"/>
      <c r="T1474" s="81"/>
      <c r="U1474" s="81"/>
      <c r="V1474" s="81"/>
      <c r="W1474" s="81"/>
      <c r="X1474" s="81"/>
      <c r="Y1474" s="81"/>
      <c r="Z1474" s="82"/>
      <c r="AA1474" s="99"/>
      <c r="AB1474" s="48" t="s">
        <v>61</v>
      </c>
      <c r="AC1474" s="68" t="s">
        <v>61</v>
      </c>
      <c r="AD1474" s="69" t="s">
        <v>61</v>
      </c>
      <c r="AE1474" s="69" t="s">
        <v>61</v>
      </c>
      <c r="AF1474" s="68" t="s">
        <v>61</v>
      </c>
      <c r="AG1474" s="68" t="s">
        <v>61</v>
      </c>
      <c r="AH1474" s="68" t="s">
        <v>61</v>
      </c>
      <c r="AI1474" s="70" t="s">
        <v>61</v>
      </c>
      <c r="AJ1474" s="114" t="s">
        <v>61</v>
      </c>
      <c r="AK1474" s="82"/>
    </row>
    <row r="1475" ht="24.0" customHeight="1">
      <c r="A1475" s="35"/>
      <c r="B1475" s="36">
        <v>1.0</v>
      </c>
      <c r="C1475" s="37" t="str">
        <f>IFERROR(__xludf.DUMMYFUNCTION("""COMPUTED_VALUE"""),"")</f>
        <v/>
      </c>
      <c r="D1475" s="89" t="s">
        <v>61</v>
      </c>
      <c r="E1475" s="51" t="s">
        <v>61</v>
      </c>
      <c r="F1475" s="137"/>
      <c r="G1475" s="133"/>
      <c r="H1475" s="141"/>
      <c r="I1475" s="57"/>
      <c r="J1475" s="57"/>
      <c r="K1475" s="72"/>
      <c r="L1475" s="57"/>
      <c r="M1475" s="55"/>
      <c r="N1475" s="55"/>
      <c r="O1475" s="57"/>
      <c r="P1475" s="57"/>
      <c r="Q1475" s="57"/>
      <c r="R1475" s="57"/>
      <c r="S1475" s="132"/>
      <c r="T1475" s="74"/>
      <c r="U1475" s="74"/>
      <c r="V1475" s="74"/>
      <c r="W1475" s="74"/>
      <c r="X1475" s="74"/>
      <c r="Y1475" s="74"/>
      <c r="Z1475" s="76"/>
      <c r="AA1475" s="134"/>
      <c r="AB1475" s="62" t="s">
        <v>61</v>
      </c>
      <c r="AC1475" s="63" t="s">
        <v>61</v>
      </c>
      <c r="AD1475" s="64" t="s">
        <v>61</v>
      </c>
      <c r="AE1475" s="64" t="s">
        <v>61</v>
      </c>
      <c r="AF1475" s="63" t="s">
        <v>61</v>
      </c>
      <c r="AG1475" s="63" t="s">
        <v>61</v>
      </c>
      <c r="AH1475" s="63" t="s">
        <v>61</v>
      </c>
      <c r="AI1475" s="65" t="s">
        <v>61</v>
      </c>
      <c r="AJ1475" s="105" t="s">
        <v>61</v>
      </c>
      <c r="AK1475" s="76"/>
    </row>
    <row r="1476" ht="24.0" customHeight="1">
      <c r="A1476" s="35"/>
      <c r="B1476" s="36">
        <v>1.0</v>
      </c>
      <c r="C1476" s="37" t="str">
        <f>IFERROR(__xludf.DUMMYFUNCTION("""COMPUTED_VALUE"""),"")</f>
        <v/>
      </c>
      <c r="D1476" s="89" t="s">
        <v>61</v>
      </c>
      <c r="E1476" s="39" t="s">
        <v>61</v>
      </c>
      <c r="F1476" s="121"/>
      <c r="G1476" s="122"/>
      <c r="H1476" s="138"/>
      <c r="I1476" s="80"/>
      <c r="J1476" s="80"/>
      <c r="K1476" s="95"/>
      <c r="L1476" s="80"/>
      <c r="M1476" s="43"/>
      <c r="N1476" s="43"/>
      <c r="O1476" s="80"/>
      <c r="P1476" s="80"/>
      <c r="Q1476" s="80"/>
      <c r="R1476" s="80"/>
      <c r="S1476" s="117"/>
      <c r="T1476" s="81"/>
      <c r="U1476" s="81"/>
      <c r="V1476" s="81"/>
      <c r="W1476" s="81"/>
      <c r="X1476" s="81"/>
      <c r="Y1476" s="81"/>
      <c r="Z1476" s="82"/>
      <c r="AA1476" s="99"/>
      <c r="AB1476" s="48" t="s">
        <v>61</v>
      </c>
      <c r="AC1476" s="68" t="s">
        <v>61</v>
      </c>
      <c r="AD1476" s="69" t="s">
        <v>61</v>
      </c>
      <c r="AE1476" s="69" t="s">
        <v>61</v>
      </c>
      <c r="AF1476" s="68" t="s">
        <v>61</v>
      </c>
      <c r="AG1476" s="68" t="s">
        <v>61</v>
      </c>
      <c r="AH1476" s="68" t="s">
        <v>61</v>
      </c>
      <c r="AI1476" s="70" t="s">
        <v>61</v>
      </c>
      <c r="AJ1476" s="114" t="s">
        <v>61</v>
      </c>
      <c r="AK1476" s="82"/>
    </row>
    <row r="1477" ht="24.0" customHeight="1">
      <c r="A1477" s="35"/>
      <c r="B1477" s="36">
        <v>1.0</v>
      </c>
      <c r="C1477" s="37" t="str">
        <f>IFERROR(__xludf.DUMMYFUNCTION("""COMPUTED_VALUE"""),"")</f>
        <v/>
      </c>
      <c r="D1477" s="89" t="s">
        <v>61</v>
      </c>
      <c r="E1477" s="51" t="s">
        <v>61</v>
      </c>
      <c r="F1477" s="137"/>
      <c r="G1477" s="133"/>
      <c r="H1477" s="141"/>
      <c r="I1477" s="57"/>
      <c r="J1477" s="57"/>
      <c r="K1477" s="72"/>
      <c r="L1477" s="57"/>
      <c r="M1477" s="55"/>
      <c r="N1477" s="55"/>
      <c r="O1477" s="57"/>
      <c r="P1477" s="57"/>
      <c r="Q1477" s="57"/>
      <c r="R1477" s="57"/>
      <c r="S1477" s="132"/>
      <c r="T1477" s="74"/>
      <c r="U1477" s="74"/>
      <c r="V1477" s="74"/>
      <c r="W1477" s="74"/>
      <c r="X1477" s="74"/>
      <c r="Y1477" s="74"/>
      <c r="Z1477" s="76"/>
      <c r="AA1477" s="134"/>
      <c r="AB1477" s="62" t="s">
        <v>61</v>
      </c>
      <c r="AC1477" s="63" t="s">
        <v>61</v>
      </c>
      <c r="AD1477" s="64" t="s">
        <v>61</v>
      </c>
      <c r="AE1477" s="64" t="s">
        <v>61</v>
      </c>
      <c r="AF1477" s="63" t="s">
        <v>61</v>
      </c>
      <c r="AG1477" s="63" t="s">
        <v>61</v>
      </c>
      <c r="AH1477" s="63" t="s">
        <v>61</v>
      </c>
      <c r="AI1477" s="65" t="s">
        <v>61</v>
      </c>
      <c r="AJ1477" s="105" t="s">
        <v>61</v>
      </c>
      <c r="AK1477" s="76"/>
    </row>
    <row r="1478" ht="24.0" customHeight="1">
      <c r="A1478" s="35"/>
      <c r="B1478" s="36">
        <v>1.0</v>
      </c>
      <c r="C1478" s="37" t="str">
        <f>IFERROR(__xludf.DUMMYFUNCTION("""COMPUTED_VALUE"""),"")</f>
        <v/>
      </c>
      <c r="D1478" s="89" t="s">
        <v>61</v>
      </c>
      <c r="E1478" s="39" t="s">
        <v>61</v>
      </c>
      <c r="F1478" s="121"/>
      <c r="G1478" s="122"/>
      <c r="H1478" s="138"/>
      <c r="I1478" s="80"/>
      <c r="J1478" s="80"/>
      <c r="K1478" s="95"/>
      <c r="L1478" s="80"/>
      <c r="M1478" s="43"/>
      <c r="N1478" s="43"/>
      <c r="O1478" s="80"/>
      <c r="P1478" s="80"/>
      <c r="Q1478" s="80"/>
      <c r="R1478" s="80"/>
      <c r="S1478" s="117"/>
      <c r="T1478" s="81"/>
      <c r="U1478" s="81"/>
      <c r="V1478" s="81"/>
      <c r="W1478" s="81"/>
      <c r="X1478" s="81"/>
      <c r="Y1478" s="81"/>
      <c r="Z1478" s="82"/>
      <c r="AA1478" s="99"/>
      <c r="AB1478" s="48" t="s">
        <v>61</v>
      </c>
      <c r="AC1478" s="68" t="s">
        <v>61</v>
      </c>
      <c r="AD1478" s="69" t="s">
        <v>61</v>
      </c>
      <c r="AE1478" s="69" t="s">
        <v>61</v>
      </c>
      <c r="AF1478" s="68" t="s">
        <v>61</v>
      </c>
      <c r="AG1478" s="68" t="s">
        <v>61</v>
      </c>
      <c r="AH1478" s="68" t="s">
        <v>61</v>
      </c>
      <c r="AI1478" s="70" t="s">
        <v>61</v>
      </c>
      <c r="AJ1478" s="114" t="s">
        <v>61</v>
      </c>
      <c r="AK1478" s="82"/>
    </row>
    <row r="1479" ht="24.0" customHeight="1">
      <c r="A1479" s="35"/>
      <c r="B1479" s="36">
        <v>1.0</v>
      </c>
      <c r="C1479" s="37" t="str">
        <f>IFERROR(__xludf.DUMMYFUNCTION("""COMPUTED_VALUE"""),"")</f>
        <v/>
      </c>
      <c r="D1479" s="89" t="s">
        <v>61</v>
      </c>
      <c r="E1479" s="51" t="s">
        <v>61</v>
      </c>
      <c r="F1479" s="137"/>
      <c r="G1479" s="133"/>
      <c r="H1479" s="141"/>
      <c r="I1479" s="57"/>
      <c r="J1479" s="57"/>
      <c r="K1479" s="72"/>
      <c r="L1479" s="57"/>
      <c r="M1479" s="55"/>
      <c r="N1479" s="55"/>
      <c r="O1479" s="57"/>
      <c r="P1479" s="57"/>
      <c r="Q1479" s="57"/>
      <c r="R1479" s="57"/>
      <c r="S1479" s="132"/>
      <c r="T1479" s="74"/>
      <c r="U1479" s="74"/>
      <c r="V1479" s="74"/>
      <c r="W1479" s="74"/>
      <c r="X1479" s="74"/>
      <c r="Y1479" s="74"/>
      <c r="Z1479" s="76"/>
      <c r="AA1479" s="134"/>
      <c r="AB1479" s="62" t="s">
        <v>61</v>
      </c>
      <c r="AC1479" s="63" t="s">
        <v>61</v>
      </c>
      <c r="AD1479" s="64" t="s">
        <v>61</v>
      </c>
      <c r="AE1479" s="64" t="s">
        <v>61</v>
      </c>
      <c r="AF1479" s="63" t="s">
        <v>61</v>
      </c>
      <c r="AG1479" s="63" t="s">
        <v>61</v>
      </c>
      <c r="AH1479" s="63" t="s">
        <v>61</v>
      </c>
      <c r="AI1479" s="65" t="s">
        <v>61</v>
      </c>
      <c r="AJ1479" s="105" t="s">
        <v>61</v>
      </c>
      <c r="AK1479" s="76"/>
    </row>
    <row r="1480" ht="24.0" customHeight="1">
      <c r="A1480" s="35"/>
      <c r="B1480" s="36">
        <v>1.0</v>
      </c>
      <c r="C1480" s="37" t="str">
        <f>IFERROR(__xludf.DUMMYFUNCTION("""COMPUTED_VALUE"""),"")</f>
        <v/>
      </c>
      <c r="D1480" s="89" t="s">
        <v>61</v>
      </c>
      <c r="E1480" s="39" t="s">
        <v>61</v>
      </c>
      <c r="F1480" s="121"/>
      <c r="G1480" s="122"/>
      <c r="H1480" s="138"/>
      <c r="I1480" s="80"/>
      <c r="J1480" s="80"/>
      <c r="K1480" s="95"/>
      <c r="L1480" s="80"/>
      <c r="M1480" s="43"/>
      <c r="N1480" s="43"/>
      <c r="O1480" s="80"/>
      <c r="P1480" s="80"/>
      <c r="Q1480" s="80"/>
      <c r="R1480" s="80"/>
      <c r="S1480" s="117"/>
      <c r="T1480" s="81"/>
      <c r="U1480" s="81"/>
      <c r="V1480" s="81"/>
      <c r="W1480" s="81"/>
      <c r="X1480" s="81"/>
      <c r="Y1480" s="81"/>
      <c r="Z1480" s="82"/>
      <c r="AA1480" s="99"/>
      <c r="AB1480" s="48" t="s">
        <v>61</v>
      </c>
      <c r="AC1480" s="68" t="s">
        <v>61</v>
      </c>
      <c r="AD1480" s="69" t="s">
        <v>61</v>
      </c>
      <c r="AE1480" s="69" t="s">
        <v>61</v>
      </c>
      <c r="AF1480" s="68" t="s">
        <v>61</v>
      </c>
      <c r="AG1480" s="68" t="s">
        <v>61</v>
      </c>
      <c r="AH1480" s="68" t="s">
        <v>61</v>
      </c>
      <c r="AI1480" s="70" t="s">
        <v>61</v>
      </c>
      <c r="AJ1480" s="114" t="s">
        <v>61</v>
      </c>
      <c r="AK1480" s="82"/>
    </row>
    <row r="1481" ht="24.0" customHeight="1">
      <c r="A1481" s="35"/>
      <c r="B1481" s="36">
        <v>1.0</v>
      </c>
      <c r="C1481" s="37" t="str">
        <f>IFERROR(__xludf.DUMMYFUNCTION("""COMPUTED_VALUE"""),"")</f>
        <v/>
      </c>
      <c r="D1481" s="89" t="s">
        <v>61</v>
      </c>
      <c r="E1481" s="51" t="s">
        <v>61</v>
      </c>
      <c r="F1481" s="137"/>
      <c r="G1481" s="133"/>
      <c r="H1481" s="141"/>
      <c r="I1481" s="57"/>
      <c r="J1481" s="57"/>
      <c r="K1481" s="72"/>
      <c r="L1481" s="57"/>
      <c r="M1481" s="55"/>
      <c r="N1481" s="55"/>
      <c r="O1481" s="57"/>
      <c r="P1481" s="57"/>
      <c r="Q1481" s="57"/>
      <c r="R1481" s="57"/>
      <c r="S1481" s="132"/>
      <c r="T1481" s="74"/>
      <c r="U1481" s="74"/>
      <c r="V1481" s="74"/>
      <c r="W1481" s="74"/>
      <c r="X1481" s="74"/>
      <c r="Y1481" s="74"/>
      <c r="Z1481" s="76"/>
      <c r="AA1481" s="134"/>
      <c r="AB1481" s="62" t="s">
        <v>61</v>
      </c>
      <c r="AC1481" s="63" t="s">
        <v>61</v>
      </c>
      <c r="AD1481" s="64" t="s">
        <v>61</v>
      </c>
      <c r="AE1481" s="64" t="s">
        <v>61</v>
      </c>
      <c r="AF1481" s="63" t="s">
        <v>61</v>
      </c>
      <c r="AG1481" s="63" t="s">
        <v>61</v>
      </c>
      <c r="AH1481" s="63" t="s">
        <v>61</v>
      </c>
      <c r="AI1481" s="65" t="s">
        <v>61</v>
      </c>
      <c r="AJ1481" s="105" t="s">
        <v>61</v>
      </c>
      <c r="AK1481" s="76"/>
    </row>
    <row r="1482" ht="24.0" customHeight="1">
      <c r="A1482" s="35"/>
      <c r="B1482" s="36">
        <v>1.0</v>
      </c>
      <c r="C1482" s="37" t="str">
        <f>IFERROR(__xludf.DUMMYFUNCTION("""COMPUTED_VALUE"""),"")</f>
        <v/>
      </c>
      <c r="D1482" s="89" t="s">
        <v>61</v>
      </c>
      <c r="E1482" s="39" t="s">
        <v>61</v>
      </c>
      <c r="F1482" s="121"/>
      <c r="G1482" s="122"/>
      <c r="H1482" s="138"/>
      <c r="I1482" s="80"/>
      <c r="J1482" s="80"/>
      <c r="K1482" s="95"/>
      <c r="L1482" s="80"/>
      <c r="M1482" s="43"/>
      <c r="N1482" s="43"/>
      <c r="O1482" s="80"/>
      <c r="P1482" s="80"/>
      <c r="Q1482" s="80"/>
      <c r="R1482" s="80"/>
      <c r="S1482" s="117"/>
      <c r="T1482" s="81"/>
      <c r="U1482" s="81"/>
      <c r="V1482" s="81"/>
      <c r="W1482" s="81"/>
      <c r="X1482" s="81"/>
      <c r="Y1482" s="81"/>
      <c r="Z1482" s="82"/>
      <c r="AA1482" s="99"/>
      <c r="AB1482" s="48" t="s">
        <v>61</v>
      </c>
      <c r="AC1482" s="68" t="s">
        <v>61</v>
      </c>
      <c r="AD1482" s="69" t="s">
        <v>61</v>
      </c>
      <c r="AE1482" s="69" t="s">
        <v>61</v>
      </c>
      <c r="AF1482" s="68" t="s">
        <v>61</v>
      </c>
      <c r="AG1482" s="68" t="s">
        <v>61</v>
      </c>
      <c r="AH1482" s="68" t="s">
        <v>61</v>
      </c>
      <c r="AI1482" s="70" t="s">
        <v>61</v>
      </c>
      <c r="AJ1482" s="114" t="s">
        <v>61</v>
      </c>
      <c r="AK1482" s="82"/>
    </row>
    <row r="1483" ht="24.0" customHeight="1">
      <c r="A1483" s="35"/>
      <c r="B1483" s="36">
        <v>1.0</v>
      </c>
      <c r="C1483" s="37" t="str">
        <f>IFERROR(__xludf.DUMMYFUNCTION("""COMPUTED_VALUE"""),"")</f>
        <v/>
      </c>
      <c r="D1483" s="89" t="s">
        <v>61</v>
      </c>
      <c r="E1483" s="51" t="s">
        <v>61</v>
      </c>
      <c r="F1483" s="137"/>
      <c r="G1483" s="133"/>
      <c r="H1483" s="141"/>
      <c r="I1483" s="57"/>
      <c r="J1483" s="57"/>
      <c r="K1483" s="72"/>
      <c r="L1483" s="57"/>
      <c r="M1483" s="55"/>
      <c r="N1483" s="55"/>
      <c r="O1483" s="57"/>
      <c r="P1483" s="57"/>
      <c r="Q1483" s="57"/>
      <c r="R1483" s="57"/>
      <c r="S1483" s="132"/>
      <c r="T1483" s="74"/>
      <c r="U1483" s="74"/>
      <c r="V1483" s="74"/>
      <c r="W1483" s="74"/>
      <c r="X1483" s="74"/>
      <c r="Y1483" s="74"/>
      <c r="Z1483" s="76"/>
      <c r="AA1483" s="134"/>
      <c r="AB1483" s="62" t="s">
        <v>61</v>
      </c>
      <c r="AC1483" s="63" t="s">
        <v>61</v>
      </c>
      <c r="AD1483" s="64" t="s">
        <v>61</v>
      </c>
      <c r="AE1483" s="64" t="s">
        <v>61</v>
      </c>
      <c r="AF1483" s="63" t="s">
        <v>61</v>
      </c>
      <c r="AG1483" s="63" t="s">
        <v>61</v>
      </c>
      <c r="AH1483" s="63" t="s">
        <v>61</v>
      </c>
      <c r="AI1483" s="65" t="s">
        <v>61</v>
      </c>
      <c r="AJ1483" s="105" t="s">
        <v>61</v>
      </c>
      <c r="AK1483" s="76"/>
    </row>
    <row r="1484" ht="24.0" customHeight="1">
      <c r="A1484" s="35"/>
      <c r="B1484" s="36">
        <v>1.0</v>
      </c>
      <c r="C1484" s="37" t="str">
        <f>IFERROR(__xludf.DUMMYFUNCTION("""COMPUTED_VALUE"""),"")</f>
        <v/>
      </c>
      <c r="D1484" s="89" t="s">
        <v>61</v>
      </c>
      <c r="E1484" s="39" t="s">
        <v>61</v>
      </c>
      <c r="F1484" s="121"/>
      <c r="G1484" s="122"/>
      <c r="H1484" s="138"/>
      <c r="I1484" s="80"/>
      <c r="J1484" s="80"/>
      <c r="K1484" s="95"/>
      <c r="L1484" s="80"/>
      <c r="M1484" s="43"/>
      <c r="N1484" s="43"/>
      <c r="O1484" s="80"/>
      <c r="P1484" s="80"/>
      <c r="Q1484" s="80"/>
      <c r="R1484" s="80"/>
      <c r="S1484" s="117"/>
      <c r="T1484" s="81"/>
      <c r="U1484" s="81"/>
      <c r="V1484" s="81"/>
      <c r="W1484" s="81"/>
      <c r="X1484" s="81"/>
      <c r="Y1484" s="81"/>
      <c r="Z1484" s="82"/>
      <c r="AA1484" s="99"/>
      <c r="AB1484" s="48" t="s">
        <v>61</v>
      </c>
      <c r="AC1484" s="68" t="s">
        <v>61</v>
      </c>
      <c r="AD1484" s="69" t="s">
        <v>61</v>
      </c>
      <c r="AE1484" s="69" t="s">
        <v>61</v>
      </c>
      <c r="AF1484" s="68" t="s">
        <v>61</v>
      </c>
      <c r="AG1484" s="68" t="s">
        <v>61</v>
      </c>
      <c r="AH1484" s="68" t="s">
        <v>61</v>
      </c>
      <c r="AI1484" s="70" t="s">
        <v>61</v>
      </c>
      <c r="AJ1484" s="114" t="s">
        <v>61</v>
      </c>
      <c r="AK1484" s="82"/>
    </row>
    <row r="1485" ht="24.0" customHeight="1">
      <c r="A1485" s="35"/>
      <c r="B1485" s="36">
        <v>1.0</v>
      </c>
      <c r="C1485" s="37" t="str">
        <f>IFERROR(__xludf.DUMMYFUNCTION("""COMPUTED_VALUE"""),"")</f>
        <v/>
      </c>
      <c r="D1485" s="89" t="s">
        <v>61</v>
      </c>
      <c r="E1485" s="51" t="s">
        <v>61</v>
      </c>
      <c r="F1485" s="137"/>
      <c r="G1485" s="133"/>
      <c r="H1485" s="141"/>
      <c r="I1485" s="57"/>
      <c r="J1485" s="57"/>
      <c r="K1485" s="72"/>
      <c r="L1485" s="57"/>
      <c r="M1485" s="55"/>
      <c r="N1485" s="55"/>
      <c r="O1485" s="57"/>
      <c r="P1485" s="57"/>
      <c r="Q1485" s="57"/>
      <c r="R1485" s="57"/>
      <c r="S1485" s="132"/>
      <c r="T1485" s="74"/>
      <c r="U1485" s="74"/>
      <c r="V1485" s="74"/>
      <c r="W1485" s="74"/>
      <c r="X1485" s="74"/>
      <c r="Y1485" s="74"/>
      <c r="Z1485" s="76"/>
      <c r="AA1485" s="134"/>
      <c r="AB1485" s="62" t="s">
        <v>61</v>
      </c>
      <c r="AC1485" s="63" t="s">
        <v>61</v>
      </c>
      <c r="AD1485" s="64" t="s">
        <v>61</v>
      </c>
      <c r="AE1485" s="64" t="s">
        <v>61</v>
      </c>
      <c r="AF1485" s="63" t="s">
        <v>61</v>
      </c>
      <c r="AG1485" s="63" t="s">
        <v>61</v>
      </c>
      <c r="AH1485" s="63" t="s">
        <v>61</v>
      </c>
      <c r="AI1485" s="65" t="s">
        <v>61</v>
      </c>
      <c r="AJ1485" s="105" t="s">
        <v>61</v>
      </c>
      <c r="AK1485" s="76"/>
    </row>
    <row r="1486" ht="24.0" customHeight="1">
      <c r="A1486" s="35"/>
      <c r="B1486" s="36">
        <v>1.0</v>
      </c>
      <c r="C1486" s="37" t="str">
        <f>IFERROR(__xludf.DUMMYFUNCTION("""COMPUTED_VALUE"""),"")</f>
        <v/>
      </c>
      <c r="D1486" s="89" t="s">
        <v>61</v>
      </c>
      <c r="E1486" s="39" t="s">
        <v>61</v>
      </c>
      <c r="F1486" s="121"/>
      <c r="G1486" s="122"/>
      <c r="H1486" s="138"/>
      <c r="I1486" s="80"/>
      <c r="J1486" s="80"/>
      <c r="K1486" s="95"/>
      <c r="L1486" s="80"/>
      <c r="M1486" s="43"/>
      <c r="N1486" s="43"/>
      <c r="O1486" s="80"/>
      <c r="P1486" s="80"/>
      <c r="Q1486" s="80"/>
      <c r="R1486" s="80"/>
      <c r="S1486" s="117"/>
      <c r="T1486" s="81"/>
      <c r="U1486" s="81"/>
      <c r="V1486" s="81"/>
      <c r="W1486" s="81"/>
      <c r="X1486" s="81"/>
      <c r="Y1486" s="81"/>
      <c r="Z1486" s="82"/>
      <c r="AA1486" s="99"/>
      <c r="AB1486" s="48" t="s">
        <v>61</v>
      </c>
      <c r="AC1486" s="68" t="s">
        <v>61</v>
      </c>
      <c r="AD1486" s="69" t="s">
        <v>61</v>
      </c>
      <c r="AE1486" s="69" t="s">
        <v>61</v>
      </c>
      <c r="AF1486" s="68" t="s">
        <v>61</v>
      </c>
      <c r="AG1486" s="68" t="s">
        <v>61</v>
      </c>
      <c r="AH1486" s="68" t="s">
        <v>61</v>
      </c>
      <c r="AI1486" s="70" t="s">
        <v>61</v>
      </c>
      <c r="AJ1486" s="114" t="s">
        <v>61</v>
      </c>
      <c r="AK1486" s="82"/>
    </row>
    <row r="1487" ht="24.0" customHeight="1">
      <c r="A1487" s="35"/>
      <c r="B1487" s="36">
        <v>1.0</v>
      </c>
      <c r="C1487" s="37" t="str">
        <f>IFERROR(__xludf.DUMMYFUNCTION("""COMPUTED_VALUE"""),"")</f>
        <v/>
      </c>
      <c r="D1487" s="89" t="s">
        <v>61</v>
      </c>
      <c r="E1487" s="51" t="s">
        <v>61</v>
      </c>
      <c r="F1487" s="137"/>
      <c r="G1487" s="133"/>
      <c r="H1487" s="141"/>
      <c r="I1487" s="57"/>
      <c r="J1487" s="57"/>
      <c r="K1487" s="72"/>
      <c r="L1487" s="57"/>
      <c r="M1487" s="55"/>
      <c r="N1487" s="55"/>
      <c r="O1487" s="57"/>
      <c r="P1487" s="57"/>
      <c r="Q1487" s="57"/>
      <c r="R1487" s="57"/>
      <c r="S1487" s="132"/>
      <c r="T1487" s="74"/>
      <c r="U1487" s="74"/>
      <c r="V1487" s="74"/>
      <c r="W1487" s="74"/>
      <c r="X1487" s="74"/>
      <c r="Y1487" s="74"/>
      <c r="Z1487" s="76"/>
      <c r="AA1487" s="134"/>
      <c r="AB1487" s="62" t="s">
        <v>61</v>
      </c>
      <c r="AC1487" s="63" t="s">
        <v>61</v>
      </c>
      <c r="AD1487" s="64" t="s">
        <v>61</v>
      </c>
      <c r="AE1487" s="64" t="s">
        <v>61</v>
      </c>
      <c r="AF1487" s="63" t="s">
        <v>61</v>
      </c>
      <c r="AG1487" s="63" t="s">
        <v>61</v>
      </c>
      <c r="AH1487" s="63" t="s">
        <v>61</v>
      </c>
      <c r="AI1487" s="65" t="s">
        <v>61</v>
      </c>
      <c r="AJ1487" s="105" t="s">
        <v>61</v>
      </c>
      <c r="AK1487" s="76"/>
    </row>
    <row r="1488" ht="24.0" customHeight="1">
      <c r="A1488" s="35"/>
      <c r="B1488" s="36">
        <v>1.0</v>
      </c>
      <c r="C1488" s="37" t="str">
        <f>IFERROR(__xludf.DUMMYFUNCTION("""COMPUTED_VALUE"""),"")</f>
        <v/>
      </c>
      <c r="D1488" s="89" t="s">
        <v>61</v>
      </c>
      <c r="E1488" s="39" t="s">
        <v>61</v>
      </c>
      <c r="F1488" s="121"/>
      <c r="G1488" s="122"/>
      <c r="H1488" s="138"/>
      <c r="I1488" s="80"/>
      <c r="J1488" s="80"/>
      <c r="K1488" s="95"/>
      <c r="L1488" s="80"/>
      <c r="M1488" s="43"/>
      <c r="N1488" s="43"/>
      <c r="O1488" s="80"/>
      <c r="P1488" s="80"/>
      <c r="Q1488" s="80"/>
      <c r="R1488" s="80"/>
      <c r="S1488" s="117"/>
      <c r="T1488" s="81"/>
      <c r="U1488" s="81"/>
      <c r="V1488" s="81"/>
      <c r="W1488" s="81"/>
      <c r="X1488" s="81"/>
      <c r="Y1488" s="81"/>
      <c r="Z1488" s="82"/>
      <c r="AA1488" s="99"/>
      <c r="AB1488" s="48" t="s">
        <v>61</v>
      </c>
      <c r="AC1488" s="68" t="s">
        <v>61</v>
      </c>
      <c r="AD1488" s="69" t="s">
        <v>61</v>
      </c>
      <c r="AE1488" s="69" t="s">
        <v>61</v>
      </c>
      <c r="AF1488" s="68" t="s">
        <v>61</v>
      </c>
      <c r="AG1488" s="68" t="s">
        <v>61</v>
      </c>
      <c r="AH1488" s="68" t="s">
        <v>61</v>
      </c>
      <c r="AI1488" s="70" t="s">
        <v>61</v>
      </c>
      <c r="AJ1488" s="114" t="s">
        <v>61</v>
      </c>
      <c r="AK1488" s="82"/>
    </row>
    <row r="1489" ht="24.0" customHeight="1">
      <c r="A1489" s="35"/>
      <c r="B1489" s="36">
        <v>1.0</v>
      </c>
      <c r="C1489" s="37" t="str">
        <f>IFERROR(__xludf.DUMMYFUNCTION("""COMPUTED_VALUE"""),"")</f>
        <v/>
      </c>
      <c r="D1489" s="89" t="s">
        <v>61</v>
      </c>
      <c r="E1489" s="51" t="s">
        <v>61</v>
      </c>
      <c r="F1489" s="137"/>
      <c r="G1489" s="133"/>
      <c r="H1489" s="141"/>
      <c r="I1489" s="57"/>
      <c r="J1489" s="57"/>
      <c r="K1489" s="72"/>
      <c r="L1489" s="57"/>
      <c r="M1489" s="55"/>
      <c r="N1489" s="55"/>
      <c r="O1489" s="57"/>
      <c r="P1489" s="57"/>
      <c r="Q1489" s="57"/>
      <c r="R1489" s="57"/>
      <c r="S1489" s="132"/>
      <c r="T1489" s="74"/>
      <c r="U1489" s="74"/>
      <c r="V1489" s="74"/>
      <c r="W1489" s="74"/>
      <c r="X1489" s="74"/>
      <c r="Y1489" s="74"/>
      <c r="Z1489" s="76"/>
      <c r="AA1489" s="134"/>
      <c r="AB1489" s="62" t="s">
        <v>61</v>
      </c>
      <c r="AC1489" s="63" t="s">
        <v>61</v>
      </c>
      <c r="AD1489" s="64" t="s">
        <v>61</v>
      </c>
      <c r="AE1489" s="64" t="s">
        <v>61</v>
      </c>
      <c r="AF1489" s="63" t="s">
        <v>61</v>
      </c>
      <c r="AG1489" s="63" t="s">
        <v>61</v>
      </c>
      <c r="AH1489" s="63" t="s">
        <v>61</v>
      </c>
      <c r="AI1489" s="65" t="s">
        <v>61</v>
      </c>
      <c r="AJ1489" s="105" t="s">
        <v>61</v>
      </c>
      <c r="AK1489" s="76"/>
    </row>
    <row r="1490" ht="24.0" customHeight="1">
      <c r="A1490" s="35"/>
      <c r="B1490" s="36">
        <v>1.0</v>
      </c>
      <c r="C1490" s="37" t="str">
        <f>IFERROR(__xludf.DUMMYFUNCTION("""COMPUTED_VALUE"""),"")</f>
        <v/>
      </c>
      <c r="D1490" s="89" t="s">
        <v>61</v>
      </c>
      <c r="E1490" s="39" t="s">
        <v>61</v>
      </c>
      <c r="F1490" s="121"/>
      <c r="G1490" s="122"/>
      <c r="H1490" s="138"/>
      <c r="I1490" s="80"/>
      <c r="J1490" s="80"/>
      <c r="K1490" s="95"/>
      <c r="L1490" s="80"/>
      <c r="M1490" s="43"/>
      <c r="N1490" s="43"/>
      <c r="O1490" s="80"/>
      <c r="P1490" s="80"/>
      <c r="Q1490" s="80"/>
      <c r="R1490" s="80"/>
      <c r="S1490" s="117"/>
      <c r="T1490" s="81"/>
      <c r="U1490" s="81"/>
      <c r="V1490" s="81"/>
      <c r="W1490" s="81"/>
      <c r="X1490" s="81"/>
      <c r="Y1490" s="81"/>
      <c r="Z1490" s="82"/>
      <c r="AA1490" s="99"/>
      <c r="AB1490" s="48" t="s">
        <v>61</v>
      </c>
      <c r="AC1490" s="68" t="s">
        <v>61</v>
      </c>
      <c r="AD1490" s="69" t="s">
        <v>61</v>
      </c>
      <c r="AE1490" s="69" t="s">
        <v>61</v>
      </c>
      <c r="AF1490" s="68" t="s">
        <v>61</v>
      </c>
      <c r="AG1490" s="68" t="s">
        <v>61</v>
      </c>
      <c r="AH1490" s="68" t="s">
        <v>61</v>
      </c>
      <c r="AI1490" s="70" t="s">
        <v>61</v>
      </c>
      <c r="AJ1490" s="114" t="s">
        <v>61</v>
      </c>
      <c r="AK1490" s="82"/>
    </row>
    <row r="1491" ht="24.0" customHeight="1">
      <c r="A1491" s="35"/>
      <c r="B1491" s="36">
        <v>1.0</v>
      </c>
      <c r="C1491" s="37" t="str">
        <f>IFERROR(__xludf.DUMMYFUNCTION("""COMPUTED_VALUE"""),"")</f>
        <v/>
      </c>
      <c r="D1491" s="89" t="s">
        <v>61</v>
      </c>
      <c r="E1491" s="51" t="s">
        <v>61</v>
      </c>
      <c r="F1491" s="137"/>
      <c r="G1491" s="133"/>
      <c r="H1491" s="141"/>
      <c r="I1491" s="57"/>
      <c r="J1491" s="57"/>
      <c r="K1491" s="72"/>
      <c r="L1491" s="57"/>
      <c r="M1491" s="55"/>
      <c r="N1491" s="55"/>
      <c r="O1491" s="57"/>
      <c r="P1491" s="57"/>
      <c r="Q1491" s="57"/>
      <c r="R1491" s="57"/>
      <c r="S1491" s="132"/>
      <c r="T1491" s="74"/>
      <c r="U1491" s="74"/>
      <c r="V1491" s="74"/>
      <c r="W1491" s="74"/>
      <c r="X1491" s="74"/>
      <c r="Y1491" s="74"/>
      <c r="Z1491" s="76"/>
      <c r="AA1491" s="134"/>
      <c r="AB1491" s="62" t="s">
        <v>61</v>
      </c>
      <c r="AC1491" s="63" t="s">
        <v>61</v>
      </c>
      <c r="AD1491" s="64" t="s">
        <v>61</v>
      </c>
      <c r="AE1491" s="64" t="s">
        <v>61</v>
      </c>
      <c r="AF1491" s="63" t="s">
        <v>61</v>
      </c>
      <c r="AG1491" s="63" t="s">
        <v>61</v>
      </c>
      <c r="AH1491" s="63" t="s">
        <v>61</v>
      </c>
      <c r="AI1491" s="65" t="s">
        <v>61</v>
      </c>
      <c r="AJ1491" s="105" t="s">
        <v>61</v>
      </c>
      <c r="AK1491" s="76"/>
    </row>
    <row r="1492" ht="24.0" customHeight="1">
      <c r="A1492" s="35"/>
      <c r="B1492" s="36">
        <v>1.0</v>
      </c>
      <c r="C1492" s="37" t="str">
        <f>IFERROR(__xludf.DUMMYFUNCTION("""COMPUTED_VALUE"""),"")</f>
        <v/>
      </c>
      <c r="D1492" s="89" t="s">
        <v>61</v>
      </c>
      <c r="E1492" s="39" t="s">
        <v>61</v>
      </c>
      <c r="F1492" s="121"/>
      <c r="G1492" s="122"/>
      <c r="H1492" s="138"/>
      <c r="I1492" s="80"/>
      <c r="J1492" s="80"/>
      <c r="K1492" s="95"/>
      <c r="L1492" s="80"/>
      <c r="M1492" s="43"/>
      <c r="N1492" s="43"/>
      <c r="O1492" s="80"/>
      <c r="P1492" s="80"/>
      <c r="Q1492" s="80"/>
      <c r="R1492" s="80"/>
      <c r="S1492" s="117"/>
      <c r="T1492" s="81"/>
      <c r="U1492" s="81"/>
      <c r="V1492" s="81"/>
      <c r="W1492" s="81"/>
      <c r="X1492" s="81"/>
      <c r="Y1492" s="81"/>
      <c r="Z1492" s="82"/>
      <c r="AA1492" s="99"/>
      <c r="AB1492" s="48" t="s">
        <v>61</v>
      </c>
      <c r="AC1492" s="68" t="s">
        <v>61</v>
      </c>
      <c r="AD1492" s="69" t="s">
        <v>61</v>
      </c>
      <c r="AE1492" s="69" t="s">
        <v>61</v>
      </c>
      <c r="AF1492" s="68" t="s">
        <v>61</v>
      </c>
      <c r="AG1492" s="68" t="s">
        <v>61</v>
      </c>
      <c r="AH1492" s="68" t="s">
        <v>61</v>
      </c>
      <c r="AI1492" s="70" t="s">
        <v>61</v>
      </c>
      <c r="AJ1492" s="114" t="s">
        <v>61</v>
      </c>
      <c r="AK1492" s="82"/>
    </row>
    <row r="1493" ht="24.0" customHeight="1">
      <c r="A1493" s="35"/>
      <c r="B1493" s="36">
        <v>1.0</v>
      </c>
      <c r="C1493" s="37" t="str">
        <f>IFERROR(__xludf.DUMMYFUNCTION("""COMPUTED_VALUE"""),"")</f>
        <v/>
      </c>
      <c r="D1493" s="89" t="s">
        <v>61</v>
      </c>
      <c r="E1493" s="51" t="s">
        <v>61</v>
      </c>
      <c r="F1493" s="137"/>
      <c r="G1493" s="133"/>
      <c r="H1493" s="141"/>
      <c r="I1493" s="57"/>
      <c r="J1493" s="57"/>
      <c r="K1493" s="72"/>
      <c r="L1493" s="57"/>
      <c r="M1493" s="55"/>
      <c r="N1493" s="55"/>
      <c r="O1493" s="57"/>
      <c r="P1493" s="57"/>
      <c r="Q1493" s="57"/>
      <c r="R1493" s="57"/>
      <c r="S1493" s="132"/>
      <c r="T1493" s="74"/>
      <c r="U1493" s="74"/>
      <c r="V1493" s="74"/>
      <c r="W1493" s="74"/>
      <c r="X1493" s="74"/>
      <c r="Y1493" s="74"/>
      <c r="Z1493" s="76"/>
      <c r="AA1493" s="134"/>
      <c r="AB1493" s="62" t="s">
        <v>61</v>
      </c>
      <c r="AC1493" s="63" t="s">
        <v>61</v>
      </c>
      <c r="AD1493" s="64" t="s">
        <v>61</v>
      </c>
      <c r="AE1493" s="64" t="s">
        <v>61</v>
      </c>
      <c r="AF1493" s="63" t="s">
        <v>61</v>
      </c>
      <c r="AG1493" s="63" t="s">
        <v>61</v>
      </c>
      <c r="AH1493" s="63" t="s">
        <v>61</v>
      </c>
      <c r="AI1493" s="65" t="s">
        <v>61</v>
      </c>
      <c r="AJ1493" s="105" t="s">
        <v>61</v>
      </c>
      <c r="AK1493" s="76"/>
    </row>
    <row r="1494" ht="24.0" customHeight="1">
      <c r="A1494" s="35"/>
      <c r="B1494" s="36">
        <v>1.0</v>
      </c>
      <c r="C1494" s="37" t="str">
        <f>IFERROR(__xludf.DUMMYFUNCTION("""COMPUTED_VALUE"""),"")</f>
        <v/>
      </c>
      <c r="D1494" s="89" t="s">
        <v>61</v>
      </c>
      <c r="E1494" s="39" t="s">
        <v>61</v>
      </c>
      <c r="F1494" s="121"/>
      <c r="G1494" s="122"/>
      <c r="H1494" s="138"/>
      <c r="I1494" s="80"/>
      <c r="J1494" s="80"/>
      <c r="K1494" s="95"/>
      <c r="L1494" s="80"/>
      <c r="M1494" s="43"/>
      <c r="N1494" s="43"/>
      <c r="O1494" s="80"/>
      <c r="P1494" s="80"/>
      <c r="Q1494" s="80"/>
      <c r="R1494" s="80"/>
      <c r="S1494" s="117"/>
      <c r="T1494" s="81"/>
      <c r="U1494" s="81"/>
      <c r="V1494" s="81"/>
      <c r="W1494" s="81"/>
      <c r="X1494" s="81"/>
      <c r="Y1494" s="81"/>
      <c r="Z1494" s="82"/>
      <c r="AA1494" s="99"/>
      <c r="AB1494" s="48" t="s">
        <v>61</v>
      </c>
      <c r="AC1494" s="68" t="s">
        <v>61</v>
      </c>
      <c r="AD1494" s="69" t="s">
        <v>61</v>
      </c>
      <c r="AE1494" s="69" t="s">
        <v>61</v>
      </c>
      <c r="AF1494" s="68" t="s">
        <v>61</v>
      </c>
      <c r="AG1494" s="68" t="s">
        <v>61</v>
      </c>
      <c r="AH1494" s="68" t="s">
        <v>61</v>
      </c>
      <c r="AI1494" s="70" t="s">
        <v>61</v>
      </c>
      <c r="AJ1494" s="114" t="s">
        <v>61</v>
      </c>
      <c r="AK1494" s="82"/>
    </row>
    <row r="1495" ht="24.0" customHeight="1">
      <c r="A1495" s="35"/>
      <c r="B1495" s="36">
        <v>1.0</v>
      </c>
      <c r="C1495" s="37" t="str">
        <f>IFERROR(__xludf.DUMMYFUNCTION("""COMPUTED_VALUE"""),"")</f>
        <v/>
      </c>
      <c r="D1495" s="89" t="s">
        <v>61</v>
      </c>
      <c r="E1495" s="51" t="s">
        <v>61</v>
      </c>
      <c r="F1495" s="137"/>
      <c r="G1495" s="133"/>
      <c r="H1495" s="141"/>
      <c r="I1495" s="57"/>
      <c r="J1495" s="57"/>
      <c r="K1495" s="72"/>
      <c r="L1495" s="57"/>
      <c r="M1495" s="55"/>
      <c r="N1495" s="55"/>
      <c r="O1495" s="57"/>
      <c r="P1495" s="57"/>
      <c r="Q1495" s="57"/>
      <c r="R1495" s="57"/>
      <c r="S1495" s="132"/>
      <c r="T1495" s="74"/>
      <c r="U1495" s="74"/>
      <c r="V1495" s="74"/>
      <c r="W1495" s="74"/>
      <c r="X1495" s="74"/>
      <c r="Y1495" s="74"/>
      <c r="Z1495" s="76"/>
      <c r="AA1495" s="134"/>
      <c r="AB1495" s="62" t="s">
        <v>61</v>
      </c>
      <c r="AC1495" s="63" t="s">
        <v>61</v>
      </c>
      <c r="AD1495" s="64" t="s">
        <v>61</v>
      </c>
      <c r="AE1495" s="64" t="s">
        <v>61</v>
      </c>
      <c r="AF1495" s="63" t="s">
        <v>61</v>
      </c>
      <c r="AG1495" s="63" t="s">
        <v>61</v>
      </c>
      <c r="AH1495" s="63" t="s">
        <v>61</v>
      </c>
      <c r="AI1495" s="65" t="s">
        <v>61</v>
      </c>
      <c r="AJ1495" s="105" t="s">
        <v>61</v>
      </c>
      <c r="AK1495" s="76"/>
    </row>
    <row r="1496" ht="24.0" customHeight="1">
      <c r="A1496" s="35"/>
      <c r="B1496" s="36">
        <v>1.0</v>
      </c>
      <c r="C1496" s="37" t="str">
        <f>IFERROR(__xludf.DUMMYFUNCTION("""COMPUTED_VALUE"""),"")</f>
        <v/>
      </c>
      <c r="D1496" s="89" t="s">
        <v>61</v>
      </c>
      <c r="E1496" s="39" t="s">
        <v>61</v>
      </c>
      <c r="F1496" s="121"/>
      <c r="G1496" s="122"/>
      <c r="H1496" s="138"/>
      <c r="I1496" s="80"/>
      <c r="J1496" s="80"/>
      <c r="K1496" s="95"/>
      <c r="L1496" s="80"/>
      <c r="M1496" s="43"/>
      <c r="N1496" s="43"/>
      <c r="O1496" s="80"/>
      <c r="P1496" s="80"/>
      <c r="Q1496" s="80"/>
      <c r="R1496" s="80"/>
      <c r="S1496" s="117"/>
      <c r="T1496" s="81"/>
      <c r="U1496" s="81"/>
      <c r="V1496" s="81"/>
      <c r="W1496" s="81"/>
      <c r="X1496" s="81"/>
      <c r="Y1496" s="81"/>
      <c r="Z1496" s="82"/>
      <c r="AA1496" s="99"/>
      <c r="AB1496" s="48" t="s">
        <v>61</v>
      </c>
      <c r="AC1496" s="68" t="s">
        <v>61</v>
      </c>
      <c r="AD1496" s="69" t="s">
        <v>61</v>
      </c>
      <c r="AE1496" s="69" t="s">
        <v>61</v>
      </c>
      <c r="AF1496" s="68" t="s">
        <v>61</v>
      </c>
      <c r="AG1496" s="68" t="s">
        <v>61</v>
      </c>
      <c r="AH1496" s="68" t="s">
        <v>61</v>
      </c>
      <c r="AI1496" s="70" t="s">
        <v>61</v>
      </c>
      <c r="AJ1496" s="114" t="s">
        <v>61</v>
      </c>
      <c r="AK1496" s="82"/>
    </row>
    <row r="1497" ht="24.0" customHeight="1">
      <c r="A1497" s="35"/>
      <c r="B1497" s="36">
        <v>1.0</v>
      </c>
      <c r="C1497" s="37" t="str">
        <f>IFERROR(__xludf.DUMMYFUNCTION("""COMPUTED_VALUE"""),"")</f>
        <v/>
      </c>
      <c r="D1497" s="89" t="s">
        <v>61</v>
      </c>
      <c r="E1497" s="51" t="s">
        <v>61</v>
      </c>
      <c r="F1497" s="137"/>
      <c r="G1497" s="133"/>
      <c r="H1497" s="141"/>
      <c r="I1497" s="57"/>
      <c r="J1497" s="57"/>
      <c r="K1497" s="72"/>
      <c r="L1497" s="57"/>
      <c r="M1497" s="55"/>
      <c r="N1497" s="55"/>
      <c r="O1497" s="57"/>
      <c r="P1497" s="57"/>
      <c r="Q1497" s="57"/>
      <c r="R1497" s="57"/>
      <c r="S1497" s="132"/>
      <c r="T1497" s="74"/>
      <c r="U1497" s="74"/>
      <c r="V1497" s="74"/>
      <c r="W1497" s="74"/>
      <c r="X1497" s="74"/>
      <c r="Y1497" s="74"/>
      <c r="Z1497" s="76"/>
      <c r="AA1497" s="134"/>
      <c r="AB1497" s="62" t="s">
        <v>61</v>
      </c>
      <c r="AC1497" s="63" t="s">
        <v>61</v>
      </c>
      <c r="AD1497" s="64" t="s">
        <v>61</v>
      </c>
      <c r="AE1497" s="64" t="s">
        <v>61</v>
      </c>
      <c r="AF1497" s="63" t="s">
        <v>61</v>
      </c>
      <c r="AG1497" s="63" t="s">
        <v>61</v>
      </c>
      <c r="AH1497" s="63" t="s">
        <v>61</v>
      </c>
      <c r="AI1497" s="65" t="s">
        <v>61</v>
      </c>
      <c r="AJ1497" s="105" t="s">
        <v>61</v>
      </c>
      <c r="AK1497" s="76"/>
    </row>
    <row r="1498" ht="24.0" customHeight="1">
      <c r="A1498" s="35"/>
      <c r="B1498" s="36">
        <v>1.0</v>
      </c>
      <c r="C1498" s="37" t="str">
        <f>IFERROR(__xludf.DUMMYFUNCTION("""COMPUTED_VALUE"""),"")</f>
        <v/>
      </c>
      <c r="D1498" s="89" t="s">
        <v>61</v>
      </c>
      <c r="E1498" s="39" t="s">
        <v>61</v>
      </c>
      <c r="F1498" s="121"/>
      <c r="G1498" s="122"/>
      <c r="H1498" s="138"/>
      <c r="I1498" s="80"/>
      <c r="J1498" s="80"/>
      <c r="K1498" s="95"/>
      <c r="L1498" s="80"/>
      <c r="M1498" s="43"/>
      <c r="N1498" s="43"/>
      <c r="O1498" s="80"/>
      <c r="P1498" s="80"/>
      <c r="Q1498" s="80"/>
      <c r="R1498" s="80"/>
      <c r="S1498" s="117"/>
      <c r="T1498" s="81"/>
      <c r="U1498" s="81"/>
      <c r="V1498" s="81"/>
      <c r="W1498" s="81"/>
      <c r="X1498" s="81"/>
      <c r="Y1498" s="81"/>
      <c r="Z1498" s="82"/>
      <c r="AA1498" s="99"/>
      <c r="AB1498" s="48" t="s">
        <v>61</v>
      </c>
      <c r="AC1498" s="68" t="s">
        <v>61</v>
      </c>
      <c r="AD1498" s="69" t="s">
        <v>61</v>
      </c>
      <c r="AE1498" s="69" t="s">
        <v>61</v>
      </c>
      <c r="AF1498" s="68" t="s">
        <v>61</v>
      </c>
      <c r="AG1498" s="68" t="s">
        <v>61</v>
      </c>
      <c r="AH1498" s="68" t="s">
        <v>61</v>
      </c>
      <c r="AI1498" s="70" t="s">
        <v>61</v>
      </c>
      <c r="AJ1498" s="114" t="s">
        <v>61</v>
      </c>
      <c r="AK1498" s="82"/>
    </row>
    <row r="1499" ht="24.0" customHeight="1">
      <c r="A1499" s="35"/>
      <c r="B1499" s="36">
        <v>1.0</v>
      </c>
      <c r="C1499" s="37" t="str">
        <f>IFERROR(__xludf.DUMMYFUNCTION("""COMPUTED_VALUE"""),"")</f>
        <v/>
      </c>
      <c r="D1499" s="89" t="s">
        <v>61</v>
      </c>
      <c r="E1499" s="51" t="s">
        <v>61</v>
      </c>
      <c r="F1499" s="137"/>
      <c r="G1499" s="133"/>
      <c r="H1499" s="141"/>
      <c r="I1499" s="57"/>
      <c r="J1499" s="57"/>
      <c r="K1499" s="72"/>
      <c r="L1499" s="57"/>
      <c r="M1499" s="55"/>
      <c r="N1499" s="55"/>
      <c r="O1499" s="57"/>
      <c r="P1499" s="57"/>
      <c r="Q1499" s="57"/>
      <c r="R1499" s="57"/>
      <c r="S1499" s="132"/>
      <c r="T1499" s="74"/>
      <c r="U1499" s="74"/>
      <c r="V1499" s="74"/>
      <c r="W1499" s="74"/>
      <c r="X1499" s="74"/>
      <c r="Y1499" s="74"/>
      <c r="Z1499" s="76"/>
      <c r="AA1499" s="134"/>
      <c r="AB1499" s="62" t="s">
        <v>61</v>
      </c>
      <c r="AC1499" s="63" t="s">
        <v>61</v>
      </c>
      <c r="AD1499" s="64" t="s">
        <v>61</v>
      </c>
      <c r="AE1499" s="64" t="s">
        <v>61</v>
      </c>
      <c r="AF1499" s="63" t="s">
        <v>61</v>
      </c>
      <c r="AG1499" s="63" t="s">
        <v>61</v>
      </c>
      <c r="AH1499" s="63" t="s">
        <v>61</v>
      </c>
      <c r="AI1499" s="65" t="s">
        <v>61</v>
      </c>
      <c r="AJ1499" s="105" t="s">
        <v>61</v>
      </c>
      <c r="AK1499" s="76"/>
    </row>
    <row r="1500" ht="24.0" customHeight="1">
      <c r="A1500" s="35"/>
      <c r="B1500" s="36">
        <v>1.0</v>
      </c>
      <c r="C1500" s="37" t="str">
        <f>IFERROR(__xludf.DUMMYFUNCTION("""COMPUTED_VALUE"""),"")</f>
        <v/>
      </c>
      <c r="D1500" s="89" t="s">
        <v>61</v>
      </c>
      <c r="E1500" s="39" t="s">
        <v>61</v>
      </c>
      <c r="F1500" s="121"/>
      <c r="G1500" s="122"/>
      <c r="H1500" s="138"/>
      <c r="I1500" s="80"/>
      <c r="J1500" s="80"/>
      <c r="K1500" s="95"/>
      <c r="L1500" s="80"/>
      <c r="M1500" s="43"/>
      <c r="N1500" s="43"/>
      <c r="O1500" s="80"/>
      <c r="P1500" s="80"/>
      <c r="Q1500" s="80"/>
      <c r="R1500" s="80"/>
      <c r="S1500" s="117"/>
      <c r="T1500" s="81"/>
      <c r="U1500" s="81"/>
      <c r="V1500" s="81"/>
      <c r="W1500" s="81"/>
      <c r="X1500" s="81"/>
      <c r="Y1500" s="81"/>
      <c r="Z1500" s="82"/>
      <c r="AA1500" s="99"/>
      <c r="AB1500" s="48" t="s">
        <v>61</v>
      </c>
      <c r="AC1500" s="68" t="s">
        <v>61</v>
      </c>
      <c r="AD1500" s="69" t="s">
        <v>61</v>
      </c>
      <c r="AE1500" s="69" t="s">
        <v>61</v>
      </c>
      <c r="AF1500" s="68" t="s">
        <v>61</v>
      </c>
      <c r="AG1500" s="68" t="s">
        <v>61</v>
      </c>
      <c r="AH1500" s="68" t="s">
        <v>61</v>
      </c>
      <c r="AI1500" s="70" t="s">
        <v>61</v>
      </c>
      <c r="AJ1500" s="114" t="s">
        <v>61</v>
      </c>
      <c r="AK1500" s="82"/>
    </row>
    <row r="1501" ht="24.0" customHeight="1">
      <c r="A1501" s="35"/>
      <c r="B1501" s="36">
        <v>1.0</v>
      </c>
      <c r="C1501" s="37" t="str">
        <f>IFERROR(__xludf.DUMMYFUNCTION("""COMPUTED_VALUE"""),"")</f>
        <v/>
      </c>
      <c r="D1501" s="89" t="s">
        <v>61</v>
      </c>
      <c r="E1501" s="51" t="s">
        <v>61</v>
      </c>
      <c r="F1501" s="137"/>
      <c r="G1501" s="133"/>
      <c r="H1501" s="141"/>
      <c r="I1501" s="57"/>
      <c r="J1501" s="57"/>
      <c r="K1501" s="72"/>
      <c r="L1501" s="57"/>
      <c r="M1501" s="55"/>
      <c r="N1501" s="55"/>
      <c r="O1501" s="57"/>
      <c r="P1501" s="57"/>
      <c r="Q1501" s="57"/>
      <c r="R1501" s="57"/>
      <c r="S1501" s="132"/>
      <c r="T1501" s="74"/>
      <c r="U1501" s="74"/>
      <c r="V1501" s="74"/>
      <c r="W1501" s="74"/>
      <c r="X1501" s="74"/>
      <c r="Y1501" s="74"/>
      <c r="Z1501" s="76"/>
      <c r="AA1501" s="134"/>
      <c r="AB1501" s="62" t="s">
        <v>61</v>
      </c>
      <c r="AC1501" s="63" t="s">
        <v>61</v>
      </c>
      <c r="AD1501" s="64" t="s">
        <v>61</v>
      </c>
      <c r="AE1501" s="64" t="s">
        <v>61</v>
      </c>
      <c r="AF1501" s="63" t="s">
        <v>61</v>
      </c>
      <c r="AG1501" s="63" t="s">
        <v>61</v>
      </c>
      <c r="AH1501" s="63" t="s">
        <v>61</v>
      </c>
      <c r="AI1501" s="65" t="s">
        <v>61</v>
      </c>
      <c r="AJ1501" s="105" t="s">
        <v>61</v>
      </c>
      <c r="AK1501" s="76"/>
    </row>
    <row r="1502" ht="24.0" customHeight="1">
      <c r="A1502" s="35"/>
      <c r="B1502" s="36">
        <v>1.0</v>
      </c>
      <c r="C1502" s="37" t="str">
        <f>IFERROR(__xludf.DUMMYFUNCTION("""COMPUTED_VALUE"""),"")</f>
        <v/>
      </c>
      <c r="D1502" s="89" t="s">
        <v>61</v>
      </c>
      <c r="E1502" s="39" t="s">
        <v>61</v>
      </c>
      <c r="F1502" s="121"/>
      <c r="G1502" s="122"/>
      <c r="H1502" s="138"/>
      <c r="I1502" s="80"/>
      <c r="J1502" s="80"/>
      <c r="K1502" s="95"/>
      <c r="L1502" s="80"/>
      <c r="M1502" s="43"/>
      <c r="N1502" s="43"/>
      <c r="O1502" s="80"/>
      <c r="P1502" s="80"/>
      <c r="Q1502" s="80"/>
      <c r="R1502" s="80"/>
      <c r="S1502" s="117"/>
      <c r="T1502" s="81"/>
      <c r="U1502" s="81"/>
      <c r="V1502" s="81"/>
      <c r="W1502" s="81"/>
      <c r="X1502" s="81"/>
      <c r="Y1502" s="81"/>
      <c r="Z1502" s="82"/>
      <c r="AA1502" s="99"/>
      <c r="AB1502" s="48" t="s">
        <v>61</v>
      </c>
      <c r="AC1502" s="68" t="s">
        <v>61</v>
      </c>
      <c r="AD1502" s="69" t="s">
        <v>61</v>
      </c>
      <c r="AE1502" s="69" t="s">
        <v>61</v>
      </c>
      <c r="AF1502" s="68" t="s">
        <v>61</v>
      </c>
      <c r="AG1502" s="68" t="s">
        <v>61</v>
      </c>
      <c r="AH1502" s="68" t="s">
        <v>61</v>
      </c>
      <c r="AI1502" s="70" t="s">
        <v>61</v>
      </c>
      <c r="AJ1502" s="114" t="s">
        <v>61</v>
      </c>
      <c r="AK1502" s="82"/>
    </row>
    <row r="1503" ht="24.0" customHeight="1">
      <c r="A1503" s="35"/>
      <c r="B1503" s="36">
        <v>1.0</v>
      </c>
      <c r="C1503" s="37" t="str">
        <f>IFERROR(__xludf.DUMMYFUNCTION("""COMPUTED_VALUE"""),"")</f>
        <v/>
      </c>
      <c r="D1503" s="89" t="s">
        <v>61</v>
      </c>
      <c r="E1503" s="51" t="s">
        <v>61</v>
      </c>
      <c r="F1503" s="137"/>
      <c r="G1503" s="133"/>
      <c r="H1503" s="141"/>
      <c r="I1503" s="57"/>
      <c r="J1503" s="57"/>
      <c r="K1503" s="72"/>
      <c r="L1503" s="57"/>
      <c r="M1503" s="55"/>
      <c r="N1503" s="55"/>
      <c r="O1503" s="57"/>
      <c r="P1503" s="57"/>
      <c r="Q1503" s="57"/>
      <c r="R1503" s="57"/>
      <c r="S1503" s="132"/>
      <c r="T1503" s="74"/>
      <c r="U1503" s="74"/>
      <c r="V1503" s="74"/>
      <c r="W1503" s="74"/>
      <c r="X1503" s="74"/>
      <c r="Y1503" s="74"/>
      <c r="Z1503" s="76"/>
      <c r="AA1503" s="134"/>
      <c r="AB1503" s="62" t="s">
        <v>61</v>
      </c>
      <c r="AC1503" s="63" t="s">
        <v>61</v>
      </c>
      <c r="AD1503" s="64" t="s">
        <v>61</v>
      </c>
      <c r="AE1503" s="64" t="s">
        <v>61</v>
      </c>
      <c r="AF1503" s="63" t="s">
        <v>61</v>
      </c>
      <c r="AG1503" s="63" t="s">
        <v>61</v>
      </c>
      <c r="AH1503" s="63" t="s">
        <v>61</v>
      </c>
      <c r="AI1503" s="65" t="s">
        <v>61</v>
      </c>
      <c r="AJ1503" s="105" t="s">
        <v>61</v>
      </c>
      <c r="AK1503" s="76"/>
    </row>
    <row r="1504" ht="24.0" customHeight="1">
      <c r="A1504" s="35"/>
      <c r="B1504" s="36">
        <v>1.0</v>
      </c>
      <c r="C1504" s="37" t="str">
        <f>IFERROR(__xludf.DUMMYFUNCTION("""COMPUTED_VALUE"""),"")</f>
        <v/>
      </c>
      <c r="D1504" s="89" t="s">
        <v>61</v>
      </c>
      <c r="E1504" s="39" t="s">
        <v>61</v>
      </c>
      <c r="F1504" s="121"/>
      <c r="G1504" s="122"/>
      <c r="H1504" s="138"/>
      <c r="I1504" s="80"/>
      <c r="J1504" s="80"/>
      <c r="K1504" s="95"/>
      <c r="L1504" s="80"/>
      <c r="M1504" s="43"/>
      <c r="N1504" s="43"/>
      <c r="O1504" s="80"/>
      <c r="P1504" s="80"/>
      <c r="Q1504" s="80"/>
      <c r="R1504" s="80"/>
      <c r="S1504" s="117"/>
      <c r="T1504" s="81"/>
      <c r="U1504" s="81"/>
      <c r="V1504" s="81"/>
      <c r="W1504" s="81"/>
      <c r="X1504" s="81"/>
      <c r="Y1504" s="81"/>
      <c r="Z1504" s="82"/>
      <c r="AA1504" s="99"/>
      <c r="AB1504" s="48" t="s">
        <v>61</v>
      </c>
      <c r="AC1504" s="68" t="s">
        <v>61</v>
      </c>
      <c r="AD1504" s="69" t="s">
        <v>61</v>
      </c>
      <c r="AE1504" s="69" t="s">
        <v>61</v>
      </c>
      <c r="AF1504" s="68" t="s">
        <v>61</v>
      </c>
      <c r="AG1504" s="68" t="s">
        <v>61</v>
      </c>
      <c r="AH1504" s="68" t="s">
        <v>61</v>
      </c>
      <c r="AI1504" s="70" t="s">
        <v>61</v>
      </c>
      <c r="AJ1504" s="114" t="s">
        <v>61</v>
      </c>
      <c r="AK1504" s="82"/>
    </row>
    <row r="1505" ht="24.0" customHeight="1">
      <c r="A1505" s="35"/>
      <c r="B1505" s="36">
        <v>1.0</v>
      </c>
      <c r="C1505" s="37" t="str">
        <f>IFERROR(__xludf.DUMMYFUNCTION("""COMPUTED_VALUE"""),"")</f>
        <v/>
      </c>
      <c r="D1505" s="89" t="s">
        <v>61</v>
      </c>
      <c r="E1505" s="51" t="s">
        <v>61</v>
      </c>
      <c r="F1505" s="137"/>
      <c r="G1505" s="133"/>
      <c r="H1505" s="141"/>
      <c r="I1505" s="57"/>
      <c r="J1505" s="57"/>
      <c r="K1505" s="72"/>
      <c r="L1505" s="57"/>
      <c r="M1505" s="55"/>
      <c r="N1505" s="55"/>
      <c r="O1505" s="57"/>
      <c r="P1505" s="57"/>
      <c r="Q1505" s="57"/>
      <c r="R1505" s="57"/>
      <c r="S1505" s="132"/>
      <c r="T1505" s="74"/>
      <c r="U1505" s="74"/>
      <c r="V1505" s="74"/>
      <c r="W1505" s="74"/>
      <c r="X1505" s="74"/>
      <c r="Y1505" s="74"/>
      <c r="Z1505" s="76"/>
      <c r="AA1505" s="134"/>
      <c r="AB1505" s="62" t="s">
        <v>61</v>
      </c>
      <c r="AC1505" s="63" t="s">
        <v>61</v>
      </c>
      <c r="AD1505" s="64" t="s">
        <v>61</v>
      </c>
      <c r="AE1505" s="64" t="s">
        <v>61</v>
      </c>
      <c r="AF1505" s="63" t="s">
        <v>61</v>
      </c>
      <c r="AG1505" s="63" t="s">
        <v>61</v>
      </c>
      <c r="AH1505" s="63" t="s">
        <v>61</v>
      </c>
      <c r="AI1505" s="65" t="s">
        <v>61</v>
      </c>
      <c r="AJ1505" s="105" t="s">
        <v>61</v>
      </c>
      <c r="AK1505" s="76"/>
    </row>
    <row r="1506" ht="24.0" customHeight="1">
      <c r="A1506" s="35"/>
      <c r="B1506" s="36">
        <v>1.0</v>
      </c>
      <c r="C1506" s="37" t="str">
        <f>IFERROR(__xludf.DUMMYFUNCTION("""COMPUTED_VALUE"""),"")</f>
        <v/>
      </c>
      <c r="D1506" s="89" t="s">
        <v>61</v>
      </c>
      <c r="E1506" s="39" t="s">
        <v>61</v>
      </c>
      <c r="F1506" s="121"/>
      <c r="G1506" s="122"/>
      <c r="H1506" s="138"/>
      <c r="I1506" s="80"/>
      <c r="J1506" s="80"/>
      <c r="K1506" s="95"/>
      <c r="L1506" s="80"/>
      <c r="M1506" s="43"/>
      <c r="N1506" s="43"/>
      <c r="O1506" s="80"/>
      <c r="P1506" s="80"/>
      <c r="Q1506" s="80"/>
      <c r="R1506" s="80"/>
      <c r="S1506" s="117"/>
      <c r="T1506" s="81"/>
      <c r="U1506" s="81"/>
      <c r="V1506" s="81"/>
      <c r="W1506" s="81"/>
      <c r="X1506" s="81"/>
      <c r="Y1506" s="81"/>
      <c r="Z1506" s="82"/>
      <c r="AA1506" s="99"/>
      <c r="AB1506" s="48" t="s">
        <v>61</v>
      </c>
      <c r="AC1506" s="68" t="s">
        <v>61</v>
      </c>
      <c r="AD1506" s="69" t="s">
        <v>61</v>
      </c>
      <c r="AE1506" s="69" t="s">
        <v>61</v>
      </c>
      <c r="AF1506" s="68" t="s">
        <v>61</v>
      </c>
      <c r="AG1506" s="68" t="s">
        <v>61</v>
      </c>
      <c r="AH1506" s="68" t="s">
        <v>61</v>
      </c>
      <c r="AI1506" s="70" t="s">
        <v>61</v>
      </c>
      <c r="AJ1506" s="114" t="s">
        <v>61</v>
      </c>
      <c r="AK1506" s="82"/>
    </row>
    <row r="1507" ht="24.0" customHeight="1">
      <c r="A1507" s="35"/>
      <c r="B1507" s="36">
        <v>1.0</v>
      </c>
      <c r="C1507" s="37" t="str">
        <f>IFERROR(__xludf.DUMMYFUNCTION("""COMPUTED_VALUE"""),"")</f>
        <v/>
      </c>
      <c r="D1507" s="89" t="s">
        <v>61</v>
      </c>
      <c r="E1507" s="51" t="s">
        <v>61</v>
      </c>
      <c r="F1507" s="137"/>
      <c r="G1507" s="133"/>
      <c r="H1507" s="141"/>
      <c r="I1507" s="57"/>
      <c r="J1507" s="57"/>
      <c r="K1507" s="72"/>
      <c r="L1507" s="57"/>
      <c r="M1507" s="55"/>
      <c r="N1507" s="55"/>
      <c r="O1507" s="57"/>
      <c r="P1507" s="57"/>
      <c r="Q1507" s="57"/>
      <c r="R1507" s="57"/>
      <c r="S1507" s="132"/>
      <c r="T1507" s="74"/>
      <c r="U1507" s="74"/>
      <c r="V1507" s="74"/>
      <c r="W1507" s="74"/>
      <c r="X1507" s="74"/>
      <c r="Y1507" s="74"/>
      <c r="Z1507" s="76"/>
      <c r="AA1507" s="134"/>
      <c r="AB1507" s="62" t="s">
        <v>61</v>
      </c>
      <c r="AC1507" s="63" t="s">
        <v>61</v>
      </c>
      <c r="AD1507" s="64" t="s">
        <v>61</v>
      </c>
      <c r="AE1507" s="64" t="s">
        <v>61</v>
      </c>
      <c r="AF1507" s="63" t="s">
        <v>61</v>
      </c>
      <c r="AG1507" s="63" t="s">
        <v>61</v>
      </c>
      <c r="AH1507" s="63" t="s">
        <v>61</v>
      </c>
      <c r="AI1507" s="65" t="s">
        <v>61</v>
      </c>
      <c r="AJ1507" s="105" t="s">
        <v>61</v>
      </c>
      <c r="AK1507" s="76"/>
    </row>
    <row r="1508" ht="24.0" customHeight="1">
      <c r="A1508" s="35"/>
      <c r="B1508" s="36">
        <v>1.0</v>
      </c>
      <c r="C1508" s="37" t="str">
        <f>IFERROR(__xludf.DUMMYFUNCTION("""COMPUTED_VALUE"""),"")</f>
        <v/>
      </c>
      <c r="D1508" s="89" t="s">
        <v>61</v>
      </c>
      <c r="E1508" s="39" t="s">
        <v>61</v>
      </c>
      <c r="F1508" s="121"/>
      <c r="G1508" s="122"/>
      <c r="H1508" s="138"/>
      <c r="I1508" s="80"/>
      <c r="J1508" s="80"/>
      <c r="K1508" s="95"/>
      <c r="L1508" s="80"/>
      <c r="M1508" s="43"/>
      <c r="N1508" s="43"/>
      <c r="O1508" s="80"/>
      <c r="P1508" s="80"/>
      <c r="Q1508" s="80"/>
      <c r="R1508" s="80"/>
      <c r="S1508" s="117"/>
      <c r="T1508" s="81"/>
      <c r="U1508" s="81"/>
      <c r="V1508" s="81"/>
      <c r="W1508" s="81"/>
      <c r="X1508" s="81"/>
      <c r="Y1508" s="81"/>
      <c r="Z1508" s="82"/>
      <c r="AA1508" s="99"/>
      <c r="AB1508" s="48" t="s">
        <v>61</v>
      </c>
      <c r="AC1508" s="68" t="s">
        <v>61</v>
      </c>
      <c r="AD1508" s="69" t="s">
        <v>61</v>
      </c>
      <c r="AE1508" s="69" t="s">
        <v>61</v>
      </c>
      <c r="AF1508" s="68" t="s">
        <v>61</v>
      </c>
      <c r="AG1508" s="68" t="s">
        <v>61</v>
      </c>
      <c r="AH1508" s="68" t="s">
        <v>61</v>
      </c>
      <c r="AI1508" s="70" t="s">
        <v>61</v>
      </c>
      <c r="AJ1508" s="114" t="s">
        <v>61</v>
      </c>
      <c r="AK1508" s="82"/>
    </row>
    <row r="1509" ht="24.0" customHeight="1">
      <c r="A1509" s="35"/>
      <c r="B1509" s="36">
        <v>1.0</v>
      </c>
      <c r="C1509" s="37" t="str">
        <f>IFERROR(__xludf.DUMMYFUNCTION("""COMPUTED_VALUE"""),"")</f>
        <v/>
      </c>
      <c r="D1509" s="89" t="s">
        <v>61</v>
      </c>
      <c r="E1509" s="51" t="s">
        <v>61</v>
      </c>
      <c r="F1509" s="137"/>
      <c r="G1509" s="133"/>
      <c r="H1509" s="141"/>
      <c r="I1509" s="57"/>
      <c r="J1509" s="57"/>
      <c r="K1509" s="72"/>
      <c r="L1509" s="57"/>
      <c r="M1509" s="55"/>
      <c r="N1509" s="55"/>
      <c r="O1509" s="57"/>
      <c r="P1509" s="57"/>
      <c r="Q1509" s="57"/>
      <c r="R1509" s="57"/>
      <c r="S1509" s="132"/>
      <c r="T1509" s="74"/>
      <c r="U1509" s="74"/>
      <c r="V1509" s="74"/>
      <c r="W1509" s="74"/>
      <c r="X1509" s="74"/>
      <c r="Y1509" s="74"/>
      <c r="Z1509" s="76"/>
      <c r="AA1509" s="134"/>
      <c r="AB1509" s="62" t="s">
        <v>61</v>
      </c>
      <c r="AC1509" s="63" t="s">
        <v>61</v>
      </c>
      <c r="AD1509" s="64" t="s">
        <v>61</v>
      </c>
      <c r="AE1509" s="64" t="s">
        <v>61</v>
      </c>
      <c r="AF1509" s="63" t="s">
        <v>61</v>
      </c>
      <c r="AG1509" s="63" t="s">
        <v>61</v>
      </c>
      <c r="AH1509" s="63" t="s">
        <v>61</v>
      </c>
      <c r="AI1509" s="65" t="s">
        <v>61</v>
      </c>
      <c r="AJ1509" s="105" t="s">
        <v>61</v>
      </c>
      <c r="AK1509" s="76"/>
    </row>
    <row r="1510" ht="24.0" customHeight="1">
      <c r="A1510" s="35"/>
      <c r="B1510" s="36">
        <v>1.0</v>
      </c>
      <c r="C1510" s="37" t="str">
        <f>IFERROR(__xludf.DUMMYFUNCTION("""COMPUTED_VALUE"""),"")</f>
        <v/>
      </c>
      <c r="D1510" s="89" t="s">
        <v>61</v>
      </c>
      <c r="E1510" s="39" t="s">
        <v>61</v>
      </c>
      <c r="F1510" s="121"/>
      <c r="G1510" s="122"/>
      <c r="H1510" s="138"/>
      <c r="I1510" s="80"/>
      <c r="J1510" s="80"/>
      <c r="K1510" s="95"/>
      <c r="L1510" s="80"/>
      <c r="M1510" s="43"/>
      <c r="N1510" s="43"/>
      <c r="O1510" s="80"/>
      <c r="P1510" s="80"/>
      <c r="Q1510" s="80"/>
      <c r="R1510" s="80"/>
      <c r="S1510" s="117"/>
      <c r="T1510" s="81"/>
      <c r="U1510" s="81"/>
      <c r="V1510" s="81"/>
      <c r="W1510" s="81"/>
      <c r="X1510" s="81"/>
      <c r="Y1510" s="81"/>
      <c r="Z1510" s="82"/>
      <c r="AA1510" s="99"/>
      <c r="AB1510" s="48" t="s">
        <v>61</v>
      </c>
      <c r="AC1510" s="68" t="s">
        <v>61</v>
      </c>
      <c r="AD1510" s="69" t="s">
        <v>61</v>
      </c>
      <c r="AE1510" s="69" t="s">
        <v>61</v>
      </c>
      <c r="AF1510" s="68" t="s">
        <v>61</v>
      </c>
      <c r="AG1510" s="68" t="s">
        <v>61</v>
      </c>
      <c r="AH1510" s="68" t="s">
        <v>61</v>
      </c>
      <c r="AI1510" s="70" t="s">
        <v>61</v>
      </c>
      <c r="AJ1510" s="114" t="s">
        <v>61</v>
      </c>
      <c r="AK1510" s="82"/>
    </row>
    <row r="1511" ht="24.0" customHeight="1">
      <c r="A1511" s="35"/>
      <c r="B1511" s="36">
        <v>1.0</v>
      </c>
      <c r="C1511" s="37" t="str">
        <f>IFERROR(__xludf.DUMMYFUNCTION("""COMPUTED_VALUE"""),"")</f>
        <v/>
      </c>
      <c r="D1511" s="89" t="s">
        <v>61</v>
      </c>
      <c r="E1511" s="51" t="s">
        <v>61</v>
      </c>
      <c r="F1511" s="137"/>
      <c r="G1511" s="133"/>
      <c r="H1511" s="141"/>
      <c r="I1511" s="57"/>
      <c r="J1511" s="57"/>
      <c r="K1511" s="72"/>
      <c r="L1511" s="57"/>
      <c r="M1511" s="55"/>
      <c r="N1511" s="55"/>
      <c r="O1511" s="57"/>
      <c r="P1511" s="57"/>
      <c r="Q1511" s="57"/>
      <c r="R1511" s="57"/>
      <c r="S1511" s="132"/>
      <c r="T1511" s="74"/>
      <c r="U1511" s="74"/>
      <c r="V1511" s="74"/>
      <c r="W1511" s="74"/>
      <c r="X1511" s="74"/>
      <c r="Y1511" s="74"/>
      <c r="Z1511" s="76"/>
      <c r="AA1511" s="134"/>
      <c r="AB1511" s="62" t="s">
        <v>61</v>
      </c>
      <c r="AC1511" s="63" t="s">
        <v>61</v>
      </c>
      <c r="AD1511" s="64" t="s">
        <v>61</v>
      </c>
      <c r="AE1511" s="64" t="s">
        <v>61</v>
      </c>
      <c r="AF1511" s="63" t="s">
        <v>61</v>
      </c>
      <c r="AG1511" s="63" t="s">
        <v>61</v>
      </c>
      <c r="AH1511" s="63" t="s">
        <v>61</v>
      </c>
      <c r="AI1511" s="65" t="s">
        <v>61</v>
      </c>
      <c r="AJ1511" s="105" t="s">
        <v>61</v>
      </c>
      <c r="AK1511" s="76"/>
    </row>
    <row r="1512" ht="24.0" customHeight="1">
      <c r="A1512" s="35"/>
      <c r="B1512" s="36">
        <v>1.0</v>
      </c>
      <c r="C1512" s="37" t="str">
        <f>IFERROR(__xludf.DUMMYFUNCTION("""COMPUTED_VALUE"""),"")</f>
        <v/>
      </c>
      <c r="D1512" s="89" t="s">
        <v>61</v>
      </c>
      <c r="E1512" s="39" t="s">
        <v>61</v>
      </c>
      <c r="F1512" s="121"/>
      <c r="G1512" s="122"/>
      <c r="H1512" s="138"/>
      <c r="I1512" s="80"/>
      <c r="J1512" s="80"/>
      <c r="K1512" s="95"/>
      <c r="L1512" s="80"/>
      <c r="M1512" s="43"/>
      <c r="N1512" s="43"/>
      <c r="O1512" s="80"/>
      <c r="P1512" s="80"/>
      <c r="Q1512" s="80"/>
      <c r="R1512" s="80"/>
      <c r="S1512" s="117"/>
      <c r="T1512" s="81"/>
      <c r="U1512" s="81"/>
      <c r="V1512" s="81"/>
      <c r="W1512" s="81"/>
      <c r="X1512" s="81"/>
      <c r="Y1512" s="81"/>
      <c r="Z1512" s="82"/>
      <c r="AA1512" s="99"/>
      <c r="AB1512" s="48" t="s">
        <v>61</v>
      </c>
      <c r="AC1512" s="68" t="s">
        <v>61</v>
      </c>
      <c r="AD1512" s="69" t="s">
        <v>61</v>
      </c>
      <c r="AE1512" s="69" t="s">
        <v>61</v>
      </c>
      <c r="AF1512" s="68" t="s">
        <v>61</v>
      </c>
      <c r="AG1512" s="68" t="s">
        <v>61</v>
      </c>
      <c r="AH1512" s="68" t="s">
        <v>61</v>
      </c>
      <c r="AI1512" s="70" t="s">
        <v>61</v>
      </c>
      <c r="AJ1512" s="114" t="s">
        <v>61</v>
      </c>
      <c r="AK1512" s="82"/>
    </row>
    <row r="1513" ht="24.0" customHeight="1">
      <c r="A1513" s="35"/>
      <c r="B1513" s="36">
        <v>1.0</v>
      </c>
      <c r="C1513" s="37" t="str">
        <f>IFERROR(__xludf.DUMMYFUNCTION("""COMPUTED_VALUE"""),"")</f>
        <v/>
      </c>
      <c r="D1513" s="89" t="s">
        <v>61</v>
      </c>
      <c r="E1513" s="51" t="s">
        <v>61</v>
      </c>
      <c r="F1513" s="137"/>
      <c r="G1513" s="133"/>
      <c r="H1513" s="141"/>
      <c r="I1513" s="57"/>
      <c r="J1513" s="57"/>
      <c r="K1513" s="72"/>
      <c r="L1513" s="57"/>
      <c r="M1513" s="55"/>
      <c r="N1513" s="55"/>
      <c r="O1513" s="57"/>
      <c r="P1513" s="57"/>
      <c r="Q1513" s="57"/>
      <c r="R1513" s="57"/>
      <c r="S1513" s="132"/>
      <c r="T1513" s="74"/>
      <c r="U1513" s="74"/>
      <c r="V1513" s="74"/>
      <c r="W1513" s="74"/>
      <c r="X1513" s="74"/>
      <c r="Y1513" s="74"/>
      <c r="Z1513" s="76"/>
      <c r="AA1513" s="134"/>
      <c r="AB1513" s="62" t="s">
        <v>61</v>
      </c>
      <c r="AC1513" s="63" t="s">
        <v>61</v>
      </c>
      <c r="AD1513" s="64" t="s">
        <v>61</v>
      </c>
      <c r="AE1513" s="64" t="s">
        <v>61</v>
      </c>
      <c r="AF1513" s="63" t="s">
        <v>61</v>
      </c>
      <c r="AG1513" s="63" t="s">
        <v>61</v>
      </c>
      <c r="AH1513" s="63" t="s">
        <v>61</v>
      </c>
      <c r="AI1513" s="65" t="s">
        <v>61</v>
      </c>
      <c r="AJ1513" s="105" t="s">
        <v>61</v>
      </c>
      <c r="AK1513" s="76"/>
    </row>
    <row r="1514" ht="24.0" customHeight="1">
      <c r="A1514" s="35"/>
      <c r="B1514" s="36">
        <v>1.0</v>
      </c>
      <c r="C1514" s="37" t="str">
        <f>IFERROR(__xludf.DUMMYFUNCTION("""COMPUTED_VALUE"""),"")</f>
        <v/>
      </c>
      <c r="D1514" s="89" t="s">
        <v>61</v>
      </c>
      <c r="E1514" s="39" t="s">
        <v>61</v>
      </c>
      <c r="F1514" s="121"/>
      <c r="G1514" s="122"/>
      <c r="H1514" s="138"/>
      <c r="I1514" s="80"/>
      <c r="J1514" s="80"/>
      <c r="K1514" s="95"/>
      <c r="L1514" s="80"/>
      <c r="M1514" s="43"/>
      <c r="N1514" s="43"/>
      <c r="O1514" s="80"/>
      <c r="P1514" s="80"/>
      <c r="Q1514" s="80"/>
      <c r="R1514" s="80"/>
      <c r="S1514" s="117"/>
      <c r="T1514" s="81"/>
      <c r="U1514" s="81"/>
      <c r="V1514" s="81"/>
      <c r="W1514" s="81"/>
      <c r="X1514" s="81"/>
      <c r="Y1514" s="81"/>
      <c r="Z1514" s="82"/>
      <c r="AA1514" s="99"/>
      <c r="AB1514" s="48" t="s">
        <v>61</v>
      </c>
      <c r="AC1514" s="68" t="s">
        <v>61</v>
      </c>
      <c r="AD1514" s="69" t="s">
        <v>61</v>
      </c>
      <c r="AE1514" s="69" t="s">
        <v>61</v>
      </c>
      <c r="AF1514" s="68" t="s">
        <v>61</v>
      </c>
      <c r="AG1514" s="68" t="s">
        <v>61</v>
      </c>
      <c r="AH1514" s="68" t="s">
        <v>61</v>
      </c>
      <c r="AI1514" s="70" t="s">
        <v>61</v>
      </c>
      <c r="AJ1514" s="114" t="s">
        <v>61</v>
      </c>
      <c r="AK1514" s="82"/>
    </row>
    <row r="1515" ht="24.0" customHeight="1">
      <c r="A1515" s="35"/>
      <c r="B1515" s="36">
        <v>1.0</v>
      </c>
      <c r="C1515" s="37" t="str">
        <f>IFERROR(__xludf.DUMMYFUNCTION("""COMPUTED_VALUE"""),"")</f>
        <v/>
      </c>
      <c r="D1515" s="89" t="s">
        <v>61</v>
      </c>
      <c r="E1515" s="51" t="s">
        <v>61</v>
      </c>
      <c r="F1515" s="137"/>
      <c r="G1515" s="133"/>
      <c r="H1515" s="141"/>
      <c r="I1515" s="57"/>
      <c r="J1515" s="57"/>
      <c r="K1515" s="72"/>
      <c r="L1515" s="57"/>
      <c r="M1515" s="55"/>
      <c r="N1515" s="55"/>
      <c r="O1515" s="57"/>
      <c r="P1515" s="57"/>
      <c r="Q1515" s="57"/>
      <c r="R1515" s="57"/>
      <c r="S1515" s="132"/>
      <c r="T1515" s="74"/>
      <c r="U1515" s="74"/>
      <c r="V1515" s="74"/>
      <c r="W1515" s="74"/>
      <c r="X1515" s="74"/>
      <c r="Y1515" s="74"/>
      <c r="Z1515" s="76"/>
      <c r="AA1515" s="134"/>
      <c r="AB1515" s="62" t="s">
        <v>61</v>
      </c>
      <c r="AC1515" s="63" t="s">
        <v>61</v>
      </c>
      <c r="AD1515" s="64" t="s">
        <v>61</v>
      </c>
      <c r="AE1515" s="64" t="s">
        <v>61</v>
      </c>
      <c r="AF1515" s="63" t="s">
        <v>61</v>
      </c>
      <c r="AG1515" s="63" t="s">
        <v>61</v>
      </c>
      <c r="AH1515" s="63" t="s">
        <v>61</v>
      </c>
      <c r="AI1515" s="65" t="s">
        <v>61</v>
      </c>
      <c r="AJ1515" s="105" t="s">
        <v>61</v>
      </c>
      <c r="AK1515" s="76"/>
    </row>
    <row r="1516" ht="24.0" customHeight="1">
      <c r="A1516" s="35"/>
      <c r="B1516" s="36">
        <v>1.0</v>
      </c>
      <c r="C1516" s="37" t="str">
        <f>IFERROR(__xludf.DUMMYFUNCTION("""COMPUTED_VALUE"""),"")</f>
        <v/>
      </c>
      <c r="D1516" s="89" t="s">
        <v>61</v>
      </c>
      <c r="E1516" s="39" t="s">
        <v>61</v>
      </c>
      <c r="F1516" s="121"/>
      <c r="G1516" s="122"/>
      <c r="H1516" s="138"/>
      <c r="I1516" s="80"/>
      <c r="J1516" s="80"/>
      <c r="K1516" s="95"/>
      <c r="L1516" s="80"/>
      <c r="M1516" s="43"/>
      <c r="N1516" s="43"/>
      <c r="O1516" s="80"/>
      <c r="P1516" s="80"/>
      <c r="Q1516" s="80"/>
      <c r="R1516" s="80"/>
      <c r="S1516" s="117"/>
      <c r="T1516" s="81"/>
      <c r="U1516" s="81"/>
      <c r="V1516" s="81"/>
      <c r="W1516" s="81"/>
      <c r="X1516" s="81"/>
      <c r="Y1516" s="81"/>
      <c r="Z1516" s="82"/>
      <c r="AA1516" s="99"/>
      <c r="AB1516" s="48" t="s">
        <v>61</v>
      </c>
      <c r="AC1516" s="68" t="s">
        <v>61</v>
      </c>
      <c r="AD1516" s="69" t="s">
        <v>61</v>
      </c>
      <c r="AE1516" s="69" t="s">
        <v>61</v>
      </c>
      <c r="AF1516" s="68" t="s">
        <v>61</v>
      </c>
      <c r="AG1516" s="68" t="s">
        <v>61</v>
      </c>
      <c r="AH1516" s="68" t="s">
        <v>61</v>
      </c>
      <c r="AI1516" s="70" t="s">
        <v>61</v>
      </c>
      <c r="AJ1516" s="114" t="s">
        <v>61</v>
      </c>
      <c r="AK1516" s="82"/>
    </row>
    <row r="1517" ht="24.0" customHeight="1">
      <c r="A1517" s="35"/>
      <c r="B1517" s="36">
        <v>1.0</v>
      </c>
      <c r="C1517" s="37" t="str">
        <f>IFERROR(__xludf.DUMMYFUNCTION("""COMPUTED_VALUE"""),"")</f>
        <v/>
      </c>
      <c r="D1517" s="89" t="s">
        <v>61</v>
      </c>
      <c r="E1517" s="51" t="s">
        <v>61</v>
      </c>
      <c r="F1517" s="137"/>
      <c r="G1517" s="133"/>
      <c r="H1517" s="141"/>
      <c r="I1517" s="57"/>
      <c r="J1517" s="57"/>
      <c r="K1517" s="72"/>
      <c r="L1517" s="57"/>
      <c r="M1517" s="55"/>
      <c r="N1517" s="55"/>
      <c r="O1517" s="57"/>
      <c r="P1517" s="57"/>
      <c r="Q1517" s="57"/>
      <c r="R1517" s="57"/>
      <c r="S1517" s="132"/>
      <c r="T1517" s="74"/>
      <c r="U1517" s="74"/>
      <c r="V1517" s="74"/>
      <c r="W1517" s="74"/>
      <c r="X1517" s="74"/>
      <c r="Y1517" s="74"/>
      <c r="Z1517" s="76"/>
      <c r="AA1517" s="134"/>
      <c r="AB1517" s="62" t="s">
        <v>61</v>
      </c>
      <c r="AC1517" s="63" t="s">
        <v>61</v>
      </c>
      <c r="AD1517" s="64" t="s">
        <v>61</v>
      </c>
      <c r="AE1517" s="64" t="s">
        <v>61</v>
      </c>
      <c r="AF1517" s="63" t="s">
        <v>61</v>
      </c>
      <c r="AG1517" s="63" t="s">
        <v>61</v>
      </c>
      <c r="AH1517" s="63" t="s">
        <v>61</v>
      </c>
      <c r="AI1517" s="65" t="s">
        <v>61</v>
      </c>
      <c r="AJ1517" s="105" t="s">
        <v>61</v>
      </c>
      <c r="AK1517" s="76"/>
    </row>
    <row r="1518" ht="24.0" customHeight="1">
      <c r="A1518" s="35"/>
      <c r="B1518" s="36">
        <v>1.0</v>
      </c>
      <c r="C1518" s="37" t="str">
        <f>IFERROR(__xludf.DUMMYFUNCTION("""COMPUTED_VALUE"""),"")</f>
        <v/>
      </c>
      <c r="D1518" s="89" t="s">
        <v>61</v>
      </c>
      <c r="E1518" s="39" t="s">
        <v>61</v>
      </c>
      <c r="F1518" s="121"/>
      <c r="G1518" s="122"/>
      <c r="H1518" s="138"/>
      <c r="I1518" s="80"/>
      <c r="J1518" s="80"/>
      <c r="K1518" s="95"/>
      <c r="L1518" s="80"/>
      <c r="M1518" s="43"/>
      <c r="N1518" s="43"/>
      <c r="O1518" s="80"/>
      <c r="P1518" s="80"/>
      <c r="Q1518" s="80"/>
      <c r="R1518" s="80"/>
      <c r="S1518" s="117"/>
      <c r="T1518" s="81"/>
      <c r="U1518" s="81"/>
      <c r="V1518" s="81"/>
      <c r="W1518" s="81"/>
      <c r="X1518" s="81"/>
      <c r="Y1518" s="81"/>
      <c r="Z1518" s="82"/>
      <c r="AA1518" s="99"/>
      <c r="AB1518" s="48" t="s">
        <v>61</v>
      </c>
      <c r="AC1518" s="68" t="s">
        <v>61</v>
      </c>
      <c r="AD1518" s="69" t="s">
        <v>61</v>
      </c>
      <c r="AE1518" s="69" t="s">
        <v>61</v>
      </c>
      <c r="AF1518" s="68" t="s">
        <v>61</v>
      </c>
      <c r="AG1518" s="68" t="s">
        <v>61</v>
      </c>
      <c r="AH1518" s="68" t="s">
        <v>61</v>
      </c>
      <c r="AI1518" s="70" t="s">
        <v>61</v>
      </c>
      <c r="AJ1518" s="114" t="s">
        <v>61</v>
      </c>
      <c r="AK1518" s="82"/>
    </row>
    <row r="1519" ht="24.0" customHeight="1">
      <c r="A1519" s="35"/>
      <c r="B1519" s="36">
        <v>1.0</v>
      </c>
      <c r="C1519" s="37" t="str">
        <f>IFERROR(__xludf.DUMMYFUNCTION("""COMPUTED_VALUE"""),"")</f>
        <v/>
      </c>
      <c r="D1519" s="89" t="s">
        <v>61</v>
      </c>
      <c r="E1519" s="51" t="s">
        <v>61</v>
      </c>
      <c r="F1519" s="137"/>
      <c r="G1519" s="133"/>
      <c r="H1519" s="141"/>
      <c r="I1519" s="57"/>
      <c r="J1519" s="57"/>
      <c r="K1519" s="72"/>
      <c r="L1519" s="57"/>
      <c r="M1519" s="55"/>
      <c r="N1519" s="55"/>
      <c r="O1519" s="57"/>
      <c r="P1519" s="57"/>
      <c r="Q1519" s="57"/>
      <c r="R1519" s="57"/>
      <c r="S1519" s="132"/>
      <c r="T1519" s="74"/>
      <c r="U1519" s="74"/>
      <c r="V1519" s="74"/>
      <c r="W1519" s="74"/>
      <c r="X1519" s="74"/>
      <c r="Y1519" s="74"/>
      <c r="Z1519" s="76"/>
      <c r="AA1519" s="134"/>
      <c r="AB1519" s="62" t="s">
        <v>61</v>
      </c>
      <c r="AC1519" s="63" t="s">
        <v>61</v>
      </c>
      <c r="AD1519" s="64" t="s">
        <v>61</v>
      </c>
      <c r="AE1519" s="64" t="s">
        <v>61</v>
      </c>
      <c r="AF1519" s="63" t="s">
        <v>61</v>
      </c>
      <c r="AG1519" s="63" t="s">
        <v>61</v>
      </c>
      <c r="AH1519" s="63" t="s">
        <v>61</v>
      </c>
      <c r="AI1519" s="65" t="s">
        <v>61</v>
      </c>
      <c r="AJ1519" s="105" t="s">
        <v>61</v>
      </c>
      <c r="AK1519" s="76"/>
    </row>
    <row r="1520" ht="24.0" customHeight="1">
      <c r="A1520" s="35"/>
      <c r="B1520" s="36">
        <v>1.0</v>
      </c>
      <c r="C1520" s="37" t="str">
        <f>IFERROR(__xludf.DUMMYFUNCTION("""COMPUTED_VALUE"""),"")</f>
        <v/>
      </c>
      <c r="D1520" s="89" t="s">
        <v>61</v>
      </c>
      <c r="E1520" s="39" t="s">
        <v>61</v>
      </c>
      <c r="F1520" s="121"/>
      <c r="G1520" s="122"/>
      <c r="H1520" s="138"/>
      <c r="I1520" s="80"/>
      <c r="J1520" s="80"/>
      <c r="K1520" s="95"/>
      <c r="L1520" s="80"/>
      <c r="M1520" s="43"/>
      <c r="N1520" s="43"/>
      <c r="O1520" s="80"/>
      <c r="P1520" s="80"/>
      <c r="Q1520" s="80"/>
      <c r="R1520" s="80"/>
      <c r="S1520" s="117"/>
      <c r="T1520" s="81"/>
      <c r="U1520" s="81"/>
      <c r="V1520" s="81"/>
      <c r="W1520" s="81"/>
      <c r="X1520" s="81"/>
      <c r="Y1520" s="81"/>
      <c r="Z1520" s="82"/>
      <c r="AA1520" s="99"/>
      <c r="AB1520" s="48" t="s">
        <v>61</v>
      </c>
      <c r="AC1520" s="68" t="s">
        <v>61</v>
      </c>
      <c r="AD1520" s="69" t="s">
        <v>61</v>
      </c>
      <c r="AE1520" s="69" t="s">
        <v>61</v>
      </c>
      <c r="AF1520" s="68" t="s">
        <v>61</v>
      </c>
      <c r="AG1520" s="68" t="s">
        <v>61</v>
      </c>
      <c r="AH1520" s="68" t="s">
        <v>61</v>
      </c>
      <c r="AI1520" s="70" t="s">
        <v>61</v>
      </c>
      <c r="AJ1520" s="114" t="s">
        <v>61</v>
      </c>
      <c r="AK1520" s="82"/>
    </row>
    <row r="1521" ht="24.0" customHeight="1">
      <c r="A1521" s="35"/>
      <c r="B1521" s="36">
        <v>1.0</v>
      </c>
      <c r="C1521" s="37" t="str">
        <f>IFERROR(__xludf.DUMMYFUNCTION("""COMPUTED_VALUE"""),"")</f>
        <v/>
      </c>
      <c r="D1521" s="89" t="s">
        <v>61</v>
      </c>
      <c r="E1521" s="51" t="s">
        <v>61</v>
      </c>
      <c r="F1521" s="137"/>
      <c r="G1521" s="133"/>
      <c r="H1521" s="141"/>
      <c r="I1521" s="57"/>
      <c r="J1521" s="57"/>
      <c r="K1521" s="72"/>
      <c r="L1521" s="57"/>
      <c r="M1521" s="55"/>
      <c r="N1521" s="55"/>
      <c r="O1521" s="57"/>
      <c r="P1521" s="57"/>
      <c r="Q1521" s="57"/>
      <c r="R1521" s="57"/>
      <c r="S1521" s="132"/>
      <c r="T1521" s="74"/>
      <c r="U1521" s="74"/>
      <c r="V1521" s="74"/>
      <c r="W1521" s="74"/>
      <c r="X1521" s="74"/>
      <c r="Y1521" s="74"/>
      <c r="Z1521" s="76"/>
      <c r="AA1521" s="134"/>
      <c r="AB1521" s="62" t="s">
        <v>61</v>
      </c>
      <c r="AC1521" s="63" t="s">
        <v>61</v>
      </c>
      <c r="AD1521" s="64" t="s">
        <v>61</v>
      </c>
      <c r="AE1521" s="64" t="s">
        <v>61</v>
      </c>
      <c r="AF1521" s="63" t="s">
        <v>61</v>
      </c>
      <c r="AG1521" s="63" t="s">
        <v>61</v>
      </c>
      <c r="AH1521" s="63" t="s">
        <v>61</v>
      </c>
      <c r="AI1521" s="65" t="s">
        <v>61</v>
      </c>
      <c r="AJ1521" s="105" t="s">
        <v>61</v>
      </c>
      <c r="AK1521" s="76"/>
    </row>
    <row r="1522" ht="24.0" customHeight="1">
      <c r="A1522" s="35"/>
      <c r="B1522" s="36">
        <v>1.0</v>
      </c>
      <c r="C1522" s="37" t="str">
        <f>IFERROR(__xludf.DUMMYFUNCTION("""COMPUTED_VALUE"""),"")</f>
        <v/>
      </c>
      <c r="D1522" s="89" t="s">
        <v>61</v>
      </c>
      <c r="E1522" s="39" t="s">
        <v>61</v>
      </c>
      <c r="F1522" s="121"/>
      <c r="G1522" s="122"/>
      <c r="H1522" s="138"/>
      <c r="I1522" s="80"/>
      <c r="J1522" s="80"/>
      <c r="K1522" s="95"/>
      <c r="L1522" s="80"/>
      <c r="M1522" s="43"/>
      <c r="N1522" s="43"/>
      <c r="O1522" s="80"/>
      <c r="P1522" s="80"/>
      <c r="Q1522" s="80"/>
      <c r="R1522" s="80"/>
      <c r="S1522" s="117"/>
      <c r="T1522" s="81"/>
      <c r="U1522" s="81"/>
      <c r="V1522" s="81"/>
      <c r="W1522" s="81"/>
      <c r="X1522" s="81"/>
      <c r="Y1522" s="81"/>
      <c r="Z1522" s="82"/>
      <c r="AA1522" s="99"/>
      <c r="AB1522" s="48" t="s">
        <v>61</v>
      </c>
      <c r="AC1522" s="68" t="s">
        <v>61</v>
      </c>
      <c r="AD1522" s="69" t="s">
        <v>61</v>
      </c>
      <c r="AE1522" s="69" t="s">
        <v>61</v>
      </c>
      <c r="AF1522" s="68" t="s">
        <v>61</v>
      </c>
      <c r="AG1522" s="68" t="s">
        <v>61</v>
      </c>
      <c r="AH1522" s="68" t="s">
        <v>61</v>
      </c>
      <c r="AI1522" s="70" t="s">
        <v>61</v>
      </c>
      <c r="AJ1522" s="114" t="s">
        <v>61</v>
      </c>
      <c r="AK1522" s="82"/>
    </row>
    <row r="1523" ht="24.0" customHeight="1">
      <c r="A1523" s="35"/>
      <c r="B1523" s="36">
        <v>1.0</v>
      </c>
      <c r="C1523" s="37" t="str">
        <f>IFERROR(__xludf.DUMMYFUNCTION("""COMPUTED_VALUE"""),"")</f>
        <v/>
      </c>
      <c r="D1523" s="89" t="s">
        <v>61</v>
      </c>
      <c r="E1523" s="51" t="s">
        <v>61</v>
      </c>
      <c r="F1523" s="137"/>
      <c r="G1523" s="133"/>
      <c r="H1523" s="141"/>
      <c r="I1523" s="57"/>
      <c r="J1523" s="57"/>
      <c r="K1523" s="72"/>
      <c r="L1523" s="57"/>
      <c r="M1523" s="55"/>
      <c r="N1523" s="55"/>
      <c r="O1523" s="57"/>
      <c r="P1523" s="57"/>
      <c r="Q1523" s="57"/>
      <c r="R1523" s="57"/>
      <c r="S1523" s="132"/>
      <c r="T1523" s="74"/>
      <c r="U1523" s="74"/>
      <c r="V1523" s="74"/>
      <c r="W1523" s="74"/>
      <c r="X1523" s="74"/>
      <c r="Y1523" s="74"/>
      <c r="Z1523" s="76"/>
      <c r="AA1523" s="134"/>
      <c r="AB1523" s="62" t="s">
        <v>61</v>
      </c>
      <c r="AC1523" s="63" t="s">
        <v>61</v>
      </c>
      <c r="AD1523" s="64" t="s">
        <v>61</v>
      </c>
      <c r="AE1523" s="64" t="s">
        <v>61</v>
      </c>
      <c r="AF1523" s="63" t="s">
        <v>61</v>
      </c>
      <c r="AG1523" s="63" t="s">
        <v>61</v>
      </c>
      <c r="AH1523" s="63" t="s">
        <v>61</v>
      </c>
      <c r="AI1523" s="65" t="s">
        <v>61</v>
      </c>
      <c r="AJ1523" s="105" t="s">
        <v>61</v>
      </c>
      <c r="AK1523" s="76"/>
    </row>
    <row r="1524" ht="24.0" customHeight="1">
      <c r="A1524" s="35"/>
      <c r="B1524" s="36">
        <v>1.0</v>
      </c>
      <c r="C1524" s="37" t="str">
        <f>IFERROR(__xludf.DUMMYFUNCTION("""COMPUTED_VALUE"""),"")</f>
        <v/>
      </c>
      <c r="D1524" s="89" t="s">
        <v>61</v>
      </c>
      <c r="E1524" s="39" t="s">
        <v>61</v>
      </c>
      <c r="F1524" s="121"/>
      <c r="G1524" s="122"/>
      <c r="H1524" s="138"/>
      <c r="I1524" s="80"/>
      <c r="J1524" s="80"/>
      <c r="K1524" s="95"/>
      <c r="L1524" s="80"/>
      <c r="M1524" s="43"/>
      <c r="N1524" s="43"/>
      <c r="O1524" s="80"/>
      <c r="P1524" s="80"/>
      <c r="Q1524" s="80"/>
      <c r="R1524" s="80"/>
      <c r="S1524" s="117"/>
      <c r="T1524" s="81"/>
      <c r="U1524" s="81"/>
      <c r="V1524" s="81"/>
      <c r="W1524" s="81"/>
      <c r="X1524" s="81"/>
      <c r="Y1524" s="81"/>
      <c r="Z1524" s="82"/>
      <c r="AA1524" s="99"/>
      <c r="AB1524" s="48" t="s">
        <v>61</v>
      </c>
      <c r="AC1524" s="68" t="s">
        <v>61</v>
      </c>
      <c r="AD1524" s="69" t="s">
        <v>61</v>
      </c>
      <c r="AE1524" s="69" t="s">
        <v>61</v>
      </c>
      <c r="AF1524" s="68" t="s">
        <v>61</v>
      </c>
      <c r="AG1524" s="68" t="s">
        <v>61</v>
      </c>
      <c r="AH1524" s="68" t="s">
        <v>61</v>
      </c>
      <c r="AI1524" s="70" t="s">
        <v>61</v>
      </c>
      <c r="AJ1524" s="114" t="s">
        <v>61</v>
      </c>
      <c r="AK1524" s="82"/>
    </row>
    <row r="1525" ht="24.0" customHeight="1">
      <c r="A1525" s="35"/>
      <c r="B1525" s="36">
        <v>1.0</v>
      </c>
      <c r="C1525" s="37" t="str">
        <f>IFERROR(__xludf.DUMMYFUNCTION("""COMPUTED_VALUE"""),"")</f>
        <v/>
      </c>
      <c r="D1525" s="89" t="s">
        <v>61</v>
      </c>
      <c r="E1525" s="51" t="s">
        <v>61</v>
      </c>
      <c r="F1525" s="137"/>
      <c r="G1525" s="133"/>
      <c r="H1525" s="141"/>
      <c r="I1525" s="57"/>
      <c r="J1525" s="57"/>
      <c r="K1525" s="72"/>
      <c r="L1525" s="57"/>
      <c r="M1525" s="55"/>
      <c r="N1525" s="55"/>
      <c r="O1525" s="57"/>
      <c r="P1525" s="57"/>
      <c r="Q1525" s="57"/>
      <c r="R1525" s="57"/>
      <c r="S1525" s="132"/>
      <c r="T1525" s="74"/>
      <c r="U1525" s="74"/>
      <c r="V1525" s="74"/>
      <c r="W1525" s="74"/>
      <c r="X1525" s="74"/>
      <c r="Y1525" s="74"/>
      <c r="Z1525" s="76"/>
      <c r="AA1525" s="134"/>
      <c r="AB1525" s="62" t="s">
        <v>61</v>
      </c>
      <c r="AC1525" s="63" t="s">
        <v>61</v>
      </c>
      <c r="AD1525" s="64" t="s">
        <v>61</v>
      </c>
      <c r="AE1525" s="64" t="s">
        <v>61</v>
      </c>
      <c r="AF1525" s="63" t="s">
        <v>61</v>
      </c>
      <c r="AG1525" s="63" t="s">
        <v>61</v>
      </c>
      <c r="AH1525" s="63" t="s">
        <v>61</v>
      </c>
      <c r="AI1525" s="65" t="s">
        <v>61</v>
      </c>
      <c r="AJ1525" s="105" t="s">
        <v>61</v>
      </c>
      <c r="AK1525" s="76"/>
    </row>
    <row r="1526" ht="24.0" customHeight="1">
      <c r="A1526" s="35"/>
      <c r="B1526" s="36">
        <v>1.0</v>
      </c>
      <c r="C1526" s="37" t="str">
        <f>IFERROR(__xludf.DUMMYFUNCTION("""COMPUTED_VALUE"""),"")</f>
        <v/>
      </c>
      <c r="D1526" s="89" t="s">
        <v>61</v>
      </c>
      <c r="E1526" s="39" t="s">
        <v>61</v>
      </c>
      <c r="F1526" s="121"/>
      <c r="G1526" s="122"/>
      <c r="H1526" s="138"/>
      <c r="I1526" s="80"/>
      <c r="J1526" s="80"/>
      <c r="K1526" s="95"/>
      <c r="L1526" s="80"/>
      <c r="M1526" s="43"/>
      <c r="N1526" s="43"/>
      <c r="O1526" s="80"/>
      <c r="P1526" s="80"/>
      <c r="Q1526" s="80"/>
      <c r="R1526" s="80"/>
      <c r="S1526" s="117"/>
      <c r="T1526" s="81"/>
      <c r="U1526" s="81"/>
      <c r="V1526" s="81"/>
      <c r="W1526" s="81"/>
      <c r="X1526" s="81"/>
      <c r="Y1526" s="81"/>
      <c r="Z1526" s="82"/>
      <c r="AA1526" s="99"/>
      <c r="AB1526" s="48" t="s">
        <v>61</v>
      </c>
      <c r="AC1526" s="68" t="s">
        <v>61</v>
      </c>
      <c r="AD1526" s="69" t="s">
        <v>61</v>
      </c>
      <c r="AE1526" s="69" t="s">
        <v>61</v>
      </c>
      <c r="AF1526" s="68" t="s">
        <v>61</v>
      </c>
      <c r="AG1526" s="68" t="s">
        <v>61</v>
      </c>
      <c r="AH1526" s="68" t="s">
        <v>61</v>
      </c>
      <c r="AI1526" s="70" t="s">
        <v>61</v>
      </c>
      <c r="AJ1526" s="114" t="s">
        <v>61</v>
      </c>
      <c r="AK1526" s="82"/>
    </row>
    <row r="1527" ht="24.0" customHeight="1">
      <c r="A1527" s="35"/>
      <c r="B1527" s="36">
        <v>1.0</v>
      </c>
      <c r="C1527" s="37" t="str">
        <f>IFERROR(__xludf.DUMMYFUNCTION("""COMPUTED_VALUE"""),"")</f>
        <v/>
      </c>
      <c r="D1527" s="89" t="s">
        <v>61</v>
      </c>
      <c r="E1527" s="51" t="s">
        <v>61</v>
      </c>
      <c r="F1527" s="137"/>
      <c r="G1527" s="133"/>
      <c r="H1527" s="141"/>
      <c r="I1527" s="57"/>
      <c r="J1527" s="57"/>
      <c r="K1527" s="72"/>
      <c r="L1527" s="57"/>
      <c r="M1527" s="55"/>
      <c r="N1527" s="55"/>
      <c r="O1527" s="57"/>
      <c r="P1527" s="57"/>
      <c r="Q1527" s="57"/>
      <c r="R1527" s="57"/>
      <c r="S1527" s="132"/>
      <c r="T1527" s="74"/>
      <c r="U1527" s="74"/>
      <c r="V1527" s="74"/>
      <c r="W1527" s="74"/>
      <c r="X1527" s="74"/>
      <c r="Y1527" s="74"/>
      <c r="Z1527" s="76"/>
      <c r="AA1527" s="134"/>
      <c r="AB1527" s="62" t="s">
        <v>61</v>
      </c>
      <c r="AC1527" s="63" t="s">
        <v>61</v>
      </c>
      <c r="AD1527" s="64" t="s">
        <v>61</v>
      </c>
      <c r="AE1527" s="64" t="s">
        <v>61</v>
      </c>
      <c r="AF1527" s="63" t="s">
        <v>61</v>
      </c>
      <c r="AG1527" s="63" t="s">
        <v>61</v>
      </c>
      <c r="AH1527" s="63" t="s">
        <v>61</v>
      </c>
      <c r="AI1527" s="65" t="s">
        <v>61</v>
      </c>
      <c r="AJ1527" s="105" t="s">
        <v>61</v>
      </c>
      <c r="AK1527" s="76"/>
    </row>
    <row r="1528" ht="24.0" customHeight="1">
      <c r="A1528" s="35"/>
      <c r="B1528" s="36">
        <v>1.0</v>
      </c>
      <c r="C1528" s="37" t="str">
        <f>IFERROR(__xludf.DUMMYFUNCTION("""COMPUTED_VALUE"""),"")</f>
        <v/>
      </c>
      <c r="D1528" s="89" t="s">
        <v>61</v>
      </c>
      <c r="E1528" s="39" t="s">
        <v>61</v>
      </c>
      <c r="F1528" s="121"/>
      <c r="G1528" s="122"/>
      <c r="H1528" s="138"/>
      <c r="I1528" s="80"/>
      <c r="J1528" s="80"/>
      <c r="K1528" s="95"/>
      <c r="L1528" s="80"/>
      <c r="M1528" s="43"/>
      <c r="N1528" s="43"/>
      <c r="O1528" s="80"/>
      <c r="P1528" s="80"/>
      <c r="Q1528" s="80"/>
      <c r="R1528" s="80"/>
      <c r="S1528" s="117"/>
      <c r="T1528" s="81"/>
      <c r="U1528" s="81"/>
      <c r="V1528" s="81"/>
      <c r="W1528" s="81"/>
      <c r="X1528" s="81"/>
      <c r="Y1528" s="81"/>
      <c r="Z1528" s="82"/>
      <c r="AA1528" s="99"/>
      <c r="AB1528" s="48" t="s">
        <v>61</v>
      </c>
      <c r="AC1528" s="68" t="s">
        <v>61</v>
      </c>
      <c r="AD1528" s="69" t="s">
        <v>61</v>
      </c>
      <c r="AE1528" s="69" t="s">
        <v>61</v>
      </c>
      <c r="AF1528" s="68" t="s">
        <v>61</v>
      </c>
      <c r="AG1528" s="68" t="s">
        <v>61</v>
      </c>
      <c r="AH1528" s="68" t="s">
        <v>61</v>
      </c>
      <c r="AI1528" s="70" t="s">
        <v>61</v>
      </c>
      <c r="AJ1528" s="114" t="s">
        <v>61</v>
      </c>
      <c r="AK1528" s="82"/>
    </row>
    <row r="1529" ht="24.0" customHeight="1">
      <c r="A1529" s="35"/>
      <c r="B1529" s="36">
        <v>1.0</v>
      </c>
      <c r="C1529" s="37" t="str">
        <f>IFERROR(__xludf.DUMMYFUNCTION("""COMPUTED_VALUE"""),"")</f>
        <v/>
      </c>
      <c r="D1529" s="89" t="s">
        <v>61</v>
      </c>
      <c r="E1529" s="51" t="s">
        <v>61</v>
      </c>
      <c r="F1529" s="137"/>
      <c r="G1529" s="133"/>
      <c r="H1529" s="141"/>
      <c r="I1529" s="57"/>
      <c r="J1529" s="57"/>
      <c r="K1529" s="72"/>
      <c r="L1529" s="57"/>
      <c r="M1529" s="55"/>
      <c r="N1529" s="55"/>
      <c r="O1529" s="57"/>
      <c r="P1529" s="57"/>
      <c r="Q1529" s="57"/>
      <c r="R1529" s="57"/>
      <c r="S1529" s="132"/>
      <c r="T1529" s="74"/>
      <c r="U1529" s="74"/>
      <c r="V1529" s="74"/>
      <c r="W1529" s="74"/>
      <c r="X1529" s="74"/>
      <c r="Y1529" s="74"/>
      <c r="Z1529" s="76"/>
      <c r="AA1529" s="134"/>
      <c r="AB1529" s="62" t="s">
        <v>61</v>
      </c>
      <c r="AC1529" s="63" t="s">
        <v>61</v>
      </c>
      <c r="AD1529" s="64" t="s">
        <v>61</v>
      </c>
      <c r="AE1529" s="64" t="s">
        <v>61</v>
      </c>
      <c r="AF1529" s="63" t="s">
        <v>61</v>
      </c>
      <c r="AG1529" s="63" t="s">
        <v>61</v>
      </c>
      <c r="AH1529" s="63" t="s">
        <v>61</v>
      </c>
      <c r="AI1529" s="65" t="s">
        <v>61</v>
      </c>
      <c r="AJ1529" s="105" t="s">
        <v>61</v>
      </c>
      <c r="AK1529" s="76"/>
    </row>
    <row r="1530" ht="24.0" customHeight="1">
      <c r="A1530" s="35"/>
      <c r="B1530" s="36">
        <v>1.0</v>
      </c>
      <c r="C1530" s="37" t="str">
        <f>IFERROR(__xludf.DUMMYFUNCTION("""COMPUTED_VALUE"""),"")</f>
        <v/>
      </c>
      <c r="D1530" s="89" t="s">
        <v>61</v>
      </c>
      <c r="E1530" s="39" t="s">
        <v>61</v>
      </c>
      <c r="F1530" s="121"/>
      <c r="G1530" s="122"/>
      <c r="H1530" s="138"/>
      <c r="I1530" s="80"/>
      <c r="J1530" s="80"/>
      <c r="K1530" s="95"/>
      <c r="L1530" s="80"/>
      <c r="M1530" s="43"/>
      <c r="N1530" s="43"/>
      <c r="O1530" s="80"/>
      <c r="P1530" s="80"/>
      <c r="Q1530" s="80"/>
      <c r="R1530" s="80"/>
      <c r="S1530" s="117"/>
      <c r="T1530" s="81"/>
      <c r="U1530" s="81"/>
      <c r="V1530" s="81"/>
      <c r="W1530" s="81"/>
      <c r="X1530" s="81"/>
      <c r="Y1530" s="81"/>
      <c r="Z1530" s="82"/>
      <c r="AA1530" s="99"/>
      <c r="AB1530" s="48" t="s">
        <v>61</v>
      </c>
      <c r="AC1530" s="68" t="s">
        <v>61</v>
      </c>
      <c r="AD1530" s="69" t="s">
        <v>61</v>
      </c>
      <c r="AE1530" s="69" t="s">
        <v>61</v>
      </c>
      <c r="AF1530" s="68" t="s">
        <v>61</v>
      </c>
      <c r="AG1530" s="68" t="s">
        <v>61</v>
      </c>
      <c r="AH1530" s="68" t="s">
        <v>61</v>
      </c>
      <c r="AI1530" s="70" t="s">
        <v>61</v>
      </c>
      <c r="AJ1530" s="114" t="s">
        <v>61</v>
      </c>
      <c r="AK1530" s="82"/>
    </row>
    <row r="1531" ht="24.0" customHeight="1">
      <c r="A1531" s="35"/>
      <c r="B1531" s="36">
        <v>1.0</v>
      </c>
      <c r="C1531" s="37" t="str">
        <f>IFERROR(__xludf.DUMMYFUNCTION("""COMPUTED_VALUE"""),"")</f>
        <v/>
      </c>
      <c r="D1531" s="89" t="s">
        <v>61</v>
      </c>
      <c r="E1531" s="51" t="s">
        <v>61</v>
      </c>
      <c r="F1531" s="137"/>
      <c r="G1531" s="133"/>
      <c r="H1531" s="141"/>
      <c r="I1531" s="57"/>
      <c r="J1531" s="57"/>
      <c r="K1531" s="72"/>
      <c r="L1531" s="57"/>
      <c r="M1531" s="55"/>
      <c r="N1531" s="55"/>
      <c r="O1531" s="57"/>
      <c r="P1531" s="57"/>
      <c r="Q1531" s="57"/>
      <c r="R1531" s="57"/>
      <c r="S1531" s="132"/>
      <c r="T1531" s="74"/>
      <c r="U1531" s="74"/>
      <c r="V1531" s="74"/>
      <c r="W1531" s="74"/>
      <c r="X1531" s="74"/>
      <c r="Y1531" s="74"/>
      <c r="Z1531" s="76"/>
      <c r="AA1531" s="134"/>
      <c r="AB1531" s="62" t="s">
        <v>61</v>
      </c>
      <c r="AC1531" s="63" t="s">
        <v>61</v>
      </c>
      <c r="AD1531" s="64" t="s">
        <v>61</v>
      </c>
      <c r="AE1531" s="64" t="s">
        <v>61</v>
      </c>
      <c r="AF1531" s="63" t="s">
        <v>61</v>
      </c>
      <c r="AG1531" s="63" t="s">
        <v>61</v>
      </c>
      <c r="AH1531" s="63" t="s">
        <v>61</v>
      </c>
      <c r="AI1531" s="65" t="s">
        <v>61</v>
      </c>
      <c r="AJ1531" s="105" t="s">
        <v>61</v>
      </c>
      <c r="AK1531" s="76"/>
    </row>
    <row r="1532" ht="24.0" customHeight="1">
      <c r="A1532" s="35"/>
      <c r="B1532" s="36">
        <v>1.0</v>
      </c>
      <c r="C1532" s="37" t="str">
        <f>IFERROR(__xludf.DUMMYFUNCTION("""COMPUTED_VALUE"""),"")</f>
        <v/>
      </c>
      <c r="D1532" s="89" t="s">
        <v>61</v>
      </c>
      <c r="E1532" s="39" t="s">
        <v>61</v>
      </c>
      <c r="F1532" s="121"/>
      <c r="G1532" s="122"/>
      <c r="H1532" s="138"/>
      <c r="I1532" s="80"/>
      <c r="J1532" s="80"/>
      <c r="K1532" s="95"/>
      <c r="L1532" s="80"/>
      <c r="M1532" s="43"/>
      <c r="N1532" s="43"/>
      <c r="O1532" s="80"/>
      <c r="P1532" s="80"/>
      <c r="Q1532" s="80"/>
      <c r="R1532" s="80"/>
      <c r="S1532" s="117"/>
      <c r="T1532" s="81"/>
      <c r="U1532" s="81"/>
      <c r="V1532" s="81"/>
      <c r="W1532" s="81"/>
      <c r="X1532" s="81"/>
      <c r="Y1532" s="81"/>
      <c r="Z1532" s="82"/>
      <c r="AA1532" s="99"/>
      <c r="AB1532" s="48" t="s">
        <v>61</v>
      </c>
      <c r="AC1532" s="68" t="s">
        <v>61</v>
      </c>
      <c r="AD1532" s="69" t="s">
        <v>61</v>
      </c>
      <c r="AE1532" s="69" t="s">
        <v>61</v>
      </c>
      <c r="AF1532" s="68" t="s">
        <v>61</v>
      </c>
      <c r="AG1532" s="68" t="s">
        <v>61</v>
      </c>
      <c r="AH1532" s="68" t="s">
        <v>61</v>
      </c>
      <c r="AI1532" s="70" t="s">
        <v>61</v>
      </c>
      <c r="AJ1532" s="114" t="s">
        <v>61</v>
      </c>
      <c r="AK1532" s="82"/>
    </row>
    <row r="1533" ht="24.0" customHeight="1">
      <c r="A1533" s="35"/>
      <c r="B1533" s="36">
        <v>1.0</v>
      </c>
      <c r="C1533" s="37" t="str">
        <f>IFERROR(__xludf.DUMMYFUNCTION("""COMPUTED_VALUE"""),"")</f>
        <v/>
      </c>
      <c r="D1533" s="89" t="s">
        <v>61</v>
      </c>
      <c r="E1533" s="51" t="s">
        <v>61</v>
      </c>
      <c r="F1533" s="137"/>
      <c r="G1533" s="133"/>
      <c r="H1533" s="141"/>
      <c r="I1533" s="57"/>
      <c r="J1533" s="57"/>
      <c r="K1533" s="72"/>
      <c r="L1533" s="57"/>
      <c r="M1533" s="55"/>
      <c r="N1533" s="55"/>
      <c r="O1533" s="57"/>
      <c r="P1533" s="57"/>
      <c r="Q1533" s="57"/>
      <c r="R1533" s="57"/>
      <c r="S1533" s="132"/>
      <c r="T1533" s="74"/>
      <c r="U1533" s="74"/>
      <c r="V1533" s="74"/>
      <c r="W1533" s="74"/>
      <c r="X1533" s="74"/>
      <c r="Y1533" s="74"/>
      <c r="Z1533" s="76"/>
      <c r="AA1533" s="134"/>
      <c r="AB1533" s="62" t="s">
        <v>61</v>
      </c>
      <c r="AC1533" s="63" t="s">
        <v>61</v>
      </c>
      <c r="AD1533" s="64" t="s">
        <v>61</v>
      </c>
      <c r="AE1533" s="64" t="s">
        <v>61</v>
      </c>
      <c r="AF1533" s="63" t="s">
        <v>61</v>
      </c>
      <c r="AG1533" s="63" t="s">
        <v>61</v>
      </c>
      <c r="AH1533" s="63" t="s">
        <v>61</v>
      </c>
      <c r="AI1533" s="65" t="s">
        <v>61</v>
      </c>
      <c r="AJ1533" s="105" t="s">
        <v>61</v>
      </c>
      <c r="AK1533" s="76"/>
    </row>
    <row r="1534" ht="24.0" customHeight="1">
      <c r="A1534" s="35"/>
      <c r="B1534" s="36">
        <v>1.0</v>
      </c>
      <c r="C1534" s="37" t="str">
        <f>IFERROR(__xludf.DUMMYFUNCTION("""COMPUTED_VALUE"""),"")</f>
        <v/>
      </c>
      <c r="D1534" s="89" t="s">
        <v>61</v>
      </c>
      <c r="E1534" s="39" t="s">
        <v>61</v>
      </c>
      <c r="F1534" s="121"/>
      <c r="G1534" s="122"/>
      <c r="H1534" s="138"/>
      <c r="I1534" s="80"/>
      <c r="J1534" s="80"/>
      <c r="K1534" s="95"/>
      <c r="L1534" s="80"/>
      <c r="M1534" s="43"/>
      <c r="N1534" s="43"/>
      <c r="O1534" s="80"/>
      <c r="P1534" s="80"/>
      <c r="Q1534" s="80"/>
      <c r="R1534" s="80"/>
      <c r="S1534" s="117"/>
      <c r="T1534" s="81"/>
      <c r="U1534" s="81"/>
      <c r="V1534" s="81"/>
      <c r="W1534" s="81"/>
      <c r="X1534" s="81"/>
      <c r="Y1534" s="81"/>
      <c r="Z1534" s="82"/>
      <c r="AA1534" s="99"/>
      <c r="AB1534" s="48" t="s">
        <v>61</v>
      </c>
      <c r="AC1534" s="68" t="s">
        <v>61</v>
      </c>
      <c r="AD1534" s="69" t="s">
        <v>61</v>
      </c>
      <c r="AE1534" s="69" t="s">
        <v>61</v>
      </c>
      <c r="AF1534" s="68" t="s">
        <v>61</v>
      </c>
      <c r="AG1534" s="68" t="s">
        <v>61</v>
      </c>
      <c r="AH1534" s="68" t="s">
        <v>61</v>
      </c>
      <c r="AI1534" s="70" t="s">
        <v>61</v>
      </c>
      <c r="AJ1534" s="114" t="s">
        <v>61</v>
      </c>
      <c r="AK1534" s="82"/>
    </row>
    <row r="1535" ht="24.0" customHeight="1">
      <c r="A1535" s="35"/>
      <c r="B1535" s="36">
        <v>1.0</v>
      </c>
      <c r="C1535" s="37" t="str">
        <f>IFERROR(__xludf.DUMMYFUNCTION("""COMPUTED_VALUE"""),"")</f>
        <v/>
      </c>
      <c r="D1535" s="89" t="s">
        <v>61</v>
      </c>
      <c r="E1535" s="51" t="s">
        <v>61</v>
      </c>
      <c r="F1535" s="137"/>
      <c r="G1535" s="133"/>
      <c r="H1535" s="141"/>
      <c r="I1535" s="57"/>
      <c r="J1535" s="57"/>
      <c r="K1535" s="72"/>
      <c r="L1535" s="57"/>
      <c r="M1535" s="55"/>
      <c r="N1535" s="55"/>
      <c r="O1535" s="57"/>
      <c r="P1535" s="57"/>
      <c r="Q1535" s="57"/>
      <c r="R1535" s="57"/>
      <c r="S1535" s="132"/>
      <c r="T1535" s="74"/>
      <c r="U1535" s="74"/>
      <c r="V1535" s="74"/>
      <c r="W1535" s="74"/>
      <c r="X1535" s="74"/>
      <c r="Y1535" s="74"/>
      <c r="Z1535" s="76"/>
      <c r="AA1535" s="134"/>
      <c r="AB1535" s="62" t="s">
        <v>61</v>
      </c>
      <c r="AC1535" s="63" t="s">
        <v>61</v>
      </c>
      <c r="AD1535" s="64" t="s">
        <v>61</v>
      </c>
      <c r="AE1535" s="64" t="s">
        <v>61</v>
      </c>
      <c r="AF1535" s="63" t="s">
        <v>61</v>
      </c>
      <c r="AG1535" s="63" t="s">
        <v>61</v>
      </c>
      <c r="AH1535" s="63" t="s">
        <v>61</v>
      </c>
      <c r="AI1535" s="65" t="s">
        <v>61</v>
      </c>
      <c r="AJ1535" s="105" t="s">
        <v>61</v>
      </c>
      <c r="AK1535" s="76"/>
    </row>
    <row r="1536" ht="24.0" customHeight="1">
      <c r="A1536" s="35"/>
      <c r="B1536" s="36">
        <v>1.0</v>
      </c>
      <c r="C1536" s="37" t="str">
        <f>IFERROR(__xludf.DUMMYFUNCTION("""COMPUTED_VALUE"""),"")</f>
        <v/>
      </c>
      <c r="D1536" s="89" t="s">
        <v>61</v>
      </c>
      <c r="E1536" s="39" t="s">
        <v>61</v>
      </c>
      <c r="F1536" s="121"/>
      <c r="G1536" s="122"/>
      <c r="H1536" s="138"/>
      <c r="I1536" s="80"/>
      <c r="J1536" s="80"/>
      <c r="K1536" s="95"/>
      <c r="L1536" s="80"/>
      <c r="M1536" s="43"/>
      <c r="N1536" s="43"/>
      <c r="O1536" s="80"/>
      <c r="P1536" s="80"/>
      <c r="Q1536" s="80"/>
      <c r="R1536" s="80"/>
      <c r="S1536" s="117"/>
      <c r="T1536" s="81"/>
      <c r="U1536" s="81"/>
      <c r="V1536" s="81"/>
      <c r="W1536" s="81"/>
      <c r="X1536" s="81"/>
      <c r="Y1536" s="81"/>
      <c r="Z1536" s="82"/>
      <c r="AA1536" s="99"/>
      <c r="AB1536" s="48" t="s">
        <v>61</v>
      </c>
      <c r="AC1536" s="68" t="s">
        <v>61</v>
      </c>
      <c r="AD1536" s="69" t="s">
        <v>61</v>
      </c>
      <c r="AE1536" s="69" t="s">
        <v>61</v>
      </c>
      <c r="AF1536" s="68" t="s">
        <v>61</v>
      </c>
      <c r="AG1536" s="68" t="s">
        <v>61</v>
      </c>
      <c r="AH1536" s="68" t="s">
        <v>61</v>
      </c>
      <c r="AI1536" s="70" t="s">
        <v>61</v>
      </c>
      <c r="AJ1536" s="114" t="s">
        <v>61</v>
      </c>
      <c r="AK1536" s="82"/>
    </row>
    <row r="1537" ht="24.0" customHeight="1">
      <c r="A1537" s="35"/>
      <c r="B1537" s="36">
        <v>1.0</v>
      </c>
      <c r="C1537" s="37" t="str">
        <f>IFERROR(__xludf.DUMMYFUNCTION("""COMPUTED_VALUE"""),"")</f>
        <v/>
      </c>
      <c r="D1537" s="89" t="s">
        <v>61</v>
      </c>
      <c r="E1537" s="51" t="s">
        <v>61</v>
      </c>
      <c r="F1537" s="137"/>
      <c r="G1537" s="133"/>
      <c r="H1537" s="141"/>
      <c r="I1537" s="57"/>
      <c r="J1537" s="57"/>
      <c r="K1537" s="72"/>
      <c r="L1537" s="57"/>
      <c r="M1537" s="55"/>
      <c r="N1537" s="55"/>
      <c r="O1537" s="57"/>
      <c r="P1537" s="57"/>
      <c r="Q1537" s="57"/>
      <c r="R1537" s="57"/>
      <c r="S1537" s="132"/>
      <c r="T1537" s="74"/>
      <c r="U1537" s="74"/>
      <c r="V1537" s="74"/>
      <c r="W1537" s="74"/>
      <c r="X1537" s="74"/>
      <c r="Y1537" s="74"/>
      <c r="Z1537" s="76"/>
      <c r="AA1537" s="134"/>
      <c r="AB1537" s="62" t="s">
        <v>61</v>
      </c>
      <c r="AC1537" s="63" t="s">
        <v>61</v>
      </c>
      <c r="AD1537" s="64" t="s">
        <v>61</v>
      </c>
      <c r="AE1537" s="64" t="s">
        <v>61</v>
      </c>
      <c r="AF1537" s="63" t="s">
        <v>61</v>
      </c>
      <c r="AG1537" s="63" t="s">
        <v>61</v>
      </c>
      <c r="AH1537" s="63" t="s">
        <v>61</v>
      </c>
      <c r="AI1537" s="65" t="s">
        <v>61</v>
      </c>
      <c r="AJ1537" s="105" t="s">
        <v>61</v>
      </c>
      <c r="AK1537" s="76"/>
    </row>
    <row r="1538" ht="24.0" customHeight="1">
      <c r="A1538" s="35"/>
      <c r="B1538" s="36">
        <v>1.0</v>
      </c>
      <c r="C1538" s="37" t="str">
        <f>IFERROR(__xludf.DUMMYFUNCTION("""COMPUTED_VALUE"""),"")</f>
        <v/>
      </c>
      <c r="D1538" s="89" t="s">
        <v>61</v>
      </c>
      <c r="E1538" s="39" t="s">
        <v>61</v>
      </c>
      <c r="F1538" s="121"/>
      <c r="G1538" s="122"/>
      <c r="H1538" s="138"/>
      <c r="I1538" s="80"/>
      <c r="J1538" s="80"/>
      <c r="K1538" s="95"/>
      <c r="L1538" s="80"/>
      <c r="M1538" s="43"/>
      <c r="N1538" s="43"/>
      <c r="O1538" s="80"/>
      <c r="P1538" s="80"/>
      <c r="Q1538" s="80"/>
      <c r="R1538" s="80"/>
      <c r="S1538" s="117"/>
      <c r="T1538" s="81"/>
      <c r="U1538" s="81"/>
      <c r="V1538" s="81"/>
      <c r="W1538" s="81"/>
      <c r="X1538" s="81"/>
      <c r="Y1538" s="81"/>
      <c r="Z1538" s="82"/>
      <c r="AA1538" s="99"/>
      <c r="AB1538" s="48" t="s">
        <v>61</v>
      </c>
      <c r="AC1538" s="68" t="s">
        <v>61</v>
      </c>
      <c r="AD1538" s="69" t="s">
        <v>61</v>
      </c>
      <c r="AE1538" s="69" t="s">
        <v>61</v>
      </c>
      <c r="AF1538" s="68" t="s">
        <v>61</v>
      </c>
      <c r="AG1538" s="68" t="s">
        <v>61</v>
      </c>
      <c r="AH1538" s="68" t="s">
        <v>61</v>
      </c>
      <c r="AI1538" s="70" t="s">
        <v>61</v>
      </c>
      <c r="AJ1538" s="114" t="s">
        <v>61</v>
      </c>
      <c r="AK1538" s="82"/>
    </row>
    <row r="1539" ht="24.0" customHeight="1">
      <c r="A1539" s="35"/>
      <c r="B1539" s="36">
        <v>1.0</v>
      </c>
      <c r="C1539" s="37" t="str">
        <f>IFERROR(__xludf.DUMMYFUNCTION("""COMPUTED_VALUE"""),"")</f>
        <v/>
      </c>
      <c r="D1539" s="89" t="s">
        <v>61</v>
      </c>
      <c r="E1539" s="51" t="s">
        <v>61</v>
      </c>
      <c r="F1539" s="137"/>
      <c r="G1539" s="133"/>
      <c r="H1539" s="141"/>
      <c r="I1539" s="57"/>
      <c r="J1539" s="57"/>
      <c r="K1539" s="72"/>
      <c r="L1539" s="57"/>
      <c r="M1539" s="55"/>
      <c r="N1539" s="55"/>
      <c r="O1539" s="57"/>
      <c r="P1539" s="57"/>
      <c r="Q1539" s="57"/>
      <c r="R1539" s="57"/>
      <c r="S1539" s="132"/>
      <c r="T1539" s="74"/>
      <c r="U1539" s="74"/>
      <c r="V1539" s="74"/>
      <c r="W1539" s="74"/>
      <c r="X1539" s="74"/>
      <c r="Y1539" s="74"/>
      <c r="Z1539" s="76"/>
      <c r="AA1539" s="134"/>
      <c r="AB1539" s="62" t="s">
        <v>61</v>
      </c>
      <c r="AC1539" s="63" t="s">
        <v>61</v>
      </c>
      <c r="AD1539" s="64" t="s">
        <v>61</v>
      </c>
      <c r="AE1539" s="64" t="s">
        <v>61</v>
      </c>
      <c r="AF1539" s="63" t="s">
        <v>61</v>
      </c>
      <c r="AG1539" s="63" t="s">
        <v>61</v>
      </c>
      <c r="AH1539" s="63" t="s">
        <v>61</v>
      </c>
      <c r="AI1539" s="65" t="s">
        <v>61</v>
      </c>
      <c r="AJ1539" s="105" t="s">
        <v>61</v>
      </c>
      <c r="AK1539" s="76"/>
    </row>
    <row r="1540" ht="24.0" customHeight="1">
      <c r="A1540" s="35"/>
      <c r="B1540" s="36">
        <v>1.0</v>
      </c>
      <c r="C1540" s="37" t="str">
        <f>IFERROR(__xludf.DUMMYFUNCTION("""COMPUTED_VALUE"""),"")</f>
        <v/>
      </c>
      <c r="D1540" s="89" t="s">
        <v>61</v>
      </c>
      <c r="E1540" s="39" t="s">
        <v>61</v>
      </c>
      <c r="F1540" s="121"/>
      <c r="G1540" s="122"/>
      <c r="H1540" s="138"/>
      <c r="I1540" s="80"/>
      <c r="J1540" s="80"/>
      <c r="K1540" s="95"/>
      <c r="L1540" s="80"/>
      <c r="M1540" s="43"/>
      <c r="N1540" s="43"/>
      <c r="O1540" s="80"/>
      <c r="P1540" s="80"/>
      <c r="Q1540" s="80"/>
      <c r="R1540" s="80"/>
      <c r="S1540" s="117"/>
      <c r="T1540" s="81"/>
      <c r="U1540" s="81"/>
      <c r="V1540" s="81"/>
      <c r="W1540" s="81"/>
      <c r="X1540" s="81"/>
      <c r="Y1540" s="81"/>
      <c r="Z1540" s="82"/>
      <c r="AA1540" s="99"/>
      <c r="AB1540" s="48" t="s">
        <v>61</v>
      </c>
      <c r="AC1540" s="68" t="s">
        <v>61</v>
      </c>
      <c r="AD1540" s="69" t="s">
        <v>61</v>
      </c>
      <c r="AE1540" s="69" t="s">
        <v>61</v>
      </c>
      <c r="AF1540" s="68" t="s">
        <v>61</v>
      </c>
      <c r="AG1540" s="68" t="s">
        <v>61</v>
      </c>
      <c r="AH1540" s="68" t="s">
        <v>61</v>
      </c>
      <c r="AI1540" s="70" t="s">
        <v>61</v>
      </c>
      <c r="AJ1540" s="114" t="s">
        <v>61</v>
      </c>
      <c r="AK1540" s="82"/>
    </row>
    <row r="1541" ht="24.0" customHeight="1">
      <c r="A1541" s="35"/>
      <c r="B1541" s="36">
        <v>1.0</v>
      </c>
      <c r="C1541" s="37" t="str">
        <f>IFERROR(__xludf.DUMMYFUNCTION("""COMPUTED_VALUE"""),"")</f>
        <v/>
      </c>
      <c r="D1541" s="89" t="s">
        <v>61</v>
      </c>
      <c r="E1541" s="51" t="s">
        <v>61</v>
      </c>
      <c r="F1541" s="137"/>
      <c r="G1541" s="133"/>
      <c r="H1541" s="141"/>
      <c r="I1541" s="57"/>
      <c r="J1541" s="57"/>
      <c r="K1541" s="72"/>
      <c r="L1541" s="57"/>
      <c r="M1541" s="55"/>
      <c r="N1541" s="55"/>
      <c r="O1541" s="57"/>
      <c r="P1541" s="57"/>
      <c r="Q1541" s="57"/>
      <c r="R1541" s="57"/>
      <c r="S1541" s="132"/>
      <c r="T1541" s="74"/>
      <c r="U1541" s="74"/>
      <c r="V1541" s="74"/>
      <c r="W1541" s="74"/>
      <c r="X1541" s="74"/>
      <c r="Y1541" s="74"/>
      <c r="Z1541" s="76"/>
      <c r="AA1541" s="134"/>
      <c r="AB1541" s="62" t="s">
        <v>61</v>
      </c>
      <c r="AC1541" s="63" t="s">
        <v>61</v>
      </c>
      <c r="AD1541" s="64" t="s">
        <v>61</v>
      </c>
      <c r="AE1541" s="64" t="s">
        <v>61</v>
      </c>
      <c r="AF1541" s="63" t="s">
        <v>61</v>
      </c>
      <c r="AG1541" s="63" t="s">
        <v>61</v>
      </c>
      <c r="AH1541" s="63" t="s">
        <v>61</v>
      </c>
      <c r="AI1541" s="65" t="s">
        <v>61</v>
      </c>
      <c r="AJ1541" s="105" t="s">
        <v>61</v>
      </c>
      <c r="AK1541" s="76"/>
    </row>
    <row r="1542" ht="24.0" customHeight="1">
      <c r="A1542" s="35"/>
      <c r="B1542" s="36">
        <v>1.0</v>
      </c>
      <c r="C1542" s="37" t="str">
        <f>IFERROR(__xludf.DUMMYFUNCTION("""COMPUTED_VALUE"""),"")</f>
        <v/>
      </c>
      <c r="D1542" s="89" t="s">
        <v>61</v>
      </c>
      <c r="E1542" s="39" t="s">
        <v>61</v>
      </c>
      <c r="F1542" s="121"/>
      <c r="G1542" s="122"/>
      <c r="H1542" s="138"/>
      <c r="I1542" s="80"/>
      <c r="J1542" s="80"/>
      <c r="K1542" s="95"/>
      <c r="L1542" s="80"/>
      <c r="M1542" s="43"/>
      <c r="N1542" s="43"/>
      <c r="O1542" s="80"/>
      <c r="P1542" s="80"/>
      <c r="Q1542" s="80"/>
      <c r="R1542" s="80"/>
      <c r="S1542" s="117"/>
      <c r="T1542" s="81"/>
      <c r="U1542" s="81"/>
      <c r="V1542" s="81"/>
      <c r="W1542" s="81"/>
      <c r="X1542" s="81"/>
      <c r="Y1542" s="81"/>
      <c r="Z1542" s="82"/>
      <c r="AA1542" s="99"/>
      <c r="AB1542" s="48" t="s">
        <v>61</v>
      </c>
      <c r="AC1542" s="68" t="s">
        <v>61</v>
      </c>
      <c r="AD1542" s="69" t="s">
        <v>61</v>
      </c>
      <c r="AE1542" s="69" t="s">
        <v>61</v>
      </c>
      <c r="AF1542" s="68" t="s">
        <v>61</v>
      </c>
      <c r="AG1542" s="68" t="s">
        <v>61</v>
      </c>
      <c r="AH1542" s="68" t="s">
        <v>61</v>
      </c>
      <c r="AI1542" s="70" t="s">
        <v>61</v>
      </c>
      <c r="AJ1542" s="114" t="s">
        <v>61</v>
      </c>
      <c r="AK1542" s="82"/>
    </row>
    <row r="1543" ht="24.0" customHeight="1">
      <c r="A1543" s="35"/>
      <c r="B1543" s="36">
        <v>1.0</v>
      </c>
      <c r="C1543" s="37" t="str">
        <f>IFERROR(__xludf.DUMMYFUNCTION("""COMPUTED_VALUE"""),"")</f>
        <v/>
      </c>
      <c r="D1543" s="89" t="s">
        <v>61</v>
      </c>
      <c r="E1543" s="51" t="s">
        <v>61</v>
      </c>
      <c r="F1543" s="137"/>
      <c r="G1543" s="133"/>
      <c r="H1543" s="141"/>
      <c r="I1543" s="57"/>
      <c r="J1543" s="57"/>
      <c r="K1543" s="72"/>
      <c r="L1543" s="57"/>
      <c r="M1543" s="55"/>
      <c r="N1543" s="55"/>
      <c r="O1543" s="57"/>
      <c r="P1543" s="57"/>
      <c r="Q1543" s="57"/>
      <c r="R1543" s="57"/>
      <c r="S1543" s="132"/>
      <c r="T1543" s="74"/>
      <c r="U1543" s="74"/>
      <c r="V1543" s="74"/>
      <c r="W1543" s="74"/>
      <c r="X1543" s="74"/>
      <c r="Y1543" s="74"/>
      <c r="Z1543" s="76"/>
      <c r="AA1543" s="134"/>
      <c r="AB1543" s="62" t="s">
        <v>61</v>
      </c>
      <c r="AC1543" s="63" t="s">
        <v>61</v>
      </c>
      <c r="AD1543" s="64" t="s">
        <v>61</v>
      </c>
      <c r="AE1543" s="64" t="s">
        <v>61</v>
      </c>
      <c r="AF1543" s="63" t="s">
        <v>61</v>
      </c>
      <c r="AG1543" s="63" t="s">
        <v>61</v>
      </c>
      <c r="AH1543" s="63" t="s">
        <v>61</v>
      </c>
      <c r="AI1543" s="65" t="s">
        <v>61</v>
      </c>
      <c r="AJ1543" s="105" t="s">
        <v>61</v>
      </c>
      <c r="AK1543" s="76"/>
    </row>
    <row r="1544" ht="24.0" customHeight="1">
      <c r="A1544" s="35"/>
      <c r="B1544" s="36">
        <v>1.0</v>
      </c>
      <c r="C1544" s="37" t="str">
        <f>IFERROR(__xludf.DUMMYFUNCTION("""COMPUTED_VALUE"""),"")</f>
        <v/>
      </c>
      <c r="D1544" s="89" t="s">
        <v>61</v>
      </c>
      <c r="E1544" s="39" t="s">
        <v>61</v>
      </c>
      <c r="F1544" s="121"/>
      <c r="G1544" s="122"/>
      <c r="H1544" s="138"/>
      <c r="I1544" s="80"/>
      <c r="J1544" s="80"/>
      <c r="K1544" s="95"/>
      <c r="L1544" s="80"/>
      <c r="M1544" s="43"/>
      <c r="N1544" s="43"/>
      <c r="O1544" s="80"/>
      <c r="P1544" s="80"/>
      <c r="Q1544" s="80"/>
      <c r="R1544" s="80"/>
      <c r="S1544" s="117"/>
      <c r="T1544" s="81"/>
      <c r="U1544" s="81"/>
      <c r="V1544" s="81"/>
      <c r="W1544" s="81"/>
      <c r="X1544" s="81"/>
      <c r="Y1544" s="81"/>
      <c r="Z1544" s="82"/>
      <c r="AA1544" s="99"/>
      <c r="AB1544" s="48" t="s">
        <v>61</v>
      </c>
      <c r="AC1544" s="68" t="s">
        <v>61</v>
      </c>
      <c r="AD1544" s="69" t="s">
        <v>61</v>
      </c>
      <c r="AE1544" s="69" t="s">
        <v>61</v>
      </c>
      <c r="AF1544" s="68" t="s">
        <v>61</v>
      </c>
      <c r="AG1544" s="68" t="s">
        <v>61</v>
      </c>
      <c r="AH1544" s="68" t="s">
        <v>61</v>
      </c>
      <c r="AI1544" s="70" t="s">
        <v>61</v>
      </c>
      <c r="AJ1544" s="114" t="s">
        <v>61</v>
      </c>
      <c r="AK1544" s="82"/>
    </row>
    <row r="1545" ht="24.0" customHeight="1">
      <c r="A1545" s="35"/>
      <c r="B1545" s="36">
        <v>1.0</v>
      </c>
      <c r="C1545" s="37" t="str">
        <f>IFERROR(__xludf.DUMMYFUNCTION("""COMPUTED_VALUE"""),"")</f>
        <v/>
      </c>
      <c r="D1545" s="89" t="s">
        <v>61</v>
      </c>
      <c r="E1545" s="51" t="s">
        <v>61</v>
      </c>
      <c r="F1545" s="137"/>
      <c r="G1545" s="133"/>
      <c r="H1545" s="141"/>
      <c r="I1545" s="57"/>
      <c r="J1545" s="57"/>
      <c r="K1545" s="72"/>
      <c r="L1545" s="57"/>
      <c r="M1545" s="55"/>
      <c r="N1545" s="55"/>
      <c r="O1545" s="57"/>
      <c r="P1545" s="57"/>
      <c r="Q1545" s="57"/>
      <c r="R1545" s="57"/>
      <c r="S1545" s="132"/>
      <c r="T1545" s="74"/>
      <c r="U1545" s="74"/>
      <c r="V1545" s="74"/>
      <c r="W1545" s="74"/>
      <c r="X1545" s="74"/>
      <c r="Y1545" s="74"/>
      <c r="Z1545" s="76"/>
      <c r="AA1545" s="134"/>
      <c r="AB1545" s="62" t="s">
        <v>61</v>
      </c>
      <c r="AC1545" s="63" t="s">
        <v>61</v>
      </c>
      <c r="AD1545" s="64" t="s">
        <v>61</v>
      </c>
      <c r="AE1545" s="64" t="s">
        <v>61</v>
      </c>
      <c r="AF1545" s="63" t="s">
        <v>61</v>
      </c>
      <c r="AG1545" s="63" t="s">
        <v>61</v>
      </c>
      <c r="AH1545" s="63" t="s">
        <v>61</v>
      </c>
      <c r="AI1545" s="65" t="s">
        <v>61</v>
      </c>
      <c r="AJ1545" s="105" t="s">
        <v>61</v>
      </c>
      <c r="AK1545" s="76"/>
    </row>
    <row r="1546" ht="24.0" customHeight="1">
      <c r="A1546" s="35"/>
      <c r="B1546" s="36">
        <v>1.0</v>
      </c>
      <c r="C1546" s="37" t="str">
        <f>IFERROR(__xludf.DUMMYFUNCTION("""COMPUTED_VALUE"""),"")</f>
        <v/>
      </c>
      <c r="D1546" s="89" t="s">
        <v>61</v>
      </c>
      <c r="E1546" s="39" t="s">
        <v>61</v>
      </c>
      <c r="F1546" s="121"/>
      <c r="G1546" s="122"/>
      <c r="H1546" s="138"/>
      <c r="I1546" s="80"/>
      <c r="J1546" s="80"/>
      <c r="K1546" s="95"/>
      <c r="L1546" s="80"/>
      <c r="M1546" s="43"/>
      <c r="N1546" s="43"/>
      <c r="O1546" s="80"/>
      <c r="P1546" s="80"/>
      <c r="Q1546" s="80"/>
      <c r="R1546" s="80"/>
      <c r="S1546" s="117"/>
      <c r="T1546" s="81"/>
      <c r="U1546" s="81"/>
      <c r="V1546" s="81"/>
      <c r="W1546" s="81"/>
      <c r="X1546" s="81"/>
      <c r="Y1546" s="81"/>
      <c r="Z1546" s="82"/>
      <c r="AA1546" s="99"/>
      <c r="AB1546" s="48" t="s">
        <v>61</v>
      </c>
      <c r="AC1546" s="68" t="s">
        <v>61</v>
      </c>
      <c r="AD1546" s="69" t="s">
        <v>61</v>
      </c>
      <c r="AE1546" s="69" t="s">
        <v>61</v>
      </c>
      <c r="AF1546" s="68" t="s">
        <v>61</v>
      </c>
      <c r="AG1546" s="68" t="s">
        <v>61</v>
      </c>
      <c r="AH1546" s="68" t="s">
        <v>61</v>
      </c>
      <c r="AI1546" s="70" t="s">
        <v>61</v>
      </c>
      <c r="AJ1546" s="114" t="s">
        <v>61</v>
      </c>
      <c r="AK1546" s="82"/>
    </row>
    <row r="1547" ht="24.0" customHeight="1">
      <c r="A1547" s="35"/>
      <c r="B1547" s="36">
        <v>1.0</v>
      </c>
      <c r="C1547" s="37" t="str">
        <f>IFERROR(__xludf.DUMMYFUNCTION("""COMPUTED_VALUE"""),"")</f>
        <v/>
      </c>
      <c r="D1547" s="89" t="s">
        <v>61</v>
      </c>
      <c r="E1547" s="51" t="s">
        <v>61</v>
      </c>
      <c r="F1547" s="137"/>
      <c r="G1547" s="133"/>
      <c r="H1547" s="141"/>
      <c r="I1547" s="57"/>
      <c r="J1547" s="57"/>
      <c r="K1547" s="72"/>
      <c r="L1547" s="57"/>
      <c r="M1547" s="55"/>
      <c r="N1547" s="55"/>
      <c r="O1547" s="57"/>
      <c r="P1547" s="57"/>
      <c r="Q1547" s="57"/>
      <c r="R1547" s="57"/>
      <c r="S1547" s="132"/>
      <c r="T1547" s="74"/>
      <c r="U1547" s="74"/>
      <c r="V1547" s="74"/>
      <c r="W1547" s="74"/>
      <c r="X1547" s="74"/>
      <c r="Y1547" s="74"/>
      <c r="Z1547" s="76"/>
      <c r="AA1547" s="134"/>
      <c r="AB1547" s="62" t="s">
        <v>61</v>
      </c>
      <c r="AC1547" s="63" t="s">
        <v>61</v>
      </c>
      <c r="AD1547" s="64" t="s">
        <v>61</v>
      </c>
      <c r="AE1547" s="64" t="s">
        <v>61</v>
      </c>
      <c r="AF1547" s="63" t="s">
        <v>61</v>
      </c>
      <c r="AG1547" s="63" t="s">
        <v>61</v>
      </c>
      <c r="AH1547" s="63" t="s">
        <v>61</v>
      </c>
      <c r="AI1547" s="65" t="s">
        <v>61</v>
      </c>
      <c r="AJ1547" s="105" t="s">
        <v>61</v>
      </c>
      <c r="AK1547" s="76"/>
    </row>
    <row r="1548" ht="24.0" customHeight="1">
      <c r="A1548" s="35"/>
      <c r="B1548" s="36">
        <v>1.0</v>
      </c>
      <c r="C1548" s="37" t="str">
        <f>IFERROR(__xludf.DUMMYFUNCTION("""COMPUTED_VALUE"""),"")</f>
        <v/>
      </c>
      <c r="D1548" s="89" t="s">
        <v>61</v>
      </c>
      <c r="E1548" s="39" t="s">
        <v>61</v>
      </c>
      <c r="F1548" s="121"/>
      <c r="G1548" s="122"/>
      <c r="H1548" s="138"/>
      <c r="I1548" s="80"/>
      <c r="J1548" s="80"/>
      <c r="K1548" s="95"/>
      <c r="L1548" s="80"/>
      <c r="M1548" s="43"/>
      <c r="N1548" s="43"/>
      <c r="O1548" s="80"/>
      <c r="P1548" s="80"/>
      <c r="Q1548" s="80"/>
      <c r="R1548" s="80"/>
      <c r="S1548" s="117"/>
      <c r="T1548" s="81"/>
      <c r="U1548" s="81"/>
      <c r="V1548" s="81"/>
      <c r="W1548" s="81"/>
      <c r="X1548" s="81"/>
      <c r="Y1548" s="81"/>
      <c r="Z1548" s="82"/>
      <c r="AA1548" s="99"/>
      <c r="AB1548" s="48" t="s">
        <v>61</v>
      </c>
      <c r="AC1548" s="68" t="s">
        <v>61</v>
      </c>
      <c r="AD1548" s="69" t="s">
        <v>61</v>
      </c>
      <c r="AE1548" s="69" t="s">
        <v>61</v>
      </c>
      <c r="AF1548" s="68" t="s">
        <v>61</v>
      </c>
      <c r="AG1548" s="68" t="s">
        <v>61</v>
      </c>
      <c r="AH1548" s="68" t="s">
        <v>61</v>
      </c>
      <c r="AI1548" s="70" t="s">
        <v>61</v>
      </c>
      <c r="AJ1548" s="114" t="s">
        <v>61</v>
      </c>
      <c r="AK1548" s="82"/>
    </row>
    <row r="1549" ht="24.0" customHeight="1">
      <c r="A1549" s="35"/>
      <c r="B1549" s="36">
        <v>1.0</v>
      </c>
      <c r="C1549" s="37" t="str">
        <f>IFERROR(__xludf.DUMMYFUNCTION("""COMPUTED_VALUE"""),"")</f>
        <v/>
      </c>
      <c r="D1549" s="89" t="s">
        <v>61</v>
      </c>
      <c r="E1549" s="51" t="s">
        <v>61</v>
      </c>
      <c r="F1549" s="137"/>
      <c r="G1549" s="133"/>
      <c r="H1549" s="141"/>
      <c r="I1549" s="57"/>
      <c r="J1549" s="57"/>
      <c r="K1549" s="72"/>
      <c r="L1549" s="57"/>
      <c r="M1549" s="55"/>
      <c r="N1549" s="55"/>
      <c r="O1549" s="57"/>
      <c r="P1549" s="57"/>
      <c r="Q1549" s="57"/>
      <c r="R1549" s="57"/>
      <c r="S1549" s="132"/>
      <c r="T1549" s="74"/>
      <c r="U1549" s="74"/>
      <c r="V1549" s="74"/>
      <c r="W1549" s="74"/>
      <c r="X1549" s="74"/>
      <c r="Y1549" s="74"/>
      <c r="Z1549" s="76"/>
      <c r="AA1549" s="134"/>
      <c r="AB1549" s="62" t="s">
        <v>61</v>
      </c>
      <c r="AC1549" s="63" t="s">
        <v>61</v>
      </c>
      <c r="AD1549" s="64" t="s">
        <v>61</v>
      </c>
      <c r="AE1549" s="64" t="s">
        <v>61</v>
      </c>
      <c r="AF1549" s="63" t="s">
        <v>61</v>
      </c>
      <c r="AG1549" s="63" t="s">
        <v>61</v>
      </c>
      <c r="AH1549" s="63" t="s">
        <v>61</v>
      </c>
      <c r="AI1549" s="65" t="s">
        <v>61</v>
      </c>
      <c r="AJ1549" s="105" t="s">
        <v>61</v>
      </c>
      <c r="AK1549" s="76"/>
    </row>
    <row r="1550" ht="24.0" customHeight="1">
      <c r="A1550" s="35"/>
      <c r="B1550" s="36">
        <v>1.0</v>
      </c>
      <c r="C1550" s="37" t="str">
        <f>IFERROR(__xludf.DUMMYFUNCTION("""COMPUTED_VALUE"""),"")</f>
        <v/>
      </c>
      <c r="D1550" s="89" t="s">
        <v>61</v>
      </c>
      <c r="E1550" s="39" t="s">
        <v>61</v>
      </c>
      <c r="F1550" s="121"/>
      <c r="G1550" s="122"/>
      <c r="H1550" s="138"/>
      <c r="I1550" s="80"/>
      <c r="J1550" s="80"/>
      <c r="K1550" s="95"/>
      <c r="L1550" s="80"/>
      <c r="M1550" s="43"/>
      <c r="N1550" s="43"/>
      <c r="O1550" s="80"/>
      <c r="P1550" s="80"/>
      <c r="Q1550" s="80"/>
      <c r="R1550" s="80"/>
      <c r="S1550" s="117"/>
      <c r="T1550" s="81"/>
      <c r="U1550" s="81"/>
      <c r="V1550" s="81"/>
      <c r="W1550" s="81"/>
      <c r="X1550" s="81"/>
      <c r="Y1550" s="81"/>
      <c r="Z1550" s="82"/>
      <c r="AA1550" s="99"/>
      <c r="AB1550" s="48" t="s">
        <v>61</v>
      </c>
      <c r="AC1550" s="68" t="s">
        <v>61</v>
      </c>
      <c r="AD1550" s="69" t="s">
        <v>61</v>
      </c>
      <c r="AE1550" s="69" t="s">
        <v>61</v>
      </c>
      <c r="AF1550" s="68" t="s">
        <v>61</v>
      </c>
      <c r="AG1550" s="68" t="s">
        <v>61</v>
      </c>
      <c r="AH1550" s="68" t="s">
        <v>61</v>
      </c>
      <c r="AI1550" s="70" t="s">
        <v>61</v>
      </c>
      <c r="AJ1550" s="114" t="s">
        <v>61</v>
      </c>
      <c r="AK1550" s="82"/>
    </row>
    <row r="1551" ht="24.0" customHeight="1">
      <c r="A1551" s="35"/>
      <c r="B1551" s="36">
        <v>1.0</v>
      </c>
      <c r="C1551" s="37" t="str">
        <f>IFERROR(__xludf.DUMMYFUNCTION("""COMPUTED_VALUE"""),"")</f>
        <v/>
      </c>
      <c r="D1551" s="89" t="s">
        <v>61</v>
      </c>
      <c r="E1551" s="51" t="s">
        <v>61</v>
      </c>
      <c r="F1551" s="137"/>
      <c r="G1551" s="133"/>
      <c r="H1551" s="141"/>
      <c r="I1551" s="57"/>
      <c r="J1551" s="57"/>
      <c r="K1551" s="72"/>
      <c r="L1551" s="57"/>
      <c r="M1551" s="55"/>
      <c r="N1551" s="55"/>
      <c r="O1551" s="57"/>
      <c r="P1551" s="57"/>
      <c r="Q1551" s="57"/>
      <c r="R1551" s="57"/>
      <c r="S1551" s="132"/>
      <c r="T1551" s="74"/>
      <c r="U1551" s="74"/>
      <c r="V1551" s="74"/>
      <c r="W1551" s="74"/>
      <c r="X1551" s="74"/>
      <c r="Y1551" s="74"/>
      <c r="Z1551" s="76"/>
      <c r="AA1551" s="134"/>
      <c r="AB1551" s="62" t="s">
        <v>61</v>
      </c>
      <c r="AC1551" s="63" t="s">
        <v>61</v>
      </c>
      <c r="AD1551" s="64" t="s">
        <v>61</v>
      </c>
      <c r="AE1551" s="64" t="s">
        <v>61</v>
      </c>
      <c r="AF1551" s="63" t="s">
        <v>61</v>
      </c>
      <c r="AG1551" s="63" t="s">
        <v>61</v>
      </c>
      <c r="AH1551" s="63" t="s">
        <v>61</v>
      </c>
      <c r="AI1551" s="65" t="s">
        <v>61</v>
      </c>
      <c r="AJ1551" s="105" t="s">
        <v>61</v>
      </c>
      <c r="AK1551" s="76"/>
    </row>
    <row r="1552" ht="24.0" customHeight="1">
      <c r="A1552" s="35"/>
      <c r="B1552" s="36">
        <v>1.0</v>
      </c>
      <c r="C1552" s="37" t="str">
        <f>IFERROR(__xludf.DUMMYFUNCTION("""COMPUTED_VALUE"""),"")</f>
        <v/>
      </c>
      <c r="D1552" s="89" t="s">
        <v>61</v>
      </c>
      <c r="E1552" s="39" t="s">
        <v>61</v>
      </c>
      <c r="F1552" s="121"/>
      <c r="G1552" s="122"/>
      <c r="H1552" s="138"/>
      <c r="I1552" s="80"/>
      <c r="J1552" s="80"/>
      <c r="K1552" s="95"/>
      <c r="L1552" s="80"/>
      <c r="M1552" s="43"/>
      <c r="N1552" s="43"/>
      <c r="O1552" s="80"/>
      <c r="P1552" s="80"/>
      <c r="Q1552" s="80"/>
      <c r="R1552" s="80"/>
      <c r="S1552" s="117"/>
      <c r="T1552" s="81"/>
      <c r="U1552" s="81"/>
      <c r="V1552" s="81"/>
      <c r="W1552" s="81"/>
      <c r="X1552" s="81"/>
      <c r="Y1552" s="81"/>
      <c r="Z1552" s="82"/>
      <c r="AA1552" s="99"/>
      <c r="AB1552" s="48" t="s">
        <v>61</v>
      </c>
      <c r="AC1552" s="68" t="s">
        <v>61</v>
      </c>
      <c r="AD1552" s="69" t="s">
        <v>61</v>
      </c>
      <c r="AE1552" s="69" t="s">
        <v>61</v>
      </c>
      <c r="AF1552" s="68" t="s">
        <v>61</v>
      </c>
      <c r="AG1552" s="68" t="s">
        <v>61</v>
      </c>
      <c r="AH1552" s="68" t="s">
        <v>61</v>
      </c>
      <c r="AI1552" s="70" t="s">
        <v>61</v>
      </c>
      <c r="AJ1552" s="114" t="s">
        <v>61</v>
      </c>
      <c r="AK1552" s="82"/>
    </row>
    <row r="1553" ht="24.0" customHeight="1">
      <c r="A1553" s="35"/>
      <c r="B1553" s="36">
        <v>1.0</v>
      </c>
      <c r="C1553" s="37" t="str">
        <f>IFERROR(__xludf.DUMMYFUNCTION("""COMPUTED_VALUE"""),"")</f>
        <v/>
      </c>
      <c r="D1553" s="89" t="s">
        <v>61</v>
      </c>
      <c r="E1553" s="51" t="s">
        <v>61</v>
      </c>
      <c r="F1553" s="137"/>
      <c r="G1553" s="133"/>
      <c r="H1553" s="141"/>
      <c r="I1553" s="57"/>
      <c r="J1553" s="57"/>
      <c r="K1553" s="72"/>
      <c r="L1553" s="57"/>
      <c r="M1553" s="55"/>
      <c r="N1553" s="55"/>
      <c r="O1553" s="57"/>
      <c r="P1553" s="57"/>
      <c r="Q1553" s="57"/>
      <c r="R1553" s="57"/>
      <c r="S1553" s="132"/>
      <c r="T1553" s="74"/>
      <c r="U1553" s="74"/>
      <c r="V1553" s="74"/>
      <c r="W1553" s="74"/>
      <c r="X1553" s="74"/>
      <c r="Y1553" s="74"/>
      <c r="Z1553" s="76"/>
      <c r="AA1553" s="134"/>
      <c r="AB1553" s="62" t="s">
        <v>61</v>
      </c>
      <c r="AC1553" s="63" t="s">
        <v>61</v>
      </c>
      <c r="AD1553" s="64" t="s">
        <v>61</v>
      </c>
      <c r="AE1553" s="64" t="s">
        <v>61</v>
      </c>
      <c r="AF1553" s="63" t="s">
        <v>61</v>
      </c>
      <c r="AG1553" s="63" t="s">
        <v>61</v>
      </c>
      <c r="AH1553" s="63" t="s">
        <v>61</v>
      </c>
      <c r="AI1553" s="65" t="s">
        <v>61</v>
      </c>
      <c r="AJ1553" s="105" t="s">
        <v>61</v>
      </c>
      <c r="AK1553" s="76"/>
    </row>
    <row r="1554" ht="24.0" customHeight="1">
      <c r="A1554" s="35"/>
      <c r="B1554" s="36">
        <v>1.0</v>
      </c>
      <c r="C1554" s="37" t="str">
        <f>IFERROR(__xludf.DUMMYFUNCTION("""COMPUTED_VALUE"""),"")</f>
        <v/>
      </c>
      <c r="D1554" s="89" t="s">
        <v>61</v>
      </c>
      <c r="E1554" s="39" t="s">
        <v>61</v>
      </c>
      <c r="F1554" s="121"/>
      <c r="G1554" s="122"/>
      <c r="H1554" s="138"/>
      <c r="I1554" s="80"/>
      <c r="J1554" s="80"/>
      <c r="K1554" s="95"/>
      <c r="L1554" s="80"/>
      <c r="M1554" s="43"/>
      <c r="N1554" s="43"/>
      <c r="O1554" s="80"/>
      <c r="P1554" s="80"/>
      <c r="Q1554" s="80"/>
      <c r="R1554" s="80"/>
      <c r="S1554" s="117"/>
      <c r="T1554" s="81"/>
      <c r="U1554" s="81"/>
      <c r="V1554" s="81"/>
      <c r="W1554" s="81"/>
      <c r="X1554" s="81"/>
      <c r="Y1554" s="81"/>
      <c r="Z1554" s="82"/>
      <c r="AA1554" s="99"/>
      <c r="AB1554" s="48" t="s">
        <v>61</v>
      </c>
      <c r="AC1554" s="68" t="s">
        <v>61</v>
      </c>
      <c r="AD1554" s="69" t="s">
        <v>61</v>
      </c>
      <c r="AE1554" s="69" t="s">
        <v>61</v>
      </c>
      <c r="AF1554" s="68" t="s">
        <v>61</v>
      </c>
      <c r="AG1554" s="68" t="s">
        <v>61</v>
      </c>
      <c r="AH1554" s="68" t="s">
        <v>61</v>
      </c>
      <c r="AI1554" s="70" t="s">
        <v>61</v>
      </c>
      <c r="AJ1554" s="114" t="s">
        <v>61</v>
      </c>
      <c r="AK1554" s="82"/>
    </row>
    <row r="1555" ht="24.0" customHeight="1">
      <c r="A1555" s="35"/>
      <c r="B1555" s="36">
        <v>1.0</v>
      </c>
      <c r="C1555" s="37" t="str">
        <f>IFERROR(__xludf.DUMMYFUNCTION("""COMPUTED_VALUE"""),"")</f>
        <v/>
      </c>
      <c r="D1555" s="89" t="s">
        <v>61</v>
      </c>
      <c r="E1555" s="51" t="s">
        <v>61</v>
      </c>
      <c r="F1555" s="137"/>
      <c r="G1555" s="133"/>
      <c r="H1555" s="141"/>
      <c r="I1555" s="57"/>
      <c r="J1555" s="57"/>
      <c r="K1555" s="72"/>
      <c r="L1555" s="57"/>
      <c r="M1555" s="55"/>
      <c r="N1555" s="55"/>
      <c r="O1555" s="57"/>
      <c r="P1555" s="57"/>
      <c r="Q1555" s="57"/>
      <c r="R1555" s="57"/>
      <c r="S1555" s="132"/>
      <c r="T1555" s="74"/>
      <c r="U1555" s="74"/>
      <c r="V1555" s="74"/>
      <c r="W1555" s="74"/>
      <c r="X1555" s="74"/>
      <c r="Y1555" s="74"/>
      <c r="Z1555" s="76"/>
      <c r="AA1555" s="134"/>
      <c r="AB1555" s="62" t="s">
        <v>61</v>
      </c>
      <c r="AC1555" s="63" t="s">
        <v>61</v>
      </c>
      <c r="AD1555" s="64" t="s">
        <v>61</v>
      </c>
      <c r="AE1555" s="64" t="s">
        <v>61</v>
      </c>
      <c r="AF1555" s="63" t="s">
        <v>61</v>
      </c>
      <c r="AG1555" s="63" t="s">
        <v>61</v>
      </c>
      <c r="AH1555" s="63" t="s">
        <v>61</v>
      </c>
      <c r="AI1555" s="65" t="s">
        <v>61</v>
      </c>
      <c r="AJ1555" s="105" t="s">
        <v>61</v>
      </c>
      <c r="AK1555" s="76"/>
    </row>
    <row r="1556" ht="24.0" customHeight="1">
      <c r="A1556" s="35"/>
      <c r="B1556" s="36">
        <v>1.0</v>
      </c>
      <c r="C1556" s="37" t="str">
        <f>IFERROR(__xludf.DUMMYFUNCTION("""COMPUTED_VALUE"""),"")</f>
        <v/>
      </c>
      <c r="D1556" s="89" t="s">
        <v>61</v>
      </c>
      <c r="E1556" s="39" t="s">
        <v>61</v>
      </c>
      <c r="F1556" s="121"/>
      <c r="G1556" s="122"/>
      <c r="H1556" s="138"/>
      <c r="I1556" s="80"/>
      <c r="J1556" s="80"/>
      <c r="K1556" s="95"/>
      <c r="L1556" s="80"/>
      <c r="M1556" s="43"/>
      <c r="N1556" s="43"/>
      <c r="O1556" s="80"/>
      <c r="P1556" s="80"/>
      <c r="Q1556" s="80"/>
      <c r="R1556" s="80"/>
      <c r="S1556" s="117"/>
      <c r="T1556" s="81"/>
      <c r="U1556" s="81"/>
      <c r="V1556" s="81"/>
      <c r="W1556" s="81"/>
      <c r="X1556" s="81"/>
      <c r="Y1556" s="81"/>
      <c r="Z1556" s="82"/>
      <c r="AA1556" s="99"/>
      <c r="AB1556" s="48" t="s">
        <v>61</v>
      </c>
      <c r="AC1556" s="68" t="s">
        <v>61</v>
      </c>
      <c r="AD1556" s="69" t="s">
        <v>61</v>
      </c>
      <c r="AE1556" s="69" t="s">
        <v>61</v>
      </c>
      <c r="AF1556" s="68" t="s">
        <v>61</v>
      </c>
      <c r="AG1556" s="68" t="s">
        <v>61</v>
      </c>
      <c r="AH1556" s="68" t="s">
        <v>61</v>
      </c>
      <c r="AI1556" s="70" t="s">
        <v>61</v>
      </c>
      <c r="AJ1556" s="114" t="s">
        <v>61</v>
      </c>
      <c r="AK1556" s="82"/>
    </row>
    <row r="1557" ht="24.0" customHeight="1">
      <c r="A1557" s="35"/>
      <c r="B1557" s="36">
        <v>1.0</v>
      </c>
      <c r="C1557" s="37" t="str">
        <f>IFERROR(__xludf.DUMMYFUNCTION("""COMPUTED_VALUE"""),"")</f>
        <v/>
      </c>
      <c r="D1557" s="89" t="s">
        <v>61</v>
      </c>
      <c r="E1557" s="51" t="s">
        <v>61</v>
      </c>
      <c r="F1557" s="137"/>
      <c r="G1557" s="133"/>
      <c r="H1557" s="141"/>
      <c r="I1557" s="57"/>
      <c r="J1557" s="57"/>
      <c r="K1557" s="72"/>
      <c r="L1557" s="57"/>
      <c r="M1557" s="55"/>
      <c r="N1557" s="55"/>
      <c r="O1557" s="57"/>
      <c r="P1557" s="57"/>
      <c r="Q1557" s="57"/>
      <c r="R1557" s="57"/>
      <c r="S1557" s="132"/>
      <c r="T1557" s="74"/>
      <c r="U1557" s="74"/>
      <c r="V1557" s="74"/>
      <c r="W1557" s="74"/>
      <c r="X1557" s="74"/>
      <c r="Y1557" s="74"/>
      <c r="Z1557" s="76"/>
      <c r="AA1557" s="134"/>
      <c r="AB1557" s="62" t="s">
        <v>61</v>
      </c>
      <c r="AC1557" s="63" t="s">
        <v>61</v>
      </c>
      <c r="AD1557" s="64" t="s">
        <v>61</v>
      </c>
      <c r="AE1557" s="64" t="s">
        <v>61</v>
      </c>
      <c r="AF1557" s="63" t="s">
        <v>61</v>
      </c>
      <c r="AG1557" s="63" t="s">
        <v>61</v>
      </c>
      <c r="AH1557" s="63" t="s">
        <v>61</v>
      </c>
      <c r="AI1557" s="65" t="s">
        <v>61</v>
      </c>
      <c r="AJ1557" s="105" t="s">
        <v>61</v>
      </c>
      <c r="AK1557" s="76"/>
    </row>
    <row r="1558" ht="24.0" customHeight="1">
      <c r="A1558" s="35"/>
      <c r="B1558" s="36">
        <v>1.0</v>
      </c>
      <c r="C1558" s="37" t="str">
        <f>IFERROR(__xludf.DUMMYFUNCTION("""COMPUTED_VALUE"""),"")</f>
        <v/>
      </c>
      <c r="D1558" s="89" t="s">
        <v>61</v>
      </c>
      <c r="E1558" s="39" t="s">
        <v>61</v>
      </c>
      <c r="F1558" s="121"/>
      <c r="G1558" s="122"/>
      <c r="H1558" s="138"/>
      <c r="I1558" s="80"/>
      <c r="J1558" s="80"/>
      <c r="K1558" s="95"/>
      <c r="L1558" s="80"/>
      <c r="M1558" s="43"/>
      <c r="N1558" s="43"/>
      <c r="O1558" s="80"/>
      <c r="P1558" s="80"/>
      <c r="Q1558" s="80"/>
      <c r="R1558" s="80"/>
      <c r="S1558" s="117"/>
      <c r="T1558" s="81"/>
      <c r="U1558" s="81"/>
      <c r="V1558" s="81"/>
      <c r="W1558" s="81"/>
      <c r="X1558" s="81"/>
      <c r="Y1558" s="81"/>
      <c r="Z1558" s="82"/>
      <c r="AA1558" s="99"/>
      <c r="AB1558" s="48" t="s">
        <v>61</v>
      </c>
      <c r="AC1558" s="68" t="s">
        <v>61</v>
      </c>
      <c r="AD1558" s="69" t="s">
        <v>61</v>
      </c>
      <c r="AE1558" s="69" t="s">
        <v>61</v>
      </c>
      <c r="AF1558" s="68" t="s">
        <v>61</v>
      </c>
      <c r="AG1558" s="68" t="s">
        <v>61</v>
      </c>
      <c r="AH1558" s="68" t="s">
        <v>61</v>
      </c>
      <c r="AI1558" s="70" t="s">
        <v>61</v>
      </c>
      <c r="AJ1558" s="114" t="s">
        <v>61</v>
      </c>
      <c r="AK1558" s="82"/>
    </row>
    <row r="1559" ht="24.0" customHeight="1">
      <c r="A1559" s="35"/>
      <c r="B1559" s="36">
        <v>1.0</v>
      </c>
      <c r="C1559" s="37" t="str">
        <f>IFERROR(__xludf.DUMMYFUNCTION("""COMPUTED_VALUE"""),"")</f>
        <v/>
      </c>
      <c r="D1559" s="89" t="s">
        <v>61</v>
      </c>
      <c r="E1559" s="51" t="s">
        <v>61</v>
      </c>
      <c r="F1559" s="137"/>
      <c r="G1559" s="133"/>
      <c r="H1559" s="141"/>
      <c r="I1559" s="57"/>
      <c r="J1559" s="57"/>
      <c r="K1559" s="72"/>
      <c r="L1559" s="57"/>
      <c r="M1559" s="55"/>
      <c r="N1559" s="55"/>
      <c r="O1559" s="57"/>
      <c r="P1559" s="57"/>
      <c r="Q1559" s="57"/>
      <c r="R1559" s="57"/>
      <c r="S1559" s="132"/>
      <c r="T1559" s="74"/>
      <c r="U1559" s="74"/>
      <c r="V1559" s="74"/>
      <c r="W1559" s="74"/>
      <c r="X1559" s="74"/>
      <c r="Y1559" s="74"/>
      <c r="Z1559" s="76"/>
      <c r="AA1559" s="134"/>
      <c r="AB1559" s="62" t="s">
        <v>61</v>
      </c>
      <c r="AC1559" s="63" t="s">
        <v>61</v>
      </c>
      <c r="AD1559" s="64" t="s">
        <v>61</v>
      </c>
      <c r="AE1559" s="64" t="s">
        <v>61</v>
      </c>
      <c r="AF1559" s="63" t="s">
        <v>61</v>
      </c>
      <c r="AG1559" s="63" t="s">
        <v>61</v>
      </c>
      <c r="AH1559" s="63" t="s">
        <v>61</v>
      </c>
      <c r="AI1559" s="65" t="s">
        <v>61</v>
      </c>
      <c r="AJ1559" s="105" t="s">
        <v>61</v>
      </c>
      <c r="AK1559" s="76"/>
    </row>
    <row r="1560" ht="24.0" customHeight="1">
      <c r="A1560" s="35"/>
      <c r="B1560" s="36">
        <v>1.0</v>
      </c>
      <c r="C1560" s="37" t="str">
        <f>IFERROR(__xludf.DUMMYFUNCTION("""COMPUTED_VALUE"""),"")</f>
        <v/>
      </c>
      <c r="D1560" s="89" t="s">
        <v>61</v>
      </c>
      <c r="E1560" s="39" t="s">
        <v>61</v>
      </c>
      <c r="F1560" s="121"/>
      <c r="G1560" s="122"/>
      <c r="H1560" s="138"/>
      <c r="I1560" s="80"/>
      <c r="J1560" s="80"/>
      <c r="K1560" s="95"/>
      <c r="L1560" s="80"/>
      <c r="M1560" s="43"/>
      <c r="N1560" s="43"/>
      <c r="O1560" s="80"/>
      <c r="P1560" s="80"/>
      <c r="Q1560" s="80"/>
      <c r="R1560" s="80"/>
      <c r="S1560" s="117"/>
      <c r="T1560" s="81"/>
      <c r="U1560" s="81"/>
      <c r="V1560" s="81"/>
      <c r="W1560" s="81"/>
      <c r="X1560" s="81"/>
      <c r="Y1560" s="81"/>
      <c r="Z1560" s="82"/>
      <c r="AA1560" s="99"/>
      <c r="AB1560" s="48" t="s">
        <v>61</v>
      </c>
      <c r="AC1560" s="68" t="s">
        <v>61</v>
      </c>
      <c r="AD1560" s="69" t="s">
        <v>61</v>
      </c>
      <c r="AE1560" s="69" t="s">
        <v>61</v>
      </c>
      <c r="AF1560" s="68" t="s">
        <v>61</v>
      </c>
      <c r="AG1560" s="68" t="s">
        <v>61</v>
      </c>
      <c r="AH1560" s="68" t="s">
        <v>61</v>
      </c>
      <c r="AI1560" s="70" t="s">
        <v>61</v>
      </c>
      <c r="AJ1560" s="114" t="s">
        <v>61</v>
      </c>
      <c r="AK1560" s="82"/>
    </row>
    <row r="1561" ht="24.0" customHeight="1">
      <c r="A1561" s="35"/>
      <c r="B1561" s="36">
        <v>1.0</v>
      </c>
      <c r="C1561" s="37" t="str">
        <f>IFERROR(__xludf.DUMMYFUNCTION("""COMPUTED_VALUE"""),"")</f>
        <v/>
      </c>
      <c r="D1561" s="89" t="s">
        <v>61</v>
      </c>
      <c r="E1561" s="51" t="s">
        <v>61</v>
      </c>
      <c r="F1561" s="137"/>
      <c r="G1561" s="133"/>
      <c r="H1561" s="141"/>
      <c r="I1561" s="57"/>
      <c r="J1561" s="57"/>
      <c r="K1561" s="72"/>
      <c r="L1561" s="57"/>
      <c r="M1561" s="55"/>
      <c r="N1561" s="55"/>
      <c r="O1561" s="57"/>
      <c r="P1561" s="57"/>
      <c r="Q1561" s="57"/>
      <c r="R1561" s="57"/>
      <c r="S1561" s="132"/>
      <c r="T1561" s="74"/>
      <c r="U1561" s="74"/>
      <c r="V1561" s="74"/>
      <c r="W1561" s="74"/>
      <c r="X1561" s="74"/>
      <c r="Y1561" s="74"/>
      <c r="Z1561" s="76"/>
      <c r="AA1561" s="134"/>
      <c r="AB1561" s="62" t="s">
        <v>61</v>
      </c>
      <c r="AC1561" s="63" t="s">
        <v>61</v>
      </c>
      <c r="AD1561" s="64" t="s">
        <v>61</v>
      </c>
      <c r="AE1561" s="64" t="s">
        <v>61</v>
      </c>
      <c r="AF1561" s="63" t="s">
        <v>61</v>
      </c>
      <c r="AG1561" s="63" t="s">
        <v>61</v>
      </c>
      <c r="AH1561" s="63" t="s">
        <v>61</v>
      </c>
      <c r="AI1561" s="65" t="s">
        <v>61</v>
      </c>
      <c r="AJ1561" s="105" t="s">
        <v>61</v>
      </c>
      <c r="AK1561" s="76"/>
    </row>
    <row r="1562" ht="24.0" customHeight="1">
      <c r="A1562" s="35"/>
      <c r="B1562" s="36">
        <v>1.0</v>
      </c>
      <c r="C1562" s="37" t="str">
        <f>IFERROR(__xludf.DUMMYFUNCTION("""COMPUTED_VALUE"""),"")</f>
        <v/>
      </c>
      <c r="D1562" s="89" t="s">
        <v>61</v>
      </c>
      <c r="E1562" s="39" t="s">
        <v>61</v>
      </c>
      <c r="F1562" s="121"/>
      <c r="G1562" s="122"/>
      <c r="H1562" s="138"/>
      <c r="I1562" s="80"/>
      <c r="J1562" s="80"/>
      <c r="K1562" s="95"/>
      <c r="L1562" s="80"/>
      <c r="M1562" s="43"/>
      <c r="N1562" s="43"/>
      <c r="O1562" s="80"/>
      <c r="P1562" s="80"/>
      <c r="Q1562" s="80"/>
      <c r="R1562" s="80"/>
      <c r="S1562" s="117"/>
      <c r="T1562" s="81"/>
      <c r="U1562" s="81"/>
      <c r="V1562" s="81"/>
      <c r="W1562" s="81"/>
      <c r="X1562" s="81"/>
      <c r="Y1562" s="81"/>
      <c r="Z1562" s="82"/>
      <c r="AA1562" s="99"/>
      <c r="AB1562" s="48" t="s">
        <v>61</v>
      </c>
      <c r="AC1562" s="68" t="s">
        <v>61</v>
      </c>
      <c r="AD1562" s="69" t="s">
        <v>61</v>
      </c>
      <c r="AE1562" s="69" t="s">
        <v>61</v>
      </c>
      <c r="AF1562" s="68" t="s">
        <v>61</v>
      </c>
      <c r="AG1562" s="68" t="s">
        <v>61</v>
      </c>
      <c r="AH1562" s="68" t="s">
        <v>61</v>
      </c>
      <c r="AI1562" s="70" t="s">
        <v>61</v>
      </c>
      <c r="AJ1562" s="114" t="s">
        <v>61</v>
      </c>
      <c r="AK1562" s="82"/>
    </row>
    <row r="1563" ht="24.0" customHeight="1">
      <c r="A1563" s="35"/>
      <c r="B1563" s="36">
        <v>1.0</v>
      </c>
      <c r="C1563" s="37" t="str">
        <f>IFERROR(__xludf.DUMMYFUNCTION("""COMPUTED_VALUE"""),"")</f>
        <v/>
      </c>
      <c r="D1563" s="89" t="s">
        <v>61</v>
      </c>
      <c r="E1563" s="51" t="s">
        <v>61</v>
      </c>
      <c r="F1563" s="137"/>
      <c r="G1563" s="133"/>
      <c r="H1563" s="141"/>
      <c r="I1563" s="57"/>
      <c r="J1563" s="57"/>
      <c r="K1563" s="72"/>
      <c r="L1563" s="57"/>
      <c r="M1563" s="55"/>
      <c r="N1563" s="55"/>
      <c r="O1563" s="57"/>
      <c r="P1563" s="57"/>
      <c r="Q1563" s="57"/>
      <c r="R1563" s="57"/>
      <c r="S1563" s="132"/>
      <c r="T1563" s="74"/>
      <c r="U1563" s="74"/>
      <c r="V1563" s="74"/>
      <c r="W1563" s="74"/>
      <c r="X1563" s="74"/>
      <c r="Y1563" s="74"/>
      <c r="Z1563" s="76"/>
      <c r="AA1563" s="134"/>
      <c r="AB1563" s="62" t="s">
        <v>61</v>
      </c>
      <c r="AC1563" s="63" t="s">
        <v>61</v>
      </c>
      <c r="AD1563" s="64" t="s">
        <v>61</v>
      </c>
      <c r="AE1563" s="64" t="s">
        <v>61</v>
      </c>
      <c r="AF1563" s="63" t="s">
        <v>61</v>
      </c>
      <c r="AG1563" s="63" t="s">
        <v>61</v>
      </c>
      <c r="AH1563" s="63" t="s">
        <v>61</v>
      </c>
      <c r="AI1563" s="65" t="s">
        <v>61</v>
      </c>
      <c r="AJ1563" s="105" t="s">
        <v>61</v>
      </c>
      <c r="AK1563" s="76"/>
    </row>
    <row r="1564" ht="24.0" customHeight="1">
      <c r="A1564" s="35"/>
      <c r="B1564" s="36">
        <v>1.0</v>
      </c>
      <c r="C1564" s="37" t="str">
        <f>IFERROR(__xludf.DUMMYFUNCTION("""COMPUTED_VALUE"""),"")</f>
        <v/>
      </c>
      <c r="D1564" s="89" t="s">
        <v>61</v>
      </c>
      <c r="E1564" s="39" t="s">
        <v>61</v>
      </c>
      <c r="F1564" s="121"/>
      <c r="G1564" s="122"/>
      <c r="H1564" s="138"/>
      <c r="I1564" s="80"/>
      <c r="J1564" s="80"/>
      <c r="K1564" s="95"/>
      <c r="L1564" s="80"/>
      <c r="M1564" s="43"/>
      <c r="N1564" s="43"/>
      <c r="O1564" s="80"/>
      <c r="P1564" s="80"/>
      <c r="Q1564" s="80"/>
      <c r="R1564" s="80"/>
      <c r="S1564" s="117"/>
      <c r="T1564" s="81"/>
      <c r="U1564" s="81"/>
      <c r="V1564" s="81"/>
      <c r="W1564" s="81"/>
      <c r="X1564" s="81"/>
      <c r="Y1564" s="81"/>
      <c r="Z1564" s="82"/>
      <c r="AA1564" s="99"/>
      <c r="AB1564" s="48" t="s">
        <v>61</v>
      </c>
      <c r="AC1564" s="68" t="s">
        <v>61</v>
      </c>
      <c r="AD1564" s="69" t="s">
        <v>61</v>
      </c>
      <c r="AE1564" s="69" t="s">
        <v>61</v>
      </c>
      <c r="AF1564" s="68" t="s">
        <v>61</v>
      </c>
      <c r="AG1564" s="68" t="s">
        <v>61</v>
      </c>
      <c r="AH1564" s="68" t="s">
        <v>61</v>
      </c>
      <c r="AI1564" s="70" t="s">
        <v>61</v>
      </c>
      <c r="AJ1564" s="114" t="s">
        <v>61</v>
      </c>
      <c r="AK1564" s="82"/>
    </row>
    <row r="1565" ht="24.0" customHeight="1">
      <c r="A1565" s="35"/>
      <c r="B1565" s="36">
        <v>1.0</v>
      </c>
      <c r="C1565" s="37" t="str">
        <f>IFERROR(__xludf.DUMMYFUNCTION("""COMPUTED_VALUE"""),"")</f>
        <v/>
      </c>
      <c r="D1565" s="89" t="s">
        <v>61</v>
      </c>
      <c r="E1565" s="51" t="s">
        <v>61</v>
      </c>
      <c r="F1565" s="137"/>
      <c r="G1565" s="133"/>
      <c r="H1565" s="141"/>
      <c r="I1565" s="57"/>
      <c r="J1565" s="57"/>
      <c r="K1565" s="72"/>
      <c r="L1565" s="57"/>
      <c r="M1565" s="55"/>
      <c r="N1565" s="55"/>
      <c r="O1565" s="57"/>
      <c r="P1565" s="57"/>
      <c r="Q1565" s="57"/>
      <c r="R1565" s="57"/>
      <c r="S1565" s="132"/>
      <c r="T1565" s="74"/>
      <c r="U1565" s="74"/>
      <c r="V1565" s="74"/>
      <c r="W1565" s="74"/>
      <c r="X1565" s="74"/>
      <c r="Y1565" s="74"/>
      <c r="Z1565" s="76"/>
      <c r="AA1565" s="134"/>
      <c r="AB1565" s="62" t="s">
        <v>61</v>
      </c>
      <c r="AC1565" s="63" t="s">
        <v>61</v>
      </c>
      <c r="AD1565" s="64" t="s">
        <v>61</v>
      </c>
      <c r="AE1565" s="64" t="s">
        <v>61</v>
      </c>
      <c r="AF1565" s="63" t="s">
        <v>61</v>
      </c>
      <c r="AG1565" s="63" t="s">
        <v>61</v>
      </c>
      <c r="AH1565" s="63" t="s">
        <v>61</v>
      </c>
      <c r="AI1565" s="65" t="s">
        <v>61</v>
      </c>
      <c r="AJ1565" s="105" t="s">
        <v>61</v>
      </c>
      <c r="AK1565" s="76"/>
    </row>
    <row r="1566" ht="24.0" customHeight="1">
      <c r="A1566" s="35"/>
      <c r="B1566" s="36">
        <v>1.0</v>
      </c>
      <c r="C1566" s="37" t="str">
        <f>IFERROR(__xludf.DUMMYFUNCTION("""COMPUTED_VALUE"""),"")</f>
        <v/>
      </c>
      <c r="D1566" s="89" t="s">
        <v>61</v>
      </c>
      <c r="E1566" s="39" t="s">
        <v>61</v>
      </c>
      <c r="F1566" s="121"/>
      <c r="G1566" s="122"/>
      <c r="H1566" s="138"/>
      <c r="I1566" s="80"/>
      <c r="J1566" s="80"/>
      <c r="K1566" s="95"/>
      <c r="L1566" s="80"/>
      <c r="M1566" s="43"/>
      <c r="N1566" s="43"/>
      <c r="O1566" s="80"/>
      <c r="P1566" s="80"/>
      <c r="Q1566" s="80"/>
      <c r="R1566" s="80"/>
      <c r="S1566" s="117"/>
      <c r="T1566" s="81"/>
      <c r="U1566" s="81"/>
      <c r="V1566" s="81"/>
      <c r="W1566" s="81"/>
      <c r="X1566" s="81"/>
      <c r="Y1566" s="81"/>
      <c r="Z1566" s="82"/>
      <c r="AA1566" s="99"/>
      <c r="AB1566" s="48" t="s">
        <v>61</v>
      </c>
      <c r="AC1566" s="68" t="s">
        <v>61</v>
      </c>
      <c r="AD1566" s="69" t="s">
        <v>61</v>
      </c>
      <c r="AE1566" s="69" t="s">
        <v>61</v>
      </c>
      <c r="AF1566" s="68" t="s">
        <v>61</v>
      </c>
      <c r="AG1566" s="68" t="s">
        <v>61</v>
      </c>
      <c r="AH1566" s="68" t="s">
        <v>61</v>
      </c>
      <c r="AI1566" s="70" t="s">
        <v>61</v>
      </c>
      <c r="AJ1566" s="114" t="s">
        <v>61</v>
      </c>
      <c r="AK1566" s="82"/>
    </row>
    <row r="1567" ht="24.0" customHeight="1">
      <c r="A1567" s="35"/>
      <c r="B1567" s="36">
        <v>1.0</v>
      </c>
      <c r="C1567" s="37" t="str">
        <f>IFERROR(__xludf.DUMMYFUNCTION("""COMPUTED_VALUE"""),"")</f>
        <v/>
      </c>
      <c r="D1567" s="89" t="s">
        <v>61</v>
      </c>
      <c r="E1567" s="51" t="s">
        <v>61</v>
      </c>
      <c r="F1567" s="137"/>
      <c r="G1567" s="133"/>
      <c r="H1567" s="141"/>
      <c r="I1567" s="57"/>
      <c r="J1567" s="57"/>
      <c r="K1567" s="72"/>
      <c r="L1567" s="57"/>
      <c r="M1567" s="55"/>
      <c r="N1567" s="55"/>
      <c r="O1567" s="57"/>
      <c r="P1567" s="57"/>
      <c r="Q1567" s="57"/>
      <c r="R1567" s="57"/>
      <c r="S1567" s="132"/>
      <c r="T1567" s="74"/>
      <c r="U1567" s="74"/>
      <c r="V1567" s="74"/>
      <c r="W1567" s="74"/>
      <c r="X1567" s="74"/>
      <c r="Y1567" s="74"/>
      <c r="Z1567" s="76"/>
      <c r="AA1567" s="134"/>
      <c r="AB1567" s="62" t="s">
        <v>61</v>
      </c>
      <c r="AC1567" s="63" t="s">
        <v>61</v>
      </c>
      <c r="AD1567" s="64" t="s">
        <v>61</v>
      </c>
      <c r="AE1567" s="64" t="s">
        <v>61</v>
      </c>
      <c r="AF1567" s="63" t="s">
        <v>61</v>
      </c>
      <c r="AG1567" s="63" t="s">
        <v>61</v>
      </c>
      <c r="AH1567" s="63" t="s">
        <v>61</v>
      </c>
      <c r="AI1567" s="65" t="s">
        <v>61</v>
      </c>
      <c r="AJ1567" s="105" t="s">
        <v>61</v>
      </c>
      <c r="AK1567" s="76"/>
    </row>
    <row r="1568" ht="24.0" customHeight="1">
      <c r="A1568" s="35"/>
      <c r="B1568" s="36">
        <v>1.0</v>
      </c>
      <c r="C1568" s="37" t="str">
        <f>IFERROR(__xludf.DUMMYFUNCTION("""COMPUTED_VALUE"""),"")</f>
        <v/>
      </c>
      <c r="D1568" s="89" t="s">
        <v>61</v>
      </c>
      <c r="E1568" s="39" t="s">
        <v>61</v>
      </c>
      <c r="F1568" s="121"/>
      <c r="G1568" s="122"/>
      <c r="H1568" s="138"/>
      <c r="I1568" s="80"/>
      <c r="J1568" s="80"/>
      <c r="K1568" s="95"/>
      <c r="L1568" s="80"/>
      <c r="M1568" s="43"/>
      <c r="N1568" s="43"/>
      <c r="O1568" s="80"/>
      <c r="P1568" s="80"/>
      <c r="Q1568" s="80"/>
      <c r="R1568" s="80"/>
      <c r="S1568" s="117"/>
      <c r="T1568" s="81"/>
      <c r="U1568" s="81"/>
      <c r="V1568" s="81"/>
      <c r="W1568" s="81"/>
      <c r="X1568" s="81"/>
      <c r="Y1568" s="81"/>
      <c r="Z1568" s="82"/>
      <c r="AA1568" s="99"/>
      <c r="AB1568" s="48" t="s">
        <v>61</v>
      </c>
      <c r="AC1568" s="68" t="s">
        <v>61</v>
      </c>
      <c r="AD1568" s="69" t="s">
        <v>61</v>
      </c>
      <c r="AE1568" s="69" t="s">
        <v>61</v>
      </c>
      <c r="AF1568" s="68" t="s">
        <v>61</v>
      </c>
      <c r="AG1568" s="68" t="s">
        <v>61</v>
      </c>
      <c r="AH1568" s="68" t="s">
        <v>61</v>
      </c>
      <c r="AI1568" s="70" t="s">
        <v>61</v>
      </c>
      <c r="AJ1568" s="114" t="s">
        <v>61</v>
      </c>
      <c r="AK1568" s="82"/>
    </row>
    <row r="1569" ht="24.0" customHeight="1">
      <c r="A1569" s="35"/>
      <c r="B1569" s="36">
        <v>1.0</v>
      </c>
      <c r="C1569" s="37" t="str">
        <f>IFERROR(__xludf.DUMMYFUNCTION("""COMPUTED_VALUE"""),"")</f>
        <v/>
      </c>
      <c r="D1569" s="89" t="s">
        <v>61</v>
      </c>
      <c r="E1569" s="51" t="s">
        <v>61</v>
      </c>
      <c r="F1569" s="137"/>
      <c r="G1569" s="133"/>
      <c r="H1569" s="141"/>
      <c r="I1569" s="57"/>
      <c r="J1569" s="57"/>
      <c r="K1569" s="72"/>
      <c r="L1569" s="57"/>
      <c r="M1569" s="55"/>
      <c r="N1569" s="55"/>
      <c r="O1569" s="57"/>
      <c r="P1569" s="57"/>
      <c r="Q1569" s="57"/>
      <c r="R1569" s="57"/>
      <c r="S1569" s="132"/>
      <c r="T1569" s="74"/>
      <c r="U1569" s="74"/>
      <c r="V1569" s="74"/>
      <c r="W1569" s="74"/>
      <c r="X1569" s="74"/>
      <c r="Y1569" s="74"/>
      <c r="Z1569" s="76"/>
      <c r="AA1569" s="134"/>
      <c r="AB1569" s="62" t="s">
        <v>61</v>
      </c>
      <c r="AC1569" s="63" t="s">
        <v>61</v>
      </c>
      <c r="AD1569" s="64" t="s">
        <v>61</v>
      </c>
      <c r="AE1569" s="64" t="s">
        <v>61</v>
      </c>
      <c r="AF1569" s="63" t="s">
        <v>61</v>
      </c>
      <c r="AG1569" s="63" t="s">
        <v>61</v>
      </c>
      <c r="AH1569" s="63" t="s">
        <v>61</v>
      </c>
      <c r="AI1569" s="65" t="s">
        <v>61</v>
      </c>
      <c r="AJ1569" s="105" t="s">
        <v>61</v>
      </c>
      <c r="AK1569" s="76"/>
    </row>
    <row r="1570" ht="24.0" customHeight="1">
      <c r="A1570" s="35"/>
      <c r="B1570" s="36">
        <v>1.0</v>
      </c>
      <c r="C1570" s="37" t="str">
        <f>IFERROR(__xludf.DUMMYFUNCTION("""COMPUTED_VALUE"""),"")</f>
        <v/>
      </c>
      <c r="D1570" s="89" t="s">
        <v>61</v>
      </c>
      <c r="E1570" s="39" t="s">
        <v>61</v>
      </c>
      <c r="F1570" s="121"/>
      <c r="G1570" s="122"/>
      <c r="H1570" s="138"/>
      <c r="I1570" s="80"/>
      <c r="J1570" s="80"/>
      <c r="K1570" s="95"/>
      <c r="L1570" s="80"/>
      <c r="M1570" s="43"/>
      <c r="N1570" s="43"/>
      <c r="O1570" s="80"/>
      <c r="P1570" s="80"/>
      <c r="Q1570" s="80"/>
      <c r="R1570" s="80"/>
      <c r="S1570" s="117"/>
      <c r="T1570" s="81"/>
      <c r="U1570" s="81"/>
      <c r="V1570" s="81"/>
      <c r="W1570" s="81"/>
      <c r="X1570" s="81"/>
      <c r="Y1570" s="81"/>
      <c r="Z1570" s="82"/>
      <c r="AA1570" s="99"/>
      <c r="AB1570" s="48" t="s">
        <v>61</v>
      </c>
      <c r="AC1570" s="68" t="s">
        <v>61</v>
      </c>
      <c r="AD1570" s="69" t="s">
        <v>61</v>
      </c>
      <c r="AE1570" s="69" t="s">
        <v>61</v>
      </c>
      <c r="AF1570" s="68" t="s">
        <v>61</v>
      </c>
      <c r="AG1570" s="68" t="s">
        <v>61</v>
      </c>
      <c r="AH1570" s="68" t="s">
        <v>61</v>
      </c>
      <c r="AI1570" s="70" t="s">
        <v>61</v>
      </c>
      <c r="AJ1570" s="114" t="s">
        <v>61</v>
      </c>
      <c r="AK1570" s="82"/>
    </row>
    <row r="1571" ht="24.0" customHeight="1">
      <c r="A1571" s="35"/>
      <c r="B1571" s="36">
        <v>1.0</v>
      </c>
      <c r="C1571" s="37" t="str">
        <f>IFERROR(__xludf.DUMMYFUNCTION("""COMPUTED_VALUE"""),"")</f>
        <v/>
      </c>
      <c r="D1571" s="89" t="s">
        <v>61</v>
      </c>
      <c r="E1571" s="51" t="s">
        <v>61</v>
      </c>
      <c r="F1571" s="137"/>
      <c r="G1571" s="133"/>
      <c r="H1571" s="141"/>
      <c r="I1571" s="57"/>
      <c r="J1571" s="57"/>
      <c r="K1571" s="72"/>
      <c r="L1571" s="57"/>
      <c r="M1571" s="55"/>
      <c r="N1571" s="55"/>
      <c r="O1571" s="57"/>
      <c r="P1571" s="57"/>
      <c r="Q1571" s="57"/>
      <c r="R1571" s="57"/>
      <c r="S1571" s="132"/>
      <c r="T1571" s="74"/>
      <c r="U1571" s="74"/>
      <c r="V1571" s="74"/>
      <c r="W1571" s="74"/>
      <c r="X1571" s="74"/>
      <c r="Y1571" s="74"/>
      <c r="Z1571" s="76"/>
      <c r="AA1571" s="134"/>
      <c r="AB1571" s="62" t="s">
        <v>61</v>
      </c>
      <c r="AC1571" s="63" t="s">
        <v>61</v>
      </c>
      <c r="AD1571" s="64" t="s">
        <v>61</v>
      </c>
      <c r="AE1571" s="64" t="s">
        <v>61</v>
      </c>
      <c r="AF1571" s="63" t="s">
        <v>61</v>
      </c>
      <c r="AG1571" s="63" t="s">
        <v>61</v>
      </c>
      <c r="AH1571" s="63" t="s">
        <v>61</v>
      </c>
      <c r="AI1571" s="65" t="s">
        <v>61</v>
      </c>
      <c r="AJ1571" s="105" t="s">
        <v>61</v>
      </c>
      <c r="AK1571" s="76"/>
    </row>
    <row r="1572" ht="24.0" customHeight="1">
      <c r="A1572" s="35"/>
      <c r="B1572" s="36">
        <v>1.0</v>
      </c>
      <c r="C1572" s="37" t="str">
        <f>IFERROR(__xludf.DUMMYFUNCTION("""COMPUTED_VALUE"""),"")</f>
        <v/>
      </c>
      <c r="D1572" s="89" t="s">
        <v>61</v>
      </c>
      <c r="E1572" s="39" t="s">
        <v>61</v>
      </c>
      <c r="F1572" s="121"/>
      <c r="G1572" s="122"/>
      <c r="H1572" s="138"/>
      <c r="I1572" s="80"/>
      <c r="J1572" s="80"/>
      <c r="K1572" s="95"/>
      <c r="L1572" s="80"/>
      <c r="M1572" s="43"/>
      <c r="N1572" s="43"/>
      <c r="O1572" s="80"/>
      <c r="P1572" s="80"/>
      <c r="Q1572" s="80"/>
      <c r="R1572" s="80"/>
      <c r="S1572" s="117"/>
      <c r="T1572" s="81"/>
      <c r="U1572" s="81"/>
      <c r="V1572" s="81"/>
      <c r="W1572" s="81"/>
      <c r="X1572" s="81"/>
      <c r="Y1572" s="81"/>
      <c r="Z1572" s="82"/>
      <c r="AA1572" s="99"/>
      <c r="AB1572" s="48" t="s">
        <v>61</v>
      </c>
      <c r="AC1572" s="68" t="s">
        <v>61</v>
      </c>
      <c r="AD1572" s="69" t="s">
        <v>61</v>
      </c>
      <c r="AE1572" s="69" t="s">
        <v>61</v>
      </c>
      <c r="AF1572" s="68" t="s">
        <v>61</v>
      </c>
      <c r="AG1572" s="68" t="s">
        <v>61</v>
      </c>
      <c r="AH1572" s="68" t="s">
        <v>61</v>
      </c>
      <c r="AI1572" s="70" t="s">
        <v>61</v>
      </c>
      <c r="AJ1572" s="114" t="s">
        <v>61</v>
      </c>
      <c r="AK1572" s="82"/>
    </row>
    <row r="1573" ht="24.0" customHeight="1">
      <c r="A1573" s="35"/>
      <c r="B1573" s="36">
        <v>1.0</v>
      </c>
      <c r="C1573" s="37" t="str">
        <f>IFERROR(__xludf.DUMMYFUNCTION("""COMPUTED_VALUE"""),"")</f>
        <v/>
      </c>
      <c r="D1573" s="89" t="s">
        <v>61</v>
      </c>
      <c r="E1573" s="51" t="s">
        <v>61</v>
      </c>
      <c r="F1573" s="137"/>
      <c r="G1573" s="133"/>
      <c r="H1573" s="141"/>
      <c r="I1573" s="57"/>
      <c r="J1573" s="57"/>
      <c r="K1573" s="72"/>
      <c r="L1573" s="57"/>
      <c r="M1573" s="55"/>
      <c r="N1573" s="55"/>
      <c r="O1573" s="57"/>
      <c r="P1573" s="57"/>
      <c r="Q1573" s="57"/>
      <c r="R1573" s="57"/>
      <c r="S1573" s="132"/>
      <c r="T1573" s="74"/>
      <c r="U1573" s="74"/>
      <c r="V1573" s="74"/>
      <c r="W1573" s="74"/>
      <c r="X1573" s="74"/>
      <c r="Y1573" s="74"/>
      <c r="Z1573" s="76"/>
      <c r="AA1573" s="134"/>
      <c r="AB1573" s="62" t="s">
        <v>61</v>
      </c>
      <c r="AC1573" s="63" t="s">
        <v>61</v>
      </c>
      <c r="AD1573" s="64" t="s">
        <v>61</v>
      </c>
      <c r="AE1573" s="64" t="s">
        <v>61</v>
      </c>
      <c r="AF1573" s="63" t="s">
        <v>61</v>
      </c>
      <c r="AG1573" s="63" t="s">
        <v>61</v>
      </c>
      <c r="AH1573" s="63" t="s">
        <v>61</v>
      </c>
      <c r="AI1573" s="65" t="s">
        <v>61</v>
      </c>
      <c r="AJ1573" s="105" t="s">
        <v>61</v>
      </c>
      <c r="AK1573" s="76"/>
    </row>
    <row r="1574" ht="24.0" customHeight="1">
      <c r="A1574" s="35"/>
      <c r="B1574" s="36">
        <v>1.0</v>
      </c>
      <c r="C1574" s="37" t="str">
        <f>IFERROR(__xludf.DUMMYFUNCTION("""COMPUTED_VALUE"""),"")</f>
        <v/>
      </c>
      <c r="D1574" s="89" t="s">
        <v>61</v>
      </c>
      <c r="E1574" s="39" t="s">
        <v>61</v>
      </c>
      <c r="F1574" s="121"/>
      <c r="G1574" s="122"/>
      <c r="H1574" s="138"/>
      <c r="I1574" s="80"/>
      <c r="J1574" s="80"/>
      <c r="K1574" s="95"/>
      <c r="L1574" s="80"/>
      <c r="M1574" s="43"/>
      <c r="N1574" s="43"/>
      <c r="O1574" s="80"/>
      <c r="P1574" s="80"/>
      <c r="Q1574" s="80"/>
      <c r="R1574" s="80"/>
      <c r="S1574" s="117"/>
      <c r="T1574" s="81"/>
      <c r="U1574" s="81"/>
      <c r="V1574" s="81"/>
      <c r="W1574" s="81"/>
      <c r="X1574" s="81"/>
      <c r="Y1574" s="81"/>
      <c r="Z1574" s="82"/>
      <c r="AA1574" s="99"/>
      <c r="AB1574" s="48" t="s">
        <v>61</v>
      </c>
      <c r="AC1574" s="68" t="s">
        <v>61</v>
      </c>
      <c r="AD1574" s="69" t="s">
        <v>61</v>
      </c>
      <c r="AE1574" s="69" t="s">
        <v>61</v>
      </c>
      <c r="AF1574" s="68" t="s">
        <v>61</v>
      </c>
      <c r="AG1574" s="68" t="s">
        <v>61</v>
      </c>
      <c r="AH1574" s="68" t="s">
        <v>61</v>
      </c>
      <c r="AI1574" s="70" t="s">
        <v>61</v>
      </c>
      <c r="AJ1574" s="114" t="s">
        <v>61</v>
      </c>
      <c r="AK1574" s="82"/>
    </row>
    <row r="1575" ht="24.0" customHeight="1">
      <c r="A1575" s="35"/>
      <c r="B1575" s="36">
        <v>1.0</v>
      </c>
      <c r="C1575" s="37" t="str">
        <f>IFERROR(__xludf.DUMMYFUNCTION("""COMPUTED_VALUE"""),"")</f>
        <v/>
      </c>
      <c r="D1575" s="89" t="s">
        <v>61</v>
      </c>
      <c r="E1575" s="51" t="s">
        <v>61</v>
      </c>
      <c r="F1575" s="137"/>
      <c r="G1575" s="133"/>
      <c r="H1575" s="141"/>
      <c r="I1575" s="57"/>
      <c r="J1575" s="57"/>
      <c r="K1575" s="72"/>
      <c r="L1575" s="57"/>
      <c r="M1575" s="55"/>
      <c r="N1575" s="55"/>
      <c r="O1575" s="57"/>
      <c r="P1575" s="57"/>
      <c r="Q1575" s="57"/>
      <c r="R1575" s="57"/>
      <c r="S1575" s="132"/>
      <c r="T1575" s="74"/>
      <c r="U1575" s="74"/>
      <c r="V1575" s="74"/>
      <c r="W1575" s="74"/>
      <c r="X1575" s="74"/>
      <c r="Y1575" s="74"/>
      <c r="Z1575" s="76"/>
      <c r="AA1575" s="134"/>
      <c r="AB1575" s="62" t="s">
        <v>61</v>
      </c>
      <c r="AC1575" s="63" t="s">
        <v>61</v>
      </c>
      <c r="AD1575" s="64" t="s">
        <v>61</v>
      </c>
      <c r="AE1575" s="64" t="s">
        <v>61</v>
      </c>
      <c r="AF1575" s="63" t="s">
        <v>61</v>
      </c>
      <c r="AG1575" s="63" t="s">
        <v>61</v>
      </c>
      <c r="AH1575" s="63" t="s">
        <v>61</v>
      </c>
      <c r="AI1575" s="65" t="s">
        <v>61</v>
      </c>
      <c r="AJ1575" s="105" t="s">
        <v>61</v>
      </c>
      <c r="AK1575" s="76"/>
    </row>
    <row r="1576" ht="24.0" customHeight="1">
      <c r="A1576" s="35"/>
      <c r="B1576" s="36">
        <v>1.0</v>
      </c>
      <c r="C1576" s="37" t="str">
        <f>IFERROR(__xludf.DUMMYFUNCTION("""COMPUTED_VALUE"""),"")</f>
        <v/>
      </c>
      <c r="D1576" s="89" t="s">
        <v>61</v>
      </c>
      <c r="E1576" s="39" t="s">
        <v>61</v>
      </c>
      <c r="F1576" s="121"/>
      <c r="G1576" s="122"/>
      <c r="H1576" s="138"/>
      <c r="I1576" s="80"/>
      <c r="J1576" s="80"/>
      <c r="K1576" s="95"/>
      <c r="L1576" s="80"/>
      <c r="M1576" s="43"/>
      <c r="N1576" s="43"/>
      <c r="O1576" s="80"/>
      <c r="P1576" s="80"/>
      <c r="Q1576" s="80"/>
      <c r="R1576" s="80"/>
      <c r="S1576" s="117"/>
      <c r="T1576" s="81"/>
      <c r="U1576" s="81"/>
      <c r="V1576" s="81"/>
      <c r="W1576" s="81"/>
      <c r="X1576" s="81"/>
      <c r="Y1576" s="81"/>
      <c r="Z1576" s="82"/>
      <c r="AA1576" s="99"/>
      <c r="AB1576" s="48" t="s">
        <v>61</v>
      </c>
      <c r="AC1576" s="68" t="s">
        <v>61</v>
      </c>
      <c r="AD1576" s="69" t="s">
        <v>61</v>
      </c>
      <c r="AE1576" s="69" t="s">
        <v>61</v>
      </c>
      <c r="AF1576" s="68" t="s">
        <v>61</v>
      </c>
      <c r="AG1576" s="68" t="s">
        <v>61</v>
      </c>
      <c r="AH1576" s="68" t="s">
        <v>61</v>
      </c>
      <c r="AI1576" s="70" t="s">
        <v>61</v>
      </c>
      <c r="AJ1576" s="114" t="s">
        <v>61</v>
      </c>
      <c r="AK1576" s="82"/>
    </row>
    <row r="1577" ht="24.0" customHeight="1">
      <c r="A1577" s="35"/>
      <c r="B1577" s="36">
        <v>1.0</v>
      </c>
      <c r="C1577" s="37" t="str">
        <f>IFERROR(__xludf.DUMMYFUNCTION("""COMPUTED_VALUE"""),"")</f>
        <v/>
      </c>
      <c r="D1577" s="89" t="s">
        <v>61</v>
      </c>
      <c r="E1577" s="51" t="s">
        <v>61</v>
      </c>
      <c r="F1577" s="137"/>
      <c r="G1577" s="133"/>
      <c r="H1577" s="141"/>
      <c r="I1577" s="57"/>
      <c r="J1577" s="57"/>
      <c r="K1577" s="72"/>
      <c r="L1577" s="57"/>
      <c r="M1577" s="55"/>
      <c r="N1577" s="55"/>
      <c r="O1577" s="57"/>
      <c r="P1577" s="57"/>
      <c r="Q1577" s="57"/>
      <c r="R1577" s="57"/>
      <c r="S1577" s="132"/>
      <c r="T1577" s="74"/>
      <c r="U1577" s="74"/>
      <c r="V1577" s="74"/>
      <c r="W1577" s="74"/>
      <c r="X1577" s="74"/>
      <c r="Y1577" s="74"/>
      <c r="Z1577" s="76"/>
      <c r="AA1577" s="134"/>
      <c r="AB1577" s="62" t="s">
        <v>61</v>
      </c>
      <c r="AC1577" s="63" t="s">
        <v>61</v>
      </c>
      <c r="AD1577" s="64" t="s">
        <v>61</v>
      </c>
      <c r="AE1577" s="64" t="s">
        <v>61</v>
      </c>
      <c r="AF1577" s="63" t="s">
        <v>61</v>
      </c>
      <c r="AG1577" s="63" t="s">
        <v>61</v>
      </c>
      <c r="AH1577" s="63" t="s">
        <v>61</v>
      </c>
      <c r="AI1577" s="65" t="s">
        <v>61</v>
      </c>
      <c r="AJ1577" s="105" t="s">
        <v>61</v>
      </c>
      <c r="AK1577" s="76"/>
    </row>
    <row r="1578" ht="24.0" customHeight="1">
      <c r="A1578" s="35"/>
      <c r="B1578" s="36">
        <v>1.0</v>
      </c>
      <c r="C1578" s="37" t="str">
        <f>IFERROR(__xludf.DUMMYFUNCTION("""COMPUTED_VALUE"""),"")</f>
        <v/>
      </c>
      <c r="D1578" s="89" t="s">
        <v>61</v>
      </c>
      <c r="E1578" s="39" t="s">
        <v>61</v>
      </c>
      <c r="F1578" s="121"/>
      <c r="G1578" s="122"/>
      <c r="H1578" s="138"/>
      <c r="I1578" s="80"/>
      <c r="J1578" s="80"/>
      <c r="K1578" s="95"/>
      <c r="L1578" s="80"/>
      <c r="M1578" s="43"/>
      <c r="N1578" s="43"/>
      <c r="O1578" s="80"/>
      <c r="P1578" s="80"/>
      <c r="Q1578" s="80"/>
      <c r="R1578" s="80"/>
      <c r="S1578" s="117"/>
      <c r="T1578" s="81"/>
      <c r="U1578" s="81"/>
      <c r="V1578" s="81"/>
      <c r="W1578" s="81"/>
      <c r="X1578" s="81"/>
      <c r="Y1578" s="81"/>
      <c r="Z1578" s="82"/>
      <c r="AA1578" s="99"/>
      <c r="AB1578" s="48" t="s">
        <v>61</v>
      </c>
      <c r="AC1578" s="68" t="s">
        <v>61</v>
      </c>
      <c r="AD1578" s="69" t="s">
        <v>61</v>
      </c>
      <c r="AE1578" s="69" t="s">
        <v>61</v>
      </c>
      <c r="AF1578" s="68" t="s">
        <v>61</v>
      </c>
      <c r="AG1578" s="68" t="s">
        <v>61</v>
      </c>
      <c r="AH1578" s="68" t="s">
        <v>61</v>
      </c>
      <c r="AI1578" s="70" t="s">
        <v>61</v>
      </c>
      <c r="AJ1578" s="114" t="s">
        <v>61</v>
      </c>
      <c r="AK1578" s="82"/>
    </row>
    <row r="1579" ht="24.0" customHeight="1">
      <c r="A1579" s="35"/>
      <c r="B1579" s="36">
        <v>1.0</v>
      </c>
      <c r="C1579" s="37" t="str">
        <f>IFERROR(__xludf.DUMMYFUNCTION("""COMPUTED_VALUE"""),"")</f>
        <v/>
      </c>
      <c r="D1579" s="89" t="s">
        <v>61</v>
      </c>
      <c r="E1579" s="51" t="s">
        <v>61</v>
      </c>
      <c r="F1579" s="137"/>
      <c r="G1579" s="133"/>
      <c r="H1579" s="141"/>
      <c r="I1579" s="57"/>
      <c r="J1579" s="57"/>
      <c r="K1579" s="72"/>
      <c r="L1579" s="57"/>
      <c r="M1579" s="55"/>
      <c r="N1579" s="55"/>
      <c r="O1579" s="57"/>
      <c r="P1579" s="57"/>
      <c r="Q1579" s="57"/>
      <c r="R1579" s="57"/>
      <c r="S1579" s="132"/>
      <c r="T1579" s="74"/>
      <c r="U1579" s="74"/>
      <c r="V1579" s="74"/>
      <c r="W1579" s="74"/>
      <c r="X1579" s="74"/>
      <c r="Y1579" s="74"/>
      <c r="Z1579" s="76"/>
      <c r="AA1579" s="134"/>
      <c r="AB1579" s="62" t="s">
        <v>61</v>
      </c>
      <c r="AC1579" s="63" t="s">
        <v>61</v>
      </c>
      <c r="AD1579" s="64" t="s">
        <v>61</v>
      </c>
      <c r="AE1579" s="64" t="s">
        <v>61</v>
      </c>
      <c r="AF1579" s="63" t="s">
        <v>61</v>
      </c>
      <c r="AG1579" s="63" t="s">
        <v>61</v>
      </c>
      <c r="AH1579" s="63" t="s">
        <v>61</v>
      </c>
      <c r="AI1579" s="65" t="s">
        <v>61</v>
      </c>
      <c r="AJ1579" s="105" t="s">
        <v>61</v>
      </c>
      <c r="AK1579" s="76"/>
    </row>
    <row r="1580" ht="24.0" customHeight="1">
      <c r="A1580" s="35"/>
      <c r="B1580" s="36">
        <v>1.0</v>
      </c>
      <c r="C1580" s="37" t="str">
        <f>IFERROR(__xludf.DUMMYFUNCTION("""COMPUTED_VALUE"""),"")</f>
        <v/>
      </c>
      <c r="D1580" s="89" t="s">
        <v>61</v>
      </c>
      <c r="E1580" s="39" t="s">
        <v>61</v>
      </c>
      <c r="F1580" s="121"/>
      <c r="G1580" s="122"/>
      <c r="H1580" s="138"/>
      <c r="I1580" s="80"/>
      <c r="J1580" s="80"/>
      <c r="K1580" s="95"/>
      <c r="L1580" s="80"/>
      <c r="M1580" s="43"/>
      <c r="N1580" s="43"/>
      <c r="O1580" s="80"/>
      <c r="P1580" s="80"/>
      <c r="Q1580" s="80"/>
      <c r="R1580" s="80"/>
      <c r="S1580" s="117"/>
      <c r="T1580" s="81"/>
      <c r="U1580" s="81"/>
      <c r="V1580" s="81"/>
      <c r="W1580" s="81"/>
      <c r="X1580" s="81"/>
      <c r="Y1580" s="81"/>
      <c r="Z1580" s="82"/>
      <c r="AA1580" s="99"/>
      <c r="AB1580" s="48" t="s">
        <v>61</v>
      </c>
      <c r="AC1580" s="68" t="s">
        <v>61</v>
      </c>
      <c r="AD1580" s="69" t="s">
        <v>61</v>
      </c>
      <c r="AE1580" s="69" t="s">
        <v>61</v>
      </c>
      <c r="AF1580" s="68" t="s">
        <v>61</v>
      </c>
      <c r="AG1580" s="68" t="s">
        <v>61</v>
      </c>
      <c r="AH1580" s="68" t="s">
        <v>61</v>
      </c>
      <c r="AI1580" s="70" t="s">
        <v>61</v>
      </c>
      <c r="AJ1580" s="114" t="s">
        <v>61</v>
      </c>
      <c r="AK1580" s="82"/>
    </row>
    <row r="1581" ht="24.0" customHeight="1">
      <c r="A1581" s="35"/>
      <c r="B1581" s="36">
        <v>1.0</v>
      </c>
      <c r="C1581" s="37" t="str">
        <f>IFERROR(__xludf.DUMMYFUNCTION("""COMPUTED_VALUE"""),"")</f>
        <v/>
      </c>
      <c r="D1581" s="89" t="s">
        <v>61</v>
      </c>
      <c r="E1581" s="51" t="s">
        <v>61</v>
      </c>
      <c r="F1581" s="137"/>
      <c r="G1581" s="133"/>
      <c r="H1581" s="141"/>
      <c r="I1581" s="57"/>
      <c r="J1581" s="57"/>
      <c r="K1581" s="72"/>
      <c r="L1581" s="57"/>
      <c r="M1581" s="55"/>
      <c r="N1581" s="55"/>
      <c r="O1581" s="57"/>
      <c r="P1581" s="57"/>
      <c r="Q1581" s="57"/>
      <c r="R1581" s="57"/>
      <c r="S1581" s="132"/>
      <c r="T1581" s="74"/>
      <c r="U1581" s="74"/>
      <c r="V1581" s="74"/>
      <c r="W1581" s="74"/>
      <c r="X1581" s="74"/>
      <c r="Y1581" s="74"/>
      <c r="Z1581" s="76"/>
      <c r="AA1581" s="134"/>
      <c r="AB1581" s="62" t="s">
        <v>61</v>
      </c>
      <c r="AC1581" s="63" t="s">
        <v>61</v>
      </c>
      <c r="AD1581" s="64" t="s">
        <v>61</v>
      </c>
      <c r="AE1581" s="64" t="s">
        <v>61</v>
      </c>
      <c r="AF1581" s="63" t="s">
        <v>61</v>
      </c>
      <c r="AG1581" s="63" t="s">
        <v>61</v>
      </c>
      <c r="AH1581" s="63" t="s">
        <v>61</v>
      </c>
      <c r="AI1581" s="65" t="s">
        <v>61</v>
      </c>
      <c r="AJ1581" s="105" t="s">
        <v>61</v>
      </c>
      <c r="AK1581" s="76"/>
    </row>
    <row r="1582" ht="24.0" customHeight="1">
      <c r="A1582" s="35"/>
      <c r="B1582" s="36">
        <v>1.0</v>
      </c>
      <c r="C1582" s="37" t="str">
        <f>IFERROR(__xludf.DUMMYFUNCTION("""COMPUTED_VALUE"""),"")</f>
        <v/>
      </c>
      <c r="D1582" s="89" t="s">
        <v>61</v>
      </c>
      <c r="E1582" s="39" t="s">
        <v>61</v>
      </c>
      <c r="F1582" s="121"/>
      <c r="G1582" s="122"/>
      <c r="H1582" s="138"/>
      <c r="I1582" s="80"/>
      <c r="J1582" s="80"/>
      <c r="K1582" s="95"/>
      <c r="L1582" s="80"/>
      <c r="M1582" s="43"/>
      <c r="N1582" s="43"/>
      <c r="O1582" s="80"/>
      <c r="P1582" s="80"/>
      <c r="Q1582" s="80"/>
      <c r="R1582" s="80"/>
      <c r="S1582" s="117"/>
      <c r="T1582" s="81"/>
      <c r="U1582" s="81"/>
      <c r="V1582" s="81"/>
      <c r="W1582" s="81"/>
      <c r="X1582" s="81"/>
      <c r="Y1582" s="81"/>
      <c r="Z1582" s="82"/>
      <c r="AA1582" s="99"/>
      <c r="AB1582" s="48" t="s">
        <v>61</v>
      </c>
      <c r="AC1582" s="68" t="s">
        <v>61</v>
      </c>
      <c r="AD1582" s="69" t="s">
        <v>61</v>
      </c>
      <c r="AE1582" s="69" t="s">
        <v>61</v>
      </c>
      <c r="AF1582" s="68" t="s">
        <v>61</v>
      </c>
      <c r="AG1582" s="68" t="s">
        <v>61</v>
      </c>
      <c r="AH1582" s="68" t="s">
        <v>61</v>
      </c>
      <c r="AI1582" s="70" t="s">
        <v>61</v>
      </c>
      <c r="AJ1582" s="114" t="s">
        <v>61</v>
      </c>
      <c r="AK1582" s="82"/>
    </row>
    <row r="1583" ht="24.0" customHeight="1">
      <c r="A1583" s="35"/>
      <c r="B1583" s="36">
        <v>1.0</v>
      </c>
      <c r="C1583" s="37" t="str">
        <f>IFERROR(__xludf.DUMMYFUNCTION("""COMPUTED_VALUE"""),"")</f>
        <v/>
      </c>
      <c r="D1583" s="89" t="s">
        <v>61</v>
      </c>
      <c r="E1583" s="51" t="s">
        <v>61</v>
      </c>
      <c r="F1583" s="137"/>
      <c r="G1583" s="133"/>
      <c r="H1583" s="141"/>
      <c r="I1583" s="57"/>
      <c r="J1583" s="57"/>
      <c r="K1583" s="72"/>
      <c r="L1583" s="57"/>
      <c r="M1583" s="55"/>
      <c r="N1583" s="55"/>
      <c r="O1583" s="57"/>
      <c r="P1583" s="57"/>
      <c r="Q1583" s="57"/>
      <c r="R1583" s="57"/>
      <c r="S1583" s="132"/>
      <c r="T1583" s="74"/>
      <c r="U1583" s="74"/>
      <c r="V1583" s="74"/>
      <c r="W1583" s="74"/>
      <c r="X1583" s="74"/>
      <c r="Y1583" s="74"/>
      <c r="Z1583" s="76"/>
      <c r="AA1583" s="134"/>
      <c r="AB1583" s="62" t="s">
        <v>61</v>
      </c>
      <c r="AC1583" s="63" t="s">
        <v>61</v>
      </c>
      <c r="AD1583" s="64" t="s">
        <v>61</v>
      </c>
      <c r="AE1583" s="64" t="s">
        <v>61</v>
      </c>
      <c r="AF1583" s="63" t="s">
        <v>61</v>
      </c>
      <c r="AG1583" s="63" t="s">
        <v>61</v>
      </c>
      <c r="AH1583" s="63" t="s">
        <v>61</v>
      </c>
      <c r="AI1583" s="65" t="s">
        <v>61</v>
      </c>
      <c r="AJ1583" s="105" t="s">
        <v>61</v>
      </c>
      <c r="AK1583" s="76"/>
    </row>
    <row r="1584" ht="24.0" customHeight="1">
      <c r="A1584" s="35"/>
      <c r="B1584" s="36">
        <v>1.0</v>
      </c>
      <c r="C1584" s="37" t="str">
        <f>IFERROR(__xludf.DUMMYFUNCTION("""COMPUTED_VALUE"""),"")</f>
        <v/>
      </c>
      <c r="D1584" s="89" t="s">
        <v>61</v>
      </c>
      <c r="E1584" s="39" t="s">
        <v>61</v>
      </c>
      <c r="F1584" s="121"/>
      <c r="G1584" s="122"/>
      <c r="H1584" s="138"/>
      <c r="I1584" s="80"/>
      <c r="J1584" s="80"/>
      <c r="K1584" s="95"/>
      <c r="L1584" s="80"/>
      <c r="M1584" s="43"/>
      <c r="N1584" s="43"/>
      <c r="O1584" s="80"/>
      <c r="P1584" s="80"/>
      <c r="Q1584" s="80"/>
      <c r="R1584" s="80"/>
      <c r="S1584" s="117"/>
      <c r="T1584" s="81"/>
      <c r="U1584" s="81"/>
      <c r="V1584" s="81"/>
      <c r="W1584" s="81"/>
      <c r="X1584" s="81"/>
      <c r="Y1584" s="81"/>
      <c r="Z1584" s="82"/>
      <c r="AA1584" s="99"/>
      <c r="AB1584" s="48" t="s">
        <v>61</v>
      </c>
      <c r="AC1584" s="68" t="s">
        <v>61</v>
      </c>
      <c r="AD1584" s="69" t="s">
        <v>61</v>
      </c>
      <c r="AE1584" s="69" t="s">
        <v>61</v>
      </c>
      <c r="AF1584" s="68" t="s">
        <v>61</v>
      </c>
      <c r="AG1584" s="68" t="s">
        <v>61</v>
      </c>
      <c r="AH1584" s="68" t="s">
        <v>61</v>
      </c>
      <c r="AI1584" s="70" t="s">
        <v>61</v>
      </c>
      <c r="AJ1584" s="114" t="s">
        <v>61</v>
      </c>
      <c r="AK1584" s="82"/>
    </row>
    <row r="1585" ht="24.0" customHeight="1">
      <c r="A1585" s="35"/>
      <c r="B1585" s="36">
        <v>1.0</v>
      </c>
      <c r="C1585" s="37" t="str">
        <f>IFERROR(__xludf.DUMMYFUNCTION("""COMPUTED_VALUE"""),"")</f>
        <v/>
      </c>
      <c r="D1585" s="89" t="s">
        <v>61</v>
      </c>
      <c r="E1585" s="51" t="s">
        <v>61</v>
      </c>
      <c r="F1585" s="137"/>
      <c r="G1585" s="133"/>
      <c r="H1585" s="141"/>
      <c r="I1585" s="57"/>
      <c r="J1585" s="57"/>
      <c r="K1585" s="72"/>
      <c r="L1585" s="57"/>
      <c r="M1585" s="55"/>
      <c r="N1585" s="55"/>
      <c r="O1585" s="57"/>
      <c r="P1585" s="57"/>
      <c r="Q1585" s="57"/>
      <c r="R1585" s="57"/>
      <c r="S1585" s="132"/>
      <c r="T1585" s="74"/>
      <c r="U1585" s="74"/>
      <c r="V1585" s="74"/>
      <c r="W1585" s="74"/>
      <c r="X1585" s="74"/>
      <c r="Y1585" s="74"/>
      <c r="Z1585" s="76"/>
      <c r="AA1585" s="134"/>
      <c r="AB1585" s="62" t="s">
        <v>61</v>
      </c>
      <c r="AC1585" s="63" t="s">
        <v>61</v>
      </c>
      <c r="AD1585" s="64" t="s">
        <v>61</v>
      </c>
      <c r="AE1585" s="64" t="s">
        <v>61</v>
      </c>
      <c r="AF1585" s="63" t="s">
        <v>61</v>
      </c>
      <c r="AG1585" s="63" t="s">
        <v>61</v>
      </c>
      <c r="AH1585" s="63" t="s">
        <v>61</v>
      </c>
      <c r="AI1585" s="65" t="s">
        <v>61</v>
      </c>
      <c r="AJ1585" s="105" t="s">
        <v>61</v>
      </c>
      <c r="AK1585" s="76"/>
    </row>
    <row r="1586" ht="24.0" customHeight="1">
      <c r="A1586" s="35"/>
      <c r="B1586" s="36">
        <v>1.0</v>
      </c>
      <c r="C1586" s="37" t="str">
        <f>IFERROR(__xludf.DUMMYFUNCTION("""COMPUTED_VALUE"""),"")</f>
        <v/>
      </c>
      <c r="D1586" s="89" t="s">
        <v>61</v>
      </c>
      <c r="E1586" s="39" t="s">
        <v>61</v>
      </c>
      <c r="F1586" s="121"/>
      <c r="G1586" s="122"/>
      <c r="H1586" s="138"/>
      <c r="I1586" s="80"/>
      <c r="J1586" s="80"/>
      <c r="K1586" s="95"/>
      <c r="L1586" s="80"/>
      <c r="M1586" s="43"/>
      <c r="N1586" s="43"/>
      <c r="O1586" s="80"/>
      <c r="P1586" s="80"/>
      <c r="Q1586" s="80"/>
      <c r="R1586" s="80"/>
      <c r="S1586" s="117"/>
      <c r="T1586" s="81"/>
      <c r="U1586" s="81"/>
      <c r="V1586" s="81"/>
      <c r="W1586" s="81"/>
      <c r="X1586" s="81"/>
      <c r="Y1586" s="81"/>
      <c r="Z1586" s="82"/>
      <c r="AA1586" s="99"/>
      <c r="AB1586" s="48" t="s">
        <v>61</v>
      </c>
      <c r="AC1586" s="68" t="s">
        <v>61</v>
      </c>
      <c r="AD1586" s="69" t="s">
        <v>61</v>
      </c>
      <c r="AE1586" s="69" t="s">
        <v>61</v>
      </c>
      <c r="AF1586" s="68" t="s">
        <v>61</v>
      </c>
      <c r="AG1586" s="68" t="s">
        <v>61</v>
      </c>
      <c r="AH1586" s="68" t="s">
        <v>61</v>
      </c>
      <c r="AI1586" s="70" t="s">
        <v>61</v>
      </c>
      <c r="AJ1586" s="114" t="s">
        <v>61</v>
      </c>
      <c r="AK1586" s="82"/>
    </row>
    <row r="1587" ht="24.0" customHeight="1">
      <c r="A1587" s="35"/>
      <c r="B1587" s="36">
        <v>1.0</v>
      </c>
      <c r="C1587" s="37" t="str">
        <f>IFERROR(__xludf.DUMMYFUNCTION("""COMPUTED_VALUE"""),"")</f>
        <v/>
      </c>
      <c r="D1587" s="89" t="s">
        <v>61</v>
      </c>
      <c r="E1587" s="51" t="s">
        <v>61</v>
      </c>
      <c r="F1587" s="137"/>
      <c r="G1587" s="133"/>
      <c r="H1587" s="141"/>
      <c r="I1587" s="57"/>
      <c r="J1587" s="57"/>
      <c r="K1587" s="72"/>
      <c r="L1587" s="57"/>
      <c r="M1587" s="55"/>
      <c r="N1587" s="55"/>
      <c r="O1587" s="57"/>
      <c r="P1587" s="57"/>
      <c r="Q1587" s="57"/>
      <c r="R1587" s="57"/>
      <c r="S1587" s="132"/>
      <c r="T1587" s="74"/>
      <c r="U1587" s="74"/>
      <c r="V1587" s="74"/>
      <c r="W1587" s="74"/>
      <c r="X1587" s="74"/>
      <c r="Y1587" s="74"/>
      <c r="Z1587" s="76"/>
      <c r="AA1587" s="134"/>
      <c r="AB1587" s="62" t="s">
        <v>61</v>
      </c>
      <c r="AC1587" s="63" t="s">
        <v>61</v>
      </c>
      <c r="AD1587" s="64" t="s">
        <v>61</v>
      </c>
      <c r="AE1587" s="64" t="s">
        <v>61</v>
      </c>
      <c r="AF1587" s="63" t="s">
        <v>61</v>
      </c>
      <c r="AG1587" s="63" t="s">
        <v>61</v>
      </c>
      <c r="AH1587" s="63" t="s">
        <v>61</v>
      </c>
      <c r="AI1587" s="65" t="s">
        <v>61</v>
      </c>
      <c r="AJ1587" s="105" t="s">
        <v>61</v>
      </c>
      <c r="AK1587" s="76"/>
    </row>
    <row r="1588" ht="24.0" customHeight="1">
      <c r="A1588" s="35"/>
      <c r="B1588" s="36">
        <v>1.0</v>
      </c>
      <c r="C1588" s="37" t="str">
        <f>IFERROR(__xludf.DUMMYFUNCTION("""COMPUTED_VALUE"""),"")</f>
        <v/>
      </c>
      <c r="D1588" s="89" t="s">
        <v>61</v>
      </c>
      <c r="E1588" s="39" t="s">
        <v>61</v>
      </c>
      <c r="F1588" s="121"/>
      <c r="G1588" s="122"/>
      <c r="H1588" s="138"/>
      <c r="I1588" s="80"/>
      <c r="J1588" s="80"/>
      <c r="K1588" s="95"/>
      <c r="L1588" s="80"/>
      <c r="M1588" s="43"/>
      <c r="N1588" s="43"/>
      <c r="O1588" s="80"/>
      <c r="P1588" s="80"/>
      <c r="Q1588" s="80"/>
      <c r="R1588" s="80"/>
      <c r="S1588" s="117"/>
      <c r="T1588" s="81"/>
      <c r="U1588" s="81"/>
      <c r="V1588" s="81"/>
      <c r="W1588" s="81"/>
      <c r="X1588" s="81"/>
      <c r="Y1588" s="81"/>
      <c r="Z1588" s="82"/>
      <c r="AA1588" s="99"/>
      <c r="AB1588" s="48" t="s">
        <v>61</v>
      </c>
      <c r="AC1588" s="68" t="s">
        <v>61</v>
      </c>
      <c r="AD1588" s="69" t="s">
        <v>61</v>
      </c>
      <c r="AE1588" s="69" t="s">
        <v>61</v>
      </c>
      <c r="AF1588" s="68" t="s">
        <v>61</v>
      </c>
      <c r="AG1588" s="68" t="s">
        <v>61</v>
      </c>
      <c r="AH1588" s="68" t="s">
        <v>61</v>
      </c>
      <c r="AI1588" s="70" t="s">
        <v>61</v>
      </c>
      <c r="AJ1588" s="114" t="s">
        <v>61</v>
      </c>
      <c r="AK1588" s="82"/>
    </row>
    <row r="1589" ht="24.0" customHeight="1">
      <c r="A1589" s="35"/>
      <c r="B1589" s="36">
        <v>1.0</v>
      </c>
      <c r="C1589" s="37" t="str">
        <f>IFERROR(__xludf.DUMMYFUNCTION("""COMPUTED_VALUE"""),"")</f>
        <v/>
      </c>
      <c r="D1589" s="89" t="s">
        <v>61</v>
      </c>
      <c r="E1589" s="51" t="s">
        <v>61</v>
      </c>
      <c r="F1589" s="137"/>
      <c r="G1589" s="133"/>
      <c r="H1589" s="141"/>
      <c r="I1589" s="57"/>
      <c r="J1589" s="57"/>
      <c r="K1589" s="72"/>
      <c r="L1589" s="57"/>
      <c r="M1589" s="55"/>
      <c r="N1589" s="55"/>
      <c r="O1589" s="57"/>
      <c r="P1589" s="57"/>
      <c r="Q1589" s="57"/>
      <c r="R1589" s="57"/>
      <c r="S1589" s="132"/>
      <c r="T1589" s="74"/>
      <c r="U1589" s="74"/>
      <c r="V1589" s="74"/>
      <c r="W1589" s="74"/>
      <c r="X1589" s="74"/>
      <c r="Y1589" s="74"/>
      <c r="Z1589" s="76"/>
      <c r="AA1589" s="134"/>
      <c r="AB1589" s="62" t="s">
        <v>61</v>
      </c>
      <c r="AC1589" s="63" t="s">
        <v>61</v>
      </c>
      <c r="AD1589" s="64" t="s">
        <v>61</v>
      </c>
      <c r="AE1589" s="64" t="s">
        <v>61</v>
      </c>
      <c r="AF1589" s="63" t="s">
        <v>61</v>
      </c>
      <c r="AG1589" s="63" t="s">
        <v>61</v>
      </c>
      <c r="AH1589" s="63" t="s">
        <v>61</v>
      </c>
      <c r="AI1589" s="65" t="s">
        <v>61</v>
      </c>
      <c r="AJ1589" s="105" t="s">
        <v>61</v>
      </c>
      <c r="AK1589" s="76"/>
    </row>
    <row r="1590" ht="24.0" customHeight="1">
      <c r="A1590" s="35"/>
      <c r="B1590" s="36">
        <v>1.0</v>
      </c>
      <c r="C1590" s="37" t="str">
        <f>IFERROR(__xludf.DUMMYFUNCTION("""COMPUTED_VALUE"""),"")</f>
        <v/>
      </c>
      <c r="D1590" s="89" t="s">
        <v>61</v>
      </c>
      <c r="E1590" s="39" t="s">
        <v>61</v>
      </c>
      <c r="F1590" s="121"/>
      <c r="G1590" s="122"/>
      <c r="H1590" s="138"/>
      <c r="I1590" s="80"/>
      <c r="J1590" s="80"/>
      <c r="K1590" s="95"/>
      <c r="L1590" s="80"/>
      <c r="M1590" s="43"/>
      <c r="N1590" s="43"/>
      <c r="O1590" s="80"/>
      <c r="P1590" s="80"/>
      <c r="Q1590" s="80"/>
      <c r="R1590" s="80"/>
      <c r="S1590" s="117"/>
      <c r="T1590" s="81"/>
      <c r="U1590" s="81"/>
      <c r="V1590" s="81"/>
      <c r="W1590" s="81"/>
      <c r="X1590" s="81"/>
      <c r="Y1590" s="81"/>
      <c r="Z1590" s="82"/>
      <c r="AA1590" s="99"/>
      <c r="AB1590" s="48" t="s">
        <v>61</v>
      </c>
      <c r="AC1590" s="68" t="s">
        <v>61</v>
      </c>
      <c r="AD1590" s="69" t="s">
        <v>61</v>
      </c>
      <c r="AE1590" s="69" t="s">
        <v>61</v>
      </c>
      <c r="AF1590" s="68" t="s">
        <v>61</v>
      </c>
      <c r="AG1590" s="68" t="s">
        <v>61</v>
      </c>
      <c r="AH1590" s="68" t="s">
        <v>61</v>
      </c>
      <c r="AI1590" s="70" t="s">
        <v>61</v>
      </c>
      <c r="AJ1590" s="114" t="s">
        <v>61</v>
      </c>
      <c r="AK1590" s="82"/>
    </row>
    <row r="1591" ht="24.0" customHeight="1">
      <c r="A1591" s="35"/>
      <c r="B1591" s="36">
        <v>1.0</v>
      </c>
      <c r="C1591" s="37" t="str">
        <f>IFERROR(__xludf.DUMMYFUNCTION("""COMPUTED_VALUE"""),"")</f>
        <v/>
      </c>
      <c r="D1591" s="89" t="s">
        <v>61</v>
      </c>
      <c r="E1591" s="51" t="s">
        <v>61</v>
      </c>
      <c r="F1591" s="137"/>
      <c r="G1591" s="133"/>
      <c r="H1591" s="141"/>
      <c r="I1591" s="57"/>
      <c r="J1591" s="57"/>
      <c r="K1591" s="72"/>
      <c r="L1591" s="57"/>
      <c r="M1591" s="55"/>
      <c r="N1591" s="55"/>
      <c r="O1591" s="57"/>
      <c r="P1591" s="57"/>
      <c r="Q1591" s="57"/>
      <c r="R1591" s="57"/>
      <c r="S1591" s="132"/>
      <c r="T1591" s="74"/>
      <c r="U1591" s="74"/>
      <c r="V1591" s="74"/>
      <c r="W1591" s="74"/>
      <c r="X1591" s="74"/>
      <c r="Y1591" s="74"/>
      <c r="Z1591" s="76"/>
      <c r="AA1591" s="134"/>
      <c r="AB1591" s="62" t="s">
        <v>61</v>
      </c>
      <c r="AC1591" s="63" t="s">
        <v>61</v>
      </c>
      <c r="AD1591" s="64" t="s">
        <v>61</v>
      </c>
      <c r="AE1591" s="64" t="s">
        <v>61</v>
      </c>
      <c r="AF1591" s="63" t="s">
        <v>61</v>
      </c>
      <c r="AG1591" s="63" t="s">
        <v>61</v>
      </c>
      <c r="AH1591" s="63" t="s">
        <v>61</v>
      </c>
      <c r="AI1591" s="65" t="s">
        <v>61</v>
      </c>
      <c r="AJ1591" s="105" t="s">
        <v>61</v>
      </c>
      <c r="AK1591" s="76"/>
    </row>
    <row r="1592" ht="24.0" customHeight="1">
      <c r="A1592" s="35"/>
      <c r="B1592" s="36">
        <v>1.0</v>
      </c>
      <c r="C1592" s="37" t="str">
        <f>IFERROR(__xludf.DUMMYFUNCTION("""COMPUTED_VALUE"""),"")</f>
        <v/>
      </c>
      <c r="D1592" s="89" t="s">
        <v>61</v>
      </c>
      <c r="E1592" s="39" t="s">
        <v>61</v>
      </c>
      <c r="F1592" s="121"/>
      <c r="G1592" s="122"/>
      <c r="H1592" s="138"/>
      <c r="I1592" s="80"/>
      <c r="J1592" s="80"/>
      <c r="K1592" s="95"/>
      <c r="L1592" s="80"/>
      <c r="M1592" s="43"/>
      <c r="N1592" s="43"/>
      <c r="O1592" s="80"/>
      <c r="P1592" s="80"/>
      <c r="Q1592" s="80"/>
      <c r="R1592" s="80"/>
      <c r="S1592" s="117"/>
      <c r="T1592" s="81"/>
      <c r="U1592" s="81"/>
      <c r="V1592" s="81"/>
      <c r="W1592" s="81"/>
      <c r="X1592" s="81"/>
      <c r="Y1592" s="81"/>
      <c r="Z1592" s="82"/>
      <c r="AA1592" s="99"/>
      <c r="AB1592" s="48" t="s">
        <v>61</v>
      </c>
      <c r="AC1592" s="68" t="s">
        <v>61</v>
      </c>
      <c r="AD1592" s="69" t="s">
        <v>61</v>
      </c>
      <c r="AE1592" s="69" t="s">
        <v>61</v>
      </c>
      <c r="AF1592" s="68" t="s">
        <v>61</v>
      </c>
      <c r="AG1592" s="68" t="s">
        <v>61</v>
      </c>
      <c r="AH1592" s="68" t="s">
        <v>61</v>
      </c>
      <c r="AI1592" s="70" t="s">
        <v>61</v>
      </c>
      <c r="AJ1592" s="114" t="s">
        <v>61</v>
      </c>
      <c r="AK1592" s="82"/>
    </row>
    <row r="1593" ht="24.0" customHeight="1">
      <c r="A1593" s="35"/>
      <c r="B1593" s="36">
        <v>1.0</v>
      </c>
      <c r="C1593" s="37" t="str">
        <f>IFERROR(__xludf.DUMMYFUNCTION("""COMPUTED_VALUE"""),"")</f>
        <v/>
      </c>
      <c r="D1593" s="89" t="s">
        <v>61</v>
      </c>
      <c r="E1593" s="51" t="s">
        <v>61</v>
      </c>
      <c r="F1593" s="137"/>
      <c r="G1593" s="133"/>
      <c r="H1593" s="141"/>
      <c r="I1593" s="57"/>
      <c r="J1593" s="57"/>
      <c r="K1593" s="72"/>
      <c r="L1593" s="57"/>
      <c r="M1593" s="55"/>
      <c r="N1593" s="55"/>
      <c r="O1593" s="57"/>
      <c r="P1593" s="57"/>
      <c r="Q1593" s="57"/>
      <c r="R1593" s="57"/>
      <c r="S1593" s="132"/>
      <c r="T1593" s="74"/>
      <c r="U1593" s="74"/>
      <c r="V1593" s="74"/>
      <c r="W1593" s="74"/>
      <c r="X1593" s="74"/>
      <c r="Y1593" s="74"/>
      <c r="Z1593" s="76"/>
      <c r="AA1593" s="134"/>
      <c r="AB1593" s="62" t="s">
        <v>61</v>
      </c>
      <c r="AC1593" s="63" t="s">
        <v>61</v>
      </c>
      <c r="AD1593" s="64" t="s">
        <v>61</v>
      </c>
      <c r="AE1593" s="64" t="s">
        <v>61</v>
      </c>
      <c r="AF1593" s="63" t="s">
        <v>61</v>
      </c>
      <c r="AG1593" s="63" t="s">
        <v>61</v>
      </c>
      <c r="AH1593" s="63" t="s">
        <v>61</v>
      </c>
      <c r="AI1593" s="65" t="s">
        <v>61</v>
      </c>
      <c r="AJ1593" s="105" t="s">
        <v>61</v>
      </c>
      <c r="AK1593" s="76"/>
    </row>
    <row r="1594" ht="24.0" customHeight="1">
      <c r="A1594" s="35"/>
      <c r="B1594" s="36">
        <v>1.0</v>
      </c>
      <c r="C1594" s="37" t="str">
        <f>IFERROR(__xludf.DUMMYFUNCTION("""COMPUTED_VALUE"""),"")</f>
        <v/>
      </c>
      <c r="D1594" s="89" t="s">
        <v>61</v>
      </c>
      <c r="E1594" s="39" t="s">
        <v>61</v>
      </c>
      <c r="F1594" s="121"/>
      <c r="G1594" s="122"/>
      <c r="H1594" s="138"/>
      <c r="I1594" s="80"/>
      <c r="J1594" s="80"/>
      <c r="K1594" s="95"/>
      <c r="L1594" s="80"/>
      <c r="M1594" s="43"/>
      <c r="N1594" s="43"/>
      <c r="O1594" s="80"/>
      <c r="P1594" s="80"/>
      <c r="Q1594" s="80"/>
      <c r="R1594" s="80"/>
      <c r="S1594" s="117"/>
      <c r="T1594" s="81"/>
      <c r="U1594" s="81"/>
      <c r="V1594" s="81"/>
      <c r="W1594" s="81"/>
      <c r="X1594" s="81"/>
      <c r="Y1594" s="81"/>
      <c r="Z1594" s="82"/>
      <c r="AA1594" s="99"/>
      <c r="AB1594" s="48" t="s">
        <v>61</v>
      </c>
      <c r="AC1594" s="68" t="s">
        <v>61</v>
      </c>
      <c r="AD1594" s="69" t="s">
        <v>61</v>
      </c>
      <c r="AE1594" s="69" t="s">
        <v>61</v>
      </c>
      <c r="AF1594" s="68" t="s">
        <v>61</v>
      </c>
      <c r="AG1594" s="68" t="s">
        <v>61</v>
      </c>
      <c r="AH1594" s="68" t="s">
        <v>61</v>
      </c>
      <c r="AI1594" s="70" t="s">
        <v>61</v>
      </c>
      <c r="AJ1594" s="114" t="s">
        <v>61</v>
      </c>
      <c r="AK1594" s="82"/>
    </row>
    <row r="1595" ht="24.0" customHeight="1">
      <c r="A1595" s="35"/>
      <c r="B1595" s="36">
        <v>1.0</v>
      </c>
      <c r="C1595" s="37" t="str">
        <f>IFERROR(__xludf.DUMMYFUNCTION("""COMPUTED_VALUE"""),"")</f>
        <v/>
      </c>
      <c r="D1595" s="89" t="s">
        <v>61</v>
      </c>
      <c r="E1595" s="51" t="s">
        <v>61</v>
      </c>
      <c r="F1595" s="137"/>
      <c r="G1595" s="133"/>
      <c r="H1595" s="141"/>
      <c r="I1595" s="57"/>
      <c r="J1595" s="57"/>
      <c r="K1595" s="72"/>
      <c r="L1595" s="57"/>
      <c r="M1595" s="55"/>
      <c r="N1595" s="55"/>
      <c r="O1595" s="57"/>
      <c r="P1595" s="57"/>
      <c r="Q1595" s="57"/>
      <c r="R1595" s="57"/>
      <c r="S1595" s="132"/>
      <c r="T1595" s="74"/>
      <c r="U1595" s="74"/>
      <c r="V1595" s="74"/>
      <c r="W1595" s="74"/>
      <c r="X1595" s="74"/>
      <c r="Y1595" s="74"/>
      <c r="Z1595" s="76"/>
      <c r="AA1595" s="134"/>
      <c r="AB1595" s="62" t="s">
        <v>61</v>
      </c>
      <c r="AC1595" s="63" t="s">
        <v>61</v>
      </c>
      <c r="AD1595" s="64" t="s">
        <v>61</v>
      </c>
      <c r="AE1595" s="64" t="s">
        <v>61</v>
      </c>
      <c r="AF1595" s="63" t="s">
        <v>61</v>
      </c>
      <c r="AG1595" s="63" t="s">
        <v>61</v>
      </c>
      <c r="AH1595" s="63" t="s">
        <v>61</v>
      </c>
      <c r="AI1595" s="65" t="s">
        <v>61</v>
      </c>
      <c r="AJ1595" s="105" t="s">
        <v>61</v>
      </c>
      <c r="AK1595" s="76"/>
    </row>
    <row r="1596" ht="24.0" customHeight="1">
      <c r="A1596" s="35"/>
      <c r="B1596" s="36">
        <v>1.0</v>
      </c>
      <c r="C1596" s="37" t="str">
        <f>IFERROR(__xludf.DUMMYFUNCTION("""COMPUTED_VALUE"""),"")</f>
        <v/>
      </c>
      <c r="D1596" s="89" t="s">
        <v>61</v>
      </c>
      <c r="E1596" s="39" t="s">
        <v>61</v>
      </c>
      <c r="F1596" s="121"/>
      <c r="G1596" s="122"/>
      <c r="H1596" s="138"/>
      <c r="I1596" s="80"/>
      <c r="J1596" s="80"/>
      <c r="K1596" s="95"/>
      <c r="L1596" s="80"/>
      <c r="M1596" s="43"/>
      <c r="N1596" s="43"/>
      <c r="O1596" s="80"/>
      <c r="P1596" s="80"/>
      <c r="Q1596" s="80"/>
      <c r="R1596" s="80"/>
      <c r="S1596" s="117"/>
      <c r="T1596" s="81"/>
      <c r="U1596" s="81"/>
      <c r="V1596" s="81"/>
      <c r="W1596" s="81"/>
      <c r="X1596" s="81"/>
      <c r="Y1596" s="81"/>
      <c r="Z1596" s="82"/>
      <c r="AA1596" s="99"/>
      <c r="AB1596" s="48" t="s">
        <v>61</v>
      </c>
      <c r="AC1596" s="68" t="s">
        <v>61</v>
      </c>
      <c r="AD1596" s="69" t="s">
        <v>61</v>
      </c>
      <c r="AE1596" s="69" t="s">
        <v>61</v>
      </c>
      <c r="AF1596" s="68" t="s">
        <v>61</v>
      </c>
      <c r="AG1596" s="68" t="s">
        <v>61</v>
      </c>
      <c r="AH1596" s="68" t="s">
        <v>61</v>
      </c>
      <c r="AI1596" s="70" t="s">
        <v>61</v>
      </c>
      <c r="AJ1596" s="114" t="s">
        <v>61</v>
      </c>
      <c r="AK1596" s="82"/>
    </row>
    <row r="1597" ht="24.0" customHeight="1">
      <c r="A1597" s="35"/>
      <c r="B1597" s="36">
        <v>1.0</v>
      </c>
      <c r="C1597" s="37" t="str">
        <f>IFERROR(__xludf.DUMMYFUNCTION("""COMPUTED_VALUE"""),"")</f>
        <v/>
      </c>
      <c r="D1597" s="89" t="s">
        <v>61</v>
      </c>
      <c r="E1597" s="51" t="s">
        <v>61</v>
      </c>
      <c r="F1597" s="137"/>
      <c r="G1597" s="133"/>
      <c r="H1597" s="141"/>
      <c r="I1597" s="57"/>
      <c r="J1597" s="57"/>
      <c r="K1597" s="72"/>
      <c r="L1597" s="57"/>
      <c r="M1597" s="55"/>
      <c r="N1597" s="55"/>
      <c r="O1597" s="57"/>
      <c r="P1597" s="57"/>
      <c r="Q1597" s="57"/>
      <c r="R1597" s="57"/>
      <c r="S1597" s="132"/>
      <c r="T1597" s="74"/>
      <c r="U1597" s="74"/>
      <c r="V1597" s="74"/>
      <c r="W1597" s="74"/>
      <c r="X1597" s="74"/>
      <c r="Y1597" s="74"/>
      <c r="Z1597" s="76"/>
      <c r="AA1597" s="134"/>
      <c r="AB1597" s="62" t="s">
        <v>61</v>
      </c>
      <c r="AC1597" s="63" t="s">
        <v>61</v>
      </c>
      <c r="AD1597" s="64" t="s">
        <v>61</v>
      </c>
      <c r="AE1597" s="64" t="s">
        <v>61</v>
      </c>
      <c r="AF1597" s="63" t="s">
        <v>61</v>
      </c>
      <c r="AG1597" s="63" t="s">
        <v>61</v>
      </c>
      <c r="AH1597" s="63" t="s">
        <v>61</v>
      </c>
      <c r="AI1597" s="65" t="s">
        <v>61</v>
      </c>
      <c r="AJ1597" s="105" t="s">
        <v>61</v>
      </c>
      <c r="AK1597" s="76"/>
    </row>
    <row r="1598" ht="24.0" customHeight="1">
      <c r="A1598" s="35"/>
      <c r="B1598" s="36">
        <v>1.0</v>
      </c>
      <c r="C1598" s="37" t="str">
        <f>IFERROR(__xludf.DUMMYFUNCTION("""COMPUTED_VALUE"""),"")</f>
        <v/>
      </c>
      <c r="D1598" s="89" t="s">
        <v>61</v>
      </c>
      <c r="E1598" s="39" t="s">
        <v>61</v>
      </c>
      <c r="F1598" s="121"/>
      <c r="G1598" s="122"/>
      <c r="H1598" s="138"/>
      <c r="I1598" s="80"/>
      <c r="J1598" s="80"/>
      <c r="K1598" s="95"/>
      <c r="L1598" s="80"/>
      <c r="M1598" s="43"/>
      <c r="N1598" s="43"/>
      <c r="O1598" s="80"/>
      <c r="P1598" s="80"/>
      <c r="Q1598" s="80"/>
      <c r="R1598" s="80"/>
      <c r="S1598" s="117"/>
      <c r="T1598" s="81"/>
      <c r="U1598" s="81"/>
      <c r="V1598" s="81"/>
      <c r="W1598" s="81"/>
      <c r="X1598" s="81"/>
      <c r="Y1598" s="81"/>
      <c r="Z1598" s="82"/>
      <c r="AA1598" s="99"/>
      <c r="AB1598" s="48" t="s">
        <v>61</v>
      </c>
      <c r="AC1598" s="68" t="s">
        <v>61</v>
      </c>
      <c r="AD1598" s="69" t="s">
        <v>61</v>
      </c>
      <c r="AE1598" s="69" t="s">
        <v>61</v>
      </c>
      <c r="AF1598" s="68" t="s">
        <v>61</v>
      </c>
      <c r="AG1598" s="68" t="s">
        <v>61</v>
      </c>
      <c r="AH1598" s="68" t="s">
        <v>61</v>
      </c>
      <c r="AI1598" s="70" t="s">
        <v>61</v>
      </c>
      <c r="AJ1598" s="114" t="s">
        <v>61</v>
      </c>
      <c r="AK1598" s="82"/>
    </row>
    <row r="1599" ht="24.0" customHeight="1">
      <c r="A1599" s="35"/>
      <c r="B1599" s="36">
        <v>1.0</v>
      </c>
      <c r="C1599" s="37" t="str">
        <f>IFERROR(__xludf.DUMMYFUNCTION("""COMPUTED_VALUE"""),"")</f>
        <v/>
      </c>
      <c r="D1599" s="89" t="s">
        <v>61</v>
      </c>
      <c r="E1599" s="51" t="s">
        <v>61</v>
      </c>
      <c r="F1599" s="137"/>
      <c r="G1599" s="133"/>
      <c r="H1599" s="141"/>
      <c r="I1599" s="57"/>
      <c r="J1599" s="57"/>
      <c r="K1599" s="72"/>
      <c r="L1599" s="57"/>
      <c r="M1599" s="55"/>
      <c r="N1599" s="55"/>
      <c r="O1599" s="57"/>
      <c r="P1599" s="57"/>
      <c r="Q1599" s="57"/>
      <c r="R1599" s="57"/>
      <c r="S1599" s="132"/>
      <c r="T1599" s="74"/>
      <c r="U1599" s="74"/>
      <c r="V1599" s="74"/>
      <c r="W1599" s="74"/>
      <c r="X1599" s="74"/>
      <c r="Y1599" s="74"/>
      <c r="Z1599" s="76"/>
      <c r="AA1599" s="134"/>
      <c r="AB1599" s="62" t="s">
        <v>61</v>
      </c>
      <c r="AC1599" s="63" t="s">
        <v>61</v>
      </c>
      <c r="AD1599" s="64" t="s">
        <v>61</v>
      </c>
      <c r="AE1599" s="64" t="s">
        <v>61</v>
      </c>
      <c r="AF1599" s="63" t="s">
        <v>61</v>
      </c>
      <c r="AG1599" s="63" t="s">
        <v>61</v>
      </c>
      <c r="AH1599" s="63" t="s">
        <v>61</v>
      </c>
      <c r="AI1599" s="65" t="s">
        <v>61</v>
      </c>
      <c r="AJ1599" s="105" t="s">
        <v>61</v>
      </c>
      <c r="AK1599" s="76"/>
    </row>
    <row r="1600" ht="24.0" customHeight="1">
      <c r="A1600" s="35"/>
      <c r="B1600" s="36">
        <v>1.0</v>
      </c>
      <c r="C1600" s="37" t="str">
        <f>IFERROR(__xludf.DUMMYFUNCTION("""COMPUTED_VALUE"""),"")</f>
        <v/>
      </c>
      <c r="D1600" s="89" t="s">
        <v>61</v>
      </c>
      <c r="E1600" s="39" t="s">
        <v>61</v>
      </c>
      <c r="F1600" s="121"/>
      <c r="G1600" s="122"/>
      <c r="H1600" s="138"/>
      <c r="I1600" s="80"/>
      <c r="J1600" s="80"/>
      <c r="K1600" s="95"/>
      <c r="L1600" s="80"/>
      <c r="M1600" s="43"/>
      <c r="N1600" s="43"/>
      <c r="O1600" s="80"/>
      <c r="P1600" s="80"/>
      <c r="Q1600" s="80"/>
      <c r="R1600" s="80"/>
      <c r="S1600" s="117"/>
      <c r="T1600" s="81"/>
      <c r="U1600" s="81"/>
      <c r="V1600" s="81"/>
      <c r="W1600" s="81"/>
      <c r="X1600" s="81"/>
      <c r="Y1600" s="81"/>
      <c r="Z1600" s="82"/>
      <c r="AA1600" s="99"/>
      <c r="AB1600" s="48" t="s">
        <v>61</v>
      </c>
      <c r="AC1600" s="68" t="s">
        <v>61</v>
      </c>
      <c r="AD1600" s="69" t="s">
        <v>61</v>
      </c>
      <c r="AE1600" s="69" t="s">
        <v>61</v>
      </c>
      <c r="AF1600" s="68" t="s">
        <v>61</v>
      </c>
      <c r="AG1600" s="68" t="s">
        <v>61</v>
      </c>
      <c r="AH1600" s="68" t="s">
        <v>61</v>
      </c>
      <c r="AI1600" s="70" t="s">
        <v>61</v>
      </c>
      <c r="AJ1600" s="114" t="s">
        <v>61</v>
      </c>
      <c r="AK1600" s="82"/>
    </row>
    <row r="1601" ht="24.0" customHeight="1">
      <c r="A1601" s="35"/>
      <c r="B1601" s="36">
        <v>1.0</v>
      </c>
      <c r="C1601" s="37" t="str">
        <f>IFERROR(__xludf.DUMMYFUNCTION("""COMPUTED_VALUE"""),"")</f>
        <v/>
      </c>
      <c r="D1601" s="89" t="s">
        <v>61</v>
      </c>
      <c r="E1601" s="51" t="s">
        <v>61</v>
      </c>
      <c r="F1601" s="137"/>
      <c r="G1601" s="133"/>
      <c r="H1601" s="141"/>
      <c r="I1601" s="57"/>
      <c r="J1601" s="57"/>
      <c r="K1601" s="72"/>
      <c r="L1601" s="57"/>
      <c r="M1601" s="55"/>
      <c r="N1601" s="55"/>
      <c r="O1601" s="57"/>
      <c r="P1601" s="57"/>
      <c r="Q1601" s="57"/>
      <c r="R1601" s="57"/>
      <c r="S1601" s="132"/>
      <c r="T1601" s="74"/>
      <c r="U1601" s="74"/>
      <c r="V1601" s="74"/>
      <c r="W1601" s="74"/>
      <c r="X1601" s="74"/>
      <c r="Y1601" s="74"/>
      <c r="Z1601" s="76"/>
      <c r="AA1601" s="134"/>
      <c r="AB1601" s="62" t="s">
        <v>61</v>
      </c>
      <c r="AC1601" s="63" t="s">
        <v>61</v>
      </c>
      <c r="AD1601" s="64" t="s">
        <v>61</v>
      </c>
      <c r="AE1601" s="64" t="s">
        <v>61</v>
      </c>
      <c r="AF1601" s="63" t="s">
        <v>61</v>
      </c>
      <c r="AG1601" s="63" t="s">
        <v>61</v>
      </c>
      <c r="AH1601" s="63" t="s">
        <v>61</v>
      </c>
      <c r="AI1601" s="65" t="s">
        <v>61</v>
      </c>
      <c r="AJ1601" s="105" t="s">
        <v>61</v>
      </c>
      <c r="AK1601" s="76"/>
    </row>
    <row r="1602" ht="24.0" customHeight="1">
      <c r="A1602" s="35"/>
      <c r="B1602" s="36">
        <v>1.0</v>
      </c>
      <c r="C1602" s="37" t="str">
        <f>IFERROR(__xludf.DUMMYFUNCTION("""COMPUTED_VALUE"""),"")</f>
        <v/>
      </c>
      <c r="D1602" s="89" t="s">
        <v>61</v>
      </c>
      <c r="E1602" s="39" t="s">
        <v>61</v>
      </c>
      <c r="F1602" s="121"/>
      <c r="G1602" s="122"/>
      <c r="H1602" s="138"/>
      <c r="I1602" s="80"/>
      <c r="J1602" s="80"/>
      <c r="K1602" s="95"/>
      <c r="L1602" s="80"/>
      <c r="M1602" s="43"/>
      <c r="N1602" s="43"/>
      <c r="O1602" s="80"/>
      <c r="P1602" s="80"/>
      <c r="Q1602" s="80"/>
      <c r="R1602" s="80"/>
      <c r="S1602" s="117"/>
      <c r="T1602" s="81"/>
      <c r="U1602" s="81"/>
      <c r="V1602" s="81"/>
      <c r="W1602" s="81"/>
      <c r="X1602" s="81"/>
      <c r="Y1602" s="81"/>
      <c r="Z1602" s="82"/>
      <c r="AA1602" s="99"/>
      <c r="AB1602" s="48" t="s">
        <v>61</v>
      </c>
      <c r="AC1602" s="68" t="s">
        <v>61</v>
      </c>
      <c r="AD1602" s="69" t="s">
        <v>61</v>
      </c>
      <c r="AE1602" s="69" t="s">
        <v>61</v>
      </c>
      <c r="AF1602" s="68" t="s">
        <v>61</v>
      </c>
      <c r="AG1602" s="68" t="s">
        <v>61</v>
      </c>
      <c r="AH1602" s="68" t="s">
        <v>61</v>
      </c>
      <c r="AI1602" s="70" t="s">
        <v>61</v>
      </c>
      <c r="AJ1602" s="114" t="s">
        <v>61</v>
      </c>
      <c r="AK1602" s="82"/>
    </row>
    <row r="1603" ht="24.0" customHeight="1">
      <c r="A1603" s="35"/>
      <c r="B1603" s="36">
        <v>1.0</v>
      </c>
      <c r="C1603" s="37" t="str">
        <f>IFERROR(__xludf.DUMMYFUNCTION("""COMPUTED_VALUE"""),"")</f>
        <v/>
      </c>
      <c r="D1603" s="89" t="s">
        <v>61</v>
      </c>
      <c r="E1603" s="51" t="s">
        <v>61</v>
      </c>
      <c r="F1603" s="137"/>
      <c r="G1603" s="133"/>
      <c r="H1603" s="141"/>
      <c r="I1603" s="57"/>
      <c r="J1603" s="57"/>
      <c r="K1603" s="72"/>
      <c r="L1603" s="57"/>
      <c r="M1603" s="55"/>
      <c r="N1603" s="55"/>
      <c r="O1603" s="57"/>
      <c r="P1603" s="57"/>
      <c r="Q1603" s="57"/>
      <c r="R1603" s="57"/>
      <c r="S1603" s="132"/>
      <c r="T1603" s="74"/>
      <c r="U1603" s="74"/>
      <c r="V1603" s="74"/>
      <c r="W1603" s="74"/>
      <c r="X1603" s="74"/>
      <c r="Y1603" s="74"/>
      <c r="Z1603" s="76"/>
      <c r="AA1603" s="134"/>
      <c r="AB1603" s="62" t="s">
        <v>61</v>
      </c>
      <c r="AC1603" s="63" t="s">
        <v>61</v>
      </c>
      <c r="AD1603" s="64" t="s">
        <v>61</v>
      </c>
      <c r="AE1603" s="64" t="s">
        <v>61</v>
      </c>
      <c r="AF1603" s="63" t="s">
        <v>61</v>
      </c>
      <c r="AG1603" s="63" t="s">
        <v>61</v>
      </c>
      <c r="AH1603" s="63" t="s">
        <v>61</v>
      </c>
      <c r="AI1603" s="65" t="s">
        <v>61</v>
      </c>
      <c r="AJ1603" s="105" t="s">
        <v>61</v>
      </c>
      <c r="AK1603" s="76"/>
    </row>
    <row r="1604" ht="24.0" customHeight="1">
      <c r="A1604" s="35"/>
      <c r="B1604" s="36">
        <v>1.0</v>
      </c>
      <c r="C1604" s="37" t="str">
        <f>IFERROR(__xludf.DUMMYFUNCTION("""COMPUTED_VALUE"""),"")</f>
        <v/>
      </c>
      <c r="D1604" s="89" t="s">
        <v>61</v>
      </c>
      <c r="E1604" s="39" t="s">
        <v>61</v>
      </c>
      <c r="F1604" s="121"/>
      <c r="G1604" s="122"/>
      <c r="H1604" s="138"/>
      <c r="I1604" s="80"/>
      <c r="J1604" s="80"/>
      <c r="K1604" s="95"/>
      <c r="L1604" s="80"/>
      <c r="M1604" s="43"/>
      <c r="N1604" s="43"/>
      <c r="O1604" s="80"/>
      <c r="P1604" s="80"/>
      <c r="Q1604" s="80"/>
      <c r="R1604" s="80"/>
      <c r="S1604" s="117"/>
      <c r="T1604" s="81"/>
      <c r="U1604" s="81"/>
      <c r="V1604" s="81"/>
      <c r="W1604" s="81"/>
      <c r="X1604" s="81"/>
      <c r="Y1604" s="81"/>
      <c r="Z1604" s="82"/>
      <c r="AA1604" s="99"/>
      <c r="AB1604" s="48" t="s">
        <v>61</v>
      </c>
      <c r="AC1604" s="68" t="s">
        <v>61</v>
      </c>
      <c r="AD1604" s="69" t="s">
        <v>61</v>
      </c>
      <c r="AE1604" s="69" t="s">
        <v>61</v>
      </c>
      <c r="AF1604" s="68" t="s">
        <v>61</v>
      </c>
      <c r="AG1604" s="68" t="s">
        <v>61</v>
      </c>
      <c r="AH1604" s="68" t="s">
        <v>61</v>
      </c>
      <c r="AI1604" s="70" t="s">
        <v>61</v>
      </c>
      <c r="AJ1604" s="114" t="s">
        <v>61</v>
      </c>
      <c r="AK1604" s="82"/>
    </row>
    <row r="1605" ht="24.0" customHeight="1">
      <c r="A1605" s="35"/>
      <c r="B1605" s="36">
        <v>1.0</v>
      </c>
      <c r="C1605" s="37" t="str">
        <f>IFERROR(__xludf.DUMMYFUNCTION("""COMPUTED_VALUE"""),"")</f>
        <v/>
      </c>
      <c r="D1605" s="89" t="s">
        <v>61</v>
      </c>
      <c r="E1605" s="51" t="s">
        <v>61</v>
      </c>
      <c r="F1605" s="137"/>
      <c r="G1605" s="133"/>
      <c r="H1605" s="141"/>
      <c r="I1605" s="57"/>
      <c r="J1605" s="57"/>
      <c r="K1605" s="72"/>
      <c r="L1605" s="57"/>
      <c r="M1605" s="55"/>
      <c r="N1605" s="55"/>
      <c r="O1605" s="57"/>
      <c r="P1605" s="57"/>
      <c r="Q1605" s="57"/>
      <c r="R1605" s="57"/>
      <c r="S1605" s="132"/>
      <c r="T1605" s="74"/>
      <c r="U1605" s="74"/>
      <c r="V1605" s="74"/>
      <c r="W1605" s="74"/>
      <c r="X1605" s="74"/>
      <c r="Y1605" s="74"/>
      <c r="Z1605" s="76"/>
      <c r="AA1605" s="134"/>
      <c r="AB1605" s="62" t="s">
        <v>61</v>
      </c>
      <c r="AC1605" s="63" t="s">
        <v>61</v>
      </c>
      <c r="AD1605" s="64" t="s">
        <v>61</v>
      </c>
      <c r="AE1605" s="64" t="s">
        <v>61</v>
      </c>
      <c r="AF1605" s="63" t="s">
        <v>61</v>
      </c>
      <c r="AG1605" s="63" t="s">
        <v>61</v>
      </c>
      <c r="AH1605" s="63" t="s">
        <v>61</v>
      </c>
      <c r="AI1605" s="65" t="s">
        <v>61</v>
      </c>
      <c r="AJ1605" s="105" t="s">
        <v>61</v>
      </c>
      <c r="AK1605" s="76"/>
    </row>
    <row r="1606" ht="24.0" customHeight="1">
      <c r="A1606" s="35"/>
      <c r="B1606" s="36">
        <v>1.0</v>
      </c>
      <c r="C1606" s="37" t="str">
        <f>IFERROR(__xludf.DUMMYFUNCTION("""COMPUTED_VALUE"""),"")</f>
        <v/>
      </c>
      <c r="D1606" s="89" t="s">
        <v>61</v>
      </c>
      <c r="E1606" s="39" t="s">
        <v>61</v>
      </c>
      <c r="F1606" s="121"/>
      <c r="G1606" s="122"/>
      <c r="H1606" s="138"/>
      <c r="I1606" s="80"/>
      <c r="J1606" s="80"/>
      <c r="K1606" s="95"/>
      <c r="L1606" s="80"/>
      <c r="M1606" s="43"/>
      <c r="N1606" s="43"/>
      <c r="O1606" s="80"/>
      <c r="P1606" s="80"/>
      <c r="Q1606" s="80"/>
      <c r="R1606" s="80"/>
      <c r="S1606" s="117"/>
      <c r="T1606" s="81"/>
      <c r="U1606" s="81"/>
      <c r="V1606" s="81"/>
      <c r="W1606" s="81"/>
      <c r="X1606" s="81"/>
      <c r="Y1606" s="81"/>
      <c r="Z1606" s="82"/>
      <c r="AA1606" s="99"/>
      <c r="AB1606" s="48" t="s">
        <v>61</v>
      </c>
      <c r="AC1606" s="68" t="s">
        <v>61</v>
      </c>
      <c r="AD1606" s="69" t="s">
        <v>61</v>
      </c>
      <c r="AE1606" s="69" t="s">
        <v>61</v>
      </c>
      <c r="AF1606" s="68" t="s">
        <v>61</v>
      </c>
      <c r="AG1606" s="68" t="s">
        <v>61</v>
      </c>
      <c r="AH1606" s="68" t="s">
        <v>61</v>
      </c>
      <c r="AI1606" s="70" t="s">
        <v>61</v>
      </c>
      <c r="AJ1606" s="114" t="s">
        <v>61</v>
      </c>
      <c r="AK1606" s="82"/>
    </row>
    <row r="1607" ht="24.0" customHeight="1">
      <c r="A1607" s="35"/>
      <c r="B1607" s="36">
        <v>1.0</v>
      </c>
      <c r="C1607" s="37" t="str">
        <f>IFERROR(__xludf.DUMMYFUNCTION("""COMPUTED_VALUE"""),"")</f>
        <v/>
      </c>
      <c r="D1607" s="89" t="s">
        <v>61</v>
      </c>
      <c r="E1607" s="51" t="s">
        <v>61</v>
      </c>
      <c r="F1607" s="137"/>
      <c r="G1607" s="133"/>
      <c r="H1607" s="141"/>
      <c r="I1607" s="57"/>
      <c r="J1607" s="57"/>
      <c r="K1607" s="72"/>
      <c r="L1607" s="57"/>
      <c r="M1607" s="55"/>
      <c r="N1607" s="55"/>
      <c r="O1607" s="57"/>
      <c r="P1607" s="57"/>
      <c r="Q1607" s="57"/>
      <c r="R1607" s="57"/>
      <c r="S1607" s="132"/>
      <c r="T1607" s="74"/>
      <c r="U1607" s="74"/>
      <c r="V1607" s="74"/>
      <c r="W1607" s="74"/>
      <c r="X1607" s="74"/>
      <c r="Y1607" s="74"/>
      <c r="Z1607" s="76"/>
      <c r="AA1607" s="134"/>
      <c r="AB1607" s="62" t="s">
        <v>61</v>
      </c>
      <c r="AC1607" s="63" t="s">
        <v>61</v>
      </c>
      <c r="AD1607" s="64" t="s">
        <v>61</v>
      </c>
      <c r="AE1607" s="64" t="s">
        <v>61</v>
      </c>
      <c r="AF1607" s="63" t="s">
        <v>61</v>
      </c>
      <c r="AG1607" s="63" t="s">
        <v>61</v>
      </c>
      <c r="AH1607" s="63" t="s">
        <v>61</v>
      </c>
      <c r="AI1607" s="65" t="s">
        <v>61</v>
      </c>
      <c r="AJ1607" s="105" t="s">
        <v>61</v>
      </c>
      <c r="AK1607" s="76"/>
    </row>
    <row r="1608" ht="24.0" customHeight="1">
      <c r="A1608" s="35"/>
      <c r="B1608" s="36">
        <v>1.0</v>
      </c>
      <c r="C1608" s="37" t="str">
        <f>IFERROR(__xludf.DUMMYFUNCTION("""COMPUTED_VALUE"""),"")</f>
        <v/>
      </c>
      <c r="D1608" s="89" t="s">
        <v>61</v>
      </c>
      <c r="E1608" s="39" t="s">
        <v>61</v>
      </c>
      <c r="F1608" s="121"/>
      <c r="G1608" s="122"/>
      <c r="H1608" s="138"/>
      <c r="I1608" s="80"/>
      <c r="J1608" s="80"/>
      <c r="K1608" s="95"/>
      <c r="L1608" s="80"/>
      <c r="M1608" s="43"/>
      <c r="N1608" s="43"/>
      <c r="O1608" s="80"/>
      <c r="P1608" s="80"/>
      <c r="Q1608" s="80"/>
      <c r="R1608" s="80"/>
      <c r="S1608" s="117"/>
      <c r="T1608" s="81"/>
      <c r="U1608" s="81"/>
      <c r="V1608" s="81"/>
      <c r="W1608" s="81"/>
      <c r="X1608" s="81"/>
      <c r="Y1608" s="81"/>
      <c r="Z1608" s="82"/>
      <c r="AA1608" s="99"/>
      <c r="AB1608" s="48" t="s">
        <v>61</v>
      </c>
      <c r="AC1608" s="68" t="s">
        <v>61</v>
      </c>
      <c r="AD1608" s="69" t="s">
        <v>61</v>
      </c>
      <c r="AE1608" s="69" t="s">
        <v>61</v>
      </c>
      <c r="AF1608" s="68" t="s">
        <v>61</v>
      </c>
      <c r="AG1608" s="68" t="s">
        <v>61</v>
      </c>
      <c r="AH1608" s="68" t="s">
        <v>61</v>
      </c>
      <c r="AI1608" s="70" t="s">
        <v>61</v>
      </c>
      <c r="AJ1608" s="114" t="s">
        <v>61</v>
      </c>
      <c r="AK1608" s="82"/>
    </row>
    <row r="1609" ht="24.0" customHeight="1">
      <c r="A1609" s="35"/>
      <c r="B1609" s="36">
        <v>1.0</v>
      </c>
      <c r="C1609" s="37" t="str">
        <f>IFERROR(__xludf.DUMMYFUNCTION("""COMPUTED_VALUE"""),"")</f>
        <v/>
      </c>
      <c r="D1609" s="89" t="s">
        <v>61</v>
      </c>
      <c r="E1609" s="51" t="s">
        <v>61</v>
      </c>
      <c r="F1609" s="137"/>
      <c r="G1609" s="133"/>
      <c r="H1609" s="141"/>
      <c r="I1609" s="57"/>
      <c r="J1609" s="57"/>
      <c r="K1609" s="72"/>
      <c r="L1609" s="57"/>
      <c r="M1609" s="55"/>
      <c r="N1609" s="55"/>
      <c r="O1609" s="57"/>
      <c r="P1609" s="57"/>
      <c r="Q1609" s="57"/>
      <c r="R1609" s="57"/>
      <c r="S1609" s="132"/>
      <c r="T1609" s="74"/>
      <c r="U1609" s="74"/>
      <c r="V1609" s="74"/>
      <c r="W1609" s="74"/>
      <c r="X1609" s="74"/>
      <c r="Y1609" s="74"/>
      <c r="Z1609" s="76"/>
      <c r="AA1609" s="134"/>
      <c r="AB1609" s="62" t="s">
        <v>61</v>
      </c>
      <c r="AC1609" s="63" t="s">
        <v>61</v>
      </c>
      <c r="AD1609" s="64" t="s">
        <v>61</v>
      </c>
      <c r="AE1609" s="64" t="s">
        <v>61</v>
      </c>
      <c r="AF1609" s="63" t="s">
        <v>61</v>
      </c>
      <c r="AG1609" s="63" t="s">
        <v>61</v>
      </c>
      <c r="AH1609" s="63" t="s">
        <v>61</v>
      </c>
      <c r="AI1609" s="65" t="s">
        <v>61</v>
      </c>
      <c r="AJ1609" s="105" t="s">
        <v>61</v>
      </c>
      <c r="AK1609" s="76"/>
    </row>
    <row r="1610" ht="24.0" customHeight="1">
      <c r="A1610" s="35"/>
      <c r="B1610" s="36">
        <v>1.0</v>
      </c>
      <c r="C1610" s="37" t="str">
        <f>IFERROR(__xludf.DUMMYFUNCTION("""COMPUTED_VALUE"""),"")</f>
        <v/>
      </c>
      <c r="D1610" s="89" t="s">
        <v>61</v>
      </c>
      <c r="E1610" s="39" t="s">
        <v>61</v>
      </c>
      <c r="F1610" s="121"/>
      <c r="G1610" s="122"/>
      <c r="H1610" s="138"/>
      <c r="I1610" s="80"/>
      <c r="J1610" s="80"/>
      <c r="K1610" s="95"/>
      <c r="L1610" s="80"/>
      <c r="M1610" s="43"/>
      <c r="N1610" s="43"/>
      <c r="O1610" s="80"/>
      <c r="P1610" s="80"/>
      <c r="Q1610" s="80"/>
      <c r="R1610" s="80"/>
      <c r="S1610" s="117"/>
      <c r="T1610" s="81"/>
      <c r="U1610" s="81"/>
      <c r="V1610" s="81"/>
      <c r="W1610" s="81"/>
      <c r="X1610" s="81"/>
      <c r="Y1610" s="81"/>
      <c r="Z1610" s="82"/>
      <c r="AA1610" s="99"/>
      <c r="AB1610" s="48" t="s">
        <v>61</v>
      </c>
      <c r="AC1610" s="68" t="s">
        <v>61</v>
      </c>
      <c r="AD1610" s="69" t="s">
        <v>61</v>
      </c>
      <c r="AE1610" s="69" t="s">
        <v>61</v>
      </c>
      <c r="AF1610" s="68" t="s">
        <v>61</v>
      </c>
      <c r="AG1610" s="68" t="s">
        <v>61</v>
      </c>
      <c r="AH1610" s="68" t="s">
        <v>61</v>
      </c>
      <c r="AI1610" s="70" t="s">
        <v>61</v>
      </c>
      <c r="AJ1610" s="114" t="s">
        <v>61</v>
      </c>
      <c r="AK1610" s="82"/>
    </row>
    <row r="1611" ht="24.0" customHeight="1">
      <c r="A1611" s="35"/>
      <c r="B1611" s="36">
        <v>1.0</v>
      </c>
      <c r="C1611" s="37" t="str">
        <f>IFERROR(__xludf.DUMMYFUNCTION("""COMPUTED_VALUE"""),"")</f>
        <v/>
      </c>
      <c r="D1611" s="89" t="s">
        <v>61</v>
      </c>
      <c r="E1611" s="51" t="s">
        <v>61</v>
      </c>
      <c r="F1611" s="137"/>
      <c r="G1611" s="133"/>
      <c r="H1611" s="141"/>
      <c r="I1611" s="57"/>
      <c r="J1611" s="57"/>
      <c r="K1611" s="72"/>
      <c r="L1611" s="57"/>
      <c r="M1611" s="55"/>
      <c r="N1611" s="55"/>
      <c r="O1611" s="57"/>
      <c r="P1611" s="57"/>
      <c r="Q1611" s="57"/>
      <c r="R1611" s="57"/>
      <c r="S1611" s="132"/>
      <c r="T1611" s="74"/>
      <c r="U1611" s="74"/>
      <c r="V1611" s="74"/>
      <c r="W1611" s="74"/>
      <c r="X1611" s="74"/>
      <c r="Y1611" s="74"/>
      <c r="Z1611" s="76"/>
      <c r="AA1611" s="134"/>
      <c r="AB1611" s="62" t="s">
        <v>61</v>
      </c>
      <c r="AC1611" s="63" t="s">
        <v>61</v>
      </c>
      <c r="AD1611" s="64" t="s">
        <v>61</v>
      </c>
      <c r="AE1611" s="64" t="s">
        <v>61</v>
      </c>
      <c r="AF1611" s="63" t="s">
        <v>61</v>
      </c>
      <c r="AG1611" s="63" t="s">
        <v>61</v>
      </c>
      <c r="AH1611" s="63" t="s">
        <v>61</v>
      </c>
      <c r="AI1611" s="65" t="s">
        <v>61</v>
      </c>
      <c r="AJ1611" s="105" t="s">
        <v>61</v>
      </c>
      <c r="AK1611" s="76"/>
    </row>
    <row r="1612" ht="24.0" customHeight="1">
      <c r="A1612" s="35"/>
      <c r="B1612" s="36">
        <v>1.0</v>
      </c>
      <c r="C1612" s="37" t="str">
        <f>IFERROR(__xludf.DUMMYFUNCTION("""COMPUTED_VALUE"""),"")</f>
        <v/>
      </c>
      <c r="D1612" s="89" t="s">
        <v>61</v>
      </c>
      <c r="E1612" s="39" t="s">
        <v>61</v>
      </c>
      <c r="F1612" s="121"/>
      <c r="G1612" s="122"/>
      <c r="H1612" s="138"/>
      <c r="I1612" s="80"/>
      <c r="J1612" s="80"/>
      <c r="K1612" s="95"/>
      <c r="L1612" s="80"/>
      <c r="M1612" s="43"/>
      <c r="N1612" s="43"/>
      <c r="O1612" s="80"/>
      <c r="P1612" s="80"/>
      <c r="Q1612" s="80"/>
      <c r="R1612" s="80"/>
      <c r="S1612" s="117"/>
      <c r="T1612" s="81"/>
      <c r="U1612" s="81"/>
      <c r="V1612" s="81"/>
      <c r="W1612" s="81"/>
      <c r="X1612" s="81"/>
      <c r="Y1612" s="81"/>
      <c r="Z1612" s="82"/>
      <c r="AA1612" s="99"/>
      <c r="AB1612" s="48" t="s">
        <v>61</v>
      </c>
      <c r="AC1612" s="68" t="s">
        <v>61</v>
      </c>
      <c r="AD1612" s="69" t="s">
        <v>61</v>
      </c>
      <c r="AE1612" s="69" t="s">
        <v>61</v>
      </c>
      <c r="AF1612" s="68" t="s">
        <v>61</v>
      </c>
      <c r="AG1612" s="68" t="s">
        <v>61</v>
      </c>
      <c r="AH1612" s="68" t="s">
        <v>61</v>
      </c>
      <c r="AI1612" s="70" t="s">
        <v>61</v>
      </c>
      <c r="AJ1612" s="114" t="s">
        <v>61</v>
      </c>
      <c r="AK1612" s="82"/>
    </row>
    <row r="1613" ht="24.0" customHeight="1">
      <c r="A1613" s="35"/>
      <c r="B1613" s="36">
        <v>1.0</v>
      </c>
      <c r="C1613" s="37" t="str">
        <f>IFERROR(__xludf.DUMMYFUNCTION("""COMPUTED_VALUE"""),"")</f>
        <v/>
      </c>
      <c r="D1613" s="89" t="s">
        <v>61</v>
      </c>
      <c r="E1613" s="51" t="s">
        <v>61</v>
      </c>
      <c r="F1613" s="137"/>
      <c r="G1613" s="133"/>
      <c r="H1613" s="141"/>
      <c r="I1613" s="57"/>
      <c r="J1613" s="57"/>
      <c r="K1613" s="72"/>
      <c r="L1613" s="57"/>
      <c r="M1613" s="55"/>
      <c r="N1613" s="55"/>
      <c r="O1613" s="57"/>
      <c r="P1613" s="57"/>
      <c r="Q1613" s="57"/>
      <c r="R1613" s="57"/>
      <c r="S1613" s="132"/>
      <c r="T1613" s="74"/>
      <c r="U1613" s="74"/>
      <c r="V1613" s="74"/>
      <c r="W1613" s="74"/>
      <c r="X1613" s="74"/>
      <c r="Y1613" s="74"/>
      <c r="Z1613" s="76"/>
      <c r="AA1613" s="134"/>
      <c r="AB1613" s="62" t="s">
        <v>61</v>
      </c>
      <c r="AC1613" s="63" t="s">
        <v>61</v>
      </c>
      <c r="AD1613" s="64" t="s">
        <v>61</v>
      </c>
      <c r="AE1613" s="64" t="s">
        <v>61</v>
      </c>
      <c r="AF1613" s="63" t="s">
        <v>61</v>
      </c>
      <c r="AG1613" s="63" t="s">
        <v>61</v>
      </c>
      <c r="AH1613" s="63" t="s">
        <v>61</v>
      </c>
      <c r="AI1613" s="65" t="s">
        <v>61</v>
      </c>
      <c r="AJ1613" s="105" t="s">
        <v>61</v>
      </c>
      <c r="AK1613" s="76"/>
    </row>
    <row r="1614" ht="24.0" customHeight="1">
      <c r="A1614" s="35"/>
      <c r="B1614" s="36">
        <v>1.0</v>
      </c>
      <c r="C1614" s="37" t="str">
        <f>IFERROR(__xludf.DUMMYFUNCTION("""COMPUTED_VALUE"""),"")</f>
        <v/>
      </c>
      <c r="D1614" s="89" t="s">
        <v>61</v>
      </c>
      <c r="E1614" s="39" t="s">
        <v>61</v>
      </c>
      <c r="F1614" s="121"/>
      <c r="G1614" s="122"/>
      <c r="H1614" s="138"/>
      <c r="I1614" s="80"/>
      <c r="J1614" s="80"/>
      <c r="K1614" s="95"/>
      <c r="L1614" s="80"/>
      <c r="M1614" s="43"/>
      <c r="N1614" s="43"/>
      <c r="O1614" s="80"/>
      <c r="P1614" s="80"/>
      <c r="Q1614" s="80"/>
      <c r="R1614" s="80"/>
      <c r="S1614" s="117"/>
      <c r="T1614" s="81"/>
      <c r="U1614" s="81"/>
      <c r="V1614" s="81"/>
      <c r="W1614" s="81"/>
      <c r="X1614" s="81"/>
      <c r="Y1614" s="81"/>
      <c r="Z1614" s="82"/>
      <c r="AA1614" s="99"/>
      <c r="AB1614" s="48" t="s">
        <v>61</v>
      </c>
      <c r="AC1614" s="68" t="s">
        <v>61</v>
      </c>
      <c r="AD1614" s="69" t="s">
        <v>61</v>
      </c>
      <c r="AE1614" s="69" t="s">
        <v>61</v>
      </c>
      <c r="AF1614" s="68" t="s">
        <v>61</v>
      </c>
      <c r="AG1614" s="68" t="s">
        <v>61</v>
      </c>
      <c r="AH1614" s="68" t="s">
        <v>61</v>
      </c>
      <c r="AI1614" s="70" t="s">
        <v>61</v>
      </c>
      <c r="AJ1614" s="114" t="s">
        <v>61</v>
      </c>
      <c r="AK1614" s="82"/>
    </row>
    <row r="1615" ht="24.0" customHeight="1">
      <c r="A1615" s="35"/>
      <c r="B1615" s="36">
        <v>1.0</v>
      </c>
      <c r="C1615" s="37" t="str">
        <f>IFERROR(__xludf.DUMMYFUNCTION("""COMPUTED_VALUE"""),"")</f>
        <v/>
      </c>
      <c r="D1615" s="89" t="s">
        <v>61</v>
      </c>
      <c r="E1615" s="51" t="s">
        <v>61</v>
      </c>
      <c r="F1615" s="137"/>
      <c r="G1615" s="133"/>
      <c r="H1615" s="141"/>
      <c r="I1615" s="57"/>
      <c r="J1615" s="57"/>
      <c r="K1615" s="72"/>
      <c r="L1615" s="57"/>
      <c r="M1615" s="55"/>
      <c r="N1615" s="55"/>
      <c r="O1615" s="57"/>
      <c r="P1615" s="57"/>
      <c r="Q1615" s="57"/>
      <c r="R1615" s="57"/>
      <c r="S1615" s="132"/>
      <c r="T1615" s="74"/>
      <c r="U1615" s="74"/>
      <c r="V1615" s="74"/>
      <c r="W1615" s="74"/>
      <c r="X1615" s="74"/>
      <c r="Y1615" s="74"/>
      <c r="Z1615" s="76"/>
      <c r="AA1615" s="134"/>
      <c r="AB1615" s="62" t="s">
        <v>61</v>
      </c>
      <c r="AC1615" s="63" t="s">
        <v>61</v>
      </c>
      <c r="AD1615" s="64" t="s">
        <v>61</v>
      </c>
      <c r="AE1615" s="64" t="s">
        <v>61</v>
      </c>
      <c r="AF1615" s="63" t="s">
        <v>61</v>
      </c>
      <c r="AG1615" s="63" t="s">
        <v>61</v>
      </c>
      <c r="AH1615" s="63" t="s">
        <v>61</v>
      </c>
      <c r="AI1615" s="65" t="s">
        <v>61</v>
      </c>
      <c r="AJ1615" s="105" t="s">
        <v>61</v>
      </c>
      <c r="AK1615" s="76"/>
    </row>
    <row r="1616" ht="24.0" customHeight="1">
      <c r="A1616" s="35"/>
      <c r="B1616" s="36">
        <v>1.0</v>
      </c>
      <c r="C1616" s="37" t="str">
        <f>IFERROR(__xludf.DUMMYFUNCTION("""COMPUTED_VALUE"""),"")</f>
        <v/>
      </c>
      <c r="D1616" s="89" t="s">
        <v>61</v>
      </c>
      <c r="E1616" s="39" t="s">
        <v>61</v>
      </c>
      <c r="F1616" s="121"/>
      <c r="G1616" s="122"/>
      <c r="H1616" s="138"/>
      <c r="I1616" s="80"/>
      <c r="J1616" s="80"/>
      <c r="K1616" s="95"/>
      <c r="L1616" s="80"/>
      <c r="M1616" s="43"/>
      <c r="N1616" s="43"/>
      <c r="O1616" s="80"/>
      <c r="P1616" s="80"/>
      <c r="Q1616" s="80"/>
      <c r="R1616" s="80"/>
      <c r="S1616" s="117"/>
      <c r="T1616" s="81"/>
      <c r="U1616" s="81"/>
      <c r="V1616" s="81"/>
      <c r="W1616" s="81"/>
      <c r="X1616" s="81"/>
      <c r="Y1616" s="81"/>
      <c r="Z1616" s="82"/>
      <c r="AA1616" s="99"/>
      <c r="AB1616" s="48" t="s">
        <v>61</v>
      </c>
      <c r="AC1616" s="68" t="s">
        <v>61</v>
      </c>
      <c r="AD1616" s="69" t="s">
        <v>61</v>
      </c>
      <c r="AE1616" s="69" t="s">
        <v>61</v>
      </c>
      <c r="AF1616" s="68" t="s">
        <v>61</v>
      </c>
      <c r="AG1616" s="68" t="s">
        <v>61</v>
      </c>
      <c r="AH1616" s="68" t="s">
        <v>61</v>
      </c>
      <c r="AI1616" s="70" t="s">
        <v>61</v>
      </c>
      <c r="AJ1616" s="114" t="s">
        <v>61</v>
      </c>
      <c r="AK1616" s="82"/>
    </row>
    <row r="1617" ht="24.0" customHeight="1">
      <c r="A1617" s="35"/>
      <c r="B1617" s="36">
        <v>1.0</v>
      </c>
      <c r="C1617" s="37" t="str">
        <f>IFERROR(__xludf.DUMMYFUNCTION("""COMPUTED_VALUE"""),"")</f>
        <v/>
      </c>
      <c r="D1617" s="89" t="s">
        <v>61</v>
      </c>
      <c r="E1617" s="51" t="s">
        <v>61</v>
      </c>
      <c r="F1617" s="137"/>
      <c r="G1617" s="133"/>
      <c r="H1617" s="141"/>
      <c r="I1617" s="57"/>
      <c r="J1617" s="57"/>
      <c r="K1617" s="72"/>
      <c r="L1617" s="57"/>
      <c r="M1617" s="55"/>
      <c r="N1617" s="55"/>
      <c r="O1617" s="57"/>
      <c r="P1617" s="57"/>
      <c r="Q1617" s="57"/>
      <c r="R1617" s="57"/>
      <c r="S1617" s="132"/>
      <c r="T1617" s="74"/>
      <c r="U1617" s="74"/>
      <c r="V1617" s="74"/>
      <c r="W1617" s="74"/>
      <c r="X1617" s="74"/>
      <c r="Y1617" s="74"/>
      <c r="Z1617" s="76"/>
      <c r="AA1617" s="134"/>
      <c r="AB1617" s="62" t="s">
        <v>61</v>
      </c>
      <c r="AC1617" s="63" t="s">
        <v>61</v>
      </c>
      <c r="AD1617" s="64" t="s">
        <v>61</v>
      </c>
      <c r="AE1617" s="64" t="s">
        <v>61</v>
      </c>
      <c r="AF1617" s="63" t="s">
        <v>61</v>
      </c>
      <c r="AG1617" s="63" t="s">
        <v>61</v>
      </c>
      <c r="AH1617" s="63" t="s">
        <v>61</v>
      </c>
      <c r="AI1617" s="65" t="s">
        <v>61</v>
      </c>
      <c r="AJ1617" s="105" t="s">
        <v>61</v>
      </c>
      <c r="AK1617" s="76"/>
    </row>
    <row r="1618" ht="24.0" customHeight="1">
      <c r="A1618" s="35"/>
      <c r="B1618" s="36">
        <v>1.0</v>
      </c>
      <c r="C1618" s="37" t="str">
        <f>IFERROR(__xludf.DUMMYFUNCTION("""COMPUTED_VALUE"""),"")</f>
        <v/>
      </c>
      <c r="D1618" s="89" t="s">
        <v>61</v>
      </c>
      <c r="E1618" s="39" t="s">
        <v>61</v>
      </c>
      <c r="F1618" s="121"/>
      <c r="G1618" s="122"/>
      <c r="H1618" s="138"/>
      <c r="I1618" s="80"/>
      <c r="J1618" s="80"/>
      <c r="K1618" s="95"/>
      <c r="L1618" s="80"/>
      <c r="M1618" s="43"/>
      <c r="N1618" s="43"/>
      <c r="O1618" s="80"/>
      <c r="P1618" s="80"/>
      <c r="Q1618" s="80"/>
      <c r="R1618" s="80"/>
      <c r="S1618" s="117"/>
      <c r="T1618" s="81"/>
      <c r="U1618" s="81"/>
      <c r="V1618" s="81"/>
      <c r="W1618" s="81"/>
      <c r="X1618" s="81"/>
      <c r="Y1618" s="81"/>
      <c r="Z1618" s="82"/>
      <c r="AA1618" s="99"/>
      <c r="AB1618" s="48" t="s">
        <v>61</v>
      </c>
      <c r="AC1618" s="68" t="s">
        <v>61</v>
      </c>
      <c r="AD1618" s="69" t="s">
        <v>61</v>
      </c>
      <c r="AE1618" s="69" t="s">
        <v>61</v>
      </c>
      <c r="AF1618" s="68" t="s">
        <v>61</v>
      </c>
      <c r="AG1618" s="68" t="s">
        <v>61</v>
      </c>
      <c r="AH1618" s="68" t="s">
        <v>61</v>
      </c>
      <c r="AI1618" s="70" t="s">
        <v>61</v>
      </c>
      <c r="AJ1618" s="114" t="s">
        <v>61</v>
      </c>
      <c r="AK1618" s="82"/>
    </row>
    <row r="1619" ht="24.0" customHeight="1">
      <c r="A1619" s="35"/>
      <c r="B1619" s="36">
        <v>1.0</v>
      </c>
      <c r="C1619" s="37" t="str">
        <f>IFERROR(__xludf.DUMMYFUNCTION("""COMPUTED_VALUE"""),"")</f>
        <v/>
      </c>
      <c r="D1619" s="89" t="s">
        <v>61</v>
      </c>
      <c r="E1619" s="51" t="s">
        <v>61</v>
      </c>
      <c r="F1619" s="137"/>
      <c r="G1619" s="133"/>
      <c r="H1619" s="141"/>
      <c r="I1619" s="57"/>
      <c r="J1619" s="57"/>
      <c r="K1619" s="72"/>
      <c r="L1619" s="57"/>
      <c r="M1619" s="55"/>
      <c r="N1619" s="55"/>
      <c r="O1619" s="57"/>
      <c r="P1619" s="57"/>
      <c r="Q1619" s="57"/>
      <c r="R1619" s="57"/>
      <c r="S1619" s="132"/>
      <c r="T1619" s="74"/>
      <c r="U1619" s="74"/>
      <c r="V1619" s="74"/>
      <c r="W1619" s="74"/>
      <c r="X1619" s="74"/>
      <c r="Y1619" s="74"/>
      <c r="Z1619" s="76"/>
      <c r="AA1619" s="134"/>
      <c r="AB1619" s="62" t="s">
        <v>61</v>
      </c>
      <c r="AC1619" s="63" t="s">
        <v>61</v>
      </c>
      <c r="AD1619" s="64" t="s">
        <v>61</v>
      </c>
      <c r="AE1619" s="64" t="s">
        <v>61</v>
      </c>
      <c r="AF1619" s="63" t="s">
        <v>61</v>
      </c>
      <c r="AG1619" s="63" t="s">
        <v>61</v>
      </c>
      <c r="AH1619" s="63" t="s">
        <v>61</v>
      </c>
      <c r="AI1619" s="65" t="s">
        <v>61</v>
      </c>
      <c r="AJ1619" s="105" t="s">
        <v>61</v>
      </c>
      <c r="AK1619" s="76"/>
    </row>
    <row r="1620" ht="24.0" customHeight="1">
      <c r="A1620" s="35"/>
      <c r="B1620" s="36">
        <v>1.0</v>
      </c>
      <c r="C1620" s="37" t="str">
        <f>IFERROR(__xludf.DUMMYFUNCTION("""COMPUTED_VALUE"""),"")</f>
        <v/>
      </c>
      <c r="D1620" s="89" t="s">
        <v>61</v>
      </c>
      <c r="E1620" s="39" t="s">
        <v>61</v>
      </c>
      <c r="F1620" s="121"/>
      <c r="G1620" s="122"/>
      <c r="H1620" s="138"/>
      <c r="I1620" s="80"/>
      <c r="J1620" s="80"/>
      <c r="K1620" s="95"/>
      <c r="L1620" s="80"/>
      <c r="M1620" s="43"/>
      <c r="N1620" s="43"/>
      <c r="O1620" s="80"/>
      <c r="P1620" s="80"/>
      <c r="Q1620" s="80"/>
      <c r="R1620" s="80"/>
      <c r="S1620" s="117"/>
      <c r="T1620" s="81"/>
      <c r="U1620" s="81"/>
      <c r="V1620" s="81"/>
      <c r="W1620" s="81"/>
      <c r="X1620" s="81"/>
      <c r="Y1620" s="81"/>
      <c r="Z1620" s="82"/>
      <c r="AA1620" s="99"/>
      <c r="AB1620" s="48" t="s">
        <v>61</v>
      </c>
      <c r="AC1620" s="68" t="s">
        <v>61</v>
      </c>
      <c r="AD1620" s="69" t="s">
        <v>61</v>
      </c>
      <c r="AE1620" s="69" t="s">
        <v>61</v>
      </c>
      <c r="AF1620" s="68" t="s">
        <v>61</v>
      </c>
      <c r="AG1620" s="68" t="s">
        <v>61</v>
      </c>
      <c r="AH1620" s="68" t="s">
        <v>61</v>
      </c>
      <c r="AI1620" s="70" t="s">
        <v>61</v>
      </c>
      <c r="AJ1620" s="114" t="s">
        <v>61</v>
      </c>
      <c r="AK1620" s="82"/>
    </row>
    <row r="1621" ht="24.0" customHeight="1">
      <c r="A1621" s="35"/>
      <c r="B1621" s="36">
        <v>1.0</v>
      </c>
      <c r="C1621" s="37" t="str">
        <f>IFERROR(__xludf.DUMMYFUNCTION("""COMPUTED_VALUE"""),"")</f>
        <v/>
      </c>
      <c r="D1621" s="89" t="s">
        <v>61</v>
      </c>
      <c r="E1621" s="51" t="s">
        <v>61</v>
      </c>
      <c r="F1621" s="137"/>
      <c r="G1621" s="133"/>
      <c r="H1621" s="141"/>
      <c r="I1621" s="57"/>
      <c r="J1621" s="57"/>
      <c r="K1621" s="72"/>
      <c r="L1621" s="57"/>
      <c r="M1621" s="55"/>
      <c r="N1621" s="55"/>
      <c r="O1621" s="57"/>
      <c r="P1621" s="57"/>
      <c r="Q1621" s="57"/>
      <c r="R1621" s="57"/>
      <c r="S1621" s="132"/>
      <c r="T1621" s="74"/>
      <c r="U1621" s="74"/>
      <c r="V1621" s="74"/>
      <c r="W1621" s="74"/>
      <c r="X1621" s="74"/>
      <c r="Y1621" s="74"/>
      <c r="Z1621" s="76"/>
      <c r="AA1621" s="134"/>
      <c r="AB1621" s="62" t="s">
        <v>61</v>
      </c>
      <c r="AC1621" s="63" t="s">
        <v>61</v>
      </c>
      <c r="AD1621" s="64" t="s">
        <v>61</v>
      </c>
      <c r="AE1621" s="64" t="s">
        <v>61</v>
      </c>
      <c r="AF1621" s="63" t="s">
        <v>61</v>
      </c>
      <c r="AG1621" s="63" t="s">
        <v>61</v>
      </c>
      <c r="AH1621" s="63" t="s">
        <v>61</v>
      </c>
      <c r="AI1621" s="65" t="s">
        <v>61</v>
      </c>
      <c r="AJ1621" s="105" t="s">
        <v>61</v>
      </c>
      <c r="AK1621" s="76"/>
    </row>
    <row r="1622" ht="24.0" customHeight="1">
      <c r="A1622" s="35"/>
      <c r="B1622" s="36">
        <v>1.0</v>
      </c>
      <c r="C1622" s="37" t="str">
        <f>IFERROR(__xludf.DUMMYFUNCTION("""COMPUTED_VALUE"""),"")</f>
        <v/>
      </c>
      <c r="D1622" s="89" t="s">
        <v>61</v>
      </c>
      <c r="E1622" s="39" t="s">
        <v>61</v>
      </c>
      <c r="F1622" s="121"/>
      <c r="G1622" s="122"/>
      <c r="H1622" s="138"/>
      <c r="I1622" s="80"/>
      <c r="J1622" s="80"/>
      <c r="K1622" s="95"/>
      <c r="L1622" s="80"/>
      <c r="M1622" s="43"/>
      <c r="N1622" s="43"/>
      <c r="O1622" s="80"/>
      <c r="P1622" s="80"/>
      <c r="Q1622" s="80"/>
      <c r="R1622" s="80"/>
      <c r="S1622" s="117"/>
      <c r="T1622" s="81"/>
      <c r="U1622" s="81"/>
      <c r="V1622" s="81"/>
      <c r="W1622" s="81"/>
      <c r="X1622" s="81"/>
      <c r="Y1622" s="81"/>
      <c r="Z1622" s="82"/>
      <c r="AA1622" s="99"/>
      <c r="AB1622" s="48" t="s">
        <v>61</v>
      </c>
      <c r="AC1622" s="68" t="s">
        <v>61</v>
      </c>
      <c r="AD1622" s="69" t="s">
        <v>61</v>
      </c>
      <c r="AE1622" s="69" t="s">
        <v>61</v>
      </c>
      <c r="AF1622" s="68" t="s">
        <v>61</v>
      </c>
      <c r="AG1622" s="68" t="s">
        <v>61</v>
      </c>
      <c r="AH1622" s="68" t="s">
        <v>61</v>
      </c>
      <c r="AI1622" s="70" t="s">
        <v>61</v>
      </c>
      <c r="AJ1622" s="114" t="s">
        <v>61</v>
      </c>
      <c r="AK1622" s="82"/>
    </row>
    <row r="1623" ht="24.0" customHeight="1">
      <c r="A1623" s="35"/>
      <c r="B1623" s="36">
        <v>1.0</v>
      </c>
      <c r="C1623" s="37" t="str">
        <f>IFERROR(__xludf.DUMMYFUNCTION("""COMPUTED_VALUE"""),"")</f>
        <v/>
      </c>
      <c r="D1623" s="89" t="s">
        <v>61</v>
      </c>
      <c r="E1623" s="51" t="s">
        <v>61</v>
      </c>
      <c r="F1623" s="137"/>
      <c r="G1623" s="133"/>
      <c r="H1623" s="141"/>
      <c r="I1623" s="57"/>
      <c r="J1623" s="57"/>
      <c r="K1623" s="72"/>
      <c r="L1623" s="57"/>
      <c r="M1623" s="55"/>
      <c r="N1623" s="55"/>
      <c r="O1623" s="57"/>
      <c r="P1623" s="57"/>
      <c r="Q1623" s="57"/>
      <c r="R1623" s="57"/>
      <c r="S1623" s="132"/>
      <c r="T1623" s="74"/>
      <c r="U1623" s="74"/>
      <c r="V1623" s="74"/>
      <c r="W1623" s="74"/>
      <c r="X1623" s="74"/>
      <c r="Y1623" s="74"/>
      <c r="Z1623" s="76"/>
      <c r="AA1623" s="134"/>
      <c r="AB1623" s="62" t="s">
        <v>61</v>
      </c>
      <c r="AC1623" s="63" t="s">
        <v>61</v>
      </c>
      <c r="AD1623" s="64" t="s">
        <v>61</v>
      </c>
      <c r="AE1623" s="64" t="s">
        <v>61</v>
      </c>
      <c r="AF1623" s="63" t="s">
        <v>61</v>
      </c>
      <c r="AG1623" s="63" t="s">
        <v>61</v>
      </c>
      <c r="AH1623" s="63" t="s">
        <v>61</v>
      </c>
      <c r="AI1623" s="65" t="s">
        <v>61</v>
      </c>
      <c r="AJ1623" s="105" t="s">
        <v>61</v>
      </c>
      <c r="AK1623" s="76"/>
    </row>
    <row r="1624" ht="24.0" customHeight="1">
      <c r="A1624" s="35"/>
      <c r="B1624" s="36">
        <v>1.0</v>
      </c>
      <c r="C1624" s="37" t="str">
        <f>IFERROR(__xludf.DUMMYFUNCTION("""COMPUTED_VALUE"""),"")</f>
        <v/>
      </c>
      <c r="D1624" s="89" t="s">
        <v>61</v>
      </c>
      <c r="E1624" s="39" t="s">
        <v>61</v>
      </c>
      <c r="F1624" s="121"/>
      <c r="G1624" s="122"/>
      <c r="H1624" s="138"/>
      <c r="I1624" s="80"/>
      <c r="J1624" s="80"/>
      <c r="K1624" s="95"/>
      <c r="L1624" s="80"/>
      <c r="M1624" s="43"/>
      <c r="N1624" s="43"/>
      <c r="O1624" s="80"/>
      <c r="P1624" s="80"/>
      <c r="Q1624" s="80"/>
      <c r="R1624" s="80"/>
      <c r="S1624" s="117"/>
      <c r="T1624" s="81"/>
      <c r="U1624" s="81"/>
      <c r="V1624" s="81"/>
      <c r="W1624" s="81"/>
      <c r="X1624" s="81"/>
      <c r="Y1624" s="81"/>
      <c r="Z1624" s="82"/>
      <c r="AA1624" s="99"/>
      <c r="AB1624" s="48" t="s">
        <v>61</v>
      </c>
      <c r="AC1624" s="68" t="s">
        <v>61</v>
      </c>
      <c r="AD1624" s="69" t="s">
        <v>61</v>
      </c>
      <c r="AE1624" s="69" t="s">
        <v>61</v>
      </c>
      <c r="AF1624" s="68" t="s">
        <v>61</v>
      </c>
      <c r="AG1624" s="68" t="s">
        <v>61</v>
      </c>
      <c r="AH1624" s="68" t="s">
        <v>61</v>
      </c>
      <c r="AI1624" s="70" t="s">
        <v>61</v>
      </c>
      <c r="AJ1624" s="114" t="s">
        <v>61</v>
      </c>
      <c r="AK1624" s="82"/>
    </row>
    <row r="1625" ht="24.0" customHeight="1">
      <c r="A1625" s="35"/>
      <c r="B1625" s="36">
        <v>1.0</v>
      </c>
      <c r="C1625" s="37" t="str">
        <f>IFERROR(__xludf.DUMMYFUNCTION("""COMPUTED_VALUE"""),"")</f>
        <v/>
      </c>
      <c r="D1625" s="89" t="s">
        <v>61</v>
      </c>
      <c r="E1625" s="51" t="s">
        <v>61</v>
      </c>
      <c r="F1625" s="137"/>
      <c r="G1625" s="133"/>
      <c r="H1625" s="141"/>
      <c r="I1625" s="57"/>
      <c r="J1625" s="57"/>
      <c r="K1625" s="72"/>
      <c r="L1625" s="57"/>
      <c r="M1625" s="55"/>
      <c r="N1625" s="55"/>
      <c r="O1625" s="57"/>
      <c r="P1625" s="57"/>
      <c r="Q1625" s="57"/>
      <c r="R1625" s="57"/>
      <c r="S1625" s="132"/>
      <c r="T1625" s="74"/>
      <c r="U1625" s="74"/>
      <c r="V1625" s="74"/>
      <c r="W1625" s="74"/>
      <c r="X1625" s="74"/>
      <c r="Y1625" s="74"/>
      <c r="Z1625" s="76"/>
      <c r="AA1625" s="134"/>
      <c r="AB1625" s="62" t="s">
        <v>61</v>
      </c>
      <c r="AC1625" s="63" t="s">
        <v>61</v>
      </c>
      <c r="AD1625" s="64" t="s">
        <v>61</v>
      </c>
      <c r="AE1625" s="64" t="s">
        <v>61</v>
      </c>
      <c r="AF1625" s="63" t="s">
        <v>61</v>
      </c>
      <c r="AG1625" s="63" t="s">
        <v>61</v>
      </c>
      <c r="AH1625" s="63" t="s">
        <v>61</v>
      </c>
      <c r="AI1625" s="65" t="s">
        <v>61</v>
      </c>
      <c r="AJ1625" s="105" t="s">
        <v>61</v>
      </c>
      <c r="AK1625" s="76"/>
    </row>
    <row r="1626" ht="24.0" customHeight="1">
      <c r="A1626" s="35"/>
      <c r="B1626" s="36">
        <v>1.0</v>
      </c>
      <c r="C1626" s="37" t="str">
        <f>IFERROR(__xludf.DUMMYFUNCTION("""COMPUTED_VALUE"""),"")</f>
        <v/>
      </c>
      <c r="D1626" s="89" t="s">
        <v>61</v>
      </c>
      <c r="E1626" s="39" t="s">
        <v>61</v>
      </c>
      <c r="F1626" s="121"/>
      <c r="G1626" s="122"/>
      <c r="H1626" s="138"/>
      <c r="I1626" s="80"/>
      <c r="J1626" s="80"/>
      <c r="K1626" s="95"/>
      <c r="L1626" s="80"/>
      <c r="M1626" s="43"/>
      <c r="N1626" s="43"/>
      <c r="O1626" s="80"/>
      <c r="P1626" s="80"/>
      <c r="Q1626" s="80"/>
      <c r="R1626" s="80"/>
      <c r="S1626" s="117"/>
      <c r="T1626" s="81"/>
      <c r="U1626" s="81"/>
      <c r="V1626" s="81"/>
      <c r="W1626" s="81"/>
      <c r="X1626" s="81"/>
      <c r="Y1626" s="81"/>
      <c r="Z1626" s="82"/>
      <c r="AA1626" s="99"/>
      <c r="AB1626" s="48" t="s">
        <v>61</v>
      </c>
      <c r="AC1626" s="68" t="s">
        <v>61</v>
      </c>
      <c r="AD1626" s="69" t="s">
        <v>61</v>
      </c>
      <c r="AE1626" s="69" t="s">
        <v>61</v>
      </c>
      <c r="AF1626" s="68" t="s">
        <v>61</v>
      </c>
      <c r="AG1626" s="68" t="s">
        <v>61</v>
      </c>
      <c r="AH1626" s="68" t="s">
        <v>61</v>
      </c>
      <c r="AI1626" s="70" t="s">
        <v>61</v>
      </c>
      <c r="AJ1626" s="114" t="s">
        <v>61</v>
      </c>
      <c r="AK1626" s="82"/>
    </row>
    <row r="1627" ht="24.0" customHeight="1">
      <c r="A1627" s="35"/>
      <c r="B1627" s="36">
        <v>1.0</v>
      </c>
      <c r="C1627" s="37" t="str">
        <f>IFERROR(__xludf.DUMMYFUNCTION("""COMPUTED_VALUE"""),"")</f>
        <v/>
      </c>
      <c r="D1627" s="89" t="s">
        <v>61</v>
      </c>
      <c r="E1627" s="51" t="s">
        <v>61</v>
      </c>
      <c r="F1627" s="137"/>
      <c r="G1627" s="133"/>
      <c r="H1627" s="141"/>
      <c r="I1627" s="57"/>
      <c r="J1627" s="57"/>
      <c r="K1627" s="72"/>
      <c r="L1627" s="57"/>
      <c r="M1627" s="55"/>
      <c r="N1627" s="55"/>
      <c r="O1627" s="57"/>
      <c r="P1627" s="57"/>
      <c r="Q1627" s="57"/>
      <c r="R1627" s="57"/>
      <c r="S1627" s="132"/>
      <c r="T1627" s="74"/>
      <c r="U1627" s="74"/>
      <c r="V1627" s="74"/>
      <c r="W1627" s="74"/>
      <c r="X1627" s="74"/>
      <c r="Y1627" s="74"/>
      <c r="Z1627" s="76"/>
      <c r="AA1627" s="134"/>
      <c r="AB1627" s="62" t="s">
        <v>61</v>
      </c>
      <c r="AC1627" s="63" t="s">
        <v>61</v>
      </c>
      <c r="AD1627" s="64" t="s">
        <v>61</v>
      </c>
      <c r="AE1627" s="64" t="s">
        <v>61</v>
      </c>
      <c r="AF1627" s="63" t="s">
        <v>61</v>
      </c>
      <c r="AG1627" s="63" t="s">
        <v>61</v>
      </c>
      <c r="AH1627" s="63" t="s">
        <v>61</v>
      </c>
      <c r="AI1627" s="65" t="s">
        <v>61</v>
      </c>
      <c r="AJ1627" s="105" t="s">
        <v>61</v>
      </c>
      <c r="AK1627" s="76"/>
    </row>
    <row r="1628" ht="24.0" customHeight="1">
      <c r="A1628" s="35"/>
      <c r="B1628" s="36">
        <v>1.0</v>
      </c>
      <c r="C1628" s="37" t="str">
        <f>IFERROR(__xludf.DUMMYFUNCTION("""COMPUTED_VALUE"""),"")</f>
        <v/>
      </c>
      <c r="D1628" s="89" t="s">
        <v>61</v>
      </c>
      <c r="E1628" s="39" t="s">
        <v>61</v>
      </c>
      <c r="F1628" s="121"/>
      <c r="G1628" s="122"/>
      <c r="H1628" s="138"/>
      <c r="I1628" s="80"/>
      <c r="J1628" s="80"/>
      <c r="K1628" s="95"/>
      <c r="L1628" s="80"/>
      <c r="M1628" s="43"/>
      <c r="N1628" s="43"/>
      <c r="O1628" s="80"/>
      <c r="P1628" s="80"/>
      <c r="Q1628" s="80"/>
      <c r="R1628" s="80"/>
      <c r="S1628" s="117"/>
      <c r="T1628" s="81"/>
      <c r="U1628" s="81"/>
      <c r="V1628" s="81"/>
      <c r="W1628" s="81"/>
      <c r="X1628" s="81"/>
      <c r="Y1628" s="81"/>
      <c r="Z1628" s="82"/>
      <c r="AA1628" s="99"/>
      <c r="AB1628" s="48" t="s">
        <v>61</v>
      </c>
      <c r="AC1628" s="68" t="s">
        <v>61</v>
      </c>
      <c r="AD1628" s="69" t="s">
        <v>61</v>
      </c>
      <c r="AE1628" s="69" t="s">
        <v>61</v>
      </c>
      <c r="AF1628" s="68" t="s">
        <v>61</v>
      </c>
      <c r="AG1628" s="68" t="s">
        <v>61</v>
      </c>
      <c r="AH1628" s="68" t="s">
        <v>61</v>
      </c>
      <c r="AI1628" s="70" t="s">
        <v>61</v>
      </c>
      <c r="AJ1628" s="114" t="s">
        <v>61</v>
      </c>
      <c r="AK1628" s="82"/>
    </row>
    <row r="1629" ht="24.0" customHeight="1">
      <c r="A1629" s="35"/>
      <c r="B1629" s="36">
        <v>1.0</v>
      </c>
      <c r="C1629" s="37" t="str">
        <f>IFERROR(__xludf.DUMMYFUNCTION("""COMPUTED_VALUE"""),"")</f>
        <v/>
      </c>
      <c r="D1629" s="89" t="s">
        <v>61</v>
      </c>
      <c r="E1629" s="51" t="s">
        <v>61</v>
      </c>
      <c r="F1629" s="137"/>
      <c r="G1629" s="133"/>
      <c r="H1629" s="141"/>
      <c r="I1629" s="57"/>
      <c r="J1629" s="57"/>
      <c r="K1629" s="72"/>
      <c r="L1629" s="57"/>
      <c r="M1629" s="55"/>
      <c r="N1629" s="55"/>
      <c r="O1629" s="57"/>
      <c r="P1629" s="57"/>
      <c r="Q1629" s="57"/>
      <c r="R1629" s="57"/>
      <c r="S1629" s="132"/>
      <c r="T1629" s="74"/>
      <c r="U1629" s="74"/>
      <c r="V1629" s="74"/>
      <c r="W1629" s="74"/>
      <c r="X1629" s="74"/>
      <c r="Y1629" s="74"/>
      <c r="Z1629" s="76"/>
      <c r="AA1629" s="134"/>
      <c r="AB1629" s="62" t="s">
        <v>61</v>
      </c>
      <c r="AC1629" s="63" t="s">
        <v>61</v>
      </c>
      <c r="AD1629" s="64" t="s">
        <v>61</v>
      </c>
      <c r="AE1629" s="64" t="s">
        <v>61</v>
      </c>
      <c r="AF1629" s="63" t="s">
        <v>61</v>
      </c>
      <c r="AG1629" s="63" t="s">
        <v>61</v>
      </c>
      <c r="AH1629" s="63" t="s">
        <v>61</v>
      </c>
      <c r="AI1629" s="65" t="s">
        <v>61</v>
      </c>
      <c r="AJ1629" s="105" t="s">
        <v>61</v>
      </c>
      <c r="AK1629" s="76"/>
    </row>
    <row r="1630" ht="24.0" customHeight="1">
      <c r="A1630" s="35"/>
      <c r="B1630" s="36">
        <v>1.0</v>
      </c>
      <c r="C1630" s="37" t="str">
        <f>IFERROR(__xludf.DUMMYFUNCTION("""COMPUTED_VALUE"""),"")</f>
        <v/>
      </c>
      <c r="D1630" s="89" t="s">
        <v>61</v>
      </c>
      <c r="E1630" s="39" t="s">
        <v>61</v>
      </c>
      <c r="F1630" s="121"/>
      <c r="G1630" s="122"/>
      <c r="H1630" s="138"/>
      <c r="I1630" s="80"/>
      <c r="J1630" s="80"/>
      <c r="K1630" s="95"/>
      <c r="L1630" s="80"/>
      <c r="M1630" s="43"/>
      <c r="N1630" s="43"/>
      <c r="O1630" s="80"/>
      <c r="P1630" s="80"/>
      <c r="Q1630" s="80"/>
      <c r="R1630" s="80"/>
      <c r="S1630" s="117"/>
      <c r="T1630" s="81"/>
      <c r="U1630" s="81"/>
      <c r="V1630" s="81"/>
      <c r="W1630" s="81"/>
      <c r="X1630" s="81"/>
      <c r="Y1630" s="81"/>
      <c r="Z1630" s="82"/>
      <c r="AA1630" s="99"/>
      <c r="AB1630" s="48" t="s">
        <v>61</v>
      </c>
      <c r="AC1630" s="68" t="s">
        <v>61</v>
      </c>
      <c r="AD1630" s="69" t="s">
        <v>61</v>
      </c>
      <c r="AE1630" s="69" t="s">
        <v>61</v>
      </c>
      <c r="AF1630" s="68" t="s">
        <v>61</v>
      </c>
      <c r="AG1630" s="68" t="s">
        <v>61</v>
      </c>
      <c r="AH1630" s="68" t="s">
        <v>61</v>
      </c>
      <c r="AI1630" s="70" t="s">
        <v>61</v>
      </c>
      <c r="AJ1630" s="114" t="s">
        <v>61</v>
      </c>
      <c r="AK1630" s="82"/>
    </row>
    <row r="1631" ht="24.0" customHeight="1">
      <c r="A1631" s="35"/>
      <c r="B1631" s="36">
        <v>1.0</v>
      </c>
      <c r="C1631" s="37" t="str">
        <f>IFERROR(__xludf.DUMMYFUNCTION("""COMPUTED_VALUE"""),"")</f>
        <v/>
      </c>
      <c r="D1631" s="89" t="s">
        <v>61</v>
      </c>
      <c r="E1631" s="51" t="s">
        <v>61</v>
      </c>
      <c r="F1631" s="137"/>
      <c r="G1631" s="133"/>
      <c r="H1631" s="141"/>
      <c r="I1631" s="57"/>
      <c r="J1631" s="57"/>
      <c r="K1631" s="72"/>
      <c r="L1631" s="57"/>
      <c r="M1631" s="55"/>
      <c r="N1631" s="55"/>
      <c r="O1631" s="57"/>
      <c r="P1631" s="57"/>
      <c r="Q1631" s="57"/>
      <c r="R1631" s="57"/>
      <c r="S1631" s="132"/>
      <c r="T1631" s="74"/>
      <c r="U1631" s="74"/>
      <c r="V1631" s="74"/>
      <c r="W1631" s="74"/>
      <c r="X1631" s="74"/>
      <c r="Y1631" s="74"/>
      <c r="Z1631" s="76"/>
      <c r="AA1631" s="134"/>
      <c r="AB1631" s="62" t="s">
        <v>61</v>
      </c>
      <c r="AC1631" s="63" t="s">
        <v>61</v>
      </c>
      <c r="AD1631" s="64" t="s">
        <v>61</v>
      </c>
      <c r="AE1631" s="64" t="s">
        <v>61</v>
      </c>
      <c r="AF1631" s="63" t="s">
        <v>61</v>
      </c>
      <c r="AG1631" s="63" t="s">
        <v>61</v>
      </c>
      <c r="AH1631" s="63" t="s">
        <v>61</v>
      </c>
      <c r="AI1631" s="65" t="s">
        <v>61</v>
      </c>
      <c r="AJ1631" s="105" t="s">
        <v>61</v>
      </c>
      <c r="AK1631" s="76"/>
    </row>
    <row r="1632" ht="24.0" customHeight="1">
      <c r="A1632" s="35"/>
      <c r="B1632" s="36">
        <v>1.0</v>
      </c>
      <c r="C1632" s="37" t="str">
        <f>IFERROR(__xludf.DUMMYFUNCTION("""COMPUTED_VALUE"""),"")</f>
        <v/>
      </c>
      <c r="D1632" s="89" t="s">
        <v>61</v>
      </c>
      <c r="E1632" s="39" t="s">
        <v>61</v>
      </c>
      <c r="F1632" s="121"/>
      <c r="G1632" s="122"/>
      <c r="H1632" s="138"/>
      <c r="I1632" s="80"/>
      <c r="J1632" s="80"/>
      <c r="K1632" s="95"/>
      <c r="L1632" s="80"/>
      <c r="M1632" s="43"/>
      <c r="N1632" s="43"/>
      <c r="O1632" s="80"/>
      <c r="P1632" s="80"/>
      <c r="Q1632" s="80"/>
      <c r="R1632" s="80"/>
      <c r="S1632" s="117"/>
      <c r="T1632" s="81"/>
      <c r="U1632" s="81"/>
      <c r="V1632" s="81"/>
      <c r="W1632" s="81"/>
      <c r="X1632" s="81"/>
      <c r="Y1632" s="81"/>
      <c r="Z1632" s="82"/>
      <c r="AA1632" s="99"/>
      <c r="AB1632" s="48" t="s">
        <v>61</v>
      </c>
      <c r="AC1632" s="68" t="s">
        <v>61</v>
      </c>
      <c r="AD1632" s="69" t="s">
        <v>61</v>
      </c>
      <c r="AE1632" s="69" t="s">
        <v>61</v>
      </c>
      <c r="AF1632" s="68" t="s">
        <v>61</v>
      </c>
      <c r="AG1632" s="68" t="s">
        <v>61</v>
      </c>
      <c r="AH1632" s="68" t="s">
        <v>61</v>
      </c>
      <c r="AI1632" s="70" t="s">
        <v>61</v>
      </c>
      <c r="AJ1632" s="114" t="s">
        <v>61</v>
      </c>
      <c r="AK1632" s="82"/>
    </row>
    <row r="1633" ht="24.0" customHeight="1">
      <c r="A1633" s="35"/>
      <c r="B1633" s="36">
        <v>1.0</v>
      </c>
      <c r="C1633" s="37" t="str">
        <f>IFERROR(__xludf.DUMMYFUNCTION("""COMPUTED_VALUE"""),"")</f>
        <v/>
      </c>
      <c r="D1633" s="89" t="s">
        <v>61</v>
      </c>
      <c r="E1633" s="51" t="s">
        <v>61</v>
      </c>
      <c r="F1633" s="137"/>
      <c r="G1633" s="133"/>
      <c r="H1633" s="141"/>
      <c r="I1633" s="57"/>
      <c r="J1633" s="57"/>
      <c r="K1633" s="72"/>
      <c r="L1633" s="57"/>
      <c r="M1633" s="55"/>
      <c r="N1633" s="55"/>
      <c r="O1633" s="57"/>
      <c r="P1633" s="57"/>
      <c r="Q1633" s="57"/>
      <c r="R1633" s="57"/>
      <c r="S1633" s="132"/>
      <c r="T1633" s="74"/>
      <c r="U1633" s="74"/>
      <c r="V1633" s="74"/>
      <c r="W1633" s="74"/>
      <c r="X1633" s="74"/>
      <c r="Y1633" s="74"/>
      <c r="Z1633" s="76"/>
      <c r="AA1633" s="134"/>
      <c r="AB1633" s="62" t="s">
        <v>61</v>
      </c>
      <c r="AC1633" s="63" t="s">
        <v>61</v>
      </c>
      <c r="AD1633" s="64" t="s">
        <v>61</v>
      </c>
      <c r="AE1633" s="64" t="s">
        <v>61</v>
      </c>
      <c r="AF1633" s="63" t="s">
        <v>61</v>
      </c>
      <c r="AG1633" s="63" t="s">
        <v>61</v>
      </c>
      <c r="AH1633" s="63" t="s">
        <v>61</v>
      </c>
      <c r="AI1633" s="65" t="s">
        <v>61</v>
      </c>
      <c r="AJ1633" s="105" t="s">
        <v>61</v>
      </c>
      <c r="AK1633" s="76"/>
    </row>
    <row r="1634" ht="24.0" customHeight="1">
      <c r="A1634" s="35"/>
      <c r="B1634" s="36">
        <v>1.0</v>
      </c>
      <c r="C1634" s="37" t="str">
        <f>IFERROR(__xludf.DUMMYFUNCTION("""COMPUTED_VALUE"""),"")</f>
        <v/>
      </c>
      <c r="D1634" s="89" t="s">
        <v>61</v>
      </c>
      <c r="E1634" s="39" t="s">
        <v>61</v>
      </c>
      <c r="F1634" s="121"/>
      <c r="G1634" s="122"/>
      <c r="H1634" s="138"/>
      <c r="I1634" s="80"/>
      <c r="J1634" s="80"/>
      <c r="K1634" s="95"/>
      <c r="L1634" s="80"/>
      <c r="M1634" s="43"/>
      <c r="N1634" s="43"/>
      <c r="O1634" s="80"/>
      <c r="P1634" s="80"/>
      <c r="Q1634" s="80"/>
      <c r="R1634" s="80"/>
      <c r="S1634" s="117"/>
      <c r="T1634" s="81"/>
      <c r="U1634" s="81"/>
      <c r="V1634" s="81"/>
      <c r="W1634" s="81"/>
      <c r="X1634" s="81"/>
      <c r="Y1634" s="81"/>
      <c r="Z1634" s="82"/>
      <c r="AA1634" s="99"/>
      <c r="AB1634" s="48" t="s">
        <v>61</v>
      </c>
      <c r="AC1634" s="68" t="s">
        <v>61</v>
      </c>
      <c r="AD1634" s="69" t="s">
        <v>61</v>
      </c>
      <c r="AE1634" s="69" t="s">
        <v>61</v>
      </c>
      <c r="AF1634" s="68" t="s">
        <v>61</v>
      </c>
      <c r="AG1634" s="68" t="s">
        <v>61</v>
      </c>
      <c r="AH1634" s="68" t="s">
        <v>61</v>
      </c>
      <c r="AI1634" s="70" t="s">
        <v>61</v>
      </c>
      <c r="AJ1634" s="114" t="s">
        <v>61</v>
      </c>
      <c r="AK1634" s="82"/>
    </row>
    <row r="1635" ht="24.0" customHeight="1">
      <c r="A1635" s="35"/>
      <c r="B1635" s="36">
        <v>1.0</v>
      </c>
      <c r="C1635" s="37" t="str">
        <f>IFERROR(__xludf.DUMMYFUNCTION("""COMPUTED_VALUE"""),"")</f>
        <v/>
      </c>
      <c r="D1635" s="89" t="s">
        <v>61</v>
      </c>
      <c r="E1635" s="51" t="s">
        <v>61</v>
      </c>
      <c r="F1635" s="137"/>
      <c r="G1635" s="133"/>
      <c r="H1635" s="141"/>
      <c r="I1635" s="57"/>
      <c r="J1635" s="57"/>
      <c r="K1635" s="72"/>
      <c r="L1635" s="57"/>
      <c r="M1635" s="55"/>
      <c r="N1635" s="55"/>
      <c r="O1635" s="57"/>
      <c r="P1635" s="57"/>
      <c r="Q1635" s="57"/>
      <c r="R1635" s="57"/>
      <c r="S1635" s="132"/>
      <c r="T1635" s="74"/>
      <c r="U1635" s="74"/>
      <c r="V1635" s="74"/>
      <c r="W1635" s="74"/>
      <c r="X1635" s="74"/>
      <c r="Y1635" s="74"/>
      <c r="Z1635" s="76"/>
      <c r="AA1635" s="134"/>
      <c r="AB1635" s="62" t="s">
        <v>61</v>
      </c>
      <c r="AC1635" s="63" t="s">
        <v>61</v>
      </c>
      <c r="AD1635" s="64" t="s">
        <v>61</v>
      </c>
      <c r="AE1635" s="64" t="s">
        <v>61</v>
      </c>
      <c r="AF1635" s="63" t="s">
        <v>61</v>
      </c>
      <c r="AG1635" s="63" t="s">
        <v>61</v>
      </c>
      <c r="AH1635" s="63" t="s">
        <v>61</v>
      </c>
      <c r="AI1635" s="65" t="s">
        <v>61</v>
      </c>
      <c r="AJ1635" s="105" t="s">
        <v>61</v>
      </c>
      <c r="AK1635" s="76"/>
    </row>
    <row r="1636" ht="24.0" customHeight="1">
      <c r="A1636" s="35"/>
      <c r="B1636" s="36">
        <v>1.0</v>
      </c>
      <c r="C1636" s="37" t="str">
        <f>IFERROR(__xludf.DUMMYFUNCTION("""COMPUTED_VALUE"""),"")</f>
        <v/>
      </c>
      <c r="D1636" s="89" t="s">
        <v>61</v>
      </c>
      <c r="E1636" s="39" t="s">
        <v>61</v>
      </c>
      <c r="F1636" s="121"/>
      <c r="G1636" s="122"/>
      <c r="H1636" s="138"/>
      <c r="I1636" s="80"/>
      <c r="J1636" s="80"/>
      <c r="K1636" s="95"/>
      <c r="L1636" s="80"/>
      <c r="M1636" s="43"/>
      <c r="N1636" s="43"/>
      <c r="O1636" s="80"/>
      <c r="P1636" s="80"/>
      <c r="Q1636" s="80"/>
      <c r="R1636" s="80"/>
      <c r="S1636" s="117"/>
      <c r="T1636" s="81"/>
      <c r="U1636" s="81"/>
      <c r="V1636" s="81"/>
      <c r="W1636" s="81"/>
      <c r="X1636" s="81"/>
      <c r="Y1636" s="81"/>
      <c r="Z1636" s="82"/>
      <c r="AA1636" s="99"/>
      <c r="AB1636" s="48" t="s">
        <v>61</v>
      </c>
      <c r="AC1636" s="68" t="s">
        <v>61</v>
      </c>
      <c r="AD1636" s="69" t="s">
        <v>61</v>
      </c>
      <c r="AE1636" s="69" t="s">
        <v>61</v>
      </c>
      <c r="AF1636" s="68" t="s">
        <v>61</v>
      </c>
      <c r="AG1636" s="68" t="s">
        <v>61</v>
      </c>
      <c r="AH1636" s="68" t="s">
        <v>61</v>
      </c>
      <c r="AI1636" s="70" t="s">
        <v>61</v>
      </c>
      <c r="AJ1636" s="114" t="s">
        <v>61</v>
      </c>
      <c r="AK1636" s="82"/>
    </row>
    <row r="1637" ht="24.0" customHeight="1">
      <c r="A1637" s="35"/>
      <c r="B1637" s="36">
        <v>1.0</v>
      </c>
      <c r="C1637" s="37" t="str">
        <f>IFERROR(__xludf.DUMMYFUNCTION("""COMPUTED_VALUE"""),"")</f>
        <v/>
      </c>
      <c r="D1637" s="89" t="s">
        <v>61</v>
      </c>
      <c r="E1637" s="51" t="s">
        <v>61</v>
      </c>
      <c r="F1637" s="137"/>
      <c r="G1637" s="133"/>
      <c r="H1637" s="141"/>
      <c r="I1637" s="57"/>
      <c r="J1637" s="57"/>
      <c r="K1637" s="72"/>
      <c r="L1637" s="57"/>
      <c r="M1637" s="55"/>
      <c r="N1637" s="55"/>
      <c r="O1637" s="57"/>
      <c r="P1637" s="57"/>
      <c r="Q1637" s="57"/>
      <c r="R1637" s="57"/>
      <c r="S1637" s="132"/>
      <c r="T1637" s="74"/>
      <c r="U1637" s="74"/>
      <c r="V1637" s="74"/>
      <c r="W1637" s="74"/>
      <c r="X1637" s="74"/>
      <c r="Y1637" s="74"/>
      <c r="Z1637" s="76"/>
      <c r="AA1637" s="134"/>
      <c r="AB1637" s="62" t="s">
        <v>61</v>
      </c>
      <c r="AC1637" s="63" t="s">
        <v>61</v>
      </c>
      <c r="AD1637" s="64" t="s">
        <v>61</v>
      </c>
      <c r="AE1637" s="64" t="s">
        <v>61</v>
      </c>
      <c r="AF1637" s="63" t="s">
        <v>61</v>
      </c>
      <c r="AG1637" s="63" t="s">
        <v>61</v>
      </c>
      <c r="AH1637" s="63" t="s">
        <v>61</v>
      </c>
      <c r="AI1637" s="65" t="s">
        <v>61</v>
      </c>
      <c r="AJ1637" s="105" t="s">
        <v>61</v>
      </c>
      <c r="AK1637" s="76"/>
    </row>
    <row r="1638" ht="24.0" customHeight="1">
      <c r="A1638" s="35"/>
      <c r="B1638" s="36">
        <v>1.0</v>
      </c>
      <c r="C1638" s="37" t="str">
        <f>IFERROR(__xludf.DUMMYFUNCTION("""COMPUTED_VALUE"""),"")</f>
        <v/>
      </c>
      <c r="D1638" s="89" t="s">
        <v>61</v>
      </c>
      <c r="E1638" s="39" t="s">
        <v>61</v>
      </c>
      <c r="F1638" s="121"/>
      <c r="G1638" s="122"/>
      <c r="H1638" s="138"/>
      <c r="I1638" s="80"/>
      <c r="J1638" s="80"/>
      <c r="K1638" s="95"/>
      <c r="L1638" s="80"/>
      <c r="M1638" s="43"/>
      <c r="N1638" s="43"/>
      <c r="O1638" s="80"/>
      <c r="P1638" s="80"/>
      <c r="Q1638" s="80"/>
      <c r="R1638" s="80"/>
      <c r="S1638" s="117"/>
      <c r="T1638" s="81"/>
      <c r="U1638" s="81"/>
      <c r="V1638" s="81"/>
      <c r="W1638" s="81"/>
      <c r="X1638" s="81"/>
      <c r="Y1638" s="81"/>
      <c r="Z1638" s="82"/>
      <c r="AA1638" s="99"/>
      <c r="AB1638" s="48" t="s">
        <v>61</v>
      </c>
      <c r="AC1638" s="68" t="s">
        <v>61</v>
      </c>
      <c r="AD1638" s="69" t="s">
        <v>61</v>
      </c>
      <c r="AE1638" s="69" t="s">
        <v>61</v>
      </c>
      <c r="AF1638" s="68" t="s">
        <v>61</v>
      </c>
      <c r="AG1638" s="68" t="s">
        <v>61</v>
      </c>
      <c r="AH1638" s="68" t="s">
        <v>61</v>
      </c>
      <c r="AI1638" s="70" t="s">
        <v>61</v>
      </c>
      <c r="AJ1638" s="114" t="s">
        <v>61</v>
      </c>
      <c r="AK1638" s="82"/>
    </row>
    <row r="1639" ht="24.0" customHeight="1">
      <c r="A1639" s="35"/>
      <c r="B1639" s="36">
        <v>1.0</v>
      </c>
      <c r="C1639" s="37" t="str">
        <f>IFERROR(__xludf.DUMMYFUNCTION("""COMPUTED_VALUE"""),"")</f>
        <v/>
      </c>
      <c r="D1639" s="89" t="s">
        <v>61</v>
      </c>
      <c r="E1639" s="51" t="s">
        <v>61</v>
      </c>
      <c r="F1639" s="137"/>
      <c r="G1639" s="133"/>
      <c r="H1639" s="141"/>
      <c r="I1639" s="57"/>
      <c r="J1639" s="57"/>
      <c r="K1639" s="72"/>
      <c r="L1639" s="57"/>
      <c r="M1639" s="55"/>
      <c r="N1639" s="55"/>
      <c r="O1639" s="57"/>
      <c r="P1639" s="57"/>
      <c r="Q1639" s="57"/>
      <c r="R1639" s="57"/>
      <c r="S1639" s="132"/>
      <c r="T1639" s="74"/>
      <c r="U1639" s="74"/>
      <c r="V1639" s="74"/>
      <c r="W1639" s="74"/>
      <c r="X1639" s="74"/>
      <c r="Y1639" s="74"/>
      <c r="Z1639" s="76"/>
      <c r="AA1639" s="134"/>
      <c r="AB1639" s="62" t="s">
        <v>61</v>
      </c>
      <c r="AC1639" s="63" t="s">
        <v>61</v>
      </c>
      <c r="AD1639" s="64" t="s">
        <v>61</v>
      </c>
      <c r="AE1639" s="64" t="s">
        <v>61</v>
      </c>
      <c r="AF1639" s="63" t="s">
        <v>61</v>
      </c>
      <c r="AG1639" s="63" t="s">
        <v>61</v>
      </c>
      <c r="AH1639" s="63" t="s">
        <v>61</v>
      </c>
      <c r="AI1639" s="65" t="s">
        <v>61</v>
      </c>
      <c r="AJ1639" s="105" t="s">
        <v>61</v>
      </c>
      <c r="AK1639" s="76"/>
    </row>
    <row r="1640" ht="24.0" customHeight="1">
      <c r="A1640" s="35"/>
      <c r="B1640" s="36">
        <v>1.0</v>
      </c>
      <c r="C1640" s="37" t="str">
        <f>IFERROR(__xludf.DUMMYFUNCTION("""COMPUTED_VALUE"""),"")</f>
        <v/>
      </c>
      <c r="D1640" s="89" t="s">
        <v>61</v>
      </c>
      <c r="E1640" s="39" t="s">
        <v>61</v>
      </c>
      <c r="F1640" s="121"/>
      <c r="G1640" s="122"/>
      <c r="H1640" s="138"/>
      <c r="I1640" s="80"/>
      <c r="J1640" s="80"/>
      <c r="K1640" s="95"/>
      <c r="L1640" s="80"/>
      <c r="M1640" s="43"/>
      <c r="N1640" s="43"/>
      <c r="O1640" s="80"/>
      <c r="P1640" s="80"/>
      <c r="Q1640" s="80"/>
      <c r="R1640" s="80"/>
      <c r="S1640" s="117"/>
      <c r="T1640" s="81"/>
      <c r="U1640" s="81"/>
      <c r="V1640" s="81"/>
      <c r="W1640" s="81"/>
      <c r="X1640" s="81"/>
      <c r="Y1640" s="81"/>
      <c r="Z1640" s="82"/>
      <c r="AA1640" s="99"/>
      <c r="AB1640" s="48" t="s">
        <v>61</v>
      </c>
      <c r="AC1640" s="68" t="s">
        <v>61</v>
      </c>
      <c r="AD1640" s="69" t="s">
        <v>61</v>
      </c>
      <c r="AE1640" s="69" t="s">
        <v>61</v>
      </c>
      <c r="AF1640" s="68" t="s">
        <v>61</v>
      </c>
      <c r="AG1640" s="68" t="s">
        <v>61</v>
      </c>
      <c r="AH1640" s="68" t="s">
        <v>61</v>
      </c>
      <c r="AI1640" s="70" t="s">
        <v>61</v>
      </c>
      <c r="AJ1640" s="114" t="s">
        <v>61</v>
      </c>
      <c r="AK1640" s="82"/>
    </row>
    <row r="1641" ht="24.0" customHeight="1">
      <c r="A1641" s="35"/>
      <c r="B1641" s="36">
        <v>1.0</v>
      </c>
      <c r="C1641" s="37" t="str">
        <f>IFERROR(__xludf.DUMMYFUNCTION("""COMPUTED_VALUE"""),"")</f>
        <v/>
      </c>
      <c r="D1641" s="89" t="s">
        <v>61</v>
      </c>
      <c r="E1641" s="51" t="s">
        <v>61</v>
      </c>
      <c r="F1641" s="137"/>
      <c r="G1641" s="133"/>
      <c r="H1641" s="141"/>
      <c r="I1641" s="57"/>
      <c r="J1641" s="57"/>
      <c r="K1641" s="72"/>
      <c r="L1641" s="57"/>
      <c r="M1641" s="55"/>
      <c r="N1641" s="55"/>
      <c r="O1641" s="57"/>
      <c r="P1641" s="57"/>
      <c r="Q1641" s="57"/>
      <c r="R1641" s="57"/>
      <c r="S1641" s="132"/>
      <c r="T1641" s="74"/>
      <c r="U1641" s="74"/>
      <c r="V1641" s="74"/>
      <c r="W1641" s="74"/>
      <c r="X1641" s="74"/>
      <c r="Y1641" s="74"/>
      <c r="Z1641" s="76"/>
      <c r="AA1641" s="134"/>
      <c r="AB1641" s="62" t="s">
        <v>61</v>
      </c>
      <c r="AC1641" s="63" t="s">
        <v>61</v>
      </c>
      <c r="AD1641" s="64" t="s">
        <v>61</v>
      </c>
      <c r="AE1641" s="64" t="s">
        <v>61</v>
      </c>
      <c r="AF1641" s="63" t="s">
        <v>61</v>
      </c>
      <c r="AG1641" s="63" t="s">
        <v>61</v>
      </c>
      <c r="AH1641" s="63" t="s">
        <v>61</v>
      </c>
      <c r="AI1641" s="65" t="s">
        <v>61</v>
      </c>
      <c r="AJ1641" s="105" t="s">
        <v>61</v>
      </c>
      <c r="AK1641" s="76"/>
    </row>
    <row r="1642" ht="24.0" customHeight="1">
      <c r="A1642" s="35"/>
      <c r="B1642" s="36">
        <v>1.0</v>
      </c>
      <c r="C1642" s="37" t="str">
        <f>IFERROR(__xludf.DUMMYFUNCTION("""COMPUTED_VALUE"""),"")</f>
        <v/>
      </c>
      <c r="D1642" s="89" t="s">
        <v>61</v>
      </c>
      <c r="E1642" s="39" t="s">
        <v>61</v>
      </c>
      <c r="F1642" s="121"/>
      <c r="G1642" s="122"/>
      <c r="H1642" s="138"/>
      <c r="I1642" s="80"/>
      <c r="J1642" s="80"/>
      <c r="K1642" s="95"/>
      <c r="L1642" s="80"/>
      <c r="M1642" s="43"/>
      <c r="N1642" s="43"/>
      <c r="O1642" s="80"/>
      <c r="P1642" s="80"/>
      <c r="Q1642" s="80"/>
      <c r="R1642" s="80"/>
      <c r="S1642" s="117"/>
      <c r="T1642" s="81"/>
      <c r="U1642" s="81"/>
      <c r="V1642" s="81"/>
      <c r="W1642" s="81"/>
      <c r="X1642" s="81"/>
      <c r="Y1642" s="81"/>
      <c r="Z1642" s="82"/>
      <c r="AA1642" s="99"/>
      <c r="AB1642" s="48" t="s">
        <v>61</v>
      </c>
      <c r="AC1642" s="68" t="s">
        <v>61</v>
      </c>
      <c r="AD1642" s="69" t="s">
        <v>61</v>
      </c>
      <c r="AE1642" s="69" t="s">
        <v>61</v>
      </c>
      <c r="AF1642" s="68" t="s">
        <v>61</v>
      </c>
      <c r="AG1642" s="68" t="s">
        <v>61</v>
      </c>
      <c r="AH1642" s="68" t="s">
        <v>61</v>
      </c>
      <c r="AI1642" s="70" t="s">
        <v>61</v>
      </c>
      <c r="AJ1642" s="114" t="s">
        <v>61</v>
      </c>
      <c r="AK1642" s="82"/>
    </row>
    <row r="1643" ht="24.0" customHeight="1">
      <c r="A1643" s="35"/>
      <c r="B1643" s="36">
        <v>1.0</v>
      </c>
      <c r="C1643" s="37" t="str">
        <f>IFERROR(__xludf.DUMMYFUNCTION("""COMPUTED_VALUE"""),"")</f>
        <v/>
      </c>
      <c r="D1643" s="89" t="s">
        <v>61</v>
      </c>
      <c r="E1643" s="51" t="s">
        <v>61</v>
      </c>
      <c r="F1643" s="137"/>
      <c r="G1643" s="133"/>
      <c r="H1643" s="141"/>
      <c r="I1643" s="57"/>
      <c r="J1643" s="57"/>
      <c r="K1643" s="72"/>
      <c r="L1643" s="57"/>
      <c r="M1643" s="55"/>
      <c r="N1643" s="55"/>
      <c r="O1643" s="57"/>
      <c r="P1643" s="57"/>
      <c r="Q1643" s="57"/>
      <c r="R1643" s="57"/>
      <c r="S1643" s="132"/>
      <c r="T1643" s="74"/>
      <c r="U1643" s="74"/>
      <c r="V1643" s="74"/>
      <c r="W1643" s="74"/>
      <c r="X1643" s="74"/>
      <c r="Y1643" s="74"/>
      <c r="Z1643" s="76"/>
      <c r="AA1643" s="134"/>
      <c r="AB1643" s="62" t="s">
        <v>61</v>
      </c>
      <c r="AC1643" s="63" t="s">
        <v>61</v>
      </c>
      <c r="AD1643" s="64" t="s">
        <v>61</v>
      </c>
      <c r="AE1643" s="64" t="s">
        <v>61</v>
      </c>
      <c r="AF1643" s="63" t="s">
        <v>61</v>
      </c>
      <c r="AG1643" s="63" t="s">
        <v>61</v>
      </c>
      <c r="AH1643" s="63" t="s">
        <v>61</v>
      </c>
      <c r="AI1643" s="65" t="s">
        <v>61</v>
      </c>
      <c r="AJ1643" s="105" t="s">
        <v>61</v>
      </c>
      <c r="AK1643" s="76"/>
    </row>
    <row r="1644" ht="24.0" customHeight="1">
      <c r="A1644" s="35"/>
      <c r="B1644" s="36">
        <v>1.0</v>
      </c>
      <c r="C1644" s="37" t="str">
        <f>IFERROR(__xludf.DUMMYFUNCTION("""COMPUTED_VALUE"""),"")</f>
        <v/>
      </c>
      <c r="D1644" s="89" t="s">
        <v>61</v>
      </c>
      <c r="E1644" s="39" t="s">
        <v>61</v>
      </c>
      <c r="F1644" s="121"/>
      <c r="G1644" s="122"/>
      <c r="H1644" s="138"/>
      <c r="I1644" s="80"/>
      <c r="J1644" s="80"/>
      <c r="K1644" s="95"/>
      <c r="L1644" s="80"/>
      <c r="M1644" s="43"/>
      <c r="N1644" s="43"/>
      <c r="O1644" s="80"/>
      <c r="P1644" s="80"/>
      <c r="Q1644" s="80"/>
      <c r="R1644" s="80"/>
      <c r="S1644" s="117"/>
      <c r="T1644" s="81"/>
      <c r="U1644" s="81"/>
      <c r="V1644" s="81"/>
      <c r="W1644" s="81"/>
      <c r="X1644" s="81"/>
      <c r="Y1644" s="81"/>
      <c r="Z1644" s="82"/>
      <c r="AA1644" s="99"/>
      <c r="AB1644" s="48" t="s">
        <v>61</v>
      </c>
      <c r="AC1644" s="68" t="s">
        <v>61</v>
      </c>
      <c r="AD1644" s="69" t="s">
        <v>61</v>
      </c>
      <c r="AE1644" s="69" t="s">
        <v>61</v>
      </c>
      <c r="AF1644" s="68" t="s">
        <v>61</v>
      </c>
      <c r="AG1644" s="68" t="s">
        <v>61</v>
      </c>
      <c r="AH1644" s="68" t="s">
        <v>61</v>
      </c>
      <c r="AI1644" s="70" t="s">
        <v>61</v>
      </c>
      <c r="AJ1644" s="114" t="s">
        <v>61</v>
      </c>
      <c r="AK1644" s="82"/>
    </row>
    <row r="1645" ht="24.0" customHeight="1">
      <c r="A1645" s="35"/>
      <c r="B1645" s="36">
        <v>1.0</v>
      </c>
      <c r="C1645" s="37" t="str">
        <f>IFERROR(__xludf.DUMMYFUNCTION("""COMPUTED_VALUE"""),"")</f>
        <v/>
      </c>
      <c r="D1645" s="89" t="s">
        <v>61</v>
      </c>
      <c r="E1645" s="51" t="s">
        <v>61</v>
      </c>
      <c r="F1645" s="137"/>
      <c r="G1645" s="133"/>
      <c r="H1645" s="141"/>
      <c r="I1645" s="57"/>
      <c r="J1645" s="57"/>
      <c r="K1645" s="72"/>
      <c r="L1645" s="57"/>
      <c r="M1645" s="55"/>
      <c r="N1645" s="55"/>
      <c r="O1645" s="57"/>
      <c r="P1645" s="57"/>
      <c r="Q1645" s="57"/>
      <c r="R1645" s="57"/>
      <c r="S1645" s="132"/>
      <c r="T1645" s="74"/>
      <c r="U1645" s="74"/>
      <c r="V1645" s="74"/>
      <c r="W1645" s="74"/>
      <c r="X1645" s="74"/>
      <c r="Y1645" s="74"/>
      <c r="Z1645" s="76"/>
      <c r="AA1645" s="134"/>
      <c r="AB1645" s="62" t="s">
        <v>61</v>
      </c>
      <c r="AC1645" s="63" t="s">
        <v>61</v>
      </c>
      <c r="AD1645" s="64" t="s">
        <v>61</v>
      </c>
      <c r="AE1645" s="64" t="s">
        <v>61</v>
      </c>
      <c r="AF1645" s="63" t="s">
        <v>61</v>
      </c>
      <c r="AG1645" s="63" t="s">
        <v>61</v>
      </c>
      <c r="AH1645" s="63" t="s">
        <v>61</v>
      </c>
      <c r="AI1645" s="65" t="s">
        <v>61</v>
      </c>
      <c r="AJ1645" s="105" t="s">
        <v>61</v>
      </c>
      <c r="AK1645" s="76"/>
    </row>
    <row r="1646" ht="24.0" customHeight="1">
      <c r="A1646" s="35"/>
      <c r="B1646" s="36">
        <v>1.0</v>
      </c>
      <c r="C1646" s="37" t="str">
        <f>IFERROR(__xludf.DUMMYFUNCTION("""COMPUTED_VALUE"""),"")</f>
        <v/>
      </c>
      <c r="D1646" s="89" t="s">
        <v>61</v>
      </c>
      <c r="E1646" s="39" t="s">
        <v>61</v>
      </c>
      <c r="F1646" s="121"/>
      <c r="G1646" s="122"/>
      <c r="H1646" s="138"/>
      <c r="I1646" s="80"/>
      <c r="J1646" s="80"/>
      <c r="K1646" s="95"/>
      <c r="L1646" s="80"/>
      <c r="M1646" s="43"/>
      <c r="N1646" s="43"/>
      <c r="O1646" s="80"/>
      <c r="P1646" s="80"/>
      <c r="Q1646" s="80"/>
      <c r="R1646" s="80"/>
      <c r="S1646" s="117"/>
      <c r="T1646" s="81"/>
      <c r="U1646" s="81"/>
      <c r="V1646" s="81"/>
      <c r="W1646" s="81"/>
      <c r="X1646" s="81"/>
      <c r="Y1646" s="81"/>
      <c r="Z1646" s="82"/>
      <c r="AA1646" s="99"/>
      <c r="AB1646" s="48" t="s">
        <v>61</v>
      </c>
      <c r="AC1646" s="68" t="s">
        <v>61</v>
      </c>
      <c r="AD1646" s="69" t="s">
        <v>61</v>
      </c>
      <c r="AE1646" s="69" t="s">
        <v>61</v>
      </c>
      <c r="AF1646" s="68" t="s">
        <v>61</v>
      </c>
      <c r="AG1646" s="68" t="s">
        <v>61</v>
      </c>
      <c r="AH1646" s="68" t="s">
        <v>61</v>
      </c>
      <c r="AI1646" s="70" t="s">
        <v>61</v>
      </c>
      <c r="AJ1646" s="114" t="s">
        <v>61</v>
      </c>
      <c r="AK1646" s="82"/>
    </row>
    <row r="1647" ht="24.0" customHeight="1">
      <c r="A1647" s="35"/>
      <c r="B1647" s="36">
        <v>1.0</v>
      </c>
      <c r="C1647" s="37" t="str">
        <f>IFERROR(__xludf.DUMMYFUNCTION("""COMPUTED_VALUE"""),"")</f>
        <v/>
      </c>
      <c r="D1647" s="89" t="s">
        <v>61</v>
      </c>
      <c r="E1647" s="51" t="s">
        <v>61</v>
      </c>
      <c r="F1647" s="137"/>
      <c r="G1647" s="133"/>
      <c r="H1647" s="141"/>
      <c r="I1647" s="57"/>
      <c r="J1647" s="57"/>
      <c r="K1647" s="72"/>
      <c r="L1647" s="57"/>
      <c r="M1647" s="55"/>
      <c r="N1647" s="55"/>
      <c r="O1647" s="57"/>
      <c r="P1647" s="57"/>
      <c r="Q1647" s="57"/>
      <c r="R1647" s="57"/>
      <c r="S1647" s="132"/>
      <c r="T1647" s="74"/>
      <c r="U1647" s="74"/>
      <c r="V1647" s="74"/>
      <c r="W1647" s="74"/>
      <c r="X1647" s="74"/>
      <c r="Y1647" s="74"/>
      <c r="Z1647" s="76"/>
      <c r="AA1647" s="134"/>
      <c r="AB1647" s="62" t="s">
        <v>61</v>
      </c>
      <c r="AC1647" s="63" t="s">
        <v>61</v>
      </c>
      <c r="AD1647" s="64" t="s">
        <v>61</v>
      </c>
      <c r="AE1647" s="64" t="s">
        <v>61</v>
      </c>
      <c r="AF1647" s="63" t="s">
        <v>61</v>
      </c>
      <c r="AG1647" s="63" t="s">
        <v>61</v>
      </c>
      <c r="AH1647" s="63" t="s">
        <v>61</v>
      </c>
      <c r="AI1647" s="65" t="s">
        <v>61</v>
      </c>
      <c r="AJ1647" s="105" t="s">
        <v>61</v>
      </c>
      <c r="AK1647" s="76"/>
    </row>
    <row r="1648" ht="24.0" customHeight="1">
      <c r="A1648" s="35"/>
      <c r="B1648" s="36">
        <v>1.0</v>
      </c>
      <c r="C1648" s="37" t="str">
        <f>IFERROR(__xludf.DUMMYFUNCTION("""COMPUTED_VALUE"""),"")</f>
        <v/>
      </c>
      <c r="D1648" s="89" t="s">
        <v>61</v>
      </c>
      <c r="E1648" s="39" t="s">
        <v>61</v>
      </c>
      <c r="F1648" s="121"/>
      <c r="G1648" s="122"/>
      <c r="H1648" s="138"/>
      <c r="I1648" s="80"/>
      <c r="J1648" s="80"/>
      <c r="K1648" s="95"/>
      <c r="L1648" s="80"/>
      <c r="M1648" s="43"/>
      <c r="N1648" s="43"/>
      <c r="O1648" s="80"/>
      <c r="P1648" s="80"/>
      <c r="Q1648" s="80"/>
      <c r="R1648" s="80"/>
      <c r="S1648" s="117"/>
      <c r="T1648" s="81"/>
      <c r="U1648" s="81"/>
      <c r="V1648" s="81"/>
      <c r="W1648" s="81"/>
      <c r="X1648" s="81"/>
      <c r="Y1648" s="81"/>
      <c r="Z1648" s="82"/>
      <c r="AA1648" s="99"/>
      <c r="AB1648" s="48" t="s">
        <v>61</v>
      </c>
      <c r="AC1648" s="68" t="s">
        <v>61</v>
      </c>
      <c r="AD1648" s="69" t="s">
        <v>61</v>
      </c>
      <c r="AE1648" s="69" t="s">
        <v>61</v>
      </c>
      <c r="AF1648" s="68" t="s">
        <v>61</v>
      </c>
      <c r="AG1648" s="68" t="s">
        <v>61</v>
      </c>
      <c r="AH1648" s="68" t="s">
        <v>61</v>
      </c>
      <c r="AI1648" s="70" t="s">
        <v>61</v>
      </c>
      <c r="AJ1648" s="114" t="s">
        <v>61</v>
      </c>
      <c r="AK1648" s="82"/>
    </row>
    <row r="1649" ht="24.0" customHeight="1">
      <c r="A1649" s="35"/>
      <c r="B1649" s="36">
        <v>1.0</v>
      </c>
      <c r="C1649" s="37" t="str">
        <f>IFERROR(__xludf.DUMMYFUNCTION("""COMPUTED_VALUE"""),"")</f>
        <v/>
      </c>
      <c r="D1649" s="89" t="s">
        <v>61</v>
      </c>
      <c r="E1649" s="51" t="s">
        <v>61</v>
      </c>
      <c r="F1649" s="137"/>
      <c r="G1649" s="133"/>
      <c r="H1649" s="141"/>
      <c r="I1649" s="57"/>
      <c r="J1649" s="57"/>
      <c r="K1649" s="72"/>
      <c r="L1649" s="57"/>
      <c r="M1649" s="55"/>
      <c r="N1649" s="55"/>
      <c r="O1649" s="57"/>
      <c r="P1649" s="57"/>
      <c r="Q1649" s="57"/>
      <c r="R1649" s="57"/>
      <c r="S1649" s="132"/>
      <c r="T1649" s="74"/>
      <c r="U1649" s="74"/>
      <c r="V1649" s="74"/>
      <c r="W1649" s="74"/>
      <c r="X1649" s="74"/>
      <c r="Y1649" s="74"/>
      <c r="Z1649" s="76"/>
      <c r="AA1649" s="134"/>
      <c r="AB1649" s="62" t="s">
        <v>61</v>
      </c>
      <c r="AC1649" s="63" t="s">
        <v>61</v>
      </c>
      <c r="AD1649" s="64" t="s">
        <v>61</v>
      </c>
      <c r="AE1649" s="64" t="s">
        <v>61</v>
      </c>
      <c r="AF1649" s="63" t="s">
        <v>61</v>
      </c>
      <c r="AG1649" s="63" t="s">
        <v>61</v>
      </c>
      <c r="AH1649" s="63" t="s">
        <v>61</v>
      </c>
      <c r="AI1649" s="65" t="s">
        <v>61</v>
      </c>
      <c r="AJ1649" s="105" t="s">
        <v>61</v>
      </c>
      <c r="AK1649" s="76"/>
    </row>
    <row r="1650" ht="24.0" customHeight="1">
      <c r="A1650" s="35"/>
      <c r="B1650" s="36">
        <v>1.0</v>
      </c>
      <c r="C1650" s="37" t="str">
        <f>IFERROR(__xludf.DUMMYFUNCTION("""COMPUTED_VALUE"""),"")</f>
        <v/>
      </c>
      <c r="D1650" s="89" t="s">
        <v>61</v>
      </c>
      <c r="E1650" s="39" t="s">
        <v>61</v>
      </c>
      <c r="F1650" s="121"/>
      <c r="G1650" s="122"/>
      <c r="H1650" s="138"/>
      <c r="I1650" s="80"/>
      <c r="J1650" s="80"/>
      <c r="K1650" s="95"/>
      <c r="L1650" s="80"/>
      <c r="M1650" s="43"/>
      <c r="N1650" s="43"/>
      <c r="O1650" s="80"/>
      <c r="P1650" s="80"/>
      <c r="Q1650" s="80"/>
      <c r="R1650" s="80"/>
      <c r="S1650" s="117"/>
      <c r="T1650" s="81"/>
      <c r="U1650" s="81"/>
      <c r="V1650" s="81"/>
      <c r="W1650" s="81"/>
      <c r="X1650" s="81"/>
      <c r="Y1650" s="81"/>
      <c r="Z1650" s="82"/>
      <c r="AA1650" s="99"/>
      <c r="AB1650" s="48" t="s">
        <v>61</v>
      </c>
      <c r="AC1650" s="68" t="s">
        <v>61</v>
      </c>
      <c r="AD1650" s="69" t="s">
        <v>61</v>
      </c>
      <c r="AE1650" s="69" t="s">
        <v>61</v>
      </c>
      <c r="AF1650" s="68" t="s">
        <v>61</v>
      </c>
      <c r="AG1650" s="68" t="s">
        <v>61</v>
      </c>
      <c r="AH1650" s="68" t="s">
        <v>61</v>
      </c>
      <c r="AI1650" s="70" t="s">
        <v>61</v>
      </c>
      <c r="AJ1650" s="114" t="s">
        <v>61</v>
      </c>
      <c r="AK1650" s="82"/>
    </row>
    <row r="1651" ht="24.0" customHeight="1">
      <c r="A1651" s="35"/>
      <c r="B1651" s="36">
        <v>1.0</v>
      </c>
      <c r="C1651" s="37" t="str">
        <f>IFERROR(__xludf.DUMMYFUNCTION("""COMPUTED_VALUE"""),"")</f>
        <v/>
      </c>
      <c r="D1651" s="89" t="s">
        <v>61</v>
      </c>
      <c r="E1651" s="51" t="s">
        <v>61</v>
      </c>
      <c r="F1651" s="137"/>
      <c r="G1651" s="133"/>
      <c r="H1651" s="141"/>
      <c r="I1651" s="57"/>
      <c r="J1651" s="57"/>
      <c r="K1651" s="72"/>
      <c r="L1651" s="57"/>
      <c r="M1651" s="55"/>
      <c r="N1651" s="55"/>
      <c r="O1651" s="57"/>
      <c r="P1651" s="57"/>
      <c r="Q1651" s="57"/>
      <c r="R1651" s="57"/>
      <c r="S1651" s="132"/>
      <c r="T1651" s="74"/>
      <c r="U1651" s="74"/>
      <c r="V1651" s="74"/>
      <c r="W1651" s="74"/>
      <c r="X1651" s="74"/>
      <c r="Y1651" s="74"/>
      <c r="Z1651" s="76"/>
      <c r="AA1651" s="134"/>
      <c r="AB1651" s="62" t="s">
        <v>61</v>
      </c>
      <c r="AC1651" s="63" t="s">
        <v>61</v>
      </c>
      <c r="AD1651" s="64" t="s">
        <v>61</v>
      </c>
      <c r="AE1651" s="64" t="s">
        <v>61</v>
      </c>
      <c r="AF1651" s="63" t="s">
        <v>61</v>
      </c>
      <c r="AG1651" s="63" t="s">
        <v>61</v>
      </c>
      <c r="AH1651" s="63" t="s">
        <v>61</v>
      </c>
      <c r="AI1651" s="65" t="s">
        <v>61</v>
      </c>
      <c r="AJ1651" s="105" t="s">
        <v>61</v>
      </c>
      <c r="AK1651" s="76"/>
    </row>
    <row r="1652" ht="24.0" customHeight="1">
      <c r="A1652" s="35"/>
      <c r="B1652" s="36">
        <v>1.0</v>
      </c>
      <c r="C1652" s="37" t="str">
        <f>IFERROR(__xludf.DUMMYFUNCTION("""COMPUTED_VALUE"""),"")</f>
        <v/>
      </c>
      <c r="D1652" s="89" t="s">
        <v>61</v>
      </c>
      <c r="E1652" s="39" t="s">
        <v>61</v>
      </c>
      <c r="F1652" s="121"/>
      <c r="G1652" s="122"/>
      <c r="H1652" s="138"/>
      <c r="I1652" s="80"/>
      <c r="J1652" s="80"/>
      <c r="K1652" s="95"/>
      <c r="L1652" s="80"/>
      <c r="M1652" s="43"/>
      <c r="N1652" s="43"/>
      <c r="O1652" s="80"/>
      <c r="P1652" s="80"/>
      <c r="Q1652" s="80"/>
      <c r="R1652" s="80"/>
      <c r="S1652" s="117"/>
      <c r="T1652" s="81"/>
      <c r="U1652" s="81"/>
      <c r="V1652" s="81"/>
      <c r="W1652" s="81"/>
      <c r="X1652" s="81"/>
      <c r="Y1652" s="81"/>
      <c r="Z1652" s="82"/>
      <c r="AA1652" s="99"/>
      <c r="AB1652" s="48" t="s">
        <v>61</v>
      </c>
      <c r="AC1652" s="68" t="s">
        <v>61</v>
      </c>
      <c r="AD1652" s="69" t="s">
        <v>61</v>
      </c>
      <c r="AE1652" s="69" t="s">
        <v>61</v>
      </c>
      <c r="AF1652" s="68" t="s">
        <v>61</v>
      </c>
      <c r="AG1652" s="68" t="s">
        <v>61</v>
      </c>
      <c r="AH1652" s="68" t="s">
        <v>61</v>
      </c>
      <c r="AI1652" s="70" t="s">
        <v>61</v>
      </c>
      <c r="AJ1652" s="114" t="s">
        <v>61</v>
      </c>
      <c r="AK1652" s="82"/>
    </row>
    <row r="1653" ht="24.0" customHeight="1">
      <c r="A1653" s="35"/>
      <c r="B1653" s="36">
        <v>1.0</v>
      </c>
      <c r="C1653" s="37" t="str">
        <f>IFERROR(__xludf.DUMMYFUNCTION("""COMPUTED_VALUE"""),"")</f>
        <v/>
      </c>
      <c r="D1653" s="89" t="s">
        <v>61</v>
      </c>
      <c r="E1653" s="51" t="s">
        <v>61</v>
      </c>
      <c r="F1653" s="137"/>
      <c r="G1653" s="133"/>
      <c r="H1653" s="141"/>
      <c r="I1653" s="57"/>
      <c r="J1653" s="57"/>
      <c r="K1653" s="72"/>
      <c r="L1653" s="57"/>
      <c r="M1653" s="55"/>
      <c r="N1653" s="55"/>
      <c r="O1653" s="57"/>
      <c r="P1653" s="57"/>
      <c r="Q1653" s="57"/>
      <c r="R1653" s="57"/>
      <c r="S1653" s="132"/>
      <c r="T1653" s="74"/>
      <c r="U1653" s="74"/>
      <c r="V1653" s="74"/>
      <c r="W1653" s="74"/>
      <c r="X1653" s="74"/>
      <c r="Y1653" s="74"/>
      <c r="Z1653" s="76"/>
      <c r="AA1653" s="134"/>
      <c r="AB1653" s="62" t="s">
        <v>61</v>
      </c>
      <c r="AC1653" s="63" t="s">
        <v>61</v>
      </c>
      <c r="AD1653" s="64" t="s">
        <v>61</v>
      </c>
      <c r="AE1653" s="64" t="s">
        <v>61</v>
      </c>
      <c r="AF1653" s="63" t="s">
        <v>61</v>
      </c>
      <c r="AG1653" s="63" t="s">
        <v>61</v>
      </c>
      <c r="AH1653" s="63" t="s">
        <v>61</v>
      </c>
      <c r="AI1653" s="65" t="s">
        <v>61</v>
      </c>
      <c r="AJ1653" s="105" t="s">
        <v>61</v>
      </c>
      <c r="AK1653" s="76"/>
    </row>
    <row r="1654" ht="24.0" customHeight="1">
      <c r="A1654" s="35"/>
      <c r="B1654" s="36">
        <v>1.0</v>
      </c>
      <c r="C1654" s="37" t="str">
        <f>IFERROR(__xludf.DUMMYFUNCTION("""COMPUTED_VALUE"""),"")</f>
        <v/>
      </c>
      <c r="D1654" s="89" t="s">
        <v>61</v>
      </c>
      <c r="E1654" s="39" t="s">
        <v>61</v>
      </c>
      <c r="F1654" s="121"/>
      <c r="G1654" s="122"/>
      <c r="H1654" s="138"/>
      <c r="I1654" s="80"/>
      <c r="J1654" s="80"/>
      <c r="K1654" s="95"/>
      <c r="L1654" s="80"/>
      <c r="M1654" s="43"/>
      <c r="N1654" s="43"/>
      <c r="O1654" s="80"/>
      <c r="P1654" s="80"/>
      <c r="Q1654" s="80"/>
      <c r="R1654" s="80"/>
      <c r="S1654" s="117"/>
      <c r="T1654" s="81"/>
      <c r="U1654" s="81"/>
      <c r="V1654" s="81"/>
      <c r="W1654" s="81"/>
      <c r="X1654" s="81"/>
      <c r="Y1654" s="81"/>
      <c r="Z1654" s="82"/>
      <c r="AA1654" s="99"/>
      <c r="AB1654" s="48" t="s">
        <v>61</v>
      </c>
      <c r="AC1654" s="68" t="s">
        <v>61</v>
      </c>
      <c r="AD1654" s="69" t="s">
        <v>61</v>
      </c>
      <c r="AE1654" s="69" t="s">
        <v>61</v>
      </c>
      <c r="AF1654" s="68" t="s">
        <v>61</v>
      </c>
      <c r="AG1654" s="68" t="s">
        <v>61</v>
      </c>
      <c r="AH1654" s="68" t="s">
        <v>61</v>
      </c>
      <c r="AI1654" s="70" t="s">
        <v>61</v>
      </c>
      <c r="AJ1654" s="114" t="s">
        <v>61</v>
      </c>
      <c r="AK1654" s="82"/>
    </row>
    <row r="1655" ht="24.0" customHeight="1">
      <c r="A1655" s="35"/>
      <c r="B1655" s="36">
        <v>1.0</v>
      </c>
      <c r="C1655" s="37" t="str">
        <f>IFERROR(__xludf.DUMMYFUNCTION("""COMPUTED_VALUE"""),"")</f>
        <v/>
      </c>
      <c r="D1655" s="89" t="s">
        <v>61</v>
      </c>
      <c r="E1655" s="51" t="s">
        <v>61</v>
      </c>
      <c r="F1655" s="137"/>
      <c r="G1655" s="133"/>
      <c r="H1655" s="141"/>
      <c r="I1655" s="57"/>
      <c r="J1655" s="57"/>
      <c r="K1655" s="72"/>
      <c r="L1655" s="57"/>
      <c r="M1655" s="55"/>
      <c r="N1655" s="55"/>
      <c r="O1655" s="57"/>
      <c r="P1655" s="57"/>
      <c r="Q1655" s="57"/>
      <c r="R1655" s="57"/>
      <c r="S1655" s="132"/>
      <c r="T1655" s="74"/>
      <c r="U1655" s="74"/>
      <c r="V1655" s="74"/>
      <c r="W1655" s="74"/>
      <c r="X1655" s="74"/>
      <c r="Y1655" s="74"/>
      <c r="Z1655" s="76"/>
      <c r="AA1655" s="134"/>
      <c r="AB1655" s="62" t="s">
        <v>61</v>
      </c>
      <c r="AC1655" s="63" t="s">
        <v>61</v>
      </c>
      <c r="AD1655" s="64" t="s">
        <v>61</v>
      </c>
      <c r="AE1655" s="64" t="s">
        <v>61</v>
      </c>
      <c r="AF1655" s="63" t="s">
        <v>61</v>
      </c>
      <c r="AG1655" s="63" t="s">
        <v>61</v>
      </c>
      <c r="AH1655" s="63" t="s">
        <v>61</v>
      </c>
      <c r="AI1655" s="65" t="s">
        <v>61</v>
      </c>
      <c r="AJ1655" s="105" t="s">
        <v>61</v>
      </c>
      <c r="AK1655" s="76"/>
    </row>
    <row r="1656" ht="24.0" customHeight="1">
      <c r="A1656" s="35"/>
      <c r="B1656" s="36">
        <v>1.0</v>
      </c>
      <c r="C1656" s="37" t="str">
        <f>IFERROR(__xludf.DUMMYFUNCTION("""COMPUTED_VALUE"""),"")</f>
        <v/>
      </c>
      <c r="D1656" s="89" t="s">
        <v>61</v>
      </c>
      <c r="E1656" s="39" t="s">
        <v>61</v>
      </c>
      <c r="F1656" s="121"/>
      <c r="G1656" s="122"/>
      <c r="H1656" s="138"/>
      <c r="I1656" s="80"/>
      <c r="J1656" s="80"/>
      <c r="K1656" s="95"/>
      <c r="L1656" s="80"/>
      <c r="M1656" s="43"/>
      <c r="N1656" s="43"/>
      <c r="O1656" s="80"/>
      <c r="P1656" s="80"/>
      <c r="Q1656" s="80"/>
      <c r="R1656" s="80"/>
      <c r="S1656" s="117"/>
      <c r="T1656" s="81"/>
      <c r="U1656" s="81"/>
      <c r="V1656" s="81"/>
      <c r="W1656" s="81"/>
      <c r="X1656" s="81"/>
      <c r="Y1656" s="81"/>
      <c r="Z1656" s="82"/>
      <c r="AA1656" s="99"/>
      <c r="AB1656" s="48" t="s">
        <v>61</v>
      </c>
      <c r="AC1656" s="68" t="s">
        <v>61</v>
      </c>
      <c r="AD1656" s="69" t="s">
        <v>61</v>
      </c>
      <c r="AE1656" s="69" t="s">
        <v>61</v>
      </c>
      <c r="AF1656" s="68" t="s">
        <v>61</v>
      </c>
      <c r="AG1656" s="68" t="s">
        <v>61</v>
      </c>
      <c r="AH1656" s="68" t="s">
        <v>61</v>
      </c>
      <c r="AI1656" s="70" t="s">
        <v>61</v>
      </c>
      <c r="AJ1656" s="114" t="s">
        <v>61</v>
      </c>
      <c r="AK1656" s="82"/>
    </row>
    <row r="1657" ht="24.0" customHeight="1">
      <c r="A1657" s="35"/>
      <c r="B1657" s="36">
        <v>1.0</v>
      </c>
      <c r="C1657" s="37" t="str">
        <f>IFERROR(__xludf.DUMMYFUNCTION("""COMPUTED_VALUE"""),"")</f>
        <v/>
      </c>
      <c r="D1657" s="89" t="s">
        <v>61</v>
      </c>
      <c r="E1657" s="51" t="s">
        <v>61</v>
      </c>
      <c r="F1657" s="137"/>
      <c r="G1657" s="133"/>
      <c r="H1657" s="141"/>
      <c r="I1657" s="57"/>
      <c r="J1657" s="57"/>
      <c r="K1657" s="72"/>
      <c r="L1657" s="57"/>
      <c r="M1657" s="55"/>
      <c r="N1657" s="55"/>
      <c r="O1657" s="57"/>
      <c r="P1657" s="57"/>
      <c r="Q1657" s="57"/>
      <c r="R1657" s="57"/>
      <c r="S1657" s="132"/>
      <c r="T1657" s="74"/>
      <c r="U1657" s="74"/>
      <c r="V1657" s="74"/>
      <c r="W1657" s="74"/>
      <c r="X1657" s="74"/>
      <c r="Y1657" s="74"/>
      <c r="Z1657" s="76"/>
      <c r="AA1657" s="134"/>
      <c r="AB1657" s="62" t="s">
        <v>61</v>
      </c>
      <c r="AC1657" s="63" t="s">
        <v>61</v>
      </c>
      <c r="AD1657" s="64" t="s">
        <v>61</v>
      </c>
      <c r="AE1657" s="64" t="s">
        <v>61</v>
      </c>
      <c r="AF1657" s="63" t="s">
        <v>61</v>
      </c>
      <c r="AG1657" s="63" t="s">
        <v>61</v>
      </c>
      <c r="AH1657" s="63" t="s">
        <v>61</v>
      </c>
      <c r="AI1657" s="65" t="s">
        <v>61</v>
      </c>
      <c r="AJ1657" s="105" t="s">
        <v>61</v>
      </c>
      <c r="AK1657" s="76"/>
    </row>
    <row r="1658" ht="24.0" customHeight="1">
      <c r="A1658" s="35"/>
      <c r="B1658" s="36">
        <v>1.0</v>
      </c>
      <c r="C1658" s="37" t="str">
        <f>IFERROR(__xludf.DUMMYFUNCTION("""COMPUTED_VALUE"""),"")</f>
        <v/>
      </c>
      <c r="D1658" s="89" t="s">
        <v>61</v>
      </c>
      <c r="E1658" s="39" t="s">
        <v>61</v>
      </c>
      <c r="F1658" s="121"/>
      <c r="G1658" s="122"/>
      <c r="H1658" s="138"/>
      <c r="I1658" s="80"/>
      <c r="J1658" s="80"/>
      <c r="K1658" s="95"/>
      <c r="L1658" s="80"/>
      <c r="M1658" s="43"/>
      <c r="N1658" s="43"/>
      <c r="O1658" s="80"/>
      <c r="P1658" s="80"/>
      <c r="Q1658" s="80"/>
      <c r="R1658" s="80"/>
      <c r="S1658" s="117"/>
      <c r="T1658" s="81"/>
      <c r="U1658" s="81"/>
      <c r="V1658" s="81"/>
      <c r="W1658" s="81"/>
      <c r="X1658" s="81"/>
      <c r="Y1658" s="81"/>
      <c r="Z1658" s="82"/>
      <c r="AA1658" s="99"/>
      <c r="AB1658" s="48" t="s">
        <v>61</v>
      </c>
      <c r="AC1658" s="68" t="s">
        <v>61</v>
      </c>
      <c r="AD1658" s="69" t="s">
        <v>61</v>
      </c>
      <c r="AE1658" s="69" t="s">
        <v>61</v>
      </c>
      <c r="AF1658" s="68" t="s">
        <v>61</v>
      </c>
      <c r="AG1658" s="68" t="s">
        <v>61</v>
      </c>
      <c r="AH1658" s="68" t="s">
        <v>61</v>
      </c>
      <c r="AI1658" s="70" t="s">
        <v>61</v>
      </c>
      <c r="AJ1658" s="114" t="s">
        <v>61</v>
      </c>
      <c r="AK1658" s="82"/>
    </row>
    <row r="1659" ht="24.0" customHeight="1">
      <c r="A1659" s="35"/>
      <c r="B1659" s="36">
        <v>1.0</v>
      </c>
      <c r="C1659" s="37" t="str">
        <f>IFERROR(__xludf.DUMMYFUNCTION("""COMPUTED_VALUE"""),"")</f>
        <v/>
      </c>
      <c r="D1659" s="89" t="s">
        <v>61</v>
      </c>
      <c r="E1659" s="51" t="s">
        <v>61</v>
      </c>
      <c r="F1659" s="137"/>
      <c r="G1659" s="133"/>
      <c r="H1659" s="141"/>
      <c r="I1659" s="57"/>
      <c r="J1659" s="57"/>
      <c r="K1659" s="72"/>
      <c r="L1659" s="57"/>
      <c r="M1659" s="55"/>
      <c r="N1659" s="55"/>
      <c r="O1659" s="57"/>
      <c r="P1659" s="57"/>
      <c r="Q1659" s="57"/>
      <c r="R1659" s="57"/>
      <c r="S1659" s="132"/>
      <c r="T1659" s="74"/>
      <c r="U1659" s="74"/>
      <c r="V1659" s="74"/>
      <c r="W1659" s="74"/>
      <c r="X1659" s="74"/>
      <c r="Y1659" s="74"/>
      <c r="Z1659" s="76"/>
      <c r="AA1659" s="134"/>
      <c r="AB1659" s="62" t="s">
        <v>61</v>
      </c>
      <c r="AC1659" s="63" t="s">
        <v>61</v>
      </c>
      <c r="AD1659" s="64" t="s">
        <v>61</v>
      </c>
      <c r="AE1659" s="64" t="s">
        <v>61</v>
      </c>
      <c r="AF1659" s="63" t="s">
        <v>61</v>
      </c>
      <c r="AG1659" s="63" t="s">
        <v>61</v>
      </c>
      <c r="AH1659" s="63" t="s">
        <v>61</v>
      </c>
      <c r="AI1659" s="65" t="s">
        <v>61</v>
      </c>
      <c r="AJ1659" s="105" t="s">
        <v>61</v>
      </c>
      <c r="AK1659" s="76"/>
    </row>
    <row r="1660" ht="24.0" customHeight="1">
      <c r="A1660" s="35"/>
      <c r="B1660" s="36">
        <v>1.0</v>
      </c>
      <c r="C1660" s="37" t="str">
        <f>IFERROR(__xludf.DUMMYFUNCTION("""COMPUTED_VALUE"""),"")</f>
        <v/>
      </c>
      <c r="D1660" s="89" t="s">
        <v>61</v>
      </c>
      <c r="E1660" s="39" t="s">
        <v>61</v>
      </c>
      <c r="F1660" s="121"/>
      <c r="G1660" s="122"/>
      <c r="H1660" s="138"/>
      <c r="I1660" s="80"/>
      <c r="J1660" s="80"/>
      <c r="K1660" s="95"/>
      <c r="L1660" s="80"/>
      <c r="M1660" s="43"/>
      <c r="N1660" s="43"/>
      <c r="O1660" s="80"/>
      <c r="P1660" s="80"/>
      <c r="Q1660" s="80"/>
      <c r="R1660" s="80"/>
      <c r="S1660" s="117"/>
      <c r="T1660" s="81"/>
      <c r="U1660" s="81"/>
      <c r="V1660" s="81"/>
      <c r="W1660" s="81"/>
      <c r="X1660" s="81"/>
      <c r="Y1660" s="81"/>
      <c r="Z1660" s="82"/>
      <c r="AA1660" s="99"/>
      <c r="AB1660" s="48" t="s">
        <v>61</v>
      </c>
      <c r="AC1660" s="68" t="s">
        <v>61</v>
      </c>
      <c r="AD1660" s="69" t="s">
        <v>61</v>
      </c>
      <c r="AE1660" s="69" t="s">
        <v>61</v>
      </c>
      <c r="AF1660" s="68" t="s">
        <v>61</v>
      </c>
      <c r="AG1660" s="68" t="s">
        <v>61</v>
      </c>
      <c r="AH1660" s="68" t="s">
        <v>61</v>
      </c>
      <c r="AI1660" s="70" t="s">
        <v>61</v>
      </c>
      <c r="AJ1660" s="114" t="s">
        <v>61</v>
      </c>
      <c r="AK1660" s="82"/>
    </row>
    <row r="1661" ht="24.0" customHeight="1">
      <c r="A1661" s="35"/>
      <c r="B1661" s="36">
        <v>1.0</v>
      </c>
      <c r="C1661" s="37" t="str">
        <f>IFERROR(__xludf.DUMMYFUNCTION("""COMPUTED_VALUE"""),"")</f>
        <v/>
      </c>
      <c r="D1661" s="89" t="s">
        <v>61</v>
      </c>
      <c r="E1661" s="51" t="s">
        <v>61</v>
      </c>
      <c r="F1661" s="137"/>
      <c r="G1661" s="133"/>
      <c r="H1661" s="141"/>
      <c r="I1661" s="57"/>
      <c r="J1661" s="57"/>
      <c r="K1661" s="72"/>
      <c r="L1661" s="57"/>
      <c r="M1661" s="55"/>
      <c r="N1661" s="55"/>
      <c r="O1661" s="57"/>
      <c r="P1661" s="57"/>
      <c r="Q1661" s="57"/>
      <c r="R1661" s="57"/>
      <c r="S1661" s="132"/>
      <c r="T1661" s="74"/>
      <c r="U1661" s="74"/>
      <c r="V1661" s="74"/>
      <c r="W1661" s="74"/>
      <c r="X1661" s="74"/>
      <c r="Y1661" s="74"/>
      <c r="Z1661" s="76"/>
      <c r="AA1661" s="134"/>
      <c r="AB1661" s="62" t="s">
        <v>61</v>
      </c>
      <c r="AC1661" s="63" t="s">
        <v>61</v>
      </c>
      <c r="AD1661" s="64" t="s">
        <v>61</v>
      </c>
      <c r="AE1661" s="64" t="s">
        <v>61</v>
      </c>
      <c r="AF1661" s="63" t="s">
        <v>61</v>
      </c>
      <c r="AG1661" s="63" t="s">
        <v>61</v>
      </c>
      <c r="AH1661" s="63" t="s">
        <v>61</v>
      </c>
      <c r="AI1661" s="65" t="s">
        <v>61</v>
      </c>
      <c r="AJ1661" s="105" t="s">
        <v>61</v>
      </c>
      <c r="AK1661" s="76"/>
    </row>
    <row r="1662" ht="24.0" customHeight="1">
      <c r="A1662" s="35"/>
      <c r="B1662" s="36">
        <v>1.0</v>
      </c>
      <c r="C1662" s="37" t="str">
        <f>IFERROR(__xludf.DUMMYFUNCTION("""COMPUTED_VALUE"""),"")</f>
        <v/>
      </c>
      <c r="D1662" s="89" t="s">
        <v>61</v>
      </c>
      <c r="E1662" s="39" t="s">
        <v>61</v>
      </c>
      <c r="F1662" s="121"/>
      <c r="G1662" s="122"/>
      <c r="H1662" s="138"/>
      <c r="I1662" s="80"/>
      <c r="J1662" s="80"/>
      <c r="K1662" s="95"/>
      <c r="L1662" s="80"/>
      <c r="M1662" s="43"/>
      <c r="N1662" s="43"/>
      <c r="O1662" s="80"/>
      <c r="P1662" s="80"/>
      <c r="Q1662" s="80"/>
      <c r="R1662" s="80"/>
      <c r="S1662" s="117"/>
      <c r="T1662" s="81"/>
      <c r="U1662" s="81"/>
      <c r="V1662" s="81"/>
      <c r="W1662" s="81"/>
      <c r="X1662" s="81"/>
      <c r="Y1662" s="81"/>
      <c r="Z1662" s="82"/>
      <c r="AA1662" s="99"/>
      <c r="AB1662" s="48" t="s">
        <v>61</v>
      </c>
      <c r="AC1662" s="68" t="s">
        <v>61</v>
      </c>
      <c r="AD1662" s="69" t="s">
        <v>61</v>
      </c>
      <c r="AE1662" s="69" t="s">
        <v>61</v>
      </c>
      <c r="AF1662" s="68" t="s">
        <v>61</v>
      </c>
      <c r="AG1662" s="68" t="s">
        <v>61</v>
      </c>
      <c r="AH1662" s="68" t="s">
        <v>61</v>
      </c>
      <c r="AI1662" s="70" t="s">
        <v>61</v>
      </c>
      <c r="AJ1662" s="114" t="s">
        <v>61</v>
      </c>
      <c r="AK1662" s="82"/>
    </row>
    <row r="1663" ht="24.0" customHeight="1">
      <c r="A1663" s="35"/>
      <c r="B1663" s="36">
        <v>1.0</v>
      </c>
      <c r="C1663" s="37" t="str">
        <f>IFERROR(__xludf.DUMMYFUNCTION("""COMPUTED_VALUE"""),"")</f>
        <v/>
      </c>
      <c r="D1663" s="89" t="s">
        <v>61</v>
      </c>
      <c r="E1663" s="51" t="s">
        <v>61</v>
      </c>
      <c r="F1663" s="137"/>
      <c r="G1663" s="133"/>
      <c r="H1663" s="141"/>
      <c r="I1663" s="57"/>
      <c r="J1663" s="57"/>
      <c r="K1663" s="72"/>
      <c r="L1663" s="57"/>
      <c r="M1663" s="55"/>
      <c r="N1663" s="55"/>
      <c r="O1663" s="57"/>
      <c r="P1663" s="57"/>
      <c r="Q1663" s="57"/>
      <c r="R1663" s="57"/>
      <c r="S1663" s="132"/>
      <c r="T1663" s="74"/>
      <c r="U1663" s="74"/>
      <c r="V1663" s="74"/>
      <c r="W1663" s="74"/>
      <c r="X1663" s="74"/>
      <c r="Y1663" s="74"/>
      <c r="Z1663" s="76"/>
      <c r="AA1663" s="134"/>
      <c r="AB1663" s="62" t="s">
        <v>61</v>
      </c>
      <c r="AC1663" s="63" t="s">
        <v>61</v>
      </c>
      <c r="AD1663" s="64" t="s">
        <v>61</v>
      </c>
      <c r="AE1663" s="64" t="s">
        <v>61</v>
      </c>
      <c r="AF1663" s="63" t="s">
        <v>61</v>
      </c>
      <c r="AG1663" s="63" t="s">
        <v>61</v>
      </c>
      <c r="AH1663" s="63" t="s">
        <v>61</v>
      </c>
      <c r="AI1663" s="65" t="s">
        <v>61</v>
      </c>
      <c r="AJ1663" s="105" t="s">
        <v>61</v>
      </c>
      <c r="AK1663" s="76"/>
    </row>
    <row r="1664" ht="24.0" customHeight="1">
      <c r="A1664" s="35"/>
      <c r="B1664" s="36">
        <v>1.0</v>
      </c>
      <c r="C1664" s="37" t="str">
        <f>IFERROR(__xludf.DUMMYFUNCTION("""COMPUTED_VALUE"""),"")</f>
        <v/>
      </c>
      <c r="D1664" s="89" t="s">
        <v>61</v>
      </c>
      <c r="E1664" s="39" t="s">
        <v>61</v>
      </c>
      <c r="F1664" s="121"/>
      <c r="G1664" s="122"/>
      <c r="H1664" s="138"/>
      <c r="I1664" s="80"/>
      <c r="J1664" s="80"/>
      <c r="K1664" s="95"/>
      <c r="L1664" s="80"/>
      <c r="M1664" s="43"/>
      <c r="N1664" s="43"/>
      <c r="O1664" s="80"/>
      <c r="P1664" s="80"/>
      <c r="Q1664" s="80"/>
      <c r="R1664" s="80"/>
      <c r="S1664" s="117"/>
      <c r="T1664" s="81"/>
      <c r="U1664" s="81"/>
      <c r="V1664" s="81"/>
      <c r="W1664" s="81"/>
      <c r="X1664" s="81"/>
      <c r="Y1664" s="81"/>
      <c r="Z1664" s="82"/>
      <c r="AA1664" s="99"/>
      <c r="AB1664" s="48" t="s">
        <v>61</v>
      </c>
      <c r="AC1664" s="68" t="s">
        <v>61</v>
      </c>
      <c r="AD1664" s="69" t="s">
        <v>61</v>
      </c>
      <c r="AE1664" s="69" t="s">
        <v>61</v>
      </c>
      <c r="AF1664" s="68" t="s">
        <v>61</v>
      </c>
      <c r="AG1664" s="68" t="s">
        <v>61</v>
      </c>
      <c r="AH1664" s="68" t="s">
        <v>61</v>
      </c>
      <c r="AI1664" s="70" t="s">
        <v>61</v>
      </c>
      <c r="AJ1664" s="114" t="s">
        <v>61</v>
      </c>
      <c r="AK1664" s="82"/>
    </row>
    <row r="1665" ht="24.0" customHeight="1">
      <c r="A1665" s="35"/>
      <c r="B1665" s="36">
        <v>1.0</v>
      </c>
      <c r="C1665" s="37" t="str">
        <f>IFERROR(__xludf.DUMMYFUNCTION("""COMPUTED_VALUE"""),"")</f>
        <v/>
      </c>
      <c r="D1665" s="89" t="s">
        <v>61</v>
      </c>
      <c r="E1665" s="51" t="s">
        <v>61</v>
      </c>
      <c r="F1665" s="137"/>
      <c r="G1665" s="133"/>
      <c r="H1665" s="141"/>
      <c r="I1665" s="57"/>
      <c r="J1665" s="57"/>
      <c r="K1665" s="72"/>
      <c r="L1665" s="57"/>
      <c r="M1665" s="55"/>
      <c r="N1665" s="55"/>
      <c r="O1665" s="57"/>
      <c r="P1665" s="57"/>
      <c r="Q1665" s="57"/>
      <c r="R1665" s="57"/>
      <c r="S1665" s="132"/>
      <c r="T1665" s="74"/>
      <c r="U1665" s="74"/>
      <c r="V1665" s="74"/>
      <c r="W1665" s="74"/>
      <c r="X1665" s="74"/>
      <c r="Y1665" s="74"/>
      <c r="Z1665" s="76"/>
      <c r="AA1665" s="134"/>
      <c r="AB1665" s="62" t="s">
        <v>61</v>
      </c>
      <c r="AC1665" s="63" t="s">
        <v>61</v>
      </c>
      <c r="AD1665" s="64" t="s">
        <v>61</v>
      </c>
      <c r="AE1665" s="64" t="s">
        <v>61</v>
      </c>
      <c r="AF1665" s="63" t="s">
        <v>61</v>
      </c>
      <c r="AG1665" s="63" t="s">
        <v>61</v>
      </c>
      <c r="AH1665" s="63" t="s">
        <v>61</v>
      </c>
      <c r="AI1665" s="65" t="s">
        <v>61</v>
      </c>
      <c r="AJ1665" s="105" t="s">
        <v>61</v>
      </c>
      <c r="AK1665" s="76"/>
    </row>
    <row r="1666" ht="24.0" customHeight="1">
      <c r="A1666" s="35"/>
      <c r="B1666" s="36">
        <v>1.0</v>
      </c>
      <c r="C1666" s="37" t="str">
        <f>IFERROR(__xludf.DUMMYFUNCTION("""COMPUTED_VALUE"""),"")</f>
        <v/>
      </c>
      <c r="D1666" s="89" t="s">
        <v>61</v>
      </c>
      <c r="E1666" s="39" t="s">
        <v>61</v>
      </c>
      <c r="F1666" s="121"/>
      <c r="G1666" s="122"/>
      <c r="H1666" s="138"/>
      <c r="I1666" s="80"/>
      <c r="J1666" s="80"/>
      <c r="K1666" s="95"/>
      <c r="L1666" s="80"/>
      <c r="M1666" s="43"/>
      <c r="N1666" s="43"/>
      <c r="O1666" s="80"/>
      <c r="P1666" s="80"/>
      <c r="Q1666" s="80"/>
      <c r="R1666" s="80"/>
      <c r="S1666" s="117"/>
      <c r="T1666" s="81"/>
      <c r="U1666" s="81"/>
      <c r="V1666" s="81"/>
      <c r="W1666" s="81"/>
      <c r="X1666" s="81"/>
      <c r="Y1666" s="81"/>
      <c r="Z1666" s="82"/>
      <c r="AA1666" s="99"/>
      <c r="AB1666" s="48" t="s">
        <v>61</v>
      </c>
      <c r="AC1666" s="68" t="s">
        <v>61</v>
      </c>
      <c r="AD1666" s="69" t="s">
        <v>61</v>
      </c>
      <c r="AE1666" s="69" t="s">
        <v>61</v>
      </c>
      <c r="AF1666" s="68" t="s">
        <v>61</v>
      </c>
      <c r="AG1666" s="68" t="s">
        <v>61</v>
      </c>
      <c r="AH1666" s="68" t="s">
        <v>61</v>
      </c>
      <c r="AI1666" s="70" t="s">
        <v>61</v>
      </c>
      <c r="AJ1666" s="114" t="s">
        <v>61</v>
      </c>
      <c r="AK1666" s="82"/>
    </row>
    <row r="1667" ht="24.0" customHeight="1">
      <c r="A1667" s="35"/>
      <c r="B1667" s="36">
        <v>1.0</v>
      </c>
      <c r="C1667" s="37" t="str">
        <f>IFERROR(__xludf.DUMMYFUNCTION("""COMPUTED_VALUE"""),"")</f>
        <v/>
      </c>
      <c r="D1667" s="89" t="s">
        <v>61</v>
      </c>
      <c r="E1667" s="51" t="s">
        <v>61</v>
      </c>
      <c r="F1667" s="137"/>
      <c r="G1667" s="133"/>
      <c r="H1667" s="141"/>
      <c r="I1667" s="57"/>
      <c r="J1667" s="57"/>
      <c r="K1667" s="72"/>
      <c r="L1667" s="57"/>
      <c r="M1667" s="55"/>
      <c r="N1667" s="55"/>
      <c r="O1667" s="57"/>
      <c r="P1667" s="57"/>
      <c r="Q1667" s="57"/>
      <c r="R1667" s="57"/>
      <c r="S1667" s="132"/>
      <c r="T1667" s="74"/>
      <c r="U1667" s="74"/>
      <c r="V1667" s="74"/>
      <c r="W1667" s="74"/>
      <c r="X1667" s="74"/>
      <c r="Y1667" s="74"/>
      <c r="Z1667" s="76"/>
      <c r="AA1667" s="134"/>
      <c r="AB1667" s="62" t="s">
        <v>61</v>
      </c>
      <c r="AC1667" s="63" t="s">
        <v>61</v>
      </c>
      <c r="AD1667" s="64" t="s">
        <v>61</v>
      </c>
      <c r="AE1667" s="64" t="s">
        <v>61</v>
      </c>
      <c r="AF1667" s="63" t="s">
        <v>61</v>
      </c>
      <c r="AG1667" s="63" t="s">
        <v>61</v>
      </c>
      <c r="AH1667" s="63" t="s">
        <v>61</v>
      </c>
      <c r="AI1667" s="65" t="s">
        <v>61</v>
      </c>
      <c r="AJ1667" s="105" t="s">
        <v>61</v>
      </c>
      <c r="AK1667" s="76"/>
    </row>
    <row r="1668" ht="24.0" customHeight="1">
      <c r="A1668" s="35"/>
      <c r="B1668" s="36">
        <v>1.0</v>
      </c>
      <c r="C1668" s="37" t="str">
        <f>IFERROR(__xludf.DUMMYFUNCTION("""COMPUTED_VALUE"""),"")</f>
        <v/>
      </c>
      <c r="D1668" s="89" t="s">
        <v>61</v>
      </c>
      <c r="E1668" s="39" t="s">
        <v>61</v>
      </c>
      <c r="F1668" s="121"/>
      <c r="G1668" s="122"/>
      <c r="H1668" s="138"/>
      <c r="I1668" s="80"/>
      <c r="J1668" s="80"/>
      <c r="K1668" s="95"/>
      <c r="L1668" s="80"/>
      <c r="M1668" s="43"/>
      <c r="N1668" s="43"/>
      <c r="O1668" s="80"/>
      <c r="P1668" s="80"/>
      <c r="Q1668" s="80"/>
      <c r="R1668" s="80"/>
      <c r="S1668" s="117"/>
      <c r="T1668" s="81"/>
      <c r="U1668" s="81"/>
      <c r="V1668" s="81"/>
      <c r="W1668" s="81"/>
      <c r="X1668" s="81"/>
      <c r="Y1668" s="81"/>
      <c r="Z1668" s="82"/>
      <c r="AA1668" s="99"/>
      <c r="AB1668" s="48" t="s">
        <v>61</v>
      </c>
      <c r="AC1668" s="68" t="s">
        <v>61</v>
      </c>
      <c r="AD1668" s="69" t="s">
        <v>61</v>
      </c>
      <c r="AE1668" s="69" t="s">
        <v>61</v>
      </c>
      <c r="AF1668" s="68" t="s">
        <v>61</v>
      </c>
      <c r="AG1668" s="68" t="s">
        <v>61</v>
      </c>
      <c r="AH1668" s="68" t="s">
        <v>61</v>
      </c>
      <c r="AI1668" s="70" t="s">
        <v>61</v>
      </c>
      <c r="AJ1668" s="114" t="s">
        <v>61</v>
      </c>
      <c r="AK1668" s="82"/>
    </row>
    <row r="1669" ht="24.0" customHeight="1">
      <c r="A1669" s="35"/>
      <c r="B1669" s="36">
        <v>1.0</v>
      </c>
      <c r="C1669" s="37" t="str">
        <f>IFERROR(__xludf.DUMMYFUNCTION("""COMPUTED_VALUE"""),"")</f>
        <v/>
      </c>
      <c r="D1669" s="89" t="s">
        <v>61</v>
      </c>
      <c r="E1669" s="51" t="s">
        <v>61</v>
      </c>
      <c r="F1669" s="137"/>
      <c r="G1669" s="133"/>
      <c r="H1669" s="141"/>
      <c r="I1669" s="57"/>
      <c r="J1669" s="57"/>
      <c r="K1669" s="72"/>
      <c r="L1669" s="57"/>
      <c r="M1669" s="55"/>
      <c r="N1669" s="55"/>
      <c r="O1669" s="57"/>
      <c r="P1669" s="57"/>
      <c r="Q1669" s="57"/>
      <c r="R1669" s="57"/>
      <c r="S1669" s="132"/>
      <c r="T1669" s="74"/>
      <c r="U1669" s="74"/>
      <c r="V1669" s="74"/>
      <c r="W1669" s="74"/>
      <c r="X1669" s="74"/>
      <c r="Y1669" s="74"/>
      <c r="Z1669" s="76"/>
      <c r="AA1669" s="134"/>
      <c r="AB1669" s="62" t="s">
        <v>61</v>
      </c>
      <c r="AC1669" s="63" t="s">
        <v>61</v>
      </c>
      <c r="AD1669" s="64" t="s">
        <v>61</v>
      </c>
      <c r="AE1669" s="64" t="s">
        <v>61</v>
      </c>
      <c r="AF1669" s="63" t="s">
        <v>61</v>
      </c>
      <c r="AG1669" s="63" t="s">
        <v>61</v>
      </c>
      <c r="AH1669" s="63" t="s">
        <v>61</v>
      </c>
      <c r="AI1669" s="65" t="s">
        <v>61</v>
      </c>
      <c r="AJ1669" s="105" t="s">
        <v>61</v>
      </c>
      <c r="AK1669" s="76"/>
    </row>
    <row r="1670" ht="24.0" customHeight="1">
      <c r="A1670" s="35"/>
      <c r="B1670" s="36">
        <v>1.0</v>
      </c>
      <c r="C1670" s="37" t="str">
        <f>IFERROR(__xludf.DUMMYFUNCTION("""COMPUTED_VALUE"""),"")</f>
        <v/>
      </c>
      <c r="D1670" s="89" t="s">
        <v>61</v>
      </c>
      <c r="E1670" s="39" t="s">
        <v>61</v>
      </c>
      <c r="F1670" s="121"/>
      <c r="G1670" s="122"/>
      <c r="H1670" s="138"/>
      <c r="I1670" s="80"/>
      <c r="J1670" s="80"/>
      <c r="K1670" s="95"/>
      <c r="L1670" s="80"/>
      <c r="M1670" s="43"/>
      <c r="N1670" s="43"/>
      <c r="O1670" s="80"/>
      <c r="P1670" s="80"/>
      <c r="Q1670" s="80"/>
      <c r="R1670" s="80"/>
      <c r="S1670" s="117"/>
      <c r="T1670" s="81"/>
      <c r="U1670" s="81"/>
      <c r="V1670" s="81"/>
      <c r="W1670" s="81"/>
      <c r="X1670" s="81"/>
      <c r="Y1670" s="81"/>
      <c r="Z1670" s="82"/>
      <c r="AA1670" s="99"/>
      <c r="AB1670" s="48" t="s">
        <v>61</v>
      </c>
      <c r="AC1670" s="68" t="s">
        <v>61</v>
      </c>
      <c r="AD1670" s="69" t="s">
        <v>61</v>
      </c>
      <c r="AE1670" s="69" t="s">
        <v>61</v>
      </c>
      <c r="AF1670" s="68" t="s">
        <v>61</v>
      </c>
      <c r="AG1670" s="68" t="s">
        <v>61</v>
      </c>
      <c r="AH1670" s="68" t="s">
        <v>61</v>
      </c>
      <c r="AI1670" s="70" t="s">
        <v>61</v>
      </c>
      <c r="AJ1670" s="114" t="s">
        <v>61</v>
      </c>
      <c r="AK1670" s="82"/>
    </row>
    <row r="1671" ht="24.0" customHeight="1">
      <c r="A1671" s="35"/>
      <c r="B1671" s="36">
        <v>1.0</v>
      </c>
      <c r="C1671" s="37" t="str">
        <f>IFERROR(__xludf.DUMMYFUNCTION("""COMPUTED_VALUE"""),"")</f>
        <v/>
      </c>
      <c r="D1671" s="89" t="s">
        <v>61</v>
      </c>
      <c r="E1671" s="51" t="s">
        <v>61</v>
      </c>
      <c r="F1671" s="137"/>
      <c r="G1671" s="133"/>
      <c r="H1671" s="141"/>
      <c r="I1671" s="57"/>
      <c r="J1671" s="57"/>
      <c r="K1671" s="72"/>
      <c r="L1671" s="57"/>
      <c r="M1671" s="55"/>
      <c r="N1671" s="55"/>
      <c r="O1671" s="57"/>
      <c r="P1671" s="57"/>
      <c r="Q1671" s="57"/>
      <c r="R1671" s="57"/>
      <c r="S1671" s="132"/>
      <c r="T1671" s="74"/>
      <c r="U1671" s="74"/>
      <c r="V1671" s="74"/>
      <c r="W1671" s="74"/>
      <c r="X1671" s="74"/>
      <c r="Y1671" s="74"/>
      <c r="Z1671" s="76"/>
      <c r="AA1671" s="134"/>
      <c r="AB1671" s="62" t="s">
        <v>61</v>
      </c>
      <c r="AC1671" s="63" t="s">
        <v>61</v>
      </c>
      <c r="AD1671" s="64" t="s">
        <v>61</v>
      </c>
      <c r="AE1671" s="64" t="s">
        <v>61</v>
      </c>
      <c r="AF1671" s="63" t="s">
        <v>61</v>
      </c>
      <c r="AG1671" s="63" t="s">
        <v>61</v>
      </c>
      <c r="AH1671" s="63" t="s">
        <v>61</v>
      </c>
      <c r="AI1671" s="65" t="s">
        <v>61</v>
      </c>
      <c r="AJ1671" s="105" t="s">
        <v>61</v>
      </c>
      <c r="AK1671" s="76"/>
    </row>
    <row r="1672" ht="24.0" customHeight="1">
      <c r="A1672" s="35"/>
      <c r="B1672" s="36">
        <v>1.0</v>
      </c>
      <c r="C1672" s="37" t="str">
        <f>IFERROR(__xludf.DUMMYFUNCTION("""COMPUTED_VALUE"""),"")</f>
        <v/>
      </c>
      <c r="D1672" s="89" t="s">
        <v>61</v>
      </c>
      <c r="E1672" s="39" t="s">
        <v>61</v>
      </c>
      <c r="F1672" s="121"/>
      <c r="G1672" s="122"/>
      <c r="H1672" s="138"/>
      <c r="I1672" s="80"/>
      <c r="J1672" s="80"/>
      <c r="K1672" s="95"/>
      <c r="L1672" s="80"/>
      <c r="M1672" s="43"/>
      <c r="N1672" s="43"/>
      <c r="O1672" s="80"/>
      <c r="P1672" s="80"/>
      <c r="Q1672" s="80"/>
      <c r="R1672" s="80"/>
      <c r="S1672" s="117"/>
      <c r="T1672" s="81"/>
      <c r="U1672" s="81"/>
      <c r="V1672" s="81"/>
      <c r="W1672" s="81"/>
      <c r="X1672" s="81"/>
      <c r="Y1672" s="81"/>
      <c r="Z1672" s="82"/>
      <c r="AA1672" s="99"/>
      <c r="AB1672" s="48" t="s">
        <v>61</v>
      </c>
      <c r="AC1672" s="68" t="s">
        <v>61</v>
      </c>
      <c r="AD1672" s="69" t="s">
        <v>61</v>
      </c>
      <c r="AE1672" s="69" t="s">
        <v>61</v>
      </c>
      <c r="AF1672" s="68" t="s">
        <v>61</v>
      </c>
      <c r="AG1672" s="68" t="s">
        <v>61</v>
      </c>
      <c r="AH1672" s="68" t="s">
        <v>61</v>
      </c>
      <c r="AI1672" s="70" t="s">
        <v>61</v>
      </c>
      <c r="AJ1672" s="114" t="s">
        <v>61</v>
      </c>
      <c r="AK1672" s="82"/>
    </row>
    <row r="1673" ht="24.0" customHeight="1">
      <c r="A1673" s="35"/>
      <c r="B1673" s="36">
        <v>1.0</v>
      </c>
      <c r="C1673" s="37" t="str">
        <f>IFERROR(__xludf.DUMMYFUNCTION("""COMPUTED_VALUE"""),"")</f>
        <v/>
      </c>
      <c r="D1673" s="89" t="s">
        <v>61</v>
      </c>
      <c r="E1673" s="51" t="s">
        <v>61</v>
      </c>
      <c r="F1673" s="137"/>
      <c r="G1673" s="133"/>
      <c r="H1673" s="141"/>
      <c r="I1673" s="57"/>
      <c r="J1673" s="57"/>
      <c r="K1673" s="72"/>
      <c r="L1673" s="57"/>
      <c r="M1673" s="55"/>
      <c r="N1673" s="55"/>
      <c r="O1673" s="57"/>
      <c r="P1673" s="57"/>
      <c r="Q1673" s="57"/>
      <c r="R1673" s="57"/>
      <c r="S1673" s="132"/>
      <c r="T1673" s="74"/>
      <c r="U1673" s="74"/>
      <c r="V1673" s="74"/>
      <c r="W1673" s="74"/>
      <c r="X1673" s="74"/>
      <c r="Y1673" s="74"/>
      <c r="Z1673" s="76"/>
      <c r="AA1673" s="134"/>
      <c r="AB1673" s="62" t="s">
        <v>61</v>
      </c>
      <c r="AC1673" s="63" t="s">
        <v>61</v>
      </c>
      <c r="AD1673" s="64" t="s">
        <v>61</v>
      </c>
      <c r="AE1673" s="64" t="s">
        <v>61</v>
      </c>
      <c r="AF1673" s="63" t="s">
        <v>61</v>
      </c>
      <c r="AG1673" s="63" t="s">
        <v>61</v>
      </c>
      <c r="AH1673" s="63" t="s">
        <v>61</v>
      </c>
      <c r="AI1673" s="65" t="s">
        <v>61</v>
      </c>
      <c r="AJ1673" s="105" t="s">
        <v>61</v>
      </c>
      <c r="AK1673" s="76"/>
    </row>
    <row r="1674" ht="24.0" customHeight="1">
      <c r="A1674" s="35"/>
      <c r="B1674" s="36">
        <v>1.0</v>
      </c>
      <c r="C1674" s="37" t="str">
        <f>IFERROR(__xludf.DUMMYFUNCTION("""COMPUTED_VALUE"""),"")</f>
        <v/>
      </c>
      <c r="D1674" s="89" t="s">
        <v>61</v>
      </c>
      <c r="E1674" s="39" t="s">
        <v>61</v>
      </c>
      <c r="F1674" s="121"/>
      <c r="G1674" s="122"/>
      <c r="H1674" s="138"/>
      <c r="I1674" s="80"/>
      <c r="J1674" s="80"/>
      <c r="K1674" s="95"/>
      <c r="L1674" s="80"/>
      <c r="M1674" s="43"/>
      <c r="N1674" s="43"/>
      <c r="O1674" s="80"/>
      <c r="P1674" s="80"/>
      <c r="Q1674" s="80"/>
      <c r="R1674" s="80"/>
      <c r="S1674" s="117"/>
      <c r="T1674" s="81"/>
      <c r="U1674" s="81"/>
      <c r="V1674" s="81"/>
      <c r="W1674" s="81"/>
      <c r="X1674" s="81"/>
      <c r="Y1674" s="81"/>
      <c r="Z1674" s="82"/>
      <c r="AA1674" s="99"/>
      <c r="AB1674" s="48" t="s">
        <v>61</v>
      </c>
      <c r="AC1674" s="68" t="s">
        <v>61</v>
      </c>
      <c r="AD1674" s="69" t="s">
        <v>61</v>
      </c>
      <c r="AE1674" s="69" t="s">
        <v>61</v>
      </c>
      <c r="AF1674" s="68" t="s">
        <v>61</v>
      </c>
      <c r="AG1674" s="68" t="s">
        <v>61</v>
      </c>
      <c r="AH1674" s="68" t="s">
        <v>61</v>
      </c>
      <c r="AI1674" s="70" t="s">
        <v>61</v>
      </c>
      <c r="AJ1674" s="114" t="s">
        <v>61</v>
      </c>
      <c r="AK1674" s="82"/>
    </row>
    <row r="1675" ht="24.0" customHeight="1">
      <c r="A1675" s="35"/>
      <c r="B1675" s="36">
        <v>1.0</v>
      </c>
      <c r="C1675" s="37" t="str">
        <f>IFERROR(__xludf.DUMMYFUNCTION("""COMPUTED_VALUE"""),"")</f>
        <v/>
      </c>
      <c r="D1675" s="89" t="s">
        <v>61</v>
      </c>
      <c r="E1675" s="51" t="s">
        <v>61</v>
      </c>
      <c r="F1675" s="137"/>
      <c r="G1675" s="133"/>
      <c r="H1675" s="141"/>
      <c r="I1675" s="57"/>
      <c r="J1675" s="57"/>
      <c r="K1675" s="72"/>
      <c r="L1675" s="57"/>
      <c r="M1675" s="55"/>
      <c r="N1675" s="55"/>
      <c r="O1675" s="57"/>
      <c r="P1675" s="57"/>
      <c r="Q1675" s="57"/>
      <c r="R1675" s="57"/>
      <c r="S1675" s="132"/>
      <c r="T1675" s="74"/>
      <c r="U1675" s="74"/>
      <c r="V1675" s="74"/>
      <c r="W1675" s="74"/>
      <c r="X1675" s="74"/>
      <c r="Y1675" s="74"/>
      <c r="Z1675" s="76"/>
      <c r="AA1675" s="134"/>
      <c r="AB1675" s="62" t="s">
        <v>61</v>
      </c>
      <c r="AC1675" s="63" t="s">
        <v>61</v>
      </c>
      <c r="AD1675" s="64" t="s">
        <v>61</v>
      </c>
      <c r="AE1675" s="64" t="s">
        <v>61</v>
      </c>
      <c r="AF1675" s="63" t="s">
        <v>61</v>
      </c>
      <c r="AG1675" s="63" t="s">
        <v>61</v>
      </c>
      <c r="AH1675" s="63" t="s">
        <v>61</v>
      </c>
      <c r="AI1675" s="65" t="s">
        <v>61</v>
      </c>
      <c r="AJ1675" s="105" t="s">
        <v>61</v>
      </c>
      <c r="AK1675" s="76"/>
    </row>
    <row r="1676" ht="24.0" customHeight="1">
      <c r="A1676" s="35"/>
      <c r="B1676" s="36">
        <v>1.0</v>
      </c>
      <c r="C1676" s="37" t="str">
        <f>IFERROR(__xludf.DUMMYFUNCTION("""COMPUTED_VALUE"""),"")</f>
        <v/>
      </c>
      <c r="D1676" s="89" t="s">
        <v>61</v>
      </c>
      <c r="E1676" s="39" t="s">
        <v>61</v>
      </c>
      <c r="F1676" s="121"/>
      <c r="G1676" s="122"/>
      <c r="H1676" s="138"/>
      <c r="I1676" s="80"/>
      <c r="J1676" s="80"/>
      <c r="K1676" s="95"/>
      <c r="L1676" s="80"/>
      <c r="M1676" s="43"/>
      <c r="N1676" s="43"/>
      <c r="O1676" s="80"/>
      <c r="P1676" s="80"/>
      <c r="Q1676" s="80"/>
      <c r="R1676" s="80"/>
      <c r="S1676" s="117"/>
      <c r="T1676" s="81"/>
      <c r="U1676" s="81"/>
      <c r="V1676" s="81"/>
      <c r="W1676" s="81"/>
      <c r="X1676" s="81"/>
      <c r="Y1676" s="81"/>
      <c r="Z1676" s="82"/>
      <c r="AA1676" s="99"/>
      <c r="AB1676" s="48" t="s">
        <v>61</v>
      </c>
      <c r="AC1676" s="68" t="s">
        <v>61</v>
      </c>
      <c r="AD1676" s="69" t="s">
        <v>61</v>
      </c>
      <c r="AE1676" s="69" t="s">
        <v>61</v>
      </c>
      <c r="AF1676" s="68" t="s">
        <v>61</v>
      </c>
      <c r="AG1676" s="68" t="s">
        <v>61</v>
      </c>
      <c r="AH1676" s="68" t="s">
        <v>61</v>
      </c>
      <c r="AI1676" s="70" t="s">
        <v>61</v>
      </c>
      <c r="AJ1676" s="114" t="s">
        <v>61</v>
      </c>
      <c r="AK1676" s="82"/>
    </row>
    <row r="1677" ht="24.0" customHeight="1">
      <c r="A1677" s="35"/>
      <c r="B1677" s="36">
        <v>1.0</v>
      </c>
      <c r="C1677" s="37" t="str">
        <f>IFERROR(__xludf.DUMMYFUNCTION("""COMPUTED_VALUE"""),"")</f>
        <v/>
      </c>
      <c r="D1677" s="89" t="s">
        <v>61</v>
      </c>
      <c r="E1677" s="51" t="s">
        <v>61</v>
      </c>
      <c r="F1677" s="137"/>
      <c r="G1677" s="133"/>
      <c r="H1677" s="141"/>
      <c r="I1677" s="57"/>
      <c r="J1677" s="57"/>
      <c r="K1677" s="72"/>
      <c r="L1677" s="57"/>
      <c r="M1677" s="55"/>
      <c r="N1677" s="55"/>
      <c r="O1677" s="57"/>
      <c r="P1677" s="57"/>
      <c r="Q1677" s="57"/>
      <c r="R1677" s="57"/>
      <c r="S1677" s="132"/>
      <c r="T1677" s="74"/>
      <c r="U1677" s="74"/>
      <c r="V1677" s="74"/>
      <c r="W1677" s="74"/>
      <c r="X1677" s="74"/>
      <c r="Y1677" s="74"/>
      <c r="Z1677" s="76"/>
      <c r="AA1677" s="134"/>
      <c r="AB1677" s="62" t="s">
        <v>61</v>
      </c>
      <c r="AC1677" s="63" t="s">
        <v>61</v>
      </c>
      <c r="AD1677" s="64" t="s">
        <v>61</v>
      </c>
      <c r="AE1677" s="64" t="s">
        <v>61</v>
      </c>
      <c r="AF1677" s="63" t="s">
        <v>61</v>
      </c>
      <c r="AG1677" s="63" t="s">
        <v>61</v>
      </c>
      <c r="AH1677" s="63" t="s">
        <v>61</v>
      </c>
      <c r="AI1677" s="65" t="s">
        <v>61</v>
      </c>
      <c r="AJ1677" s="105" t="s">
        <v>61</v>
      </c>
      <c r="AK1677" s="76"/>
    </row>
    <row r="1678" ht="24.0" customHeight="1">
      <c r="A1678" s="35"/>
      <c r="B1678" s="36">
        <v>1.0</v>
      </c>
      <c r="C1678" s="37" t="str">
        <f>IFERROR(__xludf.DUMMYFUNCTION("""COMPUTED_VALUE"""),"")</f>
        <v/>
      </c>
      <c r="D1678" s="89" t="s">
        <v>61</v>
      </c>
      <c r="E1678" s="39" t="s">
        <v>61</v>
      </c>
      <c r="F1678" s="121"/>
      <c r="G1678" s="122"/>
      <c r="H1678" s="138"/>
      <c r="I1678" s="80"/>
      <c r="J1678" s="80"/>
      <c r="K1678" s="95"/>
      <c r="L1678" s="80"/>
      <c r="M1678" s="43"/>
      <c r="N1678" s="43"/>
      <c r="O1678" s="80"/>
      <c r="P1678" s="80"/>
      <c r="Q1678" s="80"/>
      <c r="R1678" s="80"/>
      <c r="S1678" s="117"/>
      <c r="T1678" s="81"/>
      <c r="U1678" s="81"/>
      <c r="V1678" s="81"/>
      <c r="W1678" s="81"/>
      <c r="X1678" s="81"/>
      <c r="Y1678" s="81"/>
      <c r="Z1678" s="82"/>
      <c r="AA1678" s="99"/>
      <c r="AB1678" s="48" t="s">
        <v>61</v>
      </c>
      <c r="AC1678" s="68" t="s">
        <v>61</v>
      </c>
      <c r="AD1678" s="69" t="s">
        <v>61</v>
      </c>
      <c r="AE1678" s="69" t="s">
        <v>61</v>
      </c>
      <c r="AF1678" s="68" t="s">
        <v>61</v>
      </c>
      <c r="AG1678" s="68" t="s">
        <v>61</v>
      </c>
      <c r="AH1678" s="68" t="s">
        <v>61</v>
      </c>
      <c r="AI1678" s="70" t="s">
        <v>61</v>
      </c>
      <c r="AJ1678" s="114" t="s">
        <v>61</v>
      </c>
      <c r="AK1678" s="82"/>
    </row>
    <row r="1679" ht="24.0" customHeight="1">
      <c r="A1679" s="35"/>
      <c r="B1679" s="36">
        <v>1.0</v>
      </c>
      <c r="C1679" s="37" t="str">
        <f>IFERROR(__xludf.DUMMYFUNCTION("""COMPUTED_VALUE"""),"")</f>
        <v/>
      </c>
      <c r="D1679" s="89" t="s">
        <v>61</v>
      </c>
      <c r="E1679" s="51" t="s">
        <v>61</v>
      </c>
      <c r="F1679" s="137"/>
      <c r="G1679" s="133"/>
      <c r="H1679" s="141"/>
      <c r="I1679" s="57"/>
      <c r="J1679" s="57"/>
      <c r="K1679" s="72"/>
      <c r="L1679" s="57"/>
      <c r="M1679" s="55"/>
      <c r="N1679" s="55"/>
      <c r="O1679" s="57"/>
      <c r="P1679" s="57"/>
      <c r="Q1679" s="57"/>
      <c r="R1679" s="57"/>
      <c r="S1679" s="132"/>
      <c r="T1679" s="74"/>
      <c r="U1679" s="74"/>
      <c r="V1679" s="74"/>
      <c r="W1679" s="74"/>
      <c r="X1679" s="74"/>
      <c r="Y1679" s="74"/>
      <c r="Z1679" s="76"/>
      <c r="AA1679" s="134"/>
      <c r="AB1679" s="62" t="s">
        <v>61</v>
      </c>
      <c r="AC1679" s="63" t="s">
        <v>61</v>
      </c>
      <c r="AD1679" s="64" t="s">
        <v>61</v>
      </c>
      <c r="AE1679" s="64" t="s">
        <v>61</v>
      </c>
      <c r="AF1679" s="63" t="s">
        <v>61</v>
      </c>
      <c r="AG1679" s="63" t="s">
        <v>61</v>
      </c>
      <c r="AH1679" s="63" t="s">
        <v>61</v>
      </c>
      <c r="AI1679" s="65" t="s">
        <v>61</v>
      </c>
      <c r="AJ1679" s="105" t="s">
        <v>61</v>
      </c>
      <c r="AK1679" s="76"/>
    </row>
    <row r="1680" ht="24.0" customHeight="1">
      <c r="A1680" s="35"/>
      <c r="B1680" s="36">
        <v>1.0</v>
      </c>
      <c r="C1680" s="37" t="str">
        <f>IFERROR(__xludf.DUMMYFUNCTION("""COMPUTED_VALUE"""),"")</f>
        <v/>
      </c>
      <c r="D1680" s="89" t="s">
        <v>61</v>
      </c>
      <c r="E1680" s="39" t="s">
        <v>61</v>
      </c>
      <c r="F1680" s="121"/>
      <c r="G1680" s="122"/>
      <c r="H1680" s="138"/>
      <c r="I1680" s="80"/>
      <c r="J1680" s="80"/>
      <c r="K1680" s="95"/>
      <c r="L1680" s="80"/>
      <c r="M1680" s="43"/>
      <c r="N1680" s="43"/>
      <c r="O1680" s="80"/>
      <c r="P1680" s="80"/>
      <c r="Q1680" s="80"/>
      <c r="R1680" s="80"/>
      <c r="S1680" s="117"/>
      <c r="T1680" s="81"/>
      <c r="U1680" s="81"/>
      <c r="V1680" s="81"/>
      <c r="W1680" s="81"/>
      <c r="X1680" s="81"/>
      <c r="Y1680" s="81"/>
      <c r="Z1680" s="82"/>
      <c r="AA1680" s="99"/>
      <c r="AB1680" s="48" t="s">
        <v>61</v>
      </c>
      <c r="AC1680" s="68" t="s">
        <v>61</v>
      </c>
      <c r="AD1680" s="69" t="s">
        <v>61</v>
      </c>
      <c r="AE1680" s="69" t="s">
        <v>61</v>
      </c>
      <c r="AF1680" s="68" t="s">
        <v>61</v>
      </c>
      <c r="AG1680" s="68" t="s">
        <v>61</v>
      </c>
      <c r="AH1680" s="68" t="s">
        <v>61</v>
      </c>
      <c r="AI1680" s="70" t="s">
        <v>61</v>
      </c>
      <c r="AJ1680" s="114" t="s">
        <v>61</v>
      </c>
      <c r="AK1680" s="82"/>
    </row>
    <row r="1681" ht="24.0" customHeight="1">
      <c r="A1681" s="35"/>
      <c r="B1681" s="36">
        <v>1.0</v>
      </c>
      <c r="C1681" s="37" t="str">
        <f>IFERROR(__xludf.DUMMYFUNCTION("""COMPUTED_VALUE"""),"")</f>
        <v/>
      </c>
      <c r="D1681" s="89" t="s">
        <v>61</v>
      </c>
      <c r="E1681" s="51" t="s">
        <v>61</v>
      </c>
      <c r="F1681" s="137"/>
      <c r="G1681" s="133"/>
      <c r="H1681" s="141"/>
      <c r="I1681" s="57"/>
      <c r="J1681" s="57"/>
      <c r="K1681" s="72"/>
      <c r="L1681" s="57"/>
      <c r="M1681" s="55"/>
      <c r="N1681" s="55"/>
      <c r="O1681" s="57"/>
      <c r="P1681" s="57"/>
      <c r="Q1681" s="57"/>
      <c r="R1681" s="57"/>
      <c r="S1681" s="132"/>
      <c r="T1681" s="74"/>
      <c r="U1681" s="74"/>
      <c r="V1681" s="74"/>
      <c r="W1681" s="74"/>
      <c r="X1681" s="74"/>
      <c r="Y1681" s="74"/>
      <c r="Z1681" s="76"/>
      <c r="AA1681" s="134"/>
      <c r="AB1681" s="62" t="s">
        <v>61</v>
      </c>
      <c r="AC1681" s="63" t="s">
        <v>61</v>
      </c>
      <c r="AD1681" s="64" t="s">
        <v>61</v>
      </c>
      <c r="AE1681" s="64" t="s">
        <v>61</v>
      </c>
      <c r="AF1681" s="63" t="s">
        <v>61</v>
      </c>
      <c r="AG1681" s="63" t="s">
        <v>61</v>
      </c>
      <c r="AH1681" s="63" t="s">
        <v>61</v>
      </c>
      <c r="AI1681" s="65" t="s">
        <v>61</v>
      </c>
      <c r="AJ1681" s="105" t="s">
        <v>61</v>
      </c>
      <c r="AK1681" s="76"/>
    </row>
    <row r="1682" ht="24.0" customHeight="1">
      <c r="A1682" s="35"/>
      <c r="B1682" s="36">
        <v>1.0</v>
      </c>
      <c r="C1682" s="37" t="str">
        <f>IFERROR(__xludf.DUMMYFUNCTION("""COMPUTED_VALUE"""),"")</f>
        <v/>
      </c>
      <c r="D1682" s="89" t="s">
        <v>61</v>
      </c>
      <c r="E1682" s="39" t="s">
        <v>61</v>
      </c>
      <c r="F1682" s="121"/>
      <c r="G1682" s="122"/>
      <c r="H1682" s="138"/>
      <c r="I1682" s="80"/>
      <c r="J1682" s="80"/>
      <c r="K1682" s="95"/>
      <c r="L1682" s="80"/>
      <c r="M1682" s="43"/>
      <c r="N1682" s="43"/>
      <c r="O1682" s="80"/>
      <c r="P1682" s="80"/>
      <c r="Q1682" s="80"/>
      <c r="R1682" s="80"/>
      <c r="S1682" s="117"/>
      <c r="T1682" s="81"/>
      <c r="U1682" s="81"/>
      <c r="V1682" s="81"/>
      <c r="W1682" s="81"/>
      <c r="X1682" s="81"/>
      <c r="Y1682" s="81"/>
      <c r="Z1682" s="82"/>
      <c r="AA1682" s="99"/>
      <c r="AB1682" s="48" t="s">
        <v>61</v>
      </c>
      <c r="AC1682" s="68" t="s">
        <v>61</v>
      </c>
      <c r="AD1682" s="69" t="s">
        <v>61</v>
      </c>
      <c r="AE1682" s="69" t="s">
        <v>61</v>
      </c>
      <c r="AF1682" s="68" t="s">
        <v>61</v>
      </c>
      <c r="AG1682" s="68" t="s">
        <v>61</v>
      </c>
      <c r="AH1682" s="68" t="s">
        <v>61</v>
      </c>
      <c r="AI1682" s="70" t="s">
        <v>61</v>
      </c>
      <c r="AJ1682" s="114" t="s">
        <v>61</v>
      </c>
      <c r="AK1682" s="82"/>
    </row>
    <row r="1683" ht="24.0" customHeight="1">
      <c r="A1683" s="35"/>
      <c r="B1683" s="36">
        <v>1.0</v>
      </c>
      <c r="C1683" s="37" t="str">
        <f>IFERROR(__xludf.DUMMYFUNCTION("""COMPUTED_VALUE"""),"")</f>
        <v/>
      </c>
      <c r="D1683" s="89" t="s">
        <v>61</v>
      </c>
      <c r="E1683" s="51" t="s">
        <v>61</v>
      </c>
      <c r="F1683" s="137"/>
      <c r="G1683" s="133"/>
      <c r="H1683" s="141"/>
      <c r="I1683" s="57"/>
      <c r="J1683" s="57"/>
      <c r="K1683" s="72"/>
      <c r="L1683" s="57"/>
      <c r="M1683" s="55"/>
      <c r="N1683" s="55"/>
      <c r="O1683" s="57"/>
      <c r="P1683" s="57"/>
      <c r="Q1683" s="57"/>
      <c r="R1683" s="57"/>
      <c r="S1683" s="132"/>
      <c r="T1683" s="74"/>
      <c r="U1683" s="74"/>
      <c r="V1683" s="74"/>
      <c r="W1683" s="74"/>
      <c r="X1683" s="74"/>
      <c r="Y1683" s="74"/>
      <c r="Z1683" s="76"/>
      <c r="AA1683" s="134"/>
      <c r="AB1683" s="62" t="s">
        <v>61</v>
      </c>
      <c r="AC1683" s="63" t="s">
        <v>61</v>
      </c>
      <c r="AD1683" s="64" t="s">
        <v>61</v>
      </c>
      <c r="AE1683" s="64" t="s">
        <v>61</v>
      </c>
      <c r="AF1683" s="63" t="s">
        <v>61</v>
      </c>
      <c r="AG1683" s="63" t="s">
        <v>61</v>
      </c>
      <c r="AH1683" s="63" t="s">
        <v>61</v>
      </c>
      <c r="AI1683" s="65" t="s">
        <v>61</v>
      </c>
      <c r="AJ1683" s="105" t="s">
        <v>61</v>
      </c>
      <c r="AK1683" s="76"/>
    </row>
    <row r="1684" ht="24.0" customHeight="1">
      <c r="A1684" s="35"/>
      <c r="B1684" s="36">
        <v>1.0</v>
      </c>
      <c r="C1684" s="37" t="str">
        <f>IFERROR(__xludf.DUMMYFUNCTION("""COMPUTED_VALUE"""),"")</f>
        <v/>
      </c>
      <c r="D1684" s="89" t="s">
        <v>61</v>
      </c>
      <c r="E1684" s="39" t="s">
        <v>61</v>
      </c>
      <c r="F1684" s="121"/>
      <c r="G1684" s="122"/>
      <c r="H1684" s="138"/>
      <c r="I1684" s="80"/>
      <c r="J1684" s="80"/>
      <c r="K1684" s="95"/>
      <c r="L1684" s="80"/>
      <c r="M1684" s="43"/>
      <c r="N1684" s="43"/>
      <c r="O1684" s="80"/>
      <c r="P1684" s="80"/>
      <c r="Q1684" s="80"/>
      <c r="R1684" s="80"/>
      <c r="S1684" s="117"/>
      <c r="T1684" s="81"/>
      <c r="U1684" s="81"/>
      <c r="V1684" s="81"/>
      <c r="W1684" s="81"/>
      <c r="X1684" s="81"/>
      <c r="Y1684" s="81"/>
      <c r="Z1684" s="82"/>
      <c r="AA1684" s="99"/>
      <c r="AB1684" s="48" t="s">
        <v>61</v>
      </c>
      <c r="AC1684" s="68" t="s">
        <v>61</v>
      </c>
      <c r="AD1684" s="69" t="s">
        <v>61</v>
      </c>
      <c r="AE1684" s="69" t="s">
        <v>61</v>
      </c>
      <c r="AF1684" s="68" t="s">
        <v>61</v>
      </c>
      <c r="AG1684" s="68" t="s">
        <v>61</v>
      </c>
      <c r="AH1684" s="68" t="s">
        <v>61</v>
      </c>
      <c r="AI1684" s="70" t="s">
        <v>61</v>
      </c>
      <c r="AJ1684" s="114" t="s">
        <v>61</v>
      </c>
      <c r="AK1684" s="82"/>
    </row>
    <row r="1685" ht="24.0" customHeight="1">
      <c r="A1685" s="35"/>
      <c r="B1685" s="36">
        <v>1.0</v>
      </c>
      <c r="C1685" s="37" t="str">
        <f>IFERROR(__xludf.DUMMYFUNCTION("""COMPUTED_VALUE"""),"")</f>
        <v/>
      </c>
      <c r="D1685" s="89" t="s">
        <v>61</v>
      </c>
      <c r="E1685" s="51" t="s">
        <v>61</v>
      </c>
      <c r="F1685" s="137"/>
      <c r="G1685" s="133"/>
      <c r="H1685" s="141"/>
      <c r="I1685" s="57"/>
      <c r="J1685" s="57"/>
      <c r="K1685" s="72"/>
      <c r="L1685" s="57"/>
      <c r="M1685" s="55"/>
      <c r="N1685" s="55"/>
      <c r="O1685" s="57"/>
      <c r="P1685" s="57"/>
      <c r="Q1685" s="57"/>
      <c r="R1685" s="57"/>
      <c r="S1685" s="132"/>
      <c r="T1685" s="74"/>
      <c r="U1685" s="74"/>
      <c r="V1685" s="74"/>
      <c r="W1685" s="74"/>
      <c r="X1685" s="74"/>
      <c r="Y1685" s="74"/>
      <c r="Z1685" s="76"/>
      <c r="AA1685" s="134"/>
      <c r="AB1685" s="62" t="s">
        <v>61</v>
      </c>
      <c r="AC1685" s="63" t="s">
        <v>61</v>
      </c>
      <c r="AD1685" s="64" t="s">
        <v>61</v>
      </c>
      <c r="AE1685" s="64" t="s">
        <v>61</v>
      </c>
      <c r="AF1685" s="63" t="s">
        <v>61</v>
      </c>
      <c r="AG1685" s="63" t="s">
        <v>61</v>
      </c>
      <c r="AH1685" s="63" t="s">
        <v>61</v>
      </c>
      <c r="AI1685" s="65" t="s">
        <v>61</v>
      </c>
      <c r="AJ1685" s="105" t="s">
        <v>61</v>
      </c>
      <c r="AK1685" s="76"/>
    </row>
    <row r="1686" ht="24.0" customHeight="1">
      <c r="A1686" s="35"/>
      <c r="B1686" s="36">
        <v>1.0</v>
      </c>
      <c r="C1686" s="37" t="str">
        <f>IFERROR(__xludf.DUMMYFUNCTION("""COMPUTED_VALUE"""),"")</f>
        <v/>
      </c>
      <c r="D1686" s="89" t="s">
        <v>61</v>
      </c>
      <c r="E1686" s="39" t="s">
        <v>61</v>
      </c>
      <c r="F1686" s="121"/>
      <c r="G1686" s="122"/>
      <c r="H1686" s="138"/>
      <c r="I1686" s="80"/>
      <c r="J1686" s="80"/>
      <c r="K1686" s="95"/>
      <c r="L1686" s="80"/>
      <c r="M1686" s="43"/>
      <c r="N1686" s="43"/>
      <c r="O1686" s="80"/>
      <c r="P1686" s="80"/>
      <c r="Q1686" s="80"/>
      <c r="R1686" s="80"/>
      <c r="S1686" s="117"/>
      <c r="T1686" s="81"/>
      <c r="U1686" s="81"/>
      <c r="V1686" s="81"/>
      <c r="W1686" s="81"/>
      <c r="X1686" s="81"/>
      <c r="Y1686" s="81"/>
      <c r="Z1686" s="82"/>
      <c r="AA1686" s="99"/>
      <c r="AB1686" s="48" t="s">
        <v>61</v>
      </c>
      <c r="AC1686" s="68" t="s">
        <v>61</v>
      </c>
      <c r="AD1686" s="69" t="s">
        <v>61</v>
      </c>
      <c r="AE1686" s="69" t="s">
        <v>61</v>
      </c>
      <c r="AF1686" s="68" t="s">
        <v>61</v>
      </c>
      <c r="AG1686" s="68" t="s">
        <v>61</v>
      </c>
      <c r="AH1686" s="68" t="s">
        <v>61</v>
      </c>
      <c r="AI1686" s="70" t="s">
        <v>61</v>
      </c>
      <c r="AJ1686" s="114" t="s">
        <v>61</v>
      </c>
      <c r="AK1686" s="82"/>
    </row>
    <row r="1687" ht="24.0" customHeight="1">
      <c r="A1687" s="35"/>
      <c r="B1687" s="36">
        <v>1.0</v>
      </c>
      <c r="C1687" s="37" t="str">
        <f>IFERROR(__xludf.DUMMYFUNCTION("""COMPUTED_VALUE"""),"")</f>
        <v/>
      </c>
      <c r="D1687" s="89" t="s">
        <v>61</v>
      </c>
      <c r="E1687" s="51" t="s">
        <v>61</v>
      </c>
      <c r="F1687" s="137"/>
      <c r="G1687" s="133"/>
      <c r="H1687" s="141"/>
      <c r="I1687" s="57"/>
      <c r="J1687" s="57"/>
      <c r="K1687" s="72"/>
      <c r="L1687" s="57"/>
      <c r="M1687" s="55"/>
      <c r="N1687" s="55"/>
      <c r="O1687" s="57"/>
      <c r="P1687" s="57"/>
      <c r="Q1687" s="57"/>
      <c r="R1687" s="57"/>
      <c r="S1687" s="132"/>
      <c r="T1687" s="74"/>
      <c r="U1687" s="74"/>
      <c r="V1687" s="74"/>
      <c r="W1687" s="74"/>
      <c r="X1687" s="74"/>
      <c r="Y1687" s="74"/>
      <c r="Z1687" s="76"/>
      <c r="AA1687" s="134"/>
      <c r="AB1687" s="62" t="s">
        <v>61</v>
      </c>
      <c r="AC1687" s="63" t="s">
        <v>61</v>
      </c>
      <c r="AD1687" s="64" t="s">
        <v>61</v>
      </c>
      <c r="AE1687" s="64" t="s">
        <v>61</v>
      </c>
      <c r="AF1687" s="63" t="s">
        <v>61</v>
      </c>
      <c r="AG1687" s="63" t="s">
        <v>61</v>
      </c>
      <c r="AH1687" s="63" t="s">
        <v>61</v>
      </c>
      <c r="AI1687" s="65" t="s">
        <v>61</v>
      </c>
      <c r="AJ1687" s="105" t="s">
        <v>61</v>
      </c>
      <c r="AK1687" s="76"/>
    </row>
    <row r="1688" ht="24.0" customHeight="1">
      <c r="A1688" s="35"/>
      <c r="B1688" s="36">
        <v>1.0</v>
      </c>
      <c r="C1688" s="37" t="str">
        <f>IFERROR(__xludf.DUMMYFUNCTION("""COMPUTED_VALUE"""),"")</f>
        <v/>
      </c>
      <c r="D1688" s="89" t="s">
        <v>61</v>
      </c>
      <c r="E1688" s="39" t="s">
        <v>61</v>
      </c>
      <c r="F1688" s="121"/>
      <c r="G1688" s="122"/>
      <c r="H1688" s="138"/>
      <c r="I1688" s="80"/>
      <c r="J1688" s="80"/>
      <c r="K1688" s="95"/>
      <c r="L1688" s="80"/>
      <c r="M1688" s="43"/>
      <c r="N1688" s="43"/>
      <c r="O1688" s="80"/>
      <c r="P1688" s="80"/>
      <c r="Q1688" s="80"/>
      <c r="R1688" s="80"/>
      <c r="S1688" s="117"/>
      <c r="T1688" s="81"/>
      <c r="U1688" s="81"/>
      <c r="V1688" s="81"/>
      <c r="W1688" s="81"/>
      <c r="X1688" s="81"/>
      <c r="Y1688" s="81"/>
      <c r="Z1688" s="82"/>
      <c r="AA1688" s="99"/>
      <c r="AB1688" s="48" t="s">
        <v>61</v>
      </c>
      <c r="AC1688" s="68" t="s">
        <v>61</v>
      </c>
      <c r="AD1688" s="69" t="s">
        <v>61</v>
      </c>
      <c r="AE1688" s="69" t="s">
        <v>61</v>
      </c>
      <c r="AF1688" s="68" t="s">
        <v>61</v>
      </c>
      <c r="AG1688" s="68" t="s">
        <v>61</v>
      </c>
      <c r="AH1688" s="68" t="s">
        <v>61</v>
      </c>
      <c r="AI1688" s="70" t="s">
        <v>61</v>
      </c>
      <c r="AJ1688" s="114" t="s">
        <v>61</v>
      </c>
      <c r="AK1688" s="82"/>
    </row>
    <row r="1689" ht="24.0" customHeight="1">
      <c r="A1689" s="35"/>
      <c r="B1689" s="36">
        <v>1.0</v>
      </c>
      <c r="C1689" s="37" t="str">
        <f>IFERROR(__xludf.DUMMYFUNCTION("""COMPUTED_VALUE"""),"")</f>
        <v/>
      </c>
      <c r="D1689" s="89" t="s">
        <v>61</v>
      </c>
      <c r="E1689" s="51" t="s">
        <v>61</v>
      </c>
      <c r="F1689" s="137"/>
      <c r="G1689" s="133"/>
      <c r="H1689" s="141"/>
      <c r="I1689" s="57"/>
      <c r="J1689" s="57"/>
      <c r="K1689" s="72"/>
      <c r="L1689" s="57"/>
      <c r="M1689" s="55"/>
      <c r="N1689" s="55"/>
      <c r="O1689" s="57"/>
      <c r="P1689" s="57"/>
      <c r="Q1689" s="57"/>
      <c r="R1689" s="57"/>
      <c r="S1689" s="132"/>
      <c r="T1689" s="74"/>
      <c r="U1689" s="74"/>
      <c r="V1689" s="74"/>
      <c r="W1689" s="74"/>
      <c r="X1689" s="74"/>
      <c r="Y1689" s="74"/>
      <c r="Z1689" s="76"/>
      <c r="AA1689" s="134"/>
      <c r="AB1689" s="62" t="s">
        <v>61</v>
      </c>
      <c r="AC1689" s="63" t="s">
        <v>61</v>
      </c>
      <c r="AD1689" s="64" t="s">
        <v>61</v>
      </c>
      <c r="AE1689" s="64" t="s">
        <v>61</v>
      </c>
      <c r="AF1689" s="63" t="s">
        <v>61</v>
      </c>
      <c r="AG1689" s="63" t="s">
        <v>61</v>
      </c>
      <c r="AH1689" s="63" t="s">
        <v>61</v>
      </c>
      <c r="AI1689" s="65" t="s">
        <v>61</v>
      </c>
      <c r="AJ1689" s="105" t="s">
        <v>61</v>
      </c>
      <c r="AK1689" s="76"/>
    </row>
    <row r="1690" ht="24.0" customHeight="1">
      <c r="A1690" s="35"/>
      <c r="B1690" s="36">
        <v>1.0</v>
      </c>
      <c r="C1690" s="37" t="str">
        <f>IFERROR(__xludf.DUMMYFUNCTION("""COMPUTED_VALUE"""),"")</f>
        <v/>
      </c>
      <c r="D1690" s="89" t="s">
        <v>61</v>
      </c>
      <c r="E1690" s="39" t="s">
        <v>61</v>
      </c>
      <c r="F1690" s="121"/>
      <c r="G1690" s="122"/>
      <c r="H1690" s="138"/>
      <c r="I1690" s="80"/>
      <c r="J1690" s="80"/>
      <c r="K1690" s="95"/>
      <c r="L1690" s="80"/>
      <c r="M1690" s="43"/>
      <c r="N1690" s="43"/>
      <c r="O1690" s="80"/>
      <c r="P1690" s="80"/>
      <c r="Q1690" s="80"/>
      <c r="R1690" s="80"/>
      <c r="S1690" s="117"/>
      <c r="T1690" s="81"/>
      <c r="U1690" s="81"/>
      <c r="V1690" s="81"/>
      <c r="W1690" s="81"/>
      <c r="X1690" s="81"/>
      <c r="Y1690" s="81"/>
      <c r="Z1690" s="82"/>
      <c r="AA1690" s="99"/>
      <c r="AB1690" s="48" t="s">
        <v>61</v>
      </c>
      <c r="AC1690" s="68" t="s">
        <v>61</v>
      </c>
      <c r="AD1690" s="69" t="s">
        <v>61</v>
      </c>
      <c r="AE1690" s="69" t="s">
        <v>61</v>
      </c>
      <c r="AF1690" s="68" t="s">
        <v>61</v>
      </c>
      <c r="AG1690" s="68" t="s">
        <v>61</v>
      </c>
      <c r="AH1690" s="68" t="s">
        <v>61</v>
      </c>
      <c r="AI1690" s="70" t="s">
        <v>61</v>
      </c>
      <c r="AJ1690" s="114" t="s">
        <v>61</v>
      </c>
      <c r="AK1690" s="82"/>
    </row>
    <row r="1691" ht="24.0" customHeight="1">
      <c r="A1691" s="35"/>
      <c r="B1691" s="36">
        <v>1.0</v>
      </c>
      <c r="C1691" s="37" t="str">
        <f>IFERROR(__xludf.DUMMYFUNCTION("""COMPUTED_VALUE"""),"")</f>
        <v/>
      </c>
      <c r="D1691" s="89" t="s">
        <v>61</v>
      </c>
      <c r="E1691" s="51" t="s">
        <v>61</v>
      </c>
      <c r="F1691" s="137"/>
      <c r="G1691" s="133"/>
      <c r="H1691" s="141"/>
      <c r="I1691" s="57"/>
      <c r="J1691" s="57"/>
      <c r="K1691" s="72"/>
      <c r="L1691" s="57"/>
      <c r="M1691" s="55"/>
      <c r="N1691" s="55"/>
      <c r="O1691" s="57"/>
      <c r="P1691" s="57"/>
      <c r="Q1691" s="57"/>
      <c r="R1691" s="57"/>
      <c r="S1691" s="132"/>
      <c r="T1691" s="74"/>
      <c r="U1691" s="74"/>
      <c r="V1691" s="74"/>
      <c r="W1691" s="74"/>
      <c r="X1691" s="74"/>
      <c r="Y1691" s="74"/>
      <c r="Z1691" s="76"/>
      <c r="AA1691" s="134"/>
      <c r="AB1691" s="62" t="s">
        <v>61</v>
      </c>
      <c r="AC1691" s="63" t="s">
        <v>61</v>
      </c>
      <c r="AD1691" s="64" t="s">
        <v>61</v>
      </c>
      <c r="AE1691" s="64" t="s">
        <v>61</v>
      </c>
      <c r="AF1691" s="63" t="s">
        <v>61</v>
      </c>
      <c r="AG1691" s="63" t="s">
        <v>61</v>
      </c>
      <c r="AH1691" s="63" t="s">
        <v>61</v>
      </c>
      <c r="AI1691" s="65" t="s">
        <v>61</v>
      </c>
      <c r="AJ1691" s="105" t="s">
        <v>61</v>
      </c>
      <c r="AK1691" s="76"/>
    </row>
    <row r="1692" ht="24.0" customHeight="1">
      <c r="A1692" s="35"/>
      <c r="B1692" s="36">
        <v>1.0</v>
      </c>
      <c r="C1692" s="37" t="str">
        <f>IFERROR(__xludf.DUMMYFUNCTION("""COMPUTED_VALUE"""),"")</f>
        <v/>
      </c>
      <c r="D1692" s="89" t="s">
        <v>61</v>
      </c>
      <c r="E1692" s="39" t="s">
        <v>61</v>
      </c>
      <c r="F1692" s="121"/>
      <c r="G1692" s="122"/>
      <c r="H1692" s="138"/>
      <c r="I1692" s="80"/>
      <c r="J1692" s="80"/>
      <c r="K1692" s="95"/>
      <c r="L1692" s="80"/>
      <c r="M1692" s="43"/>
      <c r="N1692" s="43"/>
      <c r="O1692" s="80"/>
      <c r="P1692" s="80"/>
      <c r="Q1692" s="80"/>
      <c r="R1692" s="80"/>
      <c r="S1692" s="117"/>
      <c r="T1692" s="81"/>
      <c r="U1692" s="81"/>
      <c r="V1692" s="81"/>
      <c r="W1692" s="81"/>
      <c r="X1692" s="81"/>
      <c r="Y1692" s="81"/>
      <c r="Z1692" s="82"/>
      <c r="AA1692" s="99"/>
      <c r="AB1692" s="48" t="s">
        <v>61</v>
      </c>
      <c r="AC1692" s="68" t="s">
        <v>61</v>
      </c>
      <c r="AD1692" s="69" t="s">
        <v>61</v>
      </c>
      <c r="AE1692" s="69" t="s">
        <v>61</v>
      </c>
      <c r="AF1692" s="68" t="s">
        <v>61</v>
      </c>
      <c r="AG1692" s="68" t="s">
        <v>61</v>
      </c>
      <c r="AH1692" s="68" t="s">
        <v>61</v>
      </c>
      <c r="AI1692" s="70" t="s">
        <v>61</v>
      </c>
      <c r="AJ1692" s="114" t="s">
        <v>61</v>
      </c>
      <c r="AK1692" s="82"/>
    </row>
    <row r="1693" ht="24.0" customHeight="1">
      <c r="A1693" s="35"/>
      <c r="B1693" s="36">
        <v>1.0</v>
      </c>
      <c r="C1693" s="37" t="str">
        <f>IFERROR(__xludf.DUMMYFUNCTION("""COMPUTED_VALUE"""),"")</f>
        <v/>
      </c>
      <c r="D1693" s="89" t="s">
        <v>61</v>
      </c>
      <c r="E1693" s="51" t="s">
        <v>61</v>
      </c>
      <c r="F1693" s="137"/>
      <c r="G1693" s="133"/>
      <c r="H1693" s="141"/>
      <c r="I1693" s="57"/>
      <c r="J1693" s="57"/>
      <c r="K1693" s="72"/>
      <c r="L1693" s="57"/>
      <c r="M1693" s="55"/>
      <c r="N1693" s="55"/>
      <c r="O1693" s="57"/>
      <c r="P1693" s="57"/>
      <c r="Q1693" s="57"/>
      <c r="R1693" s="57"/>
      <c r="S1693" s="132"/>
      <c r="T1693" s="74"/>
      <c r="U1693" s="74"/>
      <c r="V1693" s="74"/>
      <c r="W1693" s="74"/>
      <c r="X1693" s="74"/>
      <c r="Y1693" s="74"/>
      <c r="Z1693" s="76"/>
      <c r="AA1693" s="134"/>
      <c r="AB1693" s="62" t="s">
        <v>61</v>
      </c>
      <c r="AC1693" s="63" t="s">
        <v>61</v>
      </c>
      <c r="AD1693" s="64" t="s">
        <v>61</v>
      </c>
      <c r="AE1693" s="64" t="s">
        <v>61</v>
      </c>
      <c r="AF1693" s="63" t="s">
        <v>61</v>
      </c>
      <c r="AG1693" s="63" t="s">
        <v>61</v>
      </c>
      <c r="AH1693" s="63" t="s">
        <v>61</v>
      </c>
      <c r="AI1693" s="65" t="s">
        <v>61</v>
      </c>
      <c r="AJ1693" s="105" t="s">
        <v>61</v>
      </c>
      <c r="AK1693" s="76"/>
    </row>
    <row r="1694" ht="24.0" customHeight="1">
      <c r="A1694" s="35"/>
      <c r="B1694" s="36">
        <v>1.0</v>
      </c>
      <c r="C1694" s="37" t="str">
        <f>IFERROR(__xludf.DUMMYFUNCTION("""COMPUTED_VALUE"""),"")</f>
        <v/>
      </c>
      <c r="D1694" s="89" t="s">
        <v>61</v>
      </c>
      <c r="E1694" s="39" t="s">
        <v>61</v>
      </c>
      <c r="F1694" s="121"/>
      <c r="G1694" s="122"/>
      <c r="H1694" s="138"/>
      <c r="I1694" s="80"/>
      <c r="J1694" s="80"/>
      <c r="K1694" s="95"/>
      <c r="L1694" s="80"/>
      <c r="M1694" s="43"/>
      <c r="N1694" s="43"/>
      <c r="O1694" s="80"/>
      <c r="P1694" s="80"/>
      <c r="Q1694" s="80"/>
      <c r="R1694" s="80"/>
      <c r="S1694" s="117"/>
      <c r="T1694" s="81"/>
      <c r="U1694" s="81"/>
      <c r="V1694" s="81"/>
      <c r="W1694" s="81"/>
      <c r="X1694" s="81"/>
      <c r="Y1694" s="81"/>
      <c r="Z1694" s="82"/>
      <c r="AA1694" s="99"/>
      <c r="AB1694" s="48" t="s">
        <v>61</v>
      </c>
      <c r="AC1694" s="68" t="s">
        <v>61</v>
      </c>
      <c r="AD1694" s="69" t="s">
        <v>61</v>
      </c>
      <c r="AE1694" s="69" t="s">
        <v>61</v>
      </c>
      <c r="AF1694" s="68" t="s">
        <v>61</v>
      </c>
      <c r="AG1694" s="68" t="s">
        <v>61</v>
      </c>
      <c r="AH1694" s="68" t="s">
        <v>61</v>
      </c>
      <c r="AI1694" s="70" t="s">
        <v>61</v>
      </c>
      <c r="AJ1694" s="114" t="s">
        <v>61</v>
      </c>
      <c r="AK1694" s="82"/>
    </row>
    <row r="1695" ht="24.0" customHeight="1">
      <c r="A1695" s="35"/>
      <c r="B1695" s="36">
        <v>1.0</v>
      </c>
      <c r="C1695" s="37" t="str">
        <f>IFERROR(__xludf.DUMMYFUNCTION("""COMPUTED_VALUE"""),"")</f>
        <v/>
      </c>
      <c r="D1695" s="89" t="s">
        <v>61</v>
      </c>
      <c r="E1695" s="51" t="s">
        <v>61</v>
      </c>
      <c r="F1695" s="137"/>
      <c r="G1695" s="133"/>
      <c r="H1695" s="141"/>
      <c r="I1695" s="57"/>
      <c r="J1695" s="57"/>
      <c r="K1695" s="72"/>
      <c r="L1695" s="57"/>
      <c r="M1695" s="55"/>
      <c r="N1695" s="55"/>
      <c r="O1695" s="57"/>
      <c r="P1695" s="57"/>
      <c r="Q1695" s="57"/>
      <c r="R1695" s="57"/>
      <c r="S1695" s="132"/>
      <c r="T1695" s="74"/>
      <c r="U1695" s="74"/>
      <c r="V1695" s="74"/>
      <c r="W1695" s="74"/>
      <c r="X1695" s="74"/>
      <c r="Y1695" s="74"/>
      <c r="Z1695" s="76"/>
      <c r="AA1695" s="134"/>
      <c r="AB1695" s="62" t="s">
        <v>61</v>
      </c>
      <c r="AC1695" s="63" t="s">
        <v>61</v>
      </c>
      <c r="AD1695" s="64" t="s">
        <v>61</v>
      </c>
      <c r="AE1695" s="64" t="s">
        <v>61</v>
      </c>
      <c r="AF1695" s="63" t="s">
        <v>61</v>
      </c>
      <c r="AG1695" s="63" t="s">
        <v>61</v>
      </c>
      <c r="AH1695" s="63" t="s">
        <v>61</v>
      </c>
      <c r="AI1695" s="65" t="s">
        <v>61</v>
      </c>
      <c r="AJ1695" s="105" t="s">
        <v>61</v>
      </c>
      <c r="AK1695" s="76"/>
    </row>
    <row r="1696" ht="24.0" customHeight="1">
      <c r="A1696" s="35"/>
      <c r="B1696" s="36">
        <v>1.0</v>
      </c>
      <c r="C1696" s="37" t="str">
        <f>IFERROR(__xludf.DUMMYFUNCTION("""COMPUTED_VALUE"""),"")</f>
        <v/>
      </c>
      <c r="D1696" s="89" t="s">
        <v>61</v>
      </c>
      <c r="E1696" s="39" t="s">
        <v>61</v>
      </c>
      <c r="F1696" s="121"/>
      <c r="G1696" s="122"/>
      <c r="H1696" s="138"/>
      <c r="I1696" s="80"/>
      <c r="J1696" s="80"/>
      <c r="K1696" s="95"/>
      <c r="L1696" s="80"/>
      <c r="M1696" s="43"/>
      <c r="N1696" s="43"/>
      <c r="O1696" s="80"/>
      <c r="P1696" s="80"/>
      <c r="Q1696" s="80"/>
      <c r="R1696" s="80"/>
      <c r="S1696" s="117"/>
      <c r="T1696" s="81"/>
      <c r="U1696" s="81"/>
      <c r="V1696" s="81"/>
      <c r="W1696" s="81"/>
      <c r="X1696" s="81"/>
      <c r="Y1696" s="81"/>
      <c r="Z1696" s="82"/>
      <c r="AA1696" s="99"/>
      <c r="AB1696" s="48" t="s">
        <v>61</v>
      </c>
      <c r="AC1696" s="68" t="s">
        <v>61</v>
      </c>
      <c r="AD1696" s="69" t="s">
        <v>61</v>
      </c>
      <c r="AE1696" s="69" t="s">
        <v>61</v>
      </c>
      <c r="AF1696" s="68" t="s">
        <v>61</v>
      </c>
      <c r="AG1696" s="68" t="s">
        <v>61</v>
      </c>
      <c r="AH1696" s="68" t="s">
        <v>61</v>
      </c>
      <c r="AI1696" s="70" t="s">
        <v>61</v>
      </c>
      <c r="AJ1696" s="114" t="s">
        <v>61</v>
      </c>
      <c r="AK1696" s="82"/>
    </row>
    <row r="1697" ht="24.0" customHeight="1">
      <c r="A1697" s="35"/>
      <c r="B1697" s="36">
        <v>1.0</v>
      </c>
      <c r="C1697" s="37" t="str">
        <f>IFERROR(__xludf.DUMMYFUNCTION("""COMPUTED_VALUE"""),"")</f>
        <v/>
      </c>
      <c r="D1697" s="89" t="s">
        <v>61</v>
      </c>
      <c r="E1697" s="51" t="s">
        <v>61</v>
      </c>
      <c r="F1697" s="137"/>
      <c r="G1697" s="133"/>
      <c r="H1697" s="141"/>
      <c r="I1697" s="57"/>
      <c r="J1697" s="57"/>
      <c r="K1697" s="72"/>
      <c r="L1697" s="57"/>
      <c r="M1697" s="55"/>
      <c r="N1697" s="55"/>
      <c r="O1697" s="57"/>
      <c r="P1697" s="57"/>
      <c r="Q1697" s="57"/>
      <c r="R1697" s="57"/>
      <c r="S1697" s="132"/>
      <c r="T1697" s="74"/>
      <c r="U1697" s="74"/>
      <c r="V1697" s="74"/>
      <c r="W1697" s="74"/>
      <c r="X1697" s="74"/>
      <c r="Y1697" s="74"/>
      <c r="Z1697" s="76"/>
      <c r="AA1697" s="134"/>
      <c r="AB1697" s="62" t="s">
        <v>61</v>
      </c>
      <c r="AC1697" s="63" t="s">
        <v>61</v>
      </c>
      <c r="AD1697" s="64" t="s">
        <v>61</v>
      </c>
      <c r="AE1697" s="64" t="s">
        <v>61</v>
      </c>
      <c r="AF1697" s="63" t="s">
        <v>61</v>
      </c>
      <c r="AG1697" s="63" t="s">
        <v>61</v>
      </c>
      <c r="AH1697" s="63" t="s">
        <v>61</v>
      </c>
      <c r="AI1697" s="65" t="s">
        <v>61</v>
      </c>
      <c r="AJ1697" s="105" t="s">
        <v>61</v>
      </c>
      <c r="AK1697" s="76"/>
    </row>
    <row r="1698" ht="24.0" customHeight="1">
      <c r="A1698" s="35"/>
      <c r="B1698" s="36">
        <v>1.0</v>
      </c>
      <c r="C1698" s="37" t="str">
        <f>IFERROR(__xludf.DUMMYFUNCTION("""COMPUTED_VALUE"""),"")</f>
        <v/>
      </c>
      <c r="D1698" s="89" t="s">
        <v>61</v>
      </c>
      <c r="E1698" s="39" t="s">
        <v>61</v>
      </c>
      <c r="F1698" s="121"/>
      <c r="G1698" s="122"/>
      <c r="H1698" s="138"/>
      <c r="I1698" s="80"/>
      <c r="J1698" s="80"/>
      <c r="K1698" s="95"/>
      <c r="L1698" s="80"/>
      <c r="M1698" s="43"/>
      <c r="N1698" s="43"/>
      <c r="O1698" s="80"/>
      <c r="P1698" s="80"/>
      <c r="Q1698" s="80"/>
      <c r="R1698" s="80"/>
      <c r="S1698" s="117"/>
      <c r="T1698" s="81"/>
      <c r="U1698" s="81"/>
      <c r="V1698" s="81"/>
      <c r="W1698" s="81"/>
      <c r="X1698" s="81"/>
      <c r="Y1698" s="81"/>
      <c r="Z1698" s="82"/>
      <c r="AA1698" s="99"/>
      <c r="AB1698" s="48" t="s">
        <v>61</v>
      </c>
      <c r="AC1698" s="68" t="s">
        <v>61</v>
      </c>
      <c r="AD1698" s="69" t="s">
        <v>61</v>
      </c>
      <c r="AE1698" s="69" t="s">
        <v>61</v>
      </c>
      <c r="AF1698" s="68" t="s">
        <v>61</v>
      </c>
      <c r="AG1698" s="68" t="s">
        <v>61</v>
      </c>
      <c r="AH1698" s="68" t="s">
        <v>61</v>
      </c>
      <c r="AI1698" s="70" t="s">
        <v>61</v>
      </c>
      <c r="AJ1698" s="114" t="s">
        <v>61</v>
      </c>
      <c r="AK1698" s="82"/>
    </row>
    <row r="1699" ht="24.0" customHeight="1">
      <c r="A1699" s="35"/>
      <c r="B1699" s="36">
        <v>1.0</v>
      </c>
      <c r="C1699" s="37" t="str">
        <f>IFERROR(__xludf.DUMMYFUNCTION("""COMPUTED_VALUE"""),"")</f>
        <v/>
      </c>
      <c r="D1699" s="89" t="s">
        <v>61</v>
      </c>
      <c r="E1699" s="51" t="s">
        <v>61</v>
      </c>
      <c r="F1699" s="137"/>
      <c r="G1699" s="133"/>
      <c r="H1699" s="141"/>
      <c r="I1699" s="57"/>
      <c r="J1699" s="57"/>
      <c r="K1699" s="72"/>
      <c r="L1699" s="57"/>
      <c r="M1699" s="55"/>
      <c r="N1699" s="55"/>
      <c r="O1699" s="57"/>
      <c r="P1699" s="57"/>
      <c r="Q1699" s="57"/>
      <c r="R1699" s="57"/>
      <c r="S1699" s="132"/>
      <c r="T1699" s="74"/>
      <c r="U1699" s="74"/>
      <c r="V1699" s="74"/>
      <c r="W1699" s="74"/>
      <c r="X1699" s="74"/>
      <c r="Y1699" s="74"/>
      <c r="Z1699" s="76"/>
      <c r="AA1699" s="134"/>
      <c r="AB1699" s="62" t="s">
        <v>61</v>
      </c>
      <c r="AC1699" s="63" t="s">
        <v>61</v>
      </c>
      <c r="AD1699" s="64" t="s">
        <v>61</v>
      </c>
      <c r="AE1699" s="64" t="s">
        <v>61</v>
      </c>
      <c r="AF1699" s="63" t="s">
        <v>61</v>
      </c>
      <c r="AG1699" s="63" t="s">
        <v>61</v>
      </c>
      <c r="AH1699" s="63" t="s">
        <v>61</v>
      </c>
      <c r="AI1699" s="65" t="s">
        <v>61</v>
      </c>
      <c r="AJ1699" s="105" t="s">
        <v>61</v>
      </c>
      <c r="AK1699" s="76"/>
    </row>
    <row r="1700" ht="24.0" customHeight="1">
      <c r="A1700" s="35"/>
      <c r="B1700" s="36">
        <v>1.0</v>
      </c>
      <c r="C1700" s="37" t="str">
        <f>IFERROR(__xludf.DUMMYFUNCTION("""COMPUTED_VALUE"""),"")</f>
        <v/>
      </c>
      <c r="D1700" s="89" t="s">
        <v>61</v>
      </c>
      <c r="E1700" s="39" t="s">
        <v>61</v>
      </c>
      <c r="F1700" s="121"/>
      <c r="G1700" s="122"/>
      <c r="H1700" s="138"/>
      <c r="I1700" s="80"/>
      <c r="J1700" s="80"/>
      <c r="K1700" s="95"/>
      <c r="L1700" s="80"/>
      <c r="M1700" s="43"/>
      <c r="N1700" s="43"/>
      <c r="O1700" s="80"/>
      <c r="P1700" s="80"/>
      <c r="Q1700" s="80"/>
      <c r="R1700" s="80"/>
      <c r="S1700" s="117"/>
      <c r="T1700" s="81"/>
      <c r="U1700" s="81"/>
      <c r="V1700" s="81"/>
      <c r="W1700" s="81"/>
      <c r="X1700" s="81"/>
      <c r="Y1700" s="81"/>
      <c r="Z1700" s="82"/>
      <c r="AA1700" s="99"/>
      <c r="AB1700" s="48" t="s">
        <v>61</v>
      </c>
      <c r="AC1700" s="68" t="s">
        <v>61</v>
      </c>
      <c r="AD1700" s="69" t="s">
        <v>61</v>
      </c>
      <c r="AE1700" s="69" t="s">
        <v>61</v>
      </c>
      <c r="AF1700" s="68" t="s">
        <v>61</v>
      </c>
      <c r="AG1700" s="68" t="s">
        <v>61</v>
      </c>
      <c r="AH1700" s="68" t="s">
        <v>61</v>
      </c>
      <c r="AI1700" s="70" t="s">
        <v>61</v>
      </c>
      <c r="AJ1700" s="114" t="s">
        <v>61</v>
      </c>
      <c r="AK1700" s="82"/>
    </row>
    <row r="1701" ht="24.0" customHeight="1">
      <c r="A1701" s="35"/>
      <c r="B1701" s="36">
        <v>1.0</v>
      </c>
      <c r="C1701" s="37" t="str">
        <f>IFERROR(__xludf.DUMMYFUNCTION("""COMPUTED_VALUE"""),"")</f>
        <v/>
      </c>
      <c r="D1701" s="89" t="s">
        <v>61</v>
      </c>
      <c r="E1701" s="51" t="s">
        <v>61</v>
      </c>
      <c r="F1701" s="137"/>
      <c r="G1701" s="133"/>
      <c r="H1701" s="141"/>
      <c r="I1701" s="57"/>
      <c r="J1701" s="57"/>
      <c r="K1701" s="72"/>
      <c r="L1701" s="57"/>
      <c r="M1701" s="55"/>
      <c r="N1701" s="55"/>
      <c r="O1701" s="57"/>
      <c r="P1701" s="57"/>
      <c r="Q1701" s="57"/>
      <c r="R1701" s="57"/>
      <c r="S1701" s="132"/>
      <c r="T1701" s="74"/>
      <c r="U1701" s="74"/>
      <c r="V1701" s="74"/>
      <c r="W1701" s="74"/>
      <c r="X1701" s="74"/>
      <c r="Y1701" s="74"/>
      <c r="Z1701" s="76"/>
      <c r="AA1701" s="134"/>
      <c r="AB1701" s="62" t="s">
        <v>61</v>
      </c>
      <c r="AC1701" s="63" t="s">
        <v>61</v>
      </c>
      <c r="AD1701" s="64" t="s">
        <v>61</v>
      </c>
      <c r="AE1701" s="64" t="s">
        <v>61</v>
      </c>
      <c r="AF1701" s="63" t="s">
        <v>61</v>
      </c>
      <c r="AG1701" s="63" t="s">
        <v>61</v>
      </c>
      <c r="AH1701" s="63" t="s">
        <v>61</v>
      </c>
      <c r="AI1701" s="65" t="s">
        <v>61</v>
      </c>
      <c r="AJ1701" s="105" t="s">
        <v>61</v>
      </c>
      <c r="AK1701" s="76"/>
    </row>
    <row r="1702" ht="24.0" customHeight="1">
      <c r="A1702" s="35"/>
      <c r="B1702" s="36">
        <v>1.0</v>
      </c>
      <c r="C1702" s="37" t="str">
        <f>IFERROR(__xludf.DUMMYFUNCTION("""COMPUTED_VALUE"""),"")</f>
        <v/>
      </c>
      <c r="D1702" s="89" t="s">
        <v>61</v>
      </c>
      <c r="E1702" s="39" t="s">
        <v>61</v>
      </c>
      <c r="F1702" s="121"/>
      <c r="G1702" s="122"/>
      <c r="H1702" s="138"/>
      <c r="I1702" s="80"/>
      <c r="J1702" s="80"/>
      <c r="K1702" s="95"/>
      <c r="L1702" s="80"/>
      <c r="M1702" s="43"/>
      <c r="N1702" s="43"/>
      <c r="O1702" s="80"/>
      <c r="P1702" s="80"/>
      <c r="Q1702" s="80"/>
      <c r="R1702" s="80"/>
      <c r="S1702" s="117"/>
      <c r="T1702" s="81"/>
      <c r="U1702" s="81"/>
      <c r="V1702" s="81"/>
      <c r="W1702" s="81"/>
      <c r="X1702" s="81"/>
      <c r="Y1702" s="81"/>
      <c r="Z1702" s="82"/>
      <c r="AA1702" s="99"/>
      <c r="AB1702" s="48" t="s">
        <v>61</v>
      </c>
      <c r="AC1702" s="68" t="s">
        <v>61</v>
      </c>
      <c r="AD1702" s="69" t="s">
        <v>61</v>
      </c>
      <c r="AE1702" s="69" t="s">
        <v>61</v>
      </c>
      <c r="AF1702" s="68" t="s">
        <v>61</v>
      </c>
      <c r="AG1702" s="68" t="s">
        <v>61</v>
      </c>
      <c r="AH1702" s="68" t="s">
        <v>61</v>
      </c>
      <c r="AI1702" s="70" t="s">
        <v>61</v>
      </c>
      <c r="AJ1702" s="114" t="s">
        <v>61</v>
      </c>
      <c r="AK1702" s="82"/>
    </row>
    <row r="1703" ht="24.0" customHeight="1">
      <c r="A1703" s="35"/>
      <c r="B1703" s="36">
        <v>1.0</v>
      </c>
      <c r="C1703" s="37" t="str">
        <f>IFERROR(__xludf.DUMMYFUNCTION("""COMPUTED_VALUE"""),"")</f>
        <v/>
      </c>
      <c r="D1703" s="89" t="s">
        <v>61</v>
      </c>
      <c r="E1703" s="51" t="s">
        <v>61</v>
      </c>
      <c r="F1703" s="137"/>
      <c r="G1703" s="133"/>
      <c r="H1703" s="141"/>
      <c r="I1703" s="57"/>
      <c r="J1703" s="57"/>
      <c r="K1703" s="72"/>
      <c r="L1703" s="57"/>
      <c r="M1703" s="55"/>
      <c r="N1703" s="55"/>
      <c r="O1703" s="57"/>
      <c r="P1703" s="57"/>
      <c r="Q1703" s="57"/>
      <c r="R1703" s="57"/>
      <c r="S1703" s="132"/>
      <c r="T1703" s="74"/>
      <c r="U1703" s="74"/>
      <c r="V1703" s="74"/>
      <c r="W1703" s="74"/>
      <c r="X1703" s="74"/>
      <c r="Y1703" s="74"/>
      <c r="Z1703" s="76"/>
      <c r="AA1703" s="134"/>
      <c r="AB1703" s="62" t="s">
        <v>61</v>
      </c>
      <c r="AC1703" s="63" t="s">
        <v>61</v>
      </c>
      <c r="AD1703" s="64" t="s">
        <v>61</v>
      </c>
      <c r="AE1703" s="64" t="s">
        <v>61</v>
      </c>
      <c r="AF1703" s="63" t="s">
        <v>61</v>
      </c>
      <c r="AG1703" s="63" t="s">
        <v>61</v>
      </c>
      <c r="AH1703" s="63" t="s">
        <v>61</v>
      </c>
      <c r="AI1703" s="65" t="s">
        <v>61</v>
      </c>
      <c r="AJ1703" s="105" t="s">
        <v>61</v>
      </c>
      <c r="AK1703" s="76"/>
    </row>
    <row r="1704" ht="24.0" customHeight="1">
      <c r="A1704" s="35"/>
      <c r="B1704" s="36">
        <v>1.0</v>
      </c>
      <c r="C1704" s="37" t="str">
        <f>IFERROR(__xludf.DUMMYFUNCTION("""COMPUTED_VALUE"""),"")</f>
        <v/>
      </c>
      <c r="D1704" s="89" t="s">
        <v>61</v>
      </c>
      <c r="E1704" s="39" t="s">
        <v>61</v>
      </c>
      <c r="F1704" s="121"/>
      <c r="G1704" s="122"/>
      <c r="H1704" s="138"/>
      <c r="I1704" s="80"/>
      <c r="J1704" s="80"/>
      <c r="K1704" s="95"/>
      <c r="L1704" s="80"/>
      <c r="M1704" s="43"/>
      <c r="N1704" s="43"/>
      <c r="O1704" s="80"/>
      <c r="P1704" s="80"/>
      <c r="Q1704" s="80"/>
      <c r="R1704" s="80"/>
      <c r="S1704" s="117"/>
      <c r="T1704" s="81"/>
      <c r="U1704" s="81"/>
      <c r="V1704" s="81"/>
      <c r="W1704" s="81"/>
      <c r="X1704" s="81"/>
      <c r="Y1704" s="81"/>
      <c r="Z1704" s="82"/>
      <c r="AA1704" s="99"/>
      <c r="AB1704" s="48" t="s">
        <v>61</v>
      </c>
      <c r="AC1704" s="68" t="s">
        <v>61</v>
      </c>
      <c r="AD1704" s="69" t="s">
        <v>61</v>
      </c>
      <c r="AE1704" s="69" t="s">
        <v>61</v>
      </c>
      <c r="AF1704" s="68" t="s">
        <v>61</v>
      </c>
      <c r="AG1704" s="68" t="s">
        <v>61</v>
      </c>
      <c r="AH1704" s="68" t="s">
        <v>61</v>
      </c>
      <c r="AI1704" s="70" t="s">
        <v>61</v>
      </c>
      <c r="AJ1704" s="114" t="s">
        <v>61</v>
      </c>
      <c r="AK1704" s="82"/>
    </row>
    <row r="1705" ht="24.0" customHeight="1">
      <c r="A1705" s="35"/>
      <c r="B1705" s="36">
        <v>1.0</v>
      </c>
      <c r="C1705" s="37" t="str">
        <f>IFERROR(__xludf.DUMMYFUNCTION("""COMPUTED_VALUE"""),"")</f>
        <v/>
      </c>
      <c r="D1705" s="89" t="s">
        <v>61</v>
      </c>
      <c r="E1705" s="51" t="s">
        <v>61</v>
      </c>
      <c r="F1705" s="137"/>
      <c r="G1705" s="133"/>
      <c r="H1705" s="141"/>
      <c r="I1705" s="57"/>
      <c r="J1705" s="57"/>
      <c r="K1705" s="72"/>
      <c r="L1705" s="57"/>
      <c r="M1705" s="55"/>
      <c r="N1705" s="55"/>
      <c r="O1705" s="57"/>
      <c r="P1705" s="57"/>
      <c r="Q1705" s="57"/>
      <c r="R1705" s="57"/>
      <c r="S1705" s="132"/>
      <c r="T1705" s="74"/>
      <c r="U1705" s="74"/>
      <c r="V1705" s="74"/>
      <c r="W1705" s="74"/>
      <c r="X1705" s="74"/>
      <c r="Y1705" s="74"/>
      <c r="Z1705" s="76"/>
      <c r="AA1705" s="134"/>
      <c r="AB1705" s="62" t="s">
        <v>61</v>
      </c>
      <c r="AC1705" s="63" t="s">
        <v>61</v>
      </c>
      <c r="AD1705" s="64" t="s">
        <v>61</v>
      </c>
      <c r="AE1705" s="64" t="s">
        <v>61</v>
      </c>
      <c r="AF1705" s="63" t="s">
        <v>61</v>
      </c>
      <c r="AG1705" s="63" t="s">
        <v>61</v>
      </c>
      <c r="AH1705" s="63" t="s">
        <v>61</v>
      </c>
      <c r="AI1705" s="65" t="s">
        <v>61</v>
      </c>
      <c r="AJ1705" s="105" t="s">
        <v>61</v>
      </c>
      <c r="AK1705" s="76"/>
    </row>
    <row r="1706" ht="24.0" customHeight="1">
      <c r="A1706" s="35"/>
      <c r="B1706" s="36">
        <v>1.0</v>
      </c>
      <c r="C1706" s="37" t="str">
        <f>IFERROR(__xludf.DUMMYFUNCTION("""COMPUTED_VALUE"""),"")</f>
        <v/>
      </c>
      <c r="D1706" s="89" t="s">
        <v>61</v>
      </c>
      <c r="E1706" s="39" t="s">
        <v>61</v>
      </c>
      <c r="F1706" s="121"/>
      <c r="G1706" s="122"/>
      <c r="H1706" s="138"/>
      <c r="I1706" s="80"/>
      <c r="J1706" s="80"/>
      <c r="K1706" s="95"/>
      <c r="L1706" s="80"/>
      <c r="M1706" s="43"/>
      <c r="N1706" s="43"/>
      <c r="O1706" s="80"/>
      <c r="P1706" s="80"/>
      <c r="Q1706" s="80"/>
      <c r="R1706" s="80"/>
      <c r="S1706" s="117"/>
      <c r="T1706" s="81"/>
      <c r="U1706" s="81"/>
      <c r="V1706" s="81"/>
      <c r="W1706" s="81"/>
      <c r="X1706" s="81"/>
      <c r="Y1706" s="81"/>
      <c r="Z1706" s="82"/>
      <c r="AA1706" s="99"/>
      <c r="AB1706" s="48" t="s">
        <v>61</v>
      </c>
      <c r="AC1706" s="68" t="s">
        <v>61</v>
      </c>
      <c r="AD1706" s="69" t="s">
        <v>61</v>
      </c>
      <c r="AE1706" s="69" t="s">
        <v>61</v>
      </c>
      <c r="AF1706" s="68" t="s">
        <v>61</v>
      </c>
      <c r="AG1706" s="68" t="s">
        <v>61</v>
      </c>
      <c r="AH1706" s="68" t="s">
        <v>61</v>
      </c>
      <c r="AI1706" s="70" t="s">
        <v>61</v>
      </c>
      <c r="AJ1706" s="114" t="s">
        <v>61</v>
      </c>
      <c r="AK1706" s="82"/>
    </row>
    <row r="1707" ht="24.0" customHeight="1">
      <c r="A1707" s="35"/>
      <c r="B1707" s="36">
        <v>1.0</v>
      </c>
      <c r="C1707" s="37" t="str">
        <f>IFERROR(__xludf.DUMMYFUNCTION("""COMPUTED_VALUE"""),"")</f>
        <v/>
      </c>
      <c r="D1707" s="89" t="s">
        <v>61</v>
      </c>
      <c r="E1707" s="51" t="s">
        <v>61</v>
      </c>
      <c r="F1707" s="137"/>
      <c r="G1707" s="133"/>
      <c r="H1707" s="141"/>
      <c r="I1707" s="57"/>
      <c r="J1707" s="57"/>
      <c r="K1707" s="72"/>
      <c r="L1707" s="57"/>
      <c r="M1707" s="55"/>
      <c r="N1707" s="55"/>
      <c r="O1707" s="57"/>
      <c r="P1707" s="57"/>
      <c r="Q1707" s="57"/>
      <c r="R1707" s="57"/>
      <c r="S1707" s="132"/>
      <c r="T1707" s="74"/>
      <c r="U1707" s="74"/>
      <c r="V1707" s="74"/>
      <c r="W1707" s="74"/>
      <c r="X1707" s="74"/>
      <c r="Y1707" s="74"/>
      <c r="Z1707" s="76"/>
      <c r="AA1707" s="134"/>
      <c r="AB1707" s="62" t="s">
        <v>61</v>
      </c>
      <c r="AC1707" s="63" t="s">
        <v>61</v>
      </c>
      <c r="AD1707" s="64" t="s">
        <v>61</v>
      </c>
      <c r="AE1707" s="64" t="s">
        <v>61</v>
      </c>
      <c r="AF1707" s="63" t="s">
        <v>61</v>
      </c>
      <c r="AG1707" s="63" t="s">
        <v>61</v>
      </c>
      <c r="AH1707" s="63" t="s">
        <v>61</v>
      </c>
      <c r="AI1707" s="65" t="s">
        <v>61</v>
      </c>
      <c r="AJ1707" s="105" t="s">
        <v>61</v>
      </c>
      <c r="AK1707" s="76"/>
    </row>
    <row r="1708" ht="24.0" customHeight="1">
      <c r="A1708" s="35"/>
      <c r="B1708" s="36">
        <v>1.0</v>
      </c>
      <c r="C1708" s="37" t="str">
        <f>IFERROR(__xludf.DUMMYFUNCTION("""COMPUTED_VALUE"""),"")</f>
        <v/>
      </c>
      <c r="D1708" s="89" t="s">
        <v>61</v>
      </c>
      <c r="E1708" s="39" t="s">
        <v>61</v>
      </c>
      <c r="F1708" s="121"/>
      <c r="G1708" s="122"/>
      <c r="H1708" s="138"/>
      <c r="I1708" s="80"/>
      <c r="J1708" s="80"/>
      <c r="K1708" s="95"/>
      <c r="L1708" s="80"/>
      <c r="M1708" s="43"/>
      <c r="N1708" s="43"/>
      <c r="O1708" s="80"/>
      <c r="P1708" s="80"/>
      <c r="Q1708" s="80"/>
      <c r="R1708" s="80"/>
      <c r="S1708" s="117"/>
      <c r="T1708" s="81"/>
      <c r="U1708" s="81"/>
      <c r="V1708" s="81"/>
      <c r="W1708" s="81"/>
      <c r="X1708" s="81"/>
      <c r="Y1708" s="81"/>
      <c r="Z1708" s="82"/>
      <c r="AA1708" s="99"/>
      <c r="AB1708" s="48" t="s">
        <v>61</v>
      </c>
      <c r="AC1708" s="68" t="s">
        <v>61</v>
      </c>
      <c r="AD1708" s="69" t="s">
        <v>61</v>
      </c>
      <c r="AE1708" s="69" t="s">
        <v>61</v>
      </c>
      <c r="AF1708" s="68" t="s">
        <v>61</v>
      </c>
      <c r="AG1708" s="68" t="s">
        <v>61</v>
      </c>
      <c r="AH1708" s="68" t="s">
        <v>61</v>
      </c>
      <c r="AI1708" s="70" t="s">
        <v>61</v>
      </c>
      <c r="AJ1708" s="114" t="s">
        <v>61</v>
      </c>
      <c r="AK1708" s="82"/>
    </row>
    <row r="1709" ht="24.0" customHeight="1">
      <c r="A1709" s="35"/>
      <c r="B1709" s="36">
        <v>1.0</v>
      </c>
      <c r="C1709" s="37" t="str">
        <f>IFERROR(__xludf.DUMMYFUNCTION("""COMPUTED_VALUE"""),"")</f>
        <v/>
      </c>
      <c r="D1709" s="89" t="s">
        <v>61</v>
      </c>
      <c r="E1709" s="51" t="s">
        <v>61</v>
      </c>
      <c r="F1709" s="137"/>
      <c r="G1709" s="133"/>
      <c r="H1709" s="141"/>
      <c r="I1709" s="57"/>
      <c r="J1709" s="57"/>
      <c r="K1709" s="72"/>
      <c r="L1709" s="57"/>
      <c r="M1709" s="55"/>
      <c r="N1709" s="55"/>
      <c r="O1709" s="57"/>
      <c r="P1709" s="57"/>
      <c r="Q1709" s="57"/>
      <c r="R1709" s="57"/>
      <c r="S1709" s="132"/>
      <c r="T1709" s="74"/>
      <c r="U1709" s="74"/>
      <c r="V1709" s="74"/>
      <c r="W1709" s="74"/>
      <c r="X1709" s="74"/>
      <c r="Y1709" s="74"/>
      <c r="Z1709" s="76"/>
      <c r="AA1709" s="134"/>
      <c r="AB1709" s="62" t="s">
        <v>61</v>
      </c>
      <c r="AC1709" s="63" t="s">
        <v>61</v>
      </c>
      <c r="AD1709" s="64" t="s">
        <v>61</v>
      </c>
      <c r="AE1709" s="64" t="s">
        <v>61</v>
      </c>
      <c r="AF1709" s="63" t="s">
        <v>61</v>
      </c>
      <c r="AG1709" s="63" t="s">
        <v>61</v>
      </c>
      <c r="AH1709" s="63" t="s">
        <v>61</v>
      </c>
      <c r="AI1709" s="65" t="s">
        <v>61</v>
      </c>
      <c r="AJ1709" s="105" t="s">
        <v>61</v>
      </c>
      <c r="AK1709" s="76"/>
    </row>
    <row r="1710" ht="24.0" customHeight="1">
      <c r="A1710" s="35"/>
      <c r="B1710" s="36">
        <v>1.0</v>
      </c>
      <c r="C1710" s="37" t="str">
        <f>IFERROR(__xludf.DUMMYFUNCTION("""COMPUTED_VALUE"""),"")</f>
        <v/>
      </c>
      <c r="D1710" s="89" t="s">
        <v>61</v>
      </c>
      <c r="E1710" s="39" t="s">
        <v>61</v>
      </c>
      <c r="F1710" s="121"/>
      <c r="G1710" s="122"/>
      <c r="H1710" s="138"/>
      <c r="I1710" s="80"/>
      <c r="J1710" s="80"/>
      <c r="K1710" s="95"/>
      <c r="L1710" s="80"/>
      <c r="M1710" s="43"/>
      <c r="N1710" s="43"/>
      <c r="O1710" s="80"/>
      <c r="P1710" s="80"/>
      <c r="Q1710" s="80"/>
      <c r="R1710" s="80"/>
      <c r="S1710" s="117"/>
      <c r="T1710" s="81"/>
      <c r="U1710" s="81"/>
      <c r="V1710" s="81"/>
      <c r="W1710" s="81"/>
      <c r="X1710" s="81"/>
      <c r="Y1710" s="81"/>
      <c r="Z1710" s="82"/>
      <c r="AA1710" s="99"/>
      <c r="AB1710" s="48" t="s">
        <v>61</v>
      </c>
      <c r="AC1710" s="68" t="s">
        <v>61</v>
      </c>
      <c r="AD1710" s="69" t="s">
        <v>61</v>
      </c>
      <c r="AE1710" s="69" t="s">
        <v>61</v>
      </c>
      <c r="AF1710" s="68" t="s">
        <v>61</v>
      </c>
      <c r="AG1710" s="68" t="s">
        <v>61</v>
      </c>
      <c r="AH1710" s="68" t="s">
        <v>61</v>
      </c>
      <c r="AI1710" s="70" t="s">
        <v>61</v>
      </c>
      <c r="AJ1710" s="114" t="s">
        <v>61</v>
      </c>
      <c r="AK1710" s="82"/>
    </row>
    <row r="1711" ht="24.0" customHeight="1">
      <c r="A1711" s="35"/>
      <c r="B1711" s="36">
        <v>1.0</v>
      </c>
      <c r="C1711" s="37" t="str">
        <f>IFERROR(__xludf.DUMMYFUNCTION("""COMPUTED_VALUE"""),"")</f>
        <v/>
      </c>
      <c r="D1711" s="89" t="s">
        <v>61</v>
      </c>
      <c r="E1711" s="51" t="s">
        <v>61</v>
      </c>
      <c r="F1711" s="137"/>
      <c r="G1711" s="133"/>
      <c r="H1711" s="141"/>
      <c r="I1711" s="57"/>
      <c r="J1711" s="57"/>
      <c r="K1711" s="72"/>
      <c r="L1711" s="57"/>
      <c r="M1711" s="55"/>
      <c r="N1711" s="55"/>
      <c r="O1711" s="57"/>
      <c r="P1711" s="57"/>
      <c r="Q1711" s="57"/>
      <c r="R1711" s="57"/>
      <c r="S1711" s="132"/>
      <c r="T1711" s="74"/>
      <c r="U1711" s="74"/>
      <c r="V1711" s="74"/>
      <c r="W1711" s="74"/>
      <c r="X1711" s="74"/>
      <c r="Y1711" s="74"/>
      <c r="Z1711" s="76"/>
      <c r="AA1711" s="134"/>
      <c r="AB1711" s="62" t="s">
        <v>61</v>
      </c>
      <c r="AC1711" s="63" t="s">
        <v>61</v>
      </c>
      <c r="AD1711" s="64" t="s">
        <v>61</v>
      </c>
      <c r="AE1711" s="64" t="s">
        <v>61</v>
      </c>
      <c r="AF1711" s="63" t="s">
        <v>61</v>
      </c>
      <c r="AG1711" s="63" t="s">
        <v>61</v>
      </c>
      <c r="AH1711" s="63" t="s">
        <v>61</v>
      </c>
      <c r="AI1711" s="65" t="s">
        <v>61</v>
      </c>
      <c r="AJ1711" s="105" t="s">
        <v>61</v>
      </c>
      <c r="AK1711" s="76"/>
    </row>
    <row r="1712" ht="24.0" customHeight="1">
      <c r="A1712" s="35"/>
      <c r="B1712" s="36">
        <v>1.0</v>
      </c>
      <c r="C1712" s="37" t="str">
        <f>IFERROR(__xludf.DUMMYFUNCTION("""COMPUTED_VALUE"""),"")</f>
        <v/>
      </c>
      <c r="D1712" s="89" t="s">
        <v>61</v>
      </c>
      <c r="E1712" s="39" t="s">
        <v>61</v>
      </c>
      <c r="F1712" s="121"/>
      <c r="G1712" s="122"/>
      <c r="H1712" s="138"/>
      <c r="I1712" s="80"/>
      <c r="J1712" s="80"/>
      <c r="K1712" s="95"/>
      <c r="L1712" s="80"/>
      <c r="M1712" s="43"/>
      <c r="N1712" s="43"/>
      <c r="O1712" s="80"/>
      <c r="P1712" s="80"/>
      <c r="Q1712" s="80"/>
      <c r="R1712" s="80"/>
      <c r="S1712" s="117"/>
      <c r="T1712" s="81"/>
      <c r="U1712" s="81"/>
      <c r="V1712" s="81"/>
      <c r="W1712" s="81"/>
      <c r="X1712" s="81"/>
      <c r="Y1712" s="81"/>
      <c r="Z1712" s="82"/>
      <c r="AA1712" s="99"/>
      <c r="AB1712" s="48" t="s">
        <v>61</v>
      </c>
      <c r="AC1712" s="68" t="s">
        <v>61</v>
      </c>
      <c r="AD1712" s="69" t="s">
        <v>61</v>
      </c>
      <c r="AE1712" s="69" t="s">
        <v>61</v>
      </c>
      <c r="AF1712" s="68" t="s">
        <v>61</v>
      </c>
      <c r="AG1712" s="68" t="s">
        <v>61</v>
      </c>
      <c r="AH1712" s="68" t="s">
        <v>61</v>
      </c>
      <c r="AI1712" s="70" t="s">
        <v>61</v>
      </c>
      <c r="AJ1712" s="114" t="s">
        <v>61</v>
      </c>
      <c r="AK1712" s="82"/>
    </row>
    <row r="1713" ht="24.0" customHeight="1">
      <c r="A1713" s="35"/>
      <c r="B1713" s="36">
        <v>1.0</v>
      </c>
      <c r="C1713" s="37" t="str">
        <f>IFERROR(__xludf.DUMMYFUNCTION("""COMPUTED_VALUE"""),"")</f>
        <v/>
      </c>
      <c r="D1713" s="89" t="s">
        <v>61</v>
      </c>
      <c r="E1713" s="51" t="s">
        <v>61</v>
      </c>
      <c r="F1713" s="137"/>
      <c r="G1713" s="133"/>
      <c r="H1713" s="141"/>
      <c r="I1713" s="57"/>
      <c r="J1713" s="57"/>
      <c r="K1713" s="72"/>
      <c r="L1713" s="57"/>
      <c r="M1713" s="55"/>
      <c r="N1713" s="55"/>
      <c r="O1713" s="57"/>
      <c r="P1713" s="57"/>
      <c r="Q1713" s="57"/>
      <c r="R1713" s="57"/>
      <c r="S1713" s="132"/>
      <c r="T1713" s="74"/>
      <c r="U1713" s="74"/>
      <c r="V1713" s="74"/>
      <c r="W1713" s="74"/>
      <c r="X1713" s="74"/>
      <c r="Y1713" s="74"/>
      <c r="Z1713" s="76"/>
      <c r="AA1713" s="134"/>
      <c r="AB1713" s="62" t="s">
        <v>61</v>
      </c>
      <c r="AC1713" s="63" t="s">
        <v>61</v>
      </c>
      <c r="AD1713" s="64" t="s">
        <v>61</v>
      </c>
      <c r="AE1713" s="64" t="s">
        <v>61</v>
      </c>
      <c r="AF1713" s="63" t="s">
        <v>61</v>
      </c>
      <c r="AG1713" s="63" t="s">
        <v>61</v>
      </c>
      <c r="AH1713" s="63" t="s">
        <v>61</v>
      </c>
      <c r="AI1713" s="65" t="s">
        <v>61</v>
      </c>
      <c r="AJ1713" s="105" t="s">
        <v>61</v>
      </c>
      <c r="AK1713" s="76"/>
    </row>
    <row r="1714" ht="24.0" customHeight="1">
      <c r="A1714" s="35"/>
      <c r="B1714" s="36">
        <v>1.0</v>
      </c>
      <c r="C1714" s="37" t="str">
        <f>IFERROR(__xludf.DUMMYFUNCTION("""COMPUTED_VALUE"""),"")</f>
        <v/>
      </c>
      <c r="D1714" s="89" t="s">
        <v>61</v>
      </c>
      <c r="E1714" s="39" t="s">
        <v>61</v>
      </c>
      <c r="F1714" s="121"/>
      <c r="G1714" s="122"/>
      <c r="H1714" s="138"/>
      <c r="I1714" s="80"/>
      <c r="J1714" s="80"/>
      <c r="K1714" s="95"/>
      <c r="L1714" s="80"/>
      <c r="M1714" s="43"/>
      <c r="N1714" s="43"/>
      <c r="O1714" s="80"/>
      <c r="P1714" s="80"/>
      <c r="Q1714" s="80"/>
      <c r="R1714" s="80"/>
      <c r="S1714" s="117"/>
      <c r="T1714" s="81"/>
      <c r="U1714" s="81"/>
      <c r="V1714" s="81"/>
      <c r="W1714" s="81"/>
      <c r="X1714" s="81"/>
      <c r="Y1714" s="81"/>
      <c r="Z1714" s="82"/>
      <c r="AA1714" s="99"/>
      <c r="AB1714" s="48" t="s">
        <v>61</v>
      </c>
      <c r="AC1714" s="68" t="s">
        <v>61</v>
      </c>
      <c r="AD1714" s="69" t="s">
        <v>61</v>
      </c>
      <c r="AE1714" s="69" t="s">
        <v>61</v>
      </c>
      <c r="AF1714" s="68" t="s">
        <v>61</v>
      </c>
      <c r="AG1714" s="68" t="s">
        <v>61</v>
      </c>
      <c r="AH1714" s="68" t="s">
        <v>61</v>
      </c>
      <c r="AI1714" s="70" t="s">
        <v>61</v>
      </c>
      <c r="AJ1714" s="114" t="s">
        <v>61</v>
      </c>
      <c r="AK1714" s="82"/>
    </row>
    <row r="1715" ht="24.0" customHeight="1">
      <c r="A1715" s="35"/>
      <c r="B1715" s="36">
        <v>1.0</v>
      </c>
      <c r="C1715" s="37" t="str">
        <f>IFERROR(__xludf.DUMMYFUNCTION("""COMPUTED_VALUE"""),"")</f>
        <v/>
      </c>
      <c r="D1715" s="89" t="s">
        <v>61</v>
      </c>
      <c r="E1715" s="51" t="s">
        <v>61</v>
      </c>
      <c r="F1715" s="137"/>
      <c r="G1715" s="133"/>
      <c r="H1715" s="141"/>
      <c r="I1715" s="57"/>
      <c r="J1715" s="57"/>
      <c r="K1715" s="72"/>
      <c r="L1715" s="57"/>
      <c r="M1715" s="55"/>
      <c r="N1715" s="55"/>
      <c r="O1715" s="57"/>
      <c r="P1715" s="57"/>
      <c r="Q1715" s="57"/>
      <c r="R1715" s="57"/>
      <c r="S1715" s="132"/>
      <c r="T1715" s="74"/>
      <c r="U1715" s="74"/>
      <c r="V1715" s="74"/>
      <c r="W1715" s="74"/>
      <c r="X1715" s="74"/>
      <c r="Y1715" s="74"/>
      <c r="Z1715" s="76"/>
      <c r="AA1715" s="134"/>
      <c r="AB1715" s="62" t="s">
        <v>61</v>
      </c>
      <c r="AC1715" s="63" t="s">
        <v>61</v>
      </c>
      <c r="AD1715" s="64" t="s">
        <v>61</v>
      </c>
      <c r="AE1715" s="64" t="s">
        <v>61</v>
      </c>
      <c r="AF1715" s="63" t="s">
        <v>61</v>
      </c>
      <c r="AG1715" s="63" t="s">
        <v>61</v>
      </c>
      <c r="AH1715" s="63" t="s">
        <v>61</v>
      </c>
      <c r="AI1715" s="65" t="s">
        <v>61</v>
      </c>
      <c r="AJ1715" s="105" t="s">
        <v>61</v>
      </c>
      <c r="AK1715" s="76"/>
    </row>
    <row r="1716" ht="24.0" customHeight="1">
      <c r="A1716" s="35"/>
      <c r="B1716" s="36">
        <v>1.0</v>
      </c>
      <c r="C1716" s="37" t="str">
        <f>IFERROR(__xludf.DUMMYFUNCTION("""COMPUTED_VALUE"""),"")</f>
        <v/>
      </c>
      <c r="D1716" s="89" t="s">
        <v>61</v>
      </c>
      <c r="E1716" s="39" t="s">
        <v>61</v>
      </c>
      <c r="F1716" s="121"/>
      <c r="G1716" s="122"/>
      <c r="H1716" s="138"/>
      <c r="I1716" s="80"/>
      <c r="J1716" s="80"/>
      <c r="K1716" s="95"/>
      <c r="L1716" s="80"/>
      <c r="M1716" s="43"/>
      <c r="N1716" s="43"/>
      <c r="O1716" s="80"/>
      <c r="P1716" s="80"/>
      <c r="Q1716" s="80"/>
      <c r="R1716" s="80"/>
      <c r="S1716" s="117"/>
      <c r="T1716" s="81"/>
      <c r="U1716" s="81"/>
      <c r="V1716" s="81"/>
      <c r="W1716" s="81"/>
      <c r="X1716" s="81"/>
      <c r="Y1716" s="81"/>
      <c r="Z1716" s="82"/>
      <c r="AA1716" s="99"/>
      <c r="AB1716" s="48" t="s">
        <v>61</v>
      </c>
      <c r="AC1716" s="68" t="s">
        <v>61</v>
      </c>
      <c r="AD1716" s="69" t="s">
        <v>61</v>
      </c>
      <c r="AE1716" s="69" t="s">
        <v>61</v>
      </c>
      <c r="AF1716" s="68" t="s">
        <v>61</v>
      </c>
      <c r="AG1716" s="68" t="s">
        <v>61</v>
      </c>
      <c r="AH1716" s="68" t="s">
        <v>61</v>
      </c>
      <c r="AI1716" s="70" t="s">
        <v>61</v>
      </c>
      <c r="AJ1716" s="114" t="s">
        <v>61</v>
      </c>
      <c r="AK1716" s="82"/>
    </row>
    <row r="1717" ht="24.0" customHeight="1">
      <c r="A1717" s="35"/>
      <c r="B1717" s="36">
        <v>1.0</v>
      </c>
      <c r="C1717" s="37" t="str">
        <f>IFERROR(__xludf.DUMMYFUNCTION("""COMPUTED_VALUE"""),"")</f>
        <v/>
      </c>
      <c r="D1717" s="89" t="s">
        <v>61</v>
      </c>
      <c r="E1717" s="51" t="s">
        <v>61</v>
      </c>
      <c r="F1717" s="137"/>
      <c r="G1717" s="133"/>
      <c r="H1717" s="141"/>
      <c r="I1717" s="57"/>
      <c r="J1717" s="57"/>
      <c r="K1717" s="72"/>
      <c r="L1717" s="57"/>
      <c r="M1717" s="55"/>
      <c r="N1717" s="55"/>
      <c r="O1717" s="57"/>
      <c r="P1717" s="57"/>
      <c r="Q1717" s="57"/>
      <c r="R1717" s="57"/>
      <c r="S1717" s="132"/>
      <c r="T1717" s="74"/>
      <c r="U1717" s="74"/>
      <c r="V1717" s="74"/>
      <c r="W1717" s="74"/>
      <c r="X1717" s="74"/>
      <c r="Y1717" s="74"/>
      <c r="Z1717" s="76"/>
      <c r="AA1717" s="134"/>
      <c r="AB1717" s="62" t="s">
        <v>61</v>
      </c>
      <c r="AC1717" s="63" t="s">
        <v>61</v>
      </c>
      <c r="AD1717" s="64" t="s">
        <v>61</v>
      </c>
      <c r="AE1717" s="64" t="s">
        <v>61</v>
      </c>
      <c r="AF1717" s="63" t="s">
        <v>61</v>
      </c>
      <c r="AG1717" s="63" t="s">
        <v>61</v>
      </c>
      <c r="AH1717" s="63" t="s">
        <v>61</v>
      </c>
      <c r="AI1717" s="65" t="s">
        <v>61</v>
      </c>
      <c r="AJ1717" s="105" t="s">
        <v>61</v>
      </c>
      <c r="AK1717" s="76"/>
    </row>
    <row r="1718" ht="24.0" customHeight="1">
      <c r="A1718" s="35"/>
      <c r="B1718" s="36">
        <v>1.0</v>
      </c>
      <c r="C1718" s="37" t="str">
        <f>IFERROR(__xludf.DUMMYFUNCTION("""COMPUTED_VALUE"""),"")</f>
        <v/>
      </c>
      <c r="D1718" s="89" t="s">
        <v>61</v>
      </c>
      <c r="E1718" s="39" t="s">
        <v>61</v>
      </c>
      <c r="F1718" s="121"/>
      <c r="G1718" s="122"/>
      <c r="H1718" s="138"/>
      <c r="I1718" s="80"/>
      <c r="J1718" s="80"/>
      <c r="K1718" s="95"/>
      <c r="L1718" s="80"/>
      <c r="M1718" s="43"/>
      <c r="N1718" s="43"/>
      <c r="O1718" s="80"/>
      <c r="P1718" s="80"/>
      <c r="Q1718" s="80"/>
      <c r="R1718" s="80"/>
      <c r="S1718" s="117"/>
      <c r="T1718" s="81"/>
      <c r="U1718" s="81"/>
      <c r="V1718" s="81"/>
      <c r="W1718" s="81"/>
      <c r="X1718" s="81"/>
      <c r="Y1718" s="81"/>
      <c r="Z1718" s="82"/>
      <c r="AA1718" s="99"/>
      <c r="AB1718" s="48" t="s">
        <v>61</v>
      </c>
      <c r="AC1718" s="68" t="s">
        <v>61</v>
      </c>
      <c r="AD1718" s="69" t="s">
        <v>61</v>
      </c>
      <c r="AE1718" s="69" t="s">
        <v>61</v>
      </c>
      <c r="AF1718" s="68" t="s">
        <v>61</v>
      </c>
      <c r="AG1718" s="68" t="s">
        <v>61</v>
      </c>
      <c r="AH1718" s="68" t="s">
        <v>61</v>
      </c>
      <c r="AI1718" s="70" t="s">
        <v>61</v>
      </c>
      <c r="AJ1718" s="114" t="s">
        <v>61</v>
      </c>
      <c r="AK1718" s="82"/>
    </row>
    <row r="1719" ht="24.0" customHeight="1">
      <c r="A1719" s="35"/>
      <c r="B1719" s="36">
        <v>1.0</v>
      </c>
      <c r="C1719" s="37" t="str">
        <f>IFERROR(__xludf.DUMMYFUNCTION("""COMPUTED_VALUE"""),"")</f>
        <v/>
      </c>
      <c r="D1719" s="89" t="s">
        <v>61</v>
      </c>
      <c r="E1719" s="51" t="s">
        <v>61</v>
      </c>
      <c r="F1719" s="137"/>
      <c r="G1719" s="133"/>
      <c r="H1719" s="141"/>
      <c r="I1719" s="57"/>
      <c r="J1719" s="57"/>
      <c r="K1719" s="72"/>
      <c r="L1719" s="57"/>
      <c r="M1719" s="55"/>
      <c r="N1719" s="55"/>
      <c r="O1719" s="57"/>
      <c r="P1719" s="57"/>
      <c r="Q1719" s="57"/>
      <c r="R1719" s="57"/>
      <c r="S1719" s="132"/>
      <c r="T1719" s="74"/>
      <c r="U1719" s="74"/>
      <c r="V1719" s="74"/>
      <c r="W1719" s="74"/>
      <c r="X1719" s="74"/>
      <c r="Y1719" s="74"/>
      <c r="Z1719" s="76"/>
      <c r="AA1719" s="134"/>
      <c r="AB1719" s="62" t="s">
        <v>61</v>
      </c>
      <c r="AC1719" s="63" t="s">
        <v>61</v>
      </c>
      <c r="AD1719" s="64" t="s">
        <v>61</v>
      </c>
      <c r="AE1719" s="64" t="s">
        <v>61</v>
      </c>
      <c r="AF1719" s="63" t="s">
        <v>61</v>
      </c>
      <c r="AG1719" s="63" t="s">
        <v>61</v>
      </c>
      <c r="AH1719" s="63" t="s">
        <v>61</v>
      </c>
      <c r="AI1719" s="65" t="s">
        <v>61</v>
      </c>
      <c r="AJ1719" s="105" t="s">
        <v>61</v>
      </c>
      <c r="AK1719" s="76"/>
    </row>
    <row r="1720" ht="24.0" customHeight="1">
      <c r="A1720" s="35"/>
      <c r="B1720" s="36">
        <v>1.0</v>
      </c>
      <c r="C1720" s="37" t="str">
        <f>IFERROR(__xludf.DUMMYFUNCTION("""COMPUTED_VALUE"""),"")</f>
        <v/>
      </c>
      <c r="D1720" s="89" t="s">
        <v>61</v>
      </c>
      <c r="E1720" s="39" t="s">
        <v>61</v>
      </c>
      <c r="F1720" s="121"/>
      <c r="G1720" s="122"/>
      <c r="H1720" s="138"/>
      <c r="I1720" s="80"/>
      <c r="J1720" s="80"/>
      <c r="K1720" s="95"/>
      <c r="L1720" s="80"/>
      <c r="M1720" s="43"/>
      <c r="N1720" s="43"/>
      <c r="O1720" s="80"/>
      <c r="P1720" s="80"/>
      <c r="Q1720" s="80"/>
      <c r="R1720" s="80"/>
      <c r="S1720" s="117"/>
      <c r="T1720" s="81"/>
      <c r="U1720" s="81"/>
      <c r="V1720" s="81"/>
      <c r="W1720" s="81"/>
      <c r="X1720" s="81"/>
      <c r="Y1720" s="81"/>
      <c r="Z1720" s="82"/>
      <c r="AA1720" s="99"/>
      <c r="AB1720" s="48" t="s">
        <v>61</v>
      </c>
      <c r="AC1720" s="68" t="s">
        <v>61</v>
      </c>
      <c r="AD1720" s="69" t="s">
        <v>61</v>
      </c>
      <c r="AE1720" s="69" t="s">
        <v>61</v>
      </c>
      <c r="AF1720" s="68" t="s">
        <v>61</v>
      </c>
      <c r="AG1720" s="68" t="s">
        <v>61</v>
      </c>
      <c r="AH1720" s="68" t="s">
        <v>61</v>
      </c>
      <c r="AI1720" s="70" t="s">
        <v>61</v>
      </c>
      <c r="AJ1720" s="114" t="s">
        <v>61</v>
      </c>
      <c r="AK1720" s="82"/>
    </row>
    <row r="1721" ht="24.0" customHeight="1">
      <c r="A1721" s="35"/>
      <c r="B1721" s="36">
        <v>1.0</v>
      </c>
      <c r="C1721" s="37" t="str">
        <f>IFERROR(__xludf.DUMMYFUNCTION("""COMPUTED_VALUE"""),"")</f>
        <v/>
      </c>
      <c r="D1721" s="89" t="s">
        <v>61</v>
      </c>
      <c r="E1721" s="51" t="s">
        <v>61</v>
      </c>
      <c r="F1721" s="137"/>
      <c r="G1721" s="133"/>
      <c r="H1721" s="141"/>
      <c r="I1721" s="57"/>
      <c r="J1721" s="57"/>
      <c r="K1721" s="72"/>
      <c r="L1721" s="57"/>
      <c r="M1721" s="55"/>
      <c r="N1721" s="55"/>
      <c r="O1721" s="57"/>
      <c r="P1721" s="57"/>
      <c r="Q1721" s="57"/>
      <c r="R1721" s="57"/>
      <c r="S1721" s="132"/>
      <c r="T1721" s="74"/>
      <c r="U1721" s="74"/>
      <c r="V1721" s="74"/>
      <c r="W1721" s="74"/>
      <c r="X1721" s="74"/>
      <c r="Y1721" s="74"/>
      <c r="Z1721" s="76"/>
      <c r="AA1721" s="134"/>
      <c r="AB1721" s="62" t="s">
        <v>61</v>
      </c>
      <c r="AC1721" s="63" t="s">
        <v>61</v>
      </c>
      <c r="AD1721" s="64" t="s">
        <v>61</v>
      </c>
      <c r="AE1721" s="64" t="s">
        <v>61</v>
      </c>
      <c r="AF1721" s="63" t="s">
        <v>61</v>
      </c>
      <c r="AG1721" s="63" t="s">
        <v>61</v>
      </c>
      <c r="AH1721" s="63" t="s">
        <v>61</v>
      </c>
      <c r="AI1721" s="65" t="s">
        <v>61</v>
      </c>
      <c r="AJ1721" s="105" t="s">
        <v>61</v>
      </c>
      <c r="AK1721" s="76"/>
    </row>
    <row r="1722" ht="24.0" customHeight="1">
      <c r="A1722" s="35"/>
      <c r="B1722" s="36">
        <v>1.0</v>
      </c>
      <c r="C1722" s="37" t="str">
        <f>IFERROR(__xludf.DUMMYFUNCTION("""COMPUTED_VALUE"""),"")</f>
        <v/>
      </c>
      <c r="D1722" s="89" t="s">
        <v>61</v>
      </c>
      <c r="E1722" s="39" t="s">
        <v>61</v>
      </c>
      <c r="F1722" s="121"/>
      <c r="G1722" s="122"/>
      <c r="H1722" s="138"/>
      <c r="I1722" s="80"/>
      <c r="J1722" s="80"/>
      <c r="K1722" s="95"/>
      <c r="L1722" s="80"/>
      <c r="M1722" s="43"/>
      <c r="N1722" s="43"/>
      <c r="O1722" s="80"/>
      <c r="P1722" s="80"/>
      <c r="Q1722" s="80"/>
      <c r="R1722" s="80"/>
      <c r="S1722" s="117"/>
      <c r="T1722" s="81"/>
      <c r="U1722" s="81"/>
      <c r="V1722" s="81"/>
      <c r="W1722" s="81"/>
      <c r="X1722" s="81"/>
      <c r="Y1722" s="81"/>
      <c r="Z1722" s="82"/>
      <c r="AA1722" s="99"/>
      <c r="AB1722" s="48" t="s">
        <v>61</v>
      </c>
      <c r="AC1722" s="68" t="s">
        <v>61</v>
      </c>
      <c r="AD1722" s="69" t="s">
        <v>61</v>
      </c>
      <c r="AE1722" s="69" t="s">
        <v>61</v>
      </c>
      <c r="AF1722" s="68" t="s">
        <v>61</v>
      </c>
      <c r="AG1722" s="68" t="s">
        <v>61</v>
      </c>
      <c r="AH1722" s="68" t="s">
        <v>61</v>
      </c>
      <c r="AI1722" s="70" t="s">
        <v>61</v>
      </c>
      <c r="AJ1722" s="114" t="s">
        <v>61</v>
      </c>
      <c r="AK1722" s="82"/>
    </row>
    <row r="1723" ht="24.0" customHeight="1">
      <c r="A1723" s="35"/>
      <c r="B1723" s="36">
        <v>1.0</v>
      </c>
      <c r="C1723" s="37" t="str">
        <f>IFERROR(__xludf.DUMMYFUNCTION("""COMPUTED_VALUE"""),"")</f>
        <v/>
      </c>
      <c r="D1723" s="89" t="s">
        <v>61</v>
      </c>
      <c r="E1723" s="51" t="s">
        <v>61</v>
      </c>
      <c r="F1723" s="137"/>
      <c r="G1723" s="133"/>
      <c r="H1723" s="141"/>
      <c r="I1723" s="57"/>
      <c r="J1723" s="57"/>
      <c r="K1723" s="72"/>
      <c r="L1723" s="57"/>
      <c r="M1723" s="55"/>
      <c r="N1723" s="55"/>
      <c r="O1723" s="57"/>
      <c r="P1723" s="57"/>
      <c r="Q1723" s="57"/>
      <c r="R1723" s="57"/>
      <c r="S1723" s="132"/>
      <c r="T1723" s="74"/>
      <c r="U1723" s="74"/>
      <c r="V1723" s="74"/>
      <c r="W1723" s="74"/>
      <c r="X1723" s="74"/>
      <c r="Y1723" s="74"/>
      <c r="Z1723" s="76"/>
      <c r="AA1723" s="134"/>
      <c r="AB1723" s="62" t="s">
        <v>61</v>
      </c>
      <c r="AC1723" s="63" t="s">
        <v>61</v>
      </c>
      <c r="AD1723" s="64" t="s">
        <v>61</v>
      </c>
      <c r="AE1723" s="64" t="s">
        <v>61</v>
      </c>
      <c r="AF1723" s="63" t="s">
        <v>61</v>
      </c>
      <c r="AG1723" s="63" t="s">
        <v>61</v>
      </c>
      <c r="AH1723" s="63" t="s">
        <v>61</v>
      </c>
      <c r="AI1723" s="65" t="s">
        <v>61</v>
      </c>
      <c r="AJ1723" s="105" t="s">
        <v>61</v>
      </c>
      <c r="AK1723" s="76"/>
    </row>
    <row r="1724" ht="24.0" customHeight="1">
      <c r="A1724" s="35"/>
      <c r="B1724" s="36">
        <v>1.0</v>
      </c>
      <c r="C1724" s="37" t="str">
        <f>IFERROR(__xludf.DUMMYFUNCTION("""COMPUTED_VALUE"""),"")</f>
        <v/>
      </c>
      <c r="D1724" s="89" t="s">
        <v>61</v>
      </c>
      <c r="E1724" s="39" t="s">
        <v>61</v>
      </c>
      <c r="F1724" s="121"/>
      <c r="G1724" s="122"/>
      <c r="H1724" s="138"/>
      <c r="I1724" s="80"/>
      <c r="J1724" s="80"/>
      <c r="K1724" s="95"/>
      <c r="L1724" s="80"/>
      <c r="M1724" s="43"/>
      <c r="N1724" s="43"/>
      <c r="O1724" s="80"/>
      <c r="P1724" s="80"/>
      <c r="Q1724" s="80"/>
      <c r="R1724" s="80"/>
      <c r="S1724" s="117"/>
      <c r="T1724" s="81"/>
      <c r="U1724" s="81"/>
      <c r="V1724" s="81"/>
      <c r="W1724" s="81"/>
      <c r="X1724" s="81"/>
      <c r="Y1724" s="81"/>
      <c r="Z1724" s="82"/>
      <c r="AA1724" s="99"/>
      <c r="AB1724" s="48" t="s">
        <v>61</v>
      </c>
      <c r="AC1724" s="68" t="s">
        <v>61</v>
      </c>
      <c r="AD1724" s="69" t="s">
        <v>61</v>
      </c>
      <c r="AE1724" s="69" t="s">
        <v>61</v>
      </c>
      <c r="AF1724" s="68" t="s">
        <v>61</v>
      </c>
      <c r="AG1724" s="68" t="s">
        <v>61</v>
      </c>
      <c r="AH1724" s="68" t="s">
        <v>61</v>
      </c>
      <c r="AI1724" s="70" t="s">
        <v>61</v>
      </c>
      <c r="AJ1724" s="114" t="s">
        <v>61</v>
      </c>
      <c r="AK1724" s="82"/>
    </row>
    <row r="1725" ht="24.0" customHeight="1">
      <c r="A1725" s="35"/>
      <c r="B1725" s="36">
        <v>1.0</v>
      </c>
      <c r="C1725" s="37" t="str">
        <f>IFERROR(__xludf.DUMMYFUNCTION("""COMPUTED_VALUE"""),"")</f>
        <v/>
      </c>
      <c r="D1725" s="89" t="s">
        <v>61</v>
      </c>
      <c r="E1725" s="51" t="s">
        <v>61</v>
      </c>
      <c r="F1725" s="137"/>
      <c r="G1725" s="133"/>
      <c r="H1725" s="141"/>
      <c r="I1725" s="57"/>
      <c r="J1725" s="57"/>
      <c r="K1725" s="72"/>
      <c r="L1725" s="57"/>
      <c r="M1725" s="55"/>
      <c r="N1725" s="55"/>
      <c r="O1725" s="57"/>
      <c r="P1725" s="57"/>
      <c r="Q1725" s="57"/>
      <c r="R1725" s="57"/>
      <c r="S1725" s="132"/>
      <c r="T1725" s="74"/>
      <c r="U1725" s="74"/>
      <c r="V1725" s="74"/>
      <c r="W1725" s="74"/>
      <c r="X1725" s="74"/>
      <c r="Y1725" s="74"/>
      <c r="Z1725" s="76"/>
      <c r="AA1725" s="134"/>
      <c r="AB1725" s="62" t="s">
        <v>61</v>
      </c>
      <c r="AC1725" s="63" t="s">
        <v>61</v>
      </c>
      <c r="AD1725" s="64" t="s">
        <v>61</v>
      </c>
      <c r="AE1725" s="64" t="s">
        <v>61</v>
      </c>
      <c r="AF1725" s="63" t="s">
        <v>61</v>
      </c>
      <c r="AG1725" s="63" t="s">
        <v>61</v>
      </c>
      <c r="AH1725" s="63" t="s">
        <v>61</v>
      </c>
      <c r="AI1725" s="65" t="s">
        <v>61</v>
      </c>
      <c r="AJ1725" s="105" t="s">
        <v>61</v>
      </c>
      <c r="AK1725" s="76"/>
    </row>
    <row r="1726" ht="24.0" customHeight="1">
      <c r="A1726" s="35"/>
      <c r="B1726" s="36">
        <v>1.0</v>
      </c>
      <c r="C1726" s="37" t="str">
        <f>IFERROR(__xludf.DUMMYFUNCTION("""COMPUTED_VALUE"""),"")</f>
        <v/>
      </c>
      <c r="D1726" s="89" t="s">
        <v>61</v>
      </c>
      <c r="E1726" s="39" t="s">
        <v>61</v>
      </c>
      <c r="F1726" s="121"/>
      <c r="G1726" s="122"/>
      <c r="H1726" s="138"/>
      <c r="I1726" s="80"/>
      <c r="J1726" s="80"/>
      <c r="K1726" s="95"/>
      <c r="L1726" s="80"/>
      <c r="M1726" s="43"/>
      <c r="N1726" s="43"/>
      <c r="O1726" s="80"/>
      <c r="P1726" s="80"/>
      <c r="Q1726" s="80"/>
      <c r="R1726" s="80"/>
      <c r="S1726" s="117"/>
      <c r="T1726" s="81"/>
      <c r="U1726" s="81"/>
      <c r="V1726" s="81"/>
      <c r="W1726" s="81"/>
      <c r="X1726" s="81"/>
      <c r="Y1726" s="81"/>
      <c r="Z1726" s="82"/>
      <c r="AA1726" s="99"/>
      <c r="AB1726" s="48" t="s">
        <v>61</v>
      </c>
      <c r="AC1726" s="68" t="s">
        <v>61</v>
      </c>
      <c r="AD1726" s="69" t="s">
        <v>61</v>
      </c>
      <c r="AE1726" s="69" t="s">
        <v>61</v>
      </c>
      <c r="AF1726" s="68" t="s">
        <v>61</v>
      </c>
      <c r="AG1726" s="68" t="s">
        <v>61</v>
      </c>
      <c r="AH1726" s="68" t="s">
        <v>61</v>
      </c>
      <c r="AI1726" s="70" t="s">
        <v>61</v>
      </c>
      <c r="AJ1726" s="114" t="s">
        <v>61</v>
      </c>
      <c r="AK1726" s="82"/>
    </row>
    <row r="1727" ht="24.0" customHeight="1">
      <c r="A1727" s="35"/>
      <c r="B1727" s="36">
        <v>1.0</v>
      </c>
      <c r="C1727" s="37" t="str">
        <f>IFERROR(__xludf.DUMMYFUNCTION("""COMPUTED_VALUE"""),"")</f>
        <v/>
      </c>
      <c r="D1727" s="89" t="s">
        <v>61</v>
      </c>
      <c r="E1727" s="51" t="s">
        <v>61</v>
      </c>
      <c r="F1727" s="137"/>
      <c r="G1727" s="133"/>
      <c r="H1727" s="141"/>
      <c r="I1727" s="57"/>
      <c r="J1727" s="57"/>
      <c r="K1727" s="72"/>
      <c r="L1727" s="57"/>
      <c r="M1727" s="55"/>
      <c r="N1727" s="55"/>
      <c r="O1727" s="57"/>
      <c r="P1727" s="57"/>
      <c r="Q1727" s="57"/>
      <c r="R1727" s="57"/>
      <c r="S1727" s="132"/>
      <c r="T1727" s="74"/>
      <c r="U1727" s="74"/>
      <c r="V1727" s="74"/>
      <c r="W1727" s="74"/>
      <c r="X1727" s="74"/>
      <c r="Y1727" s="74"/>
      <c r="Z1727" s="76"/>
      <c r="AA1727" s="134"/>
      <c r="AB1727" s="62" t="s">
        <v>61</v>
      </c>
      <c r="AC1727" s="63" t="s">
        <v>61</v>
      </c>
      <c r="AD1727" s="64" t="s">
        <v>61</v>
      </c>
      <c r="AE1727" s="64" t="s">
        <v>61</v>
      </c>
      <c r="AF1727" s="63" t="s">
        <v>61</v>
      </c>
      <c r="AG1727" s="63" t="s">
        <v>61</v>
      </c>
      <c r="AH1727" s="63" t="s">
        <v>61</v>
      </c>
      <c r="AI1727" s="65" t="s">
        <v>61</v>
      </c>
      <c r="AJ1727" s="105" t="s">
        <v>61</v>
      </c>
      <c r="AK1727" s="76"/>
    </row>
    <row r="1728" ht="24.0" customHeight="1">
      <c r="A1728" s="35"/>
      <c r="B1728" s="36">
        <v>1.0</v>
      </c>
      <c r="C1728" s="37" t="str">
        <f>IFERROR(__xludf.DUMMYFUNCTION("""COMPUTED_VALUE"""),"")</f>
        <v/>
      </c>
      <c r="D1728" s="89" t="s">
        <v>61</v>
      </c>
      <c r="E1728" s="39" t="s">
        <v>61</v>
      </c>
      <c r="F1728" s="121"/>
      <c r="G1728" s="122"/>
      <c r="H1728" s="138"/>
      <c r="I1728" s="80"/>
      <c r="J1728" s="80"/>
      <c r="K1728" s="95"/>
      <c r="L1728" s="80"/>
      <c r="M1728" s="43"/>
      <c r="N1728" s="43"/>
      <c r="O1728" s="80"/>
      <c r="P1728" s="80"/>
      <c r="Q1728" s="80"/>
      <c r="R1728" s="80"/>
      <c r="S1728" s="117"/>
      <c r="T1728" s="81"/>
      <c r="U1728" s="81"/>
      <c r="V1728" s="81"/>
      <c r="W1728" s="81"/>
      <c r="X1728" s="81"/>
      <c r="Y1728" s="81"/>
      <c r="Z1728" s="82"/>
      <c r="AA1728" s="99"/>
      <c r="AB1728" s="48" t="s">
        <v>61</v>
      </c>
      <c r="AC1728" s="68" t="s">
        <v>61</v>
      </c>
      <c r="AD1728" s="69" t="s">
        <v>61</v>
      </c>
      <c r="AE1728" s="69" t="s">
        <v>61</v>
      </c>
      <c r="AF1728" s="68" t="s">
        <v>61</v>
      </c>
      <c r="AG1728" s="68" t="s">
        <v>61</v>
      </c>
      <c r="AH1728" s="68" t="s">
        <v>61</v>
      </c>
      <c r="AI1728" s="70" t="s">
        <v>61</v>
      </c>
      <c r="AJ1728" s="114" t="s">
        <v>61</v>
      </c>
      <c r="AK1728" s="82"/>
    </row>
    <row r="1729" ht="24.0" customHeight="1">
      <c r="A1729" s="35"/>
      <c r="B1729" s="36">
        <v>1.0</v>
      </c>
      <c r="C1729" s="37" t="str">
        <f>IFERROR(__xludf.DUMMYFUNCTION("""COMPUTED_VALUE"""),"")</f>
        <v/>
      </c>
      <c r="D1729" s="89" t="s">
        <v>61</v>
      </c>
      <c r="E1729" s="51" t="s">
        <v>61</v>
      </c>
      <c r="F1729" s="137"/>
      <c r="G1729" s="133"/>
      <c r="H1729" s="141"/>
      <c r="I1729" s="57"/>
      <c r="J1729" s="57"/>
      <c r="K1729" s="72"/>
      <c r="L1729" s="57"/>
      <c r="M1729" s="55"/>
      <c r="N1729" s="55"/>
      <c r="O1729" s="57"/>
      <c r="P1729" s="57"/>
      <c r="Q1729" s="57"/>
      <c r="R1729" s="57"/>
      <c r="S1729" s="132"/>
      <c r="T1729" s="74"/>
      <c r="U1729" s="74"/>
      <c r="V1729" s="74"/>
      <c r="W1729" s="74"/>
      <c r="X1729" s="74"/>
      <c r="Y1729" s="74"/>
      <c r="Z1729" s="76"/>
      <c r="AA1729" s="134"/>
      <c r="AB1729" s="62" t="s">
        <v>61</v>
      </c>
      <c r="AC1729" s="63" t="s">
        <v>61</v>
      </c>
      <c r="AD1729" s="64" t="s">
        <v>61</v>
      </c>
      <c r="AE1729" s="64" t="s">
        <v>61</v>
      </c>
      <c r="AF1729" s="63" t="s">
        <v>61</v>
      </c>
      <c r="AG1729" s="63" t="s">
        <v>61</v>
      </c>
      <c r="AH1729" s="63" t="s">
        <v>61</v>
      </c>
      <c r="AI1729" s="65" t="s">
        <v>61</v>
      </c>
      <c r="AJ1729" s="105" t="s">
        <v>61</v>
      </c>
      <c r="AK1729" s="76"/>
    </row>
    <row r="1730" ht="24.0" customHeight="1">
      <c r="A1730" s="35"/>
      <c r="B1730" s="36">
        <v>1.0</v>
      </c>
      <c r="C1730" s="37" t="str">
        <f>IFERROR(__xludf.DUMMYFUNCTION("""COMPUTED_VALUE"""),"")</f>
        <v/>
      </c>
      <c r="D1730" s="89" t="s">
        <v>61</v>
      </c>
      <c r="E1730" s="39" t="s">
        <v>61</v>
      </c>
      <c r="F1730" s="121"/>
      <c r="G1730" s="122"/>
      <c r="H1730" s="138"/>
      <c r="I1730" s="80"/>
      <c r="J1730" s="80"/>
      <c r="K1730" s="95"/>
      <c r="L1730" s="80"/>
      <c r="M1730" s="43"/>
      <c r="N1730" s="43"/>
      <c r="O1730" s="80"/>
      <c r="P1730" s="80"/>
      <c r="Q1730" s="80"/>
      <c r="R1730" s="80"/>
      <c r="S1730" s="117"/>
      <c r="T1730" s="81"/>
      <c r="U1730" s="81"/>
      <c r="V1730" s="81"/>
      <c r="W1730" s="81"/>
      <c r="X1730" s="81"/>
      <c r="Y1730" s="81"/>
      <c r="Z1730" s="82"/>
      <c r="AA1730" s="99"/>
      <c r="AB1730" s="48" t="s">
        <v>61</v>
      </c>
      <c r="AC1730" s="68" t="s">
        <v>61</v>
      </c>
      <c r="AD1730" s="69" t="s">
        <v>61</v>
      </c>
      <c r="AE1730" s="69" t="s">
        <v>61</v>
      </c>
      <c r="AF1730" s="68" t="s">
        <v>61</v>
      </c>
      <c r="AG1730" s="68" t="s">
        <v>61</v>
      </c>
      <c r="AH1730" s="68" t="s">
        <v>61</v>
      </c>
      <c r="AI1730" s="70" t="s">
        <v>61</v>
      </c>
      <c r="AJ1730" s="114" t="s">
        <v>61</v>
      </c>
      <c r="AK1730" s="82"/>
    </row>
    <row r="1731" ht="24.0" customHeight="1">
      <c r="A1731" s="35"/>
      <c r="B1731" s="36">
        <v>1.0</v>
      </c>
      <c r="C1731" s="37" t="str">
        <f>IFERROR(__xludf.DUMMYFUNCTION("""COMPUTED_VALUE"""),"")</f>
        <v/>
      </c>
      <c r="D1731" s="89" t="s">
        <v>61</v>
      </c>
      <c r="E1731" s="51" t="s">
        <v>61</v>
      </c>
      <c r="F1731" s="137"/>
      <c r="G1731" s="133"/>
      <c r="H1731" s="141"/>
      <c r="I1731" s="57"/>
      <c r="J1731" s="57"/>
      <c r="K1731" s="72"/>
      <c r="L1731" s="57"/>
      <c r="M1731" s="55"/>
      <c r="N1731" s="55"/>
      <c r="O1731" s="57"/>
      <c r="P1731" s="57"/>
      <c r="Q1731" s="57"/>
      <c r="R1731" s="57"/>
      <c r="S1731" s="132"/>
      <c r="T1731" s="74"/>
      <c r="U1731" s="74"/>
      <c r="V1731" s="74"/>
      <c r="W1731" s="74"/>
      <c r="X1731" s="74"/>
      <c r="Y1731" s="74"/>
      <c r="Z1731" s="76"/>
      <c r="AA1731" s="134"/>
      <c r="AB1731" s="62" t="s">
        <v>61</v>
      </c>
      <c r="AC1731" s="63" t="s">
        <v>61</v>
      </c>
      <c r="AD1731" s="64" t="s">
        <v>61</v>
      </c>
      <c r="AE1731" s="64" t="s">
        <v>61</v>
      </c>
      <c r="AF1731" s="63" t="s">
        <v>61</v>
      </c>
      <c r="AG1731" s="63" t="s">
        <v>61</v>
      </c>
      <c r="AH1731" s="63" t="s">
        <v>61</v>
      </c>
      <c r="AI1731" s="65" t="s">
        <v>61</v>
      </c>
      <c r="AJ1731" s="105" t="s">
        <v>61</v>
      </c>
      <c r="AK1731" s="76"/>
    </row>
    <row r="1732" ht="24.0" customHeight="1">
      <c r="A1732" s="35"/>
      <c r="B1732" s="36">
        <v>1.0</v>
      </c>
      <c r="C1732" s="37" t="str">
        <f>IFERROR(__xludf.DUMMYFUNCTION("""COMPUTED_VALUE"""),"")</f>
        <v/>
      </c>
      <c r="D1732" s="89" t="s">
        <v>61</v>
      </c>
      <c r="E1732" s="39" t="s">
        <v>61</v>
      </c>
      <c r="F1732" s="121"/>
      <c r="G1732" s="122"/>
      <c r="H1732" s="138"/>
      <c r="I1732" s="80"/>
      <c r="J1732" s="80"/>
      <c r="K1732" s="95"/>
      <c r="L1732" s="80"/>
      <c r="M1732" s="43"/>
      <c r="N1732" s="43"/>
      <c r="O1732" s="80"/>
      <c r="P1732" s="80"/>
      <c r="Q1732" s="80"/>
      <c r="R1732" s="80"/>
      <c r="S1732" s="117"/>
      <c r="T1732" s="81"/>
      <c r="U1732" s="81"/>
      <c r="V1732" s="81"/>
      <c r="W1732" s="81"/>
      <c r="X1732" s="81"/>
      <c r="Y1732" s="81"/>
      <c r="Z1732" s="82"/>
      <c r="AA1732" s="99"/>
      <c r="AB1732" s="48" t="s">
        <v>61</v>
      </c>
      <c r="AC1732" s="68" t="s">
        <v>61</v>
      </c>
      <c r="AD1732" s="69" t="s">
        <v>61</v>
      </c>
      <c r="AE1732" s="69" t="s">
        <v>61</v>
      </c>
      <c r="AF1732" s="68" t="s">
        <v>61</v>
      </c>
      <c r="AG1732" s="68" t="s">
        <v>61</v>
      </c>
      <c r="AH1732" s="68" t="s">
        <v>61</v>
      </c>
      <c r="AI1732" s="70" t="s">
        <v>61</v>
      </c>
      <c r="AJ1732" s="114" t="s">
        <v>61</v>
      </c>
      <c r="AK1732" s="82"/>
    </row>
    <row r="1733" ht="24.0" customHeight="1">
      <c r="A1733" s="35"/>
      <c r="B1733" s="36">
        <v>1.0</v>
      </c>
      <c r="C1733" s="37" t="str">
        <f>IFERROR(__xludf.DUMMYFUNCTION("""COMPUTED_VALUE"""),"")</f>
        <v/>
      </c>
      <c r="D1733" s="89" t="s">
        <v>61</v>
      </c>
      <c r="E1733" s="51" t="s">
        <v>61</v>
      </c>
      <c r="F1733" s="137"/>
      <c r="G1733" s="133"/>
      <c r="H1733" s="141"/>
      <c r="I1733" s="57"/>
      <c r="J1733" s="57"/>
      <c r="K1733" s="72"/>
      <c r="L1733" s="57"/>
      <c r="M1733" s="55"/>
      <c r="N1733" s="55"/>
      <c r="O1733" s="57"/>
      <c r="P1733" s="57"/>
      <c r="Q1733" s="57"/>
      <c r="R1733" s="57"/>
      <c r="S1733" s="132"/>
      <c r="T1733" s="74"/>
      <c r="U1733" s="74"/>
      <c r="V1733" s="74"/>
      <c r="W1733" s="74"/>
      <c r="X1733" s="74"/>
      <c r="Y1733" s="74"/>
      <c r="Z1733" s="76"/>
      <c r="AA1733" s="134"/>
      <c r="AB1733" s="62" t="s">
        <v>61</v>
      </c>
      <c r="AC1733" s="63" t="s">
        <v>61</v>
      </c>
      <c r="AD1733" s="64" t="s">
        <v>61</v>
      </c>
      <c r="AE1733" s="64" t="s">
        <v>61</v>
      </c>
      <c r="AF1733" s="63" t="s">
        <v>61</v>
      </c>
      <c r="AG1733" s="63" t="s">
        <v>61</v>
      </c>
      <c r="AH1733" s="63" t="s">
        <v>61</v>
      </c>
      <c r="AI1733" s="65" t="s">
        <v>61</v>
      </c>
      <c r="AJ1733" s="105" t="s">
        <v>61</v>
      </c>
      <c r="AK1733" s="76"/>
    </row>
    <row r="1734" ht="24.0" customHeight="1">
      <c r="A1734" s="35"/>
      <c r="B1734" s="36">
        <v>1.0</v>
      </c>
      <c r="C1734" s="37" t="str">
        <f>IFERROR(__xludf.DUMMYFUNCTION("""COMPUTED_VALUE"""),"")</f>
        <v/>
      </c>
      <c r="D1734" s="89" t="s">
        <v>61</v>
      </c>
      <c r="E1734" s="39" t="s">
        <v>61</v>
      </c>
      <c r="F1734" s="121"/>
      <c r="G1734" s="122"/>
      <c r="H1734" s="138"/>
      <c r="I1734" s="80"/>
      <c r="J1734" s="80"/>
      <c r="K1734" s="95"/>
      <c r="L1734" s="80"/>
      <c r="M1734" s="43"/>
      <c r="N1734" s="43"/>
      <c r="O1734" s="80"/>
      <c r="P1734" s="80"/>
      <c r="Q1734" s="80"/>
      <c r="R1734" s="80"/>
      <c r="S1734" s="117"/>
      <c r="T1734" s="81"/>
      <c r="U1734" s="81"/>
      <c r="V1734" s="81"/>
      <c r="W1734" s="81"/>
      <c r="X1734" s="81"/>
      <c r="Y1734" s="81"/>
      <c r="Z1734" s="82"/>
      <c r="AA1734" s="99"/>
      <c r="AB1734" s="48" t="s">
        <v>61</v>
      </c>
      <c r="AC1734" s="68" t="s">
        <v>61</v>
      </c>
      <c r="AD1734" s="69" t="s">
        <v>61</v>
      </c>
      <c r="AE1734" s="69" t="s">
        <v>61</v>
      </c>
      <c r="AF1734" s="68" t="s">
        <v>61</v>
      </c>
      <c r="AG1734" s="68" t="s">
        <v>61</v>
      </c>
      <c r="AH1734" s="68" t="s">
        <v>61</v>
      </c>
      <c r="AI1734" s="70" t="s">
        <v>61</v>
      </c>
      <c r="AJ1734" s="114" t="s">
        <v>61</v>
      </c>
      <c r="AK1734" s="82"/>
    </row>
    <row r="1735" ht="24.0" customHeight="1">
      <c r="A1735" s="35"/>
      <c r="B1735" s="36">
        <v>1.0</v>
      </c>
      <c r="C1735" s="37" t="str">
        <f>IFERROR(__xludf.DUMMYFUNCTION("""COMPUTED_VALUE"""),"")</f>
        <v/>
      </c>
      <c r="D1735" s="89" t="s">
        <v>61</v>
      </c>
      <c r="E1735" s="51" t="s">
        <v>61</v>
      </c>
      <c r="F1735" s="137"/>
      <c r="G1735" s="133"/>
      <c r="H1735" s="141"/>
      <c r="I1735" s="57"/>
      <c r="J1735" s="57"/>
      <c r="K1735" s="72"/>
      <c r="L1735" s="57"/>
      <c r="M1735" s="55"/>
      <c r="N1735" s="55"/>
      <c r="O1735" s="57"/>
      <c r="P1735" s="57"/>
      <c r="Q1735" s="57"/>
      <c r="R1735" s="57"/>
      <c r="S1735" s="132"/>
      <c r="T1735" s="74"/>
      <c r="U1735" s="74"/>
      <c r="V1735" s="74"/>
      <c r="W1735" s="74"/>
      <c r="X1735" s="74"/>
      <c r="Y1735" s="74"/>
      <c r="Z1735" s="76"/>
      <c r="AA1735" s="134"/>
      <c r="AB1735" s="62" t="s">
        <v>61</v>
      </c>
      <c r="AC1735" s="63" t="s">
        <v>61</v>
      </c>
      <c r="AD1735" s="64" t="s">
        <v>61</v>
      </c>
      <c r="AE1735" s="64" t="s">
        <v>61</v>
      </c>
      <c r="AF1735" s="63" t="s">
        <v>61</v>
      </c>
      <c r="AG1735" s="63" t="s">
        <v>61</v>
      </c>
      <c r="AH1735" s="63" t="s">
        <v>61</v>
      </c>
      <c r="AI1735" s="65" t="s">
        <v>61</v>
      </c>
      <c r="AJ1735" s="105" t="s">
        <v>61</v>
      </c>
      <c r="AK1735" s="76"/>
    </row>
    <row r="1736" ht="24.0" customHeight="1">
      <c r="A1736" s="35"/>
      <c r="B1736" s="36">
        <v>1.0</v>
      </c>
      <c r="C1736" s="37" t="str">
        <f>IFERROR(__xludf.DUMMYFUNCTION("""COMPUTED_VALUE"""),"")</f>
        <v/>
      </c>
      <c r="D1736" s="89" t="s">
        <v>61</v>
      </c>
      <c r="E1736" s="39" t="s">
        <v>61</v>
      </c>
      <c r="F1736" s="121"/>
      <c r="G1736" s="122"/>
      <c r="H1736" s="138"/>
      <c r="I1736" s="80"/>
      <c r="J1736" s="80"/>
      <c r="K1736" s="95"/>
      <c r="L1736" s="80"/>
      <c r="M1736" s="43"/>
      <c r="N1736" s="43"/>
      <c r="O1736" s="80"/>
      <c r="P1736" s="80"/>
      <c r="Q1736" s="80"/>
      <c r="R1736" s="80"/>
      <c r="S1736" s="117"/>
      <c r="T1736" s="81"/>
      <c r="U1736" s="81"/>
      <c r="V1736" s="81"/>
      <c r="W1736" s="81"/>
      <c r="X1736" s="81"/>
      <c r="Y1736" s="81"/>
      <c r="Z1736" s="82"/>
      <c r="AA1736" s="99"/>
      <c r="AB1736" s="48" t="s">
        <v>61</v>
      </c>
      <c r="AC1736" s="68" t="s">
        <v>61</v>
      </c>
      <c r="AD1736" s="69" t="s">
        <v>61</v>
      </c>
      <c r="AE1736" s="69" t="s">
        <v>61</v>
      </c>
      <c r="AF1736" s="68" t="s">
        <v>61</v>
      </c>
      <c r="AG1736" s="68" t="s">
        <v>61</v>
      </c>
      <c r="AH1736" s="68" t="s">
        <v>61</v>
      </c>
      <c r="AI1736" s="70" t="s">
        <v>61</v>
      </c>
      <c r="AJ1736" s="114" t="s">
        <v>61</v>
      </c>
      <c r="AK1736" s="82"/>
    </row>
    <row r="1737" ht="24.0" customHeight="1">
      <c r="A1737" s="35"/>
      <c r="B1737" s="36">
        <v>1.0</v>
      </c>
      <c r="C1737" s="37" t="str">
        <f>IFERROR(__xludf.DUMMYFUNCTION("""COMPUTED_VALUE"""),"")</f>
        <v/>
      </c>
      <c r="D1737" s="89" t="s">
        <v>61</v>
      </c>
      <c r="E1737" s="51" t="s">
        <v>61</v>
      </c>
      <c r="F1737" s="137"/>
      <c r="G1737" s="133"/>
      <c r="H1737" s="141"/>
      <c r="I1737" s="57"/>
      <c r="J1737" s="57"/>
      <c r="K1737" s="72"/>
      <c r="L1737" s="57"/>
      <c r="M1737" s="55"/>
      <c r="N1737" s="55"/>
      <c r="O1737" s="57"/>
      <c r="P1737" s="57"/>
      <c r="Q1737" s="57"/>
      <c r="R1737" s="57"/>
      <c r="S1737" s="132"/>
      <c r="T1737" s="74"/>
      <c r="U1737" s="74"/>
      <c r="V1737" s="74"/>
      <c r="W1737" s="74"/>
      <c r="X1737" s="74"/>
      <c r="Y1737" s="74"/>
      <c r="Z1737" s="76"/>
      <c r="AA1737" s="134"/>
      <c r="AB1737" s="62" t="s">
        <v>61</v>
      </c>
      <c r="AC1737" s="63" t="s">
        <v>61</v>
      </c>
      <c r="AD1737" s="64" t="s">
        <v>61</v>
      </c>
      <c r="AE1737" s="64" t="s">
        <v>61</v>
      </c>
      <c r="AF1737" s="63" t="s">
        <v>61</v>
      </c>
      <c r="AG1737" s="63" t="s">
        <v>61</v>
      </c>
      <c r="AH1737" s="63" t="s">
        <v>61</v>
      </c>
      <c r="AI1737" s="65" t="s">
        <v>61</v>
      </c>
      <c r="AJ1737" s="105" t="s">
        <v>61</v>
      </c>
      <c r="AK1737" s="76"/>
    </row>
    <row r="1738" ht="24.0" customHeight="1">
      <c r="A1738" s="35"/>
      <c r="B1738" s="36">
        <v>1.0</v>
      </c>
      <c r="C1738" s="37" t="str">
        <f>IFERROR(__xludf.DUMMYFUNCTION("""COMPUTED_VALUE"""),"")</f>
        <v/>
      </c>
      <c r="D1738" s="89" t="s">
        <v>61</v>
      </c>
      <c r="E1738" s="39" t="s">
        <v>61</v>
      </c>
      <c r="F1738" s="121"/>
      <c r="G1738" s="122"/>
      <c r="H1738" s="138"/>
      <c r="I1738" s="80"/>
      <c r="J1738" s="80"/>
      <c r="K1738" s="95"/>
      <c r="L1738" s="80"/>
      <c r="M1738" s="43"/>
      <c r="N1738" s="43"/>
      <c r="O1738" s="80"/>
      <c r="P1738" s="80"/>
      <c r="Q1738" s="80"/>
      <c r="R1738" s="80"/>
      <c r="S1738" s="117"/>
      <c r="T1738" s="81"/>
      <c r="U1738" s="81"/>
      <c r="V1738" s="81"/>
      <c r="W1738" s="81"/>
      <c r="X1738" s="81"/>
      <c r="Y1738" s="81"/>
      <c r="Z1738" s="82"/>
      <c r="AA1738" s="99"/>
      <c r="AB1738" s="48" t="s">
        <v>61</v>
      </c>
      <c r="AC1738" s="68" t="s">
        <v>61</v>
      </c>
      <c r="AD1738" s="69" t="s">
        <v>61</v>
      </c>
      <c r="AE1738" s="69" t="s">
        <v>61</v>
      </c>
      <c r="AF1738" s="68" t="s">
        <v>61</v>
      </c>
      <c r="AG1738" s="68" t="s">
        <v>61</v>
      </c>
      <c r="AH1738" s="68" t="s">
        <v>61</v>
      </c>
      <c r="AI1738" s="70" t="s">
        <v>61</v>
      </c>
      <c r="AJ1738" s="114" t="s">
        <v>61</v>
      </c>
      <c r="AK1738" s="82"/>
    </row>
    <row r="1739" ht="24.0" customHeight="1">
      <c r="A1739" s="35"/>
      <c r="B1739" s="36">
        <v>1.0</v>
      </c>
      <c r="C1739" s="37" t="str">
        <f>IFERROR(__xludf.DUMMYFUNCTION("""COMPUTED_VALUE"""),"")</f>
        <v/>
      </c>
      <c r="D1739" s="89" t="s">
        <v>61</v>
      </c>
      <c r="E1739" s="51" t="s">
        <v>61</v>
      </c>
      <c r="F1739" s="137"/>
      <c r="G1739" s="133"/>
      <c r="H1739" s="141"/>
      <c r="I1739" s="57"/>
      <c r="J1739" s="57"/>
      <c r="K1739" s="72"/>
      <c r="L1739" s="57"/>
      <c r="M1739" s="55"/>
      <c r="N1739" s="55"/>
      <c r="O1739" s="57"/>
      <c r="P1739" s="57"/>
      <c r="Q1739" s="57"/>
      <c r="R1739" s="57"/>
      <c r="S1739" s="132"/>
      <c r="T1739" s="74"/>
      <c r="U1739" s="74"/>
      <c r="V1739" s="74"/>
      <c r="W1739" s="74"/>
      <c r="X1739" s="74"/>
      <c r="Y1739" s="74"/>
      <c r="Z1739" s="76"/>
      <c r="AA1739" s="134"/>
      <c r="AB1739" s="62" t="s">
        <v>61</v>
      </c>
      <c r="AC1739" s="63" t="s">
        <v>61</v>
      </c>
      <c r="AD1739" s="64" t="s">
        <v>61</v>
      </c>
      <c r="AE1739" s="64" t="s">
        <v>61</v>
      </c>
      <c r="AF1739" s="63" t="s">
        <v>61</v>
      </c>
      <c r="AG1739" s="63" t="s">
        <v>61</v>
      </c>
      <c r="AH1739" s="63" t="s">
        <v>61</v>
      </c>
      <c r="AI1739" s="65" t="s">
        <v>61</v>
      </c>
      <c r="AJ1739" s="105" t="s">
        <v>61</v>
      </c>
      <c r="AK1739" s="76"/>
    </row>
    <row r="1740" ht="24.0" customHeight="1">
      <c r="A1740" s="35"/>
      <c r="B1740" s="36">
        <v>1.0</v>
      </c>
      <c r="C1740" s="37" t="str">
        <f>IFERROR(__xludf.DUMMYFUNCTION("""COMPUTED_VALUE"""),"")</f>
        <v/>
      </c>
      <c r="D1740" s="89" t="s">
        <v>61</v>
      </c>
      <c r="E1740" s="39" t="s">
        <v>61</v>
      </c>
      <c r="F1740" s="121"/>
      <c r="G1740" s="122"/>
      <c r="H1740" s="138"/>
      <c r="I1740" s="80"/>
      <c r="J1740" s="80"/>
      <c r="K1740" s="95"/>
      <c r="L1740" s="80"/>
      <c r="M1740" s="43"/>
      <c r="N1740" s="43"/>
      <c r="O1740" s="80"/>
      <c r="P1740" s="80"/>
      <c r="Q1740" s="80"/>
      <c r="R1740" s="80"/>
      <c r="S1740" s="117"/>
      <c r="T1740" s="81"/>
      <c r="U1740" s="81"/>
      <c r="V1740" s="81"/>
      <c r="W1740" s="81"/>
      <c r="X1740" s="81"/>
      <c r="Y1740" s="81"/>
      <c r="Z1740" s="82"/>
      <c r="AA1740" s="99"/>
      <c r="AB1740" s="48" t="s">
        <v>61</v>
      </c>
      <c r="AC1740" s="68" t="s">
        <v>61</v>
      </c>
      <c r="AD1740" s="69" t="s">
        <v>61</v>
      </c>
      <c r="AE1740" s="69" t="s">
        <v>61</v>
      </c>
      <c r="AF1740" s="68" t="s">
        <v>61</v>
      </c>
      <c r="AG1740" s="68" t="s">
        <v>61</v>
      </c>
      <c r="AH1740" s="68" t="s">
        <v>61</v>
      </c>
      <c r="AI1740" s="70" t="s">
        <v>61</v>
      </c>
      <c r="AJ1740" s="114" t="s">
        <v>61</v>
      </c>
      <c r="AK1740" s="82"/>
    </row>
    <row r="1741" ht="24.0" customHeight="1">
      <c r="A1741" s="35"/>
      <c r="B1741" s="36">
        <v>1.0</v>
      </c>
      <c r="C1741" s="37" t="str">
        <f>IFERROR(__xludf.DUMMYFUNCTION("""COMPUTED_VALUE"""),"")</f>
        <v/>
      </c>
      <c r="D1741" s="89" t="s">
        <v>61</v>
      </c>
      <c r="E1741" s="51" t="s">
        <v>61</v>
      </c>
      <c r="F1741" s="137"/>
      <c r="G1741" s="133"/>
      <c r="H1741" s="141"/>
      <c r="I1741" s="57"/>
      <c r="J1741" s="57"/>
      <c r="K1741" s="72"/>
      <c r="L1741" s="57"/>
      <c r="M1741" s="55"/>
      <c r="N1741" s="55"/>
      <c r="O1741" s="57"/>
      <c r="P1741" s="57"/>
      <c r="Q1741" s="57"/>
      <c r="R1741" s="57"/>
      <c r="S1741" s="132"/>
      <c r="T1741" s="74"/>
      <c r="U1741" s="74"/>
      <c r="V1741" s="74"/>
      <c r="W1741" s="74"/>
      <c r="X1741" s="74"/>
      <c r="Y1741" s="74"/>
      <c r="Z1741" s="76"/>
      <c r="AA1741" s="134"/>
      <c r="AB1741" s="62" t="s">
        <v>61</v>
      </c>
      <c r="AC1741" s="63" t="s">
        <v>61</v>
      </c>
      <c r="AD1741" s="64" t="s">
        <v>61</v>
      </c>
      <c r="AE1741" s="64" t="s">
        <v>61</v>
      </c>
      <c r="AF1741" s="63" t="s">
        <v>61</v>
      </c>
      <c r="AG1741" s="63" t="s">
        <v>61</v>
      </c>
      <c r="AH1741" s="63" t="s">
        <v>61</v>
      </c>
      <c r="AI1741" s="65" t="s">
        <v>61</v>
      </c>
      <c r="AJ1741" s="105" t="s">
        <v>61</v>
      </c>
      <c r="AK1741" s="76"/>
    </row>
    <row r="1742" ht="24.0" customHeight="1">
      <c r="A1742" s="35"/>
      <c r="B1742" s="36">
        <v>1.0</v>
      </c>
      <c r="C1742" s="37" t="str">
        <f>IFERROR(__xludf.DUMMYFUNCTION("""COMPUTED_VALUE"""),"")</f>
        <v/>
      </c>
      <c r="D1742" s="89" t="s">
        <v>61</v>
      </c>
      <c r="E1742" s="39" t="s">
        <v>61</v>
      </c>
      <c r="F1742" s="121"/>
      <c r="G1742" s="122"/>
      <c r="H1742" s="138"/>
      <c r="I1742" s="80"/>
      <c r="J1742" s="80"/>
      <c r="K1742" s="95"/>
      <c r="L1742" s="80"/>
      <c r="M1742" s="43"/>
      <c r="N1742" s="43"/>
      <c r="O1742" s="80"/>
      <c r="P1742" s="80"/>
      <c r="Q1742" s="80"/>
      <c r="R1742" s="80"/>
      <c r="S1742" s="117"/>
      <c r="T1742" s="81"/>
      <c r="U1742" s="81"/>
      <c r="V1742" s="81"/>
      <c r="W1742" s="81"/>
      <c r="X1742" s="81"/>
      <c r="Y1742" s="81"/>
      <c r="Z1742" s="82"/>
      <c r="AA1742" s="99"/>
      <c r="AB1742" s="48" t="s">
        <v>61</v>
      </c>
      <c r="AC1742" s="68" t="s">
        <v>61</v>
      </c>
      <c r="AD1742" s="69" t="s">
        <v>61</v>
      </c>
      <c r="AE1742" s="69" t="s">
        <v>61</v>
      </c>
      <c r="AF1742" s="68" t="s">
        <v>61</v>
      </c>
      <c r="AG1742" s="68" t="s">
        <v>61</v>
      </c>
      <c r="AH1742" s="68" t="s">
        <v>61</v>
      </c>
      <c r="AI1742" s="70" t="s">
        <v>61</v>
      </c>
      <c r="AJ1742" s="114" t="s">
        <v>61</v>
      </c>
      <c r="AK1742" s="82"/>
    </row>
    <row r="1743" ht="24.0" customHeight="1">
      <c r="A1743" s="35"/>
      <c r="B1743" s="36">
        <v>1.0</v>
      </c>
      <c r="C1743" s="37" t="str">
        <f>IFERROR(__xludf.DUMMYFUNCTION("""COMPUTED_VALUE"""),"")</f>
        <v/>
      </c>
      <c r="D1743" s="89" t="s">
        <v>61</v>
      </c>
      <c r="E1743" s="51" t="s">
        <v>61</v>
      </c>
      <c r="F1743" s="137"/>
      <c r="G1743" s="133"/>
      <c r="H1743" s="141"/>
      <c r="I1743" s="57"/>
      <c r="J1743" s="57"/>
      <c r="K1743" s="72"/>
      <c r="L1743" s="57"/>
      <c r="M1743" s="55"/>
      <c r="N1743" s="55"/>
      <c r="O1743" s="57"/>
      <c r="P1743" s="57"/>
      <c r="Q1743" s="57"/>
      <c r="R1743" s="57"/>
      <c r="S1743" s="132"/>
      <c r="T1743" s="74"/>
      <c r="U1743" s="74"/>
      <c r="V1743" s="74"/>
      <c r="W1743" s="74"/>
      <c r="X1743" s="74"/>
      <c r="Y1743" s="74"/>
      <c r="Z1743" s="76"/>
      <c r="AA1743" s="134"/>
      <c r="AB1743" s="62" t="s">
        <v>61</v>
      </c>
      <c r="AC1743" s="63" t="s">
        <v>61</v>
      </c>
      <c r="AD1743" s="64" t="s">
        <v>61</v>
      </c>
      <c r="AE1743" s="64" t="s">
        <v>61</v>
      </c>
      <c r="AF1743" s="63" t="s">
        <v>61</v>
      </c>
      <c r="AG1743" s="63" t="s">
        <v>61</v>
      </c>
      <c r="AH1743" s="63" t="s">
        <v>61</v>
      </c>
      <c r="AI1743" s="65" t="s">
        <v>61</v>
      </c>
      <c r="AJ1743" s="105" t="s">
        <v>61</v>
      </c>
      <c r="AK1743" s="76"/>
    </row>
    <row r="1744" ht="24.0" customHeight="1">
      <c r="A1744" s="35"/>
      <c r="B1744" s="36">
        <v>1.0</v>
      </c>
      <c r="C1744" s="37" t="str">
        <f>IFERROR(__xludf.DUMMYFUNCTION("""COMPUTED_VALUE"""),"")</f>
        <v/>
      </c>
      <c r="D1744" s="89" t="s">
        <v>61</v>
      </c>
      <c r="E1744" s="39" t="s">
        <v>61</v>
      </c>
      <c r="F1744" s="121"/>
      <c r="G1744" s="122"/>
      <c r="H1744" s="138"/>
      <c r="I1744" s="80"/>
      <c r="J1744" s="80"/>
      <c r="K1744" s="95"/>
      <c r="L1744" s="80"/>
      <c r="M1744" s="43"/>
      <c r="N1744" s="43"/>
      <c r="O1744" s="80"/>
      <c r="P1744" s="80"/>
      <c r="Q1744" s="80"/>
      <c r="R1744" s="80"/>
      <c r="S1744" s="117"/>
      <c r="T1744" s="81"/>
      <c r="U1744" s="81"/>
      <c r="V1744" s="81"/>
      <c r="W1744" s="81"/>
      <c r="X1744" s="81"/>
      <c r="Y1744" s="81"/>
      <c r="Z1744" s="82"/>
      <c r="AA1744" s="99"/>
      <c r="AB1744" s="48" t="s">
        <v>61</v>
      </c>
      <c r="AC1744" s="68" t="s">
        <v>61</v>
      </c>
      <c r="AD1744" s="69" t="s">
        <v>61</v>
      </c>
      <c r="AE1744" s="69" t="s">
        <v>61</v>
      </c>
      <c r="AF1744" s="68" t="s">
        <v>61</v>
      </c>
      <c r="AG1744" s="68" t="s">
        <v>61</v>
      </c>
      <c r="AH1744" s="68" t="s">
        <v>61</v>
      </c>
      <c r="AI1744" s="70" t="s">
        <v>61</v>
      </c>
      <c r="AJ1744" s="114" t="s">
        <v>61</v>
      </c>
      <c r="AK1744" s="82"/>
    </row>
    <row r="1745" ht="24.0" customHeight="1">
      <c r="A1745" s="35"/>
      <c r="B1745" s="36">
        <v>1.0</v>
      </c>
      <c r="C1745" s="37" t="str">
        <f>IFERROR(__xludf.DUMMYFUNCTION("""COMPUTED_VALUE"""),"")</f>
        <v/>
      </c>
      <c r="D1745" s="89" t="s">
        <v>61</v>
      </c>
      <c r="E1745" s="51" t="s">
        <v>61</v>
      </c>
      <c r="F1745" s="137"/>
      <c r="G1745" s="133"/>
      <c r="H1745" s="141"/>
      <c r="I1745" s="57"/>
      <c r="J1745" s="57"/>
      <c r="K1745" s="72"/>
      <c r="L1745" s="57"/>
      <c r="M1745" s="55"/>
      <c r="N1745" s="55"/>
      <c r="O1745" s="57"/>
      <c r="P1745" s="57"/>
      <c r="Q1745" s="57"/>
      <c r="R1745" s="57"/>
      <c r="S1745" s="132"/>
      <c r="T1745" s="74"/>
      <c r="U1745" s="74"/>
      <c r="V1745" s="74"/>
      <c r="W1745" s="74"/>
      <c r="X1745" s="74"/>
      <c r="Y1745" s="74"/>
      <c r="Z1745" s="76"/>
      <c r="AA1745" s="134"/>
      <c r="AB1745" s="62" t="s">
        <v>61</v>
      </c>
      <c r="AC1745" s="63" t="s">
        <v>61</v>
      </c>
      <c r="AD1745" s="64" t="s">
        <v>61</v>
      </c>
      <c r="AE1745" s="64" t="s">
        <v>61</v>
      </c>
      <c r="AF1745" s="63" t="s">
        <v>61</v>
      </c>
      <c r="AG1745" s="63" t="s">
        <v>61</v>
      </c>
      <c r="AH1745" s="63" t="s">
        <v>61</v>
      </c>
      <c r="AI1745" s="65" t="s">
        <v>61</v>
      </c>
      <c r="AJ1745" s="105" t="s">
        <v>61</v>
      </c>
      <c r="AK1745" s="76"/>
    </row>
    <row r="1746" ht="24.0" customHeight="1">
      <c r="A1746" s="35"/>
      <c r="B1746" s="36">
        <v>1.0</v>
      </c>
      <c r="C1746" s="37" t="str">
        <f>IFERROR(__xludf.DUMMYFUNCTION("""COMPUTED_VALUE"""),"")</f>
        <v/>
      </c>
      <c r="D1746" s="89" t="s">
        <v>61</v>
      </c>
      <c r="E1746" s="39" t="s">
        <v>61</v>
      </c>
      <c r="F1746" s="121"/>
      <c r="G1746" s="122"/>
      <c r="H1746" s="138"/>
      <c r="I1746" s="80"/>
      <c r="J1746" s="80"/>
      <c r="K1746" s="95"/>
      <c r="L1746" s="80"/>
      <c r="M1746" s="43"/>
      <c r="N1746" s="43"/>
      <c r="O1746" s="80"/>
      <c r="P1746" s="80"/>
      <c r="Q1746" s="80"/>
      <c r="R1746" s="80"/>
      <c r="S1746" s="117"/>
      <c r="T1746" s="81"/>
      <c r="U1746" s="81"/>
      <c r="V1746" s="81"/>
      <c r="W1746" s="81"/>
      <c r="X1746" s="81"/>
      <c r="Y1746" s="81"/>
      <c r="Z1746" s="82"/>
      <c r="AA1746" s="99"/>
      <c r="AB1746" s="48" t="s">
        <v>61</v>
      </c>
      <c r="AC1746" s="68" t="s">
        <v>61</v>
      </c>
      <c r="AD1746" s="69" t="s">
        <v>61</v>
      </c>
      <c r="AE1746" s="69" t="s">
        <v>61</v>
      </c>
      <c r="AF1746" s="68" t="s">
        <v>61</v>
      </c>
      <c r="AG1746" s="68" t="s">
        <v>61</v>
      </c>
      <c r="AH1746" s="68" t="s">
        <v>61</v>
      </c>
      <c r="AI1746" s="70" t="s">
        <v>61</v>
      </c>
      <c r="AJ1746" s="114" t="s">
        <v>61</v>
      </c>
      <c r="AK1746" s="82"/>
    </row>
    <row r="1747" ht="24.0" customHeight="1">
      <c r="A1747" s="35"/>
      <c r="B1747" s="36">
        <v>1.0</v>
      </c>
      <c r="C1747" s="37" t="str">
        <f>IFERROR(__xludf.DUMMYFUNCTION("""COMPUTED_VALUE"""),"")</f>
        <v/>
      </c>
      <c r="D1747" s="89" t="s">
        <v>61</v>
      </c>
      <c r="E1747" s="51" t="s">
        <v>61</v>
      </c>
      <c r="F1747" s="137"/>
      <c r="G1747" s="133"/>
      <c r="H1747" s="141"/>
      <c r="I1747" s="57"/>
      <c r="J1747" s="57"/>
      <c r="K1747" s="72"/>
      <c r="L1747" s="57"/>
      <c r="M1747" s="55"/>
      <c r="N1747" s="55"/>
      <c r="O1747" s="57"/>
      <c r="P1747" s="57"/>
      <c r="Q1747" s="57"/>
      <c r="R1747" s="57"/>
      <c r="S1747" s="132"/>
      <c r="T1747" s="74"/>
      <c r="U1747" s="74"/>
      <c r="V1747" s="74"/>
      <c r="W1747" s="74"/>
      <c r="X1747" s="74"/>
      <c r="Y1747" s="74"/>
      <c r="Z1747" s="76"/>
      <c r="AA1747" s="134"/>
      <c r="AB1747" s="62" t="s">
        <v>61</v>
      </c>
      <c r="AC1747" s="63" t="s">
        <v>61</v>
      </c>
      <c r="AD1747" s="64" t="s">
        <v>61</v>
      </c>
      <c r="AE1747" s="64" t="s">
        <v>61</v>
      </c>
      <c r="AF1747" s="63" t="s">
        <v>61</v>
      </c>
      <c r="AG1747" s="63" t="s">
        <v>61</v>
      </c>
      <c r="AH1747" s="63" t="s">
        <v>61</v>
      </c>
      <c r="AI1747" s="65" t="s">
        <v>61</v>
      </c>
      <c r="AJ1747" s="105" t="s">
        <v>61</v>
      </c>
      <c r="AK1747" s="76"/>
    </row>
    <row r="1748" ht="24.0" customHeight="1">
      <c r="A1748" s="35"/>
      <c r="B1748" s="36">
        <v>1.0</v>
      </c>
      <c r="C1748" s="37" t="str">
        <f>IFERROR(__xludf.DUMMYFUNCTION("""COMPUTED_VALUE"""),"")</f>
        <v/>
      </c>
      <c r="D1748" s="89" t="s">
        <v>61</v>
      </c>
      <c r="E1748" s="39" t="s">
        <v>61</v>
      </c>
      <c r="F1748" s="121"/>
      <c r="G1748" s="122"/>
      <c r="H1748" s="138"/>
      <c r="I1748" s="80"/>
      <c r="J1748" s="80"/>
      <c r="K1748" s="95"/>
      <c r="L1748" s="80"/>
      <c r="M1748" s="43"/>
      <c r="N1748" s="43"/>
      <c r="O1748" s="80"/>
      <c r="P1748" s="80"/>
      <c r="Q1748" s="80"/>
      <c r="R1748" s="80"/>
      <c r="S1748" s="117"/>
      <c r="T1748" s="81"/>
      <c r="U1748" s="81"/>
      <c r="V1748" s="81"/>
      <c r="W1748" s="81"/>
      <c r="X1748" s="81"/>
      <c r="Y1748" s="81"/>
      <c r="Z1748" s="82"/>
      <c r="AA1748" s="99"/>
      <c r="AB1748" s="48" t="s">
        <v>61</v>
      </c>
      <c r="AC1748" s="68" t="s">
        <v>61</v>
      </c>
      <c r="AD1748" s="69" t="s">
        <v>61</v>
      </c>
      <c r="AE1748" s="69" t="s">
        <v>61</v>
      </c>
      <c r="AF1748" s="68" t="s">
        <v>61</v>
      </c>
      <c r="AG1748" s="68" t="s">
        <v>61</v>
      </c>
      <c r="AH1748" s="68" t="s">
        <v>61</v>
      </c>
      <c r="AI1748" s="70" t="s">
        <v>61</v>
      </c>
      <c r="AJ1748" s="114" t="s">
        <v>61</v>
      </c>
      <c r="AK1748" s="82"/>
    </row>
    <row r="1749" ht="24.0" customHeight="1">
      <c r="A1749" s="35"/>
      <c r="B1749" s="36">
        <v>1.0</v>
      </c>
      <c r="C1749" s="37" t="str">
        <f>IFERROR(__xludf.DUMMYFUNCTION("""COMPUTED_VALUE"""),"")</f>
        <v/>
      </c>
      <c r="D1749" s="89" t="s">
        <v>61</v>
      </c>
      <c r="E1749" s="51" t="s">
        <v>61</v>
      </c>
      <c r="F1749" s="137"/>
      <c r="G1749" s="133"/>
      <c r="H1749" s="141"/>
      <c r="I1749" s="57"/>
      <c r="J1749" s="57"/>
      <c r="K1749" s="72"/>
      <c r="L1749" s="57"/>
      <c r="M1749" s="55"/>
      <c r="N1749" s="55"/>
      <c r="O1749" s="57"/>
      <c r="P1749" s="57"/>
      <c r="Q1749" s="57"/>
      <c r="R1749" s="57"/>
      <c r="S1749" s="132"/>
      <c r="T1749" s="74"/>
      <c r="U1749" s="74"/>
      <c r="V1749" s="74"/>
      <c r="W1749" s="74"/>
      <c r="X1749" s="74"/>
      <c r="Y1749" s="74"/>
      <c r="Z1749" s="76"/>
      <c r="AA1749" s="134"/>
      <c r="AB1749" s="62" t="s">
        <v>61</v>
      </c>
      <c r="AC1749" s="63" t="s">
        <v>61</v>
      </c>
      <c r="AD1749" s="64" t="s">
        <v>61</v>
      </c>
      <c r="AE1749" s="64" t="s">
        <v>61</v>
      </c>
      <c r="AF1749" s="63" t="s">
        <v>61</v>
      </c>
      <c r="AG1749" s="63" t="s">
        <v>61</v>
      </c>
      <c r="AH1749" s="63" t="s">
        <v>61</v>
      </c>
      <c r="AI1749" s="65" t="s">
        <v>61</v>
      </c>
      <c r="AJ1749" s="105" t="s">
        <v>61</v>
      </c>
      <c r="AK1749" s="76"/>
    </row>
    <row r="1750" ht="24.0" customHeight="1">
      <c r="A1750" s="35"/>
      <c r="B1750" s="36">
        <v>1.0</v>
      </c>
      <c r="C1750" s="37" t="str">
        <f>IFERROR(__xludf.DUMMYFUNCTION("""COMPUTED_VALUE"""),"")</f>
        <v/>
      </c>
      <c r="D1750" s="89" t="s">
        <v>61</v>
      </c>
      <c r="E1750" s="39" t="s">
        <v>61</v>
      </c>
      <c r="F1750" s="121"/>
      <c r="G1750" s="122"/>
      <c r="H1750" s="138"/>
      <c r="I1750" s="80"/>
      <c r="J1750" s="80"/>
      <c r="K1750" s="95"/>
      <c r="L1750" s="80"/>
      <c r="M1750" s="43"/>
      <c r="N1750" s="43"/>
      <c r="O1750" s="80"/>
      <c r="P1750" s="80"/>
      <c r="Q1750" s="80"/>
      <c r="R1750" s="80"/>
      <c r="S1750" s="117"/>
      <c r="T1750" s="81"/>
      <c r="U1750" s="81"/>
      <c r="V1750" s="81"/>
      <c r="W1750" s="81"/>
      <c r="X1750" s="81"/>
      <c r="Y1750" s="81"/>
      <c r="Z1750" s="82"/>
      <c r="AA1750" s="99"/>
      <c r="AB1750" s="48" t="s">
        <v>61</v>
      </c>
      <c r="AC1750" s="68" t="s">
        <v>61</v>
      </c>
      <c r="AD1750" s="69" t="s">
        <v>61</v>
      </c>
      <c r="AE1750" s="69" t="s">
        <v>61</v>
      </c>
      <c r="AF1750" s="68" t="s">
        <v>61</v>
      </c>
      <c r="AG1750" s="68" t="s">
        <v>61</v>
      </c>
      <c r="AH1750" s="68" t="s">
        <v>61</v>
      </c>
      <c r="AI1750" s="70" t="s">
        <v>61</v>
      </c>
      <c r="AJ1750" s="114" t="s">
        <v>61</v>
      </c>
      <c r="AK1750" s="82"/>
    </row>
    <row r="1751" ht="24.0" customHeight="1">
      <c r="A1751" s="35"/>
      <c r="B1751" s="36">
        <v>1.0</v>
      </c>
      <c r="C1751" s="37" t="str">
        <f>IFERROR(__xludf.DUMMYFUNCTION("""COMPUTED_VALUE"""),"")</f>
        <v/>
      </c>
      <c r="D1751" s="89" t="s">
        <v>61</v>
      </c>
      <c r="E1751" s="51" t="s">
        <v>61</v>
      </c>
      <c r="F1751" s="137"/>
      <c r="G1751" s="133"/>
      <c r="H1751" s="141"/>
      <c r="I1751" s="57"/>
      <c r="J1751" s="57"/>
      <c r="K1751" s="72"/>
      <c r="L1751" s="57"/>
      <c r="M1751" s="55"/>
      <c r="N1751" s="55"/>
      <c r="O1751" s="57"/>
      <c r="P1751" s="57"/>
      <c r="Q1751" s="57"/>
      <c r="R1751" s="57"/>
      <c r="S1751" s="132"/>
      <c r="T1751" s="74"/>
      <c r="U1751" s="74"/>
      <c r="V1751" s="74"/>
      <c r="W1751" s="74"/>
      <c r="X1751" s="74"/>
      <c r="Y1751" s="74"/>
      <c r="Z1751" s="76"/>
      <c r="AA1751" s="134"/>
      <c r="AB1751" s="62" t="s">
        <v>61</v>
      </c>
      <c r="AC1751" s="63" t="s">
        <v>61</v>
      </c>
      <c r="AD1751" s="64" t="s">
        <v>61</v>
      </c>
      <c r="AE1751" s="64" t="s">
        <v>61</v>
      </c>
      <c r="AF1751" s="63" t="s">
        <v>61</v>
      </c>
      <c r="AG1751" s="63" t="s">
        <v>61</v>
      </c>
      <c r="AH1751" s="63" t="s">
        <v>61</v>
      </c>
      <c r="AI1751" s="65" t="s">
        <v>61</v>
      </c>
      <c r="AJ1751" s="105" t="s">
        <v>61</v>
      </c>
      <c r="AK1751" s="76"/>
    </row>
    <row r="1752" ht="24.0" customHeight="1">
      <c r="A1752" s="35"/>
      <c r="B1752" s="36">
        <v>1.0</v>
      </c>
      <c r="C1752" s="37" t="str">
        <f>IFERROR(__xludf.DUMMYFUNCTION("""COMPUTED_VALUE"""),"")</f>
        <v/>
      </c>
      <c r="D1752" s="89" t="s">
        <v>61</v>
      </c>
      <c r="E1752" s="39" t="s">
        <v>61</v>
      </c>
      <c r="F1752" s="121"/>
      <c r="G1752" s="122"/>
      <c r="H1752" s="138"/>
      <c r="I1752" s="80"/>
      <c r="J1752" s="80"/>
      <c r="K1752" s="95"/>
      <c r="L1752" s="80"/>
      <c r="M1752" s="43"/>
      <c r="N1752" s="43"/>
      <c r="O1752" s="80"/>
      <c r="P1752" s="80"/>
      <c r="Q1752" s="80"/>
      <c r="R1752" s="80"/>
      <c r="S1752" s="117"/>
      <c r="T1752" s="81"/>
      <c r="U1752" s="81"/>
      <c r="V1752" s="81"/>
      <c r="W1752" s="81"/>
      <c r="X1752" s="81"/>
      <c r="Y1752" s="81"/>
      <c r="Z1752" s="82"/>
      <c r="AA1752" s="99"/>
      <c r="AB1752" s="48" t="s">
        <v>61</v>
      </c>
      <c r="AC1752" s="68" t="s">
        <v>61</v>
      </c>
      <c r="AD1752" s="69" t="s">
        <v>61</v>
      </c>
      <c r="AE1752" s="69" t="s">
        <v>61</v>
      </c>
      <c r="AF1752" s="68" t="s">
        <v>61</v>
      </c>
      <c r="AG1752" s="68" t="s">
        <v>61</v>
      </c>
      <c r="AH1752" s="68" t="s">
        <v>61</v>
      </c>
      <c r="AI1752" s="70" t="s">
        <v>61</v>
      </c>
      <c r="AJ1752" s="114" t="s">
        <v>61</v>
      </c>
      <c r="AK1752" s="82"/>
    </row>
    <row r="1753" ht="24.0" customHeight="1">
      <c r="A1753" s="35"/>
      <c r="B1753" s="36">
        <v>1.0</v>
      </c>
      <c r="C1753" s="37" t="str">
        <f>IFERROR(__xludf.DUMMYFUNCTION("""COMPUTED_VALUE"""),"")</f>
        <v/>
      </c>
      <c r="D1753" s="89" t="s">
        <v>61</v>
      </c>
      <c r="E1753" s="51" t="s">
        <v>61</v>
      </c>
      <c r="F1753" s="137"/>
      <c r="G1753" s="133"/>
      <c r="H1753" s="141"/>
      <c r="I1753" s="57"/>
      <c r="J1753" s="57"/>
      <c r="K1753" s="72"/>
      <c r="L1753" s="57"/>
      <c r="M1753" s="55"/>
      <c r="N1753" s="55"/>
      <c r="O1753" s="57"/>
      <c r="P1753" s="57"/>
      <c r="Q1753" s="57"/>
      <c r="R1753" s="57"/>
      <c r="S1753" s="132"/>
      <c r="T1753" s="74"/>
      <c r="U1753" s="74"/>
      <c r="V1753" s="74"/>
      <c r="W1753" s="74"/>
      <c r="X1753" s="74"/>
      <c r="Y1753" s="74"/>
      <c r="Z1753" s="76"/>
      <c r="AA1753" s="134"/>
      <c r="AB1753" s="62" t="s">
        <v>61</v>
      </c>
      <c r="AC1753" s="63" t="s">
        <v>61</v>
      </c>
      <c r="AD1753" s="64" t="s">
        <v>61</v>
      </c>
      <c r="AE1753" s="64" t="s">
        <v>61</v>
      </c>
      <c r="AF1753" s="63" t="s">
        <v>61</v>
      </c>
      <c r="AG1753" s="63" t="s">
        <v>61</v>
      </c>
      <c r="AH1753" s="63" t="s">
        <v>61</v>
      </c>
      <c r="AI1753" s="65" t="s">
        <v>61</v>
      </c>
      <c r="AJ1753" s="105" t="s">
        <v>61</v>
      </c>
      <c r="AK1753" s="76"/>
    </row>
    <row r="1754" ht="24.0" customHeight="1">
      <c r="A1754" s="35"/>
      <c r="B1754" s="36">
        <v>1.0</v>
      </c>
      <c r="C1754" s="37" t="str">
        <f>IFERROR(__xludf.DUMMYFUNCTION("""COMPUTED_VALUE"""),"")</f>
        <v/>
      </c>
      <c r="D1754" s="89" t="s">
        <v>61</v>
      </c>
      <c r="E1754" s="39" t="s">
        <v>61</v>
      </c>
      <c r="F1754" s="121"/>
      <c r="G1754" s="122"/>
      <c r="H1754" s="138"/>
      <c r="I1754" s="80"/>
      <c r="J1754" s="80"/>
      <c r="K1754" s="95"/>
      <c r="L1754" s="80"/>
      <c r="M1754" s="43"/>
      <c r="N1754" s="43"/>
      <c r="O1754" s="80"/>
      <c r="P1754" s="80"/>
      <c r="Q1754" s="80"/>
      <c r="R1754" s="80"/>
      <c r="S1754" s="117"/>
      <c r="T1754" s="81"/>
      <c r="U1754" s="81"/>
      <c r="V1754" s="81"/>
      <c r="W1754" s="81"/>
      <c r="X1754" s="81"/>
      <c r="Y1754" s="81"/>
      <c r="Z1754" s="82"/>
      <c r="AA1754" s="99"/>
      <c r="AB1754" s="48" t="s">
        <v>61</v>
      </c>
      <c r="AC1754" s="68" t="s">
        <v>61</v>
      </c>
      <c r="AD1754" s="69" t="s">
        <v>61</v>
      </c>
      <c r="AE1754" s="69" t="s">
        <v>61</v>
      </c>
      <c r="AF1754" s="68" t="s">
        <v>61</v>
      </c>
      <c r="AG1754" s="68" t="s">
        <v>61</v>
      </c>
      <c r="AH1754" s="68" t="s">
        <v>61</v>
      </c>
      <c r="AI1754" s="70" t="s">
        <v>61</v>
      </c>
      <c r="AJ1754" s="114" t="s">
        <v>61</v>
      </c>
      <c r="AK1754" s="82"/>
    </row>
    <row r="1755" ht="24.0" customHeight="1">
      <c r="A1755" s="35"/>
      <c r="B1755" s="36">
        <v>1.0</v>
      </c>
      <c r="C1755" s="37" t="str">
        <f>IFERROR(__xludf.DUMMYFUNCTION("""COMPUTED_VALUE"""),"")</f>
        <v/>
      </c>
      <c r="D1755" s="89" t="s">
        <v>61</v>
      </c>
      <c r="E1755" s="51" t="s">
        <v>61</v>
      </c>
      <c r="F1755" s="137"/>
      <c r="G1755" s="133"/>
      <c r="H1755" s="141"/>
      <c r="I1755" s="57"/>
      <c r="J1755" s="57"/>
      <c r="K1755" s="72"/>
      <c r="L1755" s="57"/>
      <c r="M1755" s="55"/>
      <c r="N1755" s="55"/>
      <c r="O1755" s="57"/>
      <c r="P1755" s="57"/>
      <c r="Q1755" s="57"/>
      <c r="R1755" s="57"/>
      <c r="S1755" s="132"/>
      <c r="T1755" s="74"/>
      <c r="U1755" s="74"/>
      <c r="V1755" s="74"/>
      <c r="W1755" s="74"/>
      <c r="X1755" s="74"/>
      <c r="Y1755" s="74"/>
      <c r="Z1755" s="76"/>
      <c r="AA1755" s="134"/>
      <c r="AB1755" s="62" t="s">
        <v>61</v>
      </c>
      <c r="AC1755" s="63" t="s">
        <v>61</v>
      </c>
      <c r="AD1755" s="64" t="s">
        <v>61</v>
      </c>
      <c r="AE1755" s="64" t="s">
        <v>61</v>
      </c>
      <c r="AF1755" s="63" t="s">
        <v>61</v>
      </c>
      <c r="AG1755" s="63" t="s">
        <v>61</v>
      </c>
      <c r="AH1755" s="63" t="s">
        <v>61</v>
      </c>
      <c r="AI1755" s="65" t="s">
        <v>61</v>
      </c>
      <c r="AJ1755" s="105" t="s">
        <v>61</v>
      </c>
      <c r="AK1755" s="76"/>
    </row>
    <row r="1756" ht="24.0" customHeight="1">
      <c r="A1756" s="35"/>
      <c r="B1756" s="36">
        <v>1.0</v>
      </c>
      <c r="C1756" s="37" t="str">
        <f>IFERROR(__xludf.DUMMYFUNCTION("""COMPUTED_VALUE"""),"")</f>
        <v/>
      </c>
      <c r="D1756" s="89" t="s">
        <v>61</v>
      </c>
      <c r="E1756" s="39" t="s">
        <v>61</v>
      </c>
      <c r="F1756" s="121"/>
      <c r="G1756" s="122"/>
      <c r="H1756" s="138"/>
      <c r="I1756" s="80"/>
      <c r="J1756" s="80"/>
      <c r="K1756" s="95"/>
      <c r="L1756" s="80"/>
      <c r="M1756" s="43"/>
      <c r="N1756" s="43"/>
      <c r="O1756" s="80"/>
      <c r="P1756" s="80"/>
      <c r="Q1756" s="80"/>
      <c r="R1756" s="80"/>
      <c r="S1756" s="117"/>
      <c r="T1756" s="81"/>
      <c r="U1756" s="81"/>
      <c r="V1756" s="81"/>
      <c r="W1756" s="81"/>
      <c r="X1756" s="81"/>
      <c r="Y1756" s="81"/>
      <c r="Z1756" s="82"/>
      <c r="AA1756" s="99"/>
      <c r="AB1756" s="48" t="s">
        <v>61</v>
      </c>
      <c r="AC1756" s="68" t="s">
        <v>61</v>
      </c>
      <c r="AD1756" s="69" t="s">
        <v>61</v>
      </c>
      <c r="AE1756" s="69" t="s">
        <v>61</v>
      </c>
      <c r="AF1756" s="68" t="s">
        <v>61</v>
      </c>
      <c r="AG1756" s="68" t="s">
        <v>61</v>
      </c>
      <c r="AH1756" s="68" t="s">
        <v>61</v>
      </c>
      <c r="AI1756" s="70" t="s">
        <v>61</v>
      </c>
      <c r="AJ1756" s="114" t="s">
        <v>61</v>
      </c>
      <c r="AK1756" s="82"/>
    </row>
    <row r="1757" ht="24.0" customHeight="1">
      <c r="A1757" s="35"/>
      <c r="B1757" s="36">
        <v>1.0</v>
      </c>
      <c r="C1757" s="37" t="str">
        <f>IFERROR(__xludf.DUMMYFUNCTION("""COMPUTED_VALUE"""),"")</f>
        <v/>
      </c>
      <c r="D1757" s="89" t="s">
        <v>61</v>
      </c>
      <c r="E1757" s="51" t="s">
        <v>61</v>
      </c>
      <c r="F1757" s="137"/>
      <c r="G1757" s="133"/>
      <c r="H1757" s="141"/>
      <c r="I1757" s="57"/>
      <c r="J1757" s="57"/>
      <c r="K1757" s="72"/>
      <c r="L1757" s="57"/>
      <c r="M1757" s="55"/>
      <c r="N1757" s="55"/>
      <c r="O1757" s="57"/>
      <c r="P1757" s="57"/>
      <c r="Q1757" s="57"/>
      <c r="R1757" s="57"/>
      <c r="S1757" s="132"/>
      <c r="T1757" s="74"/>
      <c r="U1757" s="74"/>
      <c r="V1757" s="74"/>
      <c r="W1757" s="74"/>
      <c r="X1757" s="74"/>
      <c r="Y1757" s="74"/>
      <c r="Z1757" s="76"/>
      <c r="AA1757" s="134"/>
      <c r="AB1757" s="62" t="s">
        <v>61</v>
      </c>
      <c r="AC1757" s="63" t="s">
        <v>61</v>
      </c>
      <c r="AD1757" s="64" t="s">
        <v>61</v>
      </c>
      <c r="AE1757" s="64" t="s">
        <v>61</v>
      </c>
      <c r="AF1757" s="63" t="s">
        <v>61</v>
      </c>
      <c r="AG1757" s="63" t="s">
        <v>61</v>
      </c>
      <c r="AH1757" s="63" t="s">
        <v>61</v>
      </c>
      <c r="AI1757" s="65" t="s">
        <v>61</v>
      </c>
      <c r="AJ1757" s="105" t="s">
        <v>61</v>
      </c>
      <c r="AK1757" s="76"/>
    </row>
    <row r="1758" ht="24.0" customHeight="1">
      <c r="A1758" s="35"/>
      <c r="B1758" s="36">
        <v>1.0</v>
      </c>
      <c r="C1758" s="37" t="str">
        <f>IFERROR(__xludf.DUMMYFUNCTION("""COMPUTED_VALUE"""),"")</f>
        <v/>
      </c>
      <c r="D1758" s="89" t="s">
        <v>61</v>
      </c>
      <c r="E1758" s="39" t="s">
        <v>61</v>
      </c>
      <c r="F1758" s="121"/>
      <c r="G1758" s="122"/>
      <c r="H1758" s="138"/>
      <c r="I1758" s="80"/>
      <c r="J1758" s="80"/>
      <c r="K1758" s="95"/>
      <c r="L1758" s="80"/>
      <c r="M1758" s="43"/>
      <c r="N1758" s="43"/>
      <c r="O1758" s="80"/>
      <c r="P1758" s="80"/>
      <c r="Q1758" s="80"/>
      <c r="R1758" s="80"/>
      <c r="S1758" s="117"/>
      <c r="T1758" s="81"/>
      <c r="U1758" s="81"/>
      <c r="V1758" s="81"/>
      <c r="W1758" s="81"/>
      <c r="X1758" s="81"/>
      <c r="Y1758" s="81"/>
      <c r="Z1758" s="82"/>
      <c r="AA1758" s="99"/>
      <c r="AB1758" s="48" t="s">
        <v>61</v>
      </c>
      <c r="AC1758" s="68" t="s">
        <v>61</v>
      </c>
      <c r="AD1758" s="69" t="s">
        <v>61</v>
      </c>
      <c r="AE1758" s="69" t="s">
        <v>61</v>
      </c>
      <c r="AF1758" s="68" t="s">
        <v>61</v>
      </c>
      <c r="AG1758" s="68" t="s">
        <v>61</v>
      </c>
      <c r="AH1758" s="68" t="s">
        <v>61</v>
      </c>
      <c r="AI1758" s="70" t="s">
        <v>61</v>
      </c>
      <c r="AJ1758" s="114" t="s">
        <v>61</v>
      </c>
      <c r="AK1758" s="82"/>
    </row>
    <row r="1759" ht="24.0" customHeight="1">
      <c r="A1759" s="35"/>
      <c r="B1759" s="36">
        <v>1.0</v>
      </c>
      <c r="C1759" s="37" t="str">
        <f>IFERROR(__xludf.DUMMYFUNCTION("""COMPUTED_VALUE"""),"")</f>
        <v/>
      </c>
      <c r="D1759" s="89" t="s">
        <v>61</v>
      </c>
      <c r="E1759" s="51" t="s">
        <v>61</v>
      </c>
      <c r="F1759" s="137"/>
      <c r="G1759" s="133"/>
      <c r="H1759" s="141"/>
      <c r="I1759" s="57"/>
      <c r="J1759" s="57"/>
      <c r="K1759" s="72"/>
      <c r="L1759" s="57"/>
      <c r="M1759" s="55"/>
      <c r="N1759" s="55"/>
      <c r="O1759" s="57"/>
      <c r="P1759" s="57"/>
      <c r="Q1759" s="57"/>
      <c r="R1759" s="57"/>
      <c r="S1759" s="132"/>
      <c r="T1759" s="74"/>
      <c r="U1759" s="74"/>
      <c r="V1759" s="74"/>
      <c r="W1759" s="74"/>
      <c r="X1759" s="74"/>
      <c r="Y1759" s="74"/>
      <c r="Z1759" s="76"/>
      <c r="AA1759" s="134"/>
      <c r="AB1759" s="62" t="s">
        <v>61</v>
      </c>
      <c r="AC1759" s="63" t="s">
        <v>61</v>
      </c>
      <c r="AD1759" s="64" t="s">
        <v>61</v>
      </c>
      <c r="AE1759" s="64" t="s">
        <v>61</v>
      </c>
      <c r="AF1759" s="63" t="s">
        <v>61</v>
      </c>
      <c r="AG1759" s="63" t="s">
        <v>61</v>
      </c>
      <c r="AH1759" s="63" t="s">
        <v>61</v>
      </c>
      <c r="AI1759" s="65" t="s">
        <v>61</v>
      </c>
      <c r="AJ1759" s="105" t="s">
        <v>61</v>
      </c>
      <c r="AK1759" s="76"/>
    </row>
    <row r="1760" ht="24.0" customHeight="1">
      <c r="A1760" s="35"/>
      <c r="B1760" s="36">
        <v>1.0</v>
      </c>
      <c r="C1760" s="37" t="str">
        <f>IFERROR(__xludf.DUMMYFUNCTION("""COMPUTED_VALUE"""),"")</f>
        <v/>
      </c>
      <c r="D1760" s="89" t="s">
        <v>61</v>
      </c>
      <c r="E1760" s="39" t="s">
        <v>61</v>
      </c>
      <c r="F1760" s="121"/>
      <c r="G1760" s="122"/>
      <c r="H1760" s="138"/>
      <c r="I1760" s="80"/>
      <c r="J1760" s="80"/>
      <c r="K1760" s="95"/>
      <c r="L1760" s="80"/>
      <c r="M1760" s="43"/>
      <c r="N1760" s="43"/>
      <c r="O1760" s="80"/>
      <c r="P1760" s="80"/>
      <c r="Q1760" s="80"/>
      <c r="R1760" s="80"/>
      <c r="S1760" s="117"/>
      <c r="T1760" s="81"/>
      <c r="U1760" s="81"/>
      <c r="V1760" s="81"/>
      <c r="W1760" s="81"/>
      <c r="X1760" s="81"/>
      <c r="Y1760" s="81"/>
      <c r="Z1760" s="82"/>
      <c r="AA1760" s="99"/>
      <c r="AB1760" s="48" t="s">
        <v>61</v>
      </c>
      <c r="AC1760" s="68" t="s">
        <v>61</v>
      </c>
      <c r="AD1760" s="69" t="s">
        <v>61</v>
      </c>
      <c r="AE1760" s="69" t="s">
        <v>61</v>
      </c>
      <c r="AF1760" s="68" t="s">
        <v>61</v>
      </c>
      <c r="AG1760" s="68" t="s">
        <v>61</v>
      </c>
      <c r="AH1760" s="68" t="s">
        <v>61</v>
      </c>
      <c r="AI1760" s="70" t="s">
        <v>61</v>
      </c>
      <c r="AJ1760" s="114" t="s">
        <v>61</v>
      </c>
      <c r="AK1760" s="82"/>
    </row>
    <row r="1761" ht="24.0" customHeight="1">
      <c r="A1761" s="35"/>
      <c r="B1761" s="36">
        <v>1.0</v>
      </c>
      <c r="C1761" s="37" t="str">
        <f>IFERROR(__xludf.DUMMYFUNCTION("""COMPUTED_VALUE"""),"")</f>
        <v/>
      </c>
      <c r="D1761" s="89" t="s">
        <v>61</v>
      </c>
      <c r="E1761" s="51" t="s">
        <v>61</v>
      </c>
      <c r="F1761" s="137"/>
      <c r="G1761" s="133"/>
      <c r="H1761" s="141"/>
      <c r="I1761" s="57"/>
      <c r="J1761" s="57"/>
      <c r="K1761" s="72"/>
      <c r="L1761" s="57"/>
      <c r="M1761" s="55"/>
      <c r="N1761" s="55"/>
      <c r="O1761" s="57"/>
      <c r="P1761" s="57"/>
      <c r="Q1761" s="57"/>
      <c r="R1761" s="57"/>
      <c r="S1761" s="132"/>
      <c r="T1761" s="74"/>
      <c r="U1761" s="74"/>
      <c r="V1761" s="74"/>
      <c r="W1761" s="74"/>
      <c r="X1761" s="74"/>
      <c r="Y1761" s="74"/>
      <c r="Z1761" s="76"/>
      <c r="AA1761" s="134"/>
      <c r="AB1761" s="62" t="s">
        <v>61</v>
      </c>
      <c r="AC1761" s="63" t="s">
        <v>61</v>
      </c>
      <c r="AD1761" s="64" t="s">
        <v>61</v>
      </c>
      <c r="AE1761" s="64" t="s">
        <v>61</v>
      </c>
      <c r="AF1761" s="63" t="s">
        <v>61</v>
      </c>
      <c r="AG1761" s="63" t="s">
        <v>61</v>
      </c>
      <c r="AH1761" s="63" t="s">
        <v>61</v>
      </c>
      <c r="AI1761" s="65" t="s">
        <v>61</v>
      </c>
      <c r="AJ1761" s="105" t="s">
        <v>61</v>
      </c>
      <c r="AK1761" s="76"/>
    </row>
    <row r="1762" ht="24.0" customHeight="1">
      <c r="A1762" s="35"/>
      <c r="B1762" s="36">
        <v>1.0</v>
      </c>
      <c r="C1762" s="37" t="str">
        <f>IFERROR(__xludf.DUMMYFUNCTION("""COMPUTED_VALUE"""),"")</f>
        <v/>
      </c>
      <c r="D1762" s="89" t="s">
        <v>61</v>
      </c>
      <c r="E1762" s="39" t="s">
        <v>61</v>
      </c>
      <c r="F1762" s="121"/>
      <c r="G1762" s="122"/>
      <c r="H1762" s="138"/>
      <c r="I1762" s="80"/>
      <c r="J1762" s="80"/>
      <c r="K1762" s="95"/>
      <c r="L1762" s="80"/>
      <c r="M1762" s="43"/>
      <c r="N1762" s="43"/>
      <c r="O1762" s="80"/>
      <c r="P1762" s="80"/>
      <c r="Q1762" s="80"/>
      <c r="R1762" s="80"/>
      <c r="S1762" s="117"/>
      <c r="T1762" s="81"/>
      <c r="U1762" s="81"/>
      <c r="V1762" s="81"/>
      <c r="W1762" s="81"/>
      <c r="X1762" s="81"/>
      <c r="Y1762" s="81"/>
      <c r="Z1762" s="82"/>
      <c r="AA1762" s="99"/>
      <c r="AB1762" s="48" t="s">
        <v>61</v>
      </c>
      <c r="AC1762" s="68" t="s">
        <v>61</v>
      </c>
      <c r="AD1762" s="69" t="s">
        <v>61</v>
      </c>
      <c r="AE1762" s="69" t="s">
        <v>61</v>
      </c>
      <c r="AF1762" s="68" t="s">
        <v>61</v>
      </c>
      <c r="AG1762" s="68" t="s">
        <v>61</v>
      </c>
      <c r="AH1762" s="68" t="s">
        <v>61</v>
      </c>
      <c r="AI1762" s="70" t="s">
        <v>61</v>
      </c>
      <c r="AJ1762" s="114" t="s">
        <v>61</v>
      </c>
      <c r="AK1762" s="82"/>
    </row>
    <row r="1763" ht="24.0" customHeight="1">
      <c r="A1763" s="35"/>
      <c r="B1763" s="36">
        <v>1.0</v>
      </c>
      <c r="C1763" s="37" t="str">
        <f>IFERROR(__xludf.DUMMYFUNCTION("""COMPUTED_VALUE"""),"")</f>
        <v/>
      </c>
      <c r="D1763" s="89" t="s">
        <v>61</v>
      </c>
      <c r="E1763" s="51" t="s">
        <v>61</v>
      </c>
      <c r="F1763" s="137"/>
      <c r="G1763" s="133"/>
      <c r="H1763" s="141"/>
      <c r="I1763" s="57"/>
      <c r="J1763" s="57"/>
      <c r="K1763" s="72"/>
      <c r="L1763" s="57"/>
      <c r="M1763" s="55"/>
      <c r="N1763" s="55"/>
      <c r="O1763" s="57"/>
      <c r="P1763" s="57"/>
      <c r="Q1763" s="57"/>
      <c r="R1763" s="57"/>
      <c r="S1763" s="132"/>
      <c r="T1763" s="74"/>
      <c r="U1763" s="74"/>
      <c r="V1763" s="74"/>
      <c r="W1763" s="74"/>
      <c r="X1763" s="74"/>
      <c r="Y1763" s="74"/>
      <c r="Z1763" s="76"/>
      <c r="AA1763" s="134"/>
      <c r="AB1763" s="62" t="s">
        <v>61</v>
      </c>
      <c r="AC1763" s="63" t="s">
        <v>61</v>
      </c>
      <c r="AD1763" s="64" t="s">
        <v>61</v>
      </c>
      <c r="AE1763" s="64" t="s">
        <v>61</v>
      </c>
      <c r="AF1763" s="63" t="s">
        <v>61</v>
      </c>
      <c r="AG1763" s="63" t="s">
        <v>61</v>
      </c>
      <c r="AH1763" s="63" t="s">
        <v>61</v>
      </c>
      <c r="AI1763" s="65" t="s">
        <v>61</v>
      </c>
      <c r="AJ1763" s="105" t="s">
        <v>61</v>
      </c>
      <c r="AK1763" s="76"/>
    </row>
    <row r="1764" ht="24.0" customHeight="1">
      <c r="A1764" s="35"/>
      <c r="B1764" s="36">
        <v>1.0</v>
      </c>
      <c r="C1764" s="37" t="str">
        <f>IFERROR(__xludf.DUMMYFUNCTION("""COMPUTED_VALUE"""),"")</f>
        <v/>
      </c>
      <c r="D1764" s="89" t="s">
        <v>61</v>
      </c>
      <c r="E1764" s="39" t="s">
        <v>61</v>
      </c>
      <c r="F1764" s="121"/>
      <c r="G1764" s="122"/>
      <c r="H1764" s="138"/>
      <c r="I1764" s="80"/>
      <c r="J1764" s="80"/>
      <c r="K1764" s="95"/>
      <c r="L1764" s="80"/>
      <c r="M1764" s="43"/>
      <c r="N1764" s="43"/>
      <c r="O1764" s="80"/>
      <c r="P1764" s="80"/>
      <c r="Q1764" s="80"/>
      <c r="R1764" s="80"/>
      <c r="S1764" s="117"/>
      <c r="T1764" s="81"/>
      <c r="U1764" s="81"/>
      <c r="V1764" s="81"/>
      <c r="W1764" s="81"/>
      <c r="X1764" s="81"/>
      <c r="Y1764" s="81"/>
      <c r="Z1764" s="82"/>
      <c r="AA1764" s="99"/>
      <c r="AB1764" s="48" t="s">
        <v>61</v>
      </c>
      <c r="AC1764" s="68" t="s">
        <v>61</v>
      </c>
      <c r="AD1764" s="69" t="s">
        <v>61</v>
      </c>
      <c r="AE1764" s="69" t="s">
        <v>61</v>
      </c>
      <c r="AF1764" s="68" t="s">
        <v>61</v>
      </c>
      <c r="AG1764" s="68" t="s">
        <v>61</v>
      </c>
      <c r="AH1764" s="68" t="s">
        <v>61</v>
      </c>
      <c r="AI1764" s="70" t="s">
        <v>61</v>
      </c>
      <c r="AJ1764" s="114" t="s">
        <v>61</v>
      </c>
      <c r="AK1764" s="82"/>
    </row>
    <row r="1765" ht="24.0" customHeight="1">
      <c r="A1765" s="35"/>
      <c r="B1765" s="36">
        <v>1.0</v>
      </c>
      <c r="C1765" s="37" t="str">
        <f>IFERROR(__xludf.DUMMYFUNCTION("""COMPUTED_VALUE"""),"")</f>
        <v/>
      </c>
      <c r="D1765" s="89" t="s">
        <v>61</v>
      </c>
      <c r="E1765" s="51" t="s">
        <v>61</v>
      </c>
      <c r="F1765" s="137"/>
      <c r="G1765" s="133"/>
      <c r="H1765" s="141"/>
      <c r="I1765" s="57"/>
      <c r="J1765" s="57"/>
      <c r="K1765" s="72"/>
      <c r="L1765" s="57"/>
      <c r="M1765" s="55"/>
      <c r="N1765" s="55"/>
      <c r="O1765" s="57"/>
      <c r="P1765" s="57"/>
      <c r="Q1765" s="57"/>
      <c r="R1765" s="57"/>
      <c r="S1765" s="132"/>
      <c r="T1765" s="74"/>
      <c r="U1765" s="74"/>
      <c r="V1765" s="74"/>
      <c r="W1765" s="74"/>
      <c r="X1765" s="74"/>
      <c r="Y1765" s="74"/>
      <c r="Z1765" s="76"/>
      <c r="AA1765" s="134"/>
      <c r="AB1765" s="62" t="s">
        <v>61</v>
      </c>
      <c r="AC1765" s="63" t="s">
        <v>61</v>
      </c>
      <c r="AD1765" s="64" t="s">
        <v>61</v>
      </c>
      <c r="AE1765" s="64" t="s">
        <v>61</v>
      </c>
      <c r="AF1765" s="63" t="s">
        <v>61</v>
      </c>
      <c r="AG1765" s="63" t="s">
        <v>61</v>
      </c>
      <c r="AH1765" s="63" t="s">
        <v>61</v>
      </c>
      <c r="AI1765" s="65" t="s">
        <v>61</v>
      </c>
      <c r="AJ1765" s="105" t="s">
        <v>61</v>
      </c>
      <c r="AK1765" s="76"/>
    </row>
    <row r="1766" ht="24.0" customHeight="1">
      <c r="A1766" s="35"/>
      <c r="B1766" s="36">
        <v>1.0</v>
      </c>
      <c r="C1766" s="37" t="str">
        <f>IFERROR(__xludf.DUMMYFUNCTION("""COMPUTED_VALUE"""),"")</f>
        <v/>
      </c>
      <c r="D1766" s="89" t="s">
        <v>61</v>
      </c>
      <c r="E1766" s="39" t="s">
        <v>61</v>
      </c>
      <c r="F1766" s="121"/>
      <c r="G1766" s="122"/>
      <c r="H1766" s="138"/>
      <c r="I1766" s="80"/>
      <c r="J1766" s="80"/>
      <c r="K1766" s="95"/>
      <c r="L1766" s="80"/>
      <c r="M1766" s="43"/>
      <c r="N1766" s="43"/>
      <c r="O1766" s="80"/>
      <c r="P1766" s="80"/>
      <c r="Q1766" s="80"/>
      <c r="R1766" s="80"/>
      <c r="S1766" s="117"/>
      <c r="T1766" s="81"/>
      <c r="U1766" s="81"/>
      <c r="V1766" s="81"/>
      <c r="W1766" s="81"/>
      <c r="X1766" s="81"/>
      <c r="Y1766" s="81"/>
      <c r="Z1766" s="82"/>
      <c r="AA1766" s="99"/>
      <c r="AB1766" s="48" t="s">
        <v>61</v>
      </c>
      <c r="AC1766" s="68" t="s">
        <v>61</v>
      </c>
      <c r="AD1766" s="69" t="s">
        <v>61</v>
      </c>
      <c r="AE1766" s="69" t="s">
        <v>61</v>
      </c>
      <c r="AF1766" s="68" t="s">
        <v>61</v>
      </c>
      <c r="AG1766" s="68" t="s">
        <v>61</v>
      </c>
      <c r="AH1766" s="68" t="s">
        <v>61</v>
      </c>
      <c r="AI1766" s="70" t="s">
        <v>61</v>
      </c>
      <c r="AJ1766" s="114" t="s">
        <v>61</v>
      </c>
      <c r="AK1766" s="82"/>
    </row>
    <row r="1767" ht="24.0" customHeight="1">
      <c r="A1767" s="35"/>
      <c r="B1767" s="36">
        <v>1.0</v>
      </c>
      <c r="C1767" s="37" t="str">
        <f>IFERROR(__xludf.DUMMYFUNCTION("""COMPUTED_VALUE"""),"")</f>
        <v/>
      </c>
      <c r="D1767" s="89" t="s">
        <v>61</v>
      </c>
      <c r="E1767" s="51" t="s">
        <v>61</v>
      </c>
      <c r="F1767" s="137"/>
      <c r="G1767" s="133"/>
      <c r="H1767" s="141"/>
      <c r="I1767" s="57"/>
      <c r="J1767" s="57"/>
      <c r="K1767" s="72"/>
      <c r="L1767" s="57"/>
      <c r="M1767" s="55"/>
      <c r="N1767" s="55"/>
      <c r="O1767" s="57"/>
      <c r="P1767" s="57"/>
      <c r="Q1767" s="57"/>
      <c r="R1767" s="57"/>
      <c r="S1767" s="132"/>
      <c r="T1767" s="74"/>
      <c r="U1767" s="74"/>
      <c r="V1767" s="74"/>
      <c r="W1767" s="74"/>
      <c r="X1767" s="74"/>
      <c r="Y1767" s="74"/>
      <c r="Z1767" s="76"/>
      <c r="AA1767" s="134"/>
      <c r="AB1767" s="62" t="s">
        <v>61</v>
      </c>
      <c r="AC1767" s="63" t="s">
        <v>61</v>
      </c>
      <c r="AD1767" s="64" t="s">
        <v>61</v>
      </c>
      <c r="AE1767" s="64" t="s">
        <v>61</v>
      </c>
      <c r="AF1767" s="63" t="s">
        <v>61</v>
      </c>
      <c r="AG1767" s="63" t="s">
        <v>61</v>
      </c>
      <c r="AH1767" s="63" t="s">
        <v>61</v>
      </c>
      <c r="AI1767" s="65" t="s">
        <v>61</v>
      </c>
      <c r="AJ1767" s="105" t="s">
        <v>61</v>
      </c>
      <c r="AK1767" s="76"/>
    </row>
    <row r="1768" ht="24.0" customHeight="1">
      <c r="A1768" s="35"/>
      <c r="B1768" s="36">
        <v>1.0</v>
      </c>
      <c r="C1768" s="37" t="str">
        <f>IFERROR(__xludf.DUMMYFUNCTION("""COMPUTED_VALUE"""),"")</f>
        <v/>
      </c>
      <c r="D1768" s="89" t="s">
        <v>61</v>
      </c>
      <c r="E1768" s="39" t="s">
        <v>61</v>
      </c>
      <c r="F1768" s="121"/>
      <c r="G1768" s="122"/>
      <c r="H1768" s="138"/>
      <c r="I1768" s="80"/>
      <c r="J1768" s="80"/>
      <c r="K1768" s="95"/>
      <c r="L1768" s="80"/>
      <c r="M1768" s="43"/>
      <c r="N1768" s="43"/>
      <c r="O1768" s="80"/>
      <c r="P1768" s="80"/>
      <c r="Q1768" s="80"/>
      <c r="R1768" s="80"/>
      <c r="S1768" s="117"/>
      <c r="T1768" s="81"/>
      <c r="U1768" s="81"/>
      <c r="V1768" s="81"/>
      <c r="W1768" s="81"/>
      <c r="X1768" s="81"/>
      <c r="Y1768" s="81"/>
      <c r="Z1768" s="82"/>
      <c r="AA1768" s="99"/>
      <c r="AB1768" s="48" t="s">
        <v>61</v>
      </c>
      <c r="AC1768" s="68" t="s">
        <v>61</v>
      </c>
      <c r="AD1768" s="69" t="s">
        <v>61</v>
      </c>
      <c r="AE1768" s="69" t="s">
        <v>61</v>
      </c>
      <c r="AF1768" s="68" t="s">
        <v>61</v>
      </c>
      <c r="AG1768" s="68" t="s">
        <v>61</v>
      </c>
      <c r="AH1768" s="68" t="s">
        <v>61</v>
      </c>
      <c r="AI1768" s="70" t="s">
        <v>61</v>
      </c>
      <c r="AJ1768" s="114" t="s">
        <v>61</v>
      </c>
      <c r="AK1768" s="82"/>
    </row>
    <row r="1769" ht="24.0" customHeight="1">
      <c r="A1769" s="35"/>
      <c r="B1769" s="36">
        <v>1.0</v>
      </c>
      <c r="C1769" s="37" t="str">
        <f>IFERROR(__xludf.DUMMYFUNCTION("""COMPUTED_VALUE"""),"")</f>
        <v/>
      </c>
      <c r="D1769" s="89" t="s">
        <v>61</v>
      </c>
      <c r="E1769" s="51" t="s">
        <v>61</v>
      </c>
      <c r="F1769" s="137"/>
      <c r="G1769" s="133"/>
      <c r="H1769" s="141"/>
      <c r="I1769" s="57"/>
      <c r="J1769" s="57"/>
      <c r="K1769" s="72"/>
      <c r="L1769" s="57"/>
      <c r="M1769" s="55"/>
      <c r="N1769" s="55"/>
      <c r="O1769" s="57"/>
      <c r="P1769" s="57"/>
      <c r="Q1769" s="57"/>
      <c r="R1769" s="57"/>
      <c r="S1769" s="132"/>
      <c r="T1769" s="74"/>
      <c r="U1769" s="74"/>
      <c r="V1769" s="74"/>
      <c r="W1769" s="74"/>
      <c r="X1769" s="74"/>
      <c r="Y1769" s="74"/>
      <c r="Z1769" s="76"/>
      <c r="AA1769" s="134"/>
      <c r="AB1769" s="62" t="s">
        <v>61</v>
      </c>
      <c r="AC1769" s="63" t="s">
        <v>61</v>
      </c>
      <c r="AD1769" s="64" t="s">
        <v>61</v>
      </c>
      <c r="AE1769" s="64" t="s">
        <v>61</v>
      </c>
      <c r="AF1769" s="63" t="s">
        <v>61</v>
      </c>
      <c r="AG1769" s="63" t="s">
        <v>61</v>
      </c>
      <c r="AH1769" s="63" t="s">
        <v>61</v>
      </c>
      <c r="AI1769" s="65" t="s">
        <v>61</v>
      </c>
      <c r="AJ1769" s="105" t="s">
        <v>61</v>
      </c>
      <c r="AK1769" s="76"/>
    </row>
    <row r="1770" ht="24.0" customHeight="1">
      <c r="A1770" s="35"/>
      <c r="B1770" s="36">
        <v>1.0</v>
      </c>
      <c r="C1770" s="37" t="str">
        <f>IFERROR(__xludf.DUMMYFUNCTION("""COMPUTED_VALUE"""),"")</f>
        <v/>
      </c>
      <c r="D1770" s="89" t="s">
        <v>61</v>
      </c>
      <c r="E1770" s="39" t="s">
        <v>61</v>
      </c>
      <c r="F1770" s="121"/>
      <c r="G1770" s="122"/>
      <c r="H1770" s="138"/>
      <c r="I1770" s="80"/>
      <c r="J1770" s="80"/>
      <c r="K1770" s="95"/>
      <c r="L1770" s="80"/>
      <c r="M1770" s="43"/>
      <c r="N1770" s="43"/>
      <c r="O1770" s="80"/>
      <c r="P1770" s="80"/>
      <c r="Q1770" s="80"/>
      <c r="R1770" s="80"/>
      <c r="S1770" s="117"/>
      <c r="T1770" s="81"/>
      <c r="U1770" s="81"/>
      <c r="V1770" s="81"/>
      <c r="W1770" s="81"/>
      <c r="X1770" s="81"/>
      <c r="Y1770" s="81"/>
      <c r="Z1770" s="82"/>
      <c r="AA1770" s="99"/>
      <c r="AB1770" s="48" t="s">
        <v>61</v>
      </c>
      <c r="AC1770" s="68" t="s">
        <v>61</v>
      </c>
      <c r="AD1770" s="69" t="s">
        <v>61</v>
      </c>
      <c r="AE1770" s="69" t="s">
        <v>61</v>
      </c>
      <c r="AF1770" s="68" t="s">
        <v>61</v>
      </c>
      <c r="AG1770" s="68" t="s">
        <v>61</v>
      </c>
      <c r="AH1770" s="68" t="s">
        <v>61</v>
      </c>
      <c r="AI1770" s="70" t="s">
        <v>61</v>
      </c>
      <c r="AJ1770" s="114" t="s">
        <v>61</v>
      </c>
      <c r="AK1770" s="82"/>
    </row>
    <row r="1771" ht="24.0" customHeight="1">
      <c r="A1771" s="35"/>
      <c r="B1771" s="36">
        <v>1.0</v>
      </c>
      <c r="C1771" s="37" t="str">
        <f>IFERROR(__xludf.DUMMYFUNCTION("""COMPUTED_VALUE"""),"")</f>
        <v/>
      </c>
      <c r="D1771" s="89" t="s">
        <v>61</v>
      </c>
      <c r="E1771" s="51" t="s">
        <v>61</v>
      </c>
      <c r="F1771" s="137"/>
      <c r="G1771" s="133"/>
      <c r="H1771" s="141"/>
      <c r="I1771" s="57"/>
      <c r="J1771" s="57"/>
      <c r="K1771" s="72"/>
      <c r="L1771" s="57"/>
      <c r="M1771" s="55"/>
      <c r="N1771" s="55"/>
      <c r="O1771" s="57"/>
      <c r="P1771" s="57"/>
      <c r="Q1771" s="57"/>
      <c r="R1771" s="57"/>
      <c r="S1771" s="132"/>
      <c r="T1771" s="74"/>
      <c r="U1771" s="74"/>
      <c r="V1771" s="74"/>
      <c r="W1771" s="74"/>
      <c r="X1771" s="74"/>
      <c r="Y1771" s="74"/>
      <c r="Z1771" s="76"/>
      <c r="AA1771" s="134"/>
      <c r="AB1771" s="62" t="s">
        <v>61</v>
      </c>
      <c r="AC1771" s="63" t="s">
        <v>61</v>
      </c>
      <c r="AD1771" s="64" t="s">
        <v>61</v>
      </c>
      <c r="AE1771" s="64" t="s">
        <v>61</v>
      </c>
      <c r="AF1771" s="63" t="s">
        <v>61</v>
      </c>
      <c r="AG1771" s="63" t="s">
        <v>61</v>
      </c>
      <c r="AH1771" s="63" t="s">
        <v>61</v>
      </c>
      <c r="AI1771" s="65" t="s">
        <v>61</v>
      </c>
      <c r="AJ1771" s="105" t="s">
        <v>61</v>
      </c>
      <c r="AK1771" s="76"/>
    </row>
    <row r="1772" ht="24.0" customHeight="1">
      <c r="A1772" s="35"/>
      <c r="B1772" s="36">
        <v>1.0</v>
      </c>
      <c r="C1772" s="37" t="str">
        <f>IFERROR(__xludf.DUMMYFUNCTION("""COMPUTED_VALUE"""),"")</f>
        <v/>
      </c>
      <c r="D1772" s="89" t="s">
        <v>61</v>
      </c>
      <c r="E1772" s="39" t="s">
        <v>61</v>
      </c>
      <c r="F1772" s="121"/>
      <c r="G1772" s="122"/>
      <c r="H1772" s="138"/>
      <c r="I1772" s="80"/>
      <c r="J1772" s="80"/>
      <c r="K1772" s="95"/>
      <c r="L1772" s="80"/>
      <c r="M1772" s="43"/>
      <c r="N1772" s="43"/>
      <c r="O1772" s="80"/>
      <c r="P1772" s="80"/>
      <c r="Q1772" s="80"/>
      <c r="R1772" s="80"/>
      <c r="S1772" s="117"/>
      <c r="T1772" s="81"/>
      <c r="U1772" s="81"/>
      <c r="V1772" s="81"/>
      <c r="W1772" s="81"/>
      <c r="X1772" s="81"/>
      <c r="Y1772" s="81"/>
      <c r="Z1772" s="82"/>
      <c r="AA1772" s="99"/>
      <c r="AB1772" s="48" t="s">
        <v>61</v>
      </c>
      <c r="AC1772" s="68" t="s">
        <v>61</v>
      </c>
      <c r="AD1772" s="69" t="s">
        <v>61</v>
      </c>
      <c r="AE1772" s="69" t="s">
        <v>61</v>
      </c>
      <c r="AF1772" s="68" t="s">
        <v>61</v>
      </c>
      <c r="AG1772" s="68" t="s">
        <v>61</v>
      </c>
      <c r="AH1772" s="68" t="s">
        <v>61</v>
      </c>
      <c r="AI1772" s="70" t="s">
        <v>61</v>
      </c>
      <c r="AJ1772" s="114" t="s">
        <v>61</v>
      </c>
      <c r="AK1772" s="82"/>
    </row>
    <row r="1773" ht="24.0" customHeight="1">
      <c r="A1773" s="35"/>
      <c r="B1773" s="36">
        <v>1.0</v>
      </c>
      <c r="C1773" s="37" t="str">
        <f>IFERROR(__xludf.DUMMYFUNCTION("""COMPUTED_VALUE"""),"")</f>
        <v/>
      </c>
      <c r="D1773" s="89" t="s">
        <v>61</v>
      </c>
      <c r="E1773" s="51" t="s">
        <v>61</v>
      </c>
      <c r="F1773" s="137"/>
      <c r="G1773" s="133"/>
      <c r="H1773" s="141"/>
      <c r="I1773" s="57"/>
      <c r="J1773" s="57"/>
      <c r="K1773" s="72"/>
      <c r="L1773" s="57"/>
      <c r="M1773" s="55"/>
      <c r="N1773" s="55"/>
      <c r="O1773" s="57"/>
      <c r="P1773" s="57"/>
      <c r="Q1773" s="57"/>
      <c r="R1773" s="57"/>
      <c r="S1773" s="132"/>
      <c r="T1773" s="74"/>
      <c r="U1773" s="74"/>
      <c r="V1773" s="74"/>
      <c r="W1773" s="74"/>
      <c r="X1773" s="74"/>
      <c r="Y1773" s="74"/>
      <c r="Z1773" s="76"/>
      <c r="AA1773" s="134"/>
      <c r="AB1773" s="62" t="s">
        <v>61</v>
      </c>
      <c r="AC1773" s="63" t="s">
        <v>61</v>
      </c>
      <c r="AD1773" s="64" t="s">
        <v>61</v>
      </c>
      <c r="AE1773" s="64" t="s">
        <v>61</v>
      </c>
      <c r="AF1773" s="63" t="s">
        <v>61</v>
      </c>
      <c r="AG1773" s="63" t="s">
        <v>61</v>
      </c>
      <c r="AH1773" s="63" t="s">
        <v>61</v>
      </c>
      <c r="AI1773" s="65" t="s">
        <v>61</v>
      </c>
      <c r="AJ1773" s="105" t="s">
        <v>61</v>
      </c>
      <c r="AK1773" s="76"/>
    </row>
    <row r="1774" ht="24.0" customHeight="1">
      <c r="A1774" s="35"/>
      <c r="B1774" s="36">
        <v>1.0</v>
      </c>
      <c r="C1774" s="37" t="str">
        <f>IFERROR(__xludf.DUMMYFUNCTION("""COMPUTED_VALUE"""),"")</f>
        <v/>
      </c>
      <c r="D1774" s="89" t="s">
        <v>61</v>
      </c>
      <c r="E1774" s="39" t="s">
        <v>61</v>
      </c>
      <c r="F1774" s="121"/>
      <c r="G1774" s="122"/>
      <c r="H1774" s="138"/>
      <c r="I1774" s="80"/>
      <c r="J1774" s="80"/>
      <c r="K1774" s="95"/>
      <c r="L1774" s="80"/>
      <c r="M1774" s="43"/>
      <c r="N1774" s="43"/>
      <c r="O1774" s="80"/>
      <c r="P1774" s="80"/>
      <c r="Q1774" s="80"/>
      <c r="R1774" s="80"/>
      <c r="S1774" s="117"/>
      <c r="T1774" s="81"/>
      <c r="U1774" s="81"/>
      <c r="V1774" s="81"/>
      <c r="W1774" s="81"/>
      <c r="X1774" s="81"/>
      <c r="Y1774" s="81"/>
      <c r="Z1774" s="82"/>
      <c r="AA1774" s="99"/>
      <c r="AB1774" s="48" t="s">
        <v>61</v>
      </c>
      <c r="AC1774" s="68" t="s">
        <v>61</v>
      </c>
      <c r="AD1774" s="69" t="s">
        <v>61</v>
      </c>
      <c r="AE1774" s="69" t="s">
        <v>61</v>
      </c>
      <c r="AF1774" s="68" t="s">
        <v>61</v>
      </c>
      <c r="AG1774" s="68" t="s">
        <v>61</v>
      </c>
      <c r="AH1774" s="68" t="s">
        <v>61</v>
      </c>
      <c r="AI1774" s="70" t="s">
        <v>61</v>
      </c>
      <c r="AJ1774" s="114" t="s">
        <v>61</v>
      </c>
      <c r="AK1774" s="82"/>
    </row>
    <row r="1775" ht="24.0" customHeight="1">
      <c r="A1775" s="35"/>
      <c r="B1775" s="36">
        <v>1.0</v>
      </c>
      <c r="C1775" s="37" t="str">
        <f>IFERROR(__xludf.DUMMYFUNCTION("""COMPUTED_VALUE"""),"")</f>
        <v/>
      </c>
      <c r="D1775" s="89" t="s">
        <v>61</v>
      </c>
      <c r="E1775" s="51" t="s">
        <v>61</v>
      </c>
      <c r="F1775" s="137"/>
      <c r="G1775" s="133"/>
      <c r="H1775" s="141"/>
      <c r="I1775" s="57"/>
      <c r="J1775" s="57"/>
      <c r="K1775" s="72"/>
      <c r="L1775" s="57"/>
      <c r="M1775" s="55"/>
      <c r="N1775" s="55"/>
      <c r="O1775" s="57"/>
      <c r="P1775" s="57"/>
      <c r="Q1775" s="57"/>
      <c r="R1775" s="57"/>
      <c r="S1775" s="132"/>
      <c r="T1775" s="74"/>
      <c r="U1775" s="74"/>
      <c r="V1775" s="74"/>
      <c r="W1775" s="74"/>
      <c r="X1775" s="74"/>
      <c r="Y1775" s="74"/>
      <c r="Z1775" s="76"/>
      <c r="AA1775" s="134"/>
      <c r="AB1775" s="62" t="s">
        <v>61</v>
      </c>
      <c r="AC1775" s="63" t="s">
        <v>61</v>
      </c>
      <c r="AD1775" s="64" t="s">
        <v>61</v>
      </c>
      <c r="AE1775" s="64" t="s">
        <v>61</v>
      </c>
      <c r="AF1775" s="63" t="s">
        <v>61</v>
      </c>
      <c r="AG1775" s="63" t="s">
        <v>61</v>
      </c>
      <c r="AH1775" s="63" t="s">
        <v>61</v>
      </c>
      <c r="AI1775" s="65" t="s">
        <v>61</v>
      </c>
      <c r="AJ1775" s="105" t="s">
        <v>61</v>
      </c>
      <c r="AK1775" s="76"/>
    </row>
    <row r="1776" ht="24.0" customHeight="1">
      <c r="A1776" s="35"/>
      <c r="B1776" s="36">
        <v>1.0</v>
      </c>
      <c r="C1776" s="37" t="str">
        <f>IFERROR(__xludf.DUMMYFUNCTION("""COMPUTED_VALUE"""),"")</f>
        <v/>
      </c>
      <c r="D1776" s="89" t="s">
        <v>61</v>
      </c>
      <c r="E1776" s="39" t="s">
        <v>61</v>
      </c>
      <c r="F1776" s="121"/>
      <c r="G1776" s="122"/>
      <c r="H1776" s="138"/>
      <c r="I1776" s="80"/>
      <c r="J1776" s="80"/>
      <c r="K1776" s="95"/>
      <c r="L1776" s="80"/>
      <c r="M1776" s="43"/>
      <c r="N1776" s="43"/>
      <c r="O1776" s="80"/>
      <c r="P1776" s="80"/>
      <c r="Q1776" s="80"/>
      <c r="R1776" s="80"/>
      <c r="S1776" s="117"/>
      <c r="T1776" s="81"/>
      <c r="U1776" s="81"/>
      <c r="V1776" s="81"/>
      <c r="W1776" s="81"/>
      <c r="X1776" s="81"/>
      <c r="Y1776" s="81"/>
      <c r="Z1776" s="82"/>
      <c r="AA1776" s="99"/>
      <c r="AB1776" s="48" t="s">
        <v>61</v>
      </c>
      <c r="AC1776" s="68" t="s">
        <v>61</v>
      </c>
      <c r="AD1776" s="69" t="s">
        <v>61</v>
      </c>
      <c r="AE1776" s="69" t="s">
        <v>61</v>
      </c>
      <c r="AF1776" s="68" t="s">
        <v>61</v>
      </c>
      <c r="AG1776" s="68" t="s">
        <v>61</v>
      </c>
      <c r="AH1776" s="68" t="s">
        <v>61</v>
      </c>
      <c r="AI1776" s="70" t="s">
        <v>61</v>
      </c>
      <c r="AJ1776" s="114" t="s">
        <v>61</v>
      </c>
      <c r="AK1776" s="82"/>
    </row>
    <row r="1777" ht="24.0" customHeight="1">
      <c r="A1777" s="35"/>
      <c r="B1777" s="36">
        <v>1.0</v>
      </c>
      <c r="C1777" s="37" t="str">
        <f>IFERROR(__xludf.DUMMYFUNCTION("""COMPUTED_VALUE"""),"")</f>
        <v/>
      </c>
      <c r="D1777" s="89" t="s">
        <v>61</v>
      </c>
      <c r="E1777" s="51" t="s">
        <v>61</v>
      </c>
      <c r="F1777" s="137"/>
      <c r="G1777" s="133"/>
      <c r="H1777" s="141"/>
      <c r="I1777" s="57"/>
      <c r="J1777" s="57"/>
      <c r="K1777" s="72"/>
      <c r="L1777" s="57"/>
      <c r="M1777" s="55"/>
      <c r="N1777" s="55"/>
      <c r="O1777" s="57"/>
      <c r="P1777" s="57"/>
      <c r="Q1777" s="57"/>
      <c r="R1777" s="57"/>
      <c r="S1777" s="132"/>
      <c r="T1777" s="74"/>
      <c r="U1777" s="74"/>
      <c r="V1777" s="74"/>
      <c r="W1777" s="74"/>
      <c r="X1777" s="74"/>
      <c r="Y1777" s="74"/>
      <c r="Z1777" s="76"/>
      <c r="AA1777" s="134"/>
      <c r="AB1777" s="62" t="s">
        <v>61</v>
      </c>
      <c r="AC1777" s="63" t="s">
        <v>61</v>
      </c>
      <c r="AD1777" s="64" t="s">
        <v>61</v>
      </c>
      <c r="AE1777" s="64" t="s">
        <v>61</v>
      </c>
      <c r="AF1777" s="63" t="s">
        <v>61</v>
      </c>
      <c r="AG1777" s="63" t="s">
        <v>61</v>
      </c>
      <c r="AH1777" s="63" t="s">
        <v>61</v>
      </c>
      <c r="AI1777" s="65" t="s">
        <v>61</v>
      </c>
      <c r="AJ1777" s="105" t="s">
        <v>61</v>
      </c>
      <c r="AK1777" s="76"/>
    </row>
    <row r="1778" ht="24.0" customHeight="1">
      <c r="A1778" s="35"/>
      <c r="B1778" s="36">
        <v>1.0</v>
      </c>
      <c r="C1778" s="37" t="str">
        <f>IFERROR(__xludf.DUMMYFUNCTION("""COMPUTED_VALUE"""),"")</f>
        <v/>
      </c>
      <c r="D1778" s="89" t="s">
        <v>61</v>
      </c>
      <c r="E1778" s="39" t="s">
        <v>61</v>
      </c>
      <c r="F1778" s="121"/>
      <c r="G1778" s="122"/>
      <c r="H1778" s="138"/>
      <c r="I1778" s="80"/>
      <c r="J1778" s="80"/>
      <c r="K1778" s="95"/>
      <c r="L1778" s="80"/>
      <c r="M1778" s="43"/>
      <c r="N1778" s="43"/>
      <c r="O1778" s="80"/>
      <c r="P1778" s="80"/>
      <c r="Q1778" s="80"/>
      <c r="R1778" s="80"/>
      <c r="S1778" s="117"/>
      <c r="T1778" s="81"/>
      <c r="U1778" s="81"/>
      <c r="V1778" s="81"/>
      <c r="W1778" s="81"/>
      <c r="X1778" s="81"/>
      <c r="Y1778" s="81"/>
      <c r="Z1778" s="82"/>
      <c r="AA1778" s="99"/>
      <c r="AB1778" s="48" t="s">
        <v>61</v>
      </c>
      <c r="AC1778" s="68" t="s">
        <v>61</v>
      </c>
      <c r="AD1778" s="69" t="s">
        <v>61</v>
      </c>
      <c r="AE1778" s="69" t="s">
        <v>61</v>
      </c>
      <c r="AF1778" s="68" t="s">
        <v>61</v>
      </c>
      <c r="AG1778" s="68" t="s">
        <v>61</v>
      </c>
      <c r="AH1778" s="68" t="s">
        <v>61</v>
      </c>
      <c r="AI1778" s="70" t="s">
        <v>61</v>
      </c>
      <c r="AJ1778" s="114" t="s">
        <v>61</v>
      </c>
      <c r="AK1778" s="82"/>
    </row>
    <row r="1779" ht="24.0" customHeight="1">
      <c r="A1779" s="35"/>
      <c r="B1779" s="36">
        <v>1.0</v>
      </c>
      <c r="C1779" s="37" t="str">
        <f>IFERROR(__xludf.DUMMYFUNCTION("""COMPUTED_VALUE"""),"")</f>
        <v/>
      </c>
      <c r="D1779" s="89" t="s">
        <v>61</v>
      </c>
      <c r="E1779" s="51" t="s">
        <v>61</v>
      </c>
      <c r="F1779" s="137"/>
      <c r="G1779" s="133"/>
      <c r="H1779" s="141"/>
      <c r="I1779" s="57"/>
      <c r="J1779" s="57"/>
      <c r="K1779" s="72"/>
      <c r="L1779" s="57"/>
      <c r="M1779" s="55"/>
      <c r="N1779" s="55"/>
      <c r="O1779" s="57"/>
      <c r="P1779" s="57"/>
      <c r="Q1779" s="57"/>
      <c r="R1779" s="57"/>
      <c r="S1779" s="132"/>
      <c r="T1779" s="74"/>
      <c r="U1779" s="74"/>
      <c r="V1779" s="74"/>
      <c r="W1779" s="74"/>
      <c r="X1779" s="74"/>
      <c r="Y1779" s="74"/>
      <c r="Z1779" s="76"/>
      <c r="AA1779" s="134"/>
      <c r="AB1779" s="62" t="s">
        <v>61</v>
      </c>
      <c r="AC1779" s="63" t="s">
        <v>61</v>
      </c>
      <c r="AD1779" s="64" t="s">
        <v>61</v>
      </c>
      <c r="AE1779" s="64" t="s">
        <v>61</v>
      </c>
      <c r="AF1779" s="63" t="s">
        <v>61</v>
      </c>
      <c r="AG1779" s="63" t="s">
        <v>61</v>
      </c>
      <c r="AH1779" s="63" t="s">
        <v>61</v>
      </c>
      <c r="AI1779" s="65" t="s">
        <v>61</v>
      </c>
      <c r="AJ1779" s="105" t="s">
        <v>61</v>
      </c>
      <c r="AK1779" s="76"/>
    </row>
    <row r="1780" ht="24.0" customHeight="1">
      <c r="A1780" s="35"/>
      <c r="B1780" s="36">
        <v>1.0</v>
      </c>
      <c r="C1780" s="37" t="str">
        <f>IFERROR(__xludf.DUMMYFUNCTION("""COMPUTED_VALUE"""),"")</f>
        <v/>
      </c>
      <c r="D1780" s="89" t="s">
        <v>61</v>
      </c>
      <c r="E1780" s="39" t="s">
        <v>61</v>
      </c>
      <c r="F1780" s="121"/>
      <c r="G1780" s="122"/>
      <c r="H1780" s="138"/>
      <c r="I1780" s="80"/>
      <c r="J1780" s="80"/>
      <c r="K1780" s="95"/>
      <c r="L1780" s="80"/>
      <c r="M1780" s="43"/>
      <c r="N1780" s="43"/>
      <c r="O1780" s="80"/>
      <c r="P1780" s="80"/>
      <c r="Q1780" s="80"/>
      <c r="R1780" s="80"/>
      <c r="S1780" s="117"/>
      <c r="T1780" s="81"/>
      <c r="U1780" s="81"/>
      <c r="V1780" s="81"/>
      <c r="W1780" s="81"/>
      <c r="X1780" s="81"/>
      <c r="Y1780" s="81"/>
      <c r="Z1780" s="82"/>
      <c r="AA1780" s="99"/>
      <c r="AB1780" s="48" t="s">
        <v>61</v>
      </c>
      <c r="AC1780" s="68" t="s">
        <v>61</v>
      </c>
      <c r="AD1780" s="69" t="s">
        <v>61</v>
      </c>
      <c r="AE1780" s="69" t="s">
        <v>61</v>
      </c>
      <c r="AF1780" s="68" t="s">
        <v>61</v>
      </c>
      <c r="AG1780" s="68" t="s">
        <v>61</v>
      </c>
      <c r="AH1780" s="68" t="s">
        <v>61</v>
      </c>
      <c r="AI1780" s="70" t="s">
        <v>61</v>
      </c>
      <c r="AJ1780" s="114" t="s">
        <v>61</v>
      </c>
      <c r="AK1780" s="82"/>
    </row>
    <row r="1781" ht="24.0" customHeight="1">
      <c r="A1781" s="35"/>
      <c r="B1781" s="36">
        <v>1.0</v>
      </c>
      <c r="C1781" s="37" t="str">
        <f>IFERROR(__xludf.DUMMYFUNCTION("""COMPUTED_VALUE"""),"")</f>
        <v/>
      </c>
      <c r="D1781" s="89" t="s">
        <v>61</v>
      </c>
      <c r="E1781" s="51" t="s">
        <v>61</v>
      </c>
      <c r="F1781" s="137"/>
      <c r="G1781" s="133"/>
      <c r="H1781" s="141"/>
      <c r="I1781" s="57"/>
      <c r="J1781" s="57"/>
      <c r="K1781" s="72"/>
      <c r="L1781" s="57"/>
      <c r="M1781" s="55"/>
      <c r="N1781" s="55"/>
      <c r="O1781" s="57"/>
      <c r="P1781" s="57"/>
      <c r="Q1781" s="57"/>
      <c r="R1781" s="57"/>
      <c r="S1781" s="132"/>
      <c r="T1781" s="74"/>
      <c r="U1781" s="74"/>
      <c r="V1781" s="74"/>
      <c r="W1781" s="74"/>
      <c r="X1781" s="74"/>
      <c r="Y1781" s="74"/>
      <c r="Z1781" s="76"/>
      <c r="AA1781" s="134"/>
      <c r="AB1781" s="62" t="s">
        <v>61</v>
      </c>
      <c r="AC1781" s="63" t="s">
        <v>61</v>
      </c>
      <c r="AD1781" s="64" t="s">
        <v>61</v>
      </c>
      <c r="AE1781" s="64" t="s">
        <v>61</v>
      </c>
      <c r="AF1781" s="63" t="s">
        <v>61</v>
      </c>
      <c r="AG1781" s="63" t="s">
        <v>61</v>
      </c>
      <c r="AH1781" s="63" t="s">
        <v>61</v>
      </c>
      <c r="AI1781" s="65" t="s">
        <v>61</v>
      </c>
      <c r="AJ1781" s="105" t="s">
        <v>61</v>
      </c>
      <c r="AK1781" s="76"/>
    </row>
    <row r="1782" ht="24.0" customHeight="1">
      <c r="A1782" s="35"/>
      <c r="B1782" s="36">
        <v>1.0</v>
      </c>
      <c r="C1782" s="37" t="str">
        <f>IFERROR(__xludf.DUMMYFUNCTION("""COMPUTED_VALUE"""),"")</f>
        <v/>
      </c>
      <c r="D1782" s="89" t="s">
        <v>61</v>
      </c>
      <c r="E1782" s="39" t="s">
        <v>61</v>
      </c>
      <c r="F1782" s="121"/>
      <c r="G1782" s="122"/>
      <c r="H1782" s="138"/>
      <c r="I1782" s="80"/>
      <c r="J1782" s="80"/>
      <c r="K1782" s="95"/>
      <c r="L1782" s="80"/>
      <c r="M1782" s="43"/>
      <c r="N1782" s="43"/>
      <c r="O1782" s="80"/>
      <c r="P1782" s="80"/>
      <c r="Q1782" s="80"/>
      <c r="R1782" s="80"/>
      <c r="S1782" s="117"/>
      <c r="T1782" s="81"/>
      <c r="U1782" s="81"/>
      <c r="V1782" s="81"/>
      <c r="W1782" s="81"/>
      <c r="X1782" s="81"/>
      <c r="Y1782" s="81"/>
      <c r="Z1782" s="82"/>
      <c r="AA1782" s="99"/>
      <c r="AB1782" s="48" t="s">
        <v>61</v>
      </c>
      <c r="AC1782" s="68" t="s">
        <v>61</v>
      </c>
      <c r="AD1782" s="69" t="s">
        <v>61</v>
      </c>
      <c r="AE1782" s="69" t="s">
        <v>61</v>
      </c>
      <c r="AF1782" s="68" t="s">
        <v>61</v>
      </c>
      <c r="AG1782" s="68" t="s">
        <v>61</v>
      </c>
      <c r="AH1782" s="68" t="s">
        <v>61</v>
      </c>
      <c r="AI1782" s="70" t="s">
        <v>61</v>
      </c>
      <c r="AJ1782" s="114" t="s">
        <v>61</v>
      </c>
      <c r="AK1782" s="82"/>
    </row>
    <row r="1783" ht="24.0" customHeight="1">
      <c r="A1783" s="35"/>
      <c r="B1783" s="36">
        <v>1.0</v>
      </c>
      <c r="C1783" s="37" t="str">
        <f>IFERROR(__xludf.DUMMYFUNCTION("""COMPUTED_VALUE"""),"")</f>
        <v/>
      </c>
      <c r="D1783" s="89" t="s">
        <v>61</v>
      </c>
      <c r="E1783" s="51" t="s">
        <v>61</v>
      </c>
      <c r="F1783" s="137"/>
      <c r="G1783" s="133"/>
      <c r="H1783" s="141"/>
      <c r="I1783" s="57"/>
      <c r="J1783" s="57"/>
      <c r="K1783" s="72"/>
      <c r="L1783" s="57"/>
      <c r="M1783" s="55"/>
      <c r="N1783" s="55"/>
      <c r="O1783" s="57"/>
      <c r="P1783" s="57"/>
      <c r="Q1783" s="57"/>
      <c r="R1783" s="57"/>
      <c r="S1783" s="132"/>
      <c r="T1783" s="74"/>
      <c r="U1783" s="74"/>
      <c r="V1783" s="74"/>
      <c r="W1783" s="74"/>
      <c r="X1783" s="74"/>
      <c r="Y1783" s="74"/>
      <c r="Z1783" s="76"/>
      <c r="AA1783" s="134"/>
      <c r="AB1783" s="62" t="s">
        <v>61</v>
      </c>
      <c r="AC1783" s="63" t="s">
        <v>61</v>
      </c>
      <c r="AD1783" s="64" t="s">
        <v>61</v>
      </c>
      <c r="AE1783" s="64" t="s">
        <v>61</v>
      </c>
      <c r="AF1783" s="63" t="s">
        <v>61</v>
      </c>
      <c r="AG1783" s="63" t="s">
        <v>61</v>
      </c>
      <c r="AH1783" s="63" t="s">
        <v>61</v>
      </c>
      <c r="AI1783" s="65" t="s">
        <v>61</v>
      </c>
      <c r="AJ1783" s="105" t="s">
        <v>61</v>
      </c>
      <c r="AK1783" s="76"/>
    </row>
    <row r="1784" ht="24.0" customHeight="1">
      <c r="A1784" s="35"/>
      <c r="B1784" s="36">
        <v>1.0</v>
      </c>
      <c r="C1784" s="37" t="str">
        <f>IFERROR(__xludf.DUMMYFUNCTION("""COMPUTED_VALUE"""),"")</f>
        <v/>
      </c>
      <c r="D1784" s="89" t="s">
        <v>61</v>
      </c>
      <c r="E1784" s="39" t="s">
        <v>61</v>
      </c>
      <c r="F1784" s="121"/>
      <c r="G1784" s="122"/>
      <c r="H1784" s="138"/>
      <c r="I1784" s="80"/>
      <c r="J1784" s="80"/>
      <c r="K1784" s="95"/>
      <c r="L1784" s="80"/>
      <c r="M1784" s="43"/>
      <c r="N1784" s="43"/>
      <c r="O1784" s="80"/>
      <c r="P1784" s="80"/>
      <c r="Q1784" s="80"/>
      <c r="R1784" s="80"/>
      <c r="S1784" s="117"/>
      <c r="T1784" s="81"/>
      <c r="U1784" s="81"/>
      <c r="V1784" s="81"/>
      <c r="W1784" s="81"/>
      <c r="X1784" s="81"/>
      <c r="Y1784" s="81"/>
      <c r="Z1784" s="82"/>
      <c r="AA1784" s="99"/>
      <c r="AB1784" s="48" t="s">
        <v>61</v>
      </c>
      <c r="AC1784" s="68" t="s">
        <v>61</v>
      </c>
      <c r="AD1784" s="69" t="s">
        <v>61</v>
      </c>
      <c r="AE1784" s="69" t="s">
        <v>61</v>
      </c>
      <c r="AF1784" s="68" t="s">
        <v>61</v>
      </c>
      <c r="AG1784" s="68" t="s">
        <v>61</v>
      </c>
      <c r="AH1784" s="68" t="s">
        <v>61</v>
      </c>
      <c r="AI1784" s="70" t="s">
        <v>61</v>
      </c>
      <c r="AJ1784" s="114" t="s">
        <v>61</v>
      </c>
      <c r="AK1784" s="82"/>
    </row>
    <row r="1785" ht="24.0" customHeight="1">
      <c r="A1785" s="35"/>
      <c r="B1785" s="36">
        <v>1.0</v>
      </c>
      <c r="C1785" s="37" t="str">
        <f>IFERROR(__xludf.DUMMYFUNCTION("""COMPUTED_VALUE"""),"")</f>
        <v/>
      </c>
      <c r="D1785" s="89" t="s">
        <v>61</v>
      </c>
      <c r="E1785" s="51" t="s">
        <v>61</v>
      </c>
      <c r="F1785" s="137"/>
      <c r="G1785" s="133"/>
      <c r="H1785" s="141"/>
      <c r="I1785" s="57"/>
      <c r="J1785" s="57"/>
      <c r="K1785" s="72"/>
      <c r="L1785" s="57"/>
      <c r="M1785" s="55"/>
      <c r="N1785" s="55"/>
      <c r="O1785" s="57"/>
      <c r="P1785" s="57"/>
      <c r="Q1785" s="57"/>
      <c r="R1785" s="57"/>
      <c r="S1785" s="132"/>
      <c r="T1785" s="74"/>
      <c r="U1785" s="74"/>
      <c r="V1785" s="74"/>
      <c r="W1785" s="74"/>
      <c r="X1785" s="74"/>
      <c r="Y1785" s="74"/>
      <c r="Z1785" s="76"/>
      <c r="AA1785" s="134"/>
      <c r="AB1785" s="62" t="s">
        <v>61</v>
      </c>
      <c r="AC1785" s="63" t="s">
        <v>61</v>
      </c>
      <c r="AD1785" s="64" t="s">
        <v>61</v>
      </c>
      <c r="AE1785" s="64" t="s">
        <v>61</v>
      </c>
      <c r="AF1785" s="63" t="s">
        <v>61</v>
      </c>
      <c r="AG1785" s="63" t="s">
        <v>61</v>
      </c>
      <c r="AH1785" s="63" t="s">
        <v>61</v>
      </c>
      <c r="AI1785" s="65" t="s">
        <v>61</v>
      </c>
      <c r="AJ1785" s="105" t="s">
        <v>61</v>
      </c>
      <c r="AK1785" s="76"/>
    </row>
    <row r="1786" ht="24.0" customHeight="1">
      <c r="A1786" s="35"/>
      <c r="B1786" s="36">
        <v>1.0</v>
      </c>
      <c r="C1786" s="37" t="str">
        <f>IFERROR(__xludf.DUMMYFUNCTION("""COMPUTED_VALUE"""),"")</f>
        <v/>
      </c>
      <c r="D1786" s="89" t="s">
        <v>61</v>
      </c>
      <c r="E1786" s="39" t="s">
        <v>61</v>
      </c>
      <c r="F1786" s="121"/>
      <c r="G1786" s="122"/>
      <c r="H1786" s="138"/>
      <c r="I1786" s="80"/>
      <c r="J1786" s="80"/>
      <c r="K1786" s="95"/>
      <c r="L1786" s="80"/>
      <c r="M1786" s="43"/>
      <c r="N1786" s="43"/>
      <c r="O1786" s="80"/>
      <c r="P1786" s="80"/>
      <c r="Q1786" s="80"/>
      <c r="R1786" s="80"/>
      <c r="S1786" s="117"/>
      <c r="T1786" s="81"/>
      <c r="U1786" s="81"/>
      <c r="V1786" s="81"/>
      <c r="W1786" s="81"/>
      <c r="X1786" s="81"/>
      <c r="Y1786" s="81"/>
      <c r="Z1786" s="82"/>
      <c r="AA1786" s="99"/>
      <c r="AB1786" s="48" t="s">
        <v>61</v>
      </c>
      <c r="AC1786" s="68" t="s">
        <v>61</v>
      </c>
      <c r="AD1786" s="69" t="s">
        <v>61</v>
      </c>
      <c r="AE1786" s="69" t="s">
        <v>61</v>
      </c>
      <c r="AF1786" s="68" t="s">
        <v>61</v>
      </c>
      <c r="AG1786" s="68" t="s">
        <v>61</v>
      </c>
      <c r="AH1786" s="68" t="s">
        <v>61</v>
      </c>
      <c r="AI1786" s="70" t="s">
        <v>61</v>
      </c>
      <c r="AJ1786" s="114" t="s">
        <v>61</v>
      </c>
      <c r="AK1786" s="82"/>
    </row>
    <row r="1787" ht="24.0" customHeight="1">
      <c r="A1787" s="35"/>
      <c r="B1787" s="36">
        <v>1.0</v>
      </c>
      <c r="C1787" s="37" t="str">
        <f>IFERROR(__xludf.DUMMYFUNCTION("""COMPUTED_VALUE"""),"")</f>
        <v/>
      </c>
      <c r="D1787" s="89" t="s">
        <v>61</v>
      </c>
      <c r="E1787" s="51" t="s">
        <v>61</v>
      </c>
      <c r="F1787" s="137"/>
      <c r="G1787" s="133"/>
      <c r="H1787" s="141"/>
      <c r="I1787" s="57"/>
      <c r="J1787" s="57"/>
      <c r="K1787" s="72"/>
      <c r="L1787" s="57"/>
      <c r="M1787" s="55"/>
      <c r="N1787" s="55"/>
      <c r="O1787" s="57"/>
      <c r="P1787" s="57"/>
      <c r="Q1787" s="57"/>
      <c r="R1787" s="57"/>
      <c r="S1787" s="132"/>
      <c r="T1787" s="74"/>
      <c r="U1787" s="74"/>
      <c r="V1787" s="74"/>
      <c r="W1787" s="74"/>
      <c r="X1787" s="74"/>
      <c r="Y1787" s="74"/>
      <c r="Z1787" s="76"/>
      <c r="AA1787" s="134"/>
      <c r="AB1787" s="62" t="s">
        <v>61</v>
      </c>
      <c r="AC1787" s="63" t="s">
        <v>61</v>
      </c>
      <c r="AD1787" s="64" t="s">
        <v>61</v>
      </c>
      <c r="AE1787" s="64" t="s">
        <v>61</v>
      </c>
      <c r="AF1787" s="63" t="s">
        <v>61</v>
      </c>
      <c r="AG1787" s="63" t="s">
        <v>61</v>
      </c>
      <c r="AH1787" s="63" t="s">
        <v>61</v>
      </c>
      <c r="AI1787" s="65" t="s">
        <v>61</v>
      </c>
      <c r="AJ1787" s="105" t="s">
        <v>61</v>
      </c>
      <c r="AK1787" s="76"/>
    </row>
    <row r="1788" ht="24.0" customHeight="1">
      <c r="A1788" s="35"/>
      <c r="B1788" s="36">
        <v>1.0</v>
      </c>
      <c r="C1788" s="37" t="str">
        <f>IFERROR(__xludf.DUMMYFUNCTION("""COMPUTED_VALUE"""),"")</f>
        <v/>
      </c>
      <c r="D1788" s="89" t="s">
        <v>61</v>
      </c>
      <c r="E1788" s="39" t="s">
        <v>61</v>
      </c>
      <c r="F1788" s="121"/>
      <c r="G1788" s="122"/>
      <c r="H1788" s="138"/>
      <c r="I1788" s="80"/>
      <c r="J1788" s="80"/>
      <c r="K1788" s="95"/>
      <c r="L1788" s="80"/>
      <c r="M1788" s="43"/>
      <c r="N1788" s="43"/>
      <c r="O1788" s="80"/>
      <c r="P1788" s="80"/>
      <c r="Q1788" s="80"/>
      <c r="R1788" s="80"/>
      <c r="S1788" s="117"/>
      <c r="T1788" s="81"/>
      <c r="U1788" s="81"/>
      <c r="V1788" s="81"/>
      <c r="W1788" s="81"/>
      <c r="X1788" s="81"/>
      <c r="Y1788" s="81"/>
      <c r="Z1788" s="82"/>
      <c r="AA1788" s="99"/>
      <c r="AB1788" s="48" t="s">
        <v>61</v>
      </c>
      <c r="AC1788" s="68" t="s">
        <v>61</v>
      </c>
      <c r="AD1788" s="69" t="s">
        <v>61</v>
      </c>
      <c r="AE1788" s="69" t="s">
        <v>61</v>
      </c>
      <c r="AF1788" s="68" t="s">
        <v>61</v>
      </c>
      <c r="AG1788" s="68" t="s">
        <v>61</v>
      </c>
      <c r="AH1788" s="68" t="s">
        <v>61</v>
      </c>
      <c r="AI1788" s="70" t="s">
        <v>61</v>
      </c>
      <c r="AJ1788" s="114" t="s">
        <v>61</v>
      </c>
      <c r="AK1788" s="82"/>
    </row>
    <row r="1789" ht="24.0" customHeight="1">
      <c r="A1789" s="35"/>
      <c r="B1789" s="36">
        <v>1.0</v>
      </c>
      <c r="C1789" s="37" t="str">
        <f>IFERROR(__xludf.DUMMYFUNCTION("""COMPUTED_VALUE"""),"")</f>
        <v/>
      </c>
      <c r="D1789" s="89" t="s">
        <v>61</v>
      </c>
      <c r="E1789" s="51" t="s">
        <v>61</v>
      </c>
      <c r="F1789" s="137"/>
      <c r="G1789" s="133"/>
      <c r="H1789" s="141"/>
      <c r="I1789" s="57"/>
      <c r="J1789" s="57"/>
      <c r="K1789" s="72"/>
      <c r="L1789" s="57"/>
      <c r="M1789" s="55"/>
      <c r="N1789" s="55"/>
      <c r="O1789" s="57"/>
      <c r="P1789" s="57"/>
      <c r="Q1789" s="57"/>
      <c r="R1789" s="57"/>
      <c r="S1789" s="132"/>
      <c r="T1789" s="74"/>
      <c r="U1789" s="74"/>
      <c r="V1789" s="74"/>
      <c r="W1789" s="74"/>
      <c r="X1789" s="74"/>
      <c r="Y1789" s="74"/>
      <c r="Z1789" s="76"/>
      <c r="AA1789" s="134"/>
      <c r="AB1789" s="62" t="s">
        <v>61</v>
      </c>
      <c r="AC1789" s="63" t="s">
        <v>61</v>
      </c>
      <c r="AD1789" s="64" t="s">
        <v>61</v>
      </c>
      <c r="AE1789" s="64" t="s">
        <v>61</v>
      </c>
      <c r="AF1789" s="63" t="s">
        <v>61</v>
      </c>
      <c r="AG1789" s="63" t="s">
        <v>61</v>
      </c>
      <c r="AH1789" s="63" t="s">
        <v>61</v>
      </c>
      <c r="AI1789" s="65" t="s">
        <v>61</v>
      </c>
      <c r="AJ1789" s="105" t="s">
        <v>61</v>
      </c>
      <c r="AK1789" s="76"/>
    </row>
    <row r="1790" ht="24.0" customHeight="1">
      <c r="A1790" s="35"/>
      <c r="B1790" s="36">
        <v>1.0</v>
      </c>
      <c r="C1790" s="37" t="str">
        <f>IFERROR(__xludf.DUMMYFUNCTION("""COMPUTED_VALUE"""),"")</f>
        <v/>
      </c>
      <c r="D1790" s="89" t="s">
        <v>61</v>
      </c>
      <c r="E1790" s="39" t="s">
        <v>61</v>
      </c>
      <c r="F1790" s="121"/>
      <c r="G1790" s="122"/>
      <c r="H1790" s="138"/>
      <c r="I1790" s="80"/>
      <c r="J1790" s="80"/>
      <c r="K1790" s="95"/>
      <c r="L1790" s="80"/>
      <c r="M1790" s="43"/>
      <c r="N1790" s="43"/>
      <c r="O1790" s="80"/>
      <c r="P1790" s="80"/>
      <c r="Q1790" s="80"/>
      <c r="R1790" s="80"/>
      <c r="S1790" s="117"/>
      <c r="T1790" s="81"/>
      <c r="U1790" s="81"/>
      <c r="V1790" s="81"/>
      <c r="W1790" s="81"/>
      <c r="X1790" s="81"/>
      <c r="Y1790" s="81"/>
      <c r="Z1790" s="82"/>
      <c r="AA1790" s="99"/>
      <c r="AB1790" s="48" t="s">
        <v>61</v>
      </c>
      <c r="AC1790" s="68" t="s">
        <v>61</v>
      </c>
      <c r="AD1790" s="69" t="s">
        <v>61</v>
      </c>
      <c r="AE1790" s="69" t="s">
        <v>61</v>
      </c>
      <c r="AF1790" s="68" t="s">
        <v>61</v>
      </c>
      <c r="AG1790" s="68" t="s">
        <v>61</v>
      </c>
      <c r="AH1790" s="68" t="s">
        <v>61</v>
      </c>
      <c r="AI1790" s="70" t="s">
        <v>61</v>
      </c>
      <c r="AJ1790" s="114" t="s">
        <v>61</v>
      </c>
      <c r="AK1790" s="82"/>
    </row>
    <row r="1791" ht="24.0" customHeight="1">
      <c r="A1791" s="35"/>
      <c r="B1791" s="36">
        <v>1.0</v>
      </c>
      <c r="C1791" s="37" t="str">
        <f>IFERROR(__xludf.DUMMYFUNCTION("""COMPUTED_VALUE"""),"")</f>
        <v/>
      </c>
      <c r="D1791" s="89" t="s">
        <v>61</v>
      </c>
      <c r="E1791" s="51" t="s">
        <v>61</v>
      </c>
      <c r="F1791" s="137"/>
      <c r="G1791" s="133"/>
      <c r="H1791" s="141"/>
      <c r="I1791" s="57"/>
      <c r="J1791" s="57"/>
      <c r="K1791" s="72"/>
      <c r="L1791" s="57"/>
      <c r="M1791" s="55"/>
      <c r="N1791" s="55"/>
      <c r="O1791" s="57"/>
      <c r="P1791" s="57"/>
      <c r="Q1791" s="57"/>
      <c r="R1791" s="57"/>
      <c r="S1791" s="132"/>
      <c r="T1791" s="74"/>
      <c r="U1791" s="74"/>
      <c r="V1791" s="74"/>
      <c r="W1791" s="74"/>
      <c r="X1791" s="74"/>
      <c r="Y1791" s="74"/>
      <c r="Z1791" s="76"/>
      <c r="AA1791" s="134"/>
      <c r="AB1791" s="62" t="s">
        <v>61</v>
      </c>
      <c r="AC1791" s="63" t="s">
        <v>61</v>
      </c>
      <c r="AD1791" s="64" t="s">
        <v>61</v>
      </c>
      <c r="AE1791" s="64" t="s">
        <v>61</v>
      </c>
      <c r="AF1791" s="63" t="s">
        <v>61</v>
      </c>
      <c r="AG1791" s="63" t="s">
        <v>61</v>
      </c>
      <c r="AH1791" s="63" t="s">
        <v>61</v>
      </c>
      <c r="AI1791" s="65" t="s">
        <v>61</v>
      </c>
      <c r="AJ1791" s="105" t="s">
        <v>61</v>
      </c>
      <c r="AK1791" s="76"/>
    </row>
    <row r="1792" ht="24.0" customHeight="1">
      <c r="A1792" s="35"/>
      <c r="B1792" s="36">
        <v>1.0</v>
      </c>
      <c r="C1792" s="37" t="str">
        <f>IFERROR(__xludf.DUMMYFUNCTION("""COMPUTED_VALUE"""),"")</f>
        <v/>
      </c>
      <c r="D1792" s="89" t="s">
        <v>61</v>
      </c>
      <c r="E1792" s="39" t="s">
        <v>61</v>
      </c>
      <c r="F1792" s="121"/>
      <c r="G1792" s="122"/>
      <c r="H1792" s="138"/>
      <c r="I1792" s="80"/>
      <c r="J1792" s="80"/>
      <c r="K1792" s="95"/>
      <c r="L1792" s="80"/>
      <c r="M1792" s="43"/>
      <c r="N1792" s="43"/>
      <c r="O1792" s="80"/>
      <c r="P1792" s="80"/>
      <c r="Q1792" s="80"/>
      <c r="R1792" s="80"/>
      <c r="S1792" s="117"/>
      <c r="T1792" s="81"/>
      <c r="U1792" s="81"/>
      <c r="V1792" s="81"/>
      <c r="W1792" s="81"/>
      <c r="X1792" s="81"/>
      <c r="Y1792" s="81"/>
      <c r="Z1792" s="82"/>
      <c r="AA1792" s="99"/>
      <c r="AB1792" s="48" t="s">
        <v>61</v>
      </c>
      <c r="AC1792" s="68" t="s">
        <v>61</v>
      </c>
      <c r="AD1792" s="69" t="s">
        <v>61</v>
      </c>
      <c r="AE1792" s="69" t="s">
        <v>61</v>
      </c>
      <c r="AF1792" s="68" t="s">
        <v>61</v>
      </c>
      <c r="AG1792" s="68" t="s">
        <v>61</v>
      </c>
      <c r="AH1792" s="68" t="s">
        <v>61</v>
      </c>
      <c r="AI1792" s="70" t="s">
        <v>61</v>
      </c>
      <c r="AJ1792" s="114" t="s">
        <v>61</v>
      </c>
      <c r="AK1792" s="82"/>
    </row>
    <row r="1793" ht="24.0" customHeight="1">
      <c r="A1793" s="35"/>
      <c r="B1793" s="36">
        <v>1.0</v>
      </c>
      <c r="C1793" s="37" t="str">
        <f>IFERROR(__xludf.DUMMYFUNCTION("""COMPUTED_VALUE"""),"")</f>
        <v/>
      </c>
      <c r="D1793" s="89" t="s">
        <v>61</v>
      </c>
      <c r="E1793" s="51" t="s">
        <v>61</v>
      </c>
      <c r="F1793" s="137"/>
      <c r="G1793" s="133"/>
      <c r="H1793" s="141"/>
      <c r="I1793" s="57"/>
      <c r="J1793" s="57"/>
      <c r="K1793" s="72"/>
      <c r="L1793" s="57"/>
      <c r="M1793" s="55"/>
      <c r="N1793" s="55"/>
      <c r="O1793" s="57"/>
      <c r="P1793" s="57"/>
      <c r="Q1793" s="57"/>
      <c r="R1793" s="57"/>
      <c r="S1793" s="132"/>
      <c r="T1793" s="74"/>
      <c r="U1793" s="74"/>
      <c r="V1793" s="74"/>
      <c r="W1793" s="74"/>
      <c r="X1793" s="74"/>
      <c r="Y1793" s="74"/>
      <c r="Z1793" s="76"/>
      <c r="AA1793" s="134"/>
      <c r="AB1793" s="62" t="s">
        <v>61</v>
      </c>
      <c r="AC1793" s="63" t="s">
        <v>61</v>
      </c>
      <c r="AD1793" s="64" t="s">
        <v>61</v>
      </c>
      <c r="AE1793" s="64" t="s">
        <v>61</v>
      </c>
      <c r="AF1793" s="63" t="s">
        <v>61</v>
      </c>
      <c r="AG1793" s="63" t="s">
        <v>61</v>
      </c>
      <c r="AH1793" s="63" t="s">
        <v>61</v>
      </c>
      <c r="AI1793" s="65" t="s">
        <v>61</v>
      </c>
      <c r="AJ1793" s="105" t="s">
        <v>61</v>
      </c>
      <c r="AK1793" s="76"/>
    </row>
    <row r="1794" ht="24.0" customHeight="1">
      <c r="A1794" s="35"/>
      <c r="B1794" s="36">
        <v>1.0</v>
      </c>
      <c r="C1794" s="37" t="str">
        <f>IFERROR(__xludf.DUMMYFUNCTION("""COMPUTED_VALUE"""),"")</f>
        <v/>
      </c>
      <c r="D1794" s="89" t="s">
        <v>61</v>
      </c>
      <c r="E1794" s="39" t="s">
        <v>61</v>
      </c>
      <c r="F1794" s="121"/>
      <c r="G1794" s="122"/>
      <c r="H1794" s="138"/>
      <c r="I1794" s="80"/>
      <c r="J1794" s="80"/>
      <c r="K1794" s="95"/>
      <c r="L1794" s="80"/>
      <c r="M1794" s="43"/>
      <c r="N1794" s="43"/>
      <c r="O1794" s="80"/>
      <c r="P1794" s="80"/>
      <c r="Q1794" s="80"/>
      <c r="R1794" s="80"/>
      <c r="S1794" s="117"/>
      <c r="T1794" s="81"/>
      <c r="U1794" s="81"/>
      <c r="V1794" s="81"/>
      <c r="W1794" s="81"/>
      <c r="X1794" s="81"/>
      <c r="Y1794" s="81"/>
      <c r="Z1794" s="82"/>
      <c r="AA1794" s="99"/>
      <c r="AB1794" s="48" t="s">
        <v>61</v>
      </c>
      <c r="AC1794" s="68" t="s">
        <v>61</v>
      </c>
      <c r="AD1794" s="69" t="s">
        <v>61</v>
      </c>
      <c r="AE1794" s="69" t="s">
        <v>61</v>
      </c>
      <c r="AF1794" s="68" t="s">
        <v>61</v>
      </c>
      <c r="AG1794" s="68" t="s">
        <v>61</v>
      </c>
      <c r="AH1794" s="68" t="s">
        <v>61</v>
      </c>
      <c r="AI1794" s="70" t="s">
        <v>61</v>
      </c>
      <c r="AJ1794" s="114" t="s">
        <v>61</v>
      </c>
      <c r="AK1794" s="82"/>
    </row>
    <row r="1795" ht="24.0" customHeight="1">
      <c r="A1795" s="35"/>
      <c r="B1795" s="36">
        <v>1.0</v>
      </c>
      <c r="C1795" s="37" t="str">
        <f>IFERROR(__xludf.DUMMYFUNCTION("""COMPUTED_VALUE"""),"")</f>
        <v/>
      </c>
      <c r="D1795" s="89" t="s">
        <v>61</v>
      </c>
      <c r="E1795" s="51" t="s">
        <v>61</v>
      </c>
      <c r="F1795" s="137"/>
      <c r="G1795" s="133"/>
      <c r="H1795" s="141"/>
      <c r="I1795" s="57"/>
      <c r="J1795" s="57"/>
      <c r="K1795" s="72"/>
      <c r="L1795" s="57"/>
      <c r="M1795" s="55"/>
      <c r="N1795" s="55"/>
      <c r="O1795" s="57"/>
      <c r="P1795" s="57"/>
      <c r="Q1795" s="57"/>
      <c r="R1795" s="57"/>
      <c r="S1795" s="132"/>
      <c r="T1795" s="74"/>
      <c r="U1795" s="74"/>
      <c r="V1795" s="74"/>
      <c r="W1795" s="74"/>
      <c r="X1795" s="74"/>
      <c r="Y1795" s="74"/>
      <c r="Z1795" s="76"/>
      <c r="AA1795" s="134"/>
      <c r="AB1795" s="62" t="s">
        <v>61</v>
      </c>
      <c r="AC1795" s="63" t="s">
        <v>61</v>
      </c>
      <c r="AD1795" s="64" t="s">
        <v>61</v>
      </c>
      <c r="AE1795" s="64" t="s">
        <v>61</v>
      </c>
      <c r="AF1795" s="63" t="s">
        <v>61</v>
      </c>
      <c r="AG1795" s="63" t="s">
        <v>61</v>
      </c>
      <c r="AH1795" s="63" t="s">
        <v>61</v>
      </c>
      <c r="AI1795" s="65" t="s">
        <v>61</v>
      </c>
      <c r="AJ1795" s="105" t="s">
        <v>61</v>
      </c>
      <c r="AK1795" s="76"/>
    </row>
    <row r="1796" ht="24.0" customHeight="1">
      <c r="A1796" s="35"/>
      <c r="B1796" s="36">
        <v>1.0</v>
      </c>
      <c r="C1796" s="37" t="str">
        <f>IFERROR(__xludf.DUMMYFUNCTION("""COMPUTED_VALUE"""),"")</f>
        <v/>
      </c>
      <c r="D1796" s="89" t="s">
        <v>61</v>
      </c>
      <c r="E1796" s="39" t="s">
        <v>61</v>
      </c>
      <c r="F1796" s="121"/>
      <c r="G1796" s="122"/>
      <c r="H1796" s="138"/>
      <c r="I1796" s="80"/>
      <c r="J1796" s="80"/>
      <c r="K1796" s="95"/>
      <c r="L1796" s="80"/>
      <c r="M1796" s="43"/>
      <c r="N1796" s="43"/>
      <c r="O1796" s="80"/>
      <c r="P1796" s="80"/>
      <c r="Q1796" s="80"/>
      <c r="R1796" s="80"/>
      <c r="S1796" s="117"/>
      <c r="T1796" s="81"/>
      <c r="U1796" s="81"/>
      <c r="V1796" s="81"/>
      <c r="W1796" s="81"/>
      <c r="X1796" s="81"/>
      <c r="Y1796" s="81"/>
      <c r="Z1796" s="82"/>
      <c r="AA1796" s="99"/>
      <c r="AB1796" s="48" t="s">
        <v>61</v>
      </c>
      <c r="AC1796" s="68" t="s">
        <v>61</v>
      </c>
      <c r="AD1796" s="69" t="s">
        <v>61</v>
      </c>
      <c r="AE1796" s="69" t="s">
        <v>61</v>
      </c>
      <c r="AF1796" s="68" t="s">
        <v>61</v>
      </c>
      <c r="AG1796" s="68" t="s">
        <v>61</v>
      </c>
      <c r="AH1796" s="68" t="s">
        <v>61</v>
      </c>
      <c r="AI1796" s="70" t="s">
        <v>61</v>
      </c>
      <c r="AJ1796" s="114" t="s">
        <v>61</v>
      </c>
      <c r="AK1796" s="82"/>
    </row>
    <row r="1797" ht="24.0" customHeight="1">
      <c r="A1797" s="35"/>
      <c r="B1797" s="36">
        <v>1.0</v>
      </c>
      <c r="C1797" s="37" t="str">
        <f>IFERROR(__xludf.DUMMYFUNCTION("""COMPUTED_VALUE"""),"")</f>
        <v/>
      </c>
      <c r="D1797" s="89" t="s">
        <v>61</v>
      </c>
      <c r="E1797" s="51" t="s">
        <v>61</v>
      </c>
      <c r="F1797" s="137"/>
      <c r="G1797" s="133"/>
      <c r="H1797" s="141"/>
      <c r="I1797" s="57"/>
      <c r="J1797" s="57"/>
      <c r="K1797" s="72"/>
      <c r="L1797" s="57"/>
      <c r="M1797" s="55"/>
      <c r="N1797" s="55"/>
      <c r="O1797" s="57"/>
      <c r="P1797" s="57"/>
      <c r="Q1797" s="57"/>
      <c r="R1797" s="57"/>
      <c r="S1797" s="132"/>
      <c r="T1797" s="74"/>
      <c r="U1797" s="74"/>
      <c r="V1797" s="74"/>
      <c r="W1797" s="74"/>
      <c r="X1797" s="74"/>
      <c r="Y1797" s="74"/>
      <c r="Z1797" s="76"/>
      <c r="AA1797" s="134"/>
      <c r="AB1797" s="62" t="s">
        <v>61</v>
      </c>
      <c r="AC1797" s="63" t="s">
        <v>61</v>
      </c>
      <c r="AD1797" s="64" t="s">
        <v>61</v>
      </c>
      <c r="AE1797" s="64" t="s">
        <v>61</v>
      </c>
      <c r="AF1797" s="63" t="s">
        <v>61</v>
      </c>
      <c r="AG1797" s="63" t="s">
        <v>61</v>
      </c>
      <c r="AH1797" s="63" t="s">
        <v>61</v>
      </c>
      <c r="AI1797" s="65" t="s">
        <v>61</v>
      </c>
      <c r="AJ1797" s="105" t="s">
        <v>61</v>
      </c>
      <c r="AK1797" s="76"/>
    </row>
    <row r="1798" ht="24.0" customHeight="1">
      <c r="A1798" s="35"/>
      <c r="B1798" s="36">
        <v>1.0</v>
      </c>
      <c r="C1798" s="37" t="str">
        <f>IFERROR(__xludf.DUMMYFUNCTION("""COMPUTED_VALUE"""),"")</f>
        <v/>
      </c>
      <c r="D1798" s="89" t="s">
        <v>61</v>
      </c>
      <c r="E1798" s="39" t="s">
        <v>61</v>
      </c>
      <c r="F1798" s="121"/>
      <c r="G1798" s="122"/>
      <c r="H1798" s="138"/>
      <c r="I1798" s="80"/>
      <c r="J1798" s="80"/>
      <c r="K1798" s="95"/>
      <c r="L1798" s="80"/>
      <c r="M1798" s="43"/>
      <c r="N1798" s="43"/>
      <c r="O1798" s="80"/>
      <c r="P1798" s="80"/>
      <c r="Q1798" s="80"/>
      <c r="R1798" s="80"/>
      <c r="S1798" s="117"/>
      <c r="T1798" s="81"/>
      <c r="U1798" s="81"/>
      <c r="V1798" s="81"/>
      <c r="W1798" s="81"/>
      <c r="X1798" s="81"/>
      <c r="Y1798" s="81"/>
      <c r="Z1798" s="82"/>
      <c r="AA1798" s="99"/>
      <c r="AB1798" s="48" t="s">
        <v>61</v>
      </c>
      <c r="AC1798" s="68" t="s">
        <v>61</v>
      </c>
      <c r="AD1798" s="69" t="s">
        <v>61</v>
      </c>
      <c r="AE1798" s="69" t="s">
        <v>61</v>
      </c>
      <c r="AF1798" s="68" t="s">
        <v>61</v>
      </c>
      <c r="AG1798" s="68" t="s">
        <v>61</v>
      </c>
      <c r="AH1798" s="68" t="s">
        <v>61</v>
      </c>
      <c r="AI1798" s="70" t="s">
        <v>61</v>
      </c>
      <c r="AJ1798" s="114" t="s">
        <v>61</v>
      </c>
      <c r="AK1798" s="82"/>
    </row>
    <row r="1799" ht="24.0" customHeight="1">
      <c r="A1799" s="35"/>
      <c r="B1799" s="36">
        <v>1.0</v>
      </c>
      <c r="C1799" s="37" t="str">
        <f>IFERROR(__xludf.DUMMYFUNCTION("""COMPUTED_VALUE"""),"")</f>
        <v/>
      </c>
      <c r="D1799" s="89" t="s">
        <v>61</v>
      </c>
      <c r="E1799" s="51" t="s">
        <v>61</v>
      </c>
      <c r="F1799" s="137"/>
      <c r="G1799" s="133"/>
      <c r="H1799" s="141"/>
      <c r="I1799" s="57"/>
      <c r="J1799" s="57"/>
      <c r="K1799" s="72"/>
      <c r="L1799" s="57"/>
      <c r="M1799" s="55"/>
      <c r="N1799" s="55"/>
      <c r="O1799" s="57"/>
      <c r="P1799" s="57"/>
      <c r="Q1799" s="57"/>
      <c r="R1799" s="57"/>
      <c r="S1799" s="132"/>
      <c r="T1799" s="74"/>
      <c r="U1799" s="74"/>
      <c r="V1799" s="74"/>
      <c r="W1799" s="74"/>
      <c r="X1799" s="74"/>
      <c r="Y1799" s="74"/>
      <c r="Z1799" s="76"/>
      <c r="AA1799" s="134"/>
      <c r="AB1799" s="62" t="s">
        <v>61</v>
      </c>
      <c r="AC1799" s="63" t="s">
        <v>61</v>
      </c>
      <c r="AD1799" s="64" t="s">
        <v>61</v>
      </c>
      <c r="AE1799" s="64" t="s">
        <v>61</v>
      </c>
      <c r="AF1799" s="63" t="s">
        <v>61</v>
      </c>
      <c r="AG1799" s="63" t="s">
        <v>61</v>
      </c>
      <c r="AH1799" s="63" t="s">
        <v>61</v>
      </c>
      <c r="AI1799" s="65" t="s">
        <v>61</v>
      </c>
      <c r="AJ1799" s="105" t="s">
        <v>61</v>
      </c>
      <c r="AK1799" s="76"/>
    </row>
    <row r="1800" ht="24.0" customHeight="1">
      <c r="A1800" s="35"/>
      <c r="B1800" s="36">
        <v>1.0</v>
      </c>
      <c r="C1800" s="37" t="str">
        <f>IFERROR(__xludf.DUMMYFUNCTION("""COMPUTED_VALUE"""),"")</f>
        <v/>
      </c>
      <c r="D1800" s="89" t="s">
        <v>61</v>
      </c>
      <c r="E1800" s="39" t="s">
        <v>61</v>
      </c>
      <c r="F1800" s="121"/>
      <c r="G1800" s="122"/>
      <c r="H1800" s="138"/>
      <c r="I1800" s="80"/>
      <c r="J1800" s="80"/>
      <c r="K1800" s="95"/>
      <c r="L1800" s="80"/>
      <c r="M1800" s="43"/>
      <c r="N1800" s="43"/>
      <c r="O1800" s="80"/>
      <c r="P1800" s="80"/>
      <c r="Q1800" s="80"/>
      <c r="R1800" s="80"/>
      <c r="S1800" s="117"/>
      <c r="T1800" s="81"/>
      <c r="U1800" s="81"/>
      <c r="V1800" s="81"/>
      <c r="W1800" s="81"/>
      <c r="X1800" s="81"/>
      <c r="Y1800" s="81"/>
      <c r="Z1800" s="82"/>
      <c r="AA1800" s="99"/>
      <c r="AB1800" s="48" t="s">
        <v>61</v>
      </c>
      <c r="AC1800" s="68" t="s">
        <v>61</v>
      </c>
      <c r="AD1800" s="69" t="s">
        <v>61</v>
      </c>
      <c r="AE1800" s="69" t="s">
        <v>61</v>
      </c>
      <c r="AF1800" s="68" t="s">
        <v>61</v>
      </c>
      <c r="AG1800" s="68" t="s">
        <v>61</v>
      </c>
      <c r="AH1800" s="68" t="s">
        <v>61</v>
      </c>
      <c r="AI1800" s="70" t="s">
        <v>61</v>
      </c>
      <c r="AJ1800" s="114" t="s">
        <v>61</v>
      </c>
      <c r="AK1800" s="82"/>
    </row>
    <row r="1801" ht="24.0" customHeight="1">
      <c r="A1801" s="35"/>
      <c r="B1801" s="36">
        <v>1.0</v>
      </c>
      <c r="C1801" s="37" t="str">
        <f>IFERROR(__xludf.DUMMYFUNCTION("""COMPUTED_VALUE"""),"")</f>
        <v/>
      </c>
      <c r="D1801" s="89" t="s">
        <v>61</v>
      </c>
      <c r="E1801" s="51" t="s">
        <v>61</v>
      </c>
      <c r="F1801" s="137"/>
      <c r="G1801" s="133"/>
      <c r="H1801" s="141"/>
      <c r="I1801" s="57"/>
      <c r="J1801" s="57"/>
      <c r="K1801" s="72"/>
      <c r="L1801" s="57"/>
      <c r="M1801" s="55"/>
      <c r="N1801" s="55"/>
      <c r="O1801" s="57"/>
      <c r="P1801" s="57"/>
      <c r="Q1801" s="57"/>
      <c r="R1801" s="57"/>
      <c r="S1801" s="132"/>
      <c r="T1801" s="74"/>
      <c r="U1801" s="74"/>
      <c r="V1801" s="74"/>
      <c r="W1801" s="74"/>
      <c r="X1801" s="74"/>
      <c r="Y1801" s="74"/>
      <c r="Z1801" s="76"/>
      <c r="AA1801" s="134"/>
      <c r="AB1801" s="62" t="s">
        <v>61</v>
      </c>
      <c r="AC1801" s="63" t="s">
        <v>61</v>
      </c>
      <c r="AD1801" s="64" t="s">
        <v>61</v>
      </c>
      <c r="AE1801" s="64" t="s">
        <v>61</v>
      </c>
      <c r="AF1801" s="63" t="s">
        <v>61</v>
      </c>
      <c r="AG1801" s="63" t="s">
        <v>61</v>
      </c>
      <c r="AH1801" s="63" t="s">
        <v>61</v>
      </c>
      <c r="AI1801" s="65" t="s">
        <v>61</v>
      </c>
      <c r="AJ1801" s="105" t="s">
        <v>61</v>
      </c>
      <c r="AK1801" s="76"/>
    </row>
    <row r="1802" ht="24.0" customHeight="1">
      <c r="A1802" s="35"/>
      <c r="B1802" s="36">
        <v>1.0</v>
      </c>
      <c r="C1802" s="37" t="str">
        <f>IFERROR(__xludf.DUMMYFUNCTION("""COMPUTED_VALUE"""),"")</f>
        <v/>
      </c>
      <c r="D1802" s="89" t="s">
        <v>61</v>
      </c>
      <c r="E1802" s="39" t="s">
        <v>61</v>
      </c>
      <c r="F1802" s="121"/>
      <c r="G1802" s="122"/>
      <c r="H1802" s="138"/>
      <c r="I1802" s="80"/>
      <c r="J1802" s="80"/>
      <c r="K1802" s="95"/>
      <c r="L1802" s="80"/>
      <c r="M1802" s="43"/>
      <c r="N1802" s="43"/>
      <c r="O1802" s="80"/>
      <c r="P1802" s="80"/>
      <c r="Q1802" s="80"/>
      <c r="R1802" s="80"/>
      <c r="S1802" s="117"/>
      <c r="T1802" s="81"/>
      <c r="U1802" s="81"/>
      <c r="V1802" s="81"/>
      <c r="W1802" s="81"/>
      <c r="X1802" s="81"/>
      <c r="Y1802" s="81"/>
      <c r="Z1802" s="82"/>
      <c r="AA1802" s="99"/>
      <c r="AB1802" s="48" t="s">
        <v>61</v>
      </c>
      <c r="AC1802" s="68" t="s">
        <v>61</v>
      </c>
      <c r="AD1802" s="69" t="s">
        <v>61</v>
      </c>
      <c r="AE1802" s="69" t="s">
        <v>61</v>
      </c>
      <c r="AF1802" s="68" t="s">
        <v>61</v>
      </c>
      <c r="AG1802" s="68" t="s">
        <v>61</v>
      </c>
      <c r="AH1802" s="68" t="s">
        <v>61</v>
      </c>
      <c r="AI1802" s="70" t="s">
        <v>61</v>
      </c>
      <c r="AJ1802" s="114" t="s">
        <v>61</v>
      </c>
      <c r="AK1802" s="82"/>
    </row>
    <row r="1803" ht="24.0" customHeight="1">
      <c r="A1803" s="35"/>
      <c r="B1803" s="36">
        <v>1.0</v>
      </c>
      <c r="C1803" s="37" t="str">
        <f>IFERROR(__xludf.DUMMYFUNCTION("""COMPUTED_VALUE"""),"")</f>
        <v/>
      </c>
      <c r="D1803" s="89" t="s">
        <v>61</v>
      </c>
      <c r="E1803" s="51" t="s">
        <v>61</v>
      </c>
      <c r="F1803" s="137"/>
      <c r="G1803" s="133"/>
      <c r="H1803" s="141"/>
      <c r="I1803" s="57"/>
      <c r="J1803" s="57"/>
      <c r="K1803" s="72"/>
      <c r="L1803" s="57"/>
      <c r="M1803" s="55"/>
      <c r="N1803" s="55"/>
      <c r="O1803" s="57"/>
      <c r="P1803" s="57"/>
      <c r="Q1803" s="57"/>
      <c r="R1803" s="57"/>
      <c r="S1803" s="132"/>
      <c r="T1803" s="74"/>
      <c r="U1803" s="74"/>
      <c r="V1803" s="74"/>
      <c r="W1803" s="74"/>
      <c r="X1803" s="74"/>
      <c r="Y1803" s="74"/>
      <c r="Z1803" s="76"/>
      <c r="AA1803" s="134"/>
      <c r="AB1803" s="62" t="s">
        <v>61</v>
      </c>
      <c r="AC1803" s="63" t="s">
        <v>61</v>
      </c>
      <c r="AD1803" s="64" t="s">
        <v>61</v>
      </c>
      <c r="AE1803" s="64" t="s">
        <v>61</v>
      </c>
      <c r="AF1803" s="63" t="s">
        <v>61</v>
      </c>
      <c r="AG1803" s="63" t="s">
        <v>61</v>
      </c>
      <c r="AH1803" s="63" t="s">
        <v>61</v>
      </c>
      <c r="AI1803" s="65" t="s">
        <v>61</v>
      </c>
      <c r="AJ1803" s="105" t="s">
        <v>61</v>
      </c>
      <c r="AK1803" s="76"/>
    </row>
    <row r="1804" ht="24.0" customHeight="1">
      <c r="A1804" s="35"/>
      <c r="B1804" s="36">
        <v>1.0</v>
      </c>
      <c r="C1804" s="37" t="str">
        <f>IFERROR(__xludf.DUMMYFUNCTION("""COMPUTED_VALUE"""),"")</f>
        <v/>
      </c>
      <c r="D1804" s="89" t="s">
        <v>61</v>
      </c>
      <c r="E1804" s="39" t="s">
        <v>61</v>
      </c>
      <c r="F1804" s="121"/>
      <c r="G1804" s="122"/>
      <c r="H1804" s="138"/>
      <c r="I1804" s="80"/>
      <c r="J1804" s="80"/>
      <c r="K1804" s="95"/>
      <c r="L1804" s="80"/>
      <c r="M1804" s="43"/>
      <c r="N1804" s="43"/>
      <c r="O1804" s="80"/>
      <c r="P1804" s="80"/>
      <c r="Q1804" s="80"/>
      <c r="R1804" s="80"/>
      <c r="S1804" s="117"/>
      <c r="T1804" s="81"/>
      <c r="U1804" s="81"/>
      <c r="V1804" s="81"/>
      <c r="W1804" s="81"/>
      <c r="X1804" s="81"/>
      <c r="Y1804" s="81"/>
      <c r="Z1804" s="82"/>
      <c r="AA1804" s="99"/>
      <c r="AB1804" s="48" t="s">
        <v>61</v>
      </c>
      <c r="AC1804" s="68" t="s">
        <v>61</v>
      </c>
      <c r="AD1804" s="69" t="s">
        <v>61</v>
      </c>
      <c r="AE1804" s="69" t="s">
        <v>61</v>
      </c>
      <c r="AF1804" s="68" t="s">
        <v>61</v>
      </c>
      <c r="AG1804" s="68" t="s">
        <v>61</v>
      </c>
      <c r="AH1804" s="68" t="s">
        <v>61</v>
      </c>
      <c r="AI1804" s="70" t="s">
        <v>61</v>
      </c>
      <c r="AJ1804" s="114" t="s">
        <v>61</v>
      </c>
      <c r="AK1804" s="82"/>
    </row>
    <row r="1805" ht="24.0" customHeight="1">
      <c r="A1805" s="35"/>
      <c r="B1805" s="36">
        <v>1.0</v>
      </c>
      <c r="C1805" s="37" t="str">
        <f>IFERROR(__xludf.DUMMYFUNCTION("""COMPUTED_VALUE"""),"")</f>
        <v/>
      </c>
      <c r="D1805" s="89" t="s">
        <v>61</v>
      </c>
      <c r="E1805" s="51" t="s">
        <v>61</v>
      </c>
      <c r="F1805" s="137"/>
      <c r="G1805" s="133"/>
      <c r="H1805" s="141"/>
      <c r="I1805" s="57"/>
      <c r="J1805" s="57"/>
      <c r="K1805" s="72"/>
      <c r="L1805" s="57"/>
      <c r="M1805" s="55"/>
      <c r="N1805" s="55"/>
      <c r="O1805" s="57"/>
      <c r="P1805" s="57"/>
      <c r="Q1805" s="57"/>
      <c r="R1805" s="57"/>
      <c r="S1805" s="132"/>
      <c r="T1805" s="74"/>
      <c r="U1805" s="74"/>
      <c r="V1805" s="74"/>
      <c r="W1805" s="74"/>
      <c r="X1805" s="74"/>
      <c r="Y1805" s="74"/>
      <c r="Z1805" s="76"/>
      <c r="AA1805" s="134"/>
      <c r="AB1805" s="62" t="s">
        <v>61</v>
      </c>
      <c r="AC1805" s="63" t="s">
        <v>61</v>
      </c>
      <c r="AD1805" s="64" t="s">
        <v>61</v>
      </c>
      <c r="AE1805" s="64" t="s">
        <v>61</v>
      </c>
      <c r="AF1805" s="63" t="s">
        <v>61</v>
      </c>
      <c r="AG1805" s="63" t="s">
        <v>61</v>
      </c>
      <c r="AH1805" s="63" t="s">
        <v>61</v>
      </c>
      <c r="AI1805" s="65" t="s">
        <v>61</v>
      </c>
      <c r="AJ1805" s="105" t="s">
        <v>61</v>
      </c>
      <c r="AK1805" s="76"/>
    </row>
    <row r="1806" ht="24.0" customHeight="1">
      <c r="A1806" s="35"/>
      <c r="B1806" s="36">
        <v>1.0</v>
      </c>
      <c r="C1806" s="37" t="str">
        <f>IFERROR(__xludf.DUMMYFUNCTION("""COMPUTED_VALUE"""),"")</f>
        <v/>
      </c>
      <c r="D1806" s="89" t="s">
        <v>61</v>
      </c>
      <c r="E1806" s="39" t="s">
        <v>61</v>
      </c>
      <c r="F1806" s="121"/>
      <c r="G1806" s="122"/>
      <c r="H1806" s="138"/>
      <c r="I1806" s="80"/>
      <c r="J1806" s="80"/>
      <c r="K1806" s="95"/>
      <c r="L1806" s="80"/>
      <c r="M1806" s="43"/>
      <c r="N1806" s="43"/>
      <c r="O1806" s="80"/>
      <c r="P1806" s="80"/>
      <c r="Q1806" s="80"/>
      <c r="R1806" s="80"/>
      <c r="S1806" s="117"/>
      <c r="T1806" s="81"/>
      <c r="U1806" s="81"/>
      <c r="V1806" s="81"/>
      <c r="W1806" s="81"/>
      <c r="X1806" s="81"/>
      <c r="Y1806" s="81"/>
      <c r="Z1806" s="82"/>
      <c r="AA1806" s="99"/>
      <c r="AB1806" s="48" t="s">
        <v>61</v>
      </c>
      <c r="AC1806" s="68" t="s">
        <v>61</v>
      </c>
      <c r="AD1806" s="69" t="s">
        <v>61</v>
      </c>
      <c r="AE1806" s="69" t="s">
        <v>61</v>
      </c>
      <c r="AF1806" s="68" t="s">
        <v>61</v>
      </c>
      <c r="AG1806" s="68" t="s">
        <v>61</v>
      </c>
      <c r="AH1806" s="68" t="s">
        <v>61</v>
      </c>
      <c r="AI1806" s="70" t="s">
        <v>61</v>
      </c>
      <c r="AJ1806" s="114" t="s">
        <v>61</v>
      </c>
      <c r="AK1806" s="82"/>
    </row>
    <row r="1807" ht="24.0" customHeight="1">
      <c r="A1807" s="35"/>
      <c r="B1807" s="36">
        <v>1.0</v>
      </c>
      <c r="C1807" s="37" t="str">
        <f>IFERROR(__xludf.DUMMYFUNCTION("""COMPUTED_VALUE"""),"")</f>
        <v/>
      </c>
      <c r="D1807" s="89" t="s">
        <v>61</v>
      </c>
      <c r="E1807" s="51" t="s">
        <v>61</v>
      </c>
      <c r="F1807" s="137"/>
      <c r="G1807" s="133"/>
      <c r="H1807" s="141"/>
      <c r="I1807" s="57"/>
      <c r="J1807" s="57"/>
      <c r="K1807" s="72"/>
      <c r="L1807" s="57"/>
      <c r="M1807" s="55"/>
      <c r="N1807" s="55"/>
      <c r="O1807" s="57"/>
      <c r="P1807" s="57"/>
      <c r="Q1807" s="57"/>
      <c r="R1807" s="57"/>
      <c r="S1807" s="132"/>
      <c r="T1807" s="74"/>
      <c r="U1807" s="74"/>
      <c r="V1807" s="74"/>
      <c r="W1807" s="74"/>
      <c r="X1807" s="74"/>
      <c r="Y1807" s="74"/>
      <c r="Z1807" s="76"/>
      <c r="AA1807" s="134"/>
      <c r="AB1807" s="62" t="s">
        <v>61</v>
      </c>
      <c r="AC1807" s="63" t="s">
        <v>61</v>
      </c>
      <c r="AD1807" s="64" t="s">
        <v>61</v>
      </c>
      <c r="AE1807" s="64" t="s">
        <v>61</v>
      </c>
      <c r="AF1807" s="63" t="s">
        <v>61</v>
      </c>
      <c r="AG1807" s="63" t="s">
        <v>61</v>
      </c>
      <c r="AH1807" s="63" t="s">
        <v>61</v>
      </c>
      <c r="AI1807" s="65" t="s">
        <v>61</v>
      </c>
      <c r="AJ1807" s="105" t="s">
        <v>61</v>
      </c>
      <c r="AK1807" s="76"/>
    </row>
    <row r="1808" ht="24.0" customHeight="1">
      <c r="A1808" s="35"/>
      <c r="B1808" s="36">
        <v>1.0</v>
      </c>
      <c r="C1808" s="37" t="str">
        <f>IFERROR(__xludf.DUMMYFUNCTION("""COMPUTED_VALUE"""),"")</f>
        <v/>
      </c>
      <c r="D1808" s="89" t="s">
        <v>61</v>
      </c>
      <c r="E1808" s="39" t="s">
        <v>61</v>
      </c>
      <c r="F1808" s="121"/>
      <c r="G1808" s="122"/>
      <c r="H1808" s="138"/>
      <c r="I1808" s="80"/>
      <c r="J1808" s="80"/>
      <c r="K1808" s="95"/>
      <c r="L1808" s="80"/>
      <c r="M1808" s="43"/>
      <c r="N1808" s="43"/>
      <c r="O1808" s="80"/>
      <c r="P1808" s="80"/>
      <c r="Q1808" s="80"/>
      <c r="R1808" s="80"/>
      <c r="S1808" s="117"/>
      <c r="T1808" s="81"/>
      <c r="U1808" s="81"/>
      <c r="V1808" s="81"/>
      <c r="W1808" s="81"/>
      <c r="X1808" s="81"/>
      <c r="Y1808" s="81"/>
      <c r="Z1808" s="82"/>
      <c r="AA1808" s="99"/>
      <c r="AB1808" s="48" t="s">
        <v>61</v>
      </c>
      <c r="AC1808" s="68" t="s">
        <v>61</v>
      </c>
      <c r="AD1808" s="69" t="s">
        <v>61</v>
      </c>
      <c r="AE1808" s="69" t="s">
        <v>61</v>
      </c>
      <c r="AF1808" s="68" t="s">
        <v>61</v>
      </c>
      <c r="AG1808" s="68" t="s">
        <v>61</v>
      </c>
      <c r="AH1808" s="68" t="s">
        <v>61</v>
      </c>
      <c r="AI1808" s="70" t="s">
        <v>61</v>
      </c>
      <c r="AJ1808" s="114" t="s">
        <v>61</v>
      </c>
      <c r="AK1808" s="82"/>
    </row>
    <row r="1809" ht="24.0" customHeight="1">
      <c r="A1809" s="35"/>
      <c r="B1809" s="36">
        <v>1.0</v>
      </c>
      <c r="C1809" s="37" t="str">
        <f>IFERROR(__xludf.DUMMYFUNCTION("""COMPUTED_VALUE"""),"")</f>
        <v/>
      </c>
      <c r="D1809" s="89" t="s">
        <v>61</v>
      </c>
      <c r="E1809" s="51" t="s">
        <v>61</v>
      </c>
      <c r="F1809" s="137"/>
      <c r="G1809" s="133"/>
      <c r="H1809" s="141"/>
      <c r="I1809" s="57"/>
      <c r="J1809" s="57"/>
      <c r="K1809" s="72"/>
      <c r="L1809" s="57"/>
      <c r="M1809" s="55"/>
      <c r="N1809" s="55"/>
      <c r="O1809" s="57"/>
      <c r="P1809" s="57"/>
      <c r="Q1809" s="57"/>
      <c r="R1809" s="57"/>
      <c r="S1809" s="132"/>
      <c r="T1809" s="74"/>
      <c r="U1809" s="74"/>
      <c r="V1809" s="74"/>
      <c r="W1809" s="74"/>
      <c r="X1809" s="74"/>
      <c r="Y1809" s="74"/>
      <c r="Z1809" s="76"/>
      <c r="AA1809" s="134"/>
      <c r="AB1809" s="62" t="s">
        <v>61</v>
      </c>
      <c r="AC1809" s="63" t="s">
        <v>61</v>
      </c>
      <c r="AD1809" s="64" t="s">
        <v>61</v>
      </c>
      <c r="AE1809" s="64" t="s">
        <v>61</v>
      </c>
      <c r="AF1809" s="63" t="s">
        <v>61</v>
      </c>
      <c r="AG1809" s="63" t="s">
        <v>61</v>
      </c>
      <c r="AH1809" s="63" t="s">
        <v>61</v>
      </c>
      <c r="AI1809" s="65" t="s">
        <v>61</v>
      </c>
      <c r="AJ1809" s="105" t="s">
        <v>61</v>
      </c>
      <c r="AK1809" s="76"/>
    </row>
    <row r="1810" ht="24.0" customHeight="1">
      <c r="A1810" s="35"/>
      <c r="B1810" s="36">
        <v>1.0</v>
      </c>
      <c r="C1810" s="37" t="str">
        <f>IFERROR(__xludf.DUMMYFUNCTION("""COMPUTED_VALUE"""),"")</f>
        <v/>
      </c>
      <c r="D1810" s="89" t="s">
        <v>61</v>
      </c>
      <c r="E1810" s="39" t="s">
        <v>61</v>
      </c>
      <c r="F1810" s="121"/>
      <c r="G1810" s="122"/>
      <c r="H1810" s="138"/>
      <c r="I1810" s="80"/>
      <c r="J1810" s="80"/>
      <c r="K1810" s="95"/>
      <c r="L1810" s="80"/>
      <c r="M1810" s="43"/>
      <c r="N1810" s="43"/>
      <c r="O1810" s="80"/>
      <c r="P1810" s="80"/>
      <c r="Q1810" s="80"/>
      <c r="R1810" s="80"/>
      <c r="S1810" s="117"/>
      <c r="T1810" s="81"/>
      <c r="U1810" s="81"/>
      <c r="V1810" s="81"/>
      <c r="W1810" s="81"/>
      <c r="X1810" s="81"/>
      <c r="Y1810" s="81"/>
      <c r="Z1810" s="82"/>
      <c r="AA1810" s="99"/>
      <c r="AB1810" s="48" t="s">
        <v>61</v>
      </c>
      <c r="AC1810" s="68" t="s">
        <v>61</v>
      </c>
      <c r="AD1810" s="69" t="s">
        <v>61</v>
      </c>
      <c r="AE1810" s="69" t="s">
        <v>61</v>
      </c>
      <c r="AF1810" s="68" t="s">
        <v>61</v>
      </c>
      <c r="AG1810" s="68" t="s">
        <v>61</v>
      </c>
      <c r="AH1810" s="68" t="s">
        <v>61</v>
      </c>
      <c r="AI1810" s="70" t="s">
        <v>61</v>
      </c>
      <c r="AJ1810" s="114" t="s">
        <v>61</v>
      </c>
      <c r="AK1810" s="82"/>
    </row>
    <row r="1811" ht="24.0" customHeight="1">
      <c r="A1811" s="35"/>
      <c r="B1811" s="36">
        <v>1.0</v>
      </c>
      <c r="C1811" s="37" t="str">
        <f>IFERROR(__xludf.DUMMYFUNCTION("""COMPUTED_VALUE"""),"")</f>
        <v/>
      </c>
      <c r="D1811" s="89" t="s">
        <v>61</v>
      </c>
      <c r="E1811" s="51" t="s">
        <v>61</v>
      </c>
      <c r="F1811" s="137"/>
      <c r="G1811" s="133"/>
      <c r="H1811" s="141"/>
      <c r="I1811" s="57"/>
      <c r="J1811" s="57"/>
      <c r="K1811" s="72"/>
      <c r="L1811" s="57"/>
      <c r="M1811" s="55"/>
      <c r="N1811" s="55"/>
      <c r="O1811" s="57"/>
      <c r="P1811" s="57"/>
      <c r="Q1811" s="57"/>
      <c r="R1811" s="57"/>
      <c r="S1811" s="132"/>
      <c r="T1811" s="74"/>
      <c r="U1811" s="74"/>
      <c r="V1811" s="74"/>
      <c r="W1811" s="74"/>
      <c r="X1811" s="74"/>
      <c r="Y1811" s="74"/>
      <c r="Z1811" s="76"/>
      <c r="AA1811" s="134"/>
      <c r="AB1811" s="62" t="s">
        <v>61</v>
      </c>
      <c r="AC1811" s="63" t="s">
        <v>61</v>
      </c>
      <c r="AD1811" s="64" t="s">
        <v>61</v>
      </c>
      <c r="AE1811" s="64" t="s">
        <v>61</v>
      </c>
      <c r="AF1811" s="63" t="s">
        <v>61</v>
      </c>
      <c r="AG1811" s="63" t="s">
        <v>61</v>
      </c>
      <c r="AH1811" s="63" t="s">
        <v>61</v>
      </c>
      <c r="AI1811" s="65" t="s">
        <v>61</v>
      </c>
      <c r="AJ1811" s="105" t="s">
        <v>61</v>
      </c>
      <c r="AK1811" s="76"/>
    </row>
    <row r="1812" ht="24.0" customHeight="1">
      <c r="A1812" s="35"/>
      <c r="B1812" s="36">
        <v>1.0</v>
      </c>
      <c r="C1812" s="37" t="str">
        <f>IFERROR(__xludf.DUMMYFUNCTION("""COMPUTED_VALUE"""),"")</f>
        <v/>
      </c>
      <c r="D1812" s="89" t="s">
        <v>61</v>
      </c>
      <c r="E1812" s="39" t="s">
        <v>61</v>
      </c>
      <c r="F1812" s="121"/>
      <c r="G1812" s="122"/>
      <c r="H1812" s="138"/>
      <c r="I1812" s="80"/>
      <c r="J1812" s="80"/>
      <c r="K1812" s="95"/>
      <c r="L1812" s="80"/>
      <c r="M1812" s="43"/>
      <c r="N1812" s="43"/>
      <c r="O1812" s="80"/>
      <c r="P1812" s="80"/>
      <c r="Q1812" s="80"/>
      <c r="R1812" s="80"/>
      <c r="S1812" s="117"/>
      <c r="T1812" s="81"/>
      <c r="U1812" s="81"/>
      <c r="V1812" s="81"/>
      <c r="W1812" s="81"/>
      <c r="X1812" s="81"/>
      <c r="Y1812" s="81"/>
      <c r="Z1812" s="82"/>
      <c r="AA1812" s="99"/>
      <c r="AB1812" s="48" t="s">
        <v>61</v>
      </c>
      <c r="AC1812" s="68" t="s">
        <v>61</v>
      </c>
      <c r="AD1812" s="69" t="s">
        <v>61</v>
      </c>
      <c r="AE1812" s="69" t="s">
        <v>61</v>
      </c>
      <c r="AF1812" s="68" t="s">
        <v>61</v>
      </c>
      <c r="AG1812" s="68" t="s">
        <v>61</v>
      </c>
      <c r="AH1812" s="68" t="s">
        <v>61</v>
      </c>
      <c r="AI1812" s="70" t="s">
        <v>61</v>
      </c>
      <c r="AJ1812" s="114" t="s">
        <v>61</v>
      </c>
      <c r="AK1812" s="82"/>
    </row>
    <row r="1813" ht="24.0" customHeight="1">
      <c r="A1813" s="35"/>
      <c r="B1813" s="36">
        <v>1.0</v>
      </c>
      <c r="C1813" s="37" t="str">
        <f>IFERROR(__xludf.DUMMYFUNCTION("""COMPUTED_VALUE"""),"")</f>
        <v/>
      </c>
      <c r="D1813" s="89" t="s">
        <v>61</v>
      </c>
      <c r="E1813" s="51" t="s">
        <v>61</v>
      </c>
      <c r="F1813" s="137"/>
      <c r="G1813" s="133"/>
      <c r="H1813" s="141"/>
      <c r="I1813" s="57"/>
      <c r="J1813" s="57"/>
      <c r="K1813" s="72"/>
      <c r="L1813" s="57"/>
      <c r="M1813" s="55"/>
      <c r="N1813" s="55"/>
      <c r="O1813" s="57"/>
      <c r="P1813" s="57"/>
      <c r="Q1813" s="57"/>
      <c r="R1813" s="57"/>
      <c r="S1813" s="132"/>
      <c r="T1813" s="74"/>
      <c r="U1813" s="74"/>
      <c r="V1813" s="74"/>
      <c r="W1813" s="74"/>
      <c r="X1813" s="74"/>
      <c r="Y1813" s="74"/>
      <c r="Z1813" s="76"/>
      <c r="AA1813" s="134"/>
      <c r="AB1813" s="62" t="s">
        <v>61</v>
      </c>
      <c r="AC1813" s="63" t="s">
        <v>61</v>
      </c>
      <c r="AD1813" s="64" t="s">
        <v>61</v>
      </c>
      <c r="AE1813" s="64" t="s">
        <v>61</v>
      </c>
      <c r="AF1813" s="63" t="s">
        <v>61</v>
      </c>
      <c r="AG1813" s="63" t="s">
        <v>61</v>
      </c>
      <c r="AH1813" s="63" t="s">
        <v>61</v>
      </c>
      <c r="AI1813" s="65" t="s">
        <v>61</v>
      </c>
      <c r="AJ1813" s="105" t="s">
        <v>61</v>
      </c>
      <c r="AK1813" s="76"/>
    </row>
    <row r="1814" ht="24.0" customHeight="1">
      <c r="A1814" s="35"/>
      <c r="B1814" s="36">
        <v>1.0</v>
      </c>
      <c r="C1814" s="37" t="str">
        <f>IFERROR(__xludf.DUMMYFUNCTION("""COMPUTED_VALUE"""),"")</f>
        <v/>
      </c>
      <c r="D1814" s="89" t="s">
        <v>61</v>
      </c>
      <c r="E1814" s="39" t="s">
        <v>61</v>
      </c>
      <c r="F1814" s="121"/>
      <c r="G1814" s="122"/>
      <c r="H1814" s="138"/>
      <c r="I1814" s="80"/>
      <c r="J1814" s="80"/>
      <c r="K1814" s="95"/>
      <c r="L1814" s="80"/>
      <c r="M1814" s="43"/>
      <c r="N1814" s="43"/>
      <c r="O1814" s="80"/>
      <c r="P1814" s="80"/>
      <c r="Q1814" s="80"/>
      <c r="R1814" s="80"/>
      <c r="S1814" s="117"/>
      <c r="T1814" s="81"/>
      <c r="U1814" s="81"/>
      <c r="V1814" s="81"/>
      <c r="W1814" s="81"/>
      <c r="X1814" s="81"/>
      <c r="Y1814" s="81"/>
      <c r="Z1814" s="82"/>
      <c r="AA1814" s="99"/>
      <c r="AB1814" s="48" t="s">
        <v>61</v>
      </c>
      <c r="AC1814" s="68" t="s">
        <v>61</v>
      </c>
      <c r="AD1814" s="69" t="s">
        <v>61</v>
      </c>
      <c r="AE1814" s="69" t="s">
        <v>61</v>
      </c>
      <c r="AF1814" s="68" t="s">
        <v>61</v>
      </c>
      <c r="AG1814" s="68" t="s">
        <v>61</v>
      </c>
      <c r="AH1814" s="68" t="s">
        <v>61</v>
      </c>
      <c r="AI1814" s="70" t="s">
        <v>61</v>
      </c>
      <c r="AJ1814" s="114" t="s">
        <v>61</v>
      </c>
      <c r="AK1814" s="82"/>
    </row>
    <row r="1815" ht="24.0" customHeight="1">
      <c r="A1815" s="35"/>
      <c r="B1815" s="36">
        <v>1.0</v>
      </c>
      <c r="C1815" s="37" t="str">
        <f>IFERROR(__xludf.DUMMYFUNCTION("""COMPUTED_VALUE"""),"")</f>
        <v/>
      </c>
      <c r="D1815" s="89" t="s">
        <v>61</v>
      </c>
      <c r="E1815" s="51" t="s">
        <v>61</v>
      </c>
      <c r="F1815" s="137"/>
      <c r="G1815" s="133"/>
      <c r="H1815" s="141"/>
      <c r="I1815" s="57"/>
      <c r="J1815" s="57"/>
      <c r="K1815" s="72"/>
      <c r="L1815" s="57"/>
      <c r="M1815" s="55"/>
      <c r="N1815" s="55"/>
      <c r="O1815" s="57"/>
      <c r="P1815" s="57"/>
      <c r="Q1815" s="57"/>
      <c r="R1815" s="57"/>
      <c r="S1815" s="132"/>
      <c r="T1815" s="74"/>
      <c r="U1815" s="74"/>
      <c r="V1815" s="74"/>
      <c r="W1815" s="74"/>
      <c r="X1815" s="74"/>
      <c r="Y1815" s="74"/>
      <c r="Z1815" s="76"/>
      <c r="AA1815" s="134"/>
      <c r="AB1815" s="62" t="s">
        <v>61</v>
      </c>
      <c r="AC1815" s="63" t="s">
        <v>61</v>
      </c>
      <c r="AD1815" s="64" t="s">
        <v>61</v>
      </c>
      <c r="AE1815" s="64" t="s">
        <v>61</v>
      </c>
      <c r="AF1815" s="63" t="s">
        <v>61</v>
      </c>
      <c r="AG1815" s="63" t="s">
        <v>61</v>
      </c>
      <c r="AH1815" s="63" t="s">
        <v>61</v>
      </c>
      <c r="AI1815" s="65" t="s">
        <v>61</v>
      </c>
      <c r="AJ1815" s="105" t="s">
        <v>61</v>
      </c>
      <c r="AK1815" s="76"/>
    </row>
    <row r="1816" ht="24.0" customHeight="1">
      <c r="A1816" s="35"/>
      <c r="B1816" s="36">
        <v>1.0</v>
      </c>
      <c r="C1816" s="37" t="str">
        <f>IFERROR(__xludf.DUMMYFUNCTION("""COMPUTED_VALUE"""),"")</f>
        <v/>
      </c>
      <c r="D1816" s="89" t="s">
        <v>61</v>
      </c>
      <c r="E1816" s="39" t="s">
        <v>61</v>
      </c>
      <c r="F1816" s="121"/>
      <c r="G1816" s="122"/>
      <c r="H1816" s="138"/>
      <c r="I1816" s="80"/>
      <c r="J1816" s="80"/>
      <c r="K1816" s="95"/>
      <c r="L1816" s="80"/>
      <c r="M1816" s="43"/>
      <c r="N1816" s="43"/>
      <c r="O1816" s="80"/>
      <c r="P1816" s="80"/>
      <c r="Q1816" s="80"/>
      <c r="R1816" s="80"/>
      <c r="S1816" s="117"/>
      <c r="T1816" s="81"/>
      <c r="U1816" s="81"/>
      <c r="V1816" s="81"/>
      <c r="W1816" s="81"/>
      <c r="X1816" s="81"/>
      <c r="Y1816" s="81"/>
      <c r="Z1816" s="82"/>
      <c r="AA1816" s="99"/>
      <c r="AB1816" s="48" t="s">
        <v>61</v>
      </c>
      <c r="AC1816" s="68" t="s">
        <v>61</v>
      </c>
      <c r="AD1816" s="69" t="s">
        <v>61</v>
      </c>
      <c r="AE1816" s="69" t="s">
        <v>61</v>
      </c>
      <c r="AF1816" s="68" t="s">
        <v>61</v>
      </c>
      <c r="AG1816" s="68" t="s">
        <v>61</v>
      </c>
      <c r="AH1816" s="68" t="s">
        <v>61</v>
      </c>
      <c r="AI1816" s="70" t="s">
        <v>61</v>
      </c>
      <c r="AJ1816" s="114" t="s">
        <v>61</v>
      </c>
      <c r="AK1816" s="82"/>
    </row>
    <row r="1817" ht="24.0" customHeight="1">
      <c r="A1817" s="35"/>
      <c r="B1817" s="36">
        <v>1.0</v>
      </c>
      <c r="C1817" s="37" t="str">
        <f>IFERROR(__xludf.DUMMYFUNCTION("""COMPUTED_VALUE"""),"")</f>
        <v/>
      </c>
      <c r="D1817" s="89" t="s">
        <v>61</v>
      </c>
      <c r="E1817" s="51" t="s">
        <v>61</v>
      </c>
      <c r="F1817" s="137"/>
      <c r="G1817" s="133"/>
      <c r="H1817" s="141"/>
      <c r="I1817" s="57"/>
      <c r="J1817" s="57"/>
      <c r="K1817" s="72"/>
      <c r="L1817" s="57"/>
      <c r="M1817" s="55"/>
      <c r="N1817" s="55"/>
      <c r="O1817" s="57"/>
      <c r="P1817" s="57"/>
      <c r="Q1817" s="57"/>
      <c r="R1817" s="57"/>
      <c r="S1817" s="132"/>
      <c r="T1817" s="74"/>
      <c r="U1817" s="74"/>
      <c r="V1817" s="74"/>
      <c r="W1817" s="74"/>
      <c r="X1817" s="74"/>
      <c r="Y1817" s="74"/>
      <c r="Z1817" s="76"/>
      <c r="AA1817" s="134"/>
      <c r="AB1817" s="62" t="s">
        <v>61</v>
      </c>
      <c r="AC1817" s="63" t="s">
        <v>61</v>
      </c>
      <c r="AD1817" s="64" t="s">
        <v>61</v>
      </c>
      <c r="AE1817" s="64" t="s">
        <v>61</v>
      </c>
      <c r="AF1817" s="63" t="s">
        <v>61</v>
      </c>
      <c r="AG1817" s="63" t="s">
        <v>61</v>
      </c>
      <c r="AH1817" s="63" t="s">
        <v>61</v>
      </c>
      <c r="AI1817" s="65" t="s">
        <v>61</v>
      </c>
      <c r="AJ1817" s="105" t="s">
        <v>61</v>
      </c>
      <c r="AK1817" s="76"/>
    </row>
    <row r="1818" ht="24.0" customHeight="1">
      <c r="A1818" s="35"/>
      <c r="B1818" s="36">
        <v>1.0</v>
      </c>
      <c r="C1818" s="37" t="str">
        <f>IFERROR(__xludf.DUMMYFUNCTION("""COMPUTED_VALUE"""),"")</f>
        <v/>
      </c>
      <c r="D1818" s="89" t="s">
        <v>61</v>
      </c>
      <c r="E1818" s="39" t="s">
        <v>61</v>
      </c>
      <c r="F1818" s="121"/>
      <c r="G1818" s="122"/>
      <c r="H1818" s="138"/>
      <c r="I1818" s="80"/>
      <c r="J1818" s="80"/>
      <c r="K1818" s="95"/>
      <c r="L1818" s="80"/>
      <c r="M1818" s="43"/>
      <c r="N1818" s="43"/>
      <c r="O1818" s="80"/>
      <c r="P1818" s="80"/>
      <c r="Q1818" s="80"/>
      <c r="R1818" s="80"/>
      <c r="S1818" s="117"/>
      <c r="T1818" s="81"/>
      <c r="U1818" s="81"/>
      <c r="V1818" s="81"/>
      <c r="W1818" s="81"/>
      <c r="X1818" s="81"/>
      <c r="Y1818" s="81"/>
      <c r="Z1818" s="82"/>
      <c r="AA1818" s="99"/>
      <c r="AB1818" s="48" t="s">
        <v>61</v>
      </c>
      <c r="AC1818" s="68" t="s">
        <v>61</v>
      </c>
      <c r="AD1818" s="69" t="s">
        <v>61</v>
      </c>
      <c r="AE1818" s="69" t="s">
        <v>61</v>
      </c>
      <c r="AF1818" s="68" t="s">
        <v>61</v>
      </c>
      <c r="AG1818" s="68" t="s">
        <v>61</v>
      </c>
      <c r="AH1818" s="68" t="s">
        <v>61</v>
      </c>
      <c r="AI1818" s="70" t="s">
        <v>61</v>
      </c>
      <c r="AJ1818" s="114" t="s">
        <v>61</v>
      </c>
      <c r="AK1818" s="82"/>
    </row>
    <row r="1819" ht="24.0" customHeight="1">
      <c r="A1819" s="35"/>
      <c r="B1819" s="36">
        <v>1.0</v>
      </c>
      <c r="C1819" s="37" t="str">
        <f>IFERROR(__xludf.DUMMYFUNCTION("""COMPUTED_VALUE"""),"")</f>
        <v/>
      </c>
      <c r="D1819" s="89" t="s">
        <v>61</v>
      </c>
      <c r="E1819" s="51" t="s">
        <v>61</v>
      </c>
      <c r="F1819" s="137"/>
      <c r="G1819" s="133"/>
      <c r="H1819" s="141"/>
      <c r="I1819" s="57"/>
      <c r="J1819" s="57"/>
      <c r="K1819" s="72"/>
      <c r="L1819" s="57"/>
      <c r="M1819" s="55"/>
      <c r="N1819" s="55"/>
      <c r="O1819" s="57"/>
      <c r="P1819" s="57"/>
      <c r="Q1819" s="57"/>
      <c r="R1819" s="57"/>
      <c r="S1819" s="132"/>
      <c r="T1819" s="74"/>
      <c r="U1819" s="74"/>
      <c r="V1819" s="74"/>
      <c r="W1819" s="74"/>
      <c r="X1819" s="74"/>
      <c r="Y1819" s="74"/>
      <c r="Z1819" s="76"/>
      <c r="AA1819" s="134"/>
      <c r="AB1819" s="62" t="s">
        <v>61</v>
      </c>
      <c r="AC1819" s="63" t="s">
        <v>61</v>
      </c>
      <c r="AD1819" s="64" t="s">
        <v>61</v>
      </c>
      <c r="AE1819" s="64" t="s">
        <v>61</v>
      </c>
      <c r="AF1819" s="63" t="s">
        <v>61</v>
      </c>
      <c r="AG1819" s="63" t="s">
        <v>61</v>
      </c>
      <c r="AH1819" s="63" t="s">
        <v>61</v>
      </c>
      <c r="AI1819" s="65" t="s">
        <v>61</v>
      </c>
      <c r="AJ1819" s="105" t="s">
        <v>61</v>
      </c>
      <c r="AK1819" s="76"/>
    </row>
    <row r="1820" ht="24.0" customHeight="1">
      <c r="A1820" s="35"/>
      <c r="B1820" s="36">
        <v>1.0</v>
      </c>
      <c r="C1820" s="37" t="str">
        <f>IFERROR(__xludf.DUMMYFUNCTION("""COMPUTED_VALUE"""),"")</f>
        <v/>
      </c>
      <c r="D1820" s="89" t="s">
        <v>61</v>
      </c>
      <c r="E1820" s="39" t="s">
        <v>61</v>
      </c>
      <c r="F1820" s="121"/>
      <c r="G1820" s="122"/>
      <c r="H1820" s="138"/>
      <c r="I1820" s="80"/>
      <c r="J1820" s="80"/>
      <c r="K1820" s="95"/>
      <c r="L1820" s="80"/>
      <c r="M1820" s="43"/>
      <c r="N1820" s="43"/>
      <c r="O1820" s="80"/>
      <c r="P1820" s="80"/>
      <c r="Q1820" s="80"/>
      <c r="R1820" s="80"/>
      <c r="S1820" s="117"/>
      <c r="T1820" s="81"/>
      <c r="U1820" s="81"/>
      <c r="V1820" s="81"/>
      <c r="W1820" s="81"/>
      <c r="X1820" s="81"/>
      <c r="Y1820" s="81"/>
      <c r="Z1820" s="82"/>
      <c r="AA1820" s="99"/>
      <c r="AB1820" s="48" t="s">
        <v>61</v>
      </c>
      <c r="AC1820" s="68" t="s">
        <v>61</v>
      </c>
      <c r="AD1820" s="69" t="s">
        <v>61</v>
      </c>
      <c r="AE1820" s="69" t="s">
        <v>61</v>
      </c>
      <c r="AF1820" s="68" t="s">
        <v>61</v>
      </c>
      <c r="AG1820" s="68" t="s">
        <v>61</v>
      </c>
      <c r="AH1820" s="68" t="s">
        <v>61</v>
      </c>
      <c r="AI1820" s="70" t="s">
        <v>61</v>
      </c>
      <c r="AJ1820" s="114" t="s">
        <v>61</v>
      </c>
      <c r="AK1820" s="82"/>
    </row>
    <row r="1821" ht="24.0" customHeight="1">
      <c r="A1821" s="35"/>
      <c r="B1821" s="36">
        <v>1.0</v>
      </c>
      <c r="C1821" s="37" t="str">
        <f>IFERROR(__xludf.DUMMYFUNCTION("""COMPUTED_VALUE"""),"")</f>
        <v/>
      </c>
      <c r="D1821" s="89" t="s">
        <v>61</v>
      </c>
      <c r="E1821" s="51" t="s">
        <v>61</v>
      </c>
      <c r="F1821" s="137"/>
      <c r="G1821" s="133"/>
      <c r="H1821" s="141"/>
      <c r="I1821" s="57"/>
      <c r="J1821" s="57"/>
      <c r="K1821" s="72"/>
      <c r="L1821" s="57"/>
      <c r="M1821" s="55"/>
      <c r="N1821" s="55"/>
      <c r="O1821" s="57"/>
      <c r="P1821" s="57"/>
      <c r="Q1821" s="57"/>
      <c r="R1821" s="57"/>
      <c r="S1821" s="132"/>
      <c r="T1821" s="74"/>
      <c r="U1821" s="74"/>
      <c r="V1821" s="74"/>
      <c r="W1821" s="74"/>
      <c r="X1821" s="74"/>
      <c r="Y1821" s="74"/>
      <c r="Z1821" s="76"/>
      <c r="AA1821" s="134"/>
      <c r="AB1821" s="62" t="s">
        <v>61</v>
      </c>
      <c r="AC1821" s="63" t="s">
        <v>61</v>
      </c>
      <c r="AD1821" s="64" t="s">
        <v>61</v>
      </c>
      <c r="AE1821" s="64" t="s">
        <v>61</v>
      </c>
      <c r="AF1821" s="63" t="s">
        <v>61</v>
      </c>
      <c r="AG1821" s="63" t="s">
        <v>61</v>
      </c>
      <c r="AH1821" s="63" t="s">
        <v>61</v>
      </c>
      <c r="AI1821" s="65" t="s">
        <v>61</v>
      </c>
      <c r="AJ1821" s="105" t="s">
        <v>61</v>
      </c>
      <c r="AK1821" s="76"/>
    </row>
    <row r="1822" ht="24.0" customHeight="1">
      <c r="A1822" s="35"/>
      <c r="B1822" s="36">
        <v>1.0</v>
      </c>
      <c r="C1822" s="37" t="str">
        <f>IFERROR(__xludf.DUMMYFUNCTION("""COMPUTED_VALUE"""),"")</f>
        <v/>
      </c>
      <c r="D1822" s="89" t="s">
        <v>61</v>
      </c>
      <c r="E1822" s="39" t="s">
        <v>61</v>
      </c>
      <c r="F1822" s="121"/>
      <c r="G1822" s="122"/>
      <c r="H1822" s="138"/>
      <c r="I1822" s="80"/>
      <c r="J1822" s="80"/>
      <c r="K1822" s="95"/>
      <c r="L1822" s="80"/>
      <c r="M1822" s="43"/>
      <c r="N1822" s="43"/>
      <c r="O1822" s="80"/>
      <c r="P1822" s="80"/>
      <c r="Q1822" s="80"/>
      <c r="R1822" s="80"/>
      <c r="S1822" s="117"/>
      <c r="T1822" s="81"/>
      <c r="U1822" s="81"/>
      <c r="V1822" s="81"/>
      <c r="W1822" s="81"/>
      <c r="X1822" s="81"/>
      <c r="Y1822" s="81"/>
      <c r="Z1822" s="82"/>
      <c r="AA1822" s="99"/>
      <c r="AB1822" s="48" t="s">
        <v>61</v>
      </c>
      <c r="AC1822" s="68" t="s">
        <v>61</v>
      </c>
      <c r="AD1822" s="69" t="s">
        <v>61</v>
      </c>
      <c r="AE1822" s="69" t="s">
        <v>61</v>
      </c>
      <c r="AF1822" s="68" t="s">
        <v>61</v>
      </c>
      <c r="AG1822" s="68" t="s">
        <v>61</v>
      </c>
      <c r="AH1822" s="68" t="s">
        <v>61</v>
      </c>
      <c r="AI1822" s="70" t="s">
        <v>61</v>
      </c>
      <c r="AJ1822" s="114" t="s">
        <v>61</v>
      </c>
      <c r="AK1822" s="82"/>
    </row>
    <row r="1823" ht="24.0" customHeight="1">
      <c r="A1823" s="35"/>
      <c r="B1823" s="36">
        <v>1.0</v>
      </c>
      <c r="C1823" s="37" t="str">
        <f>IFERROR(__xludf.DUMMYFUNCTION("""COMPUTED_VALUE"""),"")</f>
        <v/>
      </c>
      <c r="D1823" s="89" t="s">
        <v>61</v>
      </c>
      <c r="E1823" s="51" t="s">
        <v>61</v>
      </c>
      <c r="F1823" s="137"/>
      <c r="G1823" s="133"/>
      <c r="H1823" s="141"/>
      <c r="I1823" s="57"/>
      <c r="J1823" s="57"/>
      <c r="K1823" s="72"/>
      <c r="L1823" s="57"/>
      <c r="M1823" s="55"/>
      <c r="N1823" s="55"/>
      <c r="O1823" s="57"/>
      <c r="P1823" s="57"/>
      <c r="Q1823" s="57"/>
      <c r="R1823" s="57"/>
      <c r="S1823" s="132"/>
      <c r="T1823" s="74"/>
      <c r="U1823" s="74"/>
      <c r="V1823" s="74"/>
      <c r="W1823" s="74"/>
      <c r="X1823" s="74"/>
      <c r="Y1823" s="74"/>
      <c r="Z1823" s="76"/>
      <c r="AA1823" s="134"/>
      <c r="AB1823" s="62" t="s">
        <v>61</v>
      </c>
      <c r="AC1823" s="63" t="s">
        <v>61</v>
      </c>
      <c r="AD1823" s="64" t="s">
        <v>61</v>
      </c>
      <c r="AE1823" s="64" t="s">
        <v>61</v>
      </c>
      <c r="AF1823" s="63" t="s">
        <v>61</v>
      </c>
      <c r="AG1823" s="63" t="s">
        <v>61</v>
      </c>
      <c r="AH1823" s="63" t="s">
        <v>61</v>
      </c>
      <c r="AI1823" s="65" t="s">
        <v>61</v>
      </c>
      <c r="AJ1823" s="105" t="s">
        <v>61</v>
      </c>
      <c r="AK1823" s="76"/>
    </row>
    <row r="1824" ht="24.0" customHeight="1">
      <c r="A1824" s="35"/>
      <c r="B1824" s="36">
        <v>1.0</v>
      </c>
      <c r="C1824" s="37" t="str">
        <f>IFERROR(__xludf.DUMMYFUNCTION("""COMPUTED_VALUE"""),"")</f>
        <v/>
      </c>
      <c r="D1824" s="89" t="s">
        <v>61</v>
      </c>
      <c r="E1824" s="39" t="s">
        <v>61</v>
      </c>
      <c r="F1824" s="121"/>
      <c r="G1824" s="122"/>
      <c r="H1824" s="138"/>
      <c r="I1824" s="80"/>
      <c r="J1824" s="80"/>
      <c r="K1824" s="95"/>
      <c r="L1824" s="80"/>
      <c r="M1824" s="43"/>
      <c r="N1824" s="43"/>
      <c r="O1824" s="80"/>
      <c r="P1824" s="80"/>
      <c r="Q1824" s="80"/>
      <c r="R1824" s="80"/>
      <c r="S1824" s="117"/>
      <c r="T1824" s="81"/>
      <c r="U1824" s="81"/>
      <c r="V1824" s="81"/>
      <c r="W1824" s="81"/>
      <c r="X1824" s="81"/>
      <c r="Y1824" s="81"/>
      <c r="Z1824" s="82"/>
      <c r="AA1824" s="99"/>
      <c r="AB1824" s="48" t="s">
        <v>61</v>
      </c>
      <c r="AC1824" s="68" t="s">
        <v>61</v>
      </c>
      <c r="AD1824" s="69" t="s">
        <v>61</v>
      </c>
      <c r="AE1824" s="69" t="s">
        <v>61</v>
      </c>
      <c r="AF1824" s="68" t="s">
        <v>61</v>
      </c>
      <c r="AG1824" s="68" t="s">
        <v>61</v>
      </c>
      <c r="AH1824" s="68" t="s">
        <v>61</v>
      </c>
      <c r="AI1824" s="70" t="s">
        <v>61</v>
      </c>
      <c r="AJ1824" s="114" t="s">
        <v>61</v>
      </c>
      <c r="AK1824" s="82"/>
    </row>
    <row r="1825" ht="24.0" customHeight="1">
      <c r="A1825" s="35"/>
      <c r="B1825" s="36">
        <v>1.0</v>
      </c>
      <c r="C1825" s="37" t="str">
        <f>IFERROR(__xludf.DUMMYFUNCTION("""COMPUTED_VALUE"""),"")</f>
        <v/>
      </c>
      <c r="D1825" s="89" t="s">
        <v>61</v>
      </c>
      <c r="E1825" s="51" t="s">
        <v>61</v>
      </c>
      <c r="F1825" s="137"/>
      <c r="G1825" s="133"/>
      <c r="H1825" s="141"/>
      <c r="I1825" s="57"/>
      <c r="J1825" s="57"/>
      <c r="K1825" s="72"/>
      <c r="L1825" s="57"/>
      <c r="M1825" s="55"/>
      <c r="N1825" s="55"/>
      <c r="O1825" s="57"/>
      <c r="P1825" s="57"/>
      <c r="Q1825" s="57"/>
      <c r="R1825" s="57"/>
      <c r="S1825" s="132"/>
      <c r="T1825" s="74"/>
      <c r="U1825" s="74"/>
      <c r="V1825" s="74"/>
      <c r="W1825" s="74"/>
      <c r="X1825" s="74"/>
      <c r="Y1825" s="74"/>
      <c r="Z1825" s="76"/>
      <c r="AA1825" s="134"/>
      <c r="AB1825" s="62" t="s">
        <v>61</v>
      </c>
      <c r="AC1825" s="63" t="s">
        <v>61</v>
      </c>
      <c r="AD1825" s="64" t="s">
        <v>61</v>
      </c>
      <c r="AE1825" s="64" t="s">
        <v>61</v>
      </c>
      <c r="AF1825" s="63" t="s">
        <v>61</v>
      </c>
      <c r="AG1825" s="63" t="s">
        <v>61</v>
      </c>
      <c r="AH1825" s="63" t="s">
        <v>61</v>
      </c>
      <c r="AI1825" s="65" t="s">
        <v>61</v>
      </c>
      <c r="AJ1825" s="105" t="s">
        <v>61</v>
      </c>
      <c r="AK1825" s="76"/>
    </row>
    <row r="1826" ht="24.0" customHeight="1">
      <c r="A1826" s="35"/>
      <c r="B1826" s="36">
        <v>1.0</v>
      </c>
      <c r="C1826" s="37" t="str">
        <f>IFERROR(__xludf.DUMMYFUNCTION("""COMPUTED_VALUE"""),"")</f>
        <v/>
      </c>
      <c r="D1826" s="89" t="s">
        <v>61</v>
      </c>
      <c r="E1826" s="39" t="s">
        <v>61</v>
      </c>
      <c r="F1826" s="121"/>
      <c r="G1826" s="122"/>
      <c r="H1826" s="138"/>
      <c r="I1826" s="80"/>
      <c r="J1826" s="80"/>
      <c r="K1826" s="95"/>
      <c r="L1826" s="80"/>
      <c r="M1826" s="43"/>
      <c r="N1826" s="43"/>
      <c r="O1826" s="80"/>
      <c r="P1826" s="80"/>
      <c r="Q1826" s="80"/>
      <c r="R1826" s="80"/>
      <c r="S1826" s="117"/>
      <c r="T1826" s="81"/>
      <c r="U1826" s="81"/>
      <c r="V1826" s="81"/>
      <c r="W1826" s="81"/>
      <c r="X1826" s="81"/>
      <c r="Y1826" s="81"/>
      <c r="Z1826" s="82"/>
      <c r="AA1826" s="99"/>
      <c r="AB1826" s="48" t="s">
        <v>61</v>
      </c>
      <c r="AC1826" s="68" t="s">
        <v>61</v>
      </c>
      <c r="AD1826" s="69" t="s">
        <v>61</v>
      </c>
      <c r="AE1826" s="69" t="s">
        <v>61</v>
      </c>
      <c r="AF1826" s="68" t="s">
        <v>61</v>
      </c>
      <c r="AG1826" s="68" t="s">
        <v>61</v>
      </c>
      <c r="AH1826" s="68" t="s">
        <v>61</v>
      </c>
      <c r="AI1826" s="70" t="s">
        <v>61</v>
      </c>
      <c r="AJ1826" s="114" t="s">
        <v>61</v>
      </c>
      <c r="AK1826" s="82"/>
    </row>
    <row r="1827" ht="24.0" customHeight="1">
      <c r="A1827" s="35"/>
      <c r="B1827" s="36">
        <v>1.0</v>
      </c>
      <c r="C1827" s="37" t="str">
        <f>IFERROR(__xludf.DUMMYFUNCTION("""COMPUTED_VALUE"""),"")</f>
        <v/>
      </c>
      <c r="D1827" s="89" t="s">
        <v>61</v>
      </c>
      <c r="E1827" s="51" t="s">
        <v>61</v>
      </c>
      <c r="F1827" s="137"/>
      <c r="G1827" s="133"/>
      <c r="H1827" s="141"/>
      <c r="I1827" s="57"/>
      <c r="J1827" s="57"/>
      <c r="K1827" s="72"/>
      <c r="L1827" s="57"/>
      <c r="M1827" s="55"/>
      <c r="N1827" s="55"/>
      <c r="O1827" s="57"/>
      <c r="P1827" s="57"/>
      <c r="Q1827" s="57"/>
      <c r="R1827" s="57"/>
      <c r="S1827" s="132"/>
      <c r="T1827" s="74"/>
      <c r="U1827" s="74"/>
      <c r="V1827" s="74"/>
      <c r="W1827" s="74"/>
      <c r="X1827" s="74"/>
      <c r="Y1827" s="74"/>
      <c r="Z1827" s="76"/>
      <c r="AA1827" s="134"/>
      <c r="AB1827" s="62" t="s">
        <v>61</v>
      </c>
      <c r="AC1827" s="63" t="s">
        <v>61</v>
      </c>
      <c r="AD1827" s="64" t="s">
        <v>61</v>
      </c>
      <c r="AE1827" s="64" t="s">
        <v>61</v>
      </c>
      <c r="AF1827" s="63" t="s">
        <v>61</v>
      </c>
      <c r="AG1827" s="63" t="s">
        <v>61</v>
      </c>
      <c r="AH1827" s="63" t="s">
        <v>61</v>
      </c>
      <c r="AI1827" s="65" t="s">
        <v>61</v>
      </c>
      <c r="AJ1827" s="105" t="s">
        <v>61</v>
      </c>
      <c r="AK1827" s="76"/>
    </row>
    <row r="1828" ht="24.0" customHeight="1">
      <c r="A1828" s="35"/>
      <c r="B1828" s="36">
        <v>1.0</v>
      </c>
      <c r="C1828" s="37" t="str">
        <f>IFERROR(__xludf.DUMMYFUNCTION("""COMPUTED_VALUE"""),"")</f>
        <v/>
      </c>
      <c r="D1828" s="89" t="s">
        <v>61</v>
      </c>
      <c r="E1828" s="39" t="s">
        <v>61</v>
      </c>
      <c r="F1828" s="121"/>
      <c r="G1828" s="122"/>
      <c r="H1828" s="138"/>
      <c r="I1828" s="80"/>
      <c r="J1828" s="80"/>
      <c r="K1828" s="95"/>
      <c r="L1828" s="80"/>
      <c r="M1828" s="43"/>
      <c r="N1828" s="43"/>
      <c r="O1828" s="80"/>
      <c r="P1828" s="80"/>
      <c r="Q1828" s="80"/>
      <c r="R1828" s="80"/>
      <c r="S1828" s="117"/>
      <c r="T1828" s="81"/>
      <c r="U1828" s="81"/>
      <c r="V1828" s="81"/>
      <c r="W1828" s="81"/>
      <c r="X1828" s="81"/>
      <c r="Y1828" s="81"/>
      <c r="Z1828" s="82"/>
      <c r="AA1828" s="99"/>
      <c r="AB1828" s="48" t="s">
        <v>61</v>
      </c>
      <c r="AC1828" s="68" t="s">
        <v>61</v>
      </c>
      <c r="AD1828" s="69" t="s">
        <v>61</v>
      </c>
      <c r="AE1828" s="69" t="s">
        <v>61</v>
      </c>
      <c r="AF1828" s="68" t="s">
        <v>61</v>
      </c>
      <c r="AG1828" s="68" t="s">
        <v>61</v>
      </c>
      <c r="AH1828" s="68" t="s">
        <v>61</v>
      </c>
      <c r="AI1828" s="70" t="s">
        <v>61</v>
      </c>
      <c r="AJ1828" s="114" t="s">
        <v>61</v>
      </c>
      <c r="AK1828" s="82"/>
    </row>
    <row r="1829" ht="24.0" customHeight="1">
      <c r="A1829" s="35"/>
      <c r="B1829" s="36">
        <v>1.0</v>
      </c>
      <c r="C1829" s="37" t="str">
        <f>IFERROR(__xludf.DUMMYFUNCTION("""COMPUTED_VALUE"""),"")</f>
        <v/>
      </c>
      <c r="D1829" s="89" t="s">
        <v>61</v>
      </c>
      <c r="E1829" s="51" t="s">
        <v>61</v>
      </c>
      <c r="F1829" s="137"/>
      <c r="G1829" s="133"/>
      <c r="H1829" s="141"/>
      <c r="I1829" s="57"/>
      <c r="J1829" s="57"/>
      <c r="K1829" s="72"/>
      <c r="L1829" s="57"/>
      <c r="M1829" s="55"/>
      <c r="N1829" s="55"/>
      <c r="O1829" s="57"/>
      <c r="P1829" s="57"/>
      <c r="Q1829" s="57"/>
      <c r="R1829" s="57"/>
      <c r="S1829" s="132"/>
      <c r="T1829" s="74"/>
      <c r="U1829" s="74"/>
      <c r="V1829" s="74"/>
      <c r="W1829" s="74"/>
      <c r="X1829" s="74"/>
      <c r="Y1829" s="74"/>
      <c r="Z1829" s="76"/>
      <c r="AA1829" s="134"/>
      <c r="AB1829" s="62" t="s">
        <v>61</v>
      </c>
      <c r="AC1829" s="63" t="s">
        <v>61</v>
      </c>
      <c r="AD1829" s="64" t="s">
        <v>61</v>
      </c>
      <c r="AE1829" s="64" t="s">
        <v>61</v>
      </c>
      <c r="AF1829" s="63" t="s">
        <v>61</v>
      </c>
      <c r="AG1829" s="63" t="s">
        <v>61</v>
      </c>
      <c r="AH1829" s="63" t="s">
        <v>61</v>
      </c>
      <c r="AI1829" s="65" t="s">
        <v>61</v>
      </c>
      <c r="AJ1829" s="105" t="s">
        <v>61</v>
      </c>
      <c r="AK1829" s="76"/>
    </row>
    <row r="1830" ht="24.0" customHeight="1">
      <c r="A1830" s="35"/>
      <c r="B1830" s="36">
        <v>1.0</v>
      </c>
      <c r="C1830" s="37" t="str">
        <f>IFERROR(__xludf.DUMMYFUNCTION("""COMPUTED_VALUE"""),"")</f>
        <v/>
      </c>
      <c r="D1830" s="89" t="s">
        <v>61</v>
      </c>
      <c r="E1830" s="39" t="s">
        <v>61</v>
      </c>
      <c r="F1830" s="121"/>
      <c r="G1830" s="122"/>
      <c r="H1830" s="138"/>
      <c r="I1830" s="80"/>
      <c r="J1830" s="80"/>
      <c r="K1830" s="95"/>
      <c r="L1830" s="80"/>
      <c r="M1830" s="43"/>
      <c r="N1830" s="43"/>
      <c r="O1830" s="80"/>
      <c r="P1830" s="80"/>
      <c r="Q1830" s="80"/>
      <c r="R1830" s="80"/>
      <c r="S1830" s="117"/>
      <c r="T1830" s="81"/>
      <c r="U1830" s="81"/>
      <c r="V1830" s="81"/>
      <c r="W1830" s="81"/>
      <c r="X1830" s="81"/>
      <c r="Y1830" s="81"/>
      <c r="Z1830" s="82"/>
      <c r="AA1830" s="99"/>
      <c r="AB1830" s="48" t="s">
        <v>61</v>
      </c>
      <c r="AC1830" s="68" t="s">
        <v>61</v>
      </c>
      <c r="AD1830" s="69" t="s">
        <v>61</v>
      </c>
      <c r="AE1830" s="69" t="s">
        <v>61</v>
      </c>
      <c r="AF1830" s="68" t="s">
        <v>61</v>
      </c>
      <c r="AG1830" s="68" t="s">
        <v>61</v>
      </c>
      <c r="AH1830" s="68" t="s">
        <v>61</v>
      </c>
      <c r="AI1830" s="70" t="s">
        <v>61</v>
      </c>
      <c r="AJ1830" s="114" t="s">
        <v>61</v>
      </c>
      <c r="AK1830" s="82"/>
    </row>
    <row r="1831" ht="24.0" customHeight="1">
      <c r="A1831" s="35"/>
      <c r="B1831" s="36">
        <v>1.0</v>
      </c>
      <c r="C1831" s="37" t="str">
        <f>IFERROR(__xludf.DUMMYFUNCTION("""COMPUTED_VALUE"""),"")</f>
        <v/>
      </c>
      <c r="D1831" s="89" t="s">
        <v>61</v>
      </c>
      <c r="E1831" s="51" t="s">
        <v>61</v>
      </c>
      <c r="F1831" s="137"/>
      <c r="G1831" s="133"/>
      <c r="H1831" s="141"/>
      <c r="I1831" s="57"/>
      <c r="J1831" s="57"/>
      <c r="K1831" s="72"/>
      <c r="L1831" s="57"/>
      <c r="M1831" s="55"/>
      <c r="N1831" s="55"/>
      <c r="O1831" s="57"/>
      <c r="P1831" s="57"/>
      <c r="Q1831" s="57"/>
      <c r="R1831" s="57"/>
      <c r="S1831" s="132"/>
      <c r="T1831" s="74"/>
      <c r="U1831" s="74"/>
      <c r="V1831" s="74"/>
      <c r="W1831" s="74"/>
      <c r="X1831" s="74"/>
      <c r="Y1831" s="74"/>
      <c r="Z1831" s="76"/>
      <c r="AA1831" s="134"/>
      <c r="AB1831" s="62" t="s">
        <v>61</v>
      </c>
      <c r="AC1831" s="63" t="s">
        <v>61</v>
      </c>
      <c r="AD1831" s="64" t="s">
        <v>61</v>
      </c>
      <c r="AE1831" s="64" t="s">
        <v>61</v>
      </c>
      <c r="AF1831" s="63" t="s">
        <v>61</v>
      </c>
      <c r="AG1831" s="63" t="s">
        <v>61</v>
      </c>
      <c r="AH1831" s="63" t="s">
        <v>61</v>
      </c>
      <c r="AI1831" s="65" t="s">
        <v>61</v>
      </c>
      <c r="AJ1831" s="105" t="s">
        <v>61</v>
      </c>
      <c r="AK1831" s="76"/>
    </row>
    <row r="1832" ht="24.0" customHeight="1">
      <c r="A1832" s="35"/>
      <c r="B1832" s="36">
        <v>1.0</v>
      </c>
      <c r="C1832" s="37" t="str">
        <f>IFERROR(__xludf.DUMMYFUNCTION("""COMPUTED_VALUE"""),"")</f>
        <v/>
      </c>
      <c r="D1832" s="89" t="s">
        <v>61</v>
      </c>
      <c r="E1832" s="39" t="s">
        <v>61</v>
      </c>
      <c r="F1832" s="121"/>
      <c r="G1832" s="122"/>
      <c r="H1832" s="138"/>
      <c r="I1832" s="80"/>
      <c r="J1832" s="80"/>
      <c r="K1832" s="95"/>
      <c r="L1832" s="80"/>
      <c r="M1832" s="43"/>
      <c r="N1832" s="43"/>
      <c r="O1832" s="80"/>
      <c r="P1832" s="80"/>
      <c r="Q1832" s="80"/>
      <c r="R1832" s="80"/>
      <c r="S1832" s="117"/>
      <c r="T1832" s="81"/>
      <c r="U1832" s="81"/>
      <c r="V1832" s="81"/>
      <c r="W1832" s="81"/>
      <c r="X1832" s="81"/>
      <c r="Y1832" s="81"/>
      <c r="Z1832" s="82"/>
      <c r="AA1832" s="99"/>
      <c r="AB1832" s="48" t="s">
        <v>61</v>
      </c>
      <c r="AC1832" s="68" t="s">
        <v>61</v>
      </c>
      <c r="AD1832" s="69" t="s">
        <v>61</v>
      </c>
      <c r="AE1832" s="69" t="s">
        <v>61</v>
      </c>
      <c r="AF1832" s="68" t="s">
        <v>61</v>
      </c>
      <c r="AG1832" s="68" t="s">
        <v>61</v>
      </c>
      <c r="AH1832" s="68" t="s">
        <v>61</v>
      </c>
      <c r="AI1832" s="70" t="s">
        <v>61</v>
      </c>
      <c r="AJ1832" s="114" t="s">
        <v>61</v>
      </c>
      <c r="AK1832" s="82"/>
    </row>
    <row r="1833" ht="24.0" customHeight="1">
      <c r="A1833" s="35"/>
      <c r="B1833" s="36">
        <v>1.0</v>
      </c>
      <c r="C1833" s="37" t="str">
        <f>IFERROR(__xludf.DUMMYFUNCTION("""COMPUTED_VALUE"""),"")</f>
        <v/>
      </c>
      <c r="D1833" s="89" t="s">
        <v>61</v>
      </c>
      <c r="E1833" s="51" t="s">
        <v>61</v>
      </c>
      <c r="F1833" s="137"/>
      <c r="G1833" s="133"/>
      <c r="H1833" s="141"/>
      <c r="I1833" s="57"/>
      <c r="J1833" s="57"/>
      <c r="K1833" s="72"/>
      <c r="L1833" s="57"/>
      <c r="M1833" s="55"/>
      <c r="N1833" s="55"/>
      <c r="O1833" s="57"/>
      <c r="P1833" s="57"/>
      <c r="Q1833" s="57"/>
      <c r="R1833" s="57"/>
      <c r="S1833" s="132"/>
      <c r="T1833" s="74"/>
      <c r="U1833" s="74"/>
      <c r="V1833" s="74"/>
      <c r="W1833" s="74"/>
      <c r="X1833" s="74"/>
      <c r="Y1833" s="74"/>
      <c r="Z1833" s="76"/>
      <c r="AA1833" s="134"/>
      <c r="AB1833" s="62" t="s">
        <v>61</v>
      </c>
      <c r="AC1833" s="63" t="s">
        <v>61</v>
      </c>
      <c r="AD1833" s="64" t="s">
        <v>61</v>
      </c>
      <c r="AE1833" s="64" t="s">
        <v>61</v>
      </c>
      <c r="AF1833" s="63" t="s">
        <v>61</v>
      </c>
      <c r="AG1833" s="63" t="s">
        <v>61</v>
      </c>
      <c r="AH1833" s="63" t="s">
        <v>61</v>
      </c>
      <c r="AI1833" s="65" t="s">
        <v>61</v>
      </c>
      <c r="AJ1833" s="105" t="s">
        <v>61</v>
      </c>
      <c r="AK1833" s="76"/>
    </row>
    <row r="1834" ht="24.0" customHeight="1">
      <c r="A1834" s="35"/>
      <c r="B1834" s="36">
        <v>1.0</v>
      </c>
      <c r="C1834" s="37" t="str">
        <f>IFERROR(__xludf.DUMMYFUNCTION("""COMPUTED_VALUE"""),"")</f>
        <v/>
      </c>
      <c r="D1834" s="89" t="s">
        <v>61</v>
      </c>
      <c r="E1834" s="39" t="s">
        <v>61</v>
      </c>
      <c r="F1834" s="121"/>
      <c r="G1834" s="122"/>
      <c r="H1834" s="138"/>
      <c r="I1834" s="80"/>
      <c r="J1834" s="80"/>
      <c r="K1834" s="95"/>
      <c r="L1834" s="80"/>
      <c r="M1834" s="43"/>
      <c r="N1834" s="43"/>
      <c r="O1834" s="80"/>
      <c r="P1834" s="80"/>
      <c r="Q1834" s="80"/>
      <c r="R1834" s="80"/>
      <c r="S1834" s="117"/>
      <c r="T1834" s="81"/>
      <c r="U1834" s="81"/>
      <c r="V1834" s="81"/>
      <c r="W1834" s="81"/>
      <c r="X1834" s="81"/>
      <c r="Y1834" s="81"/>
      <c r="Z1834" s="82"/>
      <c r="AA1834" s="99"/>
      <c r="AB1834" s="48" t="s">
        <v>61</v>
      </c>
      <c r="AC1834" s="68" t="s">
        <v>61</v>
      </c>
      <c r="AD1834" s="69" t="s">
        <v>61</v>
      </c>
      <c r="AE1834" s="69" t="s">
        <v>61</v>
      </c>
      <c r="AF1834" s="68" t="s">
        <v>61</v>
      </c>
      <c r="AG1834" s="68" t="s">
        <v>61</v>
      </c>
      <c r="AH1834" s="68" t="s">
        <v>61</v>
      </c>
      <c r="AI1834" s="70" t="s">
        <v>61</v>
      </c>
      <c r="AJ1834" s="114" t="s">
        <v>61</v>
      </c>
      <c r="AK1834" s="82"/>
    </row>
    <row r="1835" ht="24.0" customHeight="1">
      <c r="A1835" s="35"/>
      <c r="B1835" s="36">
        <v>1.0</v>
      </c>
      <c r="C1835" s="37" t="str">
        <f>IFERROR(__xludf.DUMMYFUNCTION("""COMPUTED_VALUE"""),"")</f>
        <v/>
      </c>
      <c r="D1835" s="89" t="s">
        <v>61</v>
      </c>
      <c r="E1835" s="51" t="s">
        <v>61</v>
      </c>
      <c r="F1835" s="137"/>
      <c r="G1835" s="133"/>
      <c r="H1835" s="141"/>
      <c r="I1835" s="57"/>
      <c r="J1835" s="57"/>
      <c r="K1835" s="72"/>
      <c r="L1835" s="57"/>
      <c r="M1835" s="55"/>
      <c r="N1835" s="55"/>
      <c r="O1835" s="57"/>
      <c r="P1835" s="57"/>
      <c r="Q1835" s="57"/>
      <c r="R1835" s="57"/>
      <c r="S1835" s="132"/>
      <c r="T1835" s="74"/>
      <c r="U1835" s="74"/>
      <c r="V1835" s="74"/>
      <c r="W1835" s="74"/>
      <c r="X1835" s="74"/>
      <c r="Y1835" s="74"/>
      <c r="Z1835" s="76"/>
      <c r="AA1835" s="134"/>
      <c r="AB1835" s="62" t="s">
        <v>61</v>
      </c>
      <c r="AC1835" s="63" t="s">
        <v>61</v>
      </c>
      <c r="AD1835" s="64" t="s">
        <v>61</v>
      </c>
      <c r="AE1835" s="64" t="s">
        <v>61</v>
      </c>
      <c r="AF1835" s="63" t="s">
        <v>61</v>
      </c>
      <c r="AG1835" s="63" t="s">
        <v>61</v>
      </c>
      <c r="AH1835" s="63" t="s">
        <v>61</v>
      </c>
      <c r="AI1835" s="65" t="s">
        <v>61</v>
      </c>
      <c r="AJ1835" s="105" t="s">
        <v>61</v>
      </c>
      <c r="AK1835" s="76"/>
    </row>
    <row r="1836" ht="24.0" customHeight="1">
      <c r="A1836" s="35"/>
      <c r="B1836" s="36">
        <v>1.0</v>
      </c>
      <c r="C1836" s="37" t="str">
        <f>IFERROR(__xludf.DUMMYFUNCTION("""COMPUTED_VALUE"""),"")</f>
        <v/>
      </c>
      <c r="D1836" s="89" t="s">
        <v>61</v>
      </c>
      <c r="E1836" s="39" t="s">
        <v>61</v>
      </c>
      <c r="F1836" s="121"/>
      <c r="G1836" s="122"/>
      <c r="H1836" s="138"/>
      <c r="I1836" s="80"/>
      <c r="J1836" s="80"/>
      <c r="K1836" s="95"/>
      <c r="L1836" s="80"/>
      <c r="M1836" s="43"/>
      <c r="N1836" s="43"/>
      <c r="O1836" s="80"/>
      <c r="P1836" s="80"/>
      <c r="Q1836" s="80"/>
      <c r="R1836" s="80"/>
      <c r="S1836" s="117"/>
      <c r="T1836" s="81"/>
      <c r="U1836" s="81"/>
      <c r="V1836" s="81"/>
      <c r="W1836" s="81"/>
      <c r="X1836" s="81"/>
      <c r="Y1836" s="81"/>
      <c r="Z1836" s="82"/>
      <c r="AA1836" s="99"/>
      <c r="AB1836" s="48" t="s">
        <v>61</v>
      </c>
      <c r="AC1836" s="68" t="s">
        <v>61</v>
      </c>
      <c r="AD1836" s="69" t="s">
        <v>61</v>
      </c>
      <c r="AE1836" s="69" t="s">
        <v>61</v>
      </c>
      <c r="AF1836" s="68" t="s">
        <v>61</v>
      </c>
      <c r="AG1836" s="68" t="s">
        <v>61</v>
      </c>
      <c r="AH1836" s="68" t="s">
        <v>61</v>
      </c>
      <c r="AI1836" s="70" t="s">
        <v>61</v>
      </c>
      <c r="AJ1836" s="114" t="s">
        <v>61</v>
      </c>
      <c r="AK1836" s="82"/>
    </row>
    <row r="1837" ht="24.0" customHeight="1">
      <c r="A1837" s="35"/>
      <c r="B1837" s="36">
        <v>1.0</v>
      </c>
      <c r="C1837" s="37" t="str">
        <f>IFERROR(__xludf.DUMMYFUNCTION("""COMPUTED_VALUE"""),"")</f>
        <v/>
      </c>
      <c r="D1837" s="89" t="s">
        <v>61</v>
      </c>
      <c r="E1837" s="51" t="s">
        <v>61</v>
      </c>
      <c r="F1837" s="137"/>
      <c r="G1837" s="133"/>
      <c r="H1837" s="141"/>
      <c r="I1837" s="57"/>
      <c r="J1837" s="57"/>
      <c r="K1837" s="72"/>
      <c r="L1837" s="57"/>
      <c r="M1837" s="55"/>
      <c r="N1837" s="55"/>
      <c r="O1837" s="57"/>
      <c r="P1837" s="57"/>
      <c r="Q1837" s="57"/>
      <c r="R1837" s="57"/>
      <c r="S1837" s="132"/>
      <c r="T1837" s="74"/>
      <c r="U1837" s="74"/>
      <c r="V1837" s="74"/>
      <c r="W1837" s="74"/>
      <c r="X1837" s="74"/>
      <c r="Y1837" s="74"/>
      <c r="Z1837" s="76"/>
      <c r="AA1837" s="134"/>
      <c r="AB1837" s="62" t="s">
        <v>61</v>
      </c>
      <c r="AC1837" s="63" t="s">
        <v>61</v>
      </c>
      <c r="AD1837" s="64" t="s">
        <v>61</v>
      </c>
      <c r="AE1837" s="64" t="s">
        <v>61</v>
      </c>
      <c r="AF1837" s="63" t="s">
        <v>61</v>
      </c>
      <c r="AG1837" s="63" t="s">
        <v>61</v>
      </c>
      <c r="AH1837" s="63" t="s">
        <v>61</v>
      </c>
      <c r="AI1837" s="65" t="s">
        <v>61</v>
      </c>
      <c r="AJ1837" s="105" t="s">
        <v>61</v>
      </c>
      <c r="AK1837" s="76"/>
    </row>
    <row r="1838" ht="24.0" customHeight="1">
      <c r="A1838" s="35"/>
      <c r="B1838" s="36">
        <v>1.0</v>
      </c>
      <c r="C1838" s="37" t="str">
        <f>IFERROR(__xludf.DUMMYFUNCTION("""COMPUTED_VALUE"""),"")</f>
        <v/>
      </c>
      <c r="D1838" s="89" t="s">
        <v>61</v>
      </c>
      <c r="E1838" s="39" t="s">
        <v>61</v>
      </c>
      <c r="F1838" s="121"/>
      <c r="G1838" s="122"/>
      <c r="H1838" s="138"/>
      <c r="I1838" s="80"/>
      <c r="J1838" s="80"/>
      <c r="K1838" s="95"/>
      <c r="L1838" s="80"/>
      <c r="M1838" s="43"/>
      <c r="N1838" s="43"/>
      <c r="O1838" s="80"/>
      <c r="P1838" s="80"/>
      <c r="Q1838" s="80"/>
      <c r="R1838" s="80"/>
      <c r="S1838" s="117"/>
      <c r="T1838" s="81"/>
      <c r="U1838" s="81"/>
      <c r="V1838" s="81"/>
      <c r="W1838" s="81"/>
      <c r="X1838" s="81"/>
      <c r="Y1838" s="81"/>
      <c r="Z1838" s="82"/>
      <c r="AA1838" s="99"/>
      <c r="AB1838" s="48" t="s">
        <v>61</v>
      </c>
      <c r="AC1838" s="68" t="s">
        <v>61</v>
      </c>
      <c r="AD1838" s="69" t="s">
        <v>61</v>
      </c>
      <c r="AE1838" s="69" t="s">
        <v>61</v>
      </c>
      <c r="AF1838" s="68" t="s">
        <v>61</v>
      </c>
      <c r="AG1838" s="68" t="s">
        <v>61</v>
      </c>
      <c r="AH1838" s="68" t="s">
        <v>61</v>
      </c>
      <c r="AI1838" s="70" t="s">
        <v>61</v>
      </c>
      <c r="AJ1838" s="114" t="s">
        <v>61</v>
      </c>
      <c r="AK1838" s="82"/>
    </row>
    <row r="1839" ht="24.0" customHeight="1">
      <c r="A1839" s="35"/>
      <c r="B1839" s="36">
        <v>1.0</v>
      </c>
      <c r="C1839" s="37" t="str">
        <f>IFERROR(__xludf.DUMMYFUNCTION("""COMPUTED_VALUE"""),"")</f>
        <v/>
      </c>
      <c r="D1839" s="89" t="s">
        <v>61</v>
      </c>
      <c r="E1839" s="51" t="s">
        <v>61</v>
      </c>
      <c r="F1839" s="137"/>
      <c r="G1839" s="133"/>
      <c r="H1839" s="141"/>
      <c r="I1839" s="57"/>
      <c r="J1839" s="57"/>
      <c r="K1839" s="72"/>
      <c r="L1839" s="57"/>
      <c r="M1839" s="55"/>
      <c r="N1839" s="55"/>
      <c r="O1839" s="57"/>
      <c r="P1839" s="57"/>
      <c r="Q1839" s="57"/>
      <c r="R1839" s="57"/>
      <c r="S1839" s="132"/>
      <c r="T1839" s="74"/>
      <c r="U1839" s="74"/>
      <c r="V1839" s="74"/>
      <c r="W1839" s="74"/>
      <c r="X1839" s="74"/>
      <c r="Y1839" s="74"/>
      <c r="Z1839" s="76"/>
      <c r="AA1839" s="134"/>
      <c r="AB1839" s="62" t="s">
        <v>61</v>
      </c>
      <c r="AC1839" s="63" t="s">
        <v>61</v>
      </c>
      <c r="AD1839" s="64" t="s">
        <v>61</v>
      </c>
      <c r="AE1839" s="64" t="s">
        <v>61</v>
      </c>
      <c r="AF1839" s="63" t="s">
        <v>61</v>
      </c>
      <c r="AG1839" s="63" t="s">
        <v>61</v>
      </c>
      <c r="AH1839" s="63" t="s">
        <v>61</v>
      </c>
      <c r="AI1839" s="65" t="s">
        <v>61</v>
      </c>
      <c r="AJ1839" s="105" t="s">
        <v>61</v>
      </c>
      <c r="AK1839" s="76"/>
    </row>
    <row r="1840" ht="24.0" customHeight="1">
      <c r="A1840" s="35"/>
      <c r="B1840" s="36">
        <v>1.0</v>
      </c>
      <c r="C1840" s="37" t="str">
        <f>IFERROR(__xludf.DUMMYFUNCTION("""COMPUTED_VALUE"""),"")</f>
        <v/>
      </c>
      <c r="D1840" s="89" t="s">
        <v>61</v>
      </c>
      <c r="E1840" s="39" t="s">
        <v>61</v>
      </c>
      <c r="F1840" s="121"/>
      <c r="G1840" s="122"/>
      <c r="H1840" s="138"/>
      <c r="I1840" s="80"/>
      <c r="J1840" s="80"/>
      <c r="K1840" s="95"/>
      <c r="L1840" s="80"/>
      <c r="M1840" s="43"/>
      <c r="N1840" s="43"/>
      <c r="O1840" s="80"/>
      <c r="P1840" s="80"/>
      <c r="Q1840" s="80"/>
      <c r="R1840" s="80"/>
      <c r="S1840" s="117"/>
      <c r="T1840" s="81"/>
      <c r="U1840" s="81"/>
      <c r="V1840" s="81"/>
      <c r="W1840" s="81"/>
      <c r="X1840" s="81"/>
      <c r="Y1840" s="81"/>
      <c r="Z1840" s="82"/>
      <c r="AA1840" s="99"/>
      <c r="AB1840" s="48" t="s">
        <v>61</v>
      </c>
      <c r="AC1840" s="68" t="s">
        <v>61</v>
      </c>
      <c r="AD1840" s="69" t="s">
        <v>61</v>
      </c>
      <c r="AE1840" s="69" t="s">
        <v>61</v>
      </c>
      <c r="AF1840" s="68" t="s">
        <v>61</v>
      </c>
      <c r="AG1840" s="68" t="s">
        <v>61</v>
      </c>
      <c r="AH1840" s="68" t="s">
        <v>61</v>
      </c>
      <c r="AI1840" s="70" t="s">
        <v>61</v>
      </c>
      <c r="AJ1840" s="114" t="s">
        <v>61</v>
      </c>
      <c r="AK1840" s="82"/>
    </row>
    <row r="1841" ht="24.0" customHeight="1">
      <c r="A1841" s="35"/>
      <c r="B1841" s="36">
        <v>1.0</v>
      </c>
      <c r="C1841" s="37" t="str">
        <f>IFERROR(__xludf.DUMMYFUNCTION("""COMPUTED_VALUE"""),"")</f>
        <v/>
      </c>
      <c r="D1841" s="89" t="s">
        <v>61</v>
      </c>
      <c r="E1841" s="51" t="s">
        <v>61</v>
      </c>
      <c r="F1841" s="137"/>
      <c r="G1841" s="133"/>
      <c r="H1841" s="141"/>
      <c r="I1841" s="57"/>
      <c r="J1841" s="57"/>
      <c r="K1841" s="72"/>
      <c r="L1841" s="57"/>
      <c r="M1841" s="55"/>
      <c r="N1841" s="55"/>
      <c r="O1841" s="57"/>
      <c r="P1841" s="57"/>
      <c r="Q1841" s="57"/>
      <c r="R1841" s="57"/>
      <c r="S1841" s="132"/>
      <c r="T1841" s="74"/>
      <c r="U1841" s="74"/>
      <c r="V1841" s="74"/>
      <c r="W1841" s="74"/>
      <c r="X1841" s="74"/>
      <c r="Y1841" s="74"/>
      <c r="Z1841" s="76"/>
      <c r="AA1841" s="134"/>
      <c r="AB1841" s="62" t="s">
        <v>61</v>
      </c>
      <c r="AC1841" s="63" t="s">
        <v>61</v>
      </c>
      <c r="AD1841" s="64" t="s">
        <v>61</v>
      </c>
      <c r="AE1841" s="64" t="s">
        <v>61</v>
      </c>
      <c r="AF1841" s="63" t="s">
        <v>61</v>
      </c>
      <c r="AG1841" s="63" t="s">
        <v>61</v>
      </c>
      <c r="AH1841" s="63" t="s">
        <v>61</v>
      </c>
      <c r="AI1841" s="65" t="s">
        <v>61</v>
      </c>
      <c r="AJ1841" s="105" t="s">
        <v>61</v>
      </c>
      <c r="AK1841" s="76"/>
    </row>
    <row r="1842" ht="24.0" customHeight="1">
      <c r="A1842" s="35"/>
      <c r="B1842" s="36">
        <v>1.0</v>
      </c>
      <c r="C1842" s="37" t="str">
        <f>IFERROR(__xludf.DUMMYFUNCTION("""COMPUTED_VALUE"""),"")</f>
        <v/>
      </c>
      <c r="D1842" s="89" t="s">
        <v>61</v>
      </c>
      <c r="E1842" s="39" t="s">
        <v>61</v>
      </c>
      <c r="F1842" s="121"/>
      <c r="G1842" s="122"/>
      <c r="H1842" s="138"/>
      <c r="I1842" s="80"/>
      <c r="J1842" s="80"/>
      <c r="K1842" s="95"/>
      <c r="L1842" s="80"/>
      <c r="M1842" s="43"/>
      <c r="N1842" s="43"/>
      <c r="O1842" s="80"/>
      <c r="P1842" s="80"/>
      <c r="Q1842" s="80"/>
      <c r="R1842" s="80"/>
      <c r="S1842" s="117"/>
      <c r="T1842" s="81"/>
      <c r="U1842" s="81"/>
      <c r="V1842" s="81"/>
      <c r="W1842" s="81"/>
      <c r="X1842" s="81"/>
      <c r="Y1842" s="81"/>
      <c r="Z1842" s="82"/>
      <c r="AA1842" s="99"/>
      <c r="AB1842" s="48" t="s">
        <v>61</v>
      </c>
      <c r="AC1842" s="68" t="s">
        <v>61</v>
      </c>
      <c r="AD1842" s="69" t="s">
        <v>61</v>
      </c>
      <c r="AE1842" s="69" t="s">
        <v>61</v>
      </c>
      <c r="AF1842" s="68" t="s">
        <v>61</v>
      </c>
      <c r="AG1842" s="68" t="s">
        <v>61</v>
      </c>
      <c r="AH1842" s="68" t="s">
        <v>61</v>
      </c>
      <c r="AI1842" s="70" t="s">
        <v>61</v>
      </c>
      <c r="AJ1842" s="114" t="s">
        <v>61</v>
      </c>
      <c r="AK1842" s="82"/>
    </row>
    <row r="1843" ht="24.0" customHeight="1">
      <c r="A1843" s="35"/>
      <c r="B1843" s="36">
        <v>1.0</v>
      </c>
      <c r="C1843" s="37" t="str">
        <f>IFERROR(__xludf.DUMMYFUNCTION("""COMPUTED_VALUE"""),"")</f>
        <v/>
      </c>
      <c r="D1843" s="89" t="s">
        <v>61</v>
      </c>
      <c r="E1843" s="51" t="s">
        <v>61</v>
      </c>
      <c r="F1843" s="137"/>
      <c r="G1843" s="133"/>
      <c r="H1843" s="141"/>
      <c r="I1843" s="57"/>
      <c r="J1843" s="57"/>
      <c r="K1843" s="72"/>
      <c r="L1843" s="57"/>
      <c r="M1843" s="55"/>
      <c r="N1843" s="55"/>
      <c r="O1843" s="57"/>
      <c r="P1843" s="57"/>
      <c r="Q1843" s="57"/>
      <c r="R1843" s="57"/>
      <c r="S1843" s="132"/>
      <c r="T1843" s="74"/>
      <c r="U1843" s="74"/>
      <c r="V1843" s="74"/>
      <c r="W1843" s="74"/>
      <c r="X1843" s="74"/>
      <c r="Y1843" s="74"/>
      <c r="Z1843" s="76"/>
      <c r="AA1843" s="134"/>
      <c r="AB1843" s="62" t="s">
        <v>61</v>
      </c>
      <c r="AC1843" s="63" t="s">
        <v>61</v>
      </c>
      <c r="AD1843" s="64" t="s">
        <v>61</v>
      </c>
      <c r="AE1843" s="64" t="s">
        <v>61</v>
      </c>
      <c r="AF1843" s="63" t="s">
        <v>61</v>
      </c>
      <c r="AG1843" s="63" t="s">
        <v>61</v>
      </c>
      <c r="AH1843" s="63" t="s">
        <v>61</v>
      </c>
      <c r="AI1843" s="65" t="s">
        <v>61</v>
      </c>
      <c r="AJ1843" s="105" t="s">
        <v>61</v>
      </c>
      <c r="AK1843" s="76"/>
    </row>
    <row r="1844" ht="24.0" customHeight="1">
      <c r="A1844" s="35"/>
      <c r="B1844" s="36">
        <v>1.0</v>
      </c>
      <c r="C1844" s="37" t="str">
        <f>IFERROR(__xludf.DUMMYFUNCTION("""COMPUTED_VALUE"""),"")</f>
        <v/>
      </c>
      <c r="D1844" s="89" t="s">
        <v>61</v>
      </c>
      <c r="E1844" s="39" t="s">
        <v>61</v>
      </c>
      <c r="F1844" s="121"/>
      <c r="G1844" s="122"/>
      <c r="H1844" s="138"/>
      <c r="I1844" s="80"/>
      <c r="J1844" s="80"/>
      <c r="K1844" s="95"/>
      <c r="L1844" s="80"/>
      <c r="M1844" s="43"/>
      <c r="N1844" s="43"/>
      <c r="O1844" s="80"/>
      <c r="P1844" s="80"/>
      <c r="Q1844" s="80"/>
      <c r="R1844" s="80"/>
      <c r="S1844" s="117"/>
      <c r="T1844" s="81"/>
      <c r="U1844" s="81"/>
      <c r="V1844" s="81"/>
      <c r="W1844" s="81"/>
      <c r="X1844" s="81"/>
      <c r="Y1844" s="81"/>
      <c r="Z1844" s="82"/>
      <c r="AA1844" s="99"/>
      <c r="AB1844" s="48" t="s">
        <v>61</v>
      </c>
      <c r="AC1844" s="68" t="s">
        <v>61</v>
      </c>
      <c r="AD1844" s="69" t="s">
        <v>61</v>
      </c>
      <c r="AE1844" s="69" t="s">
        <v>61</v>
      </c>
      <c r="AF1844" s="68" t="s">
        <v>61</v>
      </c>
      <c r="AG1844" s="68" t="s">
        <v>61</v>
      </c>
      <c r="AH1844" s="68" t="s">
        <v>61</v>
      </c>
      <c r="AI1844" s="70" t="s">
        <v>61</v>
      </c>
      <c r="AJ1844" s="114" t="s">
        <v>61</v>
      </c>
      <c r="AK1844" s="82"/>
    </row>
    <row r="1845" ht="24.0" customHeight="1">
      <c r="A1845" s="35"/>
      <c r="B1845" s="36">
        <v>1.0</v>
      </c>
      <c r="C1845" s="37" t="str">
        <f>IFERROR(__xludf.DUMMYFUNCTION("""COMPUTED_VALUE"""),"")</f>
        <v/>
      </c>
      <c r="D1845" s="89" t="s">
        <v>61</v>
      </c>
      <c r="E1845" s="51" t="s">
        <v>61</v>
      </c>
      <c r="F1845" s="137"/>
      <c r="G1845" s="133"/>
      <c r="H1845" s="141"/>
      <c r="I1845" s="57"/>
      <c r="J1845" s="57"/>
      <c r="K1845" s="72"/>
      <c r="L1845" s="57"/>
      <c r="M1845" s="55"/>
      <c r="N1845" s="55"/>
      <c r="O1845" s="57"/>
      <c r="P1845" s="57"/>
      <c r="Q1845" s="57"/>
      <c r="R1845" s="57"/>
      <c r="S1845" s="132"/>
      <c r="T1845" s="74"/>
      <c r="U1845" s="74"/>
      <c r="V1845" s="74"/>
      <c r="W1845" s="74"/>
      <c r="X1845" s="74"/>
      <c r="Y1845" s="74"/>
      <c r="Z1845" s="76"/>
      <c r="AA1845" s="134"/>
      <c r="AB1845" s="62" t="s">
        <v>61</v>
      </c>
      <c r="AC1845" s="63" t="s">
        <v>61</v>
      </c>
      <c r="AD1845" s="64" t="s">
        <v>61</v>
      </c>
      <c r="AE1845" s="64" t="s">
        <v>61</v>
      </c>
      <c r="AF1845" s="63" t="s">
        <v>61</v>
      </c>
      <c r="AG1845" s="63" t="s">
        <v>61</v>
      </c>
      <c r="AH1845" s="63" t="s">
        <v>61</v>
      </c>
      <c r="AI1845" s="65" t="s">
        <v>61</v>
      </c>
      <c r="AJ1845" s="105" t="s">
        <v>61</v>
      </c>
      <c r="AK1845" s="76"/>
    </row>
    <row r="1846" ht="24.0" customHeight="1">
      <c r="A1846" s="35"/>
      <c r="B1846" s="36">
        <v>1.0</v>
      </c>
      <c r="C1846" s="37" t="str">
        <f>IFERROR(__xludf.DUMMYFUNCTION("""COMPUTED_VALUE"""),"")</f>
        <v/>
      </c>
      <c r="D1846" s="89" t="s">
        <v>61</v>
      </c>
      <c r="E1846" s="39" t="s">
        <v>61</v>
      </c>
      <c r="F1846" s="121"/>
      <c r="G1846" s="122"/>
      <c r="H1846" s="138"/>
      <c r="I1846" s="80"/>
      <c r="J1846" s="80"/>
      <c r="K1846" s="95"/>
      <c r="L1846" s="80"/>
      <c r="M1846" s="43"/>
      <c r="N1846" s="43"/>
      <c r="O1846" s="80"/>
      <c r="P1846" s="80"/>
      <c r="Q1846" s="80"/>
      <c r="R1846" s="80"/>
      <c r="S1846" s="117"/>
      <c r="T1846" s="81"/>
      <c r="U1846" s="81"/>
      <c r="V1846" s="81"/>
      <c r="W1846" s="81"/>
      <c r="X1846" s="81"/>
      <c r="Y1846" s="81"/>
      <c r="Z1846" s="82"/>
      <c r="AA1846" s="99"/>
      <c r="AB1846" s="48" t="s">
        <v>61</v>
      </c>
      <c r="AC1846" s="68" t="s">
        <v>61</v>
      </c>
      <c r="AD1846" s="69" t="s">
        <v>61</v>
      </c>
      <c r="AE1846" s="69" t="s">
        <v>61</v>
      </c>
      <c r="AF1846" s="68" t="s">
        <v>61</v>
      </c>
      <c r="AG1846" s="68" t="s">
        <v>61</v>
      </c>
      <c r="AH1846" s="68" t="s">
        <v>61</v>
      </c>
      <c r="AI1846" s="70" t="s">
        <v>61</v>
      </c>
      <c r="AJ1846" s="114" t="s">
        <v>61</v>
      </c>
      <c r="AK1846" s="82"/>
    </row>
    <row r="1847" ht="24.0" customHeight="1">
      <c r="A1847" s="35"/>
      <c r="B1847" s="36">
        <v>1.0</v>
      </c>
      <c r="C1847" s="37" t="str">
        <f>IFERROR(__xludf.DUMMYFUNCTION("""COMPUTED_VALUE"""),"")</f>
        <v/>
      </c>
      <c r="D1847" s="89" t="s">
        <v>61</v>
      </c>
      <c r="E1847" s="51" t="s">
        <v>61</v>
      </c>
      <c r="F1847" s="137"/>
      <c r="G1847" s="133"/>
      <c r="H1847" s="141"/>
      <c r="I1847" s="57"/>
      <c r="J1847" s="57"/>
      <c r="K1847" s="72"/>
      <c r="L1847" s="57"/>
      <c r="M1847" s="55"/>
      <c r="N1847" s="55"/>
      <c r="O1847" s="57"/>
      <c r="P1847" s="57"/>
      <c r="Q1847" s="57"/>
      <c r="R1847" s="57"/>
      <c r="S1847" s="132"/>
      <c r="T1847" s="74"/>
      <c r="U1847" s="74"/>
      <c r="V1847" s="74"/>
      <c r="W1847" s="74"/>
      <c r="X1847" s="74"/>
      <c r="Y1847" s="74"/>
      <c r="Z1847" s="76"/>
      <c r="AA1847" s="134"/>
      <c r="AB1847" s="62" t="s">
        <v>61</v>
      </c>
      <c r="AC1847" s="63" t="s">
        <v>61</v>
      </c>
      <c r="AD1847" s="64" t="s">
        <v>61</v>
      </c>
      <c r="AE1847" s="64" t="s">
        <v>61</v>
      </c>
      <c r="AF1847" s="63" t="s">
        <v>61</v>
      </c>
      <c r="AG1847" s="63" t="s">
        <v>61</v>
      </c>
      <c r="AH1847" s="63" t="s">
        <v>61</v>
      </c>
      <c r="AI1847" s="65" t="s">
        <v>61</v>
      </c>
      <c r="AJ1847" s="105" t="s">
        <v>61</v>
      </c>
      <c r="AK1847" s="76"/>
    </row>
    <row r="1848" ht="24.0" customHeight="1">
      <c r="A1848" s="35"/>
      <c r="B1848" s="36">
        <v>1.0</v>
      </c>
      <c r="C1848" s="37" t="str">
        <f>IFERROR(__xludf.DUMMYFUNCTION("""COMPUTED_VALUE"""),"")</f>
        <v/>
      </c>
      <c r="D1848" s="89" t="s">
        <v>61</v>
      </c>
      <c r="E1848" s="39" t="s">
        <v>61</v>
      </c>
      <c r="F1848" s="121"/>
      <c r="G1848" s="122"/>
      <c r="H1848" s="138"/>
      <c r="I1848" s="80"/>
      <c r="J1848" s="80"/>
      <c r="K1848" s="95"/>
      <c r="L1848" s="80"/>
      <c r="M1848" s="43"/>
      <c r="N1848" s="43"/>
      <c r="O1848" s="80"/>
      <c r="P1848" s="80"/>
      <c r="Q1848" s="80"/>
      <c r="R1848" s="80"/>
      <c r="S1848" s="117"/>
      <c r="T1848" s="81"/>
      <c r="U1848" s="81"/>
      <c r="V1848" s="81"/>
      <c r="W1848" s="81"/>
      <c r="X1848" s="81"/>
      <c r="Y1848" s="81"/>
      <c r="Z1848" s="82"/>
      <c r="AA1848" s="99"/>
      <c r="AB1848" s="48" t="s">
        <v>61</v>
      </c>
      <c r="AC1848" s="68" t="s">
        <v>61</v>
      </c>
      <c r="AD1848" s="69" t="s">
        <v>61</v>
      </c>
      <c r="AE1848" s="69" t="s">
        <v>61</v>
      </c>
      <c r="AF1848" s="68" t="s">
        <v>61</v>
      </c>
      <c r="AG1848" s="68" t="s">
        <v>61</v>
      </c>
      <c r="AH1848" s="68" t="s">
        <v>61</v>
      </c>
      <c r="AI1848" s="70" t="s">
        <v>61</v>
      </c>
      <c r="AJ1848" s="114" t="s">
        <v>61</v>
      </c>
      <c r="AK1848" s="82"/>
    </row>
    <row r="1849" ht="24.0" customHeight="1">
      <c r="A1849" s="35"/>
      <c r="B1849" s="36">
        <v>1.0</v>
      </c>
      <c r="C1849" s="37" t="str">
        <f>IFERROR(__xludf.DUMMYFUNCTION("""COMPUTED_VALUE"""),"")</f>
        <v/>
      </c>
      <c r="D1849" s="89" t="s">
        <v>61</v>
      </c>
      <c r="E1849" s="51" t="s">
        <v>61</v>
      </c>
      <c r="F1849" s="137"/>
      <c r="G1849" s="133"/>
      <c r="H1849" s="141"/>
      <c r="I1849" s="57"/>
      <c r="J1849" s="57"/>
      <c r="K1849" s="72"/>
      <c r="L1849" s="57"/>
      <c r="M1849" s="55"/>
      <c r="N1849" s="55"/>
      <c r="O1849" s="57"/>
      <c r="P1849" s="57"/>
      <c r="Q1849" s="57"/>
      <c r="R1849" s="57"/>
      <c r="S1849" s="132"/>
      <c r="T1849" s="74"/>
      <c r="U1849" s="74"/>
      <c r="V1849" s="74"/>
      <c r="W1849" s="74"/>
      <c r="X1849" s="74"/>
      <c r="Y1849" s="74"/>
      <c r="Z1849" s="76"/>
      <c r="AA1849" s="134"/>
      <c r="AB1849" s="62" t="s">
        <v>61</v>
      </c>
      <c r="AC1849" s="63" t="s">
        <v>61</v>
      </c>
      <c r="AD1849" s="64" t="s">
        <v>61</v>
      </c>
      <c r="AE1849" s="64" t="s">
        <v>61</v>
      </c>
      <c r="AF1849" s="63" t="s">
        <v>61</v>
      </c>
      <c r="AG1849" s="63" t="s">
        <v>61</v>
      </c>
      <c r="AH1849" s="63" t="s">
        <v>61</v>
      </c>
      <c r="AI1849" s="65" t="s">
        <v>61</v>
      </c>
      <c r="AJ1849" s="105" t="s">
        <v>61</v>
      </c>
      <c r="AK1849" s="76"/>
    </row>
    <row r="1850" ht="24.0" customHeight="1">
      <c r="A1850" s="35"/>
      <c r="B1850" s="36">
        <v>1.0</v>
      </c>
      <c r="C1850" s="37" t="str">
        <f>IFERROR(__xludf.DUMMYFUNCTION("""COMPUTED_VALUE"""),"")</f>
        <v/>
      </c>
      <c r="D1850" s="89" t="s">
        <v>61</v>
      </c>
      <c r="E1850" s="39" t="s">
        <v>61</v>
      </c>
      <c r="F1850" s="121"/>
      <c r="G1850" s="122"/>
      <c r="H1850" s="138"/>
      <c r="I1850" s="80"/>
      <c r="J1850" s="80"/>
      <c r="K1850" s="95"/>
      <c r="L1850" s="80"/>
      <c r="M1850" s="43"/>
      <c r="N1850" s="43"/>
      <c r="O1850" s="80"/>
      <c r="P1850" s="80"/>
      <c r="Q1850" s="80"/>
      <c r="R1850" s="80"/>
      <c r="S1850" s="117"/>
      <c r="T1850" s="81"/>
      <c r="U1850" s="81"/>
      <c r="V1850" s="81"/>
      <c r="W1850" s="81"/>
      <c r="X1850" s="81"/>
      <c r="Y1850" s="81"/>
      <c r="Z1850" s="82"/>
      <c r="AA1850" s="99"/>
      <c r="AB1850" s="48" t="s">
        <v>61</v>
      </c>
      <c r="AC1850" s="68" t="s">
        <v>61</v>
      </c>
      <c r="AD1850" s="69" t="s">
        <v>61</v>
      </c>
      <c r="AE1850" s="69" t="s">
        <v>61</v>
      </c>
      <c r="AF1850" s="68" t="s">
        <v>61</v>
      </c>
      <c r="AG1850" s="68" t="s">
        <v>61</v>
      </c>
      <c r="AH1850" s="68" t="s">
        <v>61</v>
      </c>
      <c r="AI1850" s="70" t="s">
        <v>61</v>
      </c>
      <c r="AJ1850" s="114" t="s">
        <v>61</v>
      </c>
      <c r="AK1850" s="82"/>
    </row>
    <row r="1851" ht="24.0" customHeight="1">
      <c r="A1851" s="35"/>
      <c r="B1851" s="36">
        <v>1.0</v>
      </c>
      <c r="C1851" s="37" t="str">
        <f>IFERROR(__xludf.DUMMYFUNCTION("""COMPUTED_VALUE"""),"")</f>
        <v/>
      </c>
      <c r="D1851" s="89" t="s">
        <v>61</v>
      </c>
      <c r="E1851" s="51" t="s">
        <v>61</v>
      </c>
      <c r="F1851" s="137"/>
      <c r="G1851" s="133"/>
      <c r="H1851" s="141"/>
      <c r="I1851" s="57"/>
      <c r="J1851" s="57"/>
      <c r="K1851" s="72"/>
      <c r="L1851" s="57"/>
      <c r="M1851" s="55"/>
      <c r="N1851" s="55"/>
      <c r="O1851" s="57"/>
      <c r="P1851" s="57"/>
      <c r="Q1851" s="57"/>
      <c r="R1851" s="57"/>
      <c r="S1851" s="132"/>
      <c r="T1851" s="74"/>
      <c r="U1851" s="74"/>
      <c r="V1851" s="74"/>
      <c r="W1851" s="74"/>
      <c r="X1851" s="74"/>
      <c r="Y1851" s="74"/>
      <c r="Z1851" s="76"/>
      <c r="AA1851" s="134"/>
      <c r="AB1851" s="62" t="s">
        <v>61</v>
      </c>
      <c r="AC1851" s="63" t="s">
        <v>61</v>
      </c>
      <c r="AD1851" s="64" t="s">
        <v>61</v>
      </c>
      <c r="AE1851" s="64" t="s">
        <v>61</v>
      </c>
      <c r="AF1851" s="63" t="s">
        <v>61</v>
      </c>
      <c r="AG1851" s="63" t="s">
        <v>61</v>
      </c>
      <c r="AH1851" s="63" t="s">
        <v>61</v>
      </c>
      <c r="AI1851" s="65" t="s">
        <v>61</v>
      </c>
      <c r="AJ1851" s="105" t="s">
        <v>61</v>
      </c>
      <c r="AK1851" s="76"/>
    </row>
    <row r="1852" ht="24.0" customHeight="1">
      <c r="A1852" s="35"/>
      <c r="B1852" s="36">
        <v>1.0</v>
      </c>
      <c r="C1852" s="37" t="str">
        <f>IFERROR(__xludf.DUMMYFUNCTION("""COMPUTED_VALUE"""),"")</f>
        <v/>
      </c>
      <c r="D1852" s="89" t="s">
        <v>61</v>
      </c>
      <c r="E1852" s="39" t="s">
        <v>61</v>
      </c>
      <c r="F1852" s="121"/>
      <c r="G1852" s="122"/>
      <c r="H1852" s="138"/>
      <c r="I1852" s="80"/>
      <c r="J1852" s="80"/>
      <c r="K1852" s="95"/>
      <c r="L1852" s="80"/>
      <c r="M1852" s="43"/>
      <c r="N1852" s="43"/>
      <c r="O1852" s="80"/>
      <c r="P1852" s="80"/>
      <c r="Q1852" s="80"/>
      <c r="R1852" s="80"/>
      <c r="S1852" s="117"/>
      <c r="T1852" s="81"/>
      <c r="U1852" s="81"/>
      <c r="V1852" s="81"/>
      <c r="W1852" s="81"/>
      <c r="X1852" s="81"/>
      <c r="Y1852" s="81"/>
      <c r="Z1852" s="82"/>
      <c r="AA1852" s="99"/>
      <c r="AB1852" s="48" t="s">
        <v>61</v>
      </c>
      <c r="AC1852" s="68" t="s">
        <v>61</v>
      </c>
      <c r="AD1852" s="69" t="s">
        <v>61</v>
      </c>
      <c r="AE1852" s="69" t="s">
        <v>61</v>
      </c>
      <c r="AF1852" s="68" t="s">
        <v>61</v>
      </c>
      <c r="AG1852" s="68" t="s">
        <v>61</v>
      </c>
      <c r="AH1852" s="68" t="s">
        <v>61</v>
      </c>
      <c r="AI1852" s="70" t="s">
        <v>61</v>
      </c>
      <c r="AJ1852" s="114" t="s">
        <v>61</v>
      </c>
      <c r="AK1852" s="82"/>
    </row>
    <row r="1853" ht="24.0" customHeight="1">
      <c r="A1853" s="35"/>
      <c r="B1853" s="36">
        <v>1.0</v>
      </c>
      <c r="C1853" s="37" t="str">
        <f>IFERROR(__xludf.DUMMYFUNCTION("""COMPUTED_VALUE"""),"")</f>
        <v/>
      </c>
      <c r="D1853" s="89" t="s">
        <v>61</v>
      </c>
      <c r="E1853" s="51" t="s">
        <v>61</v>
      </c>
      <c r="F1853" s="137"/>
      <c r="G1853" s="133"/>
      <c r="H1853" s="141"/>
      <c r="I1853" s="57"/>
      <c r="J1853" s="57"/>
      <c r="K1853" s="72"/>
      <c r="L1853" s="57"/>
      <c r="M1853" s="55"/>
      <c r="N1853" s="55"/>
      <c r="O1853" s="57"/>
      <c r="P1853" s="57"/>
      <c r="Q1853" s="57"/>
      <c r="R1853" s="57"/>
      <c r="S1853" s="132"/>
      <c r="T1853" s="74"/>
      <c r="U1853" s="74"/>
      <c r="V1853" s="74"/>
      <c r="W1853" s="74"/>
      <c r="X1853" s="74"/>
      <c r="Y1853" s="74"/>
      <c r="Z1853" s="76"/>
      <c r="AA1853" s="134"/>
      <c r="AB1853" s="62" t="s">
        <v>61</v>
      </c>
      <c r="AC1853" s="63" t="s">
        <v>61</v>
      </c>
      <c r="AD1853" s="64" t="s">
        <v>61</v>
      </c>
      <c r="AE1853" s="64" t="s">
        <v>61</v>
      </c>
      <c r="AF1853" s="63" t="s">
        <v>61</v>
      </c>
      <c r="AG1853" s="63" t="s">
        <v>61</v>
      </c>
      <c r="AH1853" s="63" t="s">
        <v>61</v>
      </c>
      <c r="AI1853" s="65" t="s">
        <v>61</v>
      </c>
      <c r="AJ1853" s="105" t="s">
        <v>61</v>
      </c>
      <c r="AK1853" s="76"/>
    </row>
    <row r="1854" ht="24.0" customHeight="1">
      <c r="A1854" s="35"/>
      <c r="B1854" s="36">
        <v>1.0</v>
      </c>
      <c r="C1854" s="37" t="str">
        <f>IFERROR(__xludf.DUMMYFUNCTION("""COMPUTED_VALUE"""),"")</f>
        <v/>
      </c>
      <c r="D1854" s="89" t="s">
        <v>61</v>
      </c>
      <c r="E1854" s="39" t="s">
        <v>61</v>
      </c>
      <c r="F1854" s="121"/>
      <c r="G1854" s="122"/>
      <c r="H1854" s="138"/>
      <c r="I1854" s="80"/>
      <c r="J1854" s="80"/>
      <c r="K1854" s="95"/>
      <c r="L1854" s="80"/>
      <c r="M1854" s="43"/>
      <c r="N1854" s="43"/>
      <c r="O1854" s="80"/>
      <c r="P1854" s="80"/>
      <c r="Q1854" s="80"/>
      <c r="R1854" s="80"/>
      <c r="S1854" s="117"/>
      <c r="T1854" s="81"/>
      <c r="U1854" s="81"/>
      <c r="V1854" s="81"/>
      <c r="W1854" s="81"/>
      <c r="X1854" s="81"/>
      <c r="Y1854" s="81"/>
      <c r="Z1854" s="82"/>
      <c r="AA1854" s="99"/>
      <c r="AB1854" s="48" t="s">
        <v>61</v>
      </c>
      <c r="AC1854" s="68" t="s">
        <v>61</v>
      </c>
      <c r="AD1854" s="69" t="s">
        <v>61</v>
      </c>
      <c r="AE1854" s="69" t="s">
        <v>61</v>
      </c>
      <c r="AF1854" s="68" t="s">
        <v>61</v>
      </c>
      <c r="AG1854" s="68" t="s">
        <v>61</v>
      </c>
      <c r="AH1854" s="68" t="s">
        <v>61</v>
      </c>
      <c r="AI1854" s="70" t="s">
        <v>61</v>
      </c>
      <c r="AJ1854" s="114" t="s">
        <v>61</v>
      </c>
      <c r="AK1854" s="82"/>
    </row>
    <row r="1855" ht="24.0" customHeight="1">
      <c r="A1855" s="35"/>
      <c r="B1855" s="36">
        <v>1.0</v>
      </c>
      <c r="C1855" s="37" t="str">
        <f>IFERROR(__xludf.DUMMYFUNCTION("""COMPUTED_VALUE"""),"")</f>
        <v/>
      </c>
      <c r="D1855" s="89" t="s">
        <v>61</v>
      </c>
      <c r="E1855" s="51" t="s">
        <v>61</v>
      </c>
      <c r="F1855" s="137"/>
      <c r="G1855" s="133"/>
      <c r="H1855" s="141"/>
      <c r="I1855" s="57"/>
      <c r="J1855" s="57"/>
      <c r="K1855" s="72"/>
      <c r="L1855" s="57"/>
      <c r="M1855" s="55"/>
      <c r="N1855" s="55"/>
      <c r="O1855" s="57"/>
      <c r="P1855" s="57"/>
      <c r="Q1855" s="57"/>
      <c r="R1855" s="57"/>
      <c r="S1855" s="132"/>
      <c r="T1855" s="74"/>
      <c r="U1855" s="74"/>
      <c r="V1855" s="74"/>
      <c r="W1855" s="74"/>
      <c r="X1855" s="74"/>
      <c r="Y1855" s="74"/>
      <c r="Z1855" s="76"/>
      <c r="AA1855" s="134"/>
      <c r="AB1855" s="62" t="s">
        <v>61</v>
      </c>
      <c r="AC1855" s="63" t="s">
        <v>61</v>
      </c>
      <c r="AD1855" s="64" t="s">
        <v>61</v>
      </c>
      <c r="AE1855" s="64" t="s">
        <v>61</v>
      </c>
      <c r="AF1855" s="63" t="s">
        <v>61</v>
      </c>
      <c r="AG1855" s="63" t="s">
        <v>61</v>
      </c>
      <c r="AH1855" s="63" t="s">
        <v>61</v>
      </c>
      <c r="AI1855" s="65" t="s">
        <v>61</v>
      </c>
      <c r="AJ1855" s="105" t="s">
        <v>61</v>
      </c>
      <c r="AK1855" s="76"/>
    </row>
    <row r="1856" ht="24.0" customHeight="1">
      <c r="A1856" s="35"/>
      <c r="B1856" s="36">
        <v>1.0</v>
      </c>
      <c r="C1856" s="37" t="str">
        <f>IFERROR(__xludf.DUMMYFUNCTION("""COMPUTED_VALUE"""),"")</f>
        <v/>
      </c>
      <c r="D1856" s="89" t="s">
        <v>61</v>
      </c>
      <c r="E1856" s="39" t="s">
        <v>61</v>
      </c>
      <c r="F1856" s="121"/>
      <c r="G1856" s="122"/>
      <c r="H1856" s="138"/>
      <c r="I1856" s="80"/>
      <c r="J1856" s="80"/>
      <c r="K1856" s="95"/>
      <c r="L1856" s="80"/>
      <c r="M1856" s="43"/>
      <c r="N1856" s="43"/>
      <c r="O1856" s="80"/>
      <c r="P1856" s="80"/>
      <c r="Q1856" s="80"/>
      <c r="R1856" s="80"/>
      <c r="S1856" s="117"/>
      <c r="T1856" s="81"/>
      <c r="U1856" s="81"/>
      <c r="V1856" s="81"/>
      <c r="W1856" s="81"/>
      <c r="X1856" s="81"/>
      <c r="Y1856" s="81"/>
      <c r="Z1856" s="82"/>
      <c r="AA1856" s="99"/>
      <c r="AB1856" s="48" t="s">
        <v>61</v>
      </c>
      <c r="AC1856" s="68" t="s">
        <v>61</v>
      </c>
      <c r="AD1856" s="69" t="s">
        <v>61</v>
      </c>
      <c r="AE1856" s="69" t="s">
        <v>61</v>
      </c>
      <c r="AF1856" s="68" t="s">
        <v>61</v>
      </c>
      <c r="AG1856" s="68" t="s">
        <v>61</v>
      </c>
      <c r="AH1856" s="68" t="s">
        <v>61</v>
      </c>
      <c r="AI1856" s="70" t="s">
        <v>61</v>
      </c>
      <c r="AJ1856" s="114" t="s">
        <v>61</v>
      </c>
      <c r="AK1856" s="82"/>
    </row>
    <row r="1857" ht="24.0" customHeight="1">
      <c r="A1857" s="35"/>
      <c r="B1857" s="36">
        <v>1.0</v>
      </c>
      <c r="C1857" s="37" t="str">
        <f>IFERROR(__xludf.DUMMYFUNCTION("""COMPUTED_VALUE"""),"")</f>
        <v/>
      </c>
      <c r="D1857" s="89" t="s">
        <v>61</v>
      </c>
      <c r="E1857" s="51" t="s">
        <v>61</v>
      </c>
      <c r="F1857" s="137"/>
      <c r="G1857" s="133"/>
      <c r="H1857" s="141"/>
      <c r="I1857" s="57"/>
      <c r="J1857" s="57"/>
      <c r="K1857" s="72"/>
      <c r="L1857" s="57"/>
      <c r="M1857" s="55"/>
      <c r="N1857" s="55"/>
      <c r="O1857" s="57"/>
      <c r="P1857" s="57"/>
      <c r="Q1857" s="57"/>
      <c r="R1857" s="57"/>
      <c r="S1857" s="132"/>
      <c r="T1857" s="74"/>
      <c r="U1857" s="74"/>
      <c r="V1857" s="74"/>
      <c r="W1857" s="74"/>
      <c r="X1857" s="74"/>
      <c r="Y1857" s="74"/>
      <c r="Z1857" s="76"/>
      <c r="AA1857" s="134"/>
      <c r="AB1857" s="62" t="s">
        <v>61</v>
      </c>
      <c r="AC1857" s="63" t="s">
        <v>61</v>
      </c>
      <c r="AD1857" s="64" t="s">
        <v>61</v>
      </c>
      <c r="AE1857" s="64" t="s">
        <v>61</v>
      </c>
      <c r="AF1857" s="63" t="s">
        <v>61</v>
      </c>
      <c r="AG1857" s="63" t="s">
        <v>61</v>
      </c>
      <c r="AH1857" s="63" t="s">
        <v>61</v>
      </c>
      <c r="AI1857" s="65" t="s">
        <v>61</v>
      </c>
      <c r="AJ1857" s="105" t="s">
        <v>61</v>
      </c>
      <c r="AK1857" s="76"/>
    </row>
    <row r="1858" ht="24.0" customHeight="1">
      <c r="A1858" s="35"/>
      <c r="B1858" s="36">
        <v>1.0</v>
      </c>
      <c r="C1858" s="37" t="str">
        <f>IFERROR(__xludf.DUMMYFUNCTION("""COMPUTED_VALUE"""),"")</f>
        <v/>
      </c>
      <c r="D1858" s="89" t="s">
        <v>61</v>
      </c>
      <c r="E1858" s="39" t="s">
        <v>61</v>
      </c>
      <c r="F1858" s="121"/>
      <c r="G1858" s="122"/>
      <c r="H1858" s="138"/>
      <c r="I1858" s="80"/>
      <c r="J1858" s="80"/>
      <c r="K1858" s="95"/>
      <c r="L1858" s="80"/>
      <c r="M1858" s="43"/>
      <c r="N1858" s="43"/>
      <c r="O1858" s="80"/>
      <c r="P1858" s="80"/>
      <c r="Q1858" s="80"/>
      <c r="R1858" s="80"/>
      <c r="S1858" s="117"/>
      <c r="T1858" s="81"/>
      <c r="U1858" s="81"/>
      <c r="V1858" s="81"/>
      <c r="W1858" s="81"/>
      <c r="X1858" s="81"/>
      <c r="Y1858" s="81"/>
      <c r="Z1858" s="82"/>
      <c r="AA1858" s="99"/>
      <c r="AB1858" s="48" t="s">
        <v>61</v>
      </c>
      <c r="AC1858" s="68" t="s">
        <v>61</v>
      </c>
      <c r="AD1858" s="69" t="s">
        <v>61</v>
      </c>
      <c r="AE1858" s="69" t="s">
        <v>61</v>
      </c>
      <c r="AF1858" s="68" t="s">
        <v>61</v>
      </c>
      <c r="AG1858" s="68" t="s">
        <v>61</v>
      </c>
      <c r="AH1858" s="68" t="s">
        <v>61</v>
      </c>
      <c r="AI1858" s="70" t="s">
        <v>61</v>
      </c>
      <c r="AJ1858" s="114" t="s">
        <v>61</v>
      </c>
      <c r="AK1858" s="82"/>
    </row>
    <row r="1859" ht="24.0" customHeight="1">
      <c r="A1859" s="35"/>
      <c r="B1859" s="36">
        <v>1.0</v>
      </c>
      <c r="C1859" s="37" t="str">
        <f>IFERROR(__xludf.DUMMYFUNCTION("""COMPUTED_VALUE"""),"")</f>
        <v/>
      </c>
      <c r="D1859" s="89" t="s">
        <v>61</v>
      </c>
      <c r="E1859" s="51" t="s">
        <v>61</v>
      </c>
      <c r="F1859" s="137"/>
      <c r="G1859" s="133"/>
      <c r="H1859" s="141"/>
      <c r="I1859" s="57"/>
      <c r="J1859" s="57"/>
      <c r="K1859" s="72"/>
      <c r="L1859" s="57"/>
      <c r="M1859" s="55"/>
      <c r="N1859" s="55"/>
      <c r="O1859" s="57"/>
      <c r="P1859" s="57"/>
      <c r="Q1859" s="57"/>
      <c r="R1859" s="57"/>
      <c r="S1859" s="132"/>
      <c r="T1859" s="74"/>
      <c r="U1859" s="74"/>
      <c r="V1859" s="74"/>
      <c r="W1859" s="74"/>
      <c r="X1859" s="74"/>
      <c r="Y1859" s="74"/>
      <c r="Z1859" s="76"/>
      <c r="AA1859" s="134"/>
      <c r="AB1859" s="62" t="s">
        <v>61</v>
      </c>
      <c r="AC1859" s="63" t="s">
        <v>61</v>
      </c>
      <c r="AD1859" s="64" t="s">
        <v>61</v>
      </c>
      <c r="AE1859" s="64" t="s">
        <v>61</v>
      </c>
      <c r="AF1859" s="63" t="s">
        <v>61</v>
      </c>
      <c r="AG1859" s="63" t="s">
        <v>61</v>
      </c>
      <c r="AH1859" s="63" t="s">
        <v>61</v>
      </c>
      <c r="AI1859" s="65" t="s">
        <v>61</v>
      </c>
      <c r="AJ1859" s="105" t="s">
        <v>61</v>
      </c>
      <c r="AK1859" s="76"/>
    </row>
    <row r="1860" ht="24.0" customHeight="1">
      <c r="A1860" s="35"/>
      <c r="B1860" s="36">
        <v>1.0</v>
      </c>
      <c r="C1860" s="37" t="str">
        <f>IFERROR(__xludf.DUMMYFUNCTION("""COMPUTED_VALUE"""),"")</f>
        <v/>
      </c>
      <c r="D1860" s="89" t="s">
        <v>61</v>
      </c>
      <c r="E1860" s="39" t="s">
        <v>61</v>
      </c>
      <c r="F1860" s="121"/>
      <c r="G1860" s="122"/>
      <c r="H1860" s="138"/>
      <c r="I1860" s="80"/>
      <c r="J1860" s="80"/>
      <c r="K1860" s="95"/>
      <c r="L1860" s="80"/>
      <c r="M1860" s="43"/>
      <c r="N1860" s="43"/>
      <c r="O1860" s="80"/>
      <c r="P1860" s="80"/>
      <c r="Q1860" s="80"/>
      <c r="R1860" s="80"/>
      <c r="S1860" s="117"/>
      <c r="T1860" s="81"/>
      <c r="U1860" s="81"/>
      <c r="V1860" s="81"/>
      <c r="W1860" s="81"/>
      <c r="X1860" s="81"/>
      <c r="Y1860" s="81"/>
      <c r="Z1860" s="82"/>
      <c r="AA1860" s="99"/>
      <c r="AB1860" s="48" t="s">
        <v>61</v>
      </c>
      <c r="AC1860" s="68" t="s">
        <v>61</v>
      </c>
      <c r="AD1860" s="69" t="s">
        <v>61</v>
      </c>
      <c r="AE1860" s="69" t="s">
        <v>61</v>
      </c>
      <c r="AF1860" s="68" t="s">
        <v>61</v>
      </c>
      <c r="AG1860" s="68" t="s">
        <v>61</v>
      </c>
      <c r="AH1860" s="68" t="s">
        <v>61</v>
      </c>
      <c r="AI1860" s="70" t="s">
        <v>61</v>
      </c>
      <c r="AJ1860" s="114" t="s">
        <v>61</v>
      </c>
      <c r="AK1860" s="82"/>
    </row>
    <row r="1861" ht="24.0" customHeight="1">
      <c r="A1861" s="35"/>
      <c r="B1861" s="36">
        <v>1.0</v>
      </c>
      <c r="C1861" s="37" t="str">
        <f>IFERROR(__xludf.DUMMYFUNCTION("""COMPUTED_VALUE"""),"")</f>
        <v/>
      </c>
      <c r="D1861" s="89" t="s">
        <v>61</v>
      </c>
      <c r="E1861" s="51" t="s">
        <v>61</v>
      </c>
      <c r="F1861" s="137"/>
      <c r="G1861" s="133"/>
      <c r="H1861" s="141"/>
      <c r="I1861" s="57"/>
      <c r="J1861" s="57"/>
      <c r="K1861" s="72"/>
      <c r="L1861" s="57"/>
      <c r="M1861" s="55"/>
      <c r="N1861" s="55"/>
      <c r="O1861" s="57"/>
      <c r="P1861" s="57"/>
      <c r="Q1861" s="57"/>
      <c r="R1861" s="57"/>
      <c r="S1861" s="132"/>
      <c r="T1861" s="74"/>
      <c r="U1861" s="74"/>
      <c r="V1861" s="74"/>
      <c r="W1861" s="74"/>
      <c r="X1861" s="74"/>
      <c r="Y1861" s="74"/>
      <c r="Z1861" s="76"/>
      <c r="AA1861" s="134"/>
      <c r="AB1861" s="62" t="s">
        <v>61</v>
      </c>
      <c r="AC1861" s="63" t="s">
        <v>61</v>
      </c>
      <c r="AD1861" s="64" t="s">
        <v>61</v>
      </c>
      <c r="AE1861" s="64" t="s">
        <v>61</v>
      </c>
      <c r="AF1861" s="63" t="s">
        <v>61</v>
      </c>
      <c r="AG1861" s="63" t="s">
        <v>61</v>
      </c>
      <c r="AH1861" s="63" t="s">
        <v>61</v>
      </c>
      <c r="AI1861" s="65" t="s">
        <v>61</v>
      </c>
      <c r="AJ1861" s="105" t="s">
        <v>61</v>
      </c>
      <c r="AK1861" s="76"/>
    </row>
    <row r="1862" ht="24.0" customHeight="1">
      <c r="A1862" s="35"/>
      <c r="B1862" s="36">
        <v>1.0</v>
      </c>
      <c r="C1862" s="37" t="str">
        <f>IFERROR(__xludf.DUMMYFUNCTION("""COMPUTED_VALUE"""),"")</f>
        <v/>
      </c>
      <c r="D1862" s="89" t="s">
        <v>61</v>
      </c>
      <c r="E1862" s="39" t="s">
        <v>61</v>
      </c>
      <c r="F1862" s="121"/>
      <c r="G1862" s="122"/>
      <c r="H1862" s="138"/>
      <c r="I1862" s="80"/>
      <c r="J1862" s="80"/>
      <c r="K1862" s="95"/>
      <c r="L1862" s="80"/>
      <c r="M1862" s="43"/>
      <c r="N1862" s="43"/>
      <c r="O1862" s="80"/>
      <c r="P1862" s="80"/>
      <c r="Q1862" s="80"/>
      <c r="R1862" s="80"/>
      <c r="S1862" s="117"/>
      <c r="T1862" s="81"/>
      <c r="U1862" s="81"/>
      <c r="V1862" s="81"/>
      <c r="W1862" s="81"/>
      <c r="X1862" s="81"/>
      <c r="Y1862" s="81"/>
      <c r="Z1862" s="82"/>
      <c r="AA1862" s="99"/>
      <c r="AB1862" s="48" t="s">
        <v>61</v>
      </c>
      <c r="AC1862" s="68" t="s">
        <v>61</v>
      </c>
      <c r="AD1862" s="69" t="s">
        <v>61</v>
      </c>
      <c r="AE1862" s="69" t="s">
        <v>61</v>
      </c>
      <c r="AF1862" s="68" t="s">
        <v>61</v>
      </c>
      <c r="AG1862" s="68" t="s">
        <v>61</v>
      </c>
      <c r="AH1862" s="68" t="s">
        <v>61</v>
      </c>
      <c r="AI1862" s="70" t="s">
        <v>61</v>
      </c>
      <c r="AJ1862" s="114" t="s">
        <v>61</v>
      </c>
      <c r="AK1862" s="82"/>
    </row>
    <row r="1863" ht="24.0" customHeight="1">
      <c r="A1863" s="35"/>
      <c r="B1863" s="36">
        <v>1.0</v>
      </c>
      <c r="C1863" s="37" t="str">
        <f>IFERROR(__xludf.DUMMYFUNCTION("""COMPUTED_VALUE"""),"")</f>
        <v/>
      </c>
      <c r="D1863" s="89" t="s">
        <v>61</v>
      </c>
      <c r="E1863" s="51" t="s">
        <v>61</v>
      </c>
      <c r="F1863" s="137"/>
      <c r="G1863" s="133"/>
      <c r="H1863" s="141"/>
      <c r="I1863" s="57"/>
      <c r="J1863" s="57"/>
      <c r="K1863" s="72"/>
      <c r="L1863" s="57"/>
      <c r="M1863" s="55"/>
      <c r="N1863" s="55"/>
      <c r="O1863" s="57"/>
      <c r="P1863" s="57"/>
      <c r="Q1863" s="57"/>
      <c r="R1863" s="57"/>
      <c r="S1863" s="132"/>
      <c r="T1863" s="74"/>
      <c r="U1863" s="74"/>
      <c r="V1863" s="74"/>
      <c r="W1863" s="74"/>
      <c r="X1863" s="74"/>
      <c r="Y1863" s="74"/>
      <c r="Z1863" s="76"/>
      <c r="AA1863" s="134"/>
      <c r="AB1863" s="62" t="s">
        <v>61</v>
      </c>
      <c r="AC1863" s="63" t="s">
        <v>61</v>
      </c>
      <c r="AD1863" s="64" t="s">
        <v>61</v>
      </c>
      <c r="AE1863" s="64" t="s">
        <v>61</v>
      </c>
      <c r="AF1863" s="63" t="s">
        <v>61</v>
      </c>
      <c r="AG1863" s="63" t="s">
        <v>61</v>
      </c>
      <c r="AH1863" s="63" t="s">
        <v>61</v>
      </c>
      <c r="AI1863" s="65" t="s">
        <v>61</v>
      </c>
      <c r="AJ1863" s="105" t="s">
        <v>61</v>
      </c>
      <c r="AK1863" s="76"/>
    </row>
    <row r="1864" ht="24.0" customHeight="1">
      <c r="A1864" s="35"/>
      <c r="B1864" s="36">
        <v>1.0</v>
      </c>
      <c r="C1864" s="37" t="str">
        <f>IFERROR(__xludf.DUMMYFUNCTION("""COMPUTED_VALUE"""),"")</f>
        <v/>
      </c>
      <c r="D1864" s="89" t="s">
        <v>61</v>
      </c>
      <c r="E1864" s="39" t="s">
        <v>61</v>
      </c>
      <c r="F1864" s="121"/>
      <c r="G1864" s="122"/>
      <c r="H1864" s="138"/>
      <c r="I1864" s="80"/>
      <c r="J1864" s="80"/>
      <c r="K1864" s="95"/>
      <c r="L1864" s="80"/>
      <c r="M1864" s="43"/>
      <c r="N1864" s="43"/>
      <c r="O1864" s="80"/>
      <c r="P1864" s="80"/>
      <c r="Q1864" s="80"/>
      <c r="R1864" s="80"/>
      <c r="S1864" s="117"/>
      <c r="T1864" s="81"/>
      <c r="U1864" s="81"/>
      <c r="V1864" s="81"/>
      <c r="W1864" s="81"/>
      <c r="X1864" s="81"/>
      <c r="Y1864" s="81"/>
      <c r="Z1864" s="82"/>
      <c r="AA1864" s="99"/>
      <c r="AB1864" s="48" t="s">
        <v>61</v>
      </c>
      <c r="AC1864" s="68" t="s">
        <v>61</v>
      </c>
      <c r="AD1864" s="69" t="s">
        <v>61</v>
      </c>
      <c r="AE1864" s="69" t="s">
        <v>61</v>
      </c>
      <c r="AF1864" s="68" t="s">
        <v>61</v>
      </c>
      <c r="AG1864" s="68" t="s">
        <v>61</v>
      </c>
      <c r="AH1864" s="68" t="s">
        <v>61</v>
      </c>
      <c r="AI1864" s="70" t="s">
        <v>61</v>
      </c>
      <c r="AJ1864" s="114" t="s">
        <v>61</v>
      </c>
      <c r="AK1864" s="82"/>
    </row>
    <row r="1865" ht="24.0" customHeight="1">
      <c r="A1865" s="35"/>
      <c r="B1865" s="36">
        <v>1.0</v>
      </c>
      <c r="C1865" s="37" t="str">
        <f>IFERROR(__xludf.DUMMYFUNCTION("""COMPUTED_VALUE"""),"")</f>
        <v/>
      </c>
      <c r="D1865" s="89" t="s">
        <v>61</v>
      </c>
      <c r="E1865" s="51" t="s">
        <v>61</v>
      </c>
      <c r="F1865" s="137"/>
      <c r="G1865" s="133"/>
      <c r="H1865" s="141"/>
      <c r="I1865" s="57"/>
      <c r="J1865" s="57"/>
      <c r="K1865" s="72"/>
      <c r="L1865" s="57"/>
      <c r="M1865" s="55"/>
      <c r="N1865" s="55"/>
      <c r="O1865" s="57"/>
      <c r="P1865" s="57"/>
      <c r="Q1865" s="57"/>
      <c r="R1865" s="57"/>
      <c r="S1865" s="132"/>
      <c r="T1865" s="74"/>
      <c r="U1865" s="74"/>
      <c r="V1865" s="74"/>
      <c r="W1865" s="74"/>
      <c r="X1865" s="74"/>
      <c r="Y1865" s="74"/>
      <c r="Z1865" s="76"/>
      <c r="AA1865" s="134"/>
      <c r="AB1865" s="62" t="s">
        <v>61</v>
      </c>
      <c r="AC1865" s="63" t="s">
        <v>61</v>
      </c>
      <c r="AD1865" s="64" t="s">
        <v>61</v>
      </c>
      <c r="AE1865" s="64" t="s">
        <v>61</v>
      </c>
      <c r="AF1865" s="63" t="s">
        <v>61</v>
      </c>
      <c r="AG1865" s="63" t="s">
        <v>61</v>
      </c>
      <c r="AH1865" s="63" t="s">
        <v>61</v>
      </c>
      <c r="AI1865" s="65" t="s">
        <v>61</v>
      </c>
      <c r="AJ1865" s="105" t="s">
        <v>61</v>
      </c>
      <c r="AK1865" s="76"/>
    </row>
    <row r="1866" ht="24.0" customHeight="1">
      <c r="A1866" s="35"/>
      <c r="B1866" s="36">
        <v>1.0</v>
      </c>
      <c r="C1866" s="37" t="str">
        <f>IFERROR(__xludf.DUMMYFUNCTION("""COMPUTED_VALUE"""),"")</f>
        <v/>
      </c>
      <c r="D1866" s="89" t="s">
        <v>61</v>
      </c>
      <c r="E1866" s="39" t="s">
        <v>61</v>
      </c>
      <c r="F1866" s="121"/>
      <c r="G1866" s="122"/>
      <c r="H1866" s="138"/>
      <c r="I1866" s="80"/>
      <c r="J1866" s="80"/>
      <c r="K1866" s="95"/>
      <c r="L1866" s="80"/>
      <c r="M1866" s="43"/>
      <c r="N1866" s="43"/>
      <c r="O1866" s="80"/>
      <c r="P1866" s="80"/>
      <c r="Q1866" s="80"/>
      <c r="R1866" s="80"/>
      <c r="S1866" s="117"/>
      <c r="T1866" s="81"/>
      <c r="U1866" s="81"/>
      <c r="V1866" s="81"/>
      <c r="W1866" s="81"/>
      <c r="X1866" s="81"/>
      <c r="Y1866" s="81"/>
      <c r="Z1866" s="82"/>
      <c r="AA1866" s="99"/>
      <c r="AB1866" s="48" t="s">
        <v>61</v>
      </c>
      <c r="AC1866" s="68" t="s">
        <v>61</v>
      </c>
      <c r="AD1866" s="69" t="s">
        <v>61</v>
      </c>
      <c r="AE1866" s="69" t="s">
        <v>61</v>
      </c>
      <c r="AF1866" s="68" t="s">
        <v>61</v>
      </c>
      <c r="AG1866" s="68" t="s">
        <v>61</v>
      </c>
      <c r="AH1866" s="68" t="s">
        <v>61</v>
      </c>
      <c r="AI1866" s="70" t="s">
        <v>61</v>
      </c>
      <c r="AJ1866" s="114" t="s">
        <v>61</v>
      </c>
      <c r="AK1866" s="82"/>
    </row>
    <row r="1867" ht="24.0" customHeight="1">
      <c r="A1867" s="35"/>
      <c r="B1867" s="36">
        <v>1.0</v>
      </c>
      <c r="C1867" s="37" t="str">
        <f>IFERROR(__xludf.DUMMYFUNCTION("""COMPUTED_VALUE"""),"")</f>
        <v/>
      </c>
      <c r="D1867" s="89" t="s">
        <v>61</v>
      </c>
      <c r="E1867" s="51" t="s">
        <v>61</v>
      </c>
      <c r="F1867" s="137"/>
      <c r="G1867" s="133"/>
      <c r="H1867" s="141"/>
      <c r="I1867" s="57"/>
      <c r="J1867" s="57"/>
      <c r="K1867" s="72"/>
      <c r="L1867" s="57"/>
      <c r="M1867" s="55"/>
      <c r="N1867" s="55"/>
      <c r="O1867" s="57"/>
      <c r="P1867" s="57"/>
      <c r="Q1867" s="57"/>
      <c r="R1867" s="57"/>
      <c r="S1867" s="132"/>
      <c r="T1867" s="74"/>
      <c r="U1867" s="74"/>
      <c r="V1867" s="74"/>
      <c r="W1867" s="74"/>
      <c r="X1867" s="74"/>
      <c r="Y1867" s="74"/>
      <c r="Z1867" s="76"/>
      <c r="AA1867" s="134"/>
      <c r="AB1867" s="62" t="s">
        <v>61</v>
      </c>
      <c r="AC1867" s="63" t="s">
        <v>61</v>
      </c>
      <c r="AD1867" s="64" t="s">
        <v>61</v>
      </c>
      <c r="AE1867" s="64" t="s">
        <v>61</v>
      </c>
      <c r="AF1867" s="63" t="s">
        <v>61</v>
      </c>
      <c r="AG1867" s="63" t="s">
        <v>61</v>
      </c>
      <c r="AH1867" s="63" t="s">
        <v>61</v>
      </c>
      <c r="AI1867" s="65" t="s">
        <v>61</v>
      </c>
      <c r="AJ1867" s="105" t="s">
        <v>61</v>
      </c>
      <c r="AK1867" s="76"/>
    </row>
    <row r="1868" ht="24.0" customHeight="1">
      <c r="A1868" s="35"/>
      <c r="B1868" s="36">
        <v>1.0</v>
      </c>
      <c r="C1868" s="37" t="str">
        <f>IFERROR(__xludf.DUMMYFUNCTION("""COMPUTED_VALUE"""),"")</f>
        <v/>
      </c>
      <c r="D1868" s="89" t="s">
        <v>61</v>
      </c>
      <c r="E1868" s="39" t="s">
        <v>61</v>
      </c>
      <c r="F1868" s="121"/>
      <c r="G1868" s="122"/>
      <c r="H1868" s="138"/>
      <c r="I1868" s="80"/>
      <c r="J1868" s="80"/>
      <c r="K1868" s="95"/>
      <c r="L1868" s="80"/>
      <c r="M1868" s="43"/>
      <c r="N1868" s="43"/>
      <c r="O1868" s="80"/>
      <c r="P1868" s="80"/>
      <c r="Q1868" s="80"/>
      <c r="R1868" s="80"/>
      <c r="S1868" s="117"/>
      <c r="T1868" s="81"/>
      <c r="U1868" s="81"/>
      <c r="V1868" s="81"/>
      <c r="W1868" s="81"/>
      <c r="X1868" s="81"/>
      <c r="Y1868" s="81"/>
      <c r="Z1868" s="82"/>
      <c r="AA1868" s="99"/>
      <c r="AB1868" s="48" t="s">
        <v>61</v>
      </c>
      <c r="AC1868" s="68" t="s">
        <v>61</v>
      </c>
      <c r="AD1868" s="69" t="s">
        <v>61</v>
      </c>
      <c r="AE1868" s="69" t="s">
        <v>61</v>
      </c>
      <c r="AF1868" s="68" t="s">
        <v>61</v>
      </c>
      <c r="AG1868" s="68" t="s">
        <v>61</v>
      </c>
      <c r="AH1868" s="68" t="s">
        <v>61</v>
      </c>
      <c r="AI1868" s="70" t="s">
        <v>61</v>
      </c>
      <c r="AJ1868" s="114" t="s">
        <v>61</v>
      </c>
      <c r="AK1868" s="82"/>
    </row>
    <row r="1869" ht="24.0" customHeight="1">
      <c r="A1869" s="35"/>
      <c r="B1869" s="36">
        <v>1.0</v>
      </c>
      <c r="C1869" s="37" t="str">
        <f>IFERROR(__xludf.DUMMYFUNCTION("""COMPUTED_VALUE"""),"")</f>
        <v/>
      </c>
      <c r="D1869" s="89" t="s">
        <v>61</v>
      </c>
      <c r="E1869" s="51" t="s">
        <v>61</v>
      </c>
      <c r="F1869" s="137"/>
      <c r="G1869" s="133"/>
      <c r="H1869" s="141"/>
      <c r="I1869" s="57"/>
      <c r="J1869" s="57"/>
      <c r="K1869" s="72"/>
      <c r="L1869" s="57"/>
      <c r="M1869" s="55"/>
      <c r="N1869" s="55"/>
      <c r="O1869" s="57"/>
      <c r="P1869" s="57"/>
      <c r="Q1869" s="57"/>
      <c r="R1869" s="57"/>
      <c r="S1869" s="132"/>
      <c r="T1869" s="74"/>
      <c r="U1869" s="74"/>
      <c r="V1869" s="74"/>
      <c r="W1869" s="74"/>
      <c r="X1869" s="74"/>
      <c r="Y1869" s="74"/>
      <c r="Z1869" s="76"/>
      <c r="AA1869" s="134"/>
      <c r="AB1869" s="62" t="s">
        <v>61</v>
      </c>
      <c r="AC1869" s="63" t="s">
        <v>61</v>
      </c>
      <c r="AD1869" s="64" t="s">
        <v>61</v>
      </c>
      <c r="AE1869" s="64" t="s">
        <v>61</v>
      </c>
      <c r="AF1869" s="63" t="s">
        <v>61</v>
      </c>
      <c r="AG1869" s="63" t="s">
        <v>61</v>
      </c>
      <c r="AH1869" s="63" t="s">
        <v>61</v>
      </c>
      <c r="AI1869" s="65" t="s">
        <v>61</v>
      </c>
      <c r="AJ1869" s="105" t="s">
        <v>61</v>
      </c>
      <c r="AK1869" s="76"/>
    </row>
    <row r="1870" ht="24.0" customHeight="1">
      <c r="A1870" s="35"/>
      <c r="B1870" s="36">
        <v>1.0</v>
      </c>
      <c r="C1870" s="37" t="str">
        <f>IFERROR(__xludf.DUMMYFUNCTION("""COMPUTED_VALUE"""),"")</f>
        <v/>
      </c>
      <c r="D1870" s="89" t="s">
        <v>61</v>
      </c>
      <c r="E1870" s="39" t="s">
        <v>61</v>
      </c>
      <c r="F1870" s="121"/>
      <c r="G1870" s="122"/>
      <c r="H1870" s="138"/>
      <c r="I1870" s="80"/>
      <c r="J1870" s="80"/>
      <c r="K1870" s="95"/>
      <c r="L1870" s="80"/>
      <c r="M1870" s="43"/>
      <c r="N1870" s="43"/>
      <c r="O1870" s="80"/>
      <c r="P1870" s="80"/>
      <c r="Q1870" s="80"/>
      <c r="R1870" s="80"/>
      <c r="S1870" s="117"/>
      <c r="T1870" s="81"/>
      <c r="U1870" s="81"/>
      <c r="V1870" s="81"/>
      <c r="W1870" s="81"/>
      <c r="X1870" s="81"/>
      <c r="Y1870" s="81"/>
      <c r="Z1870" s="82"/>
      <c r="AA1870" s="99"/>
      <c r="AB1870" s="48" t="s">
        <v>61</v>
      </c>
      <c r="AC1870" s="68" t="s">
        <v>61</v>
      </c>
      <c r="AD1870" s="69" t="s">
        <v>61</v>
      </c>
      <c r="AE1870" s="69" t="s">
        <v>61</v>
      </c>
      <c r="AF1870" s="68" t="s">
        <v>61</v>
      </c>
      <c r="AG1870" s="68" t="s">
        <v>61</v>
      </c>
      <c r="AH1870" s="68" t="s">
        <v>61</v>
      </c>
      <c r="AI1870" s="70" t="s">
        <v>61</v>
      </c>
      <c r="AJ1870" s="114" t="s">
        <v>61</v>
      </c>
      <c r="AK1870" s="82"/>
    </row>
    <row r="1871" ht="24.0" customHeight="1">
      <c r="A1871" s="35"/>
      <c r="B1871" s="36">
        <v>1.0</v>
      </c>
      <c r="C1871" s="37" t="str">
        <f>IFERROR(__xludf.DUMMYFUNCTION("""COMPUTED_VALUE"""),"")</f>
        <v/>
      </c>
      <c r="D1871" s="89" t="s">
        <v>61</v>
      </c>
      <c r="E1871" s="51" t="s">
        <v>61</v>
      </c>
      <c r="F1871" s="137"/>
      <c r="G1871" s="133"/>
      <c r="H1871" s="141"/>
      <c r="I1871" s="57"/>
      <c r="J1871" s="57"/>
      <c r="K1871" s="72"/>
      <c r="L1871" s="57"/>
      <c r="M1871" s="55"/>
      <c r="N1871" s="55"/>
      <c r="O1871" s="57"/>
      <c r="P1871" s="57"/>
      <c r="Q1871" s="57"/>
      <c r="R1871" s="57"/>
      <c r="S1871" s="132"/>
      <c r="T1871" s="74"/>
      <c r="U1871" s="74"/>
      <c r="V1871" s="74"/>
      <c r="W1871" s="74"/>
      <c r="X1871" s="74"/>
      <c r="Y1871" s="74"/>
      <c r="Z1871" s="76"/>
      <c r="AA1871" s="134"/>
      <c r="AB1871" s="62" t="s">
        <v>61</v>
      </c>
      <c r="AC1871" s="63" t="s">
        <v>61</v>
      </c>
      <c r="AD1871" s="64" t="s">
        <v>61</v>
      </c>
      <c r="AE1871" s="64" t="s">
        <v>61</v>
      </c>
      <c r="AF1871" s="63" t="s">
        <v>61</v>
      </c>
      <c r="AG1871" s="63" t="s">
        <v>61</v>
      </c>
      <c r="AH1871" s="63" t="s">
        <v>61</v>
      </c>
      <c r="AI1871" s="65" t="s">
        <v>61</v>
      </c>
      <c r="AJ1871" s="105" t="s">
        <v>61</v>
      </c>
      <c r="AK1871" s="76"/>
    </row>
    <row r="1872" ht="24.0" customHeight="1">
      <c r="A1872" s="35"/>
      <c r="B1872" s="36">
        <v>1.0</v>
      </c>
      <c r="C1872" s="37" t="str">
        <f>IFERROR(__xludf.DUMMYFUNCTION("""COMPUTED_VALUE"""),"")</f>
        <v/>
      </c>
      <c r="D1872" s="89" t="s">
        <v>61</v>
      </c>
      <c r="E1872" s="39" t="s">
        <v>61</v>
      </c>
      <c r="F1872" s="121"/>
      <c r="G1872" s="122"/>
      <c r="H1872" s="138"/>
      <c r="I1872" s="80"/>
      <c r="J1872" s="80"/>
      <c r="K1872" s="95"/>
      <c r="L1872" s="80"/>
      <c r="M1872" s="43"/>
      <c r="N1872" s="43"/>
      <c r="O1872" s="80"/>
      <c r="P1872" s="80"/>
      <c r="Q1872" s="80"/>
      <c r="R1872" s="80"/>
      <c r="S1872" s="117"/>
      <c r="T1872" s="81"/>
      <c r="U1872" s="81"/>
      <c r="V1872" s="81"/>
      <c r="W1872" s="81"/>
      <c r="X1872" s="81"/>
      <c r="Y1872" s="81"/>
      <c r="Z1872" s="82"/>
      <c r="AA1872" s="99"/>
      <c r="AB1872" s="48" t="s">
        <v>61</v>
      </c>
      <c r="AC1872" s="68" t="s">
        <v>61</v>
      </c>
      <c r="AD1872" s="69" t="s">
        <v>61</v>
      </c>
      <c r="AE1872" s="69" t="s">
        <v>61</v>
      </c>
      <c r="AF1872" s="68" t="s">
        <v>61</v>
      </c>
      <c r="AG1872" s="68" t="s">
        <v>61</v>
      </c>
      <c r="AH1872" s="68" t="s">
        <v>61</v>
      </c>
      <c r="AI1872" s="70" t="s">
        <v>61</v>
      </c>
      <c r="AJ1872" s="114" t="s">
        <v>61</v>
      </c>
      <c r="AK1872" s="82"/>
    </row>
    <row r="1873" ht="24.0" customHeight="1">
      <c r="A1873" s="35"/>
      <c r="B1873" s="36">
        <v>1.0</v>
      </c>
      <c r="C1873" s="37" t="str">
        <f>IFERROR(__xludf.DUMMYFUNCTION("""COMPUTED_VALUE"""),"")</f>
        <v/>
      </c>
      <c r="D1873" s="89" t="s">
        <v>61</v>
      </c>
      <c r="E1873" s="51" t="s">
        <v>61</v>
      </c>
      <c r="F1873" s="137"/>
      <c r="G1873" s="133"/>
      <c r="H1873" s="141"/>
      <c r="I1873" s="57"/>
      <c r="J1873" s="57"/>
      <c r="K1873" s="72"/>
      <c r="L1873" s="57"/>
      <c r="M1873" s="55"/>
      <c r="N1873" s="55"/>
      <c r="O1873" s="57"/>
      <c r="P1873" s="57"/>
      <c r="Q1873" s="57"/>
      <c r="R1873" s="57"/>
      <c r="S1873" s="132"/>
      <c r="T1873" s="74"/>
      <c r="U1873" s="74"/>
      <c r="V1873" s="74"/>
      <c r="W1873" s="74"/>
      <c r="X1873" s="74"/>
      <c r="Y1873" s="74"/>
      <c r="Z1873" s="76"/>
      <c r="AA1873" s="134"/>
      <c r="AB1873" s="62" t="s">
        <v>61</v>
      </c>
      <c r="AC1873" s="63" t="s">
        <v>61</v>
      </c>
      <c r="AD1873" s="64" t="s">
        <v>61</v>
      </c>
      <c r="AE1873" s="64" t="s">
        <v>61</v>
      </c>
      <c r="AF1873" s="63" t="s">
        <v>61</v>
      </c>
      <c r="AG1873" s="63" t="s">
        <v>61</v>
      </c>
      <c r="AH1873" s="63" t="s">
        <v>61</v>
      </c>
      <c r="AI1873" s="65" t="s">
        <v>61</v>
      </c>
      <c r="AJ1873" s="105" t="s">
        <v>61</v>
      </c>
      <c r="AK1873" s="76"/>
    </row>
    <row r="1874" ht="24.0" customHeight="1">
      <c r="A1874" s="35"/>
      <c r="B1874" s="36">
        <v>1.0</v>
      </c>
      <c r="C1874" s="37" t="str">
        <f>IFERROR(__xludf.DUMMYFUNCTION("""COMPUTED_VALUE"""),"")</f>
        <v/>
      </c>
      <c r="D1874" s="89" t="s">
        <v>61</v>
      </c>
      <c r="E1874" s="39" t="s">
        <v>61</v>
      </c>
      <c r="F1874" s="121"/>
      <c r="G1874" s="122"/>
      <c r="H1874" s="138"/>
      <c r="I1874" s="80"/>
      <c r="J1874" s="80"/>
      <c r="K1874" s="95"/>
      <c r="L1874" s="80"/>
      <c r="M1874" s="43"/>
      <c r="N1874" s="43"/>
      <c r="O1874" s="80"/>
      <c r="P1874" s="80"/>
      <c r="Q1874" s="80"/>
      <c r="R1874" s="80"/>
      <c r="S1874" s="117"/>
      <c r="T1874" s="81"/>
      <c r="U1874" s="81"/>
      <c r="V1874" s="81"/>
      <c r="W1874" s="81"/>
      <c r="X1874" s="81"/>
      <c r="Y1874" s="81"/>
      <c r="Z1874" s="82"/>
      <c r="AA1874" s="99"/>
      <c r="AB1874" s="48" t="s">
        <v>61</v>
      </c>
      <c r="AC1874" s="68" t="s">
        <v>61</v>
      </c>
      <c r="AD1874" s="69" t="s">
        <v>61</v>
      </c>
      <c r="AE1874" s="69" t="s">
        <v>61</v>
      </c>
      <c r="AF1874" s="68" t="s">
        <v>61</v>
      </c>
      <c r="AG1874" s="68" t="s">
        <v>61</v>
      </c>
      <c r="AH1874" s="68" t="s">
        <v>61</v>
      </c>
      <c r="AI1874" s="70" t="s">
        <v>61</v>
      </c>
      <c r="AJ1874" s="114" t="s">
        <v>61</v>
      </c>
      <c r="AK1874" s="82"/>
    </row>
    <row r="1875" ht="24.0" customHeight="1">
      <c r="A1875" s="35"/>
      <c r="B1875" s="36">
        <v>1.0</v>
      </c>
      <c r="C1875" s="37" t="str">
        <f>IFERROR(__xludf.DUMMYFUNCTION("""COMPUTED_VALUE"""),"")</f>
        <v/>
      </c>
      <c r="D1875" s="89" t="s">
        <v>61</v>
      </c>
      <c r="E1875" s="51" t="s">
        <v>61</v>
      </c>
      <c r="F1875" s="137"/>
      <c r="G1875" s="133"/>
      <c r="H1875" s="141"/>
      <c r="I1875" s="57"/>
      <c r="J1875" s="57"/>
      <c r="K1875" s="72"/>
      <c r="L1875" s="57"/>
      <c r="M1875" s="55"/>
      <c r="N1875" s="55"/>
      <c r="O1875" s="57"/>
      <c r="P1875" s="57"/>
      <c r="Q1875" s="57"/>
      <c r="R1875" s="57"/>
      <c r="S1875" s="132"/>
      <c r="T1875" s="74"/>
      <c r="U1875" s="74"/>
      <c r="V1875" s="74"/>
      <c r="W1875" s="74"/>
      <c r="X1875" s="74"/>
      <c r="Y1875" s="74"/>
      <c r="Z1875" s="76"/>
      <c r="AA1875" s="134"/>
      <c r="AB1875" s="62" t="s">
        <v>61</v>
      </c>
      <c r="AC1875" s="63" t="s">
        <v>61</v>
      </c>
      <c r="AD1875" s="64" t="s">
        <v>61</v>
      </c>
      <c r="AE1875" s="64" t="s">
        <v>61</v>
      </c>
      <c r="AF1875" s="63" t="s">
        <v>61</v>
      </c>
      <c r="AG1875" s="63" t="s">
        <v>61</v>
      </c>
      <c r="AH1875" s="63" t="s">
        <v>61</v>
      </c>
      <c r="AI1875" s="65" t="s">
        <v>61</v>
      </c>
      <c r="AJ1875" s="105" t="s">
        <v>61</v>
      </c>
      <c r="AK1875" s="76"/>
    </row>
    <row r="1876" ht="24.0" customHeight="1">
      <c r="A1876" s="35"/>
      <c r="B1876" s="36">
        <v>1.0</v>
      </c>
      <c r="C1876" s="37" t="str">
        <f>IFERROR(__xludf.DUMMYFUNCTION("""COMPUTED_VALUE"""),"")</f>
        <v/>
      </c>
      <c r="D1876" s="89" t="s">
        <v>61</v>
      </c>
      <c r="E1876" s="39" t="s">
        <v>61</v>
      </c>
      <c r="F1876" s="121"/>
      <c r="G1876" s="122"/>
      <c r="H1876" s="138"/>
      <c r="I1876" s="80"/>
      <c r="J1876" s="80"/>
      <c r="K1876" s="95"/>
      <c r="L1876" s="80"/>
      <c r="M1876" s="43"/>
      <c r="N1876" s="43"/>
      <c r="O1876" s="80"/>
      <c r="P1876" s="80"/>
      <c r="Q1876" s="80"/>
      <c r="R1876" s="80"/>
      <c r="S1876" s="117"/>
      <c r="T1876" s="81"/>
      <c r="U1876" s="81"/>
      <c r="V1876" s="81"/>
      <c r="W1876" s="81"/>
      <c r="X1876" s="81"/>
      <c r="Y1876" s="81"/>
      <c r="Z1876" s="82"/>
      <c r="AA1876" s="99"/>
      <c r="AB1876" s="48" t="s">
        <v>61</v>
      </c>
      <c r="AC1876" s="68" t="s">
        <v>61</v>
      </c>
      <c r="AD1876" s="69" t="s">
        <v>61</v>
      </c>
      <c r="AE1876" s="69" t="s">
        <v>61</v>
      </c>
      <c r="AF1876" s="68" t="s">
        <v>61</v>
      </c>
      <c r="AG1876" s="68" t="s">
        <v>61</v>
      </c>
      <c r="AH1876" s="68" t="s">
        <v>61</v>
      </c>
      <c r="AI1876" s="70" t="s">
        <v>61</v>
      </c>
      <c r="AJ1876" s="114" t="s">
        <v>61</v>
      </c>
      <c r="AK1876" s="82"/>
    </row>
    <row r="1877" ht="24.0" customHeight="1">
      <c r="A1877" s="35"/>
      <c r="B1877" s="36">
        <v>1.0</v>
      </c>
      <c r="C1877" s="37" t="str">
        <f>IFERROR(__xludf.DUMMYFUNCTION("""COMPUTED_VALUE"""),"")</f>
        <v/>
      </c>
      <c r="D1877" s="89" t="s">
        <v>61</v>
      </c>
      <c r="E1877" s="51" t="s">
        <v>61</v>
      </c>
      <c r="F1877" s="137"/>
      <c r="G1877" s="133"/>
      <c r="H1877" s="141"/>
      <c r="I1877" s="57"/>
      <c r="J1877" s="57"/>
      <c r="K1877" s="72"/>
      <c r="L1877" s="57"/>
      <c r="M1877" s="55"/>
      <c r="N1877" s="55"/>
      <c r="O1877" s="57"/>
      <c r="P1877" s="57"/>
      <c r="Q1877" s="57"/>
      <c r="R1877" s="57"/>
      <c r="S1877" s="132"/>
      <c r="T1877" s="74"/>
      <c r="U1877" s="74"/>
      <c r="V1877" s="74"/>
      <c r="W1877" s="74"/>
      <c r="X1877" s="74"/>
      <c r="Y1877" s="74"/>
      <c r="Z1877" s="76"/>
      <c r="AA1877" s="134"/>
      <c r="AB1877" s="62" t="s">
        <v>61</v>
      </c>
      <c r="AC1877" s="63" t="s">
        <v>61</v>
      </c>
      <c r="AD1877" s="64" t="s">
        <v>61</v>
      </c>
      <c r="AE1877" s="64" t="s">
        <v>61</v>
      </c>
      <c r="AF1877" s="63" t="s">
        <v>61</v>
      </c>
      <c r="AG1877" s="63" t="s">
        <v>61</v>
      </c>
      <c r="AH1877" s="63" t="s">
        <v>61</v>
      </c>
      <c r="AI1877" s="65" t="s">
        <v>61</v>
      </c>
      <c r="AJ1877" s="105" t="s">
        <v>61</v>
      </c>
      <c r="AK1877" s="76"/>
    </row>
    <row r="1878" ht="24.0" customHeight="1">
      <c r="A1878" s="35"/>
      <c r="B1878" s="36">
        <v>1.0</v>
      </c>
      <c r="C1878" s="37" t="str">
        <f>IFERROR(__xludf.DUMMYFUNCTION("""COMPUTED_VALUE"""),"")</f>
        <v/>
      </c>
      <c r="D1878" s="89" t="s">
        <v>61</v>
      </c>
      <c r="E1878" s="39" t="s">
        <v>61</v>
      </c>
      <c r="F1878" s="121"/>
      <c r="G1878" s="122"/>
      <c r="H1878" s="138"/>
      <c r="I1878" s="80"/>
      <c r="J1878" s="80"/>
      <c r="K1878" s="95"/>
      <c r="L1878" s="80"/>
      <c r="M1878" s="43"/>
      <c r="N1878" s="43"/>
      <c r="O1878" s="80"/>
      <c r="P1878" s="80"/>
      <c r="Q1878" s="80"/>
      <c r="R1878" s="80"/>
      <c r="S1878" s="117"/>
      <c r="T1878" s="81"/>
      <c r="U1878" s="81"/>
      <c r="V1878" s="81"/>
      <c r="W1878" s="81"/>
      <c r="X1878" s="81"/>
      <c r="Y1878" s="81"/>
      <c r="Z1878" s="82"/>
      <c r="AA1878" s="99"/>
      <c r="AB1878" s="48" t="s">
        <v>61</v>
      </c>
      <c r="AC1878" s="68" t="s">
        <v>61</v>
      </c>
      <c r="AD1878" s="69" t="s">
        <v>61</v>
      </c>
      <c r="AE1878" s="69" t="s">
        <v>61</v>
      </c>
      <c r="AF1878" s="68" t="s">
        <v>61</v>
      </c>
      <c r="AG1878" s="68" t="s">
        <v>61</v>
      </c>
      <c r="AH1878" s="68" t="s">
        <v>61</v>
      </c>
      <c r="AI1878" s="70" t="s">
        <v>61</v>
      </c>
      <c r="AJ1878" s="114" t="s">
        <v>61</v>
      </c>
      <c r="AK1878" s="82"/>
    </row>
    <row r="1879" ht="24.0" customHeight="1">
      <c r="A1879" s="35"/>
      <c r="B1879" s="36">
        <v>1.0</v>
      </c>
      <c r="C1879" s="37" t="str">
        <f>IFERROR(__xludf.DUMMYFUNCTION("""COMPUTED_VALUE"""),"")</f>
        <v/>
      </c>
      <c r="D1879" s="89" t="s">
        <v>61</v>
      </c>
      <c r="E1879" s="51" t="s">
        <v>61</v>
      </c>
      <c r="F1879" s="137"/>
      <c r="G1879" s="133"/>
      <c r="H1879" s="141"/>
      <c r="I1879" s="57"/>
      <c r="J1879" s="57"/>
      <c r="K1879" s="72"/>
      <c r="L1879" s="57"/>
      <c r="M1879" s="55"/>
      <c r="N1879" s="55"/>
      <c r="O1879" s="57"/>
      <c r="P1879" s="57"/>
      <c r="Q1879" s="57"/>
      <c r="R1879" s="57"/>
      <c r="S1879" s="132"/>
      <c r="T1879" s="74"/>
      <c r="U1879" s="74"/>
      <c r="V1879" s="74"/>
      <c r="W1879" s="74"/>
      <c r="X1879" s="74"/>
      <c r="Y1879" s="74"/>
      <c r="Z1879" s="76"/>
      <c r="AA1879" s="134"/>
      <c r="AB1879" s="62" t="s">
        <v>61</v>
      </c>
      <c r="AC1879" s="63" t="s">
        <v>61</v>
      </c>
      <c r="AD1879" s="64" t="s">
        <v>61</v>
      </c>
      <c r="AE1879" s="64" t="s">
        <v>61</v>
      </c>
      <c r="AF1879" s="63" t="s">
        <v>61</v>
      </c>
      <c r="AG1879" s="63" t="s">
        <v>61</v>
      </c>
      <c r="AH1879" s="63" t="s">
        <v>61</v>
      </c>
      <c r="AI1879" s="65" t="s">
        <v>61</v>
      </c>
      <c r="AJ1879" s="105" t="s">
        <v>61</v>
      </c>
      <c r="AK1879" s="76"/>
    </row>
    <row r="1880" ht="24.0" customHeight="1">
      <c r="A1880" s="35"/>
      <c r="B1880" s="36">
        <v>1.0</v>
      </c>
      <c r="C1880" s="37" t="str">
        <f>IFERROR(__xludf.DUMMYFUNCTION("""COMPUTED_VALUE"""),"")</f>
        <v/>
      </c>
      <c r="D1880" s="89" t="s">
        <v>61</v>
      </c>
      <c r="E1880" s="39" t="s">
        <v>61</v>
      </c>
      <c r="F1880" s="121"/>
      <c r="G1880" s="122"/>
      <c r="H1880" s="138"/>
      <c r="I1880" s="80"/>
      <c r="J1880" s="80"/>
      <c r="K1880" s="95"/>
      <c r="L1880" s="80"/>
      <c r="M1880" s="43"/>
      <c r="N1880" s="43"/>
      <c r="O1880" s="80"/>
      <c r="P1880" s="80"/>
      <c r="Q1880" s="80"/>
      <c r="R1880" s="80"/>
      <c r="S1880" s="117"/>
      <c r="T1880" s="81"/>
      <c r="U1880" s="81"/>
      <c r="V1880" s="81"/>
      <c r="W1880" s="81"/>
      <c r="X1880" s="81"/>
      <c r="Y1880" s="81"/>
      <c r="Z1880" s="82"/>
      <c r="AA1880" s="99"/>
      <c r="AB1880" s="48" t="s">
        <v>61</v>
      </c>
      <c r="AC1880" s="68" t="s">
        <v>61</v>
      </c>
      <c r="AD1880" s="69" t="s">
        <v>61</v>
      </c>
      <c r="AE1880" s="69" t="s">
        <v>61</v>
      </c>
      <c r="AF1880" s="68" t="s">
        <v>61</v>
      </c>
      <c r="AG1880" s="68" t="s">
        <v>61</v>
      </c>
      <c r="AH1880" s="68" t="s">
        <v>61</v>
      </c>
      <c r="AI1880" s="70" t="s">
        <v>61</v>
      </c>
      <c r="AJ1880" s="114" t="s">
        <v>61</v>
      </c>
      <c r="AK1880" s="82"/>
    </row>
    <row r="1881" ht="24.0" customHeight="1">
      <c r="A1881" s="35"/>
      <c r="B1881" s="36">
        <v>1.0</v>
      </c>
      <c r="C1881" s="37" t="str">
        <f>IFERROR(__xludf.DUMMYFUNCTION("""COMPUTED_VALUE"""),"")</f>
        <v/>
      </c>
      <c r="D1881" s="89" t="s">
        <v>61</v>
      </c>
      <c r="E1881" s="51" t="s">
        <v>61</v>
      </c>
      <c r="F1881" s="137"/>
      <c r="G1881" s="133"/>
      <c r="H1881" s="141"/>
      <c r="I1881" s="57"/>
      <c r="J1881" s="57"/>
      <c r="K1881" s="72"/>
      <c r="L1881" s="57"/>
      <c r="M1881" s="55"/>
      <c r="N1881" s="55"/>
      <c r="O1881" s="57"/>
      <c r="P1881" s="57"/>
      <c r="Q1881" s="57"/>
      <c r="R1881" s="57"/>
      <c r="S1881" s="132"/>
      <c r="T1881" s="74"/>
      <c r="U1881" s="74"/>
      <c r="V1881" s="74"/>
      <c r="W1881" s="74"/>
      <c r="X1881" s="74"/>
      <c r="Y1881" s="74"/>
      <c r="Z1881" s="76"/>
      <c r="AA1881" s="134"/>
      <c r="AB1881" s="62" t="s">
        <v>61</v>
      </c>
      <c r="AC1881" s="63" t="s">
        <v>61</v>
      </c>
      <c r="AD1881" s="64" t="s">
        <v>61</v>
      </c>
      <c r="AE1881" s="64" t="s">
        <v>61</v>
      </c>
      <c r="AF1881" s="63" t="s">
        <v>61</v>
      </c>
      <c r="AG1881" s="63" t="s">
        <v>61</v>
      </c>
      <c r="AH1881" s="63" t="s">
        <v>61</v>
      </c>
      <c r="AI1881" s="65" t="s">
        <v>61</v>
      </c>
      <c r="AJ1881" s="105" t="s">
        <v>61</v>
      </c>
      <c r="AK1881" s="76"/>
    </row>
    <row r="1882" ht="24.0" customHeight="1">
      <c r="A1882" s="35"/>
      <c r="B1882" s="36">
        <v>1.0</v>
      </c>
      <c r="C1882" s="37" t="str">
        <f>IFERROR(__xludf.DUMMYFUNCTION("""COMPUTED_VALUE"""),"")</f>
        <v/>
      </c>
      <c r="D1882" s="89" t="s">
        <v>61</v>
      </c>
      <c r="E1882" s="39" t="s">
        <v>61</v>
      </c>
      <c r="F1882" s="121"/>
      <c r="G1882" s="122"/>
      <c r="H1882" s="138"/>
      <c r="I1882" s="80"/>
      <c r="J1882" s="80"/>
      <c r="K1882" s="95"/>
      <c r="L1882" s="80"/>
      <c r="M1882" s="43"/>
      <c r="N1882" s="43"/>
      <c r="O1882" s="80"/>
      <c r="P1882" s="80"/>
      <c r="Q1882" s="80"/>
      <c r="R1882" s="80"/>
      <c r="S1882" s="117"/>
      <c r="T1882" s="81"/>
      <c r="U1882" s="81"/>
      <c r="V1882" s="81"/>
      <c r="W1882" s="81"/>
      <c r="X1882" s="81"/>
      <c r="Y1882" s="81"/>
      <c r="Z1882" s="82"/>
      <c r="AA1882" s="99"/>
      <c r="AB1882" s="48" t="s">
        <v>61</v>
      </c>
      <c r="AC1882" s="68" t="s">
        <v>61</v>
      </c>
      <c r="AD1882" s="69" t="s">
        <v>61</v>
      </c>
      <c r="AE1882" s="69" t="s">
        <v>61</v>
      </c>
      <c r="AF1882" s="68" t="s">
        <v>61</v>
      </c>
      <c r="AG1882" s="68" t="s">
        <v>61</v>
      </c>
      <c r="AH1882" s="68" t="s">
        <v>61</v>
      </c>
      <c r="AI1882" s="70" t="s">
        <v>61</v>
      </c>
      <c r="AJ1882" s="114" t="s">
        <v>61</v>
      </c>
      <c r="AK1882" s="82"/>
    </row>
    <row r="1883" ht="24.0" customHeight="1">
      <c r="A1883" s="35"/>
      <c r="B1883" s="36">
        <v>1.0</v>
      </c>
      <c r="C1883" s="37" t="str">
        <f>IFERROR(__xludf.DUMMYFUNCTION("""COMPUTED_VALUE"""),"")</f>
        <v/>
      </c>
      <c r="D1883" s="89" t="s">
        <v>61</v>
      </c>
      <c r="E1883" s="51" t="s">
        <v>61</v>
      </c>
      <c r="F1883" s="137"/>
      <c r="G1883" s="133"/>
      <c r="H1883" s="141"/>
      <c r="I1883" s="57"/>
      <c r="J1883" s="57"/>
      <c r="K1883" s="72"/>
      <c r="L1883" s="57"/>
      <c r="M1883" s="55"/>
      <c r="N1883" s="55"/>
      <c r="O1883" s="57"/>
      <c r="P1883" s="57"/>
      <c r="Q1883" s="57"/>
      <c r="R1883" s="57"/>
      <c r="S1883" s="132"/>
      <c r="T1883" s="74"/>
      <c r="U1883" s="74"/>
      <c r="V1883" s="74"/>
      <c r="W1883" s="74"/>
      <c r="X1883" s="74"/>
      <c r="Y1883" s="74"/>
      <c r="Z1883" s="76"/>
      <c r="AA1883" s="134"/>
      <c r="AB1883" s="62" t="s">
        <v>61</v>
      </c>
      <c r="AC1883" s="63" t="s">
        <v>61</v>
      </c>
      <c r="AD1883" s="64" t="s">
        <v>61</v>
      </c>
      <c r="AE1883" s="64" t="s">
        <v>61</v>
      </c>
      <c r="AF1883" s="63" t="s">
        <v>61</v>
      </c>
      <c r="AG1883" s="63" t="s">
        <v>61</v>
      </c>
      <c r="AH1883" s="63" t="s">
        <v>61</v>
      </c>
      <c r="AI1883" s="65" t="s">
        <v>61</v>
      </c>
      <c r="AJ1883" s="105" t="s">
        <v>61</v>
      </c>
      <c r="AK1883" s="76"/>
    </row>
    <row r="1884" ht="24.0" customHeight="1">
      <c r="A1884" s="35"/>
      <c r="B1884" s="36">
        <v>1.0</v>
      </c>
      <c r="C1884" s="37" t="str">
        <f>IFERROR(__xludf.DUMMYFUNCTION("""COMPUTED_VALUE"""),"")</f>
        <v/>
      </c>
      <c r="D1884" s="89" t="s">
        <v>61</v>
      </c>
      <c r="E1884" s="39" t="s">
        <v>61</v>
      </c>
      <c r="F1884" s="121"/>
      <c r="G1884" s="122"/>
      <c r="H1884" s="138"/>
      <c r="I1884" s="80"/>
      <c r="J1884" s="80"/>
      <c r="K1884" s="95"/>
      <c r="L1884" s="80"/>
      <c r="M1884" s="43"/>
      <c r="N1884" s="43"/>
      <c r="O1884" s="80"/>
      <c r="P1884" s="80"/>
      <c r="Q1884" s="80"/>
      <c r="R1884" s="80"/>
      <c r="S1884" s="117"/>
      <c r="T1884" s="81"/>
      <c r="U1884" s="81"/>
      <c r="V1884" s="81"/>
      <c r="W1884" s="81"/>
      <c r="X1884" s="81"/>
      <c r="Y1884" s="81"/>
      <c r="Z1884" s="82"/>
      <c r="AA1884" s="99"/>
      <c r="AB1884" s="48" t="s">
        <v>61</v>
      </c>
      <c r="AC1884" s="68" t="s">
        <v>61</v>
      </c>
      <c r="AD1884" s="69" t="s">
        <v>61</v>
      </c>
      <c r="AE1884" s="69" t="s">
        <v>61</v>
      </c>
      <c r="AF1884" s="68" t="s">
        <v>61</v>
      </c>
      <c r="AG1884" s="68" t="s">
        <v>61</v>
      </c>
      <c r="AH1884" s="68" t="s">
        <v>61</v>
      </c>
      <c r="AI1884" s="70" t="s">
        <v>61</v>
      </c>
      <c r="AJ1884" s="114" t="s">
        <v>61</v>
      </c>
      <c r="AK1884" s="82"/>
    </row>
    <row r="1885" ht="24.0" customHeight="1">
      <c r="A1885" s="35"/>
      <c r="B1885" s="36">
        <v>1.0</v>
      </c>
      <c r="C1885" s="37" t="str">
        <f>IFERROR(__xludf.DUMMYFUNCTION("""COMPUTED_VALUE"""),"")</f>
        <v/>
      </c>
      <c r="D1885" s="89" t="s">
        <v>61</v>
      </c>
      <c r="E1885" s="51" t="s">
        <v>61</v>
      </c>
      <c r="F1885" s="137"/>
      <c r="G1885" s="133"/>
      <c r="H1885" s="141"/>
      <c r="I1885" s="57"/>
      <c r="J1885" s="57"/>
      <c r="K1885" s="72"/>
      <c r="L1885" s="57"/>
      <c r="M1885" s="55"/>
      <c r="N1885" s="55"/>
      <c r="O1885" s="57"/>
      <c r="P1885" s="57"/>
      <c r="Q1885" s="57"/>
      <c r="R1885" s="57"/>
      <c r="S1885" s="132"/>
      <c r="T1885" s="74"/>
      <c r="U1885" s="74"/>
      <c r="V1885" s="74"/>
      <c r="W1885" s="74"/>
      <c r="X1885" s="74"/>
      <c r="Y1885" s="74"/>
      <c r="Z1885" s="76"/>
      <c r="AA1885" s="134"/>
      <c r="AB1885" s="62" t="s">
        <v>61</v>
      </c>
      <c r="AC1885" s="63" t="s">
        <v>61</v>
      </c>
      <c r="AD1885" s="64" t="s">
        <v>61</v>
      </c>
      <c r="AE1885" s="64" t="s">
        <v>61</v>
      </c>
      <c r="AF1885" s="63" t="s">
        <v>61</v>
      </c>
      <c r="AG1885" s="63" t="s">
        <v>61</v>
      </c>
      <c r="AH1885" s="63" t="s">
        <v>61</v>
      </c>
      <c r="AI1885" s="65" t="s">
        <v>61</v>
      </c>
      <c r="AJ1885" s="105" t="s">
        <v>61</v>
      </c>
      <c r="AK1885" s="76"/>
    </row>
    <row r="1886" ht="24.0" customHeight="1">
      <c r="A1886" s="35"/>
      <c r="B1886" s="36">
        <v>1.0</v>
      </c>
      <c r="C1886" s="37" t="str">
        <f>IFERROR(__xludf.DUMMYFUNCTION("""COMPUTED_VALUE"""),"")</f>
        <v/>
      </c>
      <c r="D1886" s="89" t="s">
        <v>61</v>
      </c>
      <c r="E1886" s="39" t="s">
        <v>61</v>
      </c>
      <c r="F1886" s="121"/>
      <c r="G1886" s="122"/>
      <c r="H1886" s="138"/>
      <c r="I1886" s="80"/>
      <c r="J1886" s="80"/>
      <c r="K1886" s="95"/>
      <c r="L1886" s="80"/>
      <c r="M1886" s="43"/>
      <c r="N1886" s="43"/>
      <c r="O1886" s="80"/>
      <c r="P1886" s="80"/>
      <c r="Q1886" s="80"/>
      <c r="R1886" s="80"/>
      <c r="S1886" s="117"/>
      <c r="T1886" s="81"/>
      <c r="U1886" s="81"/>
      <c r="V1886" s="81"/>
      <c r="W1886" s="81"/>
      <c r="X1886" s="81"/>
      <c r="Y1886" s="81"/>
      <c r="Z1886" s="82"/>
      <c r="AA1886" s="99"/>
      <c r="AB1886" s="48" t="s">
        <v>61</v>
      </c>
      <c r="AC1886" s="68" t="s">
        <v>61</v>
      </c>
      <c r="AD1886" s="69" t="s">
        <v>61</v>
      </c>
      <c r="AE1886" s="69" t="s">
        <v>61</v>
      </c>
      <c r="AF1886" s="68" t="s">
        <v>61</v>
      </c>
      <c r="AG1886" s="68" t="s">
        <v>61</v>
      </c>
      <c r="AH1886" s="68" t="s">
        <v>61</v>
      </c>
      <c r="AI1886" s="70" t="s">
        <v>61</v>
      </c>
      <c r="AJ1886" s="114" t="s">
        <v>61</v>
      </c>
      <c r="AK1886" s="82"/>
    </row>
    <row r="1887" ht="24.0" customHeight="1">
      <c r="A1887" s="35"/>
      <c r="B1887" s="36">
        <v>1.0</v>
      </c>
      <c r="C1887" s="37" t="str">
        <f>IFERROR(__xludf.DUMMYFUNCTION("""COMPUTED_VALUE"""),"")</f>
        <v/>
      </c>
      <c r="D1887" s="89" t="s">
        <v>61</v>
      </c>
      <c r="E1887" s="51" t="s">
        <v>61</v>
      </c>
      <c r="F1887" s="137"/>
      <c r="G1887" s="133"/>
      <c r="H1887" s="141"/>
      <c r="I1887" s="57"/>
      <c r="J1887" s="57"/>
      <c r="K1887" s="72"/>
      <c r="L1887" s="57"/>
      <c r="M1887" s="55"/>
      <c r="N1887" s="55"/>
      <c r="O1887" s="57"/>
      <c r="P1887" s="57"/>
      <c r="Q1887" s="57"/>
      <c r="R1887" s="57"/>
      <c r="S1887" s="132"/>
      <c r="T1887" s="74"/>
      <c r="U1887" s="74"/>
      <c r="V1887" s="74"/>
      <c r="W1887" s="74"/>
      <c r="X1887" s="74"/>
      <c r="Y1887" s="74"/>
      <c r="Z1887" s="76"/>
      <c r="AA1887" s="134"/>
      <c r="AB1887" s="62" t="s">
        <v>61</v>
      </c>
      <c r="AC1887" s="63" t="s">
        <v>61</v>
      </c>
      <c r="AD1887" s="64" t="s">
        <v>61</v>
      </c>
      <c r="AE1887" s="64" t="s">
        <v>61</v>
      </c>
      <c r="AF1887" s="63" t="s">
        <v>61</v>
      </c>
      <c r="AG1887" s="63" t="s">
        <v>61</v>
      </c>
      <c r="AH1887" s="63" t="s">
        <v>61</v>
      </c>
      <c r="AI1887" s="65" t="s">
        <v>61</v>
      </c>
      <c r="AJ1887" s="105" t="s">
        <v>61</v>
      </c>
      <c r="AK1887" s="76"/>
    </row>
    <row r="1888" ht="24.0" customHeight="1">
      <c r="A1888" s="35"/>
      <c r="B1888" s="36">
        <v>1.0</v>
      </c>
      <c r="C1888" s="37" t="str">
        <f>IFERROR(__xludf.DUMMYFUNCTION("""COMPUTED_VALUE"""),"")</f>
        <v/>
      </c>
      <c r="D1888" s="89" t="s">
        <v>61</v>
      </c>
      <c r="E1888" s="39" t="s">
        <v>61</v>
      </c>
      <c r="F1888" s="121"/>
      <c r="G1888" s="122"/>
      <c r="H1888" s="138"/>
      <c r="I1888" s="80"/>
      <c r="J1888" s="80"/>
      <c r="K1888" s="95"/>
      <c r="L1888" s="80"/>
      <c r="M1888" s="43"/>
      <c r="N1888" s="43"/>
      <c r="O1888" s="80"/>
      <c r="P1888" s="80"/>
      <c r="Q1888" s="80"/>
      <c r="R1888" s="80"/>
      <c r="S1888" s="117"/>
      <c r="T1888" s="81"/>
      <c r="U1888" s="81"/>
      <c r="V1888" s="81"/>
      <c r="W1888" s="81"/>
      <c r="X1888" s="81"/>
      <c r="Y1888" s="81"/>
      <c r="Z1888" s="82"/>
      <c r="AA1888" s="99"/>
      <c r="AB1888" s="48" t="s">
        <v>61</v>
      </c>
      <c r="AC1888" s="68" t="s">
        <v>61</v>
      </c>
      <c r="AD1888" s="69" t="s">
        <v>61</v>
      </c>
      <c r="AE1888" s="69" t="s">
        <v>61</v>
      </c>
      <c r="AF1888" s="68" t="s">
        <v>61</v>
      </c>
      <c r="AG1888" s="68" t="s">
        <v>61</v>
      </c>
      <c r="AH1888" s="68" t="s">
        <v>61</v>
      </c>
      <c r="AI1888" s="70" t="s">
        <v>61</v>
      </c>
      <c r="AJ1888" s="114" t="s">
        <v>61</v>
      </c>
      <c r="AK1888" s="82"/>
    </row>
    <row r="1889" ht="24.0" customHeight="1">
      <c r="A1889" s="35"/>
      <c r="B1889" s="36">
        <v>1.0</v>
      </c>
      <c r="C1889" s="37" t="str">
        <f>IFERROR(__xludf.DUMMYFUNCTION("""COMPUTED_VALUE"""),"")</f>
        <v/>
      </c>
      <c r="D1889" s="89" t="s">
        <v>61</v>
      </c>
      <c r="E1889" s="51" t="s">
        <v>61</v>
      </c>
      <c r="F1889" s="137"/>
      <c r="G1889" s="133"/>
      <c r="H1889" s="141"/>
      <c r="I1889" s="57"/>
      <c r="J1889" s="57"/>
      <c r="K1889" s="72"/>
      <c r="L1889" s="57"/>
      <c r="M1889" s="55"/>
      <c r="N1889" s="55"/>
      <c r="O1889" s="57"/>
      <c r="P1889" s="57"/>
      <c r="Q1889" s="57"/>
      <c r="R1889" s="57"/>
      <c r="S1889" s="132"/>
      <c r="T1889" s="74"/>
      <c r="U1889" s="74"/>
      <c r="V1889" s="74"/>
      <c r="W1889" s="74"/>
      <c r="X1889" s="74"/>
      <c r="Y1889" s="74"/>
      <c r="Z1889" s="76"/>
      <c r="AA1889" s="134"/>
      <c r="AB1889" s="62" t="s">
        <v>61</v>
      </c>
      <c r="AC1889" s="63" t="s">
        <v>61</v>
      </c>
      <c r="AD1889" s="64" t="s">
        <v>61</v>
      </c>
      <c r="AE1889" s="64" t="s">
        <v>61</v>
      </c>
      <c r="AF1889" s="63" t="s">
        <v>61</v>
      </c>
      <c r="AG1889" s="63" t="s">
        <v>61</v>
      </c>
      <c r="AH1889" s="63" t="s">
        <v>61</v>
      </c>
      <c r="AI1889" s="65" t="s">
        <v>61</v>
      </c>
      <c r="AJ1889" s="105" t="s">
        <v>61</v>
      </c>
      <c r="AK1889" s="76"/>
    </row>
    <row r="1890" ht="24.0" customHeight="1">
      <c r="A1890" s="35"/>
      <c r="B1890" s="36">
        <v>1.0</v>
      </c>
      <c r="C1890" s="37" t="str">
        <f>IFERROR(__xludf.DUMMYFUNCTION("""COMPUTED_VALUE"""),"")</f>
        <v/>
      </c>
      <c r="D1890" s="89" t="s">
        <v>61</v>
      </c>
      <c r="E1890" s="39" t="s">
        <v>61</v>
      </c>
      <c r="F1890" s="121"/>
      <c r="G1890" s="122"/>
      <c r="H1890" s="138"/>
      <c r="I1890" s="80"/>
      <c r="J1890" s="80"/>
      <c r="K1890" s="95"/>
      <c r="L1890" s="80"/>
      <c r="M1890" s="43"/>
      <c r="N1890" s="43"/>
      <c r="O1890" s="80"/>
      <c r="P1890" s="80"/>
      <c r="Q1890" s="80"/>
      <c r="R1890" s="80"/>
      <c r="S1890" s="117"/>
      <c r="T1890" s="81"/>
      <c r="U1890" s="81"/>
      <c r="V1890" s="81"/>
      <c r="W1890" s="81"/>
      <c r="X1890" s="81"/>
      <c r="Y1890" s="81"/>
      <c r="Z1890" s="82"/>
      <c r="AA1890" s="99"/>
      <c r="AB1890" s="48" t="s">
        <v>61</v>
      </c>
      <c r="AC1890" s="68" t="s">
        <v>61</v>
      </c>
      <c r="AD1890" s="69" t="s">
        <v>61</v>
      </c>
      <c r="AE1890" s="69" t="s">
        <v>61</v>
      </c>
      <c r="AF1890" s="68" t="s">
        <v>61</v>
      </c>
      <c r="AG1890" s="68" t="s">
        <v>61</v>
      </c>
      <c r="AH1890" s="68" t="s">
        <v>61</v>
      </c>
      <c r="AI1890" s="70" t="s">
        <v>61</v>
      </c>
      <c r="AJ1890" s="114" t="s">
        <v>61</v>
      </c>
      <c r="AK1890" s="82"/>
    </row>
    <row r="1891" ht="24.0" customHeight="1">
      <c r="A1891" s="35"/>
      <c r="B1891" s="36">
        <v>1.0</v>
      </c>
      <c r="C1891" s="37" t="str">
        <f>IFERROR(__xludf.DUMMYFUNCTION("""COMPUTED_VALUE"""),"")</f>
        <v/>
      </c>
      <c r="D1891" s="89" t="s">
        <v>61</v>
      </c>
      <c r="E1891" s="51" t="s">
        <v>61</v>
      </c>
      <c r="F1891" s="137"/>
      <c r="G1891" s="133"/>
      <c r="H1891" s="141"/>
      <c r="I1891" s="57"/>
      <c r="J1891" s="57"/>
      <c r="K1891" s="72"/>
      <c r="L1891" s="57"/>
      <c r="M1891" s="55"/>
      <c r="N1891" s="55"/>
      <c r="O1891" s="57"/>
      <c r="P1891" s="57"/>
      <c r="Q1891" s="57"/>
      <c r="R1891" s="57"/>
      <c r="S1891" s="132"/>
      <c r="T1891" s="74"/>
      <c r="U1891" s="74"/>
      <c r="V1891" s="74"/>
      <c r="W1891" s="74"/>
      <c r="X1891" s="74"/>
      <c r="Y1891" s="74"/>
      <c r="Z1891" s="76"/>
      <c r="AA1891" s="134"/>
      <c r="AB1891" s="62" t="s">
        <v>61</v>
      </c>
      <c r="AC1891" s="63" t="s">
        <v>61</v>
      </c>
      <c r="AD1891" s="64" t="s">
        <v>61</v>
      </c>
      <c r="AE1891" s="64" t="s">
        <v>61</v>
      </c>
      <c r="AF1891" s="63" t="s">
        <v>61</v>
      </c>
      <c r="AG1891" s="63" t="s">
        <v>61</v>
      </c>
      <c r="AH1891" s="63" t="s">
        <v>61</v>
      </c>
      <c r="AI1891" s="65" t="s">
        <v>61</v>
      </c>
      <c r="AJ1891" s="105" t="s">
        <v>61</v>
      </c>
      <c r="AK1891" s="76"/>
    </row>
    <row r="1892" ht="24.0" customHeight="1">
      <c r="A1892" s="35"/>
      <c r="B1892" s="36">
        <v>1.0</v>
      </c>
      <c r="C1892" s="37" t="str">
        <f>IFERROR(__xludf.DUMMYFUNCTION("""COMPUTED_VALUE"""),"")</f>
        <v/>
      </c>
      <c r="D1892" s="89" t="s">
        <v>61</v>
      </c>
      <c r="E1892" s="39" t="s">
        <v>61</v>
      </c>
      <c r="F1892" s="121"/>
      <c r="G1892" s="122"/>
      <c r="H1892" s="138"/>
      <c r="I1892" s="80"/>
      <c r="J1892" s="80"/>
      <c r="K1892" s="95"/>
      <c r="L1892" s="80"/>
      <c r="M1892" s="43"/>
      <c r="N1892" s="43"/>
      <c r="O1892" s="80"/>
      <c r="P1892" s="80"/>
      <c r="Q1892" s="80"/>
      <c r="R1892" s="80"/>
      <c r="S1892" s="117"/>
      <c r="T1892" s="81"/>
      <c r="U1892" s="81"/>
      <c r="V1892" s="81"/>
      <c r="W1892" s="81"/>
      <c r="X1892" s="81"/>
      <c r="Y1892" s="81"/>
      <c r="Z1892" s="82"/>
      <c r="AA1892" s="99"/>
      <c r="AB1892" s="48" t="s">
        <v>61</v>
      </c>
      <c r="AC1892" s="68" t="s">
        <v>61</v>
      </c>
      <c r="AD1892" s="69" t="s">
        <v>61</v>
      </c>
      <c r="AE1892" s="69" t="s">
        <v>61</v>
      </c>
      <c r="AF1892" s="68" t="s">
        <v>61</v>
      </c>
      <c r="AG1892" s="68" t="s">
        <v>61</v>
      </c>
      <c r="AH1892" s="68" t="s">
        <v>61</v>
      </c>
      <c r="AI1892" s="70" t="s">
        <v>61</v>
      </c>
      <c r="AJ1892" s="114" t="s">
        <v>61</v>
      </c>
      <c r="AK1892" s="82"/>
    </row>
    <row r="1893" ht="24.0" customHeight="1">
      <c r="A1893" s="35"/>
      <c r="B1893" s="36">
        <v>1.0</v>
      </c>
      <c r="C1893" s="37" t="str">
        <f>IFERROR(__xludf.DUMMYFUNCTION("""COMPUTED_VALUE"""),"")</f>
        <v/>
      </c>
      <c r="D1893" s="89" t="s">
        <v>61</v>
      </c>
      <c r="E1893" s="51" t="s">
        <v>61</v>
      </c>
      <c r="F1893" s="137"/>
      <c r="G1893" s="133"/>
      <c r="H1893" s="141"/>
      <c r="I1893" s="57"/>
      <c r="J1893" s="57"/>
      <c r="K1893" s="72"/>
      <c r="L1893" s="57"/>
      <c r="M1893" s="55"/>
      <c r="N1893" s="55"/>
      <c r="O1893" s="57"/>
      <c r="P1893" s="57"/>
      <c r="Q1893" s="57"/>
      <c r="R1893" s="57"/>
      <c r="S1893" s="132"/>
      <c r="T1893" s="74"/>
      <c r="U1893" s="74"/>
      <c r="V1893" s="74"/>
      <c r="W1893" s="74"/>
      <c r="X1893" s="74"/>
      <c r="Y1893" s="74"/>
      <c r="Z1893" s="76"/>
      <c r="AA1893" s="134"/>
      <c r="AB1893" s="62" t="s">
        <v>61</v>
      </c>
      <c r="AC1893" s="63" t="s">
        <v>61</v>
      </c>
      <c r="AD1893" s="64" t="s">
        <v>61</v>
      </c>
      <c r="AE1893" s="64" t="s">
        <v>61</v>
      </c>
      <c r="AF1893" s="63" t="s">
        <v>61</v>
      </c>
      <c r="AG1893" s="63" t="s">
        <v>61</v>
      </c>
      <c r="AH1893" s="63" t="s">
        <v>61</v>
      </c>
      <c r="AI1893" s="65" t="s">
        <v>61</v>
      </c>
      <c r="AJ1893" s="105" t="s">
        <v>61</v>
      </c>
      <c r="AK1893" s="76"/>
    </row>
    <row r="1894" ht="24.0" customHeight="1">
      <c r="A1894" s="35"/>
      <c r="B1894" s="36">
        <v>1.0</v>
      </c>
      <c r="C1894" s="37" t="str">
        <f>IFERROR(__xludf.DUMMYFUNCTION("""COMPUTED_VALUE"""),"")</f>
        <v/>
      </c>
      <c r="D1894" s="89" t="s">
        <v>61</v>
      </c>
      <c r="E1894" s="39" t="s">
        <v>61</v>
      </c>
      <c r="F1894" s="121"/>
      <c r="G1894" s="122"/>
      <c r="H1894" s="138"/>
      <c r="I1894" s="80"/>
      <c r="J1894" s="80"/>
      <c r="K1894" s="95"/>
      <c r="L1894" s="80"/>
      <c r="M1894" s="43"/>
      <c r="N1894" s="43"/>
      <c r="O1894" s="80"/>
      <c r="P1894" s="80"/>
      <c r="Q1894" s="80"/>
      <c r="R1894" s="80"/>
      <c r="S1894" s="117"/>
      <c r="T1894" s="81"/>
      <c r="U1894" s="81"/>
      <c r="V1894" s="81"/>
      <c r="W1894" s="81"/>
      <c r="X1894" s="81"/>
      <c r="Y1894" s="81"/>
      <c r="Z1894" s="82"/>
      <c r="AA1894" s="99"/>
      <c r="AB1894" s="48" t="s">
        <v>61</v>
      </c>
      <c r="AC1894" s="68" t="s">
        <v>61</v>
      </c>
      <c r="AD1894" s="69" t="s">
        <v>61</v>
      </c>
      <c r="AE1894" s="69" t="s">
        <v>61</v>
      </c>
      <c r="AF1894" s="68" t="s">
        <v>61</v>
      </c>
      <c r="AG1894" s="68" t="s">
        <v>61</v>
      </c>
      <c r="AH1894" s="68" t="s">
        <v>61</v>
      </c>
      <c r="AI1894" s="70" t="s">
        <v>61</v>
      </c>
      <c r="AJ1894" s="114" t="s">
        <v>61</v>
      </c>
      <c r="AK1894" s="82"/>
    </row>
    <row r="1895" ht="24.0" customHeight="1">
      <c r="A1895" s="35"/>
      <c r="B1895" s="36">
        <v>1.0</v>
      </c>
      <c r="C1895" s="37" t="str">
        <f>IFERROR(__xludf.DUMMYFUNCTION("""COMPUTED_VALUE"""),"")</f>
        <v/>
      </c>
      <c r="D1895" s="89" t="s">
        <v>61</v>
      </c>
      <c r="E1895" s="51" t="s">
        <v>61</v>
      </c>
      <c r="F1895" s="137"/>
      <c r="G1895" s="133"/>
      <c r="H1895" s="141"/>
      <c r="I1895" s="57"/>
      <c r="J1895" s="57"/>
      <c r="K1895" s="72"/>
      <c r="L1895" s="57"/>
      <c r="M1895" s="55"/>
      <c r="N1895" s="55"/>
      <c r="O1895" s="57"/>
      <c r="P1895" s="57"/>
      <c r="Q1895" s="57"/>
      <c r="R1895" s="57"/>
      <c r="S1895" s="132"/>
      <c r="T1895" s="74"/>
      <c r="U1895" s="74"/>
      <c r="V1895" s="74"/>
      <c r="W1895" s="74"/>
      <c r="X1895" s="74"/>
      <c r="Y1895" s="74"/>
      <c r="Z1895" s="76"/>
      <c r="AA1895" s="134"/>
      <c r="AB1895" s="62" t="s">
        <v>61</v>
      </c>
      <c r="AC1895" s="63" t="s">
        <v>61</v>
      </c>
      <c r="AD1895" s="64" t="s">
        <v>61</v>
      </c>
      <c r="AE1895" s="64" t="s">
        <v>61</v>
      </c>
      <c r="AF1895" s="63" t="s">
        <v>61</v>
      </c>
      <c r="AG1895" s="63" t="s">
        <v>61</v>
      </c>
      <c r="AH1895" s="63" t="s">
        <v>61</v>
      </c>
      <c r="AI1895" s="65" t="s">
        <v>61</v>
      </c>
      <c r="AJ1895" s="105" t="s">
        <v>61</v>
      </c>
      <c r="AK1895" s="76"/>
    </row>
    <row r="1896" ht="24.0" customHeight="1">
      <c r="A1896" s="35"/>
      <c r="B1896" s="36">
        <v>1.0</v>
      </c>
      <c r="C1896" s="37" t="str">
        <f>IFERROR(__xludf.DUMMYFUNCTION("""COMPUTED_VALUE"""),"")</f>
        <v/>
      </c>
      <c r="D1896" s="89" t="s">
        <v>61</v>
      </c>
      <c r="E1896" s="39" t="s">
        <v>61</v>
      </c>
      <c r="F1896" s="121"/>
      <c r="G1896" s="122"/>
      <c r="H1896" s="138"/>
      <c r="I1896" s="80"/>
      <c r="J1896" s="80"/>
      <c r="K1896" s="95"/>
      <c r="L1896" s="80"/>
      <c r="M1896" s="43"/>
      <c r="N1896" s="43"/>
      <c r="O1896" s="80"/>
      <c r="P1896" s="80"/>
      <c r="Q1896" s="80"/>
      <c r="R1896" s="80"/>
      <c r="S1896" s="117"/>
      <c r="T1896" s="81"/>
      <c r="U1896" s="81"/>
      <c r="V1896" s="81"/>
      <c r="W1896" s="81"/>
      <c r="X1896" s="81"/>
      <c r="Y1896" s="81"/>
      <c r="Z1896" s="82"/>
      <c r="AA1896" s="99"/>
      <c r="AB1896" s="48" t="s">
        <v>61</v>
      </c>
      <c r="AC1896" s="68" t="s">
        <v>61</v>
      </c>
      <c r="AD1896" s="69" t="s">
        <v>61</v>
      </c>
      <c r="AE1896" s="69" t="s">
        <v>61</v>
      </c>
      <c r="AF1896" s="68" t="s">
        <v>61</v>
      </c>
      <c r="AG1896" s="68" t="s">
        <v>61</v>
      </c>
      <c r="AH1896" s="68" t="s">
        <v>61</v>
      </c>
      <c r="AI1896" s="70" t="s">
        <v>61</v>
      </c>
      <c r="AJ1896" s="114" t="s">
        <v>61</v>
      </c>
      <c r="AK1896" s="82"/>
    </row>
    <row r="1897" ht="24.0" customHeight="1">
      <c r="A1897" s="35"/>
      <c r="B1897" s="36">
        <v>1.0</v>
      </c>
      <c r="C1897" s="37" t="str">
        <f>IFERROR(__xludf.DUMMYFUNCTION("""COMPUTED_VALUE"""),"")</f>
        <v/>
      </c>
      <c r="D1897" s="89" t="s">
        <v>61</v>
      </c>
      <c r="E1897" s="51" t="s">
        <v>61</v>
      </c>
      <c r="F1897" s="137"/>
      <c r="G1897" s="133"/>
      <c r="H1897" s="141"/>
      <c r="I1897" s="57"/>
      <c r="J1897" s="57"/>
      <c r="K1897" s="72"/>
      <c r="L1897" s="57"/>
      <c r="M1897" s="55"/>
      <c r="N1897" s="55"/>
      <c r="O1897" s="57"/>
      <c r="P1897" s="57"/>
      <c r="Q1897" s="57"/>
      <c r="R1897" s="57"/>
      <c r="S1897" s="132"/>
      <c r="T1897" s="74"/>
      <c r="U1897" s="74"/>
      <c r="V1897" s="74"/>
      <c r="W1897" s="74"/>
      <c r="X1897" s="74"/>
      <c r="Y1897" s="74"/>
      <c r="Z1897" s="76"/>
      <c r="AA1897" s="134"/>
      <c r="AB1897" s="62" t="s">
        <v>61</v>
      </c>
      <c r="AC1897" s="63" t="s">
        <v>61</v>
      </c>
      <c r="AD1897" s="64" t="s">
        <v>61</v>
      </c>
      <c r="AE1897" s="64" t="s">
        <v>61</v>
      </c>
      <c r="AF1897" s="63" t="s">
        <v>61</v>
      </c>
      <c r="AG1897" s="63" t="s">
        <v>61</v>
      </c>
      <c r="AH1897" s="63" t="s">
        <v>61</v>
      </c>
      <c r="AI1897" s="65" t="s">
        <v>61</v>
      </c>
      <c r="AJ1897" s="105" t="s">
        <v>61</v>
      </c>
      <c r="AK1897" s="76"/>
    </row>
    <row r="1898" ht="24.0" customHeight="1">
      <c r="A1898" s="35"/>
      <c r="B1898" s="36">
        <v>1.0</v>
      </c>
      <c r="C1898" s="37" t="str">
        <f>IFERROR(__xludf.DUMMYFUNCTION("""COMPUTED_VALUE"""),"")</f>
        <v/>
      </c>
      <c r="D1898" s="89" t="s">
        <v>61</v>
      </c>
      <c r="E1898" s="39" t="s">
        <v>61</v>
      </c>
      <c r="F1898" s="121"/>
      <c r="G1898" s="122"/>
      <c r="H1898" s="138"/>
      <c r="I1898" s="80"/>
      <c r="J1898" s="80"/>
      <c r="K1898" s="95"/>
      <c r="L1898" s="80"/>
      <c r="M1898" s="43"/>
      <c r="N1898" s="43"/>
      <c r="O1898" s="80"/>
      <c r="P1898" s="80"/>
      <c r="Q1898" s="80"/>
      <c r="R1898" s="80"/>
      <c r="S1898" s="117"/>
      <c r="T1898" s="81"/>
      <c r="U1898" s="81"/>
      <c r="V1898" s="81"/>
      <c r="W1898" s="81"/>
      <c r="X1898" s="81"/>
      <c r="Y1898" s="81"/>
      <c r="Z1898" s="82"/>
      <c r="AA1898" s="99"/>
      <c r="AB1898" s="48" t="s">
        <v>61</v>
      </c>
      <c r="AC1898" s="68" t="s">
        <v>61</v>
      </c>
      <c r="AD1898" s="69" t="s">
        <v>61</v>
      </c>
      <c r="AE1898" s="69" t="s">
        <v>61</v>
      </c>
      <c r="AF1898" s="68" t="s">
        <v>61</v>
      </c>
      <c r="AG1898" s="68" t="s">
        <v>61</v>
      </c>
      <c r="AH1898" s="68" t="s">
        <v>61</v>
      </c>
      <c r="AI1898" s="70" t="s">
        <v>61</v>
      </c>
      <c r="AJ1898" s="114" t="s">
        <v>61</v>
      </c>
      <c r="AK1898" s="82"/>
    </row>
    <row r="1899" ht="24.0" customHeight="1">
      <c r="A1899" s="35"/>
      <c r="B1899" s="36">
        <v>1.0</v>
      </c>
      <c r="C1899" s="37" t="str">
        <f>IFERROR(__xludf.DUMMYFUNCTION("""COMPUTED_VALUE"""),"")</f>
        <v/>
      </c>
      <c r="D1899" s="89" t="s">
        <v>61</v>
      </c>
      <c r="E1899" s="51" t="s">
        <v>61</v>
      </c>
      <c r="F1899" s="137"/>
      <c r="G1899" s="133"/>
      <c r="H1899" s="141"/>
      <c r="I1899" s="57"/>
      <c r="J1899" s="57"/>
      <c r="K1899" s="72"/>
      <c r="L1899" s="57"/>
      <c r="M1899" s="55"/>
      <c r="N1899" s="55"/>
      <c r="O1899" s="57"/>
      <c r="P1899" s="57"/>
      <c r="Q1899" s="57"/>
      <c r="R1899" s="57"/>
      <c r="S1899" s="132"/>
      <c r="T1899" s="74"/>
      <c r="U1899" s="74"/>
      <c r="V1899" s="74"/>
      <c r="W1899" s="74"/>
      <c r="X1899" s="74"/>
      <c r="Y1899" s="74"/>
      <c r="Z1899" s="76"/>
      <c r="AA1899" s="134"/>
      <c r="AB1899" s="62" t="s">
        <v>61</v>
      </c>
      <c r="AC1899" s="63" t="s">
        <v>61</v>
      </c>
      <c r="AD1899" s="64" t="s">
        <v>61</v>
      </c>
      <c r="AE1899" s="64" t="s">
        <v>61</v>
      </c>
      <c r="AF1899" s="63" t="s">
        <v>61</v>
      </c>
      <c r="AG1899" s="63" t="s">
        <v>61</v>
      </c>
      <c r="AH1899" s="63" t="s">
        <v>61</v>
      </c>
      <c r="AI1899" s="65" t="s">
        <v>61</v>
      </c>
      <c r="AJ1899" s="105" t="s">
        <v>61</v>
      </c>
      <c r="AK1899" s="76"/>
    </row>
    <row r="1900" ht="24.0" customHeight="1">
      <c r="A1900" s="35"/>
      <c r="B1900" s="36">
        <v>1.0</v>
      </c>
      <c r="C1900" s="37" t="str">
        <f>IFERROR(__xludf.DUMMYFUNCTION("""COMPUTED_VALUE"""),"")</f>
        <v/>
      </c>
      <c r="D1900" s="89" t="s">
        <v>61</v>
      </c>
      <c r="E1900" s="39" t="s">
        <v>61</v>
      </c>
      <c r="F1900" s="121"/>
      <c r="G1900" s="122"/>
      <c r="H1900" s="138"/>
      <c r="I1900" s="80"/>
      <c r="J1900" s="80"/>
      <c r="K1900" s="95"/>
      <c r="L1900" s="80"/>
      <c r="M1900" s="43"/>
      <c r="N1900" s="43"/>
      <c r="O1900" s="80"/>
      <c r="P1900" s="80"/>
      <c r="Q1900" s="80"/>
      <c r="R1900" s="80"/>
      <c r="S1900" s="117"/>
      <c r="T1900" s="81"/>
      <c r="U1900" s="81"/>
      <c r="V1900" s="81"/>
      <c r="W1900" s="81"/>
      <c r="X1900" s="81"/>
      <c r="Y1900" s="81"/>
      <c r="Z1900" s="82"/>
      <c r="AA1900" s="99"/>
      <c r="AB1900" s="48" t="s">
        <v>61</v>
      </c>
      <c r="AC1900" s="68" t="s">
        <v>61</v>
      </c>
      <c r="AD1900" s="69" t="s">
        <v>61</v>
      </c>
      <c r="AE1900" s="69" t="s">
        <v>61</v>
      </c>
      <c r="AF1900" s="68" t="s">
        <v>61</v>
      </c>
      <c r="AG1900" s="68" t="s">
        <v>61</v>
      </c>
      <c r="AH1900" s="68" t="s">
        <v>61</v>
      </c>
      <c r="AI1900" s="70" t="s">
        <v>61</v>
      </c>
      <c r="AJ1900" s="114" t="s">
        <v>61</v>
      </c>
      <c r="AK1900" s="82"/>
    </row>
    <row r="1901" ht="24.0" customHeight="1">
      <c r="A1901" s="35"/>
      <c r="B1901" s="36">
        <v>1.0</v>
      </c>
      <c r="C1901" s="37" t="str">
        <f>IFERROR(__xludf.DUMMYFUNCTION("""COMPUTED_VALUE"""),"")</f>
        <v/>
      </c>
      <c r="D1901" s="89" t="s">
        <v>61</v>
      </c>
      <c r="E1901" s="51" t="s">
        <v>61</v>
      </c>
      <c r="F1901" s="137"/>
      <c r="G1901" s="133"/>
      <c r="H1901" s="141"/>
      <c r="I1901" s="57"/>
      <c r="J1901" s="57"/>
      <c r="K1901" s="72"/>
      <c r="L1901" s="57"/>
      <c r="M1901" s="55"/>
      <c r="N1901" s="55"/>
      <c r="O1901" s="57"/>
      <c r="P1901" s="57"/>
      <c r="Q1901" s="57"/>
      <c r="R1901" s="57"/>
      <c r="S1901" s="132"/>
      <c r="T1901" s="74"/>
      <c r="U1901" s="74"/>
      <c r="V1901" s="74"/>
      <c r="W1901" s="74"/>
      <c r="X1901" s="74"/>
      <c r="Y1901" s="74"/>
      <c r="Z1901" s="76"/>
      <c r="AA1901" s="134"/>
      <c r="AB1901" s="62" t="s">
        <v>61</v>
      </c>
      <c r="AC1901" s="63" t="s">
        <v>61</v>
      </c>
      <c r="AD1901" s="64" t="s">
        <v>61</v>
      </c>
      <c r="AE1901" s="64" t="s">
        <v>61</v>
      </c>
      <c r="AF1901" s="63" t="s">
        <v>61</v>
      </c>
      <c r="AG1901" s="63" t="s">
        <v>61</v>
      </c>
      <c r="AH1901" s="63" t="s">
        <v>61</v>
      </c>
      <c r="AI1901" s="65" t="s">
        <v>61</v>
      </c>
      <c r="AJ1901" s="105" t="s">
        <v>61</v>
      </c>
      <c r="AK1901" s="76"/>
    </row>
    <row r="1902" ht="24.0" customHeight="1">
      <c r="A1902" s="35"/>
      <c r="B1902" s="36">
        <v>1.0</v>
      </c>
      <c r="C1902" s="37" t="str">
        <f>IFERROR(__xludf.DUMMYFUNCTION("""COMPUTED_VALUE"""),"")</f>
        <v/>
      </c>
      <c r="D1902" s="89" t="s">
        <v>61</v>
      </c>
      <c r="E1902" s="39" t="s">
        <v>61</v>
      </c>
      <c r="F1902" s="121"/>
      <c r="G1902" s="122"/>
      <c r="H1902" s="138"/>
      <c r="I1902" s="80"/>
      <c r="J1902" s="80"/>
      <c r="K1902" s="95"/>
      <c r="L1902" s="80"/>
      <c r="M1902" s="43"/>
      <c r="N1902" s="43"/>
      <c r="O1902" s="80"/>
      <c r="P1902" s="80"/>
      <c r="Q1902" s="80"/>
      <c r="R1902" s="80"/>
      <c r="S1902" s="117"/>
      <c r="T1902" s="81"/>
      <c r="U1902" s="81"/>
      <c r="V1902" s="81"/>
      <c r="W1902" s="81"/>
      <c r="X1902" s="81"/>
      <c r="Y1902" s="81"/>
      <c r="Z1902" s="82"/>
      <c r="AA1902" s="99"/>
      <c r="AB1902" s="48" t="s">
        <v>61</v>
      </c>
      <c r="AC1902" s="68" t="s">
        <v>61</v>
      </c>
      <c r="AD1902" s="69" t="s">
        <v>61</v>
      </c>
      <c r="AE1902" s="69" t="s">
        <v>61</v>
      </c>
      <c r="AF1902" s="68" t="s">
        <v>61</v>
      </c>
      <c r="AG1902" s="68" t="s">
        <v>61</v>
      </c>
      <c r="AH1902" s="68" t="s">
        <v>61</v>
      </c>
      <c r="AI1902" s="70" t="s">
        <v>61</v>
      </c>
      <c r="AJ1902" s="114" t="s">
        <v>61</v>
      </c>
      <c r="AK1902" s="82"/>
    </row>
    <row r="1903" ht="24.0" customHeight="1">
      <c r="A1903" s="35"/>
      <c r="B1903" s="36">
        <v>1.0</v>
      </c>
      <c r="C1903" s="37" t="str">
        <f>IFERROR(__xludf.DUMMYFUNCTION("""COMPUTED_VALUE"""),"")</f>
        <v/>
      </c>
      <c r="D1903" s="89" t="s">
        <v>61</v>
      </c>
      <c r="E1903" s="51" t="s">
        <v>61</v>
      </c>
      <c r="F1903" s="137"/>
      <c r="G1903" s="133"/>
      <c r="H1903" s="141"/>
      <c r="I1903" s="57"/>
      <c r="J1903" s="57"/>
      <c r="K1903" s="72"/>
      <c r="L1903" s="57"/>
      <c r="M1903" s="55"/>
      <c r="N1903" s="55"/>
      <c r="O1903" s="57"/>
      <c r="P1903" s="57"/>
      <c r="Q1903" s="57"/>
      <c r="R1903" s="57"/>
      <c r="S1903" s="132"/>
      <c r="T1903" s="74"/>
      <c r="U1903" s="74"/>
      <c r="V1903" s="74"/>
      <c r="W1903" s="74"/>
      <c r="X1903" s="74"/>
      <c r="Y1903" s="74"/>
      <c r="Z1903" s="76"/>
      <c r="AA1903" s="134"/>
      <c r="AB1903" s="62" t="s">
        <v>61</v>
      </c>
      <c r="AC1903" s="63" t="s">
        <v>61</v>
      </c>
      <c r="AD1903" s="64" t="s">
        <v>61</v>
      </c>
      <c r="AE1903" s="64" t="s">
        <v>61</v>
      </c>
      <c r="AF1903" s="63" t="s">
        <v>61</v>
      </c>
      <c r="AG1903" s="63" t="s">
        <v>61</v>
      </c>
      <c r="AH1903" s="63" t="s">
        <v>61</v>
      </c>
      <c r="AI1903" s="65" t="s">
        <v>61</v>
      </c>
      <c r="AJ1903" s="105" t="s">
        <v>61</v>
      </c>
      <c r="AK1903" s="76"/>
    </row>
    <row r="1904" ht="24.0" customHeight="1">
      <c r="A1904" s="35"/>
      <c r="B1904" s="36">
        <v>1.0</v>
      </c>
      <c r="C1904" s="37" t="str">
        <f>IFERROR(__xludf.DUMMYFUNCTION("""COMPUTED_VALUE"""),"")</f>
        <v/>
      </c>
      <c r="D1904" s="89" t="s">
        <v>61</v>
      </c>
      <c r="E1904" s="39" t="s">
        <v>61</v>
      </c>
      <c r="F1904" s="121"/>
      <c r="G1904" s="122"/>
      <c r="H1904" s="138"/>
      <c r="I1904" s="80"/>
      <c r="J1904" s="80"/>
      <c r="K1904" s="95"/>
      <c r="L1904" s="80"/>
      <c r="M1904" s="43"/>
      <c r="N1904" s="43"/>
      <c r="O1904" s="80"/>
      <c r="P1904" s="80"/>
      <c r="Q1904" s="80"/>
      <c r="R1904" s="80"/>
      <c r="S1904" s="117"/>
      <c r="T1904" s="81"/>
      <c r="U1904" s="81"/>
      <c r="V1904" s="81"/>
      <c r="W1904" s="81"/>
      <c r="X1904" s="81"/>
      <c r="Y1904" s="81"/>
      <c r="Z1904" s="82"/>
      <c r="AA1904" s="99"/>
      <c r="AB1904" s="48" t="s">
        <v>61</v>
      </c>
      <c r="AC1904" s="68" t="s">
        <v>61</v>
      </c>
      <c r="AD1904" s="69" t="s">
        <v>61</v>
      </c>
      <c r="AE1904" s="69" t="s">
        <v>61</v>
      </c>
      <c r="AF1904" s="68" t="s">
        <v>61</v>
      </c>
      <c r="AG1904" s="68" t="s">
        <v>61</v>
      </c>
      <c r="AH1904" s="68" t="s">
        <v>61</v>
      </c>
      <c r="AI1904" s="70" t="s">
        <v>61</v>
      </c>
      <c r="AJ1904" s="114" t="s">
        <v>61</v>
      </c>
      <c r="AK1904" s="82"/>
    </row>
    <row r="1905" ht="24.0" customHeight="1">
      <c r="A1905" s="35"/>
      <c r="B1905" s="36">
        <v>1.0</v>
      </c>
      <c r="C1905" s="37" t="str">
        <f>IFERROR(__xludf.DUMMYFUNCTION("""COMPUTED_VALUE"""),"")</f>
        <v/>
      </c>
      <c r="D1905" s="89" t="s">
        <v>61</v>
      </c>
      <c r="E1905" s="51" t="s">
        <v>61</v>
      </c>
      <c r="F1905" s="137"/>
      <c r="G1905" s="133"/>
      <c r="H1905" s="141"/>
      <c r="I1905" s="57"/>
      <c r="J1905" s="57"/>
      <c r="K1905" s="72"/>
      <c r="L1905" s="57"/>
      <c r="M1905" s="55"/>
      <c r="N1905" s="55"/>
      <c r="O1905" s="57"/>
      <c r="P1905" s="57"/>
      <c r="Q1905" s="57"/>
      <c r="R1905" s="57"/>
      <c r="S1905" s="132"/>
      <c r="T1905" s="74"/>
      <c r="U1905" s="74"/>
      <c r="V1905" s="74"/>
      <c r="W1905" s="74"/>
      <c r="X1905" s="74"/>
      <c r="Y1905" s="74"/>
      <c r="Z1905" s="76"/>
      <c r="AA1905" s="134"/>
      <c r="AB1905" s="62" t="s">
        <v>61</v>
      </c>
      <c r="AC1905" s="63" t="s">
        <v>61</v>
      </c>
      <c r="AD1905" s="64" t="s">
        <v>61</v>
      </c>
      <c r="AE1905" s="64" t="s">
        <v>61</v>
      </c>
      <c r="AF1905" s="63" t="s">
        <v>61</v>
      </c>
      <c r="AG1905" s="63" t="s">
        <v>61</v>
      </c>
      <c r="AH1905" s="63" t="s">
        <v>61</v>
      </c>
      <c r="AI1905" s="65" t="s">
        <v>61</v>
      </c>
      <c r="AJ1905" s="105" t="s">
        <v>61</v>
      </c>
      <c r="AK1905" s="76"/>
    </row>
    <row r="1906" ht="24.0" customHeight="1">
      <c r="A1906" s="35"/>
      <c r="B1906" s="36">
        <v>1.0</v>
      </c>
      <c r="C1906" s="37" t="str">
        <f>IFERROR(__xludf.DUMMYFUNCTION("""COMPUTED_VALUE"""),"")</f>
        <v/>
      </c>
      <c r="D1906" s="89" t="s">
        <v>61</v>
      </c>
      <c r="E1906" s="39" t="s">
        <v>61</v>
      </c>
      <c r="F1906" s="121"/>
      <c r="G1906" s="122"/>
      <c r="H1906" s="138"/>
      <c r="I1906" s="80"/>
      <c r="J1906" s="80"/>
      <c r="K1906" s="95"/>
      <c r="L1906" s="80"/>
      <c r="M1906" s="43"/>
      <c r="N1906" s="43"/>
      <c r="O1906" s="80"/>
      <c r="P1906" s="80"/>
      <c r="Q1906" s="80"/>
      <c r="R1906" s="80"/>
      <c r="S1906" s="117"/>
      <c r="T1906" s="81"/>
      <c r="U1906" s="81"/>
      <c r="V1906" s="81"/>
      <c r="W1906" s="81"/>
      <c r="X1906" s="81"/>
      <c r="Y1906" s="81"/>
      <c r="Z1906" s="82"/>
      <c r="AA1906" s="99"/>
      <c r="AB1906" s="48" t="s">
        <v>61</v>
      </c>
      <c r="AC1906" s="68" t="s">
        <v>61</v>
      </c>
      <c r="AD1906" s="69" t="s">
        <v>61</v>
      </c>
      <c r="AE1906" s="69" t="s">
        <v>61</v>
      </c>
      <c r="AF1906" s="68" t="s">
        <v>61</v>
      </c>
      <c r="AG1906" s="68" t="s">
        <v>61</v>
      </c>
      <c r="AH1906" s="68" t="s">
        <v>61</v>
      </c>
      <c r="AI1906" s="70" t="s">
        <v>61</v>
      </c>
      <c r="AJ1906" s="114" t="s">
        <v>61</v>
      </c>
      <c r="AK1906" s="82"/>
    </row>
    <row r="1907" ht="24.0" customHeight="1">
      <c r="A1907" s="35"/>
      <c r="B1907" s="36">
        <v>1.0</v>
      </c>
      <c r="C1907" s="37" t="str">
        <f>IFERROR(__xludf.DUMMYFUNCTION("""COMPUTED_VALUE"""),"")</f>
        <v/>
      </c>
      <c r="D1907" s="89" t="s">
        <v>61</v>
      </c>
      <c r="E1907" s="51" t="s">
        <v>61</v>
      </c>
      <c r="F1907" s="137"/>
      <c r="G1907" s="133"/>
      <c r="H1907" s="141"/>
      <c r="I1907" s="57"/>
      <c r="J1907" s="57"/>
      <c r="K1907" s="72"/>
      <c r="L1907" s="57"/>
      <c r="M1907" s="55"/>
      <c r="N1907" s="55"/>
      <c r="O1907" s="57"/>
      <c r="P1907" s="57"/>
      <c r="Q1907" s="57"/>
      <c r="R1907" s="57"/>
      <c r="S1907" s="132"/>
      <c r="T1907" s="74"/>
      <c r="U1907" s="74"/>
      <c r="V1907" s="74"/>
      <c r="W1907" s="74"/>
      <c r="X1907" s="74"/>
      <c r="Y1907" s="74"/>
      <c r="Z1907" s="76"/>
      <c r="AA1907" s="134"/>
      <c r="AB1907" s="62" t="s">
        <v>61</v>
      </c>
      <c r="AC1907" s="63" t="s">
        <v>61</v>
      </c>
      <c r="AD1907" s="64" t="s">
        <v>61</v>
      </c>
      <c r="AE1907" s="64" t="s">
        <v>61</v>
      </c>
      <c r="AF1907" s="63" t="s">
        <v>61</v>
      </c>
      <c r="AG1907" s="63" t="s">
        <v>61</v>
      </c>
      <c r="AH1907" s="63" t="s">
        <v>61</v>
      </c>
      <c r="AI1907" s="65" t="s">
        <v>61</v>
      </c>
      <c r="AJ1907" s="105" t="s">
        <v>61</v>
      </c>
      <c r="AK1907" s="76"/>
    </row>
    <row r="1908" ht="24.0" customHeight="1">
      <c r="A1908" s="35"/>
      <c r="B1908" s="36">
        <v>1.0</v>
      </c>
      <c r="C1908" s="37" t="str">
        <f>IFERROR(__xludf.DUMMYFUNCTION("""COMPUTED_VALUE"""),"")</f>
        <v/>
      </c>
      <c r="D1908" s="89" t="s">
        <v>61</v>
      </c>
      <c r="E1908" s="39" t="s">
        <v>61</v>
      </c>
      <c r="F1908" s="121"/>
      <c r="G1908" s="122"/>
      <c r="H1908" s="138"/>
      <c r="I1908" s="80"/>
      <c r="J1908" s="80"/>
      <c r="K1908" s="95"/>
      <c r="L1908" s="80"/>
      <c r="M1908" s="43"/>
      <c r="N1908" s="43"/>
      <c r="O1908" s="80"/>
      <c r="P1908" s="80"/>
      <c r="Q1908" s="80"/>
      <c r="R1908" s="80"/>
      <c r="S1908" s="117"/>
      <c r="T1908" s="81"/>
      <c r="U1908" s="81"/>
      <c r="V1908" s="81"/>
      <c r="W1908" s="81"/>
      <c r="X1908" s="81"/>
      <c r="Y1908" s="81"/>
      <c r="Z1908" s="82"/>
      <c r="AA1908" s="99"/>
      <c r="AB1908" s="48" t="s">
        <v>61</v>
      </c>
      <c r="AC1908" s="68" t="s">
        <v>61</v>
      </c>
      <c r="AD1908" s="69" t="s">
        <v>61</v>
      </c>
      <c r="AE1908" s="69" t="s">
        <v>61</v>
      </c>
      <c r="AF1908" s="68" t="s">
        <v>61</v>
      </c>
      <c r="AG1908" s="68" t="s">
        <v>61</v>
      </c>
      <c r="AH1908" s="68" t="s">
        <v>61</v>
      </c>
      <c r="AI1908" s="70" t="s">
        <v>61</v>
      </c>
      <c r="AJ1908" s="114" t="s">
        <v>61</v>
      </c>
      <c r="AK1908" s="82"/>
    </row>
    <row r="1909" ht="24.0" customHeight="1">
      <c r="A1909" s="35"/>
      <c r="B1909" s="36">
        <v>1.0</v>
      </c>
      <c r="C1909" s="37" t="str">
        <f>IFERROR(__xludf.DUMMYFUNCTION("""COMPUTED_VALUE"""),"")</f>
        <v/>
      </c>
      <c r="D1909" s="89" t="s">
        <v>61</v>
      </c>
      <c r="E1909" s="51" t="s">
        <v>61</v>
      </c>
      <c r="F1909" s="137"/>
      <c r="G1909" s="133"/>
      <c r="H1909" s="141"/>
      <c r="I1909" s="57"/>
      <c r="J1909" s="57"/>
      <c r="K1909" s="72"/>
      <c r="L1909" s="57"/>
      <c r="M1909" s="55"/>
      <c r="N1909" s="55"/>
      <c r="O1909" s="57"/>
      <c r="P1909" s="57"/>
      <c r="Q1909" s="57"/>
      <c r="R1909" s="57"/>
      <c r="S1909" s="132"/>
      <c r="T1909" s="74"/>
      <c r="U1909" s="74"/>
      <c r="V1909" s="74"/>
      <c r="W1909" s="74"/>
      <c r="X1909" s="74"/>
      <c r="Y1909" s="74"/>
      <c r="Z1909" s="76"/>
      <c r="AA1909" s="134"/>
      <c r="AB1909" s="62" t="s">
        <v>61</v>
      </c>
      <c r="AC1909" s="63" t="s">
        <v>61</v>
      </c>
      <c r="AD1909" s="64" t="s">
        <v>61</v>
      </c>
      <c r="AE1909" s="64" t="s">
        <v>61</v>
      </c>
      <c r="AF1909" s="63" t="s">
        <v>61</v>
      </c>
      <c r="AG1909" s="63" t="s">
        <v>61</v>
      </c>
      <c r="AH1909" s="63" t="s">
        <v>61</v>
      </c>
      <c r="AI1909" s="65" t="s">
        <v>61</v>
      </c>
      <c r="AJ1909" s="105" t="s">
        <v>61</v>
      </c>
      <c r="AK1909" s="76"/>
    </row>
    <row r="1910" ht="24.0" customHeight="1">
      <c r="A1910" s="35"/>
      <c r="B1910" s="36">
        <v>1.0</v>
      </c>
      <c r="C1910" s="37" t="str">
        <f>IFERROR(__xludf.DUMMYFUNCTION("""COMPUTED_VALUE"""),"")</f>
        <v/>
      </c>
      <c r="D1910" s="89" t="s">
        <v>61</v>
      </c>
      <c r="E1910" s="39" t="s">
        <v>61</v>
      </c>
      <c r="F1910" s="121"/>
      <c r="G1910" s="122"/>
      <c r="H1910" s="138"/>
      <c r="I1910" s="80"/>
      <c r="J1910" s="80"/>
      <c r="K1910" s="95"/>
      <c r="L1910" s="80"/>
      <c r="M1910" s="43"/>
      <c r="N1910" s="43"/>
      <c r="O1910" s="80"/>
      <c r="P1910" s="80"/>
      <c r="Q1910" s="80"/>
      <c r="R1910" s="80"/>
      <c r="S1910" s="117"/>
      <c r="T1910" s="81"/>
      <c r="U1910" s="81"/>
      <c r="V1910" s="81"/>
      <c r="W1910" s="81"/>
      <c r="X1910" s="81"/>
      <c r="Y1910" s="81"/>
      <c r="Z1910" s="82"/>
      <c r="AA1910" s="99"/>
      <c r="AB1910" s="48" t="s">
        <v>61</v>
      </c>
      <c r="AC1910" s="68" t="s">
        <v>61</v>
      </c>
      <c r="AD1910" s="69" t="s">
        <v>61</v>
      </c>
      <c r="AE1910" s="69" t="s">
        <v>61</v>
      </c>
      <c r="AF1910" s="68" t="s">
        <v>61</v>
      </c>
      <c r="AG1910" s="68" t="s">
        <v>61</v>
      </c>
      <c r="AH1910" s="68" t="s">
        <v>61</v>
      </c>
      <c r="AI1910" s="70" t="s">
        <v>61</v>
      </c>
      <c r="AJ1910" s="114" t="s">
        <v>61</v>
      </c>
      <c r="AK1910" s="82"/>
    </row>
    <row r="1911" ht="24.0" customHeight="1">
      <c r="A1911" s="35"/>
      <c r="B1911" s="36">
        <v>1.0</v>
      </c>
      <c r="C1911" s="37" t="str">
        <f>IFERROR(__xludf.DUMMYFUNCTION("""COMPUTED_VALUE"""),"")</f>
        <v/>
      </c>
      <c r="D1911" s="89" t="s">
        <v>61</v>
      </c>
      <c r="E1911" s="51" t="s">
        <v>61</v>
      </c>
      <c r="F1911" s="137"/>
      <c r="G1911" s="133"/>
      <c r="H1911" s="141"/>
      <c r="I1911" s="57"/>
      <c r="J1911" s="57"/>
      <c r="K1911" s="72"/>
      <c r="L1911" s="57"/>
      <c r="M1911" s="55"/>
      <c r="N1911" s="55"/>
      <c r="O1911" s="57"/>
      <c r="P1911" s="57"/>
      <c r="Q1911" s="57"/>
      <c r="R1911" s="57"/>
      <c r="S1911" s="132"/>
      <c r="T1911" s="74"/>
      <c r="U1911" s="74"/>
      <c r="V1911" s="74"/>
      <c r="W1911" s="74"/>
      <c r="X1911" s="74"/>
      <c r="Y1911" s="74"/>
      <c r="Z1911" s="76"/>
      <c r="AA1911" s="134"/>
      <c r="AB1911" s="62" t="s">
        <v>61</v>
      </c>
      <c r="AC1911" s="63" t="s">
        <v>61</v>
      </c>
      <c r="AD1911" s="64" t="s">
        <v>61</v>
      </c>
      <c r="AE1911" s="64" t="s">
        <v>61</v>
      </c>
      <c r="AF1911" s="63" t="s">
        <v>61</v>
      </c>
      <c r="AG1911" s="63" t="s">
        <v>61</v>
      </c>
      <c r="AH1911" s="63" t="s">
        <v>61</v>
      </c>
      <c r="AI1911" s="65" t="s">
        <v>61</v>
      </c>
      <c r="AJ1911" s="105" t="s">
        <v>61</v>
      </c>
      <c r="AK1911" s="76"/>
    </row>
    <row r="1912" ht="24.0" customHeight="1">
      <c r="A1912" s="35"/>
      <c r="B1912" s="36">
        <v>1.0</v>
      </c>
      <c r="C1912" s="37" t="str">
        <f>IFERROR(__xludf.DUMMYFUNCTION("""COMPUTED_VALUE"""),"")</f>
        <v/>
      </c>
      <c r="D1912" s="89" t="s">
        <v>61</v>
      </c>
      <c r="E1912" s="39" t="s">
        <v>61</v>
      </c>
      <c r="F1912" s="121"/>
      <c r="G1912" s="122"/>
      <c r="H1912" s="138"/>
      <c r="I1912" s="80"/>
      <c r="J1912" s="80"/>
      <c r="K1912" s="95"/>
      <c r="L1912" s="80"/>
      <c r="M1912" s="43"/>
      <c r="N1912" s="43"/>
      <c r="O1912" s="80"/>
      <c r="P1912" s="80"/>
      <c r="Q1912" s="80"/>
      <c r="R1912" s="80"/>
      <c r="S1912" s="117"/>
      <c r="T1912" s="81"/>
      <c r="U1912" s="81"/>
      <c r="V1912" s="81"/>
      <c r="W1912" s="81"/>
      <c r="X1912" s="81"/>
      <c r="Y1912" s="81"/>
      <c r="Z1912" s="82"/>
      <c r="AA1912" s="99"/>
      <c r="AB1912" s="48" t="s">
        <v>61</v>
      </c>
      <c r="AC1912" s="68" t="s">
        <v>61</v>
      </c>
      <c r="AD1912" s="69" t="s">
        <v>61</v>
      </c>
      <c r="AE1912" s="69" t="s">
        <v>61</v>
      </c>
      <c r="AF1912" s="68" t="s">
        <v>61</v>
      </c>
      <c r="AG1912" s="68" t="s">
        <v>61</v>
      </c>
      <c r="AH1912" s="68" t="s">
        <v>61</v>
      </c>
      <c r="AI1912" s="70" t="s">
        <v>61</v>
      </c>
      <c r="AJ1912" s="114" t="s">
        <v>61</v>
      </c>
      <c r="AK1912" s="82"/>
    </row>
    <row r="1913" ht="24.0" customHeight="1">
      <c r="A1913" s="35"/>
      <c r="B1913" s="36">
        <v>1.0</v>
      </c>
      <c r="C1913" s="37" t="str">
        <f>IFERROR(__xludf.DUMMYFUNCTION("""COMPUTED_VALUE"""),"")</f>
        <v/>
      </c>
      <c r="D1913" s="89" t="s">
        <v>61</v>
      </c>
      <c r="E1913" s="51" t="s">
        <v>61</v>
      </c>
      <c r="F1913" s="137"/>
      <c r="G1913" s="133"/>
      <c r="H1913" s="141"/>
      <c r="I1913" s="57"/>
      <c r="J1913" s="57"/>
      <c r="K1913" s="72"/>
      <c r="L1913" s="57"/>
      <c r="M1913" s="55"/>
      <c r="N1913" s="55"/>
      <c r="O1913" s="57"/>
      <c r="P1913" s="57"/>
      <c r="Q1913" s="57"/>
      <c r="R1913" s="57"/>
      <c r="S1913" s="132"/>
      <c r="T1913" s="74"/>
      <c r="U1913" s="74"/>
      <c r="V1913" s="74"/>
      <c r="W1913" s="74"/>
      <c r="X1913" s="74"/>
      <c r="Y1913" s="74"/>
      <c r="Z1913" s="76"/>
      <c r="AA1913" s="134"/>
      <c r="AB1913" s="62" t="s">
        <v>61</v>
      </c>
      <c r="AC1913" s="63" t="s">
        <v>61</v>
      </c>
      <c r="AD1913" s="64" t="s">
        <v>61</v>
      </c>
      <c r="AE1913" s="64" t="s">
        <v>61</v>
      </c>
      <c r="AF1913" s="63" t="s">
        <v>61</v>
      </c>
      <c r="AG1913" s="63" t="s">
        <v>61</v>
      </c>
      <c r="AH1913" s="63" t="s">
        <v>61</v>
      </c>
      <c r="AI1913" s="65" t="s">
        <v>61</v>
      </c>
      <c r="AJ1913" s="105" t="s">
        <v>61</v>
      </c>
      <c r="AK1913" s="76"/>
    </row>
    <row r="1914" ht="24.0" customHeight="1">
      <c r="A1914" s="35"/>
      <c r="B1914" s="36">
        <v>1.0</v>
      </c>
      <c r="C1914" s="37" t="str">
        <f>IFERROR(__xludf.DUMMYFUNCTION("""COMPUTED_VALUE"""),"")</f>
        <v/>
      </c>
      <c r="D1914" s="89" t="s">
        <v>61</v>
      </c>
      <c r="E1914" s="39" t="s">
        <v>61</v>
      </c>
      <c r="F1914" s="121"/>
      <c r="G1914" s="122"/>
      <c r="H1914" s="138"/>
      <c r="I1914" s="80"/>
      <c r="J1914" s="80"/>
      <c r="K1914" s="95"/>
      <c r="L1914" s="80"/>
      <c r="M1914" s="43"/>
      <c r="N1914" s="43"/>
      <c r="O1914" s="80"/>
      <c r="P1914" s="80"/>
      <c r="Q1914" s="80"/>
      <c r="R1914" s="80"/>
      <c r="S1914" s="117"/>
      <c r="T1914" s="81"/>
      <c r="U1914" s="81"/>
      <c r="V1914" s="81"/>
      <c r="W1914" s="81"/>
      <c r="X1914" s="81"/>
      <c r="Y1914" s="81"/>
      <c r="Z1914" s="82"/>
      <c r="AA1914" s="99"/>
      <c r="AB1914" s="48" t="s">
        <v>61</v>
      </c>
      <c r="AC1914" s="68" t="s">
        <v>61</v>
      </c>
      <c r="AD1914" s="69" t="s">
        <v>61</v>
      </c>
      <c r="AE1914" s="69" t="s">
        <v>61</v>
      </c>
      <c r="AF1914" s="68" t="s">
        <v>61</v>
      </c>
      <c r="AG1914" s="68" t="s">
        <v>61</v>
      </c>
      <c r="AH1914" s="68" t="s">
        <v>61</v>
      </c>
      <c r="AI1914" s="70" t="s">
        <v>61</v>
      </c>
      <c r="AJ1914" s="114" t="s">
        <v>61</v>
      </c>
      <c r="AK1914" s="82"/>
    </row>
    <row r="1915" ht="24.0" customHeight="1">
      <c r="A1915" s="35"/>
      <c r="B1915" s="36">
        <v>1.0</v>
      </c>
      <c r="C1915" s="37" t="str">
        <f>IFERROR(__xludf.DUMMYFUNCTION("""COMPUTED_VALUE"""),"")</f>
        <v/>
      </c>
      <c r="D1915" s="89" t="s">
        <v>61</v>
      </c>
      <c r="E1915" s="51" t="s">
        <v>61</v>
      </c>
      <c r="F1915" s="137"/>
      <c r="G1915" s="133"/>
      <c r="H1915" s="141"/>
      <c r="I1915" s="57"/>
      <c r="J1915" s="57"/>
      <c r="K1915" s="72"/>
      <c r="L1915" s="57"/>
      <c r="M1915" s="55"/>
      <c r="N1915" s="55"/>
      <c r="O1915" s="57"/>
      <c r="P1915" s="57"/>
      <c r="Q1915" s="57"/>
      <c r="R1915" s="57"/>
      <c r="S1915" s="132"/>
      <c r="T1915" s="74"/>
      <c r="U1915" s="74"/>
      <c r="V1915" s="74"/>
      <c r="W1915" s="74"/>
      <c r="X1915" s="74"/>
      <c r="Y1915" s="74"/>
      <c r="Z1915" s="76"/>
      <c r="AA1915" s="134"/>
      <c r="AB1915" s="62" t="s">
        <v>61</v>
      </c>
      <c r="AC1915" s="63" t="s">
        <v>61</v>
      </c>
      <c r="AD1915" s="64" t="s">
        <v>61</v>
      </c>
      <c r="AE1915" s="64" t="s">
        <v>61</v>
      </c>
      <c r="AF1915" s="63" t="s">
        <v>61</v>
      </c>
      <c r="AG1915" s="63" t="s">
        <v>61</v>
      </c>
      <c r="AH1915" s="63" t="s">
        <v>61</v>
      </c>
      <c r="AI1915" s="65" t="s">
        <v>61</v>
      </c>
      <c r="AJ1915" s="105" t="s">
        <v>61</v>
      </c>
      <c r="AK1915" s="76"/>
    </row>
    <row r="1916" ht="24.0" customHeight="1">
      <c r="A1916" s="35"/>
      <c r="B1916" s="36">
        <v>1.0</v>
      </c>
      <c r="C1916" s="37" t="str">
        <f>IFERROR(__xludf.DUMMYFUNCTION("""COMPUTED_VALUE"""),"")</f>
        <v/>
      </c>
      <c r="D1916" s="89" t="s">
        <v>61</v>
      </c>
      <c r="E1916" s="39" t="s">
        <v>61</v>
      </c>
      <c r="F1916" s="121"/>
      <c r="G1916" s="122"/>
      <c r="H1916" s="138"/>
      <c r="I1916" s="80"/>
      <c r="J1916" s="80"/>
      <c r="K1916" s="95"/>
      <c r="L1916" s="80"/>
      <c r="M1916" s="43"/>
      <c r="N1916" s="43"/>
      <c r="O1916" s="80"/>
      <c r="P1916" s="80"/>
      <c r="Q1916" s="80"/>
      <c r="R1916" s="80"/>
      <c r="S1916" s="117"/>
      <c r="T1916" s="81"/>
      <c r="U1916" s="81"/>
      <c r="V1916" s="81"/>
      <c r="W1916" s="81"/>
      <c r="X1916" s="81"/>
      <c r="Y1916" s="81"/>
      <c r="Z1916" s="82"/>
      <c r="AA1916" s="99"/>
      <c r="AB1916" s="48" t="s">
        <v>61</v>
      </c>
      <c r="AC1916" s="68" t="s">
        <v>61</v>
      </c>
      <c r="AD1916" s="69" t="s">
        <v>61</v>
      </c>
      <c r="AE1916" s="69" t="s">
        <v>61</v>
      </c>
      <c r="AF1916" s="68" t="s">
        <v>61</v>
      </c>
      <c r="AG1916" s="68" t="s">
        <v>61</v>
      </c>
      <c r="AH1916" s="68" t="s">
        <v>61</v>
      </c>
      <c r="AI1916" s="70" t="s">
        <v>61</v>
      </c>
      <c r="AJ1916" s="114" t="s">
        <v>61</v>
      </c>
      <c r="AK1916" s="82"/>
    </row>
    <row r="1917" ht="24.0" customHeight="1">
      <c r="A1917" s="35"/>
      <c r="B1917" s="36">
        <v>1.0</v>
      </c>
      <c r="C1917" s="37" t="str">
        <f>IFERROR(__xludf.DUMMYFUNCTION("""COMPUTED_VALUE"""),"")</f>
        <v/>
      </c>
      <c r="D1917" s="89" t="s">
        <v>61</v>
      </c>
      <c r="E1917" s="51" t="s">
        <v>61</v>
      </c>
      <c r="F1917" s="137"/>
      <c r="G1917" s="133"/>
      <c r="H1917" s="141"/>
      <c r="I1917" s="57"/>
      <c r="J1917" s="57"/>
      <c r="K1917" s="72"/>
      <c r="L1917" s="57"/>
      <c r="M1917" s="55"/>
      <c r="N1917" s="55"/>
      <c r="O1917" s="57"/>
      <c r="P1917" s="57"/>
      <c r="Q1917" s="57"/>
      <c r="R1917" s="57"/>
      <c r="S1917" s="132"/>
      <c r="T1917" s="74"/>
      <c r="U1917" s="74"/>
      <c r="V1917" s="74"/>
      <c r="W1917" s="74"/>
      <c r="X1917" s="74"/>
      <c r="Y1917" s="74"/>
      <c r="Z1917" s="76"/>
      <c r="AA1917" s="134"/>
      <c r="AB1917" s="62" t="s">
        <v>61</v>
      </c>
      <c r="AC1917" s="63" t="s">
        <v>61</v>
      </c>
      <c r="AD1917" s="64" t="s">
        <v>61</v>
      </c>
      <c r="AE1917" s="64" t="s">
        <v>61</v>
      </c>
      <c r="AF1917" s="63" t="s">
        <v>61</v>
      </c>
      <c r="AG1917" s="63" t="s">
        <v>61</v>
      </c>
      <c r="AH1917" s="63" t="s">
        <v>61</v>
      </c>
      <c r="AI1917" s="65" t="s">
        <v>61</v>
      </c>
      <c r="AJ1917" s="105" t="s">
        <v>61</v>
      </c>
      <c r="AK1917" s="76"/>
    </row>
    <row r="1918" ht="24.0" customHeight="1">
      <c r="A1918" s="35"/>
      <c r="B1918" s="36">
        <v>1.0</v>
      </c>
      <c r="C1918" s="37" t="str">
        <f>IFERROR(__xludf.DUMMYFUNCTION("""COMPUTED_VALUE"""),"")</f>
        <v/>
      </c>
      <c r="D1918" s="89" t="s">
        <v>61</v>
      </c>
      <c r="E1918" s="39" t="s">
        <v>61</v>
      </c>
      <c r="F1918" s="121"/>
      <c r="G1918" s="122"/>
      <c r="H1918" s="138"/>
      <c r="I1918" s="80"/>
      <c r="J1918" s="80"/>
      <c r="K1918" s="95"/>
      <c r="L1918" s="80"/>
      <c r="M1918" s="43"/>
      <c r="N1918" s="43"/>
      <c r="O1918" s="80"/>
      <c r="P1918" s="80"/>
      <c r="Q1918" s="80"/>
      <c r="R1918" s="80"/>
      <c r="S1918" s="117"/>
      <c r="T1918" s="81"/>
      <c r="U1918" s="81"/>
      <c r="V1918" s="81"/>
      <c r="W1918" s="81"/>
      <c r="X1918" s="81"/>
      <c r="Y1918" s="81"/>
      <c r="Z1918" s="82"/>
      <c r="AA1918" s="99"/>
      <c r="AB1918" s="48" t="s">
        <v>61</v>
      </c>
      <c r="AC1918" s="68" t="s">
        <v>61</v>
      </c>
      <c r="AD1918" s="69" t="s">
        <v>61</v>
      </c>
      <c r="AE1918" s="69" t="s">
        <v>61</v>
      </c>
      <c r="AF1918" s="68" t="s">
        <v>61</v>
      </c>
      <c r="AG1918" s="68" t="s">
        <v>61</v>
      </c>
      <c r="AH1918" s="68" t="s">
        <v>61</v>
      </c>
      <c r="AI1918" s="70" t="s">
        <v>61</v>
      </c>
      <c r="AJ1918" s="114" t="s">
        <v>61</v>
      </c>
      <c r="AK1918" s="82"/>
    </row>
    <row r="1919" ht="24.0" customHeight="1">
      <c r="A1919" s="35"/>
      <c r="B1919" s="36">
        <v>1.0</v>
      </c>
      <c r="C1919" s="37" t="str">
        <f>IFERROR(__xludf.DUMMYFUNCTION("""COMPUTED_VALUE"""),"")</f>
        <v/>
      </c>
      <c r="D1919" s="89" t="s">
        <v>61</v>
      </c>
      <c r="E1919" s="51" t="s">
        <v>61</v>
      </c>
      <c r="F1919" s="137"/>
      <c r="G1919" s="133"/>
      <c r="H1919" s="141"/>
      <c r="I1919" s="57"/>
      <c r="J1919" s="57"/>
      <c r="K1919" s="72"/>
      <c r="L1919" s="57"/>
      <c r="M1919" s="55"/>
      <c r="N1919" s="55"/>
      <c r="O1919" s="57"/>
      <c r="P1919" s="57"/>
      <c r="Q1919" s="57"/>
      <c r="R1919" s="57"/>
      <c r="S1919" s="132"/>
      <c r="T1919" s="74"/>
      <c r="U1919" s="74"/>
      <c r="V1919" s="74"/>
      <c r="W1919" s="74"/>
      <c r="X1919" s="74"/>
      <c r="Y1919" s="74"/>
      <c r="Z1919" s="76"/>
      <c r="AA1919" s="134"/>
      <c r="AB1919" s="62" t="s">
        <v>61</v>
      </c>
      <c r="AC1919" s="63" t="s">
        <v>61</v>
      </c>
      <c r="AD1919" s="64" t="s">
        <v>61</v>
      </c>
      <c r="AE1919" s="64" t="s">
        <v>61</v>
      </c>
      <c r="AF1919" s="63" t="s">
        <v>61</v>
      </c>
      <c r="AG1919" s="63" t="s">
        <v>61</v>
      </c>
      <c r="AH1919" s="63" t="s">
        <v>61</v>
      </c>
      <c r="AI1919" s="65" t="s">
        <v>61</v>
      </c>
      <c r="AJ1919" s="105" t="s">
        <v>61</v>
      </c>
      <c r="AK1919" s="76"/>
    </row>
    <row r="1920" ht="24.0" customHeight="1">
      <c r="A1920" s="35"/>
      <c r="B1920" s="36">
        <v>1.0</v>
      </c>
      <c r="C1920" s="37" t="str">
        <f>IFERROR(__xludf.DUMMYFUNCTION("""COMPUTED_VALUE"""),"")</f>
        <v/>
      </c>
      <c r="D1920" s="89" t="s">
        <v>61</v>
      </c>
      <c r="E1920" s="39" t="s">
        <v>61</v>
      </c>
      <c r="F1920" s="121"/>
      <c r="G1920" s="122"/>
      <c r="H1920" s="138"/>
      <c r="I1920" s="80"/>
      <c r="J1920" s="80"/>
      <c r="K1920" s="95"/>
      <c r="L1920" s="80"/>
      <c r="M1920" s="43"/>
      <c r="N1920" s="43"/>
      <c r="O1920" s="80"/>
      <c r="P1920" s="80"/>
      <c r="Q1920" s="80"/>
      <c r="R1920" s="80"/>
      <c r="S1920" s="117"/>
      <c r="T1920" s="81"/>
      <c r="U1920" s="81"/>
      <c r="V1920" s="81"/>
      <c r="W1920" s="81"/>
      <c r="X1920" s="81"/>
      <c r="Y1920" s="81"/>
      <c r="Z1920" s="82"/>
      <c r="AA1920" s="99"/>
      <c r="AB1920" s="48" t="s">
        <v>61</v>
      </c>
      <c r="AC1920" s="68" t="s">
        <v>61</v>
      </c>
      <c r="AD1920" s="69" t="s">
        <v>61</v>
      </c>
      <c r="AE1920" s="69" t="s">
        <v>61</v>
      </c>
      <c r="AF1920" s="68" t="s">
        <v>61</v>
      </c>
      <c r="AG1920" s="68" t="s">
        <v>61</v>
      </c>
      <c r="AH1920" s="68" t="s">
        <v>61</v>
      </c>
      <c r="AI1920" s="70" t="s">
        <v>61</v>
      </c>
      <c r="AJ1920" s="114" t="s">
        <v>61</v>
      </c>
      <c r="AK1920" s="82"/>
    </row>
    <row r="1921" ht="24.0" customHeight="1">
      <c r="A1921" s="35"/>
      <c r="B1921" s="36">
        <v>1.0</v>
      </c>
      <c r="C1921" s="37" t="str">
        <f>IFERROR(__xludf.DUMMYFUNCTION("""COMPUTED_VALUE"""),"")</f>
        <v/>
      </c>
      <c r="D1921" s="89" t="s">
        <v>61</v>
      </c>
      <c r="E1921" s="51" t="s">
        <v>61</v>
      </c>
      <c r="F1921" s="137"/>
      <c r="G1921" s="133"/>
      <c r="H1921" s="141"/>
      <c r="I1921" s="57"/>
      <c r="J1921" s="57"/>
      <c r="K1921" s="72"/>
      <c r="L1921" s="57"/>
      <c r="M1921" s="55"/>
      <c r="N1921" s="55"/>
      <c r="O1921" s="57"/>
      <c r="P1921" s="57"/>
      <c r="Q1921" s="57"/>
      <c r="R1921" s="57"/>
      <c r="S1921" s="132"/>
      <c r="T1921" s="74"/>
      <c r="U1921" s="74"/>
      <c r="V1921" s="74"/>
      <c r="W1921" s="74"/>
      <c r="X1921" s="74"/>
      <c r="Y1921" s="74"/>
      <c r="Z1921" s="76"/>
      <c r="AA1921" s="134"/>
      <c r="AB1921" s="62" t="s">
        <v>61</v>
      </c>
      <c r="AC1921" s="63" t="s">
        <v>61</v>
      </c>
      <c r="AD1921" s="64" t="s">
        <v>61</v>
      </c>
      <c r="AE1921" s="64" t="s">
        <v>61</v>
      </c>
      <c r="AF1921" s="63" t="s">
        <v>61</v>
      </c>
      <c r="AG1921" s="63" t="s">
        <v>61</v>
      </c>
      <c r="AH1921" s="63" t="s">
        <v>61</v>
      </c>
      <c r="AI1921" s="65" t="s">
        <v>61</v>
      </c>
      <c r="AJ1921" s="105" t="s">
        <v>61</v>
      </c>
      <c r="AK1921" s="76"/>
    </row>
    <row r="1922" ht="24.0" customHeight="1">
      <c r="A1922" s="35"/>
      <c r="B1922" s="36">
        <v>1.0</v>
      </c>
      <c r="C1922" s="37" t="str">
        <f>IFERROR(__xludf.DUMMYFUNCTION("""COMPUTED_VALUE"""),"")</f>
        <v/>
      </c>
      <c r="D1922" s="89" t="s">
        <v>61</v>
      </c>
      <c r="E1922" s="39" t="s">
        <v>61</v>
      </c>
      <c r="F1922" s="121"/>
      <c r="G1922" s="122"/>
      <c r="H1922" s="138"/>
      <c r="I1922" s="80"/>
      <c r="J1922" s="80"/>
      <c r="K1922" s="95"/>
      <c r="L1922" s="80"/>
      <c r="M1922" s="43"/>
      <c r="N1922" s="43"/>
      <c r="O1922" s="80"/>
      <c r="P1922" s="80"/>
      <c r="Q1922" s="80"/>
      <c r="R1922" s="80"/>
      <c r="S1922" s="117"/>
      <c r="T1922" s="81"/>
      <c r="U1922" s="81"/>
      <c r="V1922" s="81"/>
      <c r="W1922" s="81"/>
      <c r="X1922" s="81"/>
      <c r="Y1922" s="81"/>
      <c r="Z1922" s="82"/>
      <c r="AA1922" s="99"/>
      <c r="AB1922" s="48" t="s">
        <v>61</v>
      </c>
      <c r="AC1922" s="68" t="s">
        <v>61</v>
      </c>
      <c r="AD1922" s="69" t="s">
        <v>61</v>
      </c>
      <c r="AE1922" s="69" t="s">
        <v>61</v>
      </c>
      <c r="AF1922" s="68" t="s">
        <v>61</v>
      </c>
      <c r="AG1922" s="68" t="s">
        <v>61</v>
      </c>
      <c r="AH1922" s="68" t="s">
        <v>61</v>
      </c>
      <c r="AI1922" s="70" t="s">
        <v>61</v>
      </c>
      <c r="AJ1922" s="114" t="s">
        <v>61</v>
      </c>
      <c r="AK1922" s="82"/>
    </row>
    <row r="1923" ht="24.0" customHeight="1">
      <c r="A1923" s="35"/>
      <c r="B1923" s="36">
        <v>1.0</v>
      </c>
      <c r="C1923" s="37" t="str">
        <f>IFERROR(__xludf.DUMMYFUNCTION("""COMPUTED_VALUE"""),"")</f>
        <v/>
      </c>
      <c r="D1923" s="89" t="s">
        <v>61</v>
      </c>
      <c r="E1923" s="51" t="s">
        <v>61</v>
      </c>
      <c r="F1923" s="137"/>
      <c r="G1923" s="133"/>
      <c r="H1923" s="141"/>
      <c r="I1923" s="57"/>
      <c r="J1923" s="57"/>
      <c r="K1923" s="72"/>
      <c r="L1923" s="57"/>
      <c r="M1923" s="55"/>
      <c r="N1923" s="55"/>
      <c r="O1923" s="57"/>
      <c r="P1923" s="57"/>
      <c r="Q1923" s="57"/>
      <c r="R1923" s="57"/>
      <c r="S1923" s="132"/>
      <c r="T1923" s="74"/>
      <c r="U1923" s="74"/>
      <c r="V1923" s="74"/>
      <c r="W1923" s="74"/>
      <c r="X1923" s="74"/>
      <c r="Y1923" s="74"/>
      <c r="Z1923" s="76"/>
      <c r="AA1923" s="134"/>
      <c r="AB1923" s="62" t="s">
        <v>61</v>
      </c>
      <c r="AC1923" s="63" t="s">
        <v>61</v>
      </c>
      <c r="AD1923" s="64" t="s">
        <v>61</v>
      </c>
      <c r="AE1923" s="64" t="s">
        <v>61</v>
      </c>
      <c r="AF1923" s="63" t="s">
        <v>61</v>
      </c>
      <c r="AG1923" s="63" t="s">
        <v>61</v>
      </c>
      <c r="AH1923" s="63" t="s">
        <v>61</v>
      </c>
      <c r="AI1923" s="65" t="s">
        <v>61</v>
      </c>
      <c r="AJ1923" s="105" t="s">
        <v>61</v>
      </c>
      <c r="AK1923" s="76"/>
    </row>
    <row r="1924" ht="24.0" customHeight="1">
      <c r="A1924" s="35"/>
      <c r="B1924" s="36">
        <v>1.0</v>
      </c>
      <c r="C1924" s="37" t="str">
        <f>IFERROR(__xludf.DUMMYFUNCTION("""COMPUTED_VALUE"""),"")</f>
        <v/>
      </c>
      <c r="D1924" s="89" t="s">
        <v>61</v>
      </c>
      <c r="E1924" s="39" t="s">
        <v>61</v>
      </c>
      <c r="F1924" s="121"/>
      <c r="G1924" s="122"/>
      <c r="H1924" s="138"/>
      <c r="I1924" s="80"/>
      <c r="J1924" s="80"/>
      <c r="K1924" s="95"/>
      <c r="L1924" s="80"/>
      <c r="M1924" s="43"/>
      <c r="N1924" s="43"/>
      <c r="O1924" s="80"/>
      <c r="P1924" s="80"/>
      <c r="Q1924" s="80"/>
      <c r="R1924" s="80"/>
      <c r="S1924" s="117"/>
      <c r="T1924" s="81"/>
      <c r="U1924" s="81"/>
      <c r="V1924" s="81"/>
      <c r="W1924" s="81"/>
      <c r="X1924" s="81"/>
      <c r="Y1924" s="81"/>
      <c r="Z1924" s="82"/>
      <c r="AA1924" s="99"/>
      <c r="AB1924" s="48" t="s">
        <v>61</v>
      </c>
      <c r="AC1924" s="68" t="s">
        <v>61</v>
      </c>
      <c r="AD1924" s="69" t="s">
        <v>61</v>
      </c>
      <c r="AE1924" s="69" t="s">
        <v>61</v>
      </c>
      <c r="AF1924" s="68" t="s">
        <v>61</v>
      </c>
      <c r="AG1924" s="68" t="s">
        <v>61</v>
      </c>
      <c r="AH1924" s="68" t="s">
        <v>61</v>
      </c>
      <c r="AI1924" s="70" t="s">
        <v>61</v>
      </c>
      <c r="AJ1924" s="114" t="s">
        <v>61</v>
      </c>
      <c r="AK1924" s="82"/>
    </row>
    <row r="1925" ht="24.0" customHeight="1">
      <c r="A1925" s="35"/>
      <c r="B1925" s="36">
        <v>1.0</v>
      </c>
      <c r="C1925" s="37" t="str">
        <f>IFERROR(__xludf.DUMMYFUNCTION("""COMPUTED_VALUE"""),"")</f>
        <v/>
      </c>
      <c r="D1925" s="89" t="s">
        <v>61</v>
      </c>
      <c r="E1925" s="51" t="s">
        <v>61</v>
      </c>
      <c r="F1925" s="137"/>
      <c r="G1925" s="133"/>
      <c r="H1925" s="141"/>
      <c r="I1925" s="57"/>
      <c r="J1925" s="57"/>
      <c r="K1925" s="72"/>
      <c r="L1925" s="57"/>
      <c r="M1925" s="55"/>
      <c r="N1925" s="55"/>
      <c r="O1925" s="57"/>
      <c r="P1925" s="57"/>
      <c r="Q1925" s="57"/>
      <c r="R1925" s="57"/>
      <c r="S1925" s="132"/>
      <c r="T1925" s="74"/>
      <c r="U1925" s="74"/>
      <c r="V1925" s="74"/>
      <c r="W1925" s="74"/>
      <c r="X1925" s="74"/>
      <c r="Y1925" s="74"/>
      <c r="Z1925" s="76"/>
      <c r="AA1925" s="134"/>
      <c r="AB1925" s="62" t="s">
        <v>61</v>
      </c>
      <c r="AC1925" s="63" t="s">
        <v>61</v>
      </c>
      <c r="AD1925" s="64" t="s">
        <v>61</v>
      </c>
      <c r="AE1925" s="64" t="s">
        <v>61</v>
      </c>
      <c r="AF1925" s="63" t="s">
        <v>61</v>
      </c>
      <c r="AG1925" s="63" t="s">
        <v>61</v>
      </c>
      <c r="AH1925" s="63" t="s">
        <v>61</v>
      </c>
      <c r="AI1925" s="65" t="s">
        <v>61</v>
      </c>
      <c r="AJ1925" s="105" t="s">
        <v>61</v>
      </c>
      <c r="AK1925" s="76"/>
    </row>
    <row r="1926" ht="24.0" customHeight="1">
      <c r="A1926" s="35"/>
      <c r="B1926" s="36">
        <v>1.0</v>
      </c>
      <c r="C1926" s="37" t="str">
        <f>IFERROR(__xludf.DUMMYFUNCTION("""COMPUTED_VALUE"""),"")</f>
        <v/>
      </c>
      <c r="D1926" s="89" t="s">
        <v>61</v>
      </c>
      <c r="E1926" s="39" t="s">
        <v>61</v>
      </c>
      <c r="F1926" s="121"/>
      <c r="G1926" s="122"/>
      <c r="H1926" s="138"/>
      <c r="I1926" s="80"/>
      <c r="J1926" s="80"/>
      <c r="K1926" s="95"/>
      <c r="L1926" s="80"/>
      <c r="M1926" s="43"/>
      <c r="N1926" s="43"/>
      <c r="O1926" s="80"/>
      <c r="P1926" s="80"/>
      <c r="Q1926" s="80"/>
      <c r="R1926" s="80"/>
      <c r="S1926" s="117"/>
      <c r="T1926" s="81"/>
      <c r="U1926" s="81"/>
      <c r="V1926" s="81"/>
      <c r="W1926" s="81"/>
      <c r="X1926" s="81"/>
      <c r="Y1926" s="81"/>
      <c r="Z1926" s="82"/>
      <c r="AA1926" s="99"/>
      <c r="AB1926" s="48" t="s">
        <v>61</v>
      </c>
      <c r="AC1926" s="68" t="s">
        <v>61</v>
      </c>
      <c r="AD1926" s="69" t="s">
        <v>61</v>
      </c>
      <c r="AE1926" s="69" t="s">
        <v>61</v>
      </c>
      <c r="AF1926" s="68" t="s">
        <v>61</v>
      </c>
      <c r="AG1926" s="68" t="s">
        <v>61</v>
      </c>
      <c r="AH1926" s="68" t="s">
        <v>61</v>
      </c>
      <c r="AI1926" s="70" t="s">
        <v>61</v>
      </c>
      <c r="AJ1926" s="114" t="s">
        <v>61</v>
      </c>
      <c r="AK1926" s="82"/>
    </row>
    <row r="1927" ht="24.0" customHeight="1">
      <c r="A1927" s="35"/>
      <c r="B1927" s="36">
        <v>1.0</v>
      </c>
      <c r="C1927" s="37" t="str">
        <f>IFERROR(__xludf.DUMMYFUNCTION("""COMPUTED_VALUE"""),"")</f>
        <v/>
      </c>
      <c r="D1927" s="89" t="s">
        <v>61</v>
      </c>
      <c r="E1927" s="51" t="s">
        <v>61</v>
      </c>
      <c r="F1927" s="137"/>
      <c r="G1927" s="133"/>
      <c r="H1927" s="141"/>
      <c r="I1927" s="57"/>
      <c r="J1927" s="57"/>
      <c r="K1927" s="72"/>
      <c r="L1927" s="57"/>
      <c r="M1927" s="55"/>
      <c r="N1927" s="55"/>
      <c r="O1927" s="57"/>
      <c r="P1927" s="57"/>
      <c r="Q1927" s="57"/>
      <c r="R1927" s="57"/>
      <c r="S1927" s="132"/>
      <c r="T1927" s="74"/>
      <c r="U1927" s="74"/>
      <c r="V1927" s="74"/>
      <c r="W1927" s="74"/>
      <c r="X1927" s="74"/>
      <c r="Y1927" s="74"/>
      <c r="Z1927" s="76"/>
      <c r="AA1927" s="134"/>
      <c r="AB1927" s="62" t="s">
        <v>61</v>
      </c>
      <c r="AC1927" s="63" t="s">
        <v>61</v>
      </c>
      <c r="AD1927" s="64" t="s">
        <v>61</v>
      </c>
      <c r="AE1927" s="64" t="s">
        <v>61</v>
      </c>
      <c r="AF1927" s="63" t="s">
        <v>61</v>
      </c>
      <c r="AG1927" s="63" t="s">
        <v>61</v>
      </c>
      <c r="AH1927" s="63" t="s">
        <v>61</v>
      </c>
      <c r="AI1927" s="65" t="s">
        <v>61</v>
      </c>
      <c r="AJ1927" s="105" t="s">
        <v>61</v>
      </c>
      <c r="AK1927" s="76"/>
    </row>
    <row r="1928" ht="24.0" customHeight="1">
      <c r="A1928" s="35"/>
      <c r="B1928" s="36">
        <v>1.0</v>
      </c>
      <c r="C1928" s="37" t="str">
        <f>IFERROR(__xludf.DUMMYFUNCTION("""COMPUTED_VALUE"""),"")</f>
        <v/>
      </c>
      <c r="D1928" s="89" t="s">
        <v>61</v>
      </c>
      <c r="E1928" s="39" t="s">
        <v>61</v>
      </c>
      <c r="F1928" s="121"/>
      <c r="G1928" s="122"/>
      <c r="H1928" s="138"/>
      <c r="I1928" s="80"/>
      <c r="J1928" s="80"/>
      <c r="K1928" s="95"/>
      <c r="L1928" s="80"/>
      <c r="M1928" s="43"/>
      <c r="N1928" s="43"/>
      <c r="O1928" s="80"/>
      <c r="P1928" s="80"/>
      <c r="Q1928" s="80"/>
      <c r="R1928" s="80"/>
      <c r="S1928" s="117"/>
      <c r="T1928" s="81"/>
      <c r="U1928" s="81"/>
      <c r="V1928" s="81"/>
      <c r="W1928" s="81"/>
      <c r="X1928" s="81"/>
      <c r="Y1928" s="81"/>
      <c r="Z1928" s="82"/>
      <c r="AA1928" s="99"/>
      <c r="AB1928" s="48" t="s">
        <v>61</v>
      </c>
      <c r="AC1928" s="68" t="s">
        <v>61</v>
      </c>
      <c r="AD1928" s="69" t="s">
        <v>61</v>
      </c>
      <c r="AE1928" s="69" t="s">
        <v>61</v>
      </c>
      <c r="AF1928" s="68" t="s">
        <v>61</v>
      </c>
      <c r="AG1928" s="68" t="s">
        <v>61</v>
      </c>
      <c r="AH1928" s="68" t="s">
        <v>61</v>
      </c>
      <c r="AI1928" s="70" t="s">
        <v>61</v>
      </c>
      <c r="AJ1928" s="114" t="s">
        <v>61</v>
      </c>
      <c r="AK1928" s="82"/>
    </row>
    <row r="1929" ht="24.0" customHeight="1">
      <c r="A1929" s="35"/>
      <c r="B1929" s="36">
        <v>1.0</v>
      </c>
      <c r="C1929" s="37" t="str">
        <f>IFERROR(__xludf.DUMMYFUNCTION("""COMPUTED_VALUE"""),"")</f>
        <v/>
      </c>
      <c r="D1929" s="89" t="s">
        <v>61</v>
      </c>
      <c r="E1929" s="51" t="s">
        <v>61</v>
      </c>
      <c r="F1929" s="137"/>
      <c r="G1929" s="133"/>
      <c r="H1929" s="141"/>
      <c r="I1929" s="57"/>
      <c r="J1929" s="57"/>
      <c r="K1929" s="72"/>
      <c r="L1929" s="57"/>
      <c r="M1929" s="55"/>
      <c r="N1929" s="55"/>
      <c r="O1929" s="57"/>
      <c r="P1929" s="57"/>
      <c r="Q1929" s="57"/>
      <c r="R1929" s="57"/>
      <c r="S1929" s="132"/>
      <c r="T1929" s="74"/>
      <c r="U1929" s="74"/>
      <c r="V1929" s="74"/>
      <c r="W1929" s="74"/>
      <c r="X1929" s="74"/>
      <c r="Y1929" s="74"/>
      <c r="Z1929" s="76"/>
      <c r="AA1929" s="134"/>
      <c r="AB1929" s="62" t="s">
        <v>61</v>
      </c>
      <c r="AC1929" s="63" t="s">
        <v>61</v>
      </c>
      <c r="AD1929" s="64" t="s">
        <v>61</v>
      </c>
      <c r="AE1929" s="64" t="s">
        <v>61</v>
      </c>
      <c r="AF1929" s="63" t="s">
        <v>61</v>
      </c>
      <c r="AG1929" s="63" t="s">
        <v>61</v>
      </c>
      <c r="AH1929" s="63" t="s">
        <v>61</v>
      </c>
      <c r="AI1929" s="65" t="s">
        <v>61</v>
      </c>
      <c r="AJ1929" s="105" t="s">
        <v>61</v>
      </c>
      <c r="AK1929" s="76"/>
    </row>
    <row r="1930" ht="24.0" customHeight="1">
      <c r="A1930" s="35"/>
      <c r="B1930" s="36">
        <v>1.0</v>
      </c>
      <c r="C1930" s="37" t="str">
        <f>IFERROR(__xludf.DUMMYFUNCTION("""COMPUTED_VALUE"""),"")</f>
        <v/>
      </c>
      <c r="D1930" s="89" t="s">
        <v>61</v>
      </c>
      <c r="E1930" s="39" t="s">
        <v>61</v>
      </c>
      <c r="F1930" s="121"/>
      <c r="G1930" s="122"/>
      <c r="H1930" s="138"/>
      <c r="I1930" s="80"/>
      <c r="J1930" s="80"/>
      <c r="K1930" s="95"/>
      <c r="L1930" s="80"/>
      <c r="M1930" s="43"/>
      <c r="N1930" s="43"/>
      <c r="O1930" s="80"/>
      <c r="P1930" s="80"/>
      <c r="Q1930" s="80"/>
      <c r="R1930" s="80"/>
      <c r="S1930" s="117"/>
      <c r="T1930" s="81"/>
      <c r="U1930" s="81"/>
      <c r="V1930" s="81"/>
      <c r="W1930" s="81"/>
      <c r="X1930" s="81"/>
      <c r="Y1930" s="81"/>
      <c r="Z1930" s="82"/>
      <c r="AA1930" s="99"/>
      <c r="AB1930" s="48" t="s">
        <v>61</v>
      </c>
      <c r="AC1930" s="68" t="s">
        <v>61</v>
      </c>
      <c r="AD1930" s="69" t="s">
        <v>61</v>
      </c>
      <c r="AE1930" s="69" t="s">
        <v>61</v>
      </c>
      <c r="AF1930" s="68" t="s">
        <v>61</v>
      </c>
      <c r="AG1930" s="68" t="s">
        <v>61</v>
      </c>
      <c r="AH1930" s="68" t="s">
        <v>61</v>
      </c>
      <c r="AI1930" s="70" t="s">
        <v>61</v>
      </c>
      <c r="AJ1930" s="114" t="s">
        <v>61</v>
      </c>
      <c r="AK1930" s="82"/>
    </row>
    <row r="1931" ht="24.0" customHeight="1">
      <c r="A1931" s="35"/>
      <c r="B1931" s="36">
        <v>1.0</v>
      </c>
      <c r="C1931" s="37" t="str">
        <f>IFERROR(__xludf.DUMMYFUNCTION("""COMPUTED_VALUE"""),"")</f>
        <v/>
      </c>
      <c r="D1931" s="89" t="s">
        <v>61</v>
      </c>
      <c r="E1931" s="51" t="s">
        <v>61</v>
      </c>
      <c r="F1931" s="137"/>
      <c r="G1931" s="133"/>
      <c r="H1931" s="141"/>
      <c r="I1931" s="57"/>
      <c r="J1931" s="57"/>
      <c r="K1931" s="72"/>
      <c r="L1931" s="57"/>
      <c r="M1931" s="55"/>
      <c r="N1931" s="55"/>
      <c r="O1931" s="57"/>
      <c r="P1931" s="57"/>
      <c r="Q1931" s="57"/>
      <c r="R1931" s="57"/>
      <c r="S1931" s="132"/>
      <c r="T1931" s="74"/>
      <c r="U1931" s="74"/>
      <c r="V1931" s="74"/>
      <c r="W1931" s="74"/>
      <c r="X1931" s="74"/>
      <c r="Y1931" s="74"/>
      <c r="Z1931" s="76"/>
      <c r="AA1931" s="134"/>
      <c r="AB1931" s="62" t="s">
        <v>61</v>
      </c>
      <c r="AC1931" s="63" t="s">
        <v>61</v>
      </c>
      <c r="AD1931" s="64" t="s">
        <v>61</v>
      </c>
      <c r="AE1931" s="64" t="s">
        <v>61</v>
      </c>
      <c r="AF1931" s="63" t="s">
        <v>61</v>
      </c>
      <c r="AG1931" s="63" t="s">
        <v>61</v>
      </c>
      <c r="AH1931" s="63" t="s">
        <v>61</v>
      </c>
      <c r="AI1931" s="65" t="s">
        <v>61</v>
      </c>
      <c r="AJ1931" s="105" t="s">
        <v>61</v>
      </c>
      <c r="AK1931" s="76"/>
    </row>
    <row r="1932" ht="24.0" customHeight="1">
      <c r="A1932" s="35"/>
      <c r="B1932" s="36">
        <v>1.0</v>
      </c>
      <c r="C1932" s="37" t="str">
        <f>IFERROR(__xludf.DUMMYFUNCTION("""COMPUTED_VALUE"""),"")</f>
        <v/>
      </c>
      <c r="D1932" s="89" t="s">
        <v>61</v>
      </c>
      <c r="E1932" s="39" t="s">
        <v>61</v>
      </c>
      <c r="F1932" s="121"/>
      <c r="G1932" s="122"/>
      <c r="H1932" s="138"/>
      <c r="I1932" s="80"/>
      <c r="J1932" s="80"/>
      <c r="K1932" s="95"/>
      <c r="L1932" s="80"/>
      <c r="M1932" s="43"/>
      <c r="N1932" s="43"/>
      <c r="O1932" s="80"/>
      <c r="P1932" s="80"/>
      <c r="Q1932" s="80"/>
      <c r="R1932" s="80"/>
      <c r="S1932" s="117"/>
      <c r="T1932" s="81"/>
      <c r="U1932" s="81"/>
      <c r="V1932" s="81"/>
      <c r="W1932" s="81"/>
      <c r="X1932" s="81"/>
      <c r="Y1932" s="81"/>
      <c r="Z1932" s="82"/>
      <c r="AA1932" s="99"/>
      <c r="AB1932" s="48" t="s">
        <v>61</v>
      </c>
      <c r="AC1932" s="68" t="s">
        <v>61</v>
      </c>
      <c r="AD1932" s="69" t="s">
        <v>61</v>
      </c>
      <c r="AE1932" s="69" t="s">
        <v>61</v>
      </c>
      <c r="AF1932" s="68" t="s">
        <v>61</v>
      </c>
      <c r="AG1932" s="68" t="s">
        <v>61</v>
      </c>
      <c r="AH1932" s="68" t="s">
        <v>61</v>
      </c>
      <c r="AI1932" s="70" t="s">
        <v>61</v>
      </c>
      <c r="AJ1932" s="114" t="s">
        <v>61</v>
      </c>
      <c r="AK1932" s="82"/>
    </row>
    <row r="1933" ht="24.0" customHeight="1">
      <c r="A1933" s="35"/>
      <c r="B1933" s="36">
        <v>1.0</v>
      </c>
      <c r="C1933" s="37" t="str">
        <f>IFERROR(__xludf.DUMMYFUNCTION("""COMPUTED_VALUE"""),"")</f>
        <v/>
      </c>
      <c r="D1933" s="89" t="s">
        <v>61</v>
      </c>
      <c r="E1933" s="51" t="s">
        <v>61</v>
      </c>
      <c r="F1933" s="137"/>
      <c r="G1933" s="133"/>
      <c r="H1933" s="141"/>
      <c r="I1933" s="57"/>
      <c r="J1933" s="57"/>
      <c r="K1933" s="72"/>
      <c r="L1933" s="57"/>
      <c r="M1933" s="55"/>
      <c r="N1933" s="55"/>
      <c r="O1933" s="57"/>
      <c r="P1933" s="57"/>
      <c r="Q1933" s="57"/>
      <c r="R1933" s="57"/>
      <c r="S1933" s="132"/>
      <c r="T1933" s="74"/>
      <c r="U1933" s="74"/>
      <c r="V1933" s="74"/>
      <c r="W1933" s="74"/>
      <c r="X1933" s="74"/>
      <c r="Y1933" s="74"/>
      <c r="Z1933" s="76"/>
      <c r="AA1933" s="134"/>
      <c r="AB1933" s="62" t="s">
        <v>61</v>
      </c>
      <c r="AC1933" s="63" t="s">
        <v>61</v>
      </c>
      <c r="AD1933" s="64" t="s">
        <v>61</v>
      </c>
      <c r="AE1933" s="64" t="s">
        <v>61</v>
      </c>
      <c r="AF1933" s="63" t="s">
        <v>61</v>
      </c>
      <c r="AG1933" s="63" t="s">
        <v>61</v>
      </c>
      <c r="AH1933" s="63" t="s">
        <v>61</v>
      </c>
      <c r="AI1933" s="65" t="s">
        <v>61</v>
      </c>
      <c r="AJ1933" s="105" t="s">
        <v>61</v>
      </c>
      <c r="AK1933" s="76"/>
    </row>
    <row r="1934" ht="24.0" customHeight="1">
      <c r="A1934" s="35"/>
      <c r="B1934" s="36">
        <v>1.0</v>
      </c>
      <c r="C1934" s="37" t="str">
        <f>IFERROR(__xludf.DUMMYFUNCTION("""COMPUTED_VALUE"""),"")</f>
        <v/>
      </c>
      <c r="D1934" s="89" t="s">
        <v>61</v>
      </c>
      <c r="E1934" s="39" t="s">
        <v>61</v>
      </c>
      <c r="F1934" s="121"/>
      <c r="G1934" s="122"/>
      <c r="H1934" s="138"/>
      <c r="I1934" s="80"/>
      <c r="J1934" s="80"/>
      <c r="K1934" s="95"/>
      <c r="L1934" s="80"/>
      <c r="M1934" s="43"/>
      <c r="N1934" s="43"/>
      <c r="O1934" s="80"/>
      <c r="P1934" s="80"/>
      <c r="Q1934" s="80"/>
      <c r="R1934" s="80"/>
      <c r="S1934" s="117"/>
      <c r="T1934" s="81"/>
      <c r="U1934" s="81"/>
      <c r="V1934" s="81"/>
      <c r="W1934" s="81"/>
      <c r="X1934" s="81"/>
      <c r="Y1934" s="81"/>
      <c r="Z1934" s="82"/>
      <c r="AA1934" s="99"/>
      <c r="AB1934" s="48" t="s">
        <v>61</v>
      </c>
      <c r="AC1934" s="68" t="s">
        <v>61</v>
      </c>
      <c r="AD1934" s="69" t="s">
        <v>61</v>
      </c>
      <c r="AE1934" s="69" t="s">
        <v>61</v>
      </c>
      <c r="AF1934" s="68" t="s">
        <v>61</v>
      </c>
      <c r="AG1934" s="68" t="s">
        <v>61</v>
      </c>
      <c r="AH1934" s="68" t="s">
        <v>61</v>
      </c>
      <c r="AI1934" s="70" t="s">
        <v>61</v>
      </c>
      <c r="AJ1934" s="114" t="s">
        <v>61</v>
      </c>
      <c r="AK1934" s="82"/>
    </row>
    <row r="1935" ht="24.0" customHeight="1">
      <c r="A1935" s="35"/>
      <c r="B1935" s="36">
        <v>1.0</v>
      </c>
      <c r="C1935" s="37" t="str">
        <f>IFERROR(__xludf.DUMMYFUNCTION("""COMPUTED_VALUE"""),"")</f>
        <v/>
      </c>
      <c r="D1935" s="89" t="s">
        <v>61</v>
      </c>
      <c r="E1935" s="51" t="s">
        <v>61</v>
      </c>
      <c r="F1935" s="137"/>
      <c r="G1935" s="133"/>
      <c r="H1935" s="141"/>
      <c r="I1935" s="57"/>
      <c r="J1935" s="57"/>
      <c r="K1935" s="72"/>
      <c r="L1935" s="57"/>
      <c r="M1935" s="55"/>
      <c r="N1935" s="55"/>
      <c r="O1935" s="57"/>
      <c r="P1935" s="57"/>
      <c r="Q1935" s="57"/>
      <c r="R1935" s="57"/>
      <c r="S1935" s="132"/>
      <c r="T1935" s="74"/>
      <c r="U1935" s="74"/>
      <c r="V1935" s="74"/>
      <c r="W1935" s="74"/>
      <c r="X1935" s="74"/>
      <c r="Y1935" s="74"/>
      <c r="Z1935" s="76"/>
      <c r="AA1935" s="134"/>
      <c r="AB1935" s="62" t="s">
        <v>61</v>
      </c>
      <c r="AC1935" s="63" t="s">
        <v>61</v>
      </c>
      <c r="AD1935" s="64" t="s">
        <v>61</v>
      </c>
      <c r="AE1935" s="64" t="s">
        <v>61</v>
      </c>
      <c r="AF1935" s="63" t="s">
        <v>61</v>
      </c>
      <c r="AG1935" s="63" t="s">
        <v>61</v>
      </c>
      <c r="AH1935" s="63" t="s">
        <v>61</v>
      </c>
      <c r="AI1935" s="65" t="s">
        <v>61</v>
      </c>
      <c r="AJ1935" s="105" t="s">
        <v>61</v>
      </c>
      <c r="AK1935" s="76"/>
    </row>
    <row r="1936" ht="24.0" customHeight="1">
      <c r="A1936" s="35"/>
      <c r="B1936" s="36">
        <v>1.0</v>
      </c>
      <c r="C1936" s="37" t="str">
        <f>IFERROR(__xludf.DUMMYFUNCTION("""COMPUTED_VALUE"""),"")</f>
        <v/>
      </c>
      <c r="D1936" s="89" t="s">
        <v>61</v>
      </c>
      <c r="E1936" s="39" t="s">
        <v>61</v>
      </c>
      <c r="F1936" s="121"/>
      <c r="G1936" s="122"/>
      <c r="H1936" s="138"/>
      <c r="I1936" s="80"/>
      <c r="J1936" s="80"/>
      <c r="K1936" s="95"/>
      <c r="L1936" s="80"/>
      <c r="M1936" s="43"/>
      <c r="N1936" s="43"/>
      <c r="O1936" s="80"/>
      <c r="P1936" s="80"/>
      <c r="Q1936" s="80"/>
      <c r="R1936" s="80"/>
      <c r="S1936" s="117"/>
      <c r="T1936" s="81"/>
      <c r="U1936" s="81"/>
      <c r="V1936" s="81"/>
      <c r="W1936" s="81"/>
      <c r="X1936" s="81"/>
      <c r="Y1936" s="81"/>
      <c r="Z1936" s="82"/>
      <c r="AA1936" s="99"/>
      <c r="AB1936" s="48" t="s">
        <v>61</v>
      </c>
      <c r="AC1936" s="68" t="s">
        <v>61</v>
      </c>
      <c r="AD1936" s="69" t="s">
        <v>61</v>
      </c>
      <c r="AE1936" s="69" t="s">
        <v>61</v>
      </c>
      <c r="AF1936" s="68" t="s">
        <v>61</v>
      </c>
      <c r="AG1936" s="68" t="s">
        <v>61</v>
      </c>
      <c r="AH1936" s="68" t="s">
        <v>61</v>
      </c>
      <c r="AI1936" s="70" t="s">
        <v>61</v>
      </c>
      <c r="AJ1936" s="114" t="s">
        <v>61</v>
      </c>
      <c r="AK1936" s="82"/>
    </row>
    <row r="1937" ht="24.0" customHeight="1">
      <c r="A1937" s="35"/>
      <c r="B1937" s="36">
        <v>1.0</v>
      </c>
      <c r="C1937" s="37" t="str">
        <f>IFERROR(__xludf.DUMMYFUNCTION("""COMPUTED_VALUE"""),"")</f>
        <v/>
      </c>
      <c r="D1937" s="89" t="s">
        <v>61</v>
      </c>
      <c r="E1937" s="51" t="s">
        <v>61</v>
      </c>
      <c r="F1937" s="137"/>
      <c r="G1937" s="133"/>
      <c r="H1937" s="141"/>
      <c r="I1937" s="57"/>
      <c r="J1937" s="57"/>
      <c r="K1937" s="72"/>
      <c r="L1937" s="57"/>
      <c r="M1937" s="55"/>
      <c r="N1937" s="55"/>
      <c r="O1937" s="57"/>
      <c r="P1937" s="57"/>
      <c r="Q1937" s="57"/>
      <c r="R1937" s="57"/>
      <c r="S1937" s="132"/>
      <c r="T1937" s="74"/>
      <c r="U1937" s="74"/>
      <c r="V1937" s="74"/>
      <c r="W1937" s="74"/>
      <c r="X1937" s="74"/>
      <c r="Y1937" s="74"/>
      <c r="Z1937" s="76"/>
      <c r="AA1937" s="134"/>
      <c r="AB1937" s="62" t="s">
        <v>61</v>
      </c>
      <c r="AC1937" s="63" t="s">
        <v>61</v>
      </c>
      <c r="AD1937" s="64" t="s">
        <v>61</v>
      </c>
      <c r="AE1937" s="64" t="s">
        <v>61</v>
      </c>
      <c r="AF1937" s="63" t="s">
        <v>61</v>
      </c>
      <c r="AG1937" s="63" t="s">
        <v>61</v>
      </c>
      <c r="AH1937" s="63" t="s">
        <v>61</v>
      </c>
      <c r="AI1937" s="65" t="s">
        <v>61</v>
      </c>
      <c r="AJ1937" s="105" t="s">
        <v>61</v>
      </c>
      <c r="AK1937" s="76"/>
    </row>
    <row r="1938" ht="24.0" customHeight="1">
      <c r="A1938" s="35"/>
      <c r="B1938" s="36">
        <v>1.0</v>
      </c>
      <c r="C1938" s="37" t="str">
        <f>IFERROR(__xludf.DUMMYFUNCTION("""COMPUTED_VALUE"""),"")</f>
        <v/>
      </c>
      <c r="D1938" s="89" t="s">
        <v>61</v>
      </c>
      <c r="E1938" s="39" t="s">
        <v>61</v>
      </c>
      <c r="F1938" s="121"/>
      <c r="G1938" s="122"/>
      <c r="H1938" s="138"/>
      <c r="I1938" s="80"/>
      <c r="J1938" s="80"/>
      <c r="K1938" s="95"/>
      <c r="L1938" s="80"/>
      <c r="M1938" s="43"/>
      <c r="N1938" s="43"/>
      <c r="O1938" s="80"/>
      <c r="P1938" s="80"/>
      <c r="Q1938" s="80"/>
      <c r="R1938" s="80"/>
      <c r="S1938" s="117"/>
      <c r="T1938" s="81"/>
      <c r="U1938" s="81"/>
      <c r="V1938" s="81"/>
      <c r="W1938" s="81"/>
      <c r="X1938" s="81"/>
      <c r="Y1938" s="81"/>
      <c r="Z1938" s="82"/>
      <c r="AA1938" s="99"/>
      <c r="AB1938" s="48" t="s">
        <v>61</v>
      </c>
      <c r="AC1938" s="68" t="s">
        <v>61</v>
      </c>
      <c r="AD1938" s="69" t="s">
        <v>61</v>
      </c>
      <c r="AE1938" s="69" t="s">
        <v>61</v>
      </c>
      <c r="AF1938" s="68" t="s">
        <v>61</v>
      </c>
      <c r="AG1938" s="68" t="s">
        <v>61</v>
      </c>
      <c r="AH1938" s="68" t="s">
        <v>61</v>
      </c>
      <c r="AI1938" s="70" t="s">
        <v>61</v>
      </c>
      <c r="AJ1938" s="114" t="s">
        <v>61</v>
      </c>
      <c r="AK1938" s="82"/>
    </row>
    <row r="1939" ht="24.0" customHeight="1">
      <c r="A1939" s="35"/>
      <c r="B1939" s="36">
        <v>1.0</v>
      </c>
      <c r="C1939" s="37" t="str">
        <f>IFERROR(__xludf.DUMMYFUNCTION("""COMPUTED_VALUE"""),"")</f>
        <v/>
      </c>
      <c r="D1939" s="89" t="s">
        <v>61</v>
      </c>
      <c r="E1939" s="51" t="s">
        <v>61</v>
      </c>
      <c r="F1939" s="137"/>
      <c r="G1939" s="133"/>
      <c r="H1939" s="141"/>
      <c r="I1939" s="57"/>
      <c r="J1939" s="57"/>
      <c r="K1939" s="72"/>
      <c r="L1939" s="57"/>
      <c r="M1939" s="55"/>
      <c r="N1939" s="55"/>
      <c r="O1939" s="57"/>
      <c r="P1939" s="57"/>
      <c r="Q1939" s="57"/>
      <c r="R1939" s="57"/>
      <c r="S1939" s="132"/>
      <c r="T1939" s="74"/>
      <c r="U1939" s="74"/>
      <c r="V1939" s="74"/>
      <c r="W1939" s="74"/>
      <c r="X1939" s="74"/>
      <c r="Y1939" s="74"/>
      <c r="Z1939" s="76"/>
      <c r="AA1939" s="134"/>
      <c r="AB1939" s="62" t="s">
        <v>61</v>
      </c>
      <c r="AC1939" s="63" t="s">
        <v>61</v>
      </c>
      <c r="AD1939" s="64" t="s">
        <v>61</v>
      </c>
      <c r="AE1939" s="64" t="s">
        <v>61</v>
      </c>
      <c r="AF1939" s="63" t="s">
        <v>61</v>
      </c>
      <c r="AG1939" s="63" t="s">
        <v>61</v>
      </c>
      <c r="AH1939" s="63" t="s">
        <v>61</v>
      </c>
      <c r="AI1939" s="65" t="s">
        <v>61</v>
      </c>
      <c r="AJ1939" s="105" t="s">
        <v>61</v>
      </c>
      <c r="AK1939" s="76"/>
    </row>
    <row r="1940" ht="24.0" customHeight="1">
      <c r="A1940" s="35"/>
      <c r="B1940" s="36">
        <v>1.0</v>
      </c>
      <c r="C1940" s="37" t="str">
        <f>IFERROR(__xludf.DUMMYFUNCTION("""COMPUTED_VALUE"""),"")</f>
        <v/>
      </c>
      <c r="D1940" s="89" t="s">
        <v>61</v>
      </c>
      <c r="E1940" s="39" t="s">
        <v>61</v>
      </c>
      <c r="F1940" s="121"/>
      <c r="G1940" s="122"/>
      <c r="H1940" s="138"/>
      <c r="I1940" s="80"/>
      <c r="J1940" s="80"/>
      <c r="K1940" s="95"/>
      <c r="L1940" s="80"/>
      <c r="M1940" s="43"/>
      <c r="N1940" s="43"/>
      <c r="O1940" s="80"/>
      <c r="P1940" s="80"/>
      <c r="Q1940" s="80"/>
      <c r="R1940" s="80"/>
      <c r="S1940" s="117"/>
      <c r="T1940" s="81"/>
      <c r="U1940" s="81"/>
      <c r="V1940" s="81"/>
      <c r="W1940" s="81"/>
      <c r="X1940" s="81"/>
      <c r="Y1940" s="81"/>
      <c r="Z1940" s="82"/>
      <c r="AA1940" s="99"/>
      <c r="AB1940" s="48" t="s">
        <v>61</v>
      </c>
      <c r="AC1940" s="68" t="s">
        <v>61</v>
      </c>
      <c r="AD1940" s="69" t="s">
        <v>61</v>
      </c>
      <c r="AE1940" s="69" t="s">
        <v>61</v>
      </c>
      <c r="AF1940" s="68" t="s">
        <v>61</v>
      </c>
      <c r="AG1940" s="68" t="s">
        <v>61</v>
      </c>
      <c r="AH1940" s="68" t="s">
        <v>61</v>
      </c>
      <c r="AI1940" s="70" t="s">
        <v>61</v>
      </c>
      <c r="AJ1940" s="114" t="s">
        <v>61</v>
      </c>
      <c r="AK1940" s="82"/>
    </row>
    <row r="1941" ht="24.0" customHeight="1">
      <c r="A1941" s="35"/>
      <c r="B1941" s="36">
        <v>1.0</v>
      </c>
      <c r="C1941" s="37" t="str">
        <f>IFERROR(__xludf.DUMMYFUNCTION("""COMPUTED_VALUE"""),"")</f>
        <v/>
      </c>
      <c r="D1941" s="89" t="s">
        <v>61</v>
      </c>
      <c r="E1941" s="51" t="s">
        <v>61</v>
      </c>
      <c r="F1941" s="137"/>
      <c r="G1941" s="133"/>
      <c r="H1941" s="141"/>
      <c r="I1941" s="57"/>
      <c r="J1941" s="57"/>
      <c r="K1941" s="72"/>
      <c r="L1941" s="57"/>
      <c r="M1941" s="55"/>
      <c r="N1941" s="55"/>
      <c r="O1941" s="57"/>
      <c r="P1941" s="57"/>
      <c r="Q1941" s="57"/>
      <c r="R1941" s="57"/>
      <c r="S1941" s="132"/>
      <c r="T1941" s="74"/>
      <c r="U1941" s="74"/>
      <c r="V1941" s="74"/>
      <c r="W1941" s="74"/>
      <c r="X1941" s="74"/>
      <c r="Y1941" s="74"/>
      <c r="Z1941" s="76"/>
      <c r="AA1941" s="134"/>
      <c r="AB1941" s="62" t="s">
        <v>61</v>
      </c>
      <c r="AC1941" s="63" t="s">
        <v>61</v>
      </c>
      <c r="AD1941" s="64" t="s">
        <v>61</v>
      </c>
      <c r="AE1941" s="64" t="s">
        <v>61</v>
      </c>
      <c r="AF1941" s="63" t="s">
        <v>61</v>
      </c>
      <c r="AG1941" s="63" t="s">
        <v>61</v>
      </c>
      <c r="AH1941" s="63" t="s">
        <v>61</v>
      </c>
      <c r="AI1941" s="65" t="s">
        <v>61</v>
      </c>
      <c r="AJ1941" s="105" t="s">
        <v>61</v>
      </c>
      <c r="AK1941" s="76"/>
    </row>
    <row r="1942" ht="24.0" customHeight="1">
      <c r="A1942" s="35"/>
      <c r="B1942" s="36">
        <v>1.0</v>
      </c>
      <c r="C1942" s="37" t="str">
        <f>IFERROR(__xludf.DUMMYFUNCTION("""COMPUTED_VALUE"""),"")</f>
        <v/>
      </c>
      <c r="D1942" s="89" t="s">
        <v>61</v>
      </c>
      <c r="E1942" s="39" t="s">
        <v>61</v>
      </c>
      <c r="F1942" s="121"/>
      <c r="G1942" s="122"/>
      <c r="H1942" s="138"/>
      <c r="I1942" s="80"/>
      <c r="J1942" s="80"/>
      <c r="K1942" s="95"/>
      <c r="L1942" s="80"/>
      <c r="M1942" s="43"/>
      <c r="N1942" s="43"/>
      <c r="O1942" s="80"/>
      <c r="P1942" s="80"/>
      <c r="Q1942" s="80"/>
      <c r="R1942" s="80"/>
      <c r="S1942" s="117"/>
      <c r="T1942" s="81"/>
      <c r="U1942" s="81"/>
      <c r="V1942" s="81"/>
      <c r="W1942" s="81"/>
      <c r="X1942" s="81"/>
      <c r="Y1942" s="81"/>
      <c r="Z1942" s="82"/>
      <c r="AA1942" s="99"/>
      <c r="AB1942" s="48" t="s">
        <v>61</v>
      </c>
      <c r="AC1942" s="68" t="s">
        <v>61</v>
      </c>
      <c r="AD1942" s="69" t="s">
        <v>61</v>
      </c>
      <c r="AE1942" s="69" t="s">
        <v>61</v>
      </c>
      <c r="AF1942" s="68" t="s">
        <v>61</v>
      </c>
      <c r="AG1942" s="68" t="s">
        <v>61</v>
      </c>
      <c r="AH1942" s="68" t="s">
        <v>61</v>
      </c>
      <c r="AI1942" s="70" t="s">
        <v>61</v>
      </c>
      <c r="AJ1942" s="114" t="s">
        <v>61</v>
      </c>
      <c r="AK1942" s="82"/>
    </row>
    <row r="1943" ht="24.0" customHeight="1">
      <c r="A1943" s="35"/>
      <c r="B1943" s="36">
        <v>1.0</v>
      </c>
      <c r="C1943" s="37" t="str">
        <f>IFERROR(__xludf.DUMMYFUNCTION("""COMPUTED_VALUE"""),"")</f>
        <v/>
      </c>
      <c r="D1943" s="89" t="s">
        <v>61</v>
      </c>
      <c r="E1943" s="51" t="s">
        <v>61</v>
      </c>
      <c r="F1943" s="137"/>
      <c r="G1943" s="133"/>
      <c r="H1943" s="141"/>
      <c r="I1943" s="57"/>
      <c r="J1943" s="57"/>
      <c r="K1943" s="72"/>
      <c r="L1943" s="57"/>
      <c r="M1943" s="55"/>
      <c r="N1943" s="55"/>
      <c r="O1943" s="57"/>
      <c r="P1943" s="57"/>
      <c r="Q1943" s="57"/>
      <c r="R1943" s="57"/>
      <c r="S1943" s="132"/>
      <c r="T1943" s="74"/>
      <c r="U1943" s="74"/>
      <c r="V1943" s="74"/>
      <c r="W1943" s="74"/>
      <c r="X1943" s="74"/>
      <c r="Y1943" s="74"/>
      <c r="Z1943" s="76"/>
      <c r="AA1943" s="134"/>
      <c r="AB1943" s="62" t="s">
        <v>61</v>
      </c>
      <c r="AC1943" s="63" t="s">
        <v>61</v>
      </c>
      <c r="AD1943" s="64" t="s">
        <v>61</v>
      </c>
      <c r="AE1943" s="64" t="s">
        <v>61</v>
      </c>
      <c r="AF1943" s="63" t="s">
        <v>61</v>
      </c>
      <c r="AG1943" s="63" t="s">
        <v>61</v>
      </c>
      <c r="AH1943" s="63" t="s">
        <v>61</v>
      </c>
      <c r="AI1943" s="65" t="s">
        <v>61</v>
      </c>
      <c r="AJ1943" s="105" t="s">
        <v>61</v>
      </c>
      <c r="AK1943" s="76"/>
    </row>
    <row r="1944" ht="24.0" customHeight="1">
      <c r="A1944" s="35"/>
      <c r="B1944" s="36">
        <v>1.0</v>
      </c>
      <c r="C1944" s="37" t="str">
        <f>IFERROR(__xludf.DUMMYFUNCTION("""COMPUTED_VALUE"""),"")</f>
        <v/>
      </c>
      <c r="D1944" s="89" t="s">
        <v>61</v>
      </c>
      <c r="E1944" s="39" t="s">
        <v>61</v>
      </c>
      <c r="F1944" s="121"/>
      <c r="G1944" s="122"/>
      <c r="H1944" s="138"/>
      <c r="I1944" s="80"/>
      <c r="J1944" s="80"/>
      <c r="K1944" s="95"/>
      <c r="L1944" s="80"/>
      <c r="M1944" s="43"/>
      <c r="N1944" s="43"/>
      <c r="O1944" s="80"/>
      <c r="P1944" s="80"/>
      <c r="Q1944" s="80"/>
      <c r="R1944" s="80"/>
      <c r="S1944" s="117"/>
      <c r="T1944" s="81"/>
      <c r="U1944" s="81"/>
      <c r="V1944" s="81"/>
      <c r="W1944" s="81"/>
      <c r="X1944" s="81"/>
      <c r="Y1944" s="81"/>
      <c r="Z1944" s="82"/>
      <c r="AA1944" s="99"/>
      <c r="AB1944" s="48" t="s">
        <v>61</v>
      </c>
      <c r="AC1944" s="68" t="s">
        <v>61</v>
      </c>
      <c r="AD1944" s="69" t="s">
        <v>61</v>
      </c>
      <c r="AE1944" s="69" t="s">
        <v>61</v>
      </c>
      <c r="AF1944" s="68" t="s">
        <v>61</v>
      </c>
      <c r="AG1944" s="68" t="s">
        <v>61</v>
      </c>
      <c r="AH1944" s="68" t="s">
        <v>61</v>
      </c>
      <c r="AI1944" s="70" t="s">
        <v>61</v>
      </c>
      <c r="AJ1944" s="114" t="s">
        <v>61</v>
      </c>
      <c r="AK1944" s="82"/>
    </row>
    <row r="1945" ht="24.0" customHeight="1">
      <c r="A1945" s="35"/>
      <c r="B1945" s="36">
        <v>1.0</v>
      </c>
      <c r="C1945" s="37" t="str">
        <f>IFERROR(__xludf.DUMMYFUNCTION("""COMPUTED_VALUE"""),"")</f>
        <v/>
      </c>
      <c r="D1945" s="89" t="s">
        <v>61</v>
      </c>
      <c r="E1945" s="51" t="s">
        <v>61</v>
      </c>
      <c r="F1945" s="137"/>
      <c r="G1945" s="133"/>
      <c r="H1945" s="141"/>
      <c r="I1945" s="57"/>
      <c r="J1945" s="57"/>
      <c r="K1945" s="72"/>
      <c r="L1945" s="57"/>
      <c r="M1945" s="55"/>
      <c r="N1945" s="55"/>
      <c r="O1945" s="57"/>
      <c r="P1945" s="57"/>
      <c r="Q1945" s="57"/>
      <c r="R1945" s="57"/>
      <c r="S1945" s="132"/>
      <c r="T1945" s="74"/>
      <c r="U1945" s="74"/>
      <c r="V1945" s="74"/>
      <c r="W1945" s="74"/>
      <c r="X1945" s="74"/>
      <c r="Y1945" s="74"/>
      <c r="Z1945" s="76"/>
      <c r="AA1945" s="134"/>
      <c r="AB1945" s="62" t="s">
        <v>61</v>
      </c>
      <c r="AC1945" s="63" t="s">
        <v>61</v>
      </c>
      <c r="AD1945" s="64" t="s">
        <v>61</v>
      </c>
      <c r="AE1945" s="64" t="s">
        <v>61</v>
      </c>
      <c r="AF1945" s="63" t="s">
        <v>61</v>
      </c>
      <c r="AG1945" s="63" t="s">
        <v>61</v>
      </c>
      <c r="AH1945" s="63" t="s">
        <v>61</v>
      </c>
      <c r="AI1945" s="65" t="s">
        <v>61</v>
      </c>
      <c r="AJ1945" s="105" t="s">
        <v>61</v>
      </c>
      <c r="AK1945" s="76"/>
    </row>
    <row r="1946" ht="24.0" customHeight="1">
      <c r="A1946" s="35"/>
      <c r="B1946" s="36">
        <v>1.0</v>
      </c>
      <c r="C1946" s="37" t="str">
        <f>IFERROR(__xludf.DUMMYFUNCTION("""COMPUTED_VALUE"""),"")</f>
        <v/>
      </c>
      <c r="D1946" s="89" t="s">
        <v>61</v>
      </c>
      <c r="E1946" s="39" t="s">
        <v>61</v>
      </c>
      <c r="F1946" s="121"/>
      <c r="G1946" s="122"/>
      <c r="H1946" s="138"/>
      <c r="I1946" s="80"/>
      <c r="J1946" s="80"/>
      <c r="K1946" s="95"/>
      <c r="L1946" s="80"/>
      <c r="M1946" s="43"/>
      <c r="N1946" s="43"/>
      <c r="O1946" s="80"/>
      <c r="P1946" s="80"/>
      <c r="Q1946" s="80"/>
      <c r="R1946" s="80"/>
      <c r="S1946" s="117"/>
      <c r="T1946" s="81"/>
      <c r="U1946" s="81"/>
      <c r="V1946" s="81"/>
      <c r="W1946" s="81"/>
      <c r="X1946" s="81"/>
      <c r="Y1946" s="81"/>
      <c r="Z1946" s="82"/>
      <c r="AA1946" s="99"/>
      <c r="AB1946" s="48" t="s">
        <v>61</v>
      </c>
      <c r="AC1946" s="68" t="s">
        <v>61</v>
      </c>
      <c r="AD1946" s="69" t="s">
        <v>61</v>
      </c>
      <c r="AE1946" s="69" t="s">
        <v>61</v>
      </c>
      <c r="AF1946" s="68" t="s">
        <v>61</v>
      </c>
      <c r="AG1946" s="68" t="s">
        <v>61</v>
      </c>
      <c r="AH1946" s="68" t="s">
        <v>61</v>
      </c>
      <c r="AI1946" s="70" t="s">
        <v>61</v>
      </c>
      <c r="AJ1946" s="114" t="s">
        <v>61</v>
      </c>
      <c r="AK1946" s="82"/>
    </row>
    <row r="1947" ht="24.0" customHeight="1">
      <c r="A1947" s="35"/>
      <c r="B1947" s="36">
        <v>1.0</v>
      </c>
      <c r="C1947" s="37" t="str">
        <f>IFERROR(__xludf.DUMMYFUNCTION("""COMPUTED_VALUE"""),"")</f>
        <v/>
      </c>
      <c r="D1947" s="89" t="s">
        <v>61</v>
      </c>
      <c r="E1947" s="51" t="s">
        <v>61</v>
      </c>
      <c r="F1947" s="137"/>
      <c r="G1947" s="133"/>
      <c r="H1947" s="141"/>
      <c r="I1947" s="57"/>
      <c r="J1947" s="57"/>
      <c r="K1947" s="72"/>
      <c r="L1947" s="57"/>
      <c r="M1947" s="55"/>
      <c r="N1947" s="55"/>
      <c r="O1947" s="57"/>
      <c r="P1947" s="57"/>
      <c r="Q1947" s="57"/>
      <c r="R1947" s="57"/>
      <c r="S1947" s="132"/>
      <c r="T1947" s="74"/>
      <c r="U1947" s="74"/>
      <c r="V1947" s="74"/>
      <c r="W1947" s="74"/>
      <c r="X1947" s="74"/>
      <c r="Y1947" s="74"/>
      <c r="Z1947" s="76"/>
      <c r="AA1947" s="134"/>
      <c r="AB1947" s="62" t="s">
        <v>61</v>
      </c>
      <c r="AC1947" s="63" t="s">
        <v>61</v>
      </c>
      <c r="AD1947" s="64" t="s">
        <v>61</v>
      </c>
      <c r="AE1947" s="64" t="s">
        <v>61</v>
      </c>
      <c r="AF1947" s="63" t="s">
        <v>61</v>
      </c>
      <c r="AG1947" s="63" t="s">
        <v>61</v>
      </c>
      <c r="AH1947" s="63" t="s">
        <v>61</v>
      </c>
      <c r="AI1947" s="65" t="s">
        <v>61</v>
      </c>
      <c r="AJ1947" s="105" t="s">
        <v>61</v>
      </c>
      <c r="AK1947" s="76"/>
    </row>
    <row r="1948" ht="24.0" customHeight="1">
      <c r="A1948" s="35"/>
      <c r="B1948" s="36">
        <v>1.0</v>
      </c>
      <c r="C1948" s="37" t="str">
        <f>IFERROR(__xludf.DUMMYFUNCTION("""COMPUTED_VALUE"""),"")</f>
        <v/>
      </c>
      <c r="D1948" s="89" t="s">
        <v>61</v>
      </c>
      <c r="E1948" s="39" t="s">
        <v>61</v>
      </c>
      <c r="F1948" s="121"/>
      <c r="G1948" s="122"/>
      <c r="H1948" s="138"/>
      <c r="I1948" s="80"/>
      <c r="J1948" s="80"/>
      <c r="K1948" s="95"/>
      <c r="L1948" s="80"/>
      <c r="M1948" s="43"/>
      <c r="N1948" s="43"/>
      <c r="O1948" s="80"/>
      <c r="P1948" s="80"/>
      <c r="Q1948" s="80"/>
      <c r="R1948" s="80"/>
      <c r="S1948" s="117"/>
      <c r="T1948" s="81"/>
      <c r="U1948" s="81"/>
      <c r="V1948" s="81"/>
      <c r="W1948" s="81"/>
      <c r="X1948" s="81"/>
      <c r="Y1948" s="81"/>
      <c r="Z1948" s="82"/>
      <c r="AA1948" s="99"/>
      <c r="AB1948" s="48" t="s">
        <v>61</v>
      </c>
      <c r="AC1948" s="68" t="s">
        <v>61</v>
      </c>
      <c r="AD1948" s="69" t="s">
        <v>61</v>
      </c>
      <c r="AE1948" s="69" t="s">
        <v>61</v>
      </c>
      <c r="AF1948" s="68" t="s">
        <v>61</v>
      </c>
      <c r="AG1948" s="68" t="s">
        <v>61</v>
      </c>
      <c r="AH1948" s="68" t="s">
        <v>61</v>
      </c>
      <c r="AI1948" s="70" t="s">
        <v>61</v>
      </c>
      <c r="AJ1948" s="114" t="s">
        <v>61</v>
      </c>
      <c r="AK1948" s="82"/>
    </row>
    <row r="1949" ht="24.0" customHeight="1">
      <c r="A1949" s="35"/>
      <c r="B1949" s="36">
        <v>1.0</v>
      </c>
      <c r="C1949" s="37" t="str">
        <f>IFERROR(__xludf.DUMMYFUNCTION("""COMPUTED_VALUE"""),"")</f>
        <v/>
      </c>
      <c r="D1949" s="89" t="s">
        <v>61</v>
      </c>
      <c r="E1949" s="51" t="s">
        <v>61</v>
      </c>
      <c r="F1949" s="137"/>
      <c r="G1949" s="133"/>
      <c r="H1949" s="141"/>
      <c r="I1949" s="57"/>
      <c r="J1949" s="57"/>
      <c r="K1949" s="72"/>
      <c r="L1949" s="57"/>
      <c r="M1949" s="55"/>
      <c r="N1949" s="55"/>
      <c r="O1949" s="57"/>
      <c r="P1949" s="57"/>
      <c r="Q1949" s="57"/>
      <c r="R1949" s="57"/>
      <c r="S1949" s="132"/>
      <c r="T1949" s="74"/>
      <c r="U1949" s="74"/>
      <c r="V1949" s="74"/>
      <c r="W1949" s="74"/>
      <c r="X1949" s="74"/>
      <c r="Y1949" s="74"/>
      <c r="Z1949" s="76"/>
      <c r="AA1949" s="134"/>
      <c r="AB1949" s="62" t="s">
        <v>61</v>
      </c>
      <c r="AC1949" s="63" t="s">
        <v>61</v>
      </c>
      <c r="AD1949" s="64" t="s">
        <v>61</v>
      </c>
      <c r="AE1949" s="64" t="s">
        <v>61</v>
      </c>
      <c r="AF1949" s="63" t="s">
        <v>61</v>
      </c>
      <c r="AG1949" s="63" t="s">
        <v>61</v>
      </c>
      <c r="AH1949" s="63" t="s">
        <v>61</v>
      </c>
      <c r="AI1949" s="65" t="s">
        <v>61</v>
      </c>
      <c r="AJ1949" s="105" t="s">
        <v>61</v>
      </c>
      <c r="AK1949" s="76"/>
    </row>
    <row r="1950" ht="24.0" customHeight="1">
      <c r="A1950" s="35"/>
      <c r="B1950" s="36">
        <v>1.0</v>
      </c>
      <c r="C1950" s="37" t="str">
        <f>IFERROR(__xludf.DUMMYFUNCTION("""COMPUTED_VALUE"""),"")</f>
        <v/>
      </c>
      <c r="D1950" s="89" t="s">
        <v>61</v>
      </c>
      <c r="E1950" s="39" t="s">
        <v>61</v>
      </c>
      <c r="F1950" s="121"/>
      <c r="G1950" s="122"/>
      <c r="H1950" s="138"/>
      <c r="I1950" s="80"/>
      <c r="J1950" s="80"/>
      <c r="K1950" s="95"/>
      <c r="L1950" s="80"/>
      <c r="M1950" s="43"/>
      <c r="N1950" s="43"/>
      <c r="O1950" s="80"/>
      <c r="P1950" s="80"/>
      <c r="Q1950" s="80"/>
      <c r="R1950" s="80"/>
      <c r="S1950" s="117"/>
      <c r="T1950" s="81"/>
      <c r="U1950" s="81"/>
      <c r="V1950" s="81"/>
      <c r="W1950" s="81"/>
      <c r="X1950" s="81"/>
      <c r="Y1950" s="81"/>
      <c r="Z1950" s="82"/>
      <c r="AA1950" s="99"/>
      <c r="AB1950" s="48" t="s">
        <v>61</v>
      </c>
      <c r="AC1950" s="68" t="s">
        <v>61</v>
      </c>
      <c r="AD1950" s="69" t="s">
        <v>61</v>
      </c>
      <c r="AE1950" s="69" t="s">
        <v>61</v>
      </c>
      <c r="AF1950" s="68" t="s">
        <v>61</v>
      </c>
      <c r="AG1950" s="68" t="s">
        <v>61</v>
      </c>
      <c r="AH1950" s="68" t="s">
        <v>61</v>
      </c>
      <c r="AI1950" s="70" t="s">
        <v>61</v>
      </c>
      <c r="AJ1950" s="114" t="s">
        <v>61</v>
      </c>
      <c r="AK1950" s="82"/>
    </row>
    <row r="1951" ht="24.0" customHeight="1">
      <c r="A1951" s="35"/>
      <c r="B1951" s="36">
        <v>1.0</v>
      </c>
      <c r="C1951" s="37" t="str">
        <f>IFERROR(__xludf.DUMMYFUNCTION("""COMPUTED_VALUE"""),"")</f>
        <v/>
      </c>
      <c r="D1951" s="89" t="s">
        <v>61</v>
      </c>
      <c r="E1951" s="51" t="s">
        <v>61</v>
      </c>
      <c r="F1951" s="137"/>
      <c r="G1951" s="133"/>
      <c r="H1951" s="141"/>
      <c r="I1951" s="57"/>
      <c r="J1951" s="57"/>
      <c r="K1951" s="72"/>
      <c r="L1951" s="57"/>
      <c r="M1951" s="55"/>
      <c r="N1951" s="55"/>
      <c r="O1951" s="57"/>
      <c r="P1951" s="57"/>
      <c r="Q1951" s="57"/>
      <c r="R1951" s="57"/>
      <c r="S1951" s="132"/>
      <c r="T1951" s="74"/>
      <c r="U1951" s="74"/>
      <c r="V1951" s="74"/>
      <c r="W1951" s="74"/>
      <c r="X1951" s="74"/>
      <c r="Y1951" s="74"/>
      <c r="Z1951" s="76"/>
      <c r="AA1951" s="134"/>
      <c r="AB1951" s="62" t="s">
        <v>61</v>
      </c>
      <c r="AC1951" s="63" t="s">
        <v>61</v>
      </c>
      <c r="AD1951" s="64" t="s">
        <v>61</v>
      </c>
      <c r="AE1951" s="64" t="s">
        <v>61</v>
      </c>
      <c r="AF1951" s="63" t="s">
        <v>61</v>
      </c>
      <c r="AG1951" s="63" t="s">
        <v>61</v>
      </c>
      <c r="AH1951" s="63" t="s">
        <v>61</v>
      </c>
      <c r="AI1951" s="65" t="s">
        <v>61</v>
      </c>
      <c r="AJ1951" s="105" t="s">
        <v>61</v>
      </c>
      <c r="AK1951" s="76"/>
    </row>
    <row r="1952" ht="24.0" customHeight="1">
      <c r="A1952" s="35"/>
      <c r="B1952" s="36">
        <v>1.0</v>
      </c>
      <c r="C1952" s="37" t="str">
        <f>IFERROR(__xludf.DUMMYFUNCTION("""COMPUTED_VALUE"""),"")</f>
        <v/>
      </c>
      <c r="D1952" s="89" t="s">
        <v>61</v>
      </c>
      <c r="E1952" s="39" t="s">
        <v>61</v>
      </c>
      <c r="F1952" s="121"/>
      <c r="G1952" s="122"/>
      <c r="H1952" s="138"/>
      <c r="I1952" s="80"/>
      <c r="J1952" s="80"/>
      <c r="K1952" s="95"/>
      <c r="L1952" s="80"/>
      <c r="M1952" s="43"/>
      <c r="N1952" s="43"/>
      <c r="O1952" s="80"/>
      <c r="P1952" s="80"/>
      <c r="Q1952" s="80"/>
      <c r="R1952" s="80"/>
      <c r="S1952" s="117"/>
      <c r="T1952" s="81"/>
      <c r="U1952" s="81"/>
      <c r="V1952" s="81"/>
      <c r="W1952" s="81"/>
      <c r="X1952" s="81"/>
      <c r="Y1952" s="81"/>
      <c r="Z1952" s="82"/>
      <c r="AA1952" s="99"/>
      <c r="AB1952" s="48" t="s">
        <v>61</v>
      </c>
      <c r="AC1952" s="68" t="s">
        <v>61</v>
      </c>
      <c r="AD1952" s="69" t="s">
        <v>61</v>
      </c>
      <c r="AE1952" s="69" t="s">
        <v>61</v>
      </c>
      <c r="AF1952" s="68" t="s">
        <v>61</v>
      </c>
      <c r="AG1952" s="68" t="s">
        <v>61</v>
      </c>
      <c r="AH1952" s="68" t="s">
        <v>61</v>
      </c>
      <c r="AI1952" s="70" t="s">
        <v>61</v>
      </c>
      <c r="AJ1952" s="114" t="s">
        <v>61</v>
      </c>
      <c r="AK1952" s="82"/>
    </row>
    <row r="1953" ht="24.0" customHeight="1">
      <c r="A1953" s="35"/>
      <c r="B1953" s="36">
        <v>1.0</v>
      </c>
      <c r="C1953" s="37" t="str">
        <f>IFERROR(__xludf.DUMMYFUNCTION("""COMPUTED_VALUE"""),"")</f>
        <v/>
      </c>
      <c r="D1953" s="89" t="s">
        <v>61</v>
      </c>
      <c r="E1953" s="51" t="s">
        <v>61</v>
      </c>
      <c r="F1953" s="137"/>
      <c r="G1953" s="133"/>
      <c r="H1953" s="141"/>
      <c r="I1953" s="57"/>
      <c r="J1953" s="57"/>
      <c r="K1953" s="72"/>
      <c r="L1953" s="57"/>
      <c r="M1953" s="55"/>
      <c r="N1953" s="55"/>
      <c r="O1953" s="57"/>
      <c r="P1953" s="57"/>
      <c r="Q1953" s="57"/>
      <c r="R1953" s="57"/>
      <c r="S1953" s="132"/>
      <c r="T1953" s="74"/>
      <c r="U1953" s="74"/>
      <c r="V1953" s="74"/>
      <c r="W1953" s="74"/>
      <c r="X1953" s="74"/>
      <c r="Y1953" s="74"/>
      <c r="Z1953" s="76"/>
      <c r="AA1953" s="134"/>
      <c r="AB1953" s="62" t="s">
        <v>61</v>
      </c>
      <c r="AC1953" s="63" t="s">
        <v>61</v>
      </c>
      <c r="AD1953" s="64" t="s">
        <v>61</v>
      </c>
      <c r="AE1953" s="64" t="s">
        <v>61</v>
      </c>
      <c r="AF1953" s="63" t="s">
        <v>61</v>
      </c>
      <c r="AG1953" s="63" t="s">
        <v>61</v>
      </c>
      <c r="AH1953" s="63" t="s">
        <v>61</v>
      </c>
      <c r="AI1953" s="65" t="s">
        <v>61</v>
      </c>
      <c r="AJ1953" s="105" t="s">
        <v>61</v>
      </c>
      <c r="AK1953" s="76"/>
    </row>
    <row r="1954" ht="24.0" customHeight="1">
      <c r="A1954" s="35"/>
      <c r="B1954" s="36">
        <v>1.0</v>
      </c>
      <c r="C1954" s="37" t="str">
        <f>IFERROR(__xludf.DUMMYFUNCTION("""COMPUTED_VALUE"""),"")</f>
        <v/>
      </c>
      <c r="D1954" s="89" t="s">
        <v>61</v>
      </c>
      <c r="E1954" s="39" t="s">
        <v>61</v>
      </c>
      <c r="F1954" s="121"/>
      <c r="G1954" s="122"/>
      <c r="H1954" s="138"/>
      <c r="I1954" s="80"/>
      <c r="J1954" s="80"/>
      <c r="K1954" s="95"/>
      <c r="L1954" s="80"/>
      <c r="M1954" s="43"/>
      <c r="N1954" s="43"/>
      <c r="O1954" s="80"/>
      <c r="P1954" s="80"/>
      <c r="Q1954" s="80"/>
      <c r="R1954" s="80"/>
      <c r="S1954" s="117"/>
      <c r="T1954" s="81"/>
      <c r="U1954" s="81"/>
      <c r="V1954" s="81"/>
      <c r="W1954" s="81"/>
      <c r="X1954" s="81"/>
      <c r="Y1954" s="81"/>
      <c r="Z1954" s="82"/>
      <c r="AA1954" s="99"/>
      <c r="AB1954" s="48" t="s">
        <v>61</v>
      </c>
      <c r="AC1954" s="68" t="s">
        <v>61</v>
      </c>
      <c r="AD1954" s="69" t="s">
        <v>61</v>
      </c>
      <c r="AE1954" s="69" t="s">
        <v>61</v>
      </c>
      <c r="AF1954" s="68" t="s">
        <v>61</v>
      </c>
      <c r="AG1954" s="68" t="s">
        <v>61</v>
      </c>
      <c r="AH1954" s="68" t="s">
        <v>61</v>
      </c>
      <c r="AI1954" s="70" t="s">
        <v>61</v>
      </c>
      <c r="AJ1954" s="114" t="s">
        <v>61</v>
      </c>
      <c r="AK1954" s="82"/>
    </row>
    <row r="1955" ht="24.0" customHeight="1">
      <c r="A1955" s="35"/>
      <c r="B1955" s="36">
        <v>1.0</v>
      </c>
      <c r="C1955" s="37" t="str">
        <f>IFERROR(__xludf.DUMMYFUNCTION("""COMPUTED_VALUE"""),"")</f>
        <v/>
      </c>
      <c r="D1955" s="89" t="s">
        <v>61</v>
      </c>
      <c r="E1955" s="51" t="s">
        <v>61</v>
      </c>
      <c r="F1955" s="137"/>
      <c r="G1955" s="133"/>
      <c r="H1955" s="141"/>
      <c r="I1955" s="57"/>
      <c r="J1955" s="57"/>
      <c r="K1955" s="72"/>
      <c r="L1955" s="57"/>
      <c r="M1955" s="55"/>
      <c r="N1955" s="55"/>
      <c r="O1955" s="57"/>
      <c r="P1955" s="57"/>
      <c r="Q1955" s="57"/>
      <c r="R1955" s="57"/>
      <c r="S1955" s="132"/>
      <c r="T1955" s="74"/>
      <c r="U1955" s="74"/>
      <c r="V1955" s="74"/>
      <c r="W1955" s="74"/>
      <c r="X1955" s="74"/>
      <c r="Y1955" s="74"/>
      <c r="Z1955" s="76"/>
      <c r="AA1955" s="134"/>
      <c r="AB1955" s="62" t="s">
        <v>61</v>
      </c>
      <c r="AC1955" s="63" t="s">
        <v>61</v>
      </c>
      <c r="AD1955" s="64" t="s">
        <v>61</v>
      </c>
      <c r="AE1955" s="64" t="s">
        <v>61</v>
      </c>
      <c r="AF1955" s="63" t="s">
        <v>61</v>
      </c>
      <c r="AG1955" s="63" t="s">
        <v>61</v>
      </c>
      <c r="AH1955" s="63" t="s">
        <v>61</v>
      </c>
      <c r="AI1955" s="65" t="s">
        <v>61</v>
      </c>
      <c r="AJ1955" s="105" t="s">
        <v>61</v>
      </c>
      <c r="AK1955" s="76"/>
    </row>
    <row r="1956" ht="24.0" customHeight="1">
      <c r="A1956" s="35"/>
      <c r="B1956" s="36">
        <v>1.0</v>
      </c>
      <c r="C1956" s="37" t="str">
        <f>IFERROR(__xludf.DUMMYFUNCTION("""COMPUTED_VALUE"""),"")</f>
        <v/>
      </c>
      <c r="D1956" s="89" t="s">
        <v>61</v>
      </c>
      <c r="E1956" s="39" t="s">
        <v>61</v>
      </c>
      <c r="F1956" s="121"/>
      <c r="G1956" s="122"/>
      <c r="H1956" s="138"/>
      <c r="I1956" s="80"/>
      <c r="J1956" s="80"/>
      <c r="K1956" s="95"/>
      <c r="L1956" s="80"/>
      <c r="M1956" s="43"/>
      <c r="N1956" s="43"/>
      <c r="O1956" s="80"/>
      <c r="P1956" s="80"/>
      <c r="Q1956" s="80"/>
      <c r="R1956" s="80"/>
      <c r="S1956" s="117"/>
      <c r="T1956" s="81"/>
      <c r="U1956" s="81"/>
      <c r="V1956" s="81"/>
      <c r="W1956" s="81"/>
      <c r="X1956" s="81"/>
      <c r="Y1956" s="81"/>
      <c r="Z1956" s="82"/>
      <c r="AA1956" s="99"/>
      <c r="AB1956" s="48" t="s">
        <v>61</v>
      </c>
      <c r="AC1956" s="68" t="s">
        <v>61</v>
      </c>
      <c r="AD1956" s="69" t="s">
        <v>61</v>
      </c>
      <c r="AE1956" s="69" t="s">
        <v>61</v>
      </c>
      <c r="AF1956" s="68" t="s">
        <v>61</v>
      </c>
      <c r="AG1956" s="68" t="s">
        <v>61</v>
      </c>
      <c r="AH1956" s="68" t="s">
        <v>61</v>
      </c>
      <c r="AI1956" s="70" t="s">
        <v>61</v>
      </c>
      <c r="AJ1956" s="114" t="s">
        <v>61</v>
      </c>
      <c r="AK1956" s="82"/>
    </row>
    <row r="1957" ht="24.0" customHeight="1">
      <c r="A1957" s="35"/>
      <c r="B1957" s="36">
        <v>1.0</v>
      </c>
      <c r="C1957" s="37" t="str">
        <f>IFERROR(__xludf.DUMMYFUNCTION("""COMPUTED_VALUE"""),"")</f>
        <v/>
      </c>
      <c r="D1957" s="89" t="s">
        <v>61</v>
      </c>
      <c r="E1957" s="51" t="s">
        <v>61</v>
      </c>
      <c r="F1957" s="137"/>
      <c r="G1957" s="133"/>
      <c r="H1957" s="141"/>
      <c r="I1957" s="57"/>
      <c r="J1957" s="57"/>
      <c r="K1957" s="72"/>
      <c r="L1957" s="57"/>
      <c r="M1957" s="55"/>
      <c r="N1957" s="55"/>
      <c r="O1957" s="57"/>
      <c r="P1957" s="57"/>
      <c r="Q1957" s="57"/>
      <c r="R1957" s="57"/>
      <c r="S1957" s="132"/>
      <c r="T1957" s="74"/>
      <c r="U1957" s="74"/>
      <c r="V1957" s="74"/>
      <c r="W1957" s="74"/>
      <c r="X1957" s="74"/>
      <c r="Y1957" s="74"/>
      <c r="Z1957" s="76"/>
      <c r="AA1957" s="134"/>
      <c r="AB1957" s="62" t="s">
        <v>61</v>
      </c>
      <c r="AC1957" s="63" t="s">
        <v>61</v>
      </c>
      <c r="AD1957" s="64" t="s">
        <v>61</v>
      </c>
      <c r="AE1957" s="64" t="s">
        <v>61</v>
      </c>
      <c r="AF1957" s="63" t="s">
        <v>61</v>
      </c>
      <c r="AG1957" s="63" t="s">
        <v>61</v>
      </c>
      <c r="AH1957" s="63" t="s">
        <v>61</v>
      </c>
      <c r="AI1957" s="65" t="s">
        <v>61</v>
      </c>
      <c r="AJ1957" s="105" t="s">
        <v>61</v>
      </c>
      <c r="AK1957" s="76"/>
    </row>
    <row r="1958" ht="24.0" customHeight="1">
      <c r="A1958" s="35"/>
      <c r="B1958" s="36">
        <v>1.0</v>
      </c>
      <c r="C1958" s="37" t="str">
        <f>IFERROR(__xludf.DUMMYFUNCTION("""COMPUTED_VALUE"""),"")</f>
        <v/>
      </c>
      <c r="D1958" s="89" t="s">
        <v>61</v>
      </c>
      <c r="E1958" s="39" t="s">
        <v>61</v>
      </c>
      <c r="F1958" s="121"/>
      <c r="G1958" s="122"/>
      <c r="H1958" s="138"/>
      <c r="I1958" s="80"/>
      <c r="J1958" s="80"/>
      <c r="K1958" s="95"/>
      <c r="L1958" s="80"/>
      <c r="M1958" s="43"/>
      <c r="N1958" s="43"/>
      <c r="O1958" s="80"/>
      <c r="P1958" s="80"/>
      <c r="Q1958" s="80"/>
      <c r="R1958" s="80"/>
      <c r="S1958" s="117"/>
      <c r="T1958" s="81"/>
      <c r="U1958" s="81"/>
      <c r="V1958" s="81"/>
      <c r="W1958" s="81"/>
      <c r="X1958" s="81"/>
      <c r="Y1958" s="81"/>
      <c r="Z1958" s="82"/>
      <c r="AA1958" s="99"/>
      <c r="AB1958" s="48" t="s">
        <v>61</v>
      </c>
      <c r="AC1958" s="68" t="s">
        <v>61</v>
      </c>
      <c r="AD1958" s="69" t="s">
        <v>61</v>
      </c>
      <c r="AE1958" s="69" t="s">
        <v>61</v>
      </c>
      <c r="AF1958" s="68" t="s">
        <v>61</v>
      </c>
      <c r="AG1958" s="68" t="s">
        <v>61</v>
      </c>
      <c r="AH1958" s="68" t="s">
        <v>61</v>
      </c>
      <c r="AI1958" s="70" t="s">
        <v>61</v>
      </c>
      <c r="AJ1958" s="114" t="s">
        <v>61</v>
      </c>
      <c r="AK1958" s="82"/>
    </row>
    <row r="1959" ht="24.0" customHeight="1">
      <c r="A1959" s="35"/>
      <c r="B1959" s="36">
        <v>1.0</v>
      </c>
      <c r="C1959" s="37" t="str">
        <f>IFERROR(__xludf.DUMMYFUNCTION("""COMPUTED_VALUE"""),"")</f>
        <v/>
      </c>
      <c r="D1959" s="89" t="s">
        <v>61</v>
      </c>
      <c r="E1959" s="51" t="s">
        <v>61</v>
      </c>
      <c r="F1959" s="137"/>
      <c r="G1959" s="133"/>
      <c r="H1959" s="141"/>
      <c r="I1959" s="57"/>
      <c r="J1959" s="57"/>
      <c r="K1959" s="72"/>
      <c r="L1959" s="57"/>
      <c r="M1959" s="55"/>
      <c r="N1959" s="55"/>
      <c r="O1959" s="57"/>
      <c r="P1959" s="57"/>
      <c r="Q1959" s="57"/>
      <c r="R1959" s="57"/>
      <c r="S1959" s="132"/>
      <c r="T1959" s="74"/>
      <c r="U1959" s="74"/>
      <c r="V1959" s="74"/>
      <c r="W1959" s="74"/>
      <c r="X1959" s="74"/>
      <c r="Y1959" s="74"/>
      <c r="Z1959" s="76"/>
      <c r="AA1959" s="134"/>
      <c r="AB1959" s="62" t="s">
        <v>61</v>
      </c>
      <c r="AC1959" s="63" t="s">
        <v>61</v>
      </c>
      <c r="AD1959" s="64" t="s">
        <v>61</v>
      </c>
      <c r="AE1959" s="64" t="s">
        <v>61</v>
      </c>
      <c r="AF1959" s="63" t="s">
        <v>61</v>
      </c>
      <c r="AG1959" s="63" t="s">
        <v>61</v>
      </c>
      <c r="AH1959" s="63" t="s">
        <v>61</v>
      </c>
      <c r="AI1959" s="65" t="s">
        <v>61</v>
      </c>
      <c r="AJ1959" s="105" t="s">
        <v>61</v>
      </c>
      <c r="AK1959" s="76"/>
    </row>
    <row r="1960" ht="24.0" customHeight="1">
      <c r="A1960" s="35"/>
      <c r="B1960" s="36">
        <v>1.0</v>
      </c>
      <c r="C1960" s="37" t="str">
        <f>IFERROR(__xludf.DUMMYFUNCTION("""COMPUTED_VALUE"""),"")</f>
        <v/>
      </c>
      <c r="D1960" s="89" t="s">
        <v>61</v>
      </c>
      <c r="E1960" s="39" t="s">
        <v>61</v>
      </c>
      <c r="F1960" s="121"/>
      <c r="G1960" s="122"/>
      <c r="H1960" s="138"/>
      <c r="I1960" s="80"/>
      <c r="J1960" s="80"/>
      <c r="K1960" s="95"/>
      <c r="L1960" s="80"/>
      <c r="M1960" s="43"/>
      <c r="N1960" s="43"/>
      <c r="O1960" s="80"/>
      <c r="P1960" s="80"/>
      <c r="Q1960" s="80"/>
      <c r="R1960" s="80"/>
      <c r="S1960" s="117"/>
      <c r="T1960" s="81"/>
      <c r="U1960" s="81"/>
      <c r="V1960" s="81"/>
      <c r="W1960" s="81"/>
      <c r="X1960" s="81"/>
      <c r="Y1960" s="81"/>
      <c r="Z1960" s="82"/>
      <c r="AA1960" s="99"/>
      <c r="AB1960" s="48" t="s">
        <v>61</v>
      </c>
      <c r="AC1960" s="68" t="s">
        <v>61</v>
      </c>
      <c r="AD1960" s="69" t="s">
        <v>61</v>
      </c>
      <c r="AE1960" s="69" t="s">
        <v>61</v>
      </c>
      <c r="AF1960" s="68" t="s">
        <v>61</v>
      </c>
      <c r="AG1960" s="68" t="s">
        <v>61</v>
      </c>
      <c r="AH1960" s="68" t="s">
        <v>61</v>
      </c>
      <c r="AI1960" s="70" t="s">
        <v>61</v>
      </c>
      <c r="AJ1960" s="114" t="s">
        <v>61</v>
      </c>
      <c r="AK1960" s="82"/>
    </row>
    <row r="1961" ht="24.0" customHeight="1">
      <c r="A1961" s="35"/>
      <c r="B1961" s="36">
        <v>1.0</v>
      </c>
      <c r="C1961" s="37" t="str">
        <f>IFERROR(__xludf.DUMMYFUNCTION("""COMPUTED_VALUE"""),"")</f>
        <v/>
      </c>
      <c r="D1961" s="89" t="s">
        <v>61</v>
      </c>
      <c r="E1961" s="51" t="s">
        <v>61</v>
      </c>
      <c r="F1961" s="137"/>
      <c r="G1961" s="133"/>
      <c r="H1961" s="141"/>
      <c r="I1961" s="57"/>
      <c r="J1961" s="57"/>
      <c r="K1961" s="72"/>
      <c r="L1961" s="57"/>
      <c r="M1961" s="55"/>
      <c r="N1961" s="55"/>
      <c r="O1961" s="57"/>
      <c r="P1961" s="57"/>
      <c r="Q1961" s="57"/>
      <c r="R1961" s="57"/>
      <c r="S1961" s="132"/>
      <c r="T1961" s="74"/>
      <c r="U1961" s="74"/>
      <c r="V1961" s="74"/>
      <c r="W1961" s="74"/>
      <c r="X1961" s="74"/>
      <c r="Y1961" s="74"/>
      <c r="Z1961" s="76"/>
      <c r="AA1961" s="134"/>
      <c r="AB1961" s="62" t="s">
        <v>61</v>
      </c>
      <c r="AC1961" s="63" t="s">
        <v>61</v>
      </c>
      <c r="AD1961" s="64" t="s">
        <v>61</v>
      </c>
      <c r="AE1961" s="64" t="s">
        <v>61</v>
      </c>
      <c r="AF1961" s="63" t="s">
        <v>61</v>
      </c>
      <c r="AG1961" s="63" t="s">
        <v>61</v>
      </c>
      <c r="AH1961" s="63" t="s">
        <v>61</v>
      </c>
      <c r="AI1961" s="65" t="s">
        <v>61</v>
      </c>
      <c r="AJ1961" s="105" t="s">
        <v>61</v>
      </c>
      <c r="AK1961" s="76"/>
    </row>
    <row r="1962" ht="24.0" customHeight="1">
      <c r="A1962" s="35"/>
      <c r="B1962" s="36">
        <v>1.0</v>
      </c>
      <c r="C1962" s="37" t="str">
        <f>IFERROR(__xludf.DUMMYFUNCTION("""COMPUTED_VALUE"""),"")</f>
        <v/>
      </c>
      <c r="D1962" s="89" t="s">
        <v>61</v>
      </c>
      <c r="E1962" s="39" t="s">
        <v>61</v>
      </c>
      <c r="F1962" s="121"/>
      <c r="G1962" s="122"/>
      <c r="H1962" s="138"/>
      <c r="I1962" s="80"/>
      <c r="J1962" s="80"/>
      <c r="K1962" s="95"/>
      <c r="L1962" s="80"/>
      <c r="M1962" s="43"/>
      <c r="N1962" s="43"/>
      <c r="O1962" s="80"/>
      <c r="P1962" s="80"/>
      <c r="Q1962" s="80"/>
      <c r="R1962" s="80"/>
      <c r="S1962" s="117"/>
      <c r="T1962" s="81"/>
      <c r="U1962" s="81"/>
      <c r="V1962" s="81"/>
      <c r="W1962" s="81"/>
      <c r="X1962" s="81"/>
      <c r="Y1962" s="81"/>
      <c r="Z1962" s="82"/>
      <c r="AA1962" s="99"/>
      <c r="AB1962" s="48" t="s">
        <v>61</v>
      </c>
      <c r="AC1962" s="68" t="s">
        <v>61</v>
      </c>
      <c r="AD1962" s="69" t="s">
        <v>61</v>
      </c>
      <c r="AE1962" s="69" t="s">
        <v>61</v>
      </c>
      <c r="AF1962" s="68" t="s">
        <v>61</v>
      </c>
      <c r="AG1962" s="68" t="s">
        <v>61</v>
      </c>
      <c r="AH1962" s="68" t="s">
        <v>61</v>
      </c>
      <c r="AI1962" s="70" t="s">
        <v>61</v>
      </c>
      <c r="AJ1962" s="114" t="s">
        <v>61</v>
      </c>
      <c r="AK1962" s="82"/>
    </row>
    <row r="1963" ht="24.0" customHeight="1">
      <c r="A1963" s="35"/>
      <c r="B1963" s="36">
        <v>1.0</v>
      </c>
      <c r="C1963" s="37" t="str">
        <f>IFERROR(__xludf.DUMMYFUNCTION("""COMPUTED_VALUE"""),"")</f>
        <v/>
      </c>
      <c r="D1963" s="89" t="s">
        <v>61</v>
      </c>
      <c r="E1963" s="51" t="s">
        <v>61</v>
      </c>
      <c r="F1963" s="137"/>
      <c r="G1963" s="133"/>
      <c r="H1963" s="141"/>
      <c r="I1963" s="57"/>
      <c r="J1963" s="57"/>
      <c r="K1963" s="72"/>
      <c r="L1963" s="57"/>
      <c r="M1963" s="55"/>
      <c r="N1963" s="55"/>
      <c r="O1963" s="57"/>
      <c r="P1963" s="57"/>
      <c r="Q1963" s="57"/>
      <c r="R1963" s="57"/>
      <c r="S1963" s="132"/>
      <c r="T1963" s="74"/>
      <c r="U1963" s="74"/>
      <c r="V1963" s="74"/>
      <c r="W1963" s="74"/>
      <c r="X1963" s="74"/>
      <c r="Y1963" s="74"/>
      <c r="Z1963" s="76"/>
      <c r="AA1963" s="134"/>
      <c r="AB1963" s="62" t="s">
        <v>61</v>
      </c>
      <c r="AC1963" s="63" t="s">
        <v>61</v>
      </c>
      <c r="AD1963" s="64" t="s">
        <v>61</v>
      </c>
      <c r="AE1963" s="64" t="s">
        <v>61</v>
      </c>
      <c r="AF1963" s="63" t="s">
        <v>61</v>
      </c>
      <c r="AG1963" s="63" t="s">
        <v>61</v>
      </c>
      <c r="AH1963" s="63" t="s">
        <v>61</v>
      </c>
      <c r="AI1963" s="65" t="s">
        <v>61</v>
      </c>
      <c r="AJ1963" s="105" t="s">
        <v>61</v>
      </c>
      <c r="AK1963" s="76"/>
    </row>
    <row r="1964" ht="24.0" customHeight="1">
      <c r="A1964" s="35"/>
      <c r="B1964" s="36">
        <v>1.0</v>
      </c>
      <c r="C1964" s="37" t="str">
        <f>IFERROR(__xludf.DUMMYFUNCTION("""COMPUTED_VALUE"""),"")</f>
        <v/>
      </c>
      <c r="D1964" s="89" t="s">
        <v>61</v>
      </c>
      <c r="E1964" s="39" t="s">
        <v>61</v>
      </c>
      <c r="F1964" s="121"/>
      <c r="G1964" s="122"/>
      <c r="H1964" s="138"/>
      <c r="I1964" s="80"/>
      <c r="J1964" s="80"/>
      <c r="K1964" s="95"/>
      <c r="L1964" s="80"/>
      <c r="M1964" s="43"/>
      <c r="N1964" s="43"/>
      <c r="O1964" s="80"/>
      <c r="P1964" s="80"/>
      <c r="Q1964" s="80"/>
      <c r="R1964" s="80"/>
      <c r="S1964" s="117"/>
      <c r="T1964" s="81"/>
      <c r="U1964" s="81"/>
      <c r="V1964" s="81"/>
      <c r="W1964" s="81"/>
      <c r="X1964" s="81"/>
      <c r="Y1964" s="81"/>
      <c r="Z1964" s="82"/>
      <c r="AA1964" s="99"/>
      <c r="AB1964" s="48" t="s">
        <v>61</v>
      </c>
      <c r="AC1964" s="68" t="s">
        <v>61</v>
      </c>
      <c r="AD1964" s="69" t="s">
        <v>61</v>
      </c>
      <c r="AE1964" s="69" t="s">
        <v>61</v>
      </c>
      <c r="AF1964" s="68" t="s">
        <v>61</v>
      </c>
      <c r="AG1964" s="68" t="s">
        <v>61</v>
      </c>
      <c r="AH1964" s="68" t="s">
        <v>61</v>
      </c>
      <c r="AI1964" s="70" t="s">
        <v>61</v>
      </c>
      <c r="AJ1964" s="114" t="s">
        <v>61</v>
      </c>
      <c r="AK1964" s="82"/>
    </row>
    <row r="1965" ht="24.0" customHeight="1">
      <c r="A1965" s="35"/>
      <c r="B1965" s="36">
        <v>1.0</v>
      </c>
      <c r="C1965" s="37" t="str">
        <f>IFERROR(__xludf.DUMMYFUNCTION("""COMPUTED_VALUE"""),"")</f>
        <v/>
      </c>
      <c r="D1965" s="89" t="s">
        <v>61</v>
      </c>
      <c r="E1965" s="51" t="s">
        <v>61</v>
      </c>
      <c r="F1965" s="137"/>
      <c r="G1965" s="133"/>
      <c r="H1965" s="141"/>
      <c r="I1965" s="57"/>
      <c r="J1965" s="57"/>
      <c r="K1965" s="72"/>
      <c r="L1965" s="57"/>
      <c r="M1965" s="55"/>
      <c r="N1965" s="55"/>
      <c r="O1965" s="57"/>
      <c r="P1965" s="57"/>
      <c r="Q1965" s="57"/>
      <c r="R1965" s="57"/>
      <c r="S1965" s="132"/>
      <c r="T1965" s="74"/>
      <c r="U1965" s="74"/>
      <c r="V1965" s="74"/>
      <c r="W1965" s="74"/>
      <c r="X1965" s="74"/>
      <c r="Y1965" s="74"/>
      <c r="Z1965" s="76"/>
      <c r="AA1965" s="134"/>
      <c r="AB1965" s="62" t="s">
        <v>61</v>
      </c>
      <c r="AC1965" s="63" t="s">
        <v>61</v>
      </c>
      <c r="AD1965" s="64" t="s">
        <v>61</v>
      </c>
      <c r="AE1965" s="64" t="s">
        <v>61</v>
      </c>
      <c r="AF1965" s="63" t="s">
        <v>61</v>
      </c>
      <c r="AG1965" s="63" t="s">
        <v>61</v>
      </c>
      <c r="AH1965" s="63" t="s">
        <v>61</v>
      </c>
      <c r="AI1965" s="65" t="s">
        <v>61</v>
      </c>
      <c r="AJ1965" s="105" t="s">
        <v>61</v>
      </c>
      <c r="AK1965" s="76"/>
    </row>
    <row r="1966" ht="24.0" customHeight="1">
      <c r="A1966" s="35"/>
      <c r="B1966" s="36">
        <v>1.0</v>
      </c>
      <c r="C1966" s="37" t="str">
        <f>IFERROR(__xludf.DUMMYFUNCTION("""COMPUTED_VALUE"""),"")</f>
        <v/>
      </c>
      <c r="D1966" s="89" t="s">
        <v>61</v>
      </c>
      <c r="E1966" s="39" t="s">
        <v>61</v>
      </c>
      <c r="F1966" s="121"/>
      <c r="G1966" s="122"/>
      <c r="H1966" s="138"/>
      <c r="I1966" s="80"/>
      <c r="J1966" s="80"/>
      <c r="K1966" s="95"/>
      <c r="L1966" s="80"/>
      <c r="M1966" s="43"/>
      <c r="N1966" s="43"/>
      <c r="O1966" s="80"/>
      <c r="P1966" s="80"/>
      <c r="Q1966" s="80"/>
      <c r="R1966" s="80"/>
      <c r="S1966" s="117"/>
      <c r="T1966" s="81"/>
      <c r="U1966" s="81"/>
      <c r="V1966" s="81"/>
      <c r="W1966" s="81"/>
      <c r="X1966" s="81"/>
      <c r="Y1966" s="81"/>
      <c r="Z1966" s="82"/>
      <c r="AA1966" s="99"/>
      <c r="AB1966" s="48" t="s">
        <v>61</v>
      </c>
      <c r="AC1966" s="68" t="s">
        <v>61</v>
      </c>
      <c r="AD1966" s="69" t="s">
        <v>61</v>
      </c>
      <c r="AE1966" s="69" t="s">
        <v>61</v>
      </c>
      <c r="AF1966" s="68" t="s">
        <v>61</v>
      </c>
      <c r="AG1966" s="68" t="s">
        <v>61</v>
      </c>
      <c r="AH1966" s="68" t="s">
        <v>61</v>
      </c>
      <c r="AI1966" s="70" t="s">
        <v>61</v>
      </c>
      <c r="AJ1966" s="114" t="s">
        <v>61</v>
      </c>
      <c r="AK1966" s="82"/>
    </row>
    <row r="1967" ht="24.0" customHeight="1">
      <c r="A1967" s="35"/>
      <c r="B1967" s="36">
        <v>1.0</v>
      </c>
      <c r="C1967" s="37" t="str">
        <f>IFERROR(__xludf.DUMMYFUNCTION("""COMPUTED_VALUE"""),"")</f>
        <v/>
      </c>
      <c r="D1967" s="89" t="s">
        <v>61</v>
      </c>
      <c r="E1967" s="51" t="s">
        <v>61</v>
      </c>
      <c r="F1967" s="137"/>
      <c r="G1967" s="133"/>
      <c r="H1967" s="141"/>
      <c r="I1967" s="57"/>
      <c r="J1967" s="57"/>
      <c r="K1967" s="72"/>
      <c r="L1967" s="57"/>
      <c r="M1967" s="55"/>
      <c r="N1967" s="55"/>
      <c r="O1967" s="57"/>
      <c r="P1967" s="57"/>
      <c r="Q1967" s="57"/>
      <c r="R1967" s="57"/>
      <c r="S1967" s="132"/>
      <c r="T1967" s="74"/>
      <c r="U1967" s="74"/>
      <c r="V1967" s="74"/>
      <c r="W1967" s="74"/>
      <c r="X1967" s="74"/>
      <c r="Y1967" s="74"/>
      <c r="Z1967" s="76"/>
      <c r="AA1967" s="134"/>
      <c r="AB1967" s="62" t="s">
        <v>61</v>
      </c>
      <c r="AC1967" s="63" t="s">
        <v>61</v>
      </c>
      <c r="AD1967" s="64" t="s">
        <v>61</v>
      </c>
      <c r="AE1967" s="64" t="s">
        <v>61</v>
      </c>
      <c r="AF1967" s="63" t="s">
        <v>61</v>
      </c>
      <c r="AG1967" s="63" t="s">
        <v>61</v>
      </c>
      <c r="AH1967" s="63" t="s">
        <v>61</v>
      </c>
      <c r="AI1967" s="65" t="s">
        <v>61</v>
      </c>
      <c r="AJ1967" s="105" t="s">
        <v>61</v>
      </c>
      <c r="AK1967" s="76"/>
    </row>
    <row r="1968" ht="24.0" customHeight="1">
      <c r="A1968" s="35"/>
      <c r="B1968" s="36">
        <v>1.0</v>
      </c>
      <c r="C1968" s="37" t="str">
        <f>IFERROR(__xludf.DUMMYFUNCTION("""COMPUTED_VALUE"""),"")</f>
        <v/>
      </c>
      <c r="D1968" s="89" t="s">
        <v>61</v>
      </c>
      <c r="E1968" s="39" t="s">
        <v>61</v>
      </c>
      <c r="F1968" s="121"/>
      <c r="G1968" s="122"/>
      <c r="H1968" s="138"/>
      <c r="I1968" s="80"/>
      <c r="J1968" s="80"/>
      <c r="K1968" s="95"/>
      <c r="L1968" s="80"/>
      <c r="M1968" s="43"/>
      <c r="N1968" s="43"/>
      <c r="O1968" s="80"/>
      <c r="P1968" s="80"/>
      <c r="Q1968" s="80"/>
      <c r="R1968" s="80"/>
      <c r="S1968" s="117"/>
      <c r="T1968" s="81"/>
      <c r="U1968" s="81"/>
      <c r="V1968" s="81"/>
      <c r="W1968" s="81"/>
      <c r="X1968" s="81"/>
      <c r="Y1968" s="81"/>
      <c r="Z1968" s="82"/>
      <c r="AA1968" s="99"/>
      <c r="AB1968" s="48" t="s">
        <v>61</v>
      </c>
      <c r="AC1968" s="68" t="s">
        <v>61</v>
      </c>
      <c r="AD1968" s="69" t="s">
        <v>61</v>
      </c>
      <c r="AE1968" s="69" t="s">
        <v>61</v>
      </c>
      <c r="AF1968" s="68" t="s">
        <v>61</v>
      </c>
      <c r="AG1968" s="68" t="s">
        <v>61</v>
      </c>
      <c r="AH1968" s="68" t="s">
        <v>61</v>
      </c>
      <c r="AI1968" s="70" t="s">
        <v>61</v>
      </c>
      <c r="AJ1968" s="114" t="s">
        <v>61</v>
      </c>
      <c r="AK1968" s="82"/>
    </row>
    <row r="1969" ht="24.0" customHeight="1">
      <c r="A1969" s="35"/>
      <c r="B1969" s="36">
        <v>1.0</v>
      </c>
      <c r="C1969" s="37" t="str">
        <f>IFERROR(__xludf.DUMMYFUNCTION("""COMPUTED_VALUE"""),"")</f>
        <v/>
      </c>
      <c r="D1969" s="89" t="s">
        <v>61</v>
      </c>
      <c r="E1969" s="51" t="s">
        <v>61</v>
      </c>
      <c r="F1969" s="137"/>
      <c r="G1969" s="133"/>
      <c r="H1969" s="141"/>
      <c r="I1969" s="57"/>
      <c r="J1969" s="57"/>
      <c r="K1969" s="72"/>
      <c r="L1969" s="57"/>
      <c r="M1969" s="55"/>
      <c r="N1969" s="55"/>
      <c r="O1969" s="57"/>
      <c r="P1969" s="57"/>
      <c r="Q1969" s="57"/>
      <c r="R1969" s="57"/>
      <c r="S1969" s="132"/>
      <c r="T1969" s="74"/>
      <c r="U1969" s="74"/>
      <c r="V1969" s="74"/>
      <c r="W1969" s="74"/>
      <c r="X1969" s="74"/>
      <c r="Y1969" s="74"/>
      <c r="Z1969" s="76"/>
      <c r="AA1969" s="134"/>
      <c r="AB1969" s="62" t="s">
        <v>61</v>
      </c>
      <c r="AC1969" s="63" t="s">
        <v>61</v>
      </c>
      <c r="AD1969" s="64" t="s">
        <v>61</v>
      </c>
      <c r="AE1969" s="64" t="s">
        <v>61</v>
      </c>
      <c r="AF1969" s="63" t="s">
        <v>61</v>
      </c>
      <c r="AG1969" s="63" t="s">
        <v>61</v>
      </c>
      <c r="AH1969" s="63" t="s">
        <v>61</v>
      </c>
      <c r="AI1969" s="65" t="s">
        <v>61</v>
      </c>
      <c r="AJ1969" s="105" t="s">
        <v>61</v>
      </c>
      <c r="AK1969" s="76"/>
    </row>
    <row r="1970" ht="24.0" customHeight="1">
      <c r="A1970" s="35"/>
      <c r="B1970" s="36">
        <v>1.0</v>
      </c>
      <c r="C1970" s="37" t="str">
        <f>IFERROR(__xludf.DUMMYFUNCTION("""COMPUTED_VALUE"""),"")</f>
        <v/>
      </c>
      <c r="D1970" s="89" t="s">
        <v>61</v>
      </c>
      <c r="E1970" s="39" t="s">
        <v>61</v>
      </c>
      <c r="F1970" s="121"/>
      <c r="G1970" s="122"/>
      <c r="H1970" s="138"/>
      <c r="I1970" s="80"/>
      <c r="J1970" s="80"/>
      <c r="K1970" s="95"/>
      <c r="L1970" s="80"/>
      <c r="M1970" s="43"/>
      <c r="N1970" s="43"/>
      <c r="O1970" s="80"/>
      <c r="P1970" s="80"/>
      <c r="Q1970" s="80"/>
      <c r="R1970" s="80"/>
      <c r="S1970" s="117"/>
      <c r="T1970" s="81"/>
      <c r="U1970" s="81"/>
      <c r="V1970" s="81"/>
      <c r="W1970" s="81"/>
      <c r="X1970" s="81"/>
      <c r="Y1970" s="81"/>
      <c r="Z1970" s="82"/>
      <c r="AA1970" s="99"/>
      <c r="AB1970" s="48" t="s">
        <v>61</v>
      </c>
      <c r="AC1970" s="68" t="s">
        <v>61</v>
      </c>
      <c r="AD1970" s="69" t="s">
        <v>61</v>
      </c>
      <c r="AE1970" s="69" t="s">
        <v>61</v>
      </c>
      <c r="AF1970" s="68" t="s">
        <v>61</v>
      </c>
      <c r="AG1970" s="68" t="s">
        <v>61</v>
      </c>
      <c r="AH1970" s="68" t="s">
        <v>61</v>
      </c>
      <c r="AI1970" s="70" t="s">
        <v>61</v>
      </c>
      <c r="AJ1970" s="114" t="s">
        <v>61</v>
      </c>
      <c r="AK1970" s="82"/>
    </row>
    <row r="1971" ht="24.0" customHeight="1">
      <c r="A1971" s="35"/>
      <c r="B1971" s="36">
        <v>1.0</v>
      </c>
      <c r="C1971" s="37" t="str">
        <f>IFERROR(__xludf.DUMMYFUNCTION("""COMPUTED_VALUE"""),"")</f>
        <v/>
      </c>
      <c r="D1971" s="89" t="s">
        <v>61</v>
      </c>
      <c r="E1971" s="51" t="s">
        <v>61</v>
      </c>
      <c r="F1971" s="137"/>
      <c r="G1971" s="133"/>
      <c r="H1971" s="141"/>
      <c r="I1971" s="57"/>
      <c r="J1971" s="57"/>
      <c r="K1971" s="72"/>
      <c r="L1971" s="57"/>
      <c r="M1971" s="55"/>
      <c r="N1971" s="55"/>
      <c r="O1971" s="57"/>
      <c r="P1971" s="57"/>
      <c r="Q1971" s="57"/>
      <c r="R1971" s="57"/>
      <c r="S1971" s="132"/>
      <c r="T1971" s="74"/>
      <c r="U1971" s="74"/>
      <c r="V1971" s="74"/>
      <c r="W1971" s="74"/>
      <c r="X1971" s="74"/>
      <c r="Y1971" s="74"/>
      <c r="Z1971" s="76"/>
      <c r="AA1971" s="134"/>
      <c r="AB1971" s="62" t="s">
        <v>61</v>
      </c>
      <c r="AC1971" s="63" t="s">
        <v>61</v>
      </c>
      <c r="AD1971" s="64" t="s">
        <v>61</v>
      </c>
      <c r="AE1971" s="64" t="s">
        <v>61</v>
      </c>
      <c r="AF1971" s="63" t="s">
        <v>61</v>
      </c>
      <c r="AG1971" s="63" t="s">
        <v>61</v>
      </c>
      <c r="AH1971" s="63" t="s">
        <v>61</v>
      </c>
      <c r="AI1971" s="65" t="s">
        <v>61</v>
      </c>
      <c r="AJ1971" s="105" t="s">
        <v>61</v>
      </c>
      <c r="AK1971" s="76"/>
    </row>
    <row r="1972" ht="24.0" customHeight="1">
      <c r="A1972" s="35"/>
      <c r="B1972" s="36">
        <v>1.0</v>
      </c>
      <c r="C1972" s="37" t="str">
        <f>IFERROR(__xludf.DUMMYFUNCTION("""COMPUTED_VALUE"""),"")</f>
        <v/>
      </c>
      <c r="D1972" s="89" t="s">
        <v>61</v>
      </c>
      <c r="E1972" s="39" t="s">
        <v>61</v>
      </c>
      <c r="F1972" s="121"/>
      <c r="G1972" s="122"/>
      <c r="H1972" s="138"/>
      <c r="I1972" s="80"/>
      <c r="J1972" s="80"/>
      <c r="K1972" s="95"/>
      <c r="L1972" s="80"/>
      <c r="M1972" s="43"/>
      <c r="N1972" s="43"/>
      <c r="O1972" s="80"/>
      <c r="P1972" s="80"/>
      <c r="Q1972" s="80"/>
      <c r="R1972" s="80"/>
      <c r="S1972" s="117"/>
      <c r="T1972" s="81"/>
      <c r="U1972" s="81"/>
      <c r="V1972" s="81"/>
      <c r="W1972" s="81"/>
      <c r="X1972" s="81"/>
      <c r="Y1972" s="81"/>
      <c r="Z1972" s="82"/>
      <c r="AA1972" s="99"/>
      <c r="AB1972" s="48" t="s">
        <v>61</v>
      </c>
      <c r="AC1972" s="68" t="s">
        <v>61</v>
      </c>
      <c r="AD1972" s="69" t="s">
        <v>61</v>
      </c>
      <c r="AE1972" s="69" t="s">
        <v>61</v>
      </c>
      <c r="AF1972" s="68" t="s">
        <v>61</v>
      </c>
      <c r="AG1972" s="68" t="s">
        <v>61</v>
      </c>
      <c r="AH1972" s="68" t="s">
        <v>61</v>
      </c>
      <c r="AI1972" s="70" t="s">
        <v>61</v>
      </c>
      <c r="AJ1972" s="114" t="s">
        <v>61</v>
      </c>
      <c r="AK1972" s="82"/>
    </row>
    <row r="1973" ht="24.0" customHeight="1">
      <c r="A1973" s="35"/>
      <c r="B1973" s="36">
        <v>1.0</v>
      </c>
      <c r="C1973" s="37" t="str">
        <f>IFERROR(__xludf.DUMMYFUNCTION("""COMPUTED_VALUE"""),"")</f>
        <v/>
      </c>
      <c r="D1973" s="89" t="s">
        <v>61</v>
      </c>
      <c r="E1973" s="51" t="s">
        <v>61</v>
      </c>
      <c r="F1973" s="137"/>
      <c r="G1973" s="133"/>
      <c r="H1973" s="141"/>
      <c r="I1973" s="57"/>
      <c r="J1973" s="57"/>
      <c r="K1973" s="72"/>
      <c r="L1973" s="57"/>
      <c r="M1973" s="55"/>
      <c r="N1973" s="55"/>
      <c r="O1973" s="57"/>
      <c r="P1973" s="57"/>
      <c r="Q1973" s="57"/>
      <c r="R1973" s="57"/>
      <c r="S1973" s="132"/>
      <c r="T1973" s="74"/>
      <c r="U1973" s="74"/>
      <c r="V1973" s="74"/>
      <c r="W1973" s="74"/>
      <c r="X1973" s="74"/>
      <c r="Y1973" s="74"/>
      <c r="Z1973" s="76"/>
      <c r="AA1973" s="134"/>
      <c r="AB1973" s="62" t="s">
        <v>61</v>
      </c>
      <c r="AC1973" s="63" t="s">
        <v>61</v>
      </c>
      <c r="AD1973" s="64" t="s">
        <v>61</v>
      </c>
      <c r="AE1973" s="64" t="s">
        <v>61</v>
      </c>
      <c r="AF1973" s="63" t="s">
        <v>61</v>
      </c>
      <c r="AG1973" s="63" t="s">
        <v>61</v>
      </c>
      <c r="AH1973" s="63" t="s">
        <v>61</v>
      </c>
      <c r="AI1973" s="65" t="s">
        <v>61</v>
      </c>
      <c r="AJ1973" s="105" t="s">
        <v>61</v>
      </c>
      <c r="AK1973" s="76"/>
    </row>
    <row r="1974" ht="24.0" customHeight="1">
      <c r="A1974" s="35"/>
      <c r="B1974" s="36">
        <v>1.0</v>
      </c>
      <c r="C1974" s="37" t="str">
        <f>IFERROR(__xludf.DUMMYFUNCTION("""COMPUTED_VALUE"""),"")</f>
        <v/>
      </c>
      <c r="D1974" s="89" t="s">
        <v>61</v>
      </c>
      <c r="E1974" s="39" t="s">
        <v>61</v>
      </c>
      <c r="F1974" s="121"/>
      <c r="G1974" s="122"/>
      <c r="H1974" s="138"/>
      <c r="I1974" s="80"/>
      <c r="J1974" s="80"/>
      <c r="K1974" s="95"/>
      <c r="L1974" s="80"/>
      <c r="M1974" s="43"/>
      <c r="N1974" s="43"/>
      <c r="O1974" s="80"/>
      <c r="P1974" s="80"/>
      <c r="Q1974" s="80"/>
      <c r="R1974" s="80"/>
      <c r="S1974" s="117"/>
      <c r="T1974" s="81"/>
      <c r="U1974" s="81"/>
      <c r="V1974" s="81"/>
      <c r="W1974" s="81"/>
      <c r="X1974" s="81"/>
      <c r="Y1974" s="81"/>
      <c r="Z1974" s="82"/>
      <c r="AA1974" s="99"/>
      <c r="AB1974" s="48" t="s">
        <v>61</v>
      </c>
      <c r="AC1974" s="68" t="s">
        <v>61</v>
      </c>
      <c r="AD1974" s="69" t="s">
        <v>61</v>
      </c>
      <c r="AE1974" s="69" t="s">
        <v>61</v>
      </c>
      <c r="AF1974" s="68" t="s">
        <v>61</v>
      </c>
      <c r="AG1974" s="68" t="s">
        <v>61</v>
      </c>
      <c r="AH1974" s="68" t="s">
        <v>61</v>
      </c>
      <c r="AI1974" s="70" t="s">
        <v>61</v>
      </c>
      <c r="AJ1974" s="114" t="s">
        <v>61</v>
      </c>
      <c r="AK1974" s="82"/>
    </row>
    <row r="1975" ht="24.0" customHeight="1">
      <c r="A1975" s="35"/>
      <c r="B1975" s="36">
        <v>1.0</v>
      </c>
      <c r="C1975" s="37" t="str">
        <f>IFERROR(__xludf.DUMMYFUNCTION("""COMPUTED_VALUE"""),"")</f>
        <v/>
      </c>
      <c r="D1975" s="89" t="s">
        <v>61</v>
      </c>
      <c r="E1975" s="51" t="s">
        <v>61</v>
      </c>
      <c r="F1975" s="137"/>
      <c r="G1975" s="133"/>
      <c r="H1975" s="141"/>
      <c r="I1975" s="57"/>
      <c r="J1975" s="57"/>
      <c r="K1975" s="72"/>
      <c r="L1975" s="57"/>
      <c r="M1975" s="55"/>
      <c r="N1975" s="55"/>
      <c r="O1975" s="57"/>
      <c r="P1975" s="57"/>
      <c r="Q1975" s="57"/>
      <c r="R1975" s="57"/>
      <c r="S1975" s="132"/>
      <c r="T1975" s="74"/>
      <c r="U1975" s="74"/>
      <c r="V1975" s="74"/>
      <c r="W1975" s="74"/>
      <c r="X1975" s="74"/>
      <c r="Y1975" s="74"/>
      <c r="Z1975" s="76"/>
      <c r="AA1975" s="134"/>
      <c r="AB1975" s="62" t="s">
        <v>61</v>
      </c>
      <c r="AC1975" s="63" t="s">
        <v>61</v>
      </c>
      <c r="AD1975" s="64" t="s">
        <v>61</v>
      </c>
      <c r="AE1975" s="64" t="s">
        <v>61</v>
      </c>
      <c r="AF1975" s="63" t="s">
        <v>61</v>
      </c>
      <c r="AG1975" s="63" t="s">
        <v>61</v>
      </c>
      <c r="AH1975" s="63" t="s">
        <v>61</v>
      </c>
      <c r="AI1975" s="65" t="s">
        <v>61</v>
      </c>
      <c r="AJ1975" s="105" t="s">
        <v>61</v>
      </c>
      <c r="AK1975" s="76"/>
    </row>
    <row r="1976" ht="24.0" customHeight="1">
      <c r="A1976" s="35"/>
      <c r="B1976" s="36">
        <v>1.0</v>
      </c>
      <c r="C1976" s="37" t="str">
        <f>IFERROR(__xludf.DUMMYFUNCTION("""COMPUTED_VALUE"""),"")</f>
        <v/>
      </c>
      <c r="D1976" s="89" t="s">
        <v>61</v>
      </c>
      <c r="E1976" s="39" t="s">
        <v>61</v>
      </c>
      <c r="F1976" s="121"/>
      <c r="G1976" s="122"/>
      <c r="H1976" s="138"/>
      <c r="I1976" s="80"/>
      <c r="J1976" s="80"/>
      <c r="K1976" s="95"/>
      <c r="L1976" s="80"/>
      <c r="M1976" s="43"/>
      <c r="N1976" s="43"/>
      <c r="O1976" s="80"/>
      <c r="P1976" s="80"/>
      <c r="Q1976" s="80"/>
      <c r="R1976" s="80"/>
      <c r="S1976" s="117"/>
      <c r="T1976" s="81"/>
      <c r="U1976" s="81"/>
      <c r="V1976" s="81"/>
      <c r="W1976" s="81"/>
      <c r="X1976" s="81"/>
      <c r="Y1976" s="81"/>
      <c r="Z1976" s="82"/>
      <c r="AA1976" s="99"/>
      <c r="AB1976" s="48" t="s">
        <v>61</v>
      </c>
      <c r="AC1976" s="68" t="s">
        <v>61</v>
      </c>
      <c r="AD1976" s="69" t="s">
        <v>61</v>
      </c>
      <c r="AE1976" s="69" t="s">
        <v>61</v>
      </c>
      <c r="AF1976" s="68" t="s">
        <v>61</v>
      </c>
      <c r="AG1976" s="68" t="s">
        <v>61</v>
      </c>
      <c r="AH1976" s="68" t="s">
        <v>61</v>
      </c>
      <c r="AI1976" s="70" t="s">
        <v>61</v>
      </c>
      <c r="AJ1976" s="114" t="s">
        <v>61</v>
      </c>
      <c r="AK1976" s="82"/>
    </row>
    <row r="1977" ht="24.0" customHeight="1">
      <c r="A1977" s="35"/>
      <c r="B1977" s="36">
        <v>1.0</v>
      </c>
      <c r="C1977" s="37" t="str">
        <f>IFERROR(__xludf.DUMMYFUNCTION("""COMPUTED_VALUE"""),"")</f>
        <v/>
      </c>
      <c r="D1977" s="89" t="s">
        <v>61</v>
      </c>
      <c r="E1977" s="51" t="s">
        <v>61</v>
      </c>
      <c r="F1977" s="137"/>
      <c r="G1977" s="133"/>
      <c r="H1977" s="141"/>
      <c r="I1977" s="57"/>
      <c r="J1977" s="57"/>
      <c r="K1977" s="72"/>
      <c r="L1977" s="57"/>
      <c r="M1977" s="55"/>
      <c r="N1977" s="55"/>
      <c r="O1977" s="57"/>
      <c r="P1977" s="57"/>
      <c r="Q1977" s="57"/>
      <c r="R1977" s="57"/>
      <c r="S1977" s="132"/>
      <c r="T1977" s="74"/>
      <c r="U1977" s="74"/>
      <c r="V1977" s="74"/>
      <c r="W1977" s="74"/>
      <c r="X1977" s="74"/>
      <c r="Y1977" s="74"/>
      <c r="Z1977" s="76"/>
      <c r="AA1977" s="134"/>
      <c r="AB1977" s="62" t="s">
        <v>61</v>
      </c>
      <c r="AC1977" s="63" t="s">
        <v>61</v>
      </c>
      <c r="AD1977" s="64" t="s">
        <v>61</v>
      </c>
      <c r="AE1977" s="64" t="s">
        <v>61</v>
      </c>
      <c r="AF1977" s="63" t="s">
        <v>61</v>
      </c>
      <c r="AG1977" s="63" t="s">
        <v>61</v>
      </c>
      <c r="AH1977" s="63" t="s">
        <v>61</v>
      </c>
      <c r="AI1977" s="65" t="s">
        <v>61</v>
      </c>
      <c r="AJ1977" s="105" t="s">
        <v>61</v>
      </c>
      <c r="AK1977" s="76"/>
    </row>
    <row r="1978" ht="24.0" customHeight="1">
      <c r="A1978" s="35"/>
      <c r="B1978" s="36">
        <v>1.0</v>
      </c>
      <c r="C1978" s="37" t="str">
        <f>IFERROR(__xludf.DUMMYFUNCTION("""COMPUTED_VALUE"""),"")</f>
        <v/>
      </c>
      <c r="D1978" s="89" t="s">
        <v>61</v>
      </c>
      <c r="E1978" s="39" t="s">
        <v>61</v>
      </c>
      <c r="F1978" s="121"/>
      <c r="G1978" s="122"/>
      <c r="H1978" s="138"/>
      <c r="I1978" s="80"/>
      <c r="J1978" s="80"/>
      <c r="K1978" s="95"/>
      <c r="L1978" s="80"/>
      <c r="M1978" s="43"/>
      <c r="N1978" s="43"/>
      <c r="O1978" s="80"/>
      <c r="P1978" s="80"/>
      <c r="Q1978" s="80"/>
      <c r="R1978" s="80"/>
      <c r="S1978" s="117"/>
      <c r="T1978" s="81"/>
      <c r="U1978" s="81"/>
      <c r="V1978" s="81"/>
      <c r="W1978" s="81"/>
      <c r="X1978" s="81"/>
      <c r="Y1978" s="81"/>
      <c r="Z1978" s="82"/>
      <c r="AA1978" s="99"/>
      <c r="AB1978" s="48" t="s">
        <v>61</v>
      </c>
      <c r="AC1978" s="68" t="s">
        <v>61</v>
      </c>
      <c r="AD1978" s="69" t="s">
        <v>61</v>
      </c>
      <c r="AE1978" s="69" t="s">
        <v>61</v>
      </c>
      <c r="AF1978" s="68" t="s">
        <v>61</v>
      </c>
      <c r="AG1978" s="68" t="s">
        <v>61</v>
      </c>
      <c r="AH1978" s="68" t="s">
        <v>61</v>
      </c>
      <c r="AI1978" s="70" t="s">
        <v>61</v>
      </c>
      <c r="AJ1978" s="114" t="s">
        <v>61</v>
      </c>
      <c r="AK1978" s="82"/>
    </row>
    <row r="1979" ht="24.0" customHeight="1">
      <c r="A1979" s="35"/>
      <c r="B1979" s="36">
        <v>1.0</v>
      </c>
      <c r="C1979" s="37" t="str">
        <f>IFERROR(__xludf.DUMMYFUNCTION("""COMPUTED_VALUE"""),"")</f>
        <v/>
      </c>
      <c r="D1979" s="89" t="s">
        <v>61</v>
      </c>
      <c r="E1979" s="51" t="s">
        <v>61</v>
      </c>
      <c r="F1979" s="137"/>
      <c r="G1979" s="133"/>
      <c r="H1979" s="141"/>
      <c r="I1979" s="57"/>
      <c r="J1979" s="57"/>
      <c r="K1979" s="72"/>
      <c r="L1979" s="57"/>
      <c r="M1979" s="55"/>
      <c r="N1979" s="55"/>
      <c r="O1979" s="57"/>
      <c r="P1979" s="57"/>
      <c r="Q1979" s="57"/>
      <c r="R1979" s="57"/>
      <c r="S1979" s="132"/>
      <c r="T1979" s="74"/>
      <c r="U1979" s="74"/>
      <c r="V1979" s="74"/>
      <c r="W1979" s="74"/>
      <c r="X1979" s="74"/>
      <c r="Y1979" s="74"/>
      <c r="Z1979" s="76"/>
      <c r="AA1979" s="134"/>
      <c r="AB1979" s="62" t="s">
        <v>61</v>
      </c>
      <c r="AC1979" s="63" t="s">
        <v>61</v>
      </c>
      <c r="AD1979" s="64" t="s">
        <v>61</v>
      </c>
      <c r="AE1979" s="64" t="s">
        <v>61</v>
      </c>
      <c r="AF1979" s="63" t="s">
        <v>61</v>
      </c>
      <c r="AG1979" s="63" t="s">
        <v>61</v>
      </c>
      <c r="AH1979" s="63" t="s">
        <v>61</v>
      </c>
      <c r="AI1979" s="65" t="s">
        <v>61</v>
      </c>
      <c r="AJ1979" s="105" t="s">
        <v>61</v>
      </c>
      <c r="AK1979" s="76"/>
    </row>
    <row r="1980" ht="24.0" customHeight="1">
      <c r="A1980" s="35"/>
      <c r="B1980" s="36">
        <v>1.0</v>
      </c>
      <c r="C1980" s="37" t="str">
        <f>IFERROR(__xludf.DUMMYFUNCTION("""COMPUTED_VALUE"""),"")</f>
        <v/>
      </c>
      <c r="D1980" s="89" t="s">
        <v>61</v>
      </c>
      <c r="E1980" s="39" t="s">
        <v>61</v>
      </c>
      <c r="F1980" s="121"/>
      <c r="G1980" s="122"/>
      <c r="H1980" s="138"/>
      <c r="I1980" s="80"/>
      <c r="J1980" s="80"/>
      <c r="K1980" s="95"/>
      <c r="L1980" s="80"/>
      <c r="M1980" s="43"/>
      <c r="N1980" s="43"/>
      <c r="O1980" s="80"/>
      <c r="P1980" s="80"/>
      <c r="Q1980" s="80"/>
      <c r="R1980" s="80"/>
      <c r="S1980" s="117"/>
      <c r="T1980" s="81"/>
      <c r="U1980" s="81"/>
      <c r="V1980" s="81"/>
      <c r="W1980" s="81"/>
      <c r="X1980" s="81"/>
      <c r="Y1980" s="81"/>
      <c r="Z1980" s="82"/>
      <c r="AA1980" s="99"/>
      <c r="AB1980" s="48" t="s">
        <v>61</v>
      </c>
      <c r="AC1980" s="68" t="s">
        <v>61</v>
      </c>
      <c r="AD1980" s="69" t="s">
        <v>61</v>
      </c>
      <c r="AE1980" s="69" t="s">
        <v>61</v>
      </c>
      <c r="AF1980" s="68" t="s">
        <v>61</v>
      </c>
      <c r="AG1980" s="68" t="s">
        <v>61</v>
      </c>
      <c r="AH1980" s="68" t="s">
        <v>61</v>
      </c>
      <c r="AI1980" s="70" t="s">
        <v>61</v>
      </c>
      <c r="AJ1980" s="114" t="s">
        <v>61</v>
      </c>
      <c r="AK1980" s="82"/>
    </row>
    <row r="1981" ht="24.0" customHeight="1">
      <c r="A1981" s="35"/>
      <c r="B1981" s="36">
        <v>1.0</v>
      </c>
      <c r="C1981" s="37" t="str">
        <f>IFERROR(__xludf.DUMMYFUNCTION("""COMPUTED_VALUE"""),"")</f>
        <v/>
      </c>
      <c r="D1981" s="89" t="s">
        <v>61</v>
      </c>
      <c r="E1981" s="51" t="s">
        <v>61</v>
      </c>
      <c r="F1981" s="137"/>
      <c r="G1981" s="133"/>
      <c r="H1981" s="141"/>
      <c r="I1981" s="57"/>
      <c r="J1981" s="57"/>
      <c r="K1981" s="72"/>
      <c r="L1981" s="57"/>
      <c r="M1981" s="55"/>
      <c r="N1981" s="55"/>
      <c r="O1981" s="57"/>
      <c r="P1981" s="57"/>
      <c r="Q1981" s="57"/>
      <c r="R1981" s="57"/>
      <c r="S1981" s="132"/>
      <c r="T1981" s="74"/>
      <c r="U1981" s="74"/>
      <c r="V1981" s="74"/>
      <c r="W1981" s="74"/>
      <c r="X1981" s="74"/>
      <c r="Y1981" s="74"/>
      <c r="Z1981" s="76"/>
      <c r="AA1981" s="134"/>
      <c r="AB1981" s="62" t="s">
        <v>61</v>
      </c>
      <c r="AC1981" s="63" t="s">
        <v>61</v>
      </c>
      <c r="AD1981" s="64" t="s">
        <v>61</v>
      </c>
      <c r="AE1981" s="64" t="s">
        <v>61</v>
      </c>
      <c r="AF1981" s="63" t="s">
        <v>61</v>
      </c>
      <c r="AG1981" s="63" t="s">
        <v>61</v>
      </c>
      <c r="AH1981" s="63" t="s">
        <v>61</v>
      </c>
      <c r="AI1981" s="65" t="s">
        <v>61</v>
      </c>
      <c r="AJ1981" s="105" t="s">
        <v>61</v>
      </c>
      <c r="AK1981" s="76"/>
    </row>
    <row r="1982" ht="24.0" customHeight="1">
      <c r="A1982" s="35"/>
      <c r="B1982" s="36">
        <v>1.0</v>
      </c>
      <c r="C1982" s="37" t="str">
        <f>IFERROR(__xludf.DUMMYFUNCTION("""COMPUTED_VALUE"""),"")</f>
        <v/>
      </c>
      <c r="D1982" s="89" t="s">
        <v>61</v>
      </c>
      <c r="E1982" s="39" t="s">
        <v>61</v>
      </c>
      <c r="F1982" s="121"/>
      <c r="G1982" s="122"/>
      <c r="H1982" s="138"/>
      <c r="I1982" s="80"/>
      <c r="J1982" s="80"/>
      <c r="K1982" s="95"/>
      <c r="L1982" s="80"/>
      <c r="M1982" s="43"/>
      <c r="N1982" s="43"/>
      <c r="O1982" s="80"/>
      <c r="P1982" s="80"/>
      <c r="Q1982" s="80"/>
      <c r="R1982" s="80"/>
      <c r="S1982" s="117"/>
      <c r="T1982" s="81"/>
      <c r="U1982" s="81"/>
      <c r="V1982" s="81"/>
      <c r="W1982" s="81"/>
      <c r="X1982" s="81"/>
      <c r="Y1982" s="81"/>
      <c r="Z1982" s="82"/>
      <c r="AA1982" s="99"/>
      <c r="AB1982" s="48" t="s">
        <v>61</v>
      </c>
      <c r="AC1982" s="68" t="s">
        <v>61</v>
      </c>
      <c r="AD1982" s="69" t="s">
        <v>61</v>
      </c>
      <c r="AE1982" s="69" t="s">
        <v>61</v>
      </c>
      <c r="AF1982" s="68" t="s">
        <v>61</v>
      </c>
      <c r="AG1982" s="68" t="s">
        <v>61</v>
      </c>
      <c r="AH1982" s="68" t="s">
        <v>61</v>
      </c>
      <c r="AI1982" s="70" t="s">
        <v>61</v>
      </c>
      <c r="AJ1982" s="114" t="s">
        <v>61</v>
      </c>
      <c r="AK1982" s="82"/>
    </row>
    <row r="1983" ht="24.0" customHeight="1">
      <c r="A1983" s="35"/>
      <c r="B1983" s="36">
        <v>1.0</v>
      </c>
      <c r="C1983" s="37" t="str">
        <f>IFERROR(__xludf.DUMMYFUNCTION("""COMPUTED_VALUE"""),"")</f>
        <v/>
      </c>
      <c r="D1983" s="89" t="s">
        <v>61</v>
      </c>
      <c r="E1983" s="51" t="s">
        <v>61</v>
      </c>
      <c r="F1983" s="137"/>
      <c r="G1983" s="133"/>
      <c r="H1983" s="141"/>
      <c r="I1983" s="57"/>
      <c r="J1983" s="57"/>
      <c r="K1983" s="72"/>
      <c r="L1983" s="57"/>
      <c r="M1983" s="55"/>
      <c r="N1983" s="55"/>
      <c r="O1983" s="57"/>
      <c r="P1983" s="57"/>
      <c r="Q1983" s="57"/>
      <c r="R1983" s="57"/>
      <c r="S1983" s="132"/>
      <c r="T1983" s="74"/>
      <c r="U1983" s="74"/>
      <c r="V1983" s="74"/>
      <c r="W1983" s="74"/>
      <c r="X1983" s="74"/>
      <c r="Y1983" s="74"/>
      <c r="Z1983" s="76"/>
      <c r="AA1983" s="134"/>
      <c r="AB1983" s="62" t="s">
        <v>61</v>
      </c>
      <c r="AC1983" s="63" t="s">
        <v>61</v>
      </c>
      <c r="AD1983" s="64" t="s">
        <v>61</v>
      </c>
      <c r="AE1983" s="64" t="s">
        <v>61</v>
      </c>
      <c r="AF1983" s="63" t="s">
        <v>61</v>
      </c>
      <c r="AG1983" s="63" t="s">
        <v>61</v>
      </c>
      <c r="AH1983" s="63" t="s">
        <v>61</v>
      </c>
      <c r="AI1983" s="65" t="s">
        <v>61</v>
      </c>
      <c r="AJ1983" s="105" t="s">
        <v>61</v>
      </c>
      <c r="AK1983" s="76"/>
    </row>
    <row r="1984" ht="24.0" customHeight="1">
      <c r="A1984" s="35"/>
      <c r="B1984" s="36">
        <v>1.0</v>
      </c>
      <c r="C1984" s="37" t="str">
        <f>IFERROR(__xludf.DUMMYFUNCTION("""COMPUTED_VALUE"""),"")</f>
        <v/>
      </c>
      <c r="D1984" s="89" t="s">
        <v>61</v>
      </c>
      <c r="E1984" s="39" t="s">
        <v>61</v>
      </c>
      <c r="F1984" s="121"/>
      <c r="G1984" s="122"/>
      <c r="H1984" s="138"/>
      <c r="I1984" s="80"/>
      <c r="J1984" s="80"/>
      <c r="K1984" s="95"/>
      <c r="L1984" s="80"/>
      <c r="M1984" s="43"/>
      <c r="N1984" s="43"/>
      <c r="O1984" s="80"/>
      <c r="P1984" s="80"/>
      <c r="Q1984" s="80"/>
      <c r="R1984" s="80"/>
      <c r="S1984" s="117"/>
      <c r="T1984" s="81"/>
      <c r="U1984" s="81"/>
      <c r="V1984" s="81"/>
      <c r="W1984" s="81"/>
      <c r="X1984" s="81"/>
      <c r="Y1984" s="81"/>
      <c r="Z1984" s="82"/>
      <c r="AA1984" s="99"/>
      <c r="AB1984" s="48" t="s">
        <v>61</v>
      </c>
      <c r="AC1984" s="68" t="s">
        <v>61</v>
      </c>
      <c r="AD1984" s="69" t="s">
        <v>61</v>
      </c>
      <c r="AE1984" s="69" t="s">
        <v>61</v>
      </c>
      <c r="AF1984" s="68" t="s">
        <v>61</v>
      </c>
      <c r="AG1984" s="68" t="s">
        <v>61</v>
      </c>
      <c r="AH1984" s="68" t="s">
        <v>61</v>
      </c>
      <c r="AI1984" s="70" t="s">
        <v>61</v>
      </c>
      <c r="AJ1984" s="114" t="s">
        <v>61</v>
      </c>
      <c r="AK1984" s="82"/>
    </row>
    <row r="1985" ht="24.0" customHeight="1">
      <c r="A1985" s="35"/>
      <c r="B1985" s="36">
        <v>1.0</v>
      </c>
      <c r="C1985" s="37" t="str">
        <f>IFERROR(__xludf.DUMMYFUNCTION("""COMPUTED_VALUE"""),"")</f>
        <v/>
      </c>
      <c r="D1985" s="89" t="s">
        <v>61</v>
      </c>
      <c r="E1985" s="51" t="s">
        <v>61</v>
      </c>
      <c r="F1985" s="137"/>
      <c r="G1985" s="133"/>
      <c r="H1985" s="141"/>
      <c r="I1985" s="57"/>
      <c r="J1985" s="57"/>
      <c r="K1985" s="72"/>
      <c r="L1985" s="57"/>
      <c r="M1985" s="55"/>
      <c r="N1985" s="55"/>
      <c r="O1985" s="57"/>
      <c r="P1985" s="57"/>
      <c r="Q1985" s="57"/>
      <c r="R1985" s="57"/>
      <c r="S1985" s="132"/>
      <c r="T1985" s="74"/>
      <c r="U1985" s="74"/>
      <c r="V1985" s="74"/>
      <c r="W1985" s="74"/>
      <c r="X1985" s="74"/>
      <c r="Y1985" s="74"/>
      <c r="Z1985" s="76"/>
      <c r="AA1985" s="134"/>
      <c r="AB1985" s="62" t="s">
        <v>61</v>
      </c>
      <c r="AC1985" s="63" t="s">
        <v>61</v>
      </c>
      <c r="AD1985" s="64" t="s">
        <v>61</v>
      </c>
      <c r="AE1985" s="64" t="s">
        <v>61</v>
      </c>
      <c r="AF1985" s="63" t="s">
        <v>61</v>
      </c>
      <c r="AG1985" s="63" t="s">
        <v>61</v>
      </c>
      <c r="AH1985" s="63" t="s">
        <v>61</v>
      </c>
      <c r="AI1985" s="65" t="s">
        <v>61</v>
      </c>
      <c r="AJ1985" s="105" t="s">
        <v>61</v>
      </c>
      <c r="AK1985" s="76"/>
    </row>
    <row r="1986" ht="24.0" customHeight="1">
      <c r="A1986" s="35"/>
      <c r="B1986" s="36">
        <v>1.0</v>
      </c>
      <c r="C1986" s="37" t="str">
        <f>IFERROR(__xludf.DUMMYFUNCTION("""COMPUTED_VALUE"""),"")</f>
        <v/>
      </c>
      <c r="D1986" s="89" t="s">
        <v>61</v>
      </c>
      <c r="E1986" s="39" t="s">
        <v>61</v>
      </c>
      <c r="F1986" s="121"/>
      <c r="G1986" s="122"/>
      <c r="H1986" s="138"/>
      <c r="I1986" s="80"/>
      <c r="J1986" s="80"/>
      <c r="K1986" s="95"/>
      <c r="L1986" s="80"/>
      <c r="M1986" s="43"/>
      <c r="N1986" s="43"/>
      <c r="O1986" s="80"/>
      <c r="P1986" s="80"/>
      <c r="Q1986" s="80"/>
      <c r="R1986" s="80"/>
      <c r="S1986" s="117"/>
      <c r="T1986" s="81"/>
      <c r="U1986" s="81"/>
      <c r="V1986" s="81"/>
      <c r="W1986" s="81"/>
      <c r="X1986" s="81"/>
      <c r="Y1986" s="81"/>
      <c r="Z1986" s="82"/>
      <c r="AA1986" s="99"/>
      <c r="AB1986" s="48" t="s">
        <v>61</v>
      </c>
      <c r="AC1986" s="68" t="s">
        <v>61</v>
      </c>
      <c r="AD1986" s="69" t="s">
        <v>61</v>
      </c>
      <c r="AE1986" s="69" t="s">
        <v>61</v>
      </c>
      <c r="AF1986" s="68" t="s">
        <v>61</v>
      </c>
      <c r="AG1986" s="68" t="s">
        <v>61</v>
      </c>
      <c r="AH1986" s="68" t="s">
        <v>61</v>
      </c>
      <c r="AI1986" s="70" t="s">
        <v>61</v>
      </c>
      <c r="AJ1986" s="114" t="s">
        <v>61</v>
      </c>
      <c r="AK1986" s="82"/>
    </row>
    <row r="1987" ht="24.0" customHeight="1">
      <c r="A1987" s="35"/>
      <c r="B1987" s="36">
        <v>1.0</v>
      </c>
      <c r="C1987" s="37" t="str">
        <f>IFERROR(__xludf.DUMMYFUNCTION("""COMPUTED_VALUE"""),"")</f>
        <v/>
      </c>
      <c r="D1987" s="89" t="s">
        <v>61</v>
      </c>
      <c r="E1987" s="51" t="s">
        <v>61</v>
      </c>
      <c r="F1987" s="137"/>
      <c r="G1987" s="133"/>
      <c r="H1987" s="141"/>
      <c r="I1987" s="57"/>
      <c r="J1987" s="57"/>
      <c r="K1987" s="72"/>
      <c r="L1987" s="57"/>
      <c r="M1987" s="55"/>
      <c r="N1987" s="55"/>
      <c r="O1987" s="57"/>
      <c r="P1987" s="57"/>
      <c r="Q1987" s="57"/>
      <c r="R1987" s="57"/>
      <c r="S1987" s="132"/>
      <c r="T1987" s="74"/>
      <c r="U1987" s="74"/>
      <c r="V1987" s="74"/>
      <c r="W1987" s="74"/>
      <c r="X1987" s="74"/>
      <c r="Y1987" s="74"/>
      <c r="Z1987" s="76"/>
      <c r="AA1987" s="134"/>
      <c r="AB1987" s="62" t="s">
        <v>61</v>
      </c>
      <c r="AC1987" s="63" t="s">
        <v>61</v>
      </c>
      <c r="AD1987" s="64" t="s">
        <v>61</v>
      </c>
      <c r="AE1987" s="64" t="s">
        <v>61</v>
      </c>
      <c r="AF1987" s="63" t="s">
        <v>61</v>
      </c>
      <c r="AG1987" s="63" t="s">
        <v>61</v>
      </c>
      <c r="AH1987" s="63" t="s">
        <v>61</v>
      </c>
      <c r="AI1987" s="65" t="s">
        <v>61</v>
      </c>
      <c r="AJ1987" s="105" t="s">
        <v>61</v>
      </c>
      <c r="AK1987" s="76"/>
    </row>
    <row r="1988" ht="24.0" customHeight="1">
      <c r="A1988" s="35"/>
      <c r="B1988" s="36">
        <v>1.0</v>
      </c>
      <c r="C1988" s="37" t="str">
        <f>IFERROR(__xludf.DUMMYFUNCTION("""COMPUTED_VALUE"""),"")</f>
        <v/>
      </c>
      <c r="D1988" s="89" t="s">
        <v>61</v>
      </c>
      <c r="E1988" s="39" t="s">
        <v>61</v>
      </c>
      <c r="F1988" s="121"/>
      <c r="G1988" s="122"/>
      <c r="H1988" s="138"/>
      <c r="I1988" s="80"/>
      <c r="J1988" s="80"/>
      <c r="K1988" s="95"/>
      <c r="L1988" s="80"/>
      <c r="M1988" s="43"/>
      <c r="N1988" s="43"/>
      <c r="O1988" s="80"/>
      <c r="P1988" s="80"/>
      <c r="Q1988" s="80"/>
      <c r="R1988" s="80"/>
      <c r="S1988" s="117"/>
      <c r="T1988" s="81"/>
      <c r="U1988" s="81"/>
      <c r="V1988" s="81"/>
      <c r="W1988" s="81"/>
      <c r="X1988" s="81"/>
      <c r="Y1988" s="81"/>
      <c r="Z1988" s="82"/>
      <c r="AA1988" s="99"/>
      <c r="AB1988" s="48" t="s">
        <v>61</v>
      </c>
      <c r="AC1988" s="68" t="s">
        <v>61</v>
      </c>
      <c r="AD1988" s="69" t="s">
        <v>61</v>
      </c>
      <c r="AE1988" s="69" t="s">
        <v>61</v>
      </c>
      <c r="AF1988" s="68" t="s">
        <v>61</v>
      </c>
      <c r="AG1988" s="68" t="s">
        <v>61</v>
      </c>
      <c r="AH1988" s="68" t="s">
        <v>61</v>
      </c>
      <c r="AI1988" s="70" t="s">
        <v>61</v>
      </c>
      <c r="AJ1988" s="114" t="s">
        <v>61</v>
      </c>
      <c r="AK1988" s="82"/>
    </row>
    <row r="1989" ht="24.0" customHeight="1">
      <c r="A1989" s="35"/>
      <c r="B1989" s="36">
        <v>1.0</v>
      </c>
      <c r="C1989" s="37" t="str">
        <f>IFERROR(__xludf.DUMMYFUNCTION("""COMPUTED_VALUE"""),"")</f>
        <v/>
      </c>
      <c r="D1989" s="89" t="s">
        <v>61</v>
      </c>
      <c r="E1989" s="51" t="s">
        <v>61</v>
      </c>
      <c r="F1989" s="137"/>
      <c r="G1989" s="133"/>
      <c r="H1989" s="141"/>
      <c r="I1989" s="57"/>
      <c r="J1989" s="57"/>
      <c r="K1989" s="72"/>
      <c r="L1989" s="57"/>
      <c r="M1989" s="55"/>
      <c r="N1989" s="55"/>
      <c r="O1989" s="57"/>
      <c r="P1989" s="57"/>
      <c r="Q1989" s="57"/>
      <c r="R1989" s="57"/>
      <c r="S1989" s="132"/>
      <c r="T1989" s="74"/>
      <c r="U1989" s="74"/>
      <c r="V1989" s="74"/>
      <c r="W1989" s="74"/>
      <c r="X1989" s="74"/>
      <c r="Y1989" s="74"/>
      <c r="Z1989" s="76"/>
      <c r="AA1989" s="134"/>
      <c r="AB1989" s="62" t="s">
        <v>61</v>
      </c>
      <c r="AC1989" s="63" t="s">
        <v>61</v>
      </c>
      <c r="AD1989" s="64" t="s">
        <v>61</v>
      </c>
      <c r="AE1989" s="64" t="s">
        <v>61</v>
      </c>
      <c r="AF1989" s="63" t="s">
        <v>61</v>
      </c>
      <c r="AG1989" s="63" t="s">
        <v>61</v>
      </c>
      <c r="AH1989" s="63" t="s">
        <v>61</v>
      </c>
      <c r="AI1989" s="65" t="s">
        <v>61</v>
      </c>
      <c r="AJ1989" s="105" t="s">
        <v>61</v>
      </c>
      <c r="AK1989" s="76"/>
    </row>
    <row r="1990" ht="24.0" customHeight="1">
      <c r="A1990" s="35"/>
      <c r="B1990" s="36">
        <v>1.0</v>
      </c>
      <c r="C1990" s="37" t="str">
        <f>IFERROR(__xludf.DUMMYFUNCTION("""COMPUTED_VALUE"""),"")</f>
        <v/>
      </c>
      <c r="D1990" s="89" t="s">
        <v>61</v>
      </c>
      <c r="E1990" s="39" t="s">
        <v>61</v>
      </c>
      <c r="F1990" s="121"/>
      <c r="G1990" s="122"/>
      <c r="H1990" s="138"/>
      <c r="I1990" s="80"/>
      <c r="J1990" s="80"/>
      <c r="K1990" s="95"/>
      <c r="L1990" s="80"/>
      <c r="M1990" s="43"/>
      <c r="N1990" s="43"/>
      <c r="O1990" s="80"/>
      <c r="P1990" s="80"/>
      <c r="Q1990" s="80"/>
      <c r="R1990" s="80"/>
      <c r="S1990" s="117"/>
      <c r="T1990" s="81"/>
      <c r="U1990" s="81"/>
      <c r="V1990" s="81"/>
      <c r="W1990" s="81"/>
      <c r="X1990" s="81"/>
      <c r="Y1990" s="81"/>
      <c r="Z1990" s="82"/>
      <c r="AA1990" s="99"/>
      <c r="AB1990" s="48" t="s">
        <v>61</v>
      </c>
      <c r="AC1990" s="68" t="s">
        <v>61</v>
      </c>
      <c r="AD1990" s="69" t="s">
        <v>61</v>
      </c>
      <c r="AE1990" s="69" t="s">
        <v>61</v>
      </c>
      <c r="AF1990" s="68" t="s">
        <v>61</v>
      </c>
      <c r="AG1990" s="68" t="s">
        <v>61</v>
      </c>
      <c r="AH1990" s="68" t="s">
        <v>61</v>
      </c>
      <c r="AI1990" s="70" t="s">
        <v>61</v>
      </c>
      <c r="AJ1990" s="114" t="s">
        <v>61</v>
      </c>
      <c r="AK1990" s="82"/>
    </row>
    <row r="1991" ht="24.0" customHeight="1">
      <c r="A1991" s="35"/>
      <c r="B1991" s="36">
        <v>1.0</v>
      </c>
      <c r="C1991" s="37" t="str">
        <f>IFERROR(__xludf.DUMMYFUNCTION("""COMPUTED_VALUE"""),"")</f>
        <v/>
      </c>
      <c r="D1991" s="89" t="s">
        <v>61</v>
      </c>
      <c r="E1991" s="51" t="s">
        <v>61</v>
      </c>
      <c r="F1991" s="137"/>
      <c r="G1991" s="133"/>
      <c r="H1991" s="141"/>
      <c r="I1991" s="57"/>
      <c r="J1991" s="57"/>
      <c r="K1991" s="72"/>
      <c r="L1991" s="57"/>
      <c r="M1991" s="55"/>
      <c r="N1991" s="55"/>
      <c r="O1991" s="57"/>
      <c r="P1991" s="57"/>
      <c r="Q1991" s="57"/>
      <c r="R1991" s="57"/>
      <c r="S1991" s="132"/>
      <c r="T1991" s="74"/>
      <c r="U1991" s="74"/>
      <c r="V1991" s="74"/>
      <c r="W1991" s="74"/>
      <c r="X1991" s="74"/>
      <c r="Y1991" s="74"/>
      <c r="Z1991" s="76"/>
      <c r="AA1991" s="134"/>
      <c r="AB1991" s="62" t="s">
        <v>61</v>
      </c>
      <c r="AC1991" s="63" t="s">
        <v>61</v>
      </c>
      <c r="AD1991" s="64" t="s">
        <v>61</v>
      </c>
      <c r="AE1991" s="64" t="s">
        <v>61</v>
      </c>
      <c r="AF1991" s="63" t="s">
        <v>61</v>
      </c>
      <c r="AG1991" s="63" t="s">
        <v>61</v>
      </c>
      <c r="AH1991" s="63" t="s">
        <v>61</v>
      </c>
      <c r="AI1991" s="65" t="s">
        <v>61</v>
      </c>
      <c r="AJ1991" s="105" t="s">
        <v>61</v>
      </c>
      <c r="AK1991" s="76"/>
    </row>
    <row r="1992" ht="24.0" customHeight="1">
      <c r="A1992" s="35"/>
      <c r="B1992" s="36">
        <v>1.0</v>
      </c>
      <c r="C1992" s="37" t="str">
        <f>IFERROR(__xludf.DUMMYFUNCTION("""COMPUTED_VALUE"""),"")</f>
        <v/>
      </c>
      <c r="D1992" s="89" t="s">
        <v>61</v>
      </c>
      <c r="E1992" s="39" t="s">
        <v>61</v>
      </c>
      <c r="F1992" s="121"/>
      <c r="G1992" s="122"/>
      <c r="H1992" s="138"/>
      <c r="I1992" s="80"/>
      <c r="J1992" s="80"/>
      <c r="K1992" s="95"/>
      <c r="L1992" s="80"/>
      <c r="M1992" s="43"/>
      <c r="N1992" s="43"/>
      <c r="O1992" s="80"/>
      <c r="P1992" s="80"/>
      <c r="Q1992" s="80"/>
      <c r="R1992" s="80"/>
      <c r="S1992" s="117"/>
      <c r="T1992" s="81"/>
      <c r="U1992" s="81"/>
      <c r="V1992" s="81"/>
      <c r="W1992" s="81"/>
      <c r="X1992" s="81"/>
      <c r="Y1992" s="81"/>
      <c r="Z1992" s="82"/>
      <c r="AA1992" s="99"/>
      <c r="AB1992" s="48" t="s">
        <v>61</v>
      </c>
      <c r="AC1992" s="68" t="s">
        <v>61</v>
      </c>
      <c r="AD1992" s="69" t="s">
        <v>61</v>
      </c>
      <c r="AE1992" s="69" t="s">
        <v>61</v>
      </c>
      <c r="AF1992" s="68" t="s">
        <v>61</v>
      </c>
      <c r="AG1992" s="68" t="s">
        <v>61</v>
      </c>
      <c r="AH1992" s="68" t="s">
        <v>61</v>
      </c>
      <c r="AI1992" s="70" t="s">
        <v>61</v>
      </c>
      <c r="AJ1992" s="114" t="s">
        <v>61</v>
      </c>
      <c r="AK1992" s="82"/>
    </row>
    <row r="1993" ht="24.0" customHeight="1">
      <c r="A1993" s="35"/>
      <c r="B1993" s="36">
        <v>1.0</v>
      </c>
      <c r="C1993" s="37" t="str">
        <f>IFERROR(__xludf.DUMMYFUNCTION("""COMPUTED_VALUE"""),"")</f>
        <v/>
      </c>
      <c r="D1993" s="89" t="s">
        <v>61</v>
      </c>
      <c r="E1993" s="51" t="s">
        <v>61</v>
      </c>
      <c r="F1993" s="137"/>
      <c r="G1993" s="133"/>
      <c r="H1993" s="141"/>
      <c r="I1993" s="57"/>
      <c r="J1993" s="57"/>
      <c r="K1993" s="72"/>
      <c r="L1993" s="57"/>
      <c r="M1993" s="55"/>
      <c r="N1993" s="55"/>
      <c r="O1993" s="57"/>
      <c r="P1993" s="57"/>
      <c r="Q1993" s="57"/>
      <c r="R1993" s="57"/>
      <c r="S1993" s="132"/>
      <c r="T1993" s="74"/>
      <c r="U1993" s="74"/>
      <c r="V1993" s="74"/>
      <c r="W1993" s="74"/>
      <c r="X1993" s="74"/>
      <c r="Y1993" s="74"/>
      <c r="Z1993" s="76"/>
      <c r="AA1993" s="134"/>
      <c r="AB1993" s="62" t="s">
        <v>61</v>
      </c>
      <c r="AC1993" s="63" t="s">
        <v>61</v>
      </c>
      <c r="AD1993" s="64" t="s">
        <v>61</v>
      </c>
      <c r="AE1993" s="64" t="s">
        <v>61</v>
      </c>
      <c r="AF1993" s="63" t="s">
        <v>61</v>
      </c>
      <c r="AG1993" s="63" t="s">
        <v>61</v>
      </c>
      <c r="AH1993" s="63" t="s">
        <v>61</v>
      </c>
      <c r="AI1993" s="65" t="s">
        <v>61</v>
      </c>
      <c r="AJ1993" s="105" t="s">
        <v>61</v>
      </c>
      <c r="AK1993" s="76"/>
    </row>
    <row r="1994" ht="24.0" customHeight="1">
      <c r="A1994" s="35"/>
      <c r="B1994" s="36">
        <v>1.0</v>
      </c>
      <c r="C1994" s="37" t="str">
        <f>IFERROR(__xludf.DUMMYFUNCTION("""COMPUTED_VALUE"""),"")</f>
        <v/>
      </c>
      <c r="D1994" s="89" t="s">
        <v>61</v>
      </c>
      <c r="E1994" s="39" t="s">
        <v>61</v>
      </c>
      <c r="F1994" s="121"/>
      <c r="G1994" s="122"/>
      <c r="H1994" s="138"/>
      <c r="I1994" s="80"/>
      <c r="J1994" s="80"/>
      <c r="K1994" s="95"/>
      <c r="L1994" s="80"/>
      <c r="M1994" s="43"/>
      <c r="N1994" s="43"/>
      <c r="O1994" s="80"/>
      <c r="P1994" s="80"/>
      <c r="Q1994" s="80"/>
      <c r="R1994" s="80"/>
      <c r="S1994" s="117"/>
      <c r="T1994" s="81"/>
      <c r="U1994" s="81"/>
      <c r="V1994" s="81"/>
      <c r="W1994" s="81"/>
      <c r="X1994" s="81"/>
      <c r="Y1994" s="81"/>
      <c r="Z1994" s="82"/>
      <c r="AA1994" s="99"/>
      <c r="AB1994" s="48" t="s">
        <v>61</v>
      </c>
      <c r="AC1994" s="68" t="s">
        <v>61</v>
      </c>
      <c r="AD1994" s="69" t="s">
        <v>61</v>
      </c>
      <c r="AE1994" s="69" t="s">
        <v>61</v>
      </c>
      <c r="AF1994" s="68" t="s">
        <v>61</v>
      </c>
      <c r="AG1994" s="68" t="s">
        <v>61</v>
      </c>
      <c r="AH1994" s="68" t="s">
        <v>61</v>
      </c>
      <c r="AI1994" s="70" t="s">
        <v>61</v>
      </c>
      <c r="AJ1994" s="114" t="s">
        <v>61</v>
      </c>
      <c r="AK1994" s="82"/>
    </row>
    <row r="1995" ht="24.0" customHeight="1">
      <c r="A1995" s="35"/>
      <c r="B1995" s="36">
        <v>1.0</v>
      </c>
      <c r="C1995" s="37" t="str">
        <f>IFERROR(__xludf.DUMMYFUNCTION("""COMPUTED_VALUE"""),"")</f>
        <v/>
      </c>
      <c r="D1995" s="89" t="s">
        <v>61</v>
      </c>
      <c r="E1995" s="51" t="s">
        <v>61</v>
      </c>
      <c r="F1995" s="137"/>
      <c r="G1995" s="133"/>
      <c r="H1995" s="141"/>
      <c r="I1995" s="57"/>
      <c r="J1995" s="57"/>
      <c r="K1995" s="72"/>
      <c r="L1995" s="57"/>
      <c r="M1995" s="55"/>
      <c r="N1995" s="55"/>
      <c r="O1995" s="57"/>
      <c r="P1995" s="57"/>
      <c r="Q1995" s="57"/>
      <c r="R1995" s="57"/>
      <c r="S1995" s="132"/>
      <c r="T1995" s="74"/>
      <c r="U1995" s="74"/>
      <c r="V1995" s="74"/>
      <c r="W1995" s="74"/>
      <c r="X1995" s="74"/>
      <c r="Y1995" s="74"/>
      <c r="Z1995" s="76"/>
      <c r="AA1995" s="134"/>
      <c r="AB1995" s="62" t="s">
        <v>61</v>
      </c>
      <c r="AC1995" s="63" t="s">
        <v>61</v>
      </c>
      <c r="AD1995" s="64" t="s">
        <v>61</v>
      </c>
      <c r="AE1995" s="64" t="s">
        <v>61</v>
      </c>
      <c r="AF1995" s="63" t="s">
        <v>61</v>
      </c>
      <c r="AG1995" s="63" t="s">
        <v>61</v>
      </c>
      <c r="AH1995" s="63" t="s">
        <v>61</v>
      </c>
      <c r="AI1995" s="65" t="s">
        <v>61</v>
      </c>
      <c r="AJ1995" s="105" t="s">
        <v>61</v>
      </c>
      <c r="AK1995" s="76"/>
    </row>
    <row r="1996" ht="24.0" customHeight="1">
      <c r="A1996" s="35"/>
      <c r="B1996" s="36">
        <v>1.0</v>
      </c>
      <c r="C1996" s="37" t="str">
        <f>IFERROR(__xludf.DUMMYFUNCTION("""COMPUTED_VALUE"""),"")</f>
        <v/>
      </c>
      <c r="D1996" s="89" t="s">
        <v>61</v>
      </c>
      <c r="E1996" s="39" t="s">
        <v>61</v>
      </c>
      <c r="F1996" s="121"/>
      <c r="G1996" s="122"/>
      <c r="H1996" s="138"/>
      <c r="I1996" s="80"/>
      <c r="J1996" s="80"/>
      <c r="K1996" s="95"/>
      <c r="L1996" s="80"/>
      <c r="M1996" s="43"/>
      <c r="N1996" s="43"/>
      <c r="O1996" s="80"/>
      <c r="P1996" s="80"/>
      <c r="Q1996" s="80"/>
      <c r="R1996" s="80"/>
      <c r="S1996" s="117"/>
      <c r="T1996" s="81"/>
      <c r="U1996" s="81"/>
      <c r="V1996" s="81"/>
      <c r="W1996" s="81"/>
      <c r="X1996" s="81"/>
      <c r="Y1996" s="81"/>
      <c r="Z1996" s="82"/>
      <c r="AA1996" s="99"/>
      <c r="AB1996" s="48" t="s">
        <v>61</v>
      </c>
      <c r="AC1996" s="68" t="s">
        <v>61</v>
      </c>
      <c r="AD1996" s="69" t="s">
        <v>61</v>
      </c>
      <c r="AE1996" s="69" t="s">
        <v>61</v>
      </c>
      <c r="AF1996" s="68" t="s">
        <v>61</v>
      </c>
      <c r="AG1996" s="68" t="s">
        <v>61</v>
      </c>
      <c r="AH1996" s="68" t="s">
        <v>61</v>
      </c>
      <c r="AI1996" s="70" t="s">
        <v>61</v>
      </c>
      <c r="AJ1996" s="114" t="s">
        <v>61</v>
      </c>
      <c r="AK1996" s="82"/>
    </row>
    <row r="1997" ht="24.0" customHeight="1">
      <c r="A1997" s="35"/>
      <c r="B1997" s="36">
        <v>1.0</v>
      </c>
      <c r="C1997" s="37" t="str">
        <f>IFERROR(__xludf.DUMMYFUNCTION("""COMPUTED_VALUE"""),"")</f>
        <v/>
      </c>
      <c r="D1997" s="89" t="s">
        <v>61</v>
      </c>
      <c r="E1997" s="51" t="s">
        <v>61</v>
      </c>
      <c r="F1997" s="137"/>
      <c r="G1997" s="133"/>
      <c r="H1997" s="141"/>
      <c r="I1997" s="57"/>
      <c r="J1997" s="57"/>
      <c r="K1997" s="72"/>
      <c r="L1997" s="57"/>
      <c r="M1997" s="55"/>
      <c r="N1997" s="55"/>
      <c r="O1997" s="57"/>
      <c r="P1997" s="57"/>
      <c r="Q1997" s="57"/>
      <c r="R1997" s="57"/>
      <c r="S1997" s="132"/>
      <c r="T1997" s="74"/>
      <c r="U1997" s="74"/>
      <c r="V1997" s="74"/>
      <c r="W1997" s="74"/>
      <c r="X1997" s="74"/>
      <c r="Y1997" s="74"/>
      <c r="Z1997" s="76"/>
      <c r="AA1997" s="134"/>
      <c r="AB1997" s="62" t="s">
        <v>61</v>
      </c>
      <c r="AC1997" s="63" t="s">
        <v>61</v>
      </c>
      <c r="AD1997" s="64" t="s">
        <v>61</v>
      </c>
      <c r="AE1997" s="64" t="s">
        <v>61</v>
      </c>
      <c r="AF1997" s="63" t="s">
        <v>61</v>
      </c>
      <c r="AG1997" s="63" t="s">
        <v>61</v>
      </c>
      <c r="AH1997" s="63" t="s">
        <v>61</v>
      </c>
      <c r="AI1997" s="65" t="s">
        <v>61</v>
      </c>
      <c r="AJ1997" s="105" t="s">
        <v>61</v>
      </c>
      <c r="AK1997" s="76"/>
    </row>
    <row r="1998" ht="24.0" customHeight="1">
      <c r="A1998" s="35"/>
      <c r="B1998" s="36">
        <v>1.0</v>
      </c>
      <c r="C1998" s="37" t="str">
        <f>IFERROR(__xludf.DUMMYFUNCTION("""COMPUTED_VALUE"""),"")</f>
        <v/>
      </c>
      <c r="D1998" s="89" t="s">
        <v>61</v>
      </c>
      <c r="E1998" s="39" t="s">
        <v>61</v>
      </c>
      <c r="F1998" s="121"/>
      <c r="G1998" s="122"/>
      <c r="H1998" s="138"/>
      <c r="I1998" s="80"/>
      <c r="J1998" s="80"/>
      <c r="K1998" s="95"/>
      <c r="L1998" s="80"/>
      <c r="M1998" s="43"/>
      <c r="N1998" s="43"/>
      <c r="O1998" s="80"/>
      <c r="P1998" s="80"/>
      <c r="Q1998" s="80"/>
      <c r="R1998" s="80"/>
      <c r="S1998" s="117"/>
      <c r="T1998" s="81"/>
      <c r="U1998" s="81"/>
      <c r="V1998" s="81"/>
      <c r="W1998" s="81"/>
      <c r="X1998" s="81"/>
      <c r="Y1998" s="81"/>
      <c r="Z1998" s="82"/>
      <c r="AA1998" s="99"/>
      <c r="AB1998" s="48" t="s">
        <v>61</v>
      </c>
      <c r="AC1998" s="68" t="s">
        <v>61</v>
      </c>
      <c r="AD1998" s="69" t="s">
        <v>61</v>
      </c>
      <c r="AE1998" s="69" t="s">
        <v>61</v>
      </c>
      <c r="AF1998" s="68" t="s">
        <v>61</v>
      </c>
      <c r="AG1998" s="68" t="s">
        <v>61</v>
      </c>
      <c r="AH1998" s="68" t="s">
        <v>61</v>
      </c>
      <c r="AI1998" s="70" t="s">
        <v>61</v>
      </c>
      <c r="AJ1998" s="114" t="s">
        <v>61</v>
      </c>
      <c r="AK1998" s="82"/>
    </row>
    <row r="1999" ht="24.0" customHeight="1">
      <c r="A1999" s="35"/>
      <c r="B1999" s="36">
        <v>1.0</v>
      </c>
      <c r="C1999" s="37" t="str">
        <f>IFERROR(__xludf.DUMMYFUNCTION("""COMPUTED_VALUE"""),"")</f>
        <v/>
      </c>
      <c r="D1999" s="89" t="s">
        <v>61</v>
      </c>
      <c r="E1999" s="51" t="s">
        <v>61</v>
      </c>
      <c r="F1999" s="137"/>
      <c r="G1999" s="133"/>
      <c r="H1999" s="141"/>
      <c r="I1999" s="57"/>
      <c r="J1999" s="57"/>
      <c r="K1999" s="72"/>
      <c r="L1999" s="57"/>
      <c r="M1999" s="55"/>
      <c r="N1999" s="55"/>
      <c r="O1999" s="57"/>
      <c r="P1999" s="57"/>
      <c r="Q1999" s="57"/>
      <c r="R1999" s="57"/>
      <c r="S1999" s="132"/>
      <c r="T1999" s="74"/>
      <c r="U1999" s="74"/>
      <c r="V1999" s="74"/>
      <c r="W1999" s="74"/>
      <c r="X1999" s="74"/>
      <c r="Y1999" s="74"/>
      <c r="Z1999" s="76"/>
      <c r="AA1999" s="134"/>
      <c r="AB1999" s="62" t="s">
        <v>61</v>
      </c>
      <c r="AC1999" s="63" t="s">
        <v>61</v>
      </c>
      <c r="AD1999" s="64" t="s">
        <v>61</v>
      </c>
      <c r="AE1999" s="64" t="s">
        <v>61</v>
      </c>
      <c r="AF1999" s="63" t="s">
        <v>61</v>
      </c>
      <c r="AG1999" s="63" t="s">
        <v>61</v>
      </c>
      <c r="AH1999" s="63" t="s">
        <v>61</v>
      </c>
      <c r="AI1999" s="65" t="s">
        <v>61</v>
      </c>
      <c r="AJ1999" s="105" t="s">
        <v>61</v>
      </c>
      <c r="AK1999" s="76"/>
    </row>
    <row r="2000" ht="24.0" customHeight="1">
      <c r="A2000" s="35"/>
      <c r="B2000" s="36">
        <v>1.0</v>
      </c>
      <c r="C2000" s="37" t="str">
        <f>IFERROR(__xludf.DUMMYFUNCTION("""COMPUTED_VALUE"""),"")</f>
        <v/>
      </c>
      <c r="D2000" s="89" t="s">
        <v>61</v>
      </c>
      <c r="E2000" s="39" t="s">
        <v>61</v>
      </c>
      <c r="F2000" s="121"/>
      <c r="G2000" s="122"/>
      <c r="H2000" s="138"/>
      <c r="I2000" s="80"/>
      <c r="J2000" s="80"/>
      <c r="K2000" s="95"/>
      <c r="L2000" s="80"/>
      <c r="M2000" s="43"/>
      <c r="N2000" s="43"/>
      <c r="O2000" s="80"/>
      <c r="P2000" s="80"/>
      <c r="Q2000" s="80"/>
      <c r="R2000" s="80"/>
      <c r="S2000" s="117"/>
      <c r="T2000" s="81"/>
      <c r="U2000" s="81"/>
      <c r="V2000" s="81"/>
      <c r="W2000" s="81"/>
      <c r="X2000" s="81"/>
      <c r="Y2000" s="81"/>
      <c r="Z2000" s="82"/>
      <c r="AA2000" s="99"/>
      <c r="AB2000" s="48" t="s">
        <v>61</v>
      </c>
      <c r="AC2000" s="68" t="s">
        <v>61</v>
      </c>
      <c r="AD2000" s="69" t="s">
        <v>61</v>
      </c>
      <c r="AE2000" s="69" t="s">
        <v>61</v>
      </c>
      <c r="AF2000" s="68" t="s">
        <v>61</v>
      </c>
      <c r="AG2000" s="68" t="s">
        <v>61</v>
      </c>
      <c r="AH2000" s="68" t="s">
        <v>61</v>
      </c>
      <c r="AI2000" s="70" t="s">
        <v>61</v>
      </c>
      <c r="AJ2000" s="114" t="s">
        <v>61</v>
      </c>
      <c r="AK2000" s="82"/>
    </row>
    <row r="2001" ht="24.0" customHeight="1">
      <c r="A2001" s="35"/>
      <c r="B2001" s="36">
        <v>1.0</v>
      </c>
      <c r="C2001" s="37" t="str">
        <f>IFERROR(__xludf.DUMMYFUNCTION("""COMPUTED_VALUE"""),"")</f>
        <v/>
      </c>
      <c r="D2001" s="89" t="s">
        <v>61</v>
      </c>
      <c r="E2001" s="51" t="s">
        <v>61</v>
      </c>
      <c r="F2001" s="137"/>
      <c r="G2001" s="133"/>
      <c r="H2001" s="141"/>
      <c r="I2001" s="57"/>
      <c r="J2001" s="57"/>
      <c r="K2001" s="72"/>
      <c r="L2001" s="57"/>
      <c r="M2001" s="55"/>
      <c r="N2001" s="55"/>
      <c r="O2001" s="57"/>
      <c r="P2001" s="57"/>
      <c r="Q2001" s="57"/>
      <c r="R2001" s="57"/>
      <c r="S2001" s="132"/>
      <c r="T2001" s="74"/>
      <c r="U2001" s="74"/>
      <c r="V2001" s="74"/>
      <c r="W2001" s="74"/>
      <c r="X2001" s="74"/>
      <c r="Y2001" s="74"/>
      <c r="Z2001" s="76"/>
      <c r="AA2001" s="134"/>
      <c r="AB2001" s="62" t="s">
        <v>61</v>
      </c>
      <c r="AC2001" s="63" t="s">
        <v>61</v>
      </c>
      <c r="AD2001" s="64" t="s">
        <v>61</v>
      </c>
      <c r="AE2001" s="64" t="s">
        <v>61</v>
      </c>
      <c r="AF2001" s="63" t="s">
        <v>61</v>
      </c>
      <c r="AG2001" s="63" t="s">
        <v>61</v>
      </c>
      <c r="AH2001" s="63" t="s">
        <v>61</v>
      </c>
      <c r="AI2001" s="65" t="s">
        <v>61</v>
      </c>
      <c r="AJ2001" s="105" t="s">
        <v>61</v>
      </c>
      <c r="AK2001" s="76"/>
    </row>
    <row r="2002" ht="24.0" customHeight="1">
      <c r="A2002" s="35"/>
      <c r="B2002" s="36">
        <v>1.0</v>
      </c>
      <c r="C2002" s="37" t="str">
        <f>IFERROR(__xludf.DUMMYFUNCTION("""COMPUTED_VALUE"""),"")</f>
        <v/>
      </c>
      <c r="D2002" s="89" t="s">
        <v>61</v>
      </c>
      <c r="E2002" s="39" t="s">
        <v>61</v>
      </c>
      <c r="F2002" s="121"/>
      <c r="G2002" s="122"/>
      <c r="H2002" s="138"/>
      <c r="I2002" s="80"/>
      <c r="J2002" s="80"/>
      <c r="K2002" s="95"/>
      <c r="L2002" s="80"/>
      <c r="M2002" s="43"/>
      <c r="N2002" s="43"/>
      <c r="O2002" s="80"/>
      <c r="P2002" s="80"/>
      <c r="Q2002" s="80"/>
      <c r="R2002" s="80"/>
      <c r="S2002" s="117"/>
      <c r="T2002" s="81"/>
      <c r="U2002" s="81"/>
      <c r="V2002" s="81"/>
      <c r="W2002" s="81"/>
      <c r="X2002" s="81"/>
      <c r="Y2002" s="81"/>
      <c r="Z2002" s="82"/>
      <c r="AA2002" s="99"/>
      <c r="AB2002" s="48" t="s">
        <v>61</v>
      </c>
      <c r="AC2002" s="68" t="s">
        <v>61</v>
      </c>
      <c r="AD2002" s="69" t="s">
        <v>61</v>
      </c>
      <c r="AE2002" s="69" t="s">
        <v>61</v>
      </c>
      <c r="AF2002" s="68" t="s">
        <v>61</v>
      </c>
      <c r="AG2002" s="68" t="s">
        <v>61</v>
      </c>
      <c r="AH2002" s="68" t="s">
        <v>61</v>
      </c>
      <c r="AI2002" s="70" t="s">
        <v>61</v>
      </c>
      <c r="AJ2002" s="114" t="s">
        <v>61</v>
      </c>
      <c r="AK2002" s="82"/>
    </row>
    <row r="2003" ht="24.0" customHeight="1">
      <c r="A2003" s="35"/>
      <c r="B2003" s="36">
        <v>1.0</v>
      </c>
      <c r="C2003" s="37" t="str">
        <f>IFERROR(__xludf.DUMMYFUNCTION("""COMPUTED_VALUE"""),"")</f>
        <v/>
      </c>
      <c r="D2003" s="89" t="s">
        <v>61</v>
      </c>
      <c r="E2003" s="51" t="s">
        <v>61</v>
      </c>
      <c r="F2003" s="137"/>
      <c r="G2003" s="133"/>
      <c r="H2003" s="141"/>
      <c r="I2003" s="57"/>
      <c r="J2003" s="57"/>
      <c r="K2003" s="72"/>
      <c r="L2003" s="57"/>
      <c r="M2003" s="55"/>
      <c r="N2003" s="55"/>
      <c r="O2003" s="57"/>
      <c r="P2003" s="57"/>
      <c r="Q2003" s="57"/>
      <c r="R2003" s="57"/>
      <c r="S2003" s="132"/>
      <c r="T2003" s="74"/>
      <c r="U2003" s="74"/>
      <c r="V2003" s="74"/>
      <c r="W2003" s="74"/>
      <c r="X2003" s="74"/>
      <c r="Y2003" s="74"/>
      <c r="Z2003" s="76"/>
      <c r="AA2003" s="134"/>
      <c r="AB2003" s="62" t="s">
        <v>61</v>
      </c>
      <c r="AC2003" s="63" t="s">
        <v>61</v>
      </c>
      <c r="AD2003" s="64" t="s">
        <v>61</v>
      </c>
      <c r="AE2003" s="64" t="s">
        <v>61</v>
      </c>
      <c r="AF2003" s="63" t="s">
        <v>61</v>
      </c>
      <c r="AG2003" s="63" t="s">
        <v>61</v>
      </c>
      <c r="AH2003" s="63" t="s">
        <v>61</v>
      </c>
      <c r="AI2003" s="65" t="s">
        <v>61</v>
      </c>
      <c r="AJ2003" s="105" t="s">
        <v>61</v>
      </c>
      <c r="AK2003" s="76"/>
    </row>
    <row r="2004" ht="24.0" customHeight="1">
      <c r="A2004" s="35"/>
      <c r="B2004" s="36">
        <v>1.0</v>
      </c>
      <c r="C2004" s="37" t="str">
        <f>IFERROR(__xludf.DUMMYFUNCTION("""COMPUTED_VALUE"""),"")</f>
        <v/>
      </c>
      <c r="D2004" s="89" t="s">
        <v>61</v>
      </c>
      <c r="E2004" s="39" t="s">
        <v>61</v>
      </c>
      <c r="F2004" s="121"/>
      <c r="G2004" s="122"/>
      <c r="H2004" s="138"/>
      <c r="I2004" s="80"/>
      <c r="J2004" s="80"/>
      <c r="K2004" s="95"/>
      <c r="L2004" s="80"/>
      <c r="M2004" s="43"/>
      <c r="N2004" s="43"/>
      <c r="O2004" s="80"/>
      <c r="P2004" s="80"/>
      <c r="Q2004" s="80"/>
      <c r="R2004" s="80"/>
      <c r="S2004" s="117"/>
      <c r="T2004" s="81"/>
      <c r="U2004" s="81"/>
      <c r="V2004" s="81"/>
      <c r="W2004" s="81"/>
      <c r="X2004" s="81"/>
      <c r="Y2004" s="81"/>
      <c r="Z2004" s="82"/>
      <c r="AA2004" s="99"/>
      <c r="AB2004" s="48" t="s">
        <v>61</v>
      </c>
      <c r="AC2004" s="68" t="s">
        <v>61</v>
      </c>
      <c r="AD2004" s="69" t="s">
        <v>61</v>
      </c>
      <c r="AE2004" s="69" t="s">
        <v>61</v>
      </c>
      <c r="AF2004" s="68" t="s">
        <v>61</v>
      </c>
      <c r="AG2004" s="68" t="s">
        <v>61</v>
      </c>
      <c r="AH2004" s="68" t="s">
        <v>61</v>
      </c>
      <c r="AI2004" s="70" t="s">
        <v>61</v>
      </c>
      <c r="AJ2004" s="114" t="s">
        <v>61</v>
      </c>
      <c r="AK2004" s="82"/>
    </row>
    <row r="2005" ht="24.0" customHeight="1">
      <c r="A2005" s="35"/>
      <c r="B2005" s="36">
        <v>1.0</v>
      </c>
      <c r="C2005" s="37" t="str">
        <f>IFERROR(__xludf.DUMMYFUNCTION("""COMPUTED_VALUE"""),"")</f>
        <v/>
      </c>
      <c r="D2005" s="89" t="s">
        <v>61</v>
      </c>
      <c r="E2005" s="51" t="s">
        <v>61</v>
      </c>
      <c r="F2005" s="137"/>
      <c r="G2005" s="133"/>
      <c r="H2005" s="141"/>
      <c r="I2005" s="57"/>
      <c r="J2005" s="57"/>
      <c r="K2005" s="72"/>
      <c r="L2005" s="57"/>
      <c r="M2005" s="55"/>
      <c r="N2005" s="55"/>
      <c r="O2005" s="57"/>
      <c r="P2005" s="57"/>
      <c r="Q2005" s="57"/>
      <c r="R2005" s="57"/>
      <c r="S2005" s="132"/>
      <c r="T2005" s="74"/>
      <c r="U2005" s="74"/>
      <c r="V2005" s="74"/>
      <c r="W2005" s="74"/>
      <c r="X2005" s="74"/>
      <c r="Y2005" s="74"/>
      <c r="Z2005" s="76"/>
      <c r="AA2005" s="134"/>
      <c r="AB2005" s="62" t="s">
        <v>61</v>
      </c>
      <c r="AC2005" s="63" t="s">
        <v>61</v>
      </c>
      <c r="AD2005" s="64" t="s">
        <v>61</v>
      </c>
      <c r="AE2005" s="64" t="s">
        <v>61</v>
      </c>
      <c r="AF2005" s="63" t="s">
        <v>61</v>
      </c>
      <c r="AG2005" s="63" t="s">
        <v>61</v>
      </c>
      <c r="AH2005" s="63" t="s">
        <v>61</v>
      </c>
      <c r="AI2005" s="65" t="s">
        <v>61</v>
      </c>
      <c r="AJ2005" s="105" t="s">
        <v>61</v>
      </c>
      <c r="AK2005" s="76"/>
    </row>
    <row r="2006" ht="24.0" customHeight="1">
      <c r="A2006" s="35"/>
      <c r="B2006" s="36">
        <v>1.0</v>
      </c>
      <c r="C2006" s="37" t="str">
        <f>IFERROR(__xludf.DUMMYFUNCTION("""COMPUTED_VALUE"""),"")</f>
        <v/>
      </c>
      <c r="D2006" s="89" t="s">
        <v>61</v>
      </c>
      <c r="E2006" s="39" t="s">
        <v>61</v>
      </c>
      <c r="F2006" s="121"/>
      <c r="G2006" s="122"/>
      <c r="H2006" s="138"/>
      <c r="I2006" s="80"/>
      <c r="J2006" s="80"/>
      <c r="K2006" s="95"/>
      <c r="L2006" s="80"/>
      <c r="M2006" s="43"/>
      <c r="N2006" s="43"/>
      <c r="O2006" s="80"/>
      <c r="P2006" s="80"/>
      <c r="Q2006" s="80"/>
      <c r="R2006" s="80"/>
      <c r="S2006" s="117"/>
      <c r="T2006" s="81"/>
      <c r="U2006" s="81"/>
      <c r="V2006" s="81"/>
      <c r="W2006" s="81"/>
      <c r="X2006" s="81"/>
      <c r="Y2006" s="81"/>
      <c r="Z2006" s="82"/>
      <c r="AA2006" s="99"/>
      <c r="AB2006" s="48" t="s">
        <v>61</v>
      </c>
      <c r="AC2006" s="68" t="s">
        <v>61</v>
      </c>
      <c r="AD2006" s="69" t="s">
        <v>61</v>
      </c>
      <c r="AE2006" s="69" t="s">
        <v>61</v>
      </c>
      <c r="AF2006" s="68" t="s">
        <v>61</v>
      </c>
      <c r="AG2006" s="68" t="s">
        <v>61</v>
      </c>
      <c r="AH2006" s="68" t="s">
        <v>61</v>
      </c>
      <c r="AI2006" s="70" t="s">
        <v>61</v>
      </c>
      <c r="AJ2006" s="114" t="s">
        <v>61</v>
      </c>
      <c r="AK2006" s="82"/>
    </row>
    <row r="2007" ht="24.0" customHeight="1">
      <c r="A2007" s="35"/>
      <c r="B2007" s="36">
        <v>1.0</v>
      </c>
      <c r="C2007" s="37" t="str">
        <f>IFERROR(__xludf.DUMMYFUNCTION("""COMPUTED_VALUE"""),"")</f>
        <v/>
      </c>
      <c r="D2007" s="89" t="s">
        <v>61</v>
      </c>
      <c r="E2007" s="51" t="s">
        <v>61</v>
      </c>
      <c r="F2007" s="137"/>
      <c r="G2007" s="133"/>
      <c r="H2007" s="141"/>
      <c r="I2007" s="57"/>
      <c r="J2007" s="57"/>
      <c r="K2007" s="72"/>
      <c r="L2007" s="57"/>
      <c r="M2007" s="55"/>
      <c r="N2007" s="55"/>
      <c r="O2007" s="57"/>
      <c r="P2007" s="57"/>
      <c r="Q2007" s="57"/>
      <c r="R2007" s="57"/>
      <c r="S2007" s="132"/>
      <c r="T2007" s="74"/>
      <c r="U2007" s="74"/>
      <c r="V2007" s="74"/>
      <c r="W2007" s="74"/>
      <c r="X2007" s="74"/>
      <c r="Y2007" s="74"/>
      <c r="Z2007" s="76"/>
      <c r="AA2007" s="134"/>
      <c r="AB2007" s="62" t="s">
        <v>61</v>
      </c>
      <c r="AC2007" s="63" t="s">
        <v>61</v>
      </c>
      <c r="AD2007" s="64" t="s">
        <v>61</v>
      </c>
      <c r="AE2007" s="64" t="s">
        <v>61</v>
      </c>
      <c r="AF2007" s="63" t="s">
        <v>61</v>
      </c>
      <c r="AG2007" s="63" t="s">
        <v>61</v>
      </c>
      <c r="AH2007" s="63" t="s">
        <v>61</v>
      </c>
      <c r="AI2007" s="65" t="s">
        <v>61</v>
      </c>
      <c r="AJ2007" s="105" t="s">
        <v>61</v>
      </c>
      <c r="AK2007" s="76"/>
    </row>
    <row r="2008" ht="24.0" customHeight="1">
      <c r="A2008" s="35"/>
      <c r="B2008" s="36">
        <v>1.0</v>
      </c>
      <c r="C2008" s="37" t="str">
        <f>IFERROR(__xludf.DUMMYFUNCTION("""COMPUTED_VALUE"""),"")</f>
        <v/>
      </c>
      <c r="D2008" s="89" t="s">
        <v>61</v>
      </c>
      <c r="E2008" s="39" t="s">
        <v>61</v>
      </c>
      <c r="F2008" s="121"/>
      <c r="G2008" s="122"/>
      <c r="H2008" s="138"/>
      <c r="I2008" s="80"/>
      <c r="J2008" s="80"/>
      <c r="K2008" s="95"/>
      <c r="L2008" s="80"/>
      <c r="M2008" s="43"/>
      <c r="N2008" s="43"/>
      <c r="O2008" s="80"/>
      <c r="P2008" s="80"/>
      <c r="Q2008" s="80"/>
      <c r="R2008" s="80"/>
      <c r="S2008" s="117"/>
      <c r="T2008" s="81"/>
      <c r="U2008" s="81"/>
      <c r="V2008" s="81"/>
      <c r="W2008" s="81"/>
      <c r="X2008" s="81"/>
      <c r="Y2008" s="81"/>
      <c r="Z2008" s="82"/>
      <c r="AA2008" s="99"/>
      <c r="AB2008" s="48" t="s">
        <v>61</v>
      </c>
      <c r="AC2008" s="68" t="s">
        <v>61</v>
      </c>
      <c r="AD2008" s="69" t="s">
        <v>61</v>
      </c>
      <c r="AE2008" s="69" t="s">
        <v>61</v>
      </c>
      <c r="AF2008" s="68" t="s">
        <v>61</v>
      </c>
      <c r="AG2008" s="68" t="s">
        <v>61</v>
      </c>
      <c r="AH2008" s="68" t="s">
        <v>61</v>
      </c>
      <c r="AI2008" s="70" t="s">
        <v>61</v>
      </c>
      <c r="AJ2008" s="114" t="s">
        <v>61</v>
      </c>
      <c r="AK2008" s="82"/>
    </row>
    <row r="2009" ht="24.0" customHeight="1">
      <c r="A2009" s="35"/>
      <c r="B2009" s="36">
        <v>1.0</v>
      </c>
      <c r="C2009" s="37" t="str">
        <f>IFERROR(__xludf.DUMMYFUNCTION("""COMPUTED_VALUE"""),"")</f>
        <v/>
      </c>
      <c r="D2009" s="89" t="s">
        <v>61</v>
      </c>
      <c r="E2009" s="51" t="s">
        <v>61</v>
      </c>
      <c r="F2009" s="137"/>
      <c r="G2009" s="133"/>
      <c r="H2009" s="141"/>
      <c r="I2009" s="57"/>
      <c r="J2009" s="57"/>
      <c r="K2009" s="72"/>
      <c r="L2009" s="57"/>
      <c r="M2009" s="55"/>
      <c r="N2009" s="55"/>
      <c r="O2009" s="57"/>
      <c r="P2009" s="57"/>
      <c r="Q2009" s="57"/>
      <c r="R2009" s="57"/>
      <c r="S2009" s="132"/>
      <c r="T2009" s="74"/>
      <c r="U2009" s="74"/>
      <c r="V2009" s="74"/>
      <c r="W2009" s="74"/>
      <c r="X2009" s="74"/>
      <c r="Y2009" s="74"/>
      <c r="Z2009" s="76"/>
      <c r="AA2009" s="134"/>
      <c r="AB2009" s="62" t="s">
        <v>61</v>
      </c>
      <c r="AC2009" s="63" t="s">
        <v>61</v>
      </c>
      <c r="AD2009" s="64" t="s">
        <v>61</v>
      </c>
      <c r="AE2009" s="64" t="s">
        <v>61</v>
      </c>
      <c r="AF2009" s="63" t="s">
        <v>61</v>
      </c>
      <c r="AG2009" s="63" t="s">
        <v>61</v>
      </c>
      <c r="AH2009" s="63" t="s">
        <v>61</v>
      </c>
      <c r="AI2009" s="65" t="s">
        <v>61</v>
      </c>
      <c r="AJ2009" s="105" t="s">
        <v>61</v>
      </c>
      <c r="AK2009" s="76"/>
    </row>
    <row r="2010" ht="24.0" customHeight="1">
      <c r="A2010" s="35"/>
      <c r="B2010" s="36">
        <v>1.0</v>
      </c>
      <c r="C2010" s="37" t="str">
        <f>IFERROR(__xludf.DUMMYFUNCTION("""COMPUTED_VALUE"""),"")</f>
        <v/>
      </c>
      <c r="D2010" s="89" t="s">
        <v>61</v>
      </c>
      <c r="E2010" s="39" t="s">
        <v>61</v>
      </c>
      <c r="F2010" s="121"/>
      <c r="G2010" s="122"/>
      <c r="H2010" s="138"/>
      <c r="I2010" s="80"/>
      <c r="J2010" s="80"/>
      <c r="K2010" s="95"/>
      <c r="L2010" s="80"/>
      <c r="M2010" s="43"/>
      <c r="N2010" s="43"/>
      <c r="O2010" s="80"/>
      <c r="P2010" s="80"/>
      <c r="Q2010" s="80"/>
      <c r="R2010" s="80"/>
      <c r="S2010" s="117"/>
      <c r="T2010" s="81"/>
      <c r="U2010" s="81"/>
      <c r="V2010" s="81"/>
      <c r="W2010" s="81"/>
      <c r="X2010" s="81"/>
      <c r="Y2010" s="81"/>
      <c r="Z2010" s="82"/>
      <c r="AA2010" s="99"/>
      <c r="AB2010" s="48" t="s">
        <v>61</v>
      </c>
      <c r="AC2010" s="68" t="s">
        <v>61</v>
      </c>
      <c r="AD2010" s="69" t="s">
        <v>61</v>
      </c>
      <c r="AE2010" s="69" t="s">
        <v>61</v>
      </c>
      <c r="AF2010" s="68" t="s">
        <v>61</v>
      </c>
      <c r="AG2010" s="68" t="s">
        <v>61</v>
      </c>
      <c r="AH2010" s="68" t="s">
        <v>61</v>
      </c>
      <c r="AI2010" s="70" t="s">
        <v>61</v>
      </c>
      <c r="AJ2010" s="114" t="s">
        <v>61</v>
      </c>
      <c r="AK2010" s="82"/>
    </row>
    <row r="2011" ht="24.0" customHeight="1">
      <c r="A2011" s="35"/>
      <c r="B2011" s="36">
        <v>1.0</v>
      </c>
      <c r="C2011" s="37" t="str">
        <f>IFERROR(__xludf.DUMMYFUNCTION("""COMPUTED_VALUE"""),"")</f>
        <v/>
      </c>
      <c r="D2011" s="89" t="s">
        <v>61</v>
      </c>
      <c r="E2011" s="51" t="s">
        <v>61</v>
      </c>
      <c r="F2011" s="137"/>
      <c r="G2011" s="133"/>
      <c r="H2011" s="141"/>
      <c r="I2011" s="57"/>
      <c r="J2011" s="57"/>
      <c r="K2011" s="72"/>
      <c r="L2011" s="57"/>
      <c r="M2011" s="55"/>
      <c r="N2011" s="55"/>
      <c r="O2011" s="57"/>
      <c r="P2011" s="57"/>
      <c r="Q2011" s="57"/>
      <c r="R2011" s="57"/>
      <c r="S2011" s="132"/>
      <c r="T2011" s="74"/>
      <c r="U2011" s="74"/>
      <c r="V2011" s="74"/>
      <c r="W2011" s="74"/>
      <c r="X2011" s="74"/>
      <c r="Y2011" s="74"/>
      <c r="Z2011" s="76"/>
      <c r="AA2011" s="134"/>
      <c r="AB2011" s="62" t="s">
        <v>61</v>
      </c>
      <c r="AC2011" s="63" t="s">
        <v>61</v>
      </c>
      <c r="AD2011" s="64" t="s">
        <v>61</v>
      </c>
      <c r="AE2011" s="64" t="s">
        <v>61</v>
      </c>
      <c r="AF2011" s="63" t="s">
        <v>61</v>
      </c>
      <c r="AG2011" s="63" t="s">
        <v>61</v>
      </c>
      <c r="AH2011" s="63" t="s">
        <v>61</v>
      </c>
      <c r="AI2011" s="65" t="s">
        <v>61</v>
      </c>
      <c r="AJ2011" s="105" t="s">
        <v>61</v>
      </c>
      <c r="AK2011" s="76"/>
    </row>
    <row r="2012" ht="24.0" customHeight="1">
      <c r="A2012" s="35"/>
      <c r="B2012" s="36">
        <v>1.0</v>
      </c>
      <c r="C2012" s="37" t="str">
        <f>IFERROR(__xludf.DUMMYFUNCTION("""COMPUTED_VALUE"""),"")</f>
        <v/>
      </c>
      <c r="D2012" s="89" t="s">
        <v>61</v>
      </c>
      <c r="E2012" s="39" t="s">
        <v>61</v>
      </c>
      <c r="F2012" s="121"/>
      <c r="G2012" s="122"/>
      <c r="H2012" s="138"/>
      <c r="I2012" s="80"/>
      <c r="J2012" s="80"/>
      <c r="K2012" s="95"/>
      <c r="L2012" s="80"/>
      <c r="M2012" s="43"/>
      <c r="N2012" s="43"/>
      <c r="O2012" s="80"/>
      <c r="P2012" s="80"/>
      <c r="Q2012" s="80"/>
      <c r="R2012" s="80"/>
      <c r="S2012" s="117"/>
      <c r="T2012" s="81"/>
      <c r="U2012" s="81"/>
      <c r="V2012" s="81"/>
      <c r="W2012" s="81"/>
      <c r="X2012" s="81"/>
      <c r="Y2012" s="81"/>
      <c r="Z2012" s="82"/>
      <c r="AA2012" s="99"/>
      <c r="AB2012" s="48" t="s">
        <v>61</v>
      </c>
      <c r="AC2012" s="68" t="s">
        <v>61</v>
      </c>
      <c r="AD2012" s="69" t="s">
        <v>61</v>
      </c>
      <c r="AE2012" s="69" t="s">
        <v>61</v>
      </c>
      <c r="AF2012" s="68" t="s">
        <v>61</v>
      </c>
      <c r="AG2012" s="68" t="s">
        <v>61</v>
      </c>
      <c r="AH2012" s="68" t="s">
        <v>61</v>
      </c>
      <c r="AI2012" s="70" t="s">
        <v>61</v>
      </c>
      <c r="AJ2012" s="114" t="s">
        <v>61</v>
      </c>
      <c r="AK2012" s="82"/>
    </row>
    <row r="2013" ht="24.0" customHeight="1">
      <c r="A2013" s="35"/>
      <c r="B2013" s="36">
        <v>1.0</v>
      </c>
      <c r="C2013" s="37" t="str">
        <f>IFERROR(__xludf.DUMMYFUNCTION("""COMPUTED_VALUE"""),"")</f>
        <v/>
      </c>
      <c r="D2013" s="89" t="s">
        <v>61</v>
      </c>
      <c r="E2013" s="51" t="s">
        <v>61</v>
      </c>
      <c r="F2013" s="137"/>
      <c r="G2013" s="133"/>
      <c r="H2013" s="141"/>
      <c r="I2013" s="57"/>
      <c r="J2013" s="57"/>
      <c r="K2013" s="72"/>
      <c r="L2013" s="57"/>
      <c r="M2013" s="55"/>
      <c r="N2013" s="55"/>
      <c r="O2013" s="57"/>
      <c r="P2013" s="57"/>
      <c r="Q2013" s="57"/>
      <c r="R2013" s="57"/>
      <c r="S2013" s="132"/>
      <c r="T2013" s="74"/>
      <c r="U2013" s="74"/>
      <c r="V2013" s="74"/>
      <c r="W2013" s="74"/>
      <c r="X2013" s="74"/>
      <c r="Y2013" s="74"/>
      <c r="Z2013" s="76"/>
      <c r="AA2013" s="134"/>
      <c r="AB2013" s="62" t="s">
        <v>61</v>
      </c>
      <c r="AC2013" s="63" t="s">
        <v>61</v>
      </c>
      <c r="AD2013" s="64" t="s">
        <v>61</v>
      </c>
      <c r="AE2013" s="64" t="s">
        <v>61</v>
      </c>
      <c r="AF2013" s="63" t="s">
        <v>61</v>
      </c>
      <c r="AG2013" s="63" t="s">
        <v>61</v>
      </c>
      <c r="AH2013" s="63" t="s">
        <v>61</v>
      </c>
      <c r="AI2013" s="65" t="s">
        <v>61</v>
      </c>
      <c r="AJ2013" s="105" t="s">
        <v>61</v>
      </c>
      <c r="AK2013" s="76"/>
    </row>
    <row r="2014" ht="24.0" customHeight="1">
      <c r="A2014" s="35"/>
      <c r="B2014" s="36">
        <v>1.0</v>
      </c>
      <c r="C2014" s="37" t="str">
        <f>IFERROR(__xludf.DUMMYFUNCTION("""COMPUTED_VALUE"""),"")</f>
        <v/>
      </c>
      <c r="D2014" s="89" t="s">
        <v>61</v>
      </c>
      <c r="E2014" s="39" t="s">
        <v>61</v>
      </c>
      <c r="F2014" s="121"/>
      <c r="G2014" s="122"/>
      <c r="H2014" s="138"/>
      <c r="I2014" s="80"/>
      <c r="J2014" s="80"/>
      <c r="K2014" s="95"/>
      <c r="L2014" s="80"/>
      <c r="M2014" s="43"/>
      <c r="N2014" s="43"/>
      <c r="O2014" s="80"/>
      <c r="P2014" s="80"/>
      <c r="Q2014" s="80"/>
      <c r="R2014" s="80"/>
      <c r="S2014" s="117"/>
      <c r="T2014" s="81"/>
      <c r="U2014" s="81"/>
      <c r="V2014" s="81"/>
      <c r="W2014" s="81"/>
      <c r="X2014" s="81"/>
      <c r="Y2014" s="81"/>
      <c r="Z2014" s="82"/>
      <c r="AA2014" s="99"/>
      <c r="AB2014" s="48" t="s">
        <v>61</v>
      </c>
      <c r="AC2014" s="68" t="s">
        <v>61</v>
      </c>
      <c r="AD2014" s="69" t="s">
        <v>61</v>
      </c>
      <c r="AE2014" s="69" t="s">
        <v>61</v>
      </c>
      <c r="AF2014" s="68" t="s">
        <v>61</v>
      </c>
      <c r="AG2014" s="68" t="s">
        <v>61</v>
      </c>
      <c r="AH2014" s="68" t="s">
        <v>61</v>
      </c>
      <c r="AI2014" s="70" t="s">
        <v>61</v>
      </c>
      <c r="AJ2014" s="114" t="s">
        <v>61</v>
      </c>
      <c r="AK2014" s="82"/>
    </row>
    <row r="2015" ht="24.0" customHeight="1">
      <c r="A2015" s="35"/>
      <c r="B2015" s="36">
        <v>1.0</v>
      </c>
      <c r="C2015" s="37" t="str">
        <f>IFERROR(__xludf.DUMMYFUNCTION("""COMPUTED_VALUE"""),"")</f>
        <v/>
      </c>
      <c r="D2015" s="89" t="s">
        <v>61</v>
      </c>
      <c r="E2015" s="51" t="s">
        <v>61</v>
      </c>
      <c r="F2015" s="137"/>
      <c r="G2015" s="133"/>
      <c r="H2015" s="141"/>
      <c r="I2015" s="57"/>
      <c r="J2015" s="57"/>
      <c r="K2015" s="72"/>
      <c r="L2015" s="57"/>
      <c r="M2015" s="55"/>
      <c r="N2015" s="55"/>
      <c r="O2015" s="57"/>
      <c r="P2015" s="57"/>
      <c r="Q2015" s="57"/>
      <c r="R2015" s="57"/>
      <c r="S2015" s="132"/>
      <c r="T2015" s="74"/>
      <c r="U2015" s="74"/>
      <c r="V2015" s="74"/>
      <c r="W2015" s="74"/>
      <c r="X2015" s="74"/>
      <c r="Y2015" s="74"/>
      <c r="Z2015" s="76"/>
      <c r="AA2015" s="134"/>
      <c r="AB2015" s="62" t="s">
        <v>61</v>
      </c>
      <c r="AC2015" s="63" t="s">
        <v>61</v>
      </c>
      <c r="AD2015" s="64" t="s">
        <v>61</v>
      </c>
      <c r="AE2015" s="64" t="s">
        <v>61</v>
      </c>
      <c r="AF2015" s="63" t="s">
        <v>61</v>
      </c>
      <c r="AG2015" s="63" t="s">
        <v>61</v>
      </c>
      <c r="AH2015" s="63" t="s">
        <v>61</v>
      </c>
      <c r="AI2015" s="65" t="s">
        <v>61</v>
      </c>
      <c r="AJ2015" s="105" t="s">
        <v>61</v>
      </c>
      <c r="AK2015" s="76"/>
    </row>
    <row r="2016" ht="24.0" customHeight="1">
      <c r="A2016" s="35"/>
      <c r="B2016" s="36">
        <v>1.0</v>
      </c>
      <c r="C2016" s="37" t="str">
        <f>IFERROR(__xludf.DUMMYFUNCTION("""COMPUTED_VALUE"""),"")</f>
        <v/>
      </c>
      <c r="D2016" s="89" t="s">
        <v>61</v>
      </c>
      <c r="E2016" s="39" t="s">
        <v>61</v>
      </c>
      <c r="F2016" s="121"/>
      <c r="G2016" s="122"/>
      <c r="H2016" s="138"/>
      <c r="I2016" s="80"/>
      <c r="J2016" s="80"/>
      <c r="K2016" s="95"/>
      <c r="L2016" s="80"/>
      <c r="M2016" s="43"/>
      <c r="N2016" s="43"/>
      <c r="O2016" s="80"/>
      <c r="P2016" s="80"/>
      <c r="Q2016" s="80"/>
      <c r="R2016" s="80"/>
      <c r="S2016" s="117"/>
      <c r="T2016" s="81"/>
      <c r="U2016" s="81"/>
      <c r="V2016" s="81"/>
      <c r="W2016" s="81"/>
      <c r="X2016" s="81"/>
      <c r="Y2016" s="81"/>
      <c r="Z2016" s="82"/>
      <c r="AA2016" s="99"/>
      <c r="AB2016" s="48" t="s">
        <v>61</v>
      </c>
      <c r="AC2016" s="68" t="s">
        <v>61</v>
      </c>
      <c r="AD2016" s="69" t="s">
        <v>61</v>
      </c>
      <c r="AE2016" s="69" t="s">
        <v>61</v>
      </c>
      <c r="AF2016" s="68" t="s">
        <v>61</v>
      </c>
      <c r="AG2016" s="68" t="s">
        <v>61</v>
      </c>
      <c r="AH2016" s="68" t="s">
        <v>61</v>
      </c>
      <c r="AI2016" s="70" t="s">
        <v>61</v>
      </c>
      <c r="AJ2016" s="114" t="s">
        <v>61</v>
      </c>
      <c r="AK2016" s="82"/>
    </row>
    <row r="2017" ht="24.0" customHeight="1">
      <c r="A2017" s="35"/>
      <c r="B2017" s="36">
        <v>1.0</v>
      </c>
      <c r="C2017" s="37" t="str">
        <f>IFERROR(__xludf.DUMMYFUNCTION("""COMPUTED_VALUE"""),"")</f>
        <v/>
      </c>
      <c r="D2017" s="89" t="s">
        <v>61</v>
      </c>
      <c r="E2017" s="51" t="s">
        <v>61</v>
      </c>
      <c r="F2017" s="137"/>
      <c r="G2017" s="133"/>
      <c r="H2017" s="141"/>
      <c r="I2017" s="57"/>
      <c r="J2017" s="57"/>
      <c r="K2017" s="72"/>
      <c r="L2017" s="57"/>
      <c r="M2017" s="55"/>
      <c r="N2017" s="55"/>
      <c r="O2017" s="57"/>
      <c r="P2017" s="57"/>
      <c r="Q2017" s="57"/>
      <c r="R2017" s="57"/>
      <c r="S2017" s="132"/>
      <c r="T2017" s="74"/>
      <c r="U2017" s="74"/>
      <c r="V2017" s="74"/>
      <c r="W2017" s="74"/>
      <c r="X2017" s="74"/>
      <c r="Y2017" s="74"/>
      <c r="Z2017" s="76"/>
      <c r="AA2017" s="134"/>
      <c r="AB2017" s="62" t="s">
        <v>61</v>
      </c>
      <c r="AC2017" s="63" t="s">
        <v>61</v>
      </c>
      <c r="AD2017" s="64" t="s">
        <v>61</v>
      </c>
      <c r="AE2017" s="64" t="s">
        <v>61</v>
      </c>
      <c r="AF2017" s="63" t="s">
        <v>61</v>
      </c>
      <c r="AG2017" s="63" t="s">
        <v>61</v>
      </c>
      <c r="AH2017" s="63" t="s">
        <v>61</v>
      </c>
      <c r="AI2017" s="65" t="s">
        <v>61</v>
      </c>
      <c r="AJ2017" s="105" t="s">
        <v>61</v>
      </c>
      <c r="AK2017" s="76"/>
    </row>
    <row r="2018" ht="24.0" customHeight="1">
      <c r="A2018" s="35"/>
      <c r="B2018" s="36">
        <v>1.0</v>
      </c>
      <c r="C2018" s="37" t="str">
        <f>IFERROR(__xludf.DUMMYFUNCTION("""COMPUTED_VALUE"""),"")</f>
        <v/>
      </c>
      <c r="D2018" s="89" t="s">
        <v>61</v>
      </c>
      <c r="E2018" s="39" t="s">
        <v>61</v>
      </c>
      <c r="F2018" s="121"/>
      <c r="G2018" s="122"/>
      <c r="H2018" s="138"/>
      <c r="I2018" s="80"/>
      <c r="J2018" s="80"/>
      <c r="K2018" s="95"/>
      <c r="L2018" s="80"/>
      <c r="M2018" s="43"/>
      <c r="N2018" s="43"/>
      <c r="O2018" s="80"/>
      <c r="P2018" s="80"/>
      <c r="Q2018" s="80"/>
      <c r="R2018" s="80"/>
      <c r="S2018" s="117"/>
      <c r="T2018" s="81"/>
      <c r="U2018" s="81"/>
      <c r="V2018" s="81"/>
      <c r="W2018" s="81"/>
      <c r="X2018" s="81"/>
      <c r="Y2018" s="81"/>
      <c r="Z2018" s="82"/>
      <c r="AA2018" s="99"/>
      <c r="AB2018" s="48" t="s">
        <v>61</v>
      </c>
      <c r="AC2018" s="68" t="s">
        <v>61</v>
      </c>
      <c r="AD2018" s="69" t="s">
        <v>61</v>
      </c>
      <c r="AE2018" s="69" t="s">
        <v>61</v>
      </c>
      <c r="AF2018" s="68" t="s">
        <v>61</v>
      </c>
      <c r="AG2018" s="68" t="s">
        <v>61</v>
      </c>
      <c r="AH2018" s="68" t="s">
        <v>61</v>
      </c>
      <c r="AI2018" s="70" t="s">
        <v>61</v>
      </c>
      <c r="AJ2018" s="114" t="s">
        <v>61</v>
      </c>
      <c r="AK2018" s="82"/>
    </row>
    <row r="2019" ht="24.0" customHeight="1">
      <c r="A2019" s="35"/>
      <c r="B2019" s="36">
        <v>1.0</v>
      </c>
      <c r="C2019" s="37" t="str">
        <f>IFERROR(__xludf.DUMMYFUNCTION("""COMPUTED_VALUE"""),"")</f>
        <v/>
      </c>
      <c r="D2019" s="89" t="s">
        <v>61</v>
      </c>
      <c r="E2019" s="51" t="s">
        <v>61</v>
      </c>
      <c r="F2019" s="137"/>
      <c r="G2019" s="133"/>
      <c r="H2019" s="141"/>
      <c r="I2019" s="57"/>
      <c r="J2019" s="57"/>
      <c r="K2019" s="72"/>
      <c r="L2019" s="57"/>
      <c r="M2019" s="55"/>
      <c r="N2019" s="55"/>
      <c r="O2019" s="57"/>
      <c r="P2019" s="57"/>
      <c r="Q2019" s="57"/>
      <c r="R2019" s="57"/>
      <c r="S2019" s="132"/>
      <c r="T2019" s="74"/>
      <c r="U2019" s="74"/>
      <c r="V2019" s="74"/>
      <c r="W2019" s="74"/>
      <c r="X2019" s="74"/>
      <c r="Y2019" s="74"/>
      <c r="Z2019" s="76"/>
      <c r="AA2019" s="134"/>
      <c r="AB2019" s="62" t="s">
        <v>61</v>
      </c>
      <c r="AC2019" s="63" t="s">
        <v>61</v>
      </c>
      <c r="AD2019" s="64" t="s">
        <v>61</v>
      </c>
      <c r="AE2019" s="64" t="s">
        <v>61</v>
      </c>
      <c r="AF2019" s="63" t="s">
        <v>61</v>
      </c>
      <c r="AG2019" s="63" t="s">
        <v>61</v>
      </c>
      <c r="AH2019" s="63" t="s">
        <v>61</v>
      </c>
      <c r="AI2019" s="65" t="s">
        <v>61</v>
      </c>
      <c r="AJ2019" s="105" t="s">
        <v>61</v>
      </c>
      <c r="AK2019" s="76"/>
    </row>
    <row r="2020" ht="24.0" customHeight="1">
      <c r="A2020" s="35"/>
      <c r="B2020" s="36">
        <v>1.0</v>
      </c>
      <c r="C2020" s="37" t="str">
        <f>IFERROR(__xludf.DUMMYFUNCTION("""COMPUTED_VALUE"""),"")</f>
        <v/>
      </c>
      <c r="D2020" s="89" t="s">
        <v>61</v>
      </c>
      <c r="E2020" s="39" t="s">
        <v>61</v>
      </c>
      <c r="F2020" s="121"/>
      <c r="G2020" s="122"/>
      <c r="H2020" s="138"/>
      <c r="I2020" s="80"/>
      <c r="J2020" s="80"/>
      <c r="K2020" s="95"/>
      <c r="L2020" s="80"/>
      <c r="M2020" s="43"/>
      <c r="N2020" s="43"/>
      <c r="O2020" s="80"/>
      <c r="P2020" s="80"/>
      <c r="Q2020" s="80"/>
      <c r="R2020" s="80"/>
      <c r="S2020" s="117"/>
      <c r="T2020" s="81"/>
      <c r="U2020" s="81"/>
      <c r="V2020" s="81"/>
      <c r="W2020" s="81"/>
      <c r="X2020" s="81"/>
      <c r="Y2020" s="81"/>
      <c r="Z2020" s="82"/>
      <c r="AA2020" s="99"/>
      <c r="AB2020" s="48" t="s">
        <v>61</v>
      </c>
      <c r="AC2020" s="68" t="s">
        <v>61</v>
      </c>
      <c r="AD2020" s="69" t="s">
        <v>61</v>
      </c>
      <c r="AE2020" s="69" t="s">
        <v>61</v>
      </c>
      <c r="AF2020" s="68" t="s">
        <v>61</v>
      </c>
      <c r="AG2020" s="68" t="s">
        <v>61</v>
      </c>
      <c r="AH2020" s="68" t="s">
        <v>61</v>
      </c>
      <c r="AI2020" s="70" t="s">
        <v>61</v>
      </c>
      <c r="AJ2020" s="114" t="s">
        <v>61</v>
      </c>
      <c r="AK2020" s="82"/>
    </row>
    <row r="2021" ht="24.0" customHeight="1">
      <c r="A2021" s="35"/>
      <c r="B2021" s="36">
        <v>1.0</v>
      </c>
      <c r="C2021" s="37" t="str">
        <f>IFERROR(__xludf.DUMMYFUNCTION("""COMPUTED_VALUE"""),"")</f>
        <v/>
      </c>
      <c r="D2021" s="89" t="s">
        <v>61</v>
      </c>
      <c r="E2021" s="51" t="s">
        <v>61</v>
      </c>
      <c r="F2021" s="137"/>
      <c r="G2021" s="133"/>
      <c r="H2021" s="141"/>
      <c r="I2021" s="57"/>
      <c r="J2021" s="57"/>
      <c r="K2021" s="72"/>
      <c r="L2021" s="57"/>
      <c r="M2021" s="55"/>
      <c r="N2021" s="55"/>
      <c r="O2021" s="57"/>
      <c r="P2021" s="57"/>
      <c r="Q2021" s="57"/>
      <c r="R2021" s="57"/>
      <c r="S2021" s="132"/>
      <c r="T2021" s="74"/>
      <c r="U2021" s="74"/>
      <c r="V2021" s="74"/>
      <c r="W2021" s="74"/>
      <c r="X2021" s="74"/>
      <c r="Y2021" s="74"/>
      <c r="Z2021" s="76"/>
      <c r="AA2021" s="134"/>
      <c r="AB2021" s="62" t="s">
        <v>61</v>
      </c>
      <c r="AC2021" s="63" t="s">
        <v>61</v>
      </c>
      <c r="AD2021" s="64" t="s">
        <v>61</v>
      </c>
      <c r="AE2021" s="64" t="s">
        <v>61</v>
      </c>
      <c r="AF2021" s="63" t="s">
        <v>61</v>
      </c>
      <c r="AG2021" s="63" t="s">
        <v>61</v>
      </c>
      <c r="AH2021" s="63" t="s">
        <v>61</v>
      </c>
      <c r="AI2021" s="65" t="s">
        <v>61</v>
      </c>
      <c r="AJ2021" s="105" t="s">
        <v>61</v>
      </c>
      <c r="AK2021" s="76"/>
    </row>
    <row r="2022" ht="24.0" customHeight="1">
      <c r="A2022" s="35"/>
      <c r="B2022" s="36">
        <v>1.0</v>
      </c>
      <c r="C2022" s="37" t="str">
        <f>IFERROR(__xludf.DUMMYFUNCTION("""COMPUTED_VALUE"""),"")</f>
        <v/>
      </c>
      <c r="D2022" s="89" t="s">
        <v>61</v>
      </c>
      <c r="E2022" s="39" t="s">
        <v>61</v>
      </c>
      <c r="F2022" s="121"/>
      <c r="G2022" s="122"/>
      <c r="H2022" s="138"/>
      <c r="I2022" s="80"/>
      <c r="J2022" s="80"/>
      <c r="K2022" s="95"/>
      <c r="L2022" s="80"/>
      <c r="M2022" s="43"/>
      <c r="N2022" s="43"/>
      <c r="O2022" s="80"/>
      <c r="P2022" s="80"/>
      <c r="Q2022" s="80"/>
      <c r="R2022" s="80"/>
      <c r="S2022" s="117"/>
      <c r="T2022" s="81"/>
      <c r="U2022" s="81"/>
      <c r="V2022" s="81"/>
      <c r="W2022" s="81"/>
      <c r="X2022" s="81"/>
      <c r="Y2022" s="81"/>
      <c r="Z2022" s="82"/>
      <c r="AA2022" s="99"/>
      <c r="AB2022" s="48" t="s">
        <v>61</v>
      </c>
      <c r="AC2022" s="68" t="s">
        <v>61</v>
      </c>
      <c r="AD2022" s="69" t="s">
        <v>61</v>
      </c>
      <c r="AE2022" s="69" t="s">
        <v>61</v>
      </c>
      <c r="AF2022" s="68" t="s">
        <v>61</v>
      </c>
      <c r="AG2022" s="68" t="s">
        <v>61</v>
      </c>
      <c r="AH2022" s="68" t="s">
        <v>61</v>
      </c>
      <c r="AI2022" s="70" t="s">
        <v>61</v>
      </c>
      <c r="AJ2022" s="114" t="s">
        <v>61</v>
      </c>
      <c r="AK2022" s="82"/>
    </row>
    <row r="2023" ht="24.0" customHeight="1">
      <c r="A2023" s="35"/>
      <c r="B2023" s="36">
        <v>1.0</v>
      </c>
      <c r="C2023" s="37" t="str">
        <f>IFERROR(__xludf.DUMMYFUNCTION("""COMPUTED_VALUE"""),"")</f>
        <v/>
      </c>
      <c r="D2023" s="89" t="s">
        <v>61</v>
      </c>
      <c r="E2023" s="51" t="s">
        <v>61</v>
      </c>
      <c r="F2023" s="137"/>
      <c r="G2023" s="133"/>
      <c r="H2023" s="141"/>
      <c r="I2023" s="57"/>
      <c r="J2023" s="57"/>
      <c r="K2023" s="72"/>
      <c r="L2023" s="57"/>
      <c r="M2023" s="55"/>
      <c r="N2023" s="55"/>
      <c r="O2023" s="57"/>
      <c r="P2023" s="57"/>
      <c r="Q2023" s="57"/>
      <c r="R2023" s="57"/>
      <c r="S2023" s="132"/>
      <c r="T2023" s="74"/>
      <c r="U2023" s="74"/>
      <c r="V2023" s="74"/>
      <c r="W2023" s="74"/>
      <c r="X2023" s="74"/>
      <c r="Y2023" s="74"/>
      <c r="Z2023" s="76"/>
      <c r="AA2023" s="134"/>
      <c r="AB2023" s="62" t="s">
        <v>61</v>
      </c>
      <c r="AC2023" s="63" t="s">
        <v>61</v>
      </c>
      <c r="AD2023" s="64" t="s">
        <v>61</v>
      </c>
      <c r="AE2023" s="64" t="s">
        <v>61</v>
      </c>
      <c r="AF2023" s="63" t="s">
        <v>61</v>
      </c>
      <c r="AG2023" s="63" t="s">
        <v>61</v>
      </c>
      <c r="AH2023" s="63" t="s">
        <v>61</v>
      </c>
      <c r="AI2023" s="65" t="s">
        <v>61</v>
      </c>
      <c r="AJ2023" s="105" t="s">
        <v>61</v>
      </c>
      <c r="AK2023" s="76"/>
    </row>
    <row r="2024" ht="24.0" customHeight="1">
      <c r="A2024" s="35"/>
      <c r="B2024" s="36">
        <v>1.0</v>
      </c>
      <c r="C2024" s="37" t="str">
        <f>IFERROR(__xludf.DUMMYFUNCTION("""COMPUTED_VALUE"""),"")</f>
        <v/>
      </c>
      <c r="D2024" s="89" t="s">
        <v>61</v>
      </c>
      <c r="E2024" s="39" t="s">
        <v>61</v>
      </c>
      <c r="F2024" s="121"/>
      <c r="G2024" s="122"/>
      <c r="H2024" s="138"/>
      <c r="I2024" s="80"/>
      <c r="J2024" s="80"/>
      <c r="K2024" s="95"/>
      <c r="L2024" s="80"/>
      <c r="M2024" s="43"/>
      <c r="N2024" s="43"/>
      <c r="O2024" s="80"/>
      <c r="P2024" s="80"/>
      <c r="Q2024" s="80"/>
      <c r="R2024" s="80"/>
      <c r="S2024" s="117"/>
      <c r="T2024" s="81"/>
      <c r="U2024" s="81"/>
      <c r="V2024" s="81"/>
      <c r="W2024" s="81"/>
      <c r="X2024" s="81"/>
      <c r="Y2024" s="81"/>
      <c r="Z2024" s="82"/>
      <c r="AA2024" s="99"/>
      <c r="AB2024" s="48" t="s">
        <v>61</v>
      </c>
      <c r="AC2024" s="68" t="s">
        <v>61</v>
      </c>
      <c r="AD2024" s="69" t="s">
        <v>61</v>
      </c>
      <c r="AE2024" s="69" t="s">
        <v>61</v>
      </c>
      <c r="AF2024" s="68" t="s">
        <v>61</v>
      </c>
      <c r="AG2024" s="68" t="s">
        <v>61</v>
      </c>
      <c r="AH2024" s="68" t="s">
        <v>61</v>
      </c>
      <c r="AI2024" s="70" t="s">
        <v>61</v>
      </c>
      <c r="AJ2024" s="114" t="s">
        <v>61</v>
      </c>
      <c r="AK2024" s="82"/>
    </row>
    <row r="2025" ht="24.0" customHeight="1">
      <c r="A2025" s="35"/>
      <c r="B2025" s="36">
        <v>1.0</v>
      </c>
      <c r="C2025" s="37" t="str">
        <f>IFERROR(__xludf.DUMMYFUNCTION("""COMPUTED_VALUE"""),"")</f>
        <v/>
      </c>
      <c r="D2025" s="89" t="s">
        <v>61</v>
      </c>
      <c r="E2025" s="51" t="s">
        <v>61</v>
      </c>
      <c r="F2025" s="137"/>
      <c r="G2025" s="133"/>
      <c r="H2025" s="141"/>
      <c r="I2025" s="57"/>
      <c r="J2025" s="57"/>
      <c r="K2025" s="72"/>
      <c r="L2025" s="57"/>
      <c r="M2025" s="55"/>
      <c r="N2025" s="55"/>
      <c r="O2025" s="57"/>
      <c r="P2025" s="57"/>
      <c r="Q2025" s="57"/>
      <c r="R2025" s="57"/>
      <c r="S2025" s="132"/>
      <c r="T2025" s="74"/>
      <c r="U2025" s="74"/>
      <c r="V2025" s="74"/>
      <c r="W2025" s="74"/>
      <c r="X2025" s="74"/>
      <c r="Y2025" s="74"/>
      <c r="Z2025" s="76"/>
      <c r="AA2025" s="134"/>
      <c r="AB2025" s="62" t="s">
        <v>61</v>
      </c>
      <c r="AC2025" s="63" t="s">
        <v>61</v>
      </c>
      <c r="AD2025" s="64" t="s">
        <v>61</v>
      </c>
      <c r="AE2025" s="64" t="s">
        <v>61</v>
      </c>
      <c r="AF2025" s="63" t="s">
        <v>61</v>
      </c>
      <c r="AG2025" s="63" t="s">
        <v>61</v>
      </c>
      <c r="AH2025" s="63" t="s">
        <v>61</v>
      </c>
      <c r="AI2025" s="65" t="s">
        <v>61</v>
      </c>
      <c r="AJ2025" s="105" t="s">
        <v>61</v>
      </c>
      <c r="AK2025" s="76"/>
    </row>
    <row r="2026" ht="24.0" customHeight="1">
      <c r="A2026" s="35"/>
      <c r="B2026" s="36">
        <v>1.0</v>
      </c>
      <c r="C2026" s="37" t="str">
        <f>IFERROR(__xludf.DUMMYFUNCTION("""COMPUTED_VALUE"""),"")</f>
        <v/>
      </c>
      <c r="D2026" s="89" t="s">
        <v>61</v>
      </c>
      <c r="E2026" s="39" t="s">
        <v>61</v>
      </c>
      <c r="F2026" s="121"/>
      <c r="G2026" s="122"/>
      <c r="H2026" s="138"/>
      <c r="I2026" s="80"/>
      <c r="J2026" s="80"/>
      <c r="K2026" s="95"/>
      <c r="L2026" s="80"/>
      <c r="M2026" s="43"/>
      <c r="N2026" s="43"/>
      <c r="O2026" s="80"/>
      <c r="P2026" s="80"/>
      <c r="Q2026" s="80"/>
      <c r="R2026" s="80"/>
      <c r="S2026" s="117"/>
      <c r="T2026" s="81"/>
      <c r="U2026" s="81"/>
      <c r="V2026" s="81"/>
      <c r="W2026" s="81"/>
      <c r="X2026" s="81"/>
      <c r="Y2026" s="81"/>
      <c r="Z2026" s="82"/>
      <c r="AA2026" s="99"/>
      <c r="AB2026" s="48" t="s">
        <v>61</v>
      </c>
      <c r="AC2026" s="68" t="s">
        <v>61</v>
      </c>
      <c r="AD2026" s="69" t="s">
        <v>61</v>
      </c>
      <c r="AE2026" s="69" t="s">
        <v>61</v>
      </c>
      <c r="AF2026" s="68" t="s">
        <v>61</v>
      </c>
      <c r="AG2026" s="68" t="s">
        <v>61</v>
      </c>
      <c r="AH2026" s="68" t="s">
        <v>61</v>
      </c>
      <c r="AI2026" s="70" t="s">
        <v>61</v>
      </c>
      <c r="AJ2026" s="114" t="s">
        <v>61</v>
      </c>
      <c r="AK2026" s="82"/>
    </row>
    <row r="2027" ht="24.0" customHeight="1">
      <c r="A2027" s="35"/>
      <c r="B2027" s="36">
        <v>1.0</v>
      </c>
      <c r="C2027" s="37" t="str">
        <f>IFERROR(__xludf.DUMMYFUNCTION("""COMPUTED_VALUE"""),"")</f>
        <v/>
      </c>
      <c r="D2027" s="89" t="s">
        <v>61</v>
      </c>
      <c r="E2027" s="51" t="s">
        <v>61</v>
      </c>
      <c r="F2027" s="137"/>
      <c r="G2027" s="133"/>
      <c r="H2027" s="141"/>
      <c r="I2027" s="57"/>
      <c r="J2027" s="57"/>
      <c r="K2027" s="72"/>
      <c r="L2027" s="57"/>
      <c r="M2027" s="55"/>
      <c r="N2027" s="55"/>
      <c r="O2027" s="57"/>
      <c r="P2027" s="57"/>
      <c r="Q2027" s="57"/>
      <c r="R2027" s="57"/>
      <c r="S2027" s="132"/>
      <c r="T2027" s="74"/>
      <c r="U2027" s="74"/>
      <c r="V2027" s="74"/>
      <c r="W2027" s="74"/>
      <c r="X2027" s="74"/>
      <c r="Y2027" s="74"/>
      <c r="Z2027" s="76"/>
      <c r="AA2027" s="134"/>
      <c r="AB2027" s="62" t="s">
        <v>61</v>
      </c>
      <c r="AC2027" s="63" t="s">
        <v>61</v>
      </c>
      <c r="AD2027" s="64" t="s">
        <v>61</v>
      </c>
      <c r="AE2027" s="64" t="s">
        <v>61</v>
      </c>
      <c r="AF2027" s="63" t="s">
        <v>61</v>
      </c>
      <c r="AG2027" s="63" t="s">
        <v>61</v>
      </c>
      <c r="AH2027" s="63" t="s">
        <v>61</v>
      </c>
      <c r="AI2027" s="65" t="s">
        <v>61</v>
      </c>
      <c r="AJ2027" s="105" t="s">
        <v>61</v>
      </c>
      <c r="AK2027" s="76"/>
    </row>
    <row r="2028" ht="24.0" customHeight="1">
      <c r="A2028" s="35"/>
      <c r="B2028" s="36">
        <v>1.0</v>
      </c>
      <c r="C2028" s="37" t="str">
        <f>IFERROR(__xludf.DUMMYFUNCTION("""COMPUTED_VALUE"""),"")</f>
        <v/>
      </c>
      <c r="D2028" s="89" t="s">
        <v>61</v>
      </c>
      <c r="E2028" s="39" t="s">
        <v>61</v>
      </c>
      <c r="F2028" s="121"/>
      <c r="G2028" s="122"/>
      <c r="H2028" s="138"/>
      <c r="I2028" s="80"/>
      <c r="J2028" s="80"/>
      <c r="K2028" s="95"/>
      <c r="L2028" s="80"/>
      <c r="M2028" s="43"/>
      <c r="N2028" s="43"/>
      <c r="O2028" s="80"/>
      <c r="P2028" s="80"/>
      <c r="Q2028" s="80"/>
      <c r="R2028" s="80"/>
      <c r="S2028" s="117"/>
      <c r="T2028" s="81"/>
      <c r="U2028" s="81"/>
      <c r="V2028" s="81"/>
      <c r="W2028" s="81"/>
      <c r="X2028" s="81"/>
      <c r="Y2028" s="81"/>
      <c r="Z2028" s="82"/>
      <c r="AA2028" s="99"/>
      <c r="AB2028" s="48" t="s">
        <v>61</v>
      </c>
      <c r="AC2028" s="68" t="s">
        <v>61</v>
      </c>
      <c r="AD2028" s="69" t="s">
        <v>61</v>
      </c>
      <c r="AE2028" s="69" t="s">
        <v>61</v>
      </c>
      <c r="AF2028" s="68" t="s">
        <v>61</v>
      </c>
      <c r="AG2028" s="68" t="s">
        <v>61</v>
      </c>
      <c r="AH2028" s="68" t="s">
        <v>61</v>
      </c>
      <c r="AI2028" s="70" t="s">
        <v>61</v>
      </c>
      <c r="AJ2028" s="114" t="s">
        <v>61</v>
      </c>
      <c r="AK2028" s="82"/>
    </row>
    <row r="2029" ht="24.0" customHeight="1">
      <c r="A2029" s="35"/>
      <c r="B2029" s="36">
        <v>1.0</v>
      </c>
      <c r="C2029" s="37" t="str">
        <f>IFERROR(__xludf.DUMMYFUNCTION("""COMPUTED_VALUE"""),"")</f>
        <v/>
      </c>
      <c r="D2029" s="89" t="s">
        <v>61</v>
      </c>
      <c r="E2029" s="51" t="s">
        <v>61</v>
      </c>
      <c r="F2029" s="137"/>
      <c r="G2029" s="133"/>
      <c r="H2029" s="141"/>
      <c r="I2029" s="57"/>
      <c r="J2029" s="57"/>
      <c r="K2029" s="72"/>
      <c r="L2029" s="57"/>
      <c r="M2029" s="55"/>
      <c r="N2029" s="55"/>
      <c r="O2029" s="57"/>
      <c r="P2029" s="57"/>
      <c r="Q2029" s="57"/>
      <c r="R2029" s="57"/>
      <c r="S2029" s="132"/>
      <c r="T2029" s="74"/>
      <c r="U2029" s="74"/>
      <c r="V2029" s="74"/>
      <c r="W2029" s="74"/>
      <c r="X2029" s="74"/>
      <c r="Y2029" s="74"/>
      <c r="Z2029" s="76"/>
      <c r="AA2029" s="134"/>
      <c r="AB2029" s="62" t="s">
        <v>61</v>
      </c>
      <c r="AC2029" s="63" t="s">
        <v>61</v>
      </c>
      <c r="AD2029" s="64" t="s">
        <v>61</v>
      </c>
      <c r="AE2029" s="64" t="s">
        <v>61</v>
      </c>
      <c r="AF2029" s="63" t="s">
        <v>61</v>
      </c>
      <c r="AG2029" s="63" t="s">
        <v>61</v>
      </c>
      <c r="AH2029" s="63" t="s">
        <v>61</v>
      </c>
      <c r="AI2029" s="65" t="s">
        <v>61</v>
      </c>
      <c r="AJ2029" s="105" t="s">
        <v>61</v>
      </c>
      <c r="AK2029" s="76"/>
    </row>
    <row r="2030" ht="24.0" customHeight="1">
      <c r="A2030" s="35"/>
      <c r="B2030" s="36">
        <v>1.0</v>
      </c>
      <c r="C2030" s="37" t="str">
        <f>IFERROR(__xludf.DUMMYFUNCTION("""COMPUTED_VALUE"""),"")</f>
        <v/>
      </c>
      <c r="D2030" s="89" t="s">
        <v>61</v>
      </c>
      <c r="E2030" s="39" t="s">
        <v>61</v>
      </c>
      <c r="F2030" s="121"/>
      <c r="G2030" s="122"/>
      <c r="H2030" s="138"/>
      <c r="I2030" s="80"/>
      <c r="J2030" s="80"/>
      <c r="K2030" s="95"/>
      <c r="L2030" s="80"/>
      <c r="M2030" s="43"/>
      <c r="N2030" s="43"/>
      <c r="O2030" s="80"/>
      <c r="P2030" s="80"/>
      <c r="Q2030" s="80"/>
      <c r="R2030" s="80"/>
      <c r="S2030" s="117"/>
      <c r="T2030" s="81"/>
      <c r="U2030" s="81"/>
      <c r="V2030" s="81"/>
      <c r="W2030" s="81"/>
      <c r="X2030" s="81"/>
      <c r="Y2030" s="81"/>
      <c r="Z2030" s="82"/>
      <c r="AA2030" s="99"/>
      <c r="AB2030" s="48" t="s">
        <v>61</v>
      </c>
      <c r="AC2030" s="68" t="s">
        <v>61</v>
      </c>
      <c r="AD2030" s="69" t="s">
        <v>61</v>
      </c>
      <c r="AE2030" s="69" t="s">
        <v>61</v>
      </c>
      <c r="AF2030" s="68" t="s">
        <v>61</v>
      </c>
      <c r="AG2030" s="68" t="s">
        <v>61</v>
      </c>
      <c r="AH2030" s="68" t="s">
        <v>61</v>
      </c>
      <c r="AI2030" s="70" t="s">
        <v>61</v>
      </c>
      <c r="AJ2030" s="114" t="s">
        <v>61</v>
      </c>
      <c r="AK2030" s="82"/>
    </row>
    <row r="2031" ht="24.0" customHeight="1">
      <c r="A2031" s="35"/>
      <c r="B2031" s="36">
        <v>1.0</v>
      </c>
      <c r="C2031" s="37" t="str">
        <f>IFERROR(__xludf.DUMMYFUNCTION("""COMPUTED_VALUE"""),"")</f>
        <v/>
      </c>
      <c r="D2031" s="89" t="s">
        <v>61</v>
      </c>
      <c r="E2031" s="51" t="s">
        <v>61</v>
      </c>
      <c r="F2031" s="137"/>
      <c r="G2031" s="133"/>
      <c r="H2031" s="141"/>
      <c r="I2031" s="57"/>
      <c r="J2031" s="57"/>
      <c r="K2031" s="72"/>
      <c r="L2031" s="57"/>
      <c r="M2031" s="55"/>
      <c r="N2031" s="55"/>
      <c r="O2031" s="57"/>
      <c r="P2031" s="57"/>
      <c r="Q2031" s="57"/>
      <c r="R2031" s="57"/>
      <c r="S2031" s="132"/>
      <c r="T2031" s="74"/>
      <c r="U2031" s="74"/>
      <c r="V2031" s="74"/>
      <c r="W2031" s="74"/>
      <c r="X2031" s="74"/>
      <c r="Y2031" s="74"/>
      <c r="Z2031" s="76"/>
      <c r="AA2031" s="134"/>
      <c r="AB2031" s="62" t="s">
        <v>61</v>
      </c>
      <c r="AC2031" s="63" t="s">
        <v>61</v>
      </c>
      <c r="AD2031" s="64" t="s">
        <v>61</v>
      </c>
      <c r="AE2031" s="64" t="s">
        <v>61</v>
      </c>
      <c r="AF2031" s="63" t="s">
        <v>61</v>
      </c>
      <c r="AG2031" s="63" t="s">
        <v>61</v>
      </c>
      <c r="AH2031" s="63" t="s">
        <v>61</v>
      </c>
      <c r="AI2031" s="65" t="s">
        <v>61</v>
      </c>
      <c r="AJ2031" s="105" t="s">
        <v>61</v>
      </c>
      <c r="AK2031" s="76"/>
    </row>
    <row r="2032" ht="24.0" customHeight="1">
      <c r="A2032" s="35"/>
      <c r="B2032" s="36">
        <v>1.0</v>
      </c>
      <c r="C2032" s="37" t="str">
        <f>IFERROR(__xludf.DUMMYFUNCTION("""COMPUTED_VALUE"""),"")</f>
        <v/>
      </c>
      <c r="D2032" s="89" t="s">
        <v>61</v>
      </c>
      <c r="E2032" s="39" t="s">
        <v>61</v>
      </c>
      <c r="F2032" s="121"/>
      <c r="G2032" s="122"/>
      <c r="H2032" s="138"/>
      <c r="I2032" s="80"/>
      <c r="J2032" s="80"/>
      <c r="K2032" s="95"/>
      <c r="L2032" s="80"/>
      <c r="M2032" s="43"/>
      <c r="N2032" s="43"/>
      <c r="O2032" s="80"/>
      <c r="P2032" s="80"/>
      <c r="Q2032" s="80"/>
      <c r="R2032" s="80"/>
      <c r="S2032" s="117"/>
      <c r="T2032" s="81"/>
      <c r="U2032" s="81"/>
      <c r="V2032" s="81"/>
      <c r="W2032" s="81"/>
      <c r="X2032" s="81"/>
      <c r="Y2032" s="81"/>
      <c r="Z2032" s="82"/>
      <c r="AA2032" s="99"/>
      <c r="AB2032" s="48" t="s">
        <v>61</v>
      </c>
      <c r="AC2032" s="68" t="s">
        <v>61</v>
      </c>
      <c r="AD2032" s="69" t="s">
        <v>61</v>
      </c>
      <c r="AE2032" s="69" t="s">
        <v>61</v>
      </c>
      <c r="AF2032" s="68" t="s">
        <v>61</v>
      </c>
      <c r="AG2032" s="68" t="s">
        <v>61</v>
      </c>
      <c r="AH2032" s="68" t="s">
        <v>61</v>
      </c>
      <c r="AI2032" s="70" t="s">
        <v>61</v>
      </c>
      <c r="AJ2032" s="114" t="s">
        <v>61</v>
      </c>
      <c r="AK2032" s="82"/>
    </row>
    <row r="2033" ht="24.0" customHeight="1">
      <c r="A2033" s="35"/>
      <c r="B2033" s="36">
        <v>1.0</v>
      </c>
      <c r="C2033" s="37" t="str">
        <f>IFERROR(__xludf.DUMMYFUNCTION("""COMPUTED_VALUE"""),"")</f>
        <v/>
      </c>
      <c r="D2033" s="89" t="s">
        <v>61</v>
      </c>
      <c r="E2033" s="51" t="s">
        <v>61</v>
      </c>
      <c r="F2033" s="137"/>
      <c r="G2033" s="133"/>
      <c r="H2033" s="141"/>
      <c r="I2033" s="57"/>
      <c r="J2033" s="57"/>
      <c r="K2033" s="72"/>
      <c r="L2033" s="57"/>
      <c r="M2033" s="55"/>
      <c r="N2033" s="55"/>
      <c r="O2033" s="57"/>
      <c r="P2033" s="57"/>
      <c r="Q2033" s="57"/>
      <c r="R2033" s="57"/>
      <c r="S2033" s="132"/>
      <c r="T2033" s="74"/>
      <c r="U2033" s="74"/>
      <c r="V2033" s="74"/>
      <c r="W2033" s="74"/>
      <c r="X2033" s="74"/>
      <c r="Y2033" s="74"/>
      <c r="Z2033" s="76"/>
      <c r="AA2033" s="134"/>
      <c r="AB2033" s="62" t="s">
        <v>61</v>
      </c>
      <c r="AC2033" s="63" t="s">
        <v>61</v>
      </c>
      <c r="AD2033" s="64" t="s">
        <v>61</v>
      </c>
      <c r="AE2033" s="64" t="s">
        <v>61</v>
      </c>
      <c r="AF2033" s="63" t="s">
        <v>61</v>
      </c>
      <c r="AG2033" s="63" t="s">
        <v>61</v>
      </c>
      <c r="AH2033" s="63" t="s">
        <v>61</v>
      </c>
      <c r="AI2033" s="65" t="s">
        <v>61</v>
      </c>
      <c r="AJ2033" s="105" t="s">
        <v>61</v>
      </c>
      <c r="AK2033" s="76"/>
    </row>
    <row r="2034" ht="24.0" customHeight="1">
      <c r="A2034" s="35"/>
      <c r="B2034" s="36">
        <v>1.0</v>
      </c>
      <c r="C2034" s="37" t="str">
        <f>IFERROR(__xludf.DUMMYFUNCTION("""COMPUTED_VALUE"""),"")</f>
        <v/>
      </c>
      <c r="D2034" s="89" t="s">
        <v>61</v>
      </c>
      <c r="E2034" s="39" t="s">
        <v>61</v>
      </c>
      <c r="F2034" s="121"/>
      <c r="G2034" s="122"/>
      <c r="H2034" s="138"/>
      <c r="I2034" s="80"/>
      <c r="J2034" s="80"/>
      <c r="K2034" s="95"/>
      <c r="L2034" s="80"/>
      <c r="M2034" s="43"/>
      <c r="N2034" s="43"/>
      <c r="O2034" s="80"/>
      <c r="P2034" s="80"/>
      <c r="Q2034" s="80"/>
      <c r="R2034" s="80"/>
      <c r="S2034" s="117"/>
      <c r="T2034" s="81"/>
      <c r="U2034" s="81"/>
      <c r="V2034" s="81"/>
      <c r="W2034" s="81"/>
      <c r="X2034" s="81"/>
      <c r="Y2034" s="81"/>
      <c r="Z2034" s="82"/>
      <c r="AA2034" s="99"/>
      <c r="AB2034" s="48" t="s">
        <v>61</v>
      </c>
      <c r="AC2034" s="68" t="s">
        <v>61</v>
      </c>
      <c r="AD2034" s="69" t="s">
        <v>61</v>
      </c>
      <c r="AE2034" s="69" t="s">
        <v>61</v>
      </c>
      <c r="AF2034" s="68" t="s">
        <v>61</v>
      </c>
      <c r="AG2034" s="68" t="s">
        <v>61</v>
      </c>
      <c r="AH2034" s="68" t="s">
        <v>61</v>
      </c>
      <c r="AI2034" s="70" t="s">
        <v>61</v>
      </c>
      <c r="AJ2034" s="114" t="s">
        <v>61</v>
      </c>
      <c r="AK2034" s="82"/>
    </row>
    <row r="2035" ht="24.0" customHeight="1">
      <c r="A2035" s="35"/>
      <c r="B2035" s="36">
        <v>1.0</v>
      </c>
      <c r="C2035" s="37" t="str">
        <f>IFERROR(__xludf.DUMMYFUNCTION("""COMPUTED_VALUE"""),"")</f>
        <v/>
      </c>
      <c r="D2035" s="89" t="s">
        <v>61</v>
      </c>
      <c r="E2035" s="51" t="s">
        <v>61</v>
      </c>
      <c r="F2035" s="137"/>
      <c r="G2035" s="133"/>
      <c r="H2035" s="141"/>
      <c r="I2035" s="57"/>
      <c r="J2035" s="57"/>
      <c r="K2035" s="72"/>
      <c r="L2035" s="57"/>
      <c r="M2035" s="55"/>
      <c r="N2035" s="55"/>
      <c r="O2035" s="57"/>
      <c r="P2035" s="57"/>
      <c r="Q2035" s="57"/>
      <c r="R2035" s="57"/>
      <c r="S2035" s="132"/>
      <c r="T2035" s="74"/>
      <c r="U2035" s="74"/>
      <c r="V2035" s="74"/>
      <c r="W2035" s="74"/>
      <c r="X2035" s="74"/>
      <c r="Y2035" s="74"/>
      <c r="Z2035" s="76"/>
      <c r="AA2035" s="134"/>
      <c r="AB2035" s="62" t="s">
        <v>61</v>
      </c>
      <c r="AC2035" s="63" t="s">
        <v>61</v>
      </c>
      <c r="AD2035" s="64" t="s">
        <v>61</v>
      </c>
      <c r="AE2035" s="64" t="s">
        <v>61</v>
      </c>
      <c r="AF2035" s="63" t="s">
        <v>61</v>
      </c>
      <c r="AG2035" s="63" t="s">
        <v>61</v>
      </c>
      <c r="AH2035" s="63" t="s">
        <v>61</v>
      </c>
      <c r="AI2035" s="65" t="s">
        <v>61</v>
      </c>
      <c r="AJ2035" s="105" t="s">
        <v>61</v>
      </c>
      <c r="AK2035" s="76"/>
    </row>
    <row r="2036" ht="24.0" customHeight="1">
      <c r="A2036" s="35"/>
      <c r="B2036" s="36">
        <v>1.0</v>
      </c>
      <c r="C2036" s="37" t="str">
        <f>IFERROR(__xludf.DUMMYFUNCTION("""COMPUTED_VALUE"""),"")</f>
        <v/>
      </c>
      <c r="D2036" s="89" t="s">
        <v>61</v>
      </c>
      <c r="E2036" s="39" t="s">
        <v>61</v>
      </c>
      <c r="F2036" s="121"/>
      <c r="G2036" s="122"/>
      <c r="H2036" s="138"/>
      <c r="I2036" s="80"/>
      <c r="J2036" s="80"/>
      <c r="K2036" s="95"/>
      <c r="L2036" s="80"/>
      <c r="M2036" s="43"/>
      <c r="N2036" s="43"/>
      <c r="O2036" s="80"/>
      <c r="P2036" s="80"/>
      <c r="Q2036" s="80"/>
      <c r="R2036" s="80"/>
      <c r="S2036" s="117"/>
      <c r="T2036" s="81"/>
      <c r="U2036" s="81"/>
      <c r="V2036" s="81"/>
      <c r="W2036" s="81"/>
      <c r="X2036" s="81"/>
      <c r="Y2036" s="81"/>
      <c r="Z2036" s="82"/>
      <c r="AA2036" s="99"/>
      <c r="AB2036" s="48" t="s">
        <v>61</v>
      </c>
      <c r="AC2036" s="68" t="s">
        <v>61</v>
      </c>
      <c r="AD2036" s="69" t="s">
        <v>61</v>
      </c>
      <c r="AE2036" s="69" t="s">
        <v>61</v>
      </c>
      <c r="AF2036" s="68" t="s">
        <v>61</v>
      </c>
      <c r="AG2036" s="68" t="s">
        <v>61</v>
      </c>
      <c r="AH2036" s="68" t="s">
        <v>61</v>
      </c>
      <c r="AI2036" s="70" t="s">
        <v>61</v>
      </c>
      <c r="AJ2036" s="114" t="s">
        <v>61</v>
      </c>
      <c r="AK2036" s="82"/>
    </row>
    <row r="2037" ht="24.0" customHeight="1">
      <c r="A2037" s="35"/>
      <c r="B2037" s="36">
        <v>1.0</v>
      </c>
      <c r="C2037" s="37" t="str">
        <f>IFERROR(__xludf.DUMMYFUNCTION("""COMPUTED_VALUE"""),"")</f>
        <v/>
      </c>
      <c r="D2037" s="89" t="s">
        <v>61</v>
      </c>
      <c r="E2037" s="51" t="s">
        <v>61</v>
      </c>
      <c r="F2037" s="137"/>
      <c r="G2037" s="133"/>
      <c r="H2037" s="141"/>
      <c r="I2037" s="57"/>
      <c r="J2037" s="57"/>
      <c r="K2037" s="72"/>
      <c r="L2037" s="57"/>
      <c r="M2037" s="55"/>
      <c r="N2037" s="55"/>
      <c r="O2037" s="57"/>
      <c r="P2037" s="57"/>
      <c r="Q2037" s="57"/>
      <c r="R2037" s="57"/>
      <c r="S2037" s="132"/>
      <c r="T2037" s="74"/>
      <c r="U2037" s="74"/>
      <c r="V2037" s="74"/>
      <c r="W2037" s="74"/>
      <c r="X2037" s="74"/>
      <c r="Y2037" s="74"/>
      <c r="Z2037" s="76"/>
      <c r="AA2037" s="134"/>
      <c r="AB2037" s="62" t="s">
        <v>61</v>
      </c>
      <c r="AC2037" s="63" t="s">
        <v>61</v>
      </c>
      <c r="AD2037" s="64" t="s">
        <v>61</v>
      </c>
      <c r="AE2037" s="64" t="s">
        <v>61</v>
      </c>
      <c r="AF2037" s="63" t="s">
        <v>61</v>
      </c>
      <c r="AG2037" s="63" t="s">
        <v>61</v>
      </c>
      <c r="AH2037" s="63" t="s">
        <v>61</v>
      </c>
      <c r="AI2037" s="65" t="s">
        <v>61</v>
      </c>
      <c r="AJ2037" s="105" t="s">
        <v>61</v>
      </c>
      <c r="AK2037" s="76"/>
    </row>
    <row r="2038" ht="24.0" customHeight="1">
      <c r="A2038" s="35"/>
      <c r="B2038" s="36">
        <v>1.0</v>
      </c>
      <c r="C2038" s="37" t="str">
        <f>IFERROR(__xludf.DUMMYFUNCTION("""COMPUTED_VALUE"""),"")</f>
        <v/>
      </c>
      <c r="D2038" s="89" t="s">
        <v>61</v>
      </c>
      <c r="E2038" s="39" t="s">
        <v>61</v>
      </c>
      <c r="F2038" s="121"/>
      <c r="G2038" s="122"/>
      <c r="H2038" s="138"/>
      <c r="I2038" s="80"/>
      <c r="J2038" s="80"/>
      <c r="K2038" s="95"/>
      <c r="L2038" s="80"/>
      <c r="M2038" s="43"/>
      <c r="N2038" s="43"/>
      <c r="O2038" s="80"/>
      <c r="P2038" s="80"/>
      <c r="Q2038" s="80"/>
      <c r="R2038" s="80"/>
      <c r="S2038" s="117"/>
      <c r="T2038" s="81"/>
      <c r="U2038" s="81"/>
      <c r="V2038" s="81"/>
      <c r="W2038" s="81"/>
      <c r="X2038" s="81"/>
      <c r="Y2038" s="81"/>
      <c r="Z2038" s="82"/>
      <c r="AA2038" s="99"/>
      <c r="AB2038" s="48" t="s">
        <v>61</v>
      </c>
      <c r="AC2038" s="68" t="s">
        <v>61</v>
      </c>
      <c r="AD2038" s="69" t="s">
        <v>61</v>
      </c>
      <c r="AE2038" s="69" t="s">
        <v>61</v>
      </c>
      <c r="AF2038" s="68" t="s">
        <v>61</v>
      </c>
      <c r="AG2038" s="68" t="s">
        <v>61</v>
      </c>
      <c r="AH2038" s="68" t="s">
        <v>61</v>
      </c>
      <c r="AI2038" s="70" t="s">
        <v>61</v>
      </c>
      <c r="AJ2038" s="114" t="s">
        <v>61</v>
      </c>
      <c r="AK2038" s="82"/>
    </row>
    <row r="2039" ht="24.0" customHeight="1">
      <c r="A2039" s="35"/>
      <c r="B2039" s="36">
        <v>1.0</v>
      </c>
      <c r="C2039" s="37" t="str">
        <f>IFERROR(__xludf.DUMMYFUNCTION("""COMPUTED_VALUE"""),"")</f>
        <v/>
      </c>
      <c r="D2039" s="89" t="s">
        <v>61</v>
      </c>
      <c r="E2039" s="51" t="s">
        <v>61</v>
      </c>
      <c r="F2039" s="137"/>
      <c r="G2039" s="133"/>
      <c r="H2039" s="141"/>
      <c r="I2039" s="57"/>
      <c r="J2039" s="57"/>
      <c r="K2039" s="72"/>
      <c r="L2039" s="57"/>
      <c r="M2039" s="55"/>
      <c r="N2039" s="55"/>
      <c r="O2039" s="57"/>
      <c r="P2039" s="57"/>
      <c r="Q2039" s="57"/>
      <c r="R2039" s="57"/>
      <c r="S2039" s="132"/>
      <c r="T2039" s="74"/>
      <c r="U2039" s="74"/>
      <c r="V2039" s="74"/>
      <c r="W2039" s="74"/>
      <c r="X2039" s="74"/>
      <c r="Y2039" s="74"/>
      <c r="Z2039" s="76"/>
      <c r="AA2039" s="134"/>
      <c r="AB2039" s="62" t="s">
        <v>61</v>
      </c>
      <c r="AC2039" s="63" t="s">
        <v>61</v>
      </c>
      <c r="AD2039" s="64" t="s">
        <v>61</v>
      </c>
      <c r="AE2039" s="64" t="s">
        <v>61</v>
      </c>
      <c r="AF2039" s="63" t="s">
        <v>61</v>
      </c>
      <c r="AG2039" s="63" t="s">
        <v>61</v>
      </c>
      <c r="AH2039" s="63" t="s">
        <v>61</v>
      </c>
      <c r="AI2039" s="65" t="s">
        <v>61</v>
      </c>
      <c r="AJ2039" s="105" t="s">
        <v>61</v>
      </c>
      <c r="AK2039" s="76"/>
    </row>
    <row r="2040" ht="24.0" customHeight="1">
      <c r="A2040" s="35"/>
      <c r="B2040" s="36">
        <v>1.0</v>
      </c>
      <c r="C2040" s="37" t="str">
        <f>IFERROR(__xludf.DUMMYFUNCTION("""COMPUTED_VALUE"""),"")</f>
        <v/>
      </c>
      <c r="D2040" s="89" t="s">
        <v>61</v>
      </c>
      <c r="E2040" s="39" t="s">
        <v>61</v>
      </c>
      <c r="F2040" s="121"/>
      <c r="G2040" s="122"/>
      <c r="H2040" s="138"/>
      <c r="I2040" s="80"/>
      <c r="J2040" s="80"/>
      <c r="K2040" s="95"/>
      <c r="L2040" s="80"/>
      <c r="M2040" s="43"/>
      <c r="N2040" s="43"/>
      <c r="O2040" s="80"/>
      <c r="P2040" s="80"/>
      <c r="Q2040" s="80"/>
      <c r="R2040" s="80"/>
      <c r="S2040" s="117"/>
      <c r="T2040" s="81"/>
      <c r="U2040" s="81"/>
      <c r="V2040" s="81"/>
      <c r="W2040" s="81"/>
      <c r="X2040" s="81"/>
      <c r="Y2040" s="81"/>
      <c r="Z2040" s="82"/>
      <c r="AA2040" s="99"/>
      <c r="AB2040" s="48" t="s">
        <v>61</v>
      </c>
      <c r="AC2040" s="68" t="s">
        <v>61</v>
      </c>
      <c r="AD2040" s="69" t="s">
        <v>61</v>
      </c>
      <c r="AE2040" s="69" t="s">
        <v>61</v>
      </c>
      <c r="AF2040" s="68" t="s">
        <v>61</v>
      </c>
      <c r="AG2040" s="68" t="s">
        <v>61</v>
      </c>
      <c r="AH2040" s="68" t="s">
        <v>61</v>
      </c>
      <c r="AI2040" s="70" t="s">
        <v>61</v>
      </c>
      <c r="AJ2040" s="114" t="s">
        <v>61</v>
      </c>
      <c r="AK2040" s="82"/>
    </row>
    <row r="2041" ht="24.0" customHeight="1">
      <c r="A2041" s="35"/>
      <c r="B2041" s="36">
        <v>1.0</v>
      </c>
      <c r="C2041" s="37" t="str">
        <f>IFERROR(__xludf.DUMMYFUNCTION("""COMPUTED_VALUE"""),"")</f>
        <v/>
      </c>
      <c r="D2041" s="89" t="s">
        <v>61</v>
      </c>
      <c r="E2041" s="51" t="s">
        <v>61</v>
      </c>
      <c r="F2041" s="137"/>
      <c r="G2041" s="133"/>
      <c r="H2041" s="141"/>
      <c r="I2041" s="57"/>
      <c r="J2041" s="57"/>
      <c r="K2041" s="72"/>
      <c r="L2041" s="57"/>
      <c r="M2041" s="55"/>
      <c r="N2041" s="55"/>
      <c r="O2041" s="57"/>
      <c r="P2041" s="57"/>
      <c r="Q2041" s="57"/>
      <c r="R2041" s="57"/>
      <c r="S2041" s="132"/>
      <c r="T2041" s="74"/>
      <c r="U2041" s="74"/>
      <c r="V2041" s="74"/>
      <c r="W2041" s="74"/>
      <c r="X2041" s="74"/>
      <c r="Y2041" s="74"/>
      <c r="Z2041" s="76"/>
      <c r="AA2041" s="134"/>
      <c r="AB2041" s="62" t="s">
        <v>61</v>
      </c>
      <c r="AC2041" s="63" t="s">
        <v>61</v>
      </c>
      <c r="AD2041" s="64" t="s">
        <v>61</v>
      </c>
      <c r="AE2041" s="64" t="s">
        <v>61</v>
      </c>
      <c r="AF2041" s="63" t="s">
        <v>61</v>
      </c>
      <c r="AG2041" s="63" t="s">
        <v>61</v>
      </c>
      <c r="AH2041" s="63" t="s">
        <v>61</v>
      </c>
      <c r="AI2041" s="65" t="s">
        <v>61</v>
      </c>
      <c r="AJ2041" s="105" t="s">
        <v>61</v>
      </c>
      <c r="AK2041" s="76"/>
    </row>
    <row r="2042" ht="24.0" customHeight="1">
      <c r="A2042" s="35"/>
      <c r="B2042" s="36">
        <v>1.0</v>
      </c>
      <c r="C2042" s="37" t="str">
        <f>IFERROR(__xludf.DUMMYFUNCTION("""COMPUTED_VALUE"""),"")</f>
        <v/>
      </c>
      <c r="D2042" s="89" t="s">
        <v>61</v>
      </c>
      <c r="E2042" s="39" t="s">
        <v>61</v>
      </c>
      <c r="F2042" s="121"/>
      <c r="G2042" s="122"/>
      <c r="H2042" s="138"/>
      <c r="I2042" s="80"/>
      <c r="J2042" s="80"/>
      <c r="K2042" s="95"/>
      <c r="L2042" s="80"/>
      <c r="M2042" s="43"/>
      <c r="N2042" s="43"/>
      <c r="O2042" s="80"/>
      <c r="P2042" s="80"/>
      <c r="Q2042" s="80"/>
      <c r="R2042" s="80"/>
      <c r="S2042" s="117"/>
      <c r="T2042" s="81"/>
      <c r="U2042" s="81"/>
      <c r="V2042" s="81"/>
      <c r="W2042" s="81"/>
      <c r="X2042" s="81"/>
      <c r="Y2042" s="81"/>
      <c r="Z2042" s="82"/>
      <c r="AA2042" s="99"/>
      <c r="AB2042" s="48" t="s">
        <v>61</v>
      </c>
      <c r="AC2042" s="68" t="s">
        <v>61</v>
      </c>
      <c r="AD2042" s="69" t="s">
        <v>61</v>
      </c>
      <c r="AE2042" s="69" t="s">
        <v>61</v>
      </c>
      <c r="AF2042" s="68" t="s">
        <v>61</v>
      </c>
      <c r="AG2042" s="68" t="s">
        <v>61</v>
      </c>
      <c r="AH2042" s="68" t="s">
        <v>61</v>
      </c>
      <c r="AI2042" s="70" t="s">
        <v>61</v>
      </c>
      <c r="AJ2042" s="114" t="s">
        <v>61</v>
      </c>
      <c r="AK2042" s="82"/>
    </row>
    <row r="2043" ht="24.0" customHeight="1">
      <c r="A2043" s="35"/>
      <c r="B2043" s="36">
        <v>1.0</v>
      </c>
      <c r="C2043" s="37" t="str">
        <f>IFERROR(__xludf.DUMMYFUNCTION("""COMPUTED_VALUE"""),"")</f>
        <v/>
      </c>
      <c r="D2043" s="89" t="s">
        <v>61</v>
      </c>
      <c r="E2043" s="51" t="s">
        <v>61</v>
      </c>
      <c r="F2043" s="137"/>
      <c r="G2043" s="133"/>
      <c r="H2043" s="141"/>
      <c r="I2043" s="57"/>
      <c r="J2043" s="57"/>
      <c r="K2043" s="72"/>
      <c r="L2043" s="57"/>
      <c r="M2043" s="55"/>
      <c r="N2043" s="55"/>
      <c r="O2043" s="57"/>
      <c r="P2043" s="57"/>
      <c r="Q2043" s="57"/>
      <c r="R2043" s="57"/>
      <c r="S2043" s="132"/>
      <c r="T2043" s="74"/>
      <c r="U2043" s="74"/>
      <c r="V2043" s="74"/>
      <c r="W2043" s="74"/>
      <c r="X2043" s="74"/>
      <c r="Y2043" s="74"/>
      <c r="Z2043" s="76"/>
      <c r="AA2043" s="134"/>
      <c r="AB2043" s="62" t="s">
        <v>61</v>
      </c>
      <c r="AC2043" s="63" t="s">
        <v>61</v>
      </c>
      <c r="AD2043" s="64" t="s">
        <v>61</v>
      </c>
      <c r="AE2043" s="64" t="s">
        <v>61</v>
      </c>
      <c r="AF2043" s="63" t="s">
        <v>61</v>
      </c>
      <c r="AG2043" s="63" t="s">
        <v>61</v>
      </c>
      <c r="AH2043" s="63" t="s">
        <v>61</v>
      </c>
      <c r="AI2043" s="65" t="s">
        <v>61</v>
      </c>
      <c r="AJ2043" s="105" t="s">
        <v>61</v>
      </c>
      <c r="AK2043" s="76"/>
    </row>
    <row r="2044" ht="24.0" customHeight="1">
      <c r="A2044" s="35"/>
      <c r="B2044" s="36">
        <v>1.0</v>
      </c>
      <c r="C2044" s="37" t="str">
        <f>IFERROR(__xludf.DUMMYFUNCTION("""COMPUTED_VALUE"""),"")</f>
        <v/>
      </c>
      <c r="D2044" s="89" t="s">
        <v>61</v>
      </c>
      <c r="E2044" s="39" t="s">
        <v>61</v>
      </c>
      <c r="F2044" s="121"/>
      <c r="G2044" s="122"/>
      <c r="H2044" s="138"/>
      <c r="I2044" s="80"/>
      <c r="J2044" s="80"/>
      <c r="K2044" s="95"/>
      <c r="L2044" s="80"/>
      <c r="M2044" s="43"/>
      <c r="N2044" s="43"/>
      <c r="O2044" s="80"/>
      <c r="P2044" s="80"/>
      <c r="Q2044" s="80"/>
      <c r="R2044" s="80"/>
      <c r="S2044" s="117"/>
      <c r="T2044" s="81"/>
      <c r="U2044" s="81"/>
      <c r="V2044" s="81"/>
      <c r="W2044" s="81"/>
      <c r="X2044" s="81"/>
      <c r="Y2044" s="81"/>
      <c r="Z2044" s="82"/>
      <c r="AA2044" s="99"/>
      <c r="AB2044" s="48" t="s">
        <v>61</v>
      </c>
      <c r="AC2044" s="68" t="s">
        <v>61</v>
      </c>
      <c r="AD2044" s="69" t="s">
        <v>61</v>
      </c>
      <c r="AE2044" s="69" t="s">
        <v>61</v>
      </c>
      <c r="AF2044" s="68" t="s">
        <v>61</v>
      </c>
      <c r="AG2044" s="68" t="s">
        <v>61</v>
      </c>
      <c r="AH2044" s="68" t="s">
        <v>61</v>
      </c>
      <c r="AI2044" s="70" t="s">
        <v>61</v>
      </c>
      <c r="AJ2044" s="114" t="s">
        <v>61</v>
      </c>
      <c r="AK2044" s="82"/>
    </row>
    <row r="2045" ht="24.0" customHeight="1">
      <c r="A2045" s="35"/>
      <c r="B2045" s="36">
        <v>1.0</v>
      </c>
      <c r="C2045" s="37" t="str">
        <f>IFERROR(__xludf.DUMMYFUNCTION("""COMPUTED_VALUE"""),"")</f>
        <v/>
      </c>
      <c r="D2045" s="89" t="s">
        <v>61</v>
      </c>
      <c r="E2045" s="51" t="s">
        <v>61</v>
      </c>
      <c r="F2045" s="137"/>
      <c r="G2045" s="133"/>
      <c r="H2045" s="141"/>
      <c r="I2045" s="57"/>
      <c r="J2045" s="57"/>
      <c r="K2045" s="72"/>
      <c r="L2045" s="57"/>
      <c r="M2045" s="55"/>
      <c r="N2045" s="55"/>
      <c r="O2045" s="57"/>
      <c r="P2045" s="57"/>
      <c r="Q2045" s="57"/>
      <c r="R2045" s="57"/>
      <c r="S2045" s="132"/>
      <c r="T2045" s="74"/>
      <c r="U2045" s="74"/>
      <c r="V2045" s="74"/>
      <c r="W2045" s="74"/>
      <c r="X2045" s="74"/>
      <c r="Y2045" s="74"/>
      <c r="Z2045" s="76"/>
      <c r="AA2045" s="134"/>
      <c r="AB2045" s="62" t="s">
        <v>61</v>
      </c>
      <c r="AC2045" s="63" t="s">
        <v>61</v>
      </c>
      <c r="AD2045" s="64" t="s">
        <v>61</v>
      </c>
      <c r="AE2045" s="64" t="s">
        <v>61</v>
      </c>
      <c r="AF2045" s="63" t="s">
        <v>61</v>
      </c>
      <c r="AG2045" s="63" t="s">
        <v>61</v>
      </c>
      <c r="AH2045" s="63" t="s">
        <v>61</v>
      </c>
      <c r="AI2045" s="65" t="s">
        <v>61</v>
      </c>
      <c r="AJ2045" s="105" t="s">
        <v>61</v>
      </c>
      <c r="AK2045" s="76"/>
    </row>
    <row r="2046" ht="24.0" customHeight="1">
      <c r="A2046" s="35"/>
      <c r="B2046" s="36">
        <v>1.0</v>
      </c>
      <c r="C2046" s="37" t="str">
        <f>IFERROR(__xludf.DUMMYFUNCTION("""COMPUTED_VALUE"""),"")</f>
        <v/>
      </c>
      <c r="D2046" s="89" t="s">
        <v>61</v>
      </c>
      <c r="E2046" s="39" t="s">
        <v>61</v>
      </c>
      <c r="F2046" s="121"/>
      <c r="G2046" s="122"/>
      <c r="H2046" s="138"/>
      <c r="I2046" s="80"/>
      <c r="J2046" s="80"/>
      <c r="K2046" s="95"/>
      <c r="L2046" s="80"/>
      <c r="M2046" s="43"/>
      <c r="N2046" s="43"/>
      <c r="O2046" s="80"/>
      <c r="P2046" s="80"/>
      <c r="Q2046" s="80"/>
      <c r="R2046" s="80"/>
      <c r="S2046" s="117"/>
      <c r="T2046" s="81"/>
      <c r="U2046" s="81"/>
      <c r="V2046" s="81"/>
      <c r="W2046" s="81"/>
      <c r="X2046" s="81"/>
      <c r="Y2046" s="81"/>
      <c r="Z2046" s="82"/>
      <c r="AA2046" s="99"/>
      <c r="AB2046" s="48" t="s">
        <v>61</v>
      </c>
      <c r="AC2046" s="68" t="s">
        <v>61</v>
      </c>
      <c r="AD2046" s="69" t="s">
        <v>61</v>
      </c>
      <c r="AE2046" s="69" t="s">
        <v>61</v>
      </c>
      <c r="AF2046" s="68" t="s">
        <v>61</v>
      </c>
      <c r="AG2046" s="68" t="s">
        <v>61</v>
      </c>
      <c r="AH2046" s="68" t="s">
        <v>61</v>
      </c>
      <c r="AI2046" s="70" t="s">
        <v>61</v>
      </c>
      <c r="AJ2046" s="114" t="s">
        <v>61</v>
      </c>
      <c r="AK2046" s="82"/>
    </row>
    <row r="2047" ht="24.0" customHeight="1">
      <c r="A2047" s="35"/>
      <c r="B2047" s="36">
        <v>1.0</v>
      </c>
      <c r="C2047" s="37" t="str">
        <f>IFERROR(__xludf.DUMMYFUNCTION("""COMPUTED_VALUE"""),"")</f>
        <v/>
      </c>
      <c r="D2047" s="89" t="s">
        <v>61</v>
      </c>
      <c r="E2047" s="51" t="s">
        <v>61</v>
      </c>
      <c r="F2047" s="137"/>
      <c r="G2047" s="133"/>
      <c r="H2047" s="141"/>
      <c r="I2047" s="57"/>
      <c r="J2047" s="57"/>
      <c r="K2047" s="72"/>
      <c r="L2047" s="57"/>
      <c r="M2047" s="55"/>
      <c r="N2047" s="55"/>
      <c r="O2047" s="57"/>
      <c r="P2047" s="57"/>
      <c r="Q2047" s="57"/>
      <c r="R2047" s="57"/>
      <c r="S2047" s="132"/>
      <c r="T2047" s="74"/>
      <c r="U2047" s="74"/>
      <c r="V2047" s="74"/>
      <c r="W2047" s="74"/>
      <c r="X2047" s="74"/>
      <c r="Y2047" s="74"/>
      <c r="Z2047" s="76"/>
      <c r="AA2047" s="134"/>
      <c r="AB2047" s="62" t="s">
        <v>61</v>
      </c>
      <c r="AC2047" s="63" t="s">
        <v>61</v>
      </c>
      <c r="AD2047" s="64" t="s">
        <v>61</v>
      </c>
      <c r="AE2047" s="64" t="s">
        <v>61</v>
      </c>
      <c r="AF2047" s="63" t="s">
        <v>61</v>
      </c>
      <c r="AG2047" s="63" t="s">
        <v>61</v>
      </c>
      <c r="AH2047" s="63" t="s">
        <v>61</v>
      </c>
      <c r="AI2047" s="65" t="s">
        <v>61</v>
      </c>
      <c r="AJ2047" s="105" t="s">
        <v>61</v>
      </c>
      <c r="AK2047" s="76"/>
    </row>
    <row r="2048" ht="24.0" customHeight="1">
      <c r="A2048" s="35"/>
      <c r="B2048" s="36">
        <v>1.0</v>
      </c>
      <c r="C2048" s="37" t="str">
        <f>IFERROR(__xludf.DUMMYFUNCTION("""COMPUTED_VALUE"""),"")</f>
        <v/>
      </c>
      <c r="D2048" s="89" t="s">
        <v>61</v>
      </c>
      <c r="E2048" s="39" t="s">
        <v>61</v>
      </c>
      <c r="F2048" s="121"/>
      <c r="G2048" s="122"/>
      <c r="H2048" s="138"/>
      <c r="I2048" s="80"/>
      <c r="J2048" s="80"/>
      <c r="K2048" s="95"/>
      <c r="L2048" s="80"/>
      <c r="M2048" s="43"/>
      <c r="N2048" s="43"/>
      <c r="O2048" s="80"/>
      <c r="P2048" s="80"/>
      <c r="Q2048" s="80"/>
      <c r="R2048" s="80"/>
      <c r="S2048" s="117"/>
      <c r="T2048" s="81"/>
      <c r="U2048" s="81"/>
      <c r="V2048" s="81"/>
      <c r="W2048" s="81"/>
      <c r="X2048" s="81"/>
      <c r="Y2048" s="81"/>
      <c r="Z2048" s="82"/>
      <c r="AA2048" s="99"/>
      <c r="AB2048" s="48" t="s">
        <v>61</v>
      </c>
      <c r="AC2048" s="68" t="s">
        <v>61</v>
      </c>
      <c r="AD2048" s="69" t="s">
        <v>61</v>
      </c>
      <c r="AE2048" s="69" t="s">
        <v>61</v>
      </c>
      <c r="AF2048" s="68" t="s">
        <v>61</v>
      </c>
      <c r="AG2048" s="68" t="s">
        <v>61</v>
      </c>
      <c r="AH2048" s="68" t="s">
        <v>61</v>
      </c>
      <c r="AI2048" s="70" t="s">
        <v>61</v>
      </c>
      <c r="AJ2048" s="114" t="s">
        <v>61</v>
      </c>
      <c r="AK2048" s="82"/>
    </row>
    <row r="2049" ht="24.0" customHeight="1">
      <c r="A2049" s="35"/>
      <c r="B2049" s="36">
        <v>1.0</v>
      </c>
      <c r="C2049" s="37" t="str">
        <f>IFERROR(__xludf.DUMMYFUNCTION("""COMPUTED_VALUE"""),"")</f>
        <v/>
      </c>
      <c r="D2049" s="89" t="s">
        <v>61</v>
      </c>
      <c r="E2049" s="51" t="s">
        <v>61</v>
      </c>
      <c r="F2049" s="137"/>
      <c r="G2049" s="133"/>
      <c r="H2049" s="141"/>
      <c r="I2049" s="57"/>
      <c r="J2049" s="57"/>
      <c r="K2049" s="72"/>
      <c r="L2049" s="57"/>
      <c r="M2049" s="55"/>
      <c r="N2049" s="55"/>
      <c r="O2049" s="57"/>
      <c r="P2049" s="57"/>
      <c r="Q2049" s="57"/>
      <c r="R2049" s="57"/>
      <c r="S2049" s="132"/>
      <c r="T2049" s="74"/>
      <c r="U2049" s="74"/>
      <c r="V2049" s="74"/>
      <c r="W2049" s="74"/>
      <c r="X2049" s="74"/>
      <c r="Y2049" s="74"/>
      <c r="Z2049" s="76"/>
      <c r="AA2049" s="134"/>
      <c r="AB2049" s="62" t="s">
        <v>61</v>
      </c>
      <c r="AC2049" s="63" t="s">
        <v>61</v>
      </c>
      <c r="AD2049" s="64" t="s">
        <v>61</v>
      </c>
      <c r="AE2049" s="64" t="s">
        <v>61</v>
      </c>
      <c r="AF2049" s="63" t="s">
        <v>61</v>
      </c>
      <c r="AG2049" s="63" t="s">
        <v>61</v>
      </c>
      <c r="AH2049" s="63" t="s">
        <v>61</v>
      </c>
      <c r="AI2049" s="65" t="s">
        <v>61</v>
      </c>
      <c r="AJ2049" s="105" t="s">
        <v>61</v>
      </c>
      <c r="AK2049" s="76"/>
    </row>
    <row r="2050" ht="24.0" customHeight="1">
      <c r="A2050" s="35"/>
      <c r="B2050" s="36">
        <v>1.0</v>
      </c>
      <c r="C2050" s="37" t="str">
        <f>IFERROR(__xludf.DUMMYFUNCTION("""COMPUTED_VALUE"""),"")</f>
        <v/>
      </c>
      <c r="D2050" s="89" t="s">
        <v>61</v>
      </c>
      <c r="E2050" s="39" t="s">
        <v>61</v>
      </c>
      <c r="F2050" s="121"/>
      <c r="G2050" s="122"/>
      <c r="H2050" s="138"/>
      <c r="I2050" s="80"/>
      <c r="J2050" s="80"/>
      <c r="K2050" s="95"/>
      <c r="L2050" s="80"/>
      <c r="M2050" s="43"/>
      <c r="N2050" s="43"/>
      <c r="O2050" s="80"/>
      <c r="P2050" s="80"/>
      <c r="Q2050" s="80"/>
      <c r="R2050" s="80"/>
      <c r="S2050" s="117"/>
      <c r="T2050" s="81"/>
      <c r="U2050" s="81"/>
      <c r="V2050" s="81"/>
      <c r="W2050" s="81"/>
      <c r="X2050" s="81"/>
      <c r="Y2050" s="81"/>
      <c r="Z2050" s="82"/>
      <c r="AA2050" s="99"/>
      <c r="AB2050" s="48" t="s">
        <v>61</v>
      </c>
      <c r="AC2050" s="68" t="s">
        <v>61</v>
      </c>
      <c r="AD2050" s="69" t="s">
        <v>61</v>
      </c>
      <c r="AE2050" s="69" t="s">
        <v>61</v>
      </c>
      <c r="AF2050" s="68" t="s">
        <v>61</v>
      </c>
      <c r="AG2050" s="68" t="s">
        <v>61</v>
      </c>
      <c r="AH2050" s="68" t="s">
        <v>61</v>
      </c>
      <c r="AI2050" s="70" t="s">
        <v>61</v>
      </c>
      <c r="AJ2050" s="114" t="s">
        <v>61</v>
      </c>
      <c r="AK2050" s="82"/>
    </row>
    <row r="2051" ht="24.0" customHeight="1">
      <c r="A2051" s="35"/>
      <c r="B2051" s="36">
        <v>1.0</v>
      </c>
      <c r="C2051" s="37" t="str">
        <f>IFERROR(__xludf.DUMMYFUNCTION("""COMPUTED_VALUE"""),"")</f>
        <v/>
      </c>
      <c r="D2051" s="89" t="s">
        <v>61</v>
      </c>
      <c r="E2051" s="51" t="s">
        <v>61</v>
      </c>
      <c r="F2051" s="137"/>
      <c r="G2051" s="133"/>
      <c r="H2051" s="141"/>
      <c r="I2051" s="57"/>
      <c r="J2051" s="57"/>
      <c r="K2051" s="72"/>
      <c r="L2051" s="57"/>
      <c r="M2051" s="55"/>
      <c r="N2051" s="55"/>
      <c r="O2051" s="57"/>
      <c r="P2051" s="57"/>
      <c r="Q2051" s="57"/>
      <c r="R2051" s="57"/>
      <c r="S2051" s="132"/>
      <c r="T2051" s="74"/>
      <c r="U2051" s="74"/>
      <c r="V2051" s="74"/>
      <c r="W2051" s="74"/>
      <c r="X2051" s="74"/>
      <c r="Y2051" s="74"/>
      <c r="Z2051" s="76"/>
      <c r="AA2051" s="134"/>
      <c r="AB2051" s="62" t="s">
        <v>61</v>
      </c>
      <c r="AC2051" s="63" t="s">
        <v>61</v>
      </c>
      <c r="AD2051" s="64" t="s">
        <v>61</v>
      </c>
      <c r="AE2051" s="64" t="s">
        <v>61</v>
      </c>
      <c r="AF2051" s="63" t="s">
        <v>61</v>
      </c>
      <c r="AG2051" s="63" t="s">
        <v>61</v>
      </c>
      <c r="AH2051" s="63" t="s">
        <v>61</v>
      </c>
      <c r="AI2051" s="65" t="s">
        <v>61</v>
      </c>
      <c r="AJ2051" s="105" t="s">
        <v>61</v>
      </c>
      <c r="AK2051" s="76"/>
    </row>
    <row r="2052" ht="24.0" customHeight="1">
      <c r="A2052" s="35"/>
      <c r="B2052" s="36">
        <v>1.0</v>
      </c>
      <c r="C2052" s="37" t="str">
        <f>IFERROR(__xludf.DUMMYFUNCTION("""COMPUTED_VALUE"""),"")</f>
        <v/>
      </c>
      <c r="D2052" s="89" t="s">
        <v>61</v>
      </c>
      <c r="E2052" s="39" t="s">
        <v>61</v>
      </c>
      <c r="F2052" s="121"/>
      <c r="G2052" s="122"/>
      <c r="H2052" s="138"/>
      <c r="I2052" s="80"/>
      <c r="J2052" s="80"/>
      <c r="K2052" s="95"/>
      <c r="L2052" s="80"/>
      <c r="M2052" s="43"/>
      <c r="N2052" s="43"/>
      <c r="O2052" s="80"/>
      <c r="P2052" s="80"/>
      <c r="Q2052" s="80"/>
      <c r="R2052" s="80"/>
      <c r="S2052" s="117"/>
      <c r="T2052" s="81"/>
      <c r="U2052" s="81"/>
      <c r="V2052" s="81"/>
      <c r="W2052" s="81"/>
      <c r="X2052" s="81"/>
      <c r="Y2052" s="81"/>
      <c r="Z2052" s="82"/>
      <c r="AA2052" s="99"/>
      <c r="AB2052" s="48" t="s">
        <v>61</v>
      </c>
      <c r="AC2052" s="68" t="s">
        <v>61</v>
      </c>
      <c r="AD2052" s="69" t="s">
        <v>61</v>
      </c>
      <c r="AE2052" s="69" t="s">
        <v>61</v>
      </c>
      <c r="AF2052" s="68" t="s">
        <v>61</v>
      </c>
      <c r="AG2052" s="68" t="s">
        <v>61</v>
      </c>
      <c r="AH2052" s="68" t="s">
        <v>61</v>
      </c>
      <c r="AI2052" s="70" t="s">
        <v>61</v>
      </c>
      <c r="AJ2052" s="114" t="s">
        <v>61</v>
      </c>
      <c r="AK2052" s="82"/>
    </row>
    <row r="2053" ht="24.0" customHeight="1">
      <c r="A2053" s="35"/>
      <c r="B2053" s="36">
        <v>1.0</v>
      </c>
      <c r="C2053" s="37" t="str">
        <f>IFERROR(__xludf.DUMMYFUNCTION("""COMPUTED_VALUE"""),"")</f>
        <v/>
      </c>
      <c r="D2053" s="89" t="s">
        <v>61</v>
      </c>
      <c r="E2053" s="51" t="s">
        <v>61</v>
      </c>
      <c r="F2053" s="137"/>
      <c r="G2053" s="133"/>
      <c r="H2053" s="141"/>
      <c r="I2053" s="57"/>
      <c r="J2053" s="57"/>
      <c r="K2053" s="72"/>
      <c r="L2053" s="57"/>
      <c r="M2053" s="55"/>
      <c r="N2053" s="55"/>
      <c r="O2053" s="57"/>
      <c r="P2053" s="57"/>
      <c r="Q2053" s="57"/>
      <c r="R2053" s="57"/>
      <c r="S2053" s="132"/>
      <c r="T2053" s="74"/>
      <c r="U2053" s="74"/>
      <c r="V2053" s="74"/>
      <c r="W2053" s="74"/>
      <c r="X2053" s="74"/>
      <c r="Y2053" s="74"/>
      <c r="Z2053" s="76"/>
      <c r="AA2053" s="134"/>
      <c r="AB2053" s="62" t="s">
        <v>61</v>
      </c>
      <c r="AC2053" s="63" t="s">
        <v>61</v>
      </c>
      <c r="AD2053" s="64" t="s">
        <v>61</v>
      </c>
      <c r="AE2053" s="64" t="s">
        <v>61</v>
      </c>
      <c r="AF2053" s="63" t="s">
        <v>61</v>
      </c>
      <c r="AG2053" s="63" t="s">
        <v>61</v>
      </c>
      <c r="AH2053" s="63" t="s">
        <v>61</v>
      </c>
      <c r="AI2053" s="65" t="s">
        <v>61</v>
      </c>
      <c r="AJ2053" s="105" t="s">
        <v>61</v>
      </c>
      <c r="AK2053" s="76"/>
    </row>
    <row r="2054" ht="24.0" customHeight="1">
      <c r="A2054" s="35"/>
      <c r="B2054" s="36">
        <v>1.0</v>
      </c>
      <c r="C2054" s="37" t="str">
        <f>IFERROR(__xludf.DUMMYFUNCTION("""COMPUTED_VALUE"""),"")</f>
        <v/>
      </c>
      <c r="D2054" s="89" t="s">
        <v>61</v>
      </c>
      <c r="E2054" s="39" t="s">
        <v>61</v>
      </c>
      <c r="F2054" s="121"/>
      <c r="G2054" s="203"/>
      <c r="H2054" s="204"/>
      <c r="I2054" s="205"/>
      <c r="J2054" s="205"/>
      <c r="K2054" s="206"/>
      <c r="L2054" s="205"/>
      <c r="M2054" s="206"/>
      <c r="N2054" s="206"/>
      <c r="O2054" s="205"/>
      <c r="P2054" s="205"/>
      <c r="Q2054" s="205"/>
      <c r="R2054" s="205"/>
      <c r="S2054" s="205"/>
      <c r="T2054" s="205"/>
      <c r="U2054" s="205"/>
      <c r="V2054" s="205"/>
      <c r="W2054" s="205"/>
      <c r="X2054" s="205"/>
      <c r="Y2054" s="205"/>
      <c r="Z2054" s="203"/>
      <c r="AA2054" s="207"/>
      <c r="AB2054" s="208" t="s">
        <v>61</v>
      </c>
      <c r="AC2054" s="206" t="s">
        <v>61</v>
      </c>
      <c r="AD2054" s="206" t="s">
        <v>61</v>
      </c>
      <c r="AE2054" s="206" t="s">
        <v>61</v>
      </c>
      <c r="AF2054" s="206" t="s">
        <v>61</v>
      </c>
      <c r="AG2054" s="206" t="s">
        <v>61</v>
      </c>
      <c r="AH2054" s="206" t="s">
        <v>61</v>
      </c>
      <c r="AI2054" s="209" t="s">
        <v>61</v>
      </c>
      <c r="AJ2054" s="210" t="s">
        <v>61</v>
      </c>
      <c r="AK2054" s="203"/>
    </row>
    <row r="2055" ht="24.0" customHeight="1">
      <c r="A2055" s="35"/>
      <c r="B2055" s="211" t="s">
        <v>2969</v>
      </c>
      <c r="C2055" s="37" t="str">
        <f>IFERROR(__xludf.DUMMYFUNCTION("""COMPUTED_VALUE"""),"Julian Solomon (4) - '28 RHP FL")</f>
        <v>Julian Solomon (4) - '28 RHP FL</v>
      </c>
      <c r="D2055" s="89" t="s">
        <v>6444</v>
      </c>
      <c r="E2055" s="212" t="s">
        <v>63</v>
      </c>
      <c r="F2055" s="213">
        <v>46174.0</v>
      </c>
      <c r="G2055" s="199" t="s">
        <v>1430</v>
      </c>
      <c r="H2055" s="199" t="s">
        <v>6144</v>
      </c>
      <c r="I2055" s="199" t="s">
        <v>6445</v>
      </c>
      <c r="J2055" s="214" t="s">
        <v>4630</v>
      </c>
      <c r="K2055" s="214" t="s">
        <v>4631</v>
      </c>
      <c r="L2055" s="215"/>
      <c r="M2055" s="199" t="s">
        <v>63</v>
      </c>
      <c r="N2055" s="199"/>
      <c r="O2055" s="215"/>
      <c r="P2055" s="215"/>
      <c r="Q2055" s="199" t="s">
        <v>66</v>
      </c>
      <c r="R2055" s="215"/>
      <c r="S2055" s="216" t="s">
        <v>1529</v>
      </c>
      <c r="T2055" s="217"/>
      <c r="U2055" s="217"/>
      <c r="V2055" s="217"/>
      <c r="W2055" s="217"/>
      <c r="X2055" s="217"/>
      <c r="Y2055" s="217"/>
      <c r="Z2055" s="218"/>
      <c r="AA2055" s="219" t="s">
        <v>6446</v>
      </c>
      <c r="AB2055" s="220" t="s">
        <v>61</v>
      </c>
      <c r="AC2055" s="221" t="s">
        <v>61</v>
      </c>
      <c r="AD2055" s="222" t="s">
        <v>61</v>
      </c>
      <c r="AE2055" s="222" t="s">
        <v>61</v>
      </c>
      <c r="AF2055" s="221" t="s">
        <v>61</v>
      </c>
      <c r="AG2055" s="221" t="s">
        <v>61</v>
      </c>
      <c r="AH2055" s="221" t="s">
        <v>61</v>
      </c>
      <c r="AI2055" s="221" t="s">
        <v>61</v>
      </c>
      <c r="AJ2055" s="223" t="s">
        <v>61</v>
      </c>
      <c r="AK2055" s="218"/>
    </row>
    <row r="2056" ht="24.0" customHeight="1">
      <c r="A2056" s="35"/>
      <c r="B2056" s="211" t="s">
        <v>2969</v>
      </c>
      <c r="C2056" s="37" t="str">
        <f>IFERROR(__xludf.DUMMYFUNCTION("""COMPUTED_VALUE"""),"Gavin Greathouse (4) - '27 RHP FL")</f>
        <v>Gavin Greathouse (4) - '27 RHP FL</v>
      </c>
      <c r="D2056" s="89" t="s">
        <v>6447</v>
      </c>
      <c r="E2056" s="224" t="s">
        <v>63</v>
      </c>
      <c r="F2056" s="225">
        <v>46174.0</v>
      </c>
      <c r="G2056" s="123" t="s">
        <v>1430</v>
      </c>
      <c r="H2056" s="123" t="s">
        <v>788</v>
      </c>
      <c r="I2056" s="123" t="s">
        <v>6448</v>
      </c>
      <c r="J2056" s="226" t="s">
        <v>4637</v>
      </c>
      <c r="K2056" s="226" t="s">
        <v>4631</v>
      </c>
      <c r="L2056" s="227"/>
      <c r="M2056" s="123" t="s">
        <v>63</v>
      </c>
      <c r="N2056" s="123"/>
      <c r="O2056" s="227"/>
      <c r="P2056" s="227"/>
      <c r="Q2056" s="123" t="s">
        <v>66</v>
      </c>
      <c r="R2056" s="227"/>
      <c r="S2056" s="228" t="s">
        <v>1632</v>
      </c>
      <c r="T2056" s="229"/>
      <c r="U2056" s="229"/>
      <c r="V2056" s="229"/>
      <c r="W2056" s="229"/>
      <c r="X2056" s="229"/>
      <c r="Y2056" s="229"/>
      <c r="Z2056" s="230"/>
      <c r="AA2056" s="231" t="s">
        <v>6449</v>
      </c>
      <c r="AB2056" s="232" t="s">
        <v>61</v>
      </c>
      <c r="AC2056" s="233" t="s">
        <v>61</v>
      </c>
      <c r="AD2056" s="234" t="s">
        <v>61</v>
      </c>
      <c r="AE2056" s="234" t="s">
        <v>61</v>
      </c>
      <c r="AF2056" s="233" t="s">
        <v>61</v>
      </c>
      <c r="AG2056" s="233" t="s">
        <v>61</v>
      </c>
      <c r="AH2056" s="233" t="s">
        <v>61</v>
      </c>
      <c r="AI2056" s="233" t="s">
        <v>61</v>
      </c>
      <c r="AJ2056" s="235" t="s">
        <v>61</v>
      </c>
      <c r="AK2056" s="230"/>
    </row>
    <row r="2057" ht="24.0" customHeight="1">
      <c r="A2057" s="35"/>
      <c r="B2057" s="211" t="s">
        <v>2969</v>
      </c>
      <c r="C2057" s="37" t="str">
        <f>IFERROR(__xludf.DUMMYFUNCTION("""COMPUTED_VALUE"""),"Bennett Johnston (4) - '27 RHP FL")</f>
        <v>Bennett Johnston (4) - '27 RHP FL</v>
      </c>
      <c r="D2057" s="89" t="s">
        <v>6450</v>
      </c>
      <c r="E2057" s="212" t="s">
        <v>63</v>
      </c>
      <c r="F2057" s="213">
        <v>46174.0</v>
      </c>
      <c r="G2057" s="199" t="s">
        <v>1430</v>
      </c>
      <c r="H2057" s="199" t="s">
        <v>6248</v>
      </c>
      <c r="I2057" s="199" t="s">
        <v>635</v>
      </c>
      <c r="J2057" s="214" t="s">
        <v>4637</v>
      </c>
      <c r="K2057" s="214" t="s">
        <v>4631</v>
      </c>
      <c r="L2057" s="215"/>
      <c r="M2057" s="199" t="s">
        <v>63</v>
      </c>
      <c r="N2057" s="199"/>
      <c r="O2057" s="215"/>
      <c r="P2057" s="215"/>
      <c r="Q2057" s="199" t="s">
        <v>66</v>
      </c>
      <c r="R2057" s="215"/>
      <c r="S2057" s="216" t="s">
        <v>1632</v>
      </c>
      <c r="T2057" s="217"/>
      <c r="U2057" s="217"/>
      <c r="V2057" s="217"/>
      <c r="W2057" s="217"/>
      <c r="X2057" s="217"/>
      <c r="Y2057" s="217"/>
      <c r="Z2057" s="218"/>
      <c r="AA2057" s="219" t="s">
        <v>6449</v>
      </c>
      <c r="AB2057" s="220" t="s">
        <v>61</v>
      </c>
      <c r="AC2057" s="221" t="s">
        <v>61</v>
      </c>
      <c r="AD2057" s="222" t="s">
        <v>61</v>
      </c>
      <c r="AE2057" s="222" t="s">
        <v>61</v>
      </c>
      <c r="AF2057" s="221" t="s">
        <v>61</v>
      </c>
      <c r="AG2057" s="221" t="s">
        <v>61</v>
      </c>
      <c r="AH2057" s="221" t="s">
        <v>61</v>
      </c>
      <c r="AI2057" s="221" t="s">
        <v>61</v>
      </c>
      <c r="AJ2057" s="223" t="s">
        <v>61</v>
      </c>
      <c r="AK2057" s="218"/>
    </row>
    <row r="2058" ht="24.0" customHeight="1">
      <c r="A2058" s="35"/>
      <c r="B2058" s="211" t="s">
        <v>2969</v>
      </c>
      <c r="C2058" s="37" t="str">
        <f>IFERROR(__xludf.DUMMYFUNCTION("""COMPUTED_VALUE"""),"Xavier Roman-Gianuzzi (4) - '27 RHP FL")</f>
        <v>Xavier Roman-Gianuzzi (4) - '27 RHP FL</v>
      </c>
      <c r="D2058" s="89" t="s">
        <v>6451</v>
      </c>
      <c r="E2058" s="224" t="s">
        <v>63</v>
      </c>
      <c r="F2058" s="225">
        <v>46174.0</v>
      </c>
      <c r="G2058" s="123" t="s">
        <v>1430</v>
      </c>
      <c r="H2058" s="123" t="s">
        <v>1311</v>
      </c>
      <c r="I2058" s="123" t="s">
        <v>6452</v>
      </c>
      <c r="J2058" s="226" t="s">
        <v>4637</v>
      </c>
      <c r="K2058" s="226" t="s">
        <v>4631</v>
      </c>
      <c r="L2058" s="227"/>
      <c r="M2058" s="123" t="s">
        <v>63</v>
      </c>
      <c r="N2058" s="123" t="s">
        <v>48</v>
      </c>
      <c r="O2058" s="227"/>
      <c r="P2058" s="227"/>
      <c r="Q2058" s="123" t="s">
        <v>66</v>
      </c>
      <c r="R2058" s="227"/>
      <c r="S2058" s="228" t="s">
        <v>1632</v>
      </c>
      <c r="T2058" s="229"/>
      <c r="U2058" s="229"/>
      <c r="V2058" s="229"/>
      <c r="W2058" s="229"/>
      <c r="X2058" s="229"/>
      <c r="Y2058" s="229"/>
      <c r="Z2058" s="230"/>
      <c r="AA2058" s="231" t="s">
        <v>6453</v>
      </c>
      <c r="AB2058" s="232" t="s">
        <v>61</v>
      </c>
      <c r="AC2058" s="233" t="s">
        <v>61</v>
      </c>
      <c r="AD2058" s="234" t="s">
        <v>61</v>
      </c>
      <c r="AE2058" s="234" t="s">
        <v>61</v>
      </c>
      <c r="AF2058" s="233" t="s">
        <v>61</v>
      </c>
      <c r="AG2058" s="233" t="s">
        <v>61</v>
      </c>
      <c r="AH2058" s="233" t="s">
        <v>61</v>
      </c>
      <c r="AI2058" s="233" t="s">
        <v>61</v>
      </c>
      <c r="AJ2058" s="235" t="s">
        <v>61</v>
      </c>
      <c r="AK2058" s="230"/>
    </row>
    <row r="2059" ht="24.0" customHeight="1">
      <c r="A2059" s="35"/>
      <c r="B2059" s="211" t="s">
        <v>2969</v>
      </c>
      <c r="C2059" s="37" t="str">
        <f>IFERROR(__xludf.DUMMYFUNCTION("""COMPUTED_VALUE"""),"Matthew Wetherell (4) - '27 C FL")</f>
        <v>Matthew Wetherell (4) - '27 C FL</v>
      </c>
      <c r="D2059" s="89" t="s">
        <v>6454</v>
      </c>
      <c r="E2059" s="212" t="s">
        <v>109</v>
      </c>
      <c r="F2059" s="213">
        <v>46174.0</v>
      </c>
      <c r="G2059" s="199" t="s">
        <v>1430</v>
      </c>
      <c r="H2059" s="199" t="s">
        <v>312</v>
      </c>
      <c r="I2059" s="199" t="s">
        <v>6455</v>
      </c>
      <c r="J2059" s="214" t="s">
        <v>4637</v>
      </c>
      <c r="K2059" s="214" t="s">
        <v>4631</v>
      </c>
      <c r="L2059" s="215"/>
      <c r="M2059" s="199" t="s">
        <v>109</v>
      </c>
      <c r="N2059" s="199"/>
      <c r="O2059" s="215"/>
      <c r="P2059" s="215"/>
      <c r="Q2059" s="199" t="s">
        <v>66</v>
      </c>
      <c r="R2059" s="215"/>
      <c r="S2059" s="216" t="s">
        <v>1632</v>
      </c>
      <c r="T2059" s="217"/>
      <c r="U2059" s="217"/>
      <c r="V2059" s="217"/>
      <c r="W2059" s="217"/>
      <c r="X2059" s="217"/>
      <c r="Y2059" s="217"/>
      <c r="Z2059" s="218"/>
      <c r="AA2059" s="219" t="s">
        <v>6453</v>
      </c>
      <c r="AB2059" s="220" t="s">
        <v>61</v>
      </c>
      <c r="AC2059" s="221" t="s">
        <v>61</v>
      </c>
      <c r="AD2059" s="222" t="s">
        <v>61</v>
      </c>
      <c r="AE2059" s="222" t="s">
        <v>61</v>
      </c>
      <c r="AF2059" s="221" t="s">
        <v>61</v>
      </c>
      <c r="AG2059" s="221" t="s">
        <v>61</v>
      </c>
      <c r="AH2059" s="221" t="s">
        <v>61</v>
      </c>
      <c r="AI2059" s="221" t="s">
        <v>61</v>
      </c>
      <c r="AJ2059" s="223" t="s">
        <v>61</v>
      </c>
      <c r="AK2059" s="218"/>
    </row>
    <row r="2060" ht="24.0" customHeight="1">
      <c r="A2060" s="35"/>
      <c r="B2060" s="211" t="s">
        <v>2969</v>
      </c>
      <c r="C2060" s="37" t="str">
        <f>IFERROR(__xludf.DUMMYFUNCTION("""COMPUTED_VALUE"""),"Mason Desai (4) - '27  TX")</f>
        <v>Mason Desai (4) - '27  TX</v>
      </c>
      <c r="D2060" s="89" t="s">
        <v>6456</v>
      </c>
      <c r="E2060" s="224" t="s">
        <v>61</v>
      </c>
      <c r="F2060" s="225">
        <v>46174.0</v>
      </c>
      <c r="G2060" s="123" t="s">
        <v>1430</v>
      </c>
      <c r="H2060" s="123" t="s">
        <v>1057</v>
      </c>
      <c r="I2060" s="123" t="s">
        <v>6457</v>
      </c>
      <c r="J2060" s="226" t="s">
        <v>4637</v>
      </c>
      <c r="K2060" s="226" t="s">
        <v>4631</v>
      </c>
      <c r="L2060" s="227"/>
      <c r="M2060" s="123"/>
      <c r="N2060" s="123"/>
      <c r="O2060" s="227"/>
      <c r="P2060" s="227"/>
      <c r="Q2060" s="123" t="s">
        <v>180</v>
      </c>
      <c r="R2060" s="227"/>
      <c r="S2060" s="228" t="s">
        <v>1884</v>
      </c>
      <c r="T2060" s="229"/>
      <c r="U2060" s="229"/>
      <c r="V2060" s="229"/>
      <c r="W2060" s="229"/>
      <c r="X2060" s="229"/>
      <c r="Y2060" s="229"/>
      <c r="Z2060" s="230"/>
      <c r="AA2060" s="231" t="s">
        <v>6458</v>
      </c>
      <c r="AB2060" s="232" t="s">
        <v>61</v>
      </c>
      <c r="AC2060" s="233" t="s">
        <v>61</v>
      </c>
      <c r="AD2060" s="234" t="s">
        <v>61</v>
      </c>
      <c r="AE2060" s="234" t="s">
        <v>61</v>
      </c>
      <c r="AF2060" s="233" t="s">
        <v>61</v>
      </c>
      <c r="AG2060" s="233" t="s">
        <v>61</v>
      </c>
      <c r="AH2060" s="233" t="s">
        <v>61</v>
      </c>
      <c r="AI2060" s="233" t="s">
        <v>61</v>
      </c>
      <c r="AJ2060" s="235" t="s">
        <v>61</v>
      </c>
      <c r="AK2060" s="230"/>
    </row>
    <row r="2061" ht="24.0" customHeight="1">
      <c r="A2061" s="35"/>
      <c r="B2061" s="211" t="s">
        <v>2969</v>
      </c>
      <c r="C2061" s="37" t="str">
        <f>IFERROR(__xludf.DUMMYFUNCTION("""COMPUTED_VALUE"""),"Noah Powell (4) - '27  ")</f>
        <v>Noah Powell (4) - '27  </v>
      </c>
      <c r="D2061" s="89" t="s">
        <v>6459</v>
      </c>
      <c r="E2061" s="212" t="s">
        <v>61</v>
      </c>
      <c r="F2061" s="213">
        <v>46174.0</v>
      </c>
      <c r="G2061" s="199" t="s">
        <v>1430</v>
      </c>
      <c r="H2061" s="199" t="s">
        <v>49</v>
      </c>
      <c r="I2061" s="199" t="s">
        <v>1685</v>
      </c>
      <c r="J2061" s="214" t="s">
        <v>4637</v>
      </c>
      <c r="K2061" s="214" t="s">
        <v>4631</v>
      </c>
      <c r="L2061" s="215"/>
      <c r="M2061" s="199"/>
      <c r="N2061" s="199"/>
      <c r="O2061" s="215"/>
      <c r="P2061" s="215"/>
      <c r="Q2061" s="199"/>
      <c r="R2061" s="215"/>
      <c r="S2061" s="216" t="s">
        <v>1884</v>
      </c>
      <c r="T2061" s="217"/>
      <c r="U2061" s="217"/>
      <c r="V2061" s="217"/>
      <c r="W2061" s="217"/>
      <c r="X2061" s="217"/>
      <c r="Y2061" s="217"/>
      <c r="Z2061" s="218"/>
      <c r="AA2061" s="219" t="s">
        <v>6458</v>
      </c>
      <c r="AB2061" s="220" t="s">
        <v>61</v>
      </c>
      <c r="AC2061" s="221" t="s">
        <v>61</v>
      </c>
      <c r="AD2061" s="222" t="s">
        <v>61</v>
      </c>
      <c r="AE2061" s="222" t="s">
        <v>61</v>
      </c>
      <c r="AF2061" s="221" t="s">
        <v>61</v>
      </c>
      <c r="AG2061" s="221" t="s">
        <v>61</v>
      </c>
      <c r="AH2061" s="221" t="s">
        <v>61</v>
      </c>
      <c r="AI2061" s="221" t="s">
        <v>61</v>
      </c>
      <c r="AJ2061" s="223" t="s">
        <v>61</v>
      </c>
      <c r="AK2061" s="218"/>
    </row>
    <row r="2062" ht="24.0" customHeight="1">
      <c r="A2062" s="35"/>
      <c r="B2062" s="211" t="s">
        <v>2969</v>
      </c>
      <c r="C2062" s="37" t="str">
        <f>IFERROR(__xludf.DUMMYFUNCTION("""COMPUTED_VALUE"""),"Owen Finke (4) - '27  ")</f>
        <v>Owen Finke (4) - '27  </v>
      </c>
      <c r="D2062" s="89" t="s">
        <v>6460</v>
      </c>
      <c r="E2062" s="224" t="s">
        <v>61</v>
      </c>
      <c r="F2062" s="225">
        <v>46174.0</v>
      </c>
      <c r="G2062" s="123" t="s">
        <v>1430</v>
      </c>
      <c r="H2062" s="123" t="s">
        <v>64</v>
      </c>
      <c r="I2062" s="123" t="s">
        <v>6461</v>
      </c>
      <c r="J2062" s="226" t="s">
        <v>4637</v>
      </c>
      <c r="K2062" s="226" t="s">
        <v>4631</v>
      </c>
      <c r="L2062" s="227"/>
      <c r="M2062" s="123"/>
      <c r="N2062" s="123"/>
      <c r="O2062" s="227"/>
      <c r="P2062" s="227"/>
      <c r="Q2062" s="123"/>
      <c r="R2062" s="227"/>
      <c r="S2062" s="228" t="s">
        <v>1884</v>
      </c>
      <c r="T2062" s="229"/>
      <c r="U2062" s="229"/>
      <c r="V2062" s="229"/>
      <c r="W2062" s="229"/>
      <c r="X2062" s="229"/>
      <c r="Y2062" s="229"/>
      <c r="Z2062" s="230"/>
      <c r="AA2062" s="231" t="s">
        <v>6458</v>
      </c>
      <c r="AB2062" s="232" t="s">
        <v>61</v>
      </c>
      <c r="AC2062" s="233" t="s">
        <v>61</v>
      </c>
      <c r="AD2062" s="234" t="s">
        <v>61</v>
      </c>
      <c r="AE2062" s="234" t="s">
        <v>61</v>
      </c>
      <c r="AF2062" s="233" t="s">
        <v>61</v>
      </c>
      <c r="AG2062" s="233" t="s">
        <v>61</v>
      </c>
      <c r="AH2062" s="233" t="s">
        <v>61</v>
      </c>
      <c r="AI2062" s="233" t="s">
        <v>61</v>
      </c>
      <c r="AJ2062" s="235" t="s">
        <v>61</v>
      </c>
      <c r="AK2062" s="230"/>
    </row>
    <row r="2063" ht="24.0" customHeight="1">
      <c r="A2063" s="35"/>
      <c r="B2063" s="211" t="s">
        <v>2969</v>
      </c>
      <c r="C2063" s="37" t="str">
        <f>IFERROR(__xludf.DUMMYFUNCTION("""COMPUTED_VALUE"""),"Jayden Morales (4) - '27  ")</f>
        <v>Jayden Morales (4) - '27  </v>
      </c>
      <c r="D2063" s="89" t="s">
        <v>6462</v>
      </c>
      <c r="E2063" s="212" t="s">
        <v>61</v>
      </c>
      <c r="F2063" s="213">
        <v>46174.0</v>
      </c>
      <c r="G2063" s="199" t="s">
        <v>1430</v>
      </c>
      <c r="H2063" s="199" t="s">
        <v>2882</v>
      </c>
      <c r="I2063" s="199" t="s">
        <v>6463</v>
      </c>
      <c r="J2063" s="214" t="s">
        <v>4637</v>
      </c>
      <c r="K2063" s="214" t="s">
        <v>4631</v>
      </c>
      <c r="L2063" s="215"/>
      <c r="M2063" s="199"/>
      <c r="N2063" s="199"/>
      <c r="O2063" s="215"/>
      <c r="P2063" s="215"/>
      <c r="Q2063" s="199"/>
      <c r="R2063" s="215"/>
      <c r="S2063" s="216" t="s">
        <v>1884</v>
      </c>
      <c r="T2063" s="217"/>
      <c r="U2063" s="217"/>
      <c r="V2063" s="217"/>
      <c r="W2063" s="217"/>
      <c r="X2063" s="217"/>
      <c r="Y2063" s="217"/>
      <c r="Z2063" s="218"/>
      <c r="AA2063" s="219" t="s">
        <v>6458</v>
      </c>
      <c r="AB2063" s="220" t="s">
        <v>61</v>
      </c>
      <c r="AC2063" s="221" t="s">
        <v>61</v>
      </c>
      <c r="AD2063" s="222" t="s">
        <v>61</v>
      </c>
      <c r="AE2063" s="222" t="s">
        <v>61</v>
      </c>
      <c r="AF2063" s="221" t="s">
        <v>61</v>
      </c>
      <c r="AG2063" s="221" t="s">
        <v>61</v>
      </c>
      <c r="AH2063" s="221" t="s">
        <v>61</v>
      </c>
      <c r="AI2063" s="221" t="s">
        <v>61</v>
      </c>
      <c r="AJ2063" s="223" t="s">
        <v>61</v>
      </c>
      <c r="AK2063" s="218"/>
    </row>
    <row r="2064" ht="24.0" customHeight="1">
      <c r="A2064" s="35"/>
      <c r="B2064" s="211" t="s">
        <v>2969</v>
      </c>
      <c r="C2064" s="37" t="str">
        <f>IFERROR(__xludf.DUMMYFUNCTION("""COMPUTED_VALUE"""),"Nick Franklin (4) - '27 OF ")</f>
        <v>Nick Franklin (4) - '27 OF </v>
      </c>
      <c r="D2064" s="89" t="s">
        <v>6464</v>
      </c>
      <c r="E2064" s="224" t="s">
        <v>103</v>
      </c>
      <c r="F2064" s="225">
        <v>46175.0</v>
      </c>
      <c r="G2064" s="123" t="s">
        <v>1430</v>
      </c>
      <c r="H2064" s="123" t="s">
        <v>1123</v>
      </c>
      <c r="I2064" s="123" t="s">
        <v>1391</v>
      </c>
      <c r="J2064" s="226" t="s">
        <v>4637</v>
      </c>
      <c r="K2064" s="226" t="s">
        <v>4631</v>
      </c>
      <c r="L2064" s="227"/>
      <c r="M2064" s="123" t="s">
        <v>103</v>
      </c>
      <c r="N2064" s="123"/>
      <c r="O2064" s="227"/>
      <c r="P2064" s="227"/>
      <c r="Q2064" s="123"/>
      <c r="R2064" s="227"/>
      <c r="S2064" s="228" t="s">
        <v>1539</v>
      </c>
      <c r="T2064" s="229"/>
      <c r="U2064" s="229"/>
      <c r="V2064" s="229"/>
      <c r="W2064" s="229"/>
      <c r="X2064" s="229"/>
      <c r="Y2064" s="229"/>
      <c r="Z2064" s="230"/>
      <c r="AA2064" s="231"/>
      <c r="AB2064" s="232" t="s">
        <v>61</v>
      </c>
      <c r="AC2064" s="233" t="s">
        <v>61</v>
      </c>
      <c r="AD2064" s="234" t="s">
        <v>61</v>
      </c>
      <c r="AE2064" s="234" t="s">
        <v>61</v>
      </c>
      <c r="AF2064" s="233" t="s">
        <v>61</v>
      </c>
      <c r="AG2064" s="233" t="s">
        <v>61</v>
      </c>
      <c r="AH2064" s="233" t="s">
        <v>61</v>
      </c>
      <c r="AI2064" s="233" t="s">
        <v>61</v>
      </c>
      <c r="AJ2064" s="235" t="s">
        <v>61</v>
      </c>
      <c r="AK2064" s="230"/>
    </row>
    <row r="2065" ht="24.0" customHeight="1">
      <c r="A2065" s="35"/>
      <c r="B2065" s="211" t="s">
        <v>2969</v>
      </c>
      <c r="C2065" s="37" t="str">
        <f>IFERROR(__xludf.DUMMYFUNCTION("""COMPUTED_VALUE"""),"Ttey Slavik (4) - '27 INF ")</f>
        <v>Ttey Slavik (4) - '27 INF </v>
      </c>
      <c r="D2065" s="89" t="s">
        <v>6465</v>
      </c>
      <c r="E2065" s="212" t="s">
        <v>48</v>
      </c>
      <c r="F2065" s="213">
        <v>46175.0</v>
      </c>
      <c r="G2065" s="199" t="s">
        <v>1430</v>
      </c>
      <c r="H2065" s="199" t="s">
        <v>6466</v>
      </c>
      <c r="I2065" s="199" t="s">
        <v>4680</v>
      </c>
      <c r="J2065" s="214" t="s">
        <v>4637</v>
      </c>
      <c r="K2065" s="214" t="s">
        <v>4631</v>
      </c>
      <c r="L2065" s="215"/>
      <c r="M2065" s="199" t="s">
        <v>48</v>
      </c>
      <c r="N2065" s="199"/>
      <c r="O2065" s="215"/>
      <c r="P2065" s="215"/>
      <c r="Q2065" s="199"/>
      <c r="R2065" s="215"/>
      <c r="S2065" s="216" t="s">
        <v>1539</v>
      </c>
      <c r="T2065" s="217"/>
      <c r="U2065" s="217"/>
      <c r="V2065" s="217"/>
      <c r="W2065" s="217"/>
      <c r="X2065" s="217"/>
      <c r="Y2065" s="217"/>
      <c r="Z2065" s="218"/>
      <c r="AA2065" s="219"/>
      <c r="AB2065" s="220" t="s">
        <v>61</v>
      </c>
      <c r="AC2065" s="221" t="s">
        <v>61</v>
      </c>
      <c r="AD2065" s="222" t="s">
        <v>61</v>
      </c>
      <c r="AE2065" s="222" t="s">
        <v>61</v>
      </c>
      <c r="AF2065" s="221" t="s">
        <v>61</v>
      </c>
      <c r="AG2065" s="221" t="s">
        <v>61</v>
      </c>
      <c r="AH2065" s="221" t="s">
        <v>61</v>
      </c>
      <c r="AI2065" s="221" t="s">
        <v>61</v>
      </c>
      <c r="AJ2065" s="223" t="s">
        <v>61</v>
      </c>
      <c r="AK2065" s="218"/>
    </row>
    <row r="2066" ht="24.0" customHeight="1">
      <c r="A2066" s="35"/>
      <c r="B2066" s="211" t="s">
        <v>2969</v>
      </c>
      <c r="C2066" s="37" t="str">
        <f>IFERROR(__xludf.DUMMYFUNCTION("""COMPUTED_VALUE"""),"Colton Rodgers (4) - '27 RHP ")</f>
        <v>Colton Rodgers (4) - '27 RHP </v>
      </c>
      <c r="D2066" s="89" t="s">
        <v>6467</v>
      </c>
      <c r="E2066" s="224" t="s">
        <v>63</v>
      </c>
      <c r="F2066" s="225">
        <v>46175.0</v>
      </c>
      <c r="G2066" s="123" t="s">
        <v>1430</v>
      </c>
      <c r="H2066" s="123" t="s">
        <v>233</v>
      </c>
      <c r="I2066" s="123" t="s">
        <v>6468</v>
      </c>
      <c r="J2066" s="226" t="s">
        <v>4637</v>
      </c>
      <c r="K2066" s="226" t="s">
        <v>4631</v>
      </c>
      <c r="L2066" s="227"/>
      <c r="M2066" s="123" t="s">
        <v>63</v>
      </c>
      <c r="N2066" s="123"/>
      <c r="O2066" s="227"/>
      <c r="P2066" s="227"/>
      <c r="Q2066" s="123"/>
      <c r="R2066" s="227"/>
      <c r="S2066" s="228" t="s">
        <v>1539</v>
      </c>
      <c r="T2066" s="229"/>
      <c r="U2066" s="229"/>
      <c r="V2066" s="229"/>
      <c r="W2066" s="229"/>
      <c r="X2066" s="229"/>
      <c r="Y2066" s="229"/>
      <c r="Z2066" s="230"/>
      <c r="AA2066" s="231"/>
      <c r="AB2066" s="232" t="s">
        <v>61</v>
      </c>
      <c r="AC2066" s="233" t="s">
        <v>61</v>
      </c>
      <c r="AD2066" s="234" t="s">
        <v>61</v>
      </c>
      <c r="AE2066" s="234" t="s">
        <v>61</v>
      </c>
      <c r="AF2066" s="233" t="s">
        <v>61</v>
      </c>
      <c r="AG2066" s="233" t="s">
        <v>61</v>
      </c>
      <c r="AH2066" s="233" t="s">
        <v>61</v>
      </c>
      <c r="AI2066" s="233" t="s">
        <v>61</v>
      </c>
      <c r="AJ2066" s="235" t="s">
        <v>61</v>
      </c>
      <c r="AK2066" s="230"/>
    </row>
    <row r="2067" ht="24.0" customHeight="1">
      <c r="A2067" s="35"/>
      <c r="B2067" s="211" t="s">
        <v>2969</v>
      </c>
      <c r="C2067" s="37" t="str">
        <f>IFERROR(__xludf.DUMMYFUNCTION("""COMPUTED_VALUE"""),"Croix DiBacco (2) - '27 RHP ")</f>
        <v>Croix DiBacco (2) - '27 RHP </v>
      </c>
      <c r="D2067" s="89" t="s">
        <v>6469</v>
      </c>
      <c r="E2067" s="212" t="s">
        <v>63</v>
      </c>
      <c r="F2067" s="213">
        <v>46175.0</v>
      </c>
      <c r="G2067" s="199" t="s">
        <v>1430</v>
      </c>
      <c r="H2067" s="199" t="s">
        <v>6470</v>
      </c>
      <c r="I2067" s="199" t="s">
        <v>6471</v>
      </c>
      <c r="J2067" s="55">
        <v>2027.0</v>
      </c>
      <c r="K2067" s="199">
        <v>2.0</v>
      </c>
      <c r="L2067" s="215"/>
      <c r="M2067" s="199" t="s">
        <v>63</v>
      </c>
      <c r="N2067" s="199"/>
      <c r="O2067" s="215"/>
      <c r="P2067" s="215"/>
      <c r="Q2067" s="199"/>
      <c r="R2067" s="215"/>
      <c r="S2067" s="216" t="s">
        <v>1539</v>
      </c>
      <c r="T2067" s="217"/>
      <c r="U2067" s="217"/>
      <c r="V2067" s="217"/>
      <c r="W2067" s="217"/>
      <c r="X2067" s="217"/>
      <c r="Y2067" s="217"/>
      <c r="Z2067" s="218"/>
      <c r="AA2067" s="219"/>
      <c r="AB2067" s="220" t="s">
        <v>61</v>
      </c>
      <c r="AC2067" s="221" t="s">
        <v>61</v>
      </c>
      <c r="AD2067" s="222" t="s">
        <v>61</v>
      </c>
      <c r="AE2067" s="222" t="s">
        <v>61</v>
      </c>
      <c r="AF2067" s="221" t="s">
        <v>61</v>
      </c>
      <c r="AG2067" s="221" t="s">
        <v>61</v>
      </c>
      <c r="AH2067" s="221" t="s">
        <v>61</v>
      </c>
      <c r="AI2067" s="221" t="s">
        <v>61</v>
      </c>
      <c r="AJ2067" s="223" t="s">
        <v>61</v>
      </c>
      <c r="AK2067" s="218"/>
    </row>
    <row r="2068" ht="24.0" customHeight="1">
      <c r="A2068" s="35"/>
      <c r="B2068" s="211" t="s">
        <v>2969</v>
      </c>
      <c r="C2068" s="37" t="str">
        <f>IFERROR(__xludf.DUMMYFUNCTION("""COMPUTED_VALUE"""),"Beau Daniel (2) - '27 1B ")</f>
        <v>Beau Daniel (2) - '27 1B </v>
      </c>
      <c r="D2068" s="89" t="s">
        <v>6472</v>
      </c>
      <c r="E2068" s="224" t="s">
        <v>48</v>
      </c>
      <c r="F2068" s="225">
        <v>46175.0</v>
      </c>
      <c r="G2068" s="123" t="s">
        <v>1430</v>
      </c>
      <c r="H2068" s="123" t="s">
        <v>6473</v>
      </c>
      <c r="I2068" s="123" t="s">
        <v>5751</v>
      </c>
      <c r="J2068" s="43">
        <v>2027.0</v>
      </c>
      <c r="K2068" s="123">
        <v>2.0</v>
      </c>
      <c r="L2068" s="227"/>
      <c r="M2068" s="123" t="s">
        <v>1972</v>
      </c>
      <c r="N2068" s="123"/>
      <c r="O2068" s="227"/>
      <c r="P2068" s="227"/>
      <c r="Q2068" s="123"/>
      <c r="R2068" s="227"/>
      <c r="S2068" s="228" t="s">
        <v>1450</v>
      </c>
      <c r="T2068" s="229"/>
      <c r="U2068" s="229"/>
      <c r="V2068" s="229"/>
      <c r="W2068" s="229"/>
      <c r="X2068" s="229"/>
      <c r="Y2068" s="229"/>
      <c r="Z2068" s="230"/>
      <c r="AA2068" s="231" t="s">
        <v>6474</v>
      </c>
      <c r="AB2068" s="232" t="s">
        <v>61</v>
      </c>
      <c r="AC2068" s="233" t="s">
        <v>61</v>
      </c>
      <c r="AD2068" s="234" t="s">
        <v>61</v>
      </c>
      <c r="AE2068" s="234" t="s">
        <v>61</v>
      </c>
      <c r="AF2068" s="233" t="s">
        <v>61</v>
      </c>
      <c r="AG2068" s="233" t="s">
        <v>61</v>
      </c>
      <c r="AH2068" s="233" t="s">
        <v>61</v>
      </c>
      <c r="AI2068" s="233" t="s">
        <v>61</v>
      </c>
      <c r="AJ2068" s="235" t="s">
        <v>61</v>
      </c>
      <c r="AK2068" s="230"/>
    </row>
    <row r="2069" ht="24.0" customHeight="1">
      <c r="A2069" s="35"/>
      <c r="B2069" s="211" t="s">
        <v>2969</v>
      </c>
      <c r="C2069" s="37" t="str">
        <f>IFERROR(__xludf.DUMMYFUNCTION("""COMPUTED_VALUE"""),"Jackson Perkins (4) - '27 RHP ")</f>
        <v>Jackson Perkins (4) - '27 RHP </v>
      </c>
      <c r="D2069" s="89" t="s">
        <v>6475</v>
      </c>
      <c r="E2069" s="212" t="s">
        <v>63</v>
      </c>
      <c r="F2069" s="213">
        <v>46175.0</v>
      </c>
      <c r="G2069" s="199" t="s">
        <v>1430</v>
      </c>
      <c r="H2069" s="199" t="s">
        <v>432</v>
      </c>
      <c r="I2069" s="199" t="s">
        <v>6476</v>
      </c>
      <c r="J2069" s="214" t="s">
        <v>4637</v>
      </c>
      <c r="K2069" s="214" t="s">
        <v>4631</v>
      </c>
      <c r="L2069" s="215"/>
      <c r="M2069" s="199" t="s">
        <v>63</v>
      </c>
      <c r="N2069" s="199"/>
      <c r="O2069" s="215"/>
      <c r="P2069" s="215"/>
      <c r="Q2069" s="199"/>
      <c r="R2069" s="215"/>
      <c r="S2069" s="216" t="s">
        <v>1450</v>
      </c>
      <c r="T2069" s="217"/>
      <c r="U2069" s="217"/>
      <c r="V2069" s="217"/>
      <c r="W2069" s="217"/>
      <c r="X2069" s="217"/>
      <c r="Y2069" s="217"/>
      <c r="Z2069" s="218"/>
      <c r="AA2069" s="219" t="s">
        <v>6477</v>
      </c>
      <c r="AB2069" s="220" t="s">
        <v>61</v>
      </c>
      <c r="AC2069" s="221" t="s">
        <v>61</v>
      </c>
      <c r="AD2069" s="222" t="s">
        <v>61</v>
      </c>
      <c r="AE2069" s="222" t="s">
        <v>61</v>
      </c>
      <c r="AF2069" s="221" t="s">
        <v>61</v>
      </c>
      <c r="AG2069" s="221" t="s">
        <v>61</v>
      </c>
      <c r="AH2069" s="221" t="s">
        <v>61</v>
      </c>
      <c r="AI2069" s="221" t="s">
        <v>61</v>
      </c>
      <c r="AJ2069" s="223" t="s">
        <v>61</v>
      </c>
      <c r="AK2069" s="218"/>
    </row>
    <row r="2070" ht="24.0" customHeight="1">
      <c r="A2070" s="35"/>
      <c r="B2070" s="211" t="s">
        <v>2969</v>
      </c>
      <c r="C2070" s="37" t="str">
        <f>IFERROR(__xludf.DUMMYFUNCTION("""COMPUTED_VALUE"""),"Hunter Simpson (4) - '27 RHP ")</f>
        <v>Hunter Simpson (4) - '27 RHP </v>
      </c>
      <c r="D2070" s="89" t="s">
        <v>6478</v>
      </c>
      <c r="E2070" s="224" t="s">
        <v>63</v>
      </c>
      <c r="F2070" s="225">
        <v>46175.0</v>
      </c>
      <c r="G2070" s="123" t="s">
        <v>1430</v>
      </c>
      <c r="H2070" s="123" t="s">
        <v>822</v>
      </c>
      <c r="I2070" s="123" t="s">
        <v>6479</v>
      </c>
      <c r="J2070" s="226" t="s">
        <v>4637</v>
      </c>
      <c r="K2070" s="226" t="s">
        <v>4631</v>
      </c>
      <c r="L2070" s="227"/>
      <c r="M2070" s="123" t="s">
        <v>63</v>
      </c>
      <c r="N2070" s="123"/>
      <c r="O2070" s="227"/>
      <c r="P2070" s="227"/>
      <c r="Q2070" s="123"/>
      <c r="R2070" s="227"/>
      <c r="S2070" s="228" t="s">
        <v>1450</v>
      </c>
      <c r="T2070" s="229"/>
      <c r="U2070" s="229"/>
      <c r="V2070" s="229"/>
      <c r="W2070" s="229"/>
      <c r="X2070" s="229"/>
      <c r="Y2070" s="229"/>
      <c r="Z2070" s="230"/>
      <c r="AA2070" s="231" t="s">
        <v>6480</v>
      </c>
      <c r="AB2070" s="232" t="s">
        <v>61</v>
      </c>
      <c r="AC2070" s="233" t="s">
        <v>61</v>
      </c>
      <c r="AD2070" s="234" t="s">
        <v>61</v>
      </c>
      <c r="AE2070" s="234" t="s">
        <v>61</v>
      </c>
      <c r="AF2070" s="233" t="s">
        <v>61</v>
      </c>
      <c r="AG2070" s="233" t="s">
        <v>61</v>
      </c>
      <c r="AH2070" s="233" t="s">
        <v>61</v>
      </c>
      <c r="AI2070" s="233" t="s">
        <v>61</v>
      </c>
      <c r="AJ2070" s="235" t="s">
        <v>61</v>
      </c>
      <c r="AK2070" s="230"/>
    </row>
    <row r="2071" ht="24.0" customHeight="1">
      <c r="A2071" s="35"/>
      <c r="B2071" s="211" t="s">
        <v>2969</v>
      </c>
      <c r="C2071" s="37" t="str">
        <f>IFERROR(__xludf.DUMMYFUNCTION("""COMPUTED_VALUE"""),"Wesley Thiry (4) - '28 RHP ")</f>
        <v>Wesley Thiry (4) - '28 RHP </v>
      </c>
      <c r="D2071" s="89" t="s">
        <v>6481</v>
      </c>
      <c r="E2071" s="212" t="s">
        <v>63</v>
      </c>
      <c r="F2071" s="213">
        <v>46175.0</v>
      </c>
      <c r="G2071" s="199" t="s">
        <v>1430</v>
      </c>
      <c r="H2071" s="199" t="s">
        <v>3100</v>
      </c>
      <c r="I2071" s="199" t="s">
        <v>6482</v>
      </c>
      <c r="J2071" s="214" t="s">
        <v>4630</v>
      </c>
      <c r="K2071" s="214" t="s">
        <v>4631</v>
      </c>
      <c r="L2071" s="215"/>
      <c r="M2071" s="199" t="s">
        <v>63</v>
      </c>
      <c r="N2071" s="199"/>
      <c r="O2071" s="215"/>
      <c r="P2071" s="215"/>
      <c r="Q2071" s="199"/>
      <c r="R2071" s="215"/>
      <c r="S2071" s="216" t="s">
        <v>6399</v>
      </c>
      <c r="T2071" s="217"/>
      <c r="U2071" s="217"/>
      <c r="V2071" s="217"/>
      <c r="W2071" s="217"/>
      <c r="X2071" s="217"/>
      <c r="Y2071" s="217"/>
      <c r="Z2071" s="218"/>
      <c r="AA2071" s="219" t="s">
        <v>6483</v>
      </c>
      <c r="AB2071" s="220" t="s">
        <v>61</v>
      </c>
      <c r="AC2071" s="221" t="s">
        <v>61</v>
      </c>
      <c r="AD2071" s="222" t="s">
        <v>61</v>
      </c>
      <c r="AE2071" s="222" t="s">
        <v>61</v>
      </c>
      <c r="AF2071" s="221" t="s">
        <v>61</v>
      </c>
      <c r="AG2071" s="221" t="s">
        <v>61</v>
      </c>
      <c r="AH2071" s="221" t="s">
        <v>61</v>
      </c>
      <c r="AI2071" s="221" t="s">
        <v>61</v>
      </c>
      <c r="AJ2071" s="223" t="s">
        <v>61</v>
      </c>
      <c r="AK2071" s="218"/>
    </row>
    <row r="2072" ht="24.0" customHeight="1">
      <c r="A2072" s="35"/>
      <c r="B2072" s="211" t="s">
        <v>2969</v>
      </c>
      <c r="C2072" s="37" t="str">
        <f>IFERROR(__xludf.DUMMYFUNCTION("""COMPUTED_VALUE"""),"Ezra Gandy (4) - '28 RHP ")</f>
        <v>Ezra Gandy (4) - '28 RHP </v>
      </c>
      <c r="D2072" s="89" t="s">
        <v>6484</v>
      </c>
      <c r="E2072" s="224" t="s">
        <v>63</v>
      </c>
      <c r="F2072" s="225">
        <v>46175.0</v>
      </c>
      <c r="G2072" s="123" t="s">
        <v>1430</v>
      </c>
      <c r="H2072" s="123" t="s">
        <v>6485</v>
      </c>
      <c r="I2072" s="123" t="s">
        <v>6486</v>
      </c>
      <c r="J2072" s="226" t="s">
        <v>4630</v>
      </c>
      <c r="K2072" s="226" t="s">
        <v>4631</v>
      </c>
      <c r="L2072" s="227"/>
      <c r="M2072" s="123" t="s">
        <v>63</v>
      </c>
      <c r="N2072" s="123"/>
      <c r="O2072" s="227"/>
      <c r="P2072" s="227"/>
      <c r="Q2072" s="123"/>
      <c r="R2072" s="227"/>
      <c r="S2072" s="228" t="s">
        <v>6399</v>
      </c>
      <c r="T2072" s="229"/>
      <c r="U2072" s="229"/>
      <c r="V2072" s="229"/>
      <c r="W2072" s="229"/>
      <c r="X2072" s="229"/>
      <c r="Y2072" s="229"/>
      <c r="Z2072" s="230"/>
      <c r="AA2072" s="231" t="s">
        <v>6458</v>
      </c>
      <c r="AB2072" s="232" t="s">
        <v>61</v>
      </c>
      <c r="AC2072" s="233" t="s">
        <v>61</v>
      </c>
      <c r="AD2072" s="234" t="s">
        <v>61</v>
      </c>
      <c r="AE2072" s="234" t="s">
        <v>61</v>
      </c>
      <c r="AF2072" s="233" t="s">
        <v>61</v>
      </c>
      <c r="AG2072" s="233" t="s">
        <v>61</v>
      </c>
      <c r="AH2072" s="233" t="s">
        <v>61</v>
      </c>
      <c r="AI2072" s="233" t="s">
        <v>61</v>
      </c>
      <c r="AJ2072" s="235" t="s">
        <v>61</v>
      </c>
      <c r="AK2072" s="230"/>
    </row>
    <row r="2073" ht="24.0" customHeight="1">
      <c r="A2073" s="35"/>
      <c r="B2073" s="211" t="s">
        <v>2969</v>
      </c>
      <c r="C2073" s="37" t="str">
        <f>IFERROR(__xludf.DUMMYFUNCTION("""COMPUTED_VALUE"""),"Beau Day (4) - '28 RHP ")</f>
        <v>Beau Day (4) - '28 RHP </v>
      </c>
      <c r="D2073" s="89" t="s">
        <v>6487</v>
      </c>
      <c r="E2073" s="212" t="s">
        <v>63</v>
      </c>
      <c r="F2073" s="213">
        <v>46175.0</v>
      </c>
      <c r="G2073" s="199" t="s">
        <v>1430</v>
      </c>
      <c r="H2073" s="199" t="s">
        <v>6473</v>
      </c>
      <c r="I2073" s="199" t="s">
        <v>6488</v>
      </c>
      <c r="J2073" s="214" t="s">
        <v>4630</v>
      </c>
      <c r="K2073" s="214" t="s">
        <v>4631</v>
      </c>
      <c r="L2073" s="215"/>
      <c r="M2073" s="199" t="s">
        <v>63</v>
      </c>
      <c r="N2073" s="199"/>
      <c r="O2073" s="215"/>
      <c r="P2073" s="215"/>
      <c r="Q2073" s="199"/>
      <c r="R2073" s="215"/>
      <c r="S2073" s="216" t="s">
        <v>6399</v>
      </c>
      <c r="T2073" s="217"/>
      <c r="U2073" s="217"/>
      <c r="V2073" s="217"/>
      <c r="W2073" s="217"/>
      <c r="X2073" s="217"/>
      <c r="Y2073" s="217"/>
      <c r="Z2073" s="218"/>
      <c r="AA2073" s="219" t="s">
        <v>6489</v>
      </c>
      <c r="AB2073" s="220" t="s">
        <v>61</v>
      </c>
      <c r="AC2073" s="221" t="s">
        <v>61</v>
      </c>
      <c r="AD2073" s="222" t="s">
        <v>61</v>
      </c>
      <c r="AE2073" s="222" t="s">
        <v>61</v>
      </c>
      <c r="AF2073" s="221" t="s">
        <v>61</v>
      </c>
      <c r="AG2073" s="221" t="s">
        <v>61</v>
      </c>
      <c r="AH2073" s="221" t="s">
        <v>61</v>
      </c>
      <c r="AI2073" s="221" t="s">
        <v>61</v>
      </c>
      <c r="AJ2073" s="223" t="s">
        <v>61</v>
      </c>
      <c r="AK2073" s="218"/>
    </row>
    <row r="2074" ht="24.0" customHeight="1">
      <c r="A2074" s="35"/>
      <c r="B2074" s="211" t="s">
        <v>2969</v>
      </c>
      <c r="C2074" s="37" t="str">
        <f>IFERROR(__xludf.DUMMYFUNCTION("""COMPUTED_VALUE"""),"Carson Mathews (4) - '27 INF ")</f>
        <v>Carson Mathews (4) - '27 INF </v>
      </c>
      <c r="D2074" s="89" t="s">
        <v>6490</v>
      </c>
      <c r="E2074" s="224" t="s">
        <v>48</v>
      </c>
      <c r="F2074" s="225">
        <v>46175.0</v>
      </c>
      <c r="G2074" s="123" t="s">
        <v>1430</v>
      </c>
      <c r="H2074" s="123" t="s">
        <v>599</v>
      </c>
      <c r="I2074" s="123" t="s">
        <v>6491</v>
      </c>
      <c r="J2074" s="226" t="s">
        <v>4637</v>
      </c>
      <c r="K2074" s="226" t="s">
        <v>4631</v>
      </c>
      <c r="L2074" s="227"/>
      <c r="M2074" s="123" t="s">
        <v>48</v>
      </c>
      <c r="N2074" s="123" t="s">
        <v>2907</v>
      </c>
      <c r="O2074" s="227"/>
      <c r="P2074" s="227"/>
      <c r="Q2074" s="123"/>
      <c r="R2074" s="227"/>
      <c r="S2074" s="228" t="s">
        <v>1753</v>
      </c>
      <c r="T2074" s="224" t="s">
        <v>6492</v>
      </c>
      <c r="U2074" s="229"/>
      <c r="V2074" s="229"/>
      <c r="W2074" s="229"/>
      <c r="X2074" s="229"/>
      <c r="Y2074" s="229"/>
      <c r="Z2074" s="230"/>
      <c r="AA2074" s="231" t="s">
        <v>6493</v>
      </c>
      <c r="AB2074" s="232" t="s">
        <v>61</v>
      </c>
      <c r="AC2074" s="233" t="s">
        <v>61</v>
      </c>
      <c r="AD2074" s="234" t="s">
        <v>61</v>
      </c>
      <c r="AE2074" s="234" t="s">
        <v>61</v>
      </c>
      <c r="AF2074" s="233" t="s">
        <v>61</v>
      </c>
      <c r="AG2074" s="233" t="s">
        <v>61</v>
      </c>
      <c r="AH2074" s="233" t="s">
        <v>61</v>
      </c>
      <c r="AI2074" s="233" t="s">
        <v>61</v>
      </c>
      <c r="AJ2074" s="235" t="s">
        <v>61</v>
      </c>
      <c r="AK2074" s="230"/>
    </row>
    <row r="2075" ht="24.0" customHeight="1">
      <c r="A2075" s="35"/>
      <c r="B2075" s="211" t="s">
        <v>2969</v>
      </c>
      <c r="C2075" s="37" t="str">
        <f>IFERROR(__xludf.DUMMYFUNCTION("""COMPUTED_VALUE"""),"Hudson Ridings (4) - '28 OF ")</f>
        <v>Hudson Ridings (4) - '28 OF </v>
      </c>
      <c r="D2075" s="89" t="s">
        <v>6494</v>
      </c>
      <c r="E2075" s="212" t="s">
        <v>103</v>
      </c>
      <c r="F2075" s="213">
        <v>46175.0</v>
      </c>
      <c r="G2075" s="199" t="s">
        <v>1430</v>
      </c>
      <c r="H2075" s="199" t="s">
        <v>1678</v>
      </c>
      <c r="I2075" s="199" t="s">
        <v>6495</v>
      </c>
      <c r="J2075" s="214" t="s">
        <v>4630</v>
      </c>
      <c r="K2075" s="214" t="s">
        <v>4631</v>
      </c>
      <c r="L2075" s="215"/>
      <c r="M2075" s="199" t="s">
        <v>103</v>
      </c>
      <c r="N2075" s="199"/>
      <c r="O2075" s="215"/>
      <c r="P2075" s="215"/>
      <c r="Q2075" s="199"/>
      <c r="R2075" s="215"/>
      <c r="S2075" s="216" t="s">
        <v>6399</v>
      </c>
      <c r="T2075" s="212"/>
      <c r="U2075" s="217"/>
      <c r="V2075" s="217"/>
      <c r="W2075" s="217"/>
      <c r="X2075" s="217"/>
      <c r="Y2075" s="217"/>
      <c r="Z2075" s="218"/>
      <c r="AA2075" s="219" t="s">
        <v>6496</v>
      </c>
      <c r="AB2075" s="220" t="s">
        <v>61</v>
      </c>
      <c r="AC2075" s="221" t="s">
        <v>61</v>
      </c>
      <c r="AD2075" s="222" t="s">
        <v>61</v>
      </c>
      <c r="AE2075" s="222" t="s">
        <v>61</v>
      </c>
      <c r="AF2075" s="221" t="s">
        <v>61</v>
      </c>
      <c r="AG2075" s="221" t="s">
        <v>61</v>
      </c>
      <c r="AH2075" s="221" t="s">
        <v>61</v>
      </c>
      <c r="AI2075" s="221" t="s">
        <v>61</v>
      </c>
      <c r="AJ2075" s="223" t="s">
        <v>61</v>
      </c>
      <c r="AK2075" s="218"/>
    </row>
    <row r="2076" ht="24.0" customHeight="1">
      <c r="A2076" s="35"/>
      <c r="B2076" s="211" t="s">
        <v>2969</v>
      </c>
      <c r="C2076" s="37" t="str">
        <f>IFERROR(__xludf.DUMMYFUNCTION("""COMPUTED_VALUE"""),"Nate Simmons (4) - '28 1B ")</f>
        <v>Nate Simmons (4) - '28 1B </v>
      </c>
      <c r="D2076" s="89" t="s">
        <v>6497</v>
      </c>
      <c r="E2076" s="224" t="s">
        <v>48</v>
      </c>
      <c r="F2076" s="225">
        <v>46175.0</v>
      </c>
      <c r="G2076" s="123" t="s">
        <v>1430</v>
      </c>
      <c r="H2076" s="123" t="s">
        <v>1109</v>
      </c>
      <c r="I2076" s="123" t="s">
        <v>6498</v>
      </c>
      <c r="J2076" s="226" t="s">
        <v>4630</v>
      </c>
      <c r="K2076" s="226" t="s">
        <v>4631</v>
      </c>
      <c r="L2076" s="227"/>
      <c r="M2076" s="123" t="s">
        <v>1972</v>
      </c>
      <c r="N2076" s="123"/>
      <c r="O2076" s="227"/>
      <c r="P2076" s="227"/>
      <c r="Q2076" s="123"/>
      <c r="R2076" s="227"/>
      <c r="S2076" s="228" t="s">
        <v>6399</v>
      </c>
      <c r="T2076" s="224"/>
      <c r="U2076" s="229"/>
      <c r="V2076" s="229"/>
      <c r="W2076" s="229"/>
      <c r="X2076" s="229"/>
      <c r="Y2076" s="229"/>
      <c r="Z2076" s="230"/>
      <c r="AA2076" s="231" t="s">
        <v>6458</v>
      </c>
      <c r="AB2076" s="232" t="s">
        <v>61</v>
      </c>
      <c r="AC2076" s="233" t="s">
        <v>61</v>
      </c>
      <c r="AD2076" s="234" t="s">
        <v>61</v>
      </c>
      <c r="AE2076" s="234" t="s">
        <v>61</v>
      </c>
      <c r="AF2076" s="233" t="s">
        <v>61</v>
      </c>
      <c r="AG2076" s="233" t="s">
        <v>61</v>
      </c>
      <c r="AH2076" s="233" t="s">
        <v>61</v>
      </c>
      <c r="AI2076" s="233" t="s">
        <v>61</v>
      </c>
      <c r="AJ2076" s="235" t="s">
        <v>61</v>
      </c>
      <c r="AK2076" s="230"/>
    </row>
    <row r="2077" ht="24.0" customHeight="1">
      <c r="A2077" s="35"/>
      <c r="B2077" s="211" t="s">
        <v>2969</v>
      </c>
      <c r="C2077" s="37" t="str">
        <f>IFERROR(__xludf.DUMMYFUNCTION("""COMPUTED_VALUE"""),"Kai Orr (4) - '27 OF GA")</f>
        <v>Kai Orr (4) - '27 OF GA</v>
      </c>
      <c r="D2077" s="89" t="s">
        <v>6499</v>
      </c>
      <c r="E2077" s="212" t="s">
        <v>103</v>
      </c>
      <c r="F2077" s="213">
        <v>46177.0</v>
      </c>
      <c r="G2077" s="199" t="s">
        <v>1430</v>
      </c>
      <c r="H2077" s="199" t="s">
        <v>4039</v>
      </c>
      <c r="I2077" s="199" t="s">
        <v>6500</v>
      </c>
      <c r="J2077" s="214" t="s">
        <v>4637</v>
      </c>
      <c r="K2077" s="214" t="s">
        <v>4631</v>
      </c>
      <c r="L2077" s="215"/>
      <c r="M2077" s="199" t="s">
        <v>103</v>
      </c>
      <c r="N2077" s="199"/>
      <c r="O2077" s="199" t="s">
        <v>1556</v>
      </c>
      <c r="P2077" s="215"/>
      <c r="Q2077" s="199" t="s">
        <v>43</v>
      </c>
      <c r="R2077" s="215"/>
      <c r="S2077" s="216" t="s">
        <v>404</v>
      </c>
      <c r="T2077" s="212"/>
      <c r="U2077" s="217"/>
      <c r="V2077" s="217"/>
      <c r="W2077" s="217"/>
      <c r="X2077" s="217"/>
      <c r="Y2077" s="217"/>
      <c r="Z2077" s="218"/>
      <c r="AA2077" s="219" t="s">
        <v>6458</v>
      </c>
      <c r="AB2077" s="220" t="s">
        <v>61</v>
      </c>
      <c r="AC2077" s="221" t="s">
        <v>61</v>
      </c>
      <c r="AD2077" s="222" t="s">
        <v>61</v>
      </c>
      <c r="AE2077" s="222" t="s">
        <v>61</v>
      </c>
      <c r="AF2077" s="221" t="s">
        <v>61</v>
      </c>
      <c r="AG2077" s="221" t="s">
        <v>61</v>
      </c>
      <c r="AH2077" s="221" t="s">
        <v>61</v>
      </c>
      <c r="AI2077" s="221" t="s">
        <v>61</v>
      </c>
      <c r="AJ2077" s="223" t="s">
        <v>61</v>
      </c>
      <c r="AK2077" s="218"/>
    </row>
    <row r="2078" ht="24.0" customHeight="1">
      <c r="A2078" s="35"/>
      <c r="B2078" s="211" t="s">
        <v>2969</v>
      </c>
      <c r="C2078" s="37" t="str">
        <f>IFERROR(__xludf.DUMMYFUNCTION("""COMPUTED_VALUE"""),"Kyler Watson (4) - '27 RHP ")</f>
        <v>Kyler Watson (4) - '27 RHP </v>
      </c>
      <c r="D2078" s="89" t="s">
        <v>6501</v>
      </c>
      <c r="E2078" s="224" t="s">
        <v>63</v>
      </c>
      <c r="F2078" s="225">
        <v>46177.0</v>
      </c>
      <c r="G2078" s="123"/>
      <c r="H2078" s="123" t="s">
        <v>6502</v>
      </c>
      <c r="I2078" s="123" t="s">
        <v>1329</v>
      </c>
      <c r="J2078" s="226" t="s">
        <v>4637</v>
      </c>
      <c r="K2078" s="226" t="s">
        <v>4631</v>
      </c>
      <c r="L2078" s="227"/>
      <c r="M2078" s="123" t="s">
        <v>63</v>
      </c>
      <c r="N2078" s="123" t="s">
        <v>109</v>
      </c>
      <c r="O2078" s="123"/>
      <c r="P2078" s="227"/>
      <c r="Q2078" s="123"/>
      <c r="R2078" s="227"/>
      <c r="S2078" s="228" t="s">
        <v>1088</v>
      </c>
      <c r="T2078" s="224"/>
      <c r="U2078" s="229"/>
      <c r="V2078" s="229"/>
      <c r="W2078" s="229"/>
      <c r="X2078" s="229"/>
      <c r="Y2078" s="229"/>
      <c r="Z2078" s="230"/>
      <c r="AA2078" s="231" t="s">
        <v>6458</v>
      </c>
      <c r="AB2078" s="232" t="s">
        <v>61</v>
      </c>
      <c r="AC2078" s="233" t="s">
        <v>61</v>
      </c>
      <c r="AD2078" s="234" t="s">
        <v>61</v>
      </c>
      <c r="AE2078" s="234" t="s">
        <v>61</v>
      </c>
      <c r="AF2078" s="233" t="s">
        <v>61</v>
      </c>
      <c r="AG2078" s="233" t="s">
        <v>61</v>
      </c>
      <c r="AH2078" s="233" t="s">
        <v>61</v>
      </c>
      <c r="AI2078" s="233" t="s">
        <v>61</v>
      </c>
      <c r="AJ2078" s="235" t="s">
        <v>61</v>
      </c>
      <c r="AK2078" s="230"/>
    </row>
    <row r="2079" ht="24.0" customHeight="1">
      <c r="A2079" s="35"/>
      <c r="B2079" s="211" t="s">
        <v>2969</v>
      </c>
      <c r="C2079" s="37" t="str">
        <f>IFERROR(__xludf.DUMMYFUNCTION("""COMPUTED_VALUE"""),"Keaton Love (4) - '27 MINF ")</f>
        <v>Keaton Love (4) - '27 MINF </v>
      </c>
      <c r="D2079" s="89" t="s">
        <v>6503</v>
      </c>
      <c r="E2079" s="212" t="s">
        <v>48</v>
      </c>
      <c r="F2079" s="213">
        <v>46177.0</v>
      </c>
      <c r="G2079" s="199" t="s">
        <v>1430</v>
      </c>
      <c r="H2079" s="199" t="s">
        <v>1441</v>
      </c>
      <c r="I2079" s="199" t="s">
        <v>6504</v>
      </c>
      <c r="J2079" s="214" t="s">
        <v>4637</v>
      </c>
      <c r="K2079" s="214" t="s">
        <v>4631</v>
      </c>
      <c r="L2079" s="215"/>
      <c r="M2079" s="199" t="s">
        <v>51</v>
      </c>
      <c r="N2079" s="199"/>
      <c r="O2079" s="199"/>
      <c r="P2079" s="215"/>
      <c r="Q2079" s="199"/>
      <c r="R2079" s="215"/>
      <c r="S2079" s="216" t="s">
        <v>1088</v>
      </c>
      <c r="T2079" s="236" t="s">
        <v>6505</v>
      </c>
      <c r="U2079" s="217"/>
      <c r="V2079" s="217"/>
      <c r="W2079" s="217"/>
      <c r="X2079" s="217"/>
      <c r="Y2079" s="217"/>
      <c r="Z2079" s="218"/>
      <c r="AA2079" s="219" t="s">
        <v>6506</v>
      </c>
      <c r="AB2079" s="220" t="s">
        <v>61</v>
      </c>
      <c r="AC2079" s="221" t="s">
        <v>61</v>
      </c>
      <c r="AD2079" s="222" t="s">
        <v>61</v>
      </c>
      <c r="AE2079" s="222" t="s">
        <v>61</v>
      </c>
      <c r="AF2079" s="221" t="s">
        <v>61</v>
      </c>
      <c r="AG2079" s="221" t="s">
        <v>61</v>
      </c>
      <c r="AH2079" s="221" t="s">
        <v>61</v>
      </c>
      <c r="AI2079" s="221" t="s">
        <v>61</v>
      </c>
      <c r="AJ2079" s="223" t="s">
        <v>61</v>
      </c>
      <c r="AK2079" s="218"/>
    </row>
    <row r="2080" ht="24.0" customHeight="1">
      <c r="A2080" s="35"/>
      <c r="B2080" s="211" t="s">
        <v>2969</v>
      </c>
      <c r="C2080" s="37" t="str">
        <f>IFERROR(__xludf.DUMMYFUNCTION("""COMPUTED_VALUE"""),"Spencer Payne (4) - '27 OF ")</f>
        <v>Spencer Payne (4) - '27 OF </v>
      </c>
      <c r="D2080" s="89" t="s">
        <v>6507</v>
      </c>
      <c r="E2080" s="224" t="s">
        <v>103</v>
      </c>
      <c r="F2080" s="225">
        <v>46177.0</v>
      </c>
      <c r="G2080" s="123" t="s">
        <v>1430</v>
      </c>
      <c r="H2080" s="123" t="s">
        <v>1590</v>
      </c>
      <c r="I2080" s="123" t="s">
        <v>2287</v>
      </c>
      <c r="J2080" s="226" t="s">
        <v>4637</v>
      </c>
      <c r="K2080" s="226" t="s">
        <v>4631</v>
      </c>
      <c r="L2080" s="227"/>
      <c r="M2080" s="123" t="s">
        <v>103</v>
      </c>
      <c r="N2080" s="123" t="s">
        <v>63</v>
      </c>
      <c r="O2080" s="123"/>
      <c r="P2080" s="227"/>
      <c r="Q2080" s="123"/>
      <c r="R2080" s="227"/>
      <c r="S2080" s="228" t="s">
        <v>1088</v>
      </c>
      <c r="T2080" s="224"/>
      <c r="U2080" s="229"/>
      <c r="V2080" s="229"/>
      <c r="W2080" s="229"/>
      <c r="X2080" s="229"/>
      <c r="Y2080" s="229"/>
      <c r="Z2080" s="230"/>
      <c r="AA2080" s="231" t="s">
        <v>6508</v>
      </c>
      <c r="AB2080" s="232" t="s">
        <v>61</v>
      </c>
      <c r="AC2080" s="233" t="s">
        <v>61</v>
      </c>
      <c r="AD2080" s="234" t="s">
        <v>61</v>
      </c>
      <c r="AE2080" s="234" t="s">
        <v>61</v>
      </c>
      <c r="AF2080" s="233" t="s">
        <v>61</v>
      </c>
      <c r="AG2080" s="233" t="s">
        <v>61</v>
      </c>
      <c r="AH2080" s="233" t="s">
        <v>61</v>
      </c>
      <c r="AI2080" s="233" t="s">
        <v>61</v>
      </c>
      <c r="AJ2080" s="235" t="s">
        <v>61</v>
      </c>
      <c r="AK2080" s="230"/>
    </row>
    <row r="2081" ht="24.0" customHeight="1">
      <c r="A2081" s="35"/>
      <c r="B2081" s="211" t="s">
        <v>2969</v>
      </c>
      <c r="C2081" s="37" t="str">
        <f>IFERROR(__xludf.DUMMYFUNCTION("""COMPUTED_VALUE"""),"JC Rossette (4) - '27 C ")</f>
        <v>JC Rossette (4) - '27 C </v>
      </c>
      <c r="D2081" s="89" t="s">
        <v>6509</v>
      </c>
      <c r="E2081" s="212" t="s">
        <v>109</v>
      </c>
      <c r="F2081" s="213">
        <v>46177.0</v>
      </c>
      <c r="G2081" s="199" t="s">
        <v>1430</v>
      </c>
      <c r="H2081" s="199" t="s">
        <v>6510</v>
      </c>
      <c r="I2081" s="199" t="s">
        <v>6511</v>
      </c>
      <c r="J2081" s="214" t="s">
        <v>4637</v>
      </c>
      <c r="K2081" s="214" t="s">
        <v>4631</v>
      </c>
      <c r="L2081" s="215"/>
      <c r="M2081" s="199" t="s">
        <v>109</v>
      </c>
      <c r="N2081" s="199"/>
      <c r="O2081" s="199" t="s">
        <v>1989</v>
      </c>
      <c r="P2081" s="215"/>
      <c r="Q2081" s="199"/>
      <c r="R2081" s="215"/>
      <c r="S2081" s="216" t="s">
        <v>1088</v>
      </c>
      <c r="T2081" s="212"/>
      <c r="U2081" s="217"/>
      <c r="V2081" s="217"/>
      <c r="W2081" s="217"/>
      <c r="X2081" s="217"/>
      <c r="Y2081" s="217"/>
      <c r="Z2081" s="218"/>
      <c r="AA2081" s="219" t="s">
        <v>6512</v>
      </c>
      <c r="AB2081" s="220" t="s">
        <v>61</v>
      </c>
      <c r="AC2081" s="221" t="s">
        <v>61</v>
      </c>
      <c r="AD2081" s="222" t="s">
        <v>61</v>
      </c>
      <c r="AE2081" s="222" t="s">
        <v>61</v>
      </c>
      <c r="AF2081" s="221" t="s">
        <v>61</v>
      </c>
      <c r="AG2081" s="221" t="s">
        <v>61</v>
      </c>
      <c r="AH2081" s="221" t="s">
        <v>61</v>
      </c>
      <c r="AI2081" s="221" t="s">
        <v>61</v>
      </c>
      <c r="AJ2081" s="223" t="s">
        <v>61</v>
      </c>
      <c r="AK2081" s="218"/>
    </row>
    <row r="2082" ht="24.0" customHeight="1">
      <c r="A2082" s="35"/>
      <c r="B2082" s="211" t="s">
        <v>2969</v>
      </c>
      <c r="C2082" s="37" t="str">
        <f>IFERROR(__xludf.DUMMYFUNCTION("""COMPUTED_VALUE"""),"Jackson King (4) - '28 1B ")</f>
        <v>Jackson King (4) - '28 1B </v>
      </c>
      <c r="D2082" s="89" t="s">
        <v>6513</v>
      </c>
      <c r="E2082" s="224" t="s">
        <v>48</v>
      </c>
      <c r="F2082" s="225">
        <v>46177.0</v>
      </c>
      <c r="G2082" s="123" t="s">
        <v>1430</v>
      </c>
      <c r="H2082" s="123" t="s">
        <v>432</v>
      </c>
      <c r="I2082" s="123" t="s">
        <v>6514</v>
      </c>
      <c r="J2082" s="226" t="s">
        <v>4630</v>
      </c>
      <c r="K2082" s="226" t="s">
        <v>4631</v>
      </c>
      <c r="L2082" s="227"/>
      <c r="M2082" s="123" t="s">
        <v>1972</v>
      </c>
      <c r="N2082" s="123"/>
      <c r="O2082" s="123"/>
      <c r="P2082" s="227"/>
      <c r="Q2082" s="123"/>
      <c r="R2082" s="227"/>
      <c r="S2082" s="228" t="s">
        <v>1088</v>
      </c>
      <c r="T2082" s="224"/>
      <c r="U2082" s="229"/>
      <c r="V2082" s="229"/>
      <c r="W2082" s="229"/>
      <c r="X2082" s="229"/>
      <c r="Y2082" s="229"/>
      <c r="Z2082" s="230"/>
      <c r="AA2082" s="231" t="s">
        <v>6458</v>
      </c>
      <c r="AB2082" s="232" t="s">
        <v>61</v>
      </c>
      <c r="AC2082" s="233" t="s">
        <v>61</v>
      </c>
      <c r="AD2082" s="234" t="s">
        <v>61</v>
      </c>
      <c r="AE2082" s="234" t="s">
        <v>61</v>
      </c>
      <c r="AF2082" s="233" t="s">
        <v>61</v>
      </c>
      <c r="AG2082" s="233" t="s">
        <v>61</v>
      </c>
      <c r="AH2082" s="233" t="s">
        <v>61</v>
      </c>
      <c r="AI2082" s="233" t="s">
        <v>61</v>
      </c>
      <c r="AJ2082" s="235" t="s">
        <v>61</v>
      </c>
      <c r="AK2082" s="230"/>
    </row>
    <row r="2083" ht="24.0" customHeight="1">
      <c r="A2083" s="35"/>
      <c r="B2083" s="211" t="s">
        <v>2969</v>
      </c>
      <c r="C2083" s="37" t="str">
        <f>IFERROR(__xludf.DUMMYFUNCTION("""COMPUTED_VALUE"""),"Tyler Fletcher (4) - '28 SS ")</f>
        <v>Tyler Fletcher (4) - '28 SS </v>
      </c>
      <c r="D2083" s="89" t="s">
        <v>6515</v>
      </c>
      <c r="E2083" s="212" t="s">
        <v>48</v>
      </c>
      <c r="F2083" s="213">
        <v>46177.0</v>
      </c>
      <c r="G2083" s="199" t="s">
        <v>1430</v>
      </c>
      <c r="H2083" s="199" t="s">
        <v>104</v>
      </c>
      <c r="I2083" s="199" t="s">
        <v>6516</v>
      </c>
      <c r="J2083" s="214" t="s">
        <v>4630</v>
      </c>
      <c r="K2083" s="214" t="s">
        <v>4631</v>
      </c>
      <c r="L2083" s="215"/>
      <c r="M2083" s="199" t="s">
        <v>1398</v>
      </c>
      <c r="N2083" s="199"/>
      <c r="O2083" s="199"/>
      <c r="P2083" s="215"/>
      <c r="Q2083" s="199"/>
      <c r="R2083" s="215"/>
      <c r="S2083" s="216" t="s">
        <v>1088</v>
      </c>
      <c r="T2083" s="212"/>
      <c r="U2083" s="217"/>
      <c r="V2083" s="217"/>
      <c r="W2083" s="217"/>
      <c r="X2083" s="217"/>
      <c r="Y2083" s="217"/>
      <c r="Z2083" s="218"/>
      <c r="AA2083" s="219" t="s">
        <v>6458</v>
      </c>
      <c r="AB2083" s="220" t="s">
        <v>61</v>
      </c>
      <c r="AC2083" s="221" t="s">
        <v>61</v>
      </c>
      <c r="AD2083" s="222" t="s">
        <v>61</v>
      </c>
      <c r="AE2083" s="222" t="s">
        <v>61</v>
      </c>
      <c r="AF2083" s="221" t="s">
        <v>61</v>
      </c>
      <c r="AG2083" s="221" t="s">
        <v>61</v>
      </c>
      <c r="AH2083" s="221" t="s">
        <v>61</v>
      </c>
      <c r="AI2083" s="221" t="s">
        <v>61</v>
      </c>
      <c r="AJ2083" s="223" t="s">
        <v>61</v>
      </c>
      <c r="AK2083" s="218"/>
    </row>
    <row r="2084" ht="24.0" customHeight="1">
      <c r="A2084" s="35"/>
      <c r="B2084" s="211" t="s">
        <v>2969</v>
      </c>
      <c r="C2084" s="37" t="str">
        <f>IFERROR(__xludf.DUMMYFUNCTION("""COMPUTED_VALUE"""),"Dani Jensen (4) - '27 RHP ")</f>
        <v>Dani Jensen (4) - '27 RHP </v>
      </c>
      <c r="D2084" s="89" t="s">
        <v>6517</v>
      </c>
      <c r="E2084" s="224" t="s">
        <v>63</v>
      </c>
      <c r="F2084" s="225">
        <v>46177.0</v>
      </c>
      <c r="G2084" s="123" t="s">
        <v>1430</v>
      </c>
      <c r="H2084" s="123" t="s">
        <v>6518</v>
      </c>
      <c r="I2084" s="123" t="s">
        <v>6519</v>
      </c>
      <c r="J2084" s="226" t="s">
        <v>4637</v>
      </c>
      <c r="K2084" s="226" t="s">
        <v>4631</v>
      </c>
      <c r="L2084" s="227"/>
      <c r="M2084" s="123" t="s">
        <v>63</v>
      </c>
      <c r="N2084" s="123"/>
      <c r="O2084" s="123"/>
      <c r="P2084" s="227"/>
      <c r="Q2084" s="123"/>
      <c r="R2084" s="227"/>
      <c r="S2084" s="228" t="s">
        <v>489</v>
      </c>
      <c r="T2084" s="224"/>
      <c r="U2084" s="229"/>
      <c r="V2084" s="229"/>
      <c r="W2084" s="229"/>
      <c r="X2084" s="229"/>
      <c r="Y2084" s="229"/>
      <c r="Z2084" s="230"/>
      <c r="AA2084" s="231" t="s">
        <v>6520</v>
      </c>
      <c r="AB2084" s="232" t="s">
        <v>61</v>
      </c>
      <c r="AC2084" s="233" t="s">
        <v>61</v>
      </c>
      <c r="AD2084" s="234" t="s">
        <v>61</v>
      </c>
      <c r="AE2084" s="234" t="s">
        <v>61</v>
      </c>
      <c r="AF2084" s="233" t="s">
        <v>61</v>
      </c>
      <c r="AG2084" s="233" t="s">
        <v>61</v>
      </c>
      <c r="AH2084" s="233" t="s">
        <v>61</v>
      </c>
      <c r="AI2084" s="233" t="s">
        <v>61</v>
      </c>
      <c r="AJ2084" s="235" t="s">
        <v>61</v>
      </c>
      <c r="AK2084" s="230"/>
    </row>
    <row r="2085" ht="24.0" customHeight="1">
      <c r="A2085" s="35"/>
      <c r="B2085" s="211" t="s">
        <v>2969</v>
      </c>
      <c r="C2085" s="37" t="str">
        <f>IFERROR(__xludf.DUMMYFUNCTION("""COMPUTED_VALUE"""),"Brock Hall (4) - '27 OF ")</f>
        <v>Brock Hall (4) - '27 OF </v>
      </c>
      <c r="D2085" s="89" t="s">
        <v>6521</v>
      </c>
      <c r="E2085" s="212" t="s">
        <v>103</v>
      </c>
      <c r="F2085" s="213">
        <v>46177.0</v>
      </c>
      <c r="G2085" s="199" t="s">
        <v>1430</v>
      </c>
      <c r="H2085" s="199" t="s">
        <v>551</v>
      </c>
      <c r="I2085" s="199" t="s">
        <v>1067</v>
      </c>
      <c r="J2085" s="214" t="s">
        <v>4637</v>
      </c>
      <c r="K2085" s="214" t="s">
        <v>4631</v>
      </c>
      <c r="L2085" s="215"/>
      <c r="M2085" s="199" t="s">
        <v>103</v>
      </c>
      <c r="N2085" s="199" t="s">
        <v>1972</v>
      </c>
      <c r="O2085" s="199"/>
      <c r="P2085" s="215"/>
      <c r="Q2085" s="199"/>
      <c r="R2085" s="215"/>
      <c r="S2085" s="216" t="s">
        <v>489</v>
      </c>
      <c r="T2085" s="212"/>
      <c r="U2085" s="217"/>
      <c r="V2085" s="217"/>
      <c r="W2085" s="217"/>
      <c r="X2085" s="217"/>
      <c r="Y2085" s="217"/>
      <c r="Z2085" s="218"/>
      <c r="AA2085" s="219" t="s">
        <v>6522</v>
      </c>
      <c r="AB2085" s="220" t="s">
        <v>61</v>
      </c>
      <c r="AC2085" s="221" t="s">
        <v>61</v>
      </c>
      <c r="AD2085" s="222" t="s">
        <v>61</v>
      </c>
      <c r="AE2085" s="222" t="s">
        <v>61</v>
      </c>
      <c r="AF2085" s="221" t="s">
        <v>61</v>
      </c>
      <c r="AG2085" s="221" t="s">
        <v>61</v>
      </c>
      <c r="AH2085" s="221" t="s">
        <v>61</v>
      </c>
      <c r="AI2085" s="221" t="s">
        <v>61</v>
      </c>
      <c r="AJ2085" s="223" t="s">
        <v>61</v>
      </c>
      <c r="AK2085" s="218"/>
    </row>
  </sheetData>
  <autoFilter ref="$A$3:$AK$2085"/>
  <mergeCells count="3">
    <mergeCell ref="H1:I1"/>
    <mergeCell ref="AJ1:AJ2"/>
    <mergeCell ref="AB2:AI2"/>
  </mergeCells>
  <conditionalFormatting sqref="D1 F1:H1 J1 J3:J2085">
    <cfRule type="colorScale" priority="1">
      <colorScale>
        <cfvo type="formula" val="2024"/>
        <cfvo type="formula" val="2029"/>
        <color rgb="FFC9DAF8"/>
        <color rgb="FF1155CC"/>
      </colorScale>
    </cfRule>
  </conditionalFormatting>
  <conditionalFormatting sqref="E1:E2085 M1:N2085 R1062">
    <cfRule type="containsText" dxfId="1" priority="2" operator="containsText" text="LHP">
      <formula>NOT(ISERROR(SEARCH(("LHP"),(E1))))</formula>
    </cfRule>
  </conditionalFormatting>
  <conditionalFormatting sqref="E1:E2085 M1:N2085 R1062">
    <cfRule type="containsText" dxfId="2" priority="3" operator="containsText" text="RHP">
      <formula>NOT(ISERROR(SEARCH(("RHP"),(E1))))</formula>
    </cfRule>
  </conditionalFormatting>
  <conditionalFormatting sqref="O1:O2085 E3 P1007">
    <cfRule type="containsText" dxfId="3" priority="4" operator="containsText" text="L/">
      <formula>NOT(ISERROR(SEARCH(("L/"),(O1))))</formula>
    </cfRule>
  </conditionalFormatting>
  <conditionalFormatting sqref="O222 O405">
    <cfRule type="containsText" dxfId="4" priority="5" operator="containsText" text="S/">
      <formula>NOT(ISERROR(SEARCH(("S/"),(O222))))</formula>
    </cfRule>
  </conditionalFormatting>
  <conditionalFormatting sqref="O12:O13">
    <cfRule type="containsText" dxfId="4" priority="6" operator="containsText" text="S/">
      <formula>NOT(ISERROR(SEARCH(("S/"),(O12))))</formula>
    </cfRule>
  </conditionalFormatting>
  <conditionalFormatting sqref="D484">
    <cfRule type="colorScale" priority="7">
      <colorScale>
        <cfvo type="min"/>
        <cfvo type="max"/>
        <color rgb="FFFFFFFF"/>
        <color rgb="FF57BB8A"/>
      </colorScale>
    </cfRule>
  </conditionalFormatting>
  <conditionalFormatting sqref="AJ4:AJ2084">
    <cfRule type="notContainsBlanks" dxfId="5" priority="8">
      <formula>LEN(TRIM(AJ4))&gt;0</formula>
    </cfRule>
  </conditionalFormatting>
  <dataValidations>
    <dataValidation type="list" allowBlank="1" showErrorMessage="1" sqref="G4:G16 G18:G2085">
      <formula1>"CB,AP,TR,AM,CR"</formula1>
    </dataValidation>
    <dataValidation type="list" allowBlank="1" showErrorMessage="1" sqref="B4:B2085">
      <formula1>"1,2,3"</formula1>
    </dataValidation>
    <dataValidation type="list" allowBlank="1" sqref="K4:K524 K526:K582 K584:K670 K672:K705 K707:K858 K860:K2085">
      <formula1>"1,2,3,4,5,0.1,XX"</formula1>
    </dataValidation>
    <dataValidation type="list" allowBlank="1" showErrorMessage="1" sqref="R823 M4:N2085">
      <formula1>"RHP,LHP,MINF,CINF,C,UTL,OF,COF,INF,1B,2B,3B,SS,CF,Power Bat,Burner OF"</formula1>
    </dataValidation>
    <dataValidation type="list" allowBlank="1" showErrorMessage="1" sqref="S3:S268 R269:S269 S270:S668 S670:S688 S690:S693 S695:S703 S705:S706 S708:S712 S714:S719 S722:S726 S728:S758 S760:S777 S779:S796 S798:S803 S805 S807:S809 S811:S813 S815:S816 S818:S819 S821 S823:S825 S827:S831 S834:S2085">
      <formula1>'Travel Program List'!$C:$C</formula1>
    </dataValidation>
  </dataValidations>
  <hyperlinks>
    <hyperlink r:id="rId1" ref="AC141"/>
    <hyperlink r:id="rId2" ref="A564"/>
  </hyperlinks>
  <printOptions gridLines="1" horizontalCentered="1"/>
  <pageMargins bottom="0.75" footer="0.0" header="0.0" left="0.7" right="0.7" top="0.75"/>
  <pageSetup fitToHeight="0" cellComments="atEnd" orientation="portrait"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3.38"/>
    <col customWidth="1" min="3" max="8" width="6.38"/>
  </cols>
  <sheetData>
    <row r="1">
      <c r="A1" s="237" t="s">
        <v>6523</v>
      </c>
    </row>
    <row r="2">
      <c r="A2" s="238" t="s">
        <v>7</v>
      </c>
      <c r="B2" s="238" t="s">
        <v>6524</v>
      </c>
      <c r="C2" s="238" t="s">
        <v>6525</v>
      </c>
      <c r="D2" s="238" t="s">
        <v>6526</v>
      </c>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0"/>
    <col customWidth="1" min="2" max="3" width="9.13"/>
    <col customWidth="1" min="4" max="4" width="5.25"/>
    <col customWidth="1" min="5" max="5" width="7.5"/>
    <col customWidth="1" min="6" max="6" width="4.5"/>
    <col customWidth="1" min="7" max="7" width="1.0"/>
    <col customWidth="1" min="8" max="9" width="9.13"/>
    <col customWidth="1" min="10" max="10" width="5.25"/>
    <col customWidth="1" min="11" max="11" width="7.5"/>
    <col customWidth="1" min="12" max="12" width="4.5"/>
    <col customWidth="1" min="13" max="13" width="1.0"/>
    <col customWidth="1" min="14" max="15" width="9.13"/>
    <col customWidth="1" min="16" max="16" width="3.63"/>
    <col customWidth="1" min="17" max="17" width="5.25"/>
    <col customWidth="1" min="18" max="18" width="7.5"/>
    <col customWidth="1" min="19" max="19" width="4.5"/>
    <col customWidth="1" min="20" max="20" width="1.0"/>
    <col customWidth="1" min="21" max="22" width="9.13"/>
    <col customWidth="1" min="23" max="23" width="3.63"/>
    <col customWidth="1" min="24" max="24" width="5.25"/>
    <col customWidth="1" min="25" max="25" width="7.5"/>
    <col customWidth="1" min="26" max="26" width="4.5"/>
    <col customWidth="1" min="27" max="27" width="1.0"/>
    <col customWidth="1" min="28" max="29" width="9.13"/>
    <col customWidth="1" min="30" max="30" width="3.63"/>
    <col customWidth="1" min="31" max="31" width="5.25"/>
    <col customWidth="1" min="32" max="32" width="7.5"/>
    <col customWidth="1" min="33" max="33" width="4.5"/>
    <col customWidth="1" min="34" max="35" width="7.38"/>
    <col customWidth="1" hidden="1" min="36" max="36" width="7.38"/>
  </cols>
  <sheetData>
    <row r="1" ht="49.5" customHeight="1">
      <c r="A1" s="239"/>
      <c r="B1" s="5" t="s">
        <v>6527</v>
      </c>
      <c r="D1" s="239"/>
      <c r="E1" s="240"/>
      <c r="F1" s="241"/>
      <c r="G1" s="2"/>
      <c r="H1" s="242" t="s">
        <v>6528</v>
      </c>
      <c r="AA1" s="239"/>
      <c r="AB1" s="239"/>
      <c r="AC1" s="239"/>
      <c r="AD1" s="239"/>
      <c r="AE1" s="239"/>
      <c r="AF1" s="239"/>
      <c r="AG1" s="239"/>
      <c r="AH1" s="239"/>
      <c r="AI1" s="239"/>
      <c r="AJ1" s="243">
        <v>1.0</v>
      </c>
    </row>
    <row r="2" ht="51.0" customHeight="1">
      <c r="A2" s="239"/>
      <c r="D2" s="239"/>
      <c r="E2" s="239"/>
      <c r="H2" s="244"/>
      <c r="N2" s="245" t="s">
        <v>6529</v>
      </c>
      <c r="O2" s="243">
        <v>2027.0</v>
      </c>
      <c r="W2" s="246"/>
      <c r="X2" s="239"/>
      <c r="Y2" s="239"/>
      <c r="Z2" s="239"/>
      <c r="AA2" s="239"/>
      <c r="AB2" s="239"/>
      <c r="AC2" s="239"/>
      <c r="AD2" s="239"/>
      <c r="AE2" s="239"/>
      <c r="AF2" s="239"/>
      <c r="AG2" s="239"/>
      <c r="AH2" s="239"/>
      <c r="AI2" s="239"/>
      <c r="AJ2" s="239"/>
    </row>
    <row r="3" ht="15.0" customHeight="1">
      <c r="A3" s="247"/>
      <c r="B3" s="248" t="s">
        <v>63</v>
      </c>
      <c r="C3" s="249"/>
      <c r="D3" s="249"/>
      <c r="E3" s="249"/>
      <c r="F3" s="250"/>
      <c r="G3" s="14"/>
      <c r="H3" s="248" t="s">
        <v>122</v>
      </c>
      <c r="I3" s="249"/>
      <c r="J3" s="249"/>
      <c r="K3" s="249"/>
      <c r="L3" s="250"/>
      <c r="M3" s="14"/>
      <c r="N3" s="248" t="s">
        <v>48</v>
      </c>
      <c r="O3" s="249"/>
      <c r="P3" s="249"/>
      <c r="Q3" s="249"/>
      <c r="R3" s="249"/>
      <c r="S3" s="250"/>
      <c r="T3" s="14"/>
      <c r="U3" s="248" t="s">
        <v>103</v>
      </c>
      <c r="V3" s="249"/>
      <c r="W3" s="249"/>
      <c r="X3" s="249"/>
      <c r="Y3" s="249"/>
      <c r="Z3" s="250"/>
      <c r="AA3" s="14"/>
      <c r="AB3" s="248" t="s">
        <v>109</v>
      </c>
      <c r="AC3" s="249"/>
      <c r="AD3" s="249"/>
      <c r="AE3" s="249"/>
      <c r="AF3" s="249"/>
      <c r="AG3" s="250"/>
      <c r="AH3" s="14"/>
      <c r="AI3" s="14"/>
      <c r="AJ3" s="14"/>
    </row>
    <row r="4" ht="15.0" customHeight="1">
      <c r="A4" s="251"/>
      <c r="B4" s="252" t="s">
        <v>6530</v>
      </c>
      <c r="C4" s="249"/>
      <c r="D4" s="253" t="s">
        <v>6531</v>
      </c>
      <c r="E4" s="253" t="s">
        <v>6532</v>
      </c>
      <c r="F4" s="254" t="s">
        <v>14</v>
      </c>
      <c r="G4" s="14"/>
      <c r="H4" s="252" t="s">
        <v>6530</v>
      </c>
      <c r="I4" s="249"/>
      <c r="J4" s="253" t="s">
        <v>6531</v>
      </c>
      <c r="K4" s="253" t="s">
        <v>6532</v>
      </c>
      <c r="L4" s="254" t="s">
        <v>14</v>
      </c>
      <c r="M4" s="14"/>
      <c r="N4" s="252" t="s">
        <v>6530</v>
      </c>
      <c r="O4" s="249"/>
      <c r="P4" s="253" t="s">
        <v>18</v>
      </c>
      <c r="Q4" s="253" t="s">
        <v>6531</v>
      </c>
      <c r="R4" s="253" t="s">
        <v>6532</v>
      </c>
      <c r="S4" s="254" t="s">
        <v>14</v>
      </c>
      <c r="T4" s="14"/>
      <c r="U4" s="252" t="s">
        <v>6530</v>
      </c>
      <c r="V4" s="249"/>
      <c r="W4" s="253" t="s">
        <v>18</v>
      </c>
      <c r="X4" s="253" t="s">
        <v>6531</v>
      </c>
      <c r="Y4" s="253" t="s">
        <v>6532</v>
      </c>
      <c r="Z4" s="254" t="s">
        <v>14</v>
      </c>
      <c r="AA4" s="14"/>
      <c r="AB4" s="252" t="s">
        <v>6530</v>
      </c>
      <c r="AC4" s="249"/>
      <c r="AD4" s="253" t="s">
        <v>18</v>
      </c>
      <c r="AE4" s="253" t="s">
        <v>6531</v>
      </c>
      <c r="AF4" s="253" t="s">
        <v>6532</v>
      </c>
      <c r="AG4" s="254" t="s">
        <v>14</v>
      </c>
      <c r="AH4" s="14"/>
      <c r="AI4" s="14"/>
      <c r="AJ4" s="14"/>
    </row>
    <row r="5" ht="15.0" customHeight="1">
      <c r="A5" s="14"/>
      <c r="B5" s="255" t="str">
        <f>IFERROR(__xludf.DUMMYFUNCTION("iferror(FILTER('High School Players'!$D:$D,$O$2='High School Players'!$J:$J,B3='High School Players'!$M:$M,$AJ$1='High School Players'!$B:$B,'High School Players'!$K:$K&lt;3))"),"Kolby Crosby")</f>
        <v>Kolby Crosby</v>
      </c>
      <c r="C5" s="250"/>
      <c r="D5" s="256" t="str">
        <f>IFERROR(__xludf.DUMMYFUNCTION("iferror(FILTER('High School Players'!$Q:$Q,$O$2='High School Players'!$J:$J,B3='High School Players'!$M:$M,$AJ$1='High School Players'!$B:$B,'High School Players'!$K:$K&lt;3))"),"NY")</f>
        <v>NY</v>
      </c>
      <c r="E5" s="257" t="str">
        <f>IFERROR(__xludf.DUMMYFUNCTION("iferror(FILTER('High School Players'!$S:$S,$O$2='High School Players'!$J:$J,B3='High School Players'!$M:$M,$AJ$1='High School Players'!$B:$B,'High School Players'!$K:$K&lt;3))"),"TKR Reds")</f>
        <v>TKR Reds</v>
      </c>
      <c r="F5" s="258">
        <f>IFERROR(__xludf.DUMMYFUNCTION("iferror(FILTER('High School Players'!$K:$K,$O$2='High School Players'!$J:$J,B3='High School Players'!$M:$M,$AJ$1='High School Players'!$B:$B,'High School Players'!$K:$K&lt;3))"),0.1)</f>
        <v>0.1</v>
      </c>
      <c r="G5" s="14"/>
      <c r="H5" s="259" t="str">
        <f>IFERROR(__xludf.DUMMYFUNCTION("iferror(FILTER('High School Players'!$D:$D,$O$2='High School Players'!$J:$J,H3='High School Players'!$M:$M,$AJ$1='High School Players'!$B:$B,'High School Players'!$K:$K&lt;3))"),"Maddux Hasty")</f>
        <v>Maddux Hasty</v>
      </c>
      <c r="I5" s="250"/>
      <c r="J5" s="260" t="str">
        <f>IFERROR(__xludf.DUMMYFUNCTION("iferror(FILTER('High School Players'!$Q:$Q,$O$2='High School Players'!$J:$J,H3='High School Players'!$M:$M,$AJ$1='High School Players'!$B:$B,'High School Players'!$K:$K&lt;3))"),"TN")</f>
        <v>TN</v>
      </c>
      <c r="K5" s="261" t="str">
        <f>IFERROR(__xludf.DUMMYFUNCTION("iferror(FILTER('High School Players'!$S:$S,$O$2='High School Players'!$J:$J,H3='High School Players'!$M:$M,$AJ$1='High School Players'!$B:$B,'High School Players'!$K:$K&lt;3))"),"")</f>
        <v/>
      </c>
      <c r="L5" s="262">
        <f>IFERROR(__xludf.DUMMYFUNCTION("iferror(FILTER('High School Players'!$K:$K,$O$2='High School Players'!$J:$J,H3='High School Players'!$M:$M,$AJ$1='High School Players'!$B:$B,'High School Players'!$K:$K&lt;3))"),2.0)</f>
        <v>2</v>
      </c>
      <c r="M5" s="14"/>
      <c r="N5" s="255" t="str">
        <f>IFERROR(__xludf.DUMMYFUNCTION("iferror(FILTER('High School Players'!$D:$D,$O$2='High School Players'!$J:$J,N3='High School Players'!$E:$E,$AJ$1='High School Players'!$B:$B,'High School Players'!$K:$K&lt;3))"),"Zach Madar")</f>
        <v>Zach Madar</v>
      </c>
      <c r="O5" s="250"/>
      <c r="P5" s="263" t="str">
        <f>IFERROR(__xludf.DUMMYFUNCTION("iferror(FILTER('High School Players'!$O:$O,$O$2='High School Players'!$J:$J,N3='High School Players'!$E:$E,$AJ$1='High School Players'!$B:$B,'High School Players'!$K:$K&lt;3))"),"R/R")</f>
        <v>R/R</v>
      </c>
      <c r="Q5" s="264" t="str">
        <f>IFERROR(__xludf.DUMMYFUNCTION("iferror(FILTER('High School Players'!$Q:$Q,$O$2='High School Players'!$J:$J,N3='High School Players'!$E:$E,$AJ$1='High School Players'!$B:$B,'High School Players'!$K:$K&lt;3))"),"TN")</f>
        <v>TN</v>
      </c>
      <c r="R5" s="265" t="str">
        <f>IFERROR(__xludf.DUMMYFUNCTION("iferror(FILTER('High School Players'!$S:$S,$O$2='High School Players'!$J:$J,N3='High School Players'!$E:$E,$AJ$1='High School Players'!$B:$B,'High School Players'!$K:$K&lt;3))"),"FTB Tennessee")</f>
        <v>FTB Tennessee</v>
      </c>
      <c r="S5" s="258">
        <f>IFERROR(__xludf.DUMMYFUNCTION("iferror(FILTER('High School Players'!$K:$K,$O$2='High School Players'!$J:$J,N3='High School Players'!$E:$E,$AJ$1='High School Players'!$B:$B,'High School Players'!$K:$K&lt;3))"),0.1)</f>
        <v>0.1</v>
      </c>
      <c r="T5" s="266"/>
      <c r="U5" s="267" t="str">
        <f>IFERROR(__xludf.DUMMYFUNCTION("iferror(FILTER('High School Players'!$D:$D,$O$2='High School Players'!$J:$J,U3='High School Players'!$E:$E,$AJ$1='High School Players'!$B:$B,'High School Players'!$K:$K&lt;3))"),"Zachary DeHaas")</f>
        <v>Zachary DeHaas</v>
      </c>
      <c r="V5" s="250"/>
      <c r="W5" s="268" t="str">
        <f>IFERROR(__xludf.DUMMYFUNCTION("iferror(FILTER('High School Players'!$O:$O,$O$2='High School Players'!$J:$J,U3='High School Players'!$E:$E,$AJ$1='High School Players'!$B:$B,'High School Players'!$K:$K&lt;3))"),"R/R")</f>
        <v>R/R</v>
      </c>
      <c r="X5" s="269" t="str">
        <f>IFERROR(__xludf.DUMMYFUNCTION("iferror(FILTER('High School Players'!$Q:$Q,$O$2='High School Players'!$J:$J,U3='High School Players'!$E:$E,$AJ$1='High School Players'!$B:$B,'High School Players'!$K:$K&lt;3))"),"MO")</f>
        <v>MO</v>
      </c>
      <c r="Y5" s="270" t="str">
        <f>IFERROR(__xludf.DUMMYFUNCTION("iferror(FILTER('High School Players'!$S:$S,$O$2='High School Players'!$J:$J,U3='High School Players'!$E:$E,$AJ$1='High School Players'!$B:$B,'High School Players'!$K:$K&lt;3))"),"")</f>
        <v/>
      </c>
      <c r="Z5" s="271">
        <f>IFERROR(__xludf.DUMMYFUNCTION("iferror(FILTER('High School Players'!$K:$K,$O$2='High School Players'!$J:$J,U3='High School Players'!$E:$E,$AJ$1='High School Players'!$B:$B,'High School Players'!$K:$K&lt;3))"),2.0)</f>
        <v>2</v>
      </c>
      <c r="AA5" s="272"/>
      <c r="AB5" s="259" t="str">
        <f>IFERROR(__xludf.DUMMYFUNCTION("iferror(FILTER('High School Players'!$D:$D,$O$2='High School Players'!$J:$J,AB3='High School Players'!$M:$M,$AJ$1='High School Players'!$B:$B,'High School Players'!$K:$K&lt;3))"),"Caleb Flannery")</f>
        <v>Caleb Flannery</v>
      </c>
      <c r="AC5" s="250"/>
      <c r="AD5" s="273" t="str">
        <f>IFERROR(__xludf.DUMMYFUNCTION("iferror(FILTER('High School Players'!$O:$O,$O$2='High School Players'!$J:$J,AB3='High School Players'!$M:$M,$AJ$1='High School Players'!$B:$B,'High School Players'!$K:$K&lt;3))"),"")</f>
        <v/>
      </c>
      <c r="AE5" s="274" t="str">
        <f>IFERROR(__xludf.DUMMYFUNCTION("iferror(FILTER('High School Players'!$Q:$Q,$O$2='High School Players'!$J:$J,AB3='High School Players'!$M:$M,$AJ$1='High School Players'!$B:$B,'High School Players'!$K:$K&lt;3))"),"PA")</f>
        <v>PA</v>
      </c>
      <c r="AF5" s="275" t="str">
        <f>IFERROR(__xludf.DUMMYFUNCTION("iferror(FILTER('High School Players'!$S:$S,$O$2='High School Players'!$J:$J,AB3='High School Players'!$M:$M,$AJ$1='High School Players'!$B:$B,'High School Players'!$K:$K&lt;3))"),"")</f>
        <v/>
      </c>
      <c r="AG5" s="262">
        <f>IFERROR(__xludf.DUMMYFUNCTION("iferror(FILTER('High School Players'!$K:$K,$O$2='High School Players'!$J:$J,AB3='High School Players'!$M:$M,$AJ$1='High School Players'!$B:$B,'High School Players'!$K:$K&lt;3))"),0.1)</f>
        <v>0.1</v>
      </c>
      <c r="AH5" s="272"/>
      <c r="AI5" s="272"/>
      <c r="AJ5" s="14"/>
    </row>
    <row r="6" ht="15.0" customHeight="1">
      <c r="A6" s="14"/>
      <c r="B6" s="276" t="str">
        <f>IFERROR(__xludf.DUMMYFUNCTION("""COMPUTED_VALUE"""),"Jude Davidson")</f>
        <v>Jude Davidson</v>
      </c>
      <c r="C6" s="250"/>
      <c r="D6" s="274" t="str">
        <f>IFERROR(__xludf.DUMMYFUNCTION("""COMPUTED_VALUE"""),"AL")</f>
        <v>AL</v>
      </c>
      <c r="E6" s="275" t="str">
        <f>IFERROR(__xludf.DUMMYFUNCTION("""COMPUTED_VALUE"""),"Excel Blue Wave")</f>
        <v>Excel Blue Wave</v>
      </c>
      <c r="F6" s="277">
        <f>IFERROR(__xludf.DUMMYFUNCTION("""COMPUTED_VALUE"""),0.1)</f>
        <v>0.1</v>
      </c>
      <c r="G6" s="14"/>
      <c r="H6" s="259" t="str">
        <f>IFERROR(__xludf.DUMMYFUNCTION("""COMPUTED_VALUE"""),"Sladen Johnson")</f>
        <v>Sladen Johnson</v>
      </c>
      <c r="I6" s="250"/>
      <c r="J6" s="260" t="str">
        <f>IFERROR(__xludf.DUMMYFUNCTION("""COMPUTED_VALUE"""),"MA")</f>
        <v>MA</v>
      </c>
      <c r="K6" s="261" t="str">
        <f>IFERROR(__xludf.DUMMYFUNCTION("""COMPUTED_VALUE"""),"Boston Prime")</f>
        <v>Boston Prime</v>
      </c>
      <c r="L6" s="277">
        <f>IFERROR(__xludf.DUMMYFUNCTION("""COMPUTED_VALUE"""),2.0)</f>
        <v>2</v>
      </c>
      <c r="M6" s="14"/>
      <c r="N6" s="278" t="str">
        <f>IFERROR(__xludf.DUMMYFUNCTION("""COMPUTED_VALUE"""),"Stevie Wellens")</f>
        <v>Stevie Wellens</v>
      </c>
      <c r="O6" s="250"/>
      <c r="P6" s="273" t="str">
        <f>IFERROR(__xludf.DUMMYFUNCTION("""COMPUTED_VALUE"""),"R/R")</f>
        <v>R/R</v>
      </c>
      <c r="Q6" s="274" t="str">
        <f>IFERROR(__xludf.DUMMYFUNCTION("""COMPUTED_VALUE"""),"CA")</f>
        <v>CA</v>
      </c>
      <c r="R6" s="275"/>
      <c r="S6" s="277">
        <f>IFERROR(__xludf.DUMMYFUNCTION("""COMPUTED_VALUE"""),0.1)</f>
        <v>0.1</v>
      </c>
      <c r="T6" s="266"/>
      <c r="U6" s="259" t="str">
        <f>IFERROR(__xludf.DUMMYFUNCTION("""COMPUTED_VALUE"""),"Win Hoots")</f>
        <v>Win Hoots</v>
      </c>
      <c r="V6" s="250"/>
      <c r="W6" s="273"/>
      <c r="X6" s="274" t="str">
        <f>IFERROR(__xludf.DUMMYFUNCTION("""COMPUTED_VALUE"""),"GA")</f>
        <v>GA</v>
      </c>
      <c r="Y6" s="275" t="str">
        <f>IFERROR(__xludf.DUMMYFUNCTION("""COMPUTED_VALUE"""),"643 DP")</f>
        <v>643 DP</v>
      </c>
      <c r="Z6" s="260">
        <f>IFERROR(__xludf.DUMMYFUNCTION("""COMPUTED_VALUE"""),1.0)</f>
        <v>1</v>
      </c>
      <c r="AA6" s="14"/>
      <c r="AB6" s="255" t="str">
        <f>IFERROR(__xludf.DUMMYFUNCTION("""COMPUTED_VALUE"""),"Parker Filipek")</f>
        <v>Parker Filipek</v>
      </c>
      <c r="AC6" s="250"/>
      <c r="AD6" s="279" t="str">
        <f>IFERROR(__xludf.DUMMYFUNCTION("""COMPUTED_VALUE"""),"L/R")</f>
        <v>L/R</v>
      </c>
      <c r="AE6" s="256" t="str">
        <f>IFERROR(__xludf.DUMMYFUNCTION("""COMPUTED_VALUE"""),"NC")</f>
        <v>NC</v>
      </c>
      <c r="AF6" s="265"/>
      <c r="AG6" s="280">
        <f>IFERROR(__xludf.DUMMYFUNCTION("""COMPUTED_VALUE"""),1.0)</f>
        <v>1</v>
      </c>
      <c r="AH6" s="14"/>
      <c r="AI6" s="14"/>
      <c r="AJ6" s="14"/>
    </row>
    <row r="7" ht="15.0" customHeight="1">
      <c r="A7" s="14"/>
      <c r="B7" s="276" t="str">
        <f>IFERROR(__xludf.DUMMYFUNCTION("""COMPUTED_VALUE"""),"Jack Van Gemert")</f>
        <v>Jack Van Gemert</v>
      </c>
      <c r="C7" s="250"/>
      <c r="D7" s="274" t="str">
        <f>IFERROR(__xludf.DUMMYFUNCTION("""COMPUTED_VALUE"""),"MN")</f>
        <v>MN</v>
      </c>
      <c r="E7" s="275" t="str">
        <f>IFERROR(__xludf.DUMMYFUNCTION("""COMPUTED_VALUE"""),"GRB Northstar")</f>
        <v>GRB Northstar</v>
      </c>
      <c r="F7" s="277">
        <f>IFERROR(__xludf.DUMMYFUNCTION("""COMPUTED_VALUE"""),0.1)</f>
        <v>0.1</v>
      </c>
      <c r="G7" s="14"/>
      <c r="H7" s="259" t="str">
        <f>IFERROR(__xludf.DUMMYFUNCTION("""COMPUTED_VALUE"""),"Owen Sieve")</f>
        <v>Owen Sieve</v>
      </c>
      <c r="I7" s="250"/>
      <c r="J7" s="260" t="str">
        <f>IFERROR(__xludf.DUMMYFUNCTION("""COMPUTED_VALUE"""),"TX")</f>
        <v>TX</v>
      </c>
      <c r="K7" s="261" t="str">
        <f>IFERROR(__xludf.DUMMYFUNCTION("""COMPUTED_VALUE"""),"Lonestar Baseball Club 2027 National")</f>
        <v>Lonestar Baseball Club 2027 National</v>
      </c>
      <c r="L7" s="277">
        <f>IFERROR(__xludf.DUMMYFUNCTION("""COMPUTED_VALUE"""),2.0)</f>
        <v>2</v>
      </c>
      <c r="M7" s="14"/>
      <c r="N7" s="278" t="str">
        <f>IFERROR(__xludf.DUMMYFUNCTION("""COMPUTED_VALUE"""),"Bobby Bastek")</f>
        <v>Bobby Bastek</v>
      </c>
      <c r="O7" s="250"/>
      <c r="P7" s="273"/>
      <c r="Q7" s="274" t="str">
        <f>IFERROR(__xludf.DUMMYFUNCTION("""COMPUTED_VALUE"""),"GA")</f>
        <v>GA</v>
      </c>
      <c r="R7" s="275" t="str">
        <f>IFERROR(__xludf.DUMMYFUNCTION("""COMPUTED_VALUE"""),"643 DP")</f>
        <v>643 DP</v>
      </c>
      <c r="S7" s="277">
        <f>IFERROR(__xludf.DUMMYFUNCTION("""COMPUTED_VALUE"""),2.0)</f>
        <v>2</v>
      </c>
      <c r="T7" s="266"/>
      <c r="U7" s="259" t="str">
        <f>IFERROR(__xludf.DUMMYFUNCTION("""COMPUTED_VALUE"""),"Cameron Aguilar")</f>
        <v>Cameron Aguilar</v>
      </c>
      <c r="V7" s="250"/>
      <c r="W7" s="273" t="str">
        <f>IFERROR(__xludf.DUMMYFUNCTION("""COMPUTED_VALUE"""),"R/R")</f>
        <v>R/R</v>
      </c>
      <c r="X7" s="274" t="str">
        <f>IFERROR(__xludf.DUMMYFUNCTION("""COMPUTED_VALUE"""),"MA")</f>
        <v>MA</v>
      </c>
      <c r="Y7" s="275" t="str">
        <f>IFERROR(__xludf.DUMMYFUNCTION("""COMPUTED_VALUE"""),"Nokona")</f>
        <v>Nokona</v>
      </c>
      <c r="Z7" s="260">
        <f>IFERROR(__xludf.DUMMYFUNCTION("""COMPUTED_VALUE"""),2.0)</f>
        <v>2</v>
      </c>
      <c r="AA7" s="14"/>
      <c r="AB7" s="255" t="str">
        <f>IFERROR(__xludf.DUMMYFUNCTION("""COMPUTED_VALUE"""),"Roman Derichsweiler")</f>
        <v>Roman Derichsweiler</v>
      </c>
      <c r="AC7" s="250"/>
      <c r="AD7" s="279"/>
      <c r="AE7" s="256" t="str">
        <f>IFERROR(__xludf.DUMMYFUNCTION("""COMPUTED_VALUE"""),"TX")</f>
        <v>TX</v>
      </c>
      <c r="AF7" s="265" t="str">
        <f>IFERROR(__xludf.DUMMYFUNCTION("""COMPUTED_VALUE"""),"Wow Factor Texas 2027")</f>
        <v>Wow Factor Texas 2027</v>
      </c>
      <c r="AG7" s="280">
        <f>IFERROR(__xludf.DUMMYFUNCTION("""COMPUTED_VALUE"""),2.0)</f>
        <v>2</v>
      </c>
      <c r="AH7" s="14"/>
      <c r="AI7" s="14"/>
      <c r="AJ7" s="14"/>
    </row>
    <row r="8" ht="15.0" customHeight="1">
      <c r="A8" s="14"/>
      <c r="B8" s="276" t="str">
        <f>IFERROR(__xludf.DUMMYFUNCTION("""COMPUTED_VALUE"""),"Ethan Wisler")</f>
        <v>Ethan Wisler</v>
      </c>
      <c r="C8" s="250"/>
      <c r="D8" s="274" t="str">
        <f>IFERROR(__xludf.DUMMYFUNCTION("""COMPUTED_VALUE"""),"NC")</f>
        <v>NC</v>
      </c>
      <c r="E8" s="275" t="str">
        <f>IFERROR(__xludf.DUMMYFUNCTION("""COMPUTED_VALUE"""),"Lynx Baseball")</f>
        <v>Lynx Baseball</v>
      </c>
      <c r="F8" s="277">
        <f>IFERROR(__xludf.DUMMYFUNCTION("""COMPUTED_VALUE"""),0.1)</f>
        <v>0.1</v>
      </c>
      <c r="G8" s="14"/>
      <c r="H8" s="259" t="str">
        <f>IFERROR(__xludf.DUMMYFUNCTION("""COMPUTED_VALUE"""),"Philip Soltes")</f>
        <v>Philip Soltes</v>
      </c>
      <c r="I8" s="250"/>
      <c r="J8" s="260" t="str">
        <f>IFERROR(__xludf.DUMMYFUNCTION("""COMPUTED_VALUE"""),"CT")</f>
        <v>CT</v>
      </c>
      <c r="K8" s="261" t="str">
        <f>IFERROR(__xludf.DUMMYFUNCTION("""COMPUTED_VALUE"""),"MVP New England")</f>
        <v>MVP New England</v>
      </c>
      <c r="L8" s="277">
        <f>IFERROR(__xludf.DUMMYFUNCTION("""COMPUTED_VALUE"""),2.0)</f>
        <v>2</v>
      </c>
      <c r="M8" s="14"/>
      <c r="N8" s="278" t="str">
        <f>IFERROR(__xludf.DUMMYFUNCTION("""COMPUTED_VALUE"""),"Grant Bradley")</f>
        <v>Grant Bradley</v>
      </c>
      <c r="O8" s="250"/>
      <c r="P8" s="273"/>
      <c r="Q8" s="274" t="str">
        <f>IFERROR(__xludf.DUMMYFUNCTION("""COMPUTED_VALUE"""),"GA")</f>
        <v>GA</v>
      </c>
      <c r="R8" s="275" t="str">
        <f>IFERROR(__xludf.DUMMYFUNCTION("""COMPUTED_VALUE"""),"643 DP")</f>
        <v>643 DP</v>
      </c>
      <c r="S8" s="277">
        <f>IFERROR(__xludf.DUMMYFUNCTION("""COMPUTED_VALUE"""),1.0)</f>
        <v>1</v>
      </c>
      <c r="T8" s="266"/>
      <c r="U8" s="259" t="str">
        <f>IFERROR(__xludf.DUMMYFUNCTION("""COMPUTED_VALUE"""),"Matthew Bergin")</f>
        <v>Matthew Bergin</v>
      </c>
      <c r="V8" s="250"/>
      <c r="W8" s="273" t="str">
        <f>IFERROR(__xludf.DUMMYFUNCTION("""COMPUTED_VALUE"""),"R/R")</f>
        <v>R/R</v>
      </c>
      <c r="X8" s="274"/>
      <c r="Y8" s="275" t="str">
        <f>IFERROR(__xludf.DUMMYFUNCTION("""COMPUTED_VALUE"""),"Boston Prime 17U Navy")</f>
        <v>Boston Prime 17U Navy</v>
      </c>
      <c r="Z8" s="260">
        <f>IFERROR(__xludf.DUMMYFUNCTION("""COMPUTED_VALUE"""),2.0)</f>
        <v>2</v>
      </c>
      <c r="AA8" s="14"/>
      <c r="AB8" s="255" t="str">
        <f>IFERROR(__xludf.DUMMYFUNCTION("""COMPUTED_VALUE"""),"Cruz Garcia")</f>
        <v>Cruz Garcia</v>
      </c>
      <c r="AC8" s="250"/>
      <c r="AD8" s="279" t="str">
        <f>IFERROR(__xludf.DUMMYFUNCTION("""COMPUTED_VALUE"""),"R/R")</f>
        <v>R/R</v>
      </c>
      <c r="AE8" s="256" t="str">
        <f>IFERROR(__xludf.DUMMYFUNCTION("""COMPUTED_VALUE"""),"CA")</f>
        <v>CA</v>
      </c>
      <c r="AF8" s="265"/>
      <c r="AG8" s="280">
        <f>IFERROR(__xludf.DUMMYFUNCTION("""COMPUTED_VALUE"""),2.0)</f>
        <v>2</v>
      </c>
      <c r="AH8" s="14"/>
      <c r="AI8" s="14"/>
      <c r="AJ8" s="14"/>
    </row>
    <row r="9" ht="15.0" customHeight="1">
      <c r="A9" s="14"/>
      <c r="B9" s="276" t="str">
        <f>IFERROR(__xludf.DUMMYFUNCTION("""COMPUTED_VALUE"""),"Ben Dahlstedt")</f>
        <v>Ben Dahlstedt</v>
      </c>
      <c r="C9" s="250"/>
      <c r="D9" s="274" t="str">
        <f>IFERROR(__xludf.DUMMYFUNCTION("""COMPUTED_VALUE"""),"MA")</f>
        <v>MA</v>
      </c>
      <c r="E9" s="275" t="str">
        <f>IFERROR(__xludf.DUMMYFUNCTION("""COMPUTED_VALUE"""),"ECNE Expos")</f>
        <v>ECNE Expos</v>
      </c>
      <c r="F9" s="277">
        <f>IFERROR(__xludf.DUMMYFUNCTION("""COMPUTED_VALUE"""),1.0)</f>
        <v>1</v>
      </c>
      <c r="G9" s="14"/>
      <c r="H9" s="259" t="str">
        <f>IFERROR(__xludf.DUMMYFUNCTION("""COMPUTED_VALUE"""),"Grayson Waters")</f>
        <v>Grayson Waters</v>
      </c>
      <c r="I9" s="250"/>
      <c r="J9" s="260" t="str">
        <f>IFERROR(__xludf.DUMMYFUNCTION("""COMPUTED_VALUE"""),"IL")</f>
        <v>IL</v>
      </c>
      <c r="K9" s="261" t="str">
        <f>IFERROR(__xludf.DUMMYFUNCTION("""COMPUTED_VALUE"""),"Cangelosi Sparks North 2027")</f>
        <v>Cangelosi Sparks North 2027</v>
      </c>
      <c r="L9" s="277">
        <f>IFERROR(__xludf.DUMMYFUNCTION("""COMPUTED_VALUE"""),2.0)</f>
        <v>2</v>
      </c>
      <c r="M9" s="14"/>
      <c r="N9" s="278" t="str">
        <f>IFERROR(__xludf.DUMMYFUNCTION("""COMPUTED_VALUE"""),"Colt Bradshaw")</f>
        <v>Colt Bradshaw</v>
      </c>
      <c r="O9" s="250"/>
      <c r="P9" s="273" t="str">
        <f>IFERROR(__xludf.DUMMYFUNCTION("""COMPUTED_VALUE"""),"R/R")</f>
        <v>R/R</v>
      </c>
      <c r="Q9" s="274" t="str">
        <f>IFERROR(__xludf.DUMMYFUNCTION("""COMPUTED_VALUE"""),"VA")</f>
        <v>VA</v>
      </c>
      <c r="R9" s="275"/>
      <c r="S9" s="277">
        <f>IFERROR(__xludf.DUMMYFUNCTION("""COMPUTED_VALUE"""),2.0)</f>
        <v>2</v>
      </c>
      <c r="T9" s="266"/>
      <c r="U9" s="259" t="str">
        <f>IFERROR(__xludf.DUMMYFUNCTION("""COMPUTED_VALUE"""),"Lucas Collure")</f>
        <v>Lucas Collure</v>
      </c>
      <c r="V9" s="250"/>
      <c r="W9" s="273" t="str">
        <f>IFERROR(__xludf.DUMMYFUNCTION("""COMPUTED_VALUE"""),"R/R")</f>
        <v>R/R</v>
      </c>
      <c r="X9" s="274" t="str">
        <f>IFERROR(__xludf.DUMMYFUNCTION("""COMPUTED_VALUE"""),"NY")</f>
        <v>NY</v>
      </c>
      <c r="Y9" s="275"/>
      <c r="Z9" s="260">
        <f>IFERROR(__xludf.DUMMYFUNCTION("""COMPUTED_VALUE"""),2.0)</f>
        <v>2</v>
      </c>
      <c r="AA9" s="14"/>
      <c r="AB9" s="255" t="str">
        <f>IFERROR(__xludf.DUMMYFUNCTION("""COMPUTED_VALUE"""),"Landon Klein")</f>
        <v>Landon Klein</v>
      </c>
      <c r="AC9" s="250"/>
      <c r="AD9" s="279" t="str">
        <f>IFERROR(__xludf.DUMMYFUNCTION("""COMPUTED_VALUE"""),"R/R")</f>
        <v>R/R</v>
      </c>
      <c r="AE9" s="256" t="str">
        <f>IFERROR(__xludf.DUMMYFUNCTION("""COMPUTED_VALUE"""),"WA")</f>
        <v>WA</v>
      </c>
      <c r="AF9" s="265"/>
      <c r="AG9" s="280">
        <f>IFERROR(__xludf.DUMMYFUNCTION("""COMPUTED_VALUE"""),2.0)</f>
        <v>2</v>
      </c>
      <c r="AH9" s="14"/>
      <c r="AI9" s="14"/>
      <c r="AJ9" s="14"/>
    </row>
    <row r="10" ht="15.0" customHeight="1">
      <c r="A10" s="14"/>
      <c r="B10" s="276" t="str">
        <f>IFERROR(__xludf.DUMMYFUNCTION("""COMPUTED_VALUE"""),"Jaeger Bedford")</f>
        <v>Jaeger Bedford</v>
      </c>
      <c r="C10" s="250"/>
      <c r="D10" s="274" t="str">
        <f>IFERROR(__xludf.DUMMYFUNCTION("""COMPUTED_VALUE"""),"FL")</f>
        <v>FL</v>
      </c>
      <c r="E10" s="275" t="str">
        <f>IFERROR(__xludf.DUMMYFUNCTION("""COMPUTED_VALUE"""),"Top Tier Roos")</f>
        <v>Top Tier Roos</v>
      </c>
      <c r="F10" s="277">
        <f>IFERROR(__xludf.DUMMYFUNCTION("""COMPUTED_VALUE"""),2.0)</f>
        <v>2</v>
      </c>
      <c r="G10" s="14"/>
      <c r="H10" s="259" t="str">
        <f>IFERROR(__xludf.DUMMYFUNCTION("""COMPUTED_VALUE"""),"Hutch Weaver")</f>
        <v>Hutch Weaver</v>
      </c>
      <c r="I10" s="250"/>
      <c r="J10" s="260" t="str">
        <f>IFERROR(__xludf.DUMMYFUNCTION("""COMPUTED_VALUE"""),"TN")</f>
        <v>TN</v>
      </c>
      <c r="K10" s="261" t="str">
        <f>IFERROR(__xludf.DUMMYFUNCTION("""COMPUTED_VALUE"""),"FTB National 2027")</f>
        <v>FTB National 2027</v>
      </c>
      <c r="L10" s="277">
        <f>IFERROR(__xludf.DUMMYFUNCTION("""COMPUTED_VALUE"""),2.0)</f>
        <v>2</v>
      </c>
      <c r="M10" s="14"/>
      <c r="N10" s="278" t="str">
        <f>IFERROR(__xludf.DUMMYFUNCTION("""COMPUTED_VALUE"""),"Wesley Dewitt")</f>
        <v>Wesley Dewitt</v>
      </c>
      <c r="O10" s="250"/>
      <c r="P10" s="273" t="str">
        <f>IFERROR(__xludf.DUMMYFUNCTION("""COMPUTED_VALUE"""),"L/R")</f>
        <v>L/R</v>
      </c>
      <c r="Q10" s="274" t="str">
        <f>IFERROR(__xludf.DUMMYFUNCTION("""COMPUTED_VALUE"""),"UT")</f>
        <v>UT</v>
      </c>
      <c r="R10" s="275"/>
      <c r="S10" s="277">
        <f>IFERROR(__xludf.DUMMYFUNCTION("""COMPUTED_VALUE"""),2.0)</f>
        <v>2</v>
      </c>
      <c r="T10" s="266"/>
      <c r="U10" s="259" t="str">
        <f>IFERROR(__xludf.DUMMYFUNCTION("""COMPUTED_VALUE"""),"Brayden Goldstein")</f>
        <v>Brayden Goldstein</v>
      </c>
      <c r="V10" s="250"/>
      <c r="W10" s="273" t="str">
        <f>IFERROR(__xludf.DUMMYFUNCTION("""COMPUTED_VALUE"""),"L/R")</f>
        <v>L/R</v>
      </c>
      <c r="X10" s="274" t="str">
        <f>IFERROR(__xludf.DUMMYFUNCTION("""COMPUTED_VALUE"""),"CA")</f>
        <v>CA</v>
      </c>
      <c r="Y10" s="275"/>
      <c r="Z10" s="260">
        <f>IFERROR(__xludf.DUMMYFUNCTION("""COMPUTED_VALUE"""),2.0)</f>
        <v>2</v>
      </c>
      <c r="AA10" s="14"/>
      <c r="AB10" s="255" t="str">
        <f>IFERROR(__xludf.DUMMYFUNCTION("""COMPUTED_VALUE"""),"Cameron Mares")</f>
        <v>Cameron Mares</v>
      </c>
      <c r="AC10" s="250"/>
      <c r="AD10" s="279" t="str">
        <f>IFERROR(__xludf.DUMMYFUNCTION("""COMPUTED_VALUE"""),"R/R")</f>
        <v>R/R</v>
      </c>
      <c r="AE10" s="256" t="str">
        <f>IFERROR(__xludf.DUMMYFUNCTION("""COMPUTED_VALUE"""),"CO")</f>
        <v>CO</v>
      </c>
      <c r="AF10" s="265"/>
      <c r="AG10" s="280">
        <f>IFERROR(__xludf.DUMMYFUNCTION("""COMPUTED_VALUE"""),2.0)</f>
        <v>2</v>
      </c>
      <c r="AH10" s="14"/>
      <c r="AI10" s="14"/>
      <c r="AJ10" s="14"/>
    </row>
    <row r="11" ht="15.0" customHeight="1">
      <c r="A11" s="14"/>
      <c r="B11" s="276" t="str">
        <f>IFERROR(__xludf.DUMMYFUNCTION("""COMPUTED_VALUE"""),"Connor Christiansen")</f>
        <v>Connor Christiansen</v>
      </c>
      <c r="C11" s="250"/>
      <c r="D11" s="274" t="str">
        <f>IFERROR(__xludf.DUMMYFUNCTION("""COMPUTED_VALUE"""),"IN")</f>
        <v>IN</v>
      </c>
      <c r="E11" s="275" t="str">
        <f>IFERROR(__xludf.DUMMYFUNCTION("""COMPUTED_VALUE"""),"Canes Midwest")</f>
        <v>Canes Midwest</v>
      </c>
      <c r="F11" s="277">
        <f>IFERROR(__xludf.DUMMYFUNCTION("""COMPUTED_VALUE"""),2.0)</f>
        <v>2</v>
      </c>
      <c r="G11" s="14"/>
      <c r="H11" s="259" t="str">
        <f>IFERROR(__xludf.DUMMYFUNCTION("""COMPUTED_VALUE"""),"Jackson Wood")</f>
        <v>Jackson Wood</v>
      </c>
      <c r="I11" s="250"/>
      <c r="J11" s="260" t="str">
        <f>IFERROR(__xludf.DUMMYFUNCTION("""COMPUTED_VALUE"""),"HI")</f>
        <v>HI</v>
      </c>
      <c r="K11" s="261" t="str">
        <f>IFERROR(__xludf.DUMMYFUNCTION("""COMPUTED_VALUE"""),"Hawaii Elite")</f>
        <v>Hawaii Elite</v>
      </c>
      <c r="L11" s="277">
        <f>IFERROR(__xludf.DUMMYFUNCTION("""COMPUTED_VALUE"""),2.0)</f>
        <v>2</v>
      </c>
      <c r="M11" s="14"/>
      <c r="N11" s="278" t="str">
        <f>IFERROR(__xludf.DUMMYFUNCTION("""COMPUTED_VALUE"""),"Logan Downey")</f>
        <v>Logan Downey</v>
      </c>
      <c r="O11" s="250"/>
      <c r="P11" s="273" t="str">
        <f>IFERROR(__xludf.DUMMYFUNCTION("""COMPUTED_VALUE"""),"R/R")</f>
        <v>R/R</v>
      </c>
      <c r="Q11" s="274" t="str">
        <f>IFERROR(__xludf.DUMMYFUNCTION("""COMPUTED_VALUE"""),"NJ")</f>
        <v>NJ</v>
      </c>
      <c r="R11" s="275" t="str">
        <f>IFERROR(__xludf.DUMMYFUNCTION("""COMPUTED_VALUE"""),"Ghost National 17U Mocha/Mojo")</f>
        <v>Ghost National 17U Mocha/Mojo</v>
      </c>
      <c r="S11" s="277">
        <f>IFERROR(__xludf.DUMMYFUNCTION("""COMPUTED_VALUE"""),2.0)</f>
        <v>2</v>
      </c>
      <c r="T11" s="266"/>
      <c r="U11" s="259" t="str">
        <f>IFERROR(__xludf.DUMMYFUNCTION("""COMPUTED_VALUE"""),"Ryan Hawken")</f>
        <v>Ryan Hawken</v>
      </c>
      <c r="V11" s="250"/>
      <c r="W11" s="273" t="str">
        <f>IFERROR(__xludf.DUMMYFUNCTION("""COMPUTED_VALUE"""),"R/R")</f>
        <v>R/R</v>
      </c>
      <c r="X11" s="274" t="str">
        <f>IFERROR(__xludf.DUMMYFUNCTION("""COMPUTED_VALUE"""),"NJ")</f>
        <v>NJ</v>
      </c>
      <c r="Y11" s="275" t="str">
        <f>IFERROR(__xludf.DUMMYFUNCTION("""COMPUTED_VALUE"""),"Ghost")</f>
        <v>Ghost</v>
      </c>
      <c r="Z11" s="260">
        <f>IFERROR(__xludf.DUMMYFUNCTION("""COMPUTED_VALUE"""),2.0)</f>
        <v>2</v>
      </c>
      <c r="AA11" s="14"/>
      <c r="AB11" s="255" t="str">
        <f>IFERROR(__xludf.DUMMYFUNCTION("""COMPUTED_VALUE"""),"Eli Quinley")</f>
        <v>Eli Quinley</v>
      </c>
      <c r="AC11" s="250"/>
      <c r="AD11" s="279" t="str">
        <f>IFERROR(__xludf.DUMMYFUNCTION("""COMPUTED_VALUE"""),"R/R")</f>
        <v>R/R</v>
      </c>
      <c r="AE11" s="256" t="str">
        <f>IFERROR(__xludf.DUMMYFUNCTION("""COMPUTED_VALUE"""),"AL")</f>
        <v>AL</v>
      </c>
      <c r="AF11" s="265"/>
      <c r="AG11" s="280">
        <f>IFERROR(__xludf.DUMMYFUNCTION("""COMPUTED_VALUE"""),2.0)</f>
        <v>2</v>
      </c>
      <c r="AH11" s="14"/>
      <c r="AI11" s="14"/>
      <c r="AJ11" s="14"/>
    </row>
    <row r="12" ht="15.0" customHeight="1">
      <c r="A12" s="14"/>
      <c r="B12" s="276" t="str">
        <f>IFERROR(__xludf.DUMMYFUNCTION("""COMPUTED_VALUE"""),"Caden Christianson")</f>
        <v>Caden Christianson</v>
      </c>
      <c r="C12" s="250"/>
      <c r="D12" s="274" t="str">
        <f>IFERROR(__xludf.DUMMYFUNCTION("""COMPUTED_VALUE"""),"CO")</f>
        <v>CO</v>
      </c>
      <c r="E12" s="275" t="str">
        <f>IFERROR(__xludf.DUMMYFUNCTION("""COMPUTED_VALUE"""),"East Cobb/SD Padres ST Underclass")</f>
        <v>East Cobb/SD Padres ST Underclass</v>
      </c>
      <c r="F12" s="277">
        <f>IFERROR(__xludf.DUMMYFUNCTION("""COMPUTED_VALUE"""),2.0)</f>
        <v>2</v>
      </c>
      <c r="G12" s="14"/>
      <c r="H12" s="259" t="str">
        <f>IFERROR(__xludf.DUMMYFUNCTION("""COMPUTED_VALUE"""),"Brayden Rivera")</f>
        <v>Brayden Rivera</v>
      </c>
      <c r="I12" s="250"/>
      <c r="J12" s="260" t="str">
        <f>IFERROR(__xludf.DUMMYFUNCTION("""COMPUTED_VALUE"""),"MD")</f>
        <v>MD</v>
      </c>
      <c r="K12" s="261" t="str">
        <f>IFERROR(__xludf.DUMMYFUNCTION("""COMPUTED_VALUE"""),"US Elite Mid Atlantic")</f>
        <v>US Elite Mid Atlantic</v>
      </c>
      <c r="L12" s="277">
        <f>IFERROR(__xludf.DUMMYFUNCTION("""COMPUTED_VALUE"""),2.0)</f>
        <v>2</v>
      </c>
      <c r="M12" s="14"/>
      <c r="N12" s="278" t="str">
        <f>IFERROR(__xludf.DUMMYFUNCTION("""COMPUTED_VALUE"""),"Carter Huff")</f>
        <v>Carter Huff</v>
      </c>
      <c r="O12" s="250"/>
      <c r="P12" s="273"/>
      <c r="Q12" s="274" t="str">
        <f>IFERROR(__xludf.DUMMYFUNCTION("""COMPUTED_VALUE"""),"NC")</f>
        <v>NC</v>
      </c>
      <c r="R12" s="275" t="str">
        <f>IFERROR(__xludf.DUMMYFUNCTION("""COMPUTED_VALUE"""),"SCP")</f>
        <v>SCP</v>
      </c>
      <c r="S12" s="277">
        <f>IFERROR(__xludf.DUMMYFUNCTION("""COMPUTED_VALUE"""),2.0)</f>
        <v>2</v>
      </c>
      <c r="T12" s="266"/>
      <c r="U12" s="259" t="str">
        <f>IFERROR(__xludf.DUMMYFUNCTION("""COMPUTED_VALUE"""),"Grant Helms")</f>
        <v>Grant Helms</v>
      </c>
      <c r="V12" s="250"/>
      <c r="W12" s="273"/>
      <c r="X12" s="274"/>
      <c r="Y12" s="275" t="str">
        <f>IFERROR(__xludf.DUMMYFUNCTION("""COMPUTED_VALUE"""),"SBA Bolts")</f>
        <v>SBA Bolts</v>
      </c>
      <c r="Z12" s="260">
        <f>IFERROR(__xludf.DUMMYFUNCTION("""COMPUTED_VALUE"""),2.0)</f>
        <v>2</v>
      </c>
      <c r="AA12" s="14"/>
      <c r="AB12" s="255" t="str">
        <f>IFERROR(__xludf.DUMMYFUNCTION("""COMPUTED_VALUE"""),"Jake Lindsey")</f>
        <v>Jake Lindsey</v>
      </c>
      <c r="AC12" s="250"/>
      <c r="AD12" s="279"/>
      <c r="AE12" s="256" t="str">
        <f>IFERROR(__xludf.DUMMYFUNCTION("""COMPUTED_VALUE"""),"MD")</f>
        <v>MD</v>
      </c>
      <c r="AF12" s="265" t="str">
        <f>IFERROR(__xludf.DUMMYFUNCTION("""COMPUTED_VALUE"""),"US Elite")</f>
        <v>US Elite</v>
      </c>
      <c r="AG12" s="280">
        <f>IFERROR(__xludf.DUMMYFUNCTION("""COMPUTED_VALUE"""),2.0)</f>
        <v>2</v>
      </c>
      <c r="AH12" s="14"/>
      <c r="AI12" s="14"/>
      <c r="AJ12" s="14"/>
    </row>
    <row r="13" ht="15.0" customHeight="1">
      <c r="A13" s="14"/>
      <c r="B13" s="276" t="str">
        <f>IFERROR(__xludf.DUMMYFUNCTION("""COMPUTED_VALUE"""),"Peyton Crews")</f>
        <v>Peyton Crews</v>
      </c>
      <c r="C13" s="250"/>
      <c r="D13" s="274" t="str">
        <f>IFERROR(__xludf.DUMMYFUNCTION("""COMPUTED_VALUE"""),"NC")</f>
        <v>NC</v>
      </c>
      <c r="E13" s="275" t="str">
        <f>IFERROR(__xludf.DUMMYFUNCTION("""COMPUTED_VALUE"""),"Dirtbags")</f>
        <v>Dirtbags</v>
      </c>
      <c r="F13" s="277">
        <f>IFERROR(__xludf.DUMMYFUNCTION("""COMPUTED_VALUE"""),2.0)</f>
        <v>2</v>
      </c>
      <c r="G13" s="14"/>
      <c r="H13" s="259" t="str">
        <f>IFERROR(__xludf.DUMMYFUNCTION("""COMPUTED_VALUE"""),"Jack Snakenberg")</f>
        <v>Jack Snakenberg</v>
      </c>
      <c r="I13" s="250"/>
      <c r="J13" s="260" t="str">
        <f>IFERROR(__xludf.DUMMYFUNCTION("""COMPUTED_VALUE"""),"TX")</f>
        <v>TX</v>
      </c>
      <c r="K13" s="261" t="str">
        <f>IFERROR(__xludf.DUMMYFUNCTION("""COMPUTED_VALUE"""),"Dallas Tigers")</f>
        <v>Dallas Tigers</v>
      </c>
      <c r="L13" s="277">
        <f>IFERROR(__xludf.DUMMYFUNCTION("""COMPUTED_VALUE"""),1.0)</f>
        <v>1</v>
      </c>
      <c r="M13" s="14"/>
      <c r="N13" s="278" t="str">
        <f>IFERROR(__xludf.DUMMYFUNCTION("""COMPUTED_VALUE"""),"Chayce Kolbert")</f>
        <v>Chayce Kolbert</v>
      </c>
      <c r="O13" s="250"/>
      <c r="P13" s="273" t="str">
        <f>IFERROR(__xludf.DUMMYFUNCTION("""COMPUTED_VALUE"""),"R/R")</f>
        <v>R/R</v>
      </c>
      <c r="Q13" s="274" t="str">
        <f>IFERROR(__xludf.DUMMYFUNCTION("""COMPUTED_VALUE"""),"NY")</f>
        <v>NY</v>
      </c>
      <c r="R13" s="275"/>
      <c r="S13" s="277">
        <f>IFERROR(__xludf.DUMMYFUNCTION("""COMPUTED_VALUE"""),2.0)</f>
        <v>2</v>
      </c>
      <c r="T13" s="266"/>
      <c r="U13" s="259" t="str">
        <f>IFERROR(__xludf.DUMMYFUNCTION("""COMPUTED_VALUE"""),"Tyler Honkomp")</f>
        <v>Tyler Honkomp</v>
      </c>
      <c r="V13" s="250"/>
      <c r="W13" s="273" t="str">
        <f>IFERROR(__xludf.DUMMYFUNCTION("""COMPUTED_VALUE"""),"R/R")</f>
        <v>R/R</v>
      </c>
      <c r="X13" s="274" t="str">
        <f>IFERROR(__xludf.DUMMYFUNCTION("""COMPUTED_VALUE"""),"IA")</f>
        <v>IA</v>
      </c>
      <c r="Y13" s="275"/>
      <c r="Z13" s="260">
        <f>IFERROR(__xludf.DUMMYFUNCTION("""COMPUTED_VALUE"""),2.0)</f>
        <v>2</v>
      </c>
      <c r="AA13" s="14"/>
      <c r="AB13" s="255"/>
      <c r="AC13" s="250"/>
      <c r="AD13" s="279"/>
      <c r="AE13" s="256"/>
      <c r="AF13" s="265"/>
      <c r="AG13" s="280"/>
      <c r="AH13" s="14"/>
      <c r="AI13" s="14"/>
      <c r="AJ13" s="14"/>
    </row>
    <row r="14" ht="15.0" customHeight="1">
      <c r="A14" s="14"/>
      <c r="B14" s="276" t="str">
        <f>IFERROR(__xludf.DUMMYFUNCTION("""COMPUTED_VALUE"""),"Johnny Deaderick")</f>
        <v>Johnny Deaderick</v>
      </c>
      <c r="C14" s="250"/>
      <c r="D14" s="274" t="str">
        <f>IFERROR(__xludf.DUMMYFUNCTION("""COMPUTED_VALUE"""),"GA")</f>
        <v>GA</v>
      </c>
      <c r="E14" s="275" t="str">
        <f>IFERROR(__xludf.DUMMYFUNCTION("""COMPUTED_VALUE"""),"643 DP")</f>
        <v>643 DP</v>
      </c>
      <c r="F14" s="277">
        <f>IFERROR(__xludf.DUMMYFUNCTION("""COMPUTED_VALUE"""),2.0)</f>
        <v>2</v>
      </c>
      <c r="G14" s="14"/>
      <c r="H14" s="259"/>
      <c r="I14" s="250"/>
      <c r="J14" s="260"/>
      <c r="K14" s="261"/>
      <c r="L14" s="277"/>
      <c r="M14" s="14"/>
      <c r="N14" s="278" t="str">
        <f>IFERROR(__xludf.DUMMYFUNCTION("""COMPUTED_VALUE"""),"Justin Labrador")</f>
        <v>Justin Labrador</v>
      </c>
      <c r="O14" s="250"/>
      <c r="P14" s="273" t="str">
        <f>IFERROR(__xludf.DUMMYFUNCTION("""COMPUTED_VALUE"""),"R/R")</f>
        <v>R/R</v>
      </c>
      <c r="Q14" s="274" t="str">
        <f>IFERROR(__xludf.DUMMYFUNCTION("""COMPUTED_VALUE"""),"NJ")</f>
        <v>NJ</v>
      </c>
      <c r="R14" s="275" t="str">
        <f>IFERROR(__xludf.DUMMYFUNCTION("""COMPUTED_VALUE"""),"Diamond Jacks Super 17")</f>
        <v>Diamond Jacks Super 17</v>
      </c>
      <c r="S14" s="277">
        <f>IFERROR(__xludf.DUMMYFUNCTION("""COMPUTED_VALUE"""),2.0)</f>
        <v>2</v>
      </c>
      <c r="T14" s="266"/>
      <c r="U14" s="259" t="str">
        <f>IFERROR(__xludf.DUMMYFUNCTION("""COMPUTED_VALUE"""),"Luke Parrish")</f>
        <v>Luke Parrish</v>
      </c>
      <c r="V14" s="250"/>
      <c r="W14" s="273"/>
      <c r="X14" s="274" t="str">
        <f>IFERROR(__xludf.DUMMYFUNCTION("""COMPUTED_VALUE"""),"GA")</f>
        <v>GA</v>
      </c>
      <c r="Y14" s="275" t="str">
        <f>IFERROR(__xludf.DUMMYFUNCTION("""COMPUTED_VALUE"""),"FL Burn")</f>
        <v>FL Burn</v>
      </c>
      <c r="Z14" s="260">
        <f>IFERROR(__xludf.DUMMYFUNCTION("""COMPUTED_VALUE"""),2.0)</f>
        <v>2</v>
      </c>
      <c r="AA14" s="14"/>
      <c r="AB14" s="255"/>
      <c r="AC14" s="250"/>
      <c r="AD14" s="279"/>
      <c r="AE14" s="256"/>
      <c r="AF14" s="265"/>
      <c r="AG14" s="280"/>
      <c r="AH14" s="14"/>
      <c r="AI14" s="14"/>
      <c r="AJ14" s="14"/>
    </row>
    <row r="15" ht="15.0" customHeight="1">
      <c r="A15" s="14"/>
      <c r="B15" s="276" t="str">
        <f>IFERROR(__xludf.DUMMYFUNCTION("""COMPUTED_VALUE"""),"Hudson December")</f>
        <v>Hudson December</v>
      </c>
      <c r="C15" s="250"/>
      <c r="D15" s="274" t="str">
        <f>IFERROR(__xludf.DUMMYFUNCTION("""COMPUTED_VALUE"""),"CA")</f>
        <v>CA</v>
      </c>
      <c r="E15" s="275" t="str">
        <f>IFERROR(__xludf.DUMMYFUNCTION("""COMPUTED_VALUE"""),"PNT")</f>
        <v>PNT</v>
      </c>
      <c r="F15" s="277">
        <f>IFERROR(__xludf.DUMMYFUNCTION("""COMPUTED_VALUE"""),2.0)</f>
        <v>2</v>
      </c>
      <c r="G15" s="14"/>
      <c r="H15" s="259"/>
      <c r="I15" s="250"/>
      <c r="J15" s="260"/>
      <c r="K15" s="261"/>
      <c r="L15" s="277"/>
      <c r="M15" s="14"/>
      <c r="N15" s="278" t="str">
        <f>IFERROR(__xludf.DUMMYFUNCTION("""COMPUTED_VALUE"""),"Grayson Morris")</f>
        <v>Grayson Morris</v>
      </c>
      <c r="O15" s="250"/>
      <c r="P15" s="273"/>
      <c r="Q15" s="274" t="str">
        <f>IFERROR(__xludf.DUMMYFUNCTION("""COMPUTED_VALUE"""),"VA")</f>
        <v>VA</v>
      </c>
      <c r="R15" s="275" t="str">
        <f>IFERROR(__xludf.DUMMYFUNCTION("""COMPUTED_VALUE"""),"Ironbridge")</f>
        <v>Ironbridge</v>
      </c>
      <c r="S15" s="277">
        <f>IFERROR(__xludf.DUMMYFUNCTION("""COMPUTED_VALUE"""),2.0)</f>
        <v>2</v>
      </c>
      <c r="T15" s="266"/>
      <c r="U15" s="259" t="str">
        <f>IFERROR(__xludf.DUMMYFUNCTION("""COMPUTED_VALUE"""),"Mason Sowers")</f>
        <v>Mason Sowers</v>
      </c>
      <c r="V15" s="250"/>
      <c r="W15" s="273"/>
      <c r="X15" s="274" t="str">
        <f>IFERROR(__xludf.DUMMYFUNCTION("""COMPUTED_VALUE"""),"CA")</f>
        <v>CA</v>
      </c>
      <c r="Y15" s="275"/>
      <c r="Z15" s="260">
        <f>IFERROR(__xludf.DUMMYFUNCTION("""COMPUTED_VALUE"""),2.0)</f>
        <v>2</v>
      </c>
      <c r="AA15" s="14"/>
      <c r="AB15" s="255"/>
      <c r="AC15" s="250"/>
      <c r="AD15" s="279"/>
      <c r="AE15" s="256"/>
      <c r="AF15" s="265"/>
      <c r="AG15" s="280"/>
      <c r="AH15" s="14"/>
      <c r="AI15" s="14"/>
      <c r="AJ15" s="14"/>
    </row>
    <row r="16" ht="15.0" customHeight="1">
      <c r="A16" s="14"/>
      <c r="B16" s="276" t="str">
        <f>IFERROR(__xludf.DUMMYFUNCTION("""COMPUTED_VALUE"""),"Cade Filleman")</f>
        <v>Cade Filleman</v>
      </c>
      <c r="C16" s="250"/>
      <c r="D16" s="274" t="str">
        <f>IFERROR(__xludf.DUMMYFUNCTION("""COMPUTED_VALUE"""),"CO")</f>
        <v>CO</v>
      </c>
      <c r="E16" s="275"/>
      <c r="F16" s="277">
        <f>IFERROR(__xludf.DUMMYFUNCTION("""COMPUTED_VALUE"""),2.0)</f>
        <v>2</v>
      </c>
      <c r="G16" s="14"/>
      <c r="H16" s="259"/>
      <c r="I16" s="250"/>
      <c r="J16" s="260"/>
      <c r="K16" s="261"/>
      <c r="L16" s="277"/>
      <c r="M16" s="14"/>
      <c r="N16" s="278" t="str">
        <f>IFERROR(__xludf.DUMMYFUNCTION("""COMPUTED_VALUE"""),"Drew Pittman")</f>
        <v>Drew Pittman</v>
      </c>
      <c r="O16" s="250"/>
      <c r="P16" s="273" t="str">
        <f>IFERROR(__xludf.DUMMYFUNCTION("""COMPUTED_VALUE"""),"S/R")</f>
        <v>S/R</v>
      </c>
      <c r="Q16" s="274" t="str">
        <f>IFERROR(__xludf.DUMMYFUNCTION("""COMPUTED_VALUE"""),"KS")</f>
        <v>KS</v>
      </c>
      <c r="R16" s="275"/>
      <c r="S16" s="277">
        <f>IFERROR(__xludf.DUMMYFUNCTION("""COMPUTED_VALUE"""),2.0)</f>
        <v>2</v>
      </c>
      <c r="T16" s="266"/>
      <c r="U16" s="259" t="str">
        <f>IFERROR(__xludf.DUMMYFUNCTION("""COMPUTED_VALUE"""),"Carter Taldo")</f>
        <v>Carter Taldo</v>
      </c>
      <c r="V16" s="250"/>
      <c r="W16" s="273" t="str">
        <f>IFERROR(__xludf.DUMMYFUNCTION("""COMPUTED_VALUE"""),"R/R")</f>
        <v>R/R</v>
      </c>
      <c r="X16" s="274" t="str">
        <f>IFERROR(__xludf.DUMMYFUNCTION("""COMPUTED_VALUE"""),"KS")</f>
        <v>KS</v>
      </c>
      <c r="Y16" s="275"/>
      <c r="Z16" s="260">
        <f>IFERROR(__xludf.DUMMYFUNCTION("""COMPUTED_VALUE"""),1.0)</f>
        <v>1</v>
      </c>
      <c r="AA16" s="14"/>
      <c r="AB16" s="255"/>
      <c r="AC16" s="250"/>
      <c r="AD16" s="279"/>
      <c r="AE16" s="256"/>
      <c r="AF16" s="265"/>
      <c r="AG16" s="280"/>
      <c r="AH16" s="14"/>
      <c r="AI16" s="14"/>
      <c r="AJ16" s="14"/>
    </row>
    <row r="17" ht="15.0" customHeight="1">
      <c r="A17" s="14"/>
      <c r="B17" s="276" t="str">
        <f>IFERROR(__xludf.DUMMYFUNCTION("""COMPUTED_VALUE"""),"Jackson Fulgintine")</f>
        <v>Jackson Fulgintine</v>
      </c>
      <c r="C17" s="250"/>
      <c r="D17" s="274" t="str">
        <f>IFERROR(__xludf.DUMMYFUNCTION("""COMPUTED_VALUE"""),"MA")</f>
        <v>MA</v>
      </c>
      <c r="E17" s="275" t="str">
        <f>IFERROR(__xludf.DUMMYFUNCTION("""COMPUTED_VALUE"""),"Boston Prime")</f>
        <v>Boston Prime</v>
      </c>
      <c r="F17" s="277">
        <f>IFERROR(__xludf.DUMMYFUNCTION("""COMPUTED_VALUE"""),2.0)</f>
        <v>2</v>
      </c>
      <c r="G17" s="14"/>
      <c r="H17" s="259"/>
      <c r="I17" s="250"/>
      <c r="J17" s="260"/>
      <c r="K17" s="261"/>
      <c r="L17" s="277"/>
      <c r="M17" s="14"/>
      <c r="N17" s="278" t="str">
        <f>IFERROR(__xludf.DUMMYFUNCTION("""COMPUTED_VALUE"""),"Brennan Walters")</f>
        <v>Brennan Walters</v>
      </c>
      <c r="O17" s="250"/>
      <c r="P17" s="273" t="str">
        <f>IFERROR(__xludf.DUMMYFUNCTION("""COMPUTED_VALUE"""),"L/R")</f>
        <v>L/R</v>
      </c>
      <c r="Q17" s="274" t="str">
        <f>IFERROR(__xludf.DUMMYFUNCTION("""COMPUTED_VALUE"""),"KY")</f>
        <v>KY</v>
      </c>
      <c r="R17" s="275"/>
      <c r="S17" s="277">
        <f>IFERROR(__xludf.DUMMYFUNCTION("""COMPUTED_VALUE"""),2.0)</f>
        <v>2</v>
      </c>
      <c r="T17" s="266"/>
      <c r="U17" s="259" t="str">
        <f>IFERROR(__xludf.DUMMYFUNCTION("""COMPUTED_VALUE"""),"Reign Taylor")</f>
        <v>Reign Taylor</v>
      </c>
      <c r="V17" s="250"/>
      <c r="W17" s="273"/>
      <c r="X17" s="274" t="str">
        <f>IFERROR(__xludf.DUMMYFUNCTION("""COMPUTED_VALUE"""),"NC")</f>
        <v>NC</v>
      </c>
      <c r="Y17" s="275" t="str">
        <f>IFERROR(__xludf.DUMMYFUNCTION("""COMPUTED_VALUE"""),"USA Prime Coastal")</f>
        <v>USA Prime Coastal</v>
      </c>
      <c r="Z17" s="260">
        <f>IFERROR(__xludf.DUMMYFUNCTION("""COMPUTED_VALUE"""),2.0)</f>
        <v>2</v>
      </c>
      <c r="AA17" s="14"/>
      <c r="AB17" s="255"/>
      <c r="AC17" s="250"/>
      <c r="AD17" s="279"/>
      <c r="AE17" s="256"/>
      <c r="AF17" s="265"/>
      <c r="AG17" s="280"/>
      <c r="AH17" s="14"/>
      <c r="AI17" s="14"/>
      <c r="AJ17" s="14"/>
    </row>
    <row r="18" ht="15.0" customHeight="1">
      <c r="A18" s="14"/>
      <c r="B18" s="276" t="str">
        <f>IFERROR(__xludf.DUMMYFUNCTION("""COMPUTED_VALUE"""),"Reid Gantenbein-Puchi")</f>
        <v>Reid Gantenbein-Puchi</v>
      </c>
      <c r="C18" s="250"/>
      <c r="D18" s="274" t="str">
        <f>IFERROR(__xludf.DUMMYFUNCTION("""COMPUTED_VALUE"""),"CA")</f>
        <v>CA</v>
      </c>
      <c r="E18" s="275" t="str">
        <f>IFERROR(__xludf.DUMMYFUNCTION("""COMPUTED_VALUE"""),"BPA")</f>
        <v>BPA</v>
      </c>
      <c r="F18" s="277">
        <f>IFERROR(__xludf.DUMMYFUNCTION("""COMPUTED_VALUE"""),2.0)</f>
        <v>2</v>
      </c>
      <c r="G18" s="14"/>
      <c r="H18" s="259"/>
      <c r="I18" s="250"/>
      <c r="J18" s="260"/>
      <c r="K18" s="261"/>
      <c r="L18" s="277"/>
      <c r="M18" s="14"/>
      <c r="N18" s="278" t="str">
        <f>IFERROR(__xludf.DUMMYFUNCTION("""COMPUTED_VALUE"""),"Ari Wells")</f>
        <v>Ari Wells</v>
      </c>
      <c r="O18" s="250"/>
      <c r="P18" s="273" t="str">
        <f>IFERROR(__xludf.DUMMYFUNCTION("""COMPUTED_VALUE"""),"L/L")</f>
        <v>L/L</v>
      </c>
      <c r="Q18" s="274" t="str">
        <f>IFERROR(__xludf.DUMMYFUNCTION("""COMPUTED_VALUE"""),"KY")</f>
        <v>KY</v>
      </c>
      <c r="R18" s="275"/>
      <c r="S18" s="277">
        <f>IFERROR(__xludf.DUMMYFUNCTION("""COMPUTED_VALUE"""),2.0)</f>
        <v>2</v>
      </c>
      <c r="T18" s="266"/>
      <c r="U18" s="259" t="str">
        <f>IFERROR(__xludf.DUMMYFUNCTION("""COMPUTED_VALUE"""),"Joey Terhaar")</f>
        <v>Joey Terhaar</v>
      </c>
      <c r="V18" s="250"/>
      <c r="W18" s="273"/>
      <c r="X18" s="274" t="str">
        <f>IFERROR(__xludf.DUMMYFUNCTION("""COMPUTED_VALUE"""),"MN")</f>
        <v>MN</v>
      </c>
      <c r="Y18" s="275" t="str">
        <f>IFERROR(__xludf.DUMMYFUNCTION("""COMPUTED_VALUE"""),"Spects National 2027 Marsolek")</f>
        <v>Spects National 2027 Marsolek</v>
      </c>
      <c r="Z18" s="260">
        <f>IFERROR(__xludf.DUMMYFUNCTION("""COMPUTED_VALUE"""),2.0)</f>
        <v>2</v>
      </c>
      <c r="AA18" s="14"/>
      <c r="AB18" s="255"/>
      <c r="AC18" s="250"/>
      <c r="AD18" s="279"/>
      <c r="AE18" s="256"/>
      <c r="AF18" s="265"/>
      <c r="AG18" s="280"/>
      <c r="AH18" s="14"/>
      <c r="AI18" s="14"/>
      <c r="AJ18" s="14"/>
    </row>
    <row r="19" ht="15.0" customHeight="1">
      <c r="A19" s="14"/>
      <c r="B19" s="276" t="str">
        <f>IFERROR(__xludf.DUMMYFUNCTION("""COMPUTED_VALUE"""),"Carson Glose")</f>
        <v>Carson Glose</v>
      </c>
      <c r="C19" s="250"/>
      <c r="D19" s="274" t="str">
        <f>IFERROR(__xludf.DUMMYFUNCTION("""COMPUTED_VALUE"""),"PA")</f>
        <v>PA</v>
      </c>
      <c r="E19" s="275"/>
      <c r="F19" s="277">
        <f>IFERROR(__xludf.DUMMYFUNCTION("""COMPUTED_VALUE"""),2.0)</f>
        <v>2</v>
      </c>
      <c r="G19" s="14"/>
      <c r="H19" s="259"/>
      <c r="I19" s="250"/>
      <c r="J19" s="260"/>
      <c r="K19" s="261"/>
      <c r="L19" s="277"/>
      <c r="M19" s="14"/>
      <c r="N19" s="278" t="str">
        <f>IFERROR(__xludf.DUMMYFUNCTION("""COMPUTED_VALUE"""),"Brady Mamula")</f>
        <v>Brady Mamula</v>
      </c>
      <c r="O19" s="250"/>
      <c r="P19" s="273" t="str">
        <f>IFERROR(__xludf.DUMMYFUNCTION("""COMPUTED_VALUE"""),"R/R")</f>
        <v>R/R</v>
      </c>
      <c r="Q19" s="274" t="str">
        <f>IFERROR(__xludf.DUMMYFUNCTION("""COMPUTED_VALUE"""),"MD")</f>
        <v>MD</v>
      </c>
      <c r="R19" s="275" t="str">
        <f>IFERROR(__xludf.DUMMYFUNCTION("""COMPUTED_VALUE"""),"Dirtbags Platinum ")</f>
        <v>Dirtbags Platinum </v>
      </c>
      <c r="S19" s="277">
        <f>IFERROR(__xludf.DUMMYFUNCTION("""COMPUTED_VALUE"""),2.0)</f>
        <v>2</v>
      </c>
      <c r="T19" s="239"/>
      <c r="U19" s="259" t="str">
        <f>IFERROR(__xludf.DUMMYFUNCTION("""COMPUTED_VALUE"""),"Walker Waggoner")</f>
        <v>Walker Waggoner</v>
      </c>
      <c r="V19" s="250"/>
      <c r="W19" s="273" t="str">
        <f>IFERROR(__xludf.DUMMYFUNCTION("""COMPUTED_VALUE"""),"R/R")</f>
        <v>R/R</v>
      </c>
      <c r="X19" s="274" t="str">
        <f>IFERROR(__xludf.DUMMYFUNCTION("""COMPUTED_VALUE"""),"GA")</f>
        <v>GA</v>
      </c>
      <c r="Y19" s="275" t="str">
        <f>IFERROR(__xludf.DUMMYFUNCTION("""COMPUTED_VALUE"""),"East Cobb Yankees")</f>
        <v>East Cobb Yankees</v>
      </c>
      <c r="Z19" s="260">
        <f>IFERROR(__xludf.DUMMYFUNCTION("""COMPUTED_VALUE"""),2.0)</f>
        <v>2</v>
      </c>
      <c r="AA19" s="14"/>
      <c r="AB19" s="255"/>
      <c r="AC19" s="250"/>
      <c r="AD19" s="279"/>
      <c r="AE19" s="256"/>
      <c r="AF19" s="265"/>
      <c r="AG19" s="280"/>
      <c r="AH19" s="14"/>
      <c r="AI19" s="14"/>
      <c r="AJ19" s="14"/>
    </row>
    <row r="20" ht="15.0" customHeight="1">
      <c r="A20" s="14"/>
      <c r="B20" s="276" t="str">
        <f>IFERROR(__xludf.DUMMYFUNCTION("""COMPUTED_VALUE"""),"Palmer Gobble")</f>
        <v>Palmer Gobble</v>
      </c>
      <c r="C20" s="250"/>
      <c r="D20" s="274" t="str">
        <f>IFERROR(__xludf.DUMMYFUNCTION("""COMPUTED_VALUE"""),"VA")</f>
        <v>VA</v>
      </c>
      <c r="E20" s="275" t="str">
        <f>IFERROR(__xludf.DUMMYFUNCTION("""COMPUTED_VALUE"""),"Dirtbags 2027 Platinum")</f>
        <v>Dirtbags 2027 Platinum</v>
      </c>
      <c r="F20" s="277">
        <f>IFERROR(__xludf.DUMMYFUNCTION("""COMPUTED_VALUE"""),2.0)</f>
        <v>2</v>
      </c>
      <c r="G20" s="14"/>
      <c r="H20" s="259"/>
      <c r="I20" s="250"/>
      <c r="J20" s="260"/>
      <c r="K20" s="261"/>
      <c r="L20" s="277"/>
      <c r="M20" s="14"/>
      <c r="N20" s="278" t="str">
        <f>IFERROR(__xludf.DUMMYFUNCTION("""COMPUTED_VALUE"""),"Kohen Madden")</f>
        <v>Kohen Madden</v>
      </c>
      <c r="O20" s="250"/>
      <c r="P20" s="273"/>
      <c r="Q20" s="274" t="str">
        <f>IFERROR(__xludf.DUMMYFUNCTION("""COMPUTED_VALUE"""),"MD")</f>
        <v>MD</v>
      </c>
      <c r="R20" s="275" t="str">
        <f>IFERROR(__xludf.DUMMYFUNCTION("""COMPUTED_VALUE"""),"Ole Liners")</f>
        <v>Ole Liners</v>
      </c>
      <c r="S20" s="277">
        <f>IFERROR(__xludf.DUMMYFUNCTION("""COMPUTED_VALUE"""),2.0)</f>
        <v>2</v>
      </c>
      <c r="T20" s="266"/>
      <c r="U20" s="259" t="str">
        <f>IFERROR(__xludf.DUMMYFUNCTION("""COMPUTED_VALUE"""),"Carston Wedemeyer")</f>
        <v>Carston Wedemeyer</v>
      </c>
      <c r="V20" s="250"/>
      <c r="W20" s="273"/>
      <c r="X20" s="274" t="str">
        <f>IFERROR(__xludf.DUMMYFUNCTION("""COMPUTED_VALUE"""),"NC")</f>
        <v>NC</v>
      </c>
      <c r="Y20" s="275" t="str">
        <f>IFERROR(__xludf.DUMMYFUNCTION("""COMPUTED_VALUE"""),"SBA Bolts National 2027")</f>
        <v>SBA Bolts National 2027</v>
      </c>
      <c r="Z20" s="260">
        <f>IFERROR(__xludf.DUMMYFUNCTION("""COMPUTED_VALUE"""),2.0)</f>
        <v>2</v>
      </c>
      <c r="AA20" s="14"/>
      <c r="AB20" s="281"/>
      <c r="AC20" s="250"/>
      <c r="AD20" s="263"/>
      <c r="AE20" s="264"/>
      <c r="AF20" s="265"/>
      <c r="AG20" s="280"/>
      <c r="AH20" s="14"/>
      <c r="AI20" s="14"/>
      <c r="AJ20" s="14"/>
    </row>
    <row r="21" ht="15.0" customHeight="1">
      <c r="A21" s="14"/>
      <c r="B21" s="276" t="str">
        <f>IFERROR(__xludf.DUMMYFUNCTION("""COMPUTED_VALUE"""),"Will Hayes")</f>
        <v>Will Hayes</v>
      </c>
      <c r="C21" s="250"/>
      <c r="D21" s="274" t="str">
        <f>IFERROR(__xludf.DUMMYFUNCTION("""COMPUTED_VALUE"""),"CO")</f>
        <v>CO</v>
      </c>
      <c r="E21" s="275"/>
      <c r="F21" s="277">
        <f>IFERROR(__xludf.DUMMYFUNCTION("""COMPUTED_VALUE"""),2.0)</f>
        <v>2</v>
      </c>
      <c r="G21" s="14"/>
      <c r="H21" s="259"/>
      <c r="I21" s="250"/>
      <c r="J21" s="260"/>
      <c r="K21" s="261"/>
      <c r="L21" s="277"/>
      <c r="M21" s="14"/>
      <c r="N21" s="278" t="str">
        <f>IFERROR(__xludf.DUMMYFUNCTION("""COMPUTED_VALUE"""),"Bryce Fontenot")</f>
        <v>Bryce Fontenot</v>
      </c>
      <c r="O21" s="250"/>
      <c r="P21" s="273"/>
      <c r="Q21" s="274" t="str">
        <f>IFERROR(__xludf.DUMMYFUNCTION("""COMPUTED_VALUE"""),"GA")</f>
        <v>GA</v>
      </c>
      <c r="R21" s="275" t="str">
        <f>IFERROR(__xludf.DUMMYFUNCTION("""COMPUTED_VALUE"""),"USA Scout National")</f>
        <v>USA Scout National</v>
      </c>
      <c r="S21" s="277">
        <f>IFERROR(__xludf.DUMMYFUNCTION("""COMPUTED_VALUE"""),2.0)</f>
        <v>2</v>
      </c>
      <c r="T21" s="266"/>
      <c r="U21" s="259" t="str">
        <f>IFERROR(__xludf.DUMMYFUNCTION("""COMPUTED_VALUE"""),"Jackson Bailey")</f>
        <v>Jackson Bailey</v>
      </c>
      <c r="V21" s="250"/>
      <c r="W21" s="273"/>
      <c r="X21" s="274" t="str">
        <f>IFERROR(__xludf.DUMMYFUNCTION("""COMPUTED_VALUE"""),"SC")</f>
        <v>SC</v>
      </c>
      <c r="Y21" s="275" t="str">
        <f>IFERROR(__xludf.DUMMYFUNCTION("""COMPUTED_VALUE"""),"South Charlotte Panthers")</f>
        <v>South Charlotte Panthers</v>
      </c>
      <c r="Z21" s="260">
        <f>IFERROR(__xludf.DUMMYFUNCTION("""COMPUTED_VALUE"""),2.0)</f>
        <v>2</v>
      </c>
      <c r="AA21" s="14"/>
      <c r="AB21" s="281"/>
      <c r="AC21" s="250"/>
      <c r="AD21" s="263"/>
      <c r="AE21" s="264"/>
      <c r="AF21" s="265"/>
      <c r="AG21" s="280"/>
      <c r="AH21" s="14"/>
      <c r="AI21" s="14"/>
      <c r="AJ21" s="14"/>
    </row>
    <row r="22" ht="15.0" customHeight="1">
      <c r="A22" s="14"/>
      <c r="B22" s="276" t="str">
        <f>IFERROR(__xludf.DUMMYFUNCTION("""COMPUTED_VALUE"""),"Thurston Kiefer")</f>
        <v>Thurston Kiefer</v>
      </c>
      <c r="C22" s="250"/>
      <c r="D22" s="274" t="str">
        <f>IFERROR(__xludf.DUMMYFUNCTION("""COMPUTED_VALUE"""),"MA")</f>
        <v>MA</v>
      </c>
      <c r="E22" s="275" t="str">
        <f>IFERROR(__xludf.DUMMYFUNCTION("""COMPUTED_VALUE"""),"Boston Prime")</f>
        <v>Boston Prime</v>
      </c>
      <c r="F22" s="277">
        <f>IFERROR(__xludf.DUMMYFUNCTION("""COMPUTED_VALUE"""),2.0)</f>
        <v>2</v>
      </c>
      <c r="G22" s="14"/>
      <c r="H22" s="259"/>
      <c r="I22" s="250"/>
      <c r="J22" s="260"/>
      <c r="K22" s="261"/>
      <c r="L22" s="277"/>
      <c r="M22" s="14"/>
      <c r="N22" s="278" t="str">
        <f>IFERROR(__xludf.DUMMYFUNCTION("""COMPUTED_VALUE"""),"Rylin Lyemance")</f>
        <v>Rylin Lyemance</v>
      </c>
      <c r="O22" s="250"/>
      <c r="P22" s="273"/>
      <c r="Q22" s="274" t="str">
        <f>IFERROR(__xludf.DUMMYFUNCTION("""COMPUTED_VALUE"""),"GA")</f>
        <v>GA</v>
      </c>
      <c r="R22" s="275" t="str">
        <f>IFERROR(__xludf.DUMMYFUNCTION("""COMPUTED_VALUE"""),"USA Scout National")</f>
        <v>USA Scout National</v>
      </c>
      <c r="S22" s="277">
        <f>IFERROR(__xludf.DUMMYFUNCTION("""COMPUTED_VALUE"""),1.0)</f>
        <v>1</v>
      </c>
      <c r="T22" s="282"/>
      <c r="U22" s="259" t="str">
        <f>IFERROR(__xludf.DUMMYFUNCTION("""COMPUTED_VALUE"""),"Braden Little")</f>
        <v>Braden Little</v>
      </c>
      <c r="V22" s="250"/>
      <c r="W22" s="273"/>
      <c r="X22" s="274" t="str">
        <f>IFERROR(__xludf.DUMMYFUNCTION("""COMPUTED_VALUE"""),"GA")</f>
        <v>GA</v>
      </c>
      <c r="Y22" s="275" t="str">
        <f>IFERROR(__xludf.DUMMYFUNCTION("""COMPUTED_VALUE"""),"USA Scout National")</f>
        <v>USA Scout National</v>
      </c>
      <c r="Z22" s="260">
        <f>IFERROR(__xludf.DUMMYFUNCTION("""COMPUTED_VALUE"""),1.0)</f>
        <v>1</v>
      </c>
      <c r="AA22" s="14"/>
      <c r="AB22" s="281"/>
      <c r="AC22" s="250"/>
      <c r="AD22" s="263"/>
      <c r="AE22" s="264"/>
      <c r="AF22" s="265"/>
      <c r="AG22" s="280"/>
      <c r="AH22" s="14"/>
      <c r="AI22" s="14"/>
      <c r="AJ22" s="14"/>
    </row>
    <row r="23" ht="15.0" customHeight="1">
      <c r="A23" s="14"/>
      <c r="B23" s="276" t="str">
        <f>IFERROR(__xludf.DUMMYFUNCTION("""COMPUTED_VALUE"""),"Robert Kilpatrick")</f>
        <v>Robert Kilpatrick</v>
      </c>
      <c r="C23" s="250"/>
      <c r="D23" s="274" t="str">
        <f>IFERROR(__xludf.DUMMYFUNCTION("""COMPUTED_VALUE"""),"VA")</f>
        <v>VA</v>
      </c>
      <c r="E23" s="275" t="str">
        <f>IFERROR(__xludf.DUMMYFUNCTION("""COMPUTED_VALUE"""),"Prime Time Aces")</f>
        <v>Prime Time Aces</v>
      </c>
      <c r="F23" s="277">
        <f>IFERROR(__xludf.DUMMYFUNCTION("""COMPUTED_VALUE"""),2.0)</f>
        <v>2</v>
      </c>
      <c r="G23" s="14"/>
      <c r="H23" s="259"/>
      <c r="I23" s="250"/>
      <c r="J23" s="260"/>
      <c r="K23" s="261"/>
      <c r="L23" s="277"/>
      <c r="M23" s="14"/>
      <c r="N23" s="278" t="str">
        <f>IFERROR(__xludf.DUMMYFUNCTION("""COMPUTED_VALUE"""),"Jameson Mayfield")</f>
        <v>Jameson Mayfield</v>
      </c>
      <c r="O23" s="250"/>
      <c r="P23" s="273"/>
      <c r="Q23" s="274" t="str">
        <f>IFERROR(__xludf.DUMMYFUNCTION("""COMPUTED_VALUE"""),"TX")</f>
        <v>TX</v>
      </c>
      <c r="R23" s="275" t="str">
        <f>IFERROR(__xludf.DUMMYFUNCTION("""COMPUTED_VALUE"""),"Dallas Tigers")</f>
        <v>Dallas Tigers</v>
      </c>
      <c r="S23" s="277">
        <f>IFERROR(__xludf.DUMMYFUNCTION("""COMPUTED_VALUE"""),1.0)</f>
        <v>1</v>
      </c>
      <c r="T23" s="282"/>
      <c r="U23" s="259" t="str">
        <f>IFERROR(__xludf.DUMMYFUNCTION("""COMPUTED_VALUE"""),"Chance Williams")</f>
        <v>Chance Williams</v>
      </c>
      <c r="V23" s="250"/>
      <c r="W23" s="273"/>
      <c r="X23" s="274" t="str">
        <f>IFERROR(__xludf.DUMMYFUNCTION("""COMPUTED_VALUE"""),"GA")</f>
        <v>GA</v>
      </c>
      <c r="Y23" s="275" t="str">
        <f>IFERROR(__xludf.DUMMYFUNCTION("""COMPUTED_VALUE"""),"USA Scout National")</f>
        <v>USA Scout National</v>
      </c>
      <c r="Z23" s="260">
        <f>IFERROR(__xludf.DUMMYFUNCTION("""COMPUTED_VALUE"""),1.0)</f>
        <v>1</v>
      </c>
      <c r="AA23" s="14"/>
      <c r="AB23" s="281"/>
      <c r="AC23" s="250"/>
      <c r="AD23" s="263"/>
      <c r="AE23" s="264"/>
      <c r="AF23" s="265"/>
      <c r="AG23" s="280"/>
      <c r="AH23" s="14"/>
      <c r="AI23" s="14"/>
      <c r="AJ23" s="14"/>
    </row>
    <row r="24" ht="15.0" customHeight="1">
      <c r="A24" s="14"/>
      <c r="B24" s="276" t="str">
        <f>IFERROR(__xludf.DUMMYFUNCTION("""COMPUTED_VALUE"""),"Wyatt Libbert")</f>
        <v>Wyatt Libbert</v>
      </c>
      <c r="C24" s="250"/>
      <c r="D24" s="274" t="str">
        <f>IFERROR(__xludf.DUMMYFUNCTION("""COMPUTED_VALUE"""),"MO")</f>
        <v>MO</v>
      </c>
      <c r="E24" s="275" t="str">
        <f>IFERROR(__xludf.DUMMYFUNCTION("""COMPUTED_VALUE"""),"Royals Scout Team ")</f>
        <v>Royals Scout Team </v>
      </c>
      <c r="F24" s="277">
        <f>IFERROR(__xludf.DUMMYFUNCTION("""COMPUTED_VALUE"""),2.0)</f>
        <v>2</v>
      </c>
      <c r="G24" s="14"/>
      <c r="H24" s="259"/>
      <c r="I24" s="250"/>
      <c r="J24" s="260"/>
      <c r="K24" s="261"/>
      <c r="L24" s="277"/>
      <c r="M24" s="14"/>
      <c r="N24" s="278" t="str">
        <f>IFERROR(__xludf.DUMMYFUNCTION("""COMPUTED_VALUE"""),"Cole Schott")</f>
        <v>Cole Schott</v>
      </c>
      <c r="O24" s="250"/>
      <c r="P24" s="273"/>
      <c r="Q24" s="274" t="str">
        <f>IFERROR(__xludf.DUMMYFUNCTION("""COMPUTED_VALUE"""),"TX")</f>
        <v>TX</v>
      </c>
      <c r="R24" s="275" t="str">
        <f>IFERROR(__xludf.DUMMYFUNCTION("""COMPUTED_VALUE"""),"Dallas Tigers")</f>
        <v>Dallas Tigers</v>
      </c>
      <c r="S24" s="277">
        <f>IFERROR(__xludf.DUMMYFUNCTION("""COMPUTED_VALUE"""),1.0)</f>
        <v>1</v>
      </c>
      <c r="T24" s="266"/>
      <c r="U24" s="259" t="str">
        <f>IFERROR(__xludf.DUMMYFUNCTION("""COMPUTED_VALUE"""),"Makayle Moon")</f>
        <v>Makayle Moon</v>
      </c>
      <c r="V24" s="250"/>
      <c r="W24" s="273"/>
      <c r="X24" s="274" t="str">
        <f>IFERROR(__xludf.DUMMYFUNCTION("""COMPUTED_VALUE"""),"SC")</f>
        <v>SC</v>
      </c>
      <c r="Y24" s="275" t="str">
        <f>IFERROR(__xludf.DUMMYFUNCTION("""COMPUTED_VALUE"""),"USA Scout National")</f>
        <v>USA Scout National</v>
      </c>
      <c r="Z24" s="260">
        <f>IFERROR(__xludf.DUMMYFUNCTION("""COMPUTED_VALUE"""),2.0)</f>
        <v>2</v>
      </c>
      <c r="AA24" s="14"/>
      <c r="AB24" s="281"/>
      <c r="AC24" s="250"/>
      <c r="AD24" s="263"/>
      <c r="AE24" s="264"/>
      <c r="AF24" s="265"/>
      <c r="AG24" s="280"/>
      <c r="AH24" s="14"/>
      <c r="AI24" s="14"/>
      <c r="AJ24" s="14"/>
    </row>
    <row r="25" ht="15.0" customHeight="1">
      <c r="A25" s="14"/>
      <c r="B25" s="276" t="str">
        <f>IFERROR(__xludf.DUMMYFUNCTION("""COMPUTED_VALUE"""),"Hayden Moore")</f>
        <v>Hayden Moore</v>
      </c>
      <c r="C25" s="250"/>
      <c r="D25" s="274" t="str">
        <f>IFERROR(__xludf.DUMMYFUNCTION("""COMPUTED_VALUE"""),"NC")</f>
        <v>NC</v>
      </c>
      <c r="E25" s="275" t="str">
        <f>IFERROR(__xludf.DUMMYFUNCTION("""COMPUTED_VALUE"""),"SCP")</f>
        <v>SCP</v>
      </c>
      <c r="F25" s="277">
        <f>IFERROR(__xludf.DUMMYFUNCTION("""COMPUTED_VALUE"""),2.0)</f>
        <v>2</v>
      </c>
      <c r="G25" s="14"/>
      <c r="H25" s="259"/>
      <c r="I25" s="250"/>
      <c r="J25" s="260"/>
      <c r="K25" s="261"/>
      <c r="L25" s="277"/>
      <c r="M25" s="14"/>
      <c r="N25" s="278" t="str">
        <f>IFERROR(__xludf.DUMMYFUNCTION("""COMPUTED_VALUE"""),"Connor Jennings")</f>
        <v>Connor Jennings</v>
      </c>
      <c r="O25" s="250"/>
      <c r="P25" s="273"/>
      <c r="Q25" s="274" t="str">
        <f>IFERROR(__xludf.DUMMYFUNCTION("""COMPUTED_VALUE"""),"TX")</f>
        <v>TX</v>
      </c>
      <c r="R25" s="275" t="str">
        <f>IFERROR(__xludf.DUMMYFUNCTION("""COMPUTED_VALUE"""),"Dallas Tigers")</f>
        <v>Dallas Tigers</v>
      </c>
      <c r="S25" s="277">
        <f>IFERROR(__xludf.DUMMYFUNCTION("""COMPUTED_VALUE"""),2.0)</f>
        <v>2</v>
      </c>
      <c r="T25" s="266"/>
      <c r="U25" s="259" t="str">
        <f>IFERROR(__xludf.DUMMYFUNCTION("""COMPUTED_VALUE"""),"Reid Williams")</f>
        <v>Reid Williams</v>
      </c>
      <c r="V25" s="250"/>
      <c r="W25" s="273"/>
      <c r="X25" s="274" t="str">
        <f>IFERROR(__xludf.DUMMYFUNCTION("""COMPUTED_VALUE"""),"TX")</f>
        <v>TX</v>
      </c>
      <c r="Y25" s="275" t="str">
        <f>IFERROR(__xludf.DUMMYFUNCTION("""COMPUTED_VALUE"""),"Dallas Tigers")</f>
        <v>Dallas Tigers</v>
      </c>
      <c r="Z25" s="260">
        <f>IFERROR(__xludf.DUMMYFUNCTION("""COMPUTED_VALUE"""),1.0)</f>
        <v>1</v>
      </c>
      <c r="AA25" s="14"/>
      <c r="AB25" s="281"/>
      <c r="AC25" s="250"/>
      <c r="AD25" s="263"/>
      <c r="AE25" s="264"/>
      <c r="AF25" s="265"/>
      <c r="AG25" s="280"/>
      <c r="AH25" s="14"/>
      <c r="AI25" s="14"/>
      <c r="AJ25" s="14"/>
    </row>
    <row r="26" ht="15.0" customHeight="1">
      <c r="A26" s="14"/>
      <c r="B26" s="276" t="str">
        <f>IFERROR(__xludf.DUMMYFUNCTION("""COMPUTED_VALUE"""),"Winston Patterson")</f>
        <v>Winston Patterson</v>
      </c>
      <c r="C26" s="250"/>
      <c r="D26" s="274" t="str">
        <f>IFERROR(__xludf.DUMMYFUNCTION("""COMPUTED_VALUE"""),"CO")</f>
        <v>CO</v>
      </c>
      <c r="E26" s="275" t="str">
        <f>IFERROR(__xludf.DUMMYFUNCTION("""COMPUTED_VALUE"""),"Franklin Scout Team")</f>
        <v>Franklin Scout Team</v>
      </c>
      <c r="F26" s="277">
        <f>IFERROR(__xludf.DUMMYFUNCTION("""COMPUTED_VALUE"""),2.0)</f>
        <v>2</v>
      </c>
      <c r="G26" s="14"/>
      <c r="H26" s="259"/>
      <c r="I26" s="250"/>
      <c r="J26" s="260"/>
      <c r="K26" s="261"/>
      <c r="L26" s="277"/>
      <c r="M26" s="14"/>
      <c r="N26" s="278" t="str">
        <f>IFERROR(__xludf.DUMMYFUNCTION("""COMPUTED_VALUE"""),"Hudson Hardesty")</f>
        <v>Hudson Hardesty</v>
      </c>
      <c r="O26" s="250"/>
      <c r="P26" s="273"/>
      <c r="Q26" s="274" t="str">
        <f>IFERROR(__xludf.DUMMYFUNCTION("""COMPUTED_VALUE"""),"MO")</f>
        <v>MO</v>
      </c>
      <c r="R26" s="275" t="str">
        <f>IFERROR(__xludf.DUMMYFUNCTION("""COMPUTED_VALUE"""),"Royals Scout Team ")</f>
        <v>Royals Scout Team </v>
      </c>
      <c r="S26" s="277">
        <f>IFERROR(__xludf.DUMMYFUNCTION("""COMPUTED_VALUE"""),2.0)</f>
        <v>2</v>
      </c>
      <c r="T26" s="266"/>
      <c r="U26" s="259" t="str">
        <f>IFERROR(__xludf.DUMMYFUNCTION("""COMPUTED_VALUE"""),"Carson Roy")</f>
        <v>Carson Roy</v>
      </c>
      <c r="V26" s="250"/>
      <c r="W26" s="273"/>
      <c r="X26" s="274" t="str">
        <f>IFERROR(__xludf.DUMMYFUNCTION("""COMPUTED_VALUE"""),"TX")</f>
        <v>TX</v>
      </c>
      <c r="Y26" s="275" t="str">
        <f>IFERROR(__xludf.DUMMYFUNCTION("""COMPUTED_VALUE"""),"Dallas Tigers")</f>
        <v>Dallas Tigers</v>
      </c>
      <c r="Z26" s="260">
        <f>IFERROR(__xludf.DUMMYFUNCTION("""COMPUTED_VALUE"""),1.0)</f>
        <v>1</v>
      </c>
      <c r="AA26" s="14"/>
      <c r="AB26" s="281"/>
      <c r="AC26" s="250"/>
      <c r="AD26" s="263"/>
      <c r="AE26" s="264"/>
      <c r="AF26" s="265"/>
      <c r="AG26" s="280"/>
      <c r="AH26" s="14"/>
      <c r="AI26" s="14"/>
      <c r="AJ26" s="14"/>
    </row>
    <row r="27" ht="15.0" customHeight="1">
      <c r="A27" s="14"/>
      <c r="B27" s="276" t="str">
        <f>IFERROR(__xludf.DUMMYFUNCTION("""COMPUTED_VALUE"""),"Nolan Plourde")</f>
        <v>Nolan Plourde</v>
      </c>
      <c r="C27" s="250"/>
      <c r="D27" s="274" t="str">
        <f>IFERROR(__xludf.DUMMYFUNCTION("""COMPUTED_VALUE"""),"CT")</f>
        <v>CT</v>
      </c>
      <c r="E27" s="275"/>
      <c r="F27" s="277">
        <f>IFERROR(__xludf.DUMMYFUNCTION("""COMPUTED_VALUE"""),2.0)</f>
        <v>2</v>
      </c>
      <c r="G27" s="14"/>
      <c r="H27" s="259"/>
      <c r="I27" s="250"/>
      <c r="J27" s="260"/>
      <c r="K27" s="261"/>
      <c r="L27" s="277"/>
      <c r="M27" s="14"/>
      <c r="N27" s="278" t="str">
        <f>IFERROR(__xludf.DUMMYFUNCTION("""COMPUTED_VALUE"""),"Mason Borders")</f>
        <v>Mason Borders</v>
      </c>
      <c r="O27" s="250"/>
      <c r="P27" s="273"/>
      <c r="Q27" s="274" t="str">
        <f>IFERROR(__xludf.DUMMYFUNCTION("""COMPUTED_VALUE"""),"TN")</f>
        <v>TN</v>
      </c>
      <c r="R27" s="275" t="str">
        <f>IFERROR(__xludf.DUMMYFUNCTION("""COMPUTED_VALUE"""),"Rawlings SE MAD Mavericks")</f>
        <v>Rawlings SE MAD Mavericks</v>
      </c>
      <c r="S27" s="277">
        <f>IFERROR(__xludf.DUMMYFUNCTION("""COMPUTED_VALUE"""),2.0)</f>
        <v>2</v>
      </c>
      <c r="T27" s="266"/>
      <c r="U27" s="259" t="str">
        <f>IFERROR(__xludf.DUMMYFUNCTION("""COMPUTED_VALUE"""),"Owen Lester")</f>
        <v>Owen Lester</v>
      </c>
      <c r="V27" s="250"/>
      <c r="W27" s="273"/>
      <c r="X27" s="274" t="str">
        <f>IFERROR(__xludf.DUMMYFUNCTION("""COMPUTED_VALUE"""),"KS")</f>
        <v>KS</v>
      </c>
      <c r="Y27" s="275" t="str">
        <f>IFERROR(__xludf.DUMMYFUNCTION("""COMPUTED_VALUE"""),"Royals Scout Team ")</f>
        <v>Royals Scout Team </v>
      </c>
      <c r="Z27" s="260">
        <f>IFERROR(__xludf.DUMMYFUNCTION("""COMPUTED_VALUE"""),1.0)</f>
        <v>1</v>
      </c>
      <c r="AA27" s="14"/>
      <c r="AB27" s="281"/>
      <c r="AC27" s="250"/>
      <c r="AD27" s="263"/>
      <c r="AE27" s="264"/>
      <c r="AF27" s="265"/>
      <c r="AG27" s="280"/>
      <c r="AH27" s="14"/>
      <c r="AI27" s="14"/>
      <c r="AJ27" s="14"/>
    </row>
    <row r="28" ht="15.0" customHeight="1">
      <c r="A28" s="14"/>
      <c r="B28" s="276" t="str">
        <f>IFERROR(__xludf.DUMMYFUNCTION("""COMPUTED_VALUE"""),"Luke Rafferty")</f>
        <v>Luke Rafferty</v>
      </c>
      <c r="C28" s="250"/>
      <c r="D28" s="274" t="str">
        <f>IFERROR(__xludf.DUMMYFUNCTION("""COMPUTED_VALUE"""),"TX")</f>
        <v>TX</v>
      </c>
      <c r="E28" s="275" t="str">
        <f>IFERROR(__xludf.DUMMYFUNCTION("""COMPUTED_VALUE"""),"Boston Prime")</f>
        <v>Boston Prime</v>
      </c>
      <c r="F28" s="277">
        <f>IFERROR(__xludf.DUMMYFUNCTION("""COMPUTED_VALUE"""),2.0)</f>
        <v>2</v>
      </c>
      <c r="G28" s="14"/>
      <c r="H28" s="259"/>
      <c r="I28" s="250"/>
      <c r="J28" s="260"/>
      <c r="K28" s="261"/>
      <c r="L28" s="277"/>
      <c r="M28" s="14"/>
      <c r="N28" s="278" t="str">
        <f>IFERROR(__xludf.DUMMYFUNCTION("""COMPUTED_VALUE"""),"Ty Lange")</f>
        <v>Ty Lange</v>
      </c>
      <c r="O28" s="250"/>
      <c r="P28" s="273"/>
      <c r="Q28" s="274" t="str">
        <f>IFERROR(__xludf.DUMMYFUNCTION("""COMPUTED_VALUE"""),"MO")</f>
        <v>MO</v>
      </c>
      <c r="R28" s="275" t="str">
        <f>IFERROR(__xludf.DUMMYFUNCTION("""COMPUTED_VALUE"""),"Team KC 2027")</f>
        <v>Team KC 2027</v>
      </c>
      <c r="S28" s="277">
        <f>IFERROR(__xludf.DUMMYFUNCTION("""COMPUTED_VALUE"""),2.0)</f>
        <v>2</v>
      </c>
      <c r="T28" s="266"/>
      <c r="U28" s="259" t="str">
        <f>IFERROR(__xludf.DUMMYFUNCTION("""COMPUTED_VALUE"""),"Carson Reffel")</f>
        <v>Carson Reffel</v>
      </c>
      <c r="V28" s="250"/>
      <c r="W28" s="273"/>
      <c r="X28" s="274" t="str">
        <f>IFERROR(__xludf.DUMMYFUNCTION("""COMPUTED_VALUE"""),"CO")</f>
        <v>CO</v>
      </c>
      <c r="Y28" s="275" t="str">
        <f>IFERROR(__xludf.DUMMYFUNCTION("""COMPUTED_VALUE"""),"Slammers")</f>
        <v>Slammers</v>
      </c>
      <c r="Z28" s="260">
        <f>IFERROR(__xludf.DUMMYFUNCTION("""COMPUTED_VALUE"""),2.0)</f>
        <v>2</v>
      </c>
      <c r="AA28" s="14"/>
      <c r="AB28" s="281"/>
      <c r="AC28" s="250"/>
      <c r="AD28" s="263"/>
      <c r="AE28" s="264"/>
      <c r="AF28" s="265"/>
      <c r="AG28" s="280"/>
      <c r="AH28" s="14"/>
      <c r="AI28" s="14"/>
      <c r="AJ28" s="14"/>
    </row>
    <row r="29" ht="15.0" customHeight="1">
      <c r="A29" s="14"/>
      <c r="B29" s="276" t="str">
        <f>IFERROR(__xludf.DUMMYFUNCTION("""COMPUTED_VALUE"""),"Braden Richardson")</f>
        <v>Braden Richardson</v>
      </c>
      <c r="C29" s="250"/>
      <c r="D29" s="274" t="str">
        <f>IFERROR(__xludf.DUMMYFUNCTION("""COMPUTED_VALUE"""),"SC")</f>
        <v>SC</v>
      </c>
      <c r="E29" s="275" t="str">
        <f>IFERROR(__xludf.DUMMYFUNCTION("""COMPUTED_VALUE"""),"CBA Orioles")</f>
        <v>CBA Orioles</v>
      </c>
      <c r="F29" s="277">
        <f>IFERROR(__xludf.DUMMYFUNCTION("""COMPUTED_VALUE"""),2.0)</f>
        <v>2</v>
      </c>
      <c r="G29" s="14"/>
      <c r="H29" s="259"/>
      <c r="I29" s="250"/>
      <c r="J29" s="260"/>
      <c r="K29" s="261"/>
      <c r="L29" s="277"/>
      <c r="M29" s="14"/>
      <c r="N29" s="278" t="str">
        <f>IFERROR(__xludf.DUMMYFUNCTION("""COMPUTED_VALUE"""),"Ryan Kume")</f>
        <v>Ryan Kume</v>
      </c>
      <c r="O29" s="250"/>
      <c r="P29" s="273"/>
      <c r="Q29" s="274" t="str">
        <f>IFERROR(__xludf.DUMMYFUNCTION("""COMPUTED_VALUE"""),"TX")</f>
        <v>TX</v>
      </c>
      <c r="R29" s="275" t="str">
        <f>IFERROR(__xludf.DUMMYFUNCTION("""COMPUTED_VALUE"""),"Lonestar Baseball Club")</f>
        <v>Lonestar Baseball Club</v>
      </c>
      <c r="S29" s="277">
        <f>IFERROR(__xludf.DUMMYFUNCTION("""COMPUTED_VALUE"""),2.0)</f>
        <v>2</v>
      </c>
      <c r="T29" s="266"/>
      <c r="U29" s="259" t="str">
        <f>IFERROR(__xludf.DUMMYFUNCTION("""COMPUTED_VALUE"""),"Ayden Collier")</f>
        <v>Ayden Collier</v>
      </c>
      <c r="V29" s="250"/>
      <c r="W29" s="273"/>
      <c r="X29" s="274" t="str">
        <f>IFERROR(__xludf.DUMMYFUNCTION("""COMPUTED_VALUE"""),"TX")</f>
        <v>TX</v>
      </c>
      <c r="Y29" s="275" t="str">
        <f>IFERROR(__xludf.DUMMYFUNCTION("""COMPUTED_VALUE"""),"Wildcatters")</f>
        <v>Wildcatters</v>
      </c>
      <c r="Z29" s="260">
        <f>IFERROR(__xludf.DUMMYFUNCTION("""COMPUTED_VALUE"""),1.0)</f>
        <v>1</v>
      </c>
      <c r="AA29" s="14"/>
      <c r="AB29" s="281"/>
      <c r="AC29" s="250"/>
      <c r="AD29" s="263"/>
      <c r="AE29" s="264"/>
      <c r="AF29" s="265"/>
      <c r="AG29" s="280"/>
      <c r="AH29" s="14"/>
      <c r="AI29" s="14"/>
      <c r="AJ29" s="14"/>
    </row>
    <row r="30" ht="15.0" customHeight="1">
      <c r="A30" s="14"/>
      <c r="B30" s="276" t="str">
        <f>IFERROR(__xludf.DUMMYFUNCTION("""COMPUTED_VALUE"""),"Tyler Roach")</f>
        <v>Tyler Roach</v>
      </c>
      <c r="C30" s="250"/>
      <c r="D30" s="274" t="str">
        <f>IFERROR(__xludf.DUMMYFUNCTION("""COMPUTED_VALUE"""),"LA")</f>
        <v>LA</v>
      </c>
      <c r="E30" s="275"/>
      <c r="F30" s="277">
        <f>IFERROR(__xludf.DUMMYFUNCTION("""COMPUTED_VALUE"""),2.0)</f>
        <v>2</v>
      </c>
      <c r="G30" s="14"/>
      <c r="H30" s="259"/>
      <c r="I30" s="250"/>
      <c r="J30" s="260"/>
      <c r="K30" s="261"/>
      <c r="L30" s="277"/>
      <c r="M30" s="14"/>
      <c r="N30" s="278" t="str">
        <f>IFERROR(__xludf.DUMMYFUNCTION("""COMPUTED_VALUE"""),"Finn Torvik")</f>
        <v>Finn Torvik</v>
      </c>
      <c r="O30" s="250"/>
      <c r="P30" s="273"/>
      <c r="Q30" s="274" t="str">
        <f>IFERROR(__xludf.DUMMYFUNCTION("""COMPUTED_VALUE"""),"CO")</f>
        <v>CO</v>
      </c>
      <c r="R30" s="275" t="str">
        <f>IFERROR(__xludf.DUMMYFUNCTION("""COMPUTED_VALUE"""),"Slammers")</f>
        <v>Slammers</v>
      </c>
      <c r="S30" s="277">
        <f>IFERROR(__xludf.DUMMYFUNCTION("""COMPUTED_VALUE"""),2.0)</f>
        <v>2</v>
      </c>
      <c r="T30" s="266"/>
      <c r="U30" s="259" t="str">
        <f>IFERROR(__xludf.DUMMYFUNCTION("""COMPUTED_VALUE"""),"Miles Norman")</f>
        <v>Miles Norman</v>
      </c>
      <c r="V30" s="250"/>
      <c r="W30" s="273"/>
      <c r="X30" s="274" t="str">
        <f>IFERROR(__xludf.DUMMYFUNCTION("""COMPUTED_VALUE"""),"GA")</f>
        <v>GA</v>
      </c>
      <c r="Y30" s="275" t="str">
        <f>IFERROR(__xludf.DUMMYFUNCTION("""COMPUTED_VALUE"""),"5 Star Mafia")</f>
        <v>5 Star Mafia</v>
      </c>
      <c r="Z30" s="260">
        <f>IFERROR(__xludf.DUMMYFUNCTION("""COMPUTED_VALUE"""),1.0)</f>
        <v>1</v>
      </c>
      <c r="AA30" s="14"/>
      <c r="AB30" s="281"/>
      <c r="AC30" s="250"/>
      <c r="AD30" s="263"/>
      <c r="AE30" s="264"/>
      <c r="AF30" s="265"/>
      <c r="AG30" s="280"/>
      <c r="AH30" s="14"/>
      <c r="AI30" s="14"/>
      <c r="AJ30" s="14"/>
    </row>
    <row r="31" ht="15.0" customHeight="1">
      <c r="A31" s="14"/>
      <c r="B31" s="276" t="str">
        <f>IFERROR(__xludf.DUMMYFUNCTION("""COMPUTED_VALUE"""),"Sully Townley")</f>
        <v>Sully Townley</v>
      </c>
      <c r="C31" s="250"/>
      <c r="D31" s="274" t="str">
        <f>IFERROR(__xludf.DUMMYFUNCTION("""COMPUTED_VALUE"""),"SC")</f>
        <v>SC</v>
      </c>
      <c r="E31" s="275" t="str">
        <f>IFERROR(__xludf.DUMMYFUNCTION("""COMPUTED_VALUE"""),"Palmetto Blacksmiths SC 2027")</f>
        <v>Palmetto Blacksmiths SC 2027</v>
      </c>
      <c r="F31" s="277">
        <f>IFERROR(__xludf.DUMMYFUNCTION("""COMPUTED_VALUE"""),2.0)</f>
        <v>2</v>
      </c>
      <c r="G31" s="14"/>
      <c r="H31" s="259"/>
      <c r="I31" s="250"/>
      <c r="J31" s="260"/>
      <c r="K31" s="261"/>
      <c r="L31" s="277"/>
      <c r="M31" s="14"/>
      <c r="N31" s="278" t="str">
        <f>IFERROR(__xludf.DUMMYFUNCTION("""COMPUTED_VALUE"""),"Koa Peters")</f>
        <v>Koa Peters</v>
      </c>
      <c r="O31" s="250"/>
      <c r="P31" s="273"/>
      <c r="Q31" s="274" t="str">
        <f>IFERROR(__xludf.DUMMYFUNCTION("""COMPUTED_VALUE"""),"GA")</f>
        <v>GA</v>
      </c>
      <c r="R31" s="275"/>
      <c r="S31" s="277">
        <f>IFERROR(__xludf.DUMMYFUNCTION("""COMPUTED_VALUE"""),2.0)</f>
        <v>2</v>
      </c>
      <c r="T31" s="266"/>
      <c r="U31" s="259" t="str">
        <f>IFERROR(__xludf.DUMMYFUNCTION("""COMPUTED_VALUE"""),"Logan Grubbs")</f>
        <v>Logan Grubbs</v>
      </c>
      <c r="V31" s="250"/>
      <c r="W31" s="273"/>
      <c r="X31" s="274" t="str">
        <f>IFERROR(__xludf.DUMMYFUNCTION("""COMPUTED_VALUE"""),"NV")</f>
        <v>NV</v>
      </c>
      <c r="Y31" s="275" t="str">
        <f>IFERROR(__xludf.DUMMYFUNCTION("""COMPUTED_VALUE"""),"5 Star")</f>
        <v>5 Star</v>
      </c>
      <c r="Z31" s="260">
        <f>IFERROR(__xludf.DUMMYFUNCTION("""COMPUTED_VALUE"""),2.0)</f>
        <v>2</v>
      </c>
      <c r="AA31" s="14"/>
      <c r="AB31" s="281"/>
      <c r="AC31" s="250"/>
      <c r="AD31" s="263"/>
      <c r="AE31" s="264"/>
      <c r="AF31" s="265"/>
      <c r="AG31" s="280"/>
      <c r="AH31" s="14"/>
      <c r="AI31" s="14"/>
      <c r="AJ31" s="14"/>
    </row>
    <row r="32" ht="15.0" customHeight="1">
      <c r="A32" s="14"/>
      <c r="B32" s="276" t="str">
        <f>IFERROR(__xludf.DUMMYFUNCTION("""COMPUTED_VALUE"""),"Cooper Mengel")</f>
        <v>Cooper Mengel</v>
      </c>
      <c r="C32" s="250"/>
      <c r="D32" s="274" t="str">
        <f>IFERROR(__xludf.DUMMYFUNCTION("""COMPUTED_VALUE"""),"MD")</f>
        <v>MD</v>
      </c>
      <c r="E32" s="275" t="str">
        <f>IFERROR(__xludf.DUMMYFUNCTION("""COMPUTED_VALUE"""),"DCP")</f>
        <v>DCP</v>
      </c>
      <c r="F32" s="277">
        <f>IFERROR(__xludf.DUMMYFUNCTION("""COMPUTED_VALUE"""),2.0)</f>
        <v>2</v>
      </c>
      <c r="G32" s="14"/>
      <c r="H32" s="259"/>
      <c r="I32" s="250"/>
      <c r="J32" s="260"/>
      <c r="K32" s="261"/>
      <c r="L32" s="277"/>
      <c r="M32" s="14"/>
      <c r="N32" s="278"/>
      <c r="O32" s="250"/>
      <c r="P32" s="273"/>
      <c r="Q32" s="274"/>
      <c r="R32" s="275"/>
      <c r="S32" s="277"/>
      <c r="T32" s="266"/>
      <c r="U32" s="259"/>
      <c r="V32" s="250"/>
      <c r="W32" s="273"/>
      <c r="X32" s="274"/>
      <c r="Y32" s="275"/>
      <c r="Z32" s="260"/>
      <c r="AA32" s="14"/>
      <c r="AB32" s="281"/>
      <c r="AC32" s="250"/>
      <c r="AD32" s="263"/>
      <c r="AE32" s="264"/>
      <c r="AF32" s="265"/>
      <c r="AG32" s="280"/>
      <c r="AH32" s="14"/>
      <c r="AI32" s="14"/>
      <c r="AJ32" s="14"/>
    </row>
    <row r="33" ht="15.0" customHeight="1">
      <c r="A33" s="14"/>
      <c r="B33" s="276" t="str">
        <f>IFERROR(__xludf.DUMMYFUNCTION("""COMPUTED_VALUE"""),"Ethan Noyes")</f>
        <v>Ethan Noyes</v>
      </c>
      <c r="C33" s="250"/>
      <c r="D33" s="274" t="str">
        <f>IFERROR(__xludf.DUMMYFUNCTION("""COMPUTED_VALUE"""),"MD")</f>
        <v>MD</v>
      </c>
      <c r="E33" s="275"/>
      <c r="F33" s="277">
        <f>IFERROR(__xludf.DUMMYFUNCTION("""COMPUTED_VALUE"""),2.0)</f>
        <v>2</v>
      </c>
      <c r="G33" s="14"/>
      <c r="H33" s="259"/>
      <c r="I33" s="250"/>
      <c r="J33" s="260"/>
      <c r="K33" s="261"/>
      <c r="L33" s="277"/>
      <c r="M33" s="14"/>
      <c r="N33" s="278"/>
      <c r="O33" s="250"/>
      <c r="P33" s="273"/>
      <c r="Q33" s="274"/>
      <c r="R33" s="275"/>
      <c r="S33" s="277"/>
      <c r="T33" s="266"/>
      <c r="U33" s="259"/>
      <c r="V33" s="250"/>
      <c r="W33" s="273"/>
      <c r="X33" s="274"/>
      <c r="Y33" s="275"/>
      <c r="Z33" s="260"/>
      <c r="AA33" s="14"/>
      <c r="AB33" s="281"/>
      <c r="AC33" s="250"/>
      <c r="AD33" s="263"/>
      <c r="AE33" s="264"/>
      <c r="AF33" s="265"/>
      <c r="AG33" s="280"/>
      <c r="AH33" s="14"/>
      <c r="AI33" s="14"/>
      <c r="AJ33" s="14"/>
    </row>
    <row r="34" ht="15.0" customHeight="1">
      <c r="A34" s="14"/>
      <c r="B34" s="276" t="str">
        <f>IFERROR(__xludf.DUMMYFUNCTION("""COMPUTED_VALUE"""),"Kason Webb")</f>
        <v>Kason Webb</v>
      </c>
      <c r="C34" s="250"/>
      <c r="D34" s="274" t="str">
        <f>IFERROR(__xludf.DUMMYFUNCTION("""COMPUTED_VALUE"""),"AZ")</f>
        <v>AZ</v>
      </c>
      <c r="E34" s="275" t="str">
        <f>IFERROR(__xludf.DUMMYFUNCTION("""COMPUTED_VALUE"""),"California PFA")</f>
        <v>California PFA</v>
      </c>
      <c r="F34" s="277">
        <f>IFERROR(__xludf.DUMMYFUNCTION("""COMPUTED_VALUE"""),2.0)</f>
        <v>2</v>
      </c>
      <c r="G34" s="14"/>
      <c r="H34" s="259"/>
      <c r="I34" s="250"/>
      <c r="J34" s="260"/>
      <c r="K34" s="261"/>
      <c r="L34" s="277"/>
      <c r="M34" s="14"/>
      <c r="N34" s="278"/>
      <c r="O34" s="250"/>
      <c r="P34" s="273"/>
      <c r="Q34" s="274"/>
      <c r="R34" s="275"/>
      <c r="S34" s="277"/>
      <c r="T34" s="266"/>
      <c r="U34" s="259"/>
      <c r="V34" s="250"/>
      <c r="W34" s="273"/>
      <c r="X34" s="274"/>
      <c r="Y34" s="275"/>
      <c r="Z34" s="260"/>
      <c r="AA34" s="14"/>
      <c r="AB34" s="281"/>
      <c r="AC34" s="250"/>
      <c r="AD34" s="263"/>
      <c r="AE34" s="264"/>
      <c r="AF34" s="265"/>
      <c r="AG34" s="280"/>
      <c r="AH34" s="14"/>
      <c r="AI34" s="14"/>
      <c r="AJ34" s="14"/>
    </row>
    <row r="35" ht="15.0" customHeight="1">
      <c r="A35" s="14"/>
      <c r="B35" s="276" t="str">
        <f>IFERROR(__xludf.DUMMYFUNCTION("""COMPUTED_VALUE"""),"Jack Burke")</f>
        <v>Jack Burke</v>
      </c>
      <c r="C35" s="250"/>
      <c r="D35" s="274" t="str">
        <f>IFERROR(__xludf.DUMMYFUNCTION("""COMPUTED_VALUE"""),"GA")</f>
        <v>GA</v>
      </c>
      <c r="E35" s="275" t="str">
        <f>IFERROR(__xludf.DUMMYFUNCTION("""COMPUTED_VALUE"""),"USA Scout National")</f>
        <v>USA Scout National</v>
      </c>
      <c r="F35" s="277">
        <f>IFERROR(__xludf.DUMMYFUNCTION("""COMPUTED_VALUE"""),2.0)</f>
        <v>2</v>
      </c>
      <c r="G35" s="14"/>
      <c r="H35" s="259"/>
      <c r="I35" s="250"/>
      <c r="J35" s="260"/>
      <c r="K35" s="261"/>
      <c r="L35" s="277"/>
      <c r="M35" s="14"/>
      <c r="N35" s="278"/>
      <c r="O35" s="250"/>
      <c r="P35" s="273"/>
      <c r="Q35" s="274"/>
      <c r="R35" s="275"/>
      <c r="S35" s="277"/>
      <c r="T35" s="266"/>
      <c r="U35" s="259"/>
      <c r="V35" s="250"/>
      <c r="W35" s="273"/>
      <c r="X35" s="274"/>
      <c r="Y35" s="275"/>
      <c r="Z35" s="260"/>
      <c r="AA35" s="14"/>
      <c r="AB35" s="281"/>
      <c r="AC35" s="250"/>
      <c r="AD35" s="263"/>
      <c r="AE35" s="264"/>
      <c r="AF35" s="265"/>
      <c r="AG35" s="280"/>
      <c r="AH35" s="14"/>
      <c r="AI35" s="14"/>
      <c r="AJ35" s="14"/>
    </row>
    <row r="36" ht="15.0" customHeight="1">
      <c r="A36" s="14"/>
      <c r="B36" s="276" t="str">
        <f>IFERROR(__xludf.DUMMYFUNCTION("""COMPUTED_VALUE"""),"Jackson Barker")</f>
        <v>Jackson Barker</v>
      </c>
      <c r="C36" s="250"/>
      <c r="D36" s="274" t="str">
        <f>IFERROR(__xludf.DUMMYFUNCTION("""COMPUTED_VALUE"""),"KS")</f>
        <v>KS</v>
      </c>
      <c r="E36" s="275" t="str">
        <f>IFERROR(__xludf.DUMMYFUNCTION("""COMPUTED_VALUE"""),"Building Champions")</f>
        <v>Building Champions</v>
      </c>
      <c r="F36" s="277">
        <f>IFERROR(__xludf.DUMMYFUNCTION("""COMPUTED_VALUE"""),2.0)</f>
        <v>2</v>
      </c>
      <c r="G36" s="14"/>
      <c r="H36" s="259"/>
      <c r="I36" s="250"/>
      <c r="J36" s="260"/>
      <c r="K36" s="261"/>
      <c r="L36" s="277"/>
      <c r="M36" s="14"/>
      <c r="N36" s="278"/>
      <c r="O36" s="250"/>
      <c r="P36" s="273"/>
      <c r="Q36" s="274"/>
      <c r="R36" s="275"/>
      <c r="S36" s="277"/>
      <c r="T36" s="239"/>
      <c r="U36" s="259"/>
      <c r="V36" s="250"/>
      <c r="W36" s="273"/>
      <c r="X36" s="274"/>
      <c r="Y36" s="275"/>
      <c r="Z36" s="260"/>
      <c r="AA36" s="14"/>
      <c r="AB36" s="281"/>
      <c r="AC36" s="250"/>
      <c r="AD36" s="263"/>
      <c r="AE36" s="264"/>
      <c r="AF36" s="265"/>
      <c r="AG36" s="280"/>
      <c r="AH36" s="14"/>
      <c r="AI36" s="14"/>
      <c r="AJ36" s="14"/>
    </row>
    <row r="37" ht="15.0" customHeight="1">
      <c r="A37" s="14"/>
      <c r="B37" s="276" t="str">
        <f>IFERROR(__xludf.DUMMYFUNCTION("""COMPUTED_VALUE"""),"Peyton Landers")</f>
        <v>Peyton Landers</v>
      </c>
      <c r="C37" s="250"/>
      <c r="D37" s="274" t="str">
        <f>IFERROR(__xludf.DUMMYFUNCTION("""COMPUTED_VALUE"""),"FL")</f>
        <v>FL</v>
      </c>
      <c r="E37" s="275" t="str">
        <f>IFERROR(__xludf.DUMMYFUNCTION("""COMPUTED_VALUE"""),"Lousiville Baseball Club National")</f>
        <v>Lousiville Baseball Club National</v>
      </c>
      <c r="F37" s="277">
        <f>IFERROR(__xludf.DUMMYFUNCTION("""COMPUTED_VALUE"""),2.0)</f>
        <v>2</v>
      </c>
      <c r="G37" s="14"/>
      <c r="H37" s="259"/>
      <c r="I37" s="250"/>
      <c r="J37" s="260"/>
      <c r="K37" s="261"/>
      <c r="L37" s="277"/>
      <c r="M37" s="14"/>
      <c r="N37" s="278"/>
      <c r="O37" s="250"/>
      <c r="P37" s="273"/>
      <c r="Q37" s="274"/>
      <c r="R37" s="275"/>
      <c r="S37" s="277"/>
      <c r="T37" s="239"/>
      <c r="U37" s="259"/>
      <c r="V37" s="250"/>
      <c r="W37" s="273"/>
      <c r="X37" s="274"/>
      <c r="Y37" s="275"/>
      <c r="Z37" s="260"/>
      <c r="AA37" s="14"/>
      <c r="AB37" s="281"/>
      <c r="AC37" s="250"/>
      <c r="AD37" s="263"/>
      <c r="AE37" s="264"/>
      <c r="AF37" s="265"/>
      <c r="AG37" s="280"/>
      <c r="AH37" s="14"/>
      <c r="AI37" s="14"/>
      <c r="AJ37" s="14"/>
    </row>
    <row r="38" ht="15.0" customHeight="1">
      <c r="A38" s="14"/>
      <c r="B38" s="276" t="str">
        <f>IFERROR(__xludf.DUMMYFUNCTION("""COMPUTED_VALUE"""),"Cooper Daniel")</f>
        <v>Cooper Daniel</v>
      </c>
      <c r="C38" s="250"/>
      <c r="D38" s="274" t="str">
        <f>IFERROR(__xludf.DUMMYFUNCTION("""COMPUTED_VALUE"""),"TN")</f>
        <v>TN</v>
      </c>
      <c r="E38" s="275" t="str">
        <f>IFERROR(__xludf.DUMMYFUNCTION("""COMPUTED_VALUE"""),"FTB Tennessee")</f>
        <v>FTB Tennessee</v>
      </c>
      <c r="F38" s="277">
        <f>IFERROR(__xludf.DUMMYFUNCTION("""COMPUTED_VALUE"""),2.0)</f>
        <v>2</v>
      </c>
      <c r="G38" s="14"/>
      <c r="H38" s="259"/>
      <c r="I38" s="250"/>
      <c r="J38" s="260"/>
      <c r="K38" s="261"/>
      <c r="L38" s="277"/>
      <c r="M38" s="14"/>
      <c r="N38" s="278"/>
      <c r="O38" s="250"/>
      <c r="P38" s="273"/>
      <c r="Q38" s="274"/>
      <c r="R38" s="275"/>
      <c r="S38" s="277"/>
      <c r="T38" s="239"/>
      <c r="U38" s="259"/>
      <c r="V38" s="250"/>
      <c r="W38" s="273"/>
      <c r="X38" s="274"/>
      <c r="Y38" s="275"/>
      <c r="Z38" s="260"/>
      <c r="AA38" s="14"/>
      <c r="AB38" s="281"/>
      <c r="AC38" s="250"/>
      <c r="AD38" s="263"/>
      <c r="AE38" s="264"/>
      <c r="AF38" s="265"/>
      <c r="AG38" s="280"/>
      <c r="AH38" s="14"/>
      <c r="AI38" s="14"/>
      <c r="AJ38" s="14"/>
    </row>
    <row r="39" ht="15.0" customHeight="1">
      <c r="A39" s="14"/>
      <c r="B39" s="276"/>
      <c r="C39" s="250"/>
      <c r="D39" s="274"/>
      <c r="E39" s="275"/>
      <c r="F39" s="277"/>
      <c r="G39" s="14"/>
      <c r="H39" s="259"/>
      <c r="I39" s="250"/>
      <c r="J39" s="260"/>
      <c r="K39" s="261"/>
      <c r="L39" s="277"/>
      <c r="M39" s="14"/>
      <c r="N39" s="278"/>
      <c r="O39" s="250"/>
      <c r="P39" s="273"/>
      <c r="Q39" s="274"/>
      <c r="R39" s="275"/>
      <c r="S39" s="277"/>
      <c r="U39" s="259"/>
      <c r="V39" s="250"/>
      <c r="W39" s="273"/>
      <c r="X39" s="274"/>
      <c r="Y39" s="275"/>
      <c r="Z39" s="260"/>
      <c r="AA39" s="14"/>
      <c r="AB39" s="281"/>
      <c r="AC39" s="250"/>
      <c r="AD39" s="263"/>
      <c r="AE39" s="264"/>
      <c r="AF39" s="265"/>
      <c r="AG39" s="280"/>
      <c r="AH39" s="14"/>
      <c r="AI39" s="14"/>
      <c r="AJ39" s="14"/>
    </row>
    <row r="40" ht="15.0" customHeight="1">
      <c r="A40" s="14"/>
      <c r="B40" s="276"/>
      <c r="C40" s="250"/>
      <c r="D40" s="274"/>
      <c r="E40" s="275"/>
      <c r="F40" s="277"/>
      <c r="G40" s="14"/>
      <c r="H40" s="259"/>
      <c r="I40" s="250"/>
      <c r="J40" s="260"/>
      <c r="K40" s="261"/>
      <c r="L40" s="277"/>
      <c r="M40" s="14"/>
      <c r="N40" s="278"/>
      <c r="O40" s="250"/>
      <c r="P40" s="273"/>
      <c r="Q40" s="274"/>
      <c r="R40" s="275"/>
      <c r="S40" s="277"/>
      <c r="T40" s="239"/>
      <c r="U40" s="259"/>
      <c r="V40" s="250"/>
      <c r="W40" s="273"/>
      <c r="X40" s="274"/>
      <c r="Y40" s="275"/>
      <c r="Z40" s="260"/>
      <c r="AA40" s="14"/>
      <c r="AB40" s="281"/>
      <c r="AC40" s="250"/>
      <c r="AD40" s="263"/>
      <c r="AE40" s="264"/>
      <c r="AF40" s="265"/>
      <c r="AG40" s="280"/>
      <c r="AH40" s="14"/>
      <c r="AI40" s="14"/>
      <c r="AJ40" s="14"/>
    </row>
    <row r="41" ht="15.0" customHeight="1">
      <c r="A41" s="14"/>
      <c r="B41" s="276"/>
      <c r="C41" s="250"/>
      <c r="D41" s="274"/>
      <c r="E41" s="275"/>
      <c r="F41" s="277"/>
      <c r="G41" s="14"/>
      <c r="H41" s="259"/>
      <c r="I41" s="250"/>
      <c r="J41" s="260"/>
      <c r="K41" s="261"/>
      <c r="L41" s="277"/>
      <c r="M41" s="14"/>
      <c r="N41" s="278"/>
      <c r="O41" s="250"/>
      <c r="P41" s="273"/>
      <c r="Q41" s="274"/>
      <c r="R41" s="275"/>
      <c r="S41" s="277"/>
      <c r="T41" s="239"/>
      <c r="U41" s="259"/>
      <c r="V41" s="250"/>
      <c r="W41" s="273"/>
      <c r="X41" s="274"/>
      <c r="Y41" s="275"/>
      <c r="Z41" s="260"/>
      <c r="AA41" s="14"/>
      <c r="AB41" s="281"/>
      <c r="AC41" s="250"/>
      <c r="AD41" s="263"/>
      <c r="AE41" s="264"/>
      <c r="AF41" s="265"/>
      <c r="AG41" s="280"/>
      <c r="AH41" s="14"/>
      <c r="AI41" s="14"/>
      <c r="AJ41" s="14"/>
    </row>
    <row r="42" ht="15.0" customHeight="1">
      <c r="A42" s="14"/>
      <c r="B42" s="276"/>
      <c r="C42" s="250"/>
      <c r="D42" s="274"/>
      <c r="E42" s="275"/>
      <c r="F42" s="277"/>
      <c r="G42" s="14"/>
      <c r="H42" s="259"/>
      <c r="I42" s="250"/>
      <c r="J42" s="260"/>
      <c r="K42" s="261"/>
      <c r="L42" s="277"/>
      <c r="M42" s="14"/>
      <c r="N42" s="278"/>
      <c r="O42" s="250"/>
      <c r="P42" s="273"/>
      <c r="Q42" s="274"/>
      <c r="R42" s="275"/>
      <c r="S42" s="277"/>
      <c r="T42" s="239"/>
      <c r="U42" s="259"/>
      <c r="V42" s="250"/>
      <c r="W42" s="273"/>
      <c r="X42" s="274"/>
      <c r="Y42" s="275"/>
      <c r="Z42" s="260"/>
      <c r="AA42" s="14"/>
      <c r="AB42" s="281"/>
      <c r="AC42" s="250"/>
      <c r="AD42" s="263"/>
      <c r="AE42" s="264"/>
      <c r="AF42" s="265"/>
      <c r="AG42" s="280"/>
      <c r="AH42" s="14"/>
      <c r="AI42" s="14"/>
      <c r="AJ42" s="14"/>
    </row>
    <row r="43" ht="15.0" customHeight="1">
      <c r="A43" s="14"/>
      <c r="B43" s="276"/>
      <c r="C43" s="250"/>
      <c r="D43" s="274"/>
      <c r="E43" s="275"/>
      <c r="F43" s="277"/>
      <c r="G43" s="14"/>
      <c r="H43" s="259"/>
      <c r="I43" s="250"/>
      <c r="J43" s="260"/>
      <c r="K43" s="261"/>
      <c r="L43" s="277"/>
      <c r="M43" s="14"/>
      <c r="N43" s="278"/>
      <c r="O43" s="250"/>
      <c r="P43" s="273"/>
      <c r="Q43" s="274"/>
      <c r="R43" s="275"/>
      <c r="S43" s="277"/>
      <c r="T43" s="239"/>
      <c r="U43" s="259"/>
      <c r="V43" s="250"/>
      <c r="W43" s="273"/>
      <c r="X43" s="274"/>
      <c r="Y43" s="275"/>
      <c r="Z43" s="260"/>
      <c r="AA43" s="14"/>
      <c r="AB43" s="281"/>
      <c r="AC43" s="250"/>
      <c r="AD43" s="263"/>
      <c r="AE43" s="264"/>
      <c r="AF43" s="265"/>
      <c r="AG43" s="280"/>
      <c r="AH43" s="14"/>
      <c r="AI43" s="14"/>
      <c r="AJ43" s="14"/>
    </row>
    <row r="44" ht="15.0" customHeight="1">
      <c r="A44" s="14"/>
      <c r="B44" s="276"/>
      <c r="C44" s="250"/>
      <c r="D44" s="274"/>
      <c r="E44" s="275"/>
      <c r="F44" s="277"/>
      <c r="G44" s="14"/>
      <c r="H44" s="259"/>
      <c r="I44" s="250"/>
      <c r="J44" s="260"/>
      <c r="K44" s="261"/>
      <c r="L44" s="277"/>
      <c r="M44" s="14"/>
      <c r="N44" s="278"/>
      <c r="O44" s="250"/>
      <c r="P44" s="273"/>
      <c r="Q44" s="274"/>
      <c r="R44" s="275"/>
      <c r="S44" s="277"/>
      <c r="T44" s="239"/>
      <c r="U44" s="259"/>
      <c r="V44" s="250"/>
      <c r="W44" s="273"/>
      <c r="X44" s="274"/>
      <c r="Y44" s="275"/>
      <c r="Z44" s="260"/>
      <c r="AA44" s="14"/>
      <c r="AB44" s="281"/>
      <c r="AC44" s="250"/>
      <c r="AD44" s="263"/>
      <c r="AE44" s="264"/>
      <c r="AF44" s="265"/>
      <c r="AG44" s="280"/>
      <c r="AH44" s="14"/>
      <c r="AI44" s="14"/>
      <c r="AJ44" s="14"/>
    </row>
    <row r="45" ht="15.0" customHeight="1">
      <c r="A45" s="14"/>
      <c r="B45" s="276"/>
      <c r="C45" s="250"/>
      <c r="D45" s="274"/>
      <c r="E45" s="275"/>
      <c r="F45" s="277"/>
      <c r="G45" s="14"/>
      <c r="H45" s="259"/>
      <c r="I45" s="250"/>
      <c r="J45" s="260"/>
      <c r="K45" s="261"/>
      <c r="L45" s="277"/>
      <c r="M45" s="14"/>
      <c r="N45" s="278"/>
      <c r="O45" s="250"/>
      <c r="P45" s="273"/>
      <c r="Q45" s="274"/>
      <c r="R45" s="275"/>
      <c r="S45" s="277"/>
      <c r="T45" s="239"/>
      <c r="U45" s="259"/>
      <c r="V45" s="250"/>
      <c r="W45" s="273"/>
      <c r="X45" s="274"/>
      <c r="Y45" s="275"/>
      <c r="Z45" s="260"/>
      <c r="AA45" s="14"/>
      <c r="AB45" s="281"/>
      <c r="AC45" s="250"/>
      <c r="AD45" s="263"/>
      <c r="AE45" s="264"/>
      <c r="AF45" s="265"/>
      <c r="AG45" s="280"/>
      <c r="AH45" s="14"/>
      <c r="AI45" s="14"/>
      <c r="AJ45" s="14"/>
    </row>
    <row r="46" ht="15.0" customHeight="1">
      <c r="A46" s="14"/>
      <c r="B46" s="276"/>
      <c r="C46" s="250"/>
      <c r="D46" s="274"/>
      <c r="E46" s="275"/>
      <c r="F46" s="277"/>
      <c r="G46" s="14"/>
      <c r="H46" s="259"/>
      <c r="I46" s="250"/>
      <c r="J46" s="260"/>
      <c r="K46" s="261"/>
      <c r="L46" s="277"/>
      <c r="M46" s="14"/>
      <c r="N46" s="278"/>
      <c r="O46" s="250"/>
      <c r="P46" s="273"/>
      <c r="Q46" s="274"/>
      <c r="R46" s="275"/>
      <c r="S46" s="277"/>
      <c r="T46" s="239"/>
      <c r="U46" s="259"/>
      <c r="V46" s="250"/>
      <c r="W46" s="273"/>
      <c r="X46" s="274"/>
      <c r="Y46" s="275"/>
      <c r="Z46" s="260"/>
      <c r="AA46" s="14"/>
      <c r="AB46" s="281"/>
      <c r="AC46" s="250"/>
      <c r="AD46" s="263"/>
      <c r="AE46" s="264"/>
      <c r="AF46" s="265"/>
      <c r="AG46" s="280"/>
      <c r="AH46" s="14"/>
      <c r="AI46" s="14"/>
      <c r="AJ46" s="14"/>
    </row>
    <row r="47" ht="15.0" customHeight="1">
      <c r="A47" s="14"/>
      <c r="B47" s="276"/>
      <c r="C47" s="250"/>
      <c r="D47" s="274"/>
      <c r="E47" s="275"/>
      <c r="F47" s="277"/>
      <c r="G47" s="14"/>
      <c r="H47" s="259"/>
      <c r="I47" s="250"/>
      <c r="J47" s="260"/>
      <c r="K47" s="261"/>
      <c r="L47" s="277"/>
      <c r="M47" s="14"/>
      <c r="N47" s="278"/>
      <c r="O47" s="250"/>
      <c r="P47" s="273"/>
      <c r="Q47" s="274"/>
      <c r="R47" s="275"/>
      <c r="S47" s="277"/>
      <c r="T47" s="239"/>
      <c r="U47" s="259"/>
      <c r="V47" s="250"/>
      <c r="W47" s="273"/>
      <c r="X47" s="274"/>
      <c r="Y47" s="275"/>
      <c r="Z47" s="260"/>
      <c r="AA47" s="14"/>
      <c r="AB47" s="281"/>
      <c r="AC47" s="250"/>
      <c r="AD47" s="263"/>
      <c r="AE47" s="264"/>
      <c r="AF47" s="265"/>
      <c r="AG47" s="280"/>
      <c r="AH47" s="14"/>
      <c r="AI47" s="14"/>
      <c r="AJ47" s="14"/>
    </row>
    <row r="48" ht="15.0" customHeight="1">
      <c r="A48" s="14"/>
      <c r="B48" s="276"/>
      <c r="C48" s="250"/>
      <c r="D48" s="274"/>
      <c r="E48" s="275"/>
      <c r="F48" s="277"/>
      <c r="G48" s="14"/>
      <c r="H48" s="259"/>
      <c r="I48" s="250"/>
      <c r="J48" s="260"/>
      <c r="K48" s="261"/>
      <c r="L48" s="277"/>
      <c r="M48" s="14"/>
      <c r="N48" s="278"/>
      <c r="O48" s="250"/>
      <c r="P48" s="273"/>
      <c r="Q48" s="274"/>
      <c r="R48" s="275"/>
      <c r="S48" s="277"/>
      <c r="T48" s="239"/>
      <c r="U48" s="259"/>
      <c r="V48" s="250"/>
      <c r="W48" s="273"/>
      <c r="X48" s="274"/>
      <c r="Y48" s="275"/>
      <c r="Z48" s="260"/>
      <c r="AA48" s="14"/>
      <c r="AB48" s="281"/>
      <c r="AC48" s="250"/>
      <c r="AD48" s="263"/>
      <c r="AE48" s="264"/>
      <c r="AF48" s="265"/>
      <c r="AG48" s="280"/>
      <c r="AH48" s="14"/>
      <c r="AI48" s="14"/>
      <c r="AJ48" s="14"/>
    </row>
    <row r="49" ht="15.0" customHeight="1">
      <c r="A49" s="14"/>
      <c r="B49" s="276"/>
      <c r="C49" s="250"/>
      <c r="D49" s="274"/>
      <c r="E49" s="275"/>
      <c r="F49" s="277"/>
      <c r="G49" s="14"/>
      <c r="H49" s="259"/>
      <c r="I49" s="250"/>
      <c r="J49" s="260"/>
      <c r="K49" s="261"/>
      <c r="L49" s="277"/>
      <c r="M49" s="14"/>
      <c r="N49" s="278"/>
      <c r="O49" s="250"/>
      <c r="P49" s="273"/>
      <c r="Q49" s="274"/>
      <c r="R49" s="275"/>
      <c r="S49" s="277"/>
      <c r="T49" s="239"/>
      <c r="U49" s="259"/>
      <c r="V49" s="250"/>
      <c r="W49" s="273"/>
      <c r="X49" s="274"/>
      <c r="Y49" s="275"/>
      <c r="Z49" s="260"/>
      <c r="AA49" s="14"/>
      <c r="AB49" s="281"/>
      <c r="AC49" s="250"/>
      <c r="AD49" s="263"/>
      <c r="AE49" s="264"/>
      <c r="AF49" s="265"/>
      <c r="AG49" s="280"/>
      <c r="AH49" s="14"/>
      <c r="AI49" s="14"/>
      <c r="AJ49" s="14"/>
    </row>
    <row r="50" ht="15.0" customHeight="1">
      <c r="A50" s="14"/>
      <c r="B50" s="276"/>
      <c r="C50" s="250"/>
      <c r="D50" s="274"/>
      <c r="E50" s="275"/>
      <c r="F50" s="277"/>
      <c r="G50" s="14"/>
      <c r="H50" s="259"/>
      <c r="I50" s="250"/>
      <c r="J50" s="260"/>
      <c r="K50" s="261"/>
      <c r="L50" s="277"/>
      <c r="M50" s="14"/>
      <c r="N50" s="278"/>
      <c r="O50" s="250"/>
      <c r="P50" s="273"/>
      <c r="Q50" s="274"/>
      <c r="R50" s="275"/>
      <c r="S50" s="277"/>
      <c r="T50" s="239"/>
      <c r="U50" s="259"/>
      <c r="V50" s="250"/>
      <c r="W50" s="273"/>
      <c r="X50" s="274"/>
      <c r="Y50" s="275"/>
      <c r="Z50" s="260"/>
      <c r="AA50" s="14"/>
      <c r="AB50" s="281"/>
      <c r="AC50" s="250"/>
      <c r="AD50" s="263"/>
      <c r="AE50" s="264"/>
      <c r="AF50" s="265"/>
      <c r="AG50" s="280"/>
      <c r="AH50" s="14"/>
      <c r="AI50" s="14"/>
      <c r="AJ50" s="14"/>
    </row>
    <row r="51" ht="15.0" customHeight="1">
      <c r="A51" s="14"/>
      <c r="B51" s="276"/>
      <c r="C51" s="250"/>
      <c r="D51" s="274"/>
      <c r="E51" s="275"/>
      <c r="F51" s="277"/>
      <c r="G51" s="14"/>
      <c r="H51" s="259"/>
      <c r="I51" s="250"/>
      <c r="J51" s="260"/>
      <c r="K51" s="261"/>
      <c r="L51" s="277"/>
      <c r="M51" s="14"/>
      <c r="N51" s="278"/>
      <c r="O51" s="250"/>
      <c r="P51" s="273"/>
      <c r="Q51" s="274"/>
      <c r="R51" s="275"/>
      <c r="S51" s="277"/>
      <c r="T51" s="239"/>
      <c r="U51" s="259"/>
      <c r="V51" s="250"/>
      <c r="W51" s="273"/>
      <c r="X51" s="274"/>
      <c r="Y51" s="275"/>
      <c r="Z51" s="260"/>
      <c r="AA51" s="14"/>
      <c r="AB51" s="281"/>
      <c r="AC51" s="250"/>
      <c r="AD51" s="263"/>
      <c r="AE51" s="264"/>
      <c r="AF51" s="265"/>
      <c r="AG51" s="280"/>
      <c r="AH51" s="14"/>
      <c r="AI51" s="14"/>
      <c r="AJ51" s="14"/>
    </row>
    <row r="52" ht="15.0" customHeight="1">
      <c r="A52" s="14"/>
      <c r="B52" s="276"/>
      <c r="C52" s="250"/>
      <c r="D52" s="274"/>
      <c r="E52" s="275"/>
      <c r="F52" s="277"/>
      <c r="G52" s="14"/>
      <c r="H52" s="259"/>
      <c r="I52" s="250"/>
      <c r="J52" s="260"/>
      <c r="K52" s="261"/>
      <c r="L52" s="277"/>
      <c r="M52" s="14"/>
      <c r="N52" s="278"/>
      <c r="O52" s="250"/>
      <c r="P52" s="273"/>
      <c r="Q52" s="274"/>
      <c r="R52" s="275"/>
      <c r="S52" s="277"/>
      <c r="T52" s="239"/>
      <c r="U52" s="259"/>
      <c r="V52" s="250"/>
      <c r="W52" s="273"/>
      <c r="X52" s="274"/>
      <c r="Y52" s="275"/>
      <c r="Z52" s="260"/>
      <c r="AA52" s="14"/>
      <c r="AB52" s="281"/>
      <c r="AC52" s="250"/>
      <c r="AD52" s="263"/>
      <c r="AE52" s="264"/>
      <c r="AF52" s="265"/>
      <c r="AG52" s="280"/>
      <c r="AH52" s="14"/>
      <c r="AI52" s="14"/>
      <c r="AJ52" s="14"/>
    </row>
    <row r="53" ht="15.0" customHeight="1">
      <c r="A53" s="14"/>
      <c r="B53" s="276"/>
      <c r="C53" s="250"/>
      <c r="D53" s="274"/>
      <c r="E53" s="275"/>
      <c r="F53" s="277"/>
      <c r="G53" s="14"/>
      <c r="H53" s="259"/>
      <c r="I53" s="250"/>
      <c r="J53" s="260"/>
      <c r="K53" s="261"/>
      <c r="L53" s="277"/>
      <c r="M53" s="14"/>
      <c r="N53" s="278"/>
      <c r="O53" s="250"/>
      <c r="P53" s="273"/>
      <c r="Q53" s="274"/>
      <c r="R53" s="275"/>
      <c r="S53" s="277"/>
      <c r="T53" s="239"/>
      <c r="U53" s="259"/>
      <c r="V53" s="250"/>
      <c r="W53" s="273"/>
      <c r="X53" s="274"/>
      <c r="Y53" s="275"/>
      <c r="Z53" s="260"/>
      <c r="AA53" s="14"/>
      <c r="AB53" s="281"/>
      <c r="AC53" s="250"/>
      <c r="AD53" s="263"/>
      <c r="AE53" s="264"/>
      <c r="AF53" s="265"/>
      <c r="AG53" s="280"/>
      <c r="AH53" s="14"/>
      <c r="AI53" s="14"/>
      <c r="AJ53" s="14"/>
    </row>
    <row r="54" ht="15.0" customHeight="1">
      <c r="A54" s="14"/>
      <c r="B54" s="276"/>
      <c r="C54" s="250"/>
      <c r="D54" s="274"/>
      <c r="E54" s="275"/>
      <c r="F54" s="277"/>
      <c r="G54" s="14"/>
      <c r="H54" s="259"/>
      <c r="I54" s="250"/>
      <c r="J54" s="260"/>
      <c r="K54" s="261"/>
      <c r="L54" s="277"/>
      <c r="M54" s="14"/>
      <c r="N54" s="278"/>
      <c r="O54" s="250"/>
      <c r="P54" s="273"/>
      <c r="Q54" s="274"/>
      <c r="R54" s="275"/>
      <c r="S54" s="277"/>
      <c r="T54" s="239"/>
      <c r="U54" s="259"/>
      <c r="V54" s="250"/>
      <c r="W54" s="273"/>
      <c r="X54" s="274"/>
      <c r="Y54" s="275"/>
      <c r="Z54" s="260"/>
      <c r="AA54" s="14"/>
      <c r="AB54" s="281"/>
      <c r="AC54" s="250"/>
      <c r="AD54" s="263"/>
      <c r="AE54" s="264"/>
      <c r="AF54" s="265"/>
      <c r="AG54" s="280"/>
      <c r="AH54" s="14"/>
      <c r="AI54" s="14"/>
      <c r="AJ54" s="14"/>
    </row>
    <row r="55" ht="15.0" customHeight="1">
      <c r="B55" s="276"/>
      <c r="C55" s="250"/>
      <c r="D55" s="274"/>
      <c r="E55" s="275"/>
      <c r="F55" s="277"/>
      <c r="G55" s="14"/>
      <c r="H55" s="259"/>
      <c r="I55" s="250"/>
      <c r="J55" s="260"/>
      <c r="K55" s="261"/>
      <c r="L55" s="277"/>
      <c r="N55" s="278"/>
      <c r="O55" s="250"/>
      <c r="P55" s="273"/>
      <c r="Q55" s="274"/>
      <c r="R55" s="275"/>
      <c r="S55" s="277"/>
      <c r="T55" s="239"/>
      <c r="U55" s="259"/>
      <c r="V55" s="250"/>
      <c r="W55" s="273"/>
      <c r="X55" s="274"/>
      <c r="Y55" s="275"/>
      <c r="Z55" s="260"/>
      <c r="AA55" s="14"/>
      <c r="AB55" s="281"/>
      <c r="AC55" s="250"/>
      <c r="AD55" s="263"/>
      <c r="AE55" s="264"/>
      <c r="AF55" s="265"/>
      <c r="AG55" s="280"/>
      <c r="AH55" s="14"/>
      <c r="AI55" s="14"/>
      <c r="AJ55" s="14"/>
    </row>
    <row r="56" ht="15.0" customHeight="1">
      <c r="B56" s="276"/>
      <c r="C56" s="250"/>
      <c r="D56" s="274"/>
      <c r="E56" s="275"/>
      <c r="F56" s="277"/>
      <c r="G56" s="14"/>
      <c r="H56" s="259"/>
      <c r="I56" s="250"/>
      <c r="J56" s="260"/>
      <c r="K56" s="261"/>
      <c r="L56" s="277"/>
      <c r="N56" s="278"/>
      <c r="O56" s="250"/>
      <c r="P56" s="273"/>
      <c r="Q56" s="274"/>
      <c r="R56" s="275"/>
      <c r="S56" s="277"/>
      <c r="T56" s="239"/>
      <c r="U56" s="259"/>
      <c r="V56" s="250"/>
      <c r="W56" s="273"/>
      <c r="X56" s="274"/>
      <c r="Y56" s="275"/>
      <c r="Z56" s="260"/>
      <c r="AA56" s="239"/>
      <c r="AB56" s="281"/>
      <c r="AC56" s="250"/>
      <c r="AD56" s="263"/>
      <c r="AE56" s="264"/>
      <c r="AF56" s="265"/>
      <c r="AG56" s="280"/>
      <c r="AH56" s="239"/>
      <c r="AI56" s="239"/>
      <c r="AJ56" s="239"/>
    </row>
    <row r="57" ht="15.0" customHeight="1">
      <c r="B57" s="276"/>
      <c r="C57" s="250"/>
      <c r="D57" s="274"/>
      <c r="E57" s="275"/>
      <c r="F57" s="277"/>
      <c r="H57" s="259"/>
      <c r="I57" s="250"/>
      <c r="J57" s="260"/>
      <c r="K57" s="261"/>
      <c r="L57" s="277"/>
      <c r="N57" s="278"/>
      <c r="O57" s="250"/>
      <c r="P57" s="273"/>
      <c r="Q57" s="274"/>
      <c r="R57" s="275"/>
      <c r="S57" s="277"/>
      <c r="T57" s="239"/>
      <c r="U57" s="259"/>
      <c r="V57" s="250"/>
      <c r="W57" s="273"/>
      <c r="X57" s="274"/>
      <c r="Y57" s="275"/>
      <c r="Z57" s="260"/>
      <c r="AA57" s="239"/>
      <c r="AB57" s="281"/>
      <c r="AC57" s="250"/>
      <c r="AD57" s="263"/>
      <c r="AE57" s="264"/>
      <c r="AF57" s="265"/>
      <c r="AG57" s="280"/>
      <c r="AH57" s="239"/>
      <c r="AI57" s="239"/>
      <c r="AJ57" s="239"/>
    </row>
    <row r="58" ht="15.0" customHeight="1">
      <c r="B58" s="276"/>
      <c r="C58" s="250"/>
      <c r="D58" s="274"/>
      <c r="E58" s="275"/>
      <c r="F58" s="277"/>
      <c r="H58" s="259"/>
      <c r="I58" s="250"/>
      <c r="J58" s="260"/>
      <c r="K58" s="261"/>
      <c r="L58" s="277"/>
      <c r="N58" s="278"/>
      <c r="O58" s="250"/>
      <c r="P58" s="273"/>
      <c r="Q58" s="274"/>
      <c r="R58" s="275"/>
      <c r="S58" s="277"/>
      <c r="T58" s="239"/>
      <c r="U58" s="259"/>
      <c r="V58" s="250"/>
      <c r="W58" s="273"/>
      <c r="X58" s="274"/>
      <c r="Y58" s="275"/>
      <c r="Z58" s="260"/>
      <c r="AA58" s="239"/>
      <c r="AB58" s="281"/>
      <c r="AC58" s="250"/>
      <c r="AD58" s="263"/>
      <c r="AE58" s="264"/>
      <c r="AF58" s="265"/>
      <c r="AG58" s="280"/>
      <c r="AH58" s="239"/>
      <c r="AI58" s="239"/>
      <c r="AJ58" s="239"/>
    </row>
    <row r="59" ht="15.0" customHeight="1">
      <c r="B59" s="276"/>
      <c r="C59" s="250"/>
      <c r="D59" s="274"/>
      <c r="E59" s="275"/>
      <c r="F59" s="277"/>
      <c r="H59" s="259"/>
      <c r="I59" s="250"/>
      <c r="J59" s="260"/>
      <c r="K59" s="261"/>
      <c r="L59" s="277"/>
      <c r="N59" s="278"/>
      <c r="O59" s="250"/>
      <c r="P59" s="273"/>
      <c r="Q59" s="274"/>
      <c r="R59" s="275"/>
      <c r="S59" s="277"/>
      <c r="T59" s="239"/>
      <c r="U59" s="259"/>
      <c r="V59" s="250"/>
      <c r="W59" s="273"/>
      <c r="X59" s="274"/>
      <c r="Y59" s="275"/>
      <c r="Z59" s="260"/>
      <c r="AA59" s="239"/>
      <c r="AB59" s="281"/>
      <c r="AC59" s="250"/>
      <c r="AD59" s="263"/>
      <c r="AE59" s="264"/>
      <c r="AF59" s="265"/>
      <c r="AG59" s="280"/>
      <c r="AH59" s="239"/>
      <c r="AI59" s="239"/>
      <c r="AJ59" s="239"/>
    </row>
    <row r="60" ht="15.0" customHeight="1">
      <c r="B60" s="276"/>
      <c r="C60" s="250"/>
      <c r="D60" s="274"/>
      <c r="E60" s="275"/>
      <c r="F60" s="277"/>
      <c r="H60" s="259"/>
      <c r="I60" s="250"/>
      <c r="J60" s="260"/>
      <c r="K60" s="261"/>
      <c r="L60" s="277"/>
      <c r="N60" s="278"/>
      <c r="O60" s="250"/>
      <c r="P60" s="273"/>
      <c r="Q60" s="274"/>
      <c r="R60" s="275"/>
      <c r="S60" s="277"/>
      <c r="T60" s="239"/>
      <c r="U60" s="259"/>
      <c r="V60" s="250"/>
      <c r="W60" s="273"/>
      <c r="X60" s="274"/>
      <c r="Y60" s="275"/>
      <c r="Z60" s="260"/>
      <c r="AA60" s="239"/>
      <c r="AB60" s="281"/>
      <c r="AC60" s="250"/>
      <c r="AD60" s="263"/>
      <c r="AE60" s="264"/>
      <c r="AF60" s="265"/>
      <c r="AG60" s="280"/>
      <c r="AH60" s="239"/>
      <c r="AI60" s="239"/>
      <c r="AJ60" s="239"/>
    </row>
    <row r="61" ht="15.0" customHeight="1">
      <c r="B61" s="276"/>
      <c r="C61" s="250"/>
      <c r="D61" s="274"/>
      <c r="E61" s="275"/>
      <c r="F61" s="277"/>
      <c r="H61" s="259"/>
      <c r="I61" s="250"/>
      <c r="J61" s="260"/>
      <c r="K61" s="261"/>
      <c r="L61" s="277"/>
      <c r="N61" s="278"/>
      <c r="O61" s="250"/>
      <c r="P61" s="273"/>
      <c r="Q61" s="274"/>
      <c r="R61" s="275"/>
      <c r="S61" s="277"/>
      <c r="T61" s="239"/>
      <c r="U61" s="259"/>
      <c r="V61" s="250"/>
      <c r="W61" s="273"/>
      <c r="X61" s="274"/>
      <c r="Y61" s="275"/>
      <c r="Z61" s="260"/>
      <c r="AA61" s="239"/>
      <c r="AB61" s="281"/>
      <c r="AC61" s="250"/>
      <c r="AD61" s="263"/>
      <c r="AE61" s="264"/>
      <c r="AF61" s="265"/>
      <c r="AG61" s="280"/>
      <c r="AH61" s="239"/>
      <c r="AI61" s="239"/>
      <c r="AJ61" s="239"/>
    </row>
    <row r="62" ht="15.0" customHeight="1">
      <c r="B62" s="276"/>
      <c r="C62" s="250"/>
      <c r="D62" s="274"/>
      <c r="E62" s="275"/>
      <c r="F62" s="277"/>
      <c r="H62" s="259"/>
      <c r="I62" s="250"/>
      <c r="J62" s="260"/>
      <c r="K62" s="261"/>
      <c r="L62" s="277"/>
      <c r="N62" s="278"/>
      <c r="O62" s="250"/>
      <c r="P62" s="273"/>
      <c r="Q62" s="274"/>
      <c r="R62" s="275"/>
      <c r="S62" s="277"/>
      <c r="T62" s="239"/>
      <c r="U62" s="259"/>
      <c r="V62" s="250"/>
      <c r="W62" s="273"/>
      <c r="X62" s="274"/>
      <c r="Y62" s="275"/>
      <c r="Z62" s="260"/>
      <c r="AA62" s="239"/>
      <c r="AB62" s="281"/>
      <c r="AC62" s="250"/>
      <c r="AD62" s="263"/>
      <c r="AE62" s="264"/>
      <c r="AF62" s="265"/>
      <c r="AG62" s="280"/>
      <c r="AH62" s="239"/>
      <c r="AI62" s="239"/>
      <c r="AJ62" s="239"/>
    </row>
    <row r="63" ht="15.0" customHeight="1">
      <c r="B63" s="276"/>
      <c r="C63" s="250"/>
      <c r="D63" s="274"/>
      <c r="E63" s="275"/>
      <c r="F63" s="277"/>
      <c r="H63" s="259"/>
      <c r="I63" s="250"/>
      <c r="J63" s="260"/>
      <c r="K63" s="261"/>
      <c r="L63" s="277"/>
      <c r="N63" s="278"/>
      <c r="O63" s="250"/>
      <c r="P63" s="273"/>
      <c r="Q63" s="274"/>
      <c r="R63" s="275"/>
      <c r="S63" s="277"/>
      <c r="T63" s="239"/>
      <c r="U63" s="259"/>
      <c r="V63" s="250"/>
      <c r="W63" s="273"/>
      <c r="X63" s="274"/>
      <c r="Y63" s="275"/>
      <c r="Z63" s="260"/>
      <c r="AA63" s="239"/>
      <c r="AB63" s="281"/>
      <c r="AC63" s="250"/>
      <c r="AD63" s="263"/>
      <c r="AE63" s="264"/>
      <c r="AF63" s="265"/>
      <c r="AG63" s="280"/>
      <c r="AH63" s="239"/>
      <c r="AI63" s="239"/>
      <c r="AJ63" s="239"/>
    </row>
    <row r="64" ht="15.0" customHeight="1">
      <c r="B64" s="276"/>
      <c r="C64" s="250"/>
      <c r="D64" s="274"/>
      <c r="E64" s="275"/>
      <c r="F64" s="277"/>
      <c r="H64" s="259"/>
      <c r="I64" s="250"/>
      <c r="J64" s="260"/>
      <c r="K64" s="261"/>
      <c r="L64" s="277"/>
      <c r="N64" s="278"/>
      <c r="O64" s="250"/>
      <c r="P64" s="273"/>
      <c r="Q64" s="274"/>
      <c r="R64" s="275"/>
      <c r="S64" s="277"/>
      <c r="T64" s="239"/>
      <c r="U64" s="259"/>
      <c r="V64" s="250"/>
      <c r="W64" s="273"/>
      <c r="X64" s="274"/>
      <c r="Y64" s="275"/>
      <c r="Z64" s="260"/>
      <c r="AA64" s="239"/>
      <c r="AB64" s="281"/>
      <c r="AC64" s="250"/>
      <c r="AD64" s="263"/>
      <c r="AE64" s="264"/>
      <c r="AF64" s="265"/>
      <c r="AG64" s="280"/>
      <c r="AH64" s="239"/>
      <c r="AI64" s="239"/>
      <c r="AJ64" s="239"/>
    </row>
    <row r="65" ht="15.0" customHeight="1">
      <c r="B65" s="276"/>
      <c r="C65" s="250"/>
      <c r="D65" s="274"/>
      <c r="E65" s="275"/>
      <c r="F65" s="277"/>
      <c r="H65" s="259"/>
      <c r="I65" s="250"/>
      <c r="J65" s="260"/>
      <c r="K65" s="261"/>
      <c r="L65" s="277"/>
      <c r="N65" s="278"/>
      <c r="O65" s="250"/>
      <c r="P65" s="273"/>
      <c r="Q65" s="274"/>
      <c r="R65" s="275"/>
      <c r="S65" s="277"/>
      <c r="T65" s="239"/>
      <c r="U65" s="259"/>
      <c r="V65" s="250"/>
      <c r="W65" s="273"/>
      <c r="X65" s="274"/>
      <c r="Y65" s="275"/>
      <c r="Z65" s="260"/>
      <c r="AA65" s="239"/>
      <c r="AB65" s="281"/>
      <c r="AC65" s="250"/>
      <c r="AD65" s="263"/>
      <c r="AE65" s="264"/>
      <c r="AF65" s="265"/>
      <c r="AG65" s="280"/>
      <c r="AH65" s="239"/>
      <c r="AI65" s="239"/>
      <c r="AJ65" s="239"/>
    </row>
    <row r="66">
      <c r="A66" s="239"/>
      <c r="B66" s="239"/>
      <c r="C66" s="239"/>
      <c r="D66" s="239"/>
      <c r="E66" s="239"/>
      <c r="F66" s="283"/>
      <c r="G66" s="239"/>
      <c r="H66" s="239"/>
      <c r="I66" s="239"/>
      <c r="J66" s="239"/>
      <c r="K66" s="239"/>
      <c r="L66" s="239"/>
      <c r="M66" s="239"/>
      <c r="N66" s="239"/>
      <c r="O66" s="239"/>
      <c r="P66" s="246"/>
      <c r="Q66" s="239"/>
      <c r="R66" s="239"/>
      <c r="S66" s="239"/>
      <c r="T66" s="239"/>
      <c r="U66" s="239"/>
      <c r="V66" s="239"/>
      <c r="W66" s="246"/>
      <c r="X66" s="239"/>
      <c r="Y66" s="239"/>
      <c r="Z66" s="239"/>
      <c r="AA66" s="239"/>
      <c r="AB66" s="239"/>
      <c r="AC66" s="239"/>
      <c r="AD66" s="239"/>
      <c r="AE66" s="239"/>
      <c r="AF66" s="239"/>
      <c r="AG66" s="239"/>
      <c r="AH66" s="239"/>
      <c r="AI66" s="239"/>
      <c r="AJ66" s="239"/>
    </row>
    <row r="67">
      <c r="A67" s="239"/>
      <c r="B67" s="239"/>
      <c r="C67" s="239"/>
      <c r="D67" s="239"/>
      <c r="E67" s="239"/>
      <c r="F67" s="283"/>
      <c r="G67" s="239"/>
      <c r="H67" s="239"/>
      <c r="I67" s="239"/>
      <c r="J67" s="239"/>
      <c r="K67" s="239"/>
      <c r="L67" s="239"/>
      <c r="M67" s="239"/>
      <c r="N67" s="239"/>
      <c r="O67" s="239"/>
      <c r="P67" s="246"/>
      <c r="Q67" s="239"/>
      <c r="R67" s="239"/>
      <c r="S67" s="239"/>
      <c r="T67" s="239"/>
      <c r="U67" s="239"/>
      <c r="V67" s="239"/>
      <c r="W67" s="246"/>
      <c r="X67" s="239"/>
      <c r="Y67" s="239"/>
      <c r="Z67" s="239"/>
      <c r="AA67" s="239"/>
      <c r="AB67" s="239"/>
      <c r="AC67" s="239"/>
      <c r="AD67" s="239"/>
      <c r="AE67" s="239"/>
      <c r="AF67" s="239"/>
      <c r="AG67" s="239"/>
      <c r="AH67" s="239"/>
      <c r="AI67" s="239"/>
      <c r="AJ67" s="239"/>
    </row>
    <row r="68">
      <c r="A68" s="239"/>
      <c r="B68" s="239"/>
      <c r="C68" s="239"/>
      <c r="D68" s="239"/>
      <c r="E68" s="239"/>
      <c r="F68" s="283"/>
      <c r="G68" s="239"/>
      <c r="H68" s="239"/>
      <c r="I68" s="239"/>
      <c r="J68" s="239"/>
      <c r="K68" s="239"/>
      <c r="L68" s="239"/>
      <c r="M68" s="239"/>
      <c r="N68" s="239"/>
      <c r="O68" s="239"/>
      <c r="P68" s="246"/>
      <c r="Q68" s="239"/>
      <c r="R68" s="239"/>
      <c r="S68" s="239"/>
      <c r="T68" s="239"/>
      <c r="U68" s="239"/>
      <c r="V68" s="239"/>
      <c r="W68" s="246"/>
      <c r="X68" s="239"/>
      <c r="Y68" s="239"/>
      <c r="Z68" s="239"/>
      <c r="AA68" s="239"/>
      <c r="AB68" s="239"/>
      <c r="AC68" s="239"/>
      <c r="AD68" s="239"/>
      <c r="AE68" s="239"/>
      <c r="AF68" s="239"/>
      <c r="AG68" s="239"/>
      <c r="AH68" s="239"/>
      <c r="AI68" s="239"/>
      <c r="AJ68" s="239"/>
    </row>
    <row r="69">
      <c r="A69" s="239"/>
      <c r="B69" s="239"/>
      <c r="C69" s="239"/>
      <c r="D69" s="239"/>
      <c r="E69" s="239"/>
      <c r="F69" s="283"/>
      <c r="G69" s="239"/>
      <c r="H69" s="239"/>
      <c r="I69" s="239"/>
      <c r="J69" s="239"/>
      <c r="K69" s="239"/>
      <c r="L69" s="239"/>
      <c r="M69" s="239"/>
      <c r="N69" s="239"/>
      <c r="O69" s="239"/>
      <c r="P69" s="246"/>
      <c r="Q69" s="239"/>
      <c r="R69" s="239"/>
      <c r="S69" s="239"/>
      <c r="T69" s="239"/>
      <c r="U69" s="239"/>
      <c r="V69" s="239"/>
      <c r="W69" s="246"/>
      <c r="X69" s="239"/>
      <c r="Y69" s="239"/>
      <c r="Z69" s="239"/>
      <c r="AA69" s="239"/>
      <c r="AB69" s="239"/>
      <c r="AC69" s="239"/>
      <c r="AD69" s="239"/>
      <c r="AE69" s="239"/>
      <c r="AF69" s="239"/>
      <c r="AG69" s="239"/>
      <c r="AH69" s="239"/>
      <c r="AI69" s="239"/>
      <c r="AJ69" s="239"/>
    </row>
    <row r="70">
      <c r="A70" s="239"/>
      <c r="B70" s="239"/>
      <c r="C70" s="239"/>
      <c r="D70" s="239"/>
      <c r="E70" s="239"/>
      <c r="F70" s="283"/>
      <c r="G70" s="239"/>
      <c r="H70" s="239"/>
      <c r="I70" s="239"/>
      <c r="J70" s="239"/>
      <c r="K70" s="239"/>
      <c r="L70" s="239"/>
      <c r="M70" s="239"/>
      <c r="N70" s="239"/>
      <c r="O70" s="239"/>
      <c r="P70" s="246"/>
      <c r="Q70" s="239"/>
      <c r="R70" s="239"/>
      <c r="S70" s="239"/>
      <c r="T70" s="239"/>
      <c r="U70" s="239"/>
      <c r="V70" s="239"/>
      <c r="W70" s="246"/>
      <c r="X70" s="239"/>
      <c r="Y70" s="239"/>
      <c r="Z70" s="239"/>
      <c r="AA70" s="239"/>
      <c r="AB70" s="239"/>
      <c r="AC70" s="239"/>
      <c r="AD70" s="239"/>
      <c r="AE70" s="239"/>
      <c r="AF70" s="239"/>
      <c r="AG70" s="239"/>
      <c r="AH70" s="239"/>
      <c r="AI70" s="239"/>
      <c r="AJ70" s="239"/>
    </row>
    <row r="71">
      <c r="A71" s="239"/>
      <c r="B71" s="239"/>
      <c r="C71" s="239"/>
      <c r="D71" s="239"/>
      <c r="E71" s="239"/>
      <c r="F71" s="283"/>
      <c r="G71" s="239"/>
      <c r="H71" s="239"/>
      <c r="I71" s="239"/>
      <c r="J71" s="239"/>
      <c r="K71" s="239"/>
      <c r="L71" s="239"/>
      <c r="M71" s="239"/>
      <c r="N71" s="239"/>
      <c r="O71" s="239"/>
      <c r="P71" s="246"/>
      <c r="Q71" s="239"/>
      <c r="R71" s="239"/>
      <c r="S71" s="239"/>
      <c r="T71" s="239"/>
      <c r="U71" s="239"/>
      <c r="V71" s="239"/>
      <c r="W71" s="246"/>
      <c r="X71" s="239"/>
      <c r="Y71" s="239"/>
      <c r="Z71" s="239"/>
      <c r="AA71" s="239"/>
      <c r="AB71" s="239"/>
      <c r="AC71" s="239"/>
      <c r="AD71" s="239"/>
      <c r="AE71" s="239"/>
      <c r="AF71" s="239"/>
      <c r="AG71" s="239"/>
      <c r="AH71" s="239"/>
      <c r="AI71" s="239"/>
      <c r="AJ71" s="239"/>
    </row>
    <row r="72">
      <c r="A72" s="239"/>
      <c r="B72" s="239"/>
      <c r="C72" s="239"/>
      <c r="D72" s="239"/>
      <c r="E72" s="239"/>
      <c r="F72" s="283"/>
      <c r="G72" s="239"/>
      <c r="H72" s="239"/>
      <c r="I72" s="239"/>
      <c r="J72" s="239"/>
      <c r="K72" s="239"/>
      <c r="L72" s="239"/>
      <c r="M72" s="239"/>
      <c r="N72" s="239"/>
      <c r="O72" s="239"/>
      <c r="P72" s="246"/>
      <c r="Q72" s="239"/>
      <c r="R72" s="239"/>
      <c r="S72" s="239"/>
      <c r="T72" s="239"/>
      <c r="U72" s="239"/>
      <c r="V72" s="239"/>
      <c r="W72" s="246"/>
      <c r="X72" s="239"/>
      <c r="Y72" s="239"/>
      <c r="Z72" s="239"/>
      <c r="AA72" s="239"/>
      <c r="AB72" s="239"/>
      <c r="AC72" s="239"/>
      <c r="AD72" s="239"/>
      <c r="AE72" s="239"/>
      <c r="AF72" s="239"/>
      <c r="AG72" s="239"/>
      <c r="AH72" s="239"/>
      <c r="AI72" s="239"/>
      <c r="AJ72" s="239"/>
    </row>
    <row r="73">
      <c r="A73" s="239"/>
      <c r="B73" s="239"/>
      <c r="C73" s="239"/>
      <c r="D73" s="239"/>
      <c r="E73" s="239"/>
      <c r="F73" s="283"/>
      <c r="G73" s="239"/>
      <c r="H73" s="239"/>
      <c r="I73" s="239"/>
      <c r="J73" s="239"/>
      <c r="K73" s="239"/>
      <c r="L73" s="239"/>
      <c r="M73" s="239"/>
      <c r="N73" s="239"/>
      <c r="O73" s="239"/>
      <c r="P73" s="246"/>
      <c r="Q73" s="239"/>
      <c r="R73" s="239"/>
      <c r="S73" s="239"/>
      <c r="T73" s="239"/>
      <c r="U73" s="239"/>
      <c r="V73" s="239"/>
      <c r="W73" s="246"/>
      <c r="X73" s="239"/>
      <c r="Y73" s="239"/>
      <c r="Z73" s="239"/>
      <c r="AA73" s="239"/>
      <c r="AB73" s="239"/>
      <c r="AC73" s="239"/>
      <c r="AD73" s="239"/>
      <c r="AE73" s="239"/>
      <c r="AF73" s="239"/>
      <c r="AG73" s="239"/>
      <c r="AH73" s="239"/>
      <c r="AI73" s="239"/>
      <c r="AJ73" s="239"/>
    </row>
    <row r="74">
      <c r="A74" s="239"/>
      <c r="B74" s="239"/>
      <c r="C74" s="239"/>
      <c r="D74" s="239"/>
      <c r="E74" s="239"/>
      <c r="F74" s="283"/>
      <c r="G74" s="239"/>
      <c r="H74" s="239"/>
      <c r="I74" s="239"/>
      <c r="J74" s="239"/>
      <c r="K74" s="239"/>
      <c r="L74" s="239"/>
      <c r="M74" s="239"/>
      <c r="N74" s="239"/>
      <c r="O74" s="239"/>
      <c r="P74" s="246"/>
      <c r="Q74" s="239"/>
      <c r="R74" s="239"/>
      <c r="S74" s="239"/>
      <c r="T74" s="239"/>
      <c r="U74" s="239"/>
      <c r="V74" s="239"/>
      <c r="W74" s="246"/>
      <c r="X74" s="239"/>
      <c r="Y74" s="239"/>
      <c r="Z74" s="239"/>
      <c r="AA74" s="239"/>
      <c r="AB74" s="239"/>
      <c r="AC74" s="239"/>
      <c r="AD74" s="239"/>
      <c r="AE74" s="239"/>
      <c r="AF74" s="239"/>
      <c r="AG74" s="239"/>
      <c r="AH74" s="239"/>
      <c r="AI74" s="239"/>
      <c r="AJ74" s="239"/>
    </row>
    <row r="75">
      <c r="A75" s="239"/>
      <c r="B75" s="239"/>
      <c r="C75" s="239"/>
      <c r="D75" s="239"/>
      <c r="E75" s="239"/>
      <c r="F75" s="283"/>
      <c r="G75" s="239"/>
      <c r="H75" s="239"/>
      <c r="I75" s="239"/>
      <c r="J75" s="239"/>
      <c r="K75" s="239"/>
      <c r="L75" s="239"/>
      <c r="M75" s="239"/>
      <c r="N75" s="239"/>
      <c r="O75" s="239"/>
      <c r="P75" s="246"/>
      <c r="Q75" s="239"/>
      <c r="R75" s="239"/>
      <c r="S75" s="239"/>
      <c r="T75" s="239"/>
      <c r="U75" s="239"/>
      <c r="V75" s="239"/>
      <c r="W75" s="246"/>
      <c r="X75" s="239"/>
      <c r="Y75" s="239"/>
      <c r="Z75" s="239"/>
      <c r="AA75" s="239"/>
      <c r="AB75" s="239"/>
      <c r="AC75" s="239"/>
      <c r="AD75" s="239"/>
      <c r="AE75" s="239"/>
      <c r="AF75" s="239"/>
      <c r="AG75" s="239"/>
      <c r="AH75" s="239"/>
      <c r="AI75" s="239"/>
      <c r="AJ75" s="239"/>
    </row>
    <row r="76">
      <c r="A76" s="239"/>
      <c r="B76" s="239"/>
      <c r="C76" s="239"/>
      <c r="D76" s="239"/>
      <c r="E76" s="239"/>
      <c r="F76" s="283"/>
      <c r="G76" s="239"/>
      <c r="H76" s="239"/>
      <c r="I76" s="239"/>
      <c r="J76" s="239"/>
      <c r="K76" s="239"/>
      <c r="L76" s="239"/>
      <c r="M76" s="239"/>
      <c r="N76" s="239"/>
      <c r="O76" s="239"/>
      <c r="P76" s="246"/>
      <c r="Q76" s="239"/>
      <c r="R76" s="239"/>
      <c r="S76" s="239"/>
      <c r="T76" s="239"/>
      <c r="U76" s="239"/>
      <c r="V76" s="239"/>
      <c r="W76" s="246"/>
      <c r="X76" s="239"/>
      <c r="Y76" s="239"/>
      <c r="Z76" s="239"/>
      <c r="AA76" s="239"/>
      <c r="AB76" s="239"/>
      <c r="AC76" s="239"/>
      <c r="AD76" s="239"/>
      <c r="AE76" s="239"/>
      <c r="AF76" s="239"/>
      <c r="AG76" s="239"/>
      <c r="AH76" s="239"/>
      <c r="AI76" s="239"/>
      <c r="AJ76" s="239"/>
    </row>
    <row r="77">
      <c r="A77" s="239"/>
      <c r="B77" s="239"/>
      <c r="C77" s="239"/>
      <c r="D77" s="239"/>
      <c r="E77" s="239"/>
      <c r="F77" s="283"/>
      <c r="G77" s="239"/>
      <c r="H77" s="239"/>
      <c r="I77" s="239"/>
      <c r="J77" s="239"/>
      <c r="K77" s="239"/>
      <c r="L77" s="239"/>
      <c r="M77" s="239"/>
      <c r="N77" s="239"/>
      <c r="O77" s="239"/>
      <c r="P77" s="246"/>
      <c r="Q77" s="239"/>
      <c r="R77" s="239"/>
      <c r="S77" s="239"/>
      <c r="T77" s="239"/>
      <c r="U77" s="239"/>
      <c r="V77" s="239"/>
      <c r="W77" s="246"/>
      <c r="X77" s="239"/>
      <c r="Y77" s="239"/>
      <c r="Z77" s="239"/>
      <c r="AA77" s="239"/>
      <c r="AB77" s="239"/>
      <c r="AC77" s="239"/>
      <c r="AD77" s="239"/>
      <c r="AE77" s="239"/>
      <c r="AF77" s="239"/>
      <c r="AG77" s="239"/>
      <c r="AH77" s="239"/>
      <c r="AI77" s="239"/>
      <c r="AJ77" s="239"/>
    </row>
    <row r="78">
      <c r="A78" s="239"/>
      <c r="B78" s="239"/>
      <c r="C78" s="239"/>
      <c r="D78" s="239"/>
      <c r="E78" s="239"/>
      <c r="F78" s="283"/>
      <c r="G78" s="239"/>
      <c r="H78" s="239"/>
      <c r="I78" s="239"/>
      <c r="J78" s="239"/>
      <c r="K78" s="239"/>
      <c r="L78" s="239"/>
      <c r="M78" s="239"/>
      <c r="N78" s="239"/>
      <c r="O78" s="239"/>
      <c r="P78" s="246"/>
      <c r="Q78" s="239"/>
      <c r="R78" s="239"/>
      <c r="S78" s="239"/>
      <c r="T78" s="239"/>
      <c r="U78" s="239"/>
      <c r="V78" s="239"/>
      <c r="W78" s="246"/>
      <c r="X78" s="239"/>
      <c r="Y78" s="239"/>
      <c r="Z78" s="239"/>
      <c r="AA78" s="239"/>
      <c r="AB78" s="239"/>
      <c r="AC78" s="239"/>
      <c r="AD78" s="239"/>
      <c r="AE78" s="239"/>
      <c r="AF78" s="239"/>
      <c r="AG78" s="239"/>
      <c r="AH78" s="239"/>
      <c r="AI78" s="239"/>
      <c r="AJ78" s="239"/>
    </row>
    <row r="79">
      <c r="A79" s="239"/>
      <c r="B79" s="239"/>
      <c r="C79" s="239"/>
      <c r="D79" s="239"/>
      <c r="E79" s="239"/>
      <c r="F79" s="283"/>
      <c r="G79" s="239"/>
      <c r="H79" s="239"/>
      <c r="I79" s="239"/>
      <c r="J79" s="239"/>
      <c r="K79" s="239"/>
      <c r="L79" s="239"/>
      <c r="M79" s="239"/>
      <c r="N79" s="239"/>
      <c r="O79" s="239"/>
      <c r="P79" s="246"/>
      <c r="Q79" s="239"/>
      <c r="R79" s="239"/>
      <c r="S79" s="239"/>
      <c r="T79" s="239"/>
      <c r="U79" s="239"/>
      <c r="V79" s="239"/>
      <c r="W79" s="246"/>
      <c r="X79" s="239"/>
      <c r="Y79" s="239"/>
      <c r="Z79" s="239"/>
      <c r="AA79" s="239"/>
      <c r="AB79" s="239"/>
      <c r="AC79" s="239"/>
      <c r="AD79" s="239"/>
      <c r="AE79" s="239"/>
      <c r="AF79" s="239"/>
      <c r="AG79" s="239"/>
      <c r="AH79" s="239"/>
      <c r="AI79" s="239"/>
      <c r="AJ79" s="239"/>
    </row>
    <row r="80">
      <c r="A80" s="239"/>
      <c r="B80" s="239"/>
      <c r="C80" s="239"/>
      <c r="D80" s="239"/>
      <c r="E80" s="239"/>
      <c r="F80" s="283"/>
      <c r="G80" s="239"/>
      <c r="H80" s="239"/>
      <c r="I80" s="239"/>
      <c r="J80" s="239"/>
      <c r="K80" s="239"/>
      <c r="L80" s="239"/>
      <c r="M80" s="239"/>
      <c r="N80" s="239"/>
      <c r="O80" s="239"/>
      <c r="P80" s="246"/>
      <c r="Q80" s="239"/>
      <c r="R80" s="239"/>
      <c r="S80" s="239"/>
      <c r="T80" s="239"/>
      <c r="U80" s="239"/>
      <c r="V80" s="239"/>
      <c r="W80" s="246"/>
      <c r="X80" s="239"/>
      <c r="Y80" s="239"/>
      <c r="Z80" s="239"/>
      <c r="AA80" s="239"/>
      <c r="AB80" s="239"/>
      <c r="AC80" s="239"/>
      <c r="AD80" s="239"/>
      <c r="AE80" s="239"/>
      <c r="AF80" s="239"/>
      <c r="AG80" s="239"/>
      <c r="AH80" s="239"/>
      <c r="AI80" s="239"/>
      <c r="AJ80" s="239"/>
    </row>
    <row r="81">
      <c r="A81" s="239"/>
      <c r="B81" s="239"/>
      <c r="C81" s="239"/>
      <c r="D81" s="239"/>
      <c r="E81" s="239"/>
      <c r="F81" s="283"/>
      <c r="G81" s="239"/>
      <c r="H81" s="239"/>
      <c r="I81" s="239"/>
      <c r="J81" s="239"/>
      <c r="K81" s="239"/>
      <c r="L81" s="239"/>
      <c r="M81" s="239"/>
      <c r="N81" s="239"/>
      <c r="O81" s="239"/>
      <c r="P81" s="246"/>
      <c r="Q81" s="239"/>
      <c r="R81" s="239"/>
      <c r="S81" s="239"/>
      <c r="T81" s="239"/>
      <c r="U81" s="239"/>
      <c r="V81" s="239"/>
      <c r="W81" s="246"/>
      <c r="X81" s="239"/>
      <c r="Y81" s="239"/>
      <c r="Z81" s="239"/>
      <c r="AA81" s="239"/>
      <c r="AB81" s="239"/>
      <c r="AC81" s="239"/>
      <c r="AD81" s="239"/>
      <c r="AE81" s="239"/>
      <c r="AF81" s="239"/>
      <c r="AG81" s="239"/>
      <c r="AH81" s="239"/>
      <c r="AI81" s="239"/>
      <c r="AJ81" s="239"/>
    </row>
    <row r="82">
      <c r="A82" s="239"/>
      <c r="B82" s="239"/>
      <c r="C82" s="239"/>
      <c r="D82" s="239"/>
      <c r="E82" s="239"/>
      <c r="F82" s="283"/>
      <c r="G82" s="239"/>
      <c r="H82" s="239"/>
      <c r="I82" s="239"/>
      <c r="J82" s="239"/>
      <c r="K82" s="239"/>
      <c r="L82" s="239"/>
      <c r="M82" s="239"/>
      <c r="N82" s="239"/>
      <c r="O82" s="239"/>
      <c r="P82" s="246"/>
      <c r="Q82" s="239"/>
      <c r="R82" s="239"/>
      <c r="S82" s="239"/>
      <c r="T82" s="239"/>
      <c r="U82" s="239"/>
      <c r="V82" s="239"/>
      <c r="W82" s="246"/>
      <c r="X82" s="239"/>
      <c r="Y82" s="239"/>
      <c r="Z82" s="239"/>
      <c r="AA82" s="239"/>
      <c r="AB82" s="239"/>
      <c r="AC82" s="239"/>
      <c r="AD82" s="239"/>
      <c r="AE82" s="239"/>
      <c r="AF82" s="239"/>
      <c r="AG82" s="239"/>
      <c r="AH82" s="239"/>
      <c r="AI82" s="239"/>
      <c r="AJ82" s="239"/>
    </row>
    <row r="83">
      <c r="A83" s="239"/>
      <c r="B83" s="239"/>
      <c r="C83" s="239"/>
      <c r="D83" s="239"/>
      <c r="E83" s="239"/>
      <c r="F83" s="283"/>
      <c r="G83" s="239"/>
      <c r="H83" s="239"/>
      <c r="I83" s="239"/>
      <c r="J83" s="239"/>
      <c r="K83" s="239"/>
      <c r="L83" s="239"/>
      <c r="M83" s="239"/>
      <c r="N83" s="239"/>
      <c r="O83" s="239"/>
      <c r="P83" s="246"/>
      <c r="Q83" s="239"/>
      <c r="R83" s="239"/>
      <c r="S83" s="239"/>
      <c r="T83" s="239"/>
      <c r="U83" s="239"/>
      <c r="V83" s="239"/>
      <c r="W83" s="246"/>
      <c r="X83" s="239"/>
      <c r="Y83" s="239"/>
      <c r="Z83" s="239"/>
      <c r="AA83" s="239"/>
      <c r="AB83" s="239"/>
      <c r="AC83" s="239"/>
      <c r="AD83" s="239"/>
      <c r="AE83" s="239"/>
      <c r="AF83" s="239"/>
      <c r="AG83" s="239"/>
      <c r="AH83" s="239"/>
      <c r="AI83" s="239"/>
      <c r="AJ83" s="239"/>
    </row>
    <row r="84">
      <c r="A84" s="239"/>
      <c r="B84" s="239"/>
      <c r="C84" s="239"/>
      <c r="D84" s="239"/>
      <c r="E84" s="239"/>
      <c r="F84" s="283"/>
      <c r="G84" s="239"/>
      <c r="H84" s="239"/>
      <c r="I84" s="239"/>
      <c r="J84" s="239"/>
      <c r="K84" s="239"/>
      <c r="L84" s="239"/>
      <c r="M84" s="239"/>
      <c r="N84" s="239"/>
      <c r="O84" s="239"/>
      <c r="P84" s="246"/>
      <c r="Q84" s="239"/>
      <c r="R84" s="239"/>
      <c r="S84" s="239"/>
      <c r="T84" s="239"/>
      <c r="U84" s="239"/>
      <c r="V84" s="239"/>
      <c r="W84" s="246"/>
      <c r="X84" s="239"/>
      <c r="Y84" s="239"/>
      <c r="Z84" s="239"/>
      <c r="AA84" s="239"/>
      <c r="AB84" s="239"/>
      <c r="AC84" s="239"/>
      <c r="AD84" s="239"/>
      <c r="AE84" s="239"/>
      <c r="AF84" s="239"/>
      <c r="AG84" s="239"/>
      <c r="AH84" s="239"/>
      <c r="AI84" s="239"/>
      <c r="AJ84" s="239"/>
    </row>
    <row r="85">
      <c r="A85" s="239"/>
      <c r="B85" s="239"/>
      <c r="C85" s="239"/>
      <c r="D85" s="239"/>
      <c r="E85" s="239"/>
      <c r="F85" s="283"/>
      <c r="G85" s="239"/>
      <c r="H85" s="239"/>
      <c r="I85" s="239"/>
      <c r="J85" s="239"/>
      <c r="K85" s="239"/>
      <c r="L85" s="239"/>
      <c r="M85" s="239"/>
      <c r="N85" s="239"/>
      <c r="O85" s="239"/>
      <c r="P85" s="246"/>
      <c r="Q85" s="239"/>
      <c r="R85" s="239"/>
      <c r="S85" s="239"/>
      <c r="T85" s="239"/>
      <c r="U85" s="239"/>
      <c r="V85" s="239"/>
      <c r="W85" s="246"/>
      <c r="X85" s="239"/>
      <c r="Y85" s="239"/>
      <c r="Z85" s="239"/>
      <c r="AA85" s="239"/>
      <c r="AB85" s="239"/>
      <c r="AC85" s="239"/>
      <c r="AD85" s="239"/>
      <c r="AE85" s="239"/>
      <c r="AF85" s="239"/>
      <c r="AG85" s="239"/>
      <c r="AH85" s="239"/>
      <c r="AI85" s="239"/>
      <c r="AJ85" s="239"/>
    </row>
    <row r="86">
      <c r="A86" s="239"/>
      <c r="B86" s="239"/>
      <c r="C86" s="239"/>
      <c r="D86" s="239"/>
      <c r="E86" s="239"/>
      <c r="F86" s="283"/>
      <c r="G86" s="239"/>
      <c r="H86" s="239"/>
      <c r="I86" s="239"/>
      <c r="J86" s="239"/>
      <c r="K86" s="239"/>
      <c r="L86" s="239"/>
      <c r="M86" s="239"/>
      <c r="N86" s="239"/>
      <c r="O86" s="239"/>
      <c r="P86" s="246"/>
      <c r="Q86" s="239"/>
      <c r="R86" s="239"/>
      <c r="S86" s="239"/>
      <c r="T86" s="239"/>
      <c r="U86" s="239"/>
      <c r="V86" s="239"/>
      <c r="W86" s="246"/>
      <c r="X86" s="239"/>
      <c r="Y86" s="239"/>
      <c r="Z86" s="239"/>
      <c r="AA86" s="239"/>
      <c r="AB86" s="239"/>
      <c r="AC86" s="239"/>
      <c r="AD86" s="239"/>
      <c r="AE86" s="239"/>
      <c r="AF86" s="239"/>
      <c r="AG86" s="239"/>
      <c r="AH86" s="239"/>
      <c r="AI86" s="239"/>
      <c r="AJ86" s="239"/>
    </row>
    <row r="87">
      <c r="A87" s="239"/>
      <c r="B87" s="239"/>
      <c r="C87" s="239"/>
      <c r="D87" s="239"/>
      <c r="E87" s="239"/>
      <c r="F87" s="283"/>
      <c r="G87" s="239"/>
      <c r="H87" s="239"/>
      <c r="I87" s="239"/>
      <c r="J87" s="239"/>
      <c r="K87" s="239"/>
      <c r="L87" s="239"/>
      <c r="M87" s="239"/>
      <c r="N87" s="239"/>
      <c r="O87" s="239"/>
      <c r="P87" s="246"/>
      <c r="Q87" s="239"/>
      <c r="R87" s="239"/>
      <c r="S87" s="239"/>
      <c r="T87" s="239"/>
      <c r="U87" s="239"/>
      <c r="V87" s="239"/>
      <c r="W87" s="246"/>
      <c r="X87" s="239"/>
      <c r="Y87" s="239"/>
      <c r="Z87" s="239"/>
      <c r="AA87" s="239"/>
      <c r="AB87" s="239"/>
      <c r="AC87" s="239"/>
      <c r="AD87" s="239"/>
      <c r="AE87" s="239"/>
      <c r="AF87" s="239"/>
      <c r="AG87" s="239"/>
      <c r="AH87" s="239"/>
      <c r="AI87" s="239"/>
      <c r="AJ87" s="239"/>
    </row>
    <row r="88">
      <c r="A88" s="239"/>
      <c r="B88" s="239"/>
      <c r="C88" s="239"/>
      <c r="D88" s="239"/>
      <c r="E88" s="239"/>
      <c r="F88" s="283"/>
      <c r="G88" s="239"/>
      <c r="H88" s="239"/>
      <c r="I88" s="239"/>
      <c r="J88" s="239"/>
      <c r="K88" s="239"/>
      <c r="L88" s="239"/>
      <c r="M88" s="239"/>
      <c r="N88" s="239"/>
      <c r="O88" s="239"/>
      <c r="P88" s="246"/>
      <c r="Q88" s="239"/>
      <c r="R88" s="239"/>
      <c r="S88" s="239"/>
      <c r="T88" s="239"/>
      <c r="U88" s="239"/>
      <c r="V88" s="239"/>
      <c r="W88" s="246"/>
      <c r="X88" s="239"/>
      <c r="Y88" s="239"/>
      <c r="Z88" s="239"/>
      <c r="AA88" s="239"/>
      <c r="AB88" s="239"/>
      <c r="AC88" s="239"/>
      <c r="AD88" s="239"/>
      <c r="AE88" s="239"/>
      <c r="AF88" s="239"/>
      <c r="AG88" s="239"/>
      <c r="AH88" s="239"/>
      <c r="AI88" s="239"/>
      <c r="AJ88" s="239"/>
    </row>
    <row r="89">
      <c r="A89" s="239"/>
      <c r="B89" s="239"/>
      <c r="C89" s="239"/>
      <c r="D89" s="239"/>
      <c r="E89" s="239"/>
      <c r="F89" s="283"/>
      <c r="G89" s="239"/>
      <c r="H89" s="239"/>
      <c r="I89" s="239"/>
      <c r="J89" s="239"/>
      <c r="K89" s="239"/>
      <c r="L89" s="239"/>
      <c r="M89" s="239"/>
      <c r="N89" s="239"/>
      <c r="O89" s="239"/>
      <c r="P89" s="246"/>
      <c r="Q89" s="239"/>
      <c r="R89" s="239"/>
      <c r="S89" s="239"/>
      <c r="T89" s="239"/>
      <c r="U89" s="239"/>
      <c r="V89" s="239"/>
      <c r="W89" s="246"/>
      <c r="X89" s="239"/>
      <c r="Y89" s="239"/>
      <c r="Z89" s="239"/>
      <c r="AA89" s="239"/>
      <c r="AB89" s="239"/>
      <c r="AC89" s="239"/>
      <c r="AD89" s="239"/>
      <c r="AE89" s="239"/>
      <c r="AF89" s="239"/>
      <c r="AG89" s="239"/>
      <c r="AH89" s="239"/>
      <c r="AI89" s="239"/>
      <c r="AJ89" s="239"/>
    </row>
    <row r="90">
      <c r="A90" s="239"/>
      <c r="B90" s="239"/>
      <c r="C90" s="239"/>
      <c r="D90" s="239"/>
      <c r="E90" s="239"/>
      <c r="F90" s="283"/>
      <c r="G90" s="239"/>
      <c r="H90" s="239"/>
      <c r="I90" s="239"/>
      <c r="J90" s="239"/>
      <c r="K90" s="239"/>
      <c r="L90" s="239"/>
      <c r="M90" s="239"/>
      <c r="N90" s="239"/>
      <c r="O90" s="239"/>
      <c r="P90" s="246"/>
      <c r="Q90" s="239"/>
      <c r="R90" s="239"/>
      <c r="S90" s="239"/>
      <c r="T90" s="239"/>
      <c r="U90" s="239"/>
      <c r="V90" s="239"/>
      <c r="W90" s="246"/>
      <c r="X90" s="239"/>
      <c r="Y90" s="239"/>
      <c r="Z90" s="239"/>
      <c r="AA90" s="239"/>
      <c r="AB90" s="239"/>
      <c r="AC90" s="239"/>
      <c r="AD90" s="239"/>
      <c r="AE90" s="239"/>
      <c r="AF90" s="239"/>
      <c r="AG90" s="239"/>
      <c r="AH90" s="239"/>
      <c r="AI90" s="239"/>
      <c r="AJ90" s="239"/>
    </row>
    <row r="91">
      <c r="A91" s="239"/>
      <c r="B91" s="239"/>
      <c r="C91" s="239"/>
      <c r="D91" s="239"/>
      <c r="E91" s="239"/>
      <c r="F91" s="283"/>
      <c r="G91" s="239"/>
      <c r="H91" s="239"/>
      <c r="I91" s="239"/>
      <c r="J91" s="239"/>
      <c r="K91" s="239"/>
      <c r="L91" s="239"/>
      <c r="M91" s="239"/>
      <c r="N91" s="239"/>
      <c r="O91" s="239"/>
      <c r="P91" s="246"/>
      <c r="Q91" s="239"/>
      <c r="R91" s="239"/>
      <c r="S91" s="239"/>
      <c r="T91" s="239"/>
      <c r="U91" s="239"/>
      <c r="V91" s="239"/>
      <c r="W91" s="246"/>
      <c r="X91" s="239"/>
      <c r="Y91" s="239"/>
      <c r="Z91" s="239"/>
      <c r="AA91" s="239"/>
      <c r="AB91" s="239"/>
      <c r="AC91" s="239"/>
      <c r="AD91" s="239"/>
      <c r="AE91" s="239"/>
      <c r="AF91" s="239"/>
      <c r="AG91" s="239"/>
      <c r="AH91" s="239"/>
      <c r="AI91" s="239"/>
      <c r="AJ91" s="239"/>
    </row>
    <row r="92">
      <c r="A92" s="239"/>
      <c r="B92" s="239"/>
      <c r="C92" s="239"/>
      <c r="D92" s="239"/>
      <c r="E92" s="239"/>
      <c r="F92" s="283"/>
      <c r="G92" s="239"/>
      <c r="H92" s="239"/>
      <c r="I92" s="239"/>
      <c r="J92" s="239"/>
      <c r="K92" s="239"/>
      <c r="L92" s="239"/>
      <c r="M92" s="239"/>
      <c r="N92" s="239"/>
      <c r="O92" s="239"/>
      <c r="P92" s="246"/>
      <c r="Q92" s="239"/>
      <c r="R92" s="239"/>
      <c r="S92" s="239"/>
      <c r="T92" s="239"/>
      <c r="U92" s="239"/>
      <c r="V92" s="239"/>
      <c r="W92" s="246"/>
      <c r="X92" s="239"/>
      <c r="Y92" s="239"/>
      <c r="Z92" s="239"/>
      <c r="AA92" s="239"/>
      <c r="AB92" s="239"/>
      <c r="AC92" s="239"/>
      <c r="AD92" s="239"/>
      <c r="AE92" s="239"/>
      <c r="AF92" s="239"/>
      <c r="AG92" s="239"/>
      <c r="AH92" s="239"/>
      <c r="AI92" s="239"/>
      <c r="AJ92" s="239"/>
    </row>
    <row r="93">
      <c r="A93" s="239"/>
      <c r="B93" s="239"/>
      <c r="C93" s="239"/>
      <c r="D93" s="239"/>
      <c r="E93" s="239"/>
      <c r="F93" s="283"/>
      <c r="G93" s="239"/>
      <c r="H93" s="239"/>
      <c r="I93" s="239"/>
      <c r="J93" s="239"/>
      <c r="K93" s="239"/>
      <c r="L93" s="239"/>
      <c r="M93" s="239"/>
      <c r="N93" s="239"/>
      <c r="O93" s="239"/>
      <c r="P93" s="246"/>
      <c r="Q93" s="239"/>
      <c r="R93" s="239"/>
      <c r="S93" s="239"/>
      <c r="T93" s="239"/>
      <c r="U93" s="239"/>
      <c r="V93" s="239"/>
      <c r="W93" s="246"/>
      <c r="X93" s="239"/>
      <c r="Y93" s="239"/>
      <c r="Z93" s="239"/>
      <c r="AA93" s="239"/>
      <c r="AB93" s="239"/>
      <c r="AC93" s="239"/>
      <c r="AD93" s="239"/>
      <c r="AE93" s="239"/>
      <c r="AF93" s="239"/>
      <c r="AG93" s="239"/>
      <c r="AH93" s="239"/>
      <c r="AI93" s="239"/>
      <c r="AJ93" s="239"/>
    </row>
    <row r="94">
      <c r="A94" s="239"/>
      <c r="B94" s="239"/>
      <c r="C94" s="239"/>
      <c r="D94" s="239"/>
      <c r="E94" s="239"/>
      <c r="F94" s="283"/>
      <c r="G94" s="239"/>
      <c r="H94" s="239"/>
      <c r="I94" s="239"/>
      <c r="J94" s="239"/>
      <c r="K94" s="239"/>
      <c r="L94" s="239"/>
      <c r="M94" s="239"/>
      <c r="N94" s="239"/>
      <c r="O94" s="239"/>
      <c r="P94" s="246"/>
      <c r="Q94" s="239"/>
      <c r="R94" s="239"/>
      <c r="S94" s="239"/>
      <c r="T94" s="239"/>
      <c r="U94" s="239"/>
      <c r="V94" s="239"/>
      <c r="W94" s="246"/>
      <c r="X94" s="239"/>
      <c r="Y94" s="239"/>
      <c r="Z94" s="239"/>
      <c r="AA94" s="239"/>
      <c r="AB94" s="239"/>
      <c r="AC94" s="239"/>
      <c r="AD94" s="239"/>
      <c r="AE94" s="239"/>
      <c r="AF94" s="239"/>
      <c r="AG94" s="239"/>
      <c r="AH94" s="239"/>
      <c r="AI94" s="239"/>
      <c r="AJ94" s="239"/>
    </row>
    <row r="95">
      <c r="A95" s="239"/>
      <c r="B95" s="239"/>
      <c r="C95" s="239"/>
      <c r="D95" s="239"/>
      <c r="E95" s="239"/>
      <c r="F95" s="283"/>
      <c r="G95" s="239"/>
      <c r="H95" s="239"/>
      <c r="I95" s="239"/>
      <c r="J95" s="239"/>
      <c r="K95" s="239"/>
      <c r="L95" s="239"/>
      <c r="M95" s="239"/>
      <c r="N95" s="239"/>
      <c r="O95" s="239"/>
      <c r="P95" s="246"/>
      <c r="Q95" s="239"/>
      <c r="R95" s="239"/>
      <c r="S95" s="239"/>
      <c r="T95" s="239"/>
      <c r="U95" s="239"/>
      <c r="V95" s="239"/>
      <c r="W95" s="246"/>
      <c r="X95" s="239"/>
      <c r="Y95" s="239"/>
      <c r="Z95" s="239"/>
      <c r="AA95" s="239"/>
      <c r="AB95" s="239"/>
      <c r="AC95" s="239"/>
      <c r="AD95" s="239"/>
      <c r="AE95" s="239"/>
      <c r="AF95" s="239"/>
      <c r="AG95" s="239"/>
      <c r="AH95" s="239"/>
      <c r="AI95" s="239"/>
      <c r="AJ95" s="239"/>
    </row>
    <row r="96">
      <c r="A96" s="239"/>
      <c r="B96" s="239"/>
      <c r="C96" s="239"/>
      <c r="D96" s="239"/>
      <c r="E96" s="239"/>
      <c r="F96" s="283"/>
      <c r="G96" s="239"/>
      <c r="H96" s="239"/>
      <c r="I96" s="239"/>
      <c r="J96" s="239"/>
      <c r="K96" s="239"/>
      <c r="L96" s="239"/>
      <c r="M96" s="239"/>
      <c r="N96" s="239"/>
      <c r="O96" s="239"/>
      <c r="P96" s="246"/>
      <c r="Q96" s="239"/>
      <c r="R96" s="239"/>
      <c r="S96" s="239"/>
      <c r="T96" s="239"/>
      <c r="U96" s="239"/>
      <c r="V96" s="239"/>
      <c r="W96" s="246"/>
      <c r="X96" s="239"/>
      <c r="Y96" s="239"/>
      <c r="Z96" s="239"/>
      <c r="AA96" s="239"/>
      <c r="AB96" s="239"/>
      <c r="AC96" s="239"/>
      <c r="AD96" s="239"/>
      <c r="AE96" s="239"/>
      <c r="AF96" s="239"/>
      <c r="AG96" s="239"/>
      <c r="AH96" s="239"/>
      <c r="AI96" s="239"/>
      <c r="AJ96" s="239"/>
    </row>
    <row r="97">
      <c r="A97" s="239"/>
      <c r="B97" s="239"/>
      <c r="C97" s="239"/>
      <c r="D97" s="239"/>
      <c r="E97" s="239"/>
      <c r="F97" s="283"/>
      <c r="G97" s="239"/>
      <c r="H97" s="239"/>
      <c r="I97" s="239"/>
      <c r="J97" s="239"/>
      <c r="K97" s="239"/>
      <c r="L97" s="239"/>
      <c r="M97" s="239"/>
      <c r="N97" s="239"/>
      <c r="O97" s="239"/>
      <c r="P97" s="246"/>
      <c r="Q97" s="239"/>
      <c r="R97" s="239"/>
      <c r="S97" s="239"/>
      <c r="T97" s="239"/>
      <c r="U97" s="239"/>
      <c r="V97" s="239"/>
      <c r="W97" s="246"/>
      <c r="X97" s="239"/>
      <c r="Y97" s="239"/>
      <c r="Z97" s="239"/>
      <c r="AA97" s="239"/>
      <c r="AB97" s="239"/>
      <c r="AC97" s="239"/>
      <c r="AD97" s="239"/>
      <c r="AE97" s="239"/>
      <c r="AF97" s="239"/>
      <c r="AG97" s="239"/>
      <c r="AH97" s="239"/>
      <c r="AI97" s="239"/>
      <c r="AJ97" s="239"/>
    </row>
    <row r="98">
      <c r="A98" s="239"/>
      <c r="B98" s="239"/>
      <c r="C98" s="239"/>
      <c r="D98" s="239"/>
      <c r="E98" s="239"/>
      <c r="F98" s="283"/>
      <c r="G98" s="239"/>
      <c r="H98" s="239"/>
      <c r="I98" s="239"/>
      <c r="J98" s="239"/>
      <c r="K98" s="239"/>
      <c r="L98" s="239"/>
      <c r="M98" s="239"/>
      <c r="N98" s="239"/>
      <c r="O98" s="239"/>
      <c r="P98" s="246"/>
      <c r="Q98" s="239"/>
      <c r="R98" s="239"/>
      <c r="S98" s="239"/>
      <c r="T98" s="239"/>
      <c r="U98" s="239"/>
      <c r="V98" s="239"/>
      <c r="W98" s="246"/>
      <c r="X98" s="239"/>
      <c r="Y98" s="239"/>
      <c r="Z98" s="239"/>
      <c r="AA98" s="239"/>
      <c r="AB98" s="239"/>
      <c r="AC98" s="239"/>
      <c r="AD98" s="239"/>
      <c r="AE98" s="239"/>
      <c r="AF98" s="239"/>
      <c r="AG98" s="239"/>
      <c r="AH98" s="239"/>
      <c r="AI98" s="239"/>
      <c r="AJ98" s="239"/>
    </row>
    <row r="99">
      <c r="A99" s="239"/>
      <c r="B99" s="239"/>
      <c r="C99" s="239"/>
      <c r="D99" s="239"/>
      <c r="E99" s="239"/>
      <c r="F99" s="283"/>
      <c r="G99" s="239"/>
      <c r="H99" s="239"/>
      <c r="I99" s="239"/>
      <c r="J99" s="239"/>
      <c r="K99" s="239"/>
      <c r="L99" s="239"/>
      <c r="M99" s="239"/>
      <c r="N99" s="239"/>
      <c r="O99" s="239"/>
      <c r="P99" s="246"/>
      <c r="Q99" s="239"/>
      <c r="R99" s="239"/>
      <c r="S99" s="239"/>
      <c r="T99" s="239"/>
      <c r="U99" s="239"/>
      <c r="V99" s="239"/>
      <c r="W99" s="246"/>
      <c r="X99" s="239"/>
      <c r="Y99" s="239"/>
      <c r="Z99" s="239"/>
      <c r="AA99" s="239"/>
      <c r="AB99" s="239"/>
      <c r="AC99" s="239"/>
      <c r="AD99" s="239"/>
      <c r="AE99" s="239"/>
      <c r="AF99" s="239"/>
      <c r="AG99" s="239"/>
      <c r="AH99" s="239"/>
      <c r="AI99" s="239"/>
      <c r="AJ99" s="239"/>
    </row>
    <row r="100">
      <c r="A100" s="239"/>
      <c r="B100" s="239"/>
      <c r="C100" s="239"/>
      <c r="D100" s="239"/>
      <c r="E100" s="239"/>
      <c r="F100" s="283"/>
      <c r="G100" s="239"/>
      <c r="H100" s="239"/>
      <c r="I100" s="239"/>
      <c r="J100" s="239"/>
      <c r="K100" s="239"/>
      <c r="L100" s="239"/>
      <c r="M100" s="239"/>
      <c r="N100" s="239"/>
      <c r="O100" s="239"/>
      <c r="P100" s="246"/>
      <c r="Q100" s="239"/>
      <c r="R100" s="239"/>
      <c r="S100" s="239"/>
      <c r="T100" s="239"/>
      <c r="U100" s="239"/>
      <c r="V100" s="239"/>
      <c r="W100" s="246"/>
      <c r="X100" s="239"/>
      <c r="Y100" s="239"/>
      <c r="Z100" s="239"/>
      <c r="AA100" s="239"/>
      <c r="AB100" s="239"/>
      <c r="AC100" s="239"/>
      <c r="AD100" s="239"/>
      <c r="AE100" s="239"/>
      <c r="AF100" s="239"/>
      <c r="AG100" s="239"/>
      <c r="AH100" s="239"/>
      <c r="AI100" s="239"/>
      <c r="AJ100" s="239"/>
    </row>
    <row r="101">
      <c r="A101" s="239"/>
      <c r="B101" s="239"/>
      <c r="C101" s="239"/>
      <c r="D101" s="239"/>
      <c r="E101" s="239"/>
      <c r="F101" s="283"/>
      <c r="G101" s="239"/>
      <c r="H101" s="239"/>
      <c r="I101" s="239"/>
      <c r="J101" s="239"/>
      <c r="K101" s="239"/>
      <c r="L101" s="239"/>
      <c r="M101" s="239"/>
      <c r="N101" s="239"/>
      <c r="O101" s="239"/>
      <c r="P101" s="246"/>
      <c r="Q101" s="239"/>
      <c r="R101" s="239"/>
      <c r="S101" s="239"/>
      <c r="T101" s="239"/>
      <c r="U101" s="239"/>
      <c r="V101" s="239"/>
      <c r="W101" s="246"/>
      <c r="X101" s="239"/>
      <c r="Y101" s="239"/>
      <c r="Z101" s="239"/>
      <c r="AA101" s="239"/>
      <c r="AB101" s="239"/>
      <c r="AC101" s="239"/>
      <c r="AD101" s="239"/>
      <c r="AE101" s="239"/>
      <c r="AF101" s="239"/>
      <c r="AG101" s="239"/>
      <c r="AH101" s="239"/>
      <c r="AI101" s="239"/>
      <c r="AJ101" s="239"/>
    </row>
    <row r="102">
      <c r="A102" s="239"/>
      <c r="B102" s="239"/>
      <c r="C102" s="239"/>
      <c r="D102" s="239"/>
      <c r="E102" s="239"/>
      <c r="F102" s="283"/>
      <c r="G102" s="239"/>
      <c r="H102" s="239"/>
      <c r="I102" s="239"/>
      <c r="J102" s="239"/>
      <c r="K102" s="239"/>
      <c r="L102" s="239"/>
      <c r="M102" s="239"/>
      <c r="N102" s="239"/>
      <c r="O102" s="239"/>
      <c r="P102" s="246"/>
      <c r="Q102" s="239"/>
      <c r="R102" s="239"/>
      <c r="S102" s="239"/>
      <c r="T102" s="239"/>
      <c r="U102" s="239"/>
      <c r="V102" s="239"/>
      <c r="W102" s="246"/>
      <c r="X102" s="239"/>
      <c r="Y102" s="239"/>
      <c r="Z102" s="239"/>
      <c r="AA102" s="239"/>
      <c r="AB102" s="239"/>
      <c r="AC102" s="239"/>
      <c r="AD102" s="239"/>
      <c r="AE102" s="239"/>
      <c r="AF102" s="239"/>
      <c r="AG102" s="239"/>
      <c r="AH102" s="239"/>
      <c r="AI102" s="239"/>
      <c r="AJ102" s="239"/>
    </row>
    <row r="103">
      <c r="A103" s="239"/>
      <c r="B103" s="239"/>
      <c r="C103" s="239"/>
      <c r="D103" s="239"/>
      <c r="E103" s="239"/>
      <c r="F103" s="283"/>
      <c r="G103" s="239"/>
      <c r="H103" s="239"/>
      <c r="I103" s="239"/>
      <c r="J103" s="239"/>
      <c r="K103" s="239"/>
      <c r="L103" s="239"/>
      <c r="M103" s="239"/>
      <c r="N103" s="239"/>
      <c r="O103" s="239"/>
      <c r="P103" s="246"/>
      <c r="Q103" s="239"/>
      <c r="R103" s="239"/>
      <c r="S103" s="239"/>
      <c r="T103" s="239"/>
      <c r="U103" s="239"/>
      <c r="V103" s="239"/>
      <c r="W103" s="246"/>
      <c r="X103" s="239"/>
      <c r="Y103" s="239"/>
      <c r="Z103" s="239"/>
      <c r="AA103" s="239"/>
      <c r="AB103" s="239"/>
      <c r="AC103" s="239"/>
      <c r="AD103" s="239"/>
      <c r="AE103" s="239"/>
      <c r="AF103" s="239"/>
      <c r="AG103" s="239"/>
      <c r="AH103" s="239"/>
      <c r="AI103" s="239"/>
      <c r="AJ103" s="239"/>
    </row>
    <row r="104">
      <c r="A104" s="239"/>
      <c r="B104" s="239"/>
      <c r="C104" s="239"/>
      <c r="D104" s="239"/>
      <c r="E104" s="239"/>
      <c r="F104" s="283"/>
      <c r="G104" s="239"/>
      <c r="H104" s="239"/>
      <c r="I104" s="239"/>
      <c r="J104" s="239"/>
      <c r="K104" s="239"/>
      <c r="L104" s="239"/>
      <c r="M104" s="239"/>
      <c r="N104" s="239"/>
      <c r="O104" s="239"/>
      <c r="P104" s="246"/>
      <c r="Q104" s="239"/>
      <c r="R104" s="239"/>
      <c r="S104" s="239"/>
      <c r="T104" s="239"/>
      <c r="U104" s="239"/>
      <c r="V104" s="239"/>
      <c r="W104" s="246"/>
      <c r="X104" s="239"/>
      <c r="Y104" s="239"/>
      <c r="Z104" s="239"/>
      <c r="AA104" s="239"/>
      <c r="AB104" s="239"/>
      <c r="AC104" s="239"/>
      <c r="AD104" s="239"/>
      <c r="AE104" s="239"/>
      <c r="AF104" s="239"/>
      <c r="AG104" s="239"/>
      <c r="AH104" s="239"/>
      <c r="AI104" s="239"/>
      <c r="AJ104" s="239"/>
    </row>
    <row r="105">
      <c r="A105" s="239"/>
      <c r="B105" s="239"/>
      <c r="C105" s="239"/>
      <c r="D105" s="239"/>
      <c r="E105" s="239"/>
      <c r="F105" s="283"/>
      <c r="G105" s="239"/>
      <c r="H105" s="239"/>
      <c r="I105" s="239"/>
      <c r="J105" s="239"/>
      <c r="K105" s="239"/>
      <c r="L105" s="239"/>
      <c r="M105" s="239"/>
      <c r="N105" s="239"/>
      <c r="O105" s="239"/>
      <c r="P105" s="246"/>
      <c r="Q105" s="239"/>
      <c r="R105" s="239"/>
      <c r="S105" s="239"/>
      <c r="T105" s="239"/>
      <c r="U105" s="239"/>
      <c r="V105" s="239"/>
      <c r="W105" s="246"/>
      <c r="X105" s="239"/>
      <c r="Y105" s="239"/>
      <c r="Z105" s="239"/>
      <c r="AA105" s="239"/>
      <c r="AB105" s="239"/>
      <c r="AC105" s="239"/>
      <c r="AD105" s="239"/>
      <c r="AE105" s="239"/>
      <c r="AF105" s="239"/>
      <c r="AG105" s="239"/>
      <c r="AH105" s="239"/>
      <c r="AI105" s="239"/>
      <c r="AJ105" s="239"/>
    </row>
    <row r="106">
      <c r="A106" s="239"/>
      <c r="B106" s="239"/>
      <c r="C106" s="239"/>
      <c r="D106" s="239"/>
      <c r="E106" s="239"/>
      <c r="F106" s="283"/>
      <c r="G106" s="239"/>
      <c r="H106" s="239"/>
      <c r="I106" s="239"/>
      <c r="J106" s="239"/>
      <c r="K106" s="239"/>
      <c r="L106" s="239"/>
      <c r="M106" s="239"/>
      <c r="N106" s="239"/>
      <c r="O106" s="239"/>
      <c r="P106" s="246"/>
      <c r="Q106" s="239"/>
      <c r="R106" s="239"/>
      <c r="S106" s="239"/>
      <c r="T106" s="239"/>
      <c r="U106" s="239"/>
      <c r="V106" s="239"/>
      <c r="W106" s="246"/>
      <c r="X106" s="239"/>
      <c r="Y106" s="239"/>
      <c r="Z106" s="239"/>
      <c r="AA106" s="239"/>
      <c r="AB106" s="239"/>
      <c r="AC106" s="239"/>
      <c r="AD106" s="239"/>
      <c r="AE106" s="239"/>
      <c r="AF106" s="239"/>
      <c r="AG106" s="239"/>
      <c r="AH106" s="239"/>
      <c r="AI106" s="239"/>
      <c r="AJ106" s="239"/>
    </row>
    <row r="107">
      <c r="A107" s="239"/>
      <c r="B107" s="239"/>
      <c r="C107" s="239"/>
      <c r="D107" s="239"/>
      <c r="E107" s="239"/>
      <c r="F107" s="283"/>
      <c r="G107" s="239"/>
      <c r="H107" s="239"/>
      <c r="I107" s="239"/>
      <c r="J107" s="239"/>
      <c r="K107" s="239"/>
      <c r="L107" s="239"/>
      <c r="M107" s="239"/>
      <c r="N107" s="239"/>
      <c r="O107" s="239"/>
      <c r="P107" s="246"/>
      <c r="Q107" s="239"/>
      <c r="R107" s="239"/>
      <c r="S107" s="239"/>
      <c r="T107" s="239"/>
      <c r="U107" s="239"/>
      <c r="V107" s="239"/>
      <c r="W107" s="246"/>
      <c r="X107" s="239"/>
      <c r="Y107" s="239"/>
      <c r="Z107" s="239"/>
      <c r="AA107" s="239"/>
      <c r="AB107" s="239"/>
      <c r="AC107" s="239"/>
      <c r="AD107" s="239"/>
      <c r="AE107" s="239"/>
      <c r="AF107" s="239"/>
      <c r="AG107" s="239"/>
      <c r="AH107" s="239"/>
      <c r="AI107" s="239"/>
      <c r="AJ107" s="239"/>
    </row>
    <row r="108">
      <c r="A108" s="239"/>
      <c r="B108" s="239"/>
      <c r="C108" s="239"/>
      <c r="D108" s="239"/>
      <c r="E108" s="239"/>
      <c r="F108" s="283"/>
      <c r="G108" s="239"/>
      <c r="H108" s="239"/>
      <c r="I108" s="239"/>
      <c r="J108" s="239"/>
      <c r="K108" s="239"/>
      <c r="L108" s="239"/>
      <c r="M108" s="239"/>
      <c r="N108" s="239"/>
      <c r="O108" s="239"/>
      <c r="P108" s="246"/>
      <c r="Q108" s="239"/>
      <c r="R108" s="239"/>
      <c r="S108" s="239"/>
      <c r="T108" s="239"/>
      <c r="U108" s="239"/>
      <c r="V108" s="239"/>
      <c r="W108" s="246"/>
      <c r="X108" s="239"/>
      <c r="Y108" s="239"/>
      <c r="Z108" s="239"/>
      <c r="AA108" s="239"/>
      <c r="AB108" s="239"/>
      <c r="AC108" s="239"/>
      <c r="AD108" s="239"/>
      <c r="AE108" s="239"/>
      <c r="AF108" s="239"/>
      <c r="AG108" s="239"/>
      <c r="AH108" s="239"/>
      <c r="AI108" s="239"/>
      <c r="AJ108" s="239"/>
    </row>
    <row r="109">
      <c r="A109" s="239"/>
      <c r="B109" s="239"/>
      <c r="C109" s="239"/>
      <c r="D109" s="239"/>
      <c r="E109" s="239"/>
      <c r="F109" s="283"/>
      <c r="G109" s="239"/>
      <c r="H109" s="239"/>
      <c r="I109" s="239"/>
      <c r="J109" s="239"/>
      <c r="K109" s="239"/>
      <c r="L109" s="239"/>
      <c r="M109" s="239"/>
      <c r="N109" s="239"/>
      <c r="O109" s="239"/>
      <c r="P109" s="246"/>
      <c r="Q109" s="239"/>
      <c r="R109" s="239"/>
      <c r="S109" s="239"/>
      <c r="T109" s="239"/>
      <c r="U109" s="239"/>
      <c r="V109" s="239"/>
      <c r="W109" s="246"/>
      <c r="X109" s="239"/>
      <c r="Y109" s="239"/>
      <c r="Z109" s="239"/>
      <c r="AA109" s="239"/>
      <c r="AB109" s="239"/>
      <c r="AC109" s="239"/>
      <c r="AD109" s="239"/>
      <c r="AE109" s="239"/>
      <c r="AF109" s="239"/>
      <c r="AG109" s="239"/>
      <c r="AH109" s="239"/>
      <c r="AI109" s="239"/>
      <c r="AJ109" s="239"/>
    </row>
    <row r="110">
      <c r="A110" s="239"/>
      <c r="B110" s="239"/>
      <c r="C110" s="239"/>
      <c r="D110" s="239"/>
      <c r="E110" s="239"/>
      <c r="F110" s="283"/>
      <c r="G110" s="239"/>
      <c r="H110" s="239"/>
      <c r="I110" s="239"/>
      <c r="J110" s="239"/>
      <c r="K110" s="239"/>
      <c r="L110" s="239"/>
      <c r="M110" s="239"/>
      <c r="N110" s="239"/>
      <c r="O110" s="239"/>
      <c r="P110" s="246"/>
      <c r="Q110" s="239"/>
      <c r="R110" s="239"/>
      <c r="S110" s="239"/>
      <c r="T110" s="239"/>
      <c r="U110" s="239"/>
      <c r="V110" s="239"/>
      <c r="W110" s="246"/>
      <c r="X110" s="239"/>
      <c r="Y110" s="239"/>
      <c r="Z110" s="239"/>
      <c r="AA110" s="239"/>
      <c r="AB110" s="239"/>
      <c r="AC110" s="239"/>
      <c r="AD110" s="239"/>
      <c r="AE110" s="239"/>
      <c r="AF110" s="239"/>
      <c r="AG110" s="239"/>
      <c r="AH110" s="239"/>
      <c r="AI110" s="239"/>
      <c r="AJ110" s="239"/>
    </row>
    <row r="111">
      <c r="A111" s="239"/>
      <c r="B111" s="239"/>
      <c r="C111" s="239"/>
      <c r="D111" s="239"/>
      <c r="E111" s="239"/>
      <c r="F111" s="283"/>
      <c r="G111" s="239"/>
      <c r="H111" s="239"/>
      <c r="I111" s="239"/>
      <c r="J111" s="239"/>
      <c r="K111" s="239"/>
      <c r="L111" s="239"/>
      <c r="M111" s="239"/>
      <c r="N111" s="239"/>
      <c r="O111" s="239"/>
      <c r="P111" s="246"/>
      <c r="Q111" s="239"/>
      <c r="R111" s="239"/>
      <c r="S111" s="239"/>
      <c r="T111" s="239"/>
      <c r="U111" s="239"/>
      <c r="V111" s="239"/>
      <c r="W111" s="246"/>
      <c r="X111" s="239"/>
      <c r="Y111" s="239"/>
      <c r="Z111" s="239"/>
      <c r="AA111" s="239"/>
      <c r="AB111" s="239"/>
      <c r="AC111" s="239"/>
      <c r="AD111" s="239"/>
      <c r="AE111" s="239"/>
      <c r="AF111" s="239"/>
      <c r="AG111" s="239"/>
      <c r="AH111" s="239"/>
      <c r="AI111" s="239"/>
      <c r="AJ111" s="239"/>
    </row>
    <row r="112">
      <c r="A112" s="239"/>
      <c r="B112" s="239"/>
      <c r="C112" s="239"/>
      <c r="D112" s="239"/>
      <c r="E112" s="239"/>
      <c r="F112" s="283"/>
      <c r="G112" s="239"/>
      <c r="H112" s="239"/>
      <c r="I112" s="239"/>
      <c r="J112" s="239"/>
      <c r="K112" s="239"/>
      <c r="L112" s="239"/>
      <c r="M112" s="239"/>
      <c r="N112" s="239"/>
      <c r="O112" s="239"/>
      <c r="P112" s="246"/>
      <c r="Q112" s="239"/>
      <c r="R112" s="239"/>
      <c r="S112" s="239"/>
      <c r="T112" s="239"/>
      <c r="U112" s="239"/>
      <c r="V112" s="239"/>
      <c r="W112" s="246"/>
      <c r="X112" s="239"/>
      <c r="Y112" s="239"/>
      <c r="Z112" s="239"/>
      <c r="AA112" s="239"/>
      <c r="AB112" s="239"/>
      <c r="AC112" s="239"/>
      <c r="AD112" s="239"/>
      <c r="AE112" s="239"/>
      <c r="AF112" s="239"/>
      <c r="AG112" s="239"/>
      <c r="AH112" s="239"/>
      <c r="AI112" s="239"/>
      <c r="AJ112" s="239"/>
    </row>
    <row r="113">
      <c r="A113" s="239"/>
      <c r="B113" s="239"/>
      <c r="C113" s="239"/>
      <c r="D113" s="239"/>
      <c r="E113" s="239"/>
      <c r="F113" s="283"/>
      <c r="G113" s="239"/>
      <c r="H113" s="239"/>
      <c r="I113" s="239"/>
      <c r="J113" s="239"/>
      <c r="K113" s="239"/>
      <c r="L113" s="239"/>
      <c r="M113" s="239"/>
      <c r="N113" s="239"/>
      <c r="O113" s="239"/>
      <c r="P113" s="246"/>
      <c r="Q113" s="239"/>
      <c r="R113" s="239"/>
      <c r="S113" s="239"/>
      <c r="T113" s="239"/>
      <c r="U113" s="239"/>
      <c r="V113" s="239"/>
      <c r="W113" s="246"/>
      <c r="X113" s="239"/>
      <c r="Y113" s="239"/>
      <c r="Z113" s="239"/>
      <c r="AA113" s="239"/>
      <c r="AB113" s="239"/>
      <c r="AC113" s="239"/>
      <c r="AD113" s="239"/>
      <c r="AE113" s="239"/>
      <c r="AF113" s="239"/>
      <c r="AG113" s="239"/>
      <c r="AH113" s="239"/>
      <c r="AI113" s="239"/>
      <c r="AJ113" s="239"/>
    </row>
    <row r="114">
      <c r="A114" s="239"/>
      <c r="B114" s="239"/>
      <c r="C114" s="239"/>
      <c r="D114" s="239"/>
      <c r="E114" s="239"/>
      <c r="F114" s="283"/>
      <c r="G114" s="239"/>
      <c r="H114" s="239"/>
      <c r="I114" s="239"/>
      <c r="J114" s="239"/>
      <c r="K114" s="239"/>
      <c r="L114" s="239"/>
      <c r="M114" s="239"/>
      <c r="N114" s="239"/>
      <c r="O114" s="239"/>
      <c r="P114" s="246"/>
      <c r="Q114" s="239"/>
      <c r="R114" s="239"/>
      <c r="S114" s="239"/>
      <c r="T114" s="239"/>
      <c r="U114" s="239"/>
      <c r="V114" s="239"/>
      <c r="W114" s="246"/>
      <c r="X114" s="239"/>
      <c r="Y114" s="239"/>
      <c r="Z114" s="239"/>
      <c r="AA114" s="239"/>
      <c r="AB114" s="239"/>
      <c r="AC114" s="239"/>
      <c r="AD114" s="239"/>
      <c r="AE114" s="239"/>
      <c r="AF114" s="239"/>
      <c r="AG114" s="239"/>
      <c r="AH114" s="239"/>
      <c r="AI114" s="239"/>
      <c r="AJ114" s="239"/>
    </row>
    <row r="115">
      <c r="A115" s="239"/>
      <c r="B115" s="239"/>
      <c r="C115" s="239"/>
      <c r="D115" s="239"/>
      <c r="E115" s="239"/>
      <c r="F115" s="283"/>
      <c r="G115" s="239"/>
      <c r="H115" s="239"/>
      <c r="I115" s="239"/>
      <c r="J115" s="239"/>
      <c r="K115" s="239"/>
      <c r="L115" s="239"/>
      <c r="M115" s="239"/>
      <c r="N115" s="239"/>
      <c r="O115" s="239"/>
      <c r="P115" s="246"/>
      <c r="Q115" s="239"/>
      <c r="R115" s="239"/>
      <c r="S115" s="239"/>
      <c r="T115" s="239"/>
      <c r="U115" s="239"/>
      <c r="V115" s="239"/>
      <c r="W115" s="246"/>
      <c r="X115" s="239"/>
      <c r="Y115" s="239"/>
      <c r="Z115" s="239"/>
      <c r="AA115" s="239"/>
      <c r="AB115" s="239"/>
      <c r="AC115" s="239"/>
      <c r="AD115" s="239"/>
      <c r="AE115" s="239"/>
      <c r="AF115" s="239"/>
      <c r="AG115" s="239"/>
      <c r="AH115" s="239"/>
      <c r="AI115" s="239"/>
      <c r="AJ115" s="239"/>
    </row>
    <row r="116">
      <c r="A116" s="239"/>
      <c r="B116" s="239"/>
      <c r="C116" s="239"/>
      <c r="D116" s="239"/>
      <c r="E116" s="239"/>
      <c r="F116" s="283"/>
      <c r="G116" s="239"/>
      <c r="H116" s="239"/>
      <c r="I116" s="239"/>
      <c r="J116" s="239"/>
      <c r="K116" s="239"/>
      <c r="L116" s="239"/>
      <c r="M116" s="239"/>
      <c r="N116" s="239"/>
      <c r="O116" s="239"/>
      <c r="P116" s="246"/>
      <c r="Q116" s="239"/>
      <c r="R116" s="239"/>
      <c r="S116" s="239"/>
      <c r="T116" s="239"/>
      <c r="U116" s="239"/>
      <c r="V116" s="239"/>
      <c r="W116" s="246"/>
      <c r="X116" s="239"/>
      <c r="Y116" s="239"/>
      <c r="Z116" s="239"/>
      <c r="AA116" s="239"/>
      <c r="AB116" s="239"/>
      <c r="AC116" s="239"/>
      <c r="AD116" s="239"/>
      <c r="AE116" s="239"/>
      <c r="AF116" s="239"/>
      <c r="AG116" s="239"/>
      <c r="AH116" s="239"/>
      <c r="AI116" s="239"/>
      <c r="AJ116" s="239"/>
    </row>
    <row r="117">
      <c r="A117" s="239"/>
      <c r="B117" s="239"/>
      <c r="C117" s="239"/>
      <c r="D117" s="239"/>
      <c r="E117" s="239"/>
      <c r="F117" s="283"/>
      <c r="G117" s="239"/>
      <c r="H117" s="239"/>
      <c r="I117" s="239"/>
      <c r="J117" s="239"/>
      <c r="K117" s="239"/>
      <c r="L117" s="239"/>
      <c r="M117" s="239"/>
      <c r="N117" s="239"/>
      <c r="O117" s="239"/>
      <c r="P117" s="246"/>
      <c r="Q117" s="239"/>
      <c r="R117" s="239"/>
      <c r="S117" s="239"/>
      <c r="T117" s="239"/>
      <c r="U117" s="239"/>
      <c r="V117" s="239"/>
      <c r="W117" s="246"/>
      <c r="X117" s="239"/>
      <c r="Y117" s="239"/>
      <c r="Z117" s="239"/>
      <c r="AA117" s="239"/>
      <c r="AB117" s="239"/>
      <c r="AC117" s="239"/>
      <c r="AD117" s="239"/>
      <c r="AE117" s="239"/>
      <c r="AF117" s="239"/>
      <c r="AG117" s="239"/>
      <c r="AH117" s="239"/>
      <c r="AI117" s="239"/>
      <c r="AJ117" s="239"/>
    </row>
    <row r="118">
      <c r="A118" s="239"/>
      <c r="B118" s="239"/>
      <c r="C118" s="239"/>
      <c r="D118" s="239"/>
      <c r="E118" s="239"/>
      <c r="F118" s="283"/>
      <c r="G118" s="239"/>
      <c r="H118" s="239"/>
      <c r="I118" s="239"/>
      <c r="J118" s="239"/>
      <c r="K118" s="239"/>
      <c r="L118" s="239"/>
      <c r="M118" s="239"/>
      <c r="N118" s="239"/>
      <c r="O118" s="239"/>
      <c r="P118" s="246"/>
      <c r="Q118" s="239"/>
      <c r="R118" s="239"/>
      <c r="S118" s="239"/>
      <c r="T118" s="239"/>
      <c r="U118" s="239"/>
      <c r="V118" s="239"/>
      <c r="W118" s="246"/>
      <c r="X118" s="239"/>
      <c r="Y118" s="239"/>
      <c r="Z118" s="239"/>
      <c r="AA118" s="239"/>
      <c r="AB118" s="239"/>
      <c r="AC118" s="239"/>
      <c r="AD118" s="239"/>
      <c r="AE118" s="239"/>
      <c r="AF118" s="239"/>
      <c r="AG118" s="239"/>
      <c r="AH118" s="239"/>
      <c r="AI118" s="239"/>
      <c r="AJ118" s="239"/>
    </row>
    <row r="119">
      <c r="A119" s="239"/>
      <c r="B119" s="239"/>
      <c r="C119" s="239"/>
      <c r="D119" s="239"/>
      <c r="E119" s="239"/>
      <c r="F119" s="283"/>
      <c r="G119" s="239"/>
      <c r="H119" s="239"/>
      <c r="I119" s="239"/>
      <c r="J119" s="239"/>
      <c r="K119" s="239"/>
      <c r="L119" s="239"/>
      <c r="M119" s="239"/>
      <c r="N119" s="239"/>
      <c r="O119" s="239"/>
      <c r="P119" s="246"/>
      <c r="Q119" s="239"/>
      <c r="R119" s="239"/>
      <c r="S119" s="239"/>
      <c r="T119" s="239"/>
      <c r="U119" s="239"/>
      <c r="V119" s="239"/>
      <c r="W119" s="246"/>
      <c r="X119" s="239"/>
      <c r="Y119" s="239"/>
      <c r="Z119" s="239"/>
      <c r="AA119" s="239"/>
      <c r="AB119" s="239"/>
      <c r="AC119" s="239"/>
      <c r="AD119" s="239"/>
      <c r="AE119" s="239"/>
      <c r="AF119" s="239"/>
      <c r="AG119" s="239"/>
      <c r="AH119" s="239"/>
      <c r="AI119" s="239"/>
      <c r="AJ119" s="239"/>
    </row>
    <row r="120">
      <c r="A120" s="239"/>
      <c r="B120" s="239"/>
      <c r="C120" s="239"/>
      <c r="D120" s="239"/>
      <c r="E120" s="239"/>
      <c r="F120" s="283"/>
      <c r="G120" s="239"/>
      <c r="H120" s="239"/>
      <c r="I120" s="239"/>
      <c r="J120" s="239"/>
      <c r="K120" s="239"/>
      <c r="L120" s="239"/>
      <c r="M120" s="239"/>
      <c r="N120" s="239"/>
      <c r="O120" s="239"/>
      <c r="P120" s="246"/>
      <c r="Q120" s="239"/>
      <c r="R120" s="239"/>
      <c r="S120" s="239"/>
      <c r="T120" s="239"/>
      <c r="U120" s="239"/>
      <c r="V120" s="239"/>
      <c r="W120" s="246"/>
      <c r="X120" s="239"/>
      <c r="Y120" s="239"/>
      <c r="Z120" s="239"/>
      <c r="AA120" s="239"/>
      <c r="AB120" s="239"/>
      <c r="AC120" s="239"/>
      <c r="AD120" s="239"/>
      <c r="AE120" s="239"/>
      <c r="AF120" s="239"/>
      <c r="AG120" s="239"/>
      <c r="AH120" s="239"/>
      <c r="AI120" s="239"/>
      <c r="AJ120" s="239"/>
    </row>
    <row r="121">
      <c r="A121" s="239"/>
      <c r="B121" s="239"/>
      <c r="C121" s="239"/>
      <c r="D121" s="239"/>
      <c r="E121" s="239"/>
      <c r="F121" s="283"/>
      <c r="G121" s="239"/>
      <c r="H121" s="239"/>
      <c r="I121" s="239"/>
      <c r="J121" s="239"/>
      <c r="K121" s="239"/>
      <c r="L121" s="239"/>
      <c r="M121" s="239"/>
      <c r="N121" s="239"/>
      <c r="O121" s="239"/>
      <c r="P121" s="246"/>
      <c r="Q121" s="239"/>
      <c r="R121" s="239"/>
      <c r="S121" s="239"/>
      <c r="T121" s="239"/>
      <c r="U121" s="239"/>
      <c r="V121" s="239"/>
      <c r="W121" s="246"/>
      <c r="X121" s="239"/>
      <c r="Y121" s="239"/>
      <c r="Z121" s="239"/>
      <c r="AA121" s="239"/>
      <c r="AB121" s="239"/>
      <c r="AC121" s="239"/>
      <c r="AD121" s="239"/>
      <c r="AE121" s="239"/>
      <c r="AF121" s="239"/>
      <c r="AG121" s="239"/>
      <c r="AH121" s="239"/>
      <c r="AI121" s="239"/>
      <c r="AJ121" s="239"/>
    </row>
    <row r="122">
      <c r="A122" s="239"/>
      <c r="B122" s="239"/>
      <c r="C122" s="239"/>
      <c r="D122" s="239"/>
      <c r="E122" s="239"/>
      <c r="F122" s="283"/>
      <c r="G122" s="239"/>
      <c r="H122" s="239"/>
      <c r="I122" s="239"/>
      <c r="J122" s="239"/>
      <c r="K122" s="239"/>
      <c r="L122" s="239"/>
      <c r="M122" s="239"/>
      <c r="N122" s="239"/>
      <c r="O122" s="239"/>
      <c r="P122" s="246"/>
      <c r="Q122" s="239"/>
      <c r="R122" s="239"/>
      <c r="S122" s="239"/>
      <c r="T122" s="239"/>
      <c r="U122" s="239"/>
      <c r="V122" s="239"/>
      <c r="W122" s="246"/>
      <c r="X122" s="239"/>
      <c r="Y122" s="239"/>
      <c r="Z122" s="239"/>
      <c r="AA122" s="239"/>
      <c r="AB122" s="239"/>
      <c r="AC122" s="239"/>
      <c r="AD122" s="239"/>
      <c r="AE122" s="239"/>
      <c r="AF122" s="239"/>
      <c r="AG122" s="239"/>
      <c r="AH122" s="239"/>
      <c r="AI122" s="239"/>
      <c r="AJ122" s="239"/>
    </row>
    <row r="123">
      <c r="A123" s="239"/>
      <c r="B123" s="239"/>
      <c r="C123" s="239"/>
      <c r="D123" s="239"/>
      <c r="E123" s="239"/>
      <c r="F123" s="283"/>
      <c r="G123" s="239"/>
      <c r="H123" s="239"/>
      <c r="I123" s="239"/>
      <c r="J123" s="239"/>
      <c r="K123" s="239"/>
      <c r="L123" s="239"/>
      <c r="M123" s="239"/>
      <c r="N123" s="239"/>
      <c r="O123" s="239"/>
      <c r="P123" s="246"/>
      <c r="Q123" s="239"/>
      <c r="R123" s="239"/>
      <c r="S123" s="239"/>
      <c r="T123" s="239"/>
      <c r="U123" s="239"/>
      <c r="V123" s="239"/>
      <c r="W123" s="246"/>
      <c r="X123" s="239"/>
      <c r="Y123" s="239"/>
      <c r="Z123" s="239"/>
      <c r="AA123" s="239"/>
      <c r="AB123" s="239"/>
      <c r="AC123" s="239"/>
      <c r="AD123" s="239"/>
      <c r="AE123" s="239"/>
      <c r="AF123" s="239"/>
      <c r="AG123" s="239"/>
      <c r="AH123" s="239"/>
      <c r="AI123" s="239"/>
      <c r="AJ123" s="239"/>
    </row>
    <row r="124">
      <c r="A124" s="239"/>
      <c r="B124" s="239"/>
      <c r="C124" s="239"/>
      <c r="D124" s="239"/>
      <c r="E124" s="239"/>
      <c r="F124" s="283"/>
      <c r="G124" s="239"/>
      <c r="H124" s="239"/>
      <c r="I124" s="239"/>
      <c r="J124" s="239"/>
      <c r="K124" s="239"/>
      <c r="L124" s="239"/>
      <c r="M124" s="239"/>
      <c r="N124" s="239"/>
      <c r="O124" s="239"/>
      <c r="P124" s="246"/>
      <c r="Q124" s="239"/>
      <c r="R124" s="239"/>
      <c r="S124" s="239"/>
      <c r="T124" s="239"/>
      <c r="U124" s="239"/>
      <c r="V124" s="239"/>
      <c r="W124" s="246"/>
      <c r="X124" s="239"/>
      <c r="Y124" s="239"/>
      <c r="Z124" s="239"/>
      <c r="AA124" s="239"/>
      <c r="AB124" s="239"/>
      <c r="AC124" s="239"/>
      <c r="AD124" s="239"/>
      <c r="AE124" s="239"/>
      <c r="AF124" s="239"/>
      <c r="AG124" s="239"/>
      <c r="AH124" s="239"/>
      <c r="AI124" s="239"/>
      <c r="AJ124" s="239"/>
    </row>
    <row r="125">
      <c r="A125" s="239"/>
      <c r="B125" s="239"/>
      <c r="C125" s="239"/>
      <c r="D125" s="239"/>
      <c r="E125" s="239"/>
      <c r="F125" s="283"/>
      <c r="G125" s="239"/>
      <c r="H125" s="239"/>
      <c r="I125" s="239"/>
      <c r="J125" s="239"/>
      <c r="K125" s="239"/>
      <c r="L125" s="239"/>
      <c r="M125" s="239"/>
      <c r="N125" s="239"/>
      <c r="O125" s="239"/>
      <c r="P125" s="246"/>
      <c r="Q125" s="239"/>
      <c r="R125" s="239"/>
      <c r="S125" s="239"/>
      <c r="T125" s="239"/>
      <c r="U125" s="239"/>
      <c r="V125" s="239"/>
      <c r="W125" s="246"/>
      <c r="X125" s="239"/>
      <c r="Y125" s="239"/>
      <c r="Z125" s="239"/>
      <c r="AA125" s="239"/>
      <c r="AB125" s="239"/>
      <c r="AC125" s="239"/>
      <c r="AD125" s="239"/>
      <c r="AE125" s="239"/>
      <c r="AF125" s="239"/>
      <c r="AG125" s="239"/>
      <c r="AH125" s="239"/>
      <c r="AI125" s="239"/>
      <c r="AJ125" s="239"/>
    </row>
    <row r="126">
      <c r="A126" s="239"/>
      <c r="B126" s="239"/>
      <c r="C126" s="239"/>
      <c r="D126" s="239"/>
      <c r="E126" s="239"/>
      <c r="F126" s="283"/>
      <c r="G126" s="239"/>
      <c r="H126" s="239"/>
      <c r="I126" s="239"/>
      <c r="J126" s="239"/>
      <c r="K126" s="239"/>
      <c r="L126" s="239"/>
      <c r="M126" s="239"/>
      <c r="N126" s="239"/>
      <c r="O126" s="239"/>
      <c r="P126" s="246"/>
      <c r="Q126" s="239"/>
      <c r="R126" s="239"/>
      <c r="S126" s="239"/>
      <c r="T126" s="239"/>
      <c r="U126" s="239"/>
      <c r="V126" s="239"/>
      <c r="W126" s="246"/>
      <c r="X126" s="239"/>
      <c r="Y126" s="239"/>
      <c r="Z126" s="239"/>
      <c r="AA126" s="239"/>
      <c r="AB126" s="239"/>
      <c r="AC126" s="239"/>
      <c r="AD126" s="239"/>
      <c r="AE126" s="239"/>
      <c r="AF126" s="239"/>
      <c r="AG126" s="239"/>
      <c r="AH126" s="239"/>
      <c r="AI126" s="239"/>
      <c r="AJ126" s="239"/>
    </row>
    <row r="127">
      <c r="A127" s="239"/>
      <c r="B127" s="239"/>
      <c r="C127" s="239"/>
      <c r="D127" s="239"/>
      <c r="E127" s="239"/>
      <c r="F127" s="283"/>
      <c r="G127" s="239"/>
      <c r="H127" s="239"/>
      <c r="I127" s="239"/>
      <c r="J127" s="239"/>
      <c r="K127" s="239"/>
      <c r="L127" s="239"/>
      <c r="M127" s="239"/>
      <c r="N127" s="239"/>
      <c r="O127" s="239"/>
      <c r="P127" s="246"/>
      <c r="Q127" s="239"/>
      <c r="R127" s="239"/>
      <c r="S127" s="239"/>
      <c r="T127" s="239"/>
      <c r="U127" s="239"/>
      <c r="V127" s="239"/>
      <c r="W127" s="246"/>
      <c r="X127" s="239"/>
      <c r="Y127" s="239"/>
      <c r="Z127" s="239"/>
      <c r="AA127" s="239"/>
      <c r="AB127" s="239"/>
      <c r="AC127" s="239"/>
      <c r="AD127" s="239"/>
      <c r="AE127" s="239"/>
      <c r="AF127" s="239"/>
      <c r="AG127" s="239"/>
      <c r="AH127" s="239"/>
      <c r="AI127" s="239"/>
      <c r="AJ127" s="239"/>
    </row>
    <row r="128">
      <c r="A128" s="239"/>
      <c r="B128" s="239"/>
      <c r="C128" s="239"/>
      <c r="D128" s="239"/>
      <c r="E128" s="239"/>
      <c r="F128" s="283"/>
      <c r="G128" s="239"/>
      <c r="H128" s="239"/>
      <c r="I128" s="239"/>
      <c r="J128" s="239"/>
      <c r="K128" s="239"/>
      <c r="L128" s="239"/>
      <c r="M128" s="239"/>
      <c r="N128" s="239"/>
      <c r="O128" s="239"/>
      <c r="P128" s="246"/>
      <c r="Q128" s="239"/>
      <c r="R128" s="239"/>
      <c r="S128" s="239"/>
      <c r="T128" s="239"/>
      <c r="U128" s="239"/>
      <c r="V128" s="239"/>
      <c r="W128" s="246"/>
      <c r="X128" s="239"/>
      <c r="Y128" s="239"/>
      <c r="Z128" s="239"/>
      <c r="AA128" s="239"/>
      <c r="AB128" s="239"/>
      <c r="AC128" s="239"/>
      <c r="AD128" s="239"/>
      <c r="AE128" s="239"/>
      <c r="AF128" s="239"/>
      <c r="AG128" s="239"/>
      <c r="AH128" s="239"/>
      <c r="AI128" s="239"/>
      <c r="AJ128" s="239"/>
    </row>
    <row r="129">
      <c r="A129" s="239"/>
      <c r="B129" s="239"/>
      <c r="C129" s="239"/>
      <c r="D129" s="239"/>
      <c r="E129" s="239"/>
      <c r="F129" s="283"/>
      <c r="G129" s="239"/>
      <c r="H129" s="239"/>
      <c r="I129" s="239"/>
      <c r="J129" s="239"/>
      <c r="K129" s="239"/>
      <c r="L129" s="239"/>
      <c r="M129" s="239"/>
      <c r="N129" s="239"/>
      <c r="O129" s="239"/>
      <c r="P129" s="246"/>
      <c r="Q129" s="239"/>
      <c r="R129" s="239"/>
      <c r="S129" s="239"/>
      <c r="T129" s="239"/>
      <c r="U129" s="239"/>
      <c r="V129" s="239"/>
      <c r="W129" s="246"/>
      <c r="X129" s="239"/>
      <c r="Y129" s="239"/>
      <c r="Z129" s="239"/>
      <c r="AA129" s="239"/>
      <c r="AB129" s="239"/>
      <c r="AC129" s="239"/>
      <c r="AD129" s="239"/>
      <c r="AE129" s="239"/>
      <c r="AF129" s="239"/>
      <c r="AG129" s="239"/>
      <c r="AH129" s="239"/>
      <c r="AI129" s="239"/>
      <c r="AJ129" s="239"/>
    </row>
    <row r="130">
      <c r="A130" s="239"/>
      <c r="B130" s="239"/>
      <c r="C130" s="239"/>
      <c r="D130" s="239"/>
      <c r="E130" s="239"/>
      <c r="F130" s="283"/>
      <c r="G130" s="239"/>
      <c r="H130" s="239"/>
      <c r="I130" s="239"/>
      <c r="J130" s="239"/>
      <c r="K130" s="239"/>
      <c r="L130" s="239"/>
      <c r="M130" s="239"/>
      <c r="N130" s="239"/>
      <c r="O130" s="239"/>
      <c r="P130" s="246"/>
      <c r="Q130" s="239"/>
      <c r="R130" s="239"/>
      <c r="S130" s="239"/>
      <c r="T130" s="239"/>
      <c r="U130" s="239"/>
      <c r="V130" s="239"/>
      <c r="W130" s="246"/>
      <c r="X130" s="239"/>
      <c r="Y130" s="239"/>
      <c r="Z130" s="239"/>
      <c r="AA130" s="239"/>
      <c r="AB130" s="239"/>
      <c r="AC130" s="239"/>
      <c r="AD130" s="239"/>
      <c r="AE130" s="239"/>
      <c r="AF130" s="239"/>
      <c r="AG130" s="239"/>
      <c r="AH130" s="239"/>
      <c r="AI130" s="239"/>
      <c r="AJ130" s="239"/>
    </row>
    <row r="131">
      <c r="A131" s="239"/>
      <c r="B131" s="239"/>
      <c r="C131" s="239"/>
      <c r="D131" s="239"/>
      <c r="E131" s="239"/>
      <c r="F131" s="283"/>
      <c r="G131" s="239"/>
      <c r="H131" s="239"/>
      <c r="I131" s="239"/>
      <c r="J131" s="239"/>
      <c r="K131" s="239"/>
      <c r="L131" s="239"/>
      <c r="M131" s="239"/>
      <c r="N131" s="239"/>
      <c r="O131" s="239"/>
      <c r="P131" s="246"/>
      <c r="Q131" s="239"/>
      <c r="R131" s="239"/>
      <c r="S131" s="239"/>
      <c r="T131" s="239"/>
      <c r="U131" s="239"/>
      <c r="V131" s="239"/>
      <c r="W131" s="246"/>
      <c r="X131" s="239"/>
      <c r="Y131" s="239"/>
      <c r="Z131" s="239"/>
      <c r="AA131" s="239"/>
      <c r="AB131" s="239"/>
      <c r="AC131" s="239"/>
      <c r="AD131" s="239"/>
      <c r="AE131" s="239"/>
      <c r="AF131" s="239"/>
      <c r="AG131" s="239"/>
      <c r="AH131" s="239"/>
      <c r="AI131" s="239"/>
      <c r="AJ131" s="239"/>
    </row>
    <row r="132">
      <c r="A132" s="239"/>
      <c r="B132" s="239"/>
      <c r="C132" s="239"/>
      <c r="D132" s="239"/>
      <c r="E132" s="239"/>
      <c r="F132" s="283"/>
      <c r="G132" s="239"/>
      <c r="H132" s="239"/>
      <c r="I132" s="239"/>
      <c r="J132" s="239"/>
      <c r="K132" s="239"/>
      <c r="L132" s="239"/>
      <c r="M132" s="239"/>
      <c r="N132" s="239"/>
      <c r="O132" s="239"/>
      <c r="P132" s="246"/>
      <c r="Q132" s="239"/>
      <c r="R132" s="239"/>
      <c r="S132" s="239"/>
      <c r="T132" s="239"/>
      <c r="U132" s="239"/>
      <c r="V132" s="239"/>
      <c r="W132" s="246"/>
      <c r="X132" s="239"/>
      <c r="Y132" s="239"/>
      <c r="Z132" s="239"/>
      <c r="AA132" s="239"/>
      <c r="AB132" s="239"/>
      <c r="AC132" s="239"/>
      <c r="AD132" s="239"/>
      <c r="AE132" s="239"/>
      <c r="AF132" s="239"/>
      <c r="AG132" s="239"/>
      <c r="AH132" s="239"/>
      <c r="AI132" s="239"/>
      <c r="AJ132" s="239"/>
    </row>
    <row r="133">
      <c r="A133" s="239"/>
      <c r="B133" s="239"/>
      <c r="C133" s="239"/>
      <c r="D133" s="239"/>
      <c r="E133" s="239"/>
      <c r="F133" s="283"/>
      <c r="G133" s="239"/>
      <c r="H133" s="239"/>
      <c r="I133" s="239"/>
      <c r="J133" s="239"/>
      <c r="K133" s="239"/>
      <c r="L133" s="239"/>
      <c r="M133" s="239"/>
      <c r="N133" s="239"/>
      <c r="O133" s="239"/>
      <c r="P133" s="246"/>
      <c r="Q133" s="239"/>
      <c r="R133" s="239"/>
      <c r="S133" s="239"/>
      <c r="T133" s="239"/>
      <c r="U133" s="239"/>
      <c r="V133" s="239"/>
      <c r="W133" s="246"/>
      <c r="X133" s="239"/>
      <c r="Y133" s="239"/>
      <c r="Z133" s="239"/>
      <c r="AA133" s="239"/>
      <c r="AB133" s="239"/>
      <c r="AC133" s="239"/>
      <c r="AD133" s="239"/>
      <c r="AE133" s="239"/>
      <c r="AF133" s="239"/>
      <c r="AG133" s="239"/>
      <c r="AH133" s="239"/>
      <c r="AI133" s="239"/>
      <c r="AJ133" s="239"/>
    </row>
    <row r="134">
      <c r="A134" s="239"/>
      <c r="B134" s="239"/>
      <c r="C134" s="239"/>
      <c r="D134" s="239"/>
      <c r="E134" s="239"/>
      <c r="F134" s="283"/>
      <c r="G134" s="239"/>
      <c r="H134" s="239"/>
      <c r="I134" s="239"/>
      <c r="J134" s="239"/>
      <c r="K134" s="239"/>
      <c r="L134" s="239"/>
      <c r="M134" s="239"/>
      <c r="N134" s="239"/>
      <c r="O134" s="239"/>
      <c r="P134" s="246"/>
      <c r="Q134" s="239"/>
      <c r="R134" s="239"/>
      <c r="S134" s="239"/>
      <c r="T134" s="239"/>
      <c r="U134" s="239"/>
      <c r="V134" s="239"/>
      <c r="W134" s="246"/>
      <c r="X134" s="239"/>
      <c r="Y134" s="239"/>
      <c r="Z134" s="239"/>
      <c r="AA134" s="239"/>
      <c r="AB134" s="239"/>
      <c r="AC134" s="239"/>
      <c r="AD134" s="239"/>
      <c r="AE134" s="239"/>
      <c r="AF134" s="239"/>
      <c r="AG134" s="239"/>
      <c r="AH134" s="239"/>
      <c r="AI134" s="239"/>
      <c r="AJ134" s="239"/>
    </row>
    <row r="135">
      <c r="A135" s="239"/>
      <c r="B135" s="239"/>
      <c r="C135" s="239"/>
      <c r="D135" s="239"/>
      <c r="E135" s="239"/>
      <c r="F135" s="283"/>
      <c r="G135" s="239"/>
      <c r="H135" s="239"/>
      <c r="I135" s="239"/>
      <c r="J135" s="239"/>
      <c r="K135" s="239"/>
      <c r="L135" s="239"/>
      <c r="M135" s="239"/>
      <c r="N135" s="239"/>
      <c r="O135" s="239"/>
      <c r="P135" s="246"/>
      <c r="Q135" s="239"/>
      <c r="R135" s="239"/>
      <c r="S135" s="239"/>
      <c r="T135" s="239"/>
      <c r="U135" s="239"/>
      <c r="V135" s="239"/>
      <c r="W135" s="246"/>
      <c r="X135" s="239"/>
      <c r="Y135" s="239"/>
      <c r="Z135" s="239"/>
      <c r="AA135" s="239"/>
      <c r="AB135" s="239"/>
      <c r="AC135" s="239"/>
      <c r="AD135" s="239"/>
      <c r="AE135" s="239"/>
      <c r="AF135" s="239"/>
      <c r="AG135" s="239"/>
      <c r="AH135" s="239"/>
      <c r="AI135" s="239"/>
      <c r="AJ135" s="239"/>
    </row>
    <row r="136">
      <c r="A136" s="239"/>
      <c r="B136" s="239"/>
      <c r="C136" s="239"/>
      <c r="D136" s="239"/>
      <c r="E136" s="239"/>
      <c r="F136" s="283"/>
      <c r="G136" s="239"/>
      <c r="H136" s="239"/>
      <c r="I136" s="239"/>
      <c r="J136" s="239"/>
      <c r="K136" s="239"/>
      <c r="L136" s="239"/>
      <c r="M136" s="239"/>
      <c r="N136" s="239"/>
      <c r="O136" s="239"/>
      <c r="P136" s="246"/>
      <c r="Q136" s="239"/>
      <c r="R136" s="239"/>
      <c r="S136" s="239"/>
      <c r="T136" s="239"/>
      <c r="U136" s="239"/>
      <c r="V136" s="239"/>
      <c r="W136" s="246"/>
      <c r="X136" s="239"/>
      <c r="Y136" s="239"/>
      <c r="Z136" s="239"/>
      <c r="AA136" s="239"/>
      <c r="AB136" s="239"/>
      <c r="AC136" s="239"/>
      <c r="AD136" s="239"/>
      <c r="AE136" s="239"/>
      <c r="AF136" s="239"/>
      <c r="AG136" s="239"/>
      <c r="AH136" s="239"/>
      <c r="AI136" s="239"/>
      <c r="AJ136" s="239"/>
    </row>
    <row r="137">
      <c r="A137" s="239"/>
      <c r="B137" s="239"/>
      <c r="C137" s="239"/>
      <c r="D137" s="239"/>
      <c r="E137" s="239"/>
      <c r="F137" s="283"/>
      <c r="G137" s="239"/>
      <c r="H137" s="239"/>
      <c r="I137" s="239"/>
      <c r="J137" s="239"/>
      <c r="K137" s="239"/>
      <c r="L137" s="239"/>
      <c r="M137" s="239"/>
      <c r="N137" s="239"/>
      <c r="O137" s="239"/>
      <c r="P137" s="246"/>
      <c r="Q137" s="239"/>
      <c r="R137" s="239"/>
      <c r="S137" s="239"/>
      <c r="T137" s="239"/>
      <c r="U137" s="239"/>
      <c r="V137" s="239"/>
      <c r="W137" s="246"/>
      <c r="X137" s="239"/>
      <c r="Y137" s="239"/>
      <c r="Z137" s="239"/>
      <c r="AA137" s="239"/>
      <c r="AB137" s="239"/>
      <c r="AC137" s="239"/>
      <c r="AD137" s="239"/>
      <c r="AE137" s="239"/>
      <c r="AF137" s="239"/>
      <c r="AG137" s="239"/>
      <c r="AH137" s="239"/>
      <c r="AI137" s="239"/>
      <c r="AJ137" s="239"/>
    </row>
    <row r="138">
      <c r="A138" s="239"/>
      <c r="B138" s="239"/>
      <c r="C138" s="239"/>
      <c r="D138" s="239"/>
      <c r="E138" s="239"/>
      <c r="F138" s="283"/>
      <c r="G138" s="239"/>
      <c r="H138" s="239"/>
      <c r="I138" s="239"/>
      <c r="J138" s="239"/>
      <c r="K138" s="239"/>
      <c r="L138" s="239"/>
      <c r="M138" s="239"/>
      <c r="N138" s="239"/>
      <c r="O138" s="239"/>
      <c r="P138" s="246"/>
      <c r="Q138" s="239"/>
      <c r="R138" s="239"/>
      <c r="S138" s="239"/>
      <c r="T138" s="239"/>
      <c r="U138" s="239"/>
      <c r="V138" s="239"/>
      <c r="W138" s="246"/>
      <c r="X138" s="239"/>
      <c r="Y138" s="239"/>
      <c r="Z138" s="239"/>
      <c r="AA138" s="239"/>
      <c r="AB138" s="239"/>
      <c r="AC138" s="239"/>
      <c r="AD138" s="239"/>
      <c r="AE138" s="239"/>
      <c r="AF138" s="239"/>
      <c r="AG138" s="239"/>
      <c r="AH138" s="239"/>
      <c r="AI138" s="239"/>
      <c r="AJ138" s="239"/>
    </row>
    <row r="139">
      <c r="A139" s="239"/>
      <c r="B139" s="239"/>
      <c r="C139" s="239"/>
      <c r="D139" s="239"/>
      <c r="E139" s="239"/>
      <c r="F139" s="283"/>
      <c r="G139" s="239"/>
      <c r="H139" s="239"/>
      <c r="I139" s="239"/>
      <c r="J139" s="239"/>
      <c r="K139" s="239"/>
      <c r="L139" s="239"/>
      <c r="M139" s="239"/>
      <c r="N139" s="239"/>
      <c r="O139" s="239"/>
      <c r="P139" s="246"/>
      <c r="Q139" s="239"/>
      <c r="R139" s="239"/>
      <c r="S139" s="239"/>
      <c r="T139" s="239"/>
      <c r="U139" s="239"/>
      <c r="V139" s="239"/>
      <c r="W139" s="246"/>
      <c r="X139" s="239"/>
      <c r="Y139" s="239"/>
      <c r="Z139" s="239"/>
      <c r="AA139" s="239"/>
      <c r="AB139" s="239"/>
      <c r="AC139" s="239"/>
      <c r="AD139" s="239"/>
      <c r="AE139" s="239"/>
      <c r="AF139" s="239"/>
      <c r="AG139" s="239"/>
      <c r="AH139" s="239"/>
      <c r="AI139" s="239"/>
      <c r="AJ139" s="239"/>
    </row>
    <row r="140">
      <c r="A140" s="239"/>
      <c r="B140" s="239"/>
      <c r="C140" s="239"/>
      <c r="D140" s="239"/>
      <c r="E140" s="239"/>
      <c r="F140" s="283"/>
      <c r="G140" s="239"/>
      <c r="H140" s="239"/>
      <c r="I140" s="239"/>
      <c r="J140" s="239"/>
      <c r="K140" s="239"/>
      <c r="L140" s="239"/>
      <c r="M140" s="239"/>
      <c r="N140" s="239"/>
      <c r="O140" s="239"/>
      <c r="P140" s="246"/>
      <c r="Q140" s="239"/>
      <c r="R140" s="239"/>
      <c r="S140" s="239"/>
      <c r="T140" s="239"/>
      <c r="U140" s="239"/>
      <c r="V140" s="239"/>
      <c r="W140" s="246"/>
      <c r="X140" s="239"/>
      <c r="Y140" s="239"/>
      <c r="Z140" s="239"/>
      <c r="AA140" s="239"/>
      <c r="AB140" s="239"/>
      <c r="AC140" s="239"/>
      <c r="AD140" s="239"/>
      <c r="AE140" s="239"/>
      <c r="AF140" s="239"/>
      <c r="AG140" s="239"/>
      <c r="AH140" s="239"/>
      <c r="AI140" s="239"/>
      <c r="AJ140" s="239"/>
    </row>
    <row r="141">
      <c r="A141" s="239"/>
      <c r="B141" s="239"/>
      <c r="C141" s="239"/>
      <c r="D141" s="239"/>
      <c r="E141" s="239"/>
      <c r="F141" s="283"/>
      <c r="G141" s="239"/>
      <c r="H141" s="239"/>
      <c r="I141" s="239"/>
      <c r="J141" s="239"/>
      <c r="K141" s="239"/>
      <c r="L141" s="239"/>
      <c r="M141" s="239"/>
      <c r="N141" s="239"/>
      <c r="O141" s="239"/>
      <c r="P141" s="246"/>
      <c r="Q141" s="239"/>
      <c r="R141" s="239"/>
      <c r="S141" s="239"/>
      <c r="T141" s="239"/>
      <c r="U141" s="239"/>
      <c r="V141" s="239"/>
      <c r="W141" s="246"/>
      <c r="X141" s="239"/>
      <c r="Y141" s="239"/>
      <c r="Z141" s="239"/>
      <c r="AA141" s="239"/>
      <c r="AB141" s="239"/>
      <c r="AC141" s="239"/>
      <c r="AD141" s="239"/>
      <c r="AE141" s="239"/>
      <c r="AF141" s="239"/>
      <c r="AG141" s="239"/>
      <c r="AH141" s="239"/>
      <c r="AI141" s="239"/>
      <c r="AJ141" s="239"/>
    </row>
    <row r="142">
      <c r="A142" s="239"/>
      <c r="B142" s="239"/>
      <c r="C142" s="239"/>
      <c r="D142" s="239"/>
      <c r="E142" s="239"/>
      <c r="F142" s="283"/>
      <c r="G142" s="239"/>
      <c r="H142" s="239"/>
      <c r="I142" s="239"/>
      <c r="J142" s="239"/>
      <c r="K142" s="239"/>
      <c r="L142" s="239"/>
      <c r="M142" s="239"/>
      <c r="N142" s="239"/>
      <c r="O142" s="239"/>
      <c r="P142" s="246"/>
      <c r="Q142" s="239"/>
      <c r="R142" s="239"/>
      <c r="S142" s="239"/>
      <c r="T142" s="239"/>
      <c r="U142" s="239"/>
      <c r="V142" s="239"/>
      <c r="W142" s="246"/>
      <c r="X142" s="239"/>
      <c r="Y142" s="239"/>
      <c r="Z142" s="239"/>
      <c r="AA142" s="239"/>
      <c r="AB142" s="239"/>
      <c r="AC142" s="239"/>
      <c r="AD142" s="239"/>
      <c r="AE142" s="239"/>
      <c r="AF142" s="239"/>
      <c r="AG142" s="239"/>
      <c r="AH142" s="239"/>
      <c r="AI142" s="239"/>
      <c r="AJ142" s="239"/>
    </row>
    <row r="143">
      <c r="A143" s="239"/>
      <c r="B143" s="239"/>
      <c r="C143" s="239"/>
      <c r="D143" s="239"/>
      <c r="E143" s="239"/>
      <c r="F143" s="283"/>
      <c r="G143" s="239"/>
      <c r="H143" s="239"/>
      <c r="I143" s="239"/>
      <c r="J143" s="239"/>
      <c r="K143" s="239"/>
      <c r="L143" s="239"/>
      <c r="M143" s="239"/>
      <c r="N143" s="239"/>
      <c r="O143" s="239"/>
      <c r="P143" s="246"/>
      <c r="Q143" s="239"/>
      <c r="R143" s="239"/>
      <c r="S143" s="239"/>
      <c r="T143" s="239"/>
      <c r="U143" s="239"/>
      <c r="V143" s="239"/>
      <c r="W143" s="246"/>
      <c r="X143" s="239"/>
      <c r="Y143" s="239"/>
      <c r="Z143" s="239"/>
      <c r="AA143" s="239"/>
      <c r="AB143" s="239"/>
      <c r="AC143" s="239"/>
      <c r="AD143" s="239"/>
      <c r="AE143" s="239"/>
      <c r="AF143" s="239"/>
      <c r="AG143" s="239"/>
      <c r="AH143" s="239"/>
      <c r="AI143" s="239"/>
      <c r="AJ143" s="239"/>
    </row>
    <row r="144">
      <c r="A144" s="239"/>
      <c r="B144" s="239"/>
      <c r="C144" s="239"/>
      <c r="D144" s="239"/>
      <c r="E144" s="239"/>
      <c r="F144" s="283"/>
      <c r="G144" s="239"/>
      <c r="H144" s="239"/>
      <c r="I144" s="239"/>
      <c r="J144" s="239"/>
      <c r="K144" s="239"/>
      <c r="L144" s="239"/>
      <c r="M144" s="239"/>
      <c r="N144" s="239"/>
      <c r="O144" s="239"/>
      <c r="P144" s="246"/>
      <c r="Q144" s="239"/>
      <c r="R144" s="239"/>
      <c r="S144" s="239"/>
      <c r="T144" s="239"/>
      <c r="U144" s="239"/>
      <c r="V144" s="239"/>
      <c r="W144" s="246"/>
      <c r="X144" s="239"/>
      <c r="Y144" s="239"/>
      <c r="Z144" s="239"/>
      <c r="AA144" s="239"/>
      <c r="AB144" s="239"/>
      <c r="AC144" s="239"/>
      <c r="AD144" s="239"/>
      <c r="AE144" s="239"/>
      <c r="AF144" s="239"/>
      <c r="AG144" s="239"/>
      <c r="AH144" s="239"/>
      <c r="AI144" s="239"/>
      <c r="AJ144" s="239"/>
    </row>
    <row r="145">
      <c r="A145" s="239"/>
      <c r="B145" s="239"/>
      <c r="C145" s="239"/>
      <c r="D145" s="239"/>
      <c r="E145" s="239"/>
      <c r="F145" s="283"/>
      <c r="G145" s="239"/>
      <c r="H145" s="239"/>
      <c r="I145" s="239"/>
      <c r="J145" s="239"/>
      <c r="K145" s="239"/>
      <c r="L145" s="239"/>
      <c r="M145" s="239"/>
      <c r="N145" s="239"/>
      <c r="O145" s="239"/>
      <c r="P145" s="246"/>
      <c r="Q145" s="239"/>
      <c r="R145" s="239"/>
      <c r="S145" s="239"/>
      <c r="T145" s="239"/>
      <c r="U145" s="239"/>
      <c r="V145" s="239"/>
      <c r="W145" s="246"/>
      <c r="X145" s="239"/>
      <c r="Y145" s="239"/>
      <c r="Z145" s="239"/>
      <c r="AA145" s="239"/>
      <c r="AB145" s="239"/>
      <c r="AC145" s="239"/>
      <c r="AD145" s="239"/>
      <c r="AE145" s="239"/>
      <c r="AF145" s="239"/>
      <c r="AG145" s="239"/>
      <c r="AH145" s="239"/>
      <c r="AI145" s="239"/>
      <c r="AJ145" s="239"/>
    </row>
    <row r="146">
      <c r="A146" s="239"/>
      <c r="B146" s="239"/>
      <c r="C146" s="239"/>
      <c r="D146" s="239"/>
      <c r="E146" s="239"/>
      <c r="F146" s="283"/>
      <c r="G146" s="239"/>
      <c r="H146" s="239"/>
      <c r="I146" s="239"/>
      <c r="J146" s="239"/>
      <c r="K146" s="239"/>
      <c r="L146" s="239"/>
      <c r="M146" s="239"/>
      <c r="N146" s="239"/>
      <c r="O146" s="239"/>
      <c r="P146" s="246"/>
      <c r="Q146" s="239"/>
      <c r="R146" s="239"/>
      <c r="S146" s="239"/>
      <c r="T146" s="239"/>
      <c r="U146" s="239"/>
      <c r="V146" s="239"/>
      <c r="W146" s="246"/>
      <c r="X146" s="239"/>
      <c r="Y146" s="239"/>
      <c r="Z146" s="239"/>
      <c r="AA146" s="239"/>
      <c r="AB146" s="239"/>
      <c r="AC146" s="239"/>
      <c r="AD146" s="239"/>
      <c r="AE146" s="239"/>
      <c r="AF146" s="239"/>
      <c r="AG146" s="239"/>
      <c r="AH146" s="239"/>
      <c r="AI146" s="239"/>
      <c r="AJ146" s="239"/>
    </row>
    <row r="147">
      <c r="A147" s="239"/>
      <c r="B147" s="239"/>
      <c r="C147" s="239"/>
      <c r="D147" s="239"/>
      <c r="E147" s="239"/>
      <c r="F147" s="283"/>
      <c r="G147" s="239"/>
      <c r="H147" s="239"/>
      <c r="I147" s="239"/>
      <c r="J147" s="239"/>
      <c r="K147" s="239"/>
      <c r="L147" s="239"/>
      <c r="M147" s="239"/>
      <c r="N147" s="239"/>
      <c r="O147" s="239"/>
      <c r="P147" s="246"/>
      <c r="Q147" s="239"/>
      <c r="R147" s="239"/>
      <c r="S147" s="239"/>
      <c r="T147" s="239"/>
      <c r="U147" s="239"/>
      <c r="V147" s="239"/>
      <c r="W147" s="246"/>
      <c r="X147" s="239"/>
      <c r="Y147" s="239"/>
      <c r="Z147" s="239"/>
      <c r="AA147" s="239"/>
      <c r="AB147" s="239"/>
      <c r="AC147" s="239"/>
      <c r="AD147" s="239"/>
      <c r="AE147" s="239"/>
      <c r="AF147" s="239"/>
      <c r="AG147" s="239"/>
      <c r="AH147" s="239"/>
      <c r="AI147" s="239"/>
      <c r="AJ147" s="239"/>
    </row>
    <row r="148">
      <c r="A148" s="239"/>
      <c r="B148" s="239"/>
      <c r="C148" s="239"/>
      <c r="D148" s="239"/>
      <c r="E148" s="239"/>
      <c r="F148" s="283"/>
      <c r="G148" s="239"/>
      <c r="H148" s="239"/>
      <c r="I148" s="239"/>
      <c r="J148" s="239"/>
      <c r="K148" s="239"/>
      <c r="L148" s="239"/>
      <c r="M148" s="239"/>
      <c r="N148" s="239"/>
      <c r="O148" s="239"/>
      <c r="P148" s="246"/>
      <c r="Q148" s="239"/>
      <c r="R148" s="239"/>
      <c r="S148" s="239"/>
      <c r="T148" s="239"/>
      <c r="U148" s="239"/>
      <c r="V148" s="239"/>
      <c r="W148" s="246"/>
      <c r="X148" s="239"/>
      <c r="Y148" s="239"/>
      <c r="Z148" s="239"/>
      <c r="AA148" s="239"/>
      <c r="AB148" s="239"/>
      <c r="AC148" s="239"/>
      <c r="AD148" s="239"/>
      <c r="AE148" s="239"/>
      <c r="AF148" s="239"/>
      <c r="AG148" s="239"/>
      <c r="AH148" s="239"/>
      <c r="AI148" s="239"/>
      <c r="AJ148" s="239"/>
    </row>
    <row r="149">
      <c r="A149" s="239"/>
      <c r="B149" s="239"/>
      <c r="C149" s="239"/>
      <c r="D149" s="239"/>
      <c r="E149" s="239"/>
      <c r="F149" s="283"/>
      <c r="G149" s="239"/>
      <c r="H149" s="239"/>
      <c r="I149" s="239"/>
      <c r="J149" s="239"/>
      <c r="K149" s="239"/>
      <c r="L149" s="239"/>
      <c r="M149" s="239"/>
      <c r="N149" s="239"/>
      <c r="O149" s="239"/>
      <c r="P149" s="246"/>
      <c r="Q149" s="239"/>
      <c r="R149" s="239"/>
      <c r="S149" s="239"/>
      <c r="T149" s="239"/>
      <c r="U149" s="239"/>
      <c r="V149" s="239"/>
      <c r="W149" s="246"/>
      <c r="X149" s="239"/>
      <c r="Y149" s="239"/>
      <c r="Z149" s="239"/>
      <c r="AA149" s="239"/>
      <c r="AB149" s="239"/>
      <c r="AC149" s="239"/>
      <c r="AD149" s="239"/>
      <c r="AE149" s="239"/>
      <c r="AF149" s="239"/>
      <c r="AG149" s="239"/>
      <c r="AH149" s="239"/>
      <c r="AI149" s="239"/>
      <c r="AJ149" s="239"/>
    </row>
    <row r="150">
      <c r="A150" s="239"/>
      <c r="B150" s="239"/>
      <c r="C150" s="239"/>
      <c r="D150" s="239"/>
      <c r="E150" s="239"/>
      <c r="F150" s="283"/>
      <c r="G150" s="239"/>
      <c r="H150" s="239"/>
      <c r="I150" s="239"/>
      <c r="J150" s="239"/>
      <c r="K150" s="239"/>
      <c r="L150" s="239"/>
      <c r="M150" s="239"/>
      <c r="N150" s="239"/>
      <c r="O150" s="239"/>
      <c r="P150" s="246"/>
      <c r="Q150" s="239"/>
      <c r="R150" s="239"/>
      <c r="S150" s="239"/>
      <c r="T150" s="239"/>
      <c r="U150" s="239"/>
      <c r="V150" s="239"/>
      <c r="W150" s="246"/>
      <c r="X150" s="239"/>
      <c r="Y150" s="239"/>
      <c r="Z150" s="239"/>
      <c r="AA150" s="239"/>
      <c r="AB150" s="239"/>
      <c r="AC150" s="239"/>
      <c r="AD150" s="239"/>
      <c r="AE150" s="239"/>
      <c r="AF150" s="239"/>
      <c r="AG150" s="239"/>
      <c r="AH150" s="239"/>
      <c r="AI150" s="239"/>
      <c r="AJ150" s="239"/>
    </row>
    <row r="151">
      <c r="A151" s="239"/>
      <c r="B151" s="239"/>
      <c r="C151" s="239"/>
      <c r="D151" s="239"/>
      <c r="E151" s="239"/>
      <c r="F151" s="283"/>
      <c r="G151" s="239"/>
      <c r="H151" s="239"/>
      <c r="I151" s="239"/>
      <c r="J151" s="239"/>
      <c r="K151" s="239"/>
      <c r="L151" s="239"/>
      <c r="M151" s="239"/>
      <c r="N151" s="239"/>
      <c r="O151" s="239"/>
      <c r="P151" s="246"/>
      <c r="Q151" s="239"/>
      <c r="R151" s="239"/>
      <c r="S151" s="239"/>
      <c r="T151" s="239"/>
      <c r="U151" s="239"/>
      <c r="V151" s="239"/>
      <c r="W151" s="246"/>
      <c r="X151" s="239"/>
      <c r="Y151" s="239"/>
      <c r="Z151" s="239"/>
      <c r="AA151" s="239"/>
      <c r="AB151" s="239"/>
      <c r="AC151" s="239"/>
      <c r="AD151" s="239"/>
      <c r="AE151" s="239"/>
      <c r="AF151" s="239"/>
      <c r="AG151" s="239"/>
      <c r="AH151" s="239"/>
      <c r="AI151" s="239"/>
      <c r="AJ151" s="239"/>
    </row>
    <row r="152">
      <c r="A152" s="239"/>
      <c r="B152" s="239"/>
      <c r="C152" s="239"/>
      <c r="D152" s="239"/>
      <c r="E152" s="239"/>
      <c r="F152" s="283"/>
      <c r="G152" s="239"/>
      <c r="H152" s="239"/>
      <c r="I152" s="239"/>
      <c r="J152" s="239"/>
      <c r="K152" s="239"/>
      <c r="L152" s="239"/>
      <c r="M152" s="239"/>
      <c r="N152" s="239"/>
      <c r="O152" s="239"/>
      <c r="P152" s="246"/>
      <c r="Q152" s="239"/>
      <c r="R152" s="239"/>
      <c r="S152" s="239"/>
      <c r="T152" s="239"/>
      <c r="U152" s="239"/>
      <c r="V152" s="239"/>
      <c r="W152" s="246"/>
      <c r="X152" s="239"/>
      <c r="Y152" s="239"/>
      <c r="Z152" s="239"/>
      <c r="AA152" s="239"/>
      <c r="AB152" s="239"/>
      <c r="AC152" s="239"/>
      <c r="AD152" s="239"/>
      <c r="AE152" s="239"/>
      <c r="AF152" s="239"/>
      <c r="AG152" s="239"/>
      <c r="AH152" s="239"/>
      <c r="AI152" s="239"/>
      <c r="AJ152" s="239"/>
    </row>
    <row r="153">
      <c r="A153" s="239"/>
      <c r="B153" s="239"/>
      <c r="C153" s="239"/>
      <c r="D153" s="239"/>
      <c r="E153" s="239"/>
      <c r="F153" s="283"/>
      <c r="G153" s="239"/>
      <c r="H153" s="239"/>
      <c r="I153" s="239"/>
      <c r="J153" s="239"/>
      <c r="K153" s="239"/>
      <c r="L153" s="239"/>
      <c r="M153" s="239"/>
      <c r="N153" s="239"/>
      <c r="O153" s="239"/>
      <c r="P153" s="246"/>
      <c r="Q153" s="239"/>
      <c r="R153" s="239"/>
      <c r="S153" s="239"/>
      <c r="T153" s="239"/>
      <c r="U153" s="239"/>
      <c r="V153" s="239"/>
      <c r="W153" s="246"/>
      <c r="X153" s="239"/>
      <c r="Y153" s="239"/>
      <c r="Z153" s="239"/>
      <c r="AA153" s="239"/>
      <c r="AB153" s="239"/>
      <c r="AC153" s="239"/>
      <c r="AD153" s="239"/>
      <c r="AE153" s="239"/>
      <c r="AF153" s="239"/>
      <c r="AG153" s="239"/>
      <c r="AH153" s="239"/>
      <c r="AI153" s="239"/>
      <c r="AJ153" s="239"/>
    </row>
    <row r="154">
      <c r="A154" s="239"/>
      <c r="B154" s="239"/>
      <c r="C154" s="239"/>
      <c r="D154" s="239"/>
      <c r="E154" s="239"/>
      <c r="F154" s="283"/>
      <c r="G154" s="239"/>
      <c r="H154" s="239"/>
      <c r="I154" s="239"/>
      <c r="J154" s="239"/>
      <c r="K154" s="239"/>
      <c r="L154" s="239"/>
      <c r="M154" s="239"/>
      <c r="N154" s="239"/>
      <c r="O154" s="239"/>
      <c r="P154" s="246"/>
      <c r="Q154" s="239"/>
      <c r="R154" s="239"/>
      <c r="S154" s="239"/>
      <c r="T154" s="239"/>
      <c r="U154" s="239"/>
      <c r="V154" s="239"/>
      <c r="W154" s="246"/>
      <c r="X154" s="239"/>
      <c r="Y154" s="239"/>
      <c r="Z154" s="239"/>
      <c r="AA154" s="239"/>
      <c r="AB154" s="239"/>
      <c r="AC154" s="239"/>
      <c r="AD154" s="239"/>
      <c r="AE154" s="239"/>
      <c r="AF154" s="239"/>
      <c r="AG154" s="239"/>
      <c r="AH154" s="239"/>
      <c r="AI154" s="239"/>
      <c r="AJ154" s="239"/>
    </row>
    <row r="155">
      <c r="A155" s="239"/>
      <c r="B155" s="239"/>
      <c r="C155" s="239"/>
      <c r="D155" s="239"/>
      <c r="E155" s="239"/>
      <c r="F155" s="283"/>
      <c r="G155" s="239"/>
      <c r="H155" s="239"/>
      <c r="I155" s="239"/>
      <c r="J155" s="239"/>
      <c r="K155" s="239"/>
      <c r="L155" s="239"/>
      <c r="M155" s="239"/>
      <c r="N155" s="239"/>
      <c r="O155" s="239"/>
      <c r="P155" s="246"/>
      <c r="Q155" s="239"/>
      <c r="R155" s="239"/>
      <c r="S155" s="239"/>
      <c r="T155" s="239"/>
      <c r="U155" s="239"/>
      <c r="V155" s="239"/>
      <c r="W155" s="246"/>
      <c r="X155" s="239"/>
      <c r="Y155" s="239"/>
      <c r="Z155" s="239"/>
      <c r="AA155" s="239"/>
      <c r="AB155" s="239"/>
      <c r="AC155" s="239"/>
      <c r="AD155" s="239"/>
      <c r="AE155" s="239"/>
      <c r="AF155" s="239"/>
      <c r="AG155" s="239"/>
      <c r="AH155" s="239"/>
      <c r="AI155" s="239"/>
      <c r="AJ155" s="239"/>
    </row>
    <row r="156">
      <c r="A156" s="239"/>
      <c r="B156" s="239"/>
      <c r="C156" s="239"/>
      <c r="D156" s="239"/>
      <c r="E156" s="239"/>
      <c r="F156" s="283"/>
      <c r="G156" s="239"/>
      <c r="H156" s="239"/>
      <c r="I156" s="239"/>
      <c r="J156" s="239"/>
      <c r="K156" s="239"/>
      <c r="L156" s="239"/>
      <c r="M156" s="239"/>
      <c r="N156" s="239"/>
      <c r="O156" s="239"/>
      <c r="P156" s="246"/>
      <c r="Q156" s="239"/>
      <c r="R156" s="239"/>
      <c r="S156" s="239"/>
      <c r="T156" s="239"/>
      <c r="U156" s="239"/>
      <c r="V156" s="239"/>
      <c r="W156" s="246"/>
      <c r="X156" s="239"/>
      <c r="Y156" s="239"/>
      <c r="Z156" s="239"/>
      <c r="AA156" s="239"/>
      <c r="AB156" s="239"/>
      <c r="AC156" s="239"/>
      <c r="AD156" s="239"/>
      <c r="AE156" s="239"/>
      <c r="AF156" s="239"/>
      <c r="AG156" s="239"/>
      <c r="AH156" s="239"/>
      <c r="AI156" s="239"/>
      <c r="AJ156" s="239"/>
    </row>
    <row r="157">
      <c r="A157" s="239"/>
      <c r="B157" s="239"/>
      <c r="C157" s="239"/>
      <c r="D157" s="239"/>
      <c r="E157" s="239"/>
      <c r="F157" s="283"/>
      <c r="G157" s="239"/>
      <c r="H157" s="239"/>
      <c r="I157" s="239"/>
      <c r="J157" s="239"/>
      <c r="K157" s="239"/>
      <c r="L157" s="239"/>
      <c r="M157" s="239"/>
      <c r="N157" s="239"/>
      <c r="O157" s="239"/>
      <c r="P157" s="246"/>
      <c r="Q157" s="239"/>
      <c r="R157" s="239"/>
      <c r="S157" s="239"/>
      <c r="T157" s="239"/>
      <c r="U157" s="239"/>
      <c r="V157" s="239"/>
      <c r="W157" s="246"/>
      <c r="X157" s="239"/>
      <c r="Y157" s="239"/>
      <c r="Z157" s="239"/>
      <c r="AA157" s="239"/>
      <c r="AB157" s="239"/>
      <c r="AC157" s="239"/>
      <c r="AD157" s="239"/>
      <c r="AE157" s="239"/>
      <c r="AF157" s="239"/>
      <c r="AG157" s="239"/>
      <c r="AH157" s="239"/>
      <c r="AI157" s="239"/>
      <c r="AJ157" s="239"/>
    </row>
    <row r="158">
      <c r="A158" s="239"/>
      <c r="B158" s="239"/>
      <c r="C158" s="239"/>
      <c r="D158" s="239"/>
      <c r="E158" s="239"/>
      <c r="F158" s="283"/>
      <c r="G158" s="239"/>
      <c r="H158" s="239"/>
      <c r="I158" s="239"/>
      <c r="J158" s="239"/>
      <c r="K158" s="239"/>
      <c r="L158" s="239"/>
      <c r="M158" s="239"/>
      <c r="N158" s="239"/>
      <c r="O158" s="239"/>
      <c r="P158" s="246"/>
      <c r="Q158" s="239"/>
      <c r="R158" s="239"/>
      <c r="S158" s="239"/>
      <c r="T158" s="239"/>
      <c r="U158" s="239"/>
      <c r="V158" s="239"/>
      <c r="W158" s="246"/>
      <c r="X158" s="239"/>
      <c r="Y158" s="239"/>
      <c r="Z158" s="239"/>
      <c r="AA158" s="239"/>
      <c r="AB158" s="239"/>
      <c r="AC158" s="239"/>
      <c r="AD158" s="239"/>
      <c r="AE158" s="239"/>
      <c r="AF158" s="239"/>
      <c r="AG158" s="239"/>
      <c r="AH158" s="239"/>
      <c r="AI158" s="239"/>
      <c r="AJ158" s="239"/>
    </row>
    <row r="159">
      <c r="A159" s="239"/>
      <c r="B159" s="239"/>
      <c r="C159" s="239"/>
      <c r="D159" s="239"/>
      <c r="E159" s="239"/>
      <c r="F159" s="283"/>
      <c r="G159" s="239"/>
      <c r="H159" s="239"/>
      <c r="I159" s="239"/>
      <c r="J159" s="239"/>
      <c r="K159" s="239"/>
      <c r="L159" s="239"/>
      <c r="M159" s="239"/>
      <c r="N159" s="239"/>
      <c r="O159" s="239"/>
      <c r="P159" s="246"/>
      <c r="Q159" s="239"/>
      <c r="R159" s="239"/>
      <c r="S159" s="239"/>
      <c r="T159" s="239"/>
      <c r="U159" s="239"/>
      <c r="V159" s="239"/>
      <c r="W159" s="246"/>
      <c r="X159" s="239"/>
      <c r="Y159" s="239"/>
      <c r="Z159" s="239"/>
      <c r="AA159" s="239"/>
      <c r="AB159" s="239"/>
      <c r="AC159" s="239"/>
      <c r="AD159" s="239"/>
      <c r="AE159" s="239"/>
      <c r="AF159" s="239"/>
      <c r="AG159" s="239"/>
      <c r="AH159" s="239"/>
      <c r="AI159" s="239"/>
      <c r="AJ159" s="239"/>
    </row>
    <row r="160">
      <c r="A160" s="239"/>
      <c r="B160" s="239"/>
      <c r="C160" s="239"/>
      <c r="D160" s="239"/>
      <c r="E160" s="239"/>
      <c r="F160" s="283"/>
      <c r="G160" s="239"/>
      <c r="H160" s="239"/>
      <c r="I160" s="239"/>
      <c r="J160" s="239"/>
      <c r="K160" s="239"/>
      <c r="L160" s="239"/>
      <c r="M160" s="239"/>
      <c r="N160" s="239"/>
      <c r="O160" s="239"/>
      <c r="P160" s="246"/>
      <c r="Q160" s="239"/>
      <c r="R160" s="239"/>
      <c r="S160" s="239"/>
      <c r="T160" s="239"/>
      <c r="U160" s="239"/>
      <c r="V160" s="239"/>
      <c r="W160" s="246"/>
      <c r="X160" s="239"/>
      <c r="Y160" s="239"/>
      <c r="Z160" s="239"/>
      <c r="AA160" s="239"/>
      <c r="AB160" s="239"/>
      <c r="AC160" s="239"/>
      <c r="AD160" s="239"/>
      <c r="AE160" s="239"/>
      <c r="AF160" s="239"/>
      <c r="AG160" s="239"/>
      <c r="AH160" s="239"/>
      <c r="AI160" s="239"/>
      <c r="AJ160" s="239"/>
    </row>
    <row r="161">
      <c r="A161" s="239"/>
      <c r="B161" s="239"/>
      <c r="C161" s="239"/>
      <c r="D161" s="239"/>
      <c r="E161" s="239"/>
      <c r="F161" s="283"/>
      <c r="G161" s="239"/>
      <c r="H161" s="239"/>
      <c r="I161" s="239"/>
      <c r="J161" s="239"/>
      <c r="K161" s="239"/>
      <c r="L161" s="239"/>
      <c r="M161" s="239"/>
      <c r="N161" s="239"/>
      <c r="O161" s="239"/>
      <c r="P161" s="246"/>
      <c r="Q161" s="239"/>
      <c r="R161" s="239"/>
      <c r="S161" s="239"/>
      <c r="T161" s="239"/>
      <c r="U161" s="239"/>
      <c r="V161" s="239"/>
      <c r="W161" s="246"/>
      <c r="X161" s="239"/>
      <c r="Y161" s="239"/>
      <c r="Z161" s="239"/>
      <c r="AA161" s="239"/>
      <c r="AB161" s="239"/>
      <c r="AC161" s="239"/>
      <c r="AD161" s="239"/>
      <c r="AE161" s="239"/>
      <c r="AF161" s="239"/>
      <c r="AG161" s="239"/>
      <c r="AH161" s="239"/>
      <c r="AI161" s="239"/>
      <c r="AJ161" s="239"/>
    </row>
    <row r="162">
      <c r="A162" s="239"/>
      <c r="B162" s="239"/>
      <c r="C162" s="239"/>
      <c r="D162" s="239"/>
      <c r="E162" s="239"/>
      <c r="F162" s="283"/>
      <c r="G162" s="239"/>
      <c r="H162" s="239"/>
      <c r="I162" s="239"/>
      <c r="J162" s="239"/>
      <c r="K162" s="239"/>
      <c r="L162" s="239"/>
      <c r="M162" s="239"/>
      <c r="N162" s="239"/>
      <c r="O162" s="239"/>
      <c r="P162" s="246"/>
      <c r="Q162" s="239"/>
      <c r="R162" s="239"/>
      <c r="S162" s="239"/>
      <c r="T162" s="239"/>
      <c r="U162" s="239"/>
      <c r="V162" s="239"/>
      <c r="W162" s="246"/>
      <c r="X162" s="239"/>
      <c r="Y162" s="239"/>
      <c r="Z162" s="239"/>
      <c r="AA162" s="239"/>
      <c r="AB162" s="239"/>
      <c r="AC162" s="239"/>
      <c r="AD162" s="239"/>
      <c r="AE162" s="239"/>
      <c r="AF162" s="239"/>
      <c r="AG162" s="239"/>
      <c r="AH162" s="239"/>
      <c r="AI162" s="239"/>
      <c r="AJ162" s="239"/>
    </row>
    <row r="163">
      <c r="A163" s="239"/>
      <c r="B163" s="239"/>
      <c r="C163" s="239"/>
      <c r="D163" s="239"/>
      <c r="E163" s="239"/>
      <c r="F163" s="283"/>
      <c r="G163" s="239"/>
      <c r="H163" s="239"/>
      <c r="I163" s="239"/>
      <c r="J163" s="239"/>
      <c r="K163" s="239"/>
      <c r="L163" s="239"/>
      <c r="M163" s="239"/>
      <c r="N163" s="239"/>
      <c r="O163" s="239"/>
      <c r="P163" s="246"/>
      <c r="Q163" s="239"/>
      <c r="R163" s="239"/>
      <c r="S163" s="239"/>
      <c r="T163" s="239"/>
      <c r="U163" s="239"/>
      <c r="V163" s="239"/>
      <c r="W163" s="246"/>
      <c r="X163" s="239"/>
      <c r="Y163" s="239"/>
      <c r="Z163" s="239"/>
      <c r="AA163" s="239"/>
      <c r="AB163" s="239"/>
      <c r="AC163" s="239"/>
      <c r="AD163" s="239"/>
      <c r="AE163" s="239"/>
      <c r="AF163" s="239"/>
      <c r="AG163" s="239"/>
      <c r="AH163" s="239"/>
      <c r="AI163" s="239"/>
      <c r="AJ163" s="239"/>
    </row>
    <row r="164">
      <c r="A164" s="239"/>
      <c r="B164" s="239"/>
      <c r="C164" s="239"/>
      <c r="D164" s="239"/>
      <c r="E164" s="239"/>
      <c r="F164" s="283"/>
      <c r="G164" s="239"/>
      <c r="H164" s="239"/>
      <c r="I164" s="239"/>
      <c r="J164" s="239"/>
      <c r="K164" s="239"/>
      <c r="L164" s="239"/>
      <c r="M164" s="239"/>
      <c r="N164" s="239"/>
      <c r="O164" s="239"/>
      <c r="P164" s="246"/>
      <c r="Q164" s="239"/>
      <c r="R164" s="239"/>
      <c r="S164" s="239"/>
      <c r="T164" s="239"/>
      <c r="U164" s="239"/>
      <c r="V164" s="239"/>
      <c r="W164" s="246"/>
      <c r="X164" s="239"/>
      <c r="Y164" s="239"/>
      <c r="Z164" s="239"/>
      <c r="AA164" s="239"/>
      <c r="AB164" s="239"/>
      <c r="AC164" s="239"/>
      <c r="AD164" s="239"/>
      <c r="AE164" s="239"/>
      <c r="AF164" s="239"/>
      <c r="AG164" s="239"/>
      <c r="AH164" s="239"/>
      <c r="AI164" s="239"/>
      <c r="AJ164" s="239"/>
    </row>
    <row r="165">
      <c r="A165" s="239"/>
      <c r="B165" s="239"/>
      <c r="C165" s="239"/>
      <c r="D165" s="239"/>
      <c r="E165" s="239"/>
      <c r="F165" s="283"/>
      <c r="G165" s="239"/>
      <c r="H165" s="239"/>
      <c r="I165" s="239"/>
      <c r="J165" s="239"/>
      <c r="K165" s="239"/>
      <c r="L165" s="239"/>
      <c r="M165" s="239"/>
      <c r="N165" s="239"/>
      <c r="O165" s="239"/>
      <c r="P165" s="246"/>
      <c r="Q165" s="239"/>
      <c r="R165" s="239"/>
      <c r="S165" s="239"/>
      <c r="T165" s="239"/>
      <c r="U165" s="239"/>
      <c r="V165" s="239"/>
      <c r="W165" s="246"/>
      <c r="X165" s="239"/>
      <c r="Y165" s="239"/>
      <c r="Z165" s="239"/>
      <c r="AA165" s="239"/>
      <c r="AB165" s="239"/>
      <c r="AC165" s="239"/>
      <c r="AD165" s="239"/>
      <c r="AE165" s="239"/>
      <c r="AF165" s="239"/>
      <c r="AG165" s="239"/>
      <c r="AH165" s="239"/>
      <c r="AI165" s="239"/>
      <c r="AJ165" s="239"/>
    </row>
    <row r="166">
      <c r="A166" s="239"/>
      <c r="B166" s="239"/>
      <c r="C166" s="239"/>
      <c r="D166" s="239"/>
      <c r="E166" s="239"/>
      <c r="F166" s="283"/>
      <c r="G166" s="239"/>
      <c r="H166" s="239"/>
      <c r="I166" s="239"/>
      <c r="J166" s="239"/>
      <c r="K166" s="239"/>
      <c r="L166" s="239"/>
      <c r="M166" s="239"/>
      <c r="N166" s="239"/>
      <c r="O166" s="239"/>
      <c r="P166" s="246"/>
      <c r="Q166" s="239"/>
      <c r="R166" s="239"/>
      <c r="S166" s="239"/>
      <c r="T166" s="239"/>
      <c r="U166" s="239"/>
      <c r="V166" s="239"/>
      <c r="W166" s="246"/>
      <c r="X166" s="239"/>
      <c r="Y166" s="239"/>
      <c r="Z166" s="239"/>
      <c r="AA166" s="239"/>
      <c r="AB166" s="239"/>
      <c r="AC166" s="239"/>
      <c r="AD166" s="239"/>
      <c r="AE166" s="239"/>
      <c r="AF166" s="239"/>
      <c r="AG166" s="239"/>
      <c r="AH166" s="239"/>
      <c r="AI166" s="239"/>
      <c r="AJ166" s="239"/>
    </row>
    <row r="167">
      <c r="A167" s="239"/>
      <c r="B167" s="239"/>
      <c r="C167" s="239"/>
      <c r="D167" s="239"/>
      <c r="E167" s="239"/>
      <c r="F167" s="283"/>
      <c r="G167" s="239"/>
      <c r="H167" s="239"/>
      <c r="I167" s="239"/>
      <c r="J167" s="239"/>
      <c r="K167" s="239"/>
      <c r="L167" s="239"/>
      <c r="M167" s="239"/>
      <c r="N167" s="239"/>
      <c r="O167" s="239"/>
      <c r="P167" s="246"/>
      <c r="Q167" s="239"/>
      <c r="R167" s="239"/>
      <c r="S167" s="239"/>
      <c r="T167" s="239"/>
      <c r="U167" s="239"/>
      <c r="V167" s="239"/>
      <c r="W167" s="246"/>
      <c r="X167" s="239"/>
      <c r="Y167" s="239"/>
      <c r="Z167" s="239"/>
      <c r="AA167" s="239"/>
      <c r="AB167" s="239"/>
      <c r="AC167" s="239"/>
      <c r="AD167" s="239"/>
      <c r="AE167" s="239"/>
      <c r="AF167" s="239"/>
      <c r="AG167" s="239"/>
      <c r="AH167" s="239"/>
      <c r="AI167" s="239"/>
      <c r="AJ167" s="239"/>
    </row>
    <row r="168">
      <c r="A168" s="239"/>
      <c r="B168" s="239"/>
      <c r="C168" s="239"/>
      <c r="D168" s="239"/>
      <c r="E168" s="239"/>
      <c r="F168" s="283"/>
      <c r="G168" s="239"/>
      <c r="H168" s="239"/>
      <c r="I168" s="239"/>
      <c r="J168" s="239"/>
      <c r="K168" s="239"/>
      <c r="L168" s="239"/>
      <c r="M168" s="239"/>
      <c r="N168" s="239"/>
      <c r="O168" s="239"/>
      <c r="P168" s="246"/>
      <c r="Q168" s="239"/>
      <c r="R168" s="239"/>
      <c r="S168" s="239"/>
      <c r="T168" s="239"/>
      <c r="U168" s="239"/>
      <c r="V168" s="239"/>
      <c r="W168" s="246"/>
      <c r="X168" s="239"/>
      <c r="Y168" s="239"/>
      <c r="Z168" s="239"/>
      <c r="AA168" s="239"/>
      <c r="AB168" s="239"/>
      <c r="AC168" s="239"/>
      <c r="AD168" s="239"/>
      <c r="AE168" s="239"/>
      <c r="AF168" s="239"/>
      <c r="AG168" s="239"/>
      <c r="AH168" s="239"/>
      <c r="AI168" s="239"/>
      <c r="AJ168" s="239"/>
    </row>
    <row r="169">
      <c r="A169" s="239"/>
      <c r="B169" s="239"/>
      <c r="C169" s="239"/>
      <c r="D169" s="239"/>
      <c r="E169" s="239"/>
      <c r="F169" s="283"/>
      <c r="G169" s="239"/>
      <c r="H169" s="239"/>
      <c r="I169" s="239"/>
      <c r="J169" s="239"/>
      <c r="K169" s="239"/>
      <c r="L169" s="239"/>
      <c r="M169" s="239"/>
      <c r="N169" s="239"/>
      <c r="O169" s="239"/>
      <c r="P169" s="246"/>
      <c r="Q169" s="239"/>
      <c r="R169" s="239"/>
      <c r="S169" s="239"/>
      <c r="T169" s="239"/>
      <c r="U169" s="239"/>
      <c r="V169" s="239"/>
      <c r="W169" s="246"/>
      <c r="X169" s="239"/>
      <c r="Y169" s="239"/>
      <c r="Z169" s="239"/>
      <c r="AA169" s="239"/>
      <c r="AB169" s="239"/>
      <c r="AC169" s="239"/>
      <c r="AD169" s="239"/>
      <c r="AE169" s="239"/>
      <c r="AF169" s="239"/>
      <c r="AG169" s="239"/>
      <c r="AH169" s="239"/>
      <c r="AI169" s="239"/>
      <c r="AJ169" s="239"/>
    </row>
    <row r="170">
      <c r="A170" s="239"/>
      <c r="B170" s="239"/>
      <c r="C170" s="239"/>
      <c r="D170" s="239"/>
      <c r="E170" s="239"/>
      <c r="F170" s="283"/>
      <c r="G170" s="239"/>
      <c r="H170" s="239"/>
      <c r="I170" s="239"/>
      <c r="J170" s="239"/>
      <c r="K170" s="239"/>
      <c r="L170" s="239"/>
      <c r="M170" s="239"/>
      <c r="N170" s="239"/>
      <c r="O170" s="239"/>
      <c r="P170" s="246"/>
      <c r="Q170" s="239"/>
      <c r="R170" s="239"/>
      <c r="S170" s="239"/>
      <c r="T170" s="239"/>
      <c r="U170" s="239"/>
      <c r="V170" s="239"/>
      <c r="W170" s="246"/>
      <c r="X170" s="239"/>
      <c r="Y170" s="239"/>
      <c r="Z170" s="239"/>
      <c r="AA170" s="239"/>
      <c r="AB170" s="239"/>
      <c r="AC170" s="239"/>
      <c r="AD170" s="239"/>
      <c r="AE170" s="239"/>
      <c r="AF170" s="239"/>
      <c r="AG170" s="239"/>
      <c r="AH170" s="239"/>
      <c r="AI170" s="239"/>
      <c r="AJ170" s="239"/>
    </row>
    <row r="171">
      <c r="A171" s="239"/>
      <c r="B171" s="239"/>
      <c r="C171" s="239"/>
      <c r="D171" s="239"/>
      <c r="E171" s="239"/>
      <c r="F171" s="283"/>
      <c r="G171" s="239"/>
      <c r="H171" s="239"/>
      <c r="I171" s="239"/>
      <c r="J171" s="239"/>
      <c r="K171" s="239"/>
      <c r="L171" s="239"/>
      <c r="M171" s="239"/>
      <c r="N171" s="239"/>
      <c r="O171" s="239"/>
      <c r="P171" s="246"/>
      <c r="Q171" s="239"/>
      <c r="R171" s="239"/>
      <c r="S171" s="239"/>
      <c r="T171" s="239"/>
      <c r="U171" s="239"/>
      <c r="V171" s="239"/>
      <c r="W171" s="246"/>
      <c r="X171" s="239"/>
      <c r="Y171" s="239"/>
      <c r="Z171" s="239"/>
      <c r="AA171" s="239"/>
      <c r="AB171" s="239"/>
      <c r="AC171" s="239"/>
      <c r="AD171" s="239"/>
      <c r="AE171" s="239"/>
      <c r="AF171" s="239"/>
      <c r="AG171" s="239"/>
      <c r="AH171" s="239"/>
      <c r="AI171" s="239"/>
      <c r="AJ171" s="239"/>
    </row>
    <row r="172">
      <c r="A172" s="239"/>
      <c r="B172" s="239"/>
      <c r="C172" s="239"/>
      <c r="D172" s="239"/>
      <c r="E172" s="239"/>
      <c r="F172" s="283"/>
      <c r="G172" s="239"/>
      <c r="H172" s="239"/>
      <c r="I172" s="239"/>
      <c r="J172" s="239"/>
      <c r="K172" s="239"/>
      <c r="L172" s="239"/>
      <c r="M172" s="239"/>
      <c r="N172" s="239"/>
      <c r="O172" s="239"/>
      <c r="P172" s="246"/>
      <c r="Q172" s="239"/>
      <c r="R172" s="239"/>
      <c r="S172" s="239"/>
      <c r="T172" s="239"/>
      <c r="U172" s="239"/>
      <c r="V172" s="239"/>
      <c r="W172" s="246"/>
      <c r="X172" s="239"/>
      <c r="Y172" s="239"/>
      <c r="Z172" s="239"/>
      <c r="AA172" s="239"/>
      <c r="AB172" s="239"/>
      <c r="AC172" s="239"/>
      <c r="AD172" s="239"/>
      <c r="AE172" s="239"/>
      <c r="AF172" s="239"/>
      <c r="AG172" s="239"/>
      <c r="AH172" s="239"/>
      <c r="AI172" s="239"/>
      <c r="AJ172" s="239"/>
    </row>
    <row r="173">
      <c r="A173" s="239"/>
      <c r="B173" s="239"/>
      <c r="C173" s="239"/>
      <c r="D173" s="239"/>
      <c r="E173" s="239"/>
      <c r="F173" s="283"/>
      <c r="G173" s="239"/>
      <c r="H173" s="239"/>
      <c r="I173" s="239"/>
      <c r="J173" s="239"/>
      <c r="K173" s="239"/>
      <c r="L173" s="239"/>
      <c r="M173" s="239"/>
      <c r="N173" s="239"/>
      <c r="O173" s="239"/>
      <c r="P173" s="246"/>
      <c r="Q173" s="239"/>
      <c r="R173" s="239"/>
      <c r="S173" s="239"/>
      <c r="T173" s="239"/>
      <c r="U173" s="239"/>
      <c r="V173" s="239"/>
      <c r="W173" s="246"/>
      <c r="X173" s="239"/>
      <c r="Y173" s="239"/>
      <c r="Z173" s="239"/>
      <c r="AA173" s="239"/>
      <c r="AB173" s="239"/>
      <c r="AC173" s="239"/>
      <c r="AD173" s="239"/>
      <c r="AE173" s="239"/>
      <c r="AF173" s="239"/>
      <c r="AG173" s="239"/>
      <c r="AH173" s="239"/>
      <c r="AI173" s="239"/>
      <c r="AJ173" s="239"/>
    </row>
    <row r="174">
      <c r="A174" s="239"/>
      <c r="B174" s="239"/>
      <c r="C174" s="239"/>
      <c r="D174" s="239"/>
      <c r="E174" s="239"/>
      <c r="F174" s="283"/>
      <c r="G174" s="239"/>
      <c r="H174" s="239"/>
      <c r="I174" s="239"/>
      <c r="J174" s="239"/>
      <c r="K174" s="239"/>
      <c r="L174" s="239"/>
      <c r="M174" s="239"/>
      <c r="N174" s="239"/>
      <c r="O174" s="239"/>
      <c r="P174" s="246"/>
      <c r="Q174" s="239"/>
      <c r="R174" s="239"/>
      <c r="S174" s="239"/>
      <c r="T174" s="239"/>
      <c r="U174" s="239"/>
      <c r="V174" s="239"/>
      <c r="W174" s="246"/>
      <c r="X174" s="239"/>
      <c r="Y174" s="239"/>
      <c r="Z174" s="239"/>
      <c r="AA174" s="239"/>
      <c r="AB174" s="239"/>
      <c r="AC174" s="239"/>
      <c r="AD174" s="239"/>
      <c r="AE174" s="239"/>
      <c r="AF174" s="239"/>
      <c r="AG174" s="239"/>
      <c r="AH174" s="239"/>
      <c r="AI174" s="239"/>
      <c r="AJ174" s="239"/>
    </row>
    <row r="175">
      <c r="A175" s="239"/>
      <c r="B175" s="239"/>
      <c r="C175" s="239"/>
      <c r="D175" s="239"/>
      <c r="E175" s="239"/>
      <c r="F175" s="283"/>
      <c r="G175" s="239"/>
      <c r="H175" s="239"/>
      <c r="I175" s="239"/>
      <c r="J175" s="239"/>
      <c r="K175" s="239"/>
      <c r="L175" s="239"/>
      <c r="M175" s="239"/>
      <c r="N175" s="239"/>
      <c r="O175" s="239"/>
      <c r="P175" s="246"/>
      <c r="Q175" s="239"/>
      <c r="R175" s="239"/>
      <c r="S175" s="239"/>
      <c r="T175" s="239"/>
      <c r="U175" s="239"/>
      <c r="V175" s="239"/>
      <c r="W175" s="246"/>
      <c r="X175" s="239"/>
      <c r="Y175" s="239"/>
      <c r="Z175" s="239"/>
      <c r="AA175" s="239"/>
      <c r="AB175" s="239"/>
      <c r="AC175" s="239"/>
      <c r="AD175" s="239"/>
      <c r="AE175" s="239"/>
      <c r="AF175" s="239"/>
      <c r="AG175" s="239"/>
      <c r="AH175" s="239"/>
      <c r="AI175" s="239"/>
      <c r="AJ175" s="239"/>
    </row>
    <row r="176">
      <c r="A176" s="239"/>
      <c r="B176" s="239"/>
      <c r="C176" s="239"/>
      <c r="D176" s="239"/>
      <c r="E176" s="239"/>
      <c r="F176" s="283"/>
      <c r="G176" s="239"/>
      <c r="H176" s="239"/>
      <c r="I176" s="239"/>
      <c r="J176" s="239"/>
      <c r="K176" s="239"/>
      <c r="L176" s="239"/>
      <c r="M176" s="239"/>
      <c r="N176" s="239"/>
      <c r="O176" s="239"/>
      <c r="P176" s="246"/>
      <c r="Q176" s="239"/>
      <c r="R176" s="239"/>
      <c r="S176" s="239"/>
      <c r="T176" s="239"/>
      <c r="U176" s="239"/>
      <c r="V176" s="239"/>
      <c r="W176" s="246"/>
      <c r="X176" s="239"/>
      <c r="Y176" s="239"/>
      <c r="Z176" s="239"/>
      <c r="AA176" s="239"/>
      <c r="AB176" s="239"/>
      <c r="AC176" s="239"/>
      <c r="AD176" s="239"/>
      <c r="AE176" s="239"/>
      <c r="AF176" s="239"/>
      <c r="AG176" s="239"/>
      <c r="AH176" s="239"/>
      <c r="AI176" s="239"/>
      <c r="AJ176" s="239"/>
    </row>
    <row r="177">
      <c r="A177" s="239"/>
      <c r="B177" s="239"/>
      <c r="C177" s="239"/>
      <c r="D177" s="239"/>
      <c r="E177" s="239"/>
      <c r="F177" s="283"/>
      <c r="G177" s="239"/>
      <c r="H177" s="239"/>
      <c r="I177" s="239"/>
      <c r="J177" s="239"/>
      <c r="K177" s="239"/>
      <c r="L177" s="239"/>
      <c r="M177" s="239"/>
      <c r="N177" s="239"/>
      <c r="O177" s="239"/>
      <c r="P177" s="246"/>
      <c r="Q177" s="239"/>
      <c r="R177" s="239"/>
      <c r="S177" s="239"/>
      <c r="T177" s="239"/>
      <c r="U177" s="239"/>
      <c r="V177" s="239"/>
      <c r="W177" s="246"/>
      <c r="X177" s="239"/>
      <c r="Y177" s="239"/>
      <c r="Z177" s="239"/>
      <c r="AA177" s="239"/>
      <c r="AB177" s="239"/>
      <c r="AC177" s="239"/>
      <c r="AD177" s="239"/>
      <c r="AE177" s="239"/>
      <c r="AF177" s="239"/>
      <c r="AG177" s="239"/>
      <c r="AH177" s="239"/>
      <c r="AI177" s="239"/>
      <c r="AJ177" s="239"/>
    </row>
    <row r="178">
      <c r="A178" s="239"/>
      <c r="B178" s="239"/>
      <c r="C178" s="239"/>
      <c r="D178" s="239"/>
      <c r="E178" s="239"/>
      <c r="F178" s="283"/>
      <c r="G178" s="239"/>
      <c r="H178" s="239"/>
      <c r="I178" s="239"/>
      <c r="J178" s="239"/>
      <c r="K178" s="239"/>
      <c r="L178" s="239"/>
      <c r="M178" s="239"/>
      <c r="N178" s="239"/>
      <c r="O178" s="239"/>
      <c r="P178" s="246"/>
      <c r="Q178" s="239"/>
      <c r="R178" s="239"/>
      <c r="S178" s="239"/>
      <c r="T178" s="239"/>
      <c r="U178" s="239"/>
      <c r="V178" s="239"/>
      <c r="W178" s="246"/>
      <c r="X178" s="239"/>
      <c r="Y178" s="239"/>
      <c r="Z178" s="239"/>
      <c r="AA178" s="239"/>
      <c r="AB178" s="239"/>
      <c r="AC178" s="239"/>
      <c r="AD178" s="239"/>
      <c r="AE178" s="239"/>
      <c r="AF178" s="239"/>
      <c r="AG178" s="239"/>
      <c r="AH178" s="239"/>
      <c r="AI178" s="239"/>
      <c r="AJ178" s="239"/>
    </row>
    <row r="179">
      <c r="A179" s="239"/>
      <c r="B179" s="239"/>
      <c r="C179" s="239"/>
      <c r="D179" s="239"/>
      <c r="E179" s="239"/>
      <c r="F179" s="283"/>
      <c r="G179" s="239"/>
      <c r="H179" s="239"/>
      <c r="I179" s="239"/>
      <c r="J179" s="239"/>
      <c r="K179" s="239"/>
      <c r="L179" s="239"/>
      <c r="M179" s="239"/>
      <c r="N179" s="239"/>
      <c r="O179" s="239"/>
      <c r="P179" s="246"/>
      <c r="Q179" s="239"/>
      <c r="R179" s="239"/>
      <c r="S179" s="239"/>
      <c r="T179" s="239"/>
      <c r="U179" s="239"/>
      <c r="V179" s="239"/>
      <c r="W179" s="246"/>
      <c r="X179" s="239"/>
      <c r="Y179" s="239"/>
      <c r="Z179" s="239"/>
      <c r="AA179" s="239"/>
      <c r="AB179" s="239"/>
      <c r="AC179" s="239"/>
      <c r="AD179" s="239"/>
      <c r="AE179" s="239"/>
      <c r="AF179" s="239"/>
      <c r="AG179" s="239"/>
      <c r="AH179" s="239"/>
      <c r="AI179" s="239"/>
      <c r="AJ179" s="239"/>
    </row>
    <row r="180">
      <c r="A180" s="239"/>
      <c r="B180" s="239"/>
      <c r="C180" s="239"/>
      <c r="D180" s="239"/>
      <c r="E180" s="239"/>
      <c r="F180" s="283"/>
      <c r="G180" s="239"/>
      <c r="H180" s="239"/>
      <c r="I180" s="239"/>
      <c r="J180" s="239"/>
      <c r="K180" s="239"/>
      <c r="L180" s="239"/>
      <c r="M180" s="239"/>
      <c r="N180" s="239"/>
      <c r="O180" s="239"/>
      <c r="P180" s="246"/>
      <c r="Q180" s="239"/>
      <c r="R180" s="239"/>
      <c r="S180" s="239"/>
      <c r="T180" s="239"/>
      <c r="U180" s="239"/>
      <c r="V180" s="239"/>
      <c r="W180" s="246"/>
      <c r="X180" s="239"/>
      <c r="Y180" s="239"/>
      <c r="Z180" s="239"/>
      <c r="AA180" s="239"/>
      <c r="AB180" s="239"/>
      <c r="AC180" s="239"/>
      <c r="AD180" s="239"/>
      <c r="AE180" s="239"/>
      <c r="AF180" s="239"/>
      <c r="AG180" s="239"/>
      <c r="AH180" s="239"/>
      <c r="AI180" s="239"/>
      <c r="AJ180" s="239"/>
    </row>
    <row r="181">
      <c r="A181" s="239"/>
      <c r="B181" s="239"/>
      <c r="C181" s="239"/>
      <c r="D181" s="239"/>
      <c r="E181" s="239"/>
      <c r="F181" s="283"/>
      <c r="G181" s="239"/>
      <c r="H181" s="239"/>
      <c r="I181" s="239"/>
      <c r="J181" s="239"/>
      <c r="K181" s="239"/>
      <c r="L181" s="239"/>
      <c r="M181" s="239"/>
      <c r="N181" s="239"/>
      <c r="O181" s="239"/>
      <c r="P181" s="246"/>
      <c r="Q181" s="239"/>
      <c r="R181" s="239"/>
      <c r="S181" s="239"/>
      <c r="T181" s="239"/>
      <c r="U181" s="239"/>
      <c r="V181" s="239"/>
      <c r="W181" s="246"/>
      <c r="X181" s="239"/>
      <c r="Y181" s="239"/>
      <c r="Z181" s="239"/>
      <c r="AA181" s="239"/>
      <c r="AB181" s="239"/>
      <c r="AC181" s="239"/>
      <c r="AD181" s="239"/>
      <c r="AE181" s="239"/>
      <c r="AF181" s="239"/>
      <c r="AG181" s="239"/>
      <c r="AH181" s="239"/>
      <c r="AI181" s="239"/>
      <c r="AJ181" s="239"/>
    </row>
    <row r="182">
      <c r="A182" s="239"/>
      <c r="B182" s="239"/>
      <c r="C182" s="239"/>
      <c r="D182" s="239"/>
      <c r="E182" s="239"/>
      <c r="F182" s="283"/>
      <c r="G182" s="239"/>
      <c r="H182" s="239"/>
      <c r="I182" s="239"/>
      <c r="J182" s="239"/>
      <c r="K182" s="239"/>
      <c r="L182" s="239"/>
      <c r="M182" s="239"/>
      <c r="N182" s="239"/>
      <c r="O182" s="239"/>
      <c r="P182" s="246"/>
      <c r="Q182" s="239"/>
      <c r="R182" s="239"/>
      <c r="S182" s="239"/>
      <c r="T182" s="239"/>
      <c r="U182" s="239"/>
      <c r="V182" s="239"/>
      <c r="W182" s="246"/>
      <c r="X182" s="239"/>
      <c r="Y182" s="239"/>
      <c r="Z182" s="239"/>
      <c r="AA182" s="239"/>
      <c r="AB182" s="239"/>
      <c r="AC182" s="239"/>
      <c r="AD182" s="239"/>
      <c r="AE182" s="239"/>
      <c r="AF182" s="239"/>
      <c r="AG182" s="239"/>
      <c r="AH182" s="239"/>
      <c r="AI182" s="239"/>
      <c r="AJ182" s="239"/>
    </row>
    <row r="183">
      <c r="A183" s="239"/>
      <c r="B183" s="239"/>
      <c r="C183" s="239"/>
      <c r="D183" s="239"/>
      <c r="E183" s="239"/>
      <c r="F183" s="283"/>
      <c r="G183" s="239"/>
      <c r="H183" s="239"/>
      <c r="I183" s="239"/>
      <c r="J183" s="239"/>
      <c r="K183" s="239"/>
      <c r="L183" s="239"/>
      <c r="M183" s="239"/>
      <c r="N183" s="239"/>
      <c r="O183" s="239"/>
      <c r="P183" s="246"/>
      <c r="Q183" s="239"/>
      <c r="R183" s="239"/>
      <c r="S183" s="239"/>
      <c r="T183" s="239"/>
      <c r="U183" s="239"/>
      <c r="V183" s="239"/>
      <c r="W183" s="246"/>
      <c r="X183" s="239"/>
      <c r="Y183" s="239"/>
      <c r="Z183" s="239"/>
      <c r="AA183" s="239"/>
      <c r="AB183" s="239"/>
      <c r="AC183" s="239"/>
      <c r="AD183" s="239"/>
      <c r="AE183" s="239"/>
      <c r="AF183" s="239"/>
      <c r="AG183" s="239"/>
      <c r="AH183" s="239"/>
      <c r="AI183" s="239"/>
      <c r="AJ183" s="239"/>
    </row>
    <row r="184">
      <c r="A184" s="239"/>
      <c r="B184" s="239"/>
      <c r="C184" s="239"/>
      <c r="D184" s="239"/>
      <c r="E184" s="239"/>
      <c r="F184" s="283"/>
      <c r="G184" s="239"/>
      <c r="H184" s="239"/>
      <c r="I184" s="239"/>
      <c r="J184" s="239"/>
      <c r="K184" s="239"/>
      <c r="L184" s="239"/>
      <c r="M184" s="239"/>
      <c r="N184" s="239"/>
      <c r="O184" s="239"/>
      <c r="P184" s="246"/>
      <c r="Q184" s="239"/>
      <c r="R184" s="239"/>
      <c r="S184" s="239"/>
      <c r="T184" s="239"/>
      <c r="U184" s="239"/>
      <c r="V184" s="239"/>
      <c r="W184" s="246"/>
      <c r="X184" s="239"/>
      <c r="Y184" s="239"/>
      <c r="Z184" s="239"/>
      <c r="AA184" s="239"/>
      <c r="AB184" s="239"/>
      <c r="AC184" s="239"/>
      <c r="AD184" s="239"/>
      <c r="AE184" s="239"/>
      <c r="AF184" s="239"/>
      <c r="AG184" s="239"/>
      <c r="AH184" s="239"/>
      <c r="AI184" s="239"/>
      <c r="AJ184" s="239"/>
    </row>
    <row r="185">
      <c r="A185" s="239"/>
      <c r="B185" s="239"/>
      <c r="C185" s="239"/>
      <c r="D185" s="239"/>
      <c r="E185" s="239"/>
      <c r="F185" s="283"/>
      <c r="G185" s="239"/>
      <c r="H185" s="239"/>
      <c r="I185" s="239"/>
      <c r="J185" s="239"/>
      <c r="K185" s="239"/>
      <c r="L185" s="239"/>
      <c r="M185" s="239"/>
      <c r="N185" s="239"/>
      <c r="O185" s="239"/>
      <c r="P185" s="246"/>
      <c r="Q185" s="239"/>
      <c r="R185" s="239"/>
      <c r="S185" s="239"/>
      <c r="T185" s="239"/>
      <c r="U185" s="239"/>
      <c r="V185" s="239"/>
      <c r="W185" s="246"/>
      <c r="X185" s="239"/>
      <c r="Y185" s="239"/>
      <c r="Z185" s="239"/>
      <c r="AA185" s="239"/>
      <c r="AB185" s="239"/>
      <c r="AC185" s="239"/>
      <c r="AD185" s="239"/>
      <c r="AE185" s="239"/>
      <c r="AF185" s="239"/>
      <c r="AG185" s="239"/>
      <c r="AH185" s="239"/>
      <c r="AI185" s="239"/>
      <c r="AJ185" s="239"/>
    </row>
    <row r="186">
      <c r="A186" s="239"/>
      <c r="B186" s="239"/>
      <c r="C186" s="239"/>
      <c r="D186" s="239"/>
      <c r="E186" s="239"/>
      <c r="F186" s="283"/>
      <c r="G186" s="239"/>
      <c r="H186" s="239"/>
      <c r="I186" s="239"/>
      <c r="J186" s="239"/>
      <c r="K186" s="239"/>
      <c r="L186" s="239"/>
      <c r="M186" s="239"/>
      <c r="N186" s="239"/>
      <c r="O186" s="239"/>
      <c r="P186" s="246"/>
      <c r="Q186" s="239"/>
      <c r="R186" s="239"/>
      <c r="S186" s="239"/>
      <c r="T186" s="239"/>
      <c r="U186" s="239"/>
      <c r="V186" s="239"/>
      <c r="W186" s="246"/>
      <c r="X186" s="239"/>
      <c r="Y186" s="239"/>
      <c r="Z186" s="239"/>
      <c r="AA186" s="239"/>
      <c r="AB186" s="239"/>
      <c r="AC186" s="239"/>
      <c r="AD186" s="239"/>
      <c r="AE186" s="239"/>
      <c r="AF186" s="239"/>
      <c r="AG186" s="239"/>
      <c r="AH186" s="239"/>
      <c r="AI186" s="239"/>
      <c r="AJ186" s="239"/>
    </row>
    <row r="187">
      <c r="A187" s="239"/>
      <c r="B187" s="239"/>
      <c r="C187" s="239"/>
      <c r="D187" s="239"/>
      <c r="E187" s="239"/>
      <c r="F187" s="283"/>
      <c r="G187" s="239"/>
      <c r="H187" s="239"/>
      <c r="I187" s="239"/>
      <c r="J187" s="239"/>
      <c r="K187" s="239"/>
      <c r="L187" s="239"/>
      <c r="M187" s="239"/>
      <c r="N187" s="239"/>
      <c r="O187" s="239"/>
      <c r="P187" s="246"/>
      <c r="Q187" s="239"/>
      <c r="R187" s="239"/>
      <c r="S187" s="239"/>
      <c r="T187" s="239"/>
      <c r="U187" s="239"/>
      <c r="V187" s="239"/>
      <c r="W187" s="246"/>
      <c r="X187" s="239"/>
      <c r="Y187" s="239"/>
      <c r="Z187" s="239"/>
      <c r="AA187" s="239"/>
      <c r="AB187" s="239"/>
      <c r="AC187" s="239"/>
      <c r="AD187" s="239"/>
      <c r="AE187" s="239"/>
      <c r="AF187" s="239"/>
      <c r="AG187" s="239"/>
      <c r="AH187" s="239"/>
      <c r="AI187" s="239"/>
      <c r="AJ187" s="239"/>
    </row>
    <row r="188">
      <c r="A188" s="239"/>
      <c r="B188" s="239"/>
      <c r="C188" s="239"/>
      <c r="D188" s="239"/>
      <c r="E188" s="239"/>
      <c r="F188" s="283"/>
      <c r="G188" s="239"/>
      <c r="H188" s="239"/>
      <c r="I188" s="239"/>
      <c r="J188" s="239"/>
      <c r="K188" s="239"/>
      <c r="L188" s="239"/>
      <c r="M188" s="239"/>
      <c r="N188" s="239"/>
      <c r="O188" s="239"/>
      <c r="P188" s="246"/>
      <c r="Q188" s="239"/>
      <c r="R188" s="239"/>
      <c r="S188" s="239"/>
      <c r="T188" s="239"/>
      <c r="U188" s="239"/>
      <c r="V188" s="239"/>
      <c r="W188" s="246"/>
      <c r="X188" s="239"/>
      <c r="Y188" s="239"/>
      <c r="Z188" s="239"/>
      <c r="AA188" s="239"/>
      <c r="AB188" s="239"/>
      <c r="AC188" s="239"/>
      <c r="AD188" s="239"/>
      <c r="AE188" s="239"/>
      <c r="AF188" s="239"/>
      <c r="AG188" s="239"/>
      <c r="AH188" s="239"/>
      <c r="AI188" s="239"/>
      <c r="AJ188" s="239"/>
    </row>
    <row r="189">
      <c r="A189" s="239"/>
      <c r="B189" s="239"/>
      <c r="C189" s="239"/>
      <c r="D189" s="239"/>
      <c r="E189" s="239"/>
      <c r="F189" s="283"/>
      <c r="G189" s="239"/>
      <c r="H189" s="239"/>
      <c r="I189" s="239"/>
      <c r="J189" s="239"/>
      <c r="K189" s="239"/>
      <c r="L189" s="239"/>
      <c r="M189" s="239"/>
      <c r="N189" s="239"/>
      <c r="O189" s="239"/>
      <c r="P189" s="246"/>
      <c r="Q189" s="239"/>
      <c r="R189" s="239"/>
      <c r="S189" s="239"/>
      <c r="T189" s="239"/>
      <c r="U189" s="239"/>
      <c r="V189" s="239"/>
      <c r="W189" s="246"/>
      <c r="X189" s="239"/>
      <c r="Y189" s="239"/>
      <c r="Z189" s="239"/>
      <c r="AA189" s="239"/>
      <c r="AB189" s="239"/>
      <c r="AC189" s="239"/>
      <c r="AD189" s="239"/>
      <c r="AE189" s="239"/>
      <c r="AF189" s="239"/>
      <c r="AG189" s="239"/>
      <c r="AH189" s="239"/>
      <c r="AI189" s="239"/>
      <c r="AJ189" s="239"/>
    </row>
    <row r="190">
      <c r="A190" s="239"/>
      <c r="B190" s="239"/>
      <c r="C190" s="239"/>
      <c r="D190" s="239"/>
      <c r="E190" s="239"/>
      <c r="F190" s="283"/>
      <c r="G190" s="239"/>
      <c r="H190" s="239"/>
      <c r="I190" s="239"/>
      <c r="J190" s="239"/>
      <c r="K190" s="239"/>
      <c r="L190" s="239"/>
      <c r="M190" s="239"/>
      <c r="N190" s="239"/>
      <c r="O190" s="239"/>
      <c r="P190" s="246"/>
      <c r="Q190" s="239"/>
      <c r="R190" s="239"/>
      <c r="S190" s="239"/>
      <c r="T190" s="239"/>
      <c r="U190" s="239"/>
      <c r="V190" s="239"/>
      <c r="W190" s="246"/>
      <c r="X190" s="239"/>
      <c r="Y190" s="239"/>
      <c r="Z190" s="239"/>
      <c r="AA190" s="239"/>
      <c r="AB190" s="239"/>
      <c r="AC190" s="239"/>
      <c r="AD190" s="239"/>
      <c r="AE190" s="239"/>
      <c r="AF190" s="239"/>
      <c r="AG190" s="239"/>
      <c r="AH190" s="239"/>
      <c r="AI190" s="239"/>
      <c r="AJ190" s="239"/>
    </row>
    <row r="191">
      <c r="A191" s="239"/>
      <c r="B191" s="239"/>
      <c r="C191" s="239"/>
      <c r="D191" s="239"/>
      <c r="E191" s="239"/>
      <c r="F191" s="283"/>
      <c r="G191" s="239"/>
      <c r="H191" s="239"/>
      <c r="I191" s="239"/>
      <c r="J191" s="239"/>
      <c r="K191" s="239"/>
      <c r="L191" s="239"/>
      <c r="M191" s="239"/>
      <c r="N191" s="239"/>
      <c r="O191" s="239"/>
      <c r="P191" s="246"/>
      <c r="Q191" s="239"/>
      <c r="R191" s="239"/>
      <c r="S191" s="239"/>
      <c r="T191" s="239"/>
      <c r="U191" s="239"/>
      <c r="V191" s="239"/>
      <c r="W191" s="246"/>
      <c r="X191" s="239"/>
      <c r="Y191" s="239"/>
      <c r="Z191" s="239"/>
      <c r="AA191" s="239"/>
      <c r="AB191" s="239"/>
      <c r="AC191" s="239"/>
      <c r="AD191" s="239"/>
      <c r="AE191" s="239"/>
      <c r="AF191" s="239"/>
      <c r="AG191" s="239"/>
      <c r="AH191" s="239"/>
      <c r="AI191" s="239"/>
      <c r="AJ191" s="239"/>
    </row>
    <row r="192">
      <c r="A192" s="239"/>
      <c r="B192" s="239"/>
      <c r="C192" s="239"/>
      <c r="D192" s="239"/>
      <c r="E192" s="239"/>
      <c r="F192" s="283"/>
      <c r="G192" s="239"/>
      <c r="H192" s="239"/>
      <c r="I192" s="239"/>
      <c r="J192" s="239"/>
      <c r="K192" s="239"/>
      <c r="L192" s="239"/>
      <c r="M192" s="239"/>
      <c r="N192" s="239"/>
      <c r="O192" s="239"/>
      <c r="P192" s="246"/>
      <c r="Q192" s="239"/>
      <c r="R192" s="239"/>
      <c r="S192" s="239"/>
      <c r="T192" s="239"/>
      <c r="U192" s="239"/>
      <c r="V192" s="239"/>
      <c r="W192" s="246"/>
      <c r="X192" s="239"/>
      <c r="Y192" s="239"/>
      <c r="Z192" s="239"/>
      <c r="AA192" s="239"/>
      <c r="AB192" s="239"/>
      <c r="AC192" s="239"/>
      <c r="AD192" s="239"/>
      <c r="AE192" s="239"/>
      <c r="AF192" s="239"/>
      <c r="AG192" s="239"/>
      <c r="AH192" s="239"/>
      <c r="AI192" s="239"/>
      <c r="AJ192" s="239"/>
    </row>
    <row r="193">
      <c r="A193" s="239"/>
      <c r="B193" s="239"/>
      <c r="C193" s="239"/>
      <c r="D193" s="239"/>
      <c r="E193" s="239"/>
      <c r="F193" s="283"/>
      <c r="G193" s="239"/>
      <c r="H193" s="239"/>
      <c r="I193" s="239"/>
      <c r="J193" s="239"/>
      <c r="K193" s="239"/>
      <c r="L193" s="239"/>
      <c r="M193" s="239"/>
      <c r="N193" s="239"/>
      <c r="O193" s="239"/>
      <c r="P193" s="246"/>
      <c r="Q193" s="239"/>
      <c r="R193" s="239"/>
      <c r="S193" s="239"/>
      <c r="T193" s="239"/>
      <c r="U193" s="239"/>
      <c r="V193" s="239"/>
      <c r="W193" s="246"/>
      <c r="X193" s="239"/>
      <c r="Y193" s="239"/>
      <c r="Z193" s="239"/>
      <c r="AA193" s="239"/>
      <c r="AB193" s="239"/>
      <c r="AC193" s="239"/>
      <c r="AD193" s="239"/>
      <c r="AE193" s="239"/>
      <c r="AF193" s="239"/>
      <c r="AG193" s="239"/>
      <c r="AH193" s="239"/>
      <c r="AI193" s="239"/>
      <c r="AJ193" s="239"/>
    </row>
    <row r="194">
      <c r="A194" s="239"/>
      <c r="B194" s="239"/>
      <c r="C194" s="239"/>
      <c r="D194" s="239"/>
      <c r="E194" s="239"/>
      <c r="F194" s="283"/>
      <c r="G194" s="239"/>
      <c r="H194" s="239"/>
      <c r="I194" s="239"/>
      <c r="J194" s="239"/>
      <c r="K194" s="239"/>
      <c r="L194" s="239"/>
      <c r="M194" s="239"/>
      <c r="N194" s="239"/>
      <c r="O194" s="239"/>
      <c r="P194" s="246"/>
      <c r="Q194" s="239"/>
      <c r="R194" s="239"/>
      <c r="S194" s="239"/>
      <c r="T194" s="239"/>
      <c r="U194" s="239"/>
      <c r="V194" s="239"/>
      <c r="W194" s="246"/>
      <c r="X194" s="239"/>
      <c r="Y194" s="239"/>
      <c r="Z194" s="239"/>
      <c r="AA194" s="239"/>
      <c r="AB194" s="239"/>
      <c r="AC194" s="239"/>
      <c r="AD194" s="239"/>
      <c r="AE194" s="239"/>
      <c r="AF194" s="239"/>
      <c r="AG194" s="239"/>
      <c r="AH194" s="239"/>
      <c r="AI194" s="239"/>
      <c r="AJ194" s="239"/>
    </row>
    <row r="195">
      <c r="A195" s="239"/>
      <c r="B195" s="239"/>
      <c r="C195" s="239"/>
      <c r="D195" s="239"/>
      <c r="E195" s="239"/>
      <c r="F195" s="283"/>
      <c r="G195" s="239"/>
      <c r="H195" s="239"/>
      <c r="I195" s="239"/>
      <c r="J195" s="239"/>
      <c r="K195" s="239"/>
      <c r="L195" s="239"/>
      <c r="M195" s="239"/>
      <c r="N195" s="239"/>
      <c r="O195" s="239"/>
      <c r="P195" s="246"/>
      <c r="Q195" s="239"/>
      <c r="R195" s="239"/>
      <c r="S195" s="239"/>
      <c r="T195" s="239"/>
      <c r="U195" s="239"/>
      <c r="V195" s="239"/>
      <c r="W195" s="246"/>
      <c r="X195" s="239"/>
      <c r="Y195" s="239"/>
      <c r="Z195" s="239"/>
      <c r="AA195" s="239"/>
      <c r="AB195" s="239"/>
      <c r="AC195" s="239"/>
      <c r="AD195" s="239"/>
      <c r="AE195" s="239"/>
      <c r="AF195" s="239"/>
      <c r="AG195" s="239"/>
      <c r="AH195" s="239"/>
      <c r="AI195" s="239"/>
      <c r="AJ195" s="239"/>
    </row>
    <row r="196">
      <c r="A196" s="239"/>
      <c r="B196" s="239"/>
      <c r="C196" s="239"/>
      <c r="D196" s="239"/>
      <c r="E196" s="239"/>
      <c r="F196" s="283"/>
      <c r="G196" s="239"/>
      <c r="H196" s="239"/>
      <c r="I196" s="239"/>
      <c r="J196" s="239"/>
      <c r="K196" s="239"/>
      <c r="L196" s="239"/>
      <c r="M196" s="239"/>
      <c r="N196" s="239"/>
      <c r="O196" s="239"/>
      <c r="P196" s="246"/>
      <c r="Q196" s="239"/>
      <c r="R196" s="239"/>
      <c r="S196" s="239"/>
      <c r="T196" s="239"/>
      <c r="U196" s="239"/>
      <c r="V196" s="239"/>
      <c r="W196" s="246"/>
      <c r="X196" s="239"/>
      <c r="Y196" s="239"/>
      <c r="Z196" s="239"/>
      <c r="AA196" s="239"/>
      <c r="AB196" s="239"/>
      <c r="AC196" s="239"/>
      <c r="AD196" s="239"/>
      <c r="AE196" s="239"/>
      <c r="AF196" s="239"/>
      <c r="AG196" s="239"/>
      <c r="AH196" s="239"/>
      <c r="AI196" s="239"/>
      <c r="AJ196" s="239"/>
    </row>
    <row r="197">
      <c r="A197" s="239"/>
      <c r="B197" s="239"/>
      <c r="C197" s="239"/>
      <c r="D197" s="239"/>
      <c r="E197" s="239"/>
      <c r="F197" s="283"/>
      <c r="G197" s="239"/>
      <c r="H197" s="239"/>
      <c r="I197" s="239"/>
      <c r="J197" s="239"/>
      <c r="K197" s="239"/>
      <c r="L197" s="239"/>
      <c r="M197" s="239"/>
      <c r="N197" s="239"/>
      <c r="O197" s="239"/>
      <c r="P197" s="246"/>
      <c r="Q197" s="239"/>
      <c r="R197" s="239"/>
      <c r="S197" s="239"/>
      <c r="T197" s="239"/>
      <c r="U197" s="239"/>
      <c r="V197" s="239"/>
      <c r="W197" s="246"/>
      <c r="X197" s="239"/>
      <c r="Y197" s="239"/>
      <c r="Z197" s="239"/>
      <c r="AA197" s="239"/>
      <c r="AB197" s="239"/>
      <c r="AC197" s="239"/>
      <c r="AD197" s="239"/>
      <c r="AE197" s="239"/>
      <c r="AF197" s="239"/>
      <c r="AG197" s="239"/>
      <c r="AH197" s="239"/>
      <c r="AI197" s="239"/>
      <c r="AJ197" s="239"/>
    </row>
    <row r="198">
      <c r="A198" s="239"/>
      <c r="B198" s="239"/>
      <c r="C198" s="239"/>
      <c r="D198" s="239"/>
      <c r="E198" s="239"/>
      <c r="F198" s="283"/>
      <c r="G198" s="239"/>
      <c r="H198" s="239"/>
      <c r="I198" s="239"/>
      <c r="J198" s="239"/>
      <c r="K198" s="239"/>
      <c r="L198" s="239"/>
      <c r="M198" s="239"/>
      <c r="N198" s="239"/>
      <c r="O198" s="239"/>
      <c r="P198" s="246"/>
      <c r="Q198" s="239"/>
      <c r="R198" s="239"/>
      <c r="S198" s="239"/>
      <c r="T198" s="239"/>
      <c r="U198" s="239"/>
      <c r="V198" s="239"/>
      <c r="W198" s="246"/>
      <c r="X198" s="239"/>
      <c r="Y198" s="239"/>
      <c r="Z198" s="239"/>
      <c r="AA198" s="239"/>
      <c r="AB198" s="239"/>
      <c r="AC198" s="239"/>
      <c r="AD198" s="239"/>
      <c r="AE198" s="239"/>
      <c r="AF198" s="239"/>
      <c r="AG198" s="239"/>
      <c r="AH198" s="239"/>
      <c r="AI198" s="239"/>
      <c r="AJ198" s="239"/>
    </row>
    <row r="199">
      <c r="A199" s="239"/>
      <c r="B199" s="239"/>
      <c r="C199" s="239"/>
      <c r="D199" s="239"/>
      <c r="E199" s="239"/>
      <c r="F199" s="283"/>
      <c r="G199" s="239"/>
      <c r="H199" s="239"/>
      <c r="I199" s="239"/>
      <c r="J199" s="239"/>
      <c r="K199" s="239"/>
      <c r="L199" s="239"/>
      <c r="M199" s="239"/>
      <c r="N199" s="239"/>
      <c r="O199" s="239"/>
      <c r="P199" s="246"/>
      <c r="Q199" s="239"/>
      <c r="R199" s="239"/>
      <c r="S199" s="239"/>
      <c r="T199" s="239"/>
      <c r="U199" s="239"/>
      <c r="V199" s="239"/>
      <c r="W199" s="246"/>
      <c r="X199" s="239"/>
      <c r="Y199" s="239"/>
      <c r="Z199" s="239"/>
      <c r="AA199" s="239"/>
      <c r="AB199" s="239"/>
      <c r="AC199" s="239"/>
      <c r="AD199" s="239"/>
      <c r="AE199" s="239"/>
      <c r="AF199" s="239"/>
      <c r="AG199" s="239"/>
      <c r="AH199" s="239"/>
      <c r="AI199" s="239"/>
      <c r="AJ199" s="239"/>
    </row>
    <row r="200">
      <c r="A200" s="239"/>
      <c r="B200" s="239"/>
      <c r="C200" s="239"/>
      <c r="D200" s="239"/>
      <c r="E200" s="239"/>
      <c r="F200" s="283"/>
      <c r="G200" s="239"/>
      <c r="H200" s="239"/>
      <c r="I200" s="239"/>
      <c r="J200" s="239"/>
      <c r="K200" s="239"/>
      <c r="L200" s="239"/>
      <c r="M200" s="239"/>
      <c r="N200" s="239"/>
      <c r="O200" s="239"/>
      <c r="P200" s="246"/>
      <c r="Q200" s="239"/>
      <c r="R200" s="239"/>
      <c r="S200" s="239"/>
      <c r="T200" s="239"/>
      <c r="U200" s="239"/>
      <c r="V200" s="239"/>
      <c r="W200" s="246"/>
      <c r="X200" s="239"/>
      <c r="Y200" s="239"/>
      <c r="Z200" s="239"/>
      <c r="AA200" s="239"/>
      <c r="AB200" s="239"/>
      <c r="AC200" s="239"/>
      <c r="AD200" s="239"/>
      <c r="AE200" s="239"/>
      <c r="AF200" s="239"/>
      <c r="AG200" s="239"/>
      <c r="AH200" s="239"/>
      <c r="AI200" s="239"/>
      <c r="AJ200" s="239"/>
    </row>
    <row r="201">
      <c r="A201" s="239"/>
      <c r="B201" s="239"/>
      <c r="C201" s="239"/>
      <c r="D201" s="239"/>
      <c r="E201" s="239"/>
      <c r="F201" s="283"/>
      <c r="G201" s="239"/>
      <c r="H201" s="239"/>
      <c r="I201" s="239"/>
      <c r="J201" s="239"/>
      <c r="K201" s="239"/>
      <c r="L201" s="239"/>
      <c r="M201" s="239"/>
      <c r="N201" s="239"/>
      <c r="O201" s="239"/>
      <c r="P201" s="246"/>
      <c r="Q201" s="239"/>
      <c r="R201" s="239"/>
      <c r="S201" s="239"/>
      <c r="T201" s="239"/>
      <c r="U201" s="239"/>
      <c r="V201" s="239"/>
      <c r="W201" s="246"/>
      <c r="X201" s="239"/>
      <c r="Y201" s="239"/>
      <c r="Z201" s="239"/>
      <c r="AA201" s="239"/>
      <c r="AB201" s="239"/>
      <c r="AC201" s="239"/>
      <c r="AD201" s="239"/>
      <c r="AE201" s="239"/>
      <c r="AF201" s="239"/>
      <c r="AG201" s="239"/>
      <c r="AH201" s="239"/>
      <c r="AI201" s="239"/>
      <c r="AJ201" s="239"/>
    </row>
    <row r="202">
      <c r="A202" s="239"/>
      <c r="B202" s="239"/>
      <c r="C202" s="239"/>
      <c r="D202" s="239"/>
      <c r="E202" s="239"/>
      <c r="F202" s="283"/>
      <c r="G202" s="239"/>
      <c r="H202" s="239"/>
      <c r="I202" s="239"/>
      <c r="J202" s="239"/>
      <c r="K202" s="239"/>
      <c r="L202" s="239"/>
      <c r="M202" s="239"/>
      <c r="N202" s="239"/>
      <c r="O202" s="239"/>
      <c r="P202" s="246"/>
      <c r="Q202" s="239"/>
      <c r="R202" s="239"/>
      <c r="S202" s="239"/>
      <c r="T202" s="239"/>
      <c r="U202" s="239"/>
      <c r="V202" s="239"/>
      <c r="W202" s="246"/>
      <c r="X202" s="239"/>
      <c r="Y202" s="239"/>
      <c r="Z202" s="239"/>
      <c r="AA202" s="239"/>
      <c r="AB202" s="239"/>
      <c r="AC202" s="239"/>
      <c r="AD202" s="239"/>
      <c r="AE202" s="239"/>
      <c r="AF202" s="239"/>
      <c r="AG202" s="239"/>
      <c r="AH202" s="239"/>
      <c r="AI202" s="239"/>
      <c r="AJ202" s="239"/>
    </row>
    <row r="203">
      <c r="A203" s="239"/>
      <c r="B203" s="239"/>
      <c r="C203" s="239"/>
      <c r="D203" s="239"/>
      <c r="E203" s="239"/>
      <c r="F203" s="283"/>
      <c r="G203" s="239"/>
      <c r="H203" s="239"/>
      <c r="I203" s="239"/>
      <c r="J203" s="239"/>
      <c r="K203" s="239"/>
      <c r="L203" s="239"/>
      <c r="M203" s="239"/>
      <c r="N203" s="239"/>
      <c r="O203" s="239"/>
      <c r="P203" s="246"/>
      <c r="Q203" s="239"/>
      <c r="R203" s="239"/>
      <c r="S203" s="239"/>
      <c r="T203" s="239"/>
      <c r="U203" s="239"/>
      <c r="V203" s="239"/>
      <c r="W203" s="246"/>
      <c r="X203" s="239"/>
      <c r="Y203" s="239"/>
      <c r="Z203" s="239"/>
      <c r="AA203" s="239"/>
      <c r="AB203" s="239"/>
      <c r="AC203" s="239"/>
      <c r="AD203" s="239"/>
      <c r="AE203" s="239"/>
      <c r="AF203" s="239"/>
      <c r="AG203" s="239"/>
      <c r="AH203" s="239"/>
      <c r="AI203" s="239"/>
      <c r="AJ203" s="239"/>
    </row>
    <row r="204">
      <c r="A204" s="239"/>
      <c r="B204" s="239"/>
      <c r="C204" s="239"/>
      <c r="D204" s="239"/>
      <c r="E204" s="239"/>
      <c r="F204" s="283"/>
      <c r="G204" s="239"/>
      <c r="H204" s="239"/>
      <c r="I204" s="239"/>
      <c r="J204" s="239"/>
      <c r="K204" s="239"/>
      <c r="L204" s="239"/>
      <c r="M204" s="239"/>
      <c r="N204" s="239"/>
      <c r="O204" s="239"/>
      <c r="P204" s="246"/>
      <c r="Q204" s="239"/>
      <c r="R204" s="239"/>
      <c r="S204" s="239"/>
      <c r="T204" s="239"/>
      <c r="U204" s="239"/>
      <c r="V204" s="239"/>
      <c r="W204" s="246"/>
      <c r="X204" s="239"/>
      <c r="Y204" s="239"/>
      <c r="Z204" s="239"/>
      <c r="AA204" s="239"/>
      <c r="AB204" s="239"/>
      <c r="AC204" s="239"/>
      <c r="AD204" s="239"/>
      <c r="AE204" s="239"/>
      <c r="AF204" s="239"/>
      <c r="AG204" s="239"/>
      <c r="AH204" s="239"/>
      <c r="AI204" s="239"/>
      <c r="AJ204" s="239"/>
    </row>
    <row r="205">
      <c r="A205" s="239"/>
      <c r="B205" s="239"/>
      <c r="C205" s="239"/>
      <c r="D205" s="239"/>
      <c r="E205" s="239"/>
      <c r="F205" s="283"/>
      <c r="G205" s="239"/>
      <c r="H205" s="239"/>
      <c r="I205" s="239"/>
      <c r="J205" s="239"/>
      <c r="K205" s="239"/>
      <c r="L205" s="239"/>
      <c r="M205" s="239"/>
      <c r="N205" s="239"/>
      <c r="O205" s="239"/>
      <c r="P205" s="246"/>
      <c r="Q205" s="239"/>
      <c r="R205" s="239"/>
      <c r="S205" s="239"/>
      <c r="T205" s="239"/>
      <c r="U205" s="239"/>
      <c r="V205" s="239"/>
      <c r="W205" s="246"/>
      <c r="X205" s="239"/>
      <c r="Y205" s="239"/>
      <c r="Z205" s="239"/>
      <c r="AA205" s="239"/>
      <c r="AB205" s="239"/>
      <c r="AC205" s="239"/>
      <c r="AD205" s="239"/>
      <c r="AE205" s="239"/>
      <c r="AF205" s="239"/>
      <c r="AG205" s="239"/>
      <c r="AH205" s="239"/>
      <c r="AI205" s="239"/>
      <c r="AJ205" s="239"/>
    </row>
    <row r="206">
      <c r="A206" s="239"/>
      <c r="B206" s="239"/>
      <c r="C206" s="239"/>
      <c r="D206" s="239"/>
      <c r="E206" s="239"/>
      <c r="F206" s="283"/>
      <c r="G206" s="239"/>
      <c r="H206" s="239"/>
      <c r="I206" s="239"/>
      <c r="J206" s="239"/>
      <c r="K206" s="239"/>
      <c r="L206" s="239"/>
      <c r="M206" s="239"/>
      <c r="N206" s="239"/>
      <c r="O206" s="239"/>
      <c r="P206" s="246"/>
      <c r="Q206" s="239"/>
      <c r="R206" s="239"/>
      <c r="S206" s="239"/>
      <c r="T206" s="239"/>
      <c r="U206" s="239"/>
      <c r="V206" s="239"/>
      <c r="W206" s="246"/>
      <c r="X206" s="239"/>
      <c r="Y206" s="239"/>
      <c r="Z206" s="239"/>
      <c r="AA206" s="239"/>
      <c r="AB206" s="239"/>
      <c r="AC206" s="239"/>
      <c r="AD206" s="239"/>
      <c r="AE206" s="239"/>
      <c r="AF206" s="239"/>
      <c r="AG206" s="239"/>
      <c r="AH206" s="239"/>
      <c r="AI206" s="239"/>
      <c r="AJ206" s="239"/>
    </row>
    <row r="207">
      <c r="A207" s="239"/>
      <c r="B207" s="239"/>
      <c r="C207" s="239"/>
      <c r="D207" s="239"/>
      <c r="E207" s="239"/>
      <c r="F207" s="283"/>
      <c r="G207" s="239"/>
      <c r="H207" s="239"/>
      <c r="I207" s="239"/>
      <c r="J207" s="239"/>
      <c r="K207" s="239"/>
      <c r="L207" s="239"/>
      <c r="M207" s="239"/>
      <c r="N207" s="239"/>
      <c r="O207" s="239"/>
      <c r="P207" s="246"/>
      <c r="Q207" s="239"/>
      <c r="R207" s="239"/>
      <c r="S207" s="239"/>
      <c r="T207" s="239"/>
      <c r="U207" s="239"/>
      <c r="V207" s="239"/>
      <c r="W207" s="246"/>
      <c r="X207" s="239"/>
      <c r="Y207" s="239"/>
      <c r="Z207" s="239"/>
      <c r="AA207" s="239"/>
      <c r="AB207" s="239"/>
      <c r="AC207" s="239"/>
      <c r="AD207" s="239"/>
      <c r="AE207" s="239"/>
      <c r="AF207" s="239"/>
      <c r="AG207" s="239"/>
      <c r="AH207" s="239"/>
      <c r="AI207" s="239"/>
      <c r="AJ207" s="239"/>
    </row>
    <row r="208">
      <c r="A208" s="239"/>
      <c r="B208" s="239"/>
      <c r="C208" s="239"/>
      <c r="D208" s="239"/>
      <c r="E208" s="239"/>
      <c r="F208" s="283"/>
      <c r="G208" s="239"/>
      <c r="H208" s="239"/>
      <c r="I208" s="239"/>
      <c r="J208" s="239"/>
      <c r="K208" s="239"/>
      <c r="L208" s="239"/>
      <c r="M208" s="239"/>
      <c r="N208" s="239"/>
      <c r="O208" s="239"/>
      <c r="P208" s="246"/>
      <c r="Q208" s="239"/>
      <c r="R208" s="239"/>
      <c r="S208" s="239"/>
      <c r="T208" s="239"/>
      <c r="U208" s="239"/>
      <c r="V208" s="239"/>
      <c r="W208" s="246"/>
      <c r="X208" s="239"/>
      <c r="Y208" s="239"/>
      <c r="Z208" s="239"/>
      <c r="AA208" s="239"/>
      <c r="AB208" s="239"/>
      <c r="AC208" s="239"/>
      <c r="AD208" s="239"/>
      <c r="AE208" s="239"/>
      <c r="AF208" s="239"/>
      <c r="AG208" s="239"/>
      <c r="AH208" s="239"/>
      <c r="AI208" s="239"/>
      <c r="AJ208" s="239"/>
    </row>
    <row r="209">
      <c r="A209" s="239"/>
      <c r="B209" s="239"/>
      <c r="C209" s="239"/>
      <c r="D209" s="239"/>
      <c r="E209" s="239"/>
      <c r="F209" s="283"/>
      <c r="G209" s="239"/>
      <c r="H209" s="239"/>
      <c r="I209" s="239"/>
      <c r="J209" s="239"/>
      <c r="K209" s="239"/>
      <c r="L209" s="239"/>
      <c r="M209" s="239"/>
      <c r="N209" s="239"/>
      <c r="O209" s="239"/>
      <c r="P209" s="246"/>
      <c r="Q209" s="239"/>
      <c r="R209" s="239"/>
      <c r="S209" s="239"/>
      <c r="T209" s="239"/>
      <c r="U209" s="239"/>
      <c r="V209" s="239"/>
      <c r="W209" s="246"/>
      <c r="X209" s="239"/>
      <c r="Y209" s="239"/>
      <c r="Z209" s="239"/>
      <c r="AA209" s="239"/>
      <c r="AB209" s="239"/>
      <c r="AC209" s="239"/>
      <c r="AD209" s="239"/>
      <c r="AE209" s="239"/>
      <c r="AF209" s="239"/>
      <c r="AG209" s="239"/>
      <c r="AH209" s="239"/>
      <c r="AI209" s="239"/>
      <c r="AJ209" s="239"/>
    </row>
    <row r="210">
      <c r="A210" s="239"/>
      <c r="B210" s="239"/>
      <c r="C210" s="239"/>
      <c r="D210" s="239"/>
      <c r="E210" s="239"/>
      <c r="F210" s="283"/>
      <c r="G210" s="239"/>
      <c r="H210" s="239"/>
      <c r="I210" s="239"/>
      <c r="J210" s="239"/>
      <c r="K210" s="239"/>
      <c r="L210" s="239"/>
      <c r="M210" s="239"/>
      <c r="N210" s="239"/>
      <c r="O210" s="239"/>
      <c r="P210" s="246"/>
      <c r="Q210" s="239"/>
      <c r="R210" s="239"/>
      <c r="S210" s="239"/>
      <c r="T210" s="239"/>
      <c r="U210" s="239"/>
      <c r="V210" s="239"/>
      <c r="W210" s="246"/>
      <c r="X210" s="239"/>
      <c r="Y210" s="239"/>
      <c r="Z210" s="239"/>
      <c r="AA210" s="239"/>
      <c r="AB210" s="239"/>
      <c r="AC210" s="239"/>
      <c r="AD210" s="239"/>
      <c r="AE210" s="239"/>
      <c r="AF210" s="239"/>
      <c r="AG210" s="239"/>
      <c r="AH210" s="239"/>
      <c r="AI210" s="239"/>
      <c r="AJ210" s="239"/>
    </row>
    <row r="211">
      <c r="A211" s="239"/>
      <c r="B211" s="239"/>
      <c r="C211" s="239"/>
      <c r="D211" s="239"/>
      <c r="E211" s="239"/>
      <c r="F211" s="283"/>
      <c r="G211" s="239"/>
      <c r="H211" s="239"/>
      <c r="I211" s="239"/>
      <c r="J211" s="239"/>
      <c r="K211" s="239"/>
      <c r="L211" s="239"/>
      <c r="M211" s="239"/>
      <c r="N211" s="239"/>
      <c r="O211" s="239"/>
      <c r="P211" s="246"/>
      <c r="Q211" s="239"/>
      <c r="R211" s="239"/>
      <c r="S211" s="239"/>
      <c r="T211" s="239"/>
      <c r="U211" s="239"/>
      <c r="V211" s="239"/>
      <c r="W211" s="246"/>
      <c r="X211" s="239"/>
      <c r="Y211" s="239"/>
      <c r="Z211" s="239"/>
      <c r="AA211" s="239"/>
      <c r="AB211" s="239"/>
      <c r="AC211" s="239"/>
      <c r="AD211" s="239"/>
      <c r="AE211" s="239"/>
      <c r="AF211" s="239"/>
      <c r="AG211" s="239"/>
      <c r="AH211" s="239"/>
      <c r="AI211" s="239"/>
      <c r="AJ211" s="239"/>
    </row>
    <row r="212">
      <c r="A212" s="239"/>
      <c r="B212" s="239"/>
      <c r="C212" s="239"/>
      <c r="D212" s="239"/>
      <c r="E212" s="239"/>
      <c r="F212" s="283"/>
      <c r="G212" s="239"/>
      <c r="H212" s="239"/>
      <c r="I212" s="239"/>
      <c r="J212" s="239"/>
      <c r="K212" s="239"/>
      <c r="L212" s="239"/>
      <c r="M212" s="239"/>
      <c r="N212" s="239"/>
      <c r="O212" s="239"/>
      <c r="P212" s="246"/>
      <c r="Q212" s="239"/>
      <c r="R212" s="239"/>
      <c r="S212" s="239"/>
      <c r="T212" s="239"/>
      <c r="U212" s="239"/>
      <c r="V212" s="239"/>
      <c r="W212" s="246"/>
      <c r="X212" s="239"/>
      <c r="Y212" s="239"/>
      <c r="Z212" s="239"/>
      <c r="AA212" s="239"/>
      <c r="AB212" s="239"/>
      <c r="AC212" s="239"/>
      <c r="AD212" s="239"/>
      <c r="AE212" s="239"/>
      <c r="AF212" s="239"/>
      <c r="AG212" s="239"/>
      <c r="AH212" s="239"/>
      <c r="AI212" s="239"/>
      <c r="AJ212" s="239"/>
    </row>
    <row r="213">
      <c r="A213" s="239"/>
      <c r="B213" s="239"/>
      <c r="C213" s="239"/>
      <c r="D213" s="239"/>
      <c r="E213" s="239"/>
      <c r="F213" s="283"/>
      <c r="G213" s="239"/>
      <c r="H213" s="239"/>
      <c r="I213" s="239"/>
      <c r="J213" s="239"/>
      <c r="K213" s="239"/>
      <c r="L213" s="239"/>
      <c r="M213" s="239"/>
      <c r="N213" s="239"/>
      <c r="O213" s="239"/>
      <c r="P213" s="246"/>
      <c r="Q213" s="239"/>
      <c r="R213" s="239"/>
      <c r="S213" s="239"/>
      <c r="T213" s="239"/>
      <c r="U213" s="239"/>
      <c r="V213" s="239"/>
      <c r="W213" s="246"/>
      <c r="X213" s="239"/>
      <c r="Y213" s="239"/>
      <c r="Z213" s="239"/>
      <c r="AA213" s="239"/>
      <c r="AB213" s="239"/>
      <c r="AC213" s="239"/>
      <c r="AD213" s="239"/>
      <c r="AE213" s="239"/>
      <c r="AF213" s="239"/>
      <c r="AG213" s="239"/>
      <c r="AH213" s="239"/>
      <c r="AI213" s="239"/>
      <c r="AJ213" s="239"/>
    </row>
    <row r="214">
      <c r="A214" s="239"/>
      <c r="B214" s="239"/>
      <c r="C214" s="239"/>
      <c r="D214" s="239"/>
      <c r="E214" s="239"/>
      <c r="F214" s="283"/>
      <c r="G214" s="239"/>
      <c r="H214" s="239"/>
      <c r="I214" s="239"/>
      <c r="J214" s="239"/>
      <c r="K214" s="239"/>
      <c r="L214" s="239"/>
      <c r="M214" s="239"/>
      <c r="N214" s="239"/>
      <c r="O214" s="239"/>
      <c r="P214" s="246"/>
      <c r="Q214" s="239"/>
      <c r="R214" s="239"/>
      <c r="S214" s="239"/>
      <c r="T214" s="239"/>
      <c r="U214" s="239"/>
      <c r="V214" s="239"/>
      <c r="W214" s="246"/>
      <c r="X214" s="239"/>
      <c r="Y214" s="239"/>
      <c r="Z214" s="239"/>
      <c r="AA214" s="239"/>
      <c r="AB214" s="239"/>
      <c r="AC214" s="239"/>
      <c r="AD214" s="239"/>
      <c r="AE214" s="239"/>
      <c r="AF214" s="239"/>
      <c r="AG214" s="239"/>
      <c r="AH214" s="239"/>
      <c r="AI214" s="239"/>
      <c r="AJ214" s="239"/>
    </row>
    <row r="215">
      <c r="A215" s="239"/>
      <c r="B215" s="239"/>
      <c r="C215" s="239"/>
      <c r="D215" s="239"/>
      <c r="E215" s="239"/>
      <c r="F215" s="283"/>
      <c r="G215" s="239"/>
      <c r="H215" s="239"/>
      <c r="I215" s="239"/>
      <c r="J215" s="239"/>
      <c r="K215" s="239"/>
      <c r="L215" s="239"/>
      <c r="M215" s="239"/>
      <c r="N215" s="239"/>
      <c r="O215" s="239"/>
      <c r="P215" s="246"/>
      <c r="Q215" s="239"/>
      <c r="R215" s="239"/>
      <c r="S215" s="239"/>
      <c r="T215" s="239"/>
      <c r="U215" s="239"/>
      <c r="V215" s="239"/>
      <c r="W215" s="246"/>
      <c r="X215" s="239"/>
      <c r="Y215" s="239"/>
      <c r="Z215" s="239"/>
      <c r="AA215" s="239"/>
      <c r="AB215" s="239"/>
      <c r="AC215" s="239"/>
      <c r="AD215" s="239"/>
      <c r="AE215" s="239"/>
      <c r="AF215" s="239"/>
      <c r="AG215" s="239"/>
      <c r="AH215" s="239"/>
      <c r="AI215" s="239"/>
      <c r="AJ215" s="239"/>
    </row>
    <row r="216">
      <c r="A216" s="239"/>
      <c r="B216" s="239"/>
      <c r="C216" s="239"/>
      <c r="D216" s="239"/>
      <c r="E216" s="239"/>
      <c r="F216" s="283"/>
      <c r="G216" s="239"/>
      <c r="H216" s="239"/>
      <c r="I216" s="239"/>
      <c r="J216" s="239"/>
      <c r="K216" s="239"/>
      <c r="L216" s="239"/>
      <c r="M216" s="239"/>
      <c r="N216" s="239"/>
      <c r="O216" s="239"/>
      <c r="P216" s="246"/>
      <c r="Q216" s="239"/>
      <c r="R216" s="239"/>
      <c r="S216" s="239"/>
      <c r="T216" s="239"/>
      <c r="U216" s="239"/>
      <c r="V216" s="239"/>
      <c r="W216" s="246"/>
      <c r="X216" s="239"/>
      <c r="Y216" s="239"/>
      <c r="Z216" s="239"/>
      <c r="AA216" s="239"/>
      <c r="AB216" s="239"/>
      <c r="AC216" s="239"/>
      <c r="AD216" s="239"/>
      <c r="AE216" s="239"/>
      <c r="AF216" s="239"/>
      <c r="AG216" s="239"/>
      <c r="AH216" s="239"/>
      <c r="AI216" s="239"/>
      <c r="AJ216" s="239"/>
    </row>
    <row r="217">
      <c r="A217" s="239"/>
      <c r="B217" s="239"/>
      <c r="C217" s="239"/>
      <c r="D217" s="239"/>
      <c r="E217" s="239"/>
      <c r="F217" s="283"/>
      <c r="G217" s="239"/>
      <c r="H217" s="239"/>
      <c r="I217" s="239"/>
      <c r="J217" s="239"/>
      <c r="K217" s="239"/>
      <c r="L217" s="239"/>
      <c r="M217" s="239"/>
      <c r="N217" s="239"/>
      <c r="O217" s="239"/>
      <c r="P217" s="246"/>
      <c r="Q217" s="239"/>
      <c r="R217" s="239"/>
      <c r="S217" s="239"/>
      <c r="T217" s="239"/>
      <c r="U217" s="239"/>
      <c r="V217" s="239"/>
      <c r="W217" s="246"/>
      <c r="X217" s="239"/>
      <c r="Y217" s="239"/>
      <c r="Z217" s="239"/>
      <c r="AA217" s="239"/>
      <c r="AB217" s="239"/>
      <c r="AC217" s="239"/>
      <c r="AD217" s="239"/>
      <c r="AE217" s="239"/>
      <c r="AF217" s="239"/>
      <c r="AG217" s="239"/>
      <c r="AH217" s="239"/>
      <c r="AI217" s="239"/>
      <c r="AJ217" s="239"/>
    </row>
    <row r="218">
      <c r="A218" s="239"/>
      <c r="B218" s="239"/>
      <c r="C218" s="239"/>
      <c r="D218" s="239"/>
      <c r="E218" s="239"/>
      <c r="F218" s="283"/>
      <c r="G218" s="239"/>
      <c r="H218" s="239"/>
      <c r="I218" s="239"/>
      <c r="J218" s="239"/>
      <c r="K218" s="239"/>
      <c r="L218" s="239"/>
      <c r="M218" s="239"/>
      <c r="N218" s="239"/>
      <c r="O218" s="239"/>
      <c r="P218" s="246"/>
      <c r="Q218" s="239"/>
      <c r="R218" s="239"/>
      <c r="S218" s="239"/>
      <c r="T218" s="239"/>
      <c r="U218" s="239"/>
      <c r="V218" s="239"/>
      <c r="W218" s="246"/>
      <c r="X218" s="239"/>
      <c r="Y218" s="239"/>
      <c r="Z218" s="239"/>
      <c r="AA218" s="239"/>
      <c r="AB218" s="239"/>
      <c r="AC218" s="239"/>
      <c r="AD218" s="239"/>
      <c r="AE218" s="239"/>
      <c r="AF218" s="239"/>
      <c r="AG218" s="239"/>
      <c r="AH218" s="239"/>
      <c r="AI218" s="239"/>
      <c r="AJ218" s="239"/>
    </row>
    <row r="219">
      <c r="A219" s="239"/>
      <c r="B219" s="239"/>
      <c r="C219" s="239"/>
      <c r="D219" s="239"/>
      <c r="E219" s="239"/>
      <c r="F219" s="283"/>
      <c r="G219" s="239"/>
      <c r="H219" s="239"/>
      <c r="I219" s="239"/>
      <c r="J219" s="239"/>
      <c r="K219" s="239"/>
      <c r="L219" s="239"/>
      <c r="M219" s="239"/>
      <c r="N219" s="239"/>
      <c r="O219" s="239"/>
      <c r="P219" s="246"/>
      <c r="Q219" s="239"/>
      <c r="R219" s="239"/>
      <c r="S219" s="239"/>
      <c r="T219" s="239"/>
      <c r="U219" s="239"/>
      <c r="V219" s="239"/>
      <c r="W219" s="246"/>
      <c r="X219" s="239"/>
      <c r="Y219" s="239"/>
      <c r="Z219" s="239"/>
      <c r="AA219" s="239"/>
      <c r="AB219" s="239"/>
      <c r="AC219" s="239"/>
      <c r="AD219" s="239"/>
      <c r="AE219" s="239"/>
      <c r="AF219" s="239"/>
      <c r="AG219" s="239"/>
      <c r="AH219" s="239"/>
      <c r="AI219" s="239"/>
      <c r="AJ219" s="239"/>
    </row>
    <row r="220">
      <c r="A220" s="239"/>
      <c r="B220" s="239"/>
      <c r="C220" s="239"/>
      <c r="D220" s="239"/>
      <c r="E220" s="239"/>
      <c r="F220" s="283"/>
      <c r="G220" s="239"/>
      <c r="H220" s="239"/>
      <c r="I220" s="239"/>
      <c r="J220" s="239"/>
      <c r="K220" s="239"/>
      <c r="L220" s="239"/>
      <c r="M220" s="239"/>
      <c r="N220" s="239"/>
      <c r="O220" s="239"/>
      <c r="P220" s="246"/>
      <c r="Q220" s="239"/>
      <c r="R220" s="239"/>
      <c r="S220" s="239"/>
      <c r="T220" s="239"/>
      <c r="U220" s="239"/>
      <c r="V220" s="239"/>
      <c r="W220" s="246"/>
      <c r="X220" s="239"/>
      <c r="Y220" s="239"/>
      <c r="Z220" s="239"/>
      <c r="AA220" s="239"/>
      <c r="AB220" s="239"/>
      <c r="AC220" s="239"/>
      <c r="AD220" s="239"/>
      <c r="AE220" s="239"/>
      <c r="AF220" s="239"/>
      <c r="AG220" s="239"/>
      <c r="AH220" s="239"/>
      <c r="AI220" s="239"/>
      <c r="AJ220" s="239"/>
    </row>
    <row r="221">
      <c r="A221" s="239"/>
      <c r="B221" s="239"/>
      <c r="C221" s="239"/>
      <c r="D221" s="239"/>
      <c r="E221" s="239"/>
      <c r="F221" s="283"/>
      <c r="G221" s="239"/>
      <c r="H221" s="239"/>
      <c r="I221" s="239"/>
      <c r="J221" s="239"/>
      <c r="K221" s="239"/>
      <c r="L221" s="239"/>
      <c r="M221" s="239"/>
      <c r="N221" s="239"/>
      <c r="O221" s="239"/>
      <c r="P221" s="246"/>
      <c r="Q221" s="239"/>
      <c r="R221" s="239"/>
      <c r="S221" s="239"/>
      <c r="T221" s="239"/>
      <c r="U221" s="239"/>
      <c r="V221" s="239"/>
      <c r="W221" s="246"/>
      <c r="X221" s="239"/>
      <c r="Y221" s="239"/>
      <c r="Z221" s="239"/>
      <c r="AA221" s="239"/>
      <c r="AB221" s="239"/>
      <c r="AC221" s="239"/>
      <c r="AD221" s="239"/>
      <c r="AE221" s="239"/>
      <c r="AF221" s="239"/>
      <c r="AG221" s="239"/>
      <c r="AH221" s="239"/>
      <c r="AI221" s="239"/>
      <c r="AJ221" s="239"/>
    </row>
    <row r="222">
      <c r="A222" s="239"/>
      <c r="B222" s="239"/>
      <c r="C222" s="239"/>
      <c r="D222" s="239"/>
      <c r="E222" s="239"/>
      <c r="F222" s="283"/>
      <c r="G222" s="239"/>
      <c r="H222" s="239"/>
      <c r="I222" s="239"/>
      <c r="J222" s="239"/>
      <c r="K222" s="239"/>
      <c r="L222" s="239"/>
      <c r="M222" s="239"/>
      <c r="N222" s="239"/>
      <c r="O222" s="239"/>
      <c r="P222" s="246"/>
      <c r="Q222" s="239"/>
      <c r="R222" s="239"/>
      <c r="S222" s="239"/>
      <c r="T222" s="239"/>
      <c r="U222" s="239"/>
      <c r="V222" s="239"/>
      <c r="W222" s="246"/>
      <c r="X222" s="239"/>
      <c r="Y222" s="239"/>
      <c r="Z222" s="239"/>
      <c r="AA222" s="239"/>
      <c r="AB222" s="239"/>
      <c r="AC222" s="239"/>
      <c r="AD222" s="239"/>
      <c r="AE222" s="239"/>
      <c r="AF222" s="239"/>
      <c r="AG222" s="239"/>
      <c r="AH222" s="239"/>
      <c r="AI222" s="239"/>
      <c r="AJ222" s="239"/>
    </row>
    <row r="223">
      <c r="A223" s="239"/>
      <c r="B223" s="239"/>
      <c r="C223" s="239"/>
      <c r="D223" s="239"/>
      <c r="E223" s="239"/>
      <c r="F223" s="283"/>
      <c r="G223" s="239"/>
      <c r="H223" s="239"/>
      <c r="I223" s="239"/>
      <c r="J223" s="239"/>
      <c r="K223" s="239"/>
      <c r="L223" s="239"/>
      <c r="M223" s="239"/>
      <c r="N223" s="239"/>
      <c r="O223" s="239"/>
      <c r="P223" s="246"/>
      <c r="Q223" s="239"/>
      <c r="R223" s="239"/>
      <c r="S223" s="239"/>
      <c r="T223" s="239"/>
      <c r="U223" s="239"/>
      <c r="V223" s="239"/>
      <c r="W223" s="246"/>
      <c r="X223" s="239"/>
      <c r="Y223" s="239"/>
      <c r="Z223" s="239"/>
      <c r="AA223" s="239"/>
      <c r="AB223" s="239"/>
      <c r="AC223" s="239"/>
      <c r="AD223" s="239"/>
      <c r="AE223" s="239"/>
      <c r="AF223" s="239"/>
      <c r="AG223" s="239"/>
      <c r="AH223" s="239"/>
      <c r="AI223" s="239"/>
      <c r="AJ223" s="239"/>
    </row>
    <row r="224">
      <c r="A224" s="239"/>
      <c r="B224" s="239"/>
      <c r="C224" s="239"/>
      <c r="D224" s="239"/>
      <c r="E224" s="239"/>
      <c r="F224" s="283"/>
      <c r="G224" s="239"/>
      <c r="H224" s="239"/>
      <c r="I224" s="239"/>
      <c r="J224" s="239"/>
      <c r="K224" s="239"/>
      <c r="L224" s="239"/>
      <c r="M224" s="239"/>
      <c r="N224" s="239"/>
      <c r="O224" s="239"/>
      <c r="P224" s="246"/>
      <c r="Q224" s="239"/>
      <c r="R224" s="239"/>
      <c r="S224" s="239"/>
      <c r="T224" s="239"/>
      <c r="U224" s="239"/>
      <c r="V224" s="239"/>
      <c r="W224" s="246"/>
      <c r="X224" s="239"/>
      <c r="Y224" s="239"/>
      <c r="Z224" s="239"/>
      <c r="AA224" s="239"/>
      <c r="AB224" s="239"/>
      <c r="AC224" s="239"/>
      <c r="AD224" s="239"/>
      <c r="AE224" s="239"/>
      <c r="AF224" s="239"/>
      <c r="AG224" s="239"/>
      <c r="AH224" s="239"/>
      <c r="AI224" s="239"/>
      <c r="AJ224" s="239"/>
    </row>
    <row r="225">
      <c r="A225" s="239"/>
      <c r="B225" s="239"/>
      <c r="C225" s="239"/>
      <c r="D225" s="239"/>
      <c r="E225" s="239"/>
      <c r="F225" s="283"/>
      <c r="G225" s="239"/>
      <c r="H225" s="239"/>
      <c r="I225" s="239"/>
      <c r="J225" s="239"/>
      <c r="K225" s="239"/>
      <c r="L225" s="239"/>
      <c r="M225" s="239"/>
      <c r="N225" s="239"/>
      <c r="O225" s="239"/>
      <c r="P225" s="246"/>
      <c r="Q225" s="239"/>
      <c r="R225" s="239"/>
      <c r="S225" s="239"/>
      <c r="T225" s="239"/>
      <c r="U225" s="239"/>
      <c r="V225" s="239"/>
      <c r="W225" s="246"/>
      <c r="X225" s="239"/>
      <c r="Y225" s="239"/>
      <c r="Z225" s="239"/>
      <c r="AA225" s="239"/>
      <c r="AB225" s="239"/>
      <c r="AC225" s="239"/>
      <c r="AD225" s="239"/>
      <c r="AE225" s="239"/>
      <c r="AF225" s="239"/>
      <c r="AG225" s="239"/>
      <c r="AH225" s="239"/>
      <c r="AI225" s="239"/>
      <c r="AJ225" s="239"/>
    </row>
    <row r="226">
      <c r="A226" s="239"/>
      <c r="B226" s="239"/>
      <c r="C226" s="239"/>
      <c r="D226" s="239"/>
      <c r="E226" s="239"/>
      <c r="F226" s="283"/>
      <c r="G226" s="239"/>
      <c r="H226" s="239"/>
      <c r="I226" s="239"/>
      <c r="J226" s="239"/>
      <c r="K226" s="239"/>
      <c r="L226" s="239"/>
      <c r="M226" s="239"/>
      <c r="N226" s="239"/>
      <c r="O226" s="239"/>
      <c r="P226" s="246"/>
      <c r="Q226" s="239"/>
      <c r="R226" s="239"/>
      <c r="S226" s="239"/>
      <c r="T226" s="239"/>
      <c r="U226" s="239"/>
      <c r="V226" s="239"/>
      <c r="W226" s="246"/>
      <c r="X226" s="239"/>
      <c r="Y226" s="239"/>
      <c r="Z226" s="239"/>
      <c r="AA226" s="239"/>
      <c r="AB226" s="239"/>
      <c r="AC226" s="239"/>
      <c r="AD226" s="239"/>
      <c r="AE226" s="239"/>
      <c r="AF226" s="239"/>
      <c r="AG226" s="239"/>
      <c r="AH226" s="239"/>
      <c r="AI226" s="239"/>
      <c r="AJ226" s="239"/>
    </row>
    <row r="227">
      <c r="A227" s="239"/>
      <c r="B227" s="239"/>
      <c r="C227" s="239"/>
      <c r="D227" s="239"/>
      <c r="E227" s="239"/>
      <c r="F227" s="283"/>
      <c r="G227" s="239"/>
      <c r="H227" s="239"/>
      <c r="I227" s="239"/>
      <c r="J227" s="239"/>
      <c r="K227" s="239"/>
      <c r="L227" s="239"/>
      <c r="M227" s="239"/>
      <c r="N227" s="239"/>
      <c r="O227" s="239"/>
      <c r="P227" s="246"/>
      <c r="Q227" s="239"/>
      <c r="R227" s="239"/>
      <c r="S227" s="239"/>
      <c r="T227" s="239"/>
      <c r="U227" s="239"/>
      <c r="V227" s="239"/>
      <c r="W227" s="246"/>
      <c r="X227" s="239"/>
      <c r="Y227" s="239"/>
      <c r="Z227" s="239"/>
      <c r="AA227" s="239"/>
      <c r="AB227" s="239"/>
      <c r="AC227" s="239"/>
      <c r="AD227" s="239"/>
      <c r="AE227" s="239"/>
      <c r="AF227" s="239"/>
      <c r="AG227" s="239"/>
      <c r="AH227" s="239"/>
      <c r="AI227" s="239"/>
      <c r="AJ227" s="239"/>
    </row>
    <row r="228">
      <c r="A228" s="239"/>
      <c r="B228" s="239"/>
      <c r="C228" s="239"/>
      <c r="D228" s="239"/>
      <c r="E228" s="239"/>
      <c r="F228" s="283"/>
      <c r="G228" s="239"/>
      <c r="H228" s="239"/>
      <c r="I228" s="239"/>
      <c r="J228" s="239"/>
      <c r="K228" s="239"/>
      <c r="L228" s="239"/>
      <c r="M228" s="239"/>
      <c r="N228" s="239"/>
      <c r="O228" s="239"/>
      <c r="P228" s="246"/>
      <c r="Q228" s="239"/>
      <c r="R228" s="239"/>
      <c r="S228" s="239"/>
      <c r="T228" s="239"/>
      <c r="U228" s="239"/>
      <c r="V228" s="239"/>
      <c r="W228" s="246"/>
      <c r="X228" s="239"/>
      <c r="Y228" s="239"/>
      <c r="Z228" s="239"/>
      <c r="AA228" s="239"/>
      <c r="AB228" s="239"/>
      <c r="AC228" s="239"/>
      <c r="AD228" s="239"/>
      <c r="AE228" s="239"/>
      <c r="AF228" s="239"/>
      <c r="AG228" s="239"/>
      <c r="AH228" s="239"/>
      <c r="AI228" s="239"/>
      <c r="AJ228" s="239"/>
    </row>
    <row r="229">
      <c r="A229" s="239"/>
      <c r="B229" s="239"/>
      <c r="C229" s="239"/>
      <c r="D229" s="239"/>
      <c r="E229" s="239"/>
      <c r="F229" s="283"/>
      <c r="G229" s="239"/>
      <c r="H229" s="239"/>
      <c r="I229" s="239"/>
      <c r="J229" s="239"/>
      <c r="K229" s="239"/>
      <c r="L229" s="239"/>
      <c r="M229" s="239"/>
      <c r="N229" s="239"/>
      <c r="O229" s="239"/>
      <c r="P229" s="246"/>
      <c r="Q229" s="239"/>
      <c r="R229" s="239"/>
      <c r="S229" s="239"/>
      <c r="T229" s="239"/>
      <c r="U229" s="239"/>
      <c r="V229" s="239"/>
      <c r="W229" s="246"/>
      <c r="X229" s="239"/>
      <c r="Y229" s="239"/>
      <c r="Z229" s="239"/>
      <c r="AA229" s="239"/>
      <c r="AB229" s="239"/>
      <c r="AC229" s="239"/>
      <c r="AD229" s="239"/>
      <c r="AE229" s="239"/>
      <c r="AF229" s="239"/>
      <c r="AG229" s="239"/>
      <c r="AH229" s="239"/>
      <c r="AI229" s="239"/>
      <c r="AJ229" s="239"/>
    </row>
    <row r="230">
      <c r="A230" s="239"/>
      <c r="B230" s="239"/>
      <c r="C230" s="239"/>
      <c r="D230" s="239"/>
      <c r="E230" s="239"/>
      <c r="F230" s="283"/>
      <c r="G230" s="239"/>
      <c r="H230" s="239"/>
      <c r="I230" s="239"/>
      <c r="J230" s="239"/>
      <c r="K230" s="239"/>
      <c r="L230" s="239"/>
      <c r="M230" s="239"/>
      <c r="N230" s="239"/>
      <c r="O230" s="239"/>
      <c r="P230" s="246"/>
      <c r="Q230" s="239"/>
      <c r="R230" s="239"/>
      <c r="S230" s="239"/>
      <c r="T230" s="239"/>
      <c r="U230" s="239"/>
      <c r="V230" s="239"/>
      <c r="W230" s="246"/>
      <c r="X230" s="239"/>
      <c r="Y230" s="239"/>
      <c r="Z230" s="239"/>
      <c r="AA230" s="239"/>
      <c r="AB230" s="239"/>
      <c r="AC230" s="239"/>
      <c r="AD230" s="239"/>
      <c r="AE230" s="239"/>
      <c r="AF230" s="239"/>
      <c r="AG230" s="239"/>
      <c r="AH230" s="239"/>
      <c r="AI230" s="239"/>
      <c r="AJ230" s="239"/>
    </row>
    <row r="231">
      <c r="A231" s="239"/>
      <c r="B231" s="239"/>
      <c r="C231" s="239"/>
      <c r="D231" s="239"/>
      <c r="E231" s="239"/>
      <c r="F231" s="283"/>
      <c r="G231" s="239"/>
      <c r="H231" s="239"/>
      <c r="I231" s="239"/>
      <c r="J231" s="239"/>
      <c r="K231" s="239"/>
      <c r="L231" s="239"/>
      <c r="M231" s="239"/>
      <c r="N231" s="239"/>
      <c r="O231" s="239"/>
      <c r="P231" s="246"/>
      <c r="Q231" s="239"/>
      <c r="R231" s="239"/>
      <c r="S231" s="239"/>
      <c r="T231" s="239"/>
      <c r="U231" s="239"/>
      <c r="V231" s="239"/>
      <c r="W231" s="246"/>
      <c r="X231" s="239"/>
      <c r="Y231" s="239"/>
      <c r="Z231" s="239"/>
      <c r="AA231" s="239"/>
      <c r="AB231" s="239"/>
      <c r="AC231" s="239"/>
      <c r="AD231" s="239"/>
      <c r="AE231" s="239"/>
      <c r="AF231" s="239"/>
      <c r="AG231" s="239"/>
      <c r="AH231" s="239"/>
      <c r="AI231" s="239"/>
      <c r="AJ231" s="239"/>
    </row>
    <row r="232">
      <c r="A232" s="239"/>
      <c r="B232" s="239"/>
      <c r="C232" s="239"/>
      <c r="D232" s="239"/>
      <c r="E232" s="239"/>
      <c r="F232" s="283"/>
      <c r="G232" s="239"/>
      <c r="H232" s="239"/>
      <c r="I232" s="239"/>
      <c r="J232" s="239"/>
      <c r="K232" s="239"/>
      <c r="L232" s="239"/>
      <c r="M232" s="239"/>
      <c r="N232" s="239"/>
      <c r="O232" s="239"/>
      <c r="P232" s="246"/>
      <c r="Q232" s="239"/>
      <c r="R232" s="239"/>
      <c r="S232" s="239"/>
      <c r="T232" s="239"/>
      <c r="U232" s="239"/>
      <c r="V232" s="239"/>
      <c r="W232" s="246"/>
      <c r="X232" s="239"/>
      <c r="Y232" s="239"/>
      <c r="Z232" s="239"/>
      <c r="AA232" s="239"/>
      <c r="AB232" s="239"/>
      <c r="AC232" s="239"/>
      <c r="AD232" s="239"/>
      <c r="AE232" s="239"/>
      <c r="AF232" s="239"/>
      <c r="AG232" s="239"/>
      <c r="AH232" s="239"/>
      <c r="AI232" s="239"/>
      <c r="AJ232" s="239"/>
    </row>
    <row r="233">
      <c r="A233" s="239"/>
      <c r="B233" s="239"/>
      <c r="C233" s="239"/>
      <c r="D233" s="239"/>
      <c r="E233" s="239"/>
      <c r="F233" s="283"/>
      <c r="G233" s="239"/>
      <c r="H233" s="239"/>
      <c r="I233" s="239"/>
      <c r="J233" s="239"/>
      <c r="K233" s="239"/>
      <c r="L233" s="239"/>
      <c r="M233" s="239"/>
      <c r="N233" s="239"/>
      <c r="O233" s="239"/>
      <c r="P233" s="246"/>
      <c r="Q233" s="239"/>
      <c r="R233" s="239"/>
      <c r="S233" s="239"/>
      <c r="T233" s="239"/>
      <c r="U233" s="239"/>
      <c r="V233" s="239"/>
      <c r="W233" s="246"/>
      <c r="X233" s="239"/>
      <c r="Y233" s="239"/>
      <c r="Z233" s="239"/>
      <c r="AA233" s="239"/>
      <c r="AB233" s="239"/>
      <c r="AC233" s="239"/>
      <c r="AD233" s="239"/>
      <c r="AE233" s="239"/>
      <c r="AF233" s="239"/>
      <c r="AG233" s="239"/>
      <c r="AH233" s="239"/>
      <c r="AI233" s="239"/>
      <c r="AJ233" s="239"/>
    </row>
    <row r="234">
      <c r="A234" s="239"/>
      <c r="B234" s="239"/>
      <c r="C234" s="239"/>
      <c r="D234" s="239"/>
      <c r="E234" s="239"/>
      <c r="F234" s="283"/>
      <c r="G234" s="239"/>
      <c r="H234" s="239"/>
      <c r="I234" s="239"/>
      <c r="J234" s="239"/>
      <c r="K234" s="239"/>
      <c r="L234" s="239"/>
      <c r="M234" s="239"/>
      <c r="N234" s="239"/>
      <c r="O234" s="239"/>
      <c r="P234" s="246"/>
      <c r="Q234" s="239"/>
      <c r="R234" s="239"/>
      <c r="S234" s="239"/>
      <c r="T234" s="239"/>
      <c r="U234" s="239"/>
      <c r="V234" s="239"/>
      <c r="W234" s="246"/>
      <c r="X234" s="239"/>
      <c r="Y234" s="239"/>
      <c r="Z234" s="239"/>
      <c r="AA234" s="239"/>
      <c r="AB234" s="239"/>
      <c r="AC234" s="239"/>
      <c r="AD234" s="239"/>
      <c r="AE234" s="239"/>
      <c r="AF234" s="239"/>
      <c r="AG234" s="239"/>
      <c r="AH234" s="239"/>
      <c r="AI234" s="239"/>
      <c r="AJ234" s="239"/>
    </row>
    <row r="235">
      <c r="A235" s="239"/>
      <c r="B235" s="239"/>
      <c r="C235" s="239"/>
      <c r="D235" s="239"/>
      <c r="E235" s="239"/>
      <c r="F235" s="283"/>
      <c r="G235" s="239"/>
      <c r="H235" s="239"/>
      <c r="I235" s="239"/>
      <c r="J235" s="239"/>
      <c r="K235" s="239"/>
      <c r="L235" s="239"/>
      <c r="M235" s="239"/>
      <c r="N235" s="239"/>
      <c r="O235" s="239"/>
      <c r="P235" s="246"/>
      <c r="Q235" s="239"/>
      <c r="R235" s="239"/>
      <c r="S235" s="239"/>
      <c r="T235" s="239"/>
      <c r="U235" s="239"/>
      <c r="V235" s="239"/>
      <c r="W235" s="246"/>
      <c r="X235" s="239"/>
      <c r="Y235" s="239"/>
      <c r="Z235" s="239"/>
      <c r="AA235" s="239"/>
      <c r="AB235" s="239"/>
      <c r="AC235" s="239"/>
      <c r="AD235" s="239"/>
      <c r="AE235" s="239"/>
      <c r="AF235" s="239"/>
      <c r="AG235" s="239"/>
      <c r="AH235" s="239"/>
      <c r="AI235" s="239"/>
      <c r="AJ235" s="239"/>
    </row>
    <row r="236">
      <c r="A236" s="239"/>
      <c r="B236" s="239"/>
      <c r="C236" s="239"/>
      <c r="D236" s="239"/>
      <c r="E236" s="239"/>
      <c r="F236" s="283"/>
      <c r="G236" s="239"/>
      <c r="H236" s="239"/>
      <c r="I236" s="239"/>
      <c r="J236" s="239"/>
      <c r="K236" s="239"/>
      <c r="L236" s="239"/>
      <c r="M236" s="239"/>
      <c r="N236" s="239"/>
      <c r="O236" s="239"/>
      <c r="P236" s="246"/>
      <c r="Q236" s="239"/>
      <c r="R236" s="239"/>
      <c r="S236" s="239"/>
      <c r="T236" s="239"/>
      <c r="U236" s="239"/>
      <c r="V236" s="239"/>
      <c r="W236" s="246"/>
      <c r="X236" s="239"/>
      <c r="Y236" s="239"/>
      <c r="Z236" s="239"/>
      <c r="AA236" s="239"/>
      <c r="AB236" s="239"/>
      <c r="AC236" s="239"/>
      <c r="AD236" s="239"/>
      <c r="AE236" s="239"/>
      <c r="AF236" s="239"/>
      <c r="AG236" s="239"/>
      <c r="AH236" s="239"/>
      <c r="AI236" s="239"/>
      <c r="AJ236" s="239"/>
    </row>
    <row r="237">
      <c r="A237" s="239"/>
      <c r="B237" s="239"/>
      <c r="C237" s="239"/>
      <c r="D237" s="239"/>
      <c r="E237" s="239"/>
      <c r="F237" s="283"/>
      <c r="G237" s="239"/>
      <c r="H237" s="239"/>
      <c r="I237" s="239"/>
      <c r="J237" s="239"/>
      <c r="K237" s="239"/>
      <c r="L237" s="239"/>
      <c r="M237" s="239"/>
      <c r="N237" s="239"/>
      <c r="O237" s="239"/>
      <c r="P237" s="246"/>
      <c r="Q237" s="239"/>
      <c r="R237" s="239"/>
      <c r="S237" s="239"/>
      <c r="T237" s="239"/>
      <c r="U237" s="239"/>
      <c r="V237" s="239"/>
      <c r="W237" s="246"/>
      <c r="X237" s="239"/>
      <c r="Y237" s="239"/>
      <c r="Z237" s="239"/>
      <c r="AA237" s="239"/>
      <c r="AB237" s="239"/>
      <c r="AC237" s="239"/>
      <c r="AD237" s="239"/>
      <c r="AE237" s="239"/>
      <c r="AF237" s="239"/>
      <c r="AG237" s="239"/>
      <c r="AH237" s="239"/>
      <c r="AI237" s="239"/>
      <c r="AJ237" s="239"/>
    </row>
    <row r="238">
      <c r="A238" s="239"/>
      <c r="B238" s="239"/>
      <c r="C238" s="239"/>
      <c r="D238" s="239"/>
      <c r="E238" s="239"/>
      <c r="F238" s="283"/>
      <c r="G238" s="239"/>
      <c r="H238" s="239"/>
      <c r="I238" s="239"/>
      <c r="J238" s="239"/>
      <c r="K238" s="239"/>
      <c r="L238" s="239"/>
      <c r="M238" s="239"/>
      <c r="N238" s="239"/>
      <c r="O238" s="239"/>
      <c r="P238" s="246"/>
      <c r="Q238" s="239"/>
      <c r="R238" s="239"/>
      <c r="S238" s="239"/>
      <c r="T238" s="239"/>
      <c r="U238" s="239"/>
      <c r="V238" s="239"/>
      <c r="W238" s="246"/>
      <c r="X238" s="239"/>
      <c r="Y238" s="239"/>
      <c r="Z238" s="239"/>
      <c r="AA238" s="239"/>
      <c r="AB238" s="239"/>
      <c r="AC238" s="239"/>
      <c r="AD238" s="239"/>
      <c r="AE238" s="239"/>
      <c r="AF238" s="239"/>
      <c r="AG238" s="239"/>
      <c r="AH238" s="239"/>
      <c r="AI238" s="239"/>
      <c r="AJ238" s="239"/>
    </row>
    <row r="239">
      <c r="A239" s="239"/>
      <c r="B239" s="239"/>
      <c r="C239" s="239"/>
      <c r="D239" s="239"/>
      <c r="E239" s="239"/>
      <c r="F239" s="283"/>
      <c r="G239" s="239"/>
      <c r="H239" s="239"/>
      <c r="I239" s="239"/>
      <c r="J239" s="239"/>
      <c r="K239" s="239"/>
      <c r="L239" s="239"/>
      <c r="M239" s="239"/>
      <c r="N239" s="239"/>
      <c r="O239" s="239"/>
      <c r="P239" s="246"/>
      <c r="Q239" s="239"/>
      <c r="R239" s="239"/>
      <c r="S239" s="239"/>
      <c r="T239" s="239"/>
      <c r="U239" s="239"/>
      <c r="V239" s="239"/>
      <c r="W239" s="246"/>
      <c r="X239" s="239"/>
      <c r="Y239" s="239"/>
      <c r="Z239" s="239"/>
      <c r="AA239" s="239"/>
      <c r="AB239" s="239"/>
      <c r="AC239" s="239"/>
      <c r="AD239" s="239"/>
      <c r="AE239" s="239"/>
      <c r="AF239" s="239"/>
      <c r="AG239" s="239"/>
      <c r="AH239" s="239"/>
      <c r="AI239" s="239"/>
      <c r="AJ239" s="239"/>
    </row>
    <row r="240">
      <c r="A240" s="239"/>
      <c r="B240" s="239"/>
      <c r="C240" s="239"/>
      <c r="D240" s="239"/>
      <c r="E240" s="239"/>
      <c r="F240" s="283"/>
      <c r="G240" s="239"/>
      <c r="H240" s="239"/>
      <c r="I240" s="239"/>
      <c r="J240" s="239"/>
      <c r="K240" s="239"/>
      <c r="L240" s="239"/>
      <c r="M240" s="239"/>
      <c r="N240" s="239"/>
      <c r="O240" s="239"/>
      <c r="P240" s="246"/>
      <c r="Q240" s="239"/>
      <c r="R240" s="239"/>
      <c r="S240" s="239"/>
      <c r="T240" s="239"/>
      <c r="U240" s="239"/>
      <c r="V240" s="239"/>
      <c r="W240" s="246"/>
      <c r="X240" s="239"/>
      <c r="Y240" s="239"/>
      <c r="Z240" s="239"/>
      <c r="AA240" s="239"/>
      <c r="AB240" s="239"/>
      <c r="AC240" s="239"/>
      <c r="AD240" s="239"/>
      <c r="AE240" s="239"/>
      <c r="AF240" s="239"/>
      <c r="AG240" s="239"/>
      <c r="AH240" s="239"/>
      <c r="AI240" s="239"/>
      <c r="AJ240" s="239"/>
    </row>
    <row r="241">
      <c r="A241" s="239"/>
      <c r="B241" s="239"/>
      <c r="C241" s="239"/>
      <c r="D241" s="239"/>
      <c r="E241" s="239"/>
      <c r="F241" s="283"/>
      <c r="G241" s="239"/>
      <c r="H241" s="239"/>
      <c r="I241" s="239"/>
      <c r="J241" s="239"/>
      <c r="K241" s="239"/>
      <c r="L241" s="239"/>
      <c r="M241" s="239"/>
      <c r="N241" s="239"/>
      <c r="O241" s="239"/>
      <c r="P241" s="246"/>
      <c r="Q241" s="239"/>
      <c r="R241" s="239"/>
      <c r="S241" s="239"/>
      <c r="T241" s="239"/>
      <c r="U241" s="239"/>
      <c r="V241" s="239"/>
      <c r="W241" s="246"/>
      <c r="X241" s="239"/>
      <c r="Y241" s="239"/>
      <c r="Z241" s="239"/>
      <c r="AA241" s="239"/>
      <c r="AB241" s="239"/>
      <c r="AC241" s="239"/>
      <c r="AD241" s="239"/>
      <c r="AE241" s="239"/>
      <c r="AF241" s="239"/>
      <c r="AG241" s="239"/>
      <c r="AH241" s="239"/>
      <c r="AI241" s="239"/>
      <c r="AJ241" s="239"/>
    </row>
    <row r="242">
      <c r="A242" s="239"/>
      <c r="B242" s="239"/>
      <c r="C242" s="239"/>
      <c r="D242" s="239"/>
      <c r="E242" s="239"/>
      <c r="F242" s="283"/>
      <c r="G242" s="239"/>
      <c r="H242" s="239"/>
      <c r="I242" s="239"/>
      <c r="J242" s="239"/>
      <c r="K242" s="239"/>
      <c r="L242" s="239"/>
      <c r="M242" s="239"/>
      <c r="N242" s="239"/>
      <c r="O242" s="239"/>
      <c r="P242" s="246"/>
      <c r="Q242" s="239"/>
      <c r="R242" s="239"/>
      <c r="S242" s="239"/>
      <c r="T242" s="239"/>
      <c r="U242" s="239"/>
      <c r="V242" s="239"/>
      <c r="W242" s="246"/>
      <c r="X242" s="239"/>
      <c r="Y242" s="239"/>
      <c r="Z242" s="239"/>
      <c r="AA242" s="239"/>
      <c r="AB242" s="239"/>
      <c r="AC242" s="239"/>
      <c r="AD242" s="239"/>
      <c r="AE242" s="239"/>
      <c r="AF242" s="239"/>
      <c r="AG242" s="239"/>
      <c r="AH242" s="239"/>
      <c r="AI242" s="239"/>
      <c r="AJ242" s="239"/>
    </row>
    <row r="243">
      <c r="A243" s="239"/>
      <c r="B243" s="239"/>
      <c r="C243" s="239"/>
      <c r="D243" s="239"/>
      <c r="E243" s="239"/>
      <c r="F243" s="283"/>
      <c r="G243" s="239"/>
      <c r="H243" s="239"/>
      <c r="I243" s="239"/>
      <c r="J243" s="239"/>
      <c r="K243" s="239"/>
      <c r="L243" s="239"/>
      <c r="M243" s="239"/>
      <c r="N243" s="239"/>
      <c r="O243" s="239"/>
      <c r="P243" s="246"/>
      <c r="Q243" s="239"/>
      <c r="R243" s="239"/>
      <c r="S243" s="239"/>
      <c r="T243" s="239"/>
      <c r="U243" s="239"/>
      <c r="V243" s="239"/>
      <c r="W243" s="246"/>
      <c r="X243" s="239"/>
      <c r="Y243" s="239"/>
      <c r="Z243" s="239"/>
      <c r="AA243" s="239"/>
      <c r="AB243" s="239"/>
      <c r="AC243" s="239"/>
      <c r="AD243" s="239"/>
      <c r="AE243" s="239"/>
      <c r="AF243" s="239"/>
      <c r="AG243" s="239"/>
      <c r="AH243" s="239"/>
      <c r="AI243" s="239"/>
      <c r="AJ243" s="239"/>
    </row>
    <row r="244">
      <c r="A244" s="239"/>
      <c r="B244" s="239"/>
      <c r="C244" s="239"/>
      <c r="D244" s="239"/>
      <c r="E244" s="239"/>
      <c r="F244" s="283"/>
      <c r="G244" s="239"/>
      <c r="H244" s="239"/>
      <c r="I244" s="239"/>
      <c r="J244" s="239"/>
      <c r="K244" s="239"/>
      <c r="L244" s="239"/>
      <c r="M244" s="239"/>
      <c r="N244" s="239"/>
      <c r="O244" s="239"/>
      <c r="P244" s="246"/>
      <c r="Q244" s="239"/>
      <c r="R244" s="239"/>
      <c r="S244" s="239"/>
      <c r="T244" s="239"/>
      <c r="U244" s="239"/>
      <c r="V244" s="239"/>
      <c r="W244" s="246"/>
      <c r="X244" s="239"/>
      <c r="Y244" s="239"/>
      <c r="Z244" s="239"/>
      <c r="AA244" s="239"/>
      <c r="AB244" s="239"/>
      <c r="AC244" s="239"/>
      <c r="AD244" s="239"/>
      <c r="AE244" s="239"/>
      <c r="AF244" s="239"/>
      <c r="AG244" s="239"/>
      <c r="AH244" s="239"/>
      <c r="AI244" s="239"/>
      <c r="AJ244" s="239"/>
    </row>
    <row r="245">
      <c r="A245" s="239"/>
      <c r="B245" s="239"/>
      <c r="C245" s="239"/>
      <c r="D245" s="239"/>
      <c r="E245" s="239"/>
      <c r="F245" s="283"/>
      <c r="G245" s="239"/>
      <c r="H245" s="239"/>
      <c r="I245" s="239"/>
      <c r="J245" s="239"/>
      <c r="K245" s="239"/>
      <c r="L245" s="239"/>
      <c r="M245" s="239"/>
      <c r="N245" s="239"/>
      <c r="O245" s="239"/>
      <c r="P245" s="246"/>
      <c r="Q245" s="239"/>
      <c r="R245" s="239"/>
      <c r="S245" s="239"/>
      <c r="T245" s="239"/>
      <c r="U245" s="239"/>
      <c r="V245" s="239"/>
      <c r="W245" s="246"/>
      <c r="X245" s="239"/>
      <c r="Y245" s="239"/>
      <c r="Z245" s="239"/>
      <c r="AA245" s="239"/>
      <c r="AB245" s="239"/>
      <c r="AC245" s="239"/>
      <c r="AD245" s="239"/>
      <c r="AE245" s="239"/>
      <c r="AF245" s="239"/>
      <c r="AG245" s="239"/>
      <c r="AH245" s="239"/>
      <c r="AI245" s="239"/>
      <c r="AJ245" s="239"/>
    </row>
    <row r="246">
      <c r="A246" s="239"/>
      <c r="B246" s="239"/>
      <c r="C246" s="239"/>
      <c r="D246" s="239"/>
      <c r="E246" s="239"/>
      <c r="F246" s="283"/>
      <c r="G246" s="239"/>
      <c r="H246" s="239"/>
      <c r="I246" s="239"/>
      <c r="J246" s="239"/>
      <c r="K246" s="239"/>
      <c r="L246" s="239"/>
      <c r="M246" s="239"/>
      <c r="N246" s="239"/>
      <c r="O246" s="239"/>
      <c r="P246" s="246"/>
      <c r="Q246" s="239"/>
      <c r="R246" s="239"/>
      <c r="S246" s="239"/>
      <c r="T246" s="239"/>
      <c r="U246" s="239"/>
      <c r="V246" s="239"/>
      <c r="W246" s="246"/>
      <c r="X246" s="239"/>
      <c r="Y246" s="239"/>
      <c r="Z246" s="239"/>
      <c r="AA246" s="239"/>
      <c r="AB246" s="239"/>
      <c r="AC246" s="239"/>
      <c r="AD246" s="239"/>
      <c r="AE246" s="239"/>
      <c r="AF246" s="239"/>
      <c r="AG246" s="239"/>
      <c r="AH246" s="239"/>
      <c r="AI246" s="239"/>
      <c r="AJ246" s="239"/>
    </row>
    <row r="247">
      <c r="A247" s="239"/>
      <c r="B247" s="239"/>
      <c r="C247" s="239"/>
      <c r="D247" s="239"/>
      <c r="E247" s="239"/>
      <c r="F247" s="283"/>
      <c r="G247" s="239"/>
      <c r="H247" s="239"/>
      <c r="I247" s="239"/>
      <c r="J247" s="239"/>
      <c r="K247" s="239"/>
      <c r="L247" s="239"/>
      <c r="M247" s="239"/>
      <c r="N247" s="239"/>
      <c r="O247" s="239"/>
      <c r="P247" s="246"/>
      <c r="Q247" s="239"/>
      <c r="R247" s="239"/>
      <c r="S247" s="239"/>
      <c r="T247" s="239"/>
      <c r="U247" s="239"/>
      <c r="V247" s="239"/>
      <c r="W247" s="246"/>
      <c r="X247" s="239"/>
      <c r="Y247" s="239"/>
      <c r="Z247" s="239"/>
      <c r="AA247" s="239"/>
      <c r="AB247" s="239"/>
      <c r="AC247" s="239"/>
      <c r="AD247" s="239"/>
      <c r="AE247" s="239"/>
      <c r="AF247" s="239"/>
      <c r="AG247" s="239"/>
      <c r="AH247" s="239"/>
      <c r="AI247" s="239"/>
      <c r="AJ247" s="239"/>
    </row>
    <row r="248">
      <c r="A248" s="239"/>
      <c r="B248" s="239"/>
      <c r="C248" s="239"/>
      <c r="D248" s="239"/>
      <c r="E248" s="239"/>
      <c r="F248" s="283"/>
      <c r="G248" s="239"/>
      <c r="H248" s="239"/>
      <c r="I248" s="239"/>
      <c r="J248" s="239"/>
      <c r="K248" s="239"/>
      <c r="L248" s="239"/>
      <c r="M248" s="239"/>
      <c r="N248" s="239"/>
      <c r="O248" s="239"/>
      <c r="P248" s="246"/>
      <c r="Q248" s="239"/>
      <c r="R248" s="239"/>
      <c r="S248" s="239"/>
      <c r="T248" s="239"/>
      <c r="U248" s="239"/>
      <c r="V248" s="239"/>
      <c r="W248" s="246"/>
      <c r="X248" s="239"/>
      <c r="Y248" s="239"/>
      <c r="Z248" s="239"/>
      <c r="AA248" s="239"/>
      <c r="AB248" s="239"/>
      <c r="AC248" s="239"/>
      <c r="AD248" s="239"/>
      <c r="AE248" s="239"/>
      <c r="AF248" s="239"/>
      <c r="AG248" s="239"/>
      <c r="AH248" s="239"/>
      <c r="AI248" s="239"/>
      <c r="AJ248" s="239"/>
    </row>
    <row r="249">
      <c r="A249" s="239"/>
      <c r="B249" s="239"/>
      <c r="C249" s="239"/>
      <c r="D249" s="239"/>
      <c r="E249" s="239"/>
      <c r="F249" s="283"/>
      <c r="G249" s="239"/>
      <c r="H249" s="239"/>
      <c r="I249" s="239"/>
      <c r="J249" s="239"/>
      <c r="K249" s="239"/>
      <c r="L249" s="239"/>
      <c r="M249" s="239"/>
      <c r="N249" s="239"/>
      <c r="O249" s="239"/>
      <c r="P249" s="246"/>
      <c r="Q249" s="239"/>
      <c r="R249" s="239"/>
      <c r="S249" s="239"/>
      <c r="T249" s="239"/>
      <c r="U249" s="239"/>
      <c r="V249" s="239"/>
      <c r="W249" s="246"/>
      <c r="X249" s="239"/>
      <c r="Y249" s="239"/>
      <c r="Z249" s="239"/>
      <c r="AA249" s="239"/>
      <c r="AB249" s="239"/>
      <c r="AC249" s="239"/>
      <c r="AD249" s="239"/>
      <c r="AE249" s="239"/>
      <c r="AF249" s="239"/>
      <c r="AG249" s="239"/>
      <c r="AH249" s="239"/>
      <c r="AI249" s="239"/>
      <c r="AJ249" s="239"/>
    </row>
    <row r="250">
      <c r="A250" s="239"/>
      <c r="B250" s="239"/>
      <c r="C250" s="239"/>
      <c r="D250" s="239"/>
      <c r="E250" s="239"/>
      <c r="F250" s="283"/>
      <c r="G250" s="239"/>
      <c r="H250" s="239"/>
      <c r="I250" s="239"/>
      <c r="J250" s="239"/>
      <c r="K250" s="239"/>
      <c r="L250" s="239"/>
      <c r="M250" s="239"/>
      <c r="N250" s="239"/>
      <c r="O250" s="239"/>
      <c r="P250" s="246"/>
      <c r="Q250" s="239"/>
      <c r="R250" s="239"/>
      <c r="S250" s="239"/>
      <c r="T250" s="239"/>
      <c r="U250" s="239"/>
      <c r="V250" s="239"/>
      <c r="W250" s="246"/>
      <c r="X250" s="239"/>
      <c r="Y250" s="239"/>
      <c r="Z250" s="239"/>
      <c r="AA250" s="239"/>
      <c r="AB250" s="239"/>
      <c r="AC250" s="239"/>
      <c r="AD250" s="239"/>
      <c r="AE250" s="239"/>
      <c r="AF250" s="239"/>
      <c r="AG250" s="239"/>
      <c r="AH250" s="239"/>
      <c r="AI250" s="239"/>
      <c r="AJ250" s="239"/>
    </row>
    <row r="251">
      <c r="A251" s="239"/>
      <c r="B251" s="239"/>
      <c r="C251" s="239"/>
      <c r="D251" s="239"/>
      <c r="E251" s="239"/>
      <c r="F251" s="283"/>
      <c r="G251" s="239"/>
      <c r="H251" s="239"/>
      <c r="I251" s="239"/>
      <c r="J251" s="239"/>
      <c r="K251" s="239"/>
      <c r="L251" s="239"/>
      <c r="M251" s="239"/>
      <c r="N251" s="239"/>
      <c r="O251" s="239"/>
      <c r="P251" s="246"/>
      <c r="Q251" s="239"/>
      <c r="R251" s="239"/>
      <c r="S251" s="239"/>
      <c r="T251" s="239"/>
      <c r="U251" s="239"/>
      <c r="V251" s="239"/>
      <c r="W251" s="246"/>
      <c r="X251" s="239"/>
      <c r="Y251" s="239"/>
      <c r="Z251" s="239"/>
      <c r="AA251" s="239"/>
      <c r="AB251" s="239"/>
      <c r="AC251" s="239"/>
      <c r="AD251" s="239"/>
      <c r="AE251" s="239"/>
      <c r="AF251" s="239"/>
      <c r="AG251" s="239"/>
      <c r="AH251" s="239"/>
      <c r="AI251" s="239"/>
      <c r="AJ251" s="239"/>
    </row>
    <row r="252">
      <c r="A252" s="239"/>
      <c r="B252" s="239"/>
      <c r="C252" s="239"/>
      <c r="D252" s="239"/>
      <c r="E252" s="239"/>
      <c r="F252" s="283"/>
      <c r="G252" s="239"/>
      <c r="H252" s="239"/>
      <c r="I252" s="239"/>
      <c r="J252" s="239"/>
      <c r="K252" s="239"/>
      <c r="L252" s="239"/>
      <c r="M252" s="239"/>
      <c r="N252" s="239"/>
      <c r="O252" s="239"/>
      <c r="P252" s="246"/>
      <c r="Q252" s="239"/>
      <c r="R252" s="239"/>
      <c r="S252" s="239"/>
      <c r="T252" s="239"/>
      <c r="U252" s="239"/>
      <c r="V252" s="239"/>
      <c r="W252" s="246"/>
      <c r="X252" s="239"/>
      <c r="Y252" s="239"/>
      <c r="Z252" s="239"/>
      <c r="AA252" s="239"/>
      <c r="AB252" s="239"/>
      <c r="AC252" s="239"/>
      <c r="AD252" s="239"/>
      <c r="AE252" s="239"/>
      <c r="AF252" s="239"/>
      <c r="AG252" s="239"/>
      <c r="AH252" s="239"/>
      <c r="AI252" s="239"/>
      <c r="AJ252" s="239"/>
    </row>
    <row r="253">
      <c r="A253" s="239"/>
      <c r="B253" s="239"/>
      <c r="C253" s="239"/>
      <c r="D253" s="239"/>
      <c r="E253" s="239"/>
      <c r="F253" s="283"/>
      <c r="G253" s="239"/>
      <c r="H253" s="239"/>
      <c r="I253" s="239"/>
      <c r="J253" s="239"/>
      <c r="K253" s="239"/>
      <c r="L253" s="239"/>
      <c r="M253" s="239"/>
      <c r="N253" s="239"/>
      <c r="O253" s="239"/>
      <c r="P253" s="246"/>
      <c r="Q253" s="239"/>
      <c r="R253" s="239"/>
      <c r="S253" s="239"/>
      <c r="T253" s="239"/>
      <c r="U253" s="239"/>
      <c r="V253" s="239"/>
      <c r="W253" s="246"/>
      <c r="X253" s="239"/>
      <c r="Y253" s="239"/>
      <c r="Z253" s="239"/>
      <c r="AA253" s="239"/>
      <c r="AB253" s="239"/>
      <c r="AC253" s="239"/>
      <c r="AD253" s="239"/>
      <c r="AE253" s="239"/>
      <c r="AF253" s="239"/>
      <c r="AG253" s="239"/>
      <c r="AH253" s="239"/>
      <c r="AI253" s="239"/>
      <c r="AJ253" s="239"/>
    </row>
    <row r="254">
      <c r="A254" s="239"/>
      <c r="B254" s="239"/>
      <c r="C254" s="239"/>
      <c r="D254" s="239"/>
      <c r="E254" s="239"/>
      <c r="F254" s="283"/>
      <c r="G254" s="239"/>
      <c r="H254" s="239"/>
      <c r="I254" s="239"/>
      <c r="J254" s="239"/>
      <c r="K254" s="239"/>
      <c r="L254" s="239"/>
      <c r="M254" s="239"/>
      <c r="N254" s="239"/>
      <c r="O254" s="239"/>
      <c r="P254" s="246"/>
      <c r="Q254" s="239"/>
      <c r="R254" s="239"/>
      <c r="S254" s="239"/>
      <c r="T254" s="239"/>
      <c r="U254" s="239"/>
      <c r="V254" s="239"/>
      <c r="W254" s="246"/>
      <c r="X254" s="239"/>
      <c r="Y254" s="239"/>
      <c r="Z254" s="239"/>
      <c r="AA254" s="239"/>
      <c r="AB254" s="239"/>
      <c r="AC254" s="239"/>
      <c r="AD254" s="239"/>
      <c r="AE254" s="239"/>
      <c r="AF254" s="239"/>
      <c r="AG254" s="239"/>
      <c r="AH254" s="239"/>
      <c r="AI254" s="239"/>
      <c r="AJ254" s="239"/>
    </row>
    <row r="255">
      <c r="A255" s="239"/>
      <c r="B255" s="239"/>
      <c r="C255" s="239"/>
      <c r="D255" s="239"/>
      <c r="E255" s="239"/>
      <c r="F255" s="283"/>
      <c r="G255" s="239"/>
      <c r="H255" s="239"/>
      <c r="I255" s="239"/>
      <c r="J255" s="239"/>
      <c r="K255" s="239"/>
      <c r="L255" s="239"/>
      <c r="M255" s="239"/>
      <c r="N255" s="239"/>
      <c r="O255" s="239"/>
      <c r="P255" s="246"/>
      <c r="Q255" s="239"/>
      <c r="R255" s="239"/>
      <c r="S255" s="239"/>
      <c r="T255" s="239"/>
      <c r="U255" s="239"/>
      <c r="V255" s="239"/>
      <c r="W255" s="246"/>
      <c r="X255" s="239"/>
      <c r="Y255" s="239"/>
      <c r="Z255" s="239"/>
      <c r="AA255" s="239"/>
      <c r="AB255" s="239"/>
      <c r="AC255" s="239"/>
      <c r="AD255" s="239"/>
      <c r="AE255" s="239"/>
      <c r="AF255" s="239"/>
      <c r="AG255" s="239"/>
      <c r="AH255" s="239"/>
      <c r="AI255" s="239"/>
      <c r="AJ255" s="239"/>
    </row>
    <row r="256">
      <c r="A256" s="239"/>
      <c r="B256" s="239"/>
      <c r="C256" s="239"/>
      <c r="D256" s="239"/>
      <c r="E256" s="239"/>
      <c r="F256" s="283"/>
      <c r="G256" s="239"/>
      <c r="H256" s="239"/>
      <c r="I256" s="239"/>
      <c r="J256" s="239"/>
      <c r="K256" s="239"/>
      <c r="L256" s="239"/>
      <c r="M256" s="239"/>
      <c r="N256" s="239"/>
      <c r="O256" s="239"/>
      <c r="P256" s="246"/>
      <c r="Q256" s="239"/>
      <c r="R256" s="239"/>
      <c r="S256" s="239"/>
      <c r="T256" s="239"/>
      <c r="U256" s="239"/>
      <c r="V256" s="239"/>
      <c r="W256" s="246"/>
      <c r="X256" s="239"/>
      <c r="Y256" s="239"/>
      <c r="Z256" s="239"/>
      <c r="AA256" s="239"/>
      <c r="AB256" s="239"/>
      <c r="AC256" s="239"/>
      <c r="AD256" s="239"/>
      <c r="AE256" s="239"/>
      <c r="AF256" s="239"/>
      <c r="AG256" s="239"/>
      <c r="AH256" s="239"/>
      <c r="AI256" s="239"/>
      <c r="AJ256" s="239"/>
    </row>
    <row r="257">
      <c r="A257" s="239"/>
      <c r="B257" s="239"/>
      <c r="C257" s="239"/>
      <c r="D257" s="239"/>
      <c r="E257" s="239"/>
      <c r="F257" s="283"/>
      <c r="G257" s="239"/>
      <c r="H257" s="239"/>
      <c r="I257" s="239"/>
      <c r="J257" s="239"/>
      <c r="K257" s="239"/>
      <c r="L257" s="239"/>
      <c r="M257" s="239"/>
      <c r="N257" s="239"/>
      <c r="O257" s="239"/>
      <c r="P257" s="246"/>
      <c r="Q257" s="239"/>
      <c r="R257" s="239"/>
      <c r="S257" s="239"/>
      <c r="T257" s="239"/>
      <c r="U257" s="239"/>
      <c r="V257" s="239"/>
      <c r="W257" s="246"/>
      <c r="X257" s="239"/>
      <c r="Y257" s="239"/>
      <c r="Z257" s="239"/>
      <c r="AA257" s="239"/>
      <c r="AB257" s="239"/>
      <c r="AC257" s="239"/>
      <c r="AD257" s="239"/>
      <c r="AE257" s="239"/>
      <c r="AF257" s="239"/>
      <c r="AG257" s="239"/>
      <c r="AH257" s="239"/>
      <c r="AI257" s="239"/>
      <c r="AJ257" s="239"/>
    </row>
    <row r="258">
      <c r="A258" s="239"/>
      <c r="B258" s="239"/>
      <c r="C258" s="239"/>
      <c r="D258" s="239"/>
      <c r="E258" s="239"/>
      <c r="F258" s="283"/>
      <c r="G258" s="239"/>
      <c r="H258" s="239"/>
      <c r="I258" s="239"/>
      <c r="J258" s="239"/>
      <c r="K258" s="239"/>
      <c r="L258" s="239"/>
      <c r="M258" s="239"/>
      <c r="N258" s="239"/>
      <c r="O258" s="239"/>
      <c r="P258" s="246"/>
      <c r="Q258" s="239"/>
      <c r="R258" s="239"/>
      <c r="S258" s="239"/>
      <c r="T258" s="239"/>
      <c r="U258" s="239"/>
      <c r="V258" s="239"/>
      <c r="W258" s="246"/>
      <c r="X258" s="239"/>
      <c r="Y258" s="239"/>
      <c r="Z258" s="239"/>
      <c r="AA258" s="239"/>
      <c r="AB258" s="239"/>
      <c r="AC258" s="239"/>
      <c r="AD258" s="239"/>
      <c r="AE258" s="239"/>
      <c r="AF258" s="239"/>
      <c r="AG258" s="239"/>
      <c r="AH258" s="239"/>
      <c r="AI258" s="239"/>
      <c r="AJ258" s="239"/>
    </row>
    <row r="259">
      <c r="A259" s="239"/>
      <c r="B259" s="239"/>
      <c r="C259" s="239"/>
      <c r="D259" s="239"/>
      <c r="E259" s="239"/>
      <c r="F259" s="283"/>
      <c r="G259" s="239"/>
      <c r="H259" s="239"/>
      <c r="I259" s="239"/>
      <c r="J259" s="239"/>
      <c r="K259" s="239"/>
      <c r="L259" s="239"/>
      <c r="M259" s="239"/>
      <c r="N259" s="239"/>
      <c r="O259" s="239"/>
      <c r="P259" s="246"/>
      <c r="Q259" s="239"/>
      <c r="R259" s="239"/>
      <c r="S259" s="239"/>
      <c r="T259" s="239"/>
      <c r="U259" s="239"/>
      <c r="V259" s="239"/>
      <c r="W259" s="246"/>
      <c r="X259" s="239"/>
      <c r="Y259" s="239"/>
      <c r="Z259" s="239"/>
      <c r="AA259" s="239"/>
      <c r="AB259" s="239"/>
      <c r="AC259" s="239"/>
      <c r="AD259" s="239"/>
      <c r="AE259" s="239"/>
      <c r="AF259" s="239"/>
      <c r="AG259" s="239"/>
      <c r="AH259" s="239"/>
      <c r="AI259" s="239"/>
      <c r="AJ259" s="239"/>
    </row>
    <row r="260">
      <c r="A260" s="239"/>
      <c r="B260" s="239"/>
      <c r="C260" s="239"/>
      <c r="D260" s="239"/>
      <c r="E260" s="239"/>
      <c r="F260" s="283"/>
      <c r="G260" s="239"/>
      <c r="H260" s="239"/>
      <c r="I260" s="239"/>
      <c r="J260" s="239"/>
      <c r="K260" s="239"/>
      <c r="L260" s="239"/>
      <c r="M260" s="239"/>
      <c r="N260" s="239"/>
      <c r="O260" s="239"/>
      <c r="P260" s="246"/>
      <c r="Q260" s="239"/>
      <c r="R260" s="239"/>
      <c r="S260" s="239"/>
      <c r="T260" s="239"/>
      <c r="U260" s="239"/>
      <c r="V260" s="239"/>
      <c r="W260" s="246"/>
      <c r="X260" s="239"/>
      <c r="Y260" s="239"/>
      <c r="Z260" s="239"/>
      <c r="AA260" s="239"/>
      <c r="AB260" s="239"/>
      <c r="AC260" s="239"/>
      <c r="AD260" s="239"/>
      <c r="AE260" s="239"/>
      <c r="AF260" s="239"/>
      <c r="AG260" s="239"/>
      <c r="AH260" s="239"/>
      <c r="AI260" s="239"/>
      <c r="AJ260" s="239"/>
    </row>
    <row r="261">
      <c r="A261" s="239"/>
      <c r="B261" s="239"/>
      <c r="C261" s="239"/>
      <c r="D261" s="239"/>
      <c r="E261" s="239"/>
      <c r="F261" s="283"/>
      <c r="G261" s="239"/>
      <c r="H261" s="239"/>
      <c r="I261" s="239"/>
      <c r="J261" s="239"/>
      <c r="K261" s="239"/>
      <c r="L261" s="239"/>
      <c r="M261" s="239"/>
      <c r="N261" s="239"/>
      <c r="O261" s="239"/>
      <c r="P261" s="246"/>
      <c r="Q261" s="239"/>
      <c r="R261" s="239"/>
      <c r="S261" s="239"/>
      <c r="T261" s="239"/>
      <c r="U261" s="239"/>
      <c r="V261" s="239"/>
      <c r="W261" s="246"/>
      <c r="X261" s="239"/>
      <c r="Y261" s="239"/>
      <c r="Z261" s="239"/>
      <c r="AA261" s="239"/>
      <c r="AB261" s="239"/>
      <c r="AC261" s="239"/>
      <c r="AD261" s="239"/>
      <c r="AE261" s="239"/>
      <c r="AF261" s="239"/>
      <c r="AG261" s="239"/>
      <c r="AH261" s="239"/>
      <c r="AI261" s="239"/>
      <c r="AJ261" s="239"/>
    </row>
    <row r="262">
      <c r="A262" s="239"/>
      <c r="B262" s="239"/>
      <c r="C262" s="239"/>
      <c r="D262" s="239"/>
      <c r="E262" s="239"/>
      <c r="F262" s="283"/>
      <c r="G262" s="239"/>
      <c r="H262" s="239"/>
      <c r="I262" s="239"/>
      <c r="J262" s="239"/>
      <c r="K262" s="239"/>
      <c r="L262" s="239"/>
      <c r="M262" s="239"/>
      <c r="N262" s="239"/>
      <c r="O262" s="239"/>
      <c r="P262" s="246"/>
      <c r="Q262" s="239"/>
      <c r="R262" s="239"/>
      <c r="S262" s="239"/>
      <c r="T262" s="239"/>
      <c r="U262" s="239"/>
      <c r="V262" s="239"/>
      <c r="W262" s="246"/>
      <c r="X262" s="239"/>
      <c r="Y262" s="239"/>
      <c r="Z262" s="239"/>
      <c r="AA262" s="239"/>
      <c r="AB262" s="239"/>
      <c r="AC262" s="239"/>
      <c r="AD262" s="239"/>
      <c r="AE262" s="239"/>
      <c r="AF262" s="239"/>
      <c r="AG262" s="239"/>
      <c r="AH262" s="239"/>
      <c r="AI262" s="239"/>
      <c r="AJ262" s="239"/>
    </row>
    <row r="263">
      <c r="A263" s="239"/>
      <c r="B263" s="239"/>
      <c r="C263" s="239"/>
      <c r="D263" s="239"/>
      <c r="E263" s="239"/>
      <c r="F263" s="283"/>
      <c r="G263" s="239"/>
      <c r="H263" s="239"/>
      <c r="I263" s="239"/>
      <c r="J263" s="239"/>
      <c r="K263" s="239"/>
      <c r="L263" s="239"/>
      <c r="M263" s="239"/>
      <c r="N263" s="239"/>
      <c r="O263" s="239"/>
      <c r="P263" s="246"/>
      <c r="Q263" s="239"/>
      <c r="R263" s="239"/>
      <c r="S263" s="239"/>
      <c r="T263" s="239"/>
      <c r="U263" s="239"/>
      <c r="V263" s="239"/>
      <c r="W263" s="246"/>
      <c r="X263" s="239"/>
      <c r="Y263" s="239"/>
      <c r="Z263" s="239"/>
      <c r="AA263" s="239"/>
      <c r="AB263" s="239"/>
      <c r="AC263" s="239"/>
      <c r="AD263" s="239"/>
      <c r="AE263" s="239"/>
      <c r="AF263" s="239"/>
      <c r="AG263" s="239"/>
      <c r="AH263" s="239"/>
      <c r="AI263" s="239"/>
      <c r="AJ263" s="239"/>
    </row>
    <row r="264">
      <c r="A264" s="239"/>
      <c r="B264" s="239"/>
      <c r="C264" s="239"/>
      <c r="D264" s="239"/>
      <c r="E264" s="239"/>
      <c r="F264" s="283"/>
      <c r="G264" s="239"/>
      <c r="H264" s="239"/>
      <c r="I264" s="239"/>
      <c r="J264" s="239"/>
      <c r="K264" s="239"/>
      <c r="L264" s="239"/>
      <c r="M264" s="239"/>
      <c r="N264" s="239"/>
      <c r="O264" s="239"/>
      <c r="P264" s="246"/>
      <c r="Q264" s="239"/>
      <c r="R264" s="239"/>
      <c r="S264" s="239"/>
      <c r="T264" s="239"/>
      <c r="U264" s="239"/>
      <c r="V264" s="239"/>
      <c r="W264" s="246"/>
      <c r="X264" s="239"/>
      <c r="Y264" s="239"/>
      <c r="Z264" s="239"/>
      <c r="AA264" s="239"/>
      <c r="AB264" s="239"/>
      <c r="AC264" s="239"/>
      <c r="AD264" s="239"/>
      <c r="AE264" s="239"/>
      <c r="AF264" s="239"/>
      <c r="AG264" s="239"/>
      <c r="AH264" s="239"/>
      <c r="AI264" s="239"/>
      <c r="AJ264" s="239"/>
    </row>
    <row r="265">
      <c r="A265" s="239"/>
      <c r="B265" s="239"/>
      <c r="C265" s="239"/>
      <c r="D265" s="239"/>
      <c r="E265" s="239"/>
      <c r="F265" s="283"/>
      <c r="G265" s="239"/>
      <c r="H265" s="239"/>
      <c r="I265" s="239"/>
      <c r="J265" s="239"/>
      <c r="K265" s="239"/>
      <c r="L265" s="239"/>
      <c r="M265" s="239"/>
      <c r="N265" s="239"/>
      <c r="O265" s="239"/>
      <c r="P265" s="246"/>
      <c r="Q265" s="239"/>
      <c r="R265" s="239"/>
      <c r="S265" s="239"/>
      <c r="T265" s="239"/>
      <c r="U265" s="239"/>
      <c r="V265" s="239"/>
      <c r="W265" s="246"/>
      <c r="X265" s="239"/>
      <c r="Y265" s="239"/>
      <c r="Z265" s="239"/>
      <c r="AA265" s="239"/>
      <c r="AB265" s="239"/>
      <c r="AC265" s="239"/>
      <c r="AD265" s="239"/>
      <c r="AE265" s="239"/>
      <c r="AF265" s="239"/>
      <c r="AG265" s="239"/>
      <c r="AH265" s="239"/>
      <c r="AI265" s="239"/>
      <c r="AJ265" s="239"/>
    </row>
    <row r="266">
      <c r="A266" s="239"/>
      <c r="B266" s="239"/>
      <c r="C266" s="239"/>
      <c r="D266" s="239"/>
      <c r="E266" s="239"/>
      <c r="F266" s="283"/>
      <c r="G266" s="239"/>
      <c r="H266" s="239"/>
      <c r="I266" s="239"/>
      <c r="J266" s="239"/>
      <c r="K266" s="239"/>
      <c r="L266" s="239"/>
      <c r="M266" s="239"/>
      <c r="N266" s="239"/>
      <c r="O266" s="239"/>
      <c r="P266" s="246"/>
      <c r="Q266" s="239"/>
      <c r="R266" s="239"/>
      <c r="S266" s="239"/>
      <c r="T266" s="239"/>
      <c r="U266" s="239"/>
      <c r="V266" s="239"/>
      <c r="W266" s="246"/>
      <c r="X266" s="239"/>
      <c r="Y266" s="239"/>
      <c r="Z266" s="239"/>
      <c r="AA266" s="239"/>
      <c r="AB266" s="239"/>
      <c r="AC266" s="239"/>
      <c r="AD266" s="239"/>
      <c r="AE266" s="239"/>
      <c r="AF266" s="239"/>
      <c r="AG266" s="239"/>
      <c r="AH266" s="239"/>
      <c r="AI266" s="239"/>
      <c r="AJ266" s="239"/>
    </row>
    <row r="267">
      <c r="A267" s="239"/>
      <c r="B267" s="239"/>
      <c r="C267" s="239"/>
      <c r="D267" s="239"/>
      <c r="E267" s="239"/>
      <c r="F267" s="283"/>
      <c r="G267" s="239"/>
      <c r="H267" s="239"/>
      <c r="I267" s="239"/>
      <c r="J267" s="239"/>
      <c r="K267" s="239"/>
      <c r="L267" s="239"/>
      <c r="M267" s="239"/>
      <c r="N267" s="239"/>
      <c r="O267" s="239"/>
      <c r="P267" s="246"/>
      <c r="Q267" s="239"/>
      <c r="R267" s="239"/>
      <c r="S267" s="239"/>
      <c r="T267" s="239"/>
      <c r="U267" s="239"/>
      <c r="V267" s="239"/>
      <c r="W267" s="246"/>
      <c r="X267" s="239"/>
      <c r="Y267" s="239"/>
      <c r="Z267" s="239"/>
      <c r="AA267" s="239"/>
      <c r="AB267" s="239"/>
      <c r="AC267" s="239"/>
      <c r="AD267" s="239"/>
      <c r="AE267" s="239"/>
      <c r="AF267" s="239"/>
      <c r="AG267" s="239"/>
      <c r="AH267" s="239"/>
      <c r="AI267" s="239"/>
      <c r="AJ267" s="239"/>
    </row>
    <row r="268">
      <c r="A268" s="239"/>
      <c r="B268" s="239"/>
      <c r="C268" s="239"/>
      <c r="D268" s="239"/>
      <c r="E268" s="239"/>
      <c r="F268" s="283"/>
      <c r="G268" s="239"/>
      <c r="H268" s="239"/>
      <c r="I268" s="239"/>
      <c r="J268" s="239"/>
      <c r="K268" s="239"/>
      <c r="L268" s="239"/>
      <c r="M268" s="239"/>
      <c r="N268" s="239"/>
      <c r="O268" s="239"/>
      <c r="P268" s="246"/>
      <c r="Q268" s="239"/>
      <c r="R268" s="239"/>
      <c r="S268" s="239"/>
      <c r="T268" s="239"/>
      <c r="U268" s="239"/>
      <c r="V268" s="239"/>
      <c r="W268" s="246"/>
      <c r="X268" s="239"/>
      <c r="Y268" s="239"/>
      <c r="Z268" s="239"/>
      <c r="AA268" s="239"/>
      <c r="AB268" s="239"/>
      <c r="AC268" s="239"/>
      <c r="AD268" s="239"/>
      <c r="AE268" s="239"/>
      <c r="AF268" s="239"/>
      <c r="AG268" s="239"/>
      <c r="AH268" s="239"/>
      <c r="AI268" s="239"/>
      <c r="AJ268" s="239"/>
    </row>
    <row r="269">
      <c r="A269" s="239"/>
      <c r="B269" s="239"/>
      <c r="C269" s="239"/>
      <c r="D269" s="239"/>
      <c r="E269" s="239"/>
      <c r="F269" s="283"/>
      <c r="G269" s="239"/>
      <c r="H269" s="239"/>
      <c r="I269" s="239"/>
      <c r="J269" s="239"/>
      <c r="K269" s="239"/>
      <c r="L269" s="239"/>
      <c r="M269" s="239"/>
      <c r="N269" s="239"/>
      <c r="O269" s="239"/>
      <c r="P269" s="246"/>
      <c r="Q269" s="239"/>
      <c r="R269" s="239"/>
      <c r="S269" s="239"/>
      <c r="T269" s="239"/>
      <c r="U269" s="239"/>
      <c r="V269" s="239"/>
      <c r="W269" s="246"/>
      <c r="X269" s="239"/>
      <c r="Y269" s="239"/>
      <c r="Z269" s="239"/>
      <c r="AA269" s="239"/>
      <c r="AB269" s="239"/>
      <c r="AC269" s="239"/>
      <c r="AD269" s="239"/>
      <c r="AE269" s="239"/>
      <c r="AF269" s="239"/>
      <c r="AG269" s="239"/>
      <c r="AH269" s="239"/>
      <c r="AI269" s="239"/>
      <c r="AJ269" s="239"/>
    </row>
    <row r="270">
      <c r="A270" s="239"/>
      <c r="B270" s="239"/>
      <c r="C270" s="239"/>
      <c r="D270" s="239"/>
      <c r="E270" s="239"/>
      <c r="F270" s="283"/>
      <c r="G270" s="239"/>
      <c r="H270" s="239"/>
      <c r="I270" s="239"/>
      <c r="J270" s="239"/>
      <c r="K270" s="239"/>
      <c r="L270" s="239"/>
      <c r="M270" s="239"/>
      <c r="N270" s="239"/>
      <c r="O270" s="239"/>
      <c r="P270" s="246"/>
      <c r="Q270" s="239"/>
      <c r="R270" s="239"/>
      <c r="S270" s="239"/>
      <c r="T270" s="239"/>
      <c r="U270" s="239"/>
      <c r="V270" s="239"/>
      <c r="W270" s="246"/>
      <c r="X270" s="239"/>
      <c r="Y270" s="239"/>
      <c r="Z270" s="239"/>
      <c r="AA270" s="239"/>
      <c r="AB270" s="239"/>
      <c r="AC270" s="239"/>
      <c r="AD270" s="239"/>
      <c r="AE270" s="239"/>
      <c r="AF270" s="239"/>
      <c r="AG270" s="239"/>
      <c r="AH270" s="239"/>
      <c r="AI270" s="239"/>
      <c r="AJ270" s="239"/>
    </row>
    <row r="271">
      <c r="A271" s="239"/>
      <c r="B271" s="239"/>
      <c r="C271" s="239"/>
      <c r="D271" s="239"/>
      <c r="E271" s="239"/>
      <c r="F271" s="283"/>
      <c r="G271" s="239"/>
      <c r="H271" s="239"/>
      <c r="I271" s="239"/>
      <c r="J271" s="239"/>
      <c r="K271" s="239"/>
      <c r="L271" s="239"/>
      <c r="M271" s="239"/>
      <c r="N271" s="239"/>
      <c r="O271" s="239"/>
      <c r="P271" s="246"/>
      <c r="Q271" s="239"/>
      <c r="R271" s="239"/>
      <c r="S271" s="239"/>
      <c r="T271" s="239"/>
      <c r="U271" s="239"/>
      <c r="V271" s="239"/>
      <c r="W271" s="246"/>
      <c r="X271" s="239"/>
      <c r="Y271" s="239"/>
      <c r="Z271" s="239"/>
      <c r="AA271" s="239"/>
      <c r="AB271" s="239"/>
      <c r="AC271" s="239"/>
      <c r="AD271" s="239"/>
      <c r="AE271" s="239"/>
      <c r="AF271" s="239"/>
      <c r="AG271" s="239"/>
      <c r="AH271" s="239"/>
      <c r="AI271" s="239"/>
      <c r="AJ271" s="239"/>
    </row>
    <row r="272">
      <c r="A272" s="239"/>
      <c r="B272" s="239"/>
      <c r="C272" s="239"/>
      <c r="D272" s="239"/>
      <c r="E272" s="239"/>
      <c r="F272" s="283"/>
      <c r="G272" s="239"/>
      <c r="H272" s="239"/>
      <c r="I272" s="239"/>
      <c r="J272" s="239"/>
      <c r="K272" s="239"/>
      <c r="L272" s="239"/>
      <c r="M272" s="239"/>
      <c r="N272" s="239"/>
      <c r="O272" s="239"/>
      <c r="P272" s="246"/>
      <c r="Q272" s="239"/>
      <c r="R272" s="239"/>
      <c r="S272" s="239"/>
      <c r="T272" s="239"/>
      <c r="U272" s="239"/>
      <c r="V272" s="239"/>
      <c r="W272" s="246"/>
      <c r="X272" s="239"/>
      <c r="Y272" s="239"/>
      <c r="Z272" s="239"/>
      <c r="AA272" s="239"/>
      <c r="AB272" s="239"/>
      <c r="AC272" s="239"/>
      <c r="AD272" s="239"/>
      <c r="AE272" s="239"/>
      <c r="AF272" s="239"/>
      <c r="AG272" s="239"/>
      <c r="AH272" s="239"/>
      <c r="AI272" s="239"/>
      <c r="AJ272" s="239"/>
    </row>
    <row r="273">
      <c r="A273" s="239"/>
      <c r="B273" s="239"/>
      <c r="C273" s="239"/>
      <c r="D273" s="239"/>
      <c r="E273" s="239"/>
      <c r="F273" s="283"/>
      <c r="G273" s="239"/>
      <c r="H273" s="239"/>
      <c r="I273" s="239"/>
      <c r="J273" s="239"/>
      <c r="K273" s="239"/>
      <c r="L273" s="239"/>
      <c r="M273" s="239"/>
      <c r="N273" s="239"/>
      <c r="O273" s="239"/>
      <c r="P273" s="246"/>
      <c r="Q273" s="239"/>
      <c r="R273" s="239"/>
      <c r="S273" s="239"/>
      <c r="T273" s="239"/>
      <c r="U273" s="239"/>
      <c r="V273" s="239"/>
      <c r="W273" s="246"/>
      <c r="X273" s="239"/>
      <c r="Y273" s="239"/>
      <c r="Z273" s="239"/>
      <c r="AA273" s="239"/>
      <c r="AB273" s="239"/>
      <c r="AC273" s="239"/>
      <c r="AD273" s="239"/>
      <c r="AE273" s="239"/>
      <c r="AF273" s="239"/>
      <c r="AG273" s="239"/>
      <c r="AH273" s="239"/>
      <c r="AI273" s="239"/>
      <c r="AJ273" s="239"/>
    </row>
    <row r="274">
      <c r="A274" s="239"/>
      <c r="B274" s="239"/>
      <c r="C274" s="239"/>
      <c r="D274" s="239"/>
      <c r="E274" s="239"/>
      <c r="F274" s="283"/>
      <c r="G274" s="239"/>
      <c r="H274" s="239"/>
      <c r="I274" s="239"/>
      <c r="J274" s="239"/>
      <c r="K274" s="239"/>
      <c r="L274" s="239"/>
      <c r="M274" s="239"/>
      <c r="N274" s="239"/>
      <c r="O274" s="239"/>
      <c r="P274" s="246"/>
      <c r="Q274" s="239"/>
      <c r="R274" s="239"/>
      <c r="S274" s="239"/>
      <c r="T274" s="239"/>
      <c r="U274" s="239"/>
      <c r="V274" s="239"/>
      <c r="W274" s="246"/>
      <c r="X274" s="239"/>
      <c r="Y274" s="239"/>
      <c r="Z274" s="239"/>
      <c r="AA274" s="239"/>
      <c r="AB274" s="239"/>
      <c r="AC274" s="239"/>
      <c r="AD274" s="239"/>
      <c r="AE274" s="239"/>
      <c r="AF274" s="239"/>
      <c r="AG274" s="239"/>
      <c r="AH274" s="239"/>
      <c r="AI274" s="239"/>
      <c r="AJ274" s="239"/>
    </row>
    <row r="275">
      <c r="A275" s="239"/>
      <c r="B275" s="239"/>
      <c r="C275" s="239"/>
      <c r="D275" s="239"/>
      <c r="E275" s="239"/>
      <c r="F275" s="283"/>
      <c r="G275" s="239"/>
      <c r="H275" s="239"/>
      <c r="I275" s="239"/>
      <c r="J275" s="239"/>
      <c r="K275" s="239"/>
      <c r="L275" s="239"/>
      <c r="M275" s="239"/>
      <c r="N275" s="239"/>
      <c r="O275" s="239"/>
      <c r="P275" s="246"/>
      <c r="Q275" s="239"/>
      <c r="R275" s="239"/>
      <c r="S275" s="239"/>
      <c r="T275" s="239"/>
      <c r="U275" s="239"/>
      <c r="V275" s="239"/>
      <c r="W275" s="246"/>
      <c r="X275" s="239"/>
      <c r="Y275" s="239"/>
      <c r="Z275" s="239"/>
      <c r="AA275" s="239"/>
      <c r="AB275" s="239"/>
      <c r="AC275" s="239"/>
      <c r="AD275" s="239"/>
      <c r="AE275" s="239"/>
      <c r="AF275" s="239"/>
      <c r="AG275" s="239"/>
      <c r="AH275" s="239"/>
      <c r="AI275" s="239"/>
      <c r="AJ275" s="239"/>
    </row>
    <row r="276">
      <c r="A276" s="239"/>
      <c r="B276" s="239"/>
      <c r="C276" s="239"/>
      <c r="D276" s="239"/>
      <c r="E276" s="239"/>
      <c r="F276" s="283"/>
      <c r="G276" s="239"/>
      <c r="H276" s="239"/>
      <c r="I276" s="239"/>
      <c r="J276" s="239"/>
      <c r="K276" s="239"/>
      <c r="L276" s="239"/>
      <c r="M276" s="239"/>
      <c r="N276" s="239"/>
      <c r="O276" s="239"/>
      <c r="P276" s="246"/>
      <c r="Q276" s="239"/>
      <c r="R276" s="239"/>
      <c r="S276" s="239"/>
      <c r="T276" s="239"/>
      <c r="U276" s="239"/>
      <c r="V276" s="239"/>
      <c r="W276" s="246"/>
      <c r="X276" s="239"/>
      <c r="Y276" s="239"/>
      <c r="Z276" s="239"/>
      <c r="AA276" s="239"/>
      <c r="AB276" s="239"/>
      <c r="AC276" s="239"/>
      <c r="AD276" s="239"/>
      <c r="AE276" s="239"/>
      <c r="AF276" s="239"/>
      <c r="AG276" s="239"/>
      <c r="AH276" s="239"/>
      <c r="AI276" s="239"/>
      <c r="AJ276" s="239"/>
    </row>
    <row r="277">
      <c r="A277" s="239"/>
      <c r="B277" s="239"/>
      <c r="C277" s="239"/>
      <c r="D277" s="239"/>
      <c r="E277" s="239"/>
      <c r="F277" s="283"/>
      <c r="G277" s="239"/>
      <c r="H277" s="239"/>
      <c r="I277" s="239"/>
      <c r="J277" s="239"/>
      <c r="K277" s="239"/>
      <c r="L277" s="239"/>
      <c r="M277" s="239"/>
      <c r="N277" s="239"/>
      <c r="O277" s="239"/>
      <c r="P277" s="246"/>
      <c r="Q277" s="239"/>
      <c r="R277" s="239"/>
      <c r="S277" s="239"/>
      <c r="T277" s="239"/>
      <c r="U277" s="239"/>
      <c r="V277" s="239"/>
      <c r="W277" s="246"/>
      <c r="X277" s="239"/>
      <c r="Y277" s="239"/>
      <c r="Z277" s="239"/>
      <c r="AA277" s="239"/>
      <c r="AB277" s="239"/>
      <c r="AC277" s="239"/>
      <c r="AD277" s="239"/>
      <c r="AE277" s="239"/>
      <c r="AF277" s="239"/>
      <c r="AG277" s="239"/>
      <c r="AH277" s="239"/>
      <c r="AI277" s="239"/>
      <c r="AJ277" s="239"/>
    </row>
    <row r="278">
      <c r="A278" s="239"/>
      <c r="B278" s="239"/>
      <c r="C278" s="239"/>
      <c r="D278" s="239"/>
      <c r="E278" s="239"/>
      <c r="F278" s="283"/>
      <c r="G278" s="239"/>
      <c r="H278" s="239"/>
      <c r="I278" s="239"/>
      <c r="J278" s="239"/>
      <c r="K278" s="239"/>
      <c r="L278" s="239"/>
      <c r="M278" s="239"/>
      <c r="N278" s="239"/>
      <c r="O278" s="239"/>
      <c r="P278" s="246"/>
      <c r="Q278" s="239"/>
      <c r="R278" s="239"/>
      <c r="S278" s="239"/>
      <c r="T278" s="239"/>
      <c r="U278" s="239"/>
      <c r="V278" s="239"/>
      <c r="W278" s="246"/>
      <c r="X278" s="239"/>
      <c r="Y278" s="239"/>
      <c r="Z278" s="239"/>
      <c r="AA278" s="239"/>
      <c r="AB278" s="239"/>
      <c r="AC278" s="239"/>
      <c r="AD278" s="239"/>
      <c r="AE278" s="239"/>
      <c r="AF278" s="239"/>
      <c r="AG278" s="239"/>
      <c r="AH278" s="239"/>
      <c r="AI278" s="239"/>
      <c r="AJ278" s="239"/>
    </row>
    <row r="279">
      <c r="A279" s="239"/>
      <c r="B279" s="239"/>
      <c r="C279" s="239"/>
      <c r="D279" s="239"/>
      <c r="E279" s="239"/>
      <c r="F279" s="283"/>
      <c r="G279" s="239"/>
      <c r="H279" s="239"/>
      <c r="I279" s="239"/>
      <c r="J279" s="239"/>
      <c r="K279" s="239"/>
      <c r="L279" s="239"/>
      <c r="M279" s="239"/>
      <c r="N279" s="239"/>
      <c r="O279" s="239"/>
      <c r="P279" s="246"/>
      <c r="Q279" s="239"/>
      <c r="R279" s="239"/>
      <c r="S279" s="239"/>
      <c r="T279" s="239"/>
      <c r="U279" s="239"/>
      <c r="V279" s="239"/>
      <c r="W279" s="246"/>
      <c r="X279" s="239"/>
      <c r="Y279" s="239"/>
      <c r="Z279" s="239"/>
      <c r="AA279" s="239"/>
      <c r="AB279" s="239"/>
      <c r="AC279" s="239"/>
      <c r="AD279" s="239"/>
      <c r="AE279" s="239"/>
      <c r="AF279" s="239"/>
      <c r="AG279" s="239"/>
      <c r="AH279" s="239"/>
      <c r="AI279" s="239"/>
      <c r="AJ279" s="239"/>
    </row>
    <row r="280">
      <c r="A280" s="239"/>
      <c r="B280" s="239"/>
      <c r="C280" s="239"/>
      <c r="D280" s="239"/>
      <c r="E280" s="239"/>
      <c r="F280" s="283"/>
      <c r="G280" s="239"/>
      <c r="H280" s="239"/>
      <c r="I280" s="239"/>
      <c r="J280" s="239"/>
      <c r="K280" s="239"/>
      <c r="L280" s="239"/>
      <c r="M280" s="239"/>
      <c r="N280" s="239"/>
      <c r="O280" s="239"/>
      <c r="P280" s="246"/>
      <c r="Q280" s="239"/>
      <c r="R280" s="239"/>
      <c r="S280" s="239"/>
      <c r="T280" s="239"/>
      <c r="U280" s="239"/>
      <c r="V280" s="239"/>
      <c r="W280" s="246"/>
      <c r="X280" s="239"/>
      <c r="Y280" s="239"/>
      <c r="Z280" s="239"/>
      <c r="AA280" s="239"/>
      <c r="AB280" s="239"/>
      <c r="AC280" s="239"/>
      <c r="AD280" s="239"/>
      <c r="AE280" s="239"/>
      <c r="AF280" s="239"/>
      <c r="AG280" s="239"/>
      <c r="AH280" s="239"/>
      <c r="AI280" s="239"/>
      <c r="AJ280" s="239"/>
    </row>
    <row r="281">
      <c r="A281" s="239"/>
      <c r="B281" s="239"/>
      <c r="C281" s="239"/>
      <c r="D281" s="239"/>
      <c r="E281" s="239"/>
      <c r="F281" s="283"/>
      <c r="G281" s="239"/>
      <c r="H281" s="239"/>
      <c r="I281" s="239"/>
      <c r="J281" s="239"/>
      <c r="K281" s="239"/>
      <c r="L281" s="239"/>
      <c r="M281" s="239"/>
      <c r="N281" s="239"/>
      <c r="O281" s="239"/>
      <c r="P281" s="246"/>
      <c r="Q281" s="239"/>
      <c r="R281" s="239"/>
      <c r="S281" s="239"/>
      <c r="T281" s="239"/>
      <c r="U281" s="239"/>
      <c r="V281" s="239"/>
      <c r="W281" s="246"/>
      <c r="X281" s="239"/>
      <c r="Y281" s="239"/>
      <c r="Z281" s="239"/>
      <c r="AA281" s="239"/>
      <c r="AB281" s="239"/>
      <c r="AC281" s="239"/>
      <c r="AD281" s="239"/>
      <c r="AE281" s="239"/>
      <c r="AF281" s="239"/>
      <c r="AG281" s="239"/>
      <c r="AH281" s="239"/>
      <c r="AI281" s="239"/>
      <c r="AJ281" s="239"/>
    </row>
    <row r="282">
      <c r="A282" s="239"/>
      <c r="B282" s="239"/>
      <c r="C282" s="239"/>
      <c r="D282" s="239"/>
      <c r="E282" s="239"/>
      <c r="F282" s="283"/>
      <c r="G282" s="239"/>
      <c r="H282" s="239"/>
      <c r="I282" s="239"/>
      <c r="J282" s="239"/>
      <c r="K282" s="239"/>
      <c r="L282" s="239"/>
      <c r="M282" s="239"/>
      <c r="N282" s="239"/>
      <c r="O282" s="239"/>
      <c r="P282" s="246"/>
      <c r="Q282" s="239"/>
      <c r="R282" s="239"/>
      <c r="S282" s="239"/>
      <c r="T282" s="239"/>
      <c r="U282" s="239"/>
      <c r="V282" s="239"/>
      <c r="W282" s="246"/>
      <c r="X282" s="239"/>
      <c r="Y282" s="239"/>
      <c r="Z282" s="239"/>
      <c r="AA282" s="239"/>
      <c r="AB282" s="239"/>
      <c r="AC282" s="239"/>
      <c r="AD282" s="239"/>
      <c r="AE282" s="239"/>
      <c r="AF282" s="239"/>
      <c r="AG282" s="239"/>
      <c r="AH282" s="239"/>
      <c r="AI282" s="239"/>
      <c r="AJ282" s="239"/>
    </row>
    <row r="283">
      <c r="A283" s="239"/>
      <c r="B283" s="239"/>
      <c r="C283" s="239"/>
      <c r="D283" s="239"/>
      <c r="E283" s="239"/>
      <c r="F283" s="283"/>
      <c r="G283" s="239"/>
      <c r="H283" s="239"/>
      <c r="I283" s="239"/>
      <c r="J283" s="239"/>
      <c r="K283" s="239"/>
      <c r="L283" s="239"/>
      <c r="M283" s="239"/>
      <c r="N283" s="239"/>
      <c r="O283" s="239"/>
      <c r="P283" s="246"/>
      <c r="Q283" s="239"/>
      <c r="R283" s="239"/>
      <c r="S283" s="239"/>
      <c r="T283" s="239"/>
      <c r="U283" s="239"/>
      <c r="V283" s="239"/>
      <c r="W283" s="246"/>
      <c r="X283" s="239"/>
      <c r="Y283" s="239"/>
      <c r="Z283" s="239"/>
      <c r="AA283" s="239"/>
      <c r="AB283" s="239"/>
      <c r="AC283" s="239"/>
      <c r="AD283" s="239"/>
      <c r="AE283" s="239"/>
      <c r="AF283" s="239"/>
      <c r="AG283" s="239"/>
      <c r="AH283" s="239"/>
      <c r="AI283" s="239"/>
      <c r="AJ283" s="239"/>
    </row>
    <row r="284">
      <c r="A284" s="239"/>
      <c r="B284" s="239"/>
      <c r="C284" s="239"/>
      <c r="D284" s="239"/>
      <c r="E284" s="239"/>
      <c r="F284" s="283"/>
      <c r="G284" s="239"/>
      <c r="H284" s="239"/>
      <c r="I284" s="239"/>
      <c r="J284" s="239"/>
      <c r="K284" s="239"/>
      <c r="L284" s="239"/>
      <c r="M284" s="239"/>
      <c r="N284" s="239"/>
      <c r="O284" s="239"/>
      <c r="P284" s="246"/>
      <c r="Q284" s="239"/>
      <c r="R284" s="239"/>
      <c r="S284" s="239"/>
      <c r="T284" s="239"/>
      <c r="U284" s="239"/>
      <c r="V284" s="239"/>
      <c r="W284" s="246"/>
      <c r="X284" s="239"/>
      <c r="Y284" s="239"/>
      <c r="Z284" s="239"/>
      <c r="AA284" s="239"/>
      <c r="AB284" s="239"/>
      <c r="AC284" s="239"/>
      <c r="AD284" s="239"/>
      <c r="AE284" s="239"/>
      <c r="AF284" s="239"/>
      <c r="AG284" s="239"/>
      <c r="AH284" s="239"/>
      <c r="AI284" s="239"/>
      <c r="AJ284" s="239"/>
    </row>
    <row r="285">
      <c r="A285" s="239"/>
      <c r="B285" s="239"/>
      <c r="C285" s="239"/>
      <c r="D285" s="239"/>
      <c r="E285" s="239"/>
      <c r="F285" s="283"/>
      <c r="G285" s="239"/>
      <c r="H285" s="239"/>
      <c r="I285" s="239"/>
      <c r="J285" s="239"/>
      <c r="K285" s="239"/>
      <c r="L285" s="239"/>
      <c r="M285" s="239"/>
      <c r="N285" s="239"/>
      <c r="O285" s="239"/>
      <c r="P285" s="246"/>
      <c r="Q285" s="239"/>
      <c r="R285" s="239"/>
      <c r="S285" s="239"/>
      <c r="T285" s="239"/>
      <c r="U285" s="239"/>
      <c r="V285" s="239"/>
      <c r="W285" s="246"/>
      <c r="X285" s="239"/>
      <c r="Y285" s="239"/>
      <c r="Z285" s="239"/>
      <c r="AA285" s="239"/>
      <c r="AB285" s="239"/>
      <c r="AC285" s="239"/>
      <c r="AD285" s="239"/>
      <c r="AE285" s="239"/>
      <c r="AF285" s="239"/>
      <c r="AG285" s="239"/>
      <c r="AH285" s="239"/>
      <c r="AI285" s="239"/>
      <c r="AJ285" s="239"/>
    </row>
    <row r="286">
      <c r="A286" s="239"/>
      <c r="B286" s="239"/>
      <c r="C286" s="239"/>
      <c r="D286" s="239"/>
      <c r="E286" s="239"/>
      <c r="F286" s="283"/>
      <c r="G286" s="239"/>
      <c r="H286" s="239"/>
      <c r="I286" s="239"/>
      <c r="J286" s="239"/>
      <c r="K286" s="239"/>
      <c r="L286" s="239"/>
      <c r="M286" s="239"/>
      <c r="N286" s="239"/>
      <c r="O286" s="239"/>
      <c r="P286" s="246"/>
      <c r="Q286" s="239"/>
      <c r="R286" s="239"/>
      <c r="S286" s="239"/>
      <c r="T286" s="239"/>
      <c r="U286" s="239"/>
      <c r="V286" s="239"/>
      <c r="W286" s="246"/>
      <c r="X286" s="239"/>
      <c r="Y286" s="239"/>
      <c r="Z286" s="239"/>
      <c r="AA286" s="239"/>
      <c r="AB286" s="239"/>
      <c r="AC286" s="239"/>
      <c r="AD286" s="239"/>
      <c r="AE286" s="239"/>
      <c r="AF286" s="239"/>
      <c r="AG286" s="239"/>
      <c r="AH286" s="239"/>
      <c r="AI286" s="239"/>
      <c r="AJ286" s="239"/>
    </row>
    <row r="287">
      <c r="A287" s="239"/>
      <c r="B287" s="239"/>
      <c r="C287" s="239"/>
      <c r="D287" s="239"/>
      <c r="E287" s="239"/>
      <c r="F287" s="283"/>
      <c r="G287" s="239"/>
      <c r="H287" s="239"/>
      <c r="I287" s="239"/>
      <c r="J287" s="239"/>
      <c r="K287" s="239"/>
      <c r="L287" s="239"/>
      <c r="M287" s="239"/>
      <c r="N287" s="239"/>
      <c r="O287" s="239"/>
      <c r="P287" s="246"/>
      <c r="Q287" s="239"/>
      <c r="R287" s="239"/>
      <c r="S287" s="239"/>
      <c r="T287" s="239"/>
      <c r="U287" s="239"/>
      <c r="V287" s="239"/>
      <c r="W287" s="246"/>
      <c r="X287" s="239"/>
      <c r="Y287" s="239"/>
      <c r="Z287" s="239"/>
      <c r="AA287" s="239"/>
      <c r="AB287" s="239"/>
      <c r="AC287" s="239"/>
      <c r="AD287" s="239"/>
      <c r="AE287" s="239"/>
      <c r="AF287" s="239"/>
      <c r="AG287" s="239"/>
      <c r="AH287" s="239"/>
      <c r="AI287" s="239"/>
      <c r="AJ287" s="239"/>
    </row>
    <row r="288">
      <c r="A288" s="239"/>
      <c r="B288" s="239"/>
      <c r="C288" s="239"/>
      <c r="D288" s="239"/>
      <c r="E288" s="239"/>
      <c r="F288" s="283"/>
      <c r="G288" s="239"/>
      <c r="H288" s="239"/>
      <c r="I288" s="239"/>
      <c r="J288" s="239"/>
      <c r="K288" s="239"/>
      <c r="L288" s="239"/>
      <c r="M288" s="239"/>
      <c r="N288" s="239"/>
      <c r="O288" s="239"/>
      <c r="P288" s="246"/>
      <c r="Q288" s="239"/>
      <c r="R288" s="239"/>
      <c r="S288" s="239"/>
      <c r="T288" s="239"/>
      <c r="U288" s="239"/>
      <c r="V288" s="239"/>
      <c r="W288" s="246"/>
      <c r="X288" s="239"/>
      <c r="Y288" s="239"/>
      <c r="Z288" s="239"/>
      <c r="AA288" s="239"/>
      <c r="AB288" s="239"/>
      <c r="AC288" s="239"/>
      <c r="AD288" s="239"/>
      <c r="AE288" s="239"/>
      <c r="AF288" s="239"/>
      <c r="AG288" s="239"/>
      <c r="AH288" s="239"/>
      <c r="AI288" s="239"/>
      <c r="AJ288" s="239"/>
    </row>
    <row r="289">
      <c r="A289" s="239"/>
      <c r="B289" s="239"/>
      <c r="C289" s="239"/>
      <c r="D289" s="239"/>
      <c r="E289" s="239"/>
      <c r="F289" s="283"/>
      <c r="G289" s="239"/>
      <c r="H289" s="239"/>
      <c r="I289" s="239"/>
      <c r="J289" s="239"/>
      <c r="K289" s="239"/>
      <c r="L289" s="239"/>
      <c r="M289" s="239"/>
      <c r="N289" s="239"/>
      <c r="O289" s="239"/>
      <c r="P289" s="246"/>
      <c r="Q289" s="239"/>
      <c r="R289" s="239"/>
      <c r="S289" s="239"/>
      <c r="T289" s="239"/>
      <c r="U289" s="239"/>
      <c r="V289" s="239"/>
      <c r="W289" s="246"/>
      <c r="X289" s="239"/>
      <c r="Y289" s="239"/>
      <c r="Z289" s="239"/>
      <c r="AA289" s="239"/>
      <c r="AB289" s="239"/>
      <c r="AC289" s="239"/>
      <c r="AD289" s="239"/>
      <c r="AE289" s="239"/>
      <c r="AF289" s="239"/>
      <c r="AG289" s="239"/>
      <c r="AH289" s="239"/>
      <c r="AI289" s="239"/>
      <c r="AJ289" s="239"/>
    </row>
    <row r="290">
      <c r="A290" s="239"/>
      <c r="B290" s="239"/>
      <c r="C290" s="239"/>
      <c r="D290" s="239"/>
      <c r="E290" s="239"/>
      <c r="F290" s="283"/>
      <c r="G290" s="239"/>
      <c r="H290" s="239"/>
      <c r="I290" s="239"/>
      <c r="J290" s="239"/>
      <c r="K290" s="239"/>
      <c r="L290" s="239"/>
      <c r="M290" s="239"/>
      <c r="N290" s="239"/>
      <c r="O290" s="239"/>
      <c r="P290" s="246"/>
      <c r="Q290" s="239"/>
      <c r="R290" s="239"/>
      <c r="S290" s="239"/>
      <c r="T290" s="239"/>
      <c r="U290" s="239"/>
      <c r="V290" s="239"/>
      <c r="W290" s="246"/>
      <c r="X290" s="239"/>
      <c r="Y290" s="239"/>
      <c r="Z290" s="239"/>
      <c r="AA290" s="239"/>
      <c r="AB290" s="239"/>
      <c r="AC290" s="239"/>
      <c r="AD290" s="239"/>
      <c r="AE290" s="239"/>
      <c r="AF290" s="239"/>
      <c r="AG290" s="239"/>
      <c r="AH290" s="239"/>
      <c r="AI290" s="239"/>
      <c r="AJ290" s="239"/>
    </row>
    <row r="291">
      <c r="A291" s="239"/>
      <c r="B291" s="239"/>
      <c r="C291" s="239"/>
      <c r="D291" s="239"/>
      <c r="E291" s="239"/>
      <c r="F291" s="283"/>
      <c r="G291" s="239"/>
      <c r="H291" s="239"/>
      <c r="I291" s="239"/>
      <c r="J291" s="239"/>
      <c r="K291" s="239"/>
      <c r="L291" s="239"/>
      <c r="M291" s="239"/>
      <c r="N291" s="239"/>
      <c r="O291" s="239"/>
      <c r="P291" s="246"/>
      <c r="Q291" s="239"/>
      <c r="R291" s="239"/>
      <c r="S291" s="239"/>
      <c r="T291" s="239"/>
      <c r="U291" s="239"/>
      <c r="V291" s="239"/>
      <c r="W291" s="246"/>
      <c r="X291" s="239"/>
      <c r="Y291" s="239"/>
      <c r="Z291" s="239"/>
      <c r="AA291" s="239"/>
      <c r="AB291" s="239"/>
      <c r="AC291" s="239"/>
      <c r="AD291" s="239"/>
      <c r="AE291" s="239"/>
      <c r="AF291" s="239"/>
      <c r="AG291" s="239"/>
      <c r="AH291" s="239"/>
      <c r="AI291" s="239"/>
      <c r="AJ291" s="239"/>
    </row>
    <row r="292">
      <c r="A292" s="239"/>
      <c r="B292" s="239"/>
      <c r="C292" s="239"/>
      <c r="D292" s="239"/>
      <c r="E292" s="239"/>
      <c r="F292" s="283"/>
      <c r="G292" s="239"/>
      <c r="H292" s="239"/>
      <c r="I292" s="239"/>
      <c r="J292" s="239"/>
      <c r="K292" s="239"/>
      <c r="L292" s="239"/>
      <c r="M292" s="239"/>
      <c r="N292" s="239"/>
      <c r="O292" s="239"/>
      <c r="P292" s="246"/>
      <c r="Q292" s="239"/>
      <c r="R292" s="239"/>
      <c r="S292" s="239"/>
      <c r="T292" s="239"/>
      <c r="U292" s="239"/>
      <c r="V292" s="239"/>
      <c r="W292" s="246"/>
      <c r="X292" s="239"/>
      <c r="Y292" s="239"/>
      <c r="Z292" s="239"/>
      <c r="AA292" s="239"/>
      <c r="AB292" s="239"/>
      <c r="AC292" s="239"/>
      <c r="AD292" s="239"/>
      <c r="AE292" s="239"/>
      <c r="AF292" s="239"/>
      <c r="AG292" s="239"/>
      <c r="AH292" s="239"/>
      <c r="AI292" s="239"/>
      <c r="AJ292" s="239"/>
    </row>
    <row r="293">
      <c r="A293" s="239"/>
      <c r="B293" s="239"/>
      <c r="C293" s="239"/>
      <c r="D293" s="239"/>
      <c r="E293" s="239"/>
      <c r="F293" s="283"/>
      <c r="G293" s="239"/>
      <c r="H293" s="239"/>
      <c r="I293" s="239"/>
      <c r="J293" s="239"/>
      <c r="K293" s="239"/>
      <c r="L293" s="239"/>
      <c r="M293" s="239"/>
      <c r="N293" s="239"/>
      <c r="O293" s="239"/>
      <c r="P293" s="246"/>
      <c r="Q293" s="239"/>
      <c r="R293" s="239"/>
      <c r="S293" s="239"/>
      <c r="T293" s="239"/>
      <c r="U293" s="239"/>
      <c r="V293" s="239"/>
      <c r="W293" s="246"/>
      <c r="X293" s="239"/>
      <c r="Y293" s="239"/>
      <c r="Z293" s="239"/>
      <c r="AA293" s="239"/>
      <c r="AB293" s="239"/>
      <c r="AC293" s="239"/>
      <c r="AD293" s="239"/>
      <c r="AE293" s="239"/>
      <c r="AF293" s="239"/>
      <c r="AG293" s="239"/>
      <c r="AH293" s="239"/>
      <c r="AI293" s="239"/>
      <c r="AJ293" s="239"/>
    </row>
    <row r="294">
      <c r="A294" s="239"/>
      <c r="B294" s="239"/>
      <c r="C294" s="239"/>
      <c r="D294" s="239"/>
      <c r="E294" s="239"/>
      <c r="F294" s="283"/>
      <c r="G294" s="239"/>
      <c r="H294" s="239"/>
      <c r="I294" s="239"/>
      <c r="J294" s="239"/>
      <c r="K294" s="239"/>
      <c r="L294" s="239"/>
      <c r="M294" s="239"/>
      <c r="N294" s="239"/>
      <c r="O294" s="239"/>
      <c r="P294" s="246"/>
      <c r="Q294" s="239"/>
      <c r="R294" s="239"/>
      <c r="S294" s="239"/>
      <c r="T294" s="239"/>
      <c r="U294" s="239"/>
      <c r="V294" s="239"/>
      <c r="W294" s="246"/>
      <c r="X294" s="239"/>
      <c r="Y294" s="239"/>
      <c r="Z294" s="239"/>
      <c r="AA294" s="239"/>
      <c r="AB294" s="239"/>
      <c r="AC294" s="239"/>
      <c r="AD294" s="239"/>
      <c r="AE294" s="239"/>
      <c r="AF294" s="239"/>
      <c r="AG294" s="239"/>
      <c r="AH294" s="239"/>
      <c r="AI294" s="239"/>
      <c r="AJ294" s="239"/>
    </row>
    <row r="295">
      <c r="A295" s="239"/>
      <c r="B295" s="239"/>
      <c r="C295" s="239"/>
      <c r="D295" s="239"/>
      <c r="E295" s="239"/>
      <c r="F295" s="283"/>
      <c r="G295" s="239"/>
      <c r="H295" s="239"/>
      <c r="I295" s="239"/>
      <c r="J295" s="239"/>
      <c r="K295" s="239"/>
      <c r="L295" s="239"/>
      <c r="M295" s="239"/>
      <c r="N295" s="239"/>
      <c r="O295" s="239"/>
      <c r="P295" s="246"/>
      <c r="Q295" s="239"/>
      <c r="R295" s="239"/>
      <c r="S295" s="239"/>
      <c r="T295" s="239"/>
      <c r="U295" s="239"/>
      <c r="V295" s="239"/>
      <c r="W295" s="246"/>
      <c r="X295" s="239"/>
      <c r="Y295" s="239"/>
      <c r="Z295" s="239"/>
      <c r="AA295" s="239"/>
      <c r="AB295" s="239"/>
      <c r="AC295" s="239"/>
      <c r="AD295" s="239"/>
      <c r="AE295" s="239"/>
      <c r="AF295" s="239"/>
      <c r="AG295" s="239"/>
      <c r="AH295" s="239"/>
      <c r="AI295" s="239"/>
      <c r="AJ295" s="239"/>
    </row>
    <row r="296">
      <c r="A296" s="239"/>
      <c r="B296" s="239"/>
      <c r="C296" s="239"/>
      <c r="D296" s="239"/>
      <c r="E296" s="239"/>
      <c r="F296" s="283"/>
      <c r="G296" s="239"/>
      <c r="H296" s="239"/>
      <c r="I296" s="239"/>
      <c r="J296" s="239"/>
      <c r="K296" s="239"/>
      <c r="L296" s="239"/>
      <c r="M296" s="239"/>
      <c r="N296" s="239"/>
      <c r="O296" s="239"/>
      <c r="P296" s="246"/>
      <c r="Q296" s="239"/>
      <c r="R296" s="239"/>
      <c r="S296" s="239"/>
      <c r="T296" s="239"/>
      <c r="U296" s="239"/>
      <c r="V296" s="239"/>
      <c r="W296" s="246"/>
      <c r="X296" s="239"/>
      <c r="Y296" s="239"/>
      <c r="Z296" s="239"/>
      <c r="AA296" s="239"/>
      <c r="AB296" s="239"/>
      <c r="AC296" s="239"/>
      <c r="AD296" s="239"/>
      <c r="AE296" s="239"/>
      <c r="AF296" s="239"/>
      <c r="AG296" s="239"/>
      <c r="AH296" s="239"/>
      <c r="AI296" s="239"/>
      <c r="AJ296" s="239"/>
    </row>
    <row r="297">
      <c r="A297" s="239"/>
      <c r="B297" s="239"/>
      <c r="C297" s="239"/>
      <c r="D297" s="239"/>
      <c r="E297" s="239"/>
      <c r="F297" s="283"/>
      <c r="G297" s="239"/>
      <c r="H297" s="239"/>
      <c r="I297" s="239"/>
      <c r="J297" s="239"/>
      <c r="K297" s="239"/>
      <c r="L297" s="239"/>
      <c r="M297" s="239"/>
      <c r="N297" s="239"/>
      <c r="O297" s="239"/>
      <c r="P297" s="246"/>
      <c r="Q297" s="239"/>
      <c r="R297" s="239"/>
      <c r="S297" s="239"/>
      <c r="T297" s="239"/>
      <c r="U297" s="239"/>
      <c r="V297" s="239"/>
      <c r="W297" s="246"/>
      <c r="X297" s="239"/>
      <c r="Y297" s="239"/>
      <c r="Z297" s="239"/>
      <c r="AA297" s="239"/>
      <c r="AB297" s="239"/>
      <c r="AC297" s="239"/>
      <c r="AD297" s="239"/>
      <c r="AE297" s="239"/>
      <c r="AF297" s="239"/>
      <c r="AG297" s="239"/>
      <c r="AH297" s="239"/>
      <c r="AI297" s="239"/>
      <c r="AJ297" s="239"/>
    </row>
    <row r="298">
      <c r="A298" s="239"/>
      <c r="B298" s="239"/>
      <c r="C298" s="239"/>
      <c r="D298" s="239"/>
      <c r="E298" s="239"/>
      <c r="F298" s="283"/>
      <c r="G298" s="239"/>
      <c r="H298" s="239"/>
      <c r="I298" s="239"/>
      <c r="J298" s="239"/>
      <c r="K298" s="239"/>
      <c r="L298" s="239"/>
      <c r="M298" s="239"/>
      <c r="N298" s="239"/>
      <c r="O298" s="239"/>
      <c r="P298" s="246"/>
      <c r="Q298" s="239"/>
      <c r="R298" s="239"/>
      <c r="S298" s="239"/>
      <c r="T298" s="239"/>
      <c r="U298" s="239"/>
      <c r="V298" s="239"/>
      <c r="W298" s="246"/>
      <c r="X298" s="239"/>
      <c r="Y298" s="239"/>
      <c r="Z298" s="239"/>
      <c r="AA298" s="239"/>
      <c r="AB298" s="239"/>
      <c r="AC298" s="239"/>
      <c r="AD298" s="239"/>
      <c r="AE298" s="239"/>
      <c r="AF298" s="239"/>
      <c r="AG298" s="239"/>
      <c r="AH298" s="239"/>
      <c r="AI298" s="239"/>
      <c r="AJ298" s="239"/>
    </row>
    <row r="299">
      <c r="A299" s="239"/>
      <c r="B299" s="239"/>
      <c r="C299" s="239"/>
      <c r="D299" s="239"/>
      <c r="E299" s="239"/>
      <c r="F299" s="283"/>
      <c r="G299" s="239"/>
      <c r="H299" s="239"/>
      <c r="I299" s="239"/>
      <c r="J299" s="239"/>
      <c r="K299" s="239"/>
      <c r="L299" s="239"/>
      <c r="M299" s="239"/>
      <c r="N299" s="239"/>
      <c r="O299" s="239"/>
      <c r="P299" s="246"/>
      <c r="Q299" s="239"/>
      <c r="R299" s="239"/>
      <c r="S299" s="239"/>
      <c r="T299" s="239"/>
      <c r="U299" s="239"/>
      <c r="V299" s="239"/>
      <c r="W299" s="246"/>
      <c r="X299" s="239"/>
      <c r="Y299" s="239"/>
      <c r="Z299" s="239"/>
      <c r="AA299" s="239"/>
      <c r="AB299" s="239"/>
      <c r="AC299" s="239"/>
      <c r="AD299" s="239"/>
      <c r="AE299" s="239"/>
      <c r="AF299" s="239"/>
      <c r="AG299" s="239"/>
      <c r="AH299" s="239"/>
      <c r="AI299" s="239"/>
      <c r="AJ299" s="239"/>
    </row>
    <row r="300">
      <c r="A300" s="239"/>
      <c r="B300" s="239"/>
      <c r="C300" s="239"/>
      <c r="D300" s="239"/>
      <c r="E300" s="239"/>
      <c r="F300" s="283"/>
      <c r="G300" s="239"/>
      <c r="H300" s="239"/>
      <c r="I300" s="239"/>
      <c r="J300" s="239"/>
      <c r="K300" s="239"/>
      <c r="L300" s="239"/>
      <c r="M300" s="239"/>
      <c r="N300" s="239"/>
      <c r="O300" s="239"/>
      <c r="P300" s="246"/>
      <c r="Q300" s="239"/>
      <c r="R300" s="239"/>
      <c r="S300" s="239"/>
      <c r="T300" s="239"/>
      <c r="U300" s="239"/>
      <c r="V300" s="239"/>
      <c r="W300" s="246"/>
      <c r="X300" s="239"/>
      <c r="Y300" s="239"/>
      <c r="Z300" s="239"/>
      <c r="AA300" s="239"/>
      <c r="AB300" s="239"/>
      <c r="AC300" s="239"/>
      <c r="AD300" s="239"/>
      <c r="AE300" s="239"/>
      <c r="AF300" s="239"/>
      <c r="AG300" s="239"/>
      <c r="AH300" s="239"/>
      <c r="AI300" s="239"/>
      <c r="AJ300" s="239"/>
    </row>
    <row r="301">
      <c r="A301" s="239"/>
      <c r="B301" s="239"/>
      <c r="C301" s="239"/>
      <c r="D301" s="239"/>
      <c r="E301" s="239"/>
      <c r="F301" s="283"/>
      <c r="G301" s="239"/>
      <c r="H301" s="239"/>
      <c r="I301" s="239"/>
      <c r="J301" s="239"/>
      <c r="K301" s="239"/>
      <c r="L301" s="239"/>
      <c r="M301" s="239"/>
      <c r="N301" s="239"/>
      <c r="O301" s="239"/>
      <c r="P301" s="246"/>
      <c r="Q301" s="239"/>
      <c r="R301" s="239"/>
      <c r="S301" s="239"/>
      <c r="T301" s="239"/>
      <c r="U301" s="239"/>
      <c r="V301" s="239"/>
      <c r="W301" s="246"/>
      <c r="X301" s="239"/>
      <c r="Y301" s="239"/>
      <c r="Z301" s="239"/>
      <c r="AA301" s="239"/>
      <c r="AB301" s="239"/>
      <c r="AC301" s="239"/>
      <c r="AD301" s="239"/>
      <c r="AE301" s="239"/>
      <c r="AF301" s="239"/>
      <c r="AG301" s="239"/>
      <c r="AH301" s="239"/>
      <c r="AI301" s="239"/>
      <c r="AJ301" s="239"/>
    </row>
    <row r="302">
      <c r="A302" s="239"/>
      <c r="B302" s="239"/>
      <c r="C302" s="239"/>
      <c r="D302" s="239"/>
      <c r="E302" s="239"/>
      <c r="F302" s="283"/>
      <c r="G302" s="239"/>
      <c r="H302" s="239"/>
      <c r="I302" s="239"/>
      <c r="J302" s="239"/>
      <c r="K302" s="239"/>
      <c r="L302" s="239"/>
      <c r="M302" s="239"/>
      <c r="N302" s="239"/>
      <c r="O302" s="239"/>
      <c r="P302" s="246"/>
      <c r="Q302" s="239"/>
      <c r="R302" s="239"/>
      <c r="S302" s="239"/>
      <c r="T302" s="239"/>
      <c r="U302" s="239"/>
      <c r="V302" s="239"/>
      <c r="W302" s="246"/>
      <c r="X302" s="239"/>
      <c r="Y302" s="239"/>
      <c r="Z302" s="239"/>
      <c r="AA302" s="239"/>
      <c r="AB302" s="239"/>
      <c r="AC302" s="239"/>
      <c r="AD302" s="239"/>
      <c r="AE302" s="239"/>
      <c r="AF302" s="239"/>
      <c r="AG302" s="239"/>
      <c r="AH302" s="239"/>
      <c r="AI302" s="239"/>
      <c r="AJ302" s="239"/>
    </row>
    <row r="303">
      <c r="A303" s="239"/>
      <c r="B303" s="239"/>
      <c r="C303" s="239"/>
      <c r="D303" s="239"/>
      <c r="E303" s="239"/>
      <c r="F303" s="283"/>
      <c r="G303" s="239"/>
      <c r="H303" s="239"/>
      <c r="I303" s="239"/>
      <c r="J303" s="239"/>
      <c r="K303" s="239"/>
      <c r="L303" s="239"/>
      <c r="M303" s="239"/>
      <c r="N303" s="239"/>
      <c r="O303" s="239"/>
      <c r="P303" s="246"/>
      <c r="Q303" s="239"/>
      <c r="R303" s="239"/>
      <c r="S303" s="239"/>
      <c r="T303" s="239"/>
      <c r="U303" s="239"/>
      <c r="V303" s="239"/>
      <c r="W303" s="246"/>
      <c r="X303" s="239"/>
      <c r="Y303" s="239"/>
      <c r="Z303" s="239"/>
      <c r="AA303" s="239"/>
      <c r="AB303" s="239"/>
      <c r="AC303" s="239"/>
      <c r="AD303" s="239"/>
      <c r="AE303" s="239"/>
      <c r="AF303" s="239"/>
      <c r="AG303" s="239"/>
      <c r="AH303" s="239"/>
      <c r="AI303" s="239"/>
      <c r="AJ303" s="239"/>
    </row>
    <row r="304">
      <c r="A304" s="239"/>
      <c r="B304" s="239"/>
      <c r="C304" s="239"/>
      <c r="D304" s="239"/>
      <c r="E304" s="239"/>
      <c r="F304" s="283"/>
      <c r="G304" s="239"/>
      <c r="H304" s="239"/>
      <c r="I304" s="239"/>
      <c r="J304" s="239"/>
      <c r="K304" s="239"/>
      <c r="L304" s="239"/>
      <c r="M304" s="239"/>
      <c r="N304" s="239"/>
      <c r="O304" s="239"/>
      <c r="P304" s="246"/>
      <c r="Q304" s="239"/>
      <c r="R304" s="239"/>
      <c r="S304" s="239"/>
      <c r="T304" s="239"/>
      <c r="U304" s="239"/>
      <c r="V304" s="239"/>
      <c r="W304" s="246"/>
      <c r="X304" s="239"/>
      <c r="Y304" s="239"/>
      <c r="Z304" s="239"/>
      <c r="AA304" s="239"/>
      <c r="AB304" s="239"/>
      <c r="AC304" s="239"/>
      <c r="AD304" s="239"/>
      <c r="AE304" s="239"/>
      <c r="AF304" s="239"/>
      <c r="AG304" s="239"/>
      <c r="AH304" s="239"/>
      <c r="AI304" s="239"/>
      <c r="AJ304" s="239"/>
    </row>
    <row r="305">
      <c r="A305" s="239"/>
      <c r="B305" s="239"/>
      <c r="C305" s="239"/>
      <c r="D305" s="239"/>
      <c r="E305" s="239"/>
      <c r="F305" s="283"/>
      <c r="G305" s="239"/>
      <c r="H305" s="239"/>
      <c r="I305" s="239"/>
      <c r="J305" s="239"/>
      <c r="K305" s="239"/>
      <c r="L305" s="239"/>
      <c r="M305" s="239"/>
      <c r="N305" s="239"/>
      <c r="O305" s="239"/>
      <c r="P305" s="246"/>
      <c r="Q305" s="239"/>
      <c r="R305" s="239"/>
      <c r="S305" s="239"/>
      <c r="T305" s="239"/>
      <c r="U305" s="239"/>
      <c r="V305" s="239"/>
      <c r="W305" s="246"/>
      <c r="X305" s="239"/>
      <c r="Y305" s="239"/>
      <c r="Z305" s="239"/>
      <c r="AA305" s="239"/>
      <c r="AB305" s="239"/>
      <c r="AC305" s="239"/>
      <c r="AD305" s="239"/>
      <c r="AE305" s="239"/>
      <c r="AF305" s="239"/>
      <c r="AG305" s="239"/>
      <c r="AH305" s="239"/>
      <c r="AI305" s="239"/>
      <c r="AJ305" s="239"/>
    </row>
    <row r="306">
      <c r="A306" s="239"/>
      <c r="B306" s="239"/>
      <c r="C306" s="239"/>
      <c r="D306" s="239"/>
      <c r="E306" s="239"/>
      <c r="F306" s="283"/>
      <c r="G306" s="239"/>
      <c r="H306" s="239"/>
      <c r="I306" s="239"/>
      <c r="J306" s="239"/>
      <c r="K306" s="239"/>
      <c r="L306" s="239"/>
      <c r="M306" s="239"/>
      <c r="N306" s="239"/>
      <c r="O306" s="239"/>
      <c r="P306" s="246"/>
      <c r="Q306" s="239"/>
      <c r="R306" s="239"/>
      <c r="S306" s="239"/>
      <c r="T306" s="239"/>
      <c r="U306" s="239"/>
      <c r="V306" s="239"/>
      <c r="W306" s="246"/>
      <c r="X306" s="239"/>
      <c r="Y306" s="239"/>
      <c r="Z306" s="239"/>
      <c r="AA306" s="239"/>
      <c r="AB306" s="239"/>
      <c r="AC306" s="239"/>
      <c r="AD306" s="239"/>
      <c r="AE306" s="239"/>
      <c r="AF306" s="239"/>
      <c r="AG306" s="239"/>
      <c r="AH306" s="239"/>
      <c r="AI306" s="239"/>
      <c r="AJ306" s="239"/>
    </row>
    <row r="307">
      <c r="A307" s="239"/>
      <c r="B307" s="239"/>
      <c r="C307" s="239"/>
      <c r="D307" s="239"/>
      <c r="E307" s="239"/>
      <c r="F307" s="283"/>
      <c r="G307" s="239"/>
      <c r="H307" s="239"/>
      <c r="I307" s="239"/>
      <c r="J307" s="239"/>
      <c r="K307" s="239"/>
      <c r="L307" s="239"/>
      <c r="M307" s="239"/>
      <c r="N307" s="239"/>
      <c r="O307" s="239"/>
      <c r="P307" s="246"/>
      <c r="Q307" s="239"/>
      <c r="R307" s="239"/>
      <c r="S307" s="239"/>
      <c r="T307" s="239"/>
      <c r="U307" s="239"/>
      <c r="V307" s="239"/>
      <c r="W307" s="246"/>
      <c r="X307" s="239"/>
      <c r="Y307" s="239"/>
      <c r="Z307" s="239"/>
      <c r="AA307" s="239"/>
      <c r="AB307" s="239"/>
      <c r="AC307" s="239"/>
      <c r="AD307" s="239"/>
      <c r="AE307" s="239"/>
      <c r="AF307" s="239"/>
      <c r="AG307" s="239"/>
      <c r="AH307" s="239"/>
      <c r="AI307" s="239"/>
      <c r="AJ307" s="239"/>
    </row>
    <row r="308">
      <c r="A308" s="239"/>
      <c r="B308" s="239"/>
      <c r="C308" s="239"/>
      <c r="D308" s="239"/>
      <c r="E308" s="239"/>
      <c r="F308" s="283"/>
      <c r="G308" s="239"/>
      <c r="H308" s="239"/>
      <c r="I308" s="239"/>
      <c r="J308" s="239"/>
      <c r="K308" s="239"/>
      <c r="L308" s="239"/>
      <c r="M308" s="239"/>
      <c r="N308" s="239"/>
      <c r="O308" s="239"/>
      <c r="P308" s="246"/>
      <c r="Q308" s="239"/>
      <c r="R308" s="239"/>
      <c r="S308" s="239"/>
      <c r="T308" s="239"/>
      <c r="U308" s="239"/>
      <c r="V308" s="239"/>
      <c r="W308" s="246"/>
      <c r="X308" s="239"/>
      <c r="Y308" s="239"/>
      <c r="Z308" s="239"/>
      <c r="AA308" s="239"/>
      <c r="AB308" s="239"/>
      <c r="AC308" s="239"/>
      <c r="AD308" s="239"/>
      <c r="AE308" s="239"/>
      <c r="AF308" s="239"/>
      <c r="AG308" s="239"/>
      <c r="AH308" s="239"/>
      <c r="AI308" s="239"/>
      <c r="AJ308" s="239"/>
    </row>
    <row r="309">
      <c r="A309" s="239"/>
      <c r="B309" s="239"/>
      <c r="C309" s="239"/>
      <c r="D309" s="239"/>
      <c r="E309" s="239"/>
      <c r="F309" s="283"/>
      <c r="G309" s="239"/>
      <c r="H309" s="239"/>
      <c r="I309" s="239"/>
      <c r="J309" s="239"/>
      <c r="K309" s="239"/>
      <c r="L309" s="239"/>
      <c r="M309" s="239"/>
      <c r="N309" s="239"/>
      <c r="O309" s="239"/>
      <c r="P309" s="246"/>
      <c r="Q309" s="239"/>
      <c r="R309" s="239"/>
      <c r="S309" s="239"/>
      <c r="T309" s="239"/>
      <c r="U309" s="239"/>
      <c r="V309" s="239"/>
      <c r="W309" s="246"/>
      <c r="X309" s="239"/>
      <c r="Y309" s="239"/>
      <c r="Z309" s="239"/>
      <c r="AA309" s="239"/>
      <c r="AB309" s="239"/>
      <c r="AC309" s="239"/>
      <c r="AD309" s="239"/>
      <c r="AE309" s="239"/>
      <c r="AF309" s="239"/>
      <c r="AG309" s="239"/>
      <c r="AH309" s="239"/>
      <c r="AI309" s="239"/>
      <c r="AJ309" s="239"/>
    </row>
    <row r="310">
      <c r="A310" s="239"/>
      <c r="B310" s="239"/>
      <c r="C310" s="239"/>
      <c r="D310" s="239"/>
      <c r="E310" s="239"/>
      <c r="F310" s="283"/>
      <c r="G310" s="239"/>
      <c r="H310" s="239"/>
      <c r="I310" s="239"/>
      <c r="J310" s="239"/>
      <c r="K310" s="239"/>
      <c r="L310" s="239"/>
      <c r="M310" s="239"/>
      <c r="N310" s="239"/>
      <c r="O310" s="239"/>
      <c r="P310" s="246"/>
      <c r="Q310" s="239"/>
      <c r="R310" s="239"/>
      <c r="S310" s="239"/>
      <c r="T310" s="239"/>
      <c r="U310" s="239"/>
      <c r="V310" s="239"/>
      <c r="W310" s="246"/>
      <c r="X310" s="239"/>
      <c r="Y310" s="239"/>
      <c r="Z310" s="239"/>
      <c r="AA310" s="239"/>
      <c r="AB310" s="239"/>
      <c r="AC310" s="239"/>
      <c r="AD310" s="239"/>
      <c r="AE310" s="239"/>
      <c r="AF310" s="239"/>
      <c r="AG310" s="239"/>
      <c r="AH310" s="239"/>
      <c r="AI310" s="239"/>
      <c r="AJ310" s="239"/>
    </row>
    <row r="311">
      <c r="A311" s="239"/>
      <c r="B311" s="239"/>
      <c r="C311" s="239"/>
      <c r="D311" s="239"/>
      <c r="E311" s="239"/>
      <c r="F311" s="283"/>
      <c r="G311" s="239"/>
      <c r="H311" s="239"/>
      <c r="I311" s="239"/>
      <c r="J311" s="239"/>
      <c r="K311" s="239"/>
      <c r="L311" s="239"/>
      <c r="M311" s="239"/>
      <c r="N311" s="239"/>
      <c r="O311" s="239"/>
      <c r="P311" s="246"/>
      <c r="Q311" s="239"/>
      <c r="R311" s="239"/>
      <c r="S311" s="239"/>
      <c r="T311" s="239"/>
      <c r="U311" s="239"/>
      <c r="V311" s="239"/>
      <c r="W311" s="246"/>
      <c r="X311" s="239"/>
      <c r="Y311" s="239"/>
      <c r="Z311" s="239"/>
      <c r="AA311" s="239"/>
      <c r="AB311" s="239"/>
      <c r="AC311" s="239"/>
      <c r="AD311" s="239"/>
      <c r="AE311" s="239"/>
      <c r="AF311" s="239"/>
      <c r="AG311" s="239"/>
      <c r="AH311" s="239"/>
      <c r="AI311" s="239"/>
      <c r="AJ311" s="239"/>
    </row>
    <row r="312">
      <c r="A312" s="239"/>
      <c r="B312" s="239"/>
      <c r="C312" s="239"/>
      <c r="D312" s="239"/>
      <c r="E312" s="239"/>
      <c r="F312" s="283"/>
      <c r="G312" s="239"/>
      <c r="H312" s="239"/>
      <c r="I312" s="239"/>
      <c r="J312" s="239"/>
      <c r="K312" s="239"/>
      <c r="L312" s="239"/>
      <c r="M312" s="239"/>
      <c r="N312" s="239"/>
      <c r="O312" s="239"/>
      <c r="P312" s="246"/>
      <c r="Q312" s="239"/>
      <c r="R312" s="239"/>
      <c r="S312" s="239"/>
      <c r="T312" s="239"/>
      <c r="U312" s="239"/>
      <c r="V312" s="239"/>
      <c r="W312" s="246"/>
      <c r="X312" s="239"/>
      <c r="Y312" s="239"/>
      <c r="Z312" s="239"/>
      <c r="AA312" s="239"/>
      <c r="AB312" s="239"/>
      <c r="AC312" s="239"/>
      <c r="AD312" s="239"/>
      <c r="AE312" s="239"/>
      <c r="AF312" s="239"/>
      <c r="AG312" s="239"/>
      <c r="AH312" s="239"/>
      <c r="AI312" s="239"/>
      <c r="AJ312" s="239"/>
    </row>
    <row r="313">
      <c r="A313" s="239"/>
      <c r="B313" s="239"/>
      <c r="C313" s="239"/>
      <c r="D313" s="239"/>
      <c r="E313" s="239"/>
      <c r="F313" s="283"/>
      <c r="G313" s="239"/>
      <c r="H313" s="239"/>
      <c r="I313" s="239"/>
      <c r="J313" s="239"/>
      <c r="K313" s="239"/>
      <c r="L313" s="239"/>
      <c r="M313" s="239"/>
      <c r="N313" s="239"/>
      <c r="O313" s="239"/>
      <c r="P313" s="246"/>
      <c r="Q313" s="239"/>
      <c r="R313" s="239"/>
      <c r="S313" s="239"/>
      <c r="T313" s="239"/>
      <c r="U313" s="239"/>
      <c r="V313" s="239"/>
      <c r="W313" s="246"/>
      <c r="X313" s="239"/>
      <c r="Y313" s="239"/>
      <c r="Z313" s="239"/>
      <c r="AA313" s="239"/>
      <c r="AB313" s="239"/>
      <c r="AC313" s="239"/>
      <c r="AD313" s="239"/>
      <c r="AE313" s="239"/>
      <c r="AF313" s="239"/>
      <c r="AG313" s="239"/>
      <c r="AH313" s="239"/>
      <c r="AI313" s="239"/>
      <c r="AJ313" s="239"/>
    </row>
    <row r="314">
      <c r="A314" s="239"/>
      <c r="B314" s="239"/>
      <c r="C314" s="239"/>
      <c r="D314" s="239"/>
      <c r="E314" s="239"/>
      <c r="F314" s="283"/>
      <c r="G314" s="239"/>
      <c r="H314" s="239"/>
      <c r="I314" s="239"/>
      <c r="J314" s="239"/>
      <c r="K314" s="239"/>
      <c r="L314" s="239"/>
      <c r="M314" s="239"/>
      <c r="N314" s="239"/>
      <c r="O314" s="239"/>
      <c r="P314" s="246"/>
      <c r="Q314" s="239"/>
      <c r="R314" s="239"/>
      <c r="S314" s="239"/>
      <c r="T314" s="239"/>
      <c r="U314" s="239"/>
      <c r="V314" s="239"/>
      <c r="W314" s="246"/>
      <c r="X314" s="239"/>
      <c r="Y314" s="239"/>
      <c r="Z314" s="239"/>
      <c r="AA314" s="239"/>
      <c r="AB314" s="239"/>
      <c r="AC314" s="239"/>
      <c r="AD314" s="239"/>
      <c r="AE314" s="239"/>
      <c r="AF314" s="239"/>
      <c r="AG314" s="239"/>
      <c r="AH314" s="239"/>
      <c r="AI314" s="239"/>
      <c r="AJ314" s="239"/>
    </row>
    <row r="315">
      <c r="A315" s="239"/>
      <c r="B315" s="239"/>
      <c r="C315" s="239"/>
      <c r="D315" s="239"/>
      <c r="E315" s="239"/>
      <c r="F315" s="283"/>
      <c r="G315" s="239"/>
      <c r="H315" s="239"/>
      <c r="I315" s="239"/>
      <c r="J315" s="239"/>
      <c r="K315" s="239"/>
      <c r="L315" s="239"/>
      <c r="M315" s="239"/>
      <c r="N315" s="239"/>
      <c r="O315" s="239"/>
      <c r="P315" s="246"/>
      <c r="Q315" s="239"/>
      <c r="R315" s="239"/>
      <c r="S315" s="239"/>
      <c r="T315" s="239"/>
      <c r="U315" s="239"/>
      <c r="V315" s="239"/>
      <c r="W315" s="246"/>
      <c r="X315" s="239"/>
      <c r="Y315" s="239"/>
      <c r="Z315" s="239"/>
      <c r="AA315" s="239"/>
      <c r="AB315" s="239"/>
      <c r="AC315" s="239"/>
      <c r="AD315" s="239"/>
      <c r="AE315" s="239"/>
      <c r="AF315" s="239"/>
      <c r="AG315" s="239"/>
      <c r="AH315" s="239"/>
      <c r="AI315" s="239"/>
      <c r="AJ315" s="239"/>
    </row>
    <row r="316">
      <c r="A316" s="239"/>
      <c r="B316" s="239"/>
      <c r="C316" s="239"/>
      <c r="D316" s="239"/>
      <c r="E316" s="239"/>
      <c r="F316" s="283"/>
      <c r="G316" s="239"/>
      <c r="H316" s="239"/>
      <c r="I316" s="239"/>
      <c r="J316" s="239"/>
      <c r="K316" s="239"/>
      <c r="L316" s="239"/>
      <c r="M316" s="239"/>
      <c r="N316" s="239"/>
      <c r="O316" s="239"/>
      <c r="P316" s="246"/>
      <c r="Q316" s="239"/>
      <c r="R316" s="239"/>
      <c r="S316" s="239"/>
      <c r="T316" s="239"/>
      <c r="U316" s="239"/>
      <c r="V316" s="239"/>
      <c r="W316" s="246"/>
      <c r="X316" s="239"/>
      <c r="Y316" s="239"/>
      <c r="Z316" s="239"/>
      <c r="AA316" s="239"/>
      <c r="AB316" s="239"/>
      <c r="AC316" s="239"/>
      <c r="AD316" s="239"/>
      <c r="AE316" s="239"/>
      <c r="AF316" s="239"/>
      <c r="AG316" s="239"/>
      <c r="AH316" s="239"/>
      <c r="AI316" s="239"/>
      <c r="AJ316" s="239"/>
    </row>
    <row r="317">
      <c r="A317" s="239"/>
      <c r="B317" s="239"/>
      <c r="C317" s="239"/>
      <c r="D317" s="239"/>
      <c r="E317" s="239"/>
      <c r="F317" s="283"/>
      <c r="G317" s="239"/>
      <c r="H317" s="239"/>
      <c r="I317" s="239"/>
      <c r="J317" s="239"/>
      <c r="K317" s="239"/>
      <c r="L317" s="239"/>
      <c r="M317" s="239"/>
      <c r="N317" s="239"/>
      <c r="O317" s="239"/>
      <c r="P317" s="246"/>
      <c r="Q317" s="239"/>
      <c r="R317" s="239"/>
      <c r="S317" s="239"/>
      <c r="T317" s="239"/>
      <c r="U317" s="239"/>
      <c r="V317" s="239"/>
      <c r="W317" s="246"/>
      <c r="X317" s="239"/>
      <c r="Y317" s="239"/>
      <c r="Z317" s="239"/>
      <c r="AA317" s="239"/>
      <c r="AB317" s="239"/>
      <c r="AC317" s="239"/>
      <c r="AD317" s="239"/>
      <c r="AE317" s="239"/>
      <c r="AF317" s="239"/>
      <c r="AG317" s="239"/>
      <c r="AH317" s="239"/>
      <c r="AI317" s="239"/>
      <c r="AJ317" s="239"/>
    </row>
    <row r="318">
      <c r="A318" s="239"/>
      <c r="B318" s="239"/>
      <c r="C318" s="239"/>
      <c r="D318" s="239"/>
      <c r="E318" s="239"/>
      <c r="F318" s="283"/>
      <c r="G318" s="239"/>
      <c r="H318" s="239"/>
      <c r="I318" s="239"/>
      <c r="J318" s="239"/>
      <c r="K318" s="239"/>
      <c r="L318" s="239"/>
      <c r="M318" s="239"/>
      <c r="N318" s="239"/>
      <c r="O318" s="239"/>
      <c r="P318" s="246"/>
      <c r="Q318" s="239"/>
      <c r="R318" s="239"/>
      <c r="S318" s="239"/>
      <c r="T318" s="239"/>
      <c r="U318" s="239"/>
      <c r="V318" s="239"/>
      <c r="W318" s="246"/>
      <c r="X318" s="239"/>
      <c r="Y318" s="239"/>
      <c r="Z318" s="239"/>
      <c r="AA318" s="239"/>
      <c r="AB318" s="239"/>
      <c r="AC318" s="239"/>
      <c r="AD318" s="239"/>
      <c r="AE318" s="239"/>
      <c r="AF318" s="239"/>
      <c r="AG318" s="239"/>
      <c r="AH318" s="239"/>
      <c r="AI318" s="239"/>
      <c r="AJ318" s="239"/>
    </row>
    <row r="319">
      <c r="A319" s="239"/>
      <c r="B319" s="239"/>
      <c r="C319" s="239"/>
      <c r="D319" s="239"/>
      <c r="E319" s="239"/>
      <c r="F319" s="283"/>
      <c r="G319" s="239"/>
      <c r="H319" s="239"/>
      <c r="I319" s="239"/>
      <c r="J319" s="239"/>
      <c r="K319" s="239"/>
      <c r="L319" s="239"/>
      <c r="M319" s="239"/>
      <c r="N319" s="239"/>
      <c r="O319" s="239"/>
      <c r="P319" s="246"/>
      <c r="Q319" s="239"/>
      <c r="R319" s="239"/>
      <c r="S319" s="239"/>
      <c r="T319" s="239"/>
      <c r="U319" s="239"/>
      <c r="V319" s="239"/>
      <c r="W319" s="246"/>
      <c r="X319" s="239"/>
      <c r="Y319" s="239"/>
      <c r="Z319" s="239"/>
      <c r="AA319" s="239"/>
      <c r="AB319" s="239"/>
      <c r="AC319" s="239"/>
      <c r="AD319" s="239"/>
      <c r="AE319" s="239"/>
      <c r="AF319" s="239"/>
      <c r="AG319" s="239"/>
      <c r="AH319" s="239"/>
      <c r="AI319" s="239"/>
      <c r="AJ319" s="239"/>
    </row>
    <row r="320">
      <c r="A320" s="239"/>
      <c r="B320" s="239"/>
      <c r="C320" s="239"/>
      <c r="D320" s="239"/>
      <c r="E320" s="239"/>
      <c r="F320" s="283"/>
      <c r="G320" s="239"/>
      <c r="H320" s="239"/>
      <c r="I320" s="239"/>
      <c r="J320" s="239"/>
      <c r="K320" s="239"/>
      <c r="L320" s="239"/>
      <c r="M320" s="239"/>
      <c r="N320" s="239"/>
      <c r="O320" s="239"/>
      <c r="P320" s="246"/>
      <c r="Q320" s="239"/>
      <c r="R320" s="239"/>
      <c r="S320" s="239"/>
      <c r="T320" s="239"/>
      <c r="U320" s="239"/>
      <c r="V320" s="239"/>
      <c r="W320" s="246"/>
      <c r="X320" s="239"/>
      <c r="Y320" s="239"/>
      <c r="Z320" s="239"/>
      <c r="AA320" s="239"/>
      <c r="AB320" s="239"/>
      <c r="AC320" s="239"/>
      <c r="AD320" s="239"/>
      <c r="AE320" s="239"/>
      <c r="AF320" s="239"/>
      <c r="AG320" s="239"/>
      <c r="AH320" s="239"/>
      <c r="AI320" s="239"/>
      <c r="AJ320" s="239"/>
    </row>
    <row r="321">
      <c r="A321" s="239"/>
      <c r="B321" s="239"/>
      <c r="C321" s="239"/>
      <c r="D321" s="239"/>
      <c r="E321" s="239"/>
      <c r="F321" s="283"/>
      <c r="G321" s="239"/>
      <c r="H321" s="239"/>
      <c r="I321" s="239"/>
      <c r="J321" s="239"/>
      <c r="K321" s="239"/>
      <c r="L321" s="239"/>
      <c r="M321" s="239"/>
      <c r="N321" s="239"/>
      <c r="O321" s="239"/>
      <c r="P321" s="246"/>
      <c r="Q321" s="239"/>
      <c r="R321" s="239"/>
      <c r="S321" s="239"/>
      <c r="T321" s="239"/>
      <c r="U321" s="239"/>
      <c r="V321" s="239"/>
      <c r="W321" s="246"/>
      <c r="X321" s="239"/>
      <c r="Y321" s="239"/>
      <c r="Z321" s="239"/>
      <c r="AA321" s="239"/>
      <c r="AB321" s="239"/>
      <c r="AC321" s="239"/>
      <c r="AD321" s="239"/>
      <c r="AE321" s="239"/>
      <c r="AF321" s="239"/>
      <c r="AG321" s="239"/>
      <c r="AH321" s="239"/>
      <c r="AI321" s="239"/>
      <c r="AJ321" s="239"/>
    </row>
    <row r="322">
      <c r="A322" s="239"/>
      <c r="B322" s="239"/>
      <c r="C322" s="239"/>
      <c r="D322" s="239"/>
      <c r="E322" s="239"/>
      <c r="F322" s="283"/>
      <c r="G322" s="239"/>
      <c r="H322" s="239"/>
      <c r="I322" s="239"/>
      <c r="J322" s="239"/>
      <c r="K322" s="239"/>
      <c r="L322" s="239"/>
      <c r="M322" s="239"/>
      <c r="N322" s="239"/>
      <c r="O322" s="239"/>
      <c r="P322" s="246"/>
      <c r="Q322" s="239"/>
      <c r="R322" s="239"/>
      <c r="S322" s="239"/>
      <c r="T322" s="239"/>
      <c r="U322" s="239"/>
      <c r="V322" s="239"/>
      <c r="W322" s="246"/>
      <c r="X322" s="239"/>
      <c r="Y322" s="239"/>
      <c r="Z322" s="239"/>
      <c r="AA322" s="239"/>
      <c r="AB322" s="239"/>
      <c r="AC322" s="239"/>
      <c r="AD322" s="239"/>
      <c r="AE322" s="239"/>
      <c r="AF322" s="239"/>
      <c r="AG322" s="239"/>
      <c r="AH322" s="239"/>
      <c r="AI322" s="239"/>
      <c r="AJ322" s="239"/>
    </row>
    <row r="323">
      <c r="A323" s="239"/>
      <c r="B323" s="239"/>
      <c r="C323" s="239"/>
      <c r="D323" s="239"/>
      <c r="E323" s="239"/>
      <c r="F323" s="283"/>
      <c r="G323" s="239"/>
      <c r="H323" s="239"/>
      <c r="I323" s="239"/>
      <c r="J323" s="239"/>
      <c r="K323" s="239"/>
      <c r="L323" s="239"/>
      <c r="M323" s="239"/>
      <c r="N323" s="239"/>
      <c r="O323" s="239"/>
      <c r="P323" s="246"/>
      <c r="Q323" s="239"/>
      <c r="R323" s="239"/>
      <c r="S323" s="239"/>
      <c r="T323" s="239"/>
      <c r="U323" s="239"/>
      <c r="V323" s="239"/>
      <c r="W323" s="246"/>
      <c r="X323" s="239"/>
      <c r="Y323" s="239"/>
      <c r="Z323" s="239"/>
      <c r="AA323" s="239"/>
      <c r="AB323" s="239"/>
      <c r="AC323" s="239"/>
      <c r="AD323" s="239"/>
      <c r="AE323" s="239"/>
      <c r="AF323" s="239"/>
      <c r="AG323" s="239"/>
      <c r="AH323" s="239"/>
      <c r="AI323" s="239"/>
      <c r="AJ323" s="239"/>
    </row>
    <row r="324">
      <c r="A324" s="239"/>
      <c r="B324" s="239"/>
      <c r="C324" s="239"/>
      <c r="D324" s="239"/>
      <c r="E324" s="239"/>
      <c r="F324" s="283"/>
      <c r="G324" s="239"/>
      <c r="H324" s="239"/>
      <c r="I324" s="239"/>
      <c r="J324" s="239"/>
      <c r="K324" s="239"/>
      <c r="L324" s="239"/>
      <c r="M324" s="239"/>
      <c r="N324" s="239"/>
      <c r="O324" s="239"/>
      <c r="P324" s="246"/>
      <c r="Q324" s="239"/>
      <c r="R324" s="239"/>
      <c r="S324" s="239"/>
      <c r="T324" s="239"/>
      <c r="U324" s="239"/>
      <c r="V324" s="239"/>
      <c r="W324" s="246"/>
      <c r="X324" s="239"/>
      <c r="Y324" s="239"/>
      <c r="Z324" s="239"/>
      <c r="AA324" s="239"/>
      <c r="AB324" s="239"/>
      <c r="AC324" s="239"/>
      <c r="AD324" s="239"/>
      <c r="AE324" s="239"/>
      <c r="AF324" s="239"/>
      <c r="AG324" s="239"/>
      <c r="AH324" s="239"/>
      <c r="AI324" s="239"/>
      <c r="AJ324" s="239"/>
    </row>
    <row r="325">
      <c r="A325" s="239"/>
      <c r="B325" s="239"/>
      <c r="C325" s="239"/>
      <c r="D325" s="239"/>
      <c r="E325" s="239"/>
      <c r="F325" s="283"/>
      <c r="G325" s="239"/>
      <c r="H325" s="239"/>
      <c r="I325" s="239"/>
      <c r="J325" s="239"/>
      <c r="K325" s="239"/>
      <c r="L325" s="239"/>
      <c r="M325" s="239"/>
      <c r="N325" s="239"/>
      <c r="O325" s="239"/>
      <c r="P325" s="246"/>
      <c r="Q325" s="239"/>
      <c r="R325" s="239"/>
      <c r="S325" s="239"/>
      <c r="T325" s="239"/>
      <c r="U325" s="239"/>
      <c r="V325" s="239"/>
      <c r="W325" s="246"/>
      <c r="X325" s="239"/>
      <c r="Y325" s="239"/>
      <c r="Z325" s="239"/>
      <c r="AA325" s="239"/>
      <c r="AB325" s="239"/>
      <c r="AC325" s="239"/>
      <c r="AD325" s="239"/>
      <c r="AE325" s="239"/>
      <c r="AF325" s="239"/>
      <c r="AG325" s="239"/>
      <c r="AH325" s="239"/>
      <c r="AI325" s="239"/>
      <c r="AJ325" s="239"/>
    </row>
    <row r="326">
      <c r="A326" s="239"/>
      <c r="B326" s="239"/>
      <c r="C326" s="239"/>
      <c r="D326" s="239"/>
      <c r="E326" s="239"/>
      <c r="F326" s="283"/>
      <c r="G326" s="239"/>
      <c r="H326" s="239"/>
      <c r="I326" s="239"/>
      <c r="J326" s="239"/>
      <c r="K326" s="239"/>
      <c r="L326" s="239"/>
      <c r="M326" s="239"/>
      <c r="N326" s="239"/>
      <c r="O326" s="239"/>
      <c r="P326" s="246"/>
      <c r="Q326" s="239"/>
      <c r="R326" s="239"/>
      <c r="S326" s="239"/>
      <c r="T326" s="239"/>
      <c r="U326" s="239"/>
      <c r="V326" s="239"/>
      <c r="W326" s="246"/>
      <c r="X326" s="239"/>
      <c r="Y326" s="239"/>
      <c r="Z326" s="239"/>
      <c r="AA326" s="239"/>
      <c r="AB326" s="239"/>
      <c r="AC326" s="239"/>
      <c r="AD326" s="239"/>
      <c r="AE326" s="239"/>
      <c r="AF326" s="239"/>
      <c r="AG326" s="239"/>
      <c r="AH326" s="239"/>
      <c r="AI326" s="239"/>
      <c r="AJ326" s="239"/>
    </row>
    <row r="327">
      <c r="A327" s="239"/>
      <c r="B327" s="239"/>
      <c r="C327" s="239"/>
      <c r="D327" s="239"/>
      <c r="E327" s="239"/>
      <c r="F327" s="283"/>
      <c r="G327" s="239"/>
      <c r="H327" s="239"/>
      <c r="I327" s="239"/>
      <c r="J327" s="239"/>
      <c r="K327" s="239"/>
      <c r="L327" s="239"/>
      <c r="M327" s="239"/>
      <c r="N327" s="239"/>
      <c r="O327" s="239"/>
      <c r="P327" s="246"/>
      <c r="Q327" s="239"/>
      <c r="R327" s="239"/>
      <c r="S327" s="239"/>
      <c r="T327" s="239"/>
      <c r="U327" s="239"/>
      <c r="V327" s="239"/>
      <c r="W327" s="246"/>
      <c r="X327" s="239"/>
      <c r="Y327" s="239"/>
      <c r="Z327" s="239"/>
      <c r="AA327" s="239"/>
      <c r="AB327" s="239"/>
      <c r="AC327" s="239"/>
      <c r="AD327" s="239"/>
      <c r="AE327" s="239"/>
      <c r="AF327" s="239"/>
      <c r="AG327" s="239"/>
      <c r="AH327" s="239"/>
      <c r="AI327" s="239"/>
      <c r="AJ327" s="239"/>
    </row>
    <row r="328">
      <c r="A328" s="239"/>
      <c r="B328" s="239"/>
      <c r="C328" s="239"/>
      <c r="D328" s="239"/>
      <c r="E328" s="239"/>
      <c r="F328" s="283"/>
      <c r="G328" s="239"/>
      <c r="H328" s="239"/>
      <c r="I328" s="239"/>
      <c r="J328" s="239"/>
      <c r="K328" s="239"/>
      <c r="L328" s="239"/>
      <c r="M328" s="239"/>
      <c r="N328" s="239"/>
      <c r="O328" s="239"/>
      <c r="P328" s="246"/>
      <c r="Q328" s="239"/>
      <c r="R328" s="239"/>
      <c r="S328" s="239"/>
      <c r="T328" s="239"/>
      <c r="U328" s="239"/>
      <c r="V328" s="239"/>
      <c r="W328" s="246"/>
      <c r="X328" s="239"/>
      <c r="Y328" s="239"/>
      <c r="Z328" s="239"/>
      <c r="AA328" s="239"/>
      <c r="AB328" s="239"/>
      <c r="AC328" s="239"/>
      <c r="AD328" s="239"/>
      <c r="AE328" s="239"/>
      <c r="AF328" s="239"/>
      <c r="AG328" s="239"/>
      <c r="AH328" s="239"/>
      <c r="AI328" s="239"/>
      <c r="AJ328" s="239"/>
    </row>
    <row r="329">
      <c r="A329" s="239"/>
      <c r="B329" s="239"/>
      <c r="C329" s="239"/>
      <c r="D329" s="239"/>
      <c r="E329" s="239"/>
      <c r="F329" s="283"/>
      <c r="G329" s="239"/>
      <c r="H329" s="239"/>
      <c r="I329" s="239"/>
      <c r="J329" s="239"/>
      <c r="K329" s="239"/>
      <c r="L329" s="239"/>
      <c r="M329" s="239"/>
      <c r="N329" s="239"/>
      <c r="O329" s="239"/>
      <c r="P329" s="246"/>
      <c r="Q329" s="239"/>
      <c r="R329" s="239"/>
      <c r="S329" s="239"/>
      <c r="T329" s="239"/>
      <c r="U329" s="239"/>
      <c r="V329" s="239"/>
      <c r="W329" s="246"/>
      <c r="X329" s="239"/>
      <c r="Y329" s="239"/>
      <c r="Z329" s="239"/>
      <c r="AA329" s="239"/>
      <c r="AB329" s="239"/>
      <c r="AC329" s="239"/>
      <c r="AD329" s="239"/>
      <c r="AE329" s="239"/>
      <c r="AF329" s="239"/>
      <c r="AG329" s="239"/>
      <c r="AH329" s="239"/>
      <c r="AI329" s="239"/>
      <c r="AJ329" s="239"/>
    </row>
    <row r="330">
      <c r="A330" s="239"/>
      <c r="B330" s="239"/>
      <c r="C330" s="239"/>
      <c r="D330" s="239"/>
      <c r="E330" s="239"/>
      <c r="F330" s="283"/>
      <c r="G330" s="239"/>
      <c r="H330" s="239"/>
      <c r="I330" s="239"/>
      <c r="J330" s="239"/>
      <c r="K330" s="239"/>
      <c r="L330" s="239"/>
      <c r="M330" s="239"/>
      <c r="N330" s="239"/>
      <c r="O330" s="239"/>
      <c r="P330" s="246"/>
      <c r="Q330" s="239"/>
      <c r="R330" s="239"/>
      <c r="S330" s="239"/>
      <c r="T330" s="239"/>
      <c r="U330" s="239"/>
      <c r="V330" s="239"/>
      <c r="W330" s="246"/>
      <c r="X330" s="239"/>
      <c r="Y330" s="239"/>
      <c r="Z330" s="239"/>
      <c r="AA330" s="239"/>
      <c r="AB330" s="239"/>
      <c r="AC330" s="239"/>
      <c r="AD330" s="239"/>
      <c r="AE330" s="239"/>
      <c r="AF330" s="239"/>
      <c r="AG330" s="239"/>
      <c r="AH330" s="239"/>
      <c r="AI330" s="239"/>
      <c r="AJ330" s="239"/>
    </row>
    <row r="331">
      <c r="A331" s="239"/>
      <c r="B331" s="239"/>
      <c r="C331" s="239"/>
      <c r="D331" s="239"/>
      <c r="E331" s="239"/>
      <c r="F331" s="283"/>
      <c r="G331" s="239"/>
      <c r="H331" s="239"/>
      <c r="I331" s="239"/>
      <c r="J331" s="239"/>
      <c r="K331" s="239"/>
      <c r="L331" s="239"/>
      <c r="M331" s="239"/>
      <c r="N331" s="239"/>
      <c r="O331" s="239"/>
      <c r="P331" s="246"/>
      <c r="Q331" s="239"/>
      <c r="R331" s="239"/>
      <c r="S331" s="239"/>
      <c r="T331" s="239"/>
      <c r="U331" s="239"/>
      <c r="V331" s="239"/>
      <c r="W331" s="246"/>
      <c r="X331" s="239"/>
      <c r="Y331" s="239"/>
      <c r="Z331" s="239"/>
      <c r="AA331" s="239"/>
      <c r="AB331" s="239"/>
      <c r="AC331" s="239"/>
      <c r="AD331" s="239"/>
      <c r="AE331" s="239"/>
      <c r="AF331" s="239"/>
      <c r="AG331" s="239"/>
      <c r="AH331" s="239"/>
      <c r="AI331" s="239"/>
      <c r="AJ331" s="239"/>
    </row>
    <row r="332">
      <c r="A332" s="239"/>
      <c r="B332" s="239"/>
      <c r="C332" s="239"/>
      <c r="D332" s="239"/>
      <c r="E332" s="239"/>
      <c r="F332" s="283"/>
      <c r="G332" s="239"/>
      <c r="H332" s="239"/>
      <c r="I332" s="239"/>
      <c r="J332" s="239"/>
      <c r="K332" s="239"/>
      <c r="L332" s="239"/>
      <c r="M332" s="239"/>
      <c r="N332" s="239"/>
      <c r="O332" s="239"/>
      <c r="P332" s="246"/>
      <c r="Q332" s="239"/>
      <c r="R332" s="239"/>
      <c r="S332" s="239"/>
      <c r="T332" s="239"/>
      <c r="U332" s="239"/>
      <c r="V332" s="239"/>
      <c r="W332" s="246"/>
      <c r="X332" s="239"/>
      <c r="Y332" s="239"/>
      <c r="Z332" s="239"/>
      <c r="AA332" s="239"/>
      <c r="AB332" s="239"/>
      <c r="AC332" s="239"/>
      <c r="AD332" s="239"/>
      <c r="AE332" s="239"/>
      <c r="AF332" s="239"/>
      <c r="AG332" s="239"/>
      <c r="AH332" s="239"/>
      <c r="AI332" s="239"/>
      <c r="AJ332" s="239"/>
    </row>
    <row r="333">
      <c r="A333" s="239"/>
      <c r="B333" s="239"/>
      <c r="C333" s="239"/>
      <c r="D333" s="239"/>
      <c r="E333" s="239"/>
      <c r="F333" s="283"/>
      <c r="G333" s="239"/>
      <c r="H333" s="239"/>
      <c r="I333" s="239"/>
      <c r="J333" s="239"/>
      <c r="K333" s="239"/>
      <c r="L333" s="239"/>
      <c r="M333" s="239"/>
      <c r="N333" s="239"/>
      <c r="O333" s="239"/>
      <c r="P333" s="246"/>
      <c r="Q333" s="239"/>
      <c r="R333" s="239"/>
      <c r="S333" s="239"/>
      <c r="T333" s="239"/>
      <c r="U333" s="239"/>
      <c r="V333" s="239"/>
      <c r="W333" s="246"/>
      <c r="X333" s="239"/>
      <c r="Y333" s="239"/>
      <c r="Z333" s="239"/>
      <c r="AA333" s="239"/>
      <c r="AB333" s="239"/>
      <c r="AC333" s="239"/>
      <c r="AD333" s="239"/>
      <c r="AE333" s="239"/>
      <c r="AF333" s="239"/>
      <c r="AG333" s="239"/>
      <c r="AH333" s="239"/>
      <c r="AI333" s="239"/>
      <c r="AJ333" s="239"/>
    </row>
    <row r="334">
      <c r="A334" s="239"/>
      <c r="B334" s="239"/>
      <c r="C334" s="239"/>
      <c r="D334" s="239"/>
      <c r="E334" s="239"/>
      <c r="F334" s="283"/>
      <c r="G334" s="239"/>
      <c r="H334" s="239"/>
      <c r="I334" s="239"/>
      <c r="J334" s="239"/>
      <c r="K334" s="239"/>
      <c r="L334" s="239"/>
      <c r="M334" s="239"/>
      <c r="N334" s="239"/>
      <c r="O334" s="239"/>
      <c r="P334" s="246"/>
      <c r="Q334" s="239"/>
      <c r="R334" s="239"/>
      <c r="S334" s="239"/>
      <c r="T334" s="239"/>
      <c r="U334" s="239"/>
      <c r="V334" s="239"/>
      <c r="W334" s="246"/>
      <c r="X334" s="239"/>
      <c r="Y334" s="239"/>
      <c r="Z334" s="239"/>
      <c r="AA334" s="239"/>
      <c r="AB334" s="239"/>
      <c r="AC334" s="239"/>
      <c r="AD334" s="239"/>
      <c r="AE334" s="239"/>
      <c r="AF334" s="239"/>
      <c r="AG334" s="239"/>
      <c r="AH334" s="239"/>
      <c r="AI334" s="239"/>
      <c r="AJ334" s="239"/>
    </row>
    <row r="335">
      <c r="A335" s="239"/>
      <c r="B335" s="239"/>
      <c r="C335" s="239"/>
      <c r="D335" s="239"/>
      <c r="E335" s="239"/>
      <c r="F335" s="283"/>
      <c r="G335" s="239"/>
      <c r="H335" s="239"/>
      <c r="I335" s="239"/>
      <c r="J335" s="239"/>
      <c r="K335" s="239"/>
      <c r="L335" s="239"/>
      <c r="M335" s="239"/>
      <c r="N335" s="239"/>
      <c r="O335" s="239"/>
      <c r="P335" s="246"/>
      <c r="Q335" s="239"/>
      <c r="R335" s="239"/>
      <c r="S335" s="239"/>
      <c r="T335" s="239"/>
      <c r="U335" s="239"/>
      <c r="V335" s="239"/>
      <c r="W335" s="246"/>
      <c r="X335" s="239"/>
      <c r="Y335" s="239"/>
      <c r="Z335" s="239"/>
      <c r="AA335" s="239"/>
      <c r="AB335" s="239"/>
      <c r="AC335" s="239"/>
      <c r="AD335" s="239"/>
      <c r="AE335" s="239"/>
      <c r="AF335" s="239"/>
      <c r="AG335" s="239"/>
      <c r="AH335" s="239"/>
      <c r="AI335" s="239"/>
      <c r="AJ335" s="239"/>
    </row>
    <row r="336">
      <c r="A336" s="239"/>
      <c r="B336" s="239"/>
      <c r="C336" s="239"/>
      <c r="D336" s="239"/>
      <c r="E336" s="239"/>
      <c r="F336" s="283"/>
      <c r="G336" s="239"/>
      <c r="H336" s="239"/>
      <c r="I336" s="239"/>
      <c r="J336" s="239"/>
      <c r="K336" s="239"/>
      <c r="L336" s="239"/>
      <c r="M336" s="239"/>
      <c r="N336" s="239"/>
      <c r="O336" s="239"/>
      <c r="P336" s="246"/>
      <c r="Q336" s="239"/>
      <c r="R336" s="239"/>
      <c r="S336" s="239"/>
      <c r="T336" s="239"/>
      <c r="U336" s="239"/>
      <c r="V336" s="239"/>
      <c r="W336" s="246"/>
      <c r="X336" s="239"/>
      <c r="Y336" s="239"/>
      <c r="Z336" s="239"/>
      <c r="AA336" s="239"/>
      <c r="AB336" s="239"/>
      <c r="AC336" s="239"/>
      <c r="AD336" s="239"/>
      <c r="AE336" s="239"/>
      <c r="AF336" s="239"/>
      <c r="AG336" s="239"/>
      <c r="AH336" s="239"/>
      <c r="AI336" s="239"/>
      <c r="AJ336" s="239"/>
    </row>
    <row r="337">
      <c r="A337" s="239"/>
      <c r="B337" s="239"/>
      <c r="C337" s="239"/>
      <c r="D337" s="239"/>
      <c r="E337" s="239"/>
      <c r="F337" s="283"/>
      <c r="G337" s="239"/>
      <c r="H337" s="239"/>
      <c r="I337" s="239"/>
      <c r="J337" s="239"/>
      <c r="K337" s="239"/>
      <c r="L337" s="239"/>
      <c r="M337" s="239"/>
      <c r="N337" s="239"/>
      <c r="O337" s="239"/>
      <c r="P337" s="246"/>
      <c r="Q337" s="239"/>
      <c r="R337" s="239"/>
      <c r="S337" s="239"/>
      <c r="T337" s="239"/>
      <c r="U337" s="239"/>
      <c r="V337" s="239"/>
      <c r="W337" s="246"/>
      <c r="X337" s="239"/>
      <c r="Y337" s="239"/>
      <c r="Z337" s="239"/>
      <c r="AA337" s="239"/>
      <c r="AB337" s="239"/>
      <c r="AC337" s="239"/>
      <c r="AD337" s="239"/>
      <c r="AE337" s="239"/>
      <c r="AF337" s="239"/>
      <c r="AG337" s="239"/>
      <c r="AH337" s="239"/>
      <c r="AI337" s="239"/>
      <c r="AJ337" s="239"/>
    </row>
    <row r="338">
      <c r="A338" s="239"/>
      <c r="B338" s="239"/>
      <c r="C338" s="239"/>
      <c r="D338" s="239"/>
      <c r="E338" s="239"/>
      <c r="F338" s="283"/>
      <c r="G338" s="239"/>
      <c r="H338" s="239"/>
      <c r="I338" s="239"/>
      <c r="J338" s="239"/>
      <c r="K338" s="239"/>
      <c r="L338" s="239"/>
      <c r="M338" s="239"/>
      <c r="N338" s="239"/>
      <c r="O338" s="239"/>
      <c r="P338" s="246"/>
      <c r="Q338" s="239"/>
      <c r="R338" s="239"/>
      <c r="S338" s="239"/>
      <c r="T338" s="239"/>
      <c r="U338" s="239"/>
      <c r="V338" s="239"/>
      <c r="W338" s="246"/>
      <c r="X338" s="239"/>
      <c r="Y338" s="239"/>
      <c r="Z338" s="239"/>
      <c r="AA338" s="239"/>
      <c r="AB338" s="239"/>
      <c r="AC338" s="239"/>
      <c r="AD338" s="239"/>
      <c r="AE338" s="239"/>
      <c r="AF338" s="239"/>
      <c r="AG338" s="239"/>
      <c r="AH338" s="239"/>
      <c r="AI338" s="239"/>
      <c r="AJ338" s="239"/>
    </row>
    <row r="339">
      <c r="A339" s="239"/>
      <c r="B339" s="239"/>
      <c r="C339" s="239"/>
      <c r="D339" s="239"/>
      <c r="E339" s="239"/>
      <c r="F339" s="283"/>
      <c r="G339" s="239"/>
      <c r="H339" s="239"/>
      <c r="I339" s="239"/>
      <c r="J339" s="239"/>
      <c r="K339" s="239"/>
      <c r="L339" s="239"/>
      <c r="M339" s="239"/>
      <c r="N339" s="239"/>
      <c r="O339" s="239"/>
      <c r="P339" s="246"/>
      <c r="Q339" s="239"/>
      <c r="R339" s="239"/>
      <c r="S339" s="239"/>
      <c r="T339" s="239"/>
      <c r="U339" s="239"/>
      <c r="V339" s="239"/>
      <c r="W339" s="246"/>
      <c r="X339" s="239"/>
      <c r="Y339" s="239"/>
      <c r="Z339" s="239"/>
      <c r="AA339" s="239"/>
      <c r="AB339" s="239"/>
      <c r="AC339" s="239"/>
      <c r="AD339" s="239"/>
      <c r="AE339" s="239"/>
      <c r="AF339" s="239"/>
      <c r="AG339" s="239"/>
      <c r="AH339" s="239"/>
      <c r="AI339" s="239"/>
      <c r="AJ339" s="239"/>
    </row>
    <row r="340">
      <c r="A340" s="239"/>
      <c r="B340" s="239"/>
      <c r="C340" s="239"/>
      <c r="D340" s="239"/>
      <c r="E340" s="239"/>
      <c r="F340" s="283"/>
      <c r="G340" s="239"/>
      <c r="H340" s="239"/>
      <c r="I340" s="239"/>
      <c r="J340" s="239"/>
      <c r="K340" s="239"/>
      <c r="L340" s="239"/>
      <c r="M340" s="239"/>
      <c r="N340" s="239"/>
      <c r="O340" s="239"/>
      <c r="P340" s="246"/>
      <c r="Q340" s="239"/>
      <c r="R340" s="239"/>
      <c r="S340" s="239"/>
      <c r="T340" s="239"/>
      <c r="U340" s="239"/>
      <c r="V340" s="239"/>
      <c r="W340" s="246"/>
      <c r="X340" s="239"/>
      <c r="Y340" s="239"/>
      <c r="Z340" s="239"/>
      <c r="AA340" s="239"/>
      <c r="AB340" s="239"/>
      <c r="AC340" s="239"/>
      <c r="AD340" s="239"/>
      <c r="AE340" s="239"/>
      <c r="AF340" s="239"/>
      <c r="AG340" s="239"/>
      <c r="AH340" s="239"/>
      <c r="AI340" s="239"/>
      <c r="AJ340" s="239"/>
    </row>
    <row r="341">
      <c r="A341" s="239"/>
      <c r="B341" s="239"/>
      <c r="C341" s="239"/>
      <c r="D341" s="239"/>
      <c r="E341" s="239"/>
      <c r="F341" s="283"/>
      <c r="G341" s="239"/>
      <c r="H341" s="239"/>
      <c r="I341" s="239"/>
      <c r="J341" s="239"/>
      <c r="K341" s="239"/>
      <c r="L341" s="239"/>
      <c r="M341" s="239"/>
      <c r="N341" s="239"/>
      <c r="O341" s="239"/>
      <c r="P341" s="246"/>
      <c r="Q341" s="239"/>
      <c r="R341" s="239"/>
      <c r="S341" s="239"/>
      <c r="T341" s="239"/>
      <c r="U341" s="239"/>
      <c r="V341" s="239"/>
      <c r="W341" s="246"/>
      <c r="X341" s="239"/>
      <c r="Y341" s="239"/>
      <c r="Z341" s="239"/>
      <c r="AA341" s="239"/>
      <c r="AB341" s="239"/>
      <c r="AC341" s="239"/>
      <c r="AD341" s="239"/>
      <c r="AE341" s="239"/>
      <c r="AF341" s="239"/>
      <c r="AG341" s="239"/>
      <c r="AH341" s="239"/>
      <c r="AI341" s="239"/>
      <c r="AJ341" s="239"/>
    </row>
    <row r="342">
      <c r="A342" s="239"/>
      <c r="B342" s="239"/>
      <c r="C342" s="239"/>
      <c r="D342" s="239"/>
      <c r="E342" s="239"/>
      <c r="F342" s="283"/>
      <c r="G342" s="239"/>
      <c r="H342" s="239"/>
      <c r="I342" s="239"/>
      <c r="J342" s="239"/>
      <c r="K342" s="239"/>
      <c r="L342" s="239"/>
      <c r="M342" s="239"/>
      <c r="N342" s="239"/>
      <c r="O342" s="239"/>
      <c r="P342" s="246"/>
      <c r="Q342" s="239"/>
      <c r="R342" s="239"/>
      <c r="S342" s="239"/>
      <c r="T342" s="239"/>
      <c r="U342" s="239"/>
      <c r="V342" s="239"/>
      <c r="W342" s="246"/>
      <c r="X342" s="239"/>
      <c r="Y342" s="239"/>
      <c r="Z342" s="239"/>
      <c r="AA342" s="239"/>
      <c r="AB342" s="239"/>
      <c r="AC342" s="239"/>
      <c r="AD342" s="239"/>
      <c r="AE342" s="239"/>
      <c r="AF342" s="239"/>
      <c r="AG342" s="239"/>
      <c r="AH342" s="239"/>
      <c r="AI342" s="239"/>
      <c r="AJ342" s="239"/>
    </row>
    <row r="343">
      <c r="A343" s="239"/>
      <c r="B343" s="239"/>
      <c r="C343" s="239"/>
      <c r="D343" s="239"/>
      <c r="E343" s="239"/>
      <c r="F343" s="283"/>
      <c r="G343" s="239"/>
      <c r="H343" s="239"/>
      <c r="I343" s="239"/>
      <c r="J343" s="239"/>
      <c r="K343" s="239"/>
      <c r="L343" s="239"/>
      <c r="M343" s="239"/>
      <c r="N343" s="239"/>
      <c r="O343" s="239"/>
      <c r="P343" s="246"/>
      <c r="Q343" s="239"/>
      <c r="R343" s="239"/>
      <c r="S343" s="239"/>
      <c r="T343" s="239"/>
      <c r="U343" s="239"/>
      <c r="V343" s="239"/>
      <c r="W343" s="246"/>
      <c r="X343" s="239"/>
      <c r="Y343" s="239"/>
      <c r="Z343" s="239"/>
      <c r="AA343" s="239"/>
      <c r="AB343" s="239"/>
      <c r="AC343" s="239"/>
      <c r="AD343" s="239"/>
      <c r="AE343" s="239"/>
      <c r="AF343" s="239"/>
      <c r="AG343" s="239"/>
      <c r="AH343" s="239"/>
      <c r="AI343" s="239"/>
      <c r="AJ343" s="239"/>
    </row>
    <row r="344">
      <c r="A344" s="239"/>
      <c r="B344" s="239"/>
      <c r="C344" s="239"/>
      <c r="D344" s="239"/>
      <c r="E344" s="239"/>
      <c r="F344" s="283"/>
      <c r="G344" s="239"/>
      <c r="H344" s="239"/>
      <c r="I344" s="239"/>
      <c r="J344" s="239"/>
      <c r="K344" s="239"/>
      <c r="L344" s="239"/>
      <c r="M344" s="239"/>
      <c r="N344" s="239"/>
      <c r="O344" s="239"/>
      <c r="P344" s="246"/>
      <c r="Q344" s="239"/>
      <c r="R344" s="239"/>
      <c r="S344" s="239"/>
      <c r="T344" s="239"/>
      <c r="U344" s="239"/>
      <c r="V344" s="239"/>
      <c r="W344" s="246"/>
      <c r="X344" s="239"/>
      <c r="Y344" s="239"/>
      <c r="Z344" s="239"/>
      <c r="AA344" s="239"/>
      <c r="AB344" s="239"/>
      <c r="AC344" s="239"/>
      <c r="AD344" s="239"/>
      <c r="AE344" s="239"/>
      <c r="AF344" s="239"/>
      <c r="AG344" s="239"/>
      <c r="AH344" s="239"/>
      <c r="AI344" s="239"/>
      <c r="AJ344" s="239"/>
    </row>
    <row r="345">
      <c r="A345" s="239"/>
      <c r="B345" s="239"/>
      <c r="C345" s="239"/>
      <c r="D345" s="239"/>
      <c r="E345" s="239"/>
      <c r="F345" s="283"/>
      <c r="G345" s="239"/>
      <c r="H345" s="239"/>
      <c r="I345" s="239"/>
      <c r="J345" s="239"/>
      <c r="K345" s="239"/>
      <c r="L345" s="239"/>
      <c r="M345" s="239"/>
      <c r="N345" s="239"/>
      <c r="O345" s="239"/>
      <c r="P345" s="246"/>
      <c r="Q345" s="239"/>
      <c r="R345" s="239"/>
      <c r="S345" s="239"/>
      <c r="T345" s="239"/>
      <c r="U345" s="239"/>
      <c r="V345" s="239"/>
      <c r="W345" s="246"/>
      <c r="X345" s="239"/>
      <c r="Y345" s="239"/>
      <c r="Z345" s="239"/>
      <c r="AA345" s="239"/>
      <c r="AB345" s="239"/>
      <c r="AC345" s="239"/>
      <c r="AD345" s="239"/>
      <c r="AE345" s="239"/>
      <c r="AF345" s="239"/>
      <c r="AG345" s="239"/>
      <c r="AH345" s="239"/>
      <c r="AI345" s="239"/>
      <c r="AJ345" s="239"/>
    </row>
    <row r="346">
      <c r="A346" s="239"/>
      <c r="B346" s="239"/>
      <c r="C346" s="239"/>
      <c r="D346" s="239"/>
      <c r="E346" s="239"/>
      <c r="F346" s="283"/>
      <c r="G346" s="239"/>
      <c r="H346" s="239"/>
      <c r="I346" s="239"/>
      <c r="J346" s="239"/>
      <c r="K346" s="239"/>
      <c r="L346" s="239"/>
      <c r="M346" s="239"/>
      <c r="N346" s="239"/>
      <c r="O346" s="239"/>
      <c r="P346" s="246"/>
      <c r="Q346" s="239"/>
      <c r="R346" s="239"/>
      <c r="S346" s="239"/>
      <c r="T346" s="239"/>
      <c r="U346" s="239"/>
      <c r="V346" s="239"/>
      <c r="W346" s="246"/>
      <c r="X346" s="239"/>
      <c r="Y346" s="239"/>
      <c r="Z346" s="239"/>
      <c r="AA346" s="239"/>
      <c r="AB346" s="239"/>
      <c r="AC346" s="239"/>
      <c r="AD346" s="239"/>
      <c r="AE346" s="239"/>
      <c r="AF346" s="239"/>
      <c r="AG346" s="239"/>
      <c r="AH346" s="239"/>
      <c r="AI346" s="239"/>
      <c r="AJ346" s="239"/>
    </row>
    <row r="347">
      <c r="A347" s="239"/>
      <c r="B347" s="239"/>
      <c r="C347" s="239"/>
      <c r="D347" s="239"/>
      <c r="E347" s="239"/>
      <c r="F347" s="283"/>
      <c r="G347" s="239"/>
      <c r="H347" s="239"/>
      <c r="I347" s="239"/>
      <c r="J347" s="239"/>
      <c r="K347" s="239"/>
      <c r="L347" s="239"/>
      <c r="M347" s="239"/>
      <c r="N347" s="239"/>
      <c r="O347" s="239"/>
      <c r="P347" s="246"/>
      <c r="Q347" s="239"/>
      <c r="R347" s="239"/>
      <c r="S347" s="239"/>
      <c r="T347" s="239"/>
      <c r="U347" s="239"/>
      <c r="V347" s="239"/>
      <c r="W347" s="246"/>
      <c r="X347" s="239"/>
      <c r="Y347" s="239"/>
      <c r="Z347" s="239"/>
      <c r="AA347" s="239"/>
      <c r="AB347" s="239"/>
      <c r="AC347" s="239"/>
      <c r="AD347" s="239"/>
      <c r="AE347" s="239"/>
      <c r="AF347" s="239"/>
      <c r="AG347" s="239"/>
      <c r="AH347" s="239"/>
      <c r="AI347" s="239"/>
      <c r="AJ347" s="239"/>
    </row>
    <row r="348">
      <c r="A348" s="239"/>
      <c r="B348" s="239"/>
      <c r="C348" s="239"/>
      <c r="D348" s="239"/>
      <c r="E348" s="239"/>
      <c r="F348" s="283"/>
      <c r="G348" s="239"/>
      <c r="H348" s="239"/>
      <c r="I348" s="239"/>
      <c r="J348" s="239"/>
      <c r="K348" s="239"/>
      <c r="L348" s="239"/>
      <c r="M348" s="239"/>
      <c r="N348" s="239"/>
      <c r="O348" s="239"/>
      <c r="P348" s="246"/>
      <c r="Q348" s="239"/>
      <c r="R348" s="239"/>
      <c r="S348" s="239"/>
      <c r="T348" s="239"/>
      <c r="U348" s="239"/>
      <c r="V348" s="239"/>
      <c r="W348" s="246"/>
      <c r="X348" s="239"/>
      <c r="Y348" s="239"/>
      <c r="Z348" s="239"/>
      <c r="AA348" s="239"/>
      <c r="AB348" s="239"/>
      <c r="AC348" s="239"/>
      <c r="AD348" s="239"/>
      <c r="AE348" s="239"/>
      <c r="AF348" s="239"/>
      <c r="AG348" s="239"/>
      <c r="AH348" s="239"/>
      <c r="AI348" s="239"/>
      <c r="AJ348" s="239"/>
    </row>
    <row r="349">
      <c r="A349" s="239"/>
      <c r="B349" s="239"/>
      <c r="C349" s="239"/>
      <c r="D349" s="239"/>
      <c r="E349" s="239"/>
      <c r="F349" s="283"/>
      <c r="G349" s="239"/>
      <c r="H349" s="239"/>
      <c r="I349" s="239"/>
      <c r="J349" s="239"/>
      <c r="K349" s="239"/>
      <c r="L349" s="239"/>
      <c r="M349" s="239"/>
      <c r="N349" s="239"/>
      <c r="O349" s="239"/>
      <c r="P349" s="246"/>
      <c r="Q349" s="239"/>
      <c r="R349" s="239"/>
      <c r="S349" s="239"/>
      <c r="T349" s="239"/>
      <c r="U349" s="239"/>
      <c r="V349" s="239"/>
      <c r="W349" s="246"/>
      <c r="X349" s="239"/>
      <c r="Y349" s="239"/>
      <c r="Z349" s="239"/>
      <c r="AA349" s="239"/>
      <c r="AB349" s="239"/>
      <c r="AC349" s="239"/>
      <c r="AD349" s="239"/>
      <c r="AE349" s="239"/>
      <c r="AF349" s="239"/>
      <c r="AG349" s="239"/>
      <c r="AH349" s="239"/>
      <c r="AI349" s="239"/>
      <c r="AJ349" s="239"/>
    </row>
    <row r="350">
      <c r="A350" s="239"/>
      <c r="B350" s="239"/>
      <c r="C350" s="239"/>
      <c r="D350" s="239"/>
      <c r="E350" s="239"/>
      <c r="F350" s="283"/>
      <c r="G350" s="239"/>
      <c r="H350" s="239"/>
      <c r="I350" s="239"/>
      <c r="J350" s="239"/>
      <c r="K350" s="239"/>
      <c r="L350" s="239"/>
      <c r="M350" s="239"/>
      <c r="N350" s="239"/>
      <c r="O350" s="239"/>
      <c r="P350" s="246"/>
      <c r="Q350" s="239"/>
      <c r="R350" s="239"/>
      <c r="S350" s="239"/>
      <c r="T350" s="239"/>
      <c r="U350" s="239"/>
      <c r="V350" s="239"/>
      <c r="W350" s="246"/>
      <c r="X350" s="239"/>
      <c r="Y350" s="239"/>
      <c r="Z350" s="239"/>
      <c r="AA350" s="239"/>
      <c r="AB350" s="239"/>
      <c r="AC350" s="239"/>
      <c r="AD350" s="239"/>
      <c r="AE350" s="239"/>
      <c r="AF350" s="239"/>
      <c r="AG350" s="239"/>
      <c r="AH350" s="239"/>
      <c r="AI350" s="239"/>
      <c r="AJ350" s="239"/>
    </row>
    <row r="351">
      <c r="A351" s="239"/>
      <c r="B351" s="239"/>
      <c r="C351" s="239"/>
      <c r="D351" s="239"/>
      <c r="E351" s="239"/>
      <c r="F351" s="283"/>
      <c r="G351" s="239"/>
      <c r="H351" s="239"/>
      <c r="I351" s="239"/>
      <c r="J351" s="239"/>
      <c r="K351" s="239"/>
      <c r="L351" s="239"/>
      <c r="M351" s="239"/>
      <c r="N351" s="239"/>
      <c r="O351" s="239"/>
      <c r="P351" s="246"/>
      <c r="Q351" s="239"/>
      <c r="R351" s="239"/>
      <c r="S351" s="239"/>
      <c r="T351" s="239"/>
      <c r="U351" s="239"/>
      <c r="V351" s="239"/>
      <c r="W351" s="246"/>
      <c r="X351" s="239"/>
      <c r="Y351" s="239"/>
      <c r="Z351" s="239"/>
      <c r="AA351" s="239"/>
      <c r="AB351" s="239"/>
      <c r="AC351" s="239"/>
      <c r="AD351" s="239"/>
      <c r="AE351" s="239"/>
      <c r="AF351" s="239"/>
      <c r="AG351" s="239"/>
      <c r="AH351" s="239"/>
      <c r="AI351" s="239"/>
      <c r="AJ351" s="239"/>
    </row>
    <row r="352">
      <c r="A352" s="239"/>
      <c r="B352" s="239"/>
      <c r="C352" s="239"/>
      <c r="D352" s="239"/>
      <c r="E352" s="239"/>
      <c r="F352" s="283"/>
      <c r="G352" s="239"/>
      <c r="H352" s="239"/>
      <c r="I352" s="239"/>
      <c r="J352" s="239"/>
      <c r="K352" s="239"/>
      <c r="L352" s="239"/>
      <c r="M352" s="239"/>
      <c r="N352" s="239"/>
      <c r="O352" s="239"/>
      <c r="P352" s="246"/>
      <c r="Q352" s="239"/>
      <c r="R352" s="239"/>
      <c r="S352" s="239"/>
      <c r="T352" s="239"/>
      <c r="U352" s="239"/>
      <c r="V352" s="239"/>
      <c r="W352" s="246"/>
      <c r="X352" s="239"/>
      <c r="Y352" s="239"/>
      <c r="Z352" s="239"/>
      <c r="AA352" s="239"/>
      <c r="AB352" s="239"/>
      <c r="AC352" s="239"/>
      <c r="AD352" s="239"/>
      <c r="AE352" s="239"/>
      <c r="AF352" s="239"/>
      <c r="AG352" s="239"/>
      <c r="AH352" s="239"/>
      <c r="AI352" s="239"/>
      <c r="AJ352" s="239"/>
    </row>
    <row r="353">
      <c r="A353" s="239"/>
      <c r="B353" s="239"/>
      <c r="C353" s="239"/>
      <c r="D353" s="239"/>
      <c r="E353" s="239"/>
      <c r="F353" s="283"/>
      <c r="G353" s="239"/>
      <c r="H353" s="239"/>
      <c r="I353" s="239"/>
      <c r="J353" s="239"/>
      <c r="K353" s="239"/>
      <c r="L353" s="239"/>
      <c r="M353" s="239"/>
      <c r="N353" s="239"/>
      <c r="O353" s="239"/>
      <c r="P353" s="246"/>
      <c r="Q353" s="239"/>
      <c r="R353" s="239"/>
      <c r="S353" s="239"/>
      <c r="T353" s="239"/>
      <c r="U353" s="239"/>
      <c r="V353" s="239"/>
      <c r="W353" s="246"/>
      <c r="X353" s="239"/>
      <c r="Y353" s="239"/>
      <c r="Z353" s="239"/>
      <c r="AA353" s="239"/>
      <c r="AB353" s="239"/>
      <c r="AC353" s="239"/>
      <c r="AD353" s="239"/>
      <c r="AE353" s="239"/>
      <c r="AF353" s="239"/>
      <c r="AG353" s="239"/>
      <c r="AH353" s="239"/>
      <c r="AI353" s="239"/>
      <c r="AJ353" s="239"/>
    </row>
    <row r="354">
      <c r="A354" s="239"/>
      <c r="B354" s="239"/>
      <c r="C354" s="239"/>
      <c r="D354" s="239"/>
      <c r="E354" s="239"/>
      <c r="F354" s="283"/>
      <c r="G354" s="239"/>
      <c r="H354" s="239"/>
      <c r="I354" s="239"/>
      <c r="J354" s="239"/>
      <c r="K354" s="239"/>
      <c r="L354" s="239"/>
      <c r="M354" s="239"/>
      <c r="N354" s="239"/>
      <c r="O354" s="239"/>
      <c r="P354" s="246"/>
      <c r="Q354" s="239"/>
      <c r="R354" s="239"/>
      <c r="S354" s="239"/>
      <c r="T354" s="239"/>
      <c r="U354" s="239"/>
      <c r="V354" s="239"/>
      <c r="W354" s="246"/>
      <c r="X354" s="239"/>
      <c r="Y354" s="239"/>
      <c r="Z354" s="239"/>
      <c r="AA354" s="239"/>
      <c r="AB354" s="239"/>
      <c r="AC354" s="239"/>
      <c r="AD354" s="239"/>
      <c r="AE354" s="239"/>
      <c r="AF354" s="239"/>
      <c r="AG354" s="239"/>
      <c r="AH354" s="239"/>
      <c r="AI354" s="239"/>
      <c r="AJ354" s="239"/>
    </row>
    <row r="355">
      <c r="A355" s="239"/>
      <c r="B355" s="239"/>
      <c r="C355" s="239"/>
      <c r="D355" s="239"/>
      <c r="E355" s="239"/>
      <c r="F355" s="283"/>
      <c r="G355" s="239"/>
      <c r="H355" s="239"/>
      <c r="I355" s="239"/>
      <c r="J355" s="239"/>
      <c r="K355" s="239"/>
      <c r="L355" s="239"/>
      <c r="M355" s="239"/>
      <c r="N355" s="239"/>
      <c r="O355" s="239"/>
      <c r="P355" s="246"/>
      <c r="Q355" s="239"/>
      <c r="R355" s="239"/>
      <c r="S355" s="239"/>
      <c r="T355" s="239"/>
      <c r="U355" s="239"/>
      <c r="V355" s="239"/>
      <c r="W355" s="246"/>
      <c r="X355" s="239"/>
      <c r="Y355" s="239"/>
      <c r="Z355" s="239"/>
      <c r="AA355" s="239"/>
      <c r="AB355" s="239"/>
      <c r="AC355" s="239"/>
      <c r="AD355" s="239"/>
      <c r="AE355" s="239"/>
      <c r="AF355" s="239"/>
      <c r="AG355" s="239"/>
      <c r="AH355" s="239"/>
      <c r="AI355" s="239"/>
      <c r="AJ355" s="239"/>
    </row>
    <row r="356">
      <c r="A356" s="239"/>
      <c r="B356" s="239"/>
      <c r="C356" s="239"/>
      <c r="D356" s="239"/>
      <c r="E356" s="239"/>
      <c r="F356" s="283"/>
      <c r="G356" s="239"/>
      <c r="H356" s="239"/>
      <c r="I356" s="239"/>
      <c r="J356" s="239"/>
      <c r="K356" s="239"/>
      <c r="L356" s="239"/>
      <c r="M356" s="239"/>
      <c r="N356" s="239"/>
      <c r="O356" s="239"/>
      <c r="P356" s="246"/>
      <c r="Q356" s="239"/>
      <c r="R356" s="239"/>
      <c r="S356" s="239"/>
      <c r="T356" s="239"/>
      <c r="U356" s="239"/>
      <c r="V356" s="239"/>
      <c r="W356" s="246"/>
      <c r="X356" s="239"/>
      <c r="Y356" s="239"/>
      <c r="Z356" s="239"/>
      <c r="AA356" s="239"/>
      <c r="AB356" s="239"/>
      <c r="AC356" s="239"/>
      <c r="AD356" s="239"/>
      <c r="AE356" s="239"/>
      <c r="AF356" s="239"/>
      <c r="AG356" s="239"/>
      <c r="AH356" s="239"/>
      <c r="AI356" s="239"/>
      <c r="AJ356" s="239"/>
    </row>
    <row r="357">
      <c r="A357" s="239"/>
      <c r="B357" s="239"/>
      <c r="C357" s="239"/>
      <c r="D357" s="239"/>
      <c r="E357" s="239"/>
      <c r="F357" s="283"/>
      <c r="G357" s="239"/>
      <c r="H357" s="239"/>
      <c r="I357" s="239"/>
      <c r="J357" s="239"/>
      <c r="K357" s="239"/>
      <c r="L357" s="239"/>
      <c r="M357" s="239"/>
      <c r="N357" s="239"/>
      <c r="O357" s="239"/>
      <c r="P357" s="246"/>
      <c r="Q357" s="239"/>
      <c r="R357" s="239"/>
      <c r="S357" s="239"/>
      <c r="T357" s="239"/>
      <c r="U357" s="239"/>
      <c r="V357" s="239"/>
      <c r="W357" s="246"/>
      <c r="X357" s="239"/>
      <c r="Y357" s="239"/>
      <c r="Z357" s="239"/>
      <c r="AA357" s="239"/>
      <c r="AB357" s="239"/>
      <c r="AC357" s="239"/>
      <c r="AD357" s="239"/>
      <c r="AE357" s="239"/>
      <c r="AF357" s="239"/>
      <c r="AG357" s="239"/>
      <c r="AH357" s="239"/>
      <c r="AI357" s="239"/>
      <c r="AJ357" s="239"/>
    </row>
    <row r="358">
      <c r="A358" s="239"/>
      <c r="B358" s="239"/>
      <c r="C358" s="239"/>
      <c r="D358" s="239"/>
      <c r="E358" s="239"/>
      <c r="F358" s="283"/>
      <c r="G358" s="239"/>
      <c r="H358" s="239"/>
      <c r="I358" s="239"/>
      <c r="J358" s="239"/>
      <c r="K358" s="239"/>
      <c r="L358" s="239"/>
      <c r="M358" s="239"/>
      <c r="N358" s="239"/>
      <c r="O358" s="239"/>
      <c r="P358" s="246"/>
      <c r="Q358" s="239"/>
      <c r="R358" s="239"/>
      <c r="S358" s="239"/>
      <c r="T358" s="239"/>
      <c r="U358" s="239"/>
      <c r="V358" s="239"/>
      <c r="W358" s="246"/>
      <c r="X358" s="239"/>
      <c r="Y358" s="239"/>
      <c r="Z358" s="239"/>
      <c r="AA358" s="239"/>
      <c r="AB358" s="239"/>
      <c r="AC358" s="239"/>
      <c r="AD358" s="239"/>
      <c r="AE358" s="239"/>
      <c r="AF358" s="239"/>
      <c r="AG358" s="239"/>
      <c r="AH358" s="239"/>
      <c r="AI358" s="239"/>
      <c r="AJ358" s="239"/>
    </row>
    <row r="359">
      <c r="A359" s="239"/>
      <c r="B359" s="239"/>
      <c r="C359" s="239"/>
      <c r="D359" s="239"/>
      <c r="E359" s="239"/>
      <c r="F359" s="283"/>
      <c r="G359" s="239"/>
      <c r="H359" s="239"/>
      <c r="I359" s="239"/>
      <c r="J359" s="239"/>
      <c r="K359" s="239"/>
      <c r="L359" s="239"/>
      <c r="M359" s="239"/>
      <c r="N359" s="239"/>
      <c r="O359" s="239"/>
      <c r="P359" s="246"/>
      <c r="Q359" s="239"/>
      <c r="R359" s="239"/>
      <c r="S359" s="239"/>
      <c r="T359" s="239"/>
      <c r="U359" s="239"/>
      <c r="V359" s="239"/>
      <c r="W359" s="246"/>
      <c r="X359" s="239"/>
      <c r="Y359" s="239"/>
      <c r="Z359" s="239"/>
      <c r="AA359" s="239"/>
      <c r="AB359" s="239"/>
      <c r="AC359" s="239"/>
      <c r="AD359" s="239"/>
      <c r="AE359" s="239"/>
      <c r="AF359" s="239"/>
      <c r="AG359" s="239"/>
      <c r="AH359" s="239"/>
      <c r="AI359" s="239"/>
      <c r="AJ359" s="239"/>
    </row>
    <row r="360">
      <c r="A360" s="239"/>
      <c r="B360" s="239"/>
      <c r="C360" s="239"/>
      <c r="D360" s="239"/>
      <c r="E360" s="239"/>
      <c r="F360" s="283"/>
      <c r="G360" s="239"/>
      <c r="H360" s="239"/>
      <c r="I360" s="239"/>
      <c r="J360" s="239"/>
      <c r="K360" s="239"/>
      <c r="L360" s="239"/>
      <c r="M360" s="239"/>
      <c r="N360" s="239"/>
      <c r="O360" s="239"/>
      <c r="P360" s="246"/>
      <c r="Q360" s="239"/>
      <c r="R360" s="239"/>
      <c r="S360" s="239"/>
      <c r="T360" s="239"/>
      <c r="U360" s="239"/>
      <c r="V360" s="239"/>
      <c r="W360" s="246"/>
      <c r="X360" s="239"/>
      <c r="Y360" s="239"/>
      <c r="Z360" s="239"/>
      <c r="AA360" s="239"/>
      <c r="AB360" s="239"/>
      <c r="AC360" s="239"/>
      <c r="AD360" s="239"/>
      <c r="AE360" s="239"/>
      <c r="AF360" s="239"/>
      <c r="AG360" s="239"/>
      <c r="AH360" s="239"/>
      <c r="AI360" s="239"/>
      <c r="AJ360" s="239"/>
    </row>
    <row r="361">
      <c r="A361" s="239"/>
      <c r="B361" s="239"/>
      <c r="C361" s="239"/>
      <c r="D361" s="239"/>
      <c r="E361" s="239"/>
      <c r="F361" s="283"/>
      <c r="G361" s="239"/>
      <c r="H361" s="239"/>
      <c r="I361" s="239"/>
      <c r="J361" s="239"/>
      <c r="K361" s="239"/>
      <c r="L361" s="239"/>
      <c r="M361" s="239"/>
      <c r="N361" s="239"/>
      <c r="O361" s="239"/>
      <c r="P361" s="246"/>
      <c r="Q361" s="239"/>
      <c r="R361" s="239"/>
      <c r="S361" s="239"/>
      <c r="T361" s="239"/>
      <c r="U361" s="239"/>
      <c r="V361" s="239"/>
      <c r="W361" s="246"/>
      <c r="X361" s="239"/>
      <c r="Y361" s="239"/>
      <c r="Z361" s="239"/>
      <c r="AA361" s="239"/>
      <c r="AB361" s="239"/>
      <c r="AC361" s="239"/>
      <c r="AD361" s="239"/>
      <c r="AE361" s="239"/>
      <c r="AF361" s="239"/>
      <c r="AG361" s="239"/>
      <c r="AH361" s="239"/>
      <c r="AI361" s="239"/>
      <c r="AJ361" s="239"/>
    </row>
    <row r="362">
      <c r="A362" s="239"/>
      <c r="B362" s="239"/>
      <c r="C362" s="239"/>
      <c r="D362" s="239"/>
      <c r="E362" s="239"/>
      <c r="F362" s="283"/>
      <c r="G362" s="239"/>
      <c r="H362" s="239"/>
      <c r="I362" s="239"/>
      <c r="J362" s="239"/>
      <c r="K362" s="239"/>
      <c r="L362" s="239"/>
      <c r="M362" s="239"/>
      <c r="N362" s="239"/>
      <c r="O362" s="239"/>
      <c r="P362" s="246"/>
      <c r="Q362" s="239"/>
      <c r="R362" s="239"/>
      <c r="S362" s="239"/>
      <c r="T362" s="239"/>
      <c r="U362" s="239"/>
      <c r="V362" s="239"/>
      <c r="W362" s="246"/>
      <c r="X362" s="239"/>
      <c r="Y362" s="239"/>
      <c r="Z362" s="239"/>
      <c r="AA362" s="239"/>
      <c r="AB362" s="239"/>
      <c r="AC362" s="239"/>
      <c r="AD362" s="239"/>
      <c r="AE362" s="239"/>
      <c r="AF362" s="239"/>
      <c r="AG362" s="239"/>
      <c r="AH362" s="239"/>
      <c r="AI362" s="239"/>
      <c r="AJ362" s="239"/>
    </row>
    <row r="363">
      <c r="A363" s="239"/>
      <c r="B363" s="239"/>
      <c r="C363" s="239"/>
      <c r="D363" s="239"/>
      <c r="E363" s="239"/>
      <c r="F363" s="283"/>
      <c r="G363" s="239"/>
      <c r="H363" s="239"/>
      <c r="I363" s="239"/>
      <c r="J363" s="239"/>
      <c r="K363" s="239"/>
      <c r="L363" s="239"/>
      <c r="M363" s="239"/>
      <c r="N363" s="239"/>
      <c r="O363" s="239"/>
      <c r="P363" s="246"/>
      <c r="Q363" s="239"/>
      <c r="R363" s="239"/>
      <c r="S363" s="239"/>
      <c r="T363" s="239"/>
      <c r="U363" s="239"/>
      <c r="V363" s="239"/>
      <c r="W363" s="246"/>
      <c r="X363" s="239"/>
      <c r="Y363" s="239"/>
      <c r="Z363" s="239"/>
      <c r="AA363" s="239"/>
      <c r="AB363" s="239"/>
      <c r="AC363" s="239"/>
      <c r="AD363" s="239"/>
      <c r="AE363" s="239"/>
      <c r="AF363" s="239"/>
      <c r="AG363" s="239"/>
      <c r="AH363" s="239"/>
      <c r="AI363" s="239"/>
      <c r="AJ363" s="239"/>
    </row>
    <row r="364">
      <c r="A364" s="239"/>
      <c r="B364" s="239"/>
      <c r="C364" s="239"/>
      <c r="D364" s="239"/>
      <c r="E364" s="239"/>
      <c r="F364" s="283"/>
      <c r="G364" s="239"/>
      <c r="H364" s="239"/>
      <c r="I364" s="239"/>
      <c r="J364" s="239"/>
      <c r="K364" s="239"/>
      <c r="L364" s="239"/>
      <c r="M364" s="239"/>
      <c r="N364" s="239"/>
      <c r="O364" s="239"/>
      <c r="P364" s="246"/>
      <c r="Q364" s="239"/>
      <c r="R364" s="239"/>
      <c r="S364" s="239"/>
      <c r="T364" s="239"/>
      <c r="U364" s="239"/>
      <c r="V364" s="239"/>
      <c r="W364" s="246"/>
      <c r="X364" s="239"/>
      <c r="Y364" s="239"/>
      <c r="Z364" s="239"/>
      <c r="AA364" s="239"/>
      <c r="AB364" s="239"/>
      <c r="AC364" s="239"/>
      <c r="AD364" s="239"/>
      <c r="AE364" s="239"/>
      <c r="AF364" s="239"/>
      <c r="AG364" s="239"/>
      <c r="AH364" s="239"/>
      <c r="AI364" s="239"/>
      <c r="AJ364" s="239"/>
    </row>
    <row r="365">
      <c r="A365" s="239"/>
      <c r="B365" s="239"/>
      <c r="C365" s="239"/>
      <c r="D365" s="239"/>
      <c r="E365" s="239"/>
      <c r="F365" s="283"/>
      <c r="G365" s="239"/>
      <c r="H365" s="239"/>
      <c r="I365" s="239"/>
      <c r="J365" s="239"/>
      <c r="K365" s="239"/>
      <c r="L365" s="239"/>
      <c r="M365" s="239"/>
      <c r="N365" s="239"/>
      <c r="O365" s="239"/>
      <c r="P365" s="246"/>
      <c r="Q365" s="239"/>
      <c r="R365" s="239"/>
      <c r="S365" s="239"/>
      <c r="T365" s="239"/>
      <c r="U365" s="239"/>
      <c r="V365" s="239"/>
      <c r="W365" s="246"/>
      <c r="X365" s="239"/>
      <c r="Y365" s="239"/>
      <c r="Z365" s="239"/>
      <c r="AA365" s="239"/>
      <c r="AB365" s="239"/>
      <c r="AC365" s="239"/>
      <c r="AD365" s="239"/>
      <c r="AE365" s="239"/>
      <c r="AF365" s="239"/>
      <c r="AG365" s="239"/>
      <c r="AH365" s="239"/>
      <c r="AI365" s="239"/>
      <c r="AJ365" s="239"/>
    </row>
    <row r="366">
      <c r="A366" s="239"/>
      <c r="B366" s="239"/>
      <c r="C366" s="239"/>
      <c r="D366" s="239"/>
      <c r="E366" s="239"/>
      <c r="F366" s="283"/>
      <c r="G366" s="239"/>
      <c r="H366" s="239"/>
      <c r="I366" s="239"/>
      <c r="J366" s="239"/>
      <c r="K366" s="239"/>
      <c r="L366" s="239"/>
      <c r="M366" s="239"/>
      <c r="N366" s="239"/>
      <c r="O366" s="239"/>
      <c r="P366" s="246"/>
      <c r="Q366" s="239"/>
      <c r="R366" s="239"/>
      <c r="S366" s="239"/>
      <c r="T366" s="239"/>
      <c r="U366" s="239"/>
      <c r="V366" s="239"/>
      <c r="W366" s="246"/>
      <c r="X366" s="239"/>
      <c r="Y366" s="239"/>
      <c r="Z366" s="239"/>
      <c r="AA366" s="239"/>
      <c r="AB366" s="239"/>
      <c r="AC366" s="239"/>
      <c r="AD366" s="239"/>
      <c r="AE366" s="239"/>
      <c r="AF366" s="239"/>
      <c r="AG366" s="239"/>
      <c r="AH366" s="239"/>
      <c r="AI366" s="239"/>
      <c r="AJ366" s="239"/>
    </row>
    <row r="367">
      <c r="A367" s="239"/>
      <c r="B367" s="239"/>
      <c r="C367" s="239"/>
      <c r="D367" s="239"/>
      <c r="E367" s="239"/>
      <c r="F367" s="283"/>
      <c r="G367" s="239"/>
      <c r="H367" s="239"/>
      <c r="I367" s="239"/>
      <c r="J367" s="239"/>
      <c r="K367" s="239"/>
      <c r="L367" s="239"/>
      <c r="M367" s="239"/>
      <c r="N367" s="239"/>
      <c r="O367" s="239"/>
      <c r="P367" s="246"/>
      <c r="Q367" s="239"/>
      <c r="R367" s="239"/>
      <c r="S367" s="239"/>
      <c r="T367" s="239"/>
      <c r="U367" s="239"/>
      <c r="V367" s="239"/>
      <c r="W367" s="246"/>
      <c r="X367" s="239"/>
      <c r="Y367" s="239"/>
      <c r="Z367" s="239"/>
      <c r="AA367" s="239"/>
      <c r="AB367" s="239"/>
      <c r="AC367" s="239"/>
      <c r="AD367" s="239"/>
      <c r="AE367" s="239"/>
      <c r="AF367" s="239"/>
      <c r="AG367" s="239"/>
      <c r="AH367" s="239"/>
      <c r="AI367" s="239"/>
      <c r="AJ367" s="239"/>
    </row>
    <row r="368">
      <c r="A368" s="239"/>
      <c r="B368" s="239"/>
      <c r="C368" s="239"/>
      <c r="D368" s="239"/>
      <c r="E368" s="239"/>
      <c r="F368" s="283"/>
      <c r="G368" s="239"/>
      <c r="H368" s="239"/>
      <c r="I368" s="239"/>
      <c r="J368" s="239"/>
      <c r="K368" s="239"/>
      <c r="L368" s="239"/>
      <c r="M368" s="239"/>
      <c r="N368" s="239"/>
      <c r="O368" s="239"/>
      <c r="P368" s="246"/>
      <c r="Q368" s="239"/>
      <c r="R368" s="239"/>
      <c r="S368" s="239"/>
      <c r="T368" s="239"/>
      <c r="U368" s="239"/>
      <c r="V368" s="239"/>
      <c r="W368" s="246"/>
      <c r="X368" s="239"/>
      <c r="Y368" s="239"/>
      <c r="Z368" s="239"/>
      <c r="AA368" s="239"/>
      <c r="AB368" s="239"/>
      <c r="AC368" s="239"/>
      <c r="AD368" s="239"/>
      <c r="AE368" s="239"/>
      <c r="AF368" s="239"/>
      <c r="AG368" s="239"/>
      <c r="AH368" s="239"/>
      <c r="AI368" s="239"/>
      <c r="AJ368" s="239"/>
    </row>
    <row r="369">
      <c r="A369" s="239"/>
      <c r="B369" s="239"/>
      <c r="C369" s="239"/>
      <c r="D369" s="239"/>
      <c r="E369" s="239"/>
      <c r="F369" s="283"/>
      <c r="G369" s="239"/>
      <c r="H369" s="239"/>
      <c r="I369" s="239"/>
      <c r="J369" s="239"/>
      <c r="K369" s="239"/>
      <c r="L369" s="239"/>
      <c r="M369" s="239"/>
      <c r="N369" s="239"/>
      <c r="O369" s="239"/>
      <c r="P369" s="246"/>
      <c r="Q369" s="239"/>
      <c r="R369" s="239"/>
      <c r="S369" s="239"/>
      <c r="T369" s="239"/>
      <c r="U369" s="239"/>
      <c r="V369" s="239"/>
      <c r="W369" s="246"/>
      <c r="X369" s="239"/>
      <c r="Y369" s="239"/>
      <c r="Z369" s="239"/>
      <c r="AA369" s="239"/>
      <c r="AB369" s="239"/>
      <c r="AC369" s="239"/>
      <c r="AD369" s="239"/>
      <c r="AE369" s="239"/>
      <c r="AF369" s="239"/>
      <c r="AG369" s="239"/>
      <c r="AH369" s="239"/>
      <c r="AI369" s="239"/>
      <c r="AJ369" s="239"/>
    </row>
    <row r="370">
      <c r="A370" s="239"/>
      <c r="B370" s="239"/>
      <c r="C370" s="239"/>
      <c r="D370" s="239"/>
      <c r="E370" s="239"/>
      <c r="F370" s="283"/>
      <c r="G370" s="239"/>
      <c r="H370" s="239"/>
      <c r="I370" s="239"/>
      <c r="J370" s="239"/>
      <c r="K370" s="239"/>
      <c r="L370" s="239"/>
      <c r="M370" s="239"/>
      <c r="N370" s="239"/>
      <c r="O370" s="239"/>
      <c r="P370" s="246"/>
      <c r="Q370" s="239"/>
      <c r="R370" s="239"/>
      <c r="S370" s="239"/>
      <c r="T370" s="239"/>
      <c r="U370" s="239"/>
      <c r="V370" s="239"/>
      <c r="W370" s="246"/>
      <c r="X370" s="239"/>
      <c r="Y370" s="239"/>
      <c r="Z370" s="239"/>
      <c r="AA370" s="239"/>
      <c r="AB370" s="239"/>
      <c r="AC370" s="239"/>
      <c r="AD370" s="239"/>
      <c r="AE370" s="239"/>
      <c r="AF370" s="239"/>
      <c r="AG370" s="239"/>
      <c r="AH370" s="239"/>
      <c r="AI370" s="239"/>
      <c r="AJ370" s="239"/>
    </row>
    <row r="371">
      <c r="A371" s="239"/>
      <c r="B371" s="239"/>
      <c r="C371" s="239"/>
      <c r="D371" s="239"/>
      <c r="E371" s="239"/>
      <c r="F371" s="283"/>
      <c r="G371" s="239"/>
      <c r="H371" s="239"/>
      <c r="I371" s="239"/>
      <c r="J371" s="239"/>
      <c r="K371" s="239"/>
      <c r="L371" s="239"/>
      <c r="M371" s="239"/>
      <c r="N371" s="239"/>
      <c r="O371" s="239"/>
      <c r="P371" s="246"/>
      <c r="Q371" s="239"/>
      <c r="R371" s="239"/>
      <c r="S371" s="239"/>
      <c r="T371" s="239"/>
      <c r="U371" s="239"/>
      <c r="V371" s="239"/>
      <c r="W371" s="246"/>
      <c r="X371" s="239"/>
      <c r="Y371" s="239"/>
      <c r="Z371" s="239"/>
      <c r="AA371" s="239"/>
      <c r="AB371" s="239"/>
      <c r="AC371" s="239"/>
      <c r="AD371" s="239"/>
      <c r="AE371" s="239"/>
      <c r="AF371" s="239"/>
      <c r="AG371" s="239"/>
      <c r="AH371" s="239"/>
      <c r="AI371" s="239"/>
      <c r="AJ371" s="239"/>
    </row>
    <row r="372">
      <c r="A372" s="239"/>
      <c r="B372" s="239"/>
      <c r="C372" s="239"/>
      <c r="D372" s="239"/>
      <c r="E372" s="239"/>
      <c r="F372" s="283"/>
      <c r="G372" s="239"/>
      <c r="H372" s="239"/>
      <c r="I372" s="239"/>
      <c r="J372" s="239"/>
      <c r="K372" s="239"/>
      <c r="L372" s="239"/>
      <c r="M372" s="239"/>
      <c r="N372" s="239"/>
      <c r="O372" s="239"/>
      <c r="P372" s="246"/>
      <c r="Q372" s="239"/>
      <c r="R372" s="239"/>
      <c r="S372" s="239"/>
      <c r="T372" s="239"/>
      <c r="U372" s="239"/>
      <c r="V372" s="239"/>
      <c r="W372" s="246"/>
      <c r="X372" s="239"/>
      <c r="Y372" s="239"/>
      <c r="Z372" s="239"/>
      <c r="AA372" s="239"/>
      <c r="AB372" s="239"/>
      <c r="AC372" s="239"/>
      <c r="AD372" s="239"/>
      <c r="AE372" s="239"/>
      <c r="AF372" s="239"/>
      <c r="AG372" s="239"/>
      <c r="AH372" s="239"/>
      <c r="AI372" s="239"/>
      <c r="AJ372" s="239"/>
    </row>
    <row r="373">
      <c r="A373" s="239"/>
      <c r="B373" s="239"/>
      <c r="C373" s="239"/>
      <c r="D373" s="239"/>
      <c r="E373" s="239"/>
      <c r="F373" s="283"/>
      <c r="G373" s="239"/>
      <c r="H373" s="239"/>
      <c r="I373" s="239"/>
      <c r="J373" s="239"/>
      <c r="K373" s="239"/>
      <c r="L373" s="239"/>
      <c r="M373" s="239"/>
      <c r="N373" s="239"/>
      <c r="O373" s="239"/>
      <c r="P373" s="246"/>
      <c r="Q373" s="239"/>
      <c r="R373" s="239"/>
      <c r="S373" s="239"/>
      <c r="T373" s="239"/>
      <c r="U373" s="239"/>
      <c r="V373" s="239"/>
      <c r="W373" s="246"/>
      <c r="X373" s="239"/>
      <c r="Y373" s="239"/>
      <c r="Z373" s="239"/>
      <c r="AA373" s="239"/>
      <c r="AB373" s="239"/>
      <c r="AC373" s="239"/>
      <c r="AD373" s="239"/>
      <c r="AE373" s="239"/>
      <c r="AF373" s="239"/>
      <c r="AG373" s="239"/>
      <c r="AH373" s="239"/>
      <c r="AI373" s="239"/>
      <c r="AJ373" s="239"/>
    </row>
    <row r="374">
      <c r="A374" s="239"/>
      <c r="B374" s="239"/>
      <c r="C374" s="239"/>
      <c r="D374" s="239"/>
      <c r="E374" s="239"/>
      <c r="F374" s="283"/>
      <c r="G374" s="239"/>
      <c r="H374" s="239"/>
      <c r="I374" s="239"/>
      <c r="J374" s="239"/>
      <c r="K374" s="239"/>
      <c r="L374" s="239"/>
      <c r="M374" s="239"/>
      <c r="N374" s="239"/>
      <c r="O374" s="239"/>
      <c r="P374" s="246"/>
      <c r="Q374" s="239"/>
      <c r="R374" s="239"/>
      <c r="S374" s="239"/>
      <c r="T374" s="239"/>
      <c r="U374" s="239"/>
      <c r="V374" s="239"/>
      <c r="W374" s="246"/>
      <c r="X374" s="239"/>
      <c r="Y374" s="239"/>
      <c r="Z374" s="239"/>
      <c r="AA374" s="239"/>
      <c r="AB374" s="239"/>
      <c r="AC374" s="239"/>
      <c r="AD374" s="239"/>
      <c r="AE374" s="239"/>
      <c r="AF374" s="239"/>
      <c r="AG374" s="239"/>
      <c r="AH374" s="239"/>
      <c r="AI374" s="239"/>
      <c r="AJ374" s="239"/>
    </row>
    <row r="375">
      <c r="A375" s="239"/>
      <c r="B375" s="239"/>
      <c r="C375" s="239"/>
      <c r="D375" s="239"/>
      <c r="E375" s="239"/>
      <c r="F375" s="283"/>
      <c r="G375" s="239"/>
      <c r="H375" s="239"/>
      <c r="I375" s="239"/>
      <c r="J375" s="239"/>
      <c r="K375" s="239"/>
      <c r="L375" s="239"/>
      <c r="M375" s="239"/>
      <c r="N375" s="239"/>
      <c r="O375" s="239"/>
      <c r="P375" s="246"/>
      <c r="Q375" s="239"/>
      <c r="R375" s="239"/>
      <c r="S375" s="239"/>
      <c r="T375" s="239"/>
      <c r="U375" s="239"/>
      <c r="V375" s="239"/>
      <c r="W375" s="246"/>
      <c r="X375" s="239"/>
      <c r="Y375" s="239"/>
      <c r="Z375" s="239"/>
      <c r="AA375" s="239"/>
      <c r="AB375" s="239"/>
      <c r="AC375" s="239"/>
      <c r="AD375" s="239"/>
      <c r="AE375" s="239"/>
      <c r="AF375" s="239"/>
      <c r="AG375" s="239"/>
      <c r="AH375" s="239"/>
      <c r="AI375" s="239"/>
      <c r="AJ375" s="239"/>
    </row>
    <row r="376">
      <c r="A376" s="239"/>
      <c r="B376" s="239"/>
      <c r="C376" s="239"/>
      <c r="D376" s="239"/>
      <c r="E376" s="239"/>
      <c r="F376" s="283"/>
      <c r="G376" s="239"/>
      <c r="H376" s="239"/>
      <c r="I376" s="239"/>
      <c r="J376" s="239"/>
      <c r="K376" s="239"/>
      <c r="L376" s="239"/>
      <c r="M376" s="239"/>
      <c r="N376" s="239"/>
      <c r="O376" s="239"/>
      <c r="P376" s="246"/>
      <c r="Q376" s="239"/>
      <c r="R376" s="239"/>
      <c r="S376" s="239"/>
      <c r="T376" s="239"/>
      <c r="U376" s="239"/>
      <c r="V376" s="239"/>
      <c r="W376" s="246"/>
      <c r="X376" s="239"/>
      <c r="Y376" s="239"/>
      <c r="Z376" s="239"/>
      <c r="AA376" s="239"/>
      <c r="AB376" s="239"/>
      <c r="AC376" s="239"/>
      <c r="AD376" s="239"/>
      <c r="AE376" s="239"/>
      <c r="AF376" s="239"/>
      <c r="AG376" s="239"/>
      <c r="AH376" s="239"/>
      <c r="AI376" s="239"/>
      <c r="AJ376" s="239"/>
    </row>
    <row r="377">
      <c r="A377" s="239"/>
      <c r="B377" s="239"/>
      <c r="C377" s="239"/>
      <c r="D377" s="239"/>
      <c r="E377" s="239"/>
      <c r="F377" s="283"/>
      <c r="G377" s="239"/>
      <c r="H377" s="239"/>
      <c r="I377" s="239"/>
      <c r="J377" s="239"/>
      <c r="K377" s="239"/>
      <c r="L377" s="239"/>
      <c r="M377" s="239"/>
      <c r="N377" s="239"/>
      <c r="O377" s="239"/>
      <c r="P377" s="246"/>
      <c r="Q377" s="239"/>
      <c r="R377" s="239"/>
      <c r="S377" s="239"/>
      <c r="T377" s="239"/>
      <c r="U377" s="239"/>
      <c r="V377" s="239"/>
      <c r="W377" s="246"/>
      <c r="X377" s="239"/>
      <c r="Y377" s="239"/>
      <c r="Z377" s="239"/>
      <c r="AA377" s="239"/>
      <c r="AB377" s="239"/>
      <c r="AC377" s="239"/>
      <c r="AD377" s="239"/>
      <c r="AE377" s="239"/>
      <c r="AF377" s="239"/>
      <c r="AG377" s="239"/>
      <c r="AH377" s="239"/>
      <c r="AI377" s="239"/>
      <c r="AJ377" s="239"/>
    </row>
    <row r="378">
      <c r="A378" s="239"/>
      <c r="B378" s="239"/>
      <c r="C378" s="239"/>
      <c r="D378" s="239"/>
      <c r="E378" s="239"/>
      <c r="F378" s="283"/>
      <c r="G378" s="239"/>
      <c r="H378" s="239"/>
      <c r="I378" s="239"/>
      <c r="J378" s="239"/>
      <c r="K378" s="239"/>
      <c r="L378" s="239"/>
      <c r="M378" s="239"/>
      <c r="N378" s="239"/>
      <c r="O378" s="239"/>
      <c r="P378" s="246"/>
      <c r="Q378" s="239"/>
      <c r="R378" s="239"/>
      <c r="S378" s="239"/>
      <c r="T378" s="239"/>
      <c r="U378" s="239"/>
      <c r="V378" s="239"/>
      <c r="W378" s="246"/>
      <c r="X378" s="239"/>
      <c r="Y378" s="239"/>
      <c r="Z378" s="239"/>
      <c r="AA378" s="239"/>
      <c r="AB378" s="239"/>
      <c r="AC378" s="239"/>
      <c r="AD378" s="239"/>
      <c r="AE378" s="239"/>
      <c r="AF378" s="239"/>
      <c r="AG378" s="239"/>
      <c r="AH378" s="239"/>
      <c r="AI378" s="239"/>
      <c r="AJ378" s="239"/>
    </row>
    <row r="379">
      <c r="A379" s="239"/>
      <c r="B379" s="239"/>
      <c r="C379" s="239"/>
      <c r="D379" s="239"/>
      <c r="E379" s="239"/>
      <c r="F379" s="283"/>
      <c r="G379" s="239"/>
      <c r="H379" s="239"/>
      <c r="I379" s="239"/>
      <c r="J379" s="239"/>
      <c r="K379" s="239"/>
      <c r="L379" s="239"/>
      <c r="M379" s="239"/>
      <c r="N379" s="239"/>
      <c r="O379" s="239"/>
      <c r="P379" s="246"/>
      <c r="Q379" s="239"/>
      <c r="R379" s="239"/>
      <c r="S379" s="239"/>
      <c r="T379" s="239"/>
      <c r="U379" s="239"/>
      <c r="V379" s="239"/>
      <c r="W379" s="246"/>
      <c r="X379" s="239"/>
      <c r="Y379" s="239"/>
      <c r="Z379" s="239"/>
      <c r="AA379" s="239"/>
      <c r="AB379" s="239"/>
      <c r="AC379" s="239"/>
      <c r="AD379" s="239"/>
      <c r="AE379" s="239"/>
      <c r="AF379" s="239"/>
      <c r="AG379" s="239"/>
      <c r="AH379" s="239"/>
      <c r="AI379" s="239"/>
      <c r="AJ379" s="239"/>
    </row>
    <row r="380">
      <c r="A380" s="239"/>
      <c r="B380" s="239"/>
      <c r="C380" s="239"/>
      <c r="D380" s="239"/>
      <c r="E380" s="239"/>
      <c r="F380" s="283"/>
      <c r="G380" s="239"/>
      <c r="H380" s="239"/>
      <c r="I380" s="239"/>
      <c r="J380" s="239"/>
      <c r="K380" s="239"/>
      <c r="L380" s="239"/>
      <c r="M380" s="239"/>
      <c r="N380" s="239"/>
      <c r="O380" s="239"/>
      <c r="P380" s="246"/>
      <c r="Q380" s="239"/>
      <c r="R380" s="239"/>
      <c r="S380" s="239"/>
      <c r="T380" s="239"/>
      <c r="U380" s="239"/>
      <c r="V380" s="239"/>
      <c r="W380" s="246"/>
      <c r="X380" s="239"/>
      <c r="Y380" s="239"/>
      <c r="Z380" s="239"/>
      <c r="AA380" s="239"/>
      <c r="AB380" s="239"/>
      <c r="AC380" s="239"/>
      <c r="AD380" s="239"/>
      <c r="AE380" s="239"/>
      <c r="AF380" s="239"/>
      <c r="AG380" s="239"/>
      <c r="AH380" s="239"/>
      <c r="AI380" s="239"/>
      <c r="AJ380" s="239"/>
    </row>
    <row r="381">
      <c r="A381" s="239"/>
      <c r="B381" s="239"/>
      <c r="C381" s="239"/>
      <c r="D381" s="239"/>
      <c r="E381" s="239"/>
      <c r="F381" s="283"/>
      <c r="G381" s="239"/>
      <c r="H381" s="239"/>
      <c r="I381" s="239"/>
      <c r="J381" s="239"/>
      <c r="K381" s="239"/>
      <c r="L381" s="239"/>
      <c r="M381" s="239"/>
      <c r="N381" s="239"/>
      <c r="O381" s="239"/>
      <c r="P381" s="246"/>
      <c r="Q381" s="239"/>
      <c r="R381" s="239"/>
      <c r="S381" s="239"/>
      <c r="T381" s="239"/>
      <c r="U381" s="239"/>
      <c r="V381" s="239"/>
      <c r="W381" s="246"/>
      <c r="X381" s="239"/>
      <c r="Y381" s="239"/>
      <c r="Z381" s="239"/>
      <c r="AA381" s="239"/>
      <c r="AB381" s="239"/>
      <c r="AC381" s="239"/>
      <c r="AD381" s="239"/>
      <c r="AE381" s="239"/>
      <c r="AF381" s="239"/>
      <c r="AG381" s="239"/>
      <c r="AH381" s="239"/>
      <c r="AI381" s="239"/>
      <c r="AJ381" s="239"/>
    </row>
    <row r="382">
      <c r="A382" s="239"/>
      <c r="B382" s="239"/>
      <c r="C382" s="239"/>
      <c r="D382" s="239"/>
      <c r="E382" s="239"/>
      <c r="F382" s="283"/>
      <c r="G382" s="239"/>
      <c r="H382" s="239"/>
      <c r="I382" s="239"/>
      <c r="J382" s="239"/>
      <c r="K382" s="239"/>
      <c r="L382" s="239"/>
      <c r="M382" s="239"/>
      <c r="N382" s="239"/>
      <c r="O382" s="239"/>
      <c r="P382" s="246"/>
      <c r="Q382" s="239"/>
      <c r="R382" s="239"/>
      <c r="S382" s="239"/>
      <c r="T382" s="239"/>
      <c r="U382" s="239"/>
      <c r="V382" s="239"/>
      <c r="W382" s="246"/>
      <c r="X382" s="239"/>
      <c r="Y382" s="239"/>
      <c r="Z382" s="239"/>
      <c r="AA382" s="239"/>
      <c r="AB382" s="239"/>
      <c r="AC382" s="239"/>
      <c r="AD382" s="239"/>
      <c r="AE382" s="239"/>
      <c r="AF382" s="239"/>
      <c r="AG382" s="239"/>
      <c r="AH382" s="239"/>
      <c r="AI382" s="239"/>
      <c r="AJ382" s="239"/>
    </row>
    <row r="383">
      <c r="A383" s="239"/>
      <c r="B383" s="239"/>
      <c r="C383" s="239"/>
      <c r="D383" s="239"/>
      <c r="E383" s="239"/>
      <c r="F383" s="283"/>
      <c r="G383" s="239"/>
      <c r="H383" s="239"/>
      <c r="I383" s="239"/>
      <c r="J383" s="239"/>
      <c r="K383" s="239"/>
      <c r="L383" s="239"/>
      <c r="M383" s="239"/>
      <c r="N383" s="239"/>
      <c r="O383" s="239"/>
      <c r="P383" s="246"/>
      <c r="Q383" s="239"/>
      <c r="R383" s="239"/>
      <c r="S383" s="239"/>
      <c r="T383" s="239"/>
      <c r="U383" s="239"/>
      <c r="V383" s="239"/>
      <c r="W383" s="246"/>
      <c r="X383" s="239"/>
      <c r="Y383" s="239"/>
      <c r="Z383" s="239"/>
      <c r="AA383" s="239"/>
      <c r="AB383" s="239"/>
      <c r="AC383" s="239"/>
      <c r="AD383" s="239"/>
      <c r="AE383" s="239"/>
      <c r="AF383" s="239"/>
      <c r="AG383" s="239"/>
      <c r="AH383" s="239"/>
      <c r="AI383" s="239"/>
      <c r="AJ383" s="239"/>
    </row>
    <row r="384">
      <c r="A384" s="239"/>
      <c r="B384" s="239"/>
      <c r="C384" s="239"/>
      <c r="D384" s="239"/>
      <c r="E384" s="239"/>
      <c r="F384" s="283"/>
      <c r="G384" s="239"/>
      <c r="H384" s="239"/>
      <c r="I384" s="239"/>
      <c r="J384" s="239"/>
      <c r="K384" s="239"/>
      <c r="L384" s="239"/>
      <c r="M384" s="239"/>
      <c r="N384" s="239"/>
      <c r="O384" s="239"/>
      <c r="P384" s="246"/>
      <c r="Q384" s="239"/>
      <c r="R384" s="239"/>
      <c r="S384" s="239"/>
      <c r="T384" s="239"/>
      <c r="U384" s="239"/>
      <c r="V384" s="239"/>
      <c r="W384" s="246"/>
      <c r="X384" s="239"/>
      <c r="Y384" s="239"/>
      <c r="Z384" s="239"/>
      <c r="AA384" s="239"/>
      <c r="AB384" s="239"/>
      <c r="AC384" s="239"/>
      <c r="AD384" s="239"/>
      <c r="AE384" s="239"/>
      <c r="AF384" s="239"/>
      <c r="AG384" s="239"/>
      <c r="AH384" s="239"/>
      <c r="AI384" s="239"/>
      <c r="AJ384" s="239"/>
    </row>
    <row r="385">
      <c r="A385" s="239"/>
      <c r="B385" s="239"/>
      <c r="C385" s="239"/>
      <c r="D385" s="239"/>
      <c r="E385" s="239"/>
      <c r="F385" s="283"/>
      <c r="G385" s="239"/>
      <c r="H385" s="239"/>
      <c r="I385" s="239"/>
      <c r="J385" s="239"/>
      <c r="K385" s="239"/>
      <c r="L385" s="239"/>
      <c r="M385" s="239"/>
      <c r="N385" s="239"/>
      <c r="O385" s="239"/>
      <c r="P385" s="246"/>
      <c r="Q385" s="239"/>
      <c r="R385" s="239"/>
      <c r="S385" s="239"/>
      <c r="T385" s="239"/>
      <c r="U385" s="239"/>
      <c r="V385" s="239"/>
      <c r="W385" s="246"/>
      <c r="X385" s="239"/>
      <c r="Y385" s="239"/>
      <c r="Z385" s="239"/>
      <c r="AA385" s="239"/>
      <c r="AB385" s="239"/>
      <c r="AC385" s="239"/>
      <c r="AD385" s="239"/>
      <c r="AE385" s="239"/>
      <c r="AF385" s="239"/>
      <c r="AG385" s="239"/>
      <c r="AH385" s="239"/>
      <c r="AI385" s="239"/>
      <c r="AJ385" s="239"/>
    </row>
    <row r="386">
      <c r="A386" s="239"/>
      <c r="B386" s="239"/>
      <c r="C386" s="239"/>
      <c r="D386" s="239"/>
      <c r="E386" s="239"/>
      <c r="F386" s="283"/>
      <c r="G386" s="239"/>
      <c r="H386" s="239"/>
      <c r="I386" s="239"/>
      <c r="J386" s="239"/>
      <c r="K386" s="239"/>
      <c r="L386" s="239"/>
      <c r="M386" s="239"/>
      <c r="N386" s="239"/>
      <c r="O386" s="239"/>
      <c r="P386" s="246"/>
      <c r="Q386" s="239"/>
      <c r="R386" s="239"/>
      <c r="S386" s="239"/>
      <c r="T386" s="239"/>
      <c r="U386" s="239"/>
      <c r="V386" s="239"/>
      <c r="W386" s="246"/>
      <c r="X386" s="239"/>
      <c r="Y386" s="239"/>
      <c r="Z386" s="239"/>
      <c r="AA386" s="239"/>
      <c r="AB386" s="239"/>
      <c r="AC386" s="239"/>
      <c r="AD386" s="239"/>
      <c r="AE386" s="239"/>
      <c r="AF386" s="239"/>
      <c r="AG386" s="239"/>
      <c r="AH386" s="239"/>
      <c r="AI386" s="239"/>
      <c r="AJ386" s="239"/>
    </row>
    <row r="387">
      <c r="A387" s="239"/>
      <c r="B387" s="239"/>
      <c r="C387" s="239"/>
      <c r="D387" s="239"/>
      <c r="E387" s="239"/>
      <c r="F387" s="283"/>
      <c r="G387" s="239"/>
      <c r="H387" s="239"/>
      <c r="I387" s="239"/>
      <c r="J387" s="239"/>
      <c r="K387" s="239"/>
      <c r="L387" s="239"/>
      <c r="M387" s="239"/>
      <c r="N387" s="239"/>
      <c r="O387" s="239"/>
      <c r="P387" s="246"/>
      <c r="Q387" s="239"/>
      <c r="R387" s="239"/>
      <c r="S387" s="239"/>
      <c r="T387" s="239"/>
      <c r="U387" s="239"/>
      <c r="V387" s="239"/>
      <c r="W387" s="246"/>
      <c r="X387" s="239"/>
      <c r="Y387" s="239"/>
      <c r="Z387" s="239"/>
      <c r="AA387" s="239"/>
      <c r="AB387" s="239"/>
      <c r="AC387" s="239"/>
      <c r="AD387" s="239"/>
      <c r="AE387" s="239"/>
      <c r="AF387" s="239"/>
      <c r="AG387" s="239"/>
      <c r="AH387" s="239"/>
      <c r="AI387" s="239"/>
      <c r="AJ387" s="239"/>
    </row>
    <row r="388">
      <c r="A388" s="239"/>
      <c r="B388" s="239"/>
      <c r="C388" s="239"/>
      <c r="D388" s="239"/>
      <c r="E388" s="239"/>
      <c r="F388" s="283"/>
      <c r="G388" s="239"/>
      <c r="H388" s="239"/>
      <c r="I388" s="239"/>
      <c r="J388" s="239"/>
      <c r="K388" s="239"/>
      <c r="L388" s="239"/>
      <c r="M388" s="239"/>
      <c r="N388" s="239"/>
      <c r="O388" s="239"/>
      <c r="P388" s="246"/>
      <c r="Q388" s="239"/>
      <c r="R388" s="239"/>
      <c r="S388" s="239"/>
      <c r="T388" s="239"/>
      <c r="U388" s="239"/>
      <c r="V388" s="239"/>
      <c r="W388" s="246"/>
      <c r="X388" s="239"/>
      <c r="Y388" s="239"/>
      <c r="Z388" s="239"/>
      <c r="AA388" s="239"/>
      <c r="AB388" s="239"/>
      <c r="AC388" s="239"/>
      <c r="AD388" s="239"/>
      <c r="AE388" s="239"/>
      <c r="AF388" s="239"/>
      <c r="AG388" s="239"/>
      <c r="AH388" s="239"/>
      <c r="AI388" s="239"/>
      <c r="AJ388" s="239"/>
    </row>
    <row r="389">
      <c r="A389" s="239"/>
      <c r="B389" s="239"/>
      <c r="C389" s="239"/>
      <c r="D389" s="239"/>
      <c r="E389" s="239"/>
      <c r="F389" s="283"/>
      <c r="G389" s="239"/>
      <c r="H389" s="239"/>
      <c r="I389" s="239"/>
      <c r="J389" s="239"/>
      <c r="K389" s="239"/>
      <c r="L389" s="239"/>
      <c r="M389" s="239"/>
      <c r="N389" s="239"/>
      <c r="O389" s="239"/>
      <c r="P389" s="246"/>
      <c r="Q389" s="239"/>
      <c r="R389" s="239"/>
      <c r="S389" s="239"/>
      <c r="T389" s="239"/>
      <c r="U389" s="239"/>
      <c r="V389" s="239"/>
      <c r="W389" s="246"/>
      <c r="X389" s="239"/>
      <c r="Y389" s="239"/>
      <c r="Z389" s="239"/>
      <c r="AA389" s="239"/>
      <c r="AB389" s="239"/>
      <c r="AC389" s="239"/>
      <c r="AD389" s="239"/>
      <c r="AE389" s="239"/>
      <c r="AF389" s="239"/>
      <c r="AG389" s="239"/>
      <c r="AH389" s="239"/>
      <c r="AI389" s="239"/>
      <c r="AJ389" s="239"/>
    </row>
    <row r="390">
      <c r="A390" s="239"/>
      <c r="B390" s="239"/>
      <c r="C390" s="239"/>
      <c r="D390" s="239"/>
      <c r="E390" s="239"/>
      <c r="F390" s="283"/>
      <c r="G390" s="239"/>
      <c r="H390" s="239"/>
      <c r="I390" s="239"/>
      <c r="J390" s="239"/>
      <c r="K390" s="239"/>
      <c r="L390" s="239"/>
      <c r="M390" s="239"/>
      <c r="N390" s="239"/>
      <c r="O390" s="239"/>
      <c r="P390" s="246"/>
      <c r="Q390" s="239"/>
      <c r="R390" s="239"/>
      <c r="S390" s="239"/>
      <c r="T390" s="239"/>
      <c r="U390" s="239"/>
      <c r="V390" s="239"/>
      <c r="W390" s="246"/>
      <c r="X390" s="239"/>
      <c r="Y390" s="239"/>
      <c r="Z390" s="239"/>
      <c r="AA390" s="239"/>
      <c r="AB390" s="239"/>
      <c r="AC390" s="239"/>
      <c r="AD390" s="239"/>
      <c r="AE390" s="239"/>
      <c r="AF390" s="239"/>
      <c r="AG390" s="239"/>
      <c r="AH390" s="239"/>
      <c r="AI390" s="239"/>
      <c r="AJ390" s="239"/>
    </row>
    <row r="391">
      <c r="A391" s="239"/>
      <c r="B391" s="239"/>
      <c r="C391" s="239"/>
      <c r="D391" s="239"/>
      <c r="E391" s="239"/>
      <c r="F391" s="283"/>
      <c r="G391" s="239"/>
      <c r="H391" s="239"/>
      <c r="I391" s="239"/>
      <c r="J391" s="239"/>
      <c r="K391" s="239"/>
      <c r="L391" s="239"/>
      <c r="M391" s="239"/>
      <c r="N391" s="239"/>
      <c r="O391" s="239"/>
      <c r="P391" s="246"/>
      <c r="Q391" s="239"/>
      <c r="R391" s="239"/>
      <c r="S391" s="239"/>
      <c r="T391" s="239"/>
      <c r="U391" s="239"/>
      <c r="V391" s="239"/>
      <c r="W391" s="246"/>
      <c r="X391" s="239"/>
      <c r="Y391" s="239"/>
      <c r="Z391" s="239"/>
      <c r="AA391" s="239"/>
      <c r="AB391" s="239"/>
      <c r="AC391" s="239"/>
      <c r="AD391" s="239"/>
      <c r="AE391" s="239"/>
      <c r="AF391" s="239"/>
      <c r="AG391" s="239"/>
      <c r="AH391" s="239"/>
      <c r="AI391" s="239"/>
      <c r="AJ391" s="239"/>
    </row>
    <row r="392">
      <c r="A392" s="239"/>
      <c r="B392" s="239"/>
      <c r="C392" s="239"/>
      <c r="D392" s="239"/>
      <c r="E392" s="239"/>
      <c r="F392" s="283"/>
      <c r="G392" s="239"/>
      <c r="H392" s="239"/>
      <c r="I392" s="239"/>
      <c r="J392" s="239"/>
      <c r="K392" s="239"/>
      <c r="L392" s="239"/>
      <c r="M392" s="239"/>
      <c r="N392" s="239"/>
      <c r="O392" s="239"/>
      <c r="P392" s="246"/>
      <c r="Q392" s="239"/>
      <c r="R392" s="239"/>
      <c r="S392" s="239"/>
      <c r="T392" s="239"/>
      <c r="U392" s="239"/>
      <c r="V392" s="239"/>
      <c r="W392" s="246"/>
      <c r="X392" s="239"/>
      <c r="Y392" s="239"/>
      <c r="Z392" s="239"/>
      <c r="AA392" s="239"/>
      <c r="AB392" s="239"/>
      <c r="AC392" s="239"/>
      <c r="AD392" s="239"/>
      <c r="AE392" s="239"/>
      <c r="AF392" s="239"/>
      <c r="AG392" s="239"/>
      <c r="AH392" s="239"/>
      <c r="AI392" s="239"/>
      <c r="AJ392" s="239"/>
    </row>
    <row r="393">
      <c r="A393" s="239"/>
      <c r="B393" s="239"/>
      <c r="C393" s="239"/>
      <c r="D393" s="239"/>
      <c r="E393" s="239"/>
      <c r="F393" s="283"/>
      <c r="G393" s="239"/>
      <c r="H393" s="239"/>
      <c r="I393" s="239"/>
      <c r="J393" s="239"/>
      <c r="K393" s="239"/>
      <c r="L393" s="239"/>
      <c r="M393" s="239"/>
      <c r="N393" s="239"/>
      <c r="O393" s="239"/>
      <c r="P393" s="246"/>
      <c r="Q393" s="239"/>
      <c r="R393" s="239"/>
      <c r="S393" s="239"/>
      <c r="T393" s="239"/>
      <c r="U393" s="239"/>
      <c r="V393" s="239"/>
      <c r="W393" s="246"/>
      <c r="X393" s="239"/>
      <c r="Y393" s="239"/>
      <c r="Z393" s="239"/>
      <c r="AA393" s="239"/>
      <c r="AB393" s="239"/>
      <c r="AC393" s="239"/>
      <c r="AD393" s="239"/>
      <c r="AE393" s="239"/>
      <c r="AF393" s="239"/>
      <c r="AG393" s="239"/>
      <c r="AH393" s="239"/>
      <c r="AI393" s="239"/>
      <c r="AJ393" s="239"/>
    </row>
    <row r="394">
      <c r="A394" s="239"/>
      <c r="B394" s="239"/>
      <c r="C394" s="239"/>
      <c r="D394" s="239"/>
      <c r="E394" s="239"/>
      <c r="F394" s="283"/>
      <c r="G394" s="239"/>
      <c r="H394" s="239"/>
      <c r="I394" s="239"/>
      <c r="J394" s="239"/>
      <c r="K394" s="239"/>
      <c r="L394" s="239"/>
      <c r="M394" s="239"/>
      <c r="N394" s="239"/>
      <c r="O394" s="239"/>
      <c r="P394" s="246"/>
      <c r="Q394" s="239"/>
      <c r="R394" s="239"/>
      <c r="S394" s="239"/>
      <c r="T394" s="239"/>
      <c r="U394" s="239"/>
      <c r="V394" s="239"/>
      <c r="W394" s="246"/>
      <c r="X394" s="239"/>
      <c r="Y394" s="239"/>
      <c r="Z394" s="239"/>
      <c r="AA394" s="239"/>
      <c r="AB394" s="239"/>
      <c r="AC394" s="239"/>
      <c r="AD394" s="239"/>
      <c r="AE394" s="239"/>
      <c r="AF394" s="239"/>
      <c r="AG394" s="239"/>
      <c r="AH394" s="239"/>
      <c r="AI394" s="239"/>
      <c r="AJ394" s="239"/>
    </row>
    <row r="395">
      <c r="A395" s="239"/>
      <c r="B395" s="239"/>
      <c r="C395" s="239"/>
      <c r="D395" s="239"/>
      <c r="E395" s="239"/>
      <c r="F395" s="283"/>
      <c r="G395" s="239"/>
      <c r="H395" s="239"/>
      <c r="I395" s="239"/>
      <c r="J395" s="239"/>
      <c r="K395" s="239"/>
      <c r="L395" s="239"/>
      <c r="M395" s="239"/>
      <c r="N395" s="239"/>
      <c r="O395" s="239"/>
      <c r="P395" s="246"/>
      <c r="Q395" s="239"/>
      <c r="R395" s="239"/>
      <c r="S395" s="239"/>
      <c r="T395" s="239"/>
      <c r="U395" s="239"/>
      <c r="V395" s="239"/>
      <c r="W395" s="246"/>
      <c r="X395" s="239"/>
      <c r="Y395" s="239"/>
      <c r="Z395" s="239"/>
      <c r="AA395" s="239"/>
      <c r="AB395" s="239"/>
      <c r="AC395" s="239"/>
      <c r="AD395" s="239"/>
      <c r="AE395" s="239"/>
      <c r="AF395" s="239"/>
      <c r="AG395" s="239"/>
      <c r="AH395" s="239"/>
      <c r="AI395" s="239"/>
      <c r="AJ395" s="239"/>
    </row>
    <row r="396">
      <c r="A396" s="239"/>
      <c r="B396" s="239"/>
      <c r="C396" s="239"/>
      <c r="D396" s="239"/>
      <c r="E396" s="239"/>
      <c r="F396" s="283"/>
      <c r="G396" s="239"/>
      <c r="H396" s="239"/>
      <c r="I396" s="239"/>
      <c r="J396" s="239"/>
      <c r="K396" s="239"/>
      <c r="L396" s="239"/>
      <c r="M396" s="239"/>
      <c r="N396" s="239"/>
      <c r="O396" s="239"/>
      <c r="P396" s="246"/>
      <c r="Q396" s="239"/>
      <c r="R396" s="239"/>
      <c r="S396" s="239"/>
      <c r="T396" s="239"/>
      <c r="U396" s="239"/>
      <c r="V396" s="239"/>
      <c r="W396" s="246"/>
      <c r="X396" s="239"/>
      <c r="Y396" s="239"/>
      <c r="Z396" s="239"/>
      <c r="AA396" s="239"/>
      <c r="AB396" s="239"/>
      <c r="AC396" s="239"/>
      <c r="AD396" s="239"/>
      <c r="AE396" s="239"/>
      <c r="AF396" s="239"/>
      <c r="AG396" s="239"/>
      <c r="AH396" s="239"/>
      <c r="AI396" s="239"/>
      <c r="AJ396" s="239"/>
    </row>
    <row r="397">
      <c r="A397" s="239"/>
      <c r="B397" s="239"/>
      <c r="C397" s="239"/>
      <c r="D397" s="239"/>
      <c r="E397" s="239"/>
      <c r="F397" s="283"/>
      <c r="G397" s="239"/>
      <c r="H397" s="239"/>
      <c r="I397" s="239"/>
      <c r="J397" s="239"/>
      <c r="K397" s="239"/>
      <c r="L397" s="239"/>
      <c r="M397" s="239"/>
      <c r="N397" s="239"/>
      <c r="O397" s="239"/>
      <c r="P397" s="246"/>
      <c r="Q397" s="239"/>
      <c r="R397" s="239"/>
      <c r="S397" s="239"/>
      <c r="T397" s="239"/>
      <c r="U397" s="239"/>
      <c r="V397" s="239"/>
      <c r="W397" s="246"/>
      <c r="X397" s="239"/>
      <c r="Y397" s="239"/>
      <c r="Z397" s="239"/>
      <c r="AA397" s="239"/>
      <c r="AB397" s="239"/>
      <c r="AC397" s="239"/>
      <c r="AD397" s="239"/>
      <c r="AE397" s="239"/>
      <c r="AF397" s="239"/>
      <c r="AG397" s="239"/>
      <c r="AH397" s="239"/>
      <c r="AI397" s="239"/>
      <c r="AJ397" s="239"/>
    </row>
    <row r="398">
      <c r="A398" s="239"/>
      <c r="B398" s="239"/>
      <c r="C398" s="239"/>
      <c r="D398" s="239"/>
      <c r="E398" s="239"/>
      <c r="F398" s="283"/>
      <c r="G398" s="239"/>
      <c r="H398" s="239"/>
      <c r="I398" s="239"/>
      <c r="J398" s="239"/>
      <c r="K398" s="239"/>
      <c r="L398" s="239"/>
      <c r="M398" s="239"/>
      <c r="N398" s="239"/>
      <c r="O398" s="239"/>
      <c r="P398" s="246"/>
      <c r="Q398" s="239"/>
      <c r="R398" s="239"/>
      <c r="S398" s="239"/>
      <c r="T398" s="239"/>
      <c r="U398" s="239"/>
      <c r="V398" s="239"/>
      <c r="W398" s="246"/>
      <c r="X398" s="239"/>
      <c r="Y398" s="239"/>
      <c r="Z398" s="239"/>
      <c r="AA398" s="239"/>
      <c r="AB398" s="239"/>
      <c r="AC398" s="239"/>
      <c r="AD398" s="239"/>
      <c r="AE398" s="239"/>
      <c r="AF398" s="239"/>
      <c r="AG398" s="239"/>
      <c r="AH398" s="239"/>
      <c r="AI398" s="239"/>
      <c r="AJ398" s="239"/>
    </row>
    <row r="399">
      <c r="A399" s="239"/>
      <c r="B399" s="239"/>
      <c r="C399" s="239"/>
      <c r="D399" s="239"/>
      <c r="E399" s="239"/>
      <c r="F399" s="283"/>
      <c r="G399" s="239"/>
      <c r="H399" s="239"/>
      <c r="I399" s="239"/>
      <c r="J399" s="239"/>
      <c r="K399" s="239"/>
      <c r="L399" s="239"/>
      <c r="M399" s="239"/>
      <c r="N399" s="239"/>
      <c r="O399" s="239"/>
      <c r="P399" s="246"/>
      <c r="Q399" s="239"/>
      <c r="R399" s="239"/>
      <c r="S399" s="239"/>
      <c r="T399" s="239"/>
      <c r="U399" s="239"/>
      <c r="V399" s="239"/>
      <c r="W399" s="246"/>
      <c r="X399" s="239"/>
      <c r="Y399" s="239"/>
      <c r="Z399" s="239"/>
      <c r="AA399" s="239"/>
      <c r="AB399" s="239"/>
      <c r="AC399" s="239"/>
      <c r="AD399" s="239"/>
      <c r="AE399" s="239"/>
      <c r="AF399" s="239"/>
      <c r="AG399" s="239"/>
      <c r="AH399" s="239"/>
      <c r="AI399" s="239"/>
      <c r="AJ399" s="239"/>
    </row>
    <row r="400">
      <c r="A400" s="239"/>
      <c r="B400" s="239"/>
      <c r="C400" s="239"/>
      <c r="D400" s="239"/>
      <c r="E400" s="239"/>
      <c r="F400" s="283"/>
      <c r="G400" s="239"/>
      <c r="H400" s="239"/>
      <c r="I400" s="239"/>
      <c r="J400" s="239"/>
      <c r="K400" s="239"/>
      <c r="L400" s="239"/>
      <c r="M400" s="239"/>
      <c r="N400" s="239"/>
      <c r="O400" s="239"/>
      <c r="P400" s="246"/>
      <c r="Q400" s="239"/>
      <c r="R400" s="239"/>
      <c r="S400" s="239"/>
      <c r="T400" s="239"/>
      <c r="U400" s="239"/>
      <c r="V400" s="239"/>
      <c r="W400" s="246"/>
      <c r="X400" s="239"/>
      <c r="Y400" s="239"/>
      <c r="Z400" s="239"/>
      <c r="AA400" s="239"/>
      <c r="AB400" s="239"/>
      <c r="AC400" s="239"/>
      <c r="AD400" s="239"/>
      <c r="AE400" s="239"/>
      <c r="AF400" s="239"/>
      <c r="AG400" s="239"/>
      <c r="AH400" s="239"/>
      <c r="AI400" s="239"/>
      <c r="AJ400" s="239"/>
    </row>
    <row r="401">
      <c r="A401" s="239"/>
      <c r="B401" s="239"/>
      <c r="C401" s="239"/>
      <c r="D401" s="239"/>
      <c r="E401" s="239"/>
      <c r="F401" s="283"/>
      <c r="G401" s="239"/>
      <c r="H401" s="239"/>
      <c r="I401" s="239"/>
      <c r="J401" s="239"/>
      <c r="K401" s="239"/>
      <c r="L401" s="239"/>
      <c r="M401" s="239"/>
      <c r="N401" s="239"/>
      <c r="O401" s="239"/>
      <c r="P401" s="246"/>
      <c r="Q401" s="239"/>
      <c r="R401" s="239"/>
      <c r="S401" s="239"/>
      <c r="T401" s="239"/>
      <c r="U401" s="239"/>
      <c r="V401" s="239"/>
      <c r="W401" s="246"/>
      <c r="X401" s="239"/>
      <c r="Y401" s="239"/>
      <c r="Z401" s="239"/>
      <c r="AA401" s="239"/>
      <c r="AB401" s="239"/>
      <c r="AC401" s="239"/>
      <c r="AD401" s="239"/>
      <c r="AE401" s="239"/>
      <c r="AF401" s="239"/>
      <c r="AG401" s="239"/>
      <c r="AH401" s="239"/>
      <c r="AI401" s="239"/>
      <c r="AJ401" s="239"/>
    </row>
    <row r="402">
      <c r="A402" s="239"/>
      <c r="B402" s="239"/>
      <c r="C402" s="239"/>
      <c r="D402" s="239"/>
      <c r="E402" s="239"/>
      <c r="F402" s="283"/>
      <c r="G402" s="239"/>
      <c r="H402" s="239"/>
      <c r="I402" s="239"/>
      <c r="J402" s="239"/>
      <c r="K402" s="239"/>
      <c r="L402" s="239"/>
      <c r="M402" s="239"/>
      <c r="N402" s="239"/>
      <c r="O402" s="239"/>
      <c r="P402" s="246"/>
      <c r="Q402" s="239"/>
      <c r="R402" s="239"/>
      <c r="S402" s="239"/>
      <c r="T402" s="239"/>
      <c r="U402" s="239"/>
      <c r="V402" s="239"/>
      <c r="W402" s="246"/>
      <c r="X402" s="239"/>
      <c r="Y402" s="239"/>
      <c r="Z402" s="239"/>
      <c r="AA402" s="239"/>
      <c r="AB402" s="239"/>
      <c r="AC402" s="239"/>
      <c r="AD402" s="239"/>
      <c r="AE402" s="239"/>
      <c r="AF402" s="239"/>
      <c r="AG402" s="239"/>
      <c r="AH402" s="239"/>
      <c r="AI402" s="239"/>
      <c r="AJ402" s="239"/>
    </row>
    <row r="403">
      <c r="A403" s="239"/>
      <c r="B403" s="239"/>
      <c r="C403" s="239"/>
      <c r="D403" s="239"/>
      <c r="E403" s="239"/>
      <c r="F403" s="283"/>
      <c r="G403" s="239"/>
      <c r="H403" s="239"/>
      <c r="I403" s="239"/>
      <c r="J403" s="239"/>
      <c r="K403" s="239"/>
      <c r="L403" s="239"/>
      <c r="M403" s="239"/>
      <c r="N403" s="239"/>
      <c r="O403" s="239"/>
      <c r="P403" s="246"/>
      <c r="Q403" s="239"/>
      <c r="R403" s="239"/>
      <c r="S403" s="239"/>
      <c r="T403" s="239"/>
      <c r="U403" s="239"/>
      <c r="V403" s="239"/>
      <c r="W403" s="246"/>
      <c r="X403" s="239"/>
      <c r="Y403" s="239"/>
      <c r="Z403" s="239"/>
      <c r="AA403" s="239"/>
      <c r="AB403" s="239"/>
      <c r="AC403" s="239"/>
      <c r="AD403" s="239"/>
      <c r="AE403" s="239"/>
      <c r="AF403" s="239"/>
      <c r="AG403" s="239"/>
      <c r="AH403" s="239"/>
      <c r="AI403" s="239"/>
      <c r="AJ403" s="239"/>
    </row>
    <row r="404">
      <c r="A404" s="239"/>
      <c r="B404" s="239"/>
      <c r="C404" s="239"/>
      <c r="D404" s="239"/>
      <c r="E404" s="239"/>
      <c r="F404" s="283"/>
      <c r="G404" s="239"/>
      <c r="H404" s="239"/>
      <c r="I404" s="239"/>
      <c r="J404" s="239"/>
      <c r="K404" s="239"/>
      <c r="L404" s="239"/>
      <c r="M404" s="239"/>
      <c r="N404" s="239"/>
      <c r="O404" s="239"/>
      <c r="P404" s="246"/>
      <c r="Q404" s="239"/>
      <c r="R404" s="239"/>
      <c r="S404" s="239"/>
      <c r="T404" s="239"/>
      <c r="U404" s="239"/>
      <c r="V404" s="239"/>
      <c r="W404" s="246"/>
      <c r="X404" s="239"/>
      <c r="Y404" s="239"/>
      <c r="Z404" s="239"/>
      <c r="AA404" s="239"/>
      <c r="AB404" s="239"/>
      <c r="AC404" s="239"/>
      <c r="AD404" s="239"/>
      <c r="AE404" s="239"/>
      <c r="AF404" s="239"/>
      <c r="AG404" s="239"/>
      <c r="AH404" s="239"/>
      <c r="AI404" s="239"/>
      <c r="AJ404" s="239"/>
    </row>
    <row r="405">
      <c r="A405" s="239"/>
      <c r="B405" s="239"/>
      <c r="C405" s="239"/>
      <c r="D405" s="239"/>
      <c r="E405" s="239"/>
      <c r="F405" s="283"/>
      <c r="G405" s="239"/>
      <c r="H405" s="239"/>
      <c r="I405" s="239"/>
      <c r="J405" s="239"/>
      <c r="K405" s="239"/>
      <c r="L405" s="239"/>
      <c r="M405" s="239"/>
      <c r="N405" s="239"/>
      <c r="O405" s="239"/>
      <c r="P405" s="246"/>
      <c r="Q405" s="239"/>
      <c r="R405" s="239"/>
      <c r="S405" s="239"/>
      <c r="T405" s="239"/>
      <c r="U405" s="239"/>
      <c r="V405" s="239"/>
      <c r="W405" s="246"/>
      <c r="X405" s="239"/>
      <c r="Y405" s="239"/>
      <c r="Z405" s="239"/>
      <c r="AA405" s="239"/>
      <c r="AB405" s="239"/>
      <c r="AC405" s="239"/>
      <c r="AD405" s="239"/>
      <c r="AE405" s="239"/>
      <c r="AF405" s="239"/>
      <c r="AG405" s="239"/>
      <c r="AH405" s="239"/>
      <c r="AI405" s="239"/>
      <c r="AJ405" s="239"/>
    </row>
    <row r="406">
      <c r="A406" s="239"/>
      <c r="B406" s="239"/>
      <c r="C406" s="239"/>
      <c r="D406" s="239"/>
      <c r="E406" s="239"/>
      <c r="F406" s="283"/>
      <c r="G406" s="239"/>
      <c r="H406" s="239"/>
      <c r="I406" s="239"/>
      <c r="J406" s="239"/>
      <c r="K406" s="239"/>
      <c r="L406" s="239"/>
      <c r="M406" s="239"/>
      <c r="N406" s="239"/>
      <c r="O406" s="239"/>
      <c r="P406" s="246"/>
      <c r="Q406" s="239"/>
      <c r="R406" s="239"/>
      <c r="S406" s="239"/>
      <c r="T406" s="239"/>
      <c r="U406" s="239"/>
      <c r="V406" s="239"/>
      <c r="W406" s="246"/>
      <c r="X406" s="239"/>
      <c r="Y406" s="239"/>
      <c r="Z406" s="239"/>
      <c r="AA406" s="239"/>
      <c r="AB406" s="239"/>
      <c r="AC406" s="239"/>
      <c r="AD406" s="239"/>
      <c r="AE406" s="239"/>
      <c r="AF406" s="239"/>
      <c r="AG406" s="239"/>
      <c r="AH406" s="239"/>
      <c r="AI406" s="239"/>
      <c r="AJ406" s="239"/>
    </row>
    <row r="407">
      <c r="A407" s="239"/>
      <c r="B407" s="239"/>
      <c r="C407" s="239"/>
      <c r="D407" s="239"/>
      <c r="E407" s="239"/>
      <c r="F407" s="283"/>
      <c r="G407" s="239"/>
      <c r="H407" s="239"/>
      <c r="I407" s="239"/>
      <c r="J407" s="239"/>
      <c r="K407" s="239"/>
      <c r="L407" s="239"/>
      <c r="M407" s="239"/>
      <c r="N407" s="239"/>
      <c r="O407" s="239"/>
      <c r="P407" s="246"/>
      <c r="Q407" s="239"/>
      <c r="R407" s="239"/>
      <c r="S407" s="239"/>
      <c r="T407" s="239"/>
      <c r="U407" s="239"/>
      <c r="V407" s="239"/>
      <c r="W407" s="246"/>
      <c r="X407" s="239"/>
      <c r="Y407" s="239"/>
      <c r="Z407" s="239"/>
      <c r="AA407" s="239"/>
      <c r="AB407" s="239"/>
      <c r="AC407" s="239"/>
      <c r="AD407" s="239"/>
      <c r="AE407" s="239"/>
      <c r="AF407" s="239"/>
      <c r="AG407" s="239"/>
      <c r="AH407" s="239"/>
      <c r="AI407" s="239"/>
      <c r="AJ407" s="239"/>
    </row>
    <row r="408">
      <c r="A408" s="239"/>
      <c r="B408" s="239"/>
      <c r="C408" s="239"/>
      <c r="D408" s="239"/>
      <c r="E408" s="239"/>
      <c r="F408" s="283"/>
      <c r="G408" s="239"/>
      <c r="H408" s="239"/>
      <c r="I408" s="239"/>
      <c r="J408" s="239"/>
      <c r="K408" s="239"/>
      <c r="L408" s="239"/>
      <c r="M408" s="239"/>
      <c r="N408" s="239"/>
      <c r="O408" s="239"/>
      <c r="P408" s="246"/>
      <c r="Q408" s="239"/>
      <c r="R408" s="239"/>
      <c r="S408" s="239"/>
      <c r="T408" s="239"/>
      <c r="U408" s="239"/>
      <c r="V408" s="239"/>
      <c r="W408" s="246"/>
      <c r="X408" s="239"/>
      <c r="Y408" s="239"/>
      <c r="Z408" s="239"/>
      <c r="AA408" s="239"/>
      <c r="AB408" s="239"/>
      <c r="AC408" s="239"/>
      <c r="AD408" s="239"/>
      <c r="AE408" s="239"/>
      <c r="AF408" s="239"/>
      <c r="AG408" s="239"/>
      <c r="AH408" s="239"/>
      <c r="AI408" s="239"/>
      <c r="AJ408" s="239"/>
    </row>
    <row r="409">
      <c r="A409" s="239"/>
      <c r="B409" s="239"/>
      <c r="C409" s="239"/>
      <c r="D409" s="239"/>
      <c r="E409" s="239"/>
      <c r="F409" s="283"/>
      <c r="G409" s="239"/>
      <c r="H409" s="239"/>
      <c r="I409" s="239"/>
      <c r="J409" s="239"/>
      <c r="K409" s="239"/>
      <c r="L409" s="239"/>
      <c r="M409" s="239"/>
      <c r="N409" s="239"/>
      <c r="O409" s="239"/>
      <c r="P409" s="246"/>
      <c r="Q409" s="239"/>
      <c r="R409" s="239"/>
      <c r="S409" s="239"/>
      <c r="T409" s="239"/>
      <c r="U409" s="239"/>
      <c r="V409" s="239"/>
      <c r="W409" s="246"/>
      <c r="X409" s="239"/>
      <c r="Y409" s="239"/>
      <c r="Z409" s="239"/>
      <c r="AA409" s="239"/>
      <c r="AB409" s="239"/>
      <c r="AC409" s="239"/>
      <c r="AD409" s="239"/>
      <c r="AE409" s="239"/>
      <c r="AF409" s="239"/>
      <c r="AG409" s="239"/>
      <c r="AH409" s="239"/>
      <c r="AI409" s="239"/>
      <c r="AJ409" s="239"/>
    </row>
    <row r="410">
      <c r="A410" s="239"/>
      <c r="B410" s="239"/>
      <c r="C410" s="239"/>
      <c r="D410" s="239"/>
      <c r="E410" s="239"/>
      <c r="F410" s="283"/>
      <c r="G410" s="239"/>
      <c r="H410" s="239"/>
      <c r="I410" s="239"/>
      <c r="J410" s="239"/>
      <c r="K410" s="239"/>
      <c r="L410" s="239"/>
      <c r="M410" s="239"/>
      <c r="N410" s="239"/>
      <c r="O410" s="239"/>
      <c r="P410" s="246"/>
      <c r="Q410" s="239"/>
      <c r="R410" s="239"/>
      <c r="S410" s="239"/>
      <c r="T410" s="239"/>
      <c r="U410" s="239"/>
      <c r="V410" s="239"/>
      <c r="W410" s="246"/>
      <c r="X410" s="239"/>
      <c r="Y410" s="239"/>
      <c r="Z410" s="239"/>
      <c r="AA410" s="239"/>
      <c r="AB410" s="239"/>
      <c r="AC410" s="239"/>
      <c r="AD410" s="239"/>
      <c r="AE410" s="239"/>
      <c r="AF410" s="239"/>
      <c r="AG410" s="239"/>
      <c r="AH410" s="239"/>
      <c r="AI410" s="239"/>
      <c r="AJ410" s="239"/>
    </row>
    <row r="411">
      <c r="A411" s="239"/>
      <c r="B411" s="239"/>
      <c r="C411" s="239"/>
      <c r="D411" s="239"/>
      <c r="E411" s="239"/>
      <c r="F411" s="283"/>
      <c r="G411" s="239"/>
      <c r="H411" s="239"/>
      <c r="I411" s="239"/>
      <c r="J411" s="239"/>
      <c r="K411" s="239"/>
      <c r="L411" s="239"/>
      <c r="M411" s="239"/>
      <c r="N411" s="239"/>
      <c r="O411" s="239"/>
      <c r="P411" s="246"/>
      <c r="Q411" s="239"/>
      <c r="R411" s="239"/>
      <c r="S411" s="239"/>
      <c r="T411" s="239"/>
      <c r="U411" s="239"/>
      <c r="V411" s="239"/>
      <c r="W411" s="246"/>
      <c r="X411" s="239"/>
      <c r="Y411" s="239"/>
      <c r="Z411" s="239"/>
      <c r="AA411" s="239"/>
      <c r="AB411" s="239"/>
      <c r="AC411" s="239"/>
      <c r="AD411" s="239"/>
      <c r="AE411" s="239"/>
      <c r="AF411" s="239"/>
      <c r="AG411" s="239"/>
      <c r="AH411" s="239"/>
      <c r="AI411" s="239"/>
      <c r="AJ411" s="239"/>
    </row>
    <row r="412">
      <c r="A412" s="239"/>
      <c r="B412" s="239"/>
      <c r="C412" s="239"/>
      <c r="D412" s="239"/>
      <c r="E412" s="239"/>
      <c r="F412" s="283"/>
      <c r="G412" s="239"/>
      <c r="H412" s="239"/>
      <c r="I412" s="239"/>
      <c r="J412" s="239"/>
      <c r="K412" s="239"/>
      <c r="L412" s="239"/>
      <c r="M412" s="239"/>
      <c r="N412" s="239"/>
      <c r="O412" s="239"/>
      <c r="P412" s="246"/>
      <c r="Q412" s="239"/>
      <c r="R412" s="239"/>
      <c r="S412" s="239"/>
      <c r="T412" s="239"/>
      <c r="U412" s="239"/>
      <c r="V412" s="239"/>
      <c r="W412" s="246"/>
      <c r="X412" s="239"/>
      <c r="Y412" s="239"/>
      <c r="Z412" s="239"/>
      <c r="AA412" s="239"/>
      <c r="AB412" s="239"/>
      <c r="AC412" s="239"/>
      <c r="AD412" s="239"/>
      <c r="AE412" s="239"/>
      <c r="AF412" s="239"/>
      <c r="AG412" s="239"/>
      <c r="AH412" s="239"/>
      <c r="AI412" s="239"/>
      <c r="AJ412" s="239"/>
    </row>
    <row r="413">
      <c r="A413" s="239"/>
      <c r="B413" s="239"/>
      <c r="C413" s="239"/>
      <c r="D413" s="239"/>
      <c r="E413" s="239"/>
      <c r="F413" s="283"/>
      <c r="G413" s="239"/>
      <c r="H413" s="239"/>
      <c r="I413" s="239"/>
      <c r="J413" s="239"/>
      <c r="K413" s="239"/>
      <c r="L413" s="239"/>
      <c r="M413" s="239"/>
      <c r="N413" s="239"/>
      <c r="O413" s="239"/>
      <c r="P413" s="246"/>
      <c r="Q413" s="239"/>
      <c r="R413" s="239"/>
      <c r="S413" s="239"/>
      <c r="T413" s="239"/>
      <c r="U413" s="239"/>
      <c r="V413" s="239"/>
      <c r="W413" s="246"/>
      <c r="X413" s="239"/>
      <c r="Y413" s="239"/>
      <c r="Z413" s="239"/>
      <c r="AA413" s="239"/>
      <c r="AB413" s="239"/>
      <c r="AC413" s="239"/>
      <c r="AD413" s="239"/>
      <c r="AE413" s="239"/>
      <c r="AF413" s="239"/>
      <c r="AG413" s="239"/>
      <c r="AH413" s="239"/>
      <c r="AI413" s="239"/>
      <c r="AJ413" s="239"/>
    </row>
    <row r="414">
      <c r="A414" s="239"/>
      <c r="B414" s="239"/>
      <c r="C414" s="239"/>
      <c r="D414" s="239"/>
      <c r="E414" s="239"/>
      <c r="F414" s="283"/>
      <c r="G414" s="239"/>
      <c r="H414" s="239"/>
      <c r="I414" s="239"/>
      <c r="J414" s="239"/>
      <c r="K414" s="239"/>
      <c r="L414" s="239"/>
      <c r="M414" s="239"/>
      <c r="N414" s="239"/>
      <c r="O414" s="239"/>
      <c r="P414" s="246"/>
      <c r="Q414" s="239"/>
      <c r="R414" s="239"/>
      <c r="S414" s="239"/>
      <c r="T414" s="239"/>
      <c r="U414" s="239"/>
      <c r="V414" s="239"/>
      <c r="W414" s="246"/>
      <c r="X414" s="239"/>
      <c r="Y414" s="239"/>
      <c r="Z414" s="239"/>
      <c r="AA414" s="239"/>
      <c r="AB414" s="239"/>
      <c r="AC414" s="239"/>
      <c r="AD414" s="239"/>
      <c r="AE414" s="239"/>
      <c r="AF414" s="239"/>
      <c r="AG414" s="239"/>
      <c r="AH414" s="239"/>
      <c r="AI414" s="239"/>
      <c r="AJ414" s="239"/>
    </row>
    <row r="415">
      <c r="A415" s="239"/>
      <c r="B415" s="239"/>
      <c r="C415" s="239"/>
      <c r="D415" s="239"/>
      <c r="E415" s="239"/>
      <c r="F415" s="283"/>
      <c r="G415" s="239"/>
      <c r="H415" s="239"/>
      <c r="I415" s="239"/>
      <c r="J415" s="239"/>
      <c r="K415" s="239"/>
      <c r="L415" s="239"/>
      <c r="M415" s="239"/>
      <c r="N415" s="239"/>
      <c r="O415" s="239"/>
      <c r="P415" s="246"/>
      <c r="Q415" s="239"/>
      <c r="R415" s="239"/>
      <c r="S415" s="239"/>
      <c r="T415" s="239"/>
      <c r="U415" s="239"/>
      <c r="V415" s="239"/>
      <c r="W415" s="246"/>
      <c r="X415" s="239"/>
      <c r="Y415" s="239"/>
      <c r="Z415" s="239"/>
      <c r="AA415" s="239"/>
      <c r="AB415" s="239"/>
      <c r="AC415" s="239"/>
      <c r="AD415" s="239"/>
      <c r="AE415" s="239"/>
      <c r="AF415" s="239"/>
      <c r="AG415" s="239"/>
      <c r="AH415" s="239"/>
      <c r="AI415" s="239"/>
      <c r="AJ415" s="239"/>
    </row>
    <row r="416">
      <c r="A416" s="239"/>
      <c r="B416" s="239"/>
      <c r="C416" s="239"/>
      <c r="D416" s="239"/>
      <c r="E416" s="239"/>
      <c r="F416" s="283"/>
      <c r="G416" s="239"/>
      <c r="H416" s="239"/>
      <c r="I416" s="239"/>
      <c r="J416" s="239"/>
      <c r="K416" s="239"/>
      <c r="L416" s="239"/>
      <c r="M416" s="239"/>
      <c r="N416" s="239"/>
      <c r="O416" s="239"/>
      <c r="P416" s="246"/>
      <c r="Q416" s="239"/>
      <c r="R416" s="239"/>
      <c r="S416" s="239"/>
      <c r="T416" s="239"/>
      <c r="U416" s="239"/>
      <c r="V416" s="239"/>
      <c r="W416" s="246"/>
      <c r="X416" s="239"/>
      <c r="Y416" s="239"/>
      <c r="Z416" s="239"/>
      <c r="AA416" s="239"/>
      <c r="AB416" s="239"/>
      <c r="AC416" s="239"/>
      <c r="AD416" s="239"/>
      <c r="AE416" s="239"/>
      <c r="AF416" s="239"/>
      <c r="AG416" s="239"/>
      <c r="AH416" s="239"/>
      <c r="AI416" s="239"/>
      <c r="AJ416" s="239"/>
    </row>
    <row r="417">
      <c r="A417" s="239"/>
      <c r="B417" s="239"/>
      <c r="C417" s="239"/>
      <c r="D417" s="239"/>
      <c r="E417" s="239"/>
      <c r="F417" s="283"/>
      <c r="G417" s="239"/>
      <c r="H417" s="239"/>
      <c r="I417" s="239"/>
      <c r="J417" s="239"/>
      <c r="K417" s="239"/>
      <c r="L417" s="239"/>
      <c r="M417" s="239"/>
      <c r="N417" s="239"/>
      <c r="O417" s="239"/>
      <c r="P417" s="246"/>
      <c r="Q417" s="239"/>
      <c r="R417" s="239"/>
      <c r="S417" s="239"/>
      <c r="T417" s="239"/>
      <c r="U417" s="239"/>
      <c r="V417" s="239"/>
      <c r="W417" s="246"/>
      <c r="X417" s="239"/>
      <c r="Y417" s="239"/>
      <c r="Z417" s="239"/>
      <c r="AA417" s="239"/>
      <c r="AB417" s="239"/>
      <c r="AC417" s="239"/>
      <c r="AD417" s="239"/>
      <c r="AE417" s="239"/>
      <c r="AF417" s="239"/>
      <c r="AG417" s="239"/>
      <c r="AH417" s="239"/>
      <c r="AI417" s="239"/>
      <c r="AJ417" s="239"/>
    </row>
    <row r="418">
      <c r="A418" s="239"/>
      <c r="B418" s="239"/>
      <c r="C418" s="239"/>
      <c r="D418" s="239"/>
      <c r="E418" s="239"/>
      <c r="F418" s="283"/>
      <c r="G418" s="239"/>
      <c r="H418" s="239"/>
      <c r="I418" s="239"/>
      <c r="J418" s="239"/>
      <c r="K418" s="239"/>
      <c r="L418" s="239"/>
      <c r="M418" s="239"/>
      <c r="N418" s="239"/>
      <c r="O418" s="239"/>
      <c r="P418" s="246"/>
      <c r="Q418" s="239"/>
      <c r="R418" s="239"/>
      <c r="S418" s="239"/>
      <c r="T418" s="239"/>
      <c r="U418" s="239"/>
      <c r="V418" s="239"/>
      <c r="W418" s="246"/>
      <c r="X418" s="239"/>
      <c r="Y418" s="239"/>
      <c r="Z418" s="239"/>
      <c r="AA418" s="239"/>
      <c r="AB418" s="239"/>
      <c r="AC418" s="239"/>
      <c r="AD418" s="239"/>
      <c r="AE418" s="239"/>
      <c r="AF418" s="239"/>
      <c r="AG418" s="239"/>
      <c r="AH418" s="239"/>
      <c r="AI418" s="239"/>
      <c r="AJ418" s="239"/>
    </row>
    <row r="419">
      <c r="A419" s="239"/>
      <c r="B419" s="239"/>
      <c r="C419" s="239"/>
      <c r="D419" s="239"/>
      <c r="E419" s="239"/>
      <c r="F419" s="283"/>
      <c r="G419" s="239"/>
      <c r="H419" s="239"/>
      <c r="I419" s="239"/>
      <c r="J419" s="239"/>
      <c r="K419" s="239"/>
      <c r="L419" s="239"/>
      <c r="M419" s="239"/>
      <c r="N419" s="239"/>
      <c r="O419" s="239"/>
      <c r="P419" s="246"/>
      <c r="Q419" s="239"/>
      <c r="R419" s="239"/>
      <c r="S419" s="239"/>
      <c r="T419" s="239"/>
      <c r="U419" s="239"/>
      <c r="V419" s="239"/>
      <c r="W419" s="246"/>
      <c r="X419" s="239"/>
      <c r="Y419" s="239"/>
      <c r="Z419" s="239"/>
      <c r="AA419" s="239"/>
      <c r="AB419" s="239"/>
      <c r="AC419" s="239"/>
      <c r="AD419" s="239"/>
      <c r="AE419" s="239"/>
      <c r="AF419" s="239"/>
      <c r="AG419" s="239"/>
      <c r="AH419" s="239"/>
      <c r="AI419" s="239"/>
      <c r="AJ419" s="239"/>
    </row>
    <row r="420">
      <c r="A420" s="239"/>
      <c r="B420" s="239"/>
      <c r="C420" s="239"/>
      <c r="D420" s="239"/>
      <c r="E420" s="239"/>
      <c r="F420" s="283"/>
      <c r="G420" s="239"/>
      <c r="H420" s="239"/>
      <c r="I420" s="239"/>
      <c r="J420" s="239"/>
      <c r="K420" s="239"/>
      <c r="L420" s="239"/>
      <c r="M420" s="239"/>
      <c r="N420" s="239"/>
      <c r="O420" s="239"/>
      <c r="P420" s="246"/>
      <c r="Q420" s="239"/>
      <c r="R420" s="239"/>
      <c r="S420" s="239"/>
      <c r="T420" s="239"/>
      <c r="U420" s="239"/>
      <c r="V420" s="239"/>
      <c r="W420" s="246"/>
      <c r="X420" s="239"/>
      <c r="Y420" s="239"/>
      <c r="Z420" s="239"/>
      <c r="AA420" s="239"/>
      <c r="AB420" s="239"/>
      <c r="AC420" s="239"/>
      <c r="AD420" s="239"/>
      <c r="AE420" s="239"/>
      <c r="AF420" s="239"/>
      <c r="AG420" s="239"/>
      <c r="AH420" s="239"/>
      <c r="AI420" s="239"/>
      <c r="AJ420" s="239"/>
    </row>
    <row r="421">
      <c r="A421" s="239"/>
      <c r="B421" s="239"/>
      <c r="C421" s="239"/>
      <c r="D421" s="239"/>
      <c r="E421" s="239"/>
      <c r="F421" s="283"/>
      <c r="G421" s="239"/>
      <c r="H421" s="239"/>
      <c r="I421" s="239"/>
      <c r="J421" s="239"/>
      <c r="K421" s="239"/>
      <c r="L421" s="239"/>
      <c r="M421" s="239"/>
      <c r="N421" s="239"/>
      <c r="O421" s="239"/>
      <c r="P421" s="246"/>
      <c r="Q421" s="239"/>
      <c r="R421" s="239"/>
      <c r="S421" s="239"/>
      <c r="T421" s="239"/>
      <c r="U421" s="239"/>
      <c r="V421" s="239"/>
      <c r="W421" s="246"/>
      <c r="X421" s="239"/>
      <c r="Y421" s="239"/>
      <c r="Z421" s="239"/>
      <c r="AA421" s="239"/>
      <c r="AB421" s="239"/>
      <c r="AC421" s="239"/>
      <c r="AD421" s="239"/>
      <c r="AE421" s="239"/>
      <c r="AF421" s="239"/>
      <c r="AG421" s="239"/>
      <c r="AH421" s="239"/>
      <c r="AI421" s="239"/>
      <c r="AJ421" s="239"/>
    </row>
    <row r="422">
      <c r="A422" s="239"/>
      <c r="B422" s="239"/>
      <c r="C422" s="239"/>
      <c r="D422" s="239"/>
      <c r="E422" s="239"/>
      <c r="F422" s="283"/>
      <c r="G422" s="239"/>
      <c r="H422" s="239"/>
      <c r="I422" s="239"/>
      <c r="J422" s="239"/>
      <c r="K422" s="239"/>
      <c r="L422" s="239"/>
      <c r="M422" s="239"/>
      <c r="N422" s="239"/>
      <c r="O422" s="239"/>
      <c r="P422" s="246"/>
      <c r="Q422" s="239"/>
      <c r="R422" s="239"/>
      <c r="S422" s="239"/>
      <c r="T422" s="239"/>
      <c r="U422" s="239"/>
      <c r="V422" s="239"/>
      <c r="W422" s="246"/>
      <c r="X422" s="239"/>
      <c r="Y422" s="239"/>
      <c r="Z422" s="239"/>
      <c r="AA422" s="239"/>
      <c r="AB422" s="239"/>
      <c r="AC422" s="239"/>
      <c r="AD422" s="239"/>
      <c r="AE422" s="239"/>
      <c r="AF422" s="239"/>
      <c r="AG422" s="239"/>
      <c r="AH422" s="239"/>
      <c r="AI422" s="239"/>
      <c r="AJ422" s="239"/>
    </row>
    <row r="423">
      <c r="A423" s="239"/>
      <c r="B423" s="239"/>
      <c r="C423" s="239"/>
      <c r="D423" s="239"/>
      <c r="E423" s="239"/>
      <c r="F423" s="283"/>
      <c r="G423" s="239"/>
      <c r="H423" s="239"/>
      <c r="I423" s="239"/>
      <c r="J423" s="239"/>
      <c r="K423" s="239"/>
      <c r="L423" s="239"/>
      <c r="M423" s="239"/>
      <c r="N423" s="239"/>
      <c r="O423" s="239"/>
      <c r="P423" s="246"/>
      <c r="Q423" s="239"/>
      <c r="R423" s="239"/>
      <c r="S423" s="239"/>
      <c r="T423" s="239"/>
      <c r="U423" s="239"/>
      <c r="V423" s="239"/>
      <c r="W423" s="246"/>
      <c r="X423" s="239"/>
      <c r="Y423" s="239"/>
      <c r="Z423" s="239"/>
      <c r="AA423" s="239"/>
      <c r="AB423" s="239"/>
      <c r="AC423" s="239"/>
      <c r="AD423" s="239"/>
      <c r="AE423" s="239"/>
      <c r="AF423" s="239"/>
      <c r="AG423" s="239"/>
      <c r="AH423" s="239"/>
      <c r="AI423" s="239"/>
      <c r="AJ423" s="239"/>
    </row>
    <row r="424">
      <c r="A424" s="239"/>
      <c r="B424" s="239"/>
      <c r="C424" s="239"/>
      <c r="D424" s="239"/>
      <c r="E424" s="239"/>
      <c r="F424" s="283"/>
      <c r="G424" s="239"/>
      <c r="H424" s="239"/>
      <c r="I424" s="239"/>
      <c r="J424" s="239"/>
      <c r="K424" s="239"/>
      <c r="L424" s="239"/>
      <c r="M424" s="239"/>
      <c r="N424" s="239"/>
      <c r="O424" s="239"/>
      <c r="P424" s="246"/>
      <c r="Q424" s="239"/>
      <c r="R424" s="239"/>
      <c r="S424" s="239"/>
      <c r="T424" s="239"/>
      <c r="U424" s="239"/>
      <c r="V424" s="239"/>
      <c r="W424" s="246"/>
      <c r="X424" s="239"/>
      <c r="Y424" s="239"/>
      <c r="Z424" s="239"/>
      <c r="AA424" s="239"/>
      <c r="AB424" s="239"/>
      <c r="AC424" s="239"/>
      <c r="AD424" s="239"/>
      <c r="AE424" s="239"/>
      <c r="AF424" s="239"/>
      <c r="AG424" s="239"/>
      <c r="AH424" s="239"/>
      <c r="AI424" s="239"/>
      <c r="AJ424" s="239"/>
    </row>
    <row r="425">
      <c r="A425" s="239"/>
      <c r="B425" s="239"/>
      <c r="C425" s="239"/>
      <c r="D425" s="239"/>
      <c r="E425" s="239"/>
      <c r="F425" s="283"/>
      <c r="G425" s="239"/>
      <c r="H425" s="239"/>
      <c r="I425" s="239"/>
      <c r="J425" s="239"/>
      <c r="K425" s="239"/>
      <c r="L425" s="239"/>
      <c r="M425" s="239"/>
      <c r="N425" s="239"/>
      <c r="O425" s="239"/>
      <c r="P425" s="246"/>
      <c r="Q425" s="239"/>
      <c r="R425" s="239"/>
      <c r="S425" s="239"/>
      <c r="T425" s="239"/>
      <c r="U425" s="239"/>
      <c r="V425" s="239"/>
      <c r="W425" s="246"/>
      <c r="X425" s="239"/>
      <c r="Y425" s="239"/>
      <c r="Z425" s="239"/>
      <c r="AA425" s="239"/>
      <c r="AB425" s="239"/>
      <c r="AC425" s="239"/>
      <c r="AD425" s="239"/>
      <c r="AE425" s="239"/>
      <c r="AF425" s="239"/>
      <c r="AG425" s="239"/>
      <c r="AH425" s="239"/>
      <c r="AI425" s="239"/>
      <c r="AJ425" s="239"/>
    </row>
    <row r="426">
      <c r="A426" s="239"/>
      <c r="B426" s="239"/>
      <c r="C426" s="239"/>
      <c r="D426" s="239"/>
      <c r="E426" s="239"/>
      <c r="F426" s="283"/>
      <c r="G426" s="239"/>
      <c r="H426" s="239"/>
      <c r="I426" s="239"/>
      <c r="J426" s="239"/>
      <c r="K426" s="239"/>
      <c r="L426" s="239"/>
      <c r="M426" s="239"/>
      <c r="N426" s="239"/>
      <c r="O426" s="239"/>
      <c r="P426" s="246"/>
      <c r="Q426" s="239"/>
      <c r="R426" s="239"/>
      <c r="S426" s="239"/>
      <c r="T426" s="239"/>
      <c r="U426" s="239"/>
      <c r="V426" s="239"/>
      <c r="W426" s="246"/>
      <c r="X426" s="239"/>
      <c r="Y426" s="239"/>
      <c r="Z426" s="239"/>
      <c r="AA426" s="239"/>
      <c r="AB426" s="239"/>
      <c r="AC426" s="239"/>
      <c r="AD426" s="239"/>
      <c r="AE426" s="239"/>
      <c r="AF426" s="239"/>
      <c r="AG426" s="239"/>
      <c r="AH426" s="239"/>
      <c r="AI426" s="239"/>
      <c r="AJ426" s="239"/>
    </row>
    <row r="427">
      <c r="A427" s="239"/>
      <c r="B427" s="239"/>
      <c r="C427" s="239"/>
      <c r="D427" s="239"/>
      <c r="E427" s="239"/>
      <c r="F427" s="283"/>
      <c r="G427" s="239"/>
      <c r="H427" s="239"/>
      <c r="I427" s="239"/>
      <c r="J427" s="239"/>
      <c r="K427" s="239"/>
      <c r="L427" s="239"/>
      <c r="M427" s="239"/>
      <c r="N427" s="239"/>
      <c r="O427" s="239"/>
      <c r="P427" s="246"/>
      <c r="Q427" s="239"/>
      <c r="R427" s="239"/>
      <c r="S427" s="239"/>
      <c r="T427" s="239"/>
      <c r="U427" s="239"/>
      <c r="V427" s="239"/>
      <c r="W427" s="246"/>
      <c r="X427" s="239"/>
      <c r="Y427" s="239"/>
      <c r="Z427" s="239"/>
      <c r="AA427" s="239"/>
      <c r="AB427" s="239"/>
      <c r="AC427" s="239"/>
      <c r="AD427" s="239"/>
      <c r="AE427" s="239"/>
      <c r="AF427" s="239"/>
      <c r="AG427" s="239"/>
      <c r="AH427" s="239"/>
      <c r="AI427" s="239"/>
      <c r="AJ427" s="239"/>
    </row>
    <row r="428">
      <c r="A428" s="239"/>
      <c r="B428" s="239"/>
      <c r="C428" s="239"/>
      <c r="D428" s="239"/>
      <c r="E428" s="239"/>
      <c r="F428" s="283"/>
      <c r="G428" s="239"/>
      <c r="H428" s="239"/>
      <c r="I428" s="239"/>
      <c r="J428" s="239"/>
      <c r="K428" s="239"/>
      <c r="L428" s="239"/>
      <c r="M428" s="239"/>
      <c r="N428" s="239"/>
      <c r="O428" s="239"/>
      <c r="P428" s="246"/>
      <c r="Q428" s="239"/>
      <c r="R428" s="239"/>
      <c r="S428" s="239"/>
      <c r="T428" s="239"/>
      <c r="U428" s="239"/>
      <c r="V428" s="239"/>
      <c r="W428" s="246"/>
      <c r="X428" s="239"/>
      <c r="Y428" s="239"/>
      <c r="Z428" s="239"/>
      <c r="AA428" s="239"/>
      <c r="AB428" s="239"/>
      <c r="AC428" s="239"/>
      <c r="AD428" s="239"/>
      <c r="AE428" s="239"/>
      <c r="AF428" s="239"/>
      <c r="AG428" s="239"/>
      <c r="AH428" s="239"/>
      <c r="AI428" s="239"/>
      <c r="AJ428" s="239"/>
    </row>
    <row r="429">
      <c r="A429" s="239"/>
      <c r="B429" s="239"/>
      <c r="C429" s="239"/>
      <c r="D429" s="239"/>
      <c r="E429" s="239"/>
      <c r="F429" s="283"/>
      <c r="G429" s="239"/>
      <c r="H429" s="239"/>
      <c r="I429" s="239"/>
      <c r="J429" s="239"/>
      <c r="K429" s="239"/>
      <c r="L429" s="239"/>
      <c r="M429" s="239"/>
      <c r="N429" s="239"/>
      <c r="O429" s="239"/>
      <c r="P429" s="246"/>
      <c r="Q429" s="239"/>
      <c r="R429" s="239"/>
      <c r="S429" s="239"/>
      <c r="T429" s="239"/>
      <c r="U429" s="239"/>
      <c r="V429" s="239"/>
      <c r="W429" s="246"/>
      <c r="X429" s="239"/>
      <c r="Y429" s="239"/>
      <c r="Z429" s="239"/>
      <c r="AA429" s="239"/>
      <c r="AB429" s="239"/>
      <c r="AC429" s="239"/>
      <c r="AD429" s="239"/>
      <c r="AE429" s="239"/>
      <c r="AF429" s="239"/>
      <c r="AG429" s="239"/>
      <c r="AH429" s="239"/>
      <c r="AI429" s="239"/>
      <c r="AJ429" s="239"/>
    </row>
    <row r="430">
      <c r="A430" s="239"/>
      <c r="B430" s="239"/>
      <c r="C430" s="239"/>
      <c r="D430" s="239"/>
      <c r="E430" s="239"/>
      <c r="F430" s="283"/>
      <c r="G430" s="239"/>
      <c r="H430" s="239"/>
      <c r="I430" s="239"/>
      <c r="J430" s="239"/>
      <c r="K430" s="239"/>
      <c r="L430" s="239"/>
      <c r="M430" s="239"/>
      <c r="N430" s="239"/>
      <c r="O430" s="239"/>
      <c r="P430" s="246"/>
      <c r="Q430" s="239"/>
      <c r="R430" s="239"/>
      <c r="S430" s="239"/>
      <c r="T430" s="239"/>
      <c r="U430" s="239"/>
      <c r="V430" s="239"/>
      <c r="W430" s="246"/>
      <c r="X430" s="239"/>
      <c r="Y430" s="239"/>
      <c r="Z430" s="239"/>
      <c r="AA430" s="239"/>
      <c r="AB430" s="239"/>
      <c r="AC430" s="239"/>
      <c r="AD430" s="239"/>
      <c r="AE430" s="239"/>
      <c r="AF430" s="239"/>
      <c r="AG430" s="239"/>
      <c r="AH430" s="239"/>
      <c r="AI430" s="239"/>
      <c r="AJ430" s="239"/>
    </row>
    <row r="431">
      <c r="A431" s="239"/>
      <c r="B431" s="239"/>
      <c r="C431" s="239"/>
      <c r="D431" s="239"/>
      <c r="E431" s="239"/>
      <c r="F431" s="283"/>
      <c r="G431" s="239"/>
      <c r="H431" s="239"/>
      <c r="I431" s="239"/>
      <c r="J431" s="239"/>
      <c r="K431" s="239"/>
      <c r="L431" s="239"/>
      <c r="M431" s="239"/>
      <c r="N431" s="239"/>
      <c r="O431" s="239"/>
      <c r="P431" s="246"/>
      <c r="Q431" s="239"/>
      <c r="R431" s="239"/>
      <c r="S431" s="239"/>
      <c r="T431" s="239"/>
      <c r="U431" s="239"/>
      <c r="V431" s="239"/>
      <c r="W431" s="246"/>
      <c r="X431" s="239"/>
      <c r="Y431" s="239"/>
      <c r="Z431" s="239"/>
      <c r="AA431" s="239"/>
      <c r="AB431" s="239"/>
      <c r="AC431" s="239"/>
      <c r="AD431" s="239"/>
      <c r="AE431" s="239"/>
      <c r="AF431" s="239"/>
      <c r="AG431" s="239"/>
      <c r="AH431" s="239"/>
      <c r="AI431" s="239"/>
      <c r="AJ431" s="239"/>
    </row>
    <row r="432">
      <c r="A432" s="239"/>
      <c r="B432" s="239"/>
      <c r="C432" s="239"/>
      <c r="D432" s="239"/>
      <c r="E432" s="239"/>
      <c r="F432" s="283"/>
      <c r="G432" s="239"/>
      <c r="H432" s="239"/>
      <c r="I432" s="239"/>
      <c r="J432" s="239"/>
      <c r="K432" s="239"/>
      <c r="L432" s="239"/>
      <c r="M432" s="239"/>
      <c r="N432" s="239"/>
      <c r="O432" s="239"/>
      <c r="P432" s="246"/>
      <c r="Q432" s="239"/>
      <c r="R432" s="239"/>
      <c r="S432" s="239"/>
      <c r="T432" s="239"/>
      <c r="U432" s="239"/>
      <c r="V432" s="239"/>
      <c r="W432" s="246"/>
      <c r="X432" s="239"/>
      <c r="Y432" s="239"/>
      <c r="Z432" s="239"/>
      <c r="AA432" s="239"/>
      <c r="AB432" s="239"/>
      <c r="AC432" s="239"/>
      <c r="AD432" s="239"/>
      <c r="AE432" s="239"/>
      <c r="AF432" s="239"/>
      <c r="AG432" s="239"/>
      <c r="AH432" s="239"/>
      <c r="AI432" s="239"/>
      <c r="AJ432" s="239"/>
    </row>
    <row r="433">
      <c r="A433" s="239"/>
      <c r="B433" s="239"/>
      <c r="C433" s="239"/>
      <c r="D433" s="239"/>
      <c r="E433" s="239"/>
      <c r="F433" s="283"/>
      <c r="G433" s="239"/>
      <c r="H433" s="239"/>
      <c r="I433" s="239"/>
      <c r="J433" s="239"/>
      <c r="K433" s="239"/>
      <c r="L433" s="239"/>
      <c r="M433" s="239"/>
      <c r="N433" s="239"/>
      <c r="O433" s="239"/>
      <c r="P433" s="246"/>
      <c r="Q433" s="239"/>
      <c r="R433" s="239"/>
      <c r="S433" s="239"/>
      <c r="T433" s="239"/>
      <c r="U433" s="239"/>
      <c r="V433" s="239"/>
      <c r="W433" s="246"/>
      <c r="X433" s="239"/>
      <c r="Y433" s="239"/>
      <c r="Z433" s="239"/>
      <c r="AA433" s="239"/>
      <c r="AB433" s="239"/>
      <c r="AC433" s="239"/>
      <c r="AD433" s="239"/>
      <c r="AE433" s="239"/>
      <c r="AF433" s="239"/>
      <c r="AG433" s="239"/>
      <c r="AH433" s="239"/>
      <c r="AI433" s="239"/>
      <c r="AJ433" s="239"/>
    </row>
    <row r="434">
      <c r="A434" s="239"/>
      <c r="B434" s="239"/>
      <c r="C434" s="239"/>
      <c r="D434" s="239"/>
      <c r="E434" s="239"/>
      <c r="F434" s="283"/>
      <c r="G434" s="239"/>
      <c r="H434" s="239"/>
      <c r="I434" s="239"/>
      <c r="J434" s="239"/>
      <c r="K434" s="239"/>
      <c r="L434" s="239"/>
      <c r="M434" s="239"/>
      <c r="N434" s="239"/>
      <c r="O434" s="239"/>
      <c r="P434" s="246"/>
      <c r="Q434" s="239"/>
      <c r="R434" s="239"/>
      <c r="S434" s="239"/>
      <c r="T434" s="239"/>
      <c r="U434" s="239"/>
      <c r="V434" s="239"/>
      <c r="W434" s="246"/>
      <c r="X434" s="239"/>
      <c r="Y434" s="239"/>
      <c r="Z434" s="239"/>
      <c r="AA434" s="239"/>
      <c r="AB434" s="239"/>
      <c r="AC434" s="239"/>
      <c r="AD434" s="239"/>
      <c r="AE434" s="239"/>
      <c r="AF434" s="239"/>
      <c r="AG434" s="239"/>
      <c r="AH434" s="239"/>
      <c r="AI434" s="239"/>
      <c r="AJ434" s="239"/>
    </row>
    <row r="435">
      <c r="A435" s="239"/>
      <c r="B435" s="239"/>
      <c r="C435" s="239"/>
      <c r="D435" s="239"/>
      <c r="E435" s="239"/>
      <c r="F435" s="283"/>
      <c r="G435" s="239"/>
      <c r="H435" s="239"/>
      <c r="I435" s="239"/>
      <c r="J435" s="239"/>
      <c r="K435" s="239"/>
      <c r="L435" s="239"/>
      <c r="M435" s="239"/>
      <c r="N435" s="239"/>
      <c r="O435" s="239"/>
      <c r="P435" s="246"/>
      <c r="Q435" s="239"/>
      <c r="R435" s="239"/>
      <c r="S435" s="239"/>
      <c r="T435" s="239"/>
      <c r="U435" s="239"/>
      <c r="V435" s="239"/>
      <c r="W435" s="246"/>
      <c r="X435" s="239"/>
      <c r="Y435" s="239"/>
      <c r="Z435" s="239"/>
      <c r="AA435" s="239"/>
      <c r="AB435" s="239"/>
      <c r="AC435" s="239"/>
      <c r="AD435" s="239"/>
      <c r="AE435" s="239"/>
      <c r="AF435" s="239"/>
      <c r="AG435" s="239"/>
      <c r="AH435" s="239"/>
      <c r="AI435" s="239"/>
      <c r="AJ435" s="239"/>
    </row>
    <row r="436">
      <c r="A436" s="239"/>
      <c r="B436" s="239"/>
      <c r="C436" s="239"/>
      <c r="D436" s="239"/>
      <c r="E436" s="239"/>
      <c r="F436" s="283"/>
      <c r="G436" s="239"/>
      <c r="H436" s="239"/>
      <c r="I436" s="239"/>
      <c r="J436" s="239"/>
      <c r="K436" s="239"/>
      <c r="L436" s="239"/>
      <c r="M436" s="239"/>
      <c r="N436" s="239"/>
      <c r="O436" s="239"/>
      <c r="P436" s="246"/>
      <c r="Q436" s="239"/>
      <c r="R436" s="239"/>
      <c r="S436" s="239"/>
      <c r="T436" s="239"/>
      <c r="U436" s="239"/>
      <c r="V436" s="239"/>
      <c r="W436" s="246"/>
      <c r="X436" s="239"/>
      <c r="Y436" s="239"/>
      <c r="Z436" s="239"/>
      <c r="AA436" s="239"/>
      <c r="AB436" s="239"/>
      <c r="AC436" s="239"/>
      <c r="AD436" s="239"/>
      <c r="AE436" s="239"/>
      <c r="AF436" s="239"/>
      <c r="AG436" s="239"/>
      <c r="AH436" s="239"/>
      <c r="AI436" s="239"/>
      <c r="AJ436" s="239"/>
    </row>
    <row r="437">
      <c r="A437" s="239"/>
      <c r="B437" s="239"/>
      <c r="C437" s="239"/>
      <c r="D437" s="239"/>
      <c r="E437" s="239"/>
      <c r="F437" s="283"/>
      <c r="G437" s="239"/>
      <c r="H437" s="239"/>
      <c r="I437" s="239"/>
      <c r="J437" s="239"/>
      <c r="K437" s="239"/>
      <c r="L437" s="239"/>
      <c r="M437" s="239"/>
      <c r="N437" s="239"/>
      <c r="O437" s="239"/>
      <c r="P437" s="246"/>
      <c r="Q437" s="239"/>
      <c r="R437" s="239"/>
      <c r="S437" s="239"/>
      <c r="T437" s="239"/>
      <c r="U437" s="239"/>
      <c r="V437" s="239"/>
      <c r="W437" s="246"/>
      <c r="X437" s="239"/>
      <c r="Y437" s="239"/>
      <c r="Z437" s="239"/>
      <c r="AA437" s="239"/>
      <c r="AB437" s="239"/>
      <c r="AC437" s="239"/>
      <c r="AD437" s="239"/>
      <c r="AE437" s="239"/>
      <c r="AF437" s="239"/>
      <c r="AG437" s="239"/>
      <c r="AH437" s="239"/>
      <c r="AI437" s="239"/>
      <c r="AJ437" s="239"/>
    </row>
    <row r="438">
      <c r="A438" s="239"/>
      <c r="B438" s="239"/>
      <c r="C438" s="239"/>
      <c r="D438" s="239"/>
      <c r="E438" s="239"/>
      <c r="F438" s="283"/>
      <c r="G438" s="239"/>
      <c r="H438" s="239"/>
      <c r="I438" s="239"/>
      <c r="J438" s="239"/>
      <c r="K438" s="239"/>
      <c r="L438" s="239"/>
      <c r="M438" s="239"/>
      <c r="N438" s="239"/>
      <c r="O438" s="239"/>
      <c r="P438" s="246"/>
      <c r="Q438" s="239"/>
      <c r="R438" s="239"/>
      <c r="S438" s="239"/>
      <c r="T438" s="239"/>
      <c r="U438" s="239"/>
      <c r="V438" s="239"/>
      <c r="W438" s="246"/>
      <c r="X438" s="239"/>
      <c r="Y438" s="239"/>
      <c r="Z438" s="239"/>
      <c r="AA438" s="239"/>
      <c r="AB438" s="239"/>
      <c r="AC438" s="239"/>
      <c r="AD438" s="239"/>
      <c r="AE438" s="239"/>
      <c r="AF438" s="239"/>
      <c r="AG438" s="239"/>
      <c r="AH438" s="239"/>
      <c r="AI438" s="239"/>
      <c r="AJ438" s="239"/>
    </row>
    <row r="439">
      <c r="A439" s="239"/>
      <c r="B439" s="239"/>
      <c r="C439" s="239"/>
      <c r="D439" s="239"/>
      <c r="E439" s="239"/>
      <c r="F439" s="283"/>
      <c r="G439" s="239"/>
      <c r="H439" s="239"/>
      <c r="I439" s="239"/>
      <c r="J439" s="239"/>
      <c r="K439" s="239"/>
      <c r="L439" s="239"/>
      <c r="M439" s="239"/>
      <c r="N439" s="239"/>
      <c r="O439" s="239"/>
      <c r="P439" s="246"/>
      <c r="Q439" s="239"/>
      <c r="R439" s="239"/>
      <c r="S439" s="239"/>
      <c r="T439" s="239"/>
      <c r="U439" s="239"/>
      <c r="V439" s="239"/>
      <c r="W439" s="246"/>
      <c r="X439" s="239"/>
      <c r="Y439" s="239"/>
      <c r="Z439" s="239"/>
      <c r="AA439" s="239"/>
      <c r="AB439" s="239"/>
      <c r="AC439" s="239"/>
      <c r="AD439" s="239"/>
      <c r="AE439" s="239"/>
      <c r="AF439" s="239"/>
      <c r="AG439" s="239"/>
      <c r="AH439" s="239"/>
      <c r="AI439" s="239"/>
      <c r="AJ439" s="239"/>
    </row>
    <row r="440">
      <c r="A440" s="239"/>
      <c r="B440" s="239"/>
      <c r="C440" s="239"/>
      <c r="D440" s="239"/>
      <c r="E440" s="239"/>
      <c r="F440" s="283"/>
      <c r="G440" s="239"/>
      <c r="H440" s="239"/>
      <c r="I440" s="239"/>
      <c r="J440" s="239"/>
      <c r="K440" s="239"/>
      <c r="L440" s="239"/>
      <c r="M440" s="239"/>
      <c r="N440" s="239"/>
      <c r="O440" s="239"/>
      <c r="P440" s="246"/>
      <c r="Q440" s="239"/>
      <c r="R440" s="239"/>
      <c r="S440" s="239"/>
      <c r="T440" s="239"/>
      <c r="U440" s="239"/>
      <c r="V440" s="239"/>
      <c r="W440" s="246"/>
      <c r="X440" s="239"/>
      <c r="Y440" s="239"/>
      <c r="Z440" s="239"/>
      <c r="AA440" s="239"/>
      <c r="AB440" s="239"/>
      <c r="AC440" s="239"/>
      <c r="AD440" s="239"/>
      <c r="AE440" s="239"/>
      <c r="AF440" s="239"/>
      <c r="AG440" s="239"/>
      <c r="AH440" s="239"/>
      <c r="AI440" s="239"/>
      <c r="AJ440" s="239"/>
    </row>
    <row r="441">
      <c r="A441" s="239"/>
      <c r="B441" s="239"/>
      <c r="C441" s="239"/>
      <c r="D441" s="239"/>
      <c r="E441" s="239"/>
      <c r="F441" s="283"/>
      <c r="G441" s="239"/>
      <c r="H441" s="239"/>
      <c r="I441" s="239"/>
      <c r="J441" s="239"/>
      <c r="K441" s="239"/>
      <c r="L441" s="239"/>
      <c r="M441" s="239"/>
      <c r="N441" s="239"/>
      <c r="O441" s="239"/>
      <c r="P441" s="246"/>
      <c r="Q441" s="239"/>
      <c r="R441" s="239"/>
      <c r="S441" s="239"/>
      <c r="T441" s="239"/>
      <c r="U441" s="239"/>
      <c r="V441" s="239"/>
      <c r="W441" s="246"/>
      <c r="X441" s="239"/>
      <c r="Y441" s="239"/>
      <c r="Z441" s="239"/>
      <c r="AA441" s="239"/>
      <c r="AB441" s="239"/>
      <c r="AC441" s="239"/>
      <c r="AD441" s="239"/>
      <c r="AE441" s="239"/>
      <c r="AF441" s="239"/>
      <c r="AG441" s="239"/>
      <c r="AH441" s="239"/>
      <c r="AI441" s="239"/>
      <c r="AJ441" s="239"/>
    </row>
    <row r="442">
      <c r="A442" s="239"/>
      <c r="B442" s="239"/>
      <c r="C442" s="239"/>
      <c r="D442" s="239"/>
      <c r="E442" s="239"/>
      <c r="F442" s="283"/>
      <c r="G442" s="239"/>
      <c r="H442" s="239"/>
      <c r="I442" s="239"/>
      <c r="J442" s="239"/>
      <c r="K442" s="239"/>
      <c r="L442" s="239"/>
      <c r="M442" s="239"/>
      <c r="N442" s="239"/>
      <c r="O442" s="239"/>
      <c r="P442" s="246"/>
      <c r="Q442" s="239"/>
      <c r="R442" s="239"/>
      <c r="S442" s="239"/>
      <c r="T442" s="239"/>
      <c r="U442" s="239"/>
      <c r="V442" s="239"/>
      <c r="W442" s="246"/>
      <c r="X442" s="239"/>
      <c r="Y442" s="239"/>
      <c r="Z442" s="239"/>
      <c r="AA442" s="239"/>
      <c r="AB442" s="239"/>
      <c r="AC442" s="239"/>
      <c r="AD442" s="239"/>
      <c r="AE442" s="239"/>
      <c r="AF442" s="239"/>
      <c r="AG442" s="239"/>
      <c r="AH442" s="239"/>
      <c r="AI442" s="239"/>
      <c r="AJ442" s="239"/>
    </row>
    <row r="443">
      <c r="A443" s="239"/>
      <c r="B443" s="239"/>
      <c r="C443" s="239"/>
      <c r="D443" s="239"/>
      <c r="E443" s="239"/>
      <c r="F443" s="283"/>
      <c r="G443" s="239"/>
      <c r="H443" s="239"/>
      <c r="I443" s="239"/>
      <c r="J443" s="239"/>
      <c r="K443" s="239"/>
      <c r="L443" s="239"/>
      <c r="M443" s="239"/>
      <c r="N443" s="239"/>
      <c r="O443" s="239"/>
      <c r="P443" s="246"/>
      <c r="Q443" s="239"/>
      <c r="R443" s="239"/>
      <c r="S443" s="239"/>
      <c r="T443" s="239"/>
      <c r="U443" s="239"/>
      <c r="V443" s="239"/>
      <c r="W443" s="246"/>
      <c r="X443" s="239"/>
      <c r="Y443" s="239"/>
      <c r="Z443" s="239"/>
      <c r="AA443" s="239"/>
      <c r="AB443" s="239"/>
      <c r="AC443" s="239"/>
      <c r="AD443" s="239"/>
      <c r="AE443" s="239"/>
      <c r="AF443" s="239"/>
      <c r="AG443" s="239"/>
      <c r="AH443" s="239"/>
      <c r="AI443" s="239"/>
      <c r="AJ443" s="239"/>
    </row>
    <row r="444">
      <c r="A444" s="239"/>
      <c r="B444" s="239"/>
      <c r="C444" s="239"/>
      <c r="D444" s="239"/>
      <c r="E444" s="239"/>
      <c r="F444" s="283"/>
      <c r="G444" s="239"/>
      <c r="H444" s="239"/>
      <c r="I444" s="239"/>
      <c r="J444" s="239"/>
      <c r="K444" s="239"/>
      <c r="L444" s="239"/>
      <c r="M444" s="239"/>
      <c r="N444" s="239"/>
      <c r="O444" s="239"/>
      <c r="P444" s="246"/>
      <c r="Q444" s="239"/>
      <c r="R444" s="239"/>
      <c r="S444" s="239"/>
      <c r="T444" s="239"/>
      <c r="U444" s="239"/>
      <c r="V444" s="239"/>
      <c r="W444" s="246"/>
      <c r="X444" s="239"/>
      <c r="Y444" s="239"/>
      <c r="Z444" s="239"/>
      <c r="AA444" s="239"/>
      <c r="AB444" s="239"/>
      <c r="AC444" s="239"/>
      <c r="AD444" s="239"/>
      <c r="AE444" s="239"/>
      <c r="AF444" s="239"/>
      <c r="AG444" s="239"/>
      <c r="AH444" s="239"/>
      <c r="AI444" s="239"/>
      <c r="AJ444" s="239"/>
    </row>
    <row r="445">
      <c r="A445" s="239"/>
      <c r="B445" s="239"/>
      <c r="C445" s="239"/>
      <c r="D445" s="239"/>
      <c r="E445" s="239"/>
      <c r="F445" s="283"/>
      <c r="G445" s="239"/>
      <c r="H445" s="239"/>
      <c r="I445" s="239"/>
      <c r="J445" s="239"/>
      <c r="K445" s="239"/>
      <c r="L445" s="239"/>
      <c r="M445" s="239"/>
      <c r="N445" s="239"/>
      <c r="O445" s="239"/>
      <c r="P445" s="246"/>
      <c r="Q445" s="239"/>
      <c r="R445" s="239"/>
      <c r="S445" s="239"/>
      <c r="T445" s="239"/>
      <c r="U445" s="239"/>
      <c r="V445" s="239"/>
      <c r="W445" s="246"/>
      <c r="X445" s="239"/>
      <c r="Y445" s="239"/>
      <c r="Z445" s="239"/>
      <c r="AA445" s="239"/>
      <c r="AB445" s="239"/>
      <c r="AC445" s="239"/>
      <c r="AD445" s="239"/>
      <c r="AE445" s="239"/>
      <c r="AF445" s="239"/>
      <c r="AG445" s="239"/>
      <c r="AH445" s="239"/>
      <c r="AI445" s="239"/>
      <c r="AJ445" s="239"/>
    </row>
    <row r="446">
      <c r="A446" s="239"/>
      <c r="B446" s="239"/>
      <c r="C446" s="239"/>
      <c r="D446" s="239"/>
      <c r="E446" s="239"/>
      <c r="F446" s="283"/>
      <c r="G446" s="239"/>
      <c r="H446" s="239"/>
      <c r="I446" s="239"/>
      <c r="J446" s="239"/>
      <c r="K446" s="239"/>
      <c r="L446" s="239"/>
      <c r="M446" s="239"/>
      <c r="N446" s="239"/>
      <c r="O446" s="239"/>
      <c r="P446" s="246"/>
      <c r="Q446" s="239"/>
      <c r="R446" s="239"/>
      <c r="S446" s="239"/>
      <c r="T446" s="239"/>
      <c r="U446" s="239"/>
      <c r="V446" s="239"/>
      <c r="W446" s="246"/>
      <c r="X446" s="239"/>
      <c r="Y446" s="239"/>
      <c r="Z446" s="239"/>
      <c r="AA446" s="239"/>
      <c r="AB446" s="239"/>
      <c r="AC446" s="239"/>
      <c r="AD446" s="239"/>
      <c r="AE446" s="239"/>
      <c r="AF446" s="239"/>
      <c r="AG446" s="239"/>
      <c r="AH446" s="239"/>
      <c r="AI446" s="239"/>
      <c r="AJ446" s="239"/>
    </row>
    <row r="447">
      <c r="A447" s="239"/>
      <c r="B447" s="239"/>
      <c r="C447" s="239"/>
      <c r="D447" s="239"/>
      <c r="E447" s="239"/>
      <c r="F447" s="283"/>
      <c r="G447" s="239"/>
      <c r="H447" s="239"/>
      <c r="I447" s="239"/>
      <c r="J447" s="239"/>
      <c r="K447" s="239"/>
      <c r="L447" s="239"/>
      <c r="M447" s="239"/>
      <c r="N447" s="239"/>
      <c r="O447" s="239"/>
      <c r="P447" s="246"/>
      <c r="Q447" s="239"/>
      <c r="R447" s="239"/>
      <c r="S447" s="239"/>
      <c r="T447" s="239"/>
      <c r="U447" s="239"/>
      <c r="V447" s="239"/>
      <c r="W447" s="246"/>
      <c r="X447" s="239"/>
      <c r="Y447" s="239"/>
      <c r="Z447" s="239"/>
      <c r="AA447" s="239"/>
      <c r="AB447" s="239"/>
      <c r="AC447" s="239"/>
      <c r="AD447" s="239"/>
      <c r="AE447" s="239"/>
      <c r="AF447" s="239"/>
      <c r="AG447" s="239"/>
      <c r="AH447" s="239"/>
      <c r="AI447" s="239"/>
      <c r="AJ447" s="239"/>
    </row>
    <row r="448">
      <c r="A448" s="239"/>
      <c r="B448" s="239"/>
      <c r="C448" s="239"/>
      <c r="D448" s="239"/>
      <c r="E448" s="239"/>
      <c r="F448" s="283"/>
      <c r="G448" s="239"/>
      <c r="H448" s="239"/>
      <c r="I448" s="239"/>
      <c r="J448" s="239"/>
      <c r="K448" s="239"/>
      <c r="L448" s="239"/>
      <c r="M448" s="239"/>
      <c r="N448" s="239"/>
      <c r="O448" s="239"/>
      <c r="P448" s="246"/>
      <c r="Q448" s="239"/>
      <c r="R448" s="239"/>
      <c r="S448" s="239"/>
      <c r="T448" s="239"/>
      <c r="U448" s="239"/>
      <c r="V448" s="239"/>
      <c r="W448" s="246"/>
      <c r="X448" s="239"/>
      <c r="Y448" s="239"/>
      <c r="Z448" s="239"/>
      <c r="AA448" s="239"/>
      <c r="AB448" s="239"/>
      <c r="AC448" s="239"/>
      <c r="AD448" s="239"/>
      <c r="AE448" s="239"/>
      <c r="AF448" s="239"/>
      <c r="AG448" s="239"/>
      <c r="AH448" s="239"/>
      <c r="AI448" s="239"/>
      <c r="AJ448" s="239"/>
    </row>
    <row r="449">
      <c r="A449" s="239"/>
      <c r="B449" s="239"/>
      <c r="C449" s="239"/>
      <c r="D449" s="239"/>
      <c r="E449" s="239"/>
      <c r="F449" s="283"/>
      <c r="G449" s="239"/>
      <c r="H449" s="239"/>
      <c r="I449" s="239"/>
      <c r="J449" s="239"/>
      <c r="K449" s="239"/>
      <c r="L449" s="239"/>
      <c r="M449" s="239"/>
      <c r="N449" s="239"/>
      <c r="O449" s="239"/>
      <c r="P449" s="246"/>
      <c r="Q449" s="239"/>
      <c r="R449" s="239"/>
      <c r="S449" s="239"/>
      <c r="T449" s="239"/>
      <c r="U449" s="239"/>
      <c r="V449" s="239"/>
      <c r="W449" s="246"/>
      <c r="X449" s="239"/>
      <c r="Y449" s="239"/>
      <c r="Z449" s="239"/>
      <c r="AA449" s="239"/>
      <c r="AB449" s="239"/>
      <c r="AC449" s="239"/>
      <c r="AD449" s="239"/>
      <c r="AE449" s="239"/>
      <c r="AF449" s="239"/>
      <c r="AG449" s="239"/>
      <c r="AH449" s="239"/>
      <c r="AI449" s="239"/>
      <c r="AJ449" s="239"/>
    </row>
    <row r="450">
      <c r="A450" s="239"/>
      <c r="B450" s="239"/>
      <c r="C450" s="239"/>
      <c r="D450" s="239"/>
      <c r="E450" s="239"/>
      <c r="F450" s="283"/>
      <c r="G450" s="239"/>
      <c r="H450" s="239"/>
      <c r="I450" s="239"/>
      <c r="J450" s="239"/>
      <c r="K450" s="239"/>
      <c r="L450" s="239"/>
      <c r="M450" s="239"/>
      <c r="N450" s="239"/>
      <c r="O450" s="239"/>
      <c r="P450" s="246"/>
      <c r="Q450" s="239"/>
      <c r="R450" s="239"/>
      <c r="S450" s="239"/>
      <c r="T450" s="239"/>
      <c r="U450" s="239"/>
      <c r="V450" s="239"/>
      <c r="W450" s="246"/>
      <c r="X450" s="239"/>
      <c r="Y450" s="239"/>
      <c r="Z450" s="239"/>
      <c r="AA450" s="239"/>
      <c r="AB450" s="239"/>
      <c r="AC450" s="239"/>
      <c r="AD450" s="239"/>
      <c r="AE450" s="239"/>
      <c r="AF450" s="239"/>
      <c r="AG450" s="239"/>
      <c r="AH450" s="239"/>
      <c r="AI450" s="239"/>
      <c r="AJ450" s="239"/>
    </row>
    <row r="451">
      <c r="A451" s="239"/>
      <c r="B451" s="239"/>
      <c r="C451" s="239"/>
      <c r="D451" s="239"/>
      <c r="E451" s="239"/>
      <c r="F451" s="283"/>
      <c r="G451" s="239"/>
      <c r="H451" s="239"/>
      <c r="I451" s="239"/>
      <c r="J451" s="239"/>
      <c r="K451" s="239"/>
      <c r="L451" s="239"/>
      <c r="M451" s="239"/>
      <c r="N451" s="239"/>
      <c r="O451" s="239"/>
      <c r="P451" s="246"/>
      <c r="Q451" s="239"/>
      <c r="R451" s="239"/>
      <c r="S451" s="239"/>
      <c r="T451" s="239"/>
      <c r="U451" s="239"/>
      <c r="V451" s="239"/>
      <c r="W451" s="246"/>
      <c r="X451" s="239"/>
      <c r="Y451" s="239"/>
      <c r="Z451" s="239"/>
      <c r="AA451" s="239"/>
      <c r="AB451" s="239"/>
      <c r="AC451" s="239"/>
      <c r="AD451" s="239"/>
      <c r="AE451" s="239"/>
      <c r="AF451" s="239"/>
      <c r="AG451" s="239"/>
      <c r="AH451" s="239"/>
      <c r="AI451" s="239"/>
      <c r="AJ451" s="239"/>
    </row>
    <row r="452">
      <c r="A452" s="239"/>
      <c r="B452" s="239"/>
      <c r="C452" s="239"/>
      <c r="D452" s="239"/>
      <c r="E452" s="239"/>
      <c r="F452" s="283"/>
      <c r="G452" s="239"/>
      <c r="H452" s="239"/>
      <c r="I452" s="239"/>
      <c r="J452" s="239"/>
      <c r="K452" s="239"/>
      <c r="L452" s="239"/>
      <c r="M452" s="239"/>
      <c r="N452" s="239"/>
      <c r="O452" s="239"/>
      <c r="P452" s="246"/>
      <c r="Q452" s="239"/>
      <c r="R452" s="239"/>
      <c r="S452" s="239"/>
      <c r="T452" s="239"/>
      <c r="U452" s="239"/>
      <c r="V452" s="239"/>
      <c r="W452" s="246"/>
      <c r="X452" s="239"/>
      <c r="Y452" s="239"/>
      <c r="Z452" s="239"/>
      <c r="AA452" s="239"/>
      <c r="AB452" s="239"/>
      <c r="AC452" s="239"/>
      <c r="AD452" s="239"/>
      <c r="AE452" s="239"/>
      <c r="AF452" s="239"/>
      <c r="AG452" s="239"/>
      <c r="AH452" s="239"/>
      <c r="AI452" s="239"/>
      <c r="AJ452" s="239"/>
    </row>
    <row r="453">
      <c r="A453" s="239"/>
      <c r="B453" s="239"/>
      <c r="C453" s="239"/>
      <c r="D453" s="239"/>
      <c r="E453" s="239"/>
      <c r="F453" s="283"/>
      <c r="G453" s="239"/>
      <c r="H453" s="239"/>
      <c r="I453" s="239"/>
      <c r="J453" s="239"/>
      <c r="K453" s="239"/>
      <c r="L453" s="239"/>
      <c r="M453" s="239"/>
      <c r="N453" s="239"/>
      <c r="O453" s="239"/>
      <c r="P453" s="246"/>
      <c r="Q453" s="239"/>
      <c r="R453" s="239"/>
      <c r="S453" s="239"/>
      <c r="T453" s="239"/>
      <c r="U453" s="239"/>
      <c r="V453" s="239"/>
      <c r="W453" s="246"/>
      <c r="X453" s="239"/>
      <c r="Y453" s="239"/>
      <c r="Z453" s="239"/>
      <c r="AA453" s="239"/>
      <c r="AB453" s="239"/>
      <c r="AC453" s="239"/>
      <c r="AD453" s="239"/>
      <c r="AE453" s="239"/>
      <c r="AF453" s="239"/>
      <c r="AG453" s="239"/>
      <c r="AH453" s="239"/>
      <c r="AI453" s="239"/>
      <c r="AJ453" s="239"/>
    </row>
    <row r="454">
      <c r="A454" s="239"/>
      <c r="B454" s="239"/>
      <c r="C454" s="239"/>
      <c r="D454" s="239"/>
      <c r="E454" s="239"/>
      <c r="F454" s="283"/>
      <c r="G454" s="239"/>
      <c r="H454" s="239"/>
      <c r="I454" s="239"/>
      <c r="J454" s="239"/>
      <c r="K454" s="239"/>
      <c r="L454" s="239"/>
      <c r="M454" s="239"/>
      <c r="N454" s="239"/>
      <c r="O454" s="239"/>
      <c r="P454" s="246"/>
      <c r="Q454" s="239"/>
      <c r="R454" s="239"/>
      <c r="S454" s="239"/>
      <c r="T454" s="239"/>
      <c r="U454" s="239"/>
      <c r="V454" s="239"/>
      <c r="W454" s="246"/>
      <c r="X454" s="239"/>
      <c r="Y454" s="239"/>
      <c r="Z454" s="239"/>
      <c r="AA454" s="239"/>
      <c r="AB454" s="239"/>
      <c r="AC454" s="239"/>
      <c r="AD454" s="239"/>
      <c r="AE454" s="239"/>
      <c r="AF454" s="239"/>
      <c r="AG454" s="239"/>
      <c r="AH454" s="239"/>
      <c r="AI454" s="239"/>
      <c r="AJ454" s="239"/>
    </row>
    <row r="455">
      <c r="A455" s="239"/>
      <c r="B455" s="239"/>
      <c r="C455" s="239"/>
      <c r="D455" s="239"/>
      <c r="E455" s="239"/>
      <c r="F455" s="283"/>
      <c r="G455" s="239"/>
      <c r="H455" s="239"/>
      <c r="I455" s="239"/>
      <c r="J455" s="239"/>
      <c r="K455" s="239"/>
      <c r="L455" s="239"/>
      <c r="M455" s="239"/>
      <c r="N455" s="239"/>
      <c r="O455" s="239"/>
      <c r="P455" s="246"/>
      <c r="Q455" s="239"/>
      <c r="R455" s="239"/>
      <c r="S455" s="239"/>
      <c r="T455" s="239"/>
      <c r="U455" s="239"/>
      <c r="V455" s="239"/>
      <c r="W455" s="246"/>
      <c r="X455" s="239"/>
      <c r="Y455" s="239"/>
      <c r="Z455" s="239"/>
      <c r="AA455" s="239"/>
      <c r="AB455" s="239"/>
      <c r="AC455" s="239"/>
      <c r="AD455" s="239"/>
      <c r="AE455" s="239"/>
      <c r="AF455" s="239"/>
      <c r="AG455" s="239"/>
      <c r="AH455" s="239"/>
      <c r="AI455" s="239"/>
      <c r="AJ455" s="239"/>
    </row>
    <row r="456">
      <c r="A456" s="239"/>
      <c r="B456" s="239"/>
      <c r="C456" s="239"/>
      <c r="D456" s="239"/>
      <c r="E456" s="239"/>
      <c r="F456" s="283"/>
      <c r="G456" s="239"/>
      <c r="H456" s="239"/>
      <c r="I456" s="239"/>
      <c r="J456" s="239"/>
      <c r="K456" s="239"/>
      <c r="L456" s="239"/>
      <c r="M456" s="239"/>
      <c r="N456" s="239"/>
      <c r="O456" s="239"/>
      <c r="P456" s="246"/>
      <c r="Q456" s="239"/>
      <c r="R456" s="239"/>
      <c r="S456" s="239"/>
      <c r="T456" s="239"/>
      <c r="U456" s="239"/>
      <c r="V456" s="239"/>
      <c r="W456" s="246"/>
      <c r="X456" s="239"/>
      <c r="Y456" s="239"/>
      <c r="Z456" s="239"/>
      <c r="AA456" s="239"/>
      <c r="AB456" s="239"/>
      <c r="AC456" s="239"/>
      <c r="AD456" s="239"/>
      <c r="AE456" s="239"/>
      <c r="AF456" s="239"/>
      <c r="AG456" s="239"/>
      <c r="AH456" s="239"/>
      <c r="AI456" s="239"/>
      <c r="AJ456" s="239"/>
    </row>
    <row r="457">
      <c r="A457" s="239"/>
      <c r="B457" s="239"/>
      <c r="C457" s="239"/>
      <c r="D457" s="239"/>
      <c r="E457" s="239"/>
      <c r="F457" s="283"/>
      <c r="G457" s="239"/>
      <c r="H457" s="239"/>
      <c r="I457" s="239"/>
      <c r="J457" s="239"/>
      <c r="K457" s="239"/>
      <c r="L457" s="239"/>
      <c r="M457" s="239"/>
      <c r="N457" s="239"/>
      <c r="O457" s="239"/>
      <c r="P457" s="246"/>
      <c r="Q457" s="239"/>
      <c r="R457" s="239"/>
      <c r="S457" s="239"/>
      <c r="T457" s="239"/>
      <c r="U457" s="239"/>
      <c r="V457" s="239"/>
      <c r="W457" s="246"/>
      <c r="X457" s="239"/>
      <c r="Y457" s="239"/>
      <c r="Z457" s="239"/>
      <c r="AA457" s="239"/>
      <c r="AB457" s="239"/>
      <c r="AC457" s="239"/>
      <c r="AD457" s="239"/>
      <c r="AE457" s="239"/>
      <c r="AF457" s="239"/>
      <c r="AG457" s="239"/>
      <c r="AH457" s="239"/>
      <c r="AI457" s="239"/>
      <c r="AJ457" s="239"/>
    </row>
    <row r="458">
      <c r="A458" s="239"/>
      <c r="B458" s="239"/>
      <c r="C458" s="239"/>
      <c r="D458" s="239"/>
      <c r="E458" s="239"/>
      <c r="F458" s="283"/>
      <c r="G458" s="239"/>
      <c r="H458" s="239"/>
      <c r="I458" s="239"/>
      <c r="J458" s="239"/>
      <c r="K458" s="239"/>
      <c r="L458" s="239"/>
      <c r="M458" s="239"/>
      <c r="N458" s="239"/>
      <c r="O458" s="239"/>
      <c r="P458" s="246"/>
      <c r="Q458" s="239"/>
      <c r="R458" s="239"/>
      <c r="S458" s="239"/>
      <c r="T458" s="239"/>
      <c r="U458" s="239"/>
      <c r="V458" s="239"/>
      <c r="W458" s="246"/>
      <c r="X458" s="239"/>
      <c r="Y458" s="239"/>
      <c r="Z458" s="239"/>
      <c r="AA458" s="239"/>
      <c r="AB458" s="239"/>
      <c r="AC458" s="239"/>
      <c r="AD458" s="239"/>
      <c r="AE458" s="239"/>
      <c r="AF458" s="239"/>
      <c r="AG458" s="239"/>
      <c r="AH458" s="239"/>
      <c r="AI458" s="239"/>
      <c r="AJ458" s="239"/>
    </row>
    <row r="459">
      <c r="A459" s="239"/>
      <c r="B459" s="239"/>
      <c r="C459" s="239"/>
      <c r="D459" s="239"/>
      <c r="E459" s="239"/>
      <c r="F459" s="283"/>
      <c r="G459" s="239"/>
      <c r="H459" s="239"/>
      <c r="I459" s="239"/>
      <c r="J459" s="239"/>
      <c r="K459" s="239"/>
      <c r="L459" s="239"/>
      <c r="M459" s="239"/>
      <c r="N459" s="239"/>
      <c r="O459" s="239"/>
      <c r="P459" s="246"/>
      <c r="Q459" s="239"/>
      <c r="R459" s="239"/>
      <c r="S459" s="239"/>
      <c r="T459" s="239"/>
      <c r="U459" s="239"/>
      <c r="V459" s="239"/>
      <c r="W459" s="246"/>
      <c r="X459" s="239"/>
      <c r="Y459" s="239"/>
      <c r="Z459" s="239"/>
      <c r="AA459" s="239"/>
      <c r="AB459" s="239"/>
      <c r="AC459" s="239"/>
      <c r="AD459" s="239"/>
      <c r="AE459" s="239"/>
      <c r="AF459" s="239"/>
      <c r="AG459" s="239"/>
      <c r="AH459" s="239"/>
      <c r="AI459" s="239"/>
      <c r="AJ459" s="239"/>
    </row>
    <row r="460">
      <c r="A460" s="239"/>
      <c r="B460" s="239"/>
      <c r="C460" s="239"/>
      <c r="D460" s="239"/>
      <c r="E460" s="239"/>
      <c r="F460" s="283"/>
      <c r="G460" s="239"/>
      <c r="H460" s="239"/>
      <c r="I460" s="239"/>
      <c r="J460" s="239"/>
      <c r="K460" s="239"/>
      <c r="L460" s="239"/>
      <c r="M460" s="239"/>
      <c r="N460" s="239"/>
      <c r="O460" s="239"/>
      <c r="P460" s="246"/>
      <c r="Q460" s="239"/>
      <c r="R460" s="239"/>
      <c r="S460" s="239"/>
      <c r="T460" s="239"/>
      <c r="U460" s="239"/>
      <c r="V460" s="239"/>
      <c r="W460" s="246"/>
      <c r="X460" s="239"/>
      <c r="Y460" s="239"/>
      <c r="Z460" s="239"/>
      <c r="AA460" s="239"/>
      <c r="AB460" s="239"/>
      <c r="AC460" s="239"/>
      <c r="AD460" s="239"/>
      <c r="AE460" s="239"/>
      <c r="AF460" s="239"/>
      <c r="AG460" s="239"/>
      <c r="AH460" s="239"/>
      <c r="AI460" s="239"/>
      <c r="AJ460" s="239"/>
    </row>
    <row r="461">
      <c r="A461" s="239"/>
      <c r="B461" s="239"/>
      <c r="C461" s="239"/>
      <c r="D461" s="239"/>
      <c r="E461" s="239"/>
      <c r="F461" s="283"/>
      <c r="G461" s="239"/>
      <c r="H461" s="239"/>
      <c r="I461" s="239"/>
      <c r="J461" s="239"/>
      <c r="K461" s="239"/>
      <c r="L461" s="239"/>
      <c r="M461" s="239"/>
      <c r="N461" s="239"/>
      <c r="O461" s="239"/>
      <c r="P461" s="246"/>
      <c r="Q461" s="239"/>
      <c r="R461" s="239"/>
      <c r="S461" s="239"/>
      <c r="T461" s="239"/>
      <c r="U461" s="239"/>
      <c r="V461" s="239"/>
      <c r="W461" s="246"/>
      <c r="X461" s="239"/>
      <c r="Y461" s="239"/>
      <c r="Z461" s="239"/>
      <c r="AA461" s="239"/>
      <c r="AB461" s="239"/>
      <c r="AC461" s="239"/>
      <c r="AD461" s="239"/>
      <c r="AE461" s="239"/>
      <c r="AF461" s="239"/>
      <c r="AG461" s="239"/>
      <c r="AH461" s="239"/>
      <c r="AI461" s="239"/>
      <c r="AJ461" s="239"/>
    </row>
    <row r="462">
      <c r="A462" s="239"/>
      <c r="B462" s="239"/>
      <c r="C462" s="239"/>
      <c r="D462" s="239"/>
      <c r="E462" s="239"/>
      <c r="F462" s="283"/>
      <c r="G462" s="239"/>
      <c r="H462" s="239"/>
      <c r="I462" s="239"/>
      <c r="J462" s="239"/>
      <c r="K462" s="239"/>
      <c r="L462" s="239"/>
      <c r="M462" s="239"/>
      <c r="N462" s="239"/>
      <c r="O462" s="239"/>
      <c r="P462" s="246"/>
      <c r="Q462" s="239"/>
      <c r="R462" s="239"/>
      <c r="S462" s="239"/>
      <c r="T462" s="239"/>
      <c r="U462" s="239"/>
      <c r="V462" s="239"/>
      <c r="W462" s="246"/>
      <c r="X462" s="239"/>
      <c r="Y462" s="239"/>
      <c r="Z462" s="239"/>
      <c r="AA462" s="239"/>
      <c r="AB462" s="239"/>
      <c r="AC462" s="239"/>
      <c r="AD462" s="239"/>
      <c r="AE462" s="239"/>
      <c r="AF462" s="239"/>
      <c r="AG462" s="239"/>
      <c r="AH462" s="239"/>
      <c r="AI462" s="239"/>
      <c r="AJ462" s="239"/>
    </row>
    <row r="463">
      <c r="A463" s="239"/>
      <c r="B463" s="239"/>
      <c r="C463" s="239"/>
      <c r="D463" s="239"/>
      <c r="E463" s="239"/>
      <c r="F463" s="283"/>
      <c r="G463" s="239"/>
      <c r="H463" s="239"/>
      <c r="I463" s="239"/>
      <c r="J463" s="239"/>
      <c r="K463" s="239"/>
      <c r="L463" s="239"/>
      <c r="M463" s="239"/>
      <c r="N463" s="239"/>
      <c r="O463" s="239"/>
      <c r="P463" s="246"/>
      <c r="Q463" s="239"/>
      <c r="R463" s="239"/>
      <c r="S463" s="239"/>
      <c r="T463" s="239"/>
      <c r="U463" s="239"/>
      <c r="V463" s="239"/>
      <c r="W463" s="246"/>
      <c r="X463" s="239"/>
      <c r="Y463" s="239"/>
      <c r="Z463" s="239"/>
      <c r="AA463" s="239"/>
      <c r="AB463" s="239"/>
      <c r="AC463" s="239"/>
      <c r="AD463" s="239"/>
      <c r="AE463" s="239"/>
      <c r="AF463" s="239"/>
      <c r="AG463" s="239"/>
      <c r="AH463" s="239"/>
      <c r="AI463" s="239"/>
      <c r="AJ463" s="239"/>
    </row>
    <row r="464">
      <c r="A464" s="239"/>
      <c r="B464" s="239"/>
      <c r="C464" s="239"/>
      <c r="D464" s="239"/>
      <c r="E464" s="239"/>
      <c r="F464" s="283"/>
      <c r="G464" s="239"/>
      <c r="H464" s="239"/>
      <c r="I464" s="239"/>
      <c r="J464" s="239"/>
      <c r="K464" s="239"/>
      <c r="L464" s="239"/>
      <c r="M464" s="239"/>
      <c r="N464" s="239"/>
      <c r="O464" s="239"/>
      <c r="P464" s="246"/>
      <c r="Q464" s="239"/>
      <c r="R464" s="239"/>
      <c r="S464" s="239"/>
      <c r="T464" s="239"/>
      <c r="U464" s="239"/>
      <c r="V464" s="239"/>
      <c r="W464" s="246"/>
      <c r="X464" s="239"/>
      <c r="Y464" s="239"/>
      <c r="Z464" s="239"/>
      <c r="AA464" s="239"/>
      <c r="AB464" s="239"/>
      <c r="AC464" s="239"/>
      <c r="AD464" s="239"/>
      <c r="AE464" s="239"/>
      <c r="AF464" s="239"/>
      <c r="AG464" s="239"/>
      <c r="AH464" s="239"/>
      <c r="AI464" s="239"/>
      <c r="AJ464" s="239"/>
    </row>
    <row r="465">
      <c r="A465" s="239"/>
      <c r="B465" s="239"/>
      <c r="C465" s="239"/>
      <c r="D465" s="239"/>
      <c r="E465" s="239"/>
      <c r="F465" s="283"/>
      <c r="G465" s="239"/>
      <c r="H465" s="239"/>
      <c r="I465" s="239"/>
      <c r="J465" s="239"/>
      <c r="K465" s="239"/>
      <c r="L465" s="239"/>
      <c r="M465" s="239"/>
      <c r="N465" s="239"/>
      <c r="O465" s="239"/>
      <c r="P465" s="246"/>
      <c r="Q465" s="239"/>
      <c r="R465" s="239"/>
      <c r="S465" s="239"/>
      <c r="T465" s="239"/>
      <c r="U465" s="239"/>
      <c r="V465" s="239"/>
      <c r="W465" s="246"/>
      <c r="X465" s="239"/>
      <c r="Y465" s="239"/>
      <c r="Z465" s="239"/>
      <c r="AA465" s="239"/>
      <c r="AB465" s="239"/>
      <c r="AC465" s="239"/>
      <c r="AD465" s="239"/>
      <c r="AE465" s="239"/>
      <c r="AF465" s="239"/>
      <c r="AG465" s="239"/>
      <c r="AH465" s="239"/>
      <c r="AI465" s="239"/>
      <c r="AJ465" s="239"/>
    </row>
    <row r="466">
      <c r="A466" s="239"/>
      <c r="B466" s="239"/>
      <c r="C466" s="239"/>
      <c r="D466" s="239"/>
      <c r="E466" s="239"/>
      <c r="F466" s="283"/>
      <c r="G466" s="239"/>
      <c r="H466" s="239"/>
      <c r="I466" s="239"/>
      <c r="J466" s="239"/>
      <c r="K466" s="239"/>
      <c r="L466" s="239"/>
      <c r="M466" s="239"/>
      <c r="N466" s="239"/>
      <c r="O466" s="239"/>
      <c r="P466" s="246"/>
      <c r="Q466" s="239"/>
      <c r="R466" s="239"/>
      <c r="S466" s="239"/>
      <c r="T466" s="239"/>
      <c r="U466" s="239"/>
      <c r="V466" s="239"/>
      <c r="W466" s="246"/>
      <c r="X466" s="239"/>
      <c r="Y466" s="239"/>
      <c r="Z466" s="239"/>
      <c r="AA466" s="239"/>
      <c r="AB466" s="239"/>
      <c r="AC466" s="239"/>
      <c r="AD466" s="239"/>
      <c r="AE466" s="239"/>
      <c r="AF466" s="239"/>
      <c r="AG466" s="239"/>
      <c r="AH466" s="239"/>
      <c r="AI466" s="239"/>
      <c r="AJ466" s="239"/>
    </row>
    <row r="467">
      <c r="A467" s="239"/>
      <c r="B467" s="239"/>
      <c r="C467" s="239"/>
      <c r="D467" s="239"/>
      <c r="E467" s="239"/>
      <c r="F467" s="283"/>
      <c r="G467" s="239"/>
      <c r="H467" s="239"/>
      <c r="I467" s="239"/>
      <c r="J467" s="239"/>
      <c r="K467" s="239"/>
      <c r="L467" s="239"/>
      <c r="M467" s="239"/>
      <c r="N467" s="239"/>
      <c r="O467" s="239"/>
      <c r="P467" s="246"/>
      <c r="Q467" s="239"/>
      <c r="R467" s="239"/>
      <c r="S467" s="239"/>
      <c r="T467" s="239"/>
      <c r="U467" s="239"/>
      <c r="V467" s="239"/>
      <c r="W467" s="246"/>
      <c r="X467" s="239"/>
      <c r="Y467" s="239"/>
      <c r="Z467" s="239"/>
      <c r="AA467" s="239"/>
      <c r="AB467" s="239"/>
      <c r="AC467" s="239"/>
      <c r="AD467" s="239"/>
      <c r="AE467" s="239"/>
      <c r="AF467" s="239"/>
      <c r="AG467" s="239"/>
      <c r="AH467" s="239"/>
      <c r="AI467" s="239"/>
      <c r="AJ467" s="239"/>
    </row>
    <row r="468">
      <c r="A468" s="239"/>
      <c r="B468" s="239"/>
      <c r="C468" s="239"/>
      <c r="D468" s="239"/>
      <c r="E468" s="239"/>
      <c r="F468" s="283"/>
      <c r="G468" s="239"/>
      <c r="H468" s="239"/>
      <c r="I468" s="239"/>
      <c r="J468" s="239"/>
      <c r="K468" s="239"/>
      <c r="L468" s="239"/>
      <c r="M468" s="239"/>
      <c r="N468" s="239"/>
      <c r="O468" s="239"/>
      <c r="P468" s="246"/>
      <c r="Q468" s="239"/>
      <c r="R468" s="239"/>
      <c r="S468" s="239"/>
      <c r="T468" s="239"/>
      <c r="U468" s="239"/>
      <c r="V468" s="239"/>
      <c r="W468" s="246"/>
      <c r="X468" s="239"/>
      <c r="Y468" s="239"/>
      <c r="Z468" s="239"/>
      <c r="AA468" s="239"/>
      <c r="AB468" s="239"/>
      <c r="AC468" s="239"/>
      <c r="AD468" s="239"/>
      <c r="AE468" s="239"/>
      <c r="AF468" s="239"/>
      <c r="AG468" s="239"/>
      <c r="AH468" s="239"/>
      <c r="AI468" s="239"/>
      <c r="AJ468" s="239"/>
    </row>
    <row r="469">
      <c r="A469" s="239"/>
      <c r="B469" s="239"/>
      <c r="C469" s="239"/>
      <c r="D469" s="239"/>
      <c r="E469" s="239"/>
      <c r="F469" s="283"/>
      <c r="G469" s="239"/>
      <c r="H469" s="239"/>
      <c r="I469" s="239"/>
      <c r="J469" s="239"/>
      <c r="K469" s="239"/>
      <c r="L469" s="239"/>
      <c r="M469" s="239"/>
      <c r="N469" s="239"/>
      <c r="O469" s="239"/>
      <c r="P469" s="246"/>
      <c r="Q469" s="239"/>
      <c r="R469" s="239"/>
      <c r="S469" s="239"/>
      <c r="T469" s="239"/>
      <c r="U469" s="239"/>
      <c r="V469" s="239"/>
      <c r="W469" s="246"/>
      <c r="X469" s="239"/>
      <c r="Y469" s="239"/>
      <c r="Z469" s="239"/>
      <c r="AA469" s="239"/>
      <c r="AB469" s="239"/>
      <c r="AC469" s="239"/>
      <c r="AD469" s="239"/>
      <c r="AE469" s="239"/>
      <c r="AF469" s="239"/>
      <c r="AG469" s="239"/>
      <c r="AH469" s="239"/>
      <c r="AI469" s="239"/>
      <c r="AJ469" s="239"/>
    </row>
    <row r="470">
      <c r="A470" s="239"/>
      <c r="B470" s="239"/>
      <c r="C470" s="239"/>
      <c r="D470" s="239"/>
      <c r="E470" s="239"/>
      <c r="F470" s="283"/>
      <c r="G470" s="239"/>
      <c r="H470" s="239"/>
      <c r="I470" s="239"/>
      <c r="J470" s="239"/>
      <c r="K470" s="239"/>
      <c r="L470" s="239"/>
      <c r="M470" s="239"/>
      <c r="N470" s="239"/>
      <c r="O470" s="239"/>
      <c r="P470" s="246"/>
      <c r="Q470" s="239"/>
      <c r="R470" s="239"/>
      <c r="S470" s="239"/>
      <c r="T470" s="239"/>
      <c r="U470" s="239"/>
      <c r="V470" s="239"/>
      <c r="W470" s="246"/>
      <c r="X470" s="239"/>
      <c r="Y470" s="239"/>
      <c r="Z470" s="239"/>
      <c r="AA470" s="239"/>
      <c r="AB470" s="239"/>
      <c r="AC470" s="239"/>
      <c r="AD470" s="239"/>
      <c r="AE470" s="239"/>
      <c r="AF470" s="239"/>
      <c r="AG470" s="239"/>
      <c r="AH470" s="239"/>
      <c r="AI470" s="239"/>
      <c r="AJ470" s="239"/>
    </row>
    <row r="471">
      <c r="A471" s="239"/>
      <c r="B471" s="239"/>
      <c r="C471" s="239"/>
      <c r="D471" s="239"/>
      <c r="E471" s="239"/>
      <c r="F471" s="283"/>
      <c r="G471" s="239"/>
      <c r="H471" s="239"/>
      <c r="I471" s="239"/>
      <c r="J471" s="239"/>
      <c r="K471" s="239"/>
      <c r="L471" s="239"/>
      <c r="M471" s="239"/>
      <c r="N471" s="239"/>
      <c r="O471" s="239"/>
      <c r="P471" s="246"/>
      <c r="Q471" s="239"/>
      <c r="R471" s="239"/>
      <c r="S471" s="239"/>
      <c r="T471" s="239"/>
      <c r="U471" s="239"/>
      <c r="V471" s="239"/>
      <c r="W471" s="246"/>
      <c r="X471" s="239"/>
      <c r="Y471" s="239"/>
      <c r="Z471" s="239"/>
      <c r="AA471" s="239"/>
      <c r="AB471" s="239"/>
      <c r="AC471" s="239"/>
      <c r="AD471" s="239"/>
      <c r="AE471" s="239"/>
      <c r="AF471" s="239"/>
      <c r="AG471" s="239"/>
      <c r="AH471" s="239"/>
      <c r="AI471" s="239"/>
      <c r="AJ471" s="239"/>
    </row>
    <row r="472">
      <c r="A472" s="239"/>
      <c r="B472" s="239"/>
      <c r="C472" s="239"/>
      <c r="D472" s="239"/>
      <c r="E472" s="239"/>
      <c r="F472" s="283"/>
      <c r="G472" s="239"/>
      <c r="H472" s="239"/>
      <c r="I472" s="239"/>
      <c r="J472" s="239"/>
      <c r="K472" s="239"/>
      <c r="L472" s="239"/>
      <c r="M472" s="239"/>
      <c r="N472" s="239"/>
      <c r="O472" s="239"/>
      <c r="P472" s="246"/>
      <c r="Q472" s="239"/>
      <c r="R472" s="239"/>
      <c r="S472" s="239"/>
      <c r="T472" s="239"/>
      <c r="U472" s="239"/>
      <c r="V472" s="239"/>
      <c r="W472" s="246"/>
      <c r="X472" s="239"/>
      <c r="Y472" s="239"/>
      <c r="Z472" s="239"/>
      <c r="AA472" s="239"/>
      <c r="AB472" s="239"/>
      <c r="AC472" s="239"/>
      <c r="AD472" s="239"/>
      <c r="AE472" s="239"/>
      <c r="AF472" s="239"/>
      <c r="AG472" s="239"/>
      <c r="AH472" s="239"/>
      <c r="AI472" s="239"/>
      <c r="AJ472" s="239"/>
    </row>
    <row r="473">
      <c r="A473" s="239"/>
      <c r="B473" s="239"/>
      <c r="C473" s="239"/>
      <c r="D473" s="239"/>
      <c r="E473" s="239"/>
      <c r="F473" s="283"/>
      <c r="G473" s="239"/>
      <c r="H473" s="239"/>
      <c r="I473" s="239"/>
      <c r="J473" s="239"/>
      <c r="K473" s="239"/>
      <c r="L473" s="239"/>
      <c r="M473" s="239"/>
      <c r="N473" s="239"/>
      <c r="O473" s="239"/>
      <c r="P473" s="246"/>
      <c r="Q473" s="239"/>
      <c r="R473" s="239"/>
      <c r="S473" s="239"/>
      <c r="T473" s="239"/>
      <c r="U473" s="239"/>
      <c r="V473" s="239"/>
      <c r="W473" s="246"/>
      <c r="X473" s="239"/>
      <c r="Y473" s="239"/>
      <c r="Z473" s="239"/>
      <c r="AA473" s="239"/>
      <c r="AB473" s="239"/>
      <c r="AC473" s="239"/>
      <c r="AD473" s="239"/>
      <c r="AE473" s="239"/>
      <c r="AF473" s="239"/>
      <c r="AG473" s="239"/>
      <c r="AH473" s="239"/>
      <c r="AI473" s="239"/>
      <c r="AJ473" s="239"/>
    </row>
    <row r="474">
      <c r="A474" s="239"/>
      <c r="B474" s="239"/>
      <c r="C474" s="239"/>
      <c r="D474" s="239"/>
      <c r="E474" s="239"/>
      <c r="F474" s="283"/>
      <c r="G474" s="239"/>
      <c r="H474" s="239"/>
      <c r="I474" s="239"/>
      <c r="J474" s="239"/>
      <c r="K474" s="239"/>
      <c r="L474" s="239"/>
      <c r="M474" s="239"/>
      <c r="N474" s="239"/>
      <c r="O474" s="239"/>
      <c r="P474" s="246"/>
      <c r="Q474" s="239"/>
      <c r="R474" s="239"/>
      <c r="S474" s="239"/>
      <c r="T474" s="239"/>
      <c r="U474" s="239"/>
      <c r="V474" s="239"/>
      <c r="W474" s="246"/>
      <c r="X474" s="239"/>
      <c r="Y474" s="239"/>
      <c r="Z474" s="239"/>
      <c r="AA474" s="239"/>
      <c r="AB474" s="239"/>
      <c r="AC474" s="239"/>
      <c r="AD474" s="239"/>
      <c r="AE474" s="239"/>
      <c r="AF474" s="239"/>
      <c r="AG474" s="239"/>
      <c r="AH474" s="239"/>
      <c r="AI474" s="239"/>
      <c r="AJ474" s="239"/>
    </row>
    <row r="475">
      <c r="A475" s="239"/>
      <c r="B475" s="239"/>
      <c r="C475" s="239"/>
      <c r="D475" s="239"/>
      <c r="E475" s="239"/>
      <c r="F475" s="283"/>
      <c r="G475" s="239"/>
      <c r="H475" s="239"/>
      <c r="I475" s="239"/>
      <c r="J475" s="239"/>
      <c r="K475" s="239"/>
      <c r="L475" s="239"/>
      <c r="M475" s="239"/>
      <c r="N475" s="239"/>
      <c r="O475" s="239"/>
      <c r="P475" s="246"/>
      <c r="Q475" s="239"/>
      <c r="R475" s="239"/>
      <c r="S475" s="239"/>
      <c r="T475" s="239"/>
      <c r="U475" s="239"/>
      <c r="V475" s="239"/>
      <c r="W475" s="246"/>
      <c r="X475" s="239"/>
      <c r="Y475" s="239"/>
      <c r="Z475" s="239"/>
      <c r="AA475" s="239"/>
      <c r="AB475" s="239"/>
      <c r="AC475" s="239"/>
      <c r="AD475" s="239"/>
      <c r="AE475" s="239"/>
      <c r="AF475" s="239"/>
      <c r="AG475" s="239"/>
      <c r="AH475" s="239"/>
      <c r="AI475" s="239"/>
      <c r="AJ475" s="239"/>
    </row>
    <row r="476">
      <c r="A476" s="239"/>
      <c r="B476" s="239"/>
      <c r="C476" s="239"/>
      <c r="D476" s="239"/>
      <c r="E476" s="239"/>
      <c r="F476" s="283"/>
      <c r="G476" s="239"/>
      <c r="H476" s="239"/>
      <c r="I476" s="239"/>
      <c r="J476" s="239"/>
      <c r="K476" s="239"/>
      <c r="L476" s="239"/>
      <c r="M476" s="239"/>
      <c r="N476" s="239"/>
      <c r="O476" s="239"/>
      <c r="P476" s="246"/>
      <c r="Q476" s="239"/>
      <c r="R476" s="239"/>
      <c r="S476" s="239"/>
      <c r="T476" s="239"/>
      <c r="U476" s="239"/>
      <c r="V476" s="239"/>
      <c r="W476" s="246"/>
      <c r="X476" s="239"/>
      <c r="Y476" s="239"/>
      <c r="Z476" s="239"/>
      <c r="AA476" s="239"/>
      <c r="AB476" s="239"/>
      <c r="AC476" s="239"/>
      <c r="AD476" s="239"/>
      <c r="AE476" s="239"/>
      <c r="AF476" s="239"/>
      <c r="AG476" s="239"/>
      <c r="AH476" s="239"/>
      <c r="AI476" s="239"/>
      <c r="AJ476" s="239"/>
    </row>
    <row r="477">
      <c r="A477" s="239"/>
      <c r="B477" s="239"/>
      <c r="C477" s="239"/>
      <c r="D477" s="239"/>
      <c r="E477" s="239"/>
      <c r="F477" s="283"/>
      <c r="G477" s="239"/>
      <c r="H477" s="239"/>
      <c r="I477" s="239"/>
      <c r="J477" s="239"/>
      <c r="K477" s="239"/>
      <c r="L477" s="239"/>
      <c r="M477" s="239"/>
      <c r="N477" s="239"/>
      <c r="O477" s="239"/>
      <c r="P477" s="246"/>
      <c r="Q477" s="239"/>
      <c r="R477" s="239"/>
      <c r="S477" s="239"/>
      <c r="T477" s="239"/>
      <c r="U477" s="239"/>
      <c r="V477" s="239"/>
      <c r="W477" s="246"/>
      <c r="X477" s="239"/>
      <c r="Y477" s="239"/>
      <c r="Z477" s="239"/>
      <c r="AA477" s="239"/>
      <c r="AB477" s="239"/>
      <c r="AC477" s="239"/>
      <c r="AD477" s="239"/>
      <c r="AE477" s="239"/>
      <c r="AF477" s="239"/>
      <c r="AG477" s="239"/>
      <c r="AH477" s="239"/>
      <c r="AI477" s="239"/>
      <c r="AJ477" s="239"/>
    </row>
    <row r="478">
      <c r="A478" s="239"/>
      <c r="B478" s="239"/>
      <c r="C478" s="239"/>
      <c r="D478" s="239"/>
      <c r="E478" s="239"/>
      <c r="F478" s="283"/>
      <c r="G478" s="239"/>
      <c r="H478" s="239"/>
      <c r="I478" s="239"/>
      <c r="J478" s="239"/>
      <c r="K478" s="239"/>
      <c r="L478" s="239"/>
      <c r="M478" s="239"/>
      <c r="N478" s="239"/>
      <c r="O478" s="239"/>
      <c r="P478" s="246"/>
      <c r="Q478" s="239"/>
      <c r="R478" s="239"/>
      <c r="S478" s="239"/>
      <c r="T478" s="239"/>
      <c r="U478" s="239"/>
      <c r="V478" s="239"/>
      <c r="W478" s="246"/>
      <c r="X478" s="239"/>
      <c r="Y478" s="239"/>
      <c r="Z478" s="239"/>
      <c r="AA478" s="239"/>
      <c r="AB478" s="239"/>
      <c r="AC478" s="239"/>
      <c r="AD478" s="239"/>
      <c r="AE478" s="239"/>
      <c r="AF478" s="239"/>
      <c r="AG478" s="239"/>
      <c r="AH478" s="239"/>
      <c r="AI478" s="239"/>
      <c r="AJ478" s="239"/>
    </row>
    <row r="479">
      <c r="A479" s="239"/>
      <c r="B479" s="239"/>
      <c r="C479" s="239"/>
      <c r="D479" s="239"/>
      <c r="E479" s="239"/>
      <c r="F479" s="283"/>
      <c r="G479" s="239"/>
      <c r="H479" s="239"/>
      <c r="I479" s="239"/>
      <c r="J479" s="239"/>
      <c r="K479" s="239"/>
      <c r="L479" s="239"/>
      <c r="M479" s="239"/>
      <c r="N479" s="239"/>
      <c r="O479" s="239"/>
      <c r="P479" s="246"/>
      <c r="Q479" s="239"/>
      <c r="R479" s="239"/>
      <c r="S479" s="239"/>
      <c r="T479" s="239"/>
      <c r="U479" s="239"/>
      <c r="V479" s="239"/>
      <c r="W479" s="246"/>
      <c r="X479" s="239"/>
      <c r="Y479" s="239"/>
      <c r="Z479" s="239"/>
      <c r="AA479" s="239"/>
      <c r="AB479" s="239"/>
      <c r="AC479" s="239"/>
      <c r="AD479" s="239"/>
      <c r="AE479" s="239"/>
      <c r="AF479" s="239"/>
      <c r="AG479" s="239"/>
      <c r="AH479" s="239"/>
      <c r="AI479" s="239"/>
      <c r="AJ479" s="239"/>
    </row>
    <row r="480">
      <c r="A480" s="239"/>
      <c r="B480" s="239"/>
      <c r="C480" s="239"/>
      <c r="D480" s="239"/>
      <c r="E480" s="239"/>
      <c r="F480" s="283"/>
      <c r="G480" s="239"/>
      <c r="H480" s="239"/>
      <c r="I480" s="239"/>
      <c r="J480" s="239"/>
      <c r="K480" s="239"/>
      <c r="L480" s="239"/>
      <c r="M480" s="239"/>
      <c r="N480" s="239"/>
      <c r="O480" s="239"/>
      <c r="P480" s="246"/>
      <c r="Q480" s="239"/>
      <c r="R480" s="239"/>
      <c r="S480" s="239"/>
      <c r="T480" s="239"/>
      <c r="U480" s="239"/>
      <c r="V480" s="239"/>
      <c r="W480" s="246"/>
      <c r="X480" s="239"/>
      <c r="Y480" s="239"/>
      <c r="Z480" s="239"/>
      <c r="AA480" s="239"/>
      <c r="AB480" s="239"/>
      <c r="AC480" s="239"/>
      <c r="AD480" s="239"/>
      <c r="AE480" s="239"/>
      <c r="AF480" s="239"/>
      <c r="AG480" s="239"/>
      <c r="AH480" s="239"/>
      <c r="AI480" s="239"/>
      <c r="AJ480" s="239"/>
    </row>
    <row r="481">
      <c r="A481" s="239"/>
      <c r="B481" s="239"/>
      <c r="C481" s="239"/>
      <c r="D481" s="239"/>
      <c r="E481" s="239"/>
      <c r="F481" s="283"/>
      <c r="G481" s="239"/>
      <c r="H481" s="239"/>
      <c r="I481" s="239"/>
      <c r="J481" s="239"/>
      <c r="K481" s="239"/>
      <c r="L481" s="239"/>
      <c r="M481" s="239"/>
      <c r="N481" s="239"/>
      <c r="O481" s="239"/>
      <c r="P481" s="246"/>
      <c r="Q481" s="239"/>
      <c r="R481" s="239"/>
      <c r="S481" s="239"/>
      <c r="T481" s="239"/>
      <c r="U481" s="239"/>
      <c r="V481" s="239"/>
      <c r="W481" s="246"/>
      <c r="X481" s="239"/>
      <c r="Y481" s="239"/>
      <c r="Z481" s="239"/>
      <c r="AA481" s="239"/>
      <c r="AB481" s="239"/>
      <c r="AC481" s="239"/>
      <c r="AD481" s="239"/>
      <c r="AE481" s="239"/>
      <c r="AF481" s="239"/>
      <c r="AG481" s="239"/>
      <c r="AH481" s="239"/>
      <c r="AI481" s="239"/>
      <c r="AJ481" s="239"/>
    </row>
    <row r="482">
      <c r="A482" s="239"/>
      <c r="B482" s="239"/>
      <c r="C482" s="239"/>
      <c r="D482" s="239"/>
      <c r="E482" s="239"/>
      <c r="F482" s="283"/>
      <c r="G482" s="239"/>
      <c r="H482" s="239"/>
      <c r="I482" s="239"/>
      <c r="J482" s="239"/>
      <c r="K482" s="239"/>
      <c r="L482" s="239"/>
      <c r="M482" s="239"/>
      <c r="N482" s="239"/>
      <c r="O482" s="239"/>
      <c r="P482" s="246"/>
      <c r="Q482" s="239"/>
      <c r="R482" s="239"/>
      <c r="S482" s="239"/>
      <c r="T482" s="239"/>
      <c r="U482" s="239"/>
      <c r="V482" s="239"/>
      <c r="W482" s="246"/>
      <c r="X482" s="239"/>
      <c r="Y482" s="239"/>
      <c r="Z482" s="239"/>
      <c r="AA482" s="239"/>
      <c r="AB482" s="239"/>
      <c r="AC482" s="239"/>
      <c r="AD482" s="239"/>
      <c r="AE482" s="239"/>
      <c r="AF482" s="239"/>
      <c r="AG482" s="239"/>
      <c r="AH482" s="239"/>
      <c r="AI482" s="239"/>
      <c r="AJ482" s="239"/>
    </row>
    <row r="483">
      <c r="A483" s="239"/>
      <c r="B483" s="239"/>
      <c r="C483" s="239"/>
      <c r="D483" s="239"/>
      <c r="E483" s="239"/>
      <c r="F483" s="283"/>
      <c r="G483" s="239"/>
      <c r="H483" s="239"/>
      <c r="I483" s="239"/>
      <c r="J483" s="239"/>
      <c r="K483" s="239"/>
      <c r="L483" s="239"/>
      <c r="M483" s="239"/>
      <c r="N483" s="239"/>
      <c r="O483" s="239"/>
      <c r="P483" s="246"/>
      <c r="Q483" s="239"/>
      <c r="R483" s="239"/>
      <c r="S483" s="239"/>
      <c r="T483" s="239"/>
      <c r="U483" s="239"/>
      <c r="V483" s="239"/>
      <c r="W483" s="246"/>
      <c r="X483" s="239"/>
      <c r="Y483" s="239"/>
      <c r="Z483" s="239"/>
      <c r="AA483" s="239"/>
      <c r="AB483" s="239"/>
      <c r="AC483" s="239"/>
      <c r="AD483" s="239"/>
      <c r="AE483" s="239"/>
      <c r="AF483" s="239"/>
      <c r="AG483" s="239"/>
      <c r="AH483" s="239"/>
      <c r="AI483" s="239"/>
      <c r="AJ483" s="239"/>
    </row>
    <row r="484">
      <c r="A484" s="239"/>
      <c r="B484" s="239"/>
      <c r="C484" s="239"/>
      <c r="D484" s="239"/>
      <c r="E484" s="239"/>
      <c r="F484" s="283"/>
      <c r="G484" s="239"/>
      <c r="H484" s="239"/>
      <c r="I484" s="239"/>
      <c r="J484" s="239"/>
      <c r="K484" s="239"/>
      <c r="L484" s="239"/>
      <c r="M484" s="239"/>
      <c r="N484" s="239"/>
      <c r="O484" s="239"/>
      <c r="P484" s="246"/>
      <c r="Q484" s="239"/>
      <c r="R484" s="239"/>
      <c r="S484" s="239"/>
      <c r="T484" s="239"/>
      <c r="U484" s="239"/>
      <c r="V484" s="239"/>
      <c r="W484" s="246"/>
      <c r="X484" s="239"/>
      <c r="Y484" s="239"/>
      <c r="Z484" s="239"/>
      <c r="AA484" s="239"/>
      <c r="AB484" s="239"/>
      <c r="AC484" s="239"/>
      <c r="AD484" s="239"/>
      <c r="AE484" s="239"/>
      <c r="AF484" s="239"/>
      <c r="AG484" s="239"/>
      <c r="AH484" s="239"/>
      <c r="AI484" s="239"/>
      <c r="AJ484" s="239"/>
    </row>
    <row r="485">
      <c r="A485" s="239"/>
      <c r="B485" s="239"/>
      <c r="C485" s="239"/>
      <c r="D485" s="239"/>
      <c r="E485" s="239"/>
      <c r="F485" s="283"/>
      <c r="G485" s="239"/>
      <c r="H485" s="239"/>
      <c r="I485" s="239"/>
      <c r="J485" s="239"/>
      <c r="K485" s="239"/>
      <c r="L485" s="239"/>
      <c r="M485" s="239"/>
      <c r="N485" s="239"/>
      <c r="O485" s="239"/>
      <c r="P485" s="246"/>
      <c r="Q485" s="239"/>
      <c r="R485" s="239"/>
      <c r="S485" s="239"/>
      <c r="T485" s="239"/>
      <c r="U485" s="239"/>
      <c r="V485" s="239"/>
      <c r="W485" s="246"/>
      <c r="X485" s="239"/>
      <c r="Y485" s="239"/>
      <c r="Z485" s="239"/>
      <c r="AA485" s="239"/>
      <c r="AB485" s="239"/>
      <c r="AC485" s="239"/>
      <c r="AD485" s="239"/>
      <c r="AE485" s="239"/>
      <c r="AF485" s="239"/>
      <c r="AG485" s="239"/>
      <c r="AH485" s="239"/>
      <c r="AI485" s="239"/>
      <c r="AJ485" s="239"/>
    </row>
    <row r="486">
      <c r="A486" s="239"/>
      <c r="B486" s="239"/>
      <c r="C486" s="239"/>
      <c r="D486" s="239"/>
      <c r="E486" s="239"/>
      <c r="F486" s="283"/>
      <c r="G486" s="239"/>
      <c r="H486" s="239"/>
      <c r="I486" s="239"/>
      <c r="J486" s="239"/>
      <c r="K486" s="239"/>
      <c r="L486" s="239"/>
      <c r="M486" s="239"/>
      <c r="N486" s="239"/>
      <c r="O486" s="239"/>
      <c r="P486" s="246"/>
      <c r="Q486" s="239"/>
      <c r="R486" s="239"/>
      <c r="S486" s="239"/>
      <c r="T486" s="239"/>
      <c r="U486" s="239"/>
      <c r="V486" s="239"/>
      <c r="W486" s="246"/>
      <c r="X486" s="239"/>
      <c r="Y486" s="239"/>
      <c r="Z486" s="239"/>
      <c r="AA486" s="239"/>
      <c r="AB486" s="239"/>
      <c r="AC486" s="239"/>
      <c r="AD486" s="239"/>
      <c r="AE486" s="239"/>
      <c r="AF486" s="239"/>
      <c r="AG486" s="239"/>
      <c r="AH486" s="239"/>
      <c r="AI486" s="239"/>
      <c r="AJ486" s="239"/>
    </row>
    <row r="487">
      <c r="A487" s="239"/>
      <c r="B487" s="239"/>
      <c r="C487" s="239"/>
      <c r="D487" s="239"/>
      <c r="E487" s="239"/>
      <c r="F487" s="283"/>
      <c r="G487" s="239"/>
      <c r="H487" s="239"/>
      <c r="I487" s="239"/>
      <c r="J487" s="239"/>
      <c r="K487" s="239"/>
      <c r="L487" s="239"/>
      <c r="M487" s="239"/>
      <c r="N487" s="239"/>
      <c r="O487" s="239"/>
      <c r="P487" s="246"/>
      <c r="Q487" s="239"/>
      <c r="R487" s="239"/>
      <c r="S487" s="239"/>
      <c r="T487" s="239"/>
      <c r="U487" s="239"/>
      <c r="V487" s="239"/>
      <c r="W487" s="246"/>
      <c r="X487" s="239"/>
      <c r="Y487" s="239"/>
      <c r="Z487" s="239"/>
      <c r="AA487" s="239"/>
      <c r="AB487" s="239"/>
      <c r="AC487" s="239"/>
      <c r="AD487" s="239"/>
      <c r="AE487" s="239"/>
      <c r="AF487" s="239"/>
      <c r="AG487" s="239"/>
      <c r="AH487" s="239"/>
      <c r="AI487" s="239"/>
      <c r="AJ487" s="239"/>
    </row>
    <row r="488">
      <c r="A488" s="239"/>
      <c r="B488" s="239"/>
      <c r="C488" s="239"/>
      <c r="D488" s="239"/>
      <c r="E488" s="239"/>
      <c r="F488" s="283"/>
      <c r="G488" s="239"/>
      <c r="H488" s="239"/>
      <c r="I488" s="239"/>
      <c r="J488" s="239"/>
      <c r="K488" s="239"/>
      <c r="L488" s="239"/>
      <c r="M488" s="239"/>
      <c r="N488" s="239"/>
      <c r="O488" s="239"/>
      <c r="P488" s="246"/>
      <c r="Q488" s="239"/>
      <c r="R488" s="239"/>
      <c r="S488" s="239"/>
      <c r="T488" s="239"/>
      <c r="U488" s="239"/>
      <c r="V488" s="239"/>
      <c r="W488" s="246"/>
      <c r="X488" s="239"/>
      <c r="Y488" s="239"/>
      <c r="Z488" s="239"/>
      <c r="AA488" s="239"/>
      <c r="AB488" s="239"/>
      <c r="AC488" s="239"/>
      <c r="AD488" s="239"/>
      <c r="AE488" s="239"/>
      <c r="AF488" s="239"/>
      <c r="AG488" s="239"/>
      <c r="AH488" s="239"/>
      <c r="AI488" s="239"/>
      <c r="AJ488" s="239"/>
    </row>
    <row r="489">
      <c r="A489" s="239"/>
      <c r="B489" s="239"/>
      <c r="C489" s="239"/>
      <c r="D489" s="239"/>
      <c r="E489" s="239"/>
      <c r="F489" s="283"/>
      <c r="G489" s="239"/>
      <c r="H489" s="239"/>
      <c r="I489" s="239"/>
      <c r="J489" s="239"/>
      <c r="K489" s="239"/>
      <c r="L489" s="239"/>
      <c r="M489" s="239"/>
      <c r="N489" s="239"/>
      <c r="O489" s="239"/>
      <c r="P489" s="246"/>
      <c r="Q489" s="239"/>
      <c r="R489" s="239"/>
      <c r="S489" s="239"/>
      <c r="T489" s="239"/>
      <c r="U489" s="239"/>
      <c r="V489" s="239"/>
      <c r="W489" s="246"/>
      <c r="X489" s="239"/>
      <c r="Y489" s="239"/>
      <c r="Z489" s="239"/>
      <c r="AA489" s="239"/>
      <c r="AB489" s="239"/>
      <c r="AC489" s="239"/>
      <c r="AD489" s="239"/>
      <c r="AE489" s="239"/>
      <c r="AF489" s="239"/>
      <c r="AG489" s="239"/>
      <c r="AH489" s="239"/>
      <c r="AI489" s="239"/>
      <c r="AJ489" s="239"/>
    </row>
    <row r="490">
      <c r="A490" s="239"/>
      <c r="B490" s="239"/>
      <c r="C490" s="239"/>
      <c r="D490" s="239"/>
      <c r="E490" s="239"/>
      <c r="F490" s="283"/>
      <c r="G490" s="239"/>
      <c r="H490" s="239"/>
      <c r="I490" s="239"/>
      <c r="J490" s="239"/>
      <c r="K490" s="239"/>
      <c r="L490" s="239"/>
      <c r="M490" s="239"/>
      <c r="N490" s="239"/>
      <c r="O490" s="239"/>
      <c r="P490" s="246"/>
      <c r="Q490" s="239"/>
      <c r="R490" s="239"/>
      <c r="S490" s="239"/>
      <c r="T490" s="239"/>
      <c r="U490" s="239"/>
      <c r="V490" s="239"/>
      <c r="W490" s="246"/>
      <c r="X490" s="239"/>
      <c r="Y490" s="239"/>
      <c r="Z490" s="239"/>
      <c r="AA490" s="239"/>
      <c r="AB490" s="239"/>
      <c r="AC490" s="239"/>
      <c r="AD490" s="239"/>
      <c r="AE490" s="239"/>
      <c r="AF490" s="239"/>
      <c r="AG490" s="239"/>
      <c r="AH490" s="239"/>
      <c r="AI490" s="239"/>
      <c r="AJ490" s="239"/>
    </row>
    <row r="491">
      <c r="A491" s="239"/>
      <c r="B491" s="239"/>
      <c r="C491" s="239"/>
      <c r="D491" s="239"/>
      <c r="E491" s="239"/>
      <c r="F491" s="283"/>
      <c r="G491" s="239"/>
      <c r="H491" s="239"/>
      <c r="I491" s="239"/>
      <c r="J491" s="239"/>
      <c r="K491" s="239"/>
      <c r="L491" s="239"/>
      <c r="M491" s="239"/>
      <c r="N491" s="239"/>
      <c r="O491" s="239"/>
      <c r="P491" s="246"/>
      <c r="Q491" s="239"/>
      <c r="R491" s="239"/>
      <c r="S491" s="239"/>
      <c r="T491" s="239"/>
      <c r="U491" s="239"/>
      <c r="V491" s="239"/>
      <c r="W491" s="246"/>
      <c r="X491" s="239"/>
      <c r="Y491" s="239"/>
      <c r="Z491" s="239"/>
      <c r="AA491" s="239"/>
      <c r="AB491" s="239"/>
      <c r="AC491" s="239"/>
      <c r="AD491" s="239"/>
      <c r="AE491" s="239"/>
      <c r="AF491" s="239"/>
      <c r="AG491" s="239"/>
      <c r="AH491" s="239"/>
      <c r="AI491" s="239"/>
      <c r="AJ491" s="239"/>
    </row>
    <row r="492">
      <c r="A492" s="239"/>
      <c r="B492" s="239"/>
      <c r="C492" s="239"/>
      <c r="D492" s="239"/>
      <c r="E492" s="239"/>
      <c r="F492" s="283"/>
      <c r="G492" s="239"/>
      <c r="H492" s="239"/>
      <c r="I492" s="239"/>
      <c r="J492" s="239"/>
      <c r="K492" s="239"/>
      <c r="L492" s="239"/>
      <c r="M492" s="239"/>
      <c r="N492" s="239"/>
      <c r="O492" s="239"/>
      <c r="P492" s="246"/>
      <c r="Q492" s="239"/>
      <c r="R492" s="239"/>
      <c r="S492" s="239"/>
      <c r="T492" s="239"/>
      <c r="U492" s="239"/>
      <c r="V492" s="239"/>
      <c r="W492" s="246"/>
      <c r="X492" s="239"/>
      <c r="Y492" s="239"/>
      <c r="Z492" s="239"/>
      <c r="AA492" s="239"/>
      <c r="AB492" s="239"/>
      <c r="AC492" s="239"/>
      <c r="AD492" s="239"/>
      <c r="AE492" s="239"/>
      <c r="AF492" s="239"/>
      <c r="AG492" s="239"/>
      <c r="AH492" s="239"/>
      <c r="AI492" s="239"/>
      <c r="AJ492" s="239"/>
    </row>
    <row r="493">
      <c r="A493" s="239"/>
      <c r="B493" s="239"/>
      <c r="C493" s="239"/>
      <c r="D493" s="239"/>
      <c r="E493" s="239"/>
      <c r="F493" s="283"/>
      <c r="G493" s="239"/>
      <c r="H493" s="239"/>
      <c r="I493" s="239"/>
      <c r="J493" s="239"/>
      <c r="K493" s="239"/>
      <c r="L493" s="239"/>
      <c r="M493" s="239"/>
      <c r="N493" s="239"/>
      <c r="O493" s="239"/>
      <c r="P493" s="246"/>
      <c r="Q493" s="239"/>
      <c r="R493" s="239"/>
      <c r="S493" s="239"/>
      <c r="T493" s="239"/>
      <c r="U493" s="239"/>
      <c r="V493" s="239"/>
      <c r="W493" s="246"/>
      <c r="X493" s="239"/>
      <c r="Y493" s="239"/>
      <c r="Z493" s="239"/>
      <c r="AA493" s="239"/>
      <c r="AB493" s="239"/>
      <c r="AC493" s="239"/>
      <c r="AD493" s="239"/>
      <c r="AE493" s="239"/>
      <c r="AF493" s="239"/>
      <c r="AG493" s="239"/>
      <c r="AH493" s="239"/>
      <c r="AI493" s="239"/>
      <c r="AJ493" s="239"/>
    </row>
    <row r="494">
      <c r="A494" s="239"/>
      <c r="B494" s="239"/>
      <c r="C494" s="239"/>
      <c r="D494" s="239"/>
      <c r="E494" s="239"/>
      <c r="F494" s="283"/>
      <c r="G494" s="239"/>
      <c r="H494" s="239"/>
      <c r="I494" s="239"/>
      <c r="J494" s="239"/>
      <c r="K494" s="239"/>
      <c r="L494" s="239"/>
      <c r="M494" s="239"/>
      <c r="N494" s="239"/>
      <c r="O494" s="239"/>
      <c r="P494" s="246"/>
      <c r="Q494" s="239"/>
      <c r="R494" s="239"/>
      <c r="S494" s="239"/>
      <c r="T494" s="239"/>
      <c r="U494" s="239"/>
      <c r="V494" s="239"/>
      <c r="W494" s="246"/>
      <c r="X494" s="239"/>
      <c r="Y494" s="239"/>
      <c r="Z494" s="239"/>
      <c r="AA494" s="239"/>
      <c r="AB494" s="239"/>
      <c r="AC494" s="239"/>
      <c r="AD494" s="239"/>
      <c r="AE494" s="239"/>
      <c r="AF494" s="239"/>
      <c r="AG494" s="239"/>
      <c r="AH494" s="239"/>
      <c r="AI494" s="239"/>
      <c r="AJ494" s="239"/>
    </row>
    <row r="495">
      <c r="A495" s="239"/>
      <c r="B495" s="239"/>
      <c r="C495" s="239"/>
      <c r="D495" s="239"/>
      <c r="E495" s="239"/>
      <c r="F495" s="283"/>
      <c r="G495" s="239"/>
      <c r="H495" s="239"/>
      <c r="I495" s="239"/>
      <c r="J495" s="239"/>
      <c r="K495" s="239"/>
      <c r="L495" s="239"/>
      <c r="M495" s="239"/>
      <c r="N495" s="239"/>
      <c r="O495" s="239"/>
      <c r="P495" s="246"/>
      <c r="Q495" s="239"/>
      <c r="R495" s="239"/>
      <c r="S495" s="239"/>
      <c r="T495" s="239"/>
      <c r="U495" s="239"/>
      <c r="V495" s="239"/>
      <c r="W495" s="246"/>
      <c r="X495" s="239"/>
      <c r="Y495" s="239"/>
      <c r="Z495" s="239"/>
      <c r="AA495" s="239"/>
      <c r="AB495" s="239"/>
      <c r="AC495" s="239"/>
      <c r="AD495" s="239"/>
      <c r="AE495" s="239"/>
      <c r="AF495" s="239"/>
      <c r="AG495" s="239"/>
      <c r="AH495" s="239"/>
      <c r="AI495" s="239"/>
      <c r="AJ495" s="239"/>
    </row>
    <row r="496">
      <c r="A496" s="239"/>
      <c r="B496" s="239"/>
      <c r="C496" s="239"/>
      <c r="D496" s="239"/>
      <c r="E496" s="239"/>
      <c r="F496" s="283"/>
      <c r="G496" s="239"/>
      <c r="H496" s="239"/>
      <c r="I496" s="239"/>
      <c r="J496" s="239"/>
      <c r="K496" s="239"/>
      <c r="L496" s="239"/>
      <c r="M496" s="239"/>
      <c r="N496" s="239"/>
      <c r="O496" s="239"/>
      <c r="P496" s="246"/>
      <c r="Q496" s="239"/>
      <c r="R496" s="239"/>
      <c r="S496" s="239"/>
      <c r="T496" s="239"/>
      <c r="U496" s="239"/>
      <c r="V496" s="239"/>
      <c r="W496" s="246"/>
      <c r="X496" s="239"/>
      <c r="Y496" s="239"/>
      <c r="Z496" s="239"/>
      <c r="AA496" s="239"/>
      <c r="AB496" s="239"/>
      <c r="AC496" s="239"/>
      <c r="AD496" s="239"/>
      <c r="AE496" s="239"/>
      <c r="AF496" s="239"/>
      <c r="AG496" s="239"/>
      <c r="AH496" s="239"/>
      <c r="AI496" s="239"/>
      <c r="AJ496" s="239"/>
    </row>
    <row r="497">
      <c r="A497" s="239"/>
      <c r="B497" s="239"/>
      <c r="C497" s="239"/>
      <c r="D497" s="239"/>
      <c r="E497" s="239"/>
      <c r="F497" s="283"/>
      <c r="G497" s="239"/>
      <c r="H497" s="239"/>
      <c r="I497" s="239"/>
      <c r="J497" s="239"/>
      <c r="K497" s="239"/>
      <c r="L497" s="239"/>
      <c r="M497" s="239"/>
      <c r="N497" s="239"/>
      <c r="O497" s="239"/>
      <c r="P497" s="246"/>
      <c r="Q497" s="239"/>
      <c r="R497" s="239"/>
      <c r="S497" s="239"/>
      <c r="T497" s="239"/>
      <c r="U497" s="239"/>
      <c r="V497" s="239"/>
      <c r="W497" s="246"/>
      <c r="X497" s="239"/>
      <c r="Y497" s="239"/>
      <c r="Z497" s="239"/>
      <c r="AA497" s="239"/>
      <c r="AB497" s="239"/>
      <c r="AC497" s="239"/>
      <c r="AD497" s="239"/>
      <c r="AE497" s="239"/>
      <c r="AF497" s="239"/>
      <c r="AG497" s="239"/>
      <c r="AH497" s="239"/>
      <c r="AI497" s="239"/>
      <c r="AJ497" s="239"/>
    </row>
    <row r="498">
      <c r="A498" s="239"/>
      <c r="B498" s="239"/>
      <c r="C498" s="239"/>
      <c r="D498" s="239"/>
      <c r="E498" s="239"/>
      <c r="F498" s="283"/>
      <c r="G498" s="239"/>
      <c r="H498" s="239"/>
      <c r="I498" s="239"/>
      <c r="J498" s="239"/>
      <c r="K498" s="239"/>
      <c r="L498" s="239"/>
      <c r="M498" s="239"/>
      <c r="N498" s="239"/>
      <c r="O498" s="239"/>
      <c r="P498" s="246"/>
      <c r="Q498" s="239"/>
      <c r="R498" s="239"/>
      <c r="S498" s="239"/>
      <c r="T498" s="239"/>
      <c r="U498" s="239"/>
      <c r="V498" s="239"/>
      <c r="W498" s="246"/>
      <c r="X498" s="239"/>
      <c r="Y498" s="239"/>
      <c r="Z498" s="239"/>
      <c r="AA498" s="239"/>
      <c r="AB498" s="239"/>
      <c r="AC498" s="239"/>
      <c r="AD498" s="239"/>
      <c r="AE498" s="239"/>
      <c r="AF498" s="239"/>
      <c r="AG498" s="239"/>
      <c r="AH498" s="239"/>
      <c r="AI498" s="239"/>
      <c r="AJ498" s="239"/>
    </row>
    <row r="499">
      <c r="A499" s="239"/>
      <c r="B499" s="239"/>
      <c r="C499" s="239"/>
      <c r="D499" s="239"/>
      <c r="E499" s="239"/>
      <c r="F499" s="283"/>
      <c r="G499" s="239"/>
      <c r="H499" s="239"/>
      <c r="I499" s="239"/>
      <c r="J499" s="239"/>
      <c r="K499" s="239"/>
      <c r="L499" s="239"/>
      <c r="M499" s="239"/>
      <c r="N499" s="239"/>
      <c r="O499" s="239"/>
      <c r="P499" s="246"/>
      <c r="Q499" s="239"/>
      <c r="R499" s="239"/>
      <c r="S499" s="239"/>
      <c r="T499" s="239"/>
      <c r="U499" s="239"/>
      <c r="V499" s="239"/>
      <c r="W499" s="246"/>
      <c r="X499" s="239"/>
      <c r="Y499" s="239"/>
      <c r="Z499" s="239"/>
      <c r="AA499" s="239"/>
      <c r="AB499" s="239"/>
      <c r="AC499" s="239"/>
      <c r="AD499" s="239"/>
      <c r="AE499" s="239"/>
      <c r="AF499" s="239"/>
      <c r="AG499" s="239"/>
      <c r="AH499" s="239"/>
      <c r="AI499" s="239"/>
      <c r="AJ499" s="239"/>
    </row>
    <row r="500">
      <c r="A500" s="239"/>
      <c r="B500" s="239"/>
      <c r="C500" s="239"/>
      <c r="D500" s="239"/>
      <c r="E500" s="239"/>
      <c r="F500" s="283"/>
      <c r="G500" s="239"/>
      <c r="H500" s="239"/>
      <c r="I500" s="239"/>
      <c r="J500" s="239"/>
      <c r="K500" s="239"/>
      <c r="L500" s="239"/>
      <c r="M500" s="239"/>
      <c r="N500" s="239"/>
      <c r="O500" s="239"/>
      <c r="P500" s="246"/>
      <c r="Q500" s="239"/>
      <c r="R500" s="239"/>
      <c r="S500" s="239"/>
      <c r="T500" s="239"/>
      <c r="U500" s="239"/>
      <c r="V500" s="239"/>
      <c r="W500" s="246"/>
      <c r="X500" s="239"/>
      <c r="Y500" s="239"/>
      <c r="Z500" s="239"/>
      <c r="AA500" s="239"/>
      <c r="AB500" s="239"/>
      <c r="AC500" s="239"/>
      <c r="AD500" s="239"/>
      <c r="AE500" s="239"/>
      <c r="AF500" s="239"/>
      <c r="AG500" s="239"/>
      <c r="AH500" s="239"/>
      <c r="AI500" s="239"/>
      <c r="AJ500" s="239"/>
    </row>
    <row r="501">
      <c r="A501" s="239"/>
      <c r="B501" s="239"/>
      <c r="C501" s="239"/>
      <c r="D501" s="239"/>
      <c r="E501" s="239"/>
      <c r="F501" s="283"/>
      <c r="G501" s="239"/>
      <c r="H501" s="239"/>
      <c r="I501" s="239"/>
      <c r="J501" s="239"/>
      <c r="K501" s="239"/>
      <c r="L501" s="239"/>
      <c r="M501" s="239"/>
      <c r="N501" s="239"/>
      <c r="O501" s="239"/>
      <c r="P501" s="246"/>
      <c r="Q501" s="239"/>
      <c r="R501" s="239"/>
      <c r="S501" s="239"/>
      <c r="T501" s="239"/>
      <c r="U501" s="239"/>
      <c r="V501" s="239"/>
      <c r="W501" s="246"/>
      <c r="X501" s="239"/>
      <c r="Y501" s="239"/>
      <c r="Z501" s="239"/>
      <c r="AA501" s="239"/>
      <c r="AB501" s="239"/>
      <c r="AC501" s="239"/>
      <c r="AD501" s="239"/>
      <c r="AE501" s="239"/>
      <c r="AF501" s="239"/>
      <c r="AG501" s="239"/>
      <c r="AH501" s="239"/>
      <c r="AI501" s="239"/>
      <c r="AJ501" s="239"/>
    </row>
    <row r="502">
      <c r="A502" s="239"/>
      <c r="B502" s="239"/>
      <c r="C502" s="239"/>
      <c r="D502" s="239"/>
      <c r="E502" s="239"/>
      <c r="F502" s="283"/>
      <c r="G502" s="239"/>
      <c r="H502" s="239"/>
      <c r="I502" s="239"/>
      <c r="J502" s="239"/>
      <c r="K502" s="239"/>
      <c r="L502" s="239"/>
      <c r="M502" s="239"/>
      <c r="N502" s="239"/>
      <c r="O502" s="239"/>
      <c r="P502" s="246"/>
      <c r="Q502" s="239"/>
      <c r="R502" s="239"/>
      <c r="S502" s="239"/>
      <c r="T502" s="239"/>
      <c r="U502" s="239"/>
      <c r="V502" s="239"/>
      <c r="W502" s="246"/>
      <c r="X502" s="239"/>
      <c r="Y502" s="239"/>
      <c r="Z502" s="239"/>
      <c r="AA502" s="239"/>
      <c r="AB502" s="239"/>
      <c r="AC502" s="239"/>
      <c r="AD502" s="239"/>
      <c r="AE502" s="239"/>
      <c r="AF502" s="239"/>
      <c r="AG502" s="239"/>
      <c r="AH502" s="239"/>
      <c r="AI502" s="239"/>
      <c r="AJ502" s="239"/>
    </row>
    <row r="503">
      <c r="A503" s="239"/>
      <c r="B503" s="239"/>
      <c r="C503" s="239"/>
      <c r="D503" s="239"/>
      <c r="E503" s="239"/>
      <c r="F503" s="283"/>
      <c r="G503" s="239"/>
      <c r="H503" s="239"/>
      <c r="I503" s="239"/>
      <c r="J503" s="239"/>
      <c r="K503" s="239"/>
      <c r="L503" s="239"/>
      <c r="M503" s="239"/>
      <c r="N503" s="239"/>
      <c r="O503" s="239"/>
      <c r="P503" s="246"/>
      <c r="Q503" s="239"/>
      <c r="R503" s="239"/>
      <c r="S503" s="239"/>
      <c r="T503" s="239"/>
      <c r="U503" s="239"/>
      <c r="V503" s="239"/>
      <c r="W503" s="246"/>
      <c r="X503" s="239"/>
      <c r="Y503" s="239"/>
      <c r="Z503" s="239"/>
      <c r="AA503" s="239"/>
      <c r="AB503" s="239"/>
      <c r="AC503" s="239"/>
      <c r="AD503" s="239"/>
      <c r="AE503" s="239"/>
      <c r="AF503" s="239"/>
      <c r="AG503" s="239"/>
      <c r="AH503" s="239"/>
      <c r="AI503" s="239"/>
      <c r="AJ503" s="239"/>
    </row>
    <row r="504">
      <c r="A504" s="239"/>
      <c r="B504" s="239"/>
      <c r="C504" s="239"/>
      <c r="D504" s="239"/>
      <c r="E504" s="239"/>
      <c r="F504" s="283"/>
      <c r="G504" s="239"/>
      <c r="H504" s="239"/>
      <c r="I504" s="239"/>
      <c r="J504" s="239"/>
      <c r="K504" s="239"/>
      <c r="L504" s="239"/>
      <c r="M504" s="239"/>
      <c r="N504" s="239"/>
      <c r="O504" s="239"/>
      <c r="P504" s="246"/>
      <c r="Q504" s="239"/>
      <c r="R504" s="239"/>
      <c r="S504" s="239"/>
      <c r="T504" s="239"/>
      <c r="U504" s="239"/>
      <c r="V504" s="239"/>
      <c r="W504" s="246"/>
      <c r="X504" s="239"/>
      <c r="Y504" s="239"/>
      <c r="Z504" s="239"/>
      <c r="AA504" s="239"/>
      <c r="AB504" s="239"/>
      <c r="AC504" s="239"/>
      <c r="AD504" s="239"/>
      <c r="AE504" s="239"/>
      <c r="AF504" s="239"/>
      <c r="AG504" s="239"/>
      <c r="AH504" s="239"/>
      <c r="AI504" s="239"/>
      <c r="AJ504" s="239"/>
    </row>
    <row r="505">
      <c r="A505" s="239"/>
      <c r="B505" s="239"/>
      <c r="C505" s="239"/>
      <c r="D505" s="239"/>
      <c r="E505" s="239"/>
      <c r="F505" s="283"/>
      <c r="G505" s="239"/>
      <c r="H505" s="239"/>
      <c r="I505" s="239"/>
      <c r="J505" s="239"/>
      <c r="K505" s="239"/>
      <c r="L505" s="239"/>
      <c r="M505" s="239"/>
      <c r="N505" s="239"/>
      <c r="O505" s="239"/>
      <c r="P505" s="246"/>
      <c r="Q505" s="239"/>
      <c r="R505" s="239"/>
      <c r="S505" s="239"/>
      <c r="T505" s="239"/>
      <c r="U505" s="239"/>
      <c r="V505" s="239"/>
      <c r="W505" s="246"/>
      <c r="X505" s="239"/>
      <c r="Y505" s="239"/>
      <c r="Z505" s="239"/>
      <c r="AA505" s="239"/>
      <c r="AB505" s="239"/>
      <c r="AC505" s="239"/>
      <c r="AD505" s="239"/>
      <c r="AE505" s="239"/>
      <c r="AF505" s="239"/>
      <c r="AG505" s="239"/>
      <c r="AH505" s="239"/>
      <c r="AI505" s="239"/>
      <c r="AJ505" s="239"/>
    </row>
    <row r="506">
      <c r="A506" s="239"/>
      <c r="B506" s="239"/>
      <c r="C506" s="239"/>
      <c r="D506" s="239"/>
      <c r="E506" s="239"/>
      <c r="F506" s="283"/>
      <c r="G506" s="239"/>
      <c r="H506" s="239"/>
      <c r="I506" s="239"/>
      <c r="J506" s="239"/>
      <c r="K506" s="239"/>
      <c r="L506" s="239"/>
      <c r="M506" s="239"/>
      <c r="N506" s="239"/>
      <c r="O506" s="239"/>
      <c r="P506" s="246"/>
      <c r="Q506" s="239"/>
      <c r="R506" s="239"/>
      <c r="S506" s="239"/>
      <c r="T506" s="239"/>
      <c r="U506" s="239"/>
      <c r="V506" s="239"/>
      <c r="W506" s="246"/>
      <c r="X506" s="239"/>
      <c r="Y506" s="239"/>
      <c r="Z506" s="239"/>
      <c r="AA506" s="239"/>
      <c r="AB506" s="239"/>
      <c r="AC506" s="239"/>
      <c r="AD506" s="239"/>
      <c r="AE506" s="239"/>
      <c r="AF506" s="239"/>
      <c r="AG506" s="239"/>
      <c r="AH506" s="239"/>
      <c r="AI506" s="239"/>
      <c r="AJ506" s="239"/>
    </row>
    <row r="507">
      <c r="A507" s="239"/>
      <c r="B507" s="239"/>
      <c r="C507" s="239"/>
      <c r="D507" s="239"/>
      <c r="E507" s="239"/>
      <c r="F507" s="283"/>
      <c r="G507" s="239"/>
      <c r="H507" s="239"/>
      <c r="I507" s="239"/>
      <c r="J507" s="239"/>
      <c r="K507" s="239"/>
      <c r="L507" s="239"/>
      <c r="M507" s="239"/>
      <c r="N507" s="239"/>
      <c r="O507" s="239"/>
      <c r="P507" s="246"/>
      <c r="Q507" s="239"/>
      <c r="R507" s="239"/>
      <c r="S507" s="239"/>
      <c r="T507" s="239"/>
      <c r="U507" s="239"/>
      <c r="V507" s="239"/>
      <c r="W507" s="246"/>
      <c r="X507" s="239"/>
      <c r="Y507" s="239"/>
      <c r="Z507" s="239"/>
      <c r="AA507" s="239"/>
      <c r="AB507" s="239"/>
      <c r="AC507" s="239"/>
      <c r="AD507" s="239"/>
      <c r="AE507" s="239"/>
      <c r="AF507" s="239"/>
      <c r="AG507" s="239"/>
      <c r="AH507" s="239"/>
      <c r="AI507" s="239"/>
      <c r="AJ507" s="239"/>
    </row>
    <row r="508">
      <c r="A508" s="239"/>
      <c r="B508" s="239"/>
      <c r="C508" s="239"/>
      <c r="D508" s="239"/>
      <c r="E508" s="239"/>
      <c r="F508" s="283"/>
      <c r="G508" s="239"/>
      <c r="H508" s="239"/>
      <c r="I508" s="239"/>
      <c r="J508" s="239"/>
      <c r="K508" s="239"/>
      <c r="L508" s="239"/>
      <c r="M508" s="239"/>
      <c r="N508" s="239"/>
      <c r="O508" s="239"/>
      <c r="P508" s="246"/>
      <c r="Q508" s="239"/>
      <c r="R508" s="239"/>
      <c r="S508" s="239"/>
      <c r="T508" s="239"/>
      <c r="U508" s="239"/>
      <c r="V508" s="239"/>
      <c r="W508" s="246"/>
      <c r="X508" s="239"/>
      <c r="Y508" s="239"/>
      <c r="Z508" s="239"/>
      <c r="AA508" s="239"/>
      <c r="AB508" s="239"/>
      <c r="AC508" s="239"/>
      <c r="AD508" s="239"/>
      <c r="AE508" s="239"/>
      <c r="AF508" s="239"/>
      <c r="AG508" s="239"/>
      <c r="AH508" s="239"/>
      <c r="AI508" s="239"/>
      <c r="AJ508" s="239"/>
    </row>
    <row r="509">
      <c r="A509" s="239"/>
      <c r="B509" s="239"/>
      <c r="C509" s="239"/>
      <c r="D509" s="239"/>
      <c r="E509" s="239"/>
      <c r="F509" s="283"/>
      <c r="G509" s="239"/>
      <c r="H509" s="239"/>
      <c r="I509" s="239"/>
      <c r="J509" s="239"/>
      <c r="K509" s="239"/>
      <c r="L509" s="239"/>
      <c r="M509" s="239"/>
      <c r="N509" s="239"/>
      <c r="O509" s="239"/>
      <c r="P509" s="246"/>
      <c r="Q509" s="239"/>
      <c r="R509" s="239"/>
      <c r="S509" s="239"/>
      <c r="T509" s="239"/>
      <c r="U509" s="239"/>
      <c r="V509" s="239"/>
      <c r="W509" s="246"/>
      <c r="X509" s="239"/>
      <c r="Y509" s="239"/>
      <c r="Z509" s="239"/>
      <c r="AA509" s="239"/>
      <c r="AB509" s="239"/>
      <c r="AC509" s="239"/>
      <c r="AD509" s="239"/>
      <c r="AE509" s="239"/>
      <c r="AF509" s="239"/>
      <c r="AG509" s="239"/>
      <c r="AH509" s="239"/>
      <c r="AI509" s="239"/>
      <c r="AJ509" s="239"/>
    </row>
    <row r="510">
      <c r="A510" s="239"/>
      <c r="B510" s="239"/>
      <c r="C510" s="239"/>
      <c r="D510" s="239"/>
      <c r="E510" s="239"/>
      <c r="F510" s="283"/>
      <c r="G510" s="239"/>
      <c r="H510" s="239"/>
      <c r="I510" s="239"/>
      <c r="J510" s="239"/>
      <c r="K510" s="239"/>
      <c r="L510" s="239"/>
      <c r="M510" s="239"/>
      <c r="N510" s="239"/>
      <c r="O510" s="239"/>
      <c r="P510" s="246"/>
      <c r="Q510" s="239"/>
      <c r="R510" s="239"/>
      <c r="S510" s="239"/>
      <c r="T510" s="239"/>
      <c r="U510" s="239"/>
      <c r="V510" s="239"/>
      <c r="W510" s="246"/>
      <c r="X510" s="239"/>
      <c r="Y510" s="239"/>
      <c r="Z510" s="239"/>
      <c r="AA510" s="239"/>
      <c r="AB510" s="239"/>
      <c r="AC510" s="239"/>
      <c r="AD510" s="239"/>
      <c r="AE510" s="239"/>
      <c r="AF510" s="239"/>
      <c r="AG510" s="239"/>
      <c r="AH510" s="239"/>
      <c r="AI510" s="239"/>
      <c r="AJ510" s="239"/>
    </row>
    <row r="511">
      <c r="A511" s="239"/>
      <c r="B511" s="239"/>
      <c r="C511" s="239"/>
      <c r="D511" s="239"/>
      <c r="E511" s="239"/>
      <c r="F511" s="283"/>
      <c r="G511" s="239"/>
      <c r="H511" s="239"/>
      <c r="I511" s="239"/>
      <c r="J511" s="239"/>
      <c r="K511" s="239"/>
      <c r="L511" s="239"/>
      <c r="M511" s="239"/>
      <c r="N511" s="239"/>
      <c r="O511" s="239"/>
      <c r="P511" s="246"/>
      <c r="Q511" s="239"/>
      <c r="R511" s="239"/>
      <c r="S511" s="239"/>
      <c r="T511" s="239"/>
      <c r="U511" s="239"/>
      <c r="V511" s="239"/>
      <c r="W511" s="246"/>
      <c r="X511" s="239"/>
      <c r="Y511" s="239"/>
      <c r="Z511" s="239"/>
      <c r="AA511" s="239"/>
      <c r="AB511" s="239"/>
      <c r="AC511" s="239"/>
      <c r="AD511" s="239"/>
      <c r="AE511" s="239"/>
      <c r="AF511" s="239"/>
      <c r="AG511" s="239"/>
      <c r="AH511" s="239"/>
      <c r="AI511" s="239"/>
      <c r="AJ511" s="239"/>
    </row>
    <row r="512">
      <c r="A512" s="239"/>
      <c r="B512" s="239"/>
      <c r="C512" s="239"/>
      <c r="D512" s="239"/>
      <c r="E512" s="239"/>
      <c r="F512" s="283"/>
      <c r="G512" s="239"/>
      <c r="H512" s="239"/>
      <c r="I512" s="239"/>
      <c r="J512" s="239"/>
      <c r="K512" s="239"/>
      <c r="L512" s="239"/>
      <c r="M512" s="239"/>
      <c r="N512" s="239"/>
      <c r="O512" s="239"/>
      <c r="P512" s="246"/>
      <c r="Q512" s="239"/>
      <c r="R512" s="239"/>
      <c r="S512" s="239"/>
      <c r="T512" s="239"/>
      <c r="U512" s="239"/>
      <c r="V512" s="239"/>
      <c r="W512" s="246"/>
      <c r="X512" s="239"/>
      <c r="Y512" s="239"/>
      <c r="Z512" s="239"/>
      <c r="AA512" s="239"/>
      <c r="AB512" s="239"/>
      <c r="AC512" s="239"/>
      <c r="AD512" s="239"/>
      <c r="AE512" s="239"/>
      <c r="AF512" s="239"/>
      <c r="AG512" s="239"/>
      <c r="AH512" s="239"/>
      <c r="AI512" s="239"/>
      <c r="AJ512" s="239"/>
    </row>
    <row r="513">
      <c r="A513" s="239"/>
      <c r="B513" s="239"/>
      <c r="C513" s="239"/>
      <c r="D513" s="239"/>
      <c r="E513" s="239"/>
      <c r="F513" s="283"/>
      <c r="G513" s="239"/>
      <c r="H513" s="239"/>
      <c r="I513" s="239"/>
      <c r="J513" s="239"/>
      <c r="K513" s="239"/>
      <c r="L513" s="239"/>
      <c r="M513" s="239"/>
      <c r="N513" s="239"/>
      <c r="O513" s="239"/>
      <c r="P513" s="246"/>
      <c r="Q513" s="239"/>
      <c r="R513" s="239"/>
      <c r="S513" s="239"/>
      <c r="T513" s="239"/>
      <c r="U513" s="239"/>
      <c r="V513" s="239"/>
      <c r="W513" s="246"/>
      <c r="X513" s="239"/>
      <c r="Y513" s="239"/>
      <c r="Z513" s="239"/>
      <c r="AA513" s="239"/>
      <c r="AB513" s="239"/>
      <c r="AC513" s="239"/>
      <c r="AD513" s="239"/>
      <c r="AE513" s="239"/>
      <c r="AF513" s="239"/>
      <c r="AG513" s="239"/>
      <c r="AH513" s="239"/>
      <c r="AI513" s="239"/>
      <c r="AJ513" s="239"/>
    </row>
    <row r="514">
      <c r="A514" s="239"/>
      <c r="B514" s="239"/>
      <c r="C514" s="239"/>
      <c r="D514" s="239"/>
      <c r="E514" s="239"/>
      <c r="F514" s="283"/>
      <c r="G514" s="239"/>
      <c r="H514" s="239"/>
      <c r="I514" s="239"/>
      <c r="J514" s="239"/>
      <c r="K514" s="239"/>
      <c r="L514" s="239"/>
      <c r="M514" s="239"/>
      <c r="N514" s="239"/>
      <c r="O514" s="239"/>
      <c r="P514" s="246"/>
      <c r="Q514" s="239"/>
      <c r="R514" s="239"/>
      <c r="S514" s="239"/>
      <c r="T514" s="239"/>
      <c r="U514" s="239"/>
      <c r="V514" s="239"/>
      <c r="W514" s="246"/>
      <c r="X514" s="239"/>
      <c r="Y514" s="239"/>
      <c r="Z514" s="239"/>
      <c r="AA514" s="239"/>
      <c r="AB514" s="239"/>
      <c r="AC514" s="239"/>
      <c r="AD514" s="239"/>
      <c r="AE514" s="239"/>
      <c r="AF514" s="239"/>
      <c r="AG514" s="239"/>
      <c r="AH514" s="239"/>
      <c r="AI514" s="239"/>
      <c r="AJ514" s="239"/>
    </row>
    <row r="515">
      <c r="A515" s="239"/>
      <c r="B515" s="239"/>
      <c r="C515" s="239"/>
      <c r="D515" s="239"/>
      <c r="E515" s="239"/>
      <c r="F515" s="283"/>
      <c r="G515" s="239"/>
      <c r="H515" s="239"/>
      <c r="I515" s="239"/>
      <c r="J515" s="239"/>
      <c r="K515" s="239"/>
      <c r="L515" s="239"/>
      <c r="M515" s="239"/>
      <c r="N515" s="239"/>
      <c r="O515" s="239"/>
      <c r="P515" s="246"/>
      <c r="Q515" s="239"/>
      <c r="R515" s="239"/>
      <c r="S515" s="239"/>
      <c r="T515" s="239"/>
      <c r="U515" s="239"/>
      <c r="V515" s="239"/>
      <c r="W515" s="246"/>
      <c r="X515" s="239"/>
      <c r="Y515" s="239"/>
      <c r="Z515" s="239"/>
      <c r="AA515" s="239"/>
      <c r="AB515" s="239"/>
      <c r="AC515" s="239"/>
      <c r="AD515" s="239"/>
      <c r="AE515" s="239"/>
      <c r="AF515" s="239"/>
      <c r="AG515" s="239"/>
      <c r="AH515" s="239"/>
      <c r="AI515" s="239"/>
      <c r="AJ515" s="239"/>
    </row>
    <row r="516">
      <c r="A516" s="239"/>
      <c r="B516" s="239"/>
      <c r="C516" s="239"/>
      <c r="D516" s="239"/>
      <c r="E516" s="239"/>
      <c r="F516" s="283"/>
      <c r="G516" s="239"/>
      <c r="H516" s="239"/>
      <c r="I516" s="239"/>
      <c r="J516" s="239"/>
      <c r="K516" s="239"/>
      <c r="L516" s="239"/>
      <c r="M516" s="239"/>
      <c r="N516" s="239"/>
      <c r="O516" s="239"/>
      <c r="P516" s="246"/>
      <c r="Q516" s="239"/>
      <c r="R516" s="239"/>
      <c r="S516" s="239"/>
      <c r="T516" s="239"/>
      <c r="U516" s="239"/>
      <c r="V516" s="239"/>
      <c r="W516" s="246"/>
      <c r="X516" s="239"/>
      <c r="Y516" s="239"/>
      <c r="Z516" s="239"/>
      <c r="AA516" s="239"/>
      <c r="AB516" s="239"/>
      <c r="AC516" s="239"/>
      <c r="AD516" s="239"/>
      <c r="AE516" s="239"/>
      <c r="AF516" s="239"/>
      <c r="AG516" s="239"/>
      <c r="AH516" s="239"/>
      <c r="AI516" s="239"/>
      <c r="AJ516" s="239"/>
    </row>
    <row r="517">
      <c r="A517" s="239"/>
      <c r="B517" s="239"/>
      <c r="C517" s="239"/>
      <c r="D517" s="239"/>
      <c r="E517" s="239"/>
      <c r="F517" s="283"/>
      <c r="G517" s="239"/>
      <c r="H517" s="239"/>
      <c r="I517" s="239"/>
      <c r="J517" s="239"/>
      <c r="K517" s="239"/>
      <c r="L517" s="239"/>
      <c r="M517" s="239"/>
      <c r="N517" s="239"/>
      <c r="O517" s="239"/>
      <c r="P517" s="246"/>
      <c r="Q517" s="239"/>
      <c r="R517" s="239"/>
      <c r="S517" s="239"/>
      <c r="T517" s="239"/>
      <c r="U517" s="239"/>
      <c r="V517" s="239"/>
      <c r="W517" s="246"/>
      <c r="X517" s="239"/>
      <c r="Y517" s="239"/>
      <c r="Z517" s="239"/>
      <c r="AA517" s="239"/>
      <c r="AB517" s="239"/>
      <c r="AC517" s="239"/>
      <c r="AD517" s="239"/>
      <c r="AE517" s="239"/>
      <c r="AF517" s="239"/>
      <c r="AG517" s="239"/>
      <c r="AH517" s="239"/>
      <c r="AI517" s="239"/>
      <c r="AJ517" s="239"/>
    </row>
    <row r="518">
      <c r="A518" s="239"/>
      <c r="B518" s="239"/>
      <c r="C518" s="239"/>
      <c r="D518" s="239"/>
      <c r="E518" s="239"/>
      <c r="F518" s="283"/>
      <c r="G518" s="239"/>
      <c r="H518" s="239"/>
      <c r="I518" s="239"/>
      <c r="J518" s="239"/>
      <c r="K518" s="239"/>
      <c r="L518" s="239"/>
      <c r="M518" s="239"/>
      <c r="N518" s="239"/>
      <c r="O518" s="239"/>
      <c r="P518" s="246"/>
      <c r="Q518" s="239"/>
      <c r="R518" s="239"/>
      <c r="S518" s="239"/>
      <c r="T518" s="239"/>
      <c r="U518" s="239"/>
      <c r="V518" s="239"/>
      <c r="W518" s="246"/>
      <c r="X518" s="239"/>
      <c r="Y518" s="239"/>
      <c r="Z518" s="239"/>
      <c r="AA518" s="239"/>
      <c r="AB518" s="239"/>
      <c r="AC518" s="239"/>
      <c r="AD518" s="239"/>
      <c r="AE518" s="239"/>
      <c r="AF518" s="239"/>
      <c r="AG518" s="239"/>
      <c r="AH518" s="239"/>
      <c r="AI518" s="239"/>
      <c r="AJ518" s="239"/>
    </row>
    <row r="519">
      <c r="A519" s="239"/>
      <c r="B519" s="239"/>
      <c r="C519" s="239"/>
      <c r="D519" s="239"/>
      <c r="E519" s="239"/>
      <c r="F519" s="283"/>
      <c r="G519" s="239"/>
      <c r="H519" s="239"/>
      <c r="I519" s="239"/>
      <c r="J519" s="239"/>
      <c r="K519" s="239"/>
      <c r="L519" s="239"/>
      <c r="M519" s="239"/>
      <c r="N519" s="239"/>
      <c r="O519" s="239"/>
      <c r="P519" s="246"/>
      <c r="Q519" s="239"/>
      <c r="R519" s="239"/>
      <c r="S519" s="239"/>
      <c r="T519" s="239"/>
      <c r="U519" s="239"/>
      <c r="V519" s="239"/>
      <c r="W519" s="246"/>
      <c r="X519" s="239"/>
      <c r="Y519" s="239"/>
      <c r="Z519" s="239"/>
      <c r="AA519" s="239"/>
      <c r="AB519" s="239"/>
      <c r="AC519" s="239"/>
      <c r="AD519" s="239"/>
      <c r="AE519" s="239"/>
      <c r="AF519" s="239"/>
      <c r="AG519" s="239"/>
      <c r="AH519" s="239"/>
      <c r="AI519" s="239"/>
      <c r="AJ519" s="239"/>
    </row>
    <row r="520">
      <c r="A520" s="239"/>
      <c r="B520" s="239"/>
      <c r="C520" s="239"/>
      <c r="D520" s="239"/>
      <c r="E520" s="239"/>
      <c r="F520" s="283"/>
      <c r="G520" s="239"/>
      <c r="H520" s="239"/>
      <c r="I520" s="239"/>
      <c r="J520" s="239"/>
      <c r="K520" s="239"/>
      <c r="L520" s="239"/>
      <c r="M520" s="239"/>
      <c r="N520" s="239"/>
      <c r="O520" s="239"/>
      <c r="P520" s="246"/>
      <c r="Q520" s="239"/>
      <c r="R520" s="239"/>
      <c r="S520" s="239"/>
      <c r="T520" s="239"/>
      <c r="U520" s="239"/>
      <c r="V520" s="239"/>
      <c r="W520" s="246"/>
      <c r="X520" s="239"/>
      <c r="Y520" s="239"/>
      <c r="Z520" s="239"/>
      <c r="AA520" s="239"/>
      <c r="AB520" s="239"/>
      <c r="AC520" s="239"/>
      <c r="AD520" s="239"/>
      <c r="AE520" s="239"/>
      <c r="AF520" s="239"/>
      <c r="AG520" s="239"/>
      <c r="AH520" s="239"/>
      <c r="AI520" s="239"/>
      <c r="AJ520" s="239"/>
    </row>
    <row r="521">
      <c r="A521" s="239"/>
      <c r="B521" s="239"/>
      <c r="C521" s="239"/>
      <c r="D521" s="239"/>
      <c r="E521" s="239"/>
      <c r="F521" s="283"/>
      <c r="G521" s="239"/>
      <c r="H521" s="239"/>
      <c r="I521" s="239"/>
      <c r="J521" s="239"/>
      <c r="K521" s="239"/>
      <c r="L521" s="239"/>
      <c r="M521" s="239"/>
      <c r="N521" s="239"/>
      <c r="O521" s="239"/>
      <c r="P521" s="246"/>
      <c r="Q521" s="239"/>
      <c r="R521" s="239"/>
      <c r="S521" s="239"/>
      <c r="T521" s="239"/>
      <c r="U521" s="239"/>
      <c r="V521" s="239"/>
      <c r="W521" s="246"/>
      <c r="X521" s="239"/>
      <c r="Y521" s="239"/>
      <c r="Z521" s="239"/>
      <c r="AA521" s="239"/>
      <c r="AB521" s="239"/>
      <c r="AC521" s="239"/>
      <c r="AD521" s="239"/>
      <c r="AE521" s="239"/>
      <c r="AF521" s="239"/>
      <c r="AG521" s="239"/>
      <c r="AH521" s="239"/>
      <c r="AI521" s="239"/>
      <c r="AJ521" s="239"/>
    </row>
    <row r="522">
      <c r="A522" s="239"/>
      <c r="B522" s="239"/>
      <c r="C522" s="239"/>
      <c r="D522" s="239"/>
      <c r="E522" s="239"/>
      <c r="F522" s="283"/>
      <c r="G522" s="239"/>
      <c r="H522" s="239"/>
      <c r="I522" s="239"/>
      <c r="J522" s="239"/>
      <c r="K522" s="239"/>
      <c r="L522" s="239"/>
      <c r="M522" s="239"/>
      <c r="N522" s="239"/>
      <c r="O522" s="239"/>
      <c r="P522" s="246"/>
      <c r="Q522" s="239"/>
      <c r="R522" s="239"/>
      <c r="S522" s="239"/>
      <c r="T522" s="239"/>
      <c r="U522" s="239"/>
      <c r="V522" s="239"/>
      <c r="W522" s="246"/>
      <c r="X522" s="239"/>
      <c r="Y522" s="239"/>
      <c r="Z522" s="239"/>
      <c r="AA522" s="239"/>
      <c r="AB522" s="239"/>
      <c r="AC522" s="239"/>
      <c r="AD522" s="239"/>
      <c r="AE522" s="239"/>
      <c r="AF522" s="239"/>
      <c r="AG522" s="239"/>
      <c r="AH522" s="239"/>
      <c r="AI522" s="239"/>
      <c r="AJ522" s="239"/>
    </row>
    <row r="523">
      <c r="A523" s="239"/>
      <c r="B523" s="239"/>
      <c r="C523" s="239"/>
      <c r="D523" s="239"/>
      <c r="E523" s="239"/>
      <c r="F523" s="283"/>
      <c r="G523" s="239"/>
      <c r="H523" s="239"/>
      <c r="I523" s="239"/>
      <c r="J523" s="239"/>
      <c r="K523" s="239"/>
      <c r="L523" s="239"/>
      <c r="M523" s="239"/>
      <c r="N523" s="239"/>
      <c r="O523" s="239"/>
      <c r="P523" s="246"/>
      <c r="Q523" s="239"/>
      <c r="R523" s="239"/>
      <c r="S523" s="239"/>
      <c r="T523" s="239"/>
      <c r="U523" s="239"/>
      <c r="V523" s="239"/>
      <c r="W523" s="246"/>
      <c r="X523" s="239"/>
      <c r="Y523" s="239"/>
      <c r="Z523" s="239"/>
      <c r="AA523" s="239"/>
      <c r="AB523" s="239"/>
      <c r="AC523" s="239"/>
      <c r="AD523" s="239"/>
      <c r="AE523" s="239"/>
      <c r="AF523" s="239"/>
      <c r="AG523" s="239"/>
      <c r="AH523" s="239"/>
      <c r="AI523" s="239"/>
      <c r="AJ523" s="239"/>
    </row>
    <row r="524">
      <c r="A524" s="239"/>
      <c r="B524" s="239"/>
      <c r="C524" s="239"/>
      <c r="D524" s="239"/>
      <c r="E524" s="239"/>
      <c r="F524" s="283"/>
      <c r="G524" s="239"/>
      <c r="H524" s="239"/>
      <c r="I524" s="239"/>
      <c r="J524" s="239"/>
      <c r="K524" s="239"/>
      <c r="L524" s="239"/>
      <c r="M524" s="239"/>
      <c r="N524" s="239"/>
      <c r="O524" s="239"/>
      <c r="P524" s="246"/>
      <c r="Q524" s="239"/>
      <c r="R524" s="239"/>
      <c r="S524" s="239"/>
      <c r="T524" s="239"/>
      <c r="U524" s="239"/>
      <c r="V524" s="239"/>
      <c r="W524" s="246"/>
      <c r="X524" s="239"/>
      <c r="Y524" s="239"/>
      <c r="Z524" s="239"/>
      <c r="AA524" s="239"/>
      <c r="AB524" s="239"/>
      <c r="AC524" s="239"/>
      <c r="AD524" s="239"/>
      <c r="AE524" s="239"/>
      <c r="AF524" s="239"/>
      <c r="AG524" s="239"/>
      <c r="AH524" s="239"/>
      <c r="AI524" s="239"/>
      <c r="AJ524" s="239"/>
    </row>
    <row r="525">
      <c r="A525" s="239"/>
      <c r="B525" s="239"/>
      <c r="C525" s="239"/>
      <c r="D525" s="239"/>
      <c r="E525" s="239"/>
      <c r="F525" s="283"/>
      <c r="G525" s="239"/>
      <c r="H525" s="239"/>
      <c r="I525" s="239"/>
      <c r="J525" s="239"/>
      <c r="K525" s="239"/>
      <c r="L525" s="239"/>
      <c r="M525" s="239"/>
      <c r="N525" s="239"/>
      <c r="O525" s="239"/>
      <c r="P525" s="246"/>
      <c r="Q525" s="239"/>
      <c r="R525" s="239"/>
      <c r="S525" s="239"/>
      <c r="T525" s="239"/>
      <c r="U525" s="239"/>
      <c r="V525" s="239"/>
      <c r="W525" s="246"/>
      <c r="X525" s="239"/>
      <c r="Y525" s="239"/>
      <c r="Z525" s="239"/>
      <c r="AA525" s="239"/>
      <c r="AB525" s="239"/>
      <c r="AC525" s="239"/>
      <c r="AD525" s="239"/>
      <c r="AE525" s="239"/>
      <c r="AF525" s="239"/>
      <c r="AG525" s="239"/>
      <c r="AH525" s="239"/>
      <c r="AI525" s="239"/>
      <c r="AJ525" s="239"/>
    </row>
    <row r="526">
      <c r="A526" s="239"/>
      <c r="B526" s="239"/>
      <c r="C526" s="239"/>
      <c r="D526" s="239"/>
      <c r="E526" s="239"/>
      <c r="F526" s="283"/>
      <c r="G526" s="239"/>
      <c r="H526" s="239"/>
      <c r="I526" s="239"/>
      <c r="J526" s="239"/>
      <c r="K526" s="239"/>
      <c r="L526" s="239"/>
      <c r="M526" s="239"/>
      <c r="N526" s="239"/>
      <c r="O526" s="239"/>
      <c r="P526" s="246"/>
      <c r="Q526" s="239"/>
      <c r="R526" s="239"/>
      <c r="S526" s="239"/>
      <c r="T526" s="239"/>
      <c r="U526" s="239"/>
      <c r="V526" s="239"/>
      <c r="W526" s="246"/>
      <c r="X526" s="239"/>
      <c r="Y526" s="239"/>
      <c r="Z526" s="239"/>
      <c r="AA526" s="239"/>
      <c r="AB526" s="239"/>
      <c r="AC526" s="239"/>
      <c r="AD526" s="239"/>
      <c r="AE526" s="239"/>
      <c r="AF526" s="239"/>
      <c r="AG526" s="239"/>
      <c r="AH526" s="239"/>
      <c r="AI526" s="239"/>
      <c r="AJ526" s="239"/>
    </row>
    <row r="527">
      <c r="A527" s="239"/>
      <c r="B527" s="239"/>
      <c r="C527" s="239"/>
      <c r="D527" s="239"/>
      <c r="E527" s="239"/>
      <c r="F527" s="283"/>
      <c r="G527" s="239"/>
      <c r="H527" s="239"/>
      <c r="I527" s="239"/>
      <c r="J527" s="239"/>
      <c r="K527" s="239"/>
      <c r="L527" s="239"/>
      <c r="M527" s="239"/>
      <c r="N527" s="239"/>
      <c r="O527" s="239"/>
      <c r="P527" s="246"/>
      <c r="Q527" s="239"/>
      <c r="R527" s="239"/>
      <c r="S527" s="239"/>
      <c r="T527" s="239"/>
      <c r="U527" s="239"/>
      <c r="V527" s="239"/>
      <c r="W527" s="246"/>
      <c r="X527" s="239"/>
      <c r="Y527" s="239"/>
      <c r="Z527" s="239"/>
      <c r="AA527" s="239"/>
      <c r="AB527" s="239"/>
      <c r="AC527" s="239"/>
      <c r="AD527" s="239"/>
      <c r="AE527" s="239"/>
      <c r="AF527" s="239"/>
      <c r="AG527" s="239"/>
      <c r="AH527" s="239"/>
      <c r="AI527" s="239"/>
      <c r="AJ527" s="239"/>
    </row>
    <row r="528">
      <c r="A528" s="239"/>
      <c r="B528" s="239"/>
      <c r="C528" s="239"/>
      <c r="D528" s="239"/>
      <c r="E528" s="239"/>
      <c r="F528" s="283"/>
      <c r="G528" s="239"/>
      <c r="H528" s="239"/>
      <c r="I528" s="239"/>
      <c r="J528" s="239"/>
      <c r="K528" s="239"/>
      <c r="L528" s="239"/>
      <c r="M528" s="239"/>
      <c r="N528" s="239"/>
      <c r="O528" s="239"/>
      <c r="P528" s="246"/>
      <c r="Q528" s="239"/>
      <c r="R528" s="239"/>
      <c r="S528" s="239"/>
      <c r="T528" s="239"/>
      <c r="U528" s="239"/>
      <c r="V528" s="239"/>
      <c r="W528" s="246"/>
      <c r="X528" s="239"/>
      <c r="Y528" s="239"/>
      <c r="Z528" s="239"/>
      <c r="AA528" s="239"/>
      <c r="AB528" s="239"/>
      <c r="AC528" s="239"/>
      <c r="AD528" s="239"/>
      <c r="AE528" s="239"/>
      <c r="AF528" s="239"/>
      <c r="AG528" s="239"/>
      <c r="AH528" s="239"/>
      <c r="AI528" s="239"/>
      <c r="AJ528" s="239"/>
    </row>
    <row r="529">
      <c r="A529" s="239"/>
      <c r="B529" s="239"/>
      <c r="C529" s="239"/>
      <c r="D529" s="239"/>
      <c r="E529" s="239"/>
      <c r="F529" s="283"/>
      <c r="G529" s="239"/>
      <c r="H529" s="239"/>
      <c r="I529" s="239"/>
      <c r="J529" s="239"/>
      <c r="K529" s="239"/>
      <c r="L529" s="239"/>
      <c r="M529" s="239"/>
      <c r="N529" s="239"/>
      <c r="O529" s="239"/>
      <c r="P529" s="246"/>
      <c r="Q529" s="239"/>
      <c r="R529" s="239"/>
      <c r="S529" s="239"/>
      <c r="T529" s="239"/>
      <c r="U529" s="239"/>
      <c r="V529" s="239"/>
      <c r="W529" s="246"/>
      <c r="X529" s="239"/>
      <c r="Y529" s="239"/>
      <c r="Z529" s="239"/>
      <c r="AA529" s="239"/>
      <c r="AB529" s="239"/>
      <c r="AC529" s="239"/>
      <c r="AD529" s="239"/>
      <c r="AE529" s="239"/>
      <c r="AF529" s="239"/>
      <c r="AG529" s="239"/>
      <c r="AH529" s="239"/>
      <c r="AI529" s="239"/>
      <c r="AJ529" s="239"/>
    </row>
    <row r="530">
      <c r="A530" s="239"/>
      <c r="B530" s="239"/>
      <c r="C530" s="239"/>
      <c r="D530" s="239"/>
      <c r="E530" s="239"/>
      <c r="F530" s="283"/>
      <c r="G530" s="239"/>
      <c r="H530" s="239"/>
      <c r="I530" s="239"/>
      <c r="J530" s="239"/>
      <c r="K530" s="239"/>
      <c r="L530" s="239"/>
      <c r="M530" s="239"/>
      <c r="N530" s="239"/>
      <c r="O530" s="239"/>
      <c r="P530" s="246"/>
      <c r="Q530" s="239"/>
      <c r="R530" s="239"/>
      <c r="S530" s="239"/>
      <c r="T530" s="239"/>
      <c r="U530" s="239"/>
      <c r="V530" s="239"/>
      <c r="W530" s="246"/>
      <c r="X530" s="239"/>
      <c r="Y530" s="239"/>
      <c r="Z530" s="239"/>
      <c r="AA530" s="239"/>
      <c r="AB530" s="239"/>
      <c r="AC530" s="239"/>
      <c r="AD530" s="239"/>
      <c r="AE530" s="239"/>
      <c r="AF530" s="239"/>
      <c r="AG530" s="239"/>
      <c r="AH530" s="239"/>
      <c r="AI530" s="239"/>
      <c r="AJ530" s="239"/>
    </row>
    <row r="531">
      <c r="A531" s="239"/>
      <c r="B531" s="239"/>
      <c r="C531" s="239"/>
      <c r="D531" s="239"/>
      <c r="E531" s="239"/>
      <c r="F531" s="283"/>
      <c r="G531" s="239"/>
      <c r="H531" s="239"/>
      <c r="I531" s="239"/>
      <c r="J531" s="239"/>
      <c r="K531" s="239"/>
      <c r="L531" s="239"/>
      <c r="M531" s="239"/>
      <c r="N531" s="239"/>
      <c r="O531" s="239"/>
      <c r="P531" s="246"/>
      <c r="Q531" s="239"/>
      <c r="R531" s="239"/>
      <c r="S531" s="239"/>
      <c r="T531" s="239"/>
      <c r="U531" s="239"/>
      <c r="V531" s="239"/>
      <c r="W531" s="246"/>
      <c r="X531" s="239"/>
      <c r="Y531" s="239"/>
      <c r="Z531" s="239"/>
      <c r="AA531" s="239"/>
      <c r="AB531" s="239"/>
      <c r="AC531" s="239"/>
      <c r="AD531" s="239"/>
      <c r="AE531" s="239"/>
      <c r="AF531" s="239"/>
      <c r="AG531" s="239"/>
      <c r="AH531" s="239"/>
      <c r="AI531" s="239"/>
      <c r="AJ531" s="239"/>
    </row>
    <row r="532">
      <c r="A532" s="239"/>
      <c r="B532" s="239"/>
      <c r="C532" s="239"/>
      <c r="D532" s="239"/>
      <c r="E532" s="239"/>
      <c r="F532" s="283"/>
      <c r="G532" s="239"/>
      <c r="H532" s="239"/>
      <c r="I532" s="239"/>
      <c r="J532" s="239"/>
      <c r="K532" s="239"/>
      <c r="L532" s="239"/>
      <c r="M532" s="239"/>
      <c r="N532" s="239"/>
      <c r="O532" s="239"/>
      <c r="P532" s="246"/>
      <c r="Q532" s="239"/>
      <c r="R532" s="239"/>
      <c r="S532" s="239"/>
      <c r="T532" s="239"/>
      <c r="U532" s="239"/>
      <c r="V532" s="239"/>
      <c r="W532" s="246"/>
      <c r="X532" s="239"/>
      <c r="Y532" s="239"/>
      <c r="Z532" s="239"/>
      <c r="AA532" s="239"/>
      <c r="AB532" s="239"/>
      <c r="AC532" s="239"/>
      <c r="AD532" s="239"/>
      <c r="AE532" s="239"/>
      <c r="AF532" s="239"/>
      <c r="AG532" s="239"/>
      <c r="AH532" s="239"/>
      <c r="AI532" s="239"/>
      <c r="AJ532" s="239"/>
    </row>
    <row r="533">
      <c r="A533" s="239"/>
      <c r="B533" s="239"/>
      <c r="C533" s="239"/>
      <c r="D533" s="239"/>
      <c r="E533" s="239"/>
      <c r="F533" s="283"/>
      <c r="G533" s="239"/>
      <c r="H533" s="239"/>
      <c r="I533" s="239"/>
      <c r="J533" s="239"/>
      <c r="K533" s="239"/>
      <c r="L533" s="239"/>
      <c r="M533" s="239"/>
      <c r="N533" s="239"/>
      <c r="O533" s="239"/>
      <c r="P533" s="246"/>
      <c r="Q533" s="239"/>
      <c r="R533" s="239"/>
      <c r="S533" s="239"/>
      <c r="T533" s="239"/>
      <c r="U533" s="239"/>
      <c r="V533" s="239"/>
      <c r="W533" s="246"/>
      <c r="X533" s="239"/>
      <c r="Y533" s="239"/>
      <c r="Z533" s="239"/>
      <c r="AA533" s="239"/>
      <c r="AB533" s="239"/>
      <c r="AC533" s="239"/>
      <c r="AD533" s="239"/>
      <c r="AE533" s="239"/>
      <c r="AF533" s="239"/>
      <c r="AG533" s="239"/>
      <c r="AH533" s="239"/>
      <c r="AI533" s="239"/>
      <c r="AJ533" s="239"/>
    </row>
    <row r="534">
      <c r="A534" s="239"/>
      <c r="B534" s="239"/>
      <c r="C534" s="239"/>
      <c r="D534" s="239"/>
      <c r="E534" s="239"/>
      <c r="F534" s="283"/>
      <c r="G534" s="239"/>
      <c r="H534" s="239"/>
      <c r="I534" s="239"/>
      <c r="J534" s="239"/>
      <c r="K534" s="239"/>
      <c r="L534" s="239"/>
      <c r="M534" s="239"/>
      <c r="N534" s="239"/>
      <c r="O534" s="239"/>
      <c r="P534" s="246"/>
      <c r="Q534" s="239"/>
      <c r="R534" s="239"/>
      <c r="S534" s="239"/>
      <c r="T534" s="239"/>
      <c r="U534" s="239"/>
      <c r="V534" s="239"/>
      <c r="W534" s="246"/>
      <c r="X534" s="239"/>
      <c r="Y534" s="239"/>
      <c r="Z534" s="239"/>
      <c r="AA534" s="239"/>
      <c r="AB534" s="239"/>
      <c r="AC534" s="239"/>
      <c r="AD534" s="239"/>
      <c r="AE534" s="239"/>
      <c r="AF534" s="239"/>
      <c r="AG534" s="239"/>
      <c r="AH534" s="239"/>
      <c r="AI534" s="239"/>
      <c r="AJ534" s="239"/>
    </row>
    <row r="535">
      <c r="A535" s="239"/>
      <c r="B535" s="239"/>
      <c r="C535" s="239"/>
      <c r="D535" s="239"/>
      <c r="E535" s="239"/>
      <c r="F535" s="283"/>
      <c r="G535" s="239"/>
      <c r="H535" s="239"/>
      <c r="I535" s="239"/>
      <c r="J535" s="239"/>
      <c r="K535" s="239"/>
      <c r="L535" s="239"/>
      <c r="M535" s="239"/>
      <c r="N535" s="239"/>
      <c r="O535" s="239"/>
      <c r="P535" s="246"/>
      <c r="Q535" s="239"/>
      <c r="R535" s="239"/>
      <c r="S535" s="239"/>
      <c r="T535" s="239"/>
      <c r="U535" s="239"/>
      <c r="V535" s="239"/>
      <c r="W535" s="246"/>
      <c r="X535" s="239"/>
      <c r="Y535" s="239"/>
      <c r="Z535" s="239"/>
      <c r="AA535" s="239"/>
      <c r="AB535" s="239"/>
      <c r="AC535" s="239"/>
      <c r="AD535" s="239"/>
      <c r="AE535" s="239"/>
      <c r="AF535" s="239"/>
      <c r="AG535" s="239"/>
      <c r="AH535" s="239"/>
      <c r="AI535" s="239"/>
      <c r="AJ535" s="239"/>
    </row>
    <row r="536">
      <c r="A536" s="239"/>
      <c r="B536" s="239"/>
      <c r="C536" s="239"/>
      <c r="D536" s="239"/>
      <c r="E536" s="239"/>
      <c r="F536" s="283"/>
      <c r="G536" s="239"/>
      <c r="H536" s="239"/>
      <c r="I536" s="239"/>
      <c r="J536" s="239"/>
      <c r="K536" s="239"/>
      <c r="L536" s="239"/>
      <c r="M536" s="239"/>
      <c r="N536" s="239"/>
      <c r="O536" s="239"/>
      <c r="P536" s="246"/>
      <c r="Q536" s="239"/>
      <c r="R536" s="239"/>
      <c r="S536" s="239"/>
      <c r="T536" s="239"/>
      <c r="U536" s="239"/>
      <c r="V536" s="239"/>
      <c r="W536" s="246"/>
      <c r="X536" s="239"/>
      <c r="Y536" s="239"/>
      <c r="Z536" s="239"/>
      <c r="AA536" s="239"/>
      <c r="AB536" s="239"/>
      <c r="AC536" s="239"/>
      <c r="AD536" s="239"/>
      <c r="AE536" s="239"/>
      <c r="AF536" s="239"/>
      <c r="AG536" s="239"/>
      <c r="AH536" s="239"/>
      <c r="AI536" s="239"/>
      <c r="AJ536" s="239"/>
    </row>
    <row r="537">
      <c r="A537" s="239"/>
      <c r="B537" s="239"/>
      <c r="C537" s="239"/>
      <c r="D537" s="239"/>
      <c r="E537" s="239"/>
      <c r="F537" s="283"/>
      <c r="G537" s="239"/>
      <c r="H537" s="239"/>
      <c r="I537" s="239"/>
      <c r="J537" s="239"/>
      <c r="K537" s="239"/>
      <c r="L537" s="239"/>
      <c r="M537" s="239"/>
      <c r="N537" s="239"/>
      <c r="O537" s="239"/>
      <c r="P537" s="246"/>
      <c r="Q537" s="239"/>
      <c r="R537" s="239"/>
      <c r="S537" s="239"/>
      <c r="T537" s="239"/>
      <c r="U537" s="239"/>
      <c r="V537" s="239"/>
      <c r="W537" s="246"/>
      <c r="X537" s="239"/>
      <c r="Y537" s="239"/>
      <c r="Z537" s="239"/>
      <c r="AA537" s="239"/>
      <c r="AB537" s="239"/>
      <c r="AC537" s="239"/>
      <c r="AD537" s="239"/>
      <c r="AE537" s="239"/>
      <c r="AF537" s="239"/>
      <c r="AG537" s="239"/>
      <c r="AH537" s="239"/>
      <c r="AI537" s="239"/>
      <c r="AJ537" s="239"/>
    </row>
    <row r="538">
      <c r="A538" s="239"/>
      <c r="B538" s="239"/>
      <c r="C538" s="239"/>
      <c r="D538" s="239"/>
      <c r="E538" s="239"/>
      <c r="F538" s="283"/>
      <c r="G538" s="239"/>
      <c r="H538" s="239"/>
      <c r="I538" s="239"/>
      <c r="J538" s="239"/>
      <c r="K538" s="239"/>
      <c r="L538" s="239"/>
      <c r="M538" s="239"/>
      <c r="N538" s="239"/>
      <c r="O538" s="239"/>
      <c r="P538" s="246"/>
      <c r="Q538" s="239"/>
      <c r="R538" s="239"/>
      <c r="S538" s="239"/>
      <c r="T538" s="239"/>
      <c r="U538" s="239"/>
      <c r="V538" s="239"/>
      <c r="W538" s="246"/>
      <c r="X538" s="239"/>
      <c r="Y538" s="239"/>
      <c r="Z538" s="239"/>
      <c r="AA538" s="239"/>
      <c r="AB538" s="239"/>
      <c r="AC538" s="239"/>
      <c r="AD538" s="239"/>
      <c r="AE538" s="239"/>
      <c r="AF538" s="239"/>
      <c r="AG538" s="239"/>
      <c r="AH538" s="239"/>
      <c r="AI538" s="239"/>
      <c r="AJ538" s="239"/>
    </row>
    <row r="539">
      <c r="A539" s="239"/>
      <c r="B539" s="239"/>
      <c r="C539" s="239"/>
      <c r="D539" s="239"/>
      <c r="E539" s="239"/>
      <c r="F539" s="283"/>
      <c r="G539" s="239"/>
      <c r="H539" s="239"/>
      <c r="I539" s="239"/>
      <c r="J539" s="239"/>
      <c r="K539" s="239"/>
      <c r="L539" s="239"/>
      <c r="M539" s="239"/>
      <c r="N539" s="239"/>
      <c r="O539" s="239"/>
      <c r="P539" s="246"/>
      <c r="Q539" s="239"/>
      <c r="R539" s="239"/>
      <c r="S539" s="239"/>
      <c r="T539" s="239"/>
      <c r="U539" s="239"/>
      <c r="V539" s="239"/>
      <c r="W539" s="246"/>
      <c r="X539" s="239"/>
      <c r="Y539" s="239"/>
      <c r="Z539" s="239"/>
      <c r="AA539" s="239"/>
      <c r="AB539" s="239"/>
      <c r="AC539" s="239"/>
      <c r="AD539" s="239"/>
      <c r="AE539" s="239"/>
      <c r="AF539" s="239"/>
      <c r="AG539" s="239"/>
      <c r="AH539" s="239"/>
      <c r="AI539" s="239"/>
      <c r="AJ539" s="239"/>
    </row>
    <row r="540">
      <c r="A540" s="239"/>
      <c r="B540" s="239"/>
      <c r="C540" s="239"/>
      <c r="D540" s="239"/>
      <c r="E540" s="239"/>
      <c r="F540" s="283"/>
      <c r="G540" s="239"/>
      <c r="H540" s="239"/>
      <c r="I540" s="239"/>
      <c r="J540" s="239"/>
      <c r="K540" s="239"/>
      <c r="L540" s="239"/>
      <c r="M540" s="239"/>
      <c r="N540" s="239"/>
      <c r="O540" s="239"/>
      <c r="P540" s="246"/>
      <c r="Q540" s="239"/>
      <c r="R540" s="239"/>
      <c r="S540" s="239"/>
      <c r="T540" s="239"/>
      <c r="U540" s="239"/>
      <c r="V540" s="239"/>
      <c r="W540" s="246"/>
      <c r="X540" s="239"/>
      <c r="Y540" s="239"/>
      <c r="Z540" s="239"/>
      <c r="AA540" s="239"/>
      <c r="AB540" s="239"/>
      <c r="AC540" s="239"/>
      <c r="AD540" s="239"/>
      <c r="AE540" s="239"/>
      <c r="AF540" s="239"/>
      <c r="AG540" s="239"/>
      <c r="AH540" s="239"/>
      <c r="AI540" s="239"/>
      <c r="AJ540" s="239"/>
    </row>
    <row r="541">
      <c r="A541" s="239"/>
      <c r="B541" s="239"/>
      <c r="C541" s="239"/>
      <c r="D541" s="239"/>
      <c r="E541" s="239"/>
      <c r="F541" s="283"/>
      <c r="G541" s="239"/>
      <c r="H541" s="239"/>
      <c r="I541" s="239"/>
      <c r="J541" s="239"/>
      <c r="K541" s="239"/>
      <c r="L541" s="239"/>
      <c r="M541" s="239"/>
      <c r="N541" s="239"/>
      <c r="O541" s="239"/>
      <c r="P541" s="246"/>
      <c r="Q541" s="239"/>
      <c r="R541" s="239"/>
      <c r="S541" s="239"/>
      <c r="T541" s="239"/>
      <c r="U541" s="239"/>
      <c r="V541" s="239"/>
      <c r="W541" s="246"/>
      <c r="X541" s="239"/>
      <c r="Y541" s="239"/>
      <c r="Z541" s="239"/>
      <c r="AA541" s="239"/>
      <c r="AB541" s="239"/>
      <c r="AC541" s="239"/>
      <c r="AD541" s="239"/>
      <c r="AE541" s="239"/>
      <c r="AF541" s="239"/>
      <c r="AG541" s="239"/>
      <c r="AH541" s="239"/>
      <c r="AI541" s="239"/>
      <c r="AJ541" s="239"/>
    </row>
    <row r="542">
      <c r="A542" s="239"/>
      <c r="B542" s="239"/>
      <c r="C542" s="239"/>
      <c r="D542" s="239"/>
      <c r="E542" s="239"/>
      <c r="F542" s="283"/>
      <c r="G542" s="239"/>
      <c r="H542" s="239"/>
      <c r="I542" s="239"/>
      <c r="J542" s="239"/>
      <c r="K542" s="239"/>
      <c r="L542" s="239"/>
      <c r="M542" s="239"/>
      <c r="N542" s="239"/>
      <c r="O542" s="239"/>
      <c r="P542" s="246"/>
      <c r="Q542" s="239"/>
      <c r="R542" s="239"/>
      <c r="S542" s="239"/>
      <c r="T542" s="239"/>
      <c r="U542" s="239"/>
      <c r="V542" s="239"/>
      <c r="W542" s="246"/>
      <c r="X542" s="239"/>
      <c r="Y542" s="239"/>
      <c r="Z542" s="239"/>
      <c r="AA542" s="239"/>
      <c r="AB542" s="239"/>
      <c r="AC542" s="239"/>
      <c r="AD542" s="239"/>
      <c r="AE542" s="239"/>
      <c r="AF542" s="239"/>
      <c r="AG542" s="239"/>
      <c r="AH542" s="239"/>
      <c r="AI542" s="239"/>
      <c r="AJ542" s="239"/>
    </row>
    <row r="543">
      <c r="A543" s="239"/>
      <c r="B543" s="239"/>
      <c r="C543" s="239"/>
      <c r="D543" s="239"/>
      <c r="E543" s="239"/>
      <c r="F543" s="283"/>
      <c r="G543" s="239"/>
      <c r="H543" s="239"/>
      <c r="I543" s="239"/>
      <c r="J543" s="239"/>
      <c r="K543" s="239"/>
      <c r="L543" s="239"/>
      <c r="M543" s="239"/>
      <c r="N543" s="239"/>
      <c r="O543" s="239"/>
      <c r="P543" s="246"/>
      <c r="Q543" s="239"/>
      <c r="R543" s="239"/>
      <c r="S543" s="239"/>
      <c r="T543" s="239"/>
      <c r="U543" s="239"/>
      <c r="V543" s="239"/>
      <c r="W543" s="246"/>
      <c r="X543" s="239"/>
      <c r="Y543" s="239"/>
      <c r="Z543" s="239"/>
      <c r="AA543" s="239"/>
      <c r="AB543" s="239"/>
      <c r="AC543" s="239"/>
      <c r="AD543" s="239"/>
      <c r="AE543" s="239"/>
      <c r="AF543" s="239"/>
      <c r="AG543" s="239"/>
      <c r="AH543" s="239"/>
      <c r="AI543" s="239"/>
      <c r="AJ543" s="239"/>
    </row>
    <row r="544">
      <c r="A544" s="239"/>
      <c r="B544" s="239"/>
      <c r="C544" s="239"/>
      <c r="D544" s="239"/>
      <c r="E544" s="239"/>
      <c r="F544" s="283"/>
      <c r="G544" s="239"/>
      <c r="H544" s="239"/>
      <c r="I544" s="239"/>
      <c r="J544" s="239"/>
      <c r="K544" s="239"/>
      <c r="L544" s="239"/>
      <c r="M544" s="239"/>
      <c r="N544" s="239"/>
      <c r="O544" s="239"/>
      <c r="P544" s="246"/>
      <c r="Q544" s="239"/>
      <c r="R544" s="239"/>
      <c r="S544" s="239"/>
      <c r="T544" s="239"/>
      <c r="U544" s="239"/>
      <c r="V544" s="239"/>
      <c r="W544" s="246"/>
      <c r="X544" s="239"/>
      <c r="Y544" s="239"/>
      <c r="Z544" s="239"/>
      <c r="AA544" s="239"/>
      <c r="AB544" s="239"/>
      <c r="AC544" s="239"/>
      <c r="AD544" s="239"/>
      <c r="AE544" s="239"/>
      <c r="AF544" s="239"/>
      <c r="AG544" s="239"/>
      <c r="AH544" s="239"/>
      <c r="AI544" s="239"/>
      <c r="AJ544" s="239"/>
    </row>
    <row r="545">
      <c r="A545" s="239"/>
      <c r="B545" s="239"/>
      <c r="C545" s="239"/>
      <c r="D545" s="239"/>
      <c r="E545" s="239"/>
      <c r="F545" s="283"/>
      <c r="G545" s="239"/>
      <c r="H545" s="239"/>
      <c r="I545" s="239"/>
      <c r="J545" s="239"/>
      <c r="K545" s="239"/>
      <c r="L545" s="239"/>
      <c r="M545" s="239"/>
      <c r="N545" s="239"/>
      <c r="O545" s="239"/>
      <c r="P545" s="246"/>
      <c r="Q545" s="239"/>
      <c r="R545" s="239"/>
      <c r="S545" s="239"/>
      <c r="T545" s="239"/>
      <c r="U545" s="239"/>
      <c r="V545" s="239"/>
      <c r="W545" s="246"/>
      <c r="X545" s="239"/>
      <c r="Y545" s="239"/>
      <c r="Z545" s="239"/>
      <c r="AA545" s="239"/>
      <c r="AB545" s="239"/>
      <c r="AC545" s="239"/>
      <c r="AD545" s="239"/>
      <c r="AE545" s="239"/>
      <c r="AF545" s="239"/>
      <c r="AG545" s="239"/>
      <c r="AH545" s="239"/>
      <c r="AI545" s="239"/>
      <c r="AJ545" s="239"/>
    </row>
    <row r="546">
      <c r="A546" s="239"/>
      <c r="B546" s="239"/>
      <c r="C546" s="239"/>
      <c r="D546" s="239"/>
      <c r="E546" s="239"/>
      <c r="F546" s="283"/>
      <c r="G546" s="239"/>
      <c r="H546" s="239"/>
      <c r="I546" s="239"/>
      <c r="J546" s="239"/>
      <c r="K546" s="239"/>
      <c r="L546" s="239"/>
      <c r="M546" s="239"/>
      <c r="N546" s="239"/>
      <c r="O546" s="239"/>
      <c r="P546" s="246"/>
      <c r="Q546" s="239"/>
      <c r="R546" s="239"/>
      <c r="S546" s="239"/>
      <c r="T546" s="239"/>
      <c r="U546" s="239"/>
      <c r="V546" s="239"/>
      <c r="W546" s="246"/>
      <c r="X546" s="239"/>
      <c r="Y546" s="239"/>
      <c r="Z546" s="239"/>
      <c r="AA546" s="239"/>
      <c r="AB546" s="239"/>
      <c r="AC546" s="239"/>
      <c r="AD546" s="239"/>
      <c r="AE546" s="239"/>
      <c r="AF546" s="239"/>
      <c r="AG546" s="239"/>
      <c r="AH546" s="239"/>
      <c r="AI546" s="239"/>
      <c r="AJ546" s="239"/>
    </row>
    <row r="547">
      <c r="A547" s="239"/>
      <c r="B547" s="239"/>
      <c r="C547" s="239"/>
      <c r="D547" s="239"/>
      <c r="E547" s="239"/>
      <c r="F547" s="283"/>
      <c r="G547" s="239"/>
      <c r="H547" s="239"/>
      <c r="I547" s="239"/>
      <c r="J547" s="239"/>
      <c r="K547" s="239"/>
      <c r="L547" s="239"/>
      <c r="M547" s="239"/>
      <c r="N547" s="239"/>
      <c r="O547" s="239"/>
      <c r="P547" s="246"/>
      <c r="Q547" s="239"/>
      <c r="R547" s="239"/>
      <c r="S547" s="239"/>
      <c r="T547" s="239"/>
      <c r="U547" s="239"/>
      <c r="V547" s="239"/>
      <c r="W547" s="246"/>
      <c r="X547" s="239"/>
      <c r="Y547" s="239"/>
      <c r="Z547" s="239"/>
      <c r="AA547" s="239"/>
      <c r="AB547" s="239"/>
      <c r="AC547" s="239"/>
      <c r="AD547" s="239"/>
      <c r="AE547" s="239"/>
      <c r="AF547" s="239"/>
      <c r="AG547" s="239"/>
      <c r="AH547" s="239"/>
      <c r="AI547" s="239"/>
      <c r="AJ547" s="239"/>
    </row>
    <row r="548">
      <c r="A548" s="239"/>
      <c r="B548" s="239"/>
      <c r="C548" s="239"/>
      <c r="D548" s="239"/>
      <c r="E548" s="239"/>
      <c r="F548" s="283"/>
      <c r="G548" s="239"/>
      <c r="H548" s="239"/>
      <c r="I548" s="239"/>
      <c r="J548" s="239"/>
      <c r="K548" s="239"/>
      <c r="L548" s="239"/>
      <c r="M548" s="239"/>
      <c r="N548" s="239"/>
      <c r="O548" s="239"/>
      <c r="P548" s="246"/>
      <c r="Q548" s="239"/>
      <c r="R548" s="239"/>
      <c r="S548" s="239"/>
      <c r="T548" s="239"/>
      <c r="U548" s="239"/>
      <c r="V548" s="239"/>
      <c r="W548" s="246"/>
      <c r="X548" s="239"/>
      <c r="Y548" s="239"/>
      <c r="Z548" s="239"/>
      <c r="AA548" s="239"/>
      <c r="AB548" s="239"/>
      <c r="AC548" s="239"/>
      <c r="AD548" s="239"/>
      <c r="AE548" s="239"/>
      <c r="AF548" s="239"/>
      <c r="AG548" s="239"/>
      <c r="AH548" s="239"/>
      <c r="AI548" s="239"/>
      <c r="AJ548" s="239"/>
    </row>
    <row r="549">
      <c r="A549" s="239"/>
      <c r="B549" s="239"/>
      <c r="C549" s="239"/>
      <c r="D549" s="239"/>
      <c r="E549" s="239"/>
      <c r="F549" s="283"/>
      <c r="G549" s="239"/>
      <c r="H549" s="239"/>
      <c r="I549" s="239"/>
      <c r="J549" s="239"/>
      <c r="K549" s="239"/>
      <c r="L549" s="239"/>
      <c r="M549" s="239"/>
      <c r="N549" s="239"/>
      <c r="O549" s="239"/>
      <c r="P549" s="246"/>
      <c r="Q549" s="239"/>
      <c r="R549" s="239"/>
      <c r="S549" s="239"/>
      <c r="T549" s="239"/>
      <c r="U549" s="239"/>
      <c r="V549" s="239"/>
      <c r="W549" s="246"/>
      <c r="X549" s="239"/>
      <c r="Y549" s="239"/>
      <c r="Z549" s="239"/>
      <c r="AA549" s="239"/>
      <c r="AB549" s="239"/>
      <c r="AC549" s="239"/>
      <c r="AD549" s="239"/>
      <c r="AE549" s="239"/>
      <c r="AF549" s="239"/>
      <c r="AG549" s="239"/>
      <c r="AH549" s="239"/>
      <c r="AI549" s="239"/>
      <c r="AJ549" s="239"/>
    </row>
    <row r="550">
      <c r="A550" s="239"/>
      <c r="B550" s="239"/>
      <c r="C550" s="239"/>
      <c r="D550" s="239"/>
      <c r="E550" s="239"/>
      <c r="F550" s="283"/>
      <c r="G550" s="239"/>
      <c r="H550" s="239"/>
      <c r="I550" s="239"/>
      <c r="J550" s="239"/>
      <c r="K550" s="239"/>
      <c r="L550" s="239"/>
      <c r="M550" s="239"/>
      <c r="N550" s="239"/>
      <c r="O550" s="239"/>
      <c r="P550" s="246"/>
      <c r="Q550" s="239"/>
      <c r="R550" s="239"/>
      <c r="S550" s="239"/>
      <c r="T550" s="239"/>
      <c r="U550" s="239"/>
      <c r="V550" s="239"/>
      <c r="W550" s="246"/>
      <c r="X550" s="239"/>
      <c r="Y550" s="239"/>
      <c r="Z550" s="239"/>
      <c r="AA550" s="239"/>
      <c r="AB550" s="239"/>
      <c r="AC550" s="239"/>
      <c r="AD550" s="239"/>
      <c r="AE550" s="239"/>
      <c r="AF550" s="239"/>
      <c r="AG550" s="239"/>
      <c r="AH550" s="239"/>
      <c r="AI550" s="239"/>
      <c r="AJ550" s="239"/>
    </row>
    <row r="551">
      <c r="A551" s="239"/>
      <c r="B551" s="239"/>
      <c r="C551" s="239"/>
      <c r="D551" s="239"/>
      <c r="E551" s="239"/>
      <c r="F551" s="283"/>
      <c r="G551" s="239"/>
      <c r="H551" s="239"/>
      <c r="I551" s="239"/>
      <c r="J551" s="239"/>
      <c r="K551" s="239"/>
      <c r="L551" s="239"/>
      <c r="M551" s="239"/>
      <c r="N551" s="239"/>
      <c r="O551" s="239"/>
      <c r="P551" s="246"/>
      <c r="Q551" s="239"/>
      <c r="R551" s="239"/>
      <c r="S551" s="239"/>
      <c r="T551" s="239"/>
      <c r="U551" s="239"/>
      <c r="V551" s="239"/>
      <c r="W551" s="246"/>
      <c r="X551" s="239"/>
      <c r="Y551" s="239"/>
      <c r="Z551" s="239"/>
      <c r="AA551" s="239"/>
      <c r="AB551" s="239"/>
      <c r="AC551" s="239"/>
      <c r="AD551" s="239"/>
      <c r="AE551" s="239"/>
      <c r="AF551" s="239"/>
      <c r="AG551" s="239"/>
      <c r="AH551" s="239"/>
      <c r="AI551" s="239"/>
      <c r="AJ551" s="239"/>
    </row>
    <row r="552">
      <c r="A552" s="239"/>
      <c r="B552" s="239"/>
      <c r="C552" s="239"/>
      <c r="D552" s="239"/>
      <c r="E552" s="239"/>
      <c r="F552" s="283"/>
      <c r="G552" s="239"/>
      <c r="H552" s="239"/>
      <c r="I552" s="239"/>
      <c r="J552" s="239"/>
      <c r="K552" s="239"/>
      <c r="L552" s="239"/>
      <c r="M552" s="239"/>
      <c r="N552" s="239"/>
      <c r="O552" s="239"/>
      <c r="P552" s="246"/>
      <c r="Q552" s="239"/>
      <c r="R552" s="239"/>
      <c r="S552" s="239"/>
      <c r="T552" s="239"/>
      <c r="U552" s="239"/>
      <c r="V552" s="239"/>
      <c r="W552" s="246"/>
      <c r="X552" s="239"/>
      <c r="Y552" s="239"/>
      <c r="Z552" s="239"/>
      <c r="AA552" s="239"/>
      <c r="AB552" s="239"/>
      <c r="AC552" s="239"/>
      <c r="AD552" s="239"/>
      <c r="AE552" s="239"/>
      <c r="AF552" s="239"/>
      <c r="AG552" s="239"/>
      <c r="AH552" s="239"/>
      <c r="AI552" s="239"/>
      <c r="AJ552" s="239"/>
    </row>
    <row r="553">
      <c r="A553" s="239"/>
      <c r="B553" s="239"/>
      <c r="C553" s="239"/>
      <c r="D553" s="239"/>
      <c r="E553" s="239"/>
      <c r="F553" s="283"/>
      <c r="G553" s="239"/>
      <c r="H553" s="239"/>
      <c r="I553" s="239"/>
      <c r="J553" s="239"/>
      <c r="K553" s="239"/>
      <c r="L553" s="239"/>
      <c r="M553" s="239"/>
      <c r="N553" s="239"/>
      <c r="O553" s="239"/>
      <c r="P553" s="246"/>
      <c r="Q553" s="239"/>
      <c r="R553" s="239"/>
      <c r="S553" s="239"/>
      <c r="T553" s="239"/>
      <c r="U553" s="239"/>
      <c r="V553" s="239"/>
      <c r="W553" s="246"/>
      <c r="X553" s="239"/>
      <c r="Y553" s="239"/>
      <c r="Z553" s="239"/>
      <c r="AA553" s="239"/>
      <c r="AB553" s="239"/>
      <c r="AC553" s="239"/>
      <c r="AD553" s="239"/>
      <c r="AE553" s="239"/>
      <c r="AF553" s="239"/>
      <c r="AG553" s="239"/>
      <c r="AH553" s="239"/>
      <c r="AI553" s="239"/>
      <c r="AJ553" s="239"/>
    </row>
    <row r="554">
      <c r="A554" s="239"/>
      <c r="B554" s="239"/>
      <c r="C554" s="239"/>
      <c r="D554" s="239"/>
      <c r="E554" s="239"/>
      <c r="F554" s="283"/>
      <c r="G554" s="239"/>
      <c r="H554" s="239"/>
      <c r="I554" s="239"/>
      <c r="J554" s="239"/>
      <c r="K554" s="239"/>
      <c r="L554" s="239"/>
      <c r="M554" s="239"/>
      <c r="N554" s="239"/>
      <c r="O554" s="239"/>
      <c r="P554" s="246"/>
      <c r="Q554" s="239"/>
      <c r="R554" s="239"/>
      <c r="S554" s="239"/>
      <c r="T554" s="239"/>
      <c r="U554" s="239"/>
      <c r="V554" s="239"/>
      <c r="W554" s="246"/>
      <c r="X554" s="239"/>
      <c r="Y554" s="239"/>
      <c r="Z554" s="239"/>
      <c r="AA554" s="239"/>
      <c r="AB554" s="239"/>
      <c r="AC554" s="239"/>
      <c r="AD554" s="239"/>
      <c r="AE554" s="239"/>
      <c r="AF554" s="239"/>
      <c r="AG554" s="239"/>
      <c r="AH554" s="239"/>
      <c r="AI554" s="239"/>
      <c r="AJ554" s="239"/>
    </row>
    <row r="555">
      <c r="A555" s="239"/>
      <c r="B555" s="239"/>
      <c r="C555" s="239"/>
      <c r="D555" s="239"/>
      <c r="E555" s="239"/>
      <c r="F555" s="283"/>
      <c r="G555" s="239"/>
      <c r="H555" s="239"/>
      <c r="I555" s="239"/>
      <c r="J555" s="239"/>
      <c r="K555" s="239"/>
      <c r="L555" s="239"/>
      <c r="M555" s="239"/>
      <c r="N555" s="239"/>
      <c r="O555" s="239"/>
      <c r="P555" s="246"/>
      <c r="Q555" s="239"/>
      <c r="R555" s="239"/>
      <c r="S555" s="239"/>
      <c r="T555" s="239"/>
      <c r="U555" s="239"/>
      <c r="V555" s="239"/>
      <c r="W555" s="246"/>
      <c r="X555" s="239"/>
      <c r="Y555" s="239"/>
      <c r="Z555" s="239"/>
      <c r="AA555" s="239"/>
      <c r="AB555" s="239"/>
      <c r="AC555" s="239"/>
      <c r="AD555" s="239"/>
      <c r="AE555" s="239"/>
      <c r="AF555" s="239"/>
      <c r="AG555" s="239"/>
      <c r="AH555" s="239"/>
      <c r="AI555" s="239"/>
      <c r="AJ555" s="239"/>
    </row>
    <row r="556">
      <c r="A556" s="239"/>
      <c r="B556" s="239"/>
      <c r="C556" s="239"/>
      <c r="D556" s="239"/>
      <c r="E556" s="239"/>
      <c r="F556" s="283"/>
      <c r="G556" s="239"/>
      <c r="H556" s="239"/>
      <c r="I556" s="239"/>
      <c r="J556" s="239"/>
      <c r="K556" s="239"/>
      <c r="L556" s="239"/>
      <c r="M556" s="239"/>
      <c r="N556" s="239"/>
      <c r="O556" s="239"/>
      <c r="P556" s="246"/>
      <c r="Q556" s="239"/>
      <c r="R556" s="239"/>
      <c r="S556" s="239"/>
      <c r="T556" s="239"/>
      <c r="U556" s="239"/>
      <c r="V556" s="239"/>
      <c r="W556" s="246"/>
      <c r="X556" s="239"/>
      <c r="Y556" s="239"/>
      <c r="Z556" s="239"/>
      <c r="AA556" s="239"/>
      <c r="AB556" s="239"/>
      <c r="AC556" s="239"/>
      <c r="AD556" s="239"/>
      <c r="AE556" s="239"/>
      <c r="AF556" s="239"/>
      <c r="AG556" s="239"/>
      <c r="AH556" s="239"/>
      <c r="AI556" s="239"/>
      <c r="AJ556" s="239"/>
    </row>
    <row r="557">
      <c r="A557" s="239"/>
      <c r="B557" s="239"/>
      <c r="C557" s="239"/>
      <c r="D557" s="239"/>
      <c r="E557" s="239"/>
      <c r="F557" s="283"/>
      <c r="G557" s="239"/>
      <c r="H557" s="239"/>
      <c r="I557" s="239"/>
      <c r="J557" s="239"/>
      <c r="K557" s="239"/>
      <c r="L557" s="239"/>
      <c r="M557" s="239"/>
      <c r="N557" s="239"/>
      <c r="O557" s="239"/>
      <c r="P557" s="246"/>
      <c r="Q557" s="239"/>
      <c r="R557" s="239"/>
      <c r="S557" s="239"/>
      <c r="T557" s="239"/>
      <c r="U557" s="239"/>
      <c r="V557" s="239"/>
      <c r="W557" s="246"/>
      <c r="X557" s="239"/>
      <c r="Y557" s="239"/>
      <c r="Z557" s="239"/>
      <c r="AA557" s="239"/>
      <c r="AB557" s="239"/>
      <c r="AC557" s="239"/>
      <c r="AD557" s="239"/>
      <c r="AE557" s="239"/>
      <c r="AF557" s="239"/>
      <c r="AG557" s="239"/>
      <c r="AH557" s="239"/>
      <c r="AI557" s="239"/>
      <c r="AJ557" s="239"/>
    </row>
    <row r="558">
      <c r="A558" s="239"/>
      <c r="B558" s="239"/>
      <c r="C558" s="239"/>
      <c r="D558" s="239"/>
      <c r="E558" s="239"/>
      <c r="F558" s="283"/>
      <c r="G558" s="239"/>
      <c r="H558" s="239"/>
      <c r="I558" s="239"/>
      <c r="J558" s="239"/>
      <c r="K558" s="239"/>
      <c r="L558" s="239"/>
      <c r="M558" s="239"/>
      <c r="N558" s="239"/>
      <c r="O558" s="239"/>
      <c r="P558" s="246"/>
      <c r="Q558" s="239"/>
      <c r="R558" s="239"/>
      <c r="S558" s="239"/>
      <c r="T558" s="239"/>
      <c r="U558" s="239"/>
      <c r="V558" s="239"/>
      <c r="W558" s="246"/>
      <c r="X558" s="239"/>
      <c r="Y558" s="239"/>
      <c r="Z558" s="239"/>
      <c r="AA558" s="239"/>
      <c r="AB558" s="239"/>
      <c r="AC558" s="239"/>
      <c r="AD558" s="239"/>
      <c r="AE558" s="239"/>
      <c r="AF558" s="239"/>
      <c r="AG558" s="239"/>
      <c r="AH558" s="239"/>
      <c r="AI558" s="239"/>
      <c r="AJ558" s="239"/>
    </row>
    <row r="559">
      <c r="A559" s="239"/>
      <c r="B559" s="239"/>
      <c r="C559" s="239"/>
      <c r="D559" s="239"/>
      <c r="E559" s="239"/>
      <c r="F559" s="283"/>
      <c r="G559" s="239"/>
      <c r="H559" s="239"/>
      <c r="I559" s="239"/>
      <c r="J559" s="239"/>
      <c r="K559" s="239"/>
      <c r="L559" s="239"/>
      <c r="M559" s="239"/>
      <c r="N559" s="239"/>
      <c r="O559" s="239"/>
      <c r="P559" s="246"/>
      <c r="Q559" s="239"/>
      <c r="R559" s="239"/>
      <c r="S559" s="239"/>
      <c r="T559" s="239"/>
      <c r="U559" s="239"/>
      <c r="V559" s="239"/>
      <c r="W559" s="246"/>
      <c r="X559" s="239"/>
      <c r="Y559" s="239"/>
      <c r="Z559" s="239"/>
      <c r="AA559" s="239"/>
      <c r="AB559" s="239"/>
      <c r="AC559" s="239"/>
      <c r="AD559" s="239"/>
      <c r="AE559" s="239"/>
      <c r="AF559" s="239"/>
      <c r="AG559" s="239"/>
      <c r="AH559" s="239"/>
      <c r="AI559" s="239"/>
      <c r="AJ559" s="239"/>
    </row>
    <row r="560">
      <c r="A560" s="239"/>
      <c r="B560" s="239"/>
      <c r="C560" s="239"/>
      <c r="D560" s="239"/>
      <c r="E560" s="239"/>
      <c r="F560" s="283"/>
      <c r="G560" s="239"/>
      <c r="H560" s="239"/>
      <c r="I560" s="239"/>
      <c r="J560" s="239"/>
      <c r="K560" s="239"/>
      <c r="L560" s="239"/>
      <c r="M560" s="239"/>
      <c r="N560" s="239"/>
      <c r="O560" s="239"/>
      <c r="P560" s="246"/>
      <c r="Q560" s="239"/>
      <c r="R560" s="239"/>
      <c r="S560" s="239"/>
      <c r="T560" s="239"/>
      <c r="U560" s="239"/>
      <c r="V560" s="239"/>
      <c r="W560" s="246"/>
      <c r="X560" s="239"/>
      <c r="Y560" s="239"/>
      <c r="Z560" s="239"/>
      <c r="AA560" s="239"/>
      <c r="AB560" s="239"/>
      <c r="AC560" s="239"/>
      <c r="AD560" s="239"/>
      <c r="AE560" s="239"/>
      <c r="AF560" s="239"/>
      <c r="AG560" s="239"/>
      <c r="AH560" s="239"/>
      <c r="AI560" s="239"/>
      <c r="AJ560" s="239"/>
    </row>
    <row r="561">
      <c r="A561" s="239"/>
      <c r="B561" s="239"/>
      <c r="C561" s="239"/>
      <c r="D561" s="239"/>
      <c r="E561" s="239"/>
      <c r="F561" s="283"/>
      <c r="G561" s="239"/>
      <c r="H561" s="239"/>
      <c r="I561" s="239"/>
      <c r="J561" s="239"/>
      <c r="K561" s="239"/>
      <c r="L561" s="239"/>
      <c r="M561" s="239"/>
      <c r="N561" s="239"/>
      <c r="O561" s="239"/>
      <c r="P561" s="246"/>
      <c r="Q561" s="239"/>
      <c r="R561" s="239"/>
      <c r="S561" s="239"/>
      <c r="T561" s="239"/>
      <c r="U561" s="239"/>
      <c r="V561" s="239"/>
      <c r="W561" s="246"/>
      <c r="X561" s="239"/>
      <c r="Y561" s="239"/>
      <c r="Z561" s="239"/>
      <c r="AA561" s="239"/>
      <c r="AB561" s="239"/>
      <c r="AC561" s="239"/>
      <c r="AD561" s="239"/>
      <c r="AE561" s="239"/>
      <c r="AF561" s="239"/>
      <c r="AG561" s="239"/>
      <c r="AH561" s="239"/>
      <c r="AI561" s="239"/>
      <c r="AJ561" s="239"/>
    </row>
    <row r="562">
      <c r="A562" s="239"/>
      <c r="B562" s="239"/>
      <c r="C562" s="239"/>
      <c r="D562" s="239"/>
      <c r="E562" s="239"/>
      <c r="F562" s="283"/>
      <c r="G562" s="239"/>
      <c r="H562" s="239"/>
      <c r="I562" s="239"/>
      <c r="J562" s="239"/>
      <c r="K562" s="239"/>
      <c r="L562" s="239"/>
      <c r="M562" s="239"/>
      <c r="N562" s="239"/>
      <c r="O562" s="239"/>
      <c r="P562" s="246"/>
      <c r="Q562" s="239"/>
      <c r="R562" s="239"/>
      <c r="S562" s="239"/>
      <c r="T562" s="239"/>
      <c r="U562" s="239"/>
      <c r="V562" s="239"/>
      <c r="W562" s="246"/>
      <c r="X562" s="239"/>
      <c r="Y562" s="239"/>
      <c r="Z562" s="239"/>
      <c r="AA562" s="239"/>
      <c r="AB562" s="239"/>
      <c r="AC562" s="239"/>
      <c r="AD562" s="239"/>
      <c r="AE562" s="239"/>
      <c r="AF562" s="239"/>
      <c r="AG562" s="239"/>
      <c r="AH562" s="239"/>
      <c r="AI562" s="239"/>
      <c r="AJ562" s="239"/>
    </row>
    <row r="563">
      <c r="A563" s="239"/>
      <c r="B563" s="239"/>
      <c r="C563" s="239"/>
      <c r="D563" s="239"/>
      <c r="E563" s="239"/>
      <c r="F563" s="283"/>
      <c r="G563" s="239"/>
      <c r="H563" s="239"/>
      <c r="I563" s="239"/>
      <c r="J563" s="239"/>
      <c r="K563" s="239"/>
      <c r="L563" s="239"/>
      <c r="M563" s="239"/>
      <c r="N563" s="239"/>
      <c r="O563" s="239"/>
      <c r="P563" s="246"/>
      <c r="Q563" s="239"/>
      <c r="R563" s="239"/>
      <c r="S563" s="239"/>
      <c r="T563" s="239"/>
      <c r="U563" s="239"/>
      <c r="V563" s="239"/>
      <c r="W563" s="246"/>
      <c r="X563" s="239"/>
      <c r="Y563" s="239"/>
      <c r="Z563" s="239"/>
      <c r="AA563" s="239"/>
      <c r="AB563" s="239"/>
      <c r="AC563" s="239"/>
      <c r="AD563" s="239"/>
      <c r="AE563" s="239"/>
      <c r="AF563" s="239"/>
      <c r="AG563" s="239"/>
      <c r="AH563" s="239"/>
      <c r="AI563" s="239"/>
      <c r="AJ563" s="239"/>
    </row>
    <row r="564">
      <c r="A564" s="239"/>
      <c r="B564" s="239"/>
      <c r="C564" s="239"/>
      <c r="D564" s="239"/>
      <c r="E564" s="239"/>
      <c r="F564" s="283"/>
      <c r="G564" s="239"/>
      <c r="H564" s="239"/>
      <c r="I564" s="239"/>
      <c r="J564" s="239"/>
      <c r="K564" s="239"/>
      <c r="L564" s="239"/>
      <c r="M564" s="239"/>
      <c r="N564" s="239"/>
      <c r="O564" s="239"/>
      <c r="P564" s="246"/>
      <c r="Q564" s="239"/>
      <c r="R564" s="239"/>
      <c r="S564" s="239"/>
      <c r="T564" s="239"/>
      <c r="U564" s="239"/>
      <c r="V564" s="239"/>
      <c r="W564" s="246"/>
      <c r="X564" s="239"/>
      <c r="Y564" s="239"/>
      <c r="Z564" s="239"/>
      <c r="AA564" s="239"/>
      <c r="AB564" s="239"/>
      <c r="AC564" s="239"/>
      <c r="AD564" s="239"/>
      <c r="AE564" s="239"/>
      <c r="AF564" s="239"/>
      <c r="AG564" s="239"/>
      <c r="AH564" s="239"/>
      <c r="AI564" s="239"/>
      <c r="AJ564" s="239"/>
    </row>
    <row r="565">
      <c r="A565" s="239"/>
      <c r="B565" s="239"/>
      <c r="C565" s="239"/>
      <c r="D565" s="239"/>
      <c r="E565" s="239"/>
      <c r="F565" s="283"/>
      <c r="G565" s="239"/>
      <c r="H565" s="239"/>
      <c r="I565" s="239"/>
      <c r="J565" s="239"/>
      <c r="K565" s="239"/>
      <c r="L565" s="239"/>
      <c r="M565" s="239"/>
      <c r="N565" s="239"/>
      <c r="O565" s="239"/>
      <c r="P565" s="246"/>
      <c r="Q565" s="239"/>
      <c r="R565" s="239"/>
      <c r="S565" s="239"/>
      <c r="T565" s="239"/>
      <c r="U565" s="239"/>
      <c r="V565" s="239"/>
      <c r="W565" s="246"/>
      <c r="X565" s="239"/>
      <c r="Y565" s="239"/>
      <c r="Z565" s="239"/>
      <c r="AA565" s="239"/>
      <c r="AB565" s="239"/>
      <c r="AC565" s="239"/>
      <c r="AD565" s="239"/>
      <c r="AE565" s="239"/>
      <c r="AF565" s="239"/>
      <c r="AG565" s="239"/>
      <c r="AH565" s="239"/>
      <c r="AI565" s="239"/>
      <c r="AJ565" s="239"/>
    </row>
    <row r="566">
      <c r="A566" s="239"/>
      <c r="B566" s="239"/>
      <c r="C566" s="239"/>
      <c r="D566" s="239"/>
      <c r="E566" s="239"/>
      <c r="F566" s="283"/>
      <c r="G566" s="239"/>
      <c r="H566" s="239"/>
      <c r="I566" s="239"/>
      <c r="J566" s="239"/>
      <c r="K566" s="239"/>
      <c r="L566" s="239"/>
      <c r="M566" s="239"/>
      <c r="N566" s="239"/>
      <c r="O566" s="239"/>
      <c r="P566" s="246"/>
      <c r="Q566" s="239"/>
      <c r="R566" s="239"/>
      <c r="S566" s="239"/>
      <c r="T566" s="239"/>
      <c r="U566" s="239"/>
      <c r="V566" s="239"/>
      <c r="W566" s="246"/>
      <c r="X566" s="239"/>
      <c r="Y566" s="239"/>
      <c r="Z566" s="239"/>
      <c r="AA566" s="239"/>
      <c r="AB566" s="239"/>
      <c r="AC566" s="239"/>
      <c r="AD566" s="239"/>
      <c r="AE566" s="239"/>
      <c r="AF566" s="239"/>
      <c r="AG566" s="239"/>
      <c r="AH566" s="239"/>
      <c r="AI566" s="239"/>
      <c r="AJ566" s="239"/>
    </row>
    <row r="567">
      <c r="A567" s="239"/>
      <c r="B567" s="239"/>
      <c r="C567" s="239"/>
      <c r="D567" s="239"/>
      <c r="E567" s="239"/>
      <c r="F567" s="283"/>
      <c r="G567" s="239"/>
      <c r="H567" s="239"/>
      <c r="I567" s="239"/>
      <c r="J567" s="239"/>
      <c r="K567" s="239"/>
      <c r="L567" s="239"/>
      <c r="M567" s="239"/>
      <c r="N567" s="239"/>
      <c r="O567" s="239"/>
      <c r="P567" s="246"/>
      <c r="Q567" s="239"/>
      <c r="R567" s="239"/>
      <c r="S567" s="239"/>
      <c r="T567" s="239"/>
      <c r="U567" s="239"/>
      <c r="V567" s="239"/>
      <c r="W567" s="246"/>
      <c r="X567" s="239"/>
      <c r="Y567" s="239"/>
      <c r="Z567" s="239"/>
      <c r="AA567" s="239"/>
      <c r="AB567" s="239"/>
      <c r="AC567" s="239"/>
      <c r="AD567" s="239"/>
      <c r="AE567" s="239"/>
      <c r="AF567" s="239"/>
      <c r="AG567" s="239"/>
      <c r="AH567" s="239"/>
      <c r="AI567" s="239"/>
      <c r="AJ567" s="239"/>
    </row>
    <row r="568">
      <c r="A568" s="239"/>
      <c r="B568" s="239"/>
      <c r="C568" s="239"/>
      <c r="D568" s="239"/>
      <c r="E568" s="239"/>
      <c r="F568" s="283"/>
      <c r="G568" s="239"/>
      <c r="H568" s="239"/>
      <c r="I568" s="239"/>
      <c r="J568" s="239"/>
      <c r="K568" s="239"/>
      <c r="L568" s="239"/>
      <c r="M568" s="239"/>
      <c r="N568" s="239"/>
      <c r="O568" s="239"/>
      <c r="P568" s="246"/>
      <c r="Q568" s="239"/>
      <c r="R568" s="239"/>
      <c r="S568" s="239"/>
      <c r="T568" s="239"/>
      <c r="U568" s="239"/>
      <c r="V568" s="239"/>
      <c r="W568" s="246"/>
      <c r="X568" s="239"/>
      <c r="Y568" s="239"/>
      <c r="Z568" s="239"/>
      <c r="AA568" s="239"/>
      <c r="AB568" s="239"/>
      <c r="AC568" s="239"/>
      <c r="AD568" s="239"/>
      <c r="AE568" s="239"/>
      <c r="AF568" s="239"/>
      <c r="AG568" s="239"/>
      <c r="AH568" s="239"/>
      <c r="AI568" s="239"/>
      <c r="AJ568" s="239"/>
    </row>
    <row r="569">
      <c r="A569" s="239"/>
      <c r="B569" s="239"/>
      <c r="C569" s="239"/>
      <c r="D569" s="239"/>
      <c r="E569" s="239"/>
      <c r="F569" s="283"/>
      <c r="G569" s="239"/>
      <c r="H569" s="239"/>
      <c r="I569" s="239"/>
      <c r="J569" s="239"/>
      <c r="K569" s="239"/>
      <c r="L569" s="239"/>
      <c r="M569" s="239"/>
      <c r="N569" s="239"/>
      <c r="O569" s="239"/>
      <c r="P569" s="246"/>
      <c r="Q569" s="239"/>
      <c r="R569" s="239"/>
      <c r="S569" s="239"/>
      <c r="T569" s="239"/>
      <c r="U569" s="239"/>
      <c r="V569" s="239"/>
      <c r="W569" s="246"/>
      <c r="X569" s="239"/>
      <c r="Y569" s="239"/>
      <c r="Z569" s="239"/>
      <c r="AA569" s="239"/>
      <c r="AB569" s="239"/>
      <c r="AC569" s="239"/>
      <c r="AD569" s="239"/>
      <c r="AE569" s="239"/>
      <c r="AF569" s="239"/>
      <c r="AG569" s="239"/>
      <c r="AH569" s="239"/>
      <c r="AI569" s="239"/>
      <c r="AJ569" s="239"/>
    </row>
    <row r="570">
      <c r="A570" s="239"/>
      <c r="B570" s="239"/>
      <c r="C570" s="239"/>
      <c r="D570" s="239"/>
      <c r="E570" s="239"/>
      <c r="F570" s="283"/>
      <c r="G570" s="239"/>
      <c r="H570" s="239"/>
      <c r="I570" s="239"/>
      <c r="J570" s="239"/>
      <c r="K570" s="239"/>
      <c r="L570" s="239"/>
      <c r="M570" s="239"/>
      <c r="N570" s="239"/>
      <c r="O570" s="239"/>
      <c r="P570" s="246"/>
      <c r="Q570" s="239"/>
      <c r="R570" s="239"/>
      <c r="S570" s="239"/>
      <c r="T570" s="239"/>
      <c r="U570" s="239"/>
      <c r="V570" s="239"/>
      <c r="W570" s="246"/>
      <c r="X570" s="239"/>
      <c r="Y570" s="239"/>
      <c r="Z570" s="239"/>
      <c r="AA570" s="239"/>
      <c r="AB570" s="239"/>
      <c r="AC570" s="239"/>
      <c r="AD570" s="239"/>
      <c r="AE570" s="239"/>
      <c r="AF570" s="239"/>
      <c r="AG570" s="239"/>
      <c r="AH570" s="239"/>
      <c r="AI570" s="239"/>
      <c r="AJ570" s="239"/>
    </row>
    <row r="571">
      <c r="A571" s="239"/>
      <c r="B571" s="239"/>
      <c r="C571" s="239"/>
      <c r="D571" s="239"/>
      <c r="E571" s="239"/>
      <c r="F571" s="283"/>
      <c r="G571" s="239"/>
      <c r="H571" s="239"/>
      <c r="I571" s="239"/>
      <c r="J571" s="239"/>
      <c r="K571" s="239"/>
      <c r="L571" s="239"/>
      <c r="M571" s="239"/>
      <c r="N571" s="239"/>
      <c r="O571" s="239"/>
      <c r="P571" s="246"/>
      <c r="Q571" s="239"/>
      <c r="R571" s="239"/>
      <c r="S571" s="239"/>
      <c r="T571" s="239"/>
      <c r="U571" s="239"/>
      <c r="V571" s="239"/>
      <c r="W571" s="246"/>
      <c r="X571" s="239"/>
      <c r="Y571" s="239"/>
      <c r="Z571" s="239"/>
      <c r="AA571" s="239"/>
      <c r="AB571" s="239"/>
      <c r="AC571" s="239"/>
      <c r="AD571" s="239"/>
      <c r="AE571" s="239"/>
      <c r="AF571" s="239"/>
      <c r="AG571" s="239"/>
      <c r="AH571" s="239"/>
      <c r="AI571" s="239"/>
      <c r="AJ571" s="239"/>
    </row>
    <row r="572">
      <c r="A572" s="239"/>
      <c r="B572" s="239"/>
      <c r="C572" s="239"/>
      <c r="D572" s="239"/>
      <c r="E572" s="239"/>
      <c r="F572" s="283"/>
      <c r="G572" s="239"/>
      <c r="H572" s="239"/>
      <c r="I572" s="239"/>
      <c r="J572" s="239"/>
      <c r="K572" s="239"/>
      <c r="L572" s="239"/>
      <c r="M572" s="239"/>
      <c r="N572" s="239"/>
      <c r="O572" s="239"/>
      <c r="P572" s="246"/>
      <c r="Q572" s="239"/>
      <c r="R572" s="239"/>
      <c r="S572" s="239"/>
      <c r="T572" s="239"/>
      <c r="U572" s="239"/>
      <c r="V572" s="239"/>
      <c r="W572" s="246"/>
      <c r="X572" s="239"/>
      <c r="Y572" s="239"/>
      <c r="Z572" s="239"/>
      <c r="AA572" s="239"/>
      <c r="AB572" s="239"/>
      <c r="AC572" s="239"/>
      <c r="AD572" s="239"/>
      <c r="AE572" s="239"/>
      <c r="AF572" s="239"/>
      <c r="AG572" s="239"/>
      <c r="AH572" s="239"/>
      <c r="AI572" s="239"/>
      <c r="AJ572" s="239"/>
    </row>
    <row r="573">
      <c r="A573" s="239"/>
      <c r="B573" s="239"/>
      <c r="C573" s="239"/>
      <c r="D573" s="239"/>
      <c r="E573" s="239"/>
      <c r="F573" s="283"/>
      <c r="G573" s="239"/>
      <c r="H573" s="239"/>
      <c r="I573" s="239"/>
      <c r="J573" s="239"/>
      <c r="K573" s="239"/>
      <c r="L573" s="239"/>
      <c r="M573" s="239"/>
      <c r="N573" s="239"/>
      <c r="O573" s="239"/>
      <c r="P573" s="246"/>
      <c r="Q573" s="239"/>
      <c r="R573" s="239"/>
      <c r="S573" s="239"/>
      <c r="T573" s="239"/>
      <c r="U573" s="239"/>
      <c r="V573" s="239"/>
      <c r="W573" s="246"/>
      <c r="X573" s="239"/>
      <c r="Y573" s="239"/>
      <c r="Z573" s="239"/>
      <c r="AA573" s="239"/>
      <c r="AB573" s="239"/>
      <c r="AC573" s="239"/>
      <c r="AD573" s="239"/>
      <c r="AE573" s="239"/>
      <c r="AF573" s="239"/>
      <c r="AG573" s="239"/>
      <c r="AH573" s="239"/>
      <c r="AI573" s="239"/>
      <c r="AJ573" s="239"/>
    </row>
    <row r="574">
      <c r="A574" s="239"/>
      <c r="B574" s="239"/>
      <c r="C574" s="239"/>
      <c r="D574" s="239"/>
      <c r="E574" s="239"/>
      <c r="F574" s="283"/>
      <c r="G574" s="239"/>
      <c r="H574" s="239"/>
      <c r="I574" s="239"/>
      <c r="J574" s="239"/>
      <c r="K574" s="239"/>
      <c r="L574" s="239"/>
      <c r="M574" s="239"/>
      <c r="N574" s="239"/>
      <c r="O574" s="239"/>
      <c r="P574" s="246"/>
      <c r="Q574" s="239"/>
      <c r="R574" s="239"/>
      <c r="S574" s="239"/>
      <c r="T574" s="239"/>
      <c r="U574" s="239"/>
      <c r="V574" s="239"/>
      <c r="W574" s="246"/>
      <c r="X574" s="239"/>
      <c r="Y574" s="239"/>
      <c r="Z574" s="239"/>
      <c r="AA574" s="239"/>
      <c r="AB574" s="239"/>
      <c r="AC574" s="239"/>
      <c r="AD574" s="239"/>
      <c r="AE574" s="239"/>
      <c r="AF574" s="239"/>
      <c r="AG574" s="239"/>
      <c r="AH574" s="239"/>
      <c r="AI574" s="239"/>
      <c r="AJ574" s="239"/>
    </row>
    <row r="575">
      <c r="A575" s="239"/>
      <c r="B575" s="239"/>
      <c r="C575" s="239"/>
      <c r="D575" s="239"/>
      <c r="E575" s="239"/>
      <c r="F575" s="283"/>
      <c r="G575" s="239"/>
      <c r="H575" s="239"/>
      <c r="I575" s="239"/>
      <c r="J575" s="239"/>
      <c r="K575" s="239"/>
      <c r="L575" s="239"/>
      <c r="M575" s="239"/>
      <c r="N575" s="239"/>
      <c r="O575" s="239"/>
      <c r="P575" s="246"/>
      <c r="Q575" s="239"/>
      <c r="R575" s="239"/>
      <c r="S575" s="239"/>
      <c r="T575" s="239"/>
      <c r="U575" s="239"/>
      <c r="V575" s="239"/>
      <c r="W575" s="246"/>
      <c r="X575" s="239"/>
      <c r="Y575" s="239"/>
      <c r="Z575" s="239"/>
      <c r="AA575" s="239"/>
      <c r="AB575" s="239"/>
      <c r="AC575" s="239"/>
      <c r="AD575" s="239"/>
      <c r="AE575" s="239"/>
      <c r="AF575" s="239"/>
      <c r="AG575" s="239"/>
      <c r="AH575" s="239"/>
      <c r="AI575" s="239"/>
      <c r="AJ575" s="239"/>
    </row>
    <row r="576">
      <c r="A576" s="239"/>
      <c r="B576" s="239"/>
      <c r="C576" s="239"/>
      <c r="D576" s="239"/>
      <c r="E576" s="239"/>
      <c r="F576" s="283"/>
      <c r="G576" s="239"/>
      <c r="H576" s="239"/>
      <c r="I576" s="239"/>
      <c r="J576" s="239"/>
      <c r="K576" s="239"/>
      <c r="L576" s="239"/>
      <c r="M576" s="239"/>
      <c r="N576" s="239"/>
      <c r="O576" s="239"/>
      <c r="P576" s="246"/>
      <c r="Q576" s="239"/>
      <c r="R576" s="239"/>
      <c r="S576" s="239"/>
      <c r="T576" s="239"/>
      <c r="U576" s="239"/>
      <c r="V576" s="239"/>
      <c r="W576" s="246"/>
      <c r="X576" s="239"/>
      <c r="Y576" s="239"/>
      <c r="Z576" s="239"/>
      <c r="AA576" s="239"/>
      <c r="AB576" s="239"/>
      <c r="AC576" s="239"/>
      <c r="AD576" s="239"/>
      <c r="AE576" s="239"/>
      <c r="AF576" s="239"/>
      <c r="AG576" s="239"/>
      <c r="AH576" s="239"/>
      <c r="AI576" s="239"/>
      <c r="AJ576" s="239"/>
    </row>
    <row r="577">
      <c r="A577" s="239"/>
      <c r="B577" s="239"/>
      <c r="C577" s="239"/>
      <c r="D577" s="239"/>
      <c r="E577" s="239"/>
      <c r="F577" s="283"/>
      <c r="G577" s="239"/>
      <c r="H577" s="239"/>
      <c r="I577" s="239"/>
      <c r="J577" s="239"/>
      <c r="K577" s="239"/>
      <c r="L577" s="239"/>
      <c r="M577" s="239"/>
      <c r="N577" s="239"/>
      <c r="O577" s="239"/>
      <c r="P577" s="246"/>
      <c r="Q577" s="239"/>
      <c r="R577" s="239"/>
      <c r="S577" s="239"/>
      <c r="T577" s="239"/>
      <c r="U577" s="239"/>
      <c r="V577" s="239"/>
      <c r="W577" s="246"/>
      <c r="X577" s="239"/>
      <c r="Y577" s="239"/>
      <c r="Z577" s="239"/>
      <c r="AA577" s="239"/>
      <c r="AB577" s="239"/>
      <c r="AC577" s="239"/>
      <c r="AD577" s="239"/>
      <c r="AE577" s="239"/>
      <c r="AF577" s="239"/>
      <c r="AG577" s="239"/>
      <c r="AH577" s="239"/>
      <c r="AI577" s="239"/>
      <c r="AJ577" s="239"/>
    </row>
    <row r="578">
      <c r="A578" s="239"/>
      <c r="B578" s="239"/>
      <c r="C578" s="239"/>
      <c r="D578" s="239"/>
      <c r="E578" s="239"/>
      <c r="F578" s="283"/>
      <c r="G578" s="239"/>
      <c r="H578" s="239"/>
      <c r="I578" s="239"/>
      <c r="J578" s="239"/>
      <c r="K578" s="239"/>
      <c r="L578" s="239"/>
      <c r="M578" s="239"/>
      <c r="N578" s="239"/>
      <c r="O578" s="239"/>
      <c r="P578" s="246"/>
      <c r="Q578" s="239"/>
      <c r="R578" s="239"/>
      <c r="S578" s="239"/>
      <c r="T578" s="239"/>
      <c r="U578" s="239"/>
      <c r="V578" s="239"/>
      <c r="W578" s="246"/>
      <c r="X578" s="239"/>
      <c r="Y578" s="239"/>
      <c r="Z578" s="239"/>
      <c r="AA578" s="239"/>
      <c r="AB578" s="239"/>
      <c r="AC578" s="239"/>
      <c r="AD578" s="239"/>
      <c r="AE578" s="239"/>
      <c r="AF578" s="239"/>
      <c r="AG578" s="239"/>
      <c r="AH578" s="239"/>
      <c r="AI578" s="239"/>
      <c r="AJ578" s="239"/>
    </row>
    <row r="579">
      <c r="A579" s="239"/>
      <c r="B579" s="239"/>
      <c r="C579" s="239"/>
      <c r="D579" s="239"/>
      <c r="E579" s="239"/>
      <c r="F579" s="283"/>
      <c r="G579" s="239"/>
      <c r="H579" s="239"/>
      <c r="I579" s="239"/>
      <c r="J579" s="239"/>
      <c r="K579" s="239"/>
      <c r="L579" s="239"/>
      <c r="M579" s="239"/>
      <c r="N579" s="239"/>
      <c r="O579" s="239"/>
      <c r="P579" s="246"/>
      <c r="Q579" s="239"/>
      <c r="R579" s="239"/>
      <c r="S579" s="239"/>
      <c r="T579" s="239"/>
      <c r="U579" s="239"/>
      <c r="V579" s="239"/>
      <c r="W579" s="246"/>
      <c r="X579" s="239"/>
      <c r="Y579" s="239"/>
      <c r="Z579" s="239"/>
      <c r="AA579" s="239"/>
      <c r="AB579" s="239"/>
      <c r="AC579" s="239"/>
      <c r="AD579" s="239"/>
      <c r="AE579" s="239"/>
      <c r="AF579" s="239"/>
      <c r="AG579" s="239"/>
      <c r="AH579" s="239"/>
      <c r="AI579" s="239"/>
      <c r="AJ579" s="239"/>
    </row>
    <row r="580">
      <c r="A580" s="239"/>
      <c r="B580" s="239"/>
      <c r="C580" s="239"/>
      <c r="D580" s="239"/>
      <c r="E580" s="239"/>
      <c r="F580" s="283"/>
      <c r="G580" s="239"/>
      <c r="H580" s="239"/>
      <c r="I580" s="239"/>
      <c r="J580" s="239"/>
      <c r="K580" s="239"/>
      <c r="L580" s="239"/>
      <c r="M580" s="239"/>
      <c r="N580" s="239"/>
      <c r="O580" s="239"/>
      <c r="P580" s="246"/>
      <c r="Q580" s="239"/>
      <c r="R580" s="239"/>
      <c r="S580" s="239"/>
      <c r="T580" s="239"/>
      <c r="U580" s="239"/>
      <c r="V580" s="239"/>
      <c r="W580" s="246"/>
      <c r="X580" s="239"/>
      <c r="Y580" s="239"/>
      <c r="Z580" s="239"/>
      <c r="AA580" s="239"/>
      <c r="AB580" s="239"/>
      <c r="AC580" s="239"/>
      <c r="AD580" s="239"/>
      <c r="AE580" s="239"/>
      <c r="AF580" s="239"/>
      <c r="AG580" s="239"/>
      <c r="AH580" s="239"/>
      <c r="AI580" s="239"/>
      <c r="AJ580" s="239"/>
    </row>
    <row r="581">
      <c r="A581" s="239"/>
      <c r="B581" s="239"/>
      <c r="C581" s="239"/>
      <c r="D581" s="239"/>
      <c r="E581" s="239"/>
      <c r="F581" s="283"/>
      <c r="G581" s="239"/>
      <c r="H581" s="239"/>
      <c r="I581" s="239"/>
      <c r="J581" s="239"/>
      <c r="K581" s="239"/>
      <c r="L581" s="239"/>
      <c r="M581" s="239"/>
      <c r="N581" s="239"/>
      <c r="O581" s="239"/>
      <c r="P581" s="246"/>
      <c r="Q581" s="239"/>
      <c r="R581" s="239"/>
      <c r="S581" s="239"/>
      <c r="T581" s="239"/>
      <c r="U581" s="239"/>
      <c r="V581" s="239"/>
      <c r="W581" s="246"/>
      <c r="X581" s="239"/>
      <c r="Y581" s="239"/>
      <c r="Z581" s="239"/>
      <c r="AA581" s="239"/>
      <c r="AB581" s="239"/>
      <c r="AC581" s="239"/>
      <c r="AD581" s="239"/>
      <c r="AE581" s="239"/>
      <c r="AF581" s="239"/>
      <c r="AG581" s="239"/>
      <c r="AH581" s="239"/>
      <c r="AI581" s="239"/>
      <c r="AJ581" s="239"/>
    </row>
    <row r="582">
      <c r="A582" s="239"/>
      <c r="B582" s="239"/>
      <c r="C582" s="239"/>
      <c r="D582" s="239"/>
      <c r="E582" s="239"/>
      <c r="F582" s="283"/>
      <c r="G582" s="239"/>
      <c r="H582" s="239"/>
      <c r="I582" s="239"/>
      <c r="J582" s="239"/>
      <c r="K582" s="239"/>
      <c r="L582" s="239"/>
      <c r="M582" s="239"/>
      <c r="N582" s="239"/>
      <c r="O582" s="239"/>
      <c r="P582" s="246"/>
      <c r="Q582" s="239"/>
      <c r="R582" s="239"/>
      <c r="S582" s="239"/>
      <c r="T582" s="239"/>
      <c r="U582" s="239"/>
      <c r="V582" s="239"/>
      <c r="W582" s="246"/>
      <c r="X582" s="239"/>
      <c r="Y582" s="239"/>
      <c r="Z582" s="239"/>
      <c r="AA582" s="239"/>
      <c r="AB582" s="239"/>
      <c r="AC582" s="239"/>
      <c r="AD582" s="239"/>
      <c r="AE582" s="239"/>
      <c r="AF582" s="239"/>
      <c r="AG582" s="239"/>
      <c r="AH582" s="239"/>
      <c r="AI582" s="239"/>
      <c r="AJ582" s="239"/>
    </row>
    <row r="583">
      <c r="A583" s="239"/>
      <c r="B583" s="239"/>
      <c r="C583" s="239"/>
      <c r="D583" s="239"/>
      <c r="E583" s="239"/>
      <c r="F583" s="283"/>
      <c r="G583" s="239"/>
      <c r="H583" s="239"/>
      <c r="I583" s="239"/>
      <c r="J583" s="239"/>
      <c r="K583" s="239"/>
      <c r="L583" s="239"/>
      <c r="M583" s="239"/>
      <c r="N583" s="239"/>
      <c r="O583" s="239"/>
      <c r="P583" s="246"/>
      <c r="Q583" s="239"/>
      <c r="R583" s="239"/>
      <c r="S583" s="239"/>
      <c r="T583" s="239"/>
      <c r="U583" s="239"/>
      <c r="V583" s="239"/>
      <c r="W583" s="246"/>
      <c r="X583" s="239"/>
      <c r="Y583" s="239"/>
      <c r="Z583" s="239"/>
      <c r="AA583" s="239"/>
      <c r="AB583" s="239"/>
      <c r="AC583" s="239"/>
      <c r="AD583" s="239"/>
      <c r="AE583" s="239"/>
      <c r="AF583" s="239"/>
      <c r="AG583" s="239"/>
      <c r="AH583" s="239"/>
      <c r="AI583" s="239"/>
      <c r="AJ583" s="239"/>
    </row>
    <row r="584">
      <c r="A584" s="239"/>
      <c r="B584" s="239"/>
      <c r="C584" s="239"/>
      <c r="D584" s="239"/>
      <c r="E584" s="239"/>
      <c r="F584" s="283"/>
      <c r="G584" s="239"/>
      <c r="H584" s="239"/>
      <c r="I584" s="239"/>
      <c r="J584" s="239"/>
      <c r="K584" s="239"/>
      <c r="L584" s="239"/>
      <c r="M584" s="239"/>
      <c r="N584" s="239"/>
      <c r="O584" s="239"/>
      <c r="P584" s="246"/>
      <c r="Q584" s="239"/>
      <c r="R584" s="239"/>
      <c r="S584" s="239"/>
      <c r="T584" s="239"/>
      <c r="U584" s="239"/>
      <c r="V584" s="239"/>
      <c r="W584" s="246"/>
      <c r="X584" s="239"/>
      <c r="Y584" s="239"/>
      <c r="Z584" s="239"/>
      <c r="AA584" s="239"/>
      <c r="AB584" s="239"/>
      <c r="AC584" s="239"/>
      <c r="AD584" s="239"/>
      <c r="AE584" s="239"/>
      <c r="AF584" s="239"/>
      <c r="AG584" s="239"/>
      <c r="AH584" s="239"/>
      <c r="AI584" s="239"/>
      <c r="AJ584" s="239"/>
    </row>
    <row r="585">
      <c r="A585" s="239"/>
      <c r="B585" s="239"/>
      <c r="C585" s="239"/>
      <c r="D585" s="239"/>
      <c r="E585" s="239"/>
      <c r="F585" s="283"/>
      <c r="G585" s="239"/>
      <c r="H585" s="239"/>
      <c r="I585" s="239"/>
      <c r="J585" s="239"/>
      <c r="K585" s="239"/>
      <c r="L585" s="239"/>
      <c r="M585" s="239"/>
      <c r="N585" s="239"/>
      <c r="O585" s="239"/>
      <c r="P585" s="246"/>
      <c r="Q585" s="239"/>
      <c r="R585" s="239"/>
      <c r="S585" s="239"/>
      <c r="T585" s="239"/>
      <c r="U585" s="239"/>
      <c r="V585" s="239"/>
      <c r="W585" s="246"/>
      <c r="X585" s="239"/>
      <c r="Y585" s="239"/>
      <c r="Z585" s="239"/>
      <c r="AA585" s="239"/>
      <c r="AB585" s="239"/>
      <c r="AC585" s="239"/>
      <c r="AD585" s="239"/>
      <c r="AE585" s="239"/>
      <c r="AF585" s="239"/>
      <c r="AG585" s="239"/>
      <c r="AH585" s="239"/>
      <c r="AI585" s="239"/>
      <c r="AJ585" s="239"/>
    </row>
    <row r="586">
      <c r="A586" s="239"/>
      <c r="B586" s="239"/>
      <c r="C586" s="239"/>
      <c r="D586" s="239"/>
      <c r="E586" s="239"/>
      <c r="F586" s="283"/>
      <c r="G586" s="239"/>
      <c r="H586" s="239"/>
      <c r="I586" s="239"/>
      <c r="J586" s="239"/>
      <c r="K586" s="239"/>
      <c r="L586" s="239"/>
      <c r="M586" s="239"/>
      <c r="N586" s="239"/>
      <c r="O586" s="239"/>
      <c r="P586" s="246"/>
      <c r="Q586" s="239"/>
      <c r="R586" s="239"/>
      <c r="S586" s="239"/>
      <c r="T586" s="239"/>
      <c r="U586" s="239"/>
      <c r="V586" s="239"/>
      <c r="W586" s="246"/>
      <c r="X586" s="239"/>
      <c r="Y586" s="239"/>
      <c r="Z586" s="239"/>
      <c r="AA586" s="239"/>
      <c r="AB586" s="239"/>
      <c r="AC586" s="239"/>
      <c r="AD586" s="239"/>
      <c r="AE586" s="239"/>
      <c r="AF586" s="239"/>
      <c r="AG586" s="239"/>
      <c r="AH586" s="239"/>
      <c r="AI586" s="239"/>
      <c r="AJ586" s="239"/>
    </row>
    <row r="587">
      <c r="A587" s="239"/>
      <c r="B587" s="239"/>
      <c r="C587" s="239"/>
      <c r="D587" s="239"/>
      <c r="E587" s="239"/>
      <c r="F587" s="283"/>
      <c r="G587" s="239"/>
      <c r="H587" s="239"/>
      <c r="I587" s="239"/>
      <c r="J587" s="239"/>
      <c r="K587" s="239"/>
      <c r="L587" s="239"/>
      <c r="M587" s="239"/>
      <c r="N587" s="239"/>
      <c r="O587" s="239"/>
      <c r="P587" s="246"/>
      <c r="Q587" s="239"/>
      <c r="R587" s="239"/>
      <c r="S587" s="239"/>
      <c r="T587" s="239"/>
      <c r="U587" s="239"/>
      <c r="V587" s="239"/>
      <c r="W587" s="246"/>
      <c r="X587" s="239"/>
      <c r="Y587" s="239"/>
      <c r="Z587" s="239"/>
      <c r="AA587" s="239"/>
      <c r="AB587" s="239"/>
      <c r="AC587" s="239"/>
      <c r="AD587" s="239"/>
      <c r="AE587" s="239"/>
      <c r="AF587" s="239"/>
      <c r="AG587" s="239"/>
      <c r="AH587" s="239"/>
      <c r="AI587" s="239"/>
      <c r="AJ587" s="239"/>
    </row>
    <row r="588">
      <c r="A588" s="239"/>
      <c r="B588" s="239"/>
      <c r="C588" s="239"/>
      <c r="D588" s="239"/>
      <c r="E588" s="239"/>
      <c r="F588" s="283"/>
      <c r="G588" s="239"/>
      <c r="H588" s="239"/>
      <c r="I588" s="239"/>
      <c r="J588" s="239"/>
      <c r="K588" s="239"/>
      <c r="L588" s="239"/>
      <c r="M588" s="239"/>
      <c r="N588" s="239"/>
      <c r="O588" s="239"/>
      <c r="P588" s="246"/>
      <c r="Q588" s="239"/>
      <c r="R588" s="239"/>
      <c r="S588" s="239"/>
      <c r="T588" s="239"/>
      <c r="U588" s="239"/>
      <c r="V588" s="239"/>
      <c r="W588" s="246"/>
      <c r="X588" s="239"/>
      <c r="Y588" s="239"/>
      <c r="Z588" s="239"/>
      <c r="AA588" s="239"/>
      <c r="AB588" s="239"/>
      <c r="AC588" s="239"/>
      <c r="AD588" s="239"/>
      <c r="AE588" s="239"/>
      <c r="AF588" s="239"/>
      <c r="AG588" s="239"/>
      <c r="AH588" s="239"/>
      <c r="AI588" s="239"/>
      <c r="AJ588" s="239"/>
    </row>
    <row r="589">
      <c r="A589" s="239"/>
      <c r="B589" s="239"/>
      <c r="C589" s="239"/>
      <c r="D589" s="239"/>
      <c r="E589" s="239"/>
      <c r="F589" s="283"/>
      <c r="G589" s="239"/>
      <c r="H589" s="239"/>
      <c r="I589" s="239"/>
      <c r="J589" s="239"/>
      <c r="K589" s="239"/>
      <c r="L589" s="239"/>
      <c r="M589" s="239"/>
      <c r="N589" s="239"/>
      <c r="O589" s="239"/>
      <c r="P589" s="246"/>
      <c r="Q589" s="239"/>
      <c r="R589" s="239"/>
      <c r="S589" s="239"/>
      <c r="T589" s="239"/>
      <c r="U589" s="239"/>
      <c r="V589" s="239"/>
      <c r="W589" s="246"/>
      <c r="X589" s="239"/>
      <c r="Y589" s="239"/>
      <c r="Z589" s="239"/>
      <c r="AA589" s="239"/>
      <c r="AB589" s="239"/>
      <c r="AC589" s="239"/>
      <c r="AD589" s="239"/>
      <c r="AE589" s="239"/>
      <c r="AF589" s="239"/>
      <c r="AG589" s="239"/>
      <c r="AH589" s="239"/>
      <c r="AI589" s="239"/>
      <c r="AJ589" s="239"/>
    </row>
    <row r="590">
      <c r="A590" s="239"/>
      <c r="B590" s="239"/>
      <c r="C590" s="239"/>
      <c r="D590" s="239"/>
      <c r="E590" s="239"/>
      <c r="F590" s="283"/>
      <c r="G590" s="239"/>
      <c r="H590" s="239"/>
      <c r="I590" s="239"/>
      <c r="J590" s="239"/>
      <c r="K590" s="239"/>
      <c r="L590" s="239"/>
      <c r="M590" s="239"/>
      <c r="N590" s="239"/>
      <c r="O590" s="239"/>
      <c r="P590" s="246"/>
      <c r="Q590" s="239"/>
      <c r="R590" s="239"/>
      <c r="S590" s="239"/>
      <c r="T590" s="239"/>
      <c r="U590" s="239"/>
      <c r="V590" s="239"/>
      <c r="W590" s="246"/>
      <c r="X590" s="239"/>
      <c r="Y590" s="239"/>
      <c r="Z590" s="239"/>
      <c r="AA590" s="239"/>
      <c r="AB590" s="239"/>
      <c r="AC590" s="239"/>
      <c r="AD590" s="239"/>
      <c r="AE590" s="239"/>
      <c r="AF590" s="239"/>
      <c r="AG590" s="239"/>
      <c r="AH590" s="239"/>
      <c r="AI590" s="239"/>
      <c r="AJ590" s="239"/>
    </row>
    <row r="591">
      <c r="A591" s="239"/>
      <c r="B591" s="239"/>
      <c r="C591" s="239"/>
      <c r="D591" s="239"/>
      <c r="E591" s="239"/>
      <c r="F591" s="283"/>
      <c r="G591" s="239"/>
      <c r="H591" s="239"/>
      <c r="I591" s="239"/>
      <c r="J591" s="239"/>
      <c r="K591" s="239"/>
      <c r="L591" s="239"/>
      <c r="M591" s="239"/>
      <c r="N591" s="239"/>
      <c r="O591" s="239"/>
      <c r="P591" s="246"/>
      <c r="Q591" s="239"/>
      <c r="R591" s="239"/>
      <c r="S591" s="239"/>
      <c r="T591" s="239"/>
      <c r="U591" s="239"/>
      <c r="V591" s="239"/>
      <c r="W591" s="246"/>
      <c r="X591" s="239"/>
      <c r="Y591" s="239"/>
      <c r="Z591" s="239"/>
      <c r="AA591" s="239"/>
      <c r="AB591" s="239"/>
      <c r="AC591" s="239"/>
      <c r="AD591" s="239"/>
      <c r="AE591" s="239"/>
      <c r="AF591" s="239"/>
      <c r="AG591" s="239"/>
      <c r="AH591" s="239"/>
      <c r="AI591" s="239"/>
      <c r="AJ591" s="239"/>
    </row>
    <row r="592">
      <c r="A592" s="239"/>
      <c r="B592" s="239"/>
      <c r="C592" s="239"/>
      <c r="D592" s="239"/>
      <c r="E592" s="239"/>
      <c r="F592" s="283"/>
      <c r="G592" s="239"/>
      <c r="H592" s="239"/>
      <c r="I592" s="239"/>
      <c r="J592" s="239"/>
      <c r="K592" s="239"/>
      <c r="L592" s="239"/>
      <c r="M592" s="239"/>
      <c r="N592" s="239"/>
      <c r="O592" s="239"/>
      <c r="P592" s="246"/>
      <c r="Q592" s="239"/>
      <c r="R592" s="239"/>
      <c r="S592" s="239"/>
      <c r="T592" s="239"/>
      <c r="U592" s="239"/>
      <c r="V592" s="239"/>
      <c r="W592" s="246"/>
      <c r="X592" s="239"/>
      <c r="Y592" s="239"/>
      <c r="Z592" s="239"/>
      <c r="AA592" s="239"/>
      <c r="AB592" s="239"/>
      <c r="AC592" s="239"/>
      <c r="AD592" s="239"/>
      <c r="AE592" s="239"/>
      <c r="AF592" s="239"/>
      <c r="AG592" s="239"/>
      <c r="AH592" s="239"/>
      <c r="AI592" s="239"/>
      <c r="AJ592" s="239"/>
    </row>
    <row r="593">
      <c r="A593" s="239"/>
      <c r="B593" s="239"/>
      <c r="C593" s="239"/>
      <c r="D593" s="239"/>
      <c r="E593" s="239"/>
      <c r="F593" s="283"/>
      <c r="G593" s="239"/>
      <c r="H593" s="239"/>
      <c r="I593" s="239"/>
      <c r="J593" s="239"/>
      <c r="K593" s="239"/>
      <c r="L593" s="239"/>
      <c r="M593" s="239"/>
      <c r="N593" s="239"/>
      <c r="O593" s="239"/>
      <c r="P593" s="246"/>
      <c r="Q593" s="239"/>
      <c r="R593" s="239"/>
      <c r="S593" s="239"/>
      <c r="T593" s="239"/>
      <c r="U593" s="239"/>
      <c r="V593" s="239"/>
      <c r="W593" s="246"/>
      <c r="X593" s="239"/>
      <c r="Y593" s="239"/>
      <c r="Z593" s="239"/>
      <c r="AA593" s="239"/>
      <c r="AB593" s="239"/>
      <c r="AC593" s="239"/>
      <c r="AD593" s="239"/>
      <c r="AE593" s="239"/>
      <c r="AF593" s="239"/>
      <c r="AG593" s="239"/>
      <c r="AH593" s="239"/>
      <c r="AI593" s="239"/>
      <c r="AJ593" s="239"/>
    </row>
    <row r="594">
      <c r="A594" s="239"/>
      <c r="B594" s="239"/>
      <c r="C594" s="239"/>
      <c r="D594" s="239"/>
      <c r="E594" s="239"/>
      <c r="F594" s="283"/>
      <c r="G594" s="239"/>
      <c r="H594" s="239"/>
      <c r="I594" s="239"/>
      <c r="J594" s="239"/>
      <c r="K594" s="239"/>
      <c r="L594" s="239"/>
      <c r="M594" s="239"/>
      <c r="N594" s="239"/>
      <c r="O594" s="239"/>
      <c r="P594" s="246"/>
      <c r="Q594" s="239"/>
      <c r="R594" s="239"/>
      <c r="S594" s="239"/>
      <c r="T594" s="239"/>
      <c r="U594" s="239"/>
      <c r="V594" s="239"/>
      <c r="W594" s="246"/>
      <c r="X594" s="239"/>
      <c r="Y594" s="239"/>
      <c r="Z594" s="239"/>
      <c r="AA594" s="239"/>
      <c r="AB594" s="239"/>
      <c r="AC594" s="239"/>
      <c r="AD594" s="239"/>
      <c r="AE594" s="239"/>
      <c r="AF594" s="239"/>
      <c r="AG594" s="239"/>
      <c r="AH594" s="239"/>
      <c r="AI594" s="239"/>
      <c r="AJ594" s="239"/>
    </row>
    <row r="595">
      <c r="A595" s="239"/>
      <c r="B595" s="239"/>
      <c r="C595" s="239"/>
      <c r="D595" s="239"/>
      <c r="E595" s="239"/>
      <c r="F595" s="283"/>
      <c r="G595" s="239"/>
      <c r="H595" s="239"/>
      <c r="I595" s="239"/>
      <c r="J595" s="239"/>
      <c r="K595" s="239"/>
      <c r="L595" s="239"/>
      <c r="M595" s="239"/>
      <c r="N595" s="239"/>
      <c r="O595" s="239"/>
      <c r="P595" s="246"/>
      <c r="Q595" s="239"/>
      <c r="R595" s="239"/>
      <c r="S595" s="239"/>
      <c r="T595" s="239"/>
      <c r="U595" s="239"/>
      <c r="V595" s="239"/>
      <c r="W595" s="246"/>
      <c r="X595" s="239"/>
      <c r="Y595" s="239"/>
      <c r="Z595" s="239"/>
      <c r="AA595" s="239"/>
      <c r="AB595" s="239"/>
      <c r="AC595" s="239"/>
      <c r="AD595" s="239"/>
      <c r="AE595" s="239"/>
      <c r="AF595" s="239"/>
      <c r="AG595" s="239"/>
      <c r="AH595" s="239"/>
      <c r="AI595" s="239"/>
      <c r="AJ595" s="239"/>
    </row>
    <row r="596">
      <c r="A596" s="239"/>
      <c r="B596" s="239"/>
      <c r="C596" s="239"/>
      <c r="D596" s="239"/>
      <c r="E596" s="239"/>
      <c r="F596" s="283"/>
      <c r="G596" s="239"/>
      <c r="H596" s="239"/>
      <c r="I596" s="239"/>
      <c r="J596" s="239"/>
      <c r="K596" s="239"/>
      <c r="L596" s="239"/>
      <c r="M596" s="239"/>
      <c r="N596" s="239"/>
      <c r="O596" s="239"/>
      <c r="P596" s="246"/>
      <c r="Q596" s="239"/>
      <c r="R596" s="239"/>
      <c r="S596" s="239"/>
      <c r="T596" s="239"/>
      <c r="U596" s="239"/>
      <c r="V596" s="239"/>
      <c r="W596" s="246"/>
      <c r="X596" s="239"/>
      <c r="Y596" s="239"/>
      <c r="Z596" s="239"/>
      <c r="AA596" s="239"/>
      <c r="AB596" s="239"/>
      <c r="AC596" s="239"/>
      <c r="AD596" s="239"/>
      <c r="AE596" s="239"/>
      <c r="AF596" s="239"/>
      <c r="AG596" s="239"/>
      <c r="AH596" s="239"/>
      <c r="AI596" s="239"/>
      <c r="AJ596" s="239"/>
    </row>
    <row r="597">
      <c r="A597" s="239"/>
      <c r="B597" s="239"/>
      <c r="C597" s="239"/>
      <c r="D597" s="239"/>
      <c r="E597" s="239"/>
      <c r="F597" s="283"/>
      <c r="G597" s="239"/>
      <c r="H597" s="239"/>
      <c r="I597" s="239"/>
      <c r="J597" s="239"/>
      <c r="K597" s="239"/>
      <c r="L597" s="239"/>
      <c r="M597" s="239"/>
      <c r="N597" s="239"/>
      <c r="O597" s="239"/>
      <c r="P597" s="246"/>
      <c r="Q597" s="239"/>
      <c r="R597" s="239"/>
      <c r="S597" s="239"/>
      <c r="T597" s="239"/>
      <c r="U597" s="239"/>
      <c r="V597" s="239"/>
      <c r="W597" s="246"/>
      <c r="X597" s="239"/>
      <c r="Y597" s="239"/>
      <c r="Z597" s="239"/>
      <c r="AA597" s="239"/>
      <c r="AB597" s="239"/>
      <c r="AC597" s="239"/>
      <c r="AD597" s="239"/>
      <c r="AE597" s="239"/>
      <c r="AF597" s="239"/>
      <c r="AG597" s="239"/>
      <c r="AH597" s="239"/>
      <c r="AI597" s="239"/>
      <c r="AJ597" s="239"/>
    </row>
    <row r="598">
      <c r="A598" s="239"/>
      <c r="B598" s="239"/>
      <c r="C598" s="239"/>
      <c r="D598" s="239"/>
      <c r="E598" s="239"/>
      <c r="F598" s="283"/>
      <c r="G598" s="239"/>
      <c r="H598" s="239"/>
      <c r="I598" s="239"/>
      <c r="J598" s="239"/>
      <c r="K598" s="239"/>
      <c r="L598" s="239"/>
      <c r="M598" s="239"/>
      <c r="N598" s="239"/>
      <c r="O598" s="239"/>
      <c r="P598" s="246"/>
      <c r="Q598" s="239"/>
      <c r="R598" s="239"/>
      <c r="S598" s="239"/>
      <c r="T598" s="239"/>
      <c r="U598" s="239"/>
      <c r="V598" s="239"/>
      <c r="W598" s="246"/>
      <c r="X598" s="239"/>
      <c r="Y598" s="239"/>
      <c r="Z598" s="239"/>
      <c r="AA598" s="239"/>
      <c r="AB598" s="239"/>
      <c r="AC598" s="239"/>
      <c r="AD598" s="239"/>
      <c r="AE598" s="239"/>
      <c r="AF598" s="239"/>
      <c r="AG598" s="239"/>
      <c r="AH598" s="239"/>
      <c r="AI598" s="239"/>
      <c r="AJ598" s="239"/>
    </row>
    <row r="599">
      <c r="A599" s="239"/>
      <c r="B599" s="239"/>
      <c r="C599" s="239"/>
      <c r="D599" s="239"/>
      <c r="E599" s="239"/>
      <c r="F599" s="283"/>
      <c r="G599" s="239"/>
      <c r="H599" s="239"/>
      <c r="I599" s="239"/>
      <c r="J599" s="239"/>
      <c r="K599" s="239"/>
      <c r="L599" s="239"/>
      <c r="M599" s="239"/>
      <c r="N599" s="239"/>
      <c r="O599" s="239"/>
      <c r="P599" s="246"/>
      <c r="Q599" s="239"/>
      <c r="R599" s="239"/>
      <c r="S599" s="239"/>
      <c r="T599" s="239"/>
      <c r="U599" s="239"/>
      <c r="V599" s="239"/>
      <c r="W599" s="246"/>
      <c r="X599" s="239"/>
      <c r="Y599" s="239"/>
      <c r="Z599" s="239"/>
      <c r="AA599" s="239"/>
      <c r="AB599" s="239"/>
      <c r="AC599" s="239"/>
      <c r="AD599" s="239"/>
      <c r="AE599" s="239"/>
      <c r="AF599" s="239"/>
      <c r="AG599" s="239"/>
      <c r="AH599" s="239"/>
      <c r="AI599" s="239"/>
      <c r="AJ599" s="239"/>
    </row>
    <row r="600">
      <c r="A600" s="239"/>
      <c r="B600" s="239"/>
      <c r="C600" s="239"/>
      <c r="D600" s="239"/>
      <c r="E600" s="239"/>
      <c r="F600" s="283"/>
      <c r="G600" s="239"/>
      <c r="H600" s="239"/>
      <c r="I600" s="239"/>
      <c r="J600" s="239"/>
      <c r="K600" s="239"/>
      <c r="L600" s="239"/>
      <c r="M600" s="239"/>
      <c r="N600" s="239"/>
      <c r="O600" s="239"/>
      <c r="P600" s="246"/>
      <c r="Q600" s="239"/>
      <c r="R600" s="239"/>
      <c r="S600" s="239"/>
      <c r="T600" s="239"/>
      <c r="U600" s="239"/>
      <c r="V600" s="239"/>
      <c r="W600" s="246"/>
      <c r="X600" s="239"/>
      <c r="Y600" s="239"/>
      <c r="Z600" s="239"/>
      <c r="AA600" s="239"/>
      <c r="AB600" s="239"/>
      <c r="AC600" s="239"/>
      <c r="AD600" s="239"/>
      <c r="AE600" s="239"/>
      <c r="AF600" s="239"/>
      <c r="AG600" s="239"/>
      <c r="AH600" s="239"/>
      <c r="AI600" s="239"/>
      <c r="AJ600" s="239"/>
    </row>
    <row r="601">
      <c r="A601" s="239"/>
      <c r="B601" s="239"/>
      <c r="C601" s="239"/>
      <c r="D601" s="239"/>
      <c r="E601" s="239"/>
      <c r="F601" s="283"/>
      <c r="G601" s="239"/>
      <c r="H601" s="239"/>
      <c r="I601" s="239"/>
      <c r="J601" s="239"/>
      <c r="K601" s="239"/>
      <c r="L601" s="239"/>
      <c r="M601" s="239"/>
      <c r="N601" s="239"/>
      <c r="O601" s="239"/>
      <c r="P601" s="246"/>
      <c r="Q601" s="239"/>
      <c r="R601" s="239"/>
      <c r="S601" s="239"/>
      <c r="T601" s="239"/>
      <c r="U601" s="239"/>
      <c r="V601" s="239"/>
      <c r="W601" s="246"/>
      <c r="X601" s="239"/>
      <c r="Y601" s="239"/>
      <c r="Z601" s="239"/>
      <c r="AA601" s="239"/>
      <c r="AB601" s="239"/>
      <c r="AC601" s="239"/>
      <c r="AD601" s="239"/>
      <c r="AE601" s="239"/>
      <c r="AF601" s="239"/>
      <c r="AG601" s="239"/>
      <c r="AH601" s="239"/>
      <c r="AI601" s="239"/>
      <c r="AJ601" s="239"/>
    </row>
    <row r="602">
      <c r="A602" s="239"/>
      <c r="B602" s="239"/>
      <c r="C602" s="239"/>
      <c r="D602" s="239"/>
      <c r="E602" s="239"/>
      <c r="F602" s="283"/>
      <c r="G602" s="239"/>
      <c r="H602" s="239"/>
      <c r="I602" s="239"/>
      <c r="J602" s="239"/>
      <c r="K602" s="239"/>
      <c r="L602" s="239"/>
      <c r="M602" s="239"/>
      <c r="N602" s="239"/>
      <c r="O602" s="239"/>
      <c r="P602" s="246"/>
      <c r="Q602" s="239"/>
      <c r="R602" s="239"/>
      <c r="S602" s="239"/>
      <c r="T602" s="239"/>
      <c r="U602" s="239"/>
      <c r="V602" s="239"/>
      <c r="W602" s="246"/>
      <c r="X602" s="239"/>
      <c r="Y602" s="239"/>
      <c r="Z602" s="239"/>
      <c r="AA602" s="239"/>
      <c r="AB602" s="239"/>
      <c r="AC602" s="239"/>
      <c r="AD602" s="239"/>
      <c r="AE602" s="239"/>
      <c r="AF602" s="239"/>
      <c r="AG602" s="239"/>
      <c r="AH602" s="239"/>
      <c r="AI602" s="239"/>
      <c r="AJ602" s="239"/>
    </row>
    <row r="603">
      <c r="A603" s="239"/>
      <c r="B603" s="239"/>
      <c r="C603" s="239"/>
      <c r="D603" s="239"/>
      <c r="E603" s="239"/>
      <c r="F603" s="283"/>
      <c r="G603" s="239"/>
      <c r="H603" s="239"/>
      <c r="I603" s="239"/>
      <c r="J603" s="239"/>
      <c r="K603" s="239"/>
      <c r="L603" s="239"/>
      <c r="M603" s="239"/>
      <c r="N603" s="239"/>
      <c r="O603" s="239"/>
      <c r="P603" s="246"/>
      <c r="Q603" s="239"/>
      <c r="R603" s="239"/>
      <c r="S603" s="239"/>
      <c r="T603" s="239"/>
      <c r="U603" s="239"/>
      <c r="V603" s="239"/>
      <c r="W603" s="246"/>
      <c r="X603" s="239"/>
      <c r="Y603" s="239"/>
      <c r="Z603" s="239"/>
      <c r="AA603" s="239"/>
      <c r="AB603" s="239"/>
      <c r="AC603" s="239"/>
      <c r="AD603" s="239"/>
      <c r="AE603" s="239"/>
      <c r="AF603" s="239"/>
      <c r="AG603" s="239"/>
      <c r="AH603" s="239"/>
      <c r="AI603" s="239"/>
      <c r="AJ603" s="239"/>
    </row>
    <row r="604">
      <c r="A604" s="239"/>
      <c r="B604" s="239"/>
      <c r="C604" s="239"/>
      <c r="D604" s="239"/>
      <c r="E604" s="239"/>
      <c r="F604" s="283"/>
      <c r="G604" s="239"/>
      <c r="H604" s="239"/>
      <c r="I604" s="239"/>
      <c r="J604" s="239"/>
      <c r="K604" s="239"/>
      <c r="L604" s="239"/>
      <c r="M604" s="239"/>
      <c r="N604" s="239"/>
      <c r="O604" s="239"/>
      <c r="P604" s="246"/>
      <c r="Q604" s="239"/>
      <c r="R604" s="239"/>
      <c r="S604" s="239"/>
      <c r="T604" s="239"/>
      <c r="U604" s="239"/>
      <c r="V604" s="239"/>
      <c r="W604" s="246"/>
      <c r="X604" s="239"/>
      <c r="Y604" s="239"/>
      <c r="Z604" s="239"/>
      <c r="AA604" s="239"/>
      <c r="AB604" s="239"/>
      <c r="AC604" s="239"/>
      <c r="AD604" s="239"/>
      <c r="AE604" s="239"/>
      <c r="AF604" s="239"/>
      <c r="AG604" s="239"/>
      <c r="AH604" s="239"/>
      <c r="AI604" s="239"/>
      <c r="AJ604" s="239"/>
    </row>
    <row r="605">
      <c r="A605" s="239"/>
      <c r="B605" s="239"/>
      <c r="C605" s="239"/>
      <c r="D605" s="239"/>
      <c r="E605" s="239"/>
      <c r="F605" s="283"/>
      <c r="G605" s="239"/>
      <c r="H605" s="239"/>
      <c r="I605" s="239"/>
      <c r="J605" s="239"/>
      <c r="K605" s="239"/>
      <c r="L605" s="239"/>
      <c r="M605" s="239"/>
      <c r="N605" s="239"/>
      <c r="O605" s="239"/>
      <c r="P605" s="246"/>
      <c r="Q605" s="239"/>
      <c r="R605" s="239"/>
      <c r="S605" s="239"/>
      <c r="T605" s="239"/>
      <c r="U605" s="239"/>
      <c r="V605" s="239"/>
      <c r="W605" s="246"/>
      <c r="X605" s="239"/>
      <c r="Y605" s="239"/>
      <c r="Z605" s="239"/>
      <c r="AA605" s="239"/>
      <c r="AB605" s="239"/>
      <c r="AC605" s="239"/>
      <c r="AD605" s="239"/>
      <c r="AE605" s="239"/>
      <c r="AF605" s="239"/>
      <c r="AG605" s="239"/>
      <c r="AH605" s="239"/>
      <c r="AI605" s="239"/>
      <c r="AJ605" s="239"/>
    </row>
    <row r="606">
      <c r="A606" s="239"/>
      <c r="B606" s="239"/>
      <c r="C606" s="239"/>
      <c r="D606" s="239"/>
      <c r="E606" s="239"/>
      <c r="F606" s="283"/>
      <c r="G606" s="239"/>
      <c r="H606" s="239"/>
      <c r="I606" s="239"/>
      <c r="J606" s="239"/>
      <c r="K606" s="239"/>
      <c r="L606" s="239"/>
      <c r="M606" s="239"/>
      <c r="N606" s="239"/>
      <c r="O606" s="239"/>
      <c r="P606" s="246"/>
      <c r="Q606" s="239"/>
      <c r="R606" s="239"/>
      <c r="S606" s="239"/>
      <c r="T606" s="239"/>
      <c r="U606" s="239"/>
      <c r="V606" s="239"/>
      <c r="W606" s="246"/>
      <c r="X606" s="239"/>
      <c r="Y606" s="239"/>
      <c r="Z606" s="239"/>
      <c r="AA606" s="239"/>
      <c r="AB606" s="239"/>
      <c r="AC606" s="239"/>
      <c r="AD606" s="239"/>
      <c r="AE606" s="239"/>
      <c r="AF606" s="239"/>
      <c r="AG606" s="239"/>
      <c r="AH606" s="239"/>
      <c r="AI606" s="239"/>
      <c r="AJ606" s="239"/>
    </row>
    <row r="607">
      <c r="A607" s="239"/>
      <c r="B607" s="239"/>
      <c r="C607" s="239"/>
      <c r="D607" s="239"/>
      <c r="E607" s="239"/>
      <c r="F607" s="283"/>
      <c r="G607" s="239"/>
      <c r="H607" s="239"/>
      <c r="I607" s="239"/>
      <c r="J607" s="239"/>
      <c r="K607" s="239"/>
      <c r="L607" s="239"/>
      <c r="M607" s="239"/>
      <c r="N607" s="239"/>
      <c r="O607" s="239"/>
      <c r="P607" s="246"/>
      <c r="Q607" s="239"/>
      <c r="R607" s="239"/>
      <c r="S607" s="239"/>
      <c r="T607" s="239"/>
      <c r="U607" s="239"/>
      <c r="V607" s="239"/>
      <c r="W607" s="246"/>
      <c r="X607" s="239"/>
      <c r="Y607" s="239"/>
      <c r="Z607" s="239"/>
      <c r="AA607" s="239"/>
      <c r="AB607" s="239"/>
      <c r="AC607" s="239"/>
      <c r="AD607" s="239"/>
      <c r="AE607" s="239"/>
      <c r="AF607" s="239"/>
      <c r="AG607" s="239"/>
      <c r="AH607" s="239"/>
      <c r="AI607" s="239"/>
      <c r="AJ607" s="239"/>
    </row>
    <row r="608">
      <c r="A608" s="239"/>
      <c r="B608" s="239"/>
      <c r="C608" s="239"/>
      <c r="D608" s="239"/>
      <c r="E608" s="239"/>
      <c r="F608" s="283"/>
      <c r="G608" s="239"/>
      <c r="H608" s="239"/>
      <c r="I608" s="239"/>
      <c r="J608" s="239"/>
      <c r="K608" s="239"/>
      <c r="L608" s="239"/>
      <c r="M608" s="239"/>
      <c r="N608" s="239"/>
      <c r="O608" s="239"/>
      <c r="P608" s="246"/>
      <c r="Q608" s="239"/>
      <c r="R608" s="239"/>
      <c r="S608" s="239"/>
      <c r="T608" s="239"/>
      <c r="U608" s="239"/>
      <c r="V608" s="239"/>
      <c r="W608" s="246"/>
      <c r="X608" s="239"/>
      <c r="Y608" s="239"/>
      <c r="Z608" s="239"/>
      <c r="AA608" s="239"/>
      <c r="AB608" s="239"/>
      <c r="AC608" s="239"/>
      <c r="AD608" s="239"/>
      <c r="AE608" s="239"/>
      <c r="AF608" s="239"/>
      <c r="AG608" s="239"/>
      <c r="AH608" s="239"/>
      <c r="AI608" s="239"/>
      <c r="AJ608" s="239"/>
    </row>
    <row r="609">
      <c r="A609" s="239"/>
      <c r="B609" s="239"/>
      <c r="C609" s="239"/>
      <c r="D609" s="239"/>
      <c r="E609" s="239"/>
      <c r="F609" s="283"/>
      <c r="G609" s="239"/>
      <c r="H609" s="239"/>
      <c r="I609" s="239"/>
      <c r="J609" s="239"/>
      <c r="K609" s="239"/>
      <c r="L609" s="239"/>
      <c r="M609" s="239"/>
      <c r="N609" s="239"/>
      <c r="O609" s="239"/>
      <c r="P609" s="246"/>
      <c r="Q609" s="239"/>
      <c r="R609" s="239"/>
      <c r="S609" s="239"/>
      <c r="T609" s="239"/>
      <c r="U609" s="239"/>
      <c r="V609" s="239"/>
      <c r="W609" s="246"/>
      <c r="X609" s="239"/>
      <c r="Y609" s="239"/>
      <c r="Z609" s="239"/>
      <c r="AA609" s="239"/>
      <c r="AB609" s="239"/>
      <c r="AC609" s="239"/>
      <c r="AD609" s="239"/>
      <c r="AE609" s="239"/>
      <c r="AF609" s="239"/>
      <c r="AG609" s="239"/>
      <c r="AH609" s="239"/>
      <c r="AI609" s="239"/>
      <c r="AJ609" s="239"/>
    </row>
    <row r="610">
      <c r="A610" s="239"/>
      <c r="B610" s="239"/>
      <c r="C610" s="239"/>
      <c r="D610" s="239"/>
      <c r="E610" s="239"/>
      <c r="F610" s="283"/>
      <c r="G610" s="239"/>
      <c r="H610" s="239"/>
      <c r="I610" s="239"/>
      <c r="J610" s="239"/>
      <c r="K610" s="239"/>
      <c r="L610" s="239"/>
      <c r="M610" s="239"/>
      <c r="N610" s="239"/>
      <c r="O610" s="239"/>
      <c r="P610" s="246"/>
      <c r="Q610" s="239"/>
      <c r="R610" s="239"/>
      <c r="S610" s="239"/>
      <c r="T610" s="239"/>
      <c r="U610" s="239"/>
      <c r="V610" s="239"/>
      <c r="W610" s="246"/>
      <c r="X610" s="239"/>
      <c r="Y610" s="239"/>
      <c r="Z610" s="239"/>
      <c r="AA610" s="239"/>
      <c r="AB610" s="239"/>
      <c r="AC610" s="239"/>
      <c r="AD610" s="239"/>
      <c r="AE610" s="239"/>
      <c r="AF610" s="239"/>
      <c r="AG610" s="239"/>
      <c r="AH610" s="239"/>
      <c r="AI610" s="239"/>
      <c r="AJ610" s="239"/>
    </row>
    <row r="611">
      <c r="A611" s="239"/>
      <c r="B611" s="239"/>
      <c r="C611" s="239"/>
      <c r="D611" s="239"/>
      <c r="E611" s="239"/>
      <c r="F611" s="283"/>
      <c r="G611" s="239"/>
      <c r="H611" s="239"/>
      <c r="I611" s="239"/>
      <c r="J611" s="239"/>
      <c r="K611" s="239"/>
      <c r="L611" s="239"/>
      <c r="M611" s="239"/>
      <c r="N611" s="239"/>
      <c r="O611" s="239"/>
      <c r="P611" s="246"/>
      <c r="Q611" s="239"/>
      <c r="R611" s="239"/>
      <c r="S611" s="239"/>
      <c r="T611" s="239"/>
      <c r="U611" s="239"/>
      <c r="V611" s="239"/>
      <c r="W611" s="246"/>
      <c r="X611" s="239"/>
      <c r="Y611" s="239"/>
      <c r="Z611" s="239"/>
      <c r="AA611" s="239"/>
      <c r="AB611" s="239"/>
      <c r="AC611" s="239"/>
      <c r="AD611" s="239"/>
      <c r="AE611" s="239"/>
      <c r="AF611" s="239"/>
      <c r="AG611" s="239"/>
      <c r="AH611" s="239"/>
      <c r="AI611" s="239"/>
      <c r="AJ611" s="239"/>
    </row>
    <row r="612">
      <c r="A612" s="239"/>
      <c r="B612" s="239"/>
      <c r="C612" s="239"/>
      <c r="D612" s="239"/>
      <c r="E612" s="239"/>
      <c r="F612" s="283"/>
      <c r="G612" s="239"/>
      <c r="H612" s="239"/>
      <c r="I612" s="239"/>
      <c r="J612" s="239"/>
      <c r="K612" s="239"/>
      <c r="L612" s="239"/>
      <c r="M612" s="239"/>
      <c r="N612" s="239"/>
      <c r="O612" s="239"/>
      <c r="P612" s="246"/>
      <c r="Q612" s="239"/>
      <c r="R612" s="239"/>
      <c r="S612" s="239"/>
      <c r="T612" s="239"/>
      <c r="U612" s="239"/>
      <c r="V612" s="239"/>
      <c r="W612" s="246"/>
      <c r="X612" s="239"/>
      <c r="Y612" s="239"/>
      <c r="Z612" s="239"/>
      <c r="AA612" s="239"/>
      <c r="AB612" s="239"/>
      <c r="AC612" s="239"/>
      <c r="AD612" s="239"/>
      <c r="AE612" s="239"/>
      <c r="AF612" s="239"/>
      <c r="AG612" s="239"/>
      <c r="AH612" s="239"/>
      <c r="AI612" s="239"/>
      <c r="AJ612" s="239"/>
    </row>
    <row r="613">
      <c r="A613" s="239"/>
      <c r="B613" s="239"/>
      <c r="C613" s="239"/>
      <c r="D613" s="239"/>
      <c r="E613" s="239"/>
      <c r="F613" s="283"/>
      <c r="G613" s="239"/>
      <c r="H613" s="239"/>
      <c r="I613" s="239"/>
      <c r="J613" s="239"/>
      <c r="K613" s="239"/>
      <c r="L613" s="239"/>
      <c r="M613" s="239"/>
      <c r="N613" s="239"/>
      <c r="O613" s="239"/>
      <c r="P613" s="246"/>
      <c r="Q613" s="239"/>
      <c r="R613" s="239"/>
      <c r="S613" s="239"/>
      <c r="T613" s="239"/>
      <c r="U613" s="239"/>
      <c r="V613" s="239"/>
      <c r="W613" s="246"/>
      <c r="X613" s="239"/>
      <c r="Y613" s="239"/>
      <c r="Z613" s="239"/>
      <c r="AA613" s="239"/>
      <c r="AB613" s="239"/>
      <c r="AC613" s="239"/>
      <c r="AD613" s="239"/>
      <c r="AE613" s="239"/>
      <c r="AF613" s="239"/>
      <c r="AG613" s="239"/>
      <c r="AH613" s="239"/>
      <c r="AI613" s="239"/>
      <c r="AJ613" s="239"/>
    </row>
    <row r="614">
      <c r="A614" s="239"/>
      <c r="B614" s="239"/>
      <c r="C614" s="239"/>
      <c r="D614" s="239"/>
      <c r="E614" s="239"/>
      <c r="F614" s="283"/>
      <c r="G614" s="239"/>
      <c r="H614" s="239"/>
      <c r="I614" s="239"/>
      <c r="J614" s="239"/>
      <c r="K614" s="239"/>
      <c r="L614" s="239"/>
      <c r="M614" s="239"/>
      <c r="N614" s="239"/>
      <c r="O614" s="239"/>
      <c r="P614" s="246"/>
      <c r="Q614" s="239"/>
      <c r="R614" s="239"/>
      <c r="S614" s="239"/>
      <c r="T614" s="239"/>
      <c r="U614" s="239"/>
      <c r="V614" s="239"/>
      <c r="W614" s="246"/>
      <c r="X614" s="239"/>
      <c r="Y614" s="239"/>
      <c r="Z614" s="239"/>
      <c r="AA614" s="239"/>
      <c r="AB614" s="239"/>
      <c r="AC614" s="239"/>
      <c r="AD614" s="239"/>
      <c r="AE614" s="239"/>
      <c r="AF614" s="239"/>
      <c r="AG614" s="239"/>
      <c r="AH614" s="239"/>
      <c r="AI614" s="239"/>
      <c r="AJ614" s="239"/>
    </row>
    <row r="615">
      <c r="A615" s="239"/>
      <c r="B615" s="239"/>
      <c r="C615" s="239"/>
      <c r="D615" s="239"/>
      <c r="E615" s="239"/>
      <c r="F615" s="283"/>
      <c r="G615" s="239"/>
      <c r="H615" s="239"/>
      <c r="I615" s="239"/>
      <c r="J615" s="239"/>
      <c r="K615" s="239"/>
      <c r="L615" s="239"/>
      <c r="M615" s="239"/>
      <c r="N615" s="239"/>
      <c r="O615" s="239"/>
      <c r="P615" s="246"/>
      <c r="Q615" s="239"/>
      <c r="R615" s="239"/>
      <c r="S615" s="239"/>
      <c r="T615" s="239"/>
      <c r="U615" s="239"/>
      <c r="V615" s="239"/>
      <c r="W615" s="246"/>
      <c r="X615" s="239"/>
      <c r="Y615" s="239"/>
      <c r="Z615" s="239"/>
      <c r="AA615" s="239"/>
      <c r="AB615" s="239"/>
      <c r="AC615" s="239"/>
      <c r="AD615" s="239"/>
      <c r="AE615" s="239"/>
      <c r="AF615" s="239"/>
      <c r="AG615" s="239"/>
      <c r="AH615" s="239"/>
      <c r="AI615" s="239"/>
      <c r="AJ615" s="239"/>
    </row>
    <row r="616">
      <c r="A616" s="239"/>
      <c r="B616" s="239"/>
      <c r="C616" s="239"/>
      <c r="D616" s="239"/>
      <c r="E616" s="239"/>
      <c r="F616" s="283"/>
      <c r="G616" s="239"/>
      <c r="H616" s="239"/>
      <c r="I616" s="239"/>
      <c r="J616" s="239"/>
      <c r="K616" s="239"/>
      <c r="L616" s="239"/>
      <c r="M616" s="239"/>
      <c r="N616" s="239"/>
      <c r="O616" s="239"/>
      <c r="P616" s="246"/>
      <c r="Q616" s="239"/>
      <c r="R616" s="239"/>
      <c r="S616" s="239"/>
      <c r="T616" s="239"/>
      <c r="U616" s="239"/>
      <c r="V616" s="239"/>
      <c r="W616" s="246"/>
      <c r="X616" s="239"/>
      <c r="Y616" s="239"/>
      <c r="Z616" s="239"/>
      <c r="AA616" s="239"/>
      <c r="AB616" s="239"/>
      <c r="AC616" s="239"/>
      <c r="AD616" s="239"/>
      <c r="AE616" s="239"/>
      <c r="AF616" s="239"/>
      <c r="AG616" s="239"/>
      <c r="AH616" s="239"/>
      <c r="AI616" s="239"/>
      <c r="AJ616" s="239"/>
    </row>
    <row r="617">
      <c r="A617" s="239"/>
      <c r="B617" s="239"/>
      <c r="C617" s="239"/>
      <c r="D617" s="239"/>
      <c r="E617" s="239"/>
      <c r="F617" s="283"/>
      <c r="G617" s="239"/>
      <c r="H617" s="239"/>
      <c r="I617" s="239"/>
      <c r="J617" s="239"/>
      <c r="K617" s="239"/>
      <c r="L617" s="239"/>
      <c r="M617" s="239"/>
      <c r="N617" s="239"/>
      <c r="O617" s="239"/>
      <c r="P617" s="246"/>
      <c r="Q617" s="239"/>
      <c r="R617" s="239"/>
      <c r="S617" s="239"/>
      <c r="T617" s="239"/>
      <c r="U617" s="239"/>
      <c r="V617" s="239"/>
      <c r="W617" s="246"/>
      <c r="X617" s="239"/>
      <c r="Y617" s="239"/>
      <c r="Z617" s="239"/>
      <c r="AA617" s="239"/>
      <c r="AB617" s="239"/>
      <c r="AC617" s="239"/>
      <c r="AD617" s="239"/>
      <c r="AE617" s="239"/>
      <c r="AF617" s="239"/>
      <c r="AG617" s="239"/>
      <c r="AH617" s="239"/>
      <c r="AI617" s="239"/>
      <c r="AJ617" s="239"/>
    </row>
    <row r="618">
      <c r="A618" s="239"/>
      <c r="B618" s="239"/>
      <c r="C618" s="239"/>
      <c r="D618" s="239"/>
      <c r="E618" s="239"/>
      <c r="F618" s="283"/>
      <c r="G618" s="239"/>
      <c r="H618" s="239"/>
      <c r="I618" s="239"/>
      <c r="J618" s="239"/>
      <c r="K618" s="239"/>
      <c r="L618" s="239"/>
      <c r="M618" s="239"/>
      <c r="N618" s="239"/>
      <c r="O618" s="239"/>
      <c r="P618" s="246"/>
      <c r="Q618" s="239"/>
      <c r="R618" s="239"/>
      <c r="S618" s="239"/>
      <c r="T618" s="239"/>
      <c r="U618" s="239"/>
      <c r="V618" s="239"/>
      <c r="W618" s="246"/>
      <c r="X618" s="239"/>
      <c r="Y618" s="239"/>
      <c r="Z618" s="239"/>
      <c r="AA618" s="239"/>
      <c r="AB618" s="239"/>
      <c r="AC618" s="239"/>
      <c r="AD618" s="239"/>
      <c r="AE618" s="239"/>
      <c r="AF618" s="239"/>
      <c r="AG618" s="239"/>
      <c r="AH618" s="239"/>
      <c r="AI618" s="239"/>
      <c r="AJ618" s="239"/>
    </row>
    <row r="619">
      <c r="A619" s="239"/>
      <c r="B619" s="239"/>
      <c r="C619" s="239"/>
      <c r="D619" s="239"/>
      <c r="E619" s="239"/>
      <c r="F619" s="283"/>
      <c r="G619" s="239"/>
      <c r="H619" s="239"/>
      <c r="I619" s="239"/>
      <c r="J619" s="239"/>
      <c r="K619" s="239"/>
      <c r="L619" s="239"/>
      <c r="M619" s="239"/>
      <c r="N619" s="239"/>
      <c r="O619" s="239"/>
      <c r="P619" s="246"/>
      <c r="Q619" s="239"/>
      <c r="R619" s="239"/>
      <c r="S619" s="239"/>
      <c r="T619" s="239"/>
      <c r="U619" s="239"/>
      <c r="V619" s="239"/>
      <c r="W619" s="246"/>
      <c r="X619" s="239"/>
      <c r="Y619" s="239"/>
      <c r="Z619" s="239"/>
      <c r="AA619" s="239"/>
      <c r="AB619" s="239"/>
      <c r="AC619" s="239"/>
      <c r="AD619" s="239"/>
      <c r="AE619" s="239"/>
      <c r="AF619" s="239"/>
      <c r="AG619" s="239"/>
      <c r="AH619" s="239"/>
      <c r="AI619" s="239"/>
      <c r="AJ619" s="239"/>
    </row>
    <row r="620">
      <c r="A620" s="239"/>
      <c r="B620" s="239"/>
      <c r="C620" s="239"/>
      <c r="D620" s="239"/>
      <c r="E620" s="239"/>
      <c r="F620" s="283"/>
      <c r="G620" s="239"/>
      <c r="H620" s="239"/>
      <c r="I620" s="239"/>
      <c r="J620" s="239"/>
      <c r="K620" s="239"/>
      <c r="L620" s="239"/>
      <c r="M620" s="239"/>
      <c r="N620" s="239"/>
      <c r="O620" s="239"/>
      <c r="P620" s="246"/>
      <c r="Q620" s="239"/>
      <c r="R620" s="239"/>
      <c r="S620" s="239"/>
      <c r="T620" s="239"/>
      <c r="U620" s="239"/>
      <c r="V620" s="239"/>
      <c r="W620" s="246"/>
      <c r="X620" s="239"/>
      <c r="Y620" s="239"/>
      <c r="Z620" s="239"/>
      <c r="AA620" s="239"/>
      <c r="AB620" s="239"/>
      <c r="AC620" s="239"/>
      <c r="AD620" s="239"/>
      <c r="AE620" s="239"/>
      <c r="AF620" s="239"/>
      <c r="AG620" s="239"/>
      <c r="AH620" s="239"/>
      <c r="AI620" s="239"/>
      <c r="AJ620" s="239"/>
    </row>
    <row r="621">
      <c r="A621" s="239"/>
      <c r="B621" s="239"/>
      <c r="C621" s="239"/>
      <c r="D621" s="239"/>
      <c r="E621" s="239"/>
      <c r="F621" s="283"/>
      <c r="G621" s="239"/>
      <c r="H621" s="239"/>
      <c r="I621" s="239"/>
      <c r="J621" s="239"/>
      <c r="K621" s="239"/>
      <c r="L621" s="239"/>
      <c r="M621" s="239"/>
      <c r="N621" s="239"/>
      <c r="O621" s="239"/>
      <c r="P621" s="246"/>
      <c r="Q621" s="239"/>
      <c r="R621" s="239"/>
      <c r="S621" s="239"/>
      <c r="T621" s="239"/>
      <c r="U621" s="239"/>
      <c r="V621" s="239"/>
      <c r="W621" s="246"/>
      <c r="X621" s="239"/>
      <c r="Y621" s="239"/>
      <c r="Z621" s="239"/>
      <c r="AA621" s="239"/>
      <c r="AB621" s="239"/>
      <c r="AC621" s="239"/>
      <c r="AD621" s="239"/>
      <c r="AE621" s="239"/>
      <c r="AF621" s="239"/>
      <c r="AG621" s="239"/>
      <c r="AH621" s="239"/>
      <c r="AI621" s="239"/>
      <c r="AJ621" s="239"/>
    </row>
    <row r="622">
      <c r="A622" s="239"/>
      <c r="B622" s="239"/>
      <c r="C622" s="239"/>
      <c r="D622" s="239"/>
      <c r="E622" s="239"/>
      <c r="F622" s="283"/>
      <c r="G622" s="239"/>
      <c r="H622" s="239"/>
      <c r="I622" s="239"/>
      <c r="J622" s="239"/>
      <c r="K622" s="239"/>
      <c r="L622" s="239"/>
      <c r="M622" s="239"/>
      <c r="N622" s="239"/>
      <c r="O622" s="239"/>
      <c r="P622" s="246"/>
      <c r="Q622" s="239"/>
      <c r="R622" s="239"/>
      <c r="S622" s="239"/>
      <c r="T622" s="239"/>
      <c r="U622" s="239"/>
      <c r="V622" s="239"/>
      <c r="W622" s="246"/>
      <c r="X622" s="239"/>
      <c r="Y622" s="239"/>
      <c r="Z622" s="239"/>
      <c r="AA622" s="239"/>
      <c r="AB622" s="239"/>
      <c r="AC622" s="239"/>
      <c r="AD622" s="239"/>
      <c r="AE622" s="239"/>
      <c r="AF622" s="239"/>
      <c r="AG622" s="239"/>
      <c r="AH622" s="239"/>
      <c r="AI622" s="239"/>
      <c r="AJ622" s="239"/>
    </row>
    <row r="623">
      <c r="A623" s="239"/>
      <c r="B623" s="239"/>
      <c r="C623" s="239"/>
      <c r="D623" s="239"/>
      <c r="E623" s="239"/>
      <c r="F623" s="283"/>
      <c r="G623" s="239"/>
      <c r="H623" s="239"/>
      <c r="I623" s="239"/>
      <c r="J623" s="239"/>
      <c r="K623" s="239"/>
      <c r="L623" s="239"/>
      <c r="M623" s="239"/>
      <c r="N623" s="239"/>
      <c r="O623" s="239"/>
      <c r="P623" s="246"/>
      <c r="Q623" s="239"/>
      <c r="R623" s="239"/>
      <c r="S623" s="239"/>
      <c r="T623" s="239"/>
      <c r="U623" s="239"/>
      <c r="V623" s="239"/>
      <c r="W623" s="246"/>
      <c r="X623" s="239"/>
      <c r="Y623" s="239"/>
      <c r="Z623" s="239"/>
      <c r="AA623" s="239"/>
      <c r="AB623" s="239"/>
      <c r="AC623" s="239"/>
      <c r="AD623" s="239"/>
      <c r="AE623" s="239"/>
      <c r="AF623" s="239"/>
      <c r="AG623" s="239"/>
      <c r="AH623" s="239"/>
      <c r="AI623" s="239"/>
      <c r="AJ623" s="239"/>
    </row>
    <row r="624">
      <c r="A624" s="239"/>
      <c r="B624" s="239"/>
      <c r="C624" s="239"/>
      <c r="D624" s="239"/>
      <c r="E624" s="239"/>
      <c r="F624" s="283"/>
      <c r="G624" s="239"/>
      <c r="H624" s="239"/>
      <c r="I624" s="239"/>
      <c r="J624" s="239"/>
      <c r="K624" s="239"/>
      <c r="L624" s="239"/>
      <c r="M624" s="239"/>
      <c r="N624" s="239"/>
      <c r="O624" s="239"/>
      <c r="P624" s="246"/>
      <c r="Q624" s="239"/>
      <c r="R624" s="239"/>
      <c r="S624" s="239"/>
      <c r="T624" s="239"/>
      <c r="U624" s="239"/>
      <c r="V624" s="239"/>
      <c r="W624" s="246"/>
      <c r="X624" s="239"/>
      <c r="Y624" s="239"/>
      <c r="Z624" s="239"/>
      <c r="AA624" s="239"/>
      <c r="AB624" s="239"/>
      <c r="AC624" s="239"/>
      <c r="AD624" s="239"/>
      <c r="AE624" s="239"/>
      <c r="AF624" s="239"/>
      <c r="AG624" s="239"/>
      <c r="AH624" s="239"/>
      <c r="AI624" s="239"/>
      <c r="AJ624" s="239"/>
    </row>
    <row r="625">
      <c r="A625" s="239"/>
      <c r="B625" s="239"/>
      <c r="C625" s="239"/>
      <c r="D625" s="239"/>
      <c r="E625" s="239"/>
      <c r="F625" s="283"/>
      <c r="G625" s="239"/>
      <c r="H625" s="239"/>
      <c r="I625" s="239"/>
      <c r="J625" s="239"/>
      <c r="K625" s="239"/>
      <c r="L625" s="239"/>
      <c r="M625" s="239"/>
      <c r="N625" s="239"/>
      <c r="O625" s="239"/>
      <c r="P625" s="246"/>
      <c r="Q625" s="239"/>
      <c r="R625" s="239"/>
      <c r="S625" s="239"/>
      <c r="T625" s="239"/>
      <c r="U625" s="239"/>
      <c r="V625" s="239"/>
      <c r="W625" s="246"/>
      <c r="X625" s="239"/>
      <c r="Y625" s="239"/>
      <c r="Z625" s="239"/>
      <c r="AA625" s="239"/>
      <c r="AB625" s="239"/>
      <c r="AC625" s="239"/>
      <c r="AD625" s="239"/>
      <c r="AE625" s="239"/>
      <c r="AF625" s="239"/>
      <c r="AG625" s="239"/>
      <c r="AH625" s="239"/>
      <c r="AI625" s="239"/>
      <c r="AJ625" s="239"/>
    </row>
    <row r="626">
      <c r="A626" s="239"/>
      <c r="B626" s="239"/>
      <c r="C626" s="239"/>
      <c r="D626" s="239"/>
      <c r="E626" s="239"/>
      <c r="F626" s="283"/>
      <c r="G626" s="239"/>
      <c r="H626" s="239"/>
      <c r="I626" s="239"/>
      <c r="J626" s="239"/>
      <c r="K626" s="239"/>
      <c r="L626" s="239"/>
      <c r="M626" s="239"/>
      <c r="N626" s="239"/>
      <c r="O626" s="239"/>
      <c r="P626" s="246"/>
      <c r="Q626" s="239"/>
      <c r="R626" s="239"/>
      <c r="S626" s="239"/>
      <c r="T626" s="239"/>
      <c r="U626" s="239"/>
      <c r="V626" s="239"/>
      <c r="W626" s="246"/>
      <c r="X626" s="239"/>
      <c r="Y626" s="239"/>
      <c r="Z626" s="239"/>
      <c r="AA626" s="239"/>
      <c r="AB626" s="239"/>
      <c r="AC626" s="239"/>
      <c r="AD626" s="239"/>
      <c r="AE626" s="239"/>
      <c r="AF626" s="239"/>
      <c r="AG626" s="239"/>
      <c r="AH626" s="239"/>
      <c r="AI626" s="239"/>
      <c r="AJ626" s="239"/>
    </row>
    <row r="627">
      <c r="A627" s="239"/>
      <c r="B627" s="239"/>
      <c r="C627" s="239"/>
      <c r="D627" s="239"/>
      <c r="E627" s="239"/>
      <c r="F627" s="283"/>
      <c r="G627" s="239"/>
      <c r="H627" s="239"/>
      <c r="I627" s="239"/>
      <c r="J627" s="239"/>
      <c r="K627" s="239"/>
      <c r="L627" s="239"/>
      <c r="M627" s="239"/>
      <c r="N627" s="239"/>
      <c r="O627" s="239"/>
      <c r="P627" s="246"/>
      <c r="Q627" s="239"/>
      <c r="R627" s="239"/>
      <c r="S627" s="239"/>
      <c r="T627" s="239"/>
      <c r="U627" s="239"/>
      <c r="V627" s="239"/>
      <c r="W627" s="246"/>
      <c r="X627" s="239"/>
      <c r="Y627" s="239"/>
      <c r="Z627" s="239"/>
      <c r="AA627" s="239"/>
      <c r="AB627" s="239"/>
      <c r="AC627" s="239"/>
      <c r="AD627" s="239"/>
      <c r="AE627" s="239"/>
      <c r="AF627" s="239"/>
      <c r="AG627" s="239"/>
      <c r="AH627" s="239"/>
      <c r="AI627" s="239"/>
      <c r="AJ627" s="239"/>
    </row>
    <row r="628">
      <c r="A628" s="239"/>
      <c r="B628" s="239"/>
      <c r="C628" s="239"/>
      <c r="D628" s="239"/>
      <c r="E628" s="239"/>
      <c r="F628" s="283"/>
      <c r="G628" s="239"/>
      <c r="H628" s="239"/>
      <c r="I628" s="239"/>
      <c r="J628" s="239"/>
      <c r="K628" s="239"/>
      <c r="L628" s="239"/>
      <c r="M628" s="239"/>
      <c r="N628" s="239"/>
      <c r="O628" s="239"/>
      <c r="P628" s="246"/>
      <c r="Q628" s="239"/>
      <c r="R628" s="239"/>
      <c r="S628" s="239"/>
      <c r="T628" s="239"/>
      <c r="U628" s="239"/>
      <c r="V628" s="239"/>
      <c r="W628" s="246"/>
      <c r="X628" s="239"/>
      <c r="Y628" s="239"/>
      <c r="Z628" s="239"/>
      <c r="AA628" s="239"/>
      <c r="AB628" s="239"/>
      <c r="AC628" s="239"/>
      <c r="AD628" s="239"/>
      <c r="AE628" s="239"/>
      <c r="AF628" s="239"/>
      <c r="AG628" s="239"/>
      <c r="AH628" s="239"/>
      <c r="AI628" s="239"/>
      <c r="AJ628" s="239"/>
    </row>
    <row r="629">
      <c r="A629" s="239"/>
      <c r="B629" s="239"/>
      <c r="C629" s="239"/>
      <c r="D629" s="239"/>
      <c r="E629" s="239"/>
      <c r="F629" s="283"/>
      <c r="G629" s="239"/>
      <c r="H629" s="239"/>
      <c r="I629" s="239"/>
      <c r="J629" s="239"/>
      <c r="K629" s="239"/>
      <c r="L629" s="239"/>
      <c r="M629" s="239"/>
      <c r="N629" s="239"/>
      <c r="O629" s="239"/>
      <c r="P629" s="246"/>
      <c r="Q629" s="239"/>
      <c r="R629" s="239"/>
      <c r="S629" s="239"/>
      <c r="T629" s="239"/>
      <c r="U629" s="239"/>
      <c r="V629" s="239"/>
      <c r="W629" s="246"/>
      <c r="X629" s="239"/>
      <c r="Y629" s="239"/>
      <c r="Z629" s="239"/>
      <c r="AA629" s="239"/>
      <c r="AB629" s="239"/>
      <c r="AC629" s="239"/>
      <c r="AD629" s="239"/>
      <c r="AE629" s="239"/>
      <c r="AF629" s="239"/>
      <c r="AG629" s="239"/>
      <c r="AH629" s="239"/>
      <c r="AI629" s="239"/>
      <c r="AJ629" s="239"/>
    </row>
    <row r="630">
      <c r="A630" s="239"/>
      <c r="B630" s="239"/>
      <c r="C630" s="239"/>
      <c r="D630" s="239"/>
      <c r="E630" s="239"/>
      <c r="F630" s="283"/>
      <c r="G630" s="239"/>
      <c r="H630" s="239"/>
      <c r="I630" s="239"/>
      <c r="J630" s="239"/>
      <c r="K630" s="239"/>
      <c r="L630" s="239"/>
      <c r="M630" s="239"/>
      <c r="N630" s="239"/>
      <c r="O630" s="239"/>
      <c r="P630" s="246"/>
      <c r="Q630" s="239"/>
      <c r="R630" s="239"/>
      <c r="S630" s="239"/>
      <c r="T630" s="239"/>
      <c r="U630" s="239"/>
      <c r="V630" s="239"/>
      <c r="W630" s="246"/>
      <c r="X630" s="239"/>
      <c r="Y630" s="239"/>
      <c r="Z630" s="239"/>
      <c r="AA630" s="239"/>
      <c r="AB630" s="239"/>
      <c r="AC630" s="239"/>
      <c r="AD630" s="239"/>
      <c r="AE630" s="239"/>
      <c r="AF630" s="239"/>
      <c r="AG630" s="239"/>
      <c r="AH630" s="239"/>
      <c r="AI630" s="239"/>
      <c r="AJ630" s="239"/>
    </row>
    <row r="631">
      <c r="A631" s="239"/>
      <c r="B631" s="239"/>
      <c r="C631" s="239"/>
      <c r="D631" s="239"/>
      <c r="E631" s="239"/>
      <c r="F631" s="283"/>
      <c r="G631" s="239"/>
      <c r="H631" s="239"/>
      <c r="I631" s="239"/>
      <c r="J631" s="239"/>
      <c r="K631" s="239"/>
      <c r="L631" s="239"/>
      <c r="M631" s="239"/>
      <c r="N631" s="239"/>
      <c r="O631" s="239"/>
      <c r="P631" s="246"/>
      <c r="Q631" s="239"/>
      <c r="R631" s="239"/>
      <c r="S631" s="239"/>
      <c r="T631" s="239"/>
      <c r="U631" s="239"/>
      <c r="V631" s="239"/>
      <c r="W631" s="246"/>
      <c r="X631" s="239"/>
      <c r="Y631" s="239"/>
      <c r="Z631" s="239"/>
      <c r="AA631" s="239"/>
      <c r="AB631" s="239"/>
      <c r="AC631" s="239"/>
      <c r="AD631" s="239"/>
      <c r="AE631" s="239"/>
      <c r="AF631" s="239"/>
      <c r="AG631" s="239"/>
      <c r="AH631" s="239"/>
      <c r="AI631" s="239"/>
      <c r="AJ631" s="239"/>
    </row>
    <row r="632">
      <c r="A632" s="239"/>
      <c r="B632" s="239"/>
      <c r="C632" s="239"/>
      <c r="D632" s="239"/>
      <c r="E632" s="239"/>
      <c r="F632" s="283"/>
      <c r="G632" s="239"/>
      <c r="H632" s="239"/>
      <c r="I632" s="239"/>
      <c r="J632" s="239"/>
      <c r="K632" s="239"/>
      <c r="L632" s="239"/>
      <c r="M632" s="239"/>
      <c r="N632" s="239"/>
      <c r="O632" s="239"/>
      <c r="P632" s="246"/>
      <c r="Q632" s="239"/>
      <c r="R632" s="239"/>
      <c r="S632" s="239"/>
      <c r="T632" s="239"/>
      <c r="U632" s="239"/>
      <c r="V632" s="239"/>
      <c r="W632" s="246"/>
      <c r="X632" s="239"/>
      <c r="Y632" s="239"/>
      <c r="Z632" s="239"/>
      <c r="AA632" s="239"/>
      <c r="AB632" s="239"/>
      <c r="AC632" s="239"/>
      <c r="AD632" s="239"/>
      <c r="AE632" s="239"/>
      <c r="AF632" s="239"/>
      <c r="AG632" s="239"/>
      <c r="AH632" s="239"/>
      <c r="AI632" s="239"/>
      <c r="AJ632" s="239"/>
    </row>
    <row r="633">
      <c r="A633" s="239"/>
      <c r="B633" s="239"/>
      <c r="C633" s="239"/>
      <c r="D633" s="239"/>
      <c r="E633" s="239"/>
      <c r="F633" s="283"/>
      <c r="G633" s="239"/>
      <c r="H633" s="239"/>
      <c r="I633" s="239"/>
      <c r="J633" s="239"/>
      <c r="K633" s="239"/>
      <c r="L633" s="239"/>
      <c r="M633" s="239"/>
      <c r="N633" s="239"/>
      <c r="O633" s="239"/>
      <c r="P633" s="246"/>
      <c r="Q633" s="239"/>
      <c r="R633" s="239"/>
      <c r="S633" s="239"/>
      <c r="T633" s="239"/>
      <c r="U633" s="239"/>
      <c r="V633" s="239"/>
      <c r="W633" s="246"/>
      <c r="X633" s="239"/>
      <c r="Y633" s="239"/>
      <c r="Z633" s="239"/>
      <c r="AA633" s="239"/>
      <c r="AB633" s="239"/>
      <c r="AC633" s="239"/>
      <c r="AD633" s="239"/>
      <c r="AE633" s="239"/>
      <c r="AF633" s="239"/>
      <c r="AG633" s="239"/>
      <c r="AH633" s="239"/>
      <c r="AI633" s="239"/>
      <c r="AJ633" s="239"/>
    </row>
    <row r="634">
      <c r="A634" s="239"/>
      <c r="B634" s="239"/>
      <c r="C634" s="239"/>
      <c r="D634" s="239"/>
      <c r="E634" s="239"/>
      <c r="F634" s="283"/>
      <c r="G634" s="239"/>
      <c r="H634" s="239"/>
      <c r="I634" s="239"/>
      <c r="J634" s="239"/>
      <c r="K634" s="239"/>
      <c r="L634" s="239"/>
      <c r="M634" s="239"/>
      <c r="N634" s="239"/>
      <c r="O634" s="239"/>
      <c r="P634" s="246"/>
      <c r="Q634" s="239"/>
      <c r="R634" s="239"/>
      <c r="S634" s="239"/>
      <c r="T634" s="239"/>
      <c r="U634" s="239"/>
      <c r="V634" s="239"/>
      <c r="W634" s="246"/>
      <c r="X634" s="239"/>
      <c r="Y634" s="239"/>
      <c r="Z634" s="239"/>
      <c r="AA634" s="239"/>
      <c r="AB634" s="239"/>
      <c r="AC634" s="239"/>
      <c r="AD634" s="239"/>
      <c r="AE634" s="239"/>
      <c r="AF634" s="239"/>
      <c r="AG634" s="239"/>
      <c r="AH634" s="239"/>
      <c r="AI634" s="239"/>
      <c r="AJ634" s="239"/>
    </row>
    <row r="635">
      <c r="A635" s="239"/>
      <c r="B635" s="239"/>
      <c r="C635" s="239"/>
      <c r="D635" s="239"/>
      <c r="E635" s="239"/>
      <c r="F635" s="283"/>
      <c r="G635" s="239"/>
      <c r="H635" s="239"/>
      <c r="I635" s="239"/>
      <c r="J635" s="239"/>
      <c r="K635" s="239"/>
      <c r="L635" s="239"/>
      <c r="M635" s="239"/>
      <c r="N635" s="239"/>
      <c r="O635" s="239"/>
      <c r="P635" s="246"/>
      <c r="Q635" s="239"/>
      <c r="R635" s="239"/>
      <c r="S635" s="239"/>
      <c r="T635" s="239"/>
      <c r="U635" s="239"/>
      <c r="V635" s="239"/>
      <c r="W635" s="246"/>
      <c r="X635" s="239"/>
      <c r="Y635" s="239"/>
      <c r="Z635" s="239"/>
      <c r="AA635" s="239"/>
      <c r="AB635" s="239"/>
      <c r="AC635" s="239"/>
      <c r="AD635" s="239"/>
      <c r="AE635" s="239"/>
      <c r="AF635" s="239"/>
      <c r="AG635" s="239"/>
      <c r="AH635" s="239"/>
      <c r="AI635" s="239"/>
      <c r="AJ635" s="239"/>
    </row>
    <row r="636">
      <c r="A636" s="239"/>
      <c r="B636" s="239"/>
      <c r="C636" s="239"/>
      <c r="D636" s="239"/>
      <c r="E636" s="239"/>
      <c r="F636" s="283"/>
      <c r="G636" s="239"/>
      <c r="H636" s="239"/>
      <c r="I636" s="239"/>
      <c r="J636" s="239"/>
      <c r="K636" s="239"/>
      <c r="L636" s="239"/>
      <c r="M636" s="239"/>
      <c r="N636" s="239"/>
      <c r="O636" s="239"/>
      <c r="P636" s="246"/>
      <c r="Q636" s="239"/>
      <c r="R636" s="239"/>
      <c r="S636" s="239"/>
      <c r="T636" s="239"/>
      <c r="U636" s="239"/>
      <c r="V636" s="239"/>
      <c r="W636" s="246"/>
      <c r="X636" s="239"/>
      <c r="Y636" s="239"/>
      <c r="Z636" s="239"/>
      <c r="AA636" s="239"/>
      <c r="AB636" s="239"/>
      <c r="AC636" s="239"/>
      <c r="AD636" s="239"/>
      <c r="AE636" s="239"/>
      <c r="AF636" s="239"/>
      <c r="AG636" s="239"/>
      <c r="AH636" s="239"/>
      <c r="AI636" s="239"/>
      <c r="AJ636" s="239"/>
    </row>
    <row r="637">
      <c r="A637" s="239"/>
      <c r="B637" s="239"/>
      <c r="C637" s="239"/>
      <c r="D637" s="239"/>
      <c r="E637" s="239"/>
      <c r="F637" s="283"/>
      <c r="G637" s="239"/>
      <c r="H637" s="239"/>
      <c r="I637" s="239"/>
      <c r="J637" s="239"/>
      <c r="K637" s="239"/>
      <c r="L637" s="239"/>
      <c r="M637" s="239"/>
      <c r="N637" s="239"/>
      <c r="O637" s="239"/>
      <c r="P637" s="246"/>
      <c r="Q637" s="239"/>
      <c r="R637" s="239"/>
      <c r="S637" s="239"/>
      <c r="T637" s="239"/>
      <c r="U637" s="239"/>
      <c r="V637" s="239"/>
      <c r="W637" s="246"/>
      <c r="X637" s="239"/>
      <c r="Y637" s="239"/>
      <c r="Z637" s="239"/>
      <c r="AA637" s="239"/>
      <c r="AB637" s="239"/>
      <c r="AC637" s="239"/>
      <c r="AD637" s="239"/>
      <c r="AE637" s="239"/>
      <c r="AF637" s="239"/>
      <c r="AG637" s="239"/>
      <c r="AH637" s="239"/>
      <c r="AI637" s="239"/>
      <c r="AJ637" s="239"/>
    </row>
    <row r="638">
      <c r="A638" s="239"/>
      <c r="B638" s="239"/>
      <c r="C638" s="239"/>
      <c r="D638" s="239"/>
      <c r="E638" s="239"/>
      <c r="F638" s="283"/>
      <c r="G638" s="239"/>
      <c r="H638" s="239"/>
      <c r="I638" s="239"/>
      <c r="J638" s="239"/>
      <c r="K638" s="239"/>
      <c r="L638" s="239"/>
      <c r="M638" s="239"/>
      <c r="N638" s="239"/>
      <c r="O638" s="239"/>
      <c r="P638" s="246"/>
      <c r="Q638" s="239"/>
      <c r="R638" s="239"/>
      <c r="S638" s="239"/>
      <c r="T638" s="239"/>
      <c r="U638" s="239"/>
      <c r="V638" s="239"/>
      <c r="W638" s="246"/>
      <c r="X638" s="239"/>
      <c r="Y638" s="239"/>
      <c r="Z638" s="239"/>
      <c r="AA638" s="239"/>
      <c r="AB638" s="239"/>
      <c r="AC638" s="239"/>
      <c r="AD638" s="239"/>
      <c r="AE638" s="239"/>
      <c r="AF638" s="239"/>
      <c r="AG638" s="239"/>
      <c r="AH638" s="239"/>
      <c r="AI638" s="239"/>
      <c r="AJ638" s="239"/>
    </row>
    <row r="639">
      <c r="A639" s="239"/>
      <c r="B639" s="239"/>
      <c r="C639" s="239"/>
      <c r="D639" s="239"/>
      <c r="E639" s="239"/>
      <c r="F639" s="283"/>
      <c r="G639" s="239"/>
      <c r="H639" s="239"/>
      <c r="I639" s="239"/>
      <c r="J639" s="239"/>
      <c r="K639" s="239"/>
      <c r="L639" s="239"/>
      <c r="M639" s="239"/>
      <c r="N639" s="239"/>
      <c r="O639" s="239"/>
      <c r="P639" s="246"/>
      <c r="Q639" s="239"/>
      <c r="R639" s="239"/>
      <c r="S639" s="239"/>
      <c r="T639" s="239"/>
      <c r="U639" s="239"/>
      <c r="V639" s="239"/>
      <c r="W639" s="246"/>
      <c r="X639" s="239"/>
      <c r="Y639" s="239"/>
      <c r="Z639" s="239"/>
      <c r="AA639" s="239"/>
      <c r="AB639" s="239"/>
      <c r="AC639" s="239"/>
      <c r="AD639" s="239"/>
      <c r="AE639" s="239"/>
      <c r="AF639" s="239"/>
      <c r="AG639" s="239"/>
      <c r="AH639" s="239"/>
      <c r="AI639" s="239"/>
      <c r="AJ639" s="239"/>
    </row>
    <row r="640">
      <c r="A640" s="239"/>
      <c r="B640" s="239"/>
      <c r="C640" s="239"/>
      <c r="D640" s="239"/>
      <c r="E640" s="239"/>
      <c r="F640" s="283"/>
      <c r="G640" s="239"/>
      <c r="H640" s="239"/>
      <c r="I640" s="239"/>
      <c r="J640" s="239"/>
      <c r="K640" s="239"/>
      <c r="L640" s="239"/>
      <c r="M640" s="239"/>
      <c r="N640" s="239"/>
      <c r="O640" s="239"/>
      <c r="P640" s="246"/>
      <c r="Q640" s="239"/>
      <c r="R640" s="239"/>
      <c r="S640" s="239"/>
      <c r="T640" s="239"/>
      <c r="U640" s="239"/>
      <c r="V640" s="239"/>
      <c r="W640" s="246"/>
      <c r="X640" s="239"/>
      <c r="Y640" s="239"/>
      <c r="Z640" s="239"/>
      <c r="AA640" s="239"/>
      <c r="AB640" s="239"/>
      <c r="AC640" s="239"/>
      <c r="AD640" s="239"/>
      <c r="AE640" s="239"/>
      <c r="AF640" s="239"/>
      <c r="AG640" s="239"/>
      <c r="AH640" s="239"/>
      <c r="AI640" s="239"/>
      <c r="AJ640" s="239"/>
    </row>
    <row r="641">
      <c r="A641" s="239"/>
      <c r="B641" s="239"/>
      <c r="C641" s="239"/>
      <c r="D641" s="239"/>
      <c r="E641" s="239"/>
      <c r="F641" s="283"/>
      <c r="G641" s="239"/>
      <c r="H641" s="239"/>
      <c r="I641" s="239"/>
      <c r="J641" s="239"/>
      <c r="K641" s="239"/>
      <c r="L641" s="239"/>
      <c r="M641" s="239"/>
      <c r="N641" s="239"/>
      <c r="O641" s="239"/>
      <c r="P641" s="246"/>
      <c r="Q641" s="239"/>
      <c r="R641" s="239"/>
      <c r="S641" s="239"/>
      <c r="T641" s="239"/>
      <c r="U641" s="239"/>
      <c r="V641" s="239"/>
      <c r="W641" s="246"/>
      <c r="X641" s="239"/>
      <c r="Y641" s="239"/>
      <c r="Z641" s="239"/>
      <c r="AA641" s="239"/>
      <c r="AB641" s="239"/>
      <c r="AC641" s="239"/>
      <c r="AD641" s="239"/>
      <c r="AE641" s="239"/>
      <c r="AF641" s="239"/>
      <c r="AG641" s="239"/>
      <c r="AH641" s="239"/>
      <c r="AI641" s="239"/>
      <c r="AJ641" s="239"/>
    </row>
    <row r="642">
      <c r="A642" s="239"/>
      <c r="B642" s="239"/>
      <c r="C642" s="239"/>
      <c r="D642" s="239"/>
      <c r="E642" s="239"/>
      <c r="F642" s="283"/>
      <c r="G642" s="239"/>
      <c r="H642" s="239"/>
      <c r="I642" s="239"/>
      <c r="J642" s="239"/>
      <c r="K642" s="239"/>
      <c r="L642" s="239"/>
      <c r="M642" s="239"/>
      <c r="N642" s="239"/>
      <c r="O642" s="239"/>
      <c r="P642" s="246"/>
      <c r="Q642" s="239"/>
      <c r="R642" s="239"/>
      <c r="S642" s="239"/>
      <c r="T642" s="239"/>
      <c r="U642" s="239"/>
      <c r="V642" s="239"/>
      <c r="W642" s="246"/>
      <c r="X642" s="239"/>
      <c r="Y642" s="239"/>
      <c r="Z642" s="239"/>
      <c r="AA642" s="239"/>
      <c r="AB642" s="239"/>
      <c r="AC642" s="239"/>
      <c r="AD642" s="239"/>
      <c r="AE642" s="239"/>
      <c r="AF642" s="239"/>
      <c r="AG642" s="239"/>
      <c r="AH642" s="239"/>
      <c r="AI642" s="239"/>
      <c r="AJ642" s="239"/>
    </row>
    <row r="643">
      <c r="A643" s="239"/>
      <c r="B643" s="239"/>
      <c r="C643" s="239"/>
      <c r="D643" s="239"/>
      <c r="E643" s="239"/>
      <c r="F643" s="283"/>
      <c r="G643" s="239"/>
      <c r="H643" s="239"/>
      <c r="I643" s="239"/>
      <c r="J643" s="239"/>
      <c r="K643" s="239"/>
      <c r="L643" s="239"/>
      <c r="M643" s="239"/>
      <c r="N643" s="239"/>
      <c r="O643" s="239"/>
      <c r="P643" s="246"/>
      <c r="Q643" s="239"/>
      <c r="R643" s="239"/>
      <c r="S643" s="239"/>
      <c r="T643" s="239"/>
      <c r="U643" s="239"/>
      <c r="V643" s="239"/>
      <c r="W643" s="246"/>
      <c r="X643" s="239"/>
      <c r="Y643" s="239"/>
      <c r="Z643" s="239"/>
      <c r="AA643" s="239"/>
      <c r="AB643" s="239"/>
      <c r="AC643" s="239"/>
      <c r="AD643" s="239"/>
      <c r="AE643" s="239"/>
      <c r="AF643" s="239"/>
      <c r="AG643" s="239"/>
      <c r="AH643" s="239"/>
      <c r="AI643" s="239"/>
      <c r="AJ643" s="239"/>
    </row>
    <row r="644">
      <c r="A644" s="239"/>
      <c r="B644" s="239"/>
      <c r="C644" s="239"/>
      <c r="D644" s="239"/>
      <c r="E644" s="239"/>
      <c r="F644" s="283"/>
      <c r="G644" s="239"/>
      <c r="H644" s="239"/>
      <c r="I644" s="239"/>
      <c r="J644" s="239"/>
      <c r="K644" s="239"/>
      <c r="L644" s="239"/>
      <c r="M644" s="239"/>
      <c r="N644" s="239"/>
      <c r="O644" s="239"/>
      <c r="P644" s="246"/>
      <c r="Q644" s="239"/>
      <c r="R644" s="239"/>
      <c r="S644" s="239"/>
      <c r="T644" s="239"/>
      <c r="U644" s="239"/>
      <c r="V644" s="239"/>
      <c r="W644" s="246"/>
      <c r="X644" s="239"/>
      <c r="Y644" s="239"/>
      <c r="Z644" s="239"/>
      <c r="AA644" s="239"/>
      <c r="AB644" s="239"/>
      <c r="AC644" s="239"/>
      <c r="AD644" s="239"/>
      <c r="AE644" s="239"/>
      <c r="AF644" s="239"/>
      <c r="AG644" s="239"/>
      <c r="AH644" s="239"/>
      <c r="AI644" s="239"/>
      <c r="AJ644" s="239"/>
    </row>
    <row r="645">
      <c r="A645" s="239"/>
      <c r="B645" s="239"/>
      <c r="C645" s="239"/>
      <c r="D645" s="239"/>
      <c r="E645" s="239"/>
      <c r="F645" s="283"/>
      <c r="G645" s="239"/>
      <c r="H645" s="239"/>
      <c r="I645" s="239"/>
      <c r="J645" s="239"/>
      <c r="K645" s="239"/>
      <c r="L645" s="239"/>
      <c r="M645" s="239"/>
      <c r="N645" s="239"/>
      <c r="O645" s="239"/>
      <c r="P645" s="246"/>
      <c r="Q645" s="239"/>
      <c r="R645" s="239"/>
      <c r="S645" s="239"/>
      <c r="T645" s="239"/>
      <c r="U645" s="239"/>
      <c r="V645" s="239"/>
      <c r="W645" s="246"/>
      <c r="X645" s="239"/>
      <c r="Y645" s="239"/>
      <c r="Z645" s="239"/>
      <c r="AA645" s="239"/>
      <c r="AB645" s="239"/>
      <c r="AC645" s="239"/>
      <c r="AD645" s="239"/>
      <c r="AE645" s="239"/>
      <c r="AF645" s="239"/>
      <c r="AG645" s="239"/>
      <c r="AH645" s="239"/>
      <c r="AI645" s="239"/>
      <c r="AJ645" s="239"/>
    </row>
    <row r="646">
      <c r="A646" s="239"/>
      <c r="B646" s="239"/>
      <c r="C646" s="239"/>
      <c r="D646" s="239"/>
      <c r="E646" s="239"/>
      <c r="F646" s="283"/>
      <c r="G646" s="239"/>
      <c r="H646" s="239"/>
      <c r="I646" s="239"/>
      <c r="J646" s="239"/>
      <c r="K646" s="239"/>
      <c r="L646" s="239"/>
      <c r="M646" s="239"/>
      <c r="N646" s="239"/>
      <c r="O646" s="239"/>
      <c r="P646" s="246"/>
      <c r="Q646" s="239"/>
      <c r="R646" s="239"/>
      <c r="S646" s="239"/>
      <c r="T646" s="239"/>
      <c r="U646" s="239"/>
      <c r="V646" s="239"/>
      <c r="W646" s="246"/>
      <c r="X646" s="239"/>
      <c r="Y646" s="239"/>
      <c r="Z646" s="239"/>
      <c r="AA646" s="239"/>
      <c r="AB646" s="239"/>
      <c r="AC646" s="239"/>
      <c r="AD646" s="239"/>
      <c r="AE646" s="239"/>
      <c r="AF646" s="239"/>
      <c r="AG646" s="239"/>
      <c r="AH646" s="239"/>
      <c r="AI646" s="239"/>
      <c r="AJ646" s="239"/>
    </row>
    <row r="647">
      <c r="A647" s="239"/>
      <c r="B647" s="239"/>
      <c r="C647" s="239"/>
      <c r="D647" s="239"/>
      <c r="E647" s="239"/>
      <c r="F647" s="283"/>
      <c r="G647" s="239"/>
      <c r="H647" s="239"/>
      <c r="I647" s="239"/>
      <c r="J647" s="239"/>
      <c r="K647" s="239"/>
      <c r="L647" s="239"/>
      <c r="M647" s="239"/>
      <c r="N647" s="239"/>
      <c r="O647" s="239"/>
      <c r="P647" s="246"/>
      <c r="Q647" s="239"/>
      <c r="R647" s="239"/>
      <c r="S647" s="239"/>
      <c r="T647" s="239"/>
      <c r="U647" s="239"/>
      <c r="V647" s="239"/>
      <c r="W647" s="246"/>
      <c r="X647" s="239"/>
      <c r="Y647" s="239"/>
      <c r="Z647" s="239"/>
      <c r="AA647" s="239"/>
      <c r="AB647" s="239"/>
      <c r="AC647" s="239"/>
      <c r="AD647" s="239"/>
      <c r="AE647" s="239"/>
      <c r="AF647" s="239"/>
      <c r="AG647" s="239"/>
      <c r="AH647" s="239"/>
      <c r="AI647" s="239"/>
      <c r="AJ647" s="239"/>
    </row>
    <row r="648">
      <c r="A648" s="239"/>
      <c r="B648" s="239"/>
      <c r="C648" s="239"/>
      <c r="D648" s="239"/>
      <c r="E648" s="239"/>
      <c r="F648" s="283"/>
      <c r="G648" s="239"/>
      <c r="H648" s="239"/>
      <c r="I648" s="239"/>
      <c r="J648" s="239"/>
      <c r="K648" s="239"/>
      <c r="L648" s="239"/>
      <c r="M648" s="239"/>
      <c r="N648" s="239"/>
      <c r="O648" s="239"/>
      <c r="P648" s="246"/>
      <c r="Q648" s="239"/>
      <c r="R648" s="239"/>
      <c r="S648" s="239"/>
      <c r="T648" s="239"/>
      <c r="U648" s="239"/>
      <c r="V648" s="239"/>
      <c r="W648" s="246"/>
      <c r="X648" s="239"/>
      <c r="Y648" s="239"/>
      <c r="Z648" s="239"/>
      <c r="AA648" s="239"/>
      <c r="AB648" s="239"/>
      <c r="AC648" s="239"/>
      <c r="AD648" s="239"/>
      <c r="AE648" s="239"/>
      <c r="AF648" s="239"/>
      <c r="AG648" s="239"/>
      <c r="AH648" s="239"/>
      <c r="AI648" s="239"/>
      <c r="AJ648" s="239"/>
    </row>
    <row r="649">
      <c r="A649" s="239"/>
      <c r="B649" s="239"/>
      <c r="C649" s="239"/>
      <c r="D649" s="239"/>
      <c r="E649" s="239"/>
      <c r="F649" s="283"/>
      <c r="G649" s="239"/>
      <c r="H649" s="239"/>
      <c r="I649" s="239"/>
      <c r="J649" s="239"/>
      <c r="K649" s="239"/>
      <c r="L649" s="239"/>
      <c r="M649" s="239"/>
      <c r="N649" s="239"/>
      <c r="O649" s="239"/>
      <c r="P649" s="246"/>
      <c r="Q649" s="239"/>
      <c r="R649" s="239"/>
      <c r="S649" s="239"/>
      <c r="T649" s="239"/>
      <c r="U649" s="239"/>
      <c r="V649" s="239"/>
      <c r="W649" s="246"/>
      <c r="X649" s="239"/>
      <c r="Y649" s="239"/>
      <c r="Z649" s="239"/>
      <c r="AA649" s="239"/>
      <c r="AB649" s="239"/>
      <c r="AC649" s="239"/>
      <c r="AD649" s="239"/>
      <c r="AE649" s="239"/>
      <c r="AF649" s="239"/>
      <c r="AG649" s="239"/>
      <c r="AH649" s="239"/>
      <c r="AI649" s="239"/>
      <c r="AJ649" s="239"/>
    </row>
    <row r="650">
      <c r="A650" s="239"/>
      <c r="B650" s="239"/>
      <c r="C650" s="239"/>
      <c r="D650" s="239"/>
      <c r="E650" s="239"/>
      <c r="F650" s="283"/>
      <c r="G650" s="239"/>
      <c r="H650" s="239"/>
      <c r="I650" s="239"/>
      <c r="J650" s="239"/>
      <c r="K650" s="239"/>
      <c r="L650" s="239"/>
      <c r="M650" s="239"/>
      <c r="N650" s="239"/>
      <c r="O650" s="239"/>
      <c r="P650" s="246"/>
      <c r="Q650" s="239"/>
      <c r="R650" s="239"/>
      <c r="S650" s="239"/>
      <c r="T650" s="239"/>
      <c r="U650" s="239"/>
      <c r="V650" s="239"/>
      <c r="W650" s="246"/>
      <c r="X650" s="239"/>
      <c r="Y650" s="239"/>
      <c r="Z650" s="239"/>
      <c r="AA650" s="239"/>
      <c r="AB650" s="239"/>
      <c r="AC650" s="239"/>
      <c r="AD650" s="239"/>
      <c r="AE650" s="239"/>
      <c r="AF650" s="239"/>
      <c r="AG650" s="239"/>
      <c r="AH650" s="239"/>
      <c r="AI650" s="239"/>
      <c r="AJ650" s="239"/>
    </row>
    <row r="651">
      <c r="A651" s="239"/>
      <c r="B651" s="239"/>
      <c r="C651" s="239"/>
      <c r="D651" s="239"/>
      <c r="E651" s="239"/>
      <c r="F651" s="283"/>
      <c r="G651" s="239"/>
      <c r="H651" s="239"/>
      <c r="I651" s="239"/>
      <c r="J651" s="239"/>
      <c r="K651" s="239"/>
      <c r="L651" s="239"/>
      <c r="M651" s="239"/>
      <c r="N651" s="239"/>
      <c r="O651" s="239"/>
      <c r="P651" s="246"/>
      <c r="Q651" s="239"/>
      <c r="R651" s="239"/>
      <c r="S651" s="239"/>
      <c r="T651" s="239"/>
      <c r="U651" s="239"/>
      <c r="V651" s="239"/>
      <c r="W651" s="246"/>
      <c r="X651" s="239"/>
      <c r="Y651" s="239"/>
      <c r="Z651" s="239"/>
      <c r="AA651" s="239"/>
      <c r="AB651" s="239"/>
      <c r="AC651" s="239"/>
      <c r="AD651" s="239"/>
      <c r="AE651" s="239"/>
      <c r="AF651" s="239"/>
      <c r="AG651" s="239"/>
      <c r="AH651" s="239"/>
      <c r="AI651" s="239"/>
      <c r="AJ651" s="239"/>
    </row>
    <row r="652">
      <c r="A652" s="239"/>
      <c r="B652" s="239"/>
      <c r="C652" s="239"/>
      <c r="D652" s="239"/>
      <c r="E652" s="239"/>
      <c r="F652" s="283"/>
      <c r="G652" s="239"/>
      <c r="H652" s="239"/>
      <c r="I652" s="239"/>
      <c r="J652" s="239"/>
      <c r="K652" s="239"/>
      <c r="L652" s="239"/>
      <c r="M652" s="239"/>
      <c r="N652" s="239"/>
      <c r="O652" s="239"/>
      <c r="P652" s="246"/>
      <c r="Q652" s="239"/>
      <c r="R652" s="239"/>
      <c r="S652" s="239"/>
      <c r="T652" s="239"/>
      <c r="U652" s="239"/>
      <c r="V652" s="239"/>
      <c r="W652" s="246"/>
      <c r="X652" s="239"/>
      <c r="Y652" s="239"/>
      <c r="Z652" s="239"/>
      <c r="AA652" s="239"/>
      <c r="AB652" s="239"/>
      <c r="AC652" s="239"/>
      <c r="AD652" s="239"/>
      <c r="AE652" s="239"/>
      <c r="AF652" s="239"/>
      <c r="AG652" s="239"/>
      <c r="AH652" s="239"/>
      <c r="AI652" s="239"/>
      <c r="AJ652" s="239"/>
    </row>
    <row r="653">
      <c r="A653" s="239"/>
      <c r="B653" s="239"/>
      <c r="C653" s="239"/>
      <c r="D653" s="239"/>
      <c r="E653" s="239"/>
      <c r="F653" s="283"/>
      <c r="G653" s="239"/>
      <c r="H653" s="239"/>
      <c r="I653" s="239"/>
      <c r="J653" s="239"/>
      <c r="K653" s="239"/>
      <c r="L653" s="239"/>
      <c r="M653" s="239"/>
      <c r="N653" s="239"/>
      <c r="O653" s="239"/>
      <c r="P653" s="246"/>
      <c r="Q653" s="239"/>
      <c r="R653" s="239"/>
      <c r="S653" s="239"/>
      <c r="T653" s="239"/>
      <c r="U653" s="239"/>
      <c r="V653" s="239"/>
      <c r="W653" s="246"/>
      <c r="X653" s="239"/>
      <c r="Y653" s="239"/>
      <c r="Z653" s="239"/>
      <c r="AA653" s="239"/>
      <c r="AB653" s="239"/>
      <c r="AC653" s="239"/>
      <c r="AD653" s="239"/>
      <c r="AE653" s="239"/>
      <c r="AF653" s="239"/>
      <c r="AG653" s="239"/>
      <c r="AH653" s="239"/>
      <c r="AI653" s="239"/>
      <c r="AJ653" s="239"/>
    </row>
    <row r="654">
      <c r="A654" s="239"/>
      <c r="B654" s="239"/>
      <c r="C654" s="239"/>
      <c r="D654" s="239"/>
      <c r="E654" s="239"/>
      <c r="F654" s="283"/>
      <c r="G654" s="239"/>
      <c r="H654" s="239"/>
      <c r="I654" s="239"/>
      <c r="J654" s="239"/>
      <c r="K654" s="239"/>
      <c r="L654" s="239"/>
      <c r="M654" s="239"/>
      <c r="N654" s="239"/>
      <c r="O654" s="239"/>
      <c r="P654" s="246"/>
      <c r="Q654" s="239"/>
      <c r="R654" s="239"/>
      <c r="S654" s="239"/>
      <c r="T654" s="239"/>
      <c r="U654" s="239"/>
      <c r="V654" s="239"/>
      <c r="W654" s="246"/>
      <c r="X654" s="239"/>
      <c r="Y654" s="239"/>
      <c r="Z654" s="239"/>
      <c r="AA654" s="239"/>
      <c r="AB654" s="239"/>
      <c r="AC654" s="239"/>
      <c r="AD654" s="239"/>
      <c r="AE654" s="239"/>
      <c r="AF654" s="239"/>
      <c r="AG654" s="239"/>
      <c r="AH654" s="239"/>
      <c r="AI654" s="239"/>
      <c r="AJ654" s="239"/>
    </row>
    <row r="655">
      <c r="A655" s="239"/>
      <c r="B655" s="239"/>
      <c r="C655" s="239"/>
      <c r="D655" s="239"/>
      <c r="E655" s="239"/>
      <c r="F655" s="283"/>
      <c r="G655" s="239"/>
      <c r="H655" s="239"/>
      <c r="I655" s="239"/>
      <c r="J655" s="239"/>
      <c r="K655" s="239"/>
      <c r="L655" s="239"/>
      <c r="M655" s="239"/>
      <c r="N655" s="239"/>
      <c r="O655" s="239"/>
      <c r="P655" s="246"/>
      <c r="Q655" s="239"/>
      <c r="R655" s="239"/>
      <c r="S655" s="239"/>
      <c r="T655" s="239"/>
      <c r="U655" s="239"/>
      <c r="V655" s="239"/>
      <c r="W655" s="246"/>
      <c r="X655" s="239"/>
      <c r="Y655" s="239"/>
      <c r="Z655" s="239"/>
      <c r="AA655" s="239"/>
      <c r="AB655" s="239"/>
      <c r="AC655" s="239"/>
      <c r="AD655" s="239"/>
      <c r="AE655" s="239"/>
      <c r="AF655" s="239"/>
      <c r="AG655" s="239"/>
      <c r="AH655" s="239"/>
      <c r="AI655" s="239"/>
      <c r="AJ655" s="239"/>
    </row>
    <row r="656">
      <c r="A656" s="239"/>
      <c r="B656" s="239"/>
      <c r="C656" s="239"/>
      <c r="D656" s="239"/>
      <c r="E656" s="239"/>
      <c r="F656" s="283"/>
      <c r="G656" s="239"/>
      <c r="H656" s="239"/>
      <c r="I656" s="239"/>
      <c r="J656" s="239"/>
      <c r="K656" s="239"/>
      <c r="L656" s="239"/>
      <c r="M656" s="239"/>
      <c r="N656" s="239"/>
      <c r="O656" s="239"/>
      <c r="P656" s="246"/>
      <c r="Q656" s="239"/>
      <c r="R656" s="239"/>
      <c r="S656" s="239"/>
      <c r="T656" s="239"/>
      <c r="U656" s="239"/>
      <c r="V656" s="239"/>
      <c r="W656" s="246"/>
      <c r="X656" s="239"/>
      <c r="Y656" s="239"/>
      <c r="Z656" s="239"/>
      <c r="AA656" s="239"/>
      <c r="AB656" s="239"/>
      <c r="AC656" s="239"/>
      <c r="AD656" s="239"/>
      <c r="AE656" s="239"/>
      <c r="AF656" s="239"/>
      <c r="AG656" s="239"/>
      <c r="AH656" s="239"/>
      <c r="AI656" s="239"/>
      <c r="AJ656" s="239"/>
    </row>
    <row r="657">
      <c r="A657" s="239"/>
      <c r="B657" s="239"/>
      <c r="C657" s="239"/>
      <c r="D657" s="239"/>
      <c r="E657" s="239"/>
      <c r="F657" s="283"/>
      <c r="G657" s="239"/>
      <c r="H657" s="239"/>
      <c r="I657" s="239"/>
      <c r="J657" s="239"/>
      <c r="K657" s="239"/>
      <c r="L657" s="239"/>
      <c r="M657" s="239"/>
      <c r="N657" s="239"/>
      <c r="O657" s="239"/>
      <c r="P657" s="246"/>
      <c r="Q657" s="239"/>
      <c r="R657" s="239"/>
      <c r="S657" s="239"/>
      <c r="T657" s="239"/>
      <c r="U657" s="239"/>
      <c r="V657" s="239"/>
      <c r="W657" s="246"/>
      <c r="X657" s="239"/>
      <c r="Y657" s="239"/>
      <c r="Z657" s="239"/>
      <c r="AA657" s="239"/>
      <c r="AB657" s="239"/>
      <c r="AC657" s="239"/>
      <c r="AD657" s="239"/>
      <c r="AE657" s="239"/>
      <c r="AF657" s="239"/>
      <c r="AG657" s="239"/>
      <c r="AH657" s="239"/>
      <c r="AI657" s="239"/>
      <c r="AJ657" s="239"/>
    </row>
    <row r="658">
      <c r="A658" s="239"/>
      <c r="B658" s="239"/>
      <c r="C658" s="239"/>
      <c r="D658" s="239"/>
      <c r="E658" s="239"/>
      <c r="F658" s="283"/>
      <c r="G658" s="239"/>
      <c r="H658" s="239"/>
      <c r="I658" s="239"/>
      <c r="J658" s="239"/>
      <c r="K658" s="239"/>
      <c r="L658" s="239"/>
      <c r="M658" s="239"/>
      <c r="N658" s="239"/>
      <c r="O658" s="239"/>
      <c r="P658" s="246"/>
      <c r="Q658" s="239"/>
      <c r="R658" s="239"/>
      <c r="S658" s="239"/>
      <c r="T658" s="239"/>
      <c r="U658" s="239"/>
      <c r="V658" s="239"/>
      <c r="W658" s="246"/>
      <c r="X658" s="239"/>
      <c r="Y658" s="239"/>
      <c r="Z658" s="239"/>
      <c r="AA658" s="239"/>
      <c r="AB658" s="239"/>
      <c r="AC658" s="239"/>
      <c r="AD658" s="239"/>
      <c r="AE658" s="239"/>
      <c r="AF658" s="239"/>
      <c r="AG658" s="239"/>
      <c r="AH658" s="239"/>
      <c r="AI658" s="239"/>
      <c r="AJ658" s="239"/>
    </row>
    <row r="659">
      <c r="A659" s="239"/>
      <c r="B659" s="239"/>
      <c r="C659" s="239"/>
      <c r="D659" s="239"/>
      <c r="E659" s="239"/>
      <c r="F659" s="283"/>
      <c r="G659" s="239"/>
      <c r="H659" s="239"/>
      <c r="I659" s="239"/>
      <c r="J659" s="239"/>
      <c r="K659" s="239"/>
      <c r="L659" s="239"/>
      <c r="M659" s="239"/>
      <c r="N659" s="239"/>
      <c r="O659" s="239"/>
      <c r="P659" s="246"/>
      <c r="Q659" s="239"/>
      <c r="R659" s="239"/>
      <c r="S659" s="239"/>
      <c r="T659" s="239"/>
      <c r="U659" s="239"/>
      <c r="V659" s="239"/>
      <c r="W659" s="246"/>
      <c r="X659" s="239"/>
      <c r="Y659" s="239"/>
      <c r="Z659" s="239"/>
      <c r="AA659" s="239"/>
      <c r="AB659" s="239"/>
      <c r="AC659" s="239"/>
      <c r="AD659" s="239"/>
      <c r="AE659" s="239"/>
      <c r="AF659" s="239"/>
      <c r="AG659" s="239"/>
      <c r="AH659" s="239"/>
      <c r="AI659" s="239"/>
      <c r="AJ659" s="239"/>
    </row>
    <row r="660">
      <c r="A660" s="239"/>
      <c r="B660" s="239"/>
      <c r="C660" s="239"/>
      <c r="D660" s="239"/>
      <c r="E660" s="239"/>
      <c r="F660" s="283"/>
      <c r="G660" s="239"/>
      <c r="H660" s="239"/>
      <c r="I660" s="239"/>
      <c r="J660" s="239"/>
      <c r="K660" s="239"/>
      <c r="L660" s="239"/>
      <c r="M660" s="239"/>
      <c r="N660" s="239"/>
      <c r="O660" s="239"/>
      <c r="P660" s="246"/>
      <c r="Q660" s="239"/>
      <c r="R660" s="239"/>
      <c r="S660" s="239"/>
      <c r="T660" s="239"/>
      <c r="U660" s="239"/>
      <c r="V660" s="239"/>
      <c r="W660" s="246"/>
      <c r="X660" s="239"/>
      <c r="Y660" s="239"/>
      <c r="Z660" s="239"/>
      <c r="AA660" s="239"/>
      <c r="AB660" s="239"/>
      <c r="AC660" s="239"/>
      <c r="AD660" s="239"/>
      <c r="AE660" s="239"/>
      <c r="AF660" s="239"/>
      <c r="AG660" s="239"/>
      <c r="AH660" s="239"/>
      <c r="AI660" s="239"/>
      <c r="AJ660" s="239"/>
    </row>
    <row r="661">
      <c r="A661" s="239"/>
      <c r="B661" s="239"/>
      <c r="C661" s="239"/>
      <c r="D661" s="239"/>
      <c r="E661" s="239"/>
      <c r="F661" s="283"/>
      <c r="G661" s="239"/>
      <c r="H661" s="239"/>
      <c r="I661" s="239"/>
      <c r="J661" s="239"/>
      <c r="K661" s="239"/>
      <c r="L661" s="239"/>
      <c r="M661" s="239"/>
      <c r="N661" s="239"/>
      <c r="O661" s="239"/>
      <c r="P661" s="246"/>
      <c r="Q661" s="239"/>
      <c r="R661" s="239"/>
      <c r="S661" s="239"/>
      <c r="T661" s="239"/>
      <c r="U661" s="239"/>
      <c r="V661" s="239"/>
      <c r="W661" s="246"/>
      <c r="X661" s="239"/>
      <c r="Y661" s="239"/>
      <c r="Z661" s="239"/>
      <c r="AA661" s="239"/>
      <c r="AB661" s="239"/>
      <c r="AC661" s="239"/>
      <c r="AD661" s="239"/>
      <c r="AE661" s="239"/>
      <c r="AF661" s="239"/>
      <c r="AG661" s="239"/>
      <c r="AH661" s="239"/>
      <c r="AI661" s="239"/>
      <c r="AJ661" s="239"/>
    </row>
    <row r="662">
      <c r="A662" s="239"/>
      <c r="B662" s="239"/>
      <c r="C662" s="239"/>
      <c r="D662" s="239"/>
      <c r="E662" s="239"/>
      <c r="F662" s="283"/>
      <c r="G662" s="239"/>
      <c r="H662" s="239"/>
      <c r="I662" s="239"/>
      <c r="J662" s="239"/>
      <c r="K662" s="239"/>
      <c r="L662" s="239"/>
      <c r="M662" s="239"/>
      <c r="N662" s="239"/>
      <c r="O662" s="239"/>
      <c r="P662" s="246"/>
      <c r="Q662" s="239"/>
      <c r="R662" s="239"/>
      <c r="S662" s="239"/>
      <c r="T662" s="239"/>
      <c r="U662" s="239"/>
      <c r="V662" s="239"/>
      <c r="W662" s="246"/>
      <c r="X662" s="239"/>
      <c r="Y662" s="239"/>
      <c r="Z662" s="239"/>
      <c r="AA662" s="239"/>
      <c r="AB662" s="239"/>
      <c r="AC662" s="239"/>
      <c r="AD662" s="239"/>
      <c r="AE662" s="239"/>
      <c r="AF662" s="239"/>
      <c r="AG662" s="239"/>
      <c r="AH662" s="239"/>
      <c r="AI662" s="239"/>
      <c r="AJ662" s="239"/>
    </row>
    <row r="663">
      <c r="A663" s="239"/>
      <c r="B663" s="239"/>
      <c r="C663" s="239"/>
      <c r="D663" s="239"/>
      <c r="E663" s="239"/>
      <c r="F663" s="283"/>
      <c r="G663" s="239"/>
      <c r="H663" s="239"/>
      <c r="I663" s="239"/>
      <c r="J663" s="239"/>
      <c r="K663" s="239"/>
      <c r="L663" s="239"/>
      <c r="M663" s="239"/>
      <c r="N663" s="239"/>
      <c r="O663" s="239"/>
      <c r="P663" s="246"/>
      <c r="Q663" s="239"/>
      <c r="R663" s="239"/>
      <c r="S663" s="239"/>
      <c r="T663" s="239"/>
      <c r="U663" s="239"/>
      <c r="V663" s="239"/>
      <c r="W663" s="246"/>
      <c r="X663" s="239"/>
      <c r="Y663" s="239"/>
      <c r="Z663" s="239"/>
      <c r="AA663" s="239"/>
      <c r="AB663" s="239"/>
      <c r="AC663" s="239"/>
      <c r="AD663" s="239"/>
      <c r="AE663" s="239"/>
      <c r="AF663" s="239"/>
      <c r="AG663" s="239"/>
      <c r="AH663" s="239"/>
      <c r="AI663" s="239"/>
      <c r="AJ663" s="239"/>
    </row>
    <row r="664">
      <c r="A664" s="239"/>
      <c r="B664" s="239"/>
      <c r="C664" s="239"/>
      <c r="D664" s="239"/>
      <c r="E664" s="239"/>
      <c r="F664" s="283"/>
      <c r="G664" s="239"/>
      <c r="H664" s="239"/>
      <c r="I664" s="239"/>
      <c r="J664" s="239"/>
      <c r="K664" s="239"/>
      <c r="L664" s="239"/>
      <c r="M664" s="239"/>
      <c r="N664" s="239"/>
      <c r="O664" s="239"/>
      <c r="P664" s="246"/>
      <c r="Q664" s="239"/>
      <c r="R664" s="239"/>
      <c r="S664" s="239"/>
      <c r="T664" s="239"/>
      <c r="U664" s="239"/>
      <c r="V664" s="239"/>
      <c r="W664" s="246"/>
      <c r="X664" s="239"/>
      <c r="Y664" s="239"/>
      <c r="Z664" s="239"/>
      <c r="AA664" s="239"/>
      <c r="AB664" s="239"/>
      <c r="AC664" s="239"/>
      <c r="AD664" s="239"/>
      <c r="AE664" s="239"/>
      <c r="AF664" s="239"/>
      <c r="AG664" s="239"/>
      <c r="AH664" s="239"/>
      <c r="AI664" s="239"/>
      <c r="AJ664" s="239"/>
    </row>
    <row r="665">
      <c r="A665" s="239"/>
      <c r="B665" s="239"/>
      <c r="C665" s="239"/>
      <c r="D665" s="239"/>
      <c r="E665" s="239"/>
      <c r="F665" s="283"/>
      <c r="G665" s="239"/>
      <c r="H665" s="239"/>
      <c r="I665" s="239"/>
      <c r="J665" s="239"/>
      <c r="K665" s="239"/>
      <c r="L665" s="239"/>
      <c r="M665" s="239"/>
      <c r="N665" s="239"/>
      <c r="O665" s="239"/>
      <c r="P665" s="246"/>
      <c r="Q665" s="239"/>
      <c r="R665" s="239"/>
      <c r="S665" s="239"/>
      <c r="T665" s="239"/>
      <c r="U665" s="239"/>
      <c r="V665" s="239"/>
      <c r="W665" s="246"/>
      <c r="X665" s="239"/>
      <c r="Y665" s="239"/>
      <c r="Z665" s="239"/>
      <c r="AA665" s="239"/>
      <c r="AB665" s="239"/>
      <c r="AC665" s="239"/>
      <c r="AD665" s="239"/>
      <c r="AE665" s="239"/>
      <c r="AF665" s="239"/>
      <c r="AG665" s="239"/>
      <c r="AH665" s="239"/>
      <c r="AI665" s="239"/>
      <c r="AJ665" s="239"/>
    </row>
    <row r="666">
      <c r="A666" s="239"/>
      <c r="B666" s="239"/>
      <c r="C666" s="239"/>
      <c r="D666" s="239"/>
      <c r="E666" s="239"/>
      <c r="F666" s="283"/>
      <c r="G666" s="239"/>
      <c r="H666" s="239"/>
      <c r="I666" s="239"/>
      <c r="J666" s="239"/>
      <c r="K666" s="239"/>
      <c r="L666" s="239"/>
      <c r="M666" s="239"/>
      <c r="N666" s="239"/>
      <c r="O666" s="239"/>
      <c r="P666" s="246"/>
      <c r="Q666" s="239"/>
      <c r="R666" s="239"/>
      <c r="S666" s="239"/>
      <c r="T666" s="239"/>
      <c r="U666" s="239"/>
      <c r="V666" s="239"/>
      <c r="W666" s="246"/>
      <c r="X666" s="239"/>
      <c r="Y666" s="239"/>
      <c r="Z666" s="239"/>
      <c r="AA666" s="239"/>
      <c r="AB666" s="239"/>
      <c r="AC666" s="239"/>
      <c r="AD666" s="239"/>
      <c r="AE666" s="239"/>
      <c r="AF666" s="239"/>
      <c r="AG666" s="239"/>
      <c r="AH666" s="239"/>
      <c r="AI666" s="239"/>
      <c r="AJ666" s="239"/>
    </row>
    <row r="667">
      <c r="A667" s="239"/>
      <c r="B667" s="239"/>
      <c r="C667" s="239"/>
      <c r="D667" s="239"/>
      <c r="E667" s="239"/>
      <c r="F667" s="283"/>
      <c r="G667" s="239"/>
      <c r="H667" s="239"/>
      <c r="I667" s="239"/>
      <c r="J667" s="239"/>
      <c r="K667" s="239"/>
      <c r="L667" s="239"/>
      <c r="M667" s="239"/>
      <c r="N667" s="239"/>
      <c r="O667" s="239"/>
      <c r="P667" s="246"/>
      <c r="Q667" s="239"/>
      <c r="R667" s="239"/>
      <c r="S667" s="239"/>
      <c r="T667" s="239"/>
      <c r="U667" s="239"/>
      <c r="V667" s="239"/>
      <c r="W667" s="246"/>
      <c r="X667" s="239"/>
      <c r="Y667" s="239"/>
      <c r="Z667" s="239"/>
      <c r="AA667" s="239"/>
      <c r="AB667" s="239"/>
      <c r="AC667" s="239"/>
      <c r="AD667" s="239"/>
      <c r="AE667" s="239"/>
      <c r="AF667" s="239"/>
      <c r="AG667" s="239"/>
      <c r="AH667" s="239"/>
      <c r="AI667" s="239"/>
      <c r="AJ667" s="239"/>
    </row>
    <row r="668">
      <c r="A668" s="239"/>
      <c r="B668" s="239"/>
      <c r="C668" s="239"/>
      <c r="D668" s="239"/>
      <c r="E668" s="239"/>
      <c r="F668" s="283"/>
      <c r="G668" s="239"/>
      <c r="H668" s="239"/>
      <c r="I668" s="239"/>
      <c r="J668" s="239"/>
      <c r="K668" s="239"/>
      <c r="L668" s="239"/>
      <c r="M668" s="239"/>
      <c r="N668" s="239"/>
      <c r="O668" s="239"/>
      <c r="P668" s="246"/>
      <c r="Q668" s="239"/>
      <c r="R668" s="239"/>
      <c r="S668" s="239"/>
      <c r="T668" s="239"/>
      <c r="U668" s="239"/>
      <c r="V668" s="239"/>
      <c r="W668" s="246"/>
      <c r="X668" s="239"/>
      <c r="Y668" s="239"/>
      <c r="Z668" s="239"/>
      <c r="AA668" s="239"/>
      <c r="AB668" s="239"/>
      <c r="AC668" s="239"/>
      <c r="AD668" s="239"/>
      <c r="AE668" s="239"/>
      <c r="AF668" s="239"/>
      <c r="AG668" s="239"/>
      <c r="AH668" s="239"/>
      <c r="AI668" s="239"/>
      <c r="AJ668" s="239"/>
    </row>
    <row r="669">
      <c r="A669" s="239"/>
      <c r="B669" s="239"/>
      <c r="C669" s="239"/>
      <c r="D669" s="239"/>
      <c r="E669" s="239"/>
      <c r="F669" s="283"/>
      <c r="G669" s="239"/>
      <c r="H669" s="239"/>
      <c r="I669" s="239"/>
      <c r="J669" s="239"/>
      <c r="K669" s="239"/>
      <c r="L669" s="239"/>
      <c r="M669" s="239"/>
      <c r="N669" s="239"/>
      <c r="O669" s="239"/>
      <c r="P669" s="246"/>
      <c r="Q669" s="239"/>
      <c r="R669" s="239"/>
      <c r="S669" s="239"/>
      <c r="T669" s="239"/>
      <c r="U669" s="239"/>
      <c r="V669" s="239"/>
      <c r="W669" s="246"/>
      <c r="X669" s="239"/>
      <c r="Y669" s="239"/>
      <c r="Z669" s="239"/>
      <c r="AA669" s="239"/>
      <c r="AB669" s="239"/>
      <c r="AC669" s="239"/>
      <c r="AD669" s="239"/>
      <c r="AE669" s="239"/>
      <c r="AF669" s="239"/>
      <c r="AG669" s="239"/>
      <c r="AH669" s="239"/>
      <c r="AI669" s="239"/>
      <c r="AJ669" s="239"/>
    </row>
    <row r="670">
      <c r="A670" s="239"/>
      <c r="B670" s="239"/>
      <c r="C670" s="239"/>
      <c r="D670" s="239"/>
      <c r="E670" s="239"/>
      <c r="F670" s="283"/>
      <c r="G670" s="239"/>
      <c r="H670" s="239"/>
      <c r="I670" s="239"/>
      <c r="J670" s="239"/>
      <c r="K670" s="239"/>
      <c r="L670" s="239"/>
      <c r="M670" s="239"/>
      <c r="N670" s="239"/>
      <c r="O670" s="239"/>
      <c r="P670" s="246"/>
      <c r="Q670" s="239"/>
      <c r="R670" s="239"/>
      <c r="S670" s="239"/>
      <c r="T670" s="239"/>
      <c r="U670" s="239"/>
      <c r="V670" s="239"/>
      <c r="W670" s="246"/>
      <c r="X670" s="239"/>
      <c r="Y670" s="239"/>
      <c r="Z670" s="239"/>
      <c r="AA670" s="239"/>
      <c r="AB670" s="239"/>
      <c r="AC670" s="239"/>
      <c r="AD670" s="239"/>
      <c r="AE670" s="239"/>
      <c r="AF670" s="239"/>
      <c r="AG670" s="239"/>
      <c r="AH670" s="239"/>
      <c r="AI670" s="239"/>
      <c r="AJ670" s="239"/>
    </row>
    <row r="671">
      <c r="A671" s="239"/>
      <c r="B671" s="239"/>
      <c r="C671" s="239"/>
      <c r="D671" s="239"/>
      <c r="E671" s="239"/>
      <c r="F671" s="283"/>
      <c r="G671" s="239"/>
      <c r="H671" s="239"/>
      <c r="I671" s="239"/>
      <c r="J671" s="239"/>
      <c r="K671" s="239"/>
      <c r="L671" s="239"/>
      <c r="M671" s="239"/>
      <c r="N671" s="239"/>
      <c r="O671" s="239"/>
      <c r="P671" s="246"/>
      <c r="Q671" s="239"/>
      <c r="R671" s="239"/>
      <c r="S671" s="239"/>
      <c r="T671" s="239"/>
      <c r="U671" s="239"/>
      <c r="V671" s="239"/>
      <c r="W671" s="246"/>
      <c r="X671" s="239"/>
      <c r="Y671" s="239"/>
      <c r="Z671" s="239"/>
      <c r="AA671" s="239"/>
      <c r="AB671" s="239"/>
      <c r="AC671" s="239"/>
      <c r="AD671" s="239"/>
      <c r="AE671" s="239"/>
      <c r="AF671" s="239"/>
      <c r="AG671" s="239"/>
      <c r="AH671" s="239"/>
      <c r="AI671" s="239"/>
      <c r="AJ671" s="239"/>
    </row>
    <row r="672">
      <c r="A672" s="239"/>
      <c r="B672" s="239"/>
      <c r="C672" s="239"/>
      <c r="D672" s="239"/>
      <c r="E672" s="239"/>
      <c r="F672" s="283"/>
      <c r="G672" s="239"/>
      <c r="H672" s="239"/>
      <c r="I672" s="239"/>
      <c r="J672" s="239"/>
      <c r="K672" s="239"/>
      <c r="L672" s="239"/>
      <c r="M672" s="239"/>
      <c r="N672" s="239"/>
      <c r="O672" s="239"/>
      <c r="P672" s="246"/>
      <c r="Q672" s="239"/>
      <c r="R672" s="239"/>
      <c r="S672" s="239"/>
      <c r="T672" s="239"/>
      <c r="U672" s="239"/>
      <c r="V672" s="239"/>
      <c r="W672" s="246"/>
      <c r="X672" s="239"/>
      <c r="Y672" s="239"/>
      <c r="Z672" s="239"/>
      <c r="AA672" s="239"/>
      <c r="AB672" s="239"/>
      <c r="AC672" s="239"/>
      <c r="AD672" s="239"/>
      <c r="AE672" s="239"/>
      <c r="AF672" s="239"/>
      <c r="AG672" s="239"/>
      <c r="AH672" s="239"/>
      <c r="AI672" s="239"/>
      <c r="AJ672" s="239"/>
    </row>
    <row r="673">
      <c r="A673" s="239"/>
      <c r="B673" s="239"/>
      <c r="C673" s="239"/>
      <c r="D673" s="239"/>
      <c r="E673" s="239"/>
      <c r="F673" s="283"/>
      <c r="G673" s="239"/>
      <c r="H673" s="239"/>
      <c r="I673" s="239"/>
      <c r="J673" s="239"/>
      <c r="K673" s="239"/>
      <c r="L673" s="239"/>
      <c r="M673" s="239"/>
      <c r="N673" s="239"/>
      <c r="O673" s="239"/>
      <c r="P673" s="246"/>
      <c r="Q673" s="239"/>
      <c r="R673" s="239"/>
      <c r="S673" s="239"/>
      <c r="T673" s="239"/>
      <c r="U673" s="239"/>
      <c r="V673" s="239"/>
      <c r="W673" s="246"/>
      <c r="X673" s="239"/>
      <c r="Y673" s="239"/>
      <c r="Z673" s="239"/>
      <c r="AA673" s="239"/>
      <c r="AB673" s="239"/>
      <c r="AC673" s="239"/>
      <c r="AD673" s="239"/>
      <c r="AE673" s="239"/>
      <c r="AF673" s="239"/>
      <c r="AG673" s="239"/>
      <c r="AH673" s="239"/>
      <c r="AI673" s="239"/>
      <c r="AJ673" s="239"/>
    </row>
    <row r="674">
      <c r="A674" s="239"/>
      <c r="B674" s="239"/>
      <c r="C674" s="239"/>
      <c r="D674" s="239"/>
      <c r="E674" s="239"/>
      <c r="F674" s="283"/>
      <c r="G674" s="239"/>
      <c r="H674" s="239"/>
      <c r="I674" s="239"/>
      <c r="J674" s="239"/>
      <c r="K674" s="239"/>
      <c r="L674" s="239"/>
      <c r="M674" s="239"/>
      <c r="N674" s="239"/>
      <c r="O674" s="239"/>
      <c r="P674" s="246"/>
      <c r="Q674" s="239"/>
      <c r="R674" s="239"/>
      <c r="S674" s="239"/>
      <c r="T674" s="239"/>
      <c r="U674" s="239"/>
      <c r="V674" s="239"/>
      <c r="W674" s="246"/>
      <c r="X674" s="239"/>
      <c r="Y674" s="239"/>
      <c r="Z674" s="239"/>
      <c r="AA674" s="239"/>
      <c r="AB674" s="239"/>
      <c r="AC674" s="239"/>
      <c r="AD674" s="239"/>
      <c r="AE674" s="239"/>
      <c r="AF674" s="239"/>
      <c r="AG674" s="239"/>
      <c r="AH674" s="239"/>
      <c r="AI674" s="239"/>
      <c r="AJ674" s="239"/>
    </row>
    <row r="675">
      <c r="A675" s="239"/>
      <c r="B675" s="239"/>
      <c r="C675" s="239"/>
      <c r="D675" s="239"/>
      <c r="E675" s="239"/>
      <c r="F675" s="283"/>
      <c r="G675" s="239"/>
      <c r="H675" s="239"/>
      <c r="I675" s="239"/>
      <c r="J675" s="239"/>
      <c r="K675" s="239"/>
      <c r="L675" s="239"/>
      <c r="M675" s="239"/>
      <c r="N675" s="239"/>
      <c r="O675" s="239"/>
      <c r="P675" s="246"/>
      <c r="Q675" s="239"/>
      <c r="R675" s="239"/>
      <c r="S675" s="239"/>
      <c r="T675" s="239"/>
      <c r="U675" s="239"/>
      <c r="V675" s="239"/>
      <c r="W675" s="246"/>
      <c r="X675" s="239"/>
      <c r="Y675" s="239"/>
      <c r="Z675" s="239"/>
      <c r="AA675" s="239"/>
      <c r="AB675" s="239"/>
      <c r="AC675" s="239"/>
      <c r="AD675" s="239"/>
      <c r="AE675" s="239"/>
      <c r="AF675" s="239"/>
      <c r="AG675" s="239"/>
      <c r="AH675" s="239"/>
      <c r="AI675" s="239"/>
      <c r="AJ675" s="239"/>
    </row>
    <row r="676">
      <c r="A676" s="239"/>
      <c r="B676" s="239"/>
      <c r="C676" s="239"/>
      <c r="D676" s="239"/>
      <c r="E676" s="239"/>
      <c r="F676" s="283"/>
      <c r="G676" s="239"/>
      <c r="H676" s="239"/>
      <c r="I676" s="239"/>
      <c r="J676" s="239"/>
      <c r="K676" s="239"/>
      <c r="L676" s="239"/>
      <c r="M676" s="239"/>
      <c r="N676" s="239"/>
      <c r="O676" s="239"/>
      <c r="P676" s="246"/>
      <c r="Q676" s="239"/>
      <c r="R676" s="239"/>
      <c r="S676" s="239"/>
      <c r="T676" s="239"/>
      <c r="U676" s="239"/>
      <c r="V676" s="239"/>
      <c r="W676" s="246"/>
      <c r="X676" s="239"/>
      <c r="Y676" s="239"/>
      <c r="Z676" s="239"/>
      <c r="AA676" s="239"/>
      <c r="AB676" s="239"/>
      <c r="AC676" s="239"/>
      <c r="AD676" s="239"/>
      <c r="AE676" s="239"/>
      <c r="AF676" s="239"/>
      <c r="AG676" s="239"/>
      <c r="AH676" s="239"/>
      <c r="AI676" s="239"/>
      <c r="AJ676" s="239"/>
    </row>
    <row r="677">
      <c r="A677" s="239"/>
      <c r="B677" s="239"/>
      <c r="C677" s="239"/>
      <c r="D677" s="239"/>
      <c r="E677" s="239"/>
      <c r="F677" s="283"/>
      <c r="G677" s="239"/>
      <c r="H677" s="239"/>
      <c r="I677" s="239"/>
      <c r="J677" s="239"/>
      <c r="K677" s="239"/>
      <c r="L677" s="239"/>
      <c r="M677" s="239"/>
      <c r="N677" s="239"/>
      <c r="O677" s="239"/>
      <c r="P677" s="246"/>
      <c r="Q677" s="239"/>
      <c r="R677" s="239"/>
      <c r="S677" s="239"/>
      <c r="T677" s="239"/>
      <c r="U677" s="239"/>
      <c r="V677" s="239"/>
      <c r="W677" s="246"/>
      <c r="X677" s="239"/>
      <c r="Y677" s="239"/>
      <c r="Z677" s="239"/>
      <c r="AA677" s="239"/>
      <c r="AB677" s="239"/>
      <c r="AC677" s="239"/>
      <c r="AD677" s="239"/>
      <c r="AE677" s="239"/>
      <c r="AF677" s="239"/>
      <c r="AG677" s="239"/>
      <c r="AH677" s="239"/>
      <c r="AI677" s="239"/>
      <c r="AJ677" s="239"/>
    </row>
    <row r="678">
      <c r="A678" s="239"/>
      <c r="B678" s="239"/>
      <c r="C678" s="239"/>
      <c r="D678" s="239"/>
      <c r="E678" s="239"/>
      <c r="F678" s="283"/>
      <c r="G678" s="239"/>
      <c r="H678" s="239"/>
      <c r="I678" s="239"/>
      <c r="J678" s="239"/>
      <c r="K678" s="239"/>
      <c r="L678" s="239"/>
      <c r="M678" s="239"/>
      <c r="N678" s="239"/>
      <c r="O678" s="239"/>
      <c r="P678" s="246"/>
      <c r="Q678" s="239"/>
      <c r="R678" s="239"/>
      <c r="S678" s="239"/>
      <c r="T678" s="239"/>
      <c r="U678" s="239"/>
      <c r="V678" s="239"/>
      <c r="W678" s="246"/>
      <c r="X678" s="239"/>
      <c r="Y678" s="239"/>
      <c r="Z678" s="239"/>
      <c r="AA678" s="239"/>
      <c r="AB678" s="239"/>
      <c r="AC678" s="239"/>
      <c r="AD678" s="239"/>
      <c r="AE678" s="239"/>
      <c r="AF678" s="239"/>
      <c r="AG678" s="239"/>
      <c r="AH678" s="239"/>
      <c r="AI678" s="239"/>
      <c r="AJ678" s="239"/>
    </row>
    <row r="679">
      <c r="A679" s="239"/>
      <c r="B679" s="239"/>
      <c r="C679" s="239"/>
      <c r="D679" s="239"/>
      <c r="E679" s="239"/>
      <c r="F679" s="283"/>
      <c r="G679" s="239"/>
      <c r="H679" s="239"/>
      <c r="I679" s="239"/>
      <c r="J679" s="239"/>
      <c r="K679" s="239"/>
      <c r="L679" s="239"/>
      <c r="M679" s="239"/>
      <c r="N679" s="239"/>
      <c r="O679" s="239"/>
      <c r="P679" s="246"/>
      <c r="Q679" s="239"/>
      <c r="R679" s="239"/>
      <c r="S679" s="239"/>
      <c r="T679" s="239"/>
      <c r="U679" s="239"/>
      <c r="V679" s="239"/>
      <c r="W679" s="246"/>
      <c r="X679" s="239"/>
      <c r="Y679" s="239"/>
      <c r="Z679" s="239"/>
      <c r="AA679" s="239"/>
      <c r="AB679" s="239"/>
      <c r="AC679" s="239"/>
      <c r="AD679" s="239"/>
      <c r="AE679" s="239"/>
      <c r="AF679" s="239"/>
      <c r="AG679" s="239"/>
      <c r="AH679" s="239"/>
      <c r="AI679" s="239"/>
      <c r="AJ679" s="239"/>
    </row>
    <row r="680">
      <c r="A680" s="239"/>
      <c r="B680" s="239"/>
      <c r="C680" s="239"/>
      <c r="D680" s="239"/>
      <c r="E680" s="239"/>
      <c r="F680" s="283"/>
      <c r="G680" s="239"/>
      <c r="H680" s="239"/>
      <c r="I680" s="239"/>
      <c r="J680" s="239"/>
      <c r="K680" s="239"/>
      <c r="L680" s="239"/>
      <c r="M680" s="239"/>
      <c r="N680" s="239"/>
      <c r="O680" s="239"/>
      <c r="P680" s="246"/>
      <c r="Q680" s="239"/>
      <c r="R680" s="239"/>
      <c r="S680" s="239"/>
      <c r="T680" s="239"/>
      <c r="U680" s="239"/>
      <c r="V680" s="239"/>
      <c r="W680" s="246"/>
      <c r="X680" s="239"/>
      <c r="Y680" s="239"/>
      <c r="Z680" s="239"/>
      <c r="AA680" s="239"/>
      <c r="AB680" s="239"/>
      <c r="AC680" s="239"/>
      <c r="AD680" s="239"/>
      <c r="AE680" s="239"/>
      <c r="AF680" s="239"/>
      <c r="AG680" s="239"/>
      <c r="AH680" s="239"/>
      <c r="AI680" s="239"/>
      <c r="AJ680" s="239"/>
    </row>
    <row r="681">
      <c r="A681" s="239"/>
      <c r="B681" s="239"/>
      <c r="C681" s="239"/>
      <c r="D681" s="239"/>
      <c r="E681" s="239"/>
      <c r="F681" s="283"/>
      <c r="G681" s="239"/>
      <c r="H681" s="239"/>
      <c r="I681" s="239"/>
      <c r="J681" s="239"/>
      <c r="K681" s="239"/>
      <c r="L681" s="239"/>
      <c r="M681" s="239"/>
      <c r="N681" s="239"/>
      <c r="O681" s="239"/>
      <c r="P681" s="246"/>
      <c r="Q681" s="239"/>
      <c r="R681" s="239"/>
      <c r="S681" s="239"/>
      <c r="T681" s="239"/>
      <c r="U681" s="239"/>
      <c r="V681" s="239"/>
      <c r="W681" s="246"/>
      <c r="X681" s="239"/>
      <c r="Y681" s="239"/>
      <c r="Z681" s="239"/>
      <c r="AA681" s="239"/>
      <c r="AB681" s="239"/>
      <c r="AC681" s="239"/>
      <c r="AD681" s="239"/>
      <c r="AE681" s="239"/>
      <c r="AF681" s="239"/>
      <c r="AG681" s="239"/>
      <c r="AH681" s="239"/>
      <c r="AI681" s="239"/>
      <c r="AJ681" s="239"/>
    </row>
    <row r="682">
      <c r="A682" s="239"/>
      <c r="B682" s="239"/>
      <c r="C682" s="239"/>
      <c r="D682" s="239"/>
      <c r="E682" s="239"/>
      <c r="F682" s="283"/>
      <c r="G682" s="239"/>
      <c r="H682" s="239"/>
      <c r="I682" s="239"/>
      <c r="J682" s="239"/>
      <c r="K682" s="239"/>
      <c r="L682" s="239"/>
      <c r="M682" s="239"/>
      <c r="N682" s="239"/>
      <c r="O682" s="239"/>
      <c r="P682" s="246"/>
      <c r="Q682" s="239"/>
      <c r="R682" s="239"/>
      <c r="S682" s="239"/>
      <c r="T682" s="239"/>
      <c r="U682" s="239"/>
      <c r="V682" s="239"/>
      <c r="W682" s="246"/>
      <c r="X682" s="239"/>
      <c r="Y682" s="239"/>
      <c r="Z682" s="239"/>
      <c r="AA682" s="239"/>
      <c r="AB682" s="239"/>
      <c r="AC682" s="239"/>
      <c r="AD682" s="239"/>
      <c r="AE682" s="239"/>
      <c r="AF682" s="239"/>
      <c r="AG682" s="239"/>
      <c r="AH682" s="239"/>
      <c r="AI682" s="239"/>
      <c r="AJ682" s="239"/>
    </row>
    <row r="683">
      <c r="A683" s="239"/>
      <c r="B683" s="239"/>
      <c r="C683" s="239"/>
      <c r="D683" s="239"/>
      <c r="E683" s="239"/>
      <c r="F683" s="283"/>
      <c r="G683" s="239"/>
      <c r="H683" s="239"/>
      <c r="I683" s="239"/>
      <c r="J683" s="239"/>
      <c r="K683" s="239"/>
      <c r="L683" s="239"/>
      <c r="M683" s="239"/>
      <c r="N683" s="239"/>
      <c r="O683" s="239"/>
      <c r="P683" s="246"/>
      <c r="Q683" s="239"/>
      <c r="R683" s="239"/>
      <c r="S683" s="239"/>
      <c r="T683" s="239"/>
      <c r="U683" s="239"/>
      <c r="V683" s="239"/>
      <c r="W683" s="246"/>
      <c r="X683" s="239"/>
      <c r="Y683" s="239"/>
      <c r="Z683" s="239"/>
      <c r="AA683" s="239"/>
      <c r="AB683" s="239"/>
      <c r="AC683" s="239"/>
      <c r="AD683" s="239"/>
      <c r="AE683" s="239"/>
      <c r="AF683" s="239"/>
      <c r="AG683" s="239"/>
      <c r="AH683" s="239"/>
      <c r="AI683" s="239"/>
      <c r="AJ683" s="239"/>
    </row>
    <row r="684">
      <c r="A684" s="239"/>
      <c r="B684" s="239"/>
      <c r="C684" s="239"/>
      <c r="D684" s="239"/>
      <c r="E684" s="239"/>
      <c r="F684" s="283"/>
      <c r="G684" s="239"/>
      <c r="H684" s="239"/>
      <c r="I684" s="239"/>
      <c r="J684" s="239"/>
      <c r="K684" s="239"/>
      <c r="L684" s="239"/>
      <c r="M684" s="239"/>
      <c r="N684" s="239"/>
      <c r="O684" s="239"/>
      <c r="P684" s="246"/>
      <c r="Q684" s="239"/>
      <c r="R684" s="239"/>
      <c r="S684" s="239"/>
      <c r="T684" s="239"/>
      <c r="U684" s="239"/>
      <c r="V684" s="239"/>
      <c r="W684" s="246"/>
      <c r="X684" s="239"/>
      <c r="Y684" s="239"/>
      <c r="Z684" s="239"/>
      <c r="AA684" s="239"/>
      <c r="AB684" s="239"/>
      <c r="AC684" s="239"/>
      <c r="AD684" s="239"/>
      <c r="AE684" s="239"/>
      <c r="AF684" s="239"/>
      <c r="AG684" s="239"/>
      <c r="AH684" s="239"/>
      <c r="AI684" s="239"/>
      <c r="AJ684" s="239"/>
    </row>
    <row r="685">
      <c r="A685" s="239"/>
      <c r="B685" s="239"/>
      <c r="C685" s="239"/>
      <c r="D685" s="239"/>
      <c r="E685" s="239"/>
      <c r="F685" s="283"/>
      <c r="G685" s="239"/>
      <c r="H685" s="239"/>
      <c r="I685" s="239"/>
      <c r="J685" s="239"/>
      <c r="K685" s="239"/>
      <c r="L685" s="239"/>
      <c r="M685" s="239"/>
      <c r="N685" s="239"/>
      <c r="O685" s="239"/>
      <c r="P685" s="246"/>
      <c r="Q685" s="239"/>
      <c r="R685" s="239"/>
      <c r="S685" s="239"/>
      <c r="T685" s="239"/>
      <c r="U685" s="239"/>
      <c r="V685" s="239"/>
      <c r="W685" s="246"/>
      <c r="X685" s="239"/>
      <c r="Y685" s="239"/>
      <c r="Z685" s="239"/>
      <c r="AA685" s="239"/>
      <c r="AB685" s="239"/>
      <c r="AC685" s="239"/>
      <c r="AD685" s="239"/>
      <c r="AE685" s="239"/>
      <c r="AF685" s="239"/>
      <c r="AG685" s="239"/>
      <c r="AH685" s="239"/>
      <c r="AI685" s="239"/>
      <c r="AJ685" s="239"/>
    </row>
    <row r="686">
      <c r="A686" s="239"/>
      <c r="B686" s="239"/>
      <c r="C686" s="239"/>
      <c r="D686" s="239"/>
      <c r="E686" s="239"/>
      <c r="F686" s="283"/>
      <c r="G686" s="239"/>
      <c r="H686" s="239"/>
      <c r="I686" s="239"/>
      <c r="J686" s="239"/>
      <c r="K686" s="239"/>
      <c r="L686" s="239"/>
      <c r="M686" s="239"/>
      <c r="N686" s="239"/>
      <c r="O686" s="239"/>
      <c r="P686" s="246"/>
      <c r="Q686" s="239"/>
      <c r="R686" s="239"/>
      <c r="S686" s="239"/>
      <c r="T686" s="239"/>
      <c r="U686" s="239"/>
      <c r="V686" s="239"/>
      <c r="W686" s="246"/>
      <c r="X686" s="239"/>
      <c r="Y686" s="239"/>
      <c r="Z686" s="239"/>
      <c r="AA686" s="239"/>
      <c r="AB686" s="239"/>
      <c r="AC686" s="239"/>
      <c r="AD686" s="239"/>
      <c r="AE686" s="239"/>
      <c r="AF686" s="239"/>
      <c r="AG686" s="239"/>
      <c r="AH686" s="239"/>
      <c r="AI686" s="239"/>
      <c r="AJ686" s="239"/>
    </row>
    <row r="687">
      <c r="A687" s="239"/>
      <c r="B687" s="239"/>
      <c r="C687" s="239"/>
      <c r="D687" s="239"/>
      <c r="E687" s="239"/>
      <c r="F687" s="283"/>
      <c r="G687" s="239"/>
      <c r="H687" s="239"/>
      <c r="I687" s="239"/>
      <c r="J687" s="239"/>
      <c r="K687" s="239"/>
      <c r="L687" s="239"/>
      <c r="M687" s="239"/>
      <c r="N687" s="239"/>
      <c r="O687" s="239"/>
      <c r="P687" s="246"/>
      <c r="Q687" s="239"/>
      <c r="R687" s="239"/>
      <c r="S687" s="239"/>
      <c r="T687" s="239"/>
      <c r="U687" s="239"/>
      <c r="V687" s="239"/>
      <c r="W687" s="246"/>
      <c r="X687" s="239"/>
      <c r="Y687" s="239"/>
      <c r="Z687" s="239"/>
      <c r="AA687" s="239"/>
      <c r="AB687" s="239"/>
      <c r="AC687" s="239"/>
      <c r="AD687" s="239"/>
      <c r="AE687" s="239"/>
      <c r="AF687" s="239"/>
      <c r="AG687" s="239"/>
      <c r="AH687" s="239"/>
      <c r="AI687" s="239"/>
      <c r="AJ687" s="239"/>
    </row>
    <row r="688">
      <c r="A688" s="239"/>
      <c r="B688" s="239"/>
      <c r="C688" s="239"/>
      <c r="D688" s="239"/>
      <c r="E688" s="239"/>
      <c r="F688" s="283"/>
      <c r="G688" s="239"/>
      <c r="H688" s="239"/>
      <c r="I688" s="239"/>
      <c r="J688" s="239"/>
      <c r="K688" s="239"/>
      <c r="L688" s="239"/>
      <c r="M688" s="239"/>
      <c r="N688" s="239"/>
      <c r="O688" s="239"/>
      <c r="P688" s="246"/>
      <c r="Q688" s="239"/>
      <c r="R688" s="239"/>
      <c r="S688" s="239"/>
      <c r="T688" s="239"/>
      <c r="U688" s="239"/>
      <c r="V688" s="239"/>
      <c r="W688" s="246"/>
      <c r="X688" s="239"/>
      <c r="Y688" s="239"/>
      <c r="Z688" s="239"/>
      <c r="AA688" s="239"/>
      <c r="AB688" s="239"/>
      <c r="AC688" s="239"/>
      <c r="AD688" s="239"/>
      <c r="AE688" s="239"/>
      <c r="AF688" s="239"/>
      <c r="AG688" s="239"/>
      <c r="AH688" s="239"/>
      <c r="AI688" s="239"/>
      <c r="AJ688" s="239"/>
    </row>
    <row r="689">
      <c r="A689" s="239"/>
      <c r="B689" s="239"/>
      <c r="C689" s="239"/>
      <c r="D689" s="239"/>
      <c r="E689" s="239"/>
      <c r="F689" s="283"/>
      <c r="G689" s="239"/>
      <c r="H689" s="239"/>
      <c r="I689" s="239"/>
      <c r="J689" s="239"/>
      <c r="K689" s="239"/>
      <c r="L689" s="239"/>
      <c r="M689" s="239"/>
      <c r="N689" s="239"/>
      <c r="O689" s="239"/>
      <c r="P689" s="246"/>
      <c r="Q689" s="239"/>
      <c r="R689" s="239"/>
      <c r="S689" s="239"/>
      <c r="T689" s="239"/>
      <c r="U689" s="239"/>
      <c r="V689" s="239"/>
      <c r="W689" s="246"/>
      <c r="X689" s="239"/>
      <c r="Y689" s="239"/>
      <c r="Z689" s="239"/>
      <c r="AA689" s="239"/>
      <c r="AB689" s="239"/>
      <c r="AC689" s="239"/>
      <c r="AD689" s="239"/>
      <c r="AE689" s="239"/>
      <c r="AF689" s="239"/>
      <c r="AG689" s="239"/>
      <c r="AH689" s="239"/>
      <c r="AI689" s="239"/>
      <c r="AJ689" s="239"/>
    </row>
    <row r="690">
      <c r="A690" s="239"/>
      <c r="B690" s="239"/>
      <c r="C690" s="239"/>
      <c r="D690" s="239"/>
      <c r="E690" s="239"/>
      <c r="F690" s="283"/>
      <c r="G690" s="239"/>
      <c r="H690" s="239"/>
      <c r="I690" s="239"/>
      <c r="J690" s="239"/>
      <c r="K690" s="239"/>
      <c r="L690" s="239"/>
      <c r="M690" s="239"/>
      <c r="N690" s="239"/>
      <c r="O690" s="239"/>
      <c r="P690" s="246"/>
      <c r="Q690" s="239"/>
      <c r="R690" s="239"/>
      <c r="S690" s="239"/>
      <c r="T690" s="239"/>
      <c r="U690" s="239"/>
      <c r="V690" s="239"/>
      <c r="W690" s="246"/>
      <c r="X690" s="239"/>
      <c r="Y690" s="239"/>
      <c r="Z690" s="239"/>
      <c r="AA690" s="239"/>
      <c r="AB690" s="239"/>
      <c r="AC690" s="239"/>
      <c r="AD690" s="239"/>
      <c r="AE690" s="239"/>
      <c r="AF690" s="239"/>
      <c r="AG690" s="239"/>
      <c r="AH690" s="239"/>
      <c r="AI690" s="239"/>
      <c r="AJ690" s="239"/>
    </row>
    <row r="691">
      <c r="A691" s="239"/>
      <c r="B691" s="239"/>
      <c r="C691" s="239"/>
      <c r="D691" s="239"/>
      <c r="E691" s="239"/>
      <c r="F691" s="283"/>
      <c r="G691" s="239"/>
      <c r="H691" s="239"/>
      <c r="I691" s="239"/>
      <c r="J691" s="239"/>
      <c r="K691" s="239"/>
      <c r="L691" s="239"/>
      <c r="M691" s="239"/>
      <c r="N691" s="239"/>
      <c r="O691" s="239"/>
      <c r="P691" s="246"/>
      <c r="Q691" s="239"/>
      <c r="R691" s="239"/>
      <c r="S691" s="239"/>
      <c r="T691" s="239"/>
      <c r="U691" s="239"/>
      <c r="V691" s="239"/>
      <c r="W691" s="246"/>
      <c r="X691" s="239"/>
      <c r="Y691" s="239"/>
      <c r="Z691" s="239"/>
      <c r="AA691" s="239"/>
      <c r="AB691" s="239"/>
      <c r="AC691" s="239"/>
      <c r="AD691" s="239"/>
      <c r="AE691" s="239"/>
      <c r="AF691" s="239"/>
      <c r="AG691" s="239"/>
      <c r="AH691" s="239"/>
      <c r="AI691" s="239"/>
      <c r="AJ691" s="239"/>
    </row>
    <row r="692">
      <c r="A692" s="239"/>
      <c r="B692" s="239"/>
      <c r="C692" s="239"/>
      <c r="D692" s="239"/>
      <c r="E692" s="239"/>
      <c r="F692" s="283"/>
      <c r="G692" s="239"/>
      <c r="H692" s="239"/>
      <c r="I692" s="239"/>
      <c r="J692" s="239"/>
      <c r="K692" s="239"/>
      <c r="L692" s="239"/>
      <c r="M692" s="239"/>
      <c r="N692" s="239"/>
      <c r="O692" s="239"/>
      <c r="P692" s="246"/>
      <c r="Q692" s="239"/>
      <c r="R692" s="239"/>
      <c r="S692" s="239"/>
      <c r="T692" s="239"/>
      <c r="U692" s="239"/>
      <c r="V692" s="239"/>
      <c r="W692" s="246"/>
      <c r="X692" s="239"/>
      <c r="Y692" s="239"/>
      <c r="Z692" s="239"/>
      <c r="AA692" s="239"/>
      <c r="AB692" s="239"/>
      <c r="AC692" s="239"/>
      <c r="AD692" s="239"/>
      <c r="AE692" s="239"/>
      <c r="AF692" s="239"/>
      <c r="AG692" s="239"/>
      <c r="AH692" s="239"/>
      <c r="AI692" s="239"/>
      <c r="AJ692" s="239"/>
    </row>
    <row r="693">
      <c r="A693" s="239"/>
      <c r="B693" s="239"/>
      <c r="C693" s="239"/>
      <c r="D693" s="239"/>
      <c r="E693" s="239"/>
      <c r="F693" s="283"/>
      <c r="G693" s="239"/>
      <c r="H693" s="239"/>
      <c r="I693" s="239"/>
      <c r="J693" s="239"/>
      <c r="K693" s="239"/>
      <c r="L693" s="239"/>
      <c r="M693" s="239"/>
      <c r="N693" s="239"/>
      <c r="O693" s="239"/>
      <c r="P693" s="246"/>
      <c r="Q693" s="239"/>
      <c r="R693" s="239"/>
      <c r="S693" s="239"/>
      <c r="T693" s="239"/>
      <c r="U693" s="239"/>
      <c r="V693" s="239"/>
      <c r="W693" s="246"/>
      <c r="X693" s="239"/>
      <c r="Y693" s="239"/>
      <c r="Z693" s="239"/>
      <c r="AA693" s="239"/>
      <c r="AB693" s="239"/>
      <c r="AC693" s="239"/>
      <c r="AD693" s="239"/>
      <c r="AE693" s="239"/>
      <c r="AF693" s="239"/>
      <c r="AG693" s="239"/>
      <c r="AH693" s="239"/>
      <c r="AI693" s="239"/>
      <c r="AJ693" s="239"/>
    </row>
    <row r="694">
      <c r="A694" s="239"/>
      <c r="B694" s="239"/>
      <c r="C694" s="239"/>
      <c r="D694" s="239"/>
      <c r="E694" s="239"/>
      <c r="F694" s="283"/>
      <c r="G694" s="239"/>
      <c r="H694" s="239"/>
      <c r="I694" s="239"/>
      <c r="J694" s="239"/>
      <c r="K694" s="239"/>
      <c r="L694" s="239"/>
      <c r="M694" s="239"/>
      <c r="N694" s="239"/>
      <c r="O694" s="239"/>
      <c r="P694" s="246"/>
      <c r="Q694" s="239"/>
      <c r="R694" s="239"/>
      <c r="S694" s="239"/>
      <c r="T694" s="239"/>
      <c r="U694" s="239"/>
      <c r="V694" s="239"/>
      <c r="W694" s="246"/>
      <c r="X694" s="239"/>
      <c r="Y694" s="239"/>
      <c r="Z694" s="239"/>
      <c r="AA694" s="239"/>
      <c r="AB694" s="239"/>
      <c r="AC694" s="239"/>
      <c r="AD694" s="239"/>
      <c r="AE694" s="239"/>
      <c r="AF694" s="239"/>
      <c r="AG694" s="239"/>
      <c r="AH694" s="239"/>
      <c r="AI694" s="239"/>
      <c r="AJ694" s="239"/>
    </row>
    <row r="695">
      <c r="A695" s="239"/>
      <c r="B695" s="239"/>
      <c r="C695" s="239"/>
      <c r="D695" s="239"/>
      <c r="E695" s="239"/>
      <c r="F695" s="283"/>
      <c r="G695" s="239"/>
      <c r="H695" s="239"/>
      <c r="I695" s="239"/>
      <c r="J695" s="239"/>
      <c r="K695" s="239"/>
      <c r="L695" s="239"/>
      <c r="M695" s="239"/>
      <c r="N695" s="239"/>
      <c r="O695" s="239"/>
      <c r="P695" s="246"/>
      <c r="Q695" s="239"/>
      <c r="R695" s="239"/>
      <c r="S695" s="239"/>
      <c r="T695" s="239"/>
      <c r="U695" s="239"/>
      <c r="V695" s="239"/>
      <c r="W695" s="246"/>
      <c r="X695" s="239"/>
      <c r="Y695" s="239"/>
      <c r="Z695" s="239"/>
      <c r="AA695" s="239"/>
      <c r="AB695" s="239"/>
      <c r="AC695" s="239"/>
      <c r="AD695" s="239"/>
      <c r="AE695" s="239"/>
      <c r="AF695" s="239"/>
      <c r="AG695" s="239"/>
      <c r="AH695" s="239"/>
      <c r="AI695" s="239"/>
      <c r="AJ695" s="239"/>
    </row>
    <row r="696">
      <c r="A696" s="239"/>
      <c r="B696" s="239"/>
      <c r="C696" s="239"/>
      <c r="D696" s="239"/>
      <c r="E696" s="239"/>
      <c r="F696" s="283"/>
      <c r="G696" s="239"/>
      <c r="H696" s="239"/>
      <c r="I696" s="239"/>
      <c r="J696" s="239"/>
      <c r="K696" s="239"/>
      <c r="L696" s="239"/>
      <c r="M696" s="239"/>
      <c r="N696" s="239"/>
      <c r="O696" s="239"/>
      <c r="P696" s="246"/>
      <c r="Q696" s="239"/>
      <c r="R696" s="239"/>
      <c r="S696" s="239"/>
      <c r="T696" s="239"/>
      <c r="U696" s="239"/>
      <c r="V696" s="239"/>
      <c r="W696" s="246"/>
      <c r="X696" s="239"/>
      <c r="Y696" s="239"/>
      <c r="Z696" s="239"/>
      <c r="AA696" s="239"/>
      <c r="AB696" s="239"/>
      <c r="AC696" s="239"/>
      <c r="AD696" s="239"/>
      <c r="AE696" s="239"/>
      <c r="AF696" s="239"/>
      <c r="AG696" s="239"/>
      <c r="AH696" s="239"/>
      <c r="AI696" s="239"/>
      <c r="AJ696" s="239"/>
    </row>
    <row r="697">
      <c r="A697" s="239"/>
      <c r="B697" s="239"/>
      <c r="C697" s="239"/>
      <c r="D697" s="239"/>
      <c r="E697" s="239"/>
      <c r="F697" s="283"/>
      <c r="G697" s="239"/>
      <c r="H697" s="239"/>
      <c r="I697" s="239"/>
      <c r="J697" s="239"/>
      <c r="K697" s="239"/>
      <c r="L697" s="239"/>
      <c r="M697" s="239"/>
      <c r="N697" s="239"/>
      <c r="O697" s="239"/>
      <c r="P697" s="246"/>
      <c r="Q697" s="239"/>
      <c r="R697" s="239"/>
      <c r="S697" s="239"/>
      <c r="T697" s="239"/>
      <c r="U697" s="239"/>
      <c r="V697" s="239"/>
      <c r="W697" s="246"/>
      <c r="X697" s="239"/>
      <c r="Y697" s="239"/>
      <c r="Z697" s="239"/>
      <c r="AA697" s="239"/>
      <c r="AB697" s="239"/>
      <c r="AC697" s="239"/>
      <c r="AD697" s="239"/>
      <c r="AE697" s="239"/>
      <c r="AF697" s="239"/>
      <c r="AG697" s="239"/>
      <c r="AH697" s="239"/>
      <c r="AI697" s="239"/>
      <c r="AJ697" s="239"/>
    </row>
    <row r="698">
      <c r="A698" s="239"/>
      <c r="B698" s="239"/>
      <c r="C698" s="239"/>
      <c r="D698" s="239"/>
      <c r="E698" s="239"/>
      <c r="F698" s="283"/>
      <c r="G698" s="239"/>
      <c r="H698" s="239"/>
      <c r="I698" s="239"/>
      <c r="J698" s="239"/>
      <c r="K698" s="239"/>
      <c r="L698" s="239"/>
      <c r="M698" s="239"/>
      <c r="N698" s="239"/>
      <c r="O698" s="239"/>
      <c r="P698" s="246"/>
      <c r="Q698" s="239"/>
      <c r="R698" s="239"/>
      <c r="S698" s="239"/>
      <c r="T698" s="239"/>
      <c r="U698" s="239"/>
      <c r="V698" s="239"/>
      <c r="W698" s="246"/>
      <c r="X698" s="239"/>
      <c r="Y698" s="239"/>
      <c r="Z698" s="239"/>
      <c r="AA698" s="239"/>
      <c r="AB698" s="239"/>
      <c r="AC698" s="239"/>
      <c r="AD698" s="239"/>
      <c r="AE698" s="239"/>
      <c r="AF698" s="239"/>
      <c r="AG698" s="239"/>
      <c r="AH698" s="239"/>
      <c r="AI698" s="239"/>
      <c r="AJ698" s="239"/>
    </row>
    <row r="699">
      <c r="A699" s="239"/>
      <c r="B699" s="239"/>
      <c r="C699" s="239"/>
      <c r="D699" s="239"/>
      <c r="E699" s="239"/>
      <c r="F699" s="283"/>
      <c r="G699" s="239"/>
      <c r="H699" s="239"/>
      <c r="I699" s="239"/>
      <c r="J699" s="239"/>
      <c r="K699" s="239"/>
      <c r="L699" s="239"/>
      <c r="M699" s="239"/>
      <c r="N699" s="239"/>
      <c r="O699" s="239"/>
      <c r="P699" s="246"/>
      <c r="Q699" s="239"/>
      <c r="R699" s="239"/>
      <c r="S699" s="239"/>
      <c r="T699" s="239"/>
      <c r="U699" s="239"/>
      <c r="V699" s="239"/>
      <c r="W699" s="246"/>
      <c r="X699" s="239"/>
      <c r="Y699" s="239"/>
      <c r="Z699" s="239"/>
      <c r="AA699" s="239"/>
      <c r="AB699" s="239"/>
      <c r="AC699" s="239"/>
      <c r="AD699" s="239"/>
      <c r="AE699" s="239"/>
      <c r="AF699" s="239"/>
      <c r="AG699" s="239"/>
      <c r="AH699" s="239"/>
      <c r="AI699" s="239"/>
      <c r="AJ699" s="239"/>
    </row>
    <row r="700">
      <c r="A700" s="239"/>
      <c r="B700" s="239"/>
      <c r="C700" s="239"/>
      <c r="D700" s="239"/>
      <c r="E700" s="239"/>
      <c r="F700" s="283"/>
      <c r="G700" s="239"/>
      <c r="H700" s="239"/>
      <c r="I700" s="239"/>
      <c r="J700" s="239"/>
      <c r="K700" s="239"/>
      <c r="L700" s="239"/>
      <c r="M700" s="239"/>
      <c r="N700" s="239"/>
      <c r="O700" s="239"/>
      <c r="P700" s="246"/>
      <c r="Q700" s="239"/>
      <c r="R700" s="239"/>
      <c r="S700" s="239"/>
      <c r="T700" s="239"/>
      <c r="U700" s="239"/>
      <c r="V700" s="239"/>
      <c r="W700" s="246"/>
      <c r="X700" s="239"/>
      <c r="Y700" s="239"/>
      <c r="Z700" s="239"/>
      <c r="AA700" s="239"/>
      <c r="AB700" s="239"/>
      <c r="AC700" s="239"/>
      <c r="AD700" s="239"/>
      <c r="AE700" s="239"/>
      <c r="AF700" s="239"/>
      <c r="AG700" s="239"/>
      <c r="AH700" s="239"/>
      <c r="AI700" s="239"/>
      <c r="AJ700" s="239"/>
    </row>
    <row r="701">
      <c r="A701" s="239"/>
      <c r="B701" s="239"/>
      <c r="C701" s="239"/>
      <c r="D701" s="239"/>
      <c r="E701" s="239"/>
      <c r="F701" s="283"/>
      <c r="G701" s="239"/>
      <c r="H701" s="239"/>
      <c r="I701" s="239"/>
      <c r="J701" s="239"/>
      <c r="K701" s="239"/>
      <c r="L701" s="239"/>
      <c r="M701" s="239"/>
      <c r="N701" s="239"/>
      <c r="O701" s="239"/>
      <c r="P701" s="246"/>
      <c r="Q701" s="239"/>
      <c r="R701" s="239"/>
      <c r="S701" s="239"/>
      <c r="T701" s="239"/>
      <c r="U701" s="239"/>
      <c r="V701" s="239"/>
      <c r="W701" s="246"/>
      <c r="X701" s="239"/>
      <c r="Y701" s="239"/>
      <c r="Z701" s="239"/>
      <c r="AA701" s="239"/>
      <c r="AB701" s="239"/>
      <c r="AC701" s="239"/>
      <c r="AD701" s="239"/>
      <c r="AE701" s="239"/>
      <c r="AF701" s="239"/>
      <c r="AG701" s="239"/>
      <c r="AH701" s="239"/>
      <c r="AI701" s="239"/>
      <c r="AJ701" s="239"/>
    </row>
    <row r="702">
      <c r="A702" s="239"/>
      <c r="B702" s="239"/>
      <c r="C702" s="239"/>
      <c r="D702" s="239"/>
      <c r="E702" s="239"/>
      <c r="F702" s="283"/>
      <c r="G702" s="239"/>
      <c r="H702" s="239"/>
      <c r="I702" s="239"/>
      <c r="J702" s="239"/>
      <c r="K702" s="239"/>
      <c r="L702" s="239"/>
      <c r="M702" s="239"/>
      <c r="N702" s="239"/>
      <c r="O702" s="239"/>
      <c r="P702" s="246"/>
      <c r="Q702" s="239"/>
      <c r="R702" s="239"/>
      <c r="S702" s="239"/>
      <c r="T702" s="239"/>
      <c r="U702" s="239"/>
      <c r="V702" s="239"/>
      <c r="W702" s="246"/>
      <c r="X702" s="239"/>
      <c r="Y702" s="239"/>
      <c r="Z702" s="239"/>
      <c r="AA702" s="239"/>
      <c r="AB702" s="239"/>
      <c r="AC702" s="239"/>
      <c r="AD702" s="239"/>
      <c r="AE702" s="239"/>
      <c r="AF702" s="239"/>
      <c r="AG702" s="239"/>
      <c r="AH702" s="239"/>
      <c r="AI702" s="239"/>
      <c r="AJ702" s="239"/>
    </row>
    <row r="703">
      <c r="A703" s="239"/>
      <c r="B703" s="239"/>
      <c r="C703" s="239"/>
      <c r="D703" s="239"/>
      <c r="E703" s="239"/>
      <c r="F703" s="283"/>
      <c r="G703" s="239"/>
      <c r="H703" s="239"/>
      <c r="I703" s="239"/>
      <c r="J703" s="239"/>
      <c r="K703" s="239"/>
      <c r="L703" s="239"/>
      <c r="M703" s="239"/>
      <c r="N703" s="239"/>
      <c r="O703" s="239"/>
      <c r="P703" s="246"/>
      <c r="Q703" s="239"/>
      <c r="R703" s="239"/>
      <c r="S703" s="239"/>
      <c r="T703" s="239"/>
      <c r="U703" s="239"/>
      <c r="V703" s="239"/>
      <c r="W703" s="246"/>
      <c r="X703" s="239"/>
      <c r="Y703" s="239"/>
      <c r="Z703" s="239"/>
      <c r="AA703" s="239"/>
      <c r="AB703" s="239"/>
      <c r="AC703" s="239"/>
      <c r="AD703" s="239"/>
      <c r="AE703" s="239"/>
      <c r="AF703" s="239"/>
      <c r="AG703" s="239"/>
      <c r="AH703" s="239"/>
      <c r="AI703" s="239"/>
      <c r="AJ703" s="239"/>
    </row>
    <row r="704">
      <c r="A704" s="239"/>
      <c r="B704" s="239"/>
      <c r="C704" s="239"/>
      <c r="D704" s="239"/>
      <c r="E704" s="239"/>
      <c r="F704" s="283"/>
      <c r="G704" s="239"/>
      <c r="H704" s="239"/>
      <c r="I704" s="239"/>
      <c r="J704" s="239"/>
      <c r="K704" s="239"/>
      <c r="L704" s="239"/>
      <c r="M704" s="239"/>
      <c r="N704" s="239"/>
      <c r="O704" s="239"/>
      <c r="P704" s="246"/>
      <c r="Q704" s="239"/>
      <c r="R704" s="239"/>
      <c r="S704" s="239"/>
      <c r="T704" s="239"/>
      <c r="U704" s="239"/>
      <c r="V704" s="239"/>
      <c r="W704" s="246"/>
      <c r="X704" s="239"/>
      <c r="Y704" s="239"/>
      <c r="Z704" s="239"/>
      <c r="AA704" s="239"/>
      <c r="AB704" s="239"/>
      <c r="AC704" s="239"/>
      <c r="AD704" s="239"/>
      <c r="AE704" s="239"/>
      <c r="AF704" s="239"/>
      <c r="AG704" s="239"/>
      <c r="AH704" s="239"/>
      <c r="AI704" s="239"/>
      <c r="AJ704" s="239"/>
    </row>
    <row r="705">
      <c r="A705" s="239"/>
      <c r="B705" s="239"/>
      <c r="C705" s="239"/>
      <c r="D705" s="239"/>
      <c r="E705" s="239"/>
      <c r="F705" s="283"/>
      <c r="G705" s="239"/>
      <c r="H705" s="239"/>
      <c r="I705" s="239"/>
      <c r="J705" s="239"/>
      <c r="K705" s="239"/>
      <c r="L705" s="239"/>
      <c r="M705" s="239"/>
      <c r="N705" s="239"/>
      <c r="O705" s="239"/>
      <c r="P705" s="246"/>
      <c r="Q705" s="239"/>
      <c r="R705" s="239"/>
      <c r="S705" s="239"/>
      <c r="T705" s="239"/>
      <c r="U705" s="239"/>
      <c r="V705" s="239"/>
      <c r="W705" s="246"/>
      <c r="X705" s="239"/>
      <c r="Y705" s="239"/>
      <c r="Z705" s="239"/>
      <c r="AA705" s="239"/>
      <c r="AB705" s="239"/>
      <c r="AC705" s="239"/>
      <c r="AD705" s="239"/>
      <c r="AE705" s="239"/>
      <c r="AF705" s="239"/>
      <c r="AG705" s="239"/>
      <c r="AH705" s="239"/>
      <c r="AI705" s="239"/>
      <c r="AJ705" s="239"/>
    </row>
    <row r="706">
      <c r="A706" s="239"/>
      <c r="B706" s="239"/>
      <c r="C706" s="239"/>
      <c r="D706" s="239"/>
      <c r="E706" s="239"/>
      <c r="F706" s="283"/>
      <c r="G706" s="239"/>
      <c r="H706" s="239"/>
      <c r="I706" s="239"/>
      <c r="J706" s="239"/>
      <c r="K706" s="239"/>
      <c r="L706" s="239"/>
      <c r="M706" s="239"/>
      <c r="N706" s="239"/>
      <c r="O706" s="239"/>
      <c r="P706" s="246"/>
      <c r="Q706" s="239"/>
      <c r="R706" s="239"/>
      <c r="S706" s="239"/>
      <c r="T706" s="239"/>
      <c r="U706" s="239"/>
      <c r="V706" s="239"/>
      <c r="W706" s="246"/>
      <c r="X706" s="239"/>
      <c r="Y706" s="239"/>
      <c r="Z706" s="239"/>
      <c r="AA706" s="239"/>
      <c r="AB706" s="239"/>
      <c r="AC706" s="239"/>
      <c r="AD706" s="239"/>
      <c r="AE706" s="239"/>
      <c r="AF706" s="239"/>
      <c r="AG706" s="239"/>
      <c r="AH706" s="239"/>
      <c r="AI706" s="239"/>
      <c r="AJ706" s="239"/>
    </row>
    <row r="707">
      <c r="A707" s="239"/>
      <c r="B707" s="239"/>
      <c r="C707" s="239"/>
      <c r="D707" s="239"/>
      <c r="E707" s="239"/>
      <c r="F707" s="283"/>
      <c r="G707" s="239"/>
      <c r="H707" s="239"/>
      <c r="I707" s="239"/>
      <c r="J707" s="239"/>
      <c r="K707" s="239"/>
      <c r="L707" s="239"/>
      <c r="M707" s="239"/>
      <c r="N707" s="239"/>
      <c r="O707" s="239"/>
      <c r="P707" s="246"/>
      <c r="Q707" s="239"/>
      <c r="R707" s="239"/>
      <c r="S707" s="239"/>
      <c r="T707" s="239"/>
      <c r="U707" s="239"/>
      <c r="V707" s="239"/>
      <c r="W707" s="246"/>
      <c r="X707" s="239"/>
      <c r="Y707" s="239"/>
      <c r="Z707" s="239"/>
      <c r="AA707" s="239"/>
      <c r="AB707" s="239"/>
      <c r="AC707" s="239"/>
      <c r="AD707" s="239"/>
      <c r="AE707" s="239"/>
      <c r="AF707" s="239"/>
      <c r="AG707" s="239"/>
      <c r="AH707" s="239"/>
      <c r="AI707" s="239"/>
      <c r="AJ707" s="239"/>
    </row>
    <row r="708">
      <c r="A708" s="239"/>
      <c r="B708" s="239"/>
      <c r="C708" s="239"/>
      <c r="D708" s="239"/>
      <c r="E708" s="239"/>
      <c r="F708" s="283"/>
      <c r="G708" s="239"/>
      <c r="H708" s="239"/>
      <c r="I708" s="239"/>
      <c r="J708" s="239"/>
      <c r="K708" s="239"/>
      <c r="L708" s="239"/>
      <c r="M708" s="239"/>
      <c r="N708" s="239"/>
      <c r="O708" s="239"/>
      <c r="P708" s="246"/>
      <c r="Q708" s="239"/>
      <c r="R708" s="239"/>
      <c r="S708" s="239"/>
      <c r="T708" s="239"/>
      <c r="U708" s="239"/>
      <c r="V708" s="239"/>
      <c r="W708" s="246"/>
      <c r="X708" s="239"/>
      <c r="Y708" s="239"/>
      <c r="Z708" s="239"/>
      <c r="AA708" s="239"/>
      <c r="AB708" s="239"/>
      <c r="AC708" s="239"/>
      <c r="AD708" s="239"/>
      <c r="AE708" s="239"/>
      <c r="AF708" s="239"/>
      <c r="AG708" s="239"/>
      <c r="AH708" s="239"/>
      <c r="AI708" s="239"/>
      <c r="AJ708" s="239"/>
    </row>
    <row r="709">
      <c r="A709" s="239"/>
      <c r="B709" s="239"/>
      <c r="C709" s="239"/>
      <c r="D709" s="239"/>
      <c r="E709" s="239"/>
      <c r="F709" s="283"/>
      <c r="G709" s="239"/>
      <c r="H709" s="239"/>
      <c r="I709" s="239"/>
      <c r="J709" s="239"/>
      <c r="K709" s="239"/>
      <c r="L709" s="239"/>
      <c r="M709" s="239"/>
      <c r="N709" s="239"/>
      <c r="O709" s="239"/>
      <c r="P709" s="246"/>
      <c r="Q709" s="239"/>
      <c r="R709" s="239"/>
      <c r="S709" s="239"/>
      <c r="T709" s="239"/>
      <c r="U709" s="239"/>
      <c r="V709" s="239"/>
      <c r="W709" s="246"/>
      <c r="X709" s="239"/>
      <c r="Y709" s="239"/>
      <c r="Z709" s="239"/>
      <c r="AA709" s="239"/>
      <c r="AB709" s="239"/>
      <c r="AC709" s="239"/>
      <c r="AD709" s="239"/>
      <c r="AE709" s="239"/>
      <c r="AF709" s="239"/>
      <c r="AG709" s="239"/>
      <c r="AH709" s="239"/>
      <c r="AI709" s="239"/>
      <c r="AJ709" s="239"/>
    </row>
    <row r="710">
      <c r="A710" s="239"/>
      <c r="B710" s="239"/>
      <c r="C710" s="239"/>
      <c r="D710" s="239"/>
      <c r="E710" s="239"/>
      <c r="F710" s="283"/>
      <c r="G710" s="239"/>
      <c r="H710" s="239"/>
      <c r="I710" s="239"/>
      <c r="J710" s="239"/>
      <c r="K710" s="239"/>
      <c r="L710" s="239"/>
      <c r="M710" s="239"/>
      <c r="N710" s="239"/>
      <c r="O710" s="239"/>
      <c r="P710" s="246"/>
      <c r="Q710" s="239"/>
      <c r="R710" s="239"/>
      <c r="S710" s="239"/>
      <c r="T710" s="239"/>
      <c r="U710" s="239"/>
      <c r="V710" s="239"/>
      <c r="W710" s="246"/>
      <c r="X710" s="239"/>
      <c r="Y710" s="239"/>
      <c r="Z710" s="239"/>
      <c r="AA710" s="239"/>
      <c r="AB710" s="239"/>
      <c r="AC710" s="239"/>
      <c r="AD710" s="239"/>
      <c r="AE710" s="239"/>
      <c r="AF710" s="239"/>
      <c r="AG710" s="239"/>
      <c r="AH710" s="239"/>
      <c r="AI710" s="239"/>
      <c r="AJ710" s="239"/>
    </row>
    <row r="711">
      <c r="A711" s="239"/>
      <c r="B711" s="239"/>
      <c r="C711" s="239"/>
      <c r="D711" s="239"/>
      <c r="E711" s="239"/>
      <c r="F711" s="283"/>
      <c r="G711" s="239"/>
      <c r="H711" s="239"/>
      <c r="I711" s="239"/>
      <c r="J711" s="239"/>
      <c r="K711" s="239"/>
      <c r="L711" s="239"/>
      <c r="M711" s="239"/>
      <c r="N711" s="239"/>
      <c r="O711" s="239"/>
      <c r="P711" s="246"/>
      <c r="Q711" s="239"/>
      <c r="R711" s="239"/>
      <c r="S711" s="239"/>
      <c r="T711" s="239"/>
      <c r="U711" s="239"/>
      <c r="V711" s="239"/>
      <c r="W711" s="246"/>
      <c r="X711" s="239"/>
      <c r="Y711" s="239"/>
      <c r="Z711" s="239"/>
      <c r="AA711" s="239"/>
      <c r="AB711" s="239"/>
      <c r="AC711" s="239"/>
      <c r="AD711" s="239"/>
      <c r="AE711" s="239"/>
      <c r="AF711" s="239"/>
      <c r="AG711" s="239"/>
      <c r="AH711" s="239"/>
      <c r="AI711" s="239"/>
      <c r="AJ711" s="239"/>
    </row>
    <row r="712">
      <c r="A712" s="239"/>
      <c r="B712" s="239"/>
      <c r="C712" s="239"/>
      <c r="D712" s="239"/>
      <c r="E712" s="239"/>
      <c r="F712" s="283"/>
      <c r="G712" s="239"/>
      <c r="H712" s="239"/>
      <c r="I712" s="239"/>
      <c r="J712" s="239"/>
      <c r="K712" s="239"/>
      <c r="L712" s="239"/>
      <c r="M712" s="239"/>
      <c r="N712" s="239"/>
      <c r="O712" s="239"/>
      <c r="P712" s="246"/>
      <c r="Q712" s="239"/>
      <c r="R712" s="239"/>
      <c r="S712" s="239"/>
      <c r="T712" s="239"/>
      <c r="U712" s="239"/>
      <c r="V712" s="239"/>
      <c r="W712" s="246"/>
      <c r="X712" s="239"/>
      <c r="Y712" s="239"/>
      <c r="Z712" s="239"/>
      <c r="AA712" s="239"/>
      <c r="AB712" s="239"/>
      <c r="AC712" s="239"/>
      <c r="AD712" s="239"/>
      <c r="AE712" s="239"/>
      <c r="AF712" s="239"/>
      <c r="AG712" s="239"/>
      <c r="AH712" s="239"/>
      <c r="AI712" s="239"/>
      <c r="AJ712" s="239"/>
    </row>
    <row r="713">
      <c r="A713" s="239"/>
      <c r="B713" s="239"/>
      <c r="C713" s="239"/>
      <c r="D713" s="239"/>
      <c r="E713" s="239"/>
      <c r="F713" s="283"/>
      <c r="G713" s="239"/>
      <c r="H713" s="239"/>
      <c r="I713" s="239"/>
      <c r="J713" s="239"/>
      <c r="K713" s="239"/>
      <c r="L713" s="239"/>
      <c r="M713" s="239"/>
      <c r="N713" s="239"/>
      <c r="O713" s="239"/>
      <c r="P713" s="246"/>
      <c r="Q713" s="239"/>
      <c r="R713" s="239"/>
      <c r="S713" s="239"/>
      <c r="T713" s="239"/>
      <c r="U713" s="239"/>
      <c r="V713" s="239"/>
      <c r="W713" s="246"/>
      <c r="X713" s="239"/>
      <c r="Y713" s="239"/>
      <c r="Z713" s="239"/>
      <c r="AA713" s="239"/>
      <c r="AB713" s="239"/>
      <c r="AC713" s="239"/>
      <c r="AD713" s="239"/>
      <c r="AE713" s="239"/>
      <c r="AF713" s="239"/>
      <c r="AG713" s="239"/>
      <c r="AH713" s="239"/>
      <c r="AI713" s="239"/>
      <c r="AJ713" s="239"/>
    </row>
    <row r="714">
      <c r="A714" s="239"/>
      <c r="B714" s="239"/>
      <c r="C714" s="239"/>
      <c r="D714" s="239"/>
      <c r="E714" s="239"/>
      <c r="F714" s="283"/>
      <c r="G714" s="239"/>
      <c r="H714" s="239"/>
      <c r="I714" s="239"/>
      <c r="J714" s="239"/>
      <c r="K714" s="239"/>
      <c r="L714" s="239"/>
      <c r="M714" s="239"/>
      <c r="N714" s="239"/>
      <c r="O714" s="239"/>
      <c r="P714" s="246"/>
      <c r="Q714" s="239"/>
      <c r="R714" s="239"/>
      <c r="S714" s="239"/>
      <c r="T714" s="239"/>
      <c r="U714" s="239"/>
      <c r="V714" s="239"/>
      <c r="W714" s="246"/>
      <c r="X714" s="239"/>
      <c r="Y714" s="239"/>
      <c r="Z714" s="239"/>
      <c r="AA714" s="239"/>
      <c r="AB714" s="239"/>
      <c r="AC714" s="239"/>
      <c r="AD714" s="239"/>
      <c r="AE714" s="239"/>
      <c r="AF714" s="239"/>
      <c r="AG714" s="239"/>
      <c r="AH714" s="239"/>
      <c r="AI714" s="239"/>
      <c r="AJ714" s="239"/>
    </row>
    <row r="715">
      <c r="A715" s="239"/>
      <c r="B715" s="239"/>
      <c r="C715" s="239"/>
      <c r="D715" s="239"/>
      <c r="E715" s="239"/>
      <c r="F715" s="283"/>
      <c r="G715" s="239"/>
      <c r="H715" s="239"/>
      <c r="I715" s="239"/>
      <c r="J715" s="239"/>
      <c r="K715" s="239"/>
      <c r="L715" s="239"/>
      <c r="M715" s="239"/>
      <c r="N715" s="239"/>
      <c r="O715" s="239"/>
      <c r="P715" s="246"/>
      <c r="Q715" s="239"/>
      <c r="R715" s="239"/>
      <c r="S715" s="239"/>
      <c r="T715" s="239"/>
      <c r="U715" s="239"/>
      <c r="V715" s="239"/>
      <c r="W715" s="246"/>
      <c r="X715" s="239"/>
      <c r="Y715" s="239"/>
      <c r="Z715" s="239"/>
      <c r="AA715" s="239"/>
      <c r="AB715" s="239"/>
      <c r="AC715" s="239"/>
      <c r="AD715" s="239"/>
      <c r="AE715" s="239"/>
      <c r="AF715" s="239"/>
      <c r="AG715" s="239"/>
      <c r="AH715" s="239"/>
      <c r="AI715" s="239"/>
      <c r="AJ715" s="239"/>
    </row>
    <row r="716">
      <c r="A716" s="239"/>
      <c r="B716" s="239"/>
      <c r="C716" s="239"/>
      <c r="D716" s="239"/>
      <c r="E716" s="239"/>
      <c r="F716" s="283"/>
      <c r="G716" s="239"/>
      <c r="H716" s="239"/>
      <c r="I716" s="239"/>
      <c r="J716" s="239"/>
      <c r="K716" s="239"/>
      <c r="L716" s="239"/>
      <c r="M716" s="239"/>
      <c r="N716" s="239"/>
      <c r="O716" s="239"/>
      <c r="P716" s="246"/>
      <c r="Q716" s="239"/>
      <c r="R716" s="239"/>
      <c r="S716" s="239"/>
      <c r="T716" s="239"/>
      <c r="U716" s="239"/>
      <c r="V716" s="239"/>
      <c r="W716" s="246"/>
      <c r="X716" s="239"/>
      <c r="Y716" s="239"/>
      <c r="Z716" s="239"/>
      <c r="AA716" s="239"/>
      <c r="AB716" s="239"/>
      <c r="AC716" s="239"/>
      <c r="AD716" s="239"/>
      <c r="AE716" s="239"/>
      <c r="AF716" s="239"/>
      <c r="AG716" s="239"/>
      <c r="AH716" s="239"/>
      <c r="AI716" s="239"/>
      <c r="AJ716" s="239"/>
    </row>
    <row r="717">
      <c r="A717" s="239"/>
      <c r="B717" s="239"/>
      <c r="C717" s="239"/>
      <c r="D717" s="239"/>
      <c r="E717" s="239"/>
      <c r="F717" s="283"/>
      <c r="G717" s="239"/>
      <c r="H717" s="239"/>
      <c r="I717" s="239"/>
      <c r="J717" s="239"/>
      <c r="K717" s="239"/>
      <c r="L717" s="239"/>
      <c r="M717" s="239"/>
      <c r="N717" s="239"/>
      <c r="O717" s="239"/>
      <c r="P717" s="246"/>
      <c r="Q717" s="239"/>
      <c r="R717" s="239"/>
      <c r="S717" s="239"/>
      <c r="T717" s="239"/>
      <c r="U717" s="239"/>
      <c r="V717" s="239"/>
      <c r="W717" s="246"/>
      <c r="X717" s="239"/>
      <c r="Y717" s="239"/>
      <c r="Z717" s="239"/>
      <c r="AA717" s="239"/>
      <c r="AB717" s="239"/>
      <c r="AC717" s="239"/>
      <c r="AD717" s="239"/>
      <c r="AE717" s="239"/>
      <c r="AF717" s="239"/>
      <c r="AG717" s="239"/>
      <c r="AH717" s="239"/>
      <c r="AI717" s="239"/>
      <c r="AJ717" s="239"/>
    </row>
    <row r="718">
      <c r="A718" s="239"/>
      <c r="B718" s="239"/>
      <c r="C718" s="239"/>
      <c r="D718" s="239"/>
      <c r="E718" s="239"/>
      <c r="F718" s="283"/>
      <c r="G718" s="239"/>
      <c r="H718" s="239"/>
      <c r="I718" s="239"/>
      <c r="J718" s="239"/>
      <c r="K718" s="239"/>
      <c r="L718" s="239"/>
      <c r="M718" s="239"/>
      <c r="N718" s="239"/>
      <c r="O718" s="239"/>
      <c r="P718" s="246"/>
      <c r="Q718" s="239"/>
      <c r="R718" s="239"/>
      <c r="S718" s="239"/>
      <c r="T718" s="239"/>
      <c r="U718" s="239"/>
      <c r="V718" s="239"/>
      <c r="W718" s="246"/>
      <c r="X718" s="239"/>
      <c r="Y718" s="239"/>
      <c r="Z718" s="239"/>
      <c r="AA718" s="239"/>
      <c r="AB718" s="239"/>
      <c r="AC718" s="239"/>
      <c r="AD718" s="239"/>
      <c r="AE718" s="239"/>
      <c r="AF718" s="239"/>
      <c r="AG718" s="239"/>
      <c r="AH718" s="239"/>
      <c r="AI718" s="239"/>
      <c r="AJ718" s="239"/>
    </row>
    <row r="719">
      <c r="A719" s="239"/>
      <c r="B719" s="239"/>
      <c r="C719" s="239"/>
      <c r="D719" s="239"/>
      <c r="E719" s="239"/>
      <c r="F719" s="283"/>
      <c r="G719" s="239"/>
      <c r="H719" s="239"/>
      <c r="I719" s="239"/>
      <c r="J719" s="239"/>
      <c r="K719" s="239"/>
      <c r="L719" s="239"/>
      <c r="M719" s="239"/>
      <c r="N719" s="239"/>
      <c r="O719" s="239"/>
      <c r="P719" s="246"/>
      <c r="Q719" s="239"/>
      <c r="R719" s="239"/>
      <c r="S719" s="239"/>
      <c r="T719" s="239"/>
      <c r="U719" s="239"/>
      <c r="V719" s="239"/>
      <c r="W719" s="246"/>
      <c r="X719" s="239"/>
      <c r="Y719" s="239"/>
      <c r="Z719" s="239"/>
      <c r="AA719" s="239"/>
      <c r="AB719" s="239"/>
      <c r="AC719" s="239"/>
      <c r="AD719" s="239"/>
      <c r="AE719" s="239"/>
      <c r="AF719" s="239"/>
      <c r="AG719" s="239"/>
      <c r="AH719" s="239"/>
      <c r="AI719" s="239"/>
      <c r="AJ719" s="239"/>
    </row>
    <row r="720">
      <c r="A720" s="239"/>
      <c r="B720" s="239"/>
      <c r="C720" s="239"/>
      <c r="D720" s="239"/>
      <c r="E720" s="239"/>
      <c r="F720" s="283"/>
      <c r="G720" s="239"/>
      <c r="H720" s="239"/>
      <c r="I720" s="239"/>
      <c r="J720" s="239"/>
      <c r="K720" s="239"/>
      <c r="L720" s="239"/>
      <c r="M720" s="239"/>
      <c r="N720" s="239"/>
      <c r="O720" s="239"/>
      <c r="P720" s="246"/>
      <c r="Q720" s="239"/>
      <c r="R720" s="239"/>
      <c r="S720" s="239"/>
      <c r="T720" s="239"/>
      <c r="U720" s="239"/>
      <c r="V720" s="239"/>
      <c r="W720" s="246"/>
      <c r="X720" s="239"/>
      <c r="Y720" s="239"/>
      <c r="Z720" s="239"/>
      <c r="AA720" s="239"/>
      <c r="AB720" s="239"/>
      <c r="AC720" s="239"/>
      <c r="AD720" s="239"/>
      <c r="AE720" s="239"/>
      <c r="AF720" s="239"/>
      <c r="AG720" s="239"/>
      <c r="AH720" s="239"/>
      <c r="AI720" s="239"/>
      <c r="AJ720" s="239"/>
    </row>
    <row r="721">
      <c r="A721" s="239"/>
      <c r="B721" s="239"/>
      <c r="C721" s="239"/>
      <c r="D721" s="239"/>
      <c r="E721" s="239"/>
      <c r="F721" s="283"/>
      <c r="G721" s="239"/>
      <c r="H721" s="239"/>
      <c r="I721" s="239"/>
      <c r="J721" s="239"/>
      <c r="K721" s="239"/>
      <c r="L721" s="239"/>
      <c r="M721" s="239"/>
      <c r="N721" s="239"/>
      <c r="O721" s="239"/>
      <c r="P721" s="246"/>
      <c r="Q721" s="239"/>
      <c r="R721" s="239"/>
      <c r="S721" s="239"/>
      <c r="T721" s="239"/>
      <c r="U721" s="239"/>
      <c r="V721" s="239"/>
      <c r="W721" s="246"/>
      <c r="X721" s="239"/>
      <c r="Y721" s="239"/>
      <c r="Z721" s="239"/>
      <c r="AA721" s="239"/>
      <c r="AB721" s="239"/>
      <c r="AC721" s="239"/>
      <c r="AD721" s="239"/>
      <c r="AE721" s="239"/>
      <c r="AF721" s="239"/>
      <c r="AG721" s="239"/>
      <c r="AH721" s="239"/>
      <c r="AI721" s="239"/>
      <c r="AJ721" s="239"/>
    </row>
    <row r="722">
      <c r="A722" s="239"/>
      <c r="B722" s="239"/>
      <c r="C722" s="239"/>
      <c r="D722" s="239"/>
      <c r="E722" s="239"/>
      <c r="F722" s="283"/>
      <c r="G722" s="239"/>
      <c r="H722" s="239"/>
      <c r="I722" s="239"/>
      <c r="J722" s="239"/>
      <c r="K722" s="239"/>
      <c r="L722" s="239"/>
      <c r="M722" s="239"/>
      <c r="N722" s="239"/>
      <c r="O722" s="239"/>
      <c r="P722" s="246"/>
      <c r="Q722" s="239"/>
      <c r="R722" s="239"/>
      <c r="S722" s="239"/>
      <c r="T722" s="239"/>
      <c r="U722" s="239"/>
      <c r="V722" s="239"/>
      <c r="W722" s="246"/>
      <c r="X722" s="239"/>
      <c r="Y722" s="239"/>
      <c r="Z722" s="239"/>
      <c r="AA722" s="239"/>
      <c r="AB722" s="239"/>
      <c r="AC722" s="239"/>
      <c r="AD722" s="239"/>
      <c r="AE722" s="239"/>
      <c r="AF722" s="239"/>
      <c r="AG722" s="239"/>
      <c r="AH722" s="239"/>
      <c r="AI722" s="239"/>
      <c r="AJ722" s="239"/>
    </row>
    <row r="723">
      <c r="A723" s="239"/>
      <c r="B723" s="239"/>
      <c r="C723" s="239"/>
      <c r="D723" s="239"/>
      <c r="E723" s="239"/>
      <c r="F723" s="283"/>
      <c r="G723" s="239"/>
      <c r="H723" s="239"/>
      <c r="I723" s="239"/>
      <c r="J723" s="239"/>
      <c r="K723" s="239"/>
      <c r="L723" s="239"/>
      <c r="M723" s="239"/>
      <c r="N723" s="239"/>
      <c r="O723" s="239"/>
      <c r="P723" s="246"/>
      <c r="Q723" s="239"/>
      <c r="R723" s="239"/>
      <c r="S723" s="239"/>
      <c r="T723" s="239"/>
      <c r="U723" s="239"/>
      <c r="V723" s="239"/>
      <c r="W723" s="246"/>
      <c r="X723" s="239"/>
      <c r="Y723" s="239"/>
      <c r="Z723" s="239"/>
      <c r="AA723" s="239"/>
      <c r="AB723" s="239"/>
      <c r="AC723" s="239"/>
      <c r="AD723" s="239"/>
      <c r="AE723" s="239"/>
      <c r="AF723" s="239"/>
      <c r="AG723" s="239"/>
      <c r="AH723" s="239"/>
      <c r="AI723" s="239"/>
      <c r="AJ723" s="239"/>
    </row>
    <row r="724">
      <c r="A724" s="239"/>
      <c r="B724" s="239"/>
      <c r="C724" s="239"/>
      <c r="D724" s="239"/>
      <c r="E724" s="239"/>
      <c r="F724" s="283"/>
      <c r="G724" s="239"/>
      <c r="H724" s="239"/>
      <c r="I724" s="239"/>
      <c r="J724" s="239"/>
      <c r="K724" s="239"/>
      <c r="L724" s="239"/>
      <c r="M724" s="239"/>
      <c r="N724" s="239"/>
      <c r="O724" s="239"/>
      <c r="P724" s="246"/>
      <c r="Q724" s="239"/>
      <c r="R724" s="239"/>
      <c r="S724" s="239"/>
      <c r="T724" s="239"/>
      <c r="U724" s="239"/>
      <c r="V724" s="239"/>
      <c r="W724" s="246"/>
      <c r="X724" s="239"/>
      <c r="Y724" s="239"/>
      <c r="Z724" s="239"/>
      <c r="AA724" s="239"/>
      <c r="AB724" s="239"/>
      <c r="AC724" s="239"/>
      <c r="AD724" s="239"/>
      <c r="AE724" s="239"/>
      <c r="AF724" s="239"/>
      <c r="AG724" s="239"/>
      <c r="AH724" s="239"/>
      <c r="AI724" s="239"/>
      <c r="AJ724" s="239"/>
    </row>
    <row r="725">
      <c r="A725" s="239"/>
      <c r="B725" s="239"/>
      <c r="C725" s="239"/>
      <c r="D725" s="239"/>
      <c r="E725" s="239"/>
      <c r="F725" s="283"/>
      <c r="G725" s="239"/>
      <c r="H725" s="239"/>
      <c r="I725" s="239"/>
      <c r="J725" s="239"/>
      <c r="K725" s="239"/>
      <c r="L725" s="239"/>
      <c r="M725" s="239"/>
      <c r="N725" s="239"/>
      <c r="O725" s="239"/>
      <c r="P725" s="246"/>
      <c r="Q725" s="239"/>
      <c r="R725" s="239"/>
      <c r="S725" s="239"/>
      <c r="T725" s="239"/>
      <c r="U725" s="239"/>
      <c r="V725" s="239"/>
      <c r="W725" s="246"/>
      <c r="X725" s="239"/>
      <c r="Y725" s="239"/>
      <c r="Z725" s="239"/>
      <c r="AA725" s="239"/>
      <c r="AB725" s="239"/>
      <c r="AC725" s="239"/>
      <c r="AD725" s="239"/>
      <c r="AE725" s="239"/>
      <c r="AF725" s="239"/>
      <c r="AG725" s="239"/>
      <c r="AH725" s="239"/>
      <c r="AI725" s="239"/>
      <c r="AJ725" s="239"/>
    </row>
    <row r="726">
      <c r="A726" s="239"/>
      <c r="B726" s="239"/>
      <c r="C726" s="239"/>
      <c r="D726" s="239"/>
      <c r="E726" s="239"/>
      <c r="F726" s="283"/>
      <c r="G726" s="239"/>
      <c r="H726" s="239"/>
      <c r="I726" s="239"/>
      <c r="J726" s="239"/>
      <c r="K726" s="239"/>
      <c r="L726" s="239"/>
      <c r="M726" s="239"/>
      <c r="N726" s="239"/>
      <c r="O726" s="239"/>
      <c r="P726" s="246"/>
      <c r="Q726" s="239"/>
      <c r="R726" s="239"/>
      <c r="S726" s="239"/>
      <c r="T726" s="239"/>
      <c r="U726" s="239"/>
      <c r="V726" s="239"/>
      <c r="W726" s="246"/>
      <c r="X726" s="239"/>
      <c r="Y726" s="239"/>
      <c r="Z726" s="239"/>
      <c r="AA726" s="239"/>
      <c r="AB726" s="239"/>
      <c r="AC726" s="239"/>
      <c r="AD726" s="239"/>
      <c r="AE726" s="239"/>
      <c r="AF726" s="239"/>
      <c r="AG726" s="239"/>
      <c r="AH726" s="239"/>
      <c r="AI726" s="239"/>
      <c r="AJ726" s="239"/>
    </row>
    <row r="727">
      <c r="A727" s="239"/>
      <c r="B727" s="239"/>
      <c r="C727" s="239"/>
      <c r="D727" s="239"/>
      <c r="E727" s="239"/>
      <c r="F727" s="283"/>
      <c r="G727" s="239"/>
      <c r="H727" s="239"/>
      <c r="I727" s="239"/>
      <c r="J727" s="239"/>
      <c r="K727" s="239"/>
      <c r="L727" s="239"/>
      <c r="M727" s="239"/>
      <c r="N727" s="239"/>
      <c r="O727" s="239"/>
      <c r="P727" s="246"/>
      <c r="Q727" s="239"/>
      <c r="R727" s="239"/>
      <c r="S727" s="239"/>
      <c r="T727" s="239"/>
      <c r="U727" s="239"/>
      <c r="V727" s="239"/>
      <c r="W727" s="246"/>
      <c r="X727" s="239"/>
      <c r="Y727" s="239"/>
      <c r="Z727" s="239"/>
      <c r="AA727" s="239"/>
      <c r="AB727" s="239"/>
      <c r="AC727" s="239"/>
      <c r="AD727" s="239"/>
      <c r="AE727" s="239"/>
      <c r="AF727" s="239"/>
      <c r="AG727" s="239"/>
      <c r="AH727" s="239"/>
      <c r="AI727" s="239"/>
      <c r="AJ727" s="239"/>
    </row>
    <row r="728">
      <c r="A728" s="239"/>
      <c r="B728" s="239"/>
      <c r="C728" s="239"/>
      <c r="D728" s="239"/>
      <c r="E728" s="239"/>
      <c r="F728" s="283"/>
      <c r="G728" s="239"/>
      <c r="H728" s="239"/>
      <c r="I728" s="239"/>
      <c r="J728" s="239"/>
      <c r="K728" s="239"/>
      <c r="L728" s="239"/>
      <c r="M728" s="239"/>
      <c r="N728" s="239"/>
      <c r="O728" s="239"/>
      <c r="P728" s="246"/>
      <c r="Q728" s="239"/>
      <c r="R728" s="239"/>
      <c r="S728" s="239"/>
      <c r="T728" s="239"/>
      <c r="U728" s="239"/>
      <c r="V728" s="239"/>
      <c r="W728" s="246"/>
      <c r="X728" s="239"/>
      <c r="Y728" s="239"/>
      <c r="Z728" s="239"/>
      <c r="AA728" s="239"/>
      <c r="AB728" s="239"/>
      <c r="AC728" s="239"/>
      <c r="AD728" s="239"/>
      <c r="AE728" s="239"/>
      <c r="AF728" s="239"/>
      <c r="AG728" s="239"/>
      <c r="AH728" s="239"/>
      <c r="AI728" s="239"/>
      <c r="AJ728" s="239"/>
    </row>
    <row r="729">
      <c r="A729" s="239"/>
      <c r="B729" s="239"/>
      <c r="C729" s="239"/>
      <c r="D729" s="239"/>
      <c r="E729" s="239"/>
      <c r="F729" s="283"/>
      <c r="G729" s="239"/>
      <c r="H729" s="239"/>
      <c r="I729" s="239"/>
      <c r="J729" s="239"/>
      <c r="K729" s="239"/>
      <c r="L729" s="239"/>
      <c r="M729" s="239"/>
      <c r="N729" s="239"/>
      <c r="O729" s="239"/>
      <c r="P729" s="246"/>
      <c r="Q729" s="239"/>
      <c r="R729" s="239"/>
      <c r="S729" s="239"/>
      <c r="T729" s="239"/>
      <c r="U729" s="239"/>
      <c r="V729" s="239"/>
      <c r="W729" s="246"/>
      <c r="X729" s="239"/>
      <c r="Y729" s="239"/>
      <c r="Z729" s="239"/>
      <c r="AA729" s="239"/>
      <c r="AB729" s="239"/>
      <c r="AC729" s="239"/>
      <c r="AD729" s="239"/>
      <c r="AE729" s="239"/>
      <c r="AF729" s="239"/>
      <c r="AG729" s="239"/>
      <c r="AH729" s="239"/>
      <c r="AI729" s="239"/>
      <c r="AJ729" s="239"/>
    </row>
    <row r="730">
      <c r="A730" s="239"/>
      <c r="B730" s="239"/>
      <c r="C730" s="239"/>
      <c r="D730" s="239"/>
      <c r="E730" s="239"/>
      <c r="F730" s="283"/>
      <c r="G730" s="239"/>
      <c r="H730" s="239"/>
      <c r="I730" s="239"/>
      <c r="J730" s="239"/>
      <c r="K730" s="239"/>
      <c r="L730" s="239"/>
      <c r="M730" s="239"/>
      <c r="N730" s="239"/>
      <c r="O730" s="239"/>
      <c r="P730" s="246"/>
      <c r="Q730" s="239"/>
      <c r="R730" s="239"/>
      <c r="S730" s="239"/>
      <c r="T730" s="239"/>
      <c r="U730" s="239"/>
      <c r="V730" s="239"/>
      <c r="W730" s="246"/>
      <c r="X730" s="239"/>
      <c r="Y730" s="239"/>
      <c r="Z730" s="239"/>
      <c r="AA730" s="239"/>
      <c r="AB730" s="239"/>
      <c r="AC730" s="239"/>
      <c r="AD730" s="239"/>
      <c r="AE730" s="239"/>
      <c r="AF730" s="239"/>
      <c r="AG730" s="239"/>
      <c r="AH730" s="239"/>
      <c r="AI730" s="239"/>
      <c r="AJ730" s="239"/>
    </row>
    <row r="731">
      <c r="A731" s="239"/>
      <c r="B731" s="239"/>
      <c r="C731" s="239"/>
      <c r="D731" s="239"/>
      <c r="E731" s="239"/>
      <c r="F731" s="283"/>
      <c r="G731" s="239"/>
      <c r="H731" s="239"/>
      <c r="I731" s="239"/>
      <c r="J731" s="239"/>
      <c r="K731" s="239"/>
      <c r="L731" s="239"/>
      <c r="M731" s="239"/>
      <c r="N731" s="239"/>
      <c r="O731" s="239"/>
      <c r="P731" s="246"/>
      <c r="Q731" s="239"/>
      <c r="R731" s="239"/>
      <c r="S731" s="239"/>
      <c r="T731" s="239"/>
      <c r="U731" s="239"/>
      <c r="V731" s="239"/>
      <c r="W731" s="246"/>
      <c r="X731" s="239"/>
      <c r="Y731" s="239"/>
      <c r="Z731" s="239"/>
      <c r="AA731" s="239"/>
      <c r="AB731" s="239"/>
      <c r="AC731" s="239"/>
      <c r="AD731" s="239"/>
      <c r="AE731" s="239"/>
      <c r="AF731" s="239"/>
      <c r="AG731" s="239"/>
      <c r="AH731" s="239"/>
      <c r="AI731" s="239"/>
      <c r="AJ731" s="239"/>
    </row>
    <row r="732">
      <c r="A732" s="239"/>
      <c r="B732" s="239"/>
      <c r="C732" s="239"/>
      <c r="D732" s="239"/>
      <c r="E732" s="239"/>
      <c r="F732" s="283"/>
      <c r="G732" s="239"/>
      <c r="H732" s="239"/>
      <c r="I732" s="239"/>
      <c r="J732" s="239"/>
      <c r="K732" s="239"/>
      <c r="L732" s="239"/>
      <c r="M732" s="239"/>
      <c r="N732" s="239"/>
      <c r="O732" s="239"/>
      <c r="P732" s="246"/>
      <c r="Q732" s="239"/>
      <c r="R732" s="239"/>
      <c r="S732" s="239"/>
      <c r="T732" s="239"/>
      <c r="U732" s="239"/>
      <c r="V732" s="239"/>
      <c r="W732" s="246"/>
      <c r="X732" s="239"/>
      <c r="Y732" s="239"/>
      <c r="Z732" s="239"/>
      <c r="AA732" s="239"/>
      <c r="AB732" s="239"/>
      <c r="AC732" s="239"/>
      <c r="AD732" s="239"/>
      <c r="AE732" s="239"/>
      <c r="AF732" s="239"/>
      <c r="AG732" s="239"/>
      <c r="AH732" s="239"/>
      <c r="AI732" s="239"/>
      <c r="AJ732" s="239"/>
    </row>
    <row r="733">
      <c r="A733" s="239"/>
      <c r="B733" s="239"/>
      <c r="C733" s="239"/>
      <c r="D733" s="239"/>
      <c r="E733" s="239"/>
      <c r="F733" s="283"/>
      <c r="G733" s="239"/>
      <c r="H733" s="239"/>
      <c r="I733" s="239"/>
      <c r="J733" s="239"/>
      <c r="K733" s="239"/>
      <c r="L733" s="239"/>
      <c r="M733" s="239"/>
      <c r="N733" s="239"/>
      <c r="O733" s="239"/>
      <c r="P733" s="246"/>
      <c r="Q733" s="239"/>
      <c r="R733" s="239"/>
      <c r="S733" s="239"/>
      <c r="T733" s="239"/>
      <c r="U733" s="239"/>
      <c r="V733" s="239"/>
      <c r="W733" s="246"/>
      <c r="X733" s="239"/>
      <c r="Y733" s="239"/>
      <c r="Z733" s="239"/>
      <c r="AA733" s="239"/>
      <c r="AB733" s="239"/>
      <c r="AC733" s="239"/>
      <c r="AD733" s="239"/>
      <c r="AE733" s="239"/>
      <c r="AF733" s="239"/>
      <c r="AG733" s="239"/>
      <c r="AH733" s="239"/>
      <c r="AI733" s="239"/>
      <c r="AJ733" s="239"/>
    </row>
    <row r="734">
      <c r="A734" s="239"/>
      <c r="B734" s="239"/>
      <c r="C734" s="239"/>
      <c r="D734" s="239"/>
      <c r="E734" s="239"/>
      <c r="F734" s="283"/>
      <c r="G734" s="239"/>
      <c r="H734" s="239"/>
      <c r="I734" s="239"/>
      <c r="J734" s="239"/>
      <c r="K734" s="239"/>
      <c r="L734" s="239"/>
      <c r="M734" s="239"/>
      <c r="N734" s="239"/>
      <c r="O734" s="239"/>
      <c r="P734" s="246"/>
      <c r="Q734" s="239"/>
      <c r="R734" s="239"/>
      <c r="S734" s="239"/>
      <c r="T734" s="239"/>
      <c r="U734" s="239"/>
      <c r="V734" s="239"/>
      <c r="W734" s="246"/>
      <c r="X734" s="239"/>
      <c r="Y734" s="239"/>
      <c r="Z734" s="239"/>
      <c r="AA734" s="239"/>
      <c r="AB734" s="239"/>
      <c r="AC734" s="239"/>
      <c r="AD734" s="239"/>
      <c r="AE734" s="239"/>
      <c r="AF734" s="239"/>
      <c r="AG734" s="239"/>
      <c r="AH734" s="239"/>
      <c r="AI734" s="239"/>
      <c r="AJ734" s="239"/>
    </row>
    <row r="735">
      <c r="A735" s="239"/>
      <c r="B735" s="239"/>
      <c r="C735" s="239"/>
      <c r="D735" s="239"/>
      <c r="E735" s="239"/>
      <c r="F735" s="283"/>
      <c r="G735" s="239"/>
      <c r="H735" s="239"/>
      <c r="I735" s="239"/>
      <c r="J735" s="239"/>
      <c r="K735" s="239"/>
      <c r="L735" s="239"/>
      <c r="M735" s="239"/>
      <c r="N735" s="239"/>
      <c r="O735" s="239"/>
      <c r="P735" s="246"/>
      <c r="Q735" s="239"/>
      <c r="R735" s="239"/>
      <c r="S735" s="239"/>
      <c r="T735" s="239"/>
      <c r="U735" s="239"/>
      <c r="V735" s="239"/>
      <c r="W735" s="246"/>
      <c r="X735" s="239"/>
      <c r="Y735" s="239"/>
      <c r="Z735" s="239"/>
      <c r="AA735" s="239"/>
      <c r="AB735" s="239"/>
      <c r="AC735" s="239"/>
      <c r="AD735" s="239"/>
      <c r="AE735" s="239"/>
      <c r="AF735" s="239"/>
      <c r="AG735" s="239"/>
      <c r="AH735" s="239"/>
      <c r="AI735" s="239"/>
      <c r="AJ735" s="239"/>
    </row>
    <row r="736">
      <c r="A736" s="239"/>
      <c r="B736" s="239"/>
      <c r="C736" s="239"/>
      <c r="D736" s="239"/>
      <c r="E736" s="239"/>
      <c r="F736" s="283"/>
      <c r="G736" s="239"/>
      <c r="H736" s="239"/>
      <c r="I736" s="239"/>
      <c r="J736" s="239"/>
      <c r="K736" s="239"/>
      <c r="L736" s="239"/>
      <c r="M736" s="239"/>
      <c r="N736" s="239"/>
      <c r="O736" s="239"/>
      <c r="P736" s="246"/>
      <c r="Q736" s="239"/>
      <c r="R736" s="239"/>
      <c r="S736" s="239"/>
      <c r="T736" s="239"/>
      <c r="U736" s="239"/>
      <c r="V736" s="239"/>
      <c r="W736" s="246"/>
      <c r="X736" s="239"/>
      <c r="Y736" s="239"/>
      <c r="Z736" s="239"/>
      <c r="AA736" s="239"/>
      <c r="AB736" s="239"/>
      <c r="AC736" s="239"/>
      <c r="AD736" s="239"/>
      <c r="AE736" s="239"/>
      <c r="AF736" s="239"/>
      <c r="AG736" s="239"/>
      <c r="AH736" s="239"/>
      <c r="AI736" s="239"/>
      <c r="AJ736" s="239"/>
    </row>
    <row r="737">
      <c r="A737" s="239"/>
      <c r="B737" s="239"/>
      <c r="C737" s="239"/>
      <c r="D737" s="239"/>
      <c r="E737" s="239"/>
      <c r="F737" s="283"/>
      <c r="G737" s="239"/>
      <c r="H737" s="239"/>
      <c r="I737" s="239"/>
      <c r="J737" s="239"/>
      <c r="K737" s="239"/>
      <c r="L737" s="239"/>
      <c r="M737" s="239"/>
      <c r="N737" s="239"/>
      <c r="O737" s="239"/>
      <c r="P737" s="246"/>
      <c r="Q737" s="239"/>
      <c r="R737" s="239"/>
      <c r="S737" s="239"/>
      <c r="T737" s="239"/>
      <c r="U737" s="239"/>
      <c r="V737" s="239"/>
      <c r="W737" s="246"/>
      <c r="X737" s="239"/>
      <c r="Y737" s="239"/>
      <c r="Z737" s="239"/>
      <c r="AA737" s="239"/>
      <c r="AB737" s="239"/>
      <c r="AC737" s="239"/>
      <c r="AD737" s="239"/>
      <c r="AE737" s="239"/>
      <c r="AF737" s="239"/>
      <c r="AG737" s="239"/>
      <c r="AH737" s="239"/>
      <c r="AI737" s="239"/>
      <c r="AJ737" s="239"/>
    </row>
    <row r="738">
      <c r="A738" s="239"/>
      <c r="B738" s="239"/>
      <c r="C738" s="239"/>
      <c r="D738" s="239"/>
      <c r="E738" s="239"/>
      <c r="F738" s="283"/>
      <c r="G738" s="239"/>
      <c r="H738" s="239"/>
      <c r="I738" s="239"/>
      <c r="J738" s="239"/>
      <c r="K738" s="239"/>
      <c r="L738" s="239"/>
      <c r="M738" s="239"/>
      <c r="N738" s="239"/>
      <c r="O738" s="239"/>
      <c r="P738" s="246"/>
      <c r="Q738" s="239"/>
      <c r="R738" s="239"/>
      <c r="S738" s="239"/>
      <c r="T738" s="239"/>
      <c r="U738" s="239"/>
      <c r="V738" s="239"/>
      <c r="W738" s="246"/>
      <c r="X738" s="239"/>
      <c r="Y738" s="239"/>
      <c r="Z738" s="239"/>
      <c r="AA738" s="239"/>
      <c r="AB738" s="239"/>
      <c r="AC738" s="239"/>
      <c r="AD738" s="239"/>
      <c r="AE738" s="239"/>
      <c r="AF738" s="239"/>
      <c r="AG738" s="239"/>
      <c r="AH738" s="239"/>
      <c r="AI738" s="239"/>
      <c r="AJ738" s="239"/>
    </row>
    <row r="739">
      <c r="A739" s="239"/>
      <c r="B739" s="239"/>
      <c r="C739" s="239"/>
      <c r="D739" s="239"/>
      <c r="E739" s="239"/>
      <c r="F739" s="283"/>
      <c r="G739" s="239"/>
      <c r="H739" s="239"/>
      <c r="I739" s="239"/>
      <c r="J739" s="239"/>
      <c r="K739" s="239"/>
      <c r="L739" s="239"/>
      <c r="M739" s="239"/>
      <c r="N739" s="239"/>
      <c r="O739" s="239"/>
      <c r="P739" s="246"/>
      <c r="Q739" s="239"/>
      <c r="R739" s="239"/>
      <c r="S739" s="239"/>
      <c r="T739" s="239"/>
      <c r="U739" s="239"/>
      <c r="V739" s="239"/>
      <c r="W739" s="246"/>
      <c r="X739" s="239"/>
      <c r="Y739" s="239"/>
      <c r="Z739" s="239"/>
      <c r="AA739" s="239"/>
      <c r="AB739" s="239"/>
      <c r="AC739" s="239"/>
      <c r="AD739" s="239"/>
      <c r="AE739" s="239"/>
      <c r="AF739" s="239"/>
      <c r="AG739" s="239"/>
      <c r="AH739" s="239"/>
      <c r="AI739" s="239"/>
      <c r="AJ739" s="239"/>
    </row>
    <row r="740">
      <c r="A740" s="239"/>
      <c r="B740" s="239"/>
      <c r="C740" s="239"/>
      <c r="D740" s="239"/>
      <c r="E740" s="239"/>
      <c r="F740" s="283"/>
      <c r="G740" s="239"/>
      <c r="H740" s="239"/>
      <c r="I740" s="239"/>
      <c r="J740" s="239"/>
      <c r="K740" s="239"/>
      <c r="L740" s="239"/>
      <c r="M740" s="239"/>
      <c r="N740" s="239"/>
      <c r="O740" s="239"/>
      <c r="P740" s="246"/>
      <c r="Q740" s="239"/>
      <c r="R740" s="239"/>
      <c r="S740" s="239"/>
      <c r="T740" s="239"/>
      <c r="U740" s="239"/>
      <c r="V740" s="239"/>
      <c r="W740" s="246"/>
      <c r="X740" s="239"/>
      <c r="Y740" s="239"/>
      <c r="Z740" s="239"/>
      <c r="AA740" s="239"/>
      <c r="AB740" s="239"/>
      <c r="AC740" s="239"/>
      <c r="AD740" s="239"/>
      <c r="AE740" s="239"/>
      <c r="AF740" s="239"/>
      <c r="AG740" s="239"/>
      <c r="AH740" s="239"/>
      <c r="AI740" s="239"/>
      <c r="AJ740" s="239"/>
    </row>
    <row r="741">
      <c r="A741" s="239"/>
      <c r="B741" s="239"/>
      <c r="C741" s="239"/>
      <c r="D741" s="239"/>
      <c r="E741" s="239"/>
      <c r="F741" s="283"/>
      <c r="G741" s="239"/>
      <c r="H741" s="239"/>
      <c r="I741" s="239"/>
      <c r="J741" s="239"/>
      <c r="K741" s="239"/>
      <c r="L741" s="239"/>
      <c r="M741" s="239"/>
      <c r="N741" s="239"/>
      <c r="O741" s="239"/>
      <c r="P741" s="246"/>
      <c r="Q741" s="239"/>
      <c r="R741" s="239"/>
      <c r="S741" s="239"/>
      <c r="T741" s="239"/>
      <c r="U741" s="239"/>
      <c r="V741" s="239"/>
      <c r="W741" s="246"/>
      <c r="X741" s="239"/>
      <c r="Y741" s="239"/>
      <c r="Z741" s="239"/>
      <c r="AA741" s="239"/>
      <c r="AB741" s="239"/>
      <c r="AC741" s="239"/>
      <c r="AD741" s="239"/>
      <c r="AE741" s="239"/>
      <c r="AF741" s="239"/>
      <c r="AG741" s="239"/>
      <c r="AH741" s="239"/>
      <c r="AI741" s="239"/>
      <c r="AJ741" s="239"/>
    </row>
    <row r="742">
      <c r="A742" s="239"/>
      <c r="B742" s="239"/>
      <c r="C742" s="239"/>
      <c r="D742" s="239"/>
      <c r="E742" s="239"/>
      <c r="F742" s="283"/>
      <c r="G742" s="239"/>
      <c r="H742" s="239"/>
      <c r="I742" s="239"/>
      <c r="J742" s="239"/>
      <c r="K742" s="239"/>
      <c r="L742" s="239"/>
      <c r="M742" s="239"/>
      <c r="N742" s="239"/>
      <c r="O742" s="239"/>
      <c r="P742" s="246"/>
      <c r="Q742" s="239"/>
      <c r="R742" s="239"/>
      <c r="S742" s="239"/>
      <c r="T742" s="239"/>
      <c r="U742" s="239"/>
      <c r="V742" s="239"/>
      <c r="W742" s="246"/>
      <c r="X742" s="239"/>
      <c r="Y742" s="239"/>
      <c r="Z742" s="239"/>
      <c r="AA742" s="239"/>
      <c r="AB742" s="239"/>
      <c r="AC742" s="239"/>
      <c r="AD742" s="239"/>
      <c r="AE742" s="239"/>
      <c r="AF742" s="239"/>
      <c r="AG742" s="239"/>
      <c r="AH742" s="239"/>
      <c r="AI742" s="239"/>
      <c r="AJ742" s="239"/>
    </row>
    <row r="743">
      <c r="A743" s="239"/>
      <c r="B743" s="239"/>
      <c r="C743" s="239"/>
      <c r="D743" s="239"/>
      <c r="E743" s="239"/>
      <c r="F743" s="283"/>
      <c r="G743" s="239"/>
      <c r="H743" s="239"/>
      <c r="I743" s="239"/>
      <c r="J743" s="239"/>
      <c r="K743" s="239"/>
      <c r="L743" s="239"/>
      <c r="M743" s="239"/>
      <c r="N743" s="239"/>
      <c r="O743" s="239"/>
      <c r="P743" s="246"/>
      <c r="Q743" s="239"/>
      <c r="R743" s="239"/>
      <c r="S743" s="239"/>
      <c r="T743" s="239"/>
      <c r="U743" s="239"/>
      <c r="V743" s="239"/>
      <c r="W743" s="246"/>
      <c r="X743" s="239"/>
      <c r="Y743" s="239"/>
      <c r="Z743" s="239"/>
      <c r="AA743" s="239"/>
      <c r="AB743" s="239"/>
      <c r="AC743" s="239"/>
      <c r="AD743" s="239"/>
      <c r="AE743" s="239"/>
      <c r="AF743" s="239"/>
      <c r="AG743" s="239"/>
      <c r="AH743" s="239"/>
      <c r="AI743" s="239"/>
      <c r="AJ743" s="239"/>
    </row>
    <row r="744">
      <c r="A744" s="239"/>
      <c r="B744" s="239"/>
      <c r="C744" s="239"/>
      <c r="D744" s="239"/>
      <c r="E744" s="239"/>
      <c r="F744" s="283"/>
      <c r="G744" s="239"/>
      <c r="H744" s="239"/>
      <c r="I744" s="239"/>
      <c r="J744" s="239"/>
      <c r="K744" s="239"/>
      <c r="L744" s="239"/>
      <c r="M744" s="239"/>
      <c r="N744" s="239"/>
      <c r="O744" s="239"/>
      <c r="P744" s="246"/>
      <c r="Q744" s="239"/>
      <c r="R744" s="239"/>
      <c r="S744" s="239"/>
      <c r="T744" s="239"/>
      <c r="U744" s="239"/>
      <c r="V744" s="239"/>
      <c r="W744" s="246"/>
      <c r="X744" s="239"/>
      <c r="Y744" s="239"/>
      <c r="Z744" s="239"/>
      <c r="AA744" s="239"/>
      <c r="AB744" s="239"/>
      <c r="AC744" s="239"/>
      <c r="AD744" s="239"/>
      <c r="AE744" s="239"/>
      <c r="AF744" s="239"/>
      <c r="AG744" s="239"/>
      <c r="AH744" s="239"/>
      <c r="AI744" s="239"/>
      <c r="AJ744" s="239"/>
    </row>
    <row r="745">
      <c r="A745" s="239"/>
      <c r="B745" s="239"/>
      <c r="C745" s="239"/>
      <c r="D745" s="239"/>
      <c r="E745" s="239"/>
      <c r="F745" s="283"/>
      <c r="G745" s="239"/>
      <c r="H745" s="239"/>
      <c r="I745" s="239"/>
      <c r="J745" s="239"/>
      <c r="K745" s="239"/>
      <c r="L745" s="239"/>
      <c r="M745" s="239"/>
      <c r="N745" s="239"/>
      <c r="O745" s="239"/>
      <c r="P745" s="246"/>
      <c r="Q745" s="239"/>
      <c r="R745" s="239"/>
      <c r="S745" s="239"/>
      <c r="T745" s="239"/>
      <c r="U745" s="239"/>
      <c r="V745" s="239"/>
      <c r="W745" s="246"/>
      <c r="X745" s="239"/>
      <c r="Y745" s="239"/>
      <c r="Z745" s="239"/>
      <c r="AA745" s="239"/>
      <c r="AB745" s="239"/>
      <c r="AC745" s="239"/>
      <c r="AD745" s="239"/>
      <c r="AE745" s="239"/>
      <c r="AF745" s="239"/>
      <c r="AG745" s="239"/>
      <c r="AH745" s="239"/>
      <c r="AI745" s="239"/>
      <c r="AJ745" s="239"/>
    </row>
    <row r="746">
      <c r="A746" s="239"/>
      <c r="B746" s="239"/>
      <c r="C746" s="239"/>
      <c r="D746" s="239"/>
      <c r="E746" s="239"/>
      <c r="F746" s="283"/>
      <c r="G746" s="239"/>
      <c r="H746" s="239"/>
      <c r="I746" s="239"/>
      <c r="J746" s="239"/>
      <c r="K746" s="239"/>
      <c r="L746" s="239"/>
      <c r="M746" s="239"/>
      <c r="N746" s="239"/>
      <c r="O746" s="239"/>
      <c r="P746" s="246"/>
      <c r="Q746" s="239"/>
      <c r="R746" s="239"/>
      <c r="S746" s="239"/>
      <c r="T746" s="239"/>
      <c r="U746" s="239"/>
      <c r="V746" s="239"/>
      <c r="W746" s="246"/>
      <c r="X746" s="239"/>
      <c r="Y746" s="239"/>
      <c r="Z746" s="239"/>
      <c r="AA746" s="239"/>
      <c r="AB746" s="239"/>
      <c r="AC746" s="239"/>
      <c r="AD746" s="239"/>
      <c r="AE746" s="239"/>
      <c r="AF746" s="239"/>
      <c r="AG746" s="239"/>
      <c r="AH746" s="239"/>
      <c r="AI746" s="239"/>
      <c r="AJ746" s="239"/>
    </row>
    <row r="747">
      <c r="A747" s="239"/>
      <c r="B747" s="239"/>
      <c r="C747" s="239"/>
      <c r="D747" s="239"/>
      <c r="E747" s="239"/>
      <c r="F747" s="283"/>
      <c r="G747" s="239"/>
      <c r="H747" s="239"/>
      <c r="I747" s="239"/>
      <c r="J747" s="239"/>
      <c r="K747" s="239"/>
      <c r="L747" s="239"/>
      <c r="M747" s="239"/>
      <c r="N747" s="239"/>
      <c r="O747" s="239"/>
      <c r="P747" s="246"/>
      <c r="Q747" s="239"/>
      <c r="R747" s="239"/>
      <c r="S747" s="239"/>
      <c r="T747" s="239"/>
      <c r="U747" s="239"/>
      <c r="V747" s="239"/>
      <c r="W747" s="246"/>
      <c r="X747" s="239"/>
      <c r="Y747" s="239"/>
      <c r="Z747" s="239"/>
      <c r="AA747" s="239"/>
      <c r="AB747" s="239"/>
      <c r="AC747" s="239"/>
      <c r="AD747" s="239"/>
      <c r="AE747" s="239"/>
      <c r="AF747" s="239"/>
      <c r="AG747" s="239"/>
      <c r="AH747" s="239"/>
      <c r="AI747" s="239"/>
      <c r="AJ747" s="239"/>
    </row>
    <row r="748">
      <c r="A748" s="239"/>
      <c r="B748" s="239"/>
      <c r="C748" s="239"/>
      <c r="D748" s="239"/>
      <c r="E748" s="239"/>
      <c r="F748" s="283"/>
      <c r="G748" s="239"/>
      <c r="H748" s="239"/>
      <c r="I748" s="239"/>
      <c r="J748" s="239"/>
      <c r="K748" s="239"/>
      <c r="L748" s="239"/>
      <c r="M748" s="239"/>
      <c r="N748" s="239"/>
      <c r="O748" s="239"/>
      <c r="P748" s="246"/>
      <c r="Q748" s="239"/>
      <c r="R748" s="239"/>
      <c r="S748" s="239"/>
      <c r="T748" s="239"/>
      <c r="U748" s="239"/>
      <c r="V748" s="239"/>
      <c r="W748" s="246"/>
      <c r="X748" s="239"/>
      <c r="Y748" s="239"/>
      <c r="Z748" s="239"/>
      <c r="AA748" s="239"/>
      <c r="AB748" s="239"/>
      <c r="AC748" s="239"/>
      <c r="AD748" s="239"/>
      <c r="AE748" s="239"/>
      <c r="AF748" s="239"/>
      <c r="AG748" s="239"/>
      <c r="AH748" s="239"/>
      <c r="AI748" s="239"/>
      <c r="AJ748" s="239"/>
    </row>
    <row r="749">
      <c r="A749" s="239"/>
      <c r="B749" s="239"/>
      <c r="C749" s="239"/>
      <c r="D749" s="239"/>
      <c r="E749" s="239"/>
      <c r="F749" s="283"/>
      <c r="G749" s="239"/>
      <c r="H749" s="239"/>
      <c r="I749" s="239"/>
      <c r="J749" s="239"/>
      <c r="K749" s="239"/>
      <c r="L749" s="239"/>
      <c r="M749" s="239"/>
      <c r="N749" s="239"/>
      <c r="O749" s="239"/>
      <c r="P749" s="246"/>
      <c r="Q749" s="239"/>
      <c r="R749" s="239"/>
      <c r="S749" s="239"/>
      <c r="T749" s="239"/>
      <c r="U749" s="239"/>
      <c r="V749" s="239"/>
      <c r="W749" s="246"/>
      <c r="X749" s="239"/>
      <c r="Y749" s="239"/>
      <c r="Z749" s="239"/>
      <c r="AA749" s="239"/>
      <c r="AB749" s="239"/>
      <c r="AC749" s="239"/>
      <c r="AD749" s="239"/>
      <c r="AE749" s="239"/>
      <c r="AF749" s="239"/>
      <c r="AG749" s="239"/>
      <c r="AH749" s="239"/>
      <c r="AI749" s="239"/>
      <c r="AJ749" s="239"/>
    </row>
    <row r="750">
      <c r="A750" s="239"/>
      <c r="B750" s="239"/>
      <c r="C750" s="239"/>
      <c r="D750" s="239"/>
      <c r="E750" s="239"/>
      <c r="F750" s="283"/>
      <c r="G750" s="239"/>
      <c r="H750" s="239"/>
      <c r="I750" s="239"/>
      <c r="J750" s="239"/>
      <c r="K750" s="239"/>
      <c r="L750" s="239"/>
      <c r="M750" s="239"/>
      <c r="N750" s="239"/>
      <c r="O750" s="239"/>
      <c r="P750" s="246"/>
      <c r="Q750" s="239"/>
      <c r="R750" s="239"/>
      <c r="S750" s="239"/>
      <c r="T750" s="239"/>
      <c r="U750" s="239"/>
      <c r="V750" s="239"/>
      <c r="W750" s="246"/>
      <c r="X750" s="239"/>
      <c r="Y750" s="239"/>
      <c r="Z750" s="239"/>
      <c r="AA750" s="239"/>
      <c r="AB750" s="239"/>
      <c r="AC750" s="239"/>
      <c r="AD750" s="239"/>
      <c r="AE750" s="239"/>
      <c r="AF750" s="239"/>
      <c r="AG750" s="239"/>
      <c r="AH750" s="239"/>
      <c r="AI750" s="239"/>
      <c r="AJ750" s="239"/>
    </row>
    <row r="751">
      <c r="A751" s="239"/>
      <c r="B751" s="239"/>
      <c r="C751" s="239"/>
      <c r="D751" s="239"/>
      <c r="E751" s="239"/>
      <c r="F751" s="283"/>
      <c r="G751" s="239"/>
      <c r="H751" s="239"/>
      <c r="I751" s="239"/>
      <c r="J751" s="239"/>
      <c r="K751" s="239"/>
      <c r="L751" s="239"/>
      <c r="M751" s="239"/>
      <c r="N751" s="239"/>
      <c r="O751" s="239"/>
      <c r="P751" s="246"/>
      <c r="Q751" s="239"/>
      <c r="R751" s="239"/>
      <c r="S751" s="239"/>
      <c r="T751" s="239"/>
      <c r="U751" s="239"/>
      <c r="V751" s="239"/>
      <c r="W751" s="246"/>
      <c r="X751" s="239"/>
      <c r="Y751" s="239"/>
      <c r="Z751" s="239"/>
      <c r="AA751" s="239"/>
      <c r="AB751" s="239"/>
      <c r="AC751" s="239"/>
      <c r="AD751" s="239"/>
      <c r="AE751" s="239"/>
      <c r="AF751" s="239"/>
      <c r="AG751" s="239"/>
      <c r="AH751" s="239"/>
      <c r="AI751" s="239"/>
      <c r="AJ751" s="239"/>
    </row>
    <row r="752">
      <c r="A752" s="239"/>
      <c r="B752" s="239"/>
      <c r="C752" s="239"/>
      <c r="D752" s="239"/>
      <c r="E752" s="239"/>
      <c r="F752" s="283"/>
      <c r="G752" s="239"/>
      <c r="H752" s="239"/>
      <c r="I752" s="239"/>
      <c r="J752" s="239"/>
      <c r="K752" s="239"/>
      <c r="L752" s="239"/>
      <c r="M752" s="239"/>
      <c r="N752" s="239"/>
      <c r="O752" s="239"/>
      <c r="P752" s="246"/>
      <c r="Q752" s="239"/>
      <c r="R752" s="239"/>
      <c r="S752" s="239"/>
      <c r="T752" s="239"/>
      <c r="U752" s="239"/>
      <c r="V752" s="239"/>
      <c r="W752" s="246"/>
      <c r="X752" s="239"/>
      <c r="Y752" s="239"/>
      <c r="Z752" s="239"/>
      <c r="AA752" s="239"/>
      <c r="AB752" s="239"/>
      <c r="AC752" s="239"/>
      <c r="AD752" s="239"/>
      <c r="AE752" s="239"/>
      <c r="AF752" s="239"/>
      <c r="AG752" s="239"/>
      <c r="AH752" s="239"/>
      <c r="AI752" s="239"/>
      <c r="AJ752" s="239"/>
    </row>
    <row r="753">
      <c r="A753" s="239"/>
      <c r="B753" s="239"/>
      <c r="C753" s="239"/>
      <c r="D753" s="239"/>
      <c r="E753" s="239"/>
      <c r="F753" s="283"/>
      <c r="G753" s="239"/>
      <c r="H753" s="239"/>
      <c r="I753" s="239"/>
      <c r="J753" s="239"/>
      <c r="K753" s="239"/>
      <c r="L753" s="239"/>
      <c r="M753" s="239"/>
      <c r="N753" s="239"/>
      <c r="O753" s="239"/>
      <c r="P753" s="246"/>
      <c r="Q753" s="239"/>
      <c r="R753" s="239"/>
      <c r="S753" s="239"/>
      <c r="T753" s="239"/>
      <c r="U753" s="239"/>
      <c r="V753" s="239"/>
      <c r="W753" s="246"/>
      <c r="X753" s="239"/>
      <c r="Y753" s="239"/>
      <c r="Z753" s="239"/>
      <c r="AA753" s="239"/>
      <c r="AB753" s="239"/>
      <c r="AC753" s="239"/>
      <c r="AD753" s="239"/>
      <c r="AE753" s="239"/>
      <c r="AF753" s="239"/>
      <c r="AG753" s="239"/>
      <c r="AH753" s="239"/>
      <c r="AI753" s="239"/>
      <c r="AJ753" s="239"/>
    </row>
    <row r="754">
      <c r="A754" s="239"/>
      <c r="B754" s="239"/>
      <c r="C754" s="239"/>
      <c r="D754" s="239"/>
      <c r="E754" s="239"/>
      <c r="F754" s="283"/>
      <c r="G754" s="239"/>
      <c r="H754" s="239"/>
      <c r="I754" s="239"/>
      <c r="J754" s="239"/>
      <c r="K754" s="239"/>
      <c r="L754" s="239"/>
      <c r="M754" s="239"/>
      <c r="N754" s="239"/>
      <c r="O754" s="239"/>
      <c r="P754" s="246"/>
      <c r="Q754" s="239"/>
      <c r="R754" s="239"/>
      <c r="S754" s="239"/>
      <c r="T754" s="239"/>
      <c r="U754" s="239"/>
      <c r="V754" s="239"/>
      <c r="W754" s="246"/>
      <c r="X754" s="239"/>
      <c r="Y754" s="239"/>
      <c r="Z754" s="239"/>
      <c r="AA754" s="239"/>
      <c r="AB754" s="239"/>
      <c r="AC754" s="239"/>
      <c r="AD754" s="239"/>
      <c r="AE754" s="239"/>
      <c r="AF754" s="239"/>
      <c r="AG754" s="239"/>
      <c r="AH754" s="239"/>
      <c r="AI754" s="239"/>
      <c r="AJ754" s="239"/>
    </row>
    <row r="755">
      <c r="A755" s="239"/>
      <c r="B755" s="239"/>
      <c r="C755" s="239"/>
      <c r="D755" s="239"/>
      <c r="E755" s="239"/>
      <c r="F755" s="283"/>
      <c r="G755" s="239"/>
      <c r="H755" s="239"/>
      <c r="I755" s="239"/>
      <c r="J755" s="239"/>
      <c r="K755" s="239"/>
      <c r="L755" s="239"/>
      <c r="M755" s="239"/>
      <c r="N755" s="239"/>
      <c r="O755" s="239"/>
      <c r="P755" s="246"/>
      <c r="Q755" s="239"/>
      <c r="R755" s="239"/>
      <c r="S755" s="239"/>
      <c r="T755" s="239"/>
      <c r="U755" s="239"/>
      <c r="V755" s="239"/>
      <c r="W755" s="246"/>
      <c r="X755" s="239"/>
      <c r="Y755" s="239"/>
      <c r="Z755" s="239"/>
      <c r="AA755" s="239"/>
      <c r="AB755" s="239"/>
      <c r="AC755" s="239"/>
      <c r="AD755" s="239"/>
      <c r="AE755" s="239"/>
      <c r="AF755" s="239"/>
      <c r="AG755" s="239"/>
      <c r="AH755" s="239"/>
      <c r="AI755" s="239"/>
      <c r="AJ755" s="239"/>
    </row>
    <row r="756">
      <c r="A756" s="239"/>
      <c r="B756" s="239"/>
      <c r="C756" s="239"/>
      <c r="D756" s="239"/>
      <c r="E756" s="239"/>
      <c r="F756" s="283"/>
      <c r="G756" s="239"/>
      <c r="H756" s="239"/>
      <c r="I756" s="239"/>
      <c r="J756" s="239"/>
      <c r="K756" s="239"/>
      <c r="L756" s="239"/>
      <c r="M756" s="239"/>
      <c r="N756" s="239"/>
      <c r="O756" s="239"/>
      <c r="P756" s="246"/>
      <c r="Q756" s="239"/>
      <c r="R756" s="239"/>
      <c r="S756" s="239"/>
      <c r="T756" s="239"/>
      <c r="U756" s="239"/>
      <c r="V756" s="239"/>
      <c r="W756" s="246"/>
      <c r="X756" s="239"/>
      <c r="Y756" s="239"/>
      <c r="Z756" s="239"/>
      <c r="AA756" s="239"/>
      <c r="AB756" s="239"/>
      <c r="AC756" s="239"/>
      <c r="AD756" s="239"/>
      <c r="AE756" s="239"/>
      <c r="AF756" s="239"/>
      <c r="AG756" s="239"/>
      <c r="AH756" s="239"/>
      <c r="AI756" s="239"/>
      <c r="AJ756" s="239"/>
    </row>
    <row r="757">
      <c r="A757" s="239"/>
      <c r="B757" s="239"/>
      <c r="C757" s="239"/>
      <c r="D757" s="239"/>
      <c r="E757" s="239"/>
      <c r="F757" s="283"/>
      <c r="G757" s="239"/>
      <c r="H757" s="239"/>
      <c r="I757" s="239"/>
      <c r="J757" s="239"/>
      <c r="K757" s="239"/>
      <c r="L757" s="239"/>
      <c r="M757" s="239"/>
      <c r="N757" s="239"/>
      <c r="O757" s="239"/>
      <c r="P757" s="246"/>
      <c r="Q757" s="239"/>
      <c r="R757" s="239"/>
      <c r="S757" s="239"/>
      <c r="T757" s="239"/>
      <c r="U757" s="239"/>
      <c r="V757" s="239"/>
      <c r="W757" s="246"/>
      <c r="X757" s="239"/>
      <c r="Y757" s="239"/>
      <c r="Z757" s="239"/>
      <c r="AA757" s="239"/>
      <c r="AB757" s="239"/>
      <c r="AC757" s="239"/>
      <c r="AD757" s="239"/>
      <c r="AE757" s="239"/>
      <c r="AF757" s="239"/>
      <c r="AG757" s="239"/>
      <c r="AH757" s="239"/>
      <c r="AI757" s="239"/>
      <c r="AJ757" s="239"/>
    </row>
    <row r="758">
      <c r="A758" s="239"/>
      <c r="B758" s="239"/>
      <c r="C758" s="239"/>
      <c r="D758" s="239"/>
      <c r="E758" s="239"/>
      <c r="F758" s="283"/>
      <c r="G758" s="239"/>
      <c r="H758" s="239"/>
      <c r="I758" s="239"/>
      <c r="J758" s="239"/>
      <c r="K758" s="239"/>
      <c r="L758" s="239"/>
      <c r="M758" s="239"/>
      <c r="N758" s="239"/>
      <c r="O758" s="239"/>
      <c r="P758" s="246"/>
      <c r="Q758" s="239"/>
      <c r="R758" s="239"/>
      <c r="S758" s="239"/>
      <c r="T758" s="239"/>
      <c r="U758" s="239"/>
      <c r="V758" s="239"/>
      <c r="W758" s="246"/>
      <c r="X758" s="239"/>
      <c r="Y758" s="239"/>
      <c r="Z758" s="239"/>
      <c r="AA758" s="239"/>
      <c r="AB758" s="239"/>
      <c r="AC758" s="239"/>
      <c r="AD758" s="239"/>
      <c r="AE758" s="239"/>
      <c r="AF758" s="239"/>
      <c r="AG758" s="239"/>
      <c r="AH758" s="239"/>
      <c r="AI758" s="239"/>
      <c r="AJ758" s="239"/>
    </row>
    <row r="759">
      <c r="A759" s="239"/>
      <c r="B759" s="239"/>
      <c r="C759" s="239"/>
      <c r="D759" s="239"/>
      <c r="E759" s="239"/>
      <c r="F759" s="283"/>
      <c r="G759" s="239"/>
      <c r="H759" s="239"/>
      <c r="I759" s="239"/>
      <c r="J759" s="239"/>
      <c r="K759" s="239"/>
      <c r="L759" s="239"/>
      <c r="M759" s="239"/>
      <c r="N759" s="239"/>
      <c r="O759" s="239"/>
      <c r="P759" s="246"/>
      <c r="Q759" s="239"/>
      <c r="R759" s="239"/>
      <c r="S759" s="239"/>
      <c r="T759" s="239"/>
      <c r="U759" s="239"/>
      <c r="V759" s="239"/>
      <c r="W759" s="246"/>
      <c r="X759" s="239"/>
      <c r="Y759" s="239"/>
      <c r="Z759" s="239"/>
      <c r="AA759" s="239"/>
      <c r="AB759" s="239"/>
      <c r="AC759" s="239"/>
      <c r="AD759" s="239"/>
      <c r="AE759" s="239"/>
      <c r="AF759" s="239"/>
      <c r="AG759" s="239"/>
      <c r="AH759" s="239"/>
      <c r="AI759" s="239"/>
      <c r="AJ759" s="239"/>
    </row>
    <row r="760">
      <c r="A760" s="239"/>
      <c r="B760" s="239"/>
      <c r="C760" s="239"/>
      <c r="D760" s="239"/>
      <c r="E760" s="239"/>
      <c r="F760" s="283"/>
      <c r="G760" s="239"/>
      <c r="H760" s="239"/>
      <c r="I760" s="239"/>
      <c r="J760" s="239"/>
      <c r="K760" s="239"/>
      <c r="L760" s="239"/>
      <c r="M760" s="239"/>
      <c r="N760" s="239"/>
      <c r="O760" s="239"/>
      <c r="P760" s="246"/>
      <c r="Q760" s="239"/>
      <c r="R760" s="239"/>
      <c r="S760" s="239"/>
      <c r="T760" s="239"/>
      <c r="U760" s="239"/>
      <c r="V760" s="239"/>
      <c r="W760" s="246"/>
      <c r="X760" s="239"/>
      <c r="Y760" s="239"/>
      <c r="Z760" s="239"/>
      <c r="AA760" s="239"/>
      <c r="AB760" s="239"/>
      <c r="AC760" s="239"/>
      <c r="AD760" s="239"/>
      <c r="AE760" s="239"/>
      <c r="AF760" s="239"/>
      <c r="AG760" s="239"/>
      <c r="AH760" s="239"/>
      <c r="AI760" s="239"/>
      <c r="AJ760" s="239"/>
    </row>
    <row r="761">
      <c r="A761" s="239"/>
      <c r="B761" s="239"/>
      <c r="C761" s="239"/>
      <c r="D761" s="239"/>
      <c r="E761" s="239"/>
      <c r="F761" s="283"/>
      <c r="G761" s="239"/>
      <c r="H761" s="239"/>
      <c r="I761" s="239"/>
      <c r="J761" s="239"/>
      <c r="K761" s="239"/>
      <c r="L761" s="239"/>
      <c r="M761" s="239"/>
      <c r="N761" s="239"/>
      <c r="O761" s="239"/>
      <c r="P761" s="246"/>
      <c r="Q761" s="239"/>
      <c r="R761" s="239"/>
      <c r="S761" s="239"/>
      <c r="T761" s="239"/>
      <c r="U761" s="239"/>
      <c r="V761" s="239"/>
      <c r="W761" s="246"/>
      <c r="X761" s="239"/>
      <c r="Y761" s="239"/>
      <c r="Z761" s="239"/>
      <c r="AA761" s="239"/>
      <c r="AB761" s="239"/>
      <c r="AC761" s="239"/>
      <c r="AD761" s="239"/>
      <c r="AE761" s="239"/>
      <c r="AF761" s="239"/>
      <c r="AG761" s="239"/>
      <c r="AH761" s="239"/>
      <c r="AI761" s="239"/>
      <c r="AJ761" s="239"/>
    </row>
    <row r="762">
      <c r="A762" s="239"/>
      <c r="B762" s="239"/>
      <c r="C762" s="239"/>
      <c r="D762" s="239"/>
      <c r="E762" s="239"/>
      <c r="F762" s="283"/>
      <c r="G762" s="239"/>
      <c r="H762" s="239"/>
      <c r="I762" s="239"/>
      <c r="J762" s="239"/>
      <c r="K762" s="239"/>
      <c r="L762" s="239"/>
      <c r="M762" s="239"/>
      <c r="N762" s="239"/>
      <c r="O762" s="239"/>
      <c r="P762" s="246"/>
      <c r="Q762" s="239"/>
      <c r="R762" s="239"/>
      <c r="S762" s="239"/>
      <c r="T762" s="239"/>
      <c r="U762" s="239"/>
      <c r="V762" s="239"/>
      <c r="W762" s="246"/>
      <c r="X762" s="239"/>
      <c r="Y762" s="239"/>
      <c r="Z762" s="239"/>
      <c r="AA762" s="239"/>
      <c r="AB762" s="239"/>
      <c r="AC762" s="239"/>
      <c r="AD762" s="239"/>
      <c r="AE762" s="239"/>
      <c r="AF762" s="239"/>
      <c r="AG762" s="239"/>
      <c r="AH762" s="239"/>
      <c r="AI762" s="239"/>
      <c r="AJ762" s="239"/>
    </row>
    <row r="763">
      <c r="A763" s="239"/>
      <c r="B763" s="239"/>
      <c r="C763" s="239"/>
      <c r="D763" s="239"/>
      <c r="E763" s="239"/>
      <c r="F763" s="283"/>
      <c r="G763" s="239"/>
      <c r="H763" s="239"/>
      <c r="I763" s="239"/>
      <c r="J763" s="239"/>
      <c r="K763" s="239"/>
      <c r="L763" s="239"/>
      <c r="M763" s="239"/>
      <c r="N763" s="239"/>
      <c r="O763" s="239"/>
      <c r="P763" s="246"/>
      <c r="Q763" s="239"/>
      <c r="R763" s="239"/>
      <c r="S763" s="239"/>
      <c r="T763" s="239"/>
      <c r="U763" s="239"/>
      <c r="V763" s="239"/>
      <c r="W763" s="246"/>
      <c r="X763" s="239"/>
      <c r="Y763" s="239"/>
      <c r="Z763" s="239"/>
      <c r="AA763" s="239"/>
      <c r="AB763" s="239"/>
      <c r="AC763" s="239"/>
      <c r="AD763" s="239"/>
      <c r="AE763" s="239"/>
      <c r="AF763" s="239"/>
      <c r="AG763" s="239"/>
      <c r="AH763" s="239"/>
      <c r="AI763" s="239"/>
      <c r="AJ763" s="239"/>
    </row>
    <row r="764">
      <c r="A764" s="239"/>
      <c r="B764" s="239"/>
      <c r="C764" s="239"/>
      <c r="D764" s="239"/>
      <c r="E764" s="239"/>
      <c r="F764" s="283"/>
      <c r="G764" s="239"/>
      <c r="H764" s="239"/>
      <c r="I764" s="239"/>
      <c r="J764" s="239"/>
      <c r="K764" s="239"/>
      <c r="L764" s="239"/>
      <c r="M764" s="239"/>
      <c r="N764" s="239"/>
      <c r="O764" s="239"/>
      <c r="P764" s="246"/>
      <c r="Q764" s="239"/>
      <c r="R764" s="239"/>
      <c r="S764" s="239"/>
      <c r="T764" s="239"/>
      <c r="U764" s="239"/>
      <c r="V764" s="239"/>
      <c r="W764" s="246"/>
      <c r="X764" s="239"/>
      <c r="Y764" s="239"/>
      <c r="Z764" s="239"/>
      <c r="AA764" s="239"/>
      <c r="AB764" s="239"/>
      <c r="AC764" s="239"/>
      <c r="AD764" s="239"/>
      <c r="AE764" s="239"/>
      <c r="AF764" s="239"/>
      <c r="AG764" s="239"/>
      <c r="AH764" s="239"/>
      <c r="AI764" s="239"/>
      <c r="AJ764" s="239"/>
    </row>
    <row r="765">
      <c r="A765" s="239"/>
      <c r="B765" s="239"/>
      <c r="C765" s="239"/>
      <c r="D765" s="239"/>
      <c r="E765" s="239"/>
      <c r="F765" s="283"/>
      <c r="G765" s="239"/>
      <c r="H765" s="239"/>
      <c r="I765" s="239"/>
      <c r="J765" s="239"/>
      <c r="K765" s="239"/>
      <c r="L765" s="239"/>
      <c r="M765" s="239"/>
      <c r="N765" s="239"/>
      <c r="O765" s="239"/>
      <c r="P765" s="246"/>
      <c r="Q765" s="239"/>
      <c r="R765" s="239"/>
      <c r="S765" s="239"/>
      <c r="T765" s="239"/>
      <c r="U765" s="239"/>
      <c r="V765" s="239"/>
      <c r="W765" s="246"/>
      <c r="X765" s="239"/>
      <c r="Y765" s="239"/>
      <c r="Z765" s="239"/>
      <c r="AA765" s="239"/>
      <c r="AB765" s="239"/>
      <c r="AC765" s="239"/>
      <c r="AD765" s="239"/>
      <c r="AE765" s="239"/>
      <c r="AF765" s="239"/>
      <c r="AG765" s="239"/>
      <c r="AH765" s="239"/>
      <c r="AI765" s="239"/>
      <c r="AJ765" s="239"/>
    </row>
    <row r="766">
      <c r="A766" s="239"/>
      <c r="B766" s="239"/>
      <c r="C766" s="239"/>
      <c r="D766" s="239"/>
      <c r="E766" s="239"/>
      <c r="F766" s="283"/>
      <c r="G766" s="239"/>
      <c r="H766" s="239"/>
      <c r="I766" s="239"/>
      <c r="J766" s="239"/>
      <c r="K766" s="239"/>
      <c r="L766" s="239"/>
      <c r="M766" s="239"/>
      <c r="N766" s="239"/>
      <c r="O766" s="239"/>
      <c r="P766" s="246"/>
      <c r="Q766" s="239"/>
      <c r="R766" s="239"/>
      <c r="S766" s="239"/>
      <c r="T766" s="239"/>
      <c r="U766" s="239"/>
      <c r="V766" s="239"/>
      <c r="W766" s="246"/>
      <c r="X766" s="239"/>
      <c r="Y766" s="239"/>
      <c r="Z766" s="239"/>
      <c r="AA766" s="239"/>
      <c r="AB766" s="239"/>
      <c r="AC766" s="239"/>
      <c r="AD766" s="239"/>
      <c r="AE766" s="239"/>
      <c r="AF766" s="239"/>
      <c r="AG766" s="239"/>
      <c r="AH766" s="239"/>
      <c r="AI766" s="239"/>
      <c r="AJ766" s="239"/>
    </row>
    <row r="767">
      <c r="A767" s="239"/>
      <c r="B767" s="239"/>
      <c r="C767" s="239"/>
      <c r="D767" s="239"/>
      <c r="E767" s="239"/>
      <c r="F767" s="283"/>
      <c r="G767" s="239"/>
      <c r="H767" s="239"/>
      <c r="I767" s="239"/>
      <c r="J767" s="239"/>
      <c r="K767" s="239"/>
      <c r="L767" s="239"/>
      <c r="M767" s="239"/>
      <c r="N767" s="239"/>
      <c r="O767" s="239"/>
      <c r="P767" s="246"/>
      <c r="Q767" s="239"/>
      <c r="R767" s="239"/>
      <c r="S767" s="239"/>
      <c r="T767" s="239"/>
      <c r="U767" s="239"/>
      <c r="V767" s="239"/>
      <c r="W767" s="246"/>
      <c r="X767" s="239"/>
      <c r="Y767" s="239"/>
      <c r="Z767" s="239"/>
      <c r="AA767" s="239"/>
      <c r="AB767" s="239"/>
      <c r="AC767" s="239"/>
      <c r="AD767" s="239"/>
      <c r="AE767" s="239"/>
      <c r="AF767" s="239"/>
      <c r="AG767" s="239"/>
      <c r="AH767" s="239"/>
      <c r="AI767" s="239"/>
      <c r="AJ767" s="239"/>
    </row>
    <row r="768">
      <c r="A768" s="239"/>
      <c r="B768" s="239"/>
      <c r="C768" s="239"/>
      <c r="D768" s="239"/>
      <c r="E768" s="239"/>
      <c r="F768" s="283"/>
      <c r="G768" s="239"/>
      <c r="H768" s="239"/>
      <c r="I768" s="239"/>
      <c r="J768" s="239"/>
      <c r="K768" s="239"/>
      <c r="L768" s="239"/>
      <c r="M768" s="239"/>
      <c r="N768" s="239"/>
      <c r="O768" s="239"/>
      <c r="P768" s="246"/>
      <c r="Q768" s="239"/>
      <c r="R768" s="239"/>
      <c r="S768" s="239"/>
      <c r="T768" s="239"/>
      <c r="U768" s="239"/>
      <c r="V768" s="239"/>
      <c r="W768" s="246"/>
      <c r="X768" s="239"/>
      <c r="Y768" s="239"/>
      <c r="Z768" s="239"/>
      <c r="AA768" s="239"/>
      <c r="AB768" s="239"/>
      <c r="AC768" s="239"/>
      <c r="AD768" s="239"/>
      <c r="AE768" s="239"/>
      <c r="AF768" s="239"/>
      <c r="AG768" s="239"/>
      <c r="AH768" s="239"/>
      <c r="AI768" s="239"/>
      <c r="AJ768" s="239"/>
    </row>
    <row r="769">
      <c r="A769" s="239"/>
      <c r="B769" s="239"/>
      <c r="C769" s="239"/>
      <c r="D769" s="239"/>
      <c r="E769" s="239"/>
      <c r="F769" s="283"/>
      <c r="G769" s="239"/>
      <c r="H769" s="239"/>
      <c r="I769" s="239"/>
      <c r="J769" s="239"/>
      <c r="K769" s="239"/>
      <c r="L769" s="239"/>
      <c r="M769" s="239"/>
      <c r="N769" s="239"/>
      <c r="O769" s="239"/>
      <c r="P769" s="246"/>
      <c r="Q769" s="239"/>
      <c r="R769" s="239"/>
      <c r="S769" s="239"/>
      <c r="T769" s="239"/>
      <c r="U769" s="239"/>
      <c r="V769" s="239"/>
      <c r="W769" s="246"/>
      <c r="X769" s="239"/>
      <c r="Y769" s="239"/>
      <c r="Z769" s="239"/>
      <c r="AA769" s="239"/>
      <c r="AB769" s="239"/>
      <c r="AC769" s="239"/>
      <c r="AD769" s="239"/>
      <c r="AE769" s="239"/>
      <c r="AF769" s="239"/>
      <c r="AG769" s="239"/>
      <c r="AH769" s="239"/>
      <c r="AI769" s="239"/>
      <c r="AJ769" s="239"/>
    </row>
    <row r="770">
      <c r="A770" s="239"/>
      <c r="B770" s="239"/>
      <c r="C770" s="239"/>
      <c r="D770" s="239"/>
      <c r="E770" s="239"/>
      <c r="F770" s="283"/>
      <c r="G770" s="239"/>
      <c r="H770" s="239"/>
      <c r="I770" s="239"/>
      <c r="J770" s="239"/>
      <c r="K770" s="239"/>
      <c r="L770" s="239"/>
      <c r="M770" s="239"/>
      <c r="N770" s="239"/>
      <c r="O770" s="239"/>
      <c r="P770" s="246"/>
      <c r="Q770" s="239"/>
      <c r="R770" s="239"/>
      <c r="S770" s="239"/>
      <c r="T770" s="239"/>
      <c r="U770" s="239"/>
      <c r="V770" s="239"/>
      <c r="W770" s="246"/>
      <c r="X770" s="239"/>
      <c r="Y770" s="239"/>
      <c r="Z770" s="239"/>
      <c r="AA770" s="239"/>
      <c r="AB770" s="239"/>
      <c r="AC770" s="239"/>
      <c r="AD770" s="239"/>
      <c r="AE770" s="239"/>
      <c r="AF770" s="239"/>
      <c r="AG770" s="239"/>
      <c r="AH770" s="239"/>
      <c r="AI770" s="239"/>
      <c r="AJ770" s="239"/>
    </row>
    <row r="771">
      <c r="A771" s="239"/>
      <c r="B771" s="239"/>
      <c r="C771" s="239"/>
      <c r="D771" s="239"/>
      <c r="E771" s="239"/>
      <c r="F771" s="283"/>
      <c r="G771" s="239"/>
      <c r="H771" s="239"/>
      <c r="I771" s="239"/>
      <c r="J771" s="239"/>
      <c r="K771" s="239"/>
      <c r="L771" s="239"/>
      <c r="M771" s="239"/>
      <c r="N771" s="239"/>
      <c r="O771" s="239"/>
      <c r="P771" s="246"/>
      <c r="Q771" s="239"/>
      <c r="R771" s="239"/>
      <c r="S771" s="239"/>
      <c r="T771" s="239"/>
      <c r="U771" s="239"/>
      <c r="V771" s="239"/>
      <c r="W771" s="246"/>
      <c r="X771" s="239"/>
      <c r="Y771" s="239"/>
      <c r="Z771" s="239"/>
      <c r="AA771" s="239"/>
      <c r="AB771" s="239"/>
      <c r="AC771" s="239"/>
      <c r="AD771" s="239"/>
      <c r="AE771" s="239"/>
      <c r="AF771" s="239"/>
      <c r="AG771" s="239"/>
      <c r="AH771" s="239"/>
      <c r="AI771" s="239"/>
      <c r="AJ771" s="239"/>
    </row>
    <row r="772">
      <c r="A772" s="239"/>
      <c r="B772" s="239"/>
      <c r="C772" s="239"/>
      <c r="D772" s="239"/>
      <c r="E772" s="239"/>
      <c r="F772" s="283"/>
      <c r="G772" s="239"/>
      <c r="H772" s="239"/>
      <c r="I772" s="239"/>
      <c r="J772" s="239"/>
      <c r="K772" s="239"/>
      <c r="L772" s="239"/>
      <c r="M772" s="239"/>
      <c r="N772" s="239"/>
      <c r="O772" s="239"/>
      <c r="P772" s="246"/>
      <c r="Q772" s="239"/>
      <c r="R772" s="239"/>
      <c r="S772" s="239"/>
      <c r="T772" s="239"/>
      <c r="U772" s="239"/>
      <c r="V772" s="239"/>
      <c r="W772" s="246"/>
      <c r="X772" s="239"/>
      <c r="Y772" s="239"/>
      <c r="Z772" s="239"/>
      <c r="AA772" s="239"/>
      <c r="AB772" s="239"/>
      <c r="AC772" s="239"/>
      <c r="AD772" s="239"/>
      <c r="AE772" s="239"/>
      <c r="AF772" s="239"/>
      <c r="AG772" s="239"/>
      <c r="AH772" s="239"/>
      <c r="AI772" s="239"/>
      <c r="AJ772" s="239"/>
    </row>
    <row r="773">
      <c r="A773" s="239"/>
      <c r="B773" s="239"/>
      <c r="C773" s="239"/>
      <c r="D773" s="239"/>
      <c r="E773" s="239"/>
      <c r="F773" s="283"/>
      <c r="G773" s="239"/>
      <c r="H773" s="239"/>
      <c r="I773" s="239"/>
      <c r="J773" s="239"/>
      <c r="K773" s="239"/>
      <c r="L773" s="239"/>
      <c r="M773" s="239"/>
      <c r="N773" s="239"/>
      <c r="O773" s="239"/>
      <c r="P773" s="246"/>
      <c r="Q773" s="239"/>
      <c r="R773" s="239"/>
      <c r="S773" s="239"/>
      <c r="T773" s="239"/>
      <c r="U773" s="239"/>
      <c r="V773" s="239"/>
      <c r="W773" s="246"/>
      <c r="X773" s="239"/>
      <c r="Y773" s="239"/>
      <c r="Z773" s="239"/>
      <c r="AA773" s="239"/>
      <c r="AB773" s="239"/>
      <c r="AC773" s="239"/>
      <c r="AD773" s="239"/>
      <c r="AE773" s="239"/>
      <c r="AF773" s="239"/>
      <c r="AG773" s="239"/>
      <c r="AH773" s="239"/>
      <c r="AI773" s="239"/>
      <c r="AJ773" s="239"/>
    </row>
    <row r="774">
      <c r="A774" s="239"/>
      <c r="B774" s="239"/>
      <c r="C774" s="239"/>
      <c r="D774" s="239"/>
      <c r="E774" s="239"/>
      <c r="F774" s="283"/>
      <c r="G774" s="239"/>
      <c r="H774" s="239"/>
      <c r="I774" s="239"/>
      <c r="J774" s="239"/>
      <c r="K774" s="239"/>
      <c r="L774" s="239"/>
      <c r="M774" s="239"/>
      <c r="N774" s="239"/>
      <c r="O774" s="239"/>
      <c r="P774" s="246"/>
      <c r="Q774" s="239"/>
      <c r="R774" s="239"/>
      <c r="S774" s="239"/>
      <c r="T774" s="239"/>
      <c r="U774" s="239"/>
      <c r="V774" s="239"/>
      <c r="W774" s="246"/>
      <c r="X774" s="239"/>
      <c r="Y774" s="239"/>
      <c r="Z774" s="239"/>
      <c r="AA774" s="239"/>
      <c r="AB774" s="239"/>
      <c r="AC774" s="239"/>
      <c r="AD774" s="239"/>
      <c r="AE774" s="239"/>
      <c r="AF774" s="239"/>
      <c r="AG774" s="239"/>
      <c r="AH774" s="239"/>
      <c r="AI774" s="239"/>
      <c r="AJ774" s="239"/>
    </row>
    <row r="775">
      <c r="A775" s="239"/>
      <c r="B775" s="239"/>
      <c r="C775" s="239"/>
      <c r="D775" s="239"/>
      <c r="E775" s="239"/>
      <c r="F775" s="283"/>
      <c r="G775" s="239"/>
      <c r="H775" s="239"/>
      <c r="I775" s="239"/>
      <c r="J775" s="239"/>
      <c r="K775" s="239"/>
      <c r="L775" s="239"/>
      <c r="M775" s="239"/>
      <c r="N775" s="239"/>
      <c r="O775" s="239"/>
      <c r="P775" s="246"/>
      <c r="Q775" s="239"/>
      <c r="R775" s="239"/>
      <c r="S775" s="239"/>
      <c r="T775" s="239"/>
      <c r="U775" s="239"/>
      <c r="V775" s="239"/>
      <c r="W775" s="246"/>
      <c r="X775" s="239"/>
      <c r="Y775" s="239"/>
      <c r="Z775" s="239"/>
      <c r="AA775" s="239"/>
      <c r="AB775" s="239"/>
      <c r="AC775" s="239"/>
      <c r="AD775" s="239"/>
      <c r="AE775" s="239"/>
      <c r="AF775" s="239"/>
      <c r="AG775" s="239"/>
      <c r="AH775" s="239"/>
      <c r="AI775" s="239"/>
      <c r="AJ775" s="239"/>
    </row>
    <row r="776">
      <c r="A776" s="239"/>
      <c r="B776" s="239"/>
      <c r="C776" s="239"/>
      <c r="D776" s="239"/>
      <c r="E776" s="239"/>
      <c r="F776" s="283"/>
      <c r="G776" s="239"/>
      <c r="H776" s="239"/>
      <c r="I776" s="239"/>
      <c r="J776" s="239"/>
      <c r="K776" s="239"/>
      <c r="L776" s="239"/>
      <c r="M776" s="239"/>
      <c r="N776" s="239"/>
      <c r="O776" s="239"/>
      <c r="P776" s="246"/>
      <c r="Q776" s="239"/>
      <c r="R776" s="239"/>
      <c r="S776" s="239"/>
      <c r="T776" s="239"/>
      <c r="U776" s="239"/>
      <c r="V776" s="239"/>
      <c r="W776" s="246"/>
      <c r="X776" s="239"/>
      <c r="Y776" s="239"/>
      <c r="Z776" s="239"/>
      <c r="AA776" s="239"/>
      <c r="AB776" s="239"/>
      <c r="AC776" s="239"/>
      <c r="AD776" s="239"/>
      <c r="AE776" s="239"/>
      <c r="AF776" s="239"/>
      <c r="AG776" s="239"/>
      <c r="AH776" s="239"/>
      <c r="AI776" s="239"/>
      <c r="AJ776" s="239"/>
    </row>
    <row r="777">
      <c r="A777" s="239"/>
      <c r="B777" s="239"/>
      <c r="C777" s="239"/>
      <c r="D777" s="239"/>
      <c r="E777" s="239"/>
      <c r="F777" s="283"/>
      <c r="G777" s="239"/>
      <c r="H777" s="239"/>
      <c r="I777" s="239"/>
      <c r="J777" s="239"/>
      <c r="K777" s="239"/>
      <c r="L777" s="239"/>
      <c r="M777" s="239"/>
      <c r="N777" s="239"/>
      <c r="O777" s="239"/>
      <c r="P777" s="246"/>
      <c r="Q777" s="239"/>
      <c r="R777" s="239"/>
      <c r="S777" s="239"/>
      <c r="T777" s="239"/>
      <c r="U777" s="239"/>
      <c r="V777" s="239"/>
      <c r="W777" s="246"/>
      <c r="X777" s="239"/>
      <c r="Y777" s="239"/>
      <c r="Z777" s="239"/>
      <c r="AA777" s="239"/>
      <c r="AB777" s="239"/>
      <c r="AC777" s="239"/>
      <c r="AD777" s="239"/>
      <c r="AE777" s="239"/>
      <c r="AF777" s="239"/>
      <c r="AG777" s="239"/>
      <c r="AH777" s="239"/>
      <c r="AI777" s="239"/>
      <c r="AJ777" s="239"/>
    </row>
    <row r="778">
      <c r="A778" s="239"/>
      <c r="B778" s="239"/>
      <c r="C778" s="239"/>
      <c r="D778" s="239"/>
      <c r="E778" s="239"/>
      <c r="F778" s="283"/>
      <c r="G778" s="239"/>
      <c r="H778" s="239"/>
      <c r="I778" s="239"/>
      <c r="J778" s="239"/>
      <c r="K778" s="239"/>
      <c r="L778" s="239"/>
      <c r="M778" s="239"/>
      <c r="N778" s="239"/>
      <c r="O778" s="239"/>
      <c r="P778" s="246"/>
      <c r="Q778" s="239"/>
      <c r="R778" s="239"/>
      <c r="S778" s="239"/>
      <c r="T778" s="239"/>
      <c r="U778" s="239"/>
      <c r="V778" s="239"/>
      <c r="W778" s="246"/>
      <c r="X778" s="239"/>
      <c r="Y778" s="239"/>
      <c r="Z778" s="239"/>
      <c r="AA778" s="239"/>
      <c r="AB778" s="239"/>
      <c r="AC778" s="239"/>
      <c r="AD778" s="239"/>
      <c r="AE778" s="239"/>
      <c r="AF778" s="239"/>
      <c r="AG778" s="239"/>
      <c r="AH778" s="239"/>
      <c r="AI778" s="239"/>
      <c r="AJ778" s="239"/>
    </row>
    <row r="779">
      <c r="A779" s="239"/>
      <c r="B779" s="239"/>
      <c r="C779" s="239"/>
      <c r="D779" s="239"/>
      <c r="E779" s="239"/>
      <c r="F779" s="283"/>
      <c r="G779" s="239"/>
      <c r="H779" s="239"/>
      <c r="I779" s="239"/>
      <c r="J779" s="239"/>
      <c r="K779" s="239"/>
      <c r="L779" s="239"/>
      <c r="M779" s="239"/>
      <c r="N779" s="239"/>
      <c r="O779" s="239"/>
      <c r="P779" s="246"/>
      <c r="Q779" s="239"/>
      <c r="R779" s="239"/>
      <c r="S779" s="239"/>
      <c r="T779" s="239"/>
      <c r="U779" s="239"/>
      <c r="V779" s="239"/>
      <c r="W779" s="246"/>
      <c r="X779" s="239"/>
      <c r="Y779" s="239"/>
      <c r="Z779" s="239"/>
      <c r="AA779" s="239"/>
      <c r="AB779" s="239"/>
      <c r="AC779" s="239"/>
      <c r="AD779" s="239"/>
      <c r="AE779" s="239"/>
      <c r="AF779" s="239"/>
      <c r="AG779" s="239"/>
      <c r="AH779" s="239"/>
      <c r="AI779" s="239"/>
      <c r="AJ779" s="239"/>
    </row>
    <row r="780">
      <c r="A780" s="239"/>
      <c r="B780" s="239"/>
      <c r="C780" s="239"/>
      <c r="D780" s="239"/>
      <c r="E780" s="239"/>
      <c r="F780" s="283"/>
      <c r="G780" s="239"/>
      <c r="H780" s="239"/>
      <c r="I780" s="239"/>
      <c r="J780" s="239"/>
      <c r="K780" s="239"/>
      <c r="L780" s="239"/>
      <c r="M780" s="239"/>
      <c r="N780" s="239"/>
      <c r="O780" s="239"/>
      <c r="P780" s="246"/>
      <c r="Q780" s="239"/>
      <c r="R780" s="239"/>
      <c r="S780" s="239"/>
      <c r="T780" s="239"/>
      <c r="U780" s="239"/>
      <c r="V780" s="239"/>
      <c r="W780" s="246"/>
      <c r="X780" s="239"/>
      <c r="Y780" s="239"/>
      <c r="Z780" s="239"/>
      <c r="AA780" s="239"/>
      <c r="AB780" s="239"/>
      <c r="AC780" s="239"/>
      <c r="AD780" s="239"/>
      <c r="AE780" s="239"/>
      <c r="AF780" s="239"/>
      <c r="AG780" s="239"/>
      <c r="AH780" s="239"/>
      <c r="AI780" s="239"/>
      <c r="AJ780" s="239"/>
    </row>
    <row r="781">
      <c r="A781" s="239"/>
      <c r="B781" s="239"/>
      <c r="C781" s="239"/>
      <c r="D781" s="239"/>
      <c r="E781" s="239"/>
      <c r="F781" s="283"/>
      <c r="G781" s="239"/>
      <c r="H781" s="239"/>
      <c r="I781" s="239"/>
      <c r="J781" s="239"/>
      <c r="K781" s="239"/>
      <c r="L781" s="239"/>
      <c r="M781" s="239"/>
      <c r="N781" s="239"/>
      <c r="O781" s="239"/>
      <c r="P781" s="246"/>
      <c r="Q781" s="239"/>
      <c r="R781" s="239"/>
      <c r="S781" s="239"/>
      <c r="T781" s="239"/>
      <c r="U781" s="239"/>
      <c r="V781" s="239"/>
      <c r="W781" s="246"/>
      <c r="X781" s="239"/>
      <c r="Y781" s="239"/>
      <c r="Z781" s="239"/>
      <c r="AA781" s="239"/>
      <c r="AB781" s="239"/>
      <c r="AC781" s="239"/>
      <c r="AD781" s="239"/>
      <c r="AE781" s="239"/>
      <c r="AF781" s="239"/>
      <c r="AG781" s="239"/>
      <c r="AH781" s="239"/>
      <c r="AI781" s="239"/>
      <c r="AJ781" s="239"/>
    </row>
    <row r="782">
      <c r="A782" s="239"/>
      <c r="B782" s="239"/>
      <c r="C782" s="239"/>
      <c r="D782" s="239"/>
      <c r="E782" s="239"/>
      <c r="F782" s="283"/>
      <c r="G782" s="239"/>
      <c r="H782" s="239"/>
      <c r="I782" s="239"/>
      <c r="J782" s="239"/>
      <c r="K782" s="239"/>
      <c r="L782" s="239"/>
      <c r="M782" s="239"/>
      <c r="N782" s="239"/>
      <c r="O782" s="239"/>
      <c r="P782" s="246"/>
      <c r="Q782" s="239"/>
      <c r="R782" s="239"/>
      <c r="S782" s="239"/>
      <c r="T782" s="239"/>
      <c r="U782" s="239"/>
      <c r="V782" s="239"/>
      <c r="W782" s="246"/>
      <c r="X782" s="239"/>
      <c r="Y782" s="239"/>
      <c r="Z782" s="239"/>
      <c r="AA782" s="239"/>
      <c r="AB782" s="239"/>
      <c r="AC782" s="239"/>
      <c r="AD782" s="239"/>
      <c r="AE782" s="239"/>
      <c r="AF782" s="239"/>
      <c r="AG782" s="239"/>
      <c r="AH782" s="239"/>
      <c r="AI782" s="239"/>
      <c r="AJ782" s="239"/>
    </row>
    <row r="783">
      <c r="A783" s="239"/>
      <c r="B783" s="239"/>
      <c r="C783" s="239"/>
      <c r="D783" s="239"/>
      <c r="E783" s="239"/>
      <c r="F783" s="283"/>
      <c r="G783" s="239"/>
      <c r="H783" s="239"/>
      <c r="I783" s="239"/>
      <c r="J783" s="239"/>
      <c r="K783" s="239"/>
      <c r="L783" s="239"/>
      <c r="M783" s="239"/>
      <c r="N783" s="239"/>
      <c r="O783" s="239"/>
      <c r="P783" s="246"/>
      <c r="Q783" s="239"/>
      <c r="R783" s="239"/>
      <c r="S783" s="239"/>
      <c r="T783" s="239"/>
      <c r="U783" s="239"/>
      <c r="V783" s="239"/>
      <c r="W783" s="246"/>
      <c r="X783" s="239"/>
      <c r="Y783" s="239"/>
      <c r="Z783" s="239"/>
      <c r="AA783" s="239"/>
      <c r="AB783" s="239"/>
      <c r="AC783" s="239"/>
      <c r="AD783" s="239"/>
      <c r="AE783" s="239"/>
      <c r="AF783" s="239"/>
      <c r="AG783" s="239"/>
      <c r="AH783" s="239"/>
      <c r="AI783" s="239"/>
      <c r="AJ783" s="239"/>
    </row>
    <row r="784">
      <c r="A784" s="239"/>
      <c r="B784" s="239"/>
      <c r="C784" s="239"/>
      <c r="D784" s="239"/>
      <c r="E784" s="239"/>
      <c r="F784" s="283"/>
      <c r="G784" s="239"/>
      <c r="H784" s="239"/>
      <c r="I784" s="239"/>
      <c r="J784" s="239"/>
      <c r="K784" s="239"/>
      <c r="L784" s="239"/>
      <c r="M784" s="239"/>
      <c r="N784" s="239"/>
      <c r="O784" s="239"/>
      <c r="P784" s="246"/>
      <c r="Q784" s="239"/>
      <c r="R784" s="239"/>
      <c r="S784" s="239"/>
      <c r="T784" s="239"/>
      <c r="U784" s="239"/>
      <c r="V784" s="239"/>
      <c r="W784" s="246"/>
      <c r="X784" s="239"/>
      <c r="Y784" s="239"/>
      <c r="Z784" s="239"/>
      <c r="AA784" s="239"/>
      <c r="AB784" s="239"/>
      <c r="AC784" s="239"/>
      <c r="AD784" s="239"/>
      <c r="AE784" s="239"/>
      <c r="AF784" s="239"/>
      <c r="AG784" s="239"/>
      <c r="AH784" s="239"/>
      <c r="AI784" s="239"/>
      <c r="AJ784" s="239"/>
    </row>
    <row r="785">
      <c r="A785" s="239"/>
      <c r="B785" s="239"/>
      <c r="C785" s="239"/>
      <c r="D785" s="239"/>
      <c r="E785" s="239"/>
      <c r="F785" s="283"/>
      <c r="G785" s="239"/>
      <c r="H785" s="239"/>
      <c r="I785" s="239"/>
      <c r="J785" s="239"/>
      <c r="K785" s="239"/>
      <c r="L785" s="239"/>
      <c r="M785" s="239"/>
      <c r="N785" s="239"/>
      <c r="O785" s="239"/>
      <c r="P785" s="246"/>
      <c r="Q785" s="239"/>
      <c r="R785" s="239"/>
      <c r="S785" s="239"/>
      <c r="T785" s="239"/>
      <c r="U785" s="239"/>
      <c r="V785" s="239"/>
      <c r="W785" s="246"/>
      <c r="X785" s="239"/>
      <c r="Y785" s="239"/>
      <c r="Z785" s="239"/>
      <c r="AA785" s="239"/>
      <c r="AB785" s="239"/>
      <c r="AC785" s="239"/>
      <c r="AD785" s="239"/>
      <c r="AE785" s="239"/>
      <c r="AF785" s="239"/>
      <c r="AG785" s="239"/>
      <c r="AH785" s="239"/>
      <c r="AI785" s="239"/>
      <c r="AJ785" s="239"/>
    </row>
    <row r="786">
      <c r="A786" s="239"/>
      <c r="B786" s="239"/>
      <c r="C786" s="239"/>
      <c r="D786" s="239"/>
      <c r="E786" s="239"/>
      <c r="F786" s="283"/>
      <c r="G786" s="239"/>
      <c r="H786" s="239"/>
      <c r="I786" s="239"/>
      <c r="J786" s="239"/>
      <c r="K786" s="239"/>
      <c r="L786" s="239"/>
      <c r="M786" s="239"/>
      <c r="N786" s="239"/>
      <c r="O786" s="239"/>
      <c r="P786" s="246"/>
      <c r="Q786" s="239"/>
      <c r="R786" s="239"/>
      <c r="S786" s="239"/>
      <c r="T786" s="239"/>
      <c r="U786" s="239"/>
      <c r="V786" s="239"/>
      <c r="W786" s="246"/>
      <c r="X786" s="239"/>
      <c r="Y786" s="239"/>
      <c r="Z786" s="239"/>
      <c r="AA786" s="239"/>
      <c r="AB786" s="239"/>
      <c r="AC786" s="239"/>
      <c r="AD786" s="239"/>
      <c r="AE786" s="239"/>
      <c r="AF786" s="239"/>
      <c r="AG786" s="239"/>
      <c r="AH786" s="239"/>
      <c r="AI786" s="239"/>
      <c r="AJ786" s="239"/>
    </row>
    <row r="787">
      <c r="A787" s="239"/>
      <c r="B787" s="239"/>
      <c r="C787" s="239"/>
      <c r="D787" s="239"/>
      <c r="E787" s="239"/>
      <c r="F787" s="283"/>
      <c r="G787" s="239"/>
      <c r="H787" s="239"/>
      <c r="I787" s="239"/>
      <c r="J787" s="239"/>
      <c r="K787" s="239"/>
      <c r="L787" s="239"/>
      <c r="M787" s="239"/>
      <c r="N787" s="239"/>
      <c r="O787" s="239"/>
      <c r="P787" s="246"/>
      <c r="Q787" s="239"/>
      <c r="R787" s="239"/>
      <c r="S787" s="239"/>
      <c r="T787" s="239"/>
      <c r="U787" s="239"/>
      <c r="V787" s="239"/>
      <c r="W787" s="246"/>
      <c r="X787" s="239"/>
      <c r="Y787" s="239"/>
      <c r="Z787" s="239"/>
      <c r="AA787" s="239"/>
      <c r="AB787" s="239"/>
      <c r="AC787" s="239"/>
      <c r="AD787" s="239"/>
      <c r="AE787" s="239"/>
      <c r="AF787" s="239"/>
      <c r="AG787" s="239"/>
      <c r="AH787" s="239"/>
      <c r="AI787" s="239"/>
      <c r="AJ787" s="239"/>
    </row>
    <row r="788">
      <c r="A788" s="239"/>
      <c r="B788" s="239"/>
      <c r="C788" s="239"/>
      <c r="D788" s="239"/>
      <c r="E788" s="239"/>
      <c r="F788" s="283"/>
      <c r="G788" s="239"/>
      <c r="H788" s="239"/>
      <c r="I788" s="239"/>
      <c r="J788" s="239"/>
      <c r="K788" s="239"/>
      <c r="L788" s="239"/>
      <c r="M788" s="239"/>
      <c r="N788" s="239"/>
      <c r="O788" s="239"/>
      <c r="P788" s="246"/>
      <c r="Q788" s="239"/>
      <c r="R788" s="239"/>
      <c r="S788" s="239"/>
      <c r="T788" s="239"/>
      <c r="U788" s="239"/>
      <c r="V788" s="239"/>
      <c r="W788" s="246"/>
      <c r="X788" s="239"/>
      <c r="Y788" s="239"/>
      <c r="Z788" s="239"/>
      <c r="AA788" s="239"/>
      <c r="AB788" s="239"/>
      <c r="AC788" s="239"/>
      <c r="AD788" s="239"/>
      <c r="AE788" s="239"/>
      <c r="AF788" s="239"/>
      <c r="AG788" s="239"/>
      <c r="AH788" s="239"/>
      <c r="AI788" s="239"/>
      <c r="AJ788" s="239"/>
    </row>
    <row r="789">
      <c r="A789" s="239"/>
      <c r="B789" s="239"/>
      <c r="C789" s="239"/>
      <c r="D789" s="239"/>
      <c r="E789" s="239"/>
      <c r="F789" s="283"/>
      <c r="G789" s="239"/>
      <c r="H789" s="239"/>
      <c r="I789" s="239"/>
      <c r="J789" s="239"/>
      <c r="K789" s="239"/>
      <c r="L789" s="239"/>
      <c r="M789" s="239"/>
      <c r="N789" s="239"/>
      <c r="O789" s="239"/>
      <c r="P789" s="246"/>
      <c r="Q789" s="239"/>
      <c r="R789" s="239"/>
      <c r="S789" s="239"/>
      <c r="T789" s="239"/>
      <c r="U789" s="239"/>
      <c r="V789" s="239"/>
      <c r="W789" s="246"/>
      <c r="X789" s="239"/>
      <c r="Y789" s="239"/>
      <c r="Z789" s="239"/>
      <c r="AA789" s="239"/>
      <c r="AB789" s="239"/>
      <c r="AC789" s="239"/>
      <c r="AD789" s="239"/>
      <c r="AE789" s="239"/>
      <c r="AF789" s="239"/>
      <c r="AG789" s="239"/>
      <c r="AH789" s="239"/>
      <c r="AI789" s="239"/>
      <c r="AJ789" s="239"/>
    </row>
    <row r="790">
      <c r="A790" s="239"/>
      <c r="B790" s="239"/>
      <c r="C790" s="239"/>
      <c r="D790" s="239"/>
      <c r="E790" s="239"/>
      <c r="F790" s="283"/>
      <c r="G790" s="239"/>
      <c r="H790" s="239"/>
      <c r="I790" s="239"/>
      <c r="J790" s="239"/>
      <c r="K790" s="239"/>
      <c r="L790" s="239"/>
      <c r="M790" s="239"/>
      <c r="N790" s="239"/>
      <c r="O790" s="239"/>
      <c r="P790" s="246"/>
      <c r="Q790" s="239"/>
      <c r="R790" s="239"/>
      <c r="S790" s="239"/>
      <c r="T790" s="239"/>
      <c r="U790" s="239"/>
      <c r="V790" s="239"/>
      <c r="W790" s="246"/>
      <c r="X790" s="239"/>
      <c r="Y790" s="239"/>
      <c r="Z790" s="239"/>
      <c r="AA790" s="239"/>
      <c r="AB790" s="239"/>
      <c r="AC790" s="239"/>
      <c r="AD790" s="239"/>
      <c r="AE790" s="239"/>
      <c r="AF790" s="239"/>
      <c r="AG790" s="239"/>
      <c r="AH790" s="239"/>
      <c r="AI790" s="239"/>
      <c r="AJ790" s="239"/>
    </row>
    <row r="791">
      <c r="A791" s="239"/>
      <c r="B791" s="239"/>
      <c r="C791" s="239"/>
      <c r="D791" s="239"/>
      <c r="E791" s="239"/>
      <c r="F791" s="283"/>
      <c r="G791" s="239"/>
      <c r="H791" s="239"/>
      <c r="I791" s="239"/>
      <c r="J791" s="239"/>
      <c r="K791" s="239"/>
      <c r="L791" s="239"/>
      <c r="M791" s="239"/>
      <c r="N791" s="239"/>
      <c r="O791" s="239"/>
      <c r="P791" s="246"/>
      <c r="Q791" s="239"/>
      <c r="R791" s="239"/>
      <c r="S791" s="239"/>
      <c r="T791" s="239"/>
      <c r="U791" s="239"/>
      <c r="V791" s="239"/>
      <c r="W791" s="246"/>
      <c r="X791" s="239"/>
      <c r="Y791" s="239"/>
      <c r="Z791" s="239"/>
      <c r="AA791" s="239"/>
      <c r="AB791" s="239"/>
      <c r="AC791" s="239"/>
      <c r="AD791" s="239"/>
      <c r="AE791" s="239"/>
      <c r="AF791" s="239"/>
      <c r="AG791" s="239"/>
      <c r="AH791" s="239"/>
      <c r="AI791" s="239"/>
      <c r="AJ791" s="239"/>
    </row>
    <row r="792">
      <c r="A792" s="239"/>
      <c r="B792" s="239"/>
      <c r="C792" s="239"/>
      <c r="D792" s="239"/>
      <c r="E792" s="239"/>
      <c r="F792" s="283"/>
      <c r="G792" s="239"/>
      <c r="H792" s="239"/>
      <c r="I792" s="239"/>
      <c r="J792" s="239"/>
      <c r="K792" s="239"/>
      <c r="L792" s="239"/>
      <c r="M792" s="239"/>
      <c r="N792" s="239"/>
      <c r="O792" s="239"/>
      <c r="P792" s="246"/>
      <c r="Q792" s="239"/>
      <c r="R792" s="239"/>
      <c r="S792" s="239"/>
      <c r="T792" s="239"/>
      <c r="U792" s="239"/>
      <c r="V792" s="239"/>
      <c r="W792" s="246"/>
      <c r="X792" s="239"/>
      <c r="Y792" s="239"/>
      <c r="Z792" s="239"/>
      <c r="AA792" s="239"/>
      <c r="AB792" s="239"/>
      <c r="AC792" s="239"/>
      <c r="AD792" s="239"/>
      <c r="AE792" s="239"/>
      <c r="AF792" s="239"/>
      <c r="AG792" s="239"/>
      <c r="AH792" s="239"/>
      <c r="AI792" s="239"/>
      <c r="AJ792" s="239"/>
    </row>
    <row r="793">
      <c r="A793" s="239"/>
      <c r="B793" s="239"/>
      <c r="C793" s="239"/>
      <c r="D793" s="239"/>
      <c r="E793" s="239"/>
      <c r="F793" s="283"/>
      <c r="G793" s="239"/>
      <c r="H793" s="239"/>
      <c r="I793" s="239"/>
      <c r="J793" s="239"/>
      <c r="K793" s="239"/>
      <c r="L793" s="239"/>
      <c r="M793" s="239"/>
      <c r="N793" s="239"/>
      <c r="O793" s="239"/>
      <c r="P793" s="246"/>
      <c r="Q793" s="239"/>
      <c r="R793" s="239"/>
      <c r="S793" s="239"/>
      <c r="T793" s="239"/>
      <c r="U793" s="239"/>
      <c r="V793" s="239"/>
      <c r="W793" s="246"/>
      <c r="X793" s="239"/>
      <c r="Y793" s="239"/>
      <c r="Z793" s="239"/>
      <c r="AA793" s="239"/>
      <c r="AB793" s="239"/>
      <c r="AC793" s="239"/>
      <c r="AD793" s="239"/>
      <c r="AE793" s="239"/>
      <c r="AF793" s="239"/>
      <c r="AG793" s="239"/>
      <c r="AH793" s="239"/>
      <c r="AI793" s="239"/>
      <c r="AJ793" s="239"/>
    </row>
    <row r="794">
      <c r="A794" s="239"/>
      <c r="B794" s="239"/>
      <c r="C794" s="239"/>
      <c r="D794" s="239"/>
      <c r="E794" s="239"/>
      <c r="F794" s="283"/>
      <c r="G794" s="239"/>
      <c r="H794" s="239"/>
      <c r="I794" s="239"/>
      <c r="J794" s="239"/>
      <c r="K794" s="239"/>
      <c r="L794" s="239"/>
      <c r="M794" s="239"/>
      <c r="N794" s="239"/>
      <c r="O794" s="239"/>
      <c r="P794" s="246"/>
      <c r="Q794" s="239"/>
      <c r="R794" s="239"/>
      <c r="S794" s="239"/>
      <c r="T794" s="239"/>
      <c r="U794" s="239"/>
      <c r="V794" s="239"/>
      <c r="W794" s="246"/>
      <c r="X794" s="239"/>
      <c r="Y794" s="239"/>
      <c r="Z794" s="239"/>
      <c r="AA794" s="239"/>
      <c r="AB794" s="239"/>
      <c r="AC794" s="239"/>
      <c r="AD794" s="239"/>
      <c r="AE794" s="239"/>
      <c r="AF794" s="239"/>
      <c r="AG794" s="239"/>
      <c r="AH794" s="239"/>
      <c r="AI794" s="239"/>
      <c r="AJ794" s="239"/>
    </row>
    <row r="795">
      <c r="A795" s="239"/>
      <c r="B795" s="239"/>
      <c r="C795" s="239"/>
      <c r="D795" s="239"/>
      <c r="E795" s="239"/>
      <c r="F795" s="283"/>
      <c r="G795" s="239"/>
      <c r="H795" s="239"/>
      <c r="I795" s="239"/>
      <c r="J795" s="239"/>
      <c r="K795" s="239"/>
      <c r="L795" s="239"/>
      <c r="M795" s="239"/>
      <c r="N795" s="239"/>
      <c r="O795" s="239"/>
      <c r="P795" s="246"/>
      <c r="Q795" s="239"/>
      <c r="R795" s="239"/>
      <c r="S795" s="239"/>
      <c r="T795" s="239"/>
      <c r="U795" s="239"/>
      <c r="V795" s="239"/>
      <c r="W795" s="246"/>
      <c r="X795" s="239"/>
      <c r="Y795" s="239"/>
      <c r="Z795" s="239"/>
      <c r="AA795" s="239"/>
      <c r="AB795" s="239"/>
      <c r="AC795" s="239"/>
      <c r="AD795" s="239"/>
      <c r="AE795" s="239"/>
      <c r="AF795" s="239"/>
      <c r="AG795" s="239"/>
      <c r="AH795" s="239"/>
      <c r="AI795" s="239"/>
      <c r="AJ795" s="239"/>
    </row>
    <row r="796">
      <c r="A796" s="239"/>
      <c r="B796" s="239"/>
      <c r="C796" s="239"/>
      <c r="D796" s="239"/>
      <c r="E796" s="239"/>
      <c r="F796" s="283"/>
      <c r="G796" s="239"/>
      <c r="H796" s="239"/>
      <c r="I796" s="239"/>
      <c r="J796" s="239"/>
      <c r="K796" s="239"/>
      <c r="L796" s="239"/>
      <c r="M796" s="239"/>
      <c r="N796" s="239"/>
      <c r="O796" s="239"/>
      <c r="P796" s="246"/>
      <c r="Q796" s="239"/>
      <c r="R796" s="239"/>
      <c r="S796" s="239"/>
      <c r="T796" s="239"/>
      <c r="U796" s="239"/>
      <c r="V796" s="239"/>
      <c r="W796" s="246"/>
      <c r="X796" s="239"/>
      <c r="Y796" s="239"/>
      <c r="Z796" s="239"/>
      <c r="AA796" s="239"/>
      <c r="AB796" s="239"/>
      <c r="AC796" s="239"/>
      <c r="AD796" s="239"/>
      <c r="AE796" s="239"/>
      <c r="AF796" s="239"/>
      <c r="AG796" s="239"/>
      <c r="AH796" s="239"/>
      <c r="AI796" s="239"/>
      <c r="AJ796" s="239"/>
    </row>
    <row r="797">
      <c r="A797" s="239"/>
      <c r="B797" s="239"/>
      <c r="C797" s="239"/>
      <c r="D797" s="239"/>
      <c r="E797" s="239"/>
      <c r="F797" s="283"/>
      <c r="G797" s="239"/>
      <c r="H797" s="239"/>
      <c r="I797" s="239"/>
      <c r="J797" s="239"/>
      <c r="K797" s="239"/>
      <c r="L797" s="239"/>
      <c r="M797" s="239"/>
      <c r="N797" s="239"/>
      <c r="O797" s="239"/>
      <c r="P797" s="246"/>
      <c r="Q797" s="239"/>
      <c r="R797" s="239"/>
      <c r="S797" s="239"/>
      <c r="T797" s="239"/>
      <c r="U797" s="239"/>
      <c r="V797" s="239"/>
      <c r="W797" s="246"/>
      <c r="X797" s="239"/>
      <c r="Y797" s="239"/>
      <c r="Z797" s="239"/>
      <c r="AA797" s="239"/>
      <c r="AB797" s="239"/>
      <c r="AC797" s="239"/>
      <c r="AD797" s="239"/>
      <c r="AE797" s="239"/>
      <c r="AF797" s="239"/>
      <c r="AG797" s="239"/>
      <c r="AH797" s="239"/>
      <c r="AI797" s="239"/>
      <c r="AJ797" s="239"/>
    </row>
    <row r="798">
      <c r="A798" s="239"/>
      <c r="B798" s="239"/>
      <c r="C798" s="239"/>
      <c r="D798" s="239"/>
      <c r="E798" s="239"/>
      <c r="F798" s="283"/>
      <c r="G798" s="239"/>
      <c r="H798" s="239"/>
      <c r="I798" s="239"/>
      <c r="J798" s="239"/>
      <c r="K798" s="239"/>
      <c r="L798" s="239"/>
      <c r="M798" s="239"/>
      <c r="N798" s="239"/>
      <c r="O798" s="239"/>
      <c r="P798" s="246"/>
      <c r="Q798" s="239"/>
      <c r="R798" s="239"/>
      <c r="S798" s="239"/>
      <c r="T798" s="239"/>
      <c r="U798" s="239"/>
      <c r="V798" s="239"/>
      <c r="W798" s="246"/>
      <c r="X798" s="239"/>
      <c r="Y798" s="239"/>
      <c r="Z798" s="239"/>
      <c r="AA798" s="239"/>
      <c r="AB798" s="239"/>
      <c r="AC798" s="239"/>
      <c r="AD798" s="239"/>
      <c r="AE798" s="239"/>
      <c r="AF798" s="239"/>
      <c r="AG798" s="239"/>
      <c r="AH798" s="239"/>
      <c r="AI798" s="239"/>
      <c r="AJ798" s="239"/>
    </row>
    <row r="799">
      <c r="A799" s="239"/>
      <c r="B799" s="239"/>
      <c r="C799" s="239"/>
      <c r="D799" s="239"/>
      <c r="E799" s="239"/>
      <c r="F799" s="283"/>
      <c r="G799" s="239"/>
      <c r="H799" s="239"/>
      <c r="I799" s="239"/>
      <c r="J799" s="239"/>
      <c r="K799" s="239"/>
      <c r="L799" s="239"/>
      <c r="M799" s="239"/>
      <c r="N799" s="239"/>
      <c r="O799" s="239"/>
      <c r="P799" s="246"/>
      <c r="Q799" s="239"/>
      <c r="R799" s="239"/>
      <c r="S799" s="239"/>
      <c r="T799" s="239"/>
      <c r="U799" s="239"/>
      <c r="V799" s="239"/>
      <c r="W799" s="246"/>
      <c r="X799" s="239"/>
      <c r="Y799" s="239"/>
      <c r="Z799" s="239"/>
      <c r="AA799" s="239"/>
      <c r="AB799" s="239"/>
      <c r="AC799" s="239"/>
      <c r="AD799" s="239"/>
      <c r="AE799" s="239"/>
      <c r="AF799" s="239"/>
      <c r="AG799" s="239"/>
      <c r="AH799" s="239"/>
      <c r="AI799" s="239"/>
      <c r="AJ799" s="239"/>
    </row>
    <row r="800">
      <c r="A800" s="239"/>
      <c r="B800" s="239"/>
      <c r="C800" s="239"/>
      <c r="D800" s="239"/>
      <c r="E800" s="239"/>
      <c r="F800" s="283"/>
      <c r="G800" s="239"/>
      <c r="H800" s="239"/>
      <c r="I800" s="239"/>
      <c r="J800" s="239"/>
      <c r="K800" s="239"/>
      <c r="L800" s="239"/>
      <c r="M800" s="239"/>
      <c r="N800" s="239"/>
      <c r="O800" s="239"/>
      <c r="P800" s="246"/>
      <c r="Q800" s="239"/>
      <c r="R800" s="239"/>
      <c r="S800" s="239"/>
      <c r="T800" s="239"/>
      <c r="U800" s="239"/>
      <c r="V800" s="239"/>
      <c r="W800" s="246"/>
      <c r="X800" s="239"/>
      <c r="Y800" s="239"/>
      <c r="Z800" s="239"/>
      <c r="AA800" s="239"/>
      <c r="AB800" s="239"/>
      <c r="AC800" s="239"/>
      <c r="AD800" s="239"/>
      <c r="AE800" s="239"/>
      <c r="AF800" s="239"/>
      <c r="AG800" s="239"/>
      <c r="AH800" s="239"/>
      <c r="AI800" s="239"/>
      <c r="AJ800" s="239"/>
    </row>
    <row r="801">
      <c r="A801" s="239"/>
      <c r="B801" s="239"/>
      <c r="C801" s="239"/>
      <c r="D801" s="239"/>
      <c r="E801" s="239"/>
      <c r="F801" s="283"/>
      <c r="G801" s="239"/>
      <c r="H801" s="239"/>
      <c r="I801" s="239"/>
      <c r="J801" s="239"/>
      <c r="K801" s="239"/>
      <c r="L801" s="239"/>
      <c r="M801" s="239"/>
      <c r="N801" s="239"/>
      <c r="O801" s="239"/>
      <c r="P801" s="246"/>
      <c r="Q801" s="239"/>
      <c r="R801" s="239"/>
      <c r="S801" s="239"/>
      <c r="T801" s="239"/>
      <c r="U801" s="239"/>
      <c r="V801" s="239"/>
      <c r="W801" s="246"/>
      <c r="X801" s="239"/>
      <c r="Y801" s="239"/>
      <c r="Z801" s="239"/>
      <c r="AA801" s="239"/>
      <c r="AB801" s="239"/>
      <c r="AC801" s="239"/>
      <c r="AD801" s="239"/>
      <c r="AE801" s="239"/>
      <c r="AF801" s="239"/>
      <c r="AG801" s="239"/>
      <c r="AH801" s="239"/>
      <c r="AI801" s="239"/>
      <c r="AJ801" s="239"/>
    </row>
    <row r="802">
      <c r="A802" s="239"/>
      <c r="B802" s="239"/>
      <c r="C802" s="239"/>
      <c r="D802" s="239"/>
      <c r="E802" s="239"/>
      <c r="F802" s="283"/>
      <c r="G802" s="239"/>
      <c r="H802" s="239"/>
      <c r="I802" s="239"/>
      <c r="J802" s="239"/>
      <c r="K802" s="239"/>
      <c r="L802" s="239"/>
      <c r="M802" s="239"/>
      <c r="N802" s="239"/>
      <c r="O802" s="239"/>
      <c r="P802" s="246"/>
      <c r="Q802" s="239"/>
      <c r="R802" s="239"/>
      <c r="S802" s="239"/>
      <c r="T802" s="239"/>
      <c r="U802" s="239"/>
      <c r="V802" s="239"/>
      <c r="W802" s="246"/>
      <c r="X802" s="239"/>
      <c r="Y802" s="239"/>
      <c r="Z802" s="239"/>
      <c r="AA802" s="239"/>
      <c r="AB802" s="239"/>
      <c r="AC802" s="239"/>
      <c r="AD802" s="239"/>
      <c r="AE802" s="239"/>
      <c r="AF802" s="239"/>
      <c r="AG802" s="239"/>
      <c r="AH802" s="239"/>
      <c r="AI802" s="239"/>
      <c r="AJ802" s="239"/>
    </row>
    <row r="803">
      <c r="A803" s="239"/>
      <c r="B803" s="239"/>
      <c r="C803" s="239"/>
      <c r="D803" s="239"/>
      <c r="E803" s="239"/>
      <c r="F803" s="283"/>
      <c r="G803" s="239"/>
      <c r="H803" s="239"/>
      <c r="I803" s="239"/>
      <c r="J803" s="239"/>
      <c r="K803" s="239"/>
      <c r="L803" s="239"/>
      <c r="M803" s="239"/>
      <c r="N803" s="239"/>
      <c r="O803" s="239"/>
      <c r="P803" s="246"/>
      <c r="Q803" s="239"/>
      <c r="R803" s="239"/>
      <c r="S803" s="239"/>
      <c r="T803" s="239"/>
      <c r="U803" s="239"/>
      <c r="V803" s="239"/>
      <c r="W803" s="246"/>
      <c r="X803" s="239"/>
      <c r="Y803" s="239"/>
      <c r="Z803" s="239"/>
      <c r="AA803" s="239"/>
      <c r="AB803" s="239"/>
      <c r="AC803" s="239"/>
      <c r="AD803" s="239"/>
      <c r="AE803" s="239"/>
      <c r="AF803" s="239"/>
      <c r="AG803" s="239"/>
      <c r="AH803" s="239"/>
      <c r="AI803" s="239"/>
      <c r="AJ803" s="239"/>
    </row>
    <row r="804">
      <c r="A804" s="239"/>
      <c r="B804" s="239"/>
      <c r="C804" s="239"/>
      <c r="D804" s="239"/>
      <c r="E804" s="239"/>
      <c r="F804" s="283"/>
      <c r="G804" s="239"/>
      <c r="H804" s="239"/>
      <c r="I804" s="239"/>
      <c r="J804" s="239"/>
      <c r="K804" s="239"/>
      <c r="L804" s="239"/>
      <c r="M804" s="239"/>
      <c r="N804" s="239"/>
      <c r="O804" s="239"/>
      <c r="P804" s="246"/>
      <c r="Q804" s="239"/>
      <c r="R804" s="239"/>
      <c r="S804" s="239"/>
      <c r="T804" s="239"/>
      <c r="U804" s="239"/>
      <c r="V804" s="239"/>
      <c r="W804" s="246"/>
      <c r="X804" s="239"/>
      <c r="Y804" s="239"/>
      <c r="Z804" s="239"/>
      <c r="AA804" s="239"/>
      <c r="AB804" s="239"/>
      <c r="AC804" s="239"/>
      <c r="AD804" s="239"/>
      <c r="AE804" s="239"/>
      <c r="AF804" s="239"/>
      <c r="AG804" s="239"/>
      <c r="AH804" s="239"/>
      <c r="AI804" s="239"/>
      <c r="AJ804" s="239"/>
    </row>
    <row r="805">
      <c r="A805" s="239"/>
      <c r="B805" s="239"/>
      <c r="C805" s="239"/>
      <c r="D805" s="239"/>
      <c r="E805" s="239"/>
      <c r="F805" s="283"/>
      <c r="G805" s="239"/>
      <c r="H805" s="239"/>
      <c r="I805" s="239"/>
      <c r="J805" s="239"/>
      <c r="K805" s="239"/>
      <c r="L805" s="239"/>
      <c r="M805" s="239"/>
      <c r="N805" s="239"/>
      <c r="O805" s="239"/>
      <c r="P805" s="246"/>
      <c r="Q805" s="239"/>
      <c r="R805" s="239"/>
      <c r="S805" s="239"/>
      <c r="T805" s="239"/>
      <c r="U805" s="239"/>
      <c r="V805" s="239"/>
      <c r="W805" s="246"/>
      <c r="X805" s="239"/>
      <c r="Y805" s="239"/>
      <c r="Z805" s="239"/>
      <c r="AA805" s="239"/>
      <c r="AB805" s="239"/>
      <c r="AC805" s="239"/>
      <c r="AD805" s="239"/>
      <c r="AE805" s="239"/>
      <c r="AF805" s="239"/>
      <c r="AG805" s="239"/>
      <c r="AH805" s="239"/>
      <c r="AI805" s="239"/>
      <c r="AJ805" s="239"/>
    </row>
    <row r="806">
      <c r="A806" s="239"/>
      <c r="B806" s="239"/>
      <c r="C806" s="239"/>
      <c r="D806" s="239"/>
      <c r="E806" s="239"/>
      <c r="F806" s="283"/>
      <c r="G806" s="239"/>
      <c r="H806" s="239"/>
      <c r="I806" s="239"/>
      <c r="J806" s="239"/>
      <c r="K806" s="239"/>
      <c r="L806" s="239"/>
      <c r="M806" s="239"/>
      <c r="N806" s="239"/>
      <c r="O806" s="239"/>
      <c r="P806" s="246"/>
      <c r="Q806" s="239"/>
      <c r="R806" s="239"/>
      <c r="S806" s="239"/>
      <c r="T806" s="239"/>
      <c r="U806" s="239"/>
      <c r="V806" s="239"/>
      <c r="W806" s="246"/>
      <c r="X806" s="239"/>
      <c r="Y806" s="239"/>
      <c r="Z806" s="239"/>
      <c r="AA806" s="239"/>
      <c r="AB806" s="239"/>
      <c r="AC806" s="239"/>
      <c r="AD806" s="239"/>
      <c r="AE806" s="239"/>
      <c r="AF806" s="239"/>
      <c r="AG806" s="239"/>
      <c r="AH806" s="239"/>
      <c r="AI806" s="239"/>
      <c r="AJ806" s="239"/>
    </row>
    <row r="807">
      <c r="A807" s="239"/>
      <c r="B807" s="239"/>
      <c r="C807" s="239"/>
      <c r="D807" s="239"/>
      <c r="E807" s="239"/>
      <c r="F807" s="283"/>
      <c r="G807" s="239"/>
      <c r="H807" s="239"/>
      <c r="I807" s="239"/>
      <c r="J807" s="239"/>
      <c r="K807" s="239"/>
      <c r="L807" s="239"/>
      <c r="M807" s="239"/>
      <c r="N807" s="239"/>
      <c r="O807" s="239"/>
      <c r="P807" s="246"/>
      <c r="Q807" s="239"/>
      <c r="R807" s="239"/>
      <c r="S807" s="239"/>
      <c r="T807" s="239"/>
      <c r="U807" s="239"/>
      <c r="V807" s="239"/>
      <c r="W807" s="246"/>
      <c r="X807" s="239"/>
      <c r="Y807" s="239"/>
      <c r="Z807" s="239"/>
      <c r="AA807" s="239"/>
      <c r="AB807" s="239"/>
      <c r="AC807" s="239"/>
      <c r="AD807" s="239"/>
      <c r="AE807" s="239"/>
      <c r="AF807" s="239"/>
      <c r="AG807" s="239"/>
      <c r="AH807" s="239"/>
      <c r="AI807" s="239"/>
      <c r="AJ807" s="239"/>
    </row>
    <row r="808">
      <c r="A808" s="239"/>
      <c r="B808" s="239"/>
      <c r="C808" s="239"/>
      <c r="D808" s="239"/>
      <c r="E808" s="239"/>
      <c r="F808" s="283"/>
      <c r="G808" s="239"/>
      <c r="H808" s="239"/>
      <c r="I808" s="239"/>
      <c r="J808" s="239"/>
      <c r="K808" s="239"/>
      <c r="L808" s="239"/>
      <c r="M808" s="239"/>
      <c r="N808" s="239"/>
      <c r="O808" s="239"/>
      <c r="P808" s="246"/>
      <c r="Q808" s="239"/>
      <c r="R808" s="239"/>
      <c r="S808" s="239"/>
      <c r="T808" s="239"/>
      <c r="U808" s="239"/>
      <c r="V808" s="239"/>
      <c r="W808" s="246"/>
      <c r="X808" s="239"/>
      <c r="Y808" s="239"/>
      <c r="Z808" s="239"/>
      <c r="AA808" s="239"/>
      <c r="AB808" s="239"/>
      <c r="AC808" s="239"/>
      <c r="AD808" s="239"/>
      <c r="AE808" s="239"/>
      <c r="AF808" s="239"/>
      <c r="AG808" s="239"/>
      <c r="AH808" s="239"/>
      <c r="AI808" s="239"/>
      <c r="AJ808" s="239"/>
    </row>
    <row r="809">
      <c r="A809" s="239"/>
      <c r="B809" s="239"/>
      <c r="C809" s="239"/>
      <c r="D809" s="239"/>
      <c r="E809" s="239"/>
      <c r="F809" s="283"/>
      <c r="G809" s="239"/>
      <c r="H809" s="239"/>
      <c r="I809" s="239"/>
      <c r="J809" s="239"/>
      <c r="K809" s="239"/>
      <c r="L809" s="239"/>
      <c r="M809" s="239"/>
      <c r="N809" s="239"/>
      <c r="O809" s="239"/>
      <c r="P809" s="246"/>
      <c r="Q809" s="239"/>
      <c r="R809" s="239"/>
      <c r="S809" s="239"/>
      <c r="T809" s="239"/>
      <c r="U809" s="239"/>
      <c r="V809" s="239"/>
      <c r="W809" s="246"/>
      <c r="X809" s="239"/>
      <c r="Y809" s="239"/>
      <c r="Z809" s="239"/>
      <c r="AA809" s="239"/>
      <c r="AB809" s="239"/>
      <c r="AC809" s="239"/>
      <c r="AD809" s="239"/>
      <c r="AE809" s="239"/>
      <c r="AF809" s="239"/>
      <c r="AG809" s="239"/>
      <c r="AH809" s="239"/>
      <c r="AI809" s="239"/>
      <c r="AJ809" s="239"/>
    </row>
    <row r="810">
      <c r="A810" s="239"/>
      <c r="B810" s="239"/>
      <c r="C810" s="239"/>
      <c r="D810" s="239"/>
      <c r="E810" s="239"/>
      <c r="F810" s="283"/>
      <c r="G810" s="239"/>
      <c r="H810" s="239"/>
      <c r="I810" s="239"/>
      <c r="J810" s="239"/>
      <c r="K810" s="239"/>
      <c r="L810" s="239"/>
      <c r="M810" s="239"/>
      <c r="N810" s="239"/>
      <c r="O810" s="239"/>
      <c r="P810" s="246"/>
      <c r="Q810" s="239"/>
      <c r="R810" s="239"/>
      <c r="S810" s="239"/>
      <c r="T810" s="239"/>
      <c r="U810" s="239"/>
      <c r="V810" s="239"/>
      <c r="W810" s="246"/>
      <c r="X810" s="239"/>
      <c r="Y810" s="239"/>
      <c r="Z810" s="239"/>
      <c r="AA810" s="239"/>
      <c r="AB810" s="239"/>
      <c r="AC810" s="239"/>
      <c r="AD810" s="239"/>
      <c r="AE810" s="239"/>
      <c r="AF810" s="239"/>
      <c r="AG810" s="239"/>
      <c r="AH810" s="239"/>
      <c r="AI810" s="239"/>
      <c r="AJ810" s="239"/>
    </row>
    <row r="811">
      <c r="A811" s="239"/>
      <c r="B811" s="239"/>
      <c r="C811" s="239"/>
      <c r="D811" s="239"/>
      <c r="E811" s="239"/>
      <c r="F811" s="283"/>
      <c r="G811" s="239"/>
      <c r="H811" s="239"/>
      <c r="I811" s="239"/>
      <c r="J811" s="239"/>
      <c r="K811" s="239"/>
      <c r="L811" s="239"/>
      <c r="M811" s="239"/>
      <c r="N811" s="239"/>
      <c r="O811" s="239"/>
      <c r="P811" s="246"/>
      <c r="Q811" s="239"/>
      <c r="R811" s="239"/>
      <c r="S811" s="239"/>
      <c r="T811" s="239"/>
      <c r="U811" s="239"/>
      <c r="V811" s="239"/>
      <c r="W811" s="246"/>
      <c r="X811" s="239"/>
      <c r="Y811" s="239"/>
      <c r="Z811" s="239"/>
      <c r="AA811" s="239"/>
      <c r="AB811" s="239"/>
      <c r="AC811" s="239"/>
      <c r="AD811" s="239"/>
      <c r="AE811" s="239"/>
      <c r="AF811" s="239"/>
      <c r="AG811" s="239"/>
      <c r="AH811" s="239"/>
      <c r="AI811" s="239"/>
      <c r="AJ811" s="239"/>
    </row>
    <row r="812">
      <c r="A812" s="239"/>
      <c r="B812" s="239"/>
      <c r="C812" s="239"/>
      <c r="D812" s="239"/>
      <c r="E812" s="239"/>
      <c r="F812" s="283"/>
      <c r="G812" s="239"/>
      <c r="H812" s="239"/>
      <c r="I812" s="239"/>
      <c r="J812" s="239"/>
      <c r="K812" s="239"/>
      <c r="L812" s="239"/>
      <c r="M812" s="239"/>
      <c r="N812" s="239"/>
      <c r="O812" s="239"/>
      <c r="P812" s="246"/>
      <c r="Q812" s="239"/>
      <c r="R812" s="239"/>
      <c r="S812" s="239"/>
      <c r="T812" s="239"/>
      <c r="U812" s="239"/>
      <c r="V812" s="239"/>
      <c r="W812" s="246"/>
      <c r="X812" s="239"/>
      <c r="Y812" s="239"/>
      <c r="Z812" s="239"/>
      <c r="AA812" s="239"/>
      <c r="AB812" s="239"/>
      <c r="AC812" s="239"/>
      <c r="AD812" s="239"/>
      <c r="AE812" s="239"/>
      <c r="AF812" s="239"/>
      <c r="AG812" s="239"/>
      <c r="AH812" s="239"/>
      <c r="AI812" s="239"/>
      <c r="AJ812" s="239"/>
    </row>
    <row r="813">
      <c r="A813" s="239"/>
      <c r="B813" s="239"/>
      <c r="C813" s="239"/>
      <c r="D813" s="239"/>
      <c r="E813" s="239"/>
      <c r="F813" s="283"/>
      <c r="G813" s="239"/>
      <c r="H813" s="239"/>
      <c r="I813" s="239"/>
      <c r="J813" s="239"/>
      <c r="K813" s="239"/>
      <c r="L813" s="239"/>
      <c r="M813" s="239"/>
      <c r="N813" s="239"/>
      <c r="O813" s="239"/>
      <c r="P813" s="246"/>
      <c r="Q813" s="239"/>
      <c r="R813" s="239"/>
      <c r="S813" s="239"/>
      <c r="T813" s="239"/>
      <c r="U813" s="239"/>
      <c r="V813" s="239"/>
      <c r="W813" s="246"/>
      <c r="X813" s="239"/>
      <c r="Y813" s="239"/>
      <c r="Z813" s="239"/>
      <c r="AA813" s="239"/>
      <c r="AB813" s="239"/>
      <c r="AC813" s="239"/>
      <c r="AD813" s="239"/>
      <c r="AE813" s="239"/>
      <c r="AF813" s="239"/>
      <c r="AG813" s="239"/>
      <c r="AH813" s="239"/>
      <c r="AI813" s="239"/>
      <c r="AJ813" s="239"/>
    </row>
    <row r="814">
      <c r="A814" s="239"/>
      <c r="B814" s="239"/>
      <c r="C814" s="239"/>
      <c r="D814" s="239"/>
      <c r="E814" s="239"/>
      <c r="F814" s="283"/>
      <c r="G814" s="239"/>
      <c r="H814" s="239"/>
      <c r="I814" s="239"/>
      <c r="J814" s="239"/>
      <c r="K814" s="239"/>
      <c r="L814" s="239"/>
      <c r="M814" s="239"/>
      <c r="N814" s="239"/>
      <c r="O814" s="239"/>
      <c r="P814" s="246"/>
      <c r="Q814" s="239"/>
      <c r="R814" s="239"/>
      <c r="S814" s="239"/>
      <c r="T814" s="239"/>
      <c r="U814" s="239"/>
      <c r="V814" s="239"/>
      <c r="W814" s="246"/>
      <c r="X814" s="239"/>
      <c r="Y814" s="239"/>
      <c r="Z814" s="239"/>
      <c r="AA814" s="239"/>
      <c r="AB814" s="239"/>
      <c r="AC814" s="239"/>
      <c r="AD814" s="239"/>
      <c r="AE814" s="239"/>
      <c r="AF814" s="239"/>
      <c r="AG814" s="239"/>
      <c r="AH814" s="239"/>
      <c r="AI814" s="239"/>
      <c r="AJ814" s="239"/>
    </row>
    <row r="815">
      <c r="A815" s="239"/>
      <c r="B815" s="239"/>
      <c r="C815" s="239"/>
      <c r="D815" s="239"/>
      <c r="E815" s="239"/>
      <c r="F815" s="283"/>
      <c r="G815" s="239"/>
      <c r="H815" s="239"/>
      <c r="I815" s="239"/>
      <c r="J815" s="239"/>
      <c r="K815" s="239"/>
      <c r="L815" s="239"/>
      <c r="M815" s="239"/>
      <c r="N815" s="239"/>
      <c r="O815" s="239"/>
      <c r="P815" s="246"/>
      <c r="Q815" s="239"/>
      <c r="R815" s="239"/>
      <c r="S815" s="239"/>
      <c r="T815" s="239"/>
      <c r="U815" s="239"/>
      <c r="V815" s="239"/>
      <c r="W815" s="246"/>
      <c r="X815" s="239"/>
      <c r="Y815" s="239"/>
      <c r="Z815" s="239"/>
      <c r="AA815" s="239"/>
      <c r="AB815" s="239"/>
      <c r="AC815" s="239"/>
      <c r="AD815" s="239"/>
      <c r="AE815" s="239"/>
      <c r="AF815" s="239"/>
      <c r="AG815" s="239"/>
      <c r="AH815" s="239"/>
      <c r="AI815" s="239"/>
      <c r="AJ815" s="239"/>
    </row>
    <row r="816">
      <c r="A816" s="239"/>
      <c r="B816" s="239"/>
      <c r="C816" s="239"/>
      <c r="D816" s="239"/>
      <c r="E816" s="239"/>
      <c r="F816" s="283"/>
      <c r="G816" s="239"/>
      <c r="H816" s="239"/>
      <c r="I816" s="239"/>
      <c r="J816" s="239"/>
      <c r="K816" s="239"/>
      <c r="L816" s="239"/>
      <c r="M816" s="239"/>
      <c r="N816" s="239"/>
      <c r="O816" s="239"/>
      <c r="P816" s="246"/>
      <c r="Q816" s="239"/>
      <c r="R816" s="239"/>
      <c r="S816" s="239"/>
      <c r="T816" s="239"/>
      <c r="U816" s="239"/>
      <c r="V816" s="239"/>
      <c r="W816" s="246"/>
      <c r="X816" s="239"/>
      <c r="Y816" s="239"/>
      <c r="Z816" s="239"/>
      <c r="AA816" s="239"/>
      <c r="AB816" s="239"/>
      <c r="AC816" s="239"/>
      <c r="AD816" s="239"/>
      <c r="AE816" s="239"/>
      <c r="AF816" s="239"/>
      <c r="AG816" s="239"/>
      <c r="AH816" s="239"/>
      <c r="AI816" s="239"/>
      <c r="AJ816" s="239"/>
    </row>
    <row r="817">
      <c r="A817" s="239"/>
      <c r="B817" s="239"/>
      <c r="C817" s="239"/>
      <c r="D817" s="239"/>
      <c r="E817" s="239"/>
      <c r="F817" s="283"/>
      <c r="G817" s="239"/>
      <c r="H817" s="239"/>
      <c r="I817" s="239"/>
      <c r="J817" s="239"/>
      <c r="K817" s="239"/>
      <c r="L817" s="239"/>
      <c r="M817" s="239"/>
      <c r="N817" s="239"/>
      <c r="O817" s="239"/>
      <c r="P817" s="246"/>
      <c r="Q817" s="239"/>
      <c r="R817" s="239"/>
      <c r="S817" s="239"/>
      <c r="T817" s="239"/>
      <c r="U817" s="239"/>
      <c r="V817" s="239"/>
      <c r="W817" s="246"/>
      <c r="X817" s="239"/>
      <c r="Y817" s="239"/>
      <c r="Z817" s="239"/>
      <c r="AA817" s="239"/>
      <c r="AB817" s="239"/>
      <c r="AC817" s="239"/>
      <c r="AD817" s="239"/>
      <c r="AE817" s="239"/>
      <c r="AF817" s="239"/>
      <c r="AG817" s="239"/>
      <c r="AH817" s="239"/>
      <c r="AI817" s="239"/>
      <c r="AJ817" s="239"/>
    </row>
    <row r="818">
      <c r="A818" s="239"/>
      <c r="B818" s="239"/>
      <c r="C818" s="239"/>
      <c r="D818" s="239"/>
      <c r="E818" s="239"/>
      <c r="F818" s="283"/>
      <c r="G818" s="239"/>
      <c r="H818" s="239"/>
      <c r="I818" s="239"/>
      <c r="J818" s="239"/>
      <c r="K818" s="239"/>
      <c r="L818" s="239"/>
      <c r="M818" s="239"/>
      <c r="N818" s="239"/>
      <c r="O818" s="239"/>
      <c r="P818" s="246"/>
      <c r="Q818" s="239"/>
      <c r="R818" s="239"/>
      <c r="S818" s="239"/>
      <c r="T818" s="239"/>
      <c r="U818" s="239"/>
      <c r="V818" s="239"/>
      <c r="W818" s="246"/>
      <c r="X818" s="239"/>
      <c r="Y818" s="239"/>
      <c r="Z818" s="239"/>
      <c r="AA818" s="239"/>
      <c r="AB818" s="239"/>
      <c r="AC818" s="239"/>
      <c r="AD818" s="239"/>
      <c r="AE818" s="239"/>
      <c r="AF818" s="239"/>
      <c r="AG818" s="239"/>
      <c r="AH818" s="239"/>
      <c r="AI818" s="239"/>
      <c r="AJ818" s="239"/>
    </row>
    <row r="819">
      <c r="A819" s="239"/>
      <c r="B819" s="239"/>
      <c r="C819" s="239"/>
      <c r="D819" s="239"/>
      <c r="E819" s="239"/>
      <c r="F819" s="283"/>
      <c r="G819" s="239"/>
      <c r="H819" s="239"/>
      <c r="I819" s="239"/>
      <c r="J819" s="239"/>
      <c r="K819" s="239"/>
      <c r="L819" s="239"/>
      <c r="M819" s="239"/>
      <c r="N819" s="239"/>
      <c r="O819" s="239"/>
      <c r="P819" s="246"/>
      <c r="Q819" s="239"/>
      <c r="R819" s="239"/>
      <c r="S819" s="239"/>
      <c r="T819" s="239"/>
      <c r="U819" s="239"/>
      <c r="V819" s="239"/>
      <c r="W819" s="246"/>
      <c r="X819" s="239"/>
      <c r="Y819" s="239"/>
      <c r="Z819" s="239"/>
      <c r="AA819" s="239"/>
      <c r="AB819" s="239"/>
      <c r="AC819" s="239"/>
      <c r="AD819" s="239"/>
      <c r="AE819" s="239"/>
      <c r="AF819" s="239"/>
      <c r="AG819" s="239"/>
      <c r="AH819" s="239"/>
      <c r="AI819" s="239"/>
      <c r="AJ819" s="239"/>
    </row>
    <row r="820">
      <c r="A820" s="239"/>
      <c r="B820" s="239"/>
      <c r="C820" s="239"/>
      <c r="D820" s="239"/>
      <c r="E820" s="239"/>
      <c r="F820" s="283"/>
      <c r="G820" s="239"/>
      <c r="H820" s="239"/>
      <c r="I820" s="239"/>
      <c r="J820" s="239"/>
      <c r="K820" s="239"/>
      <c r="L820" s="239"/>
      <c r="M820" s="239"/>
      <c r="N820" s="239"/>
      <c r="O820" s="239"/>
      <c r="P820" s="246"/>
      <c r="Q820" s="239"/>
      <c r="R820" s="239"/>
      <c r="S820" s="239"/>
      <c r="T820" s="239"/>
      <c r="U820" s="239"/>
      <c r="V820" s="239"/>
      <c r="W820" s="246"/>
      <c r="X820" s="239"/>
      <c r="Y820" s="239"/>
      <c r="Z820" s="239"/>
      <c r="AA820" s="239"/>
      <c r="AB820" s="239"/>
      <c r="AC820" s="239"/>
      <c r="AD820" s="239"/>
      <c r="AE820" s="239"/>
      <c r="AF820" s="239"/>
      <c r="AG820" s="239"/>
      <c r="AH820" s="239"/>
      <c r="AI820" s="239"/>
      <c r="AJ820" s="239"/>
    </row>
    <row r="821">
      <c r="A821" s="239"/>
      <c r="B821" s="239"/>
      <c r="C821" s="239"/>
      <c r="D821" s="239"/>
      <c r="E821" s="239"/>
      <c r="F821" s="283"/>
      <c r="G821" s="239"/>
      <c r="H821" s="239"/>
      <c r="I821" s="239"/>
      <c r="J821" s="239"/>
      <c r="K821" s="239"/>
      <c r="L821" s="239"/>
      <c r="M821" s="239"/>
      <c r="N821" s="239"/>
      <c r="O821" s="239"/>
      <c r="P821" s="246"/>
      <c r="Q821" s="239"/>
      <c r="R821" s="239"/>
      <c r="S821" s="239"/>
      <c r="T821" s="239"/>
      <c r="U821" s="239"/>
      <c r="V821" s="239"/>
      <c r="W821" s="246"/>
      <c r="X821" s="239"/>
      <c r="Y821" s="239"/>
      <c r="Z821" s="239"/>
      <c r="AA821" s="239"/>
      <c r="AB821" s="239"/>
      <c r="AC821" s="239"/>
      <c r="AD821" s="239"/>
      <c r="AE821" s="239"/>
      <c r="AF821" s="239"/>
      <c r="AG821" s="239"/>
      <c r="AH821" s="239"/>
      <c r="AI821" s="239"/>
      <c r="AJ821" s="239"/>
    </row>
    <row r="822">
      <c r="A822" s="239"/>
      <c r="B822" s="239"/>
      <c r="C822" s="239"/>
      <c r="D822" s="239"/>
      <c r="E822" s="239"/>
      <c r="F822" s="283"/>
      <c r="G822" s="239"/>
      <c r="H822" s="239"/>
      <c r="I822" s="239"/>
      <c r="J822" s="239"/>
      <c r="K822" s="239"/>
      <c r="L822" s="239"/>
      <c r="M822" s="239"/>
      <c r="N822" s="239"/>
      <c r="O822" s="239"/>
      <c r="P822" s="246"/>
      <c r="Q822" s="239"/>
      <c r="R822" s="239"/>
      <c r="S822" s="239"/>
      <c r="T822" s="239"/>
      <c r="U822" s="239"/>
      <c r="V822" s="239"/>
      <c r="W822" s="246"/>
      <c r="X822" s="239"/>
      <c r="Y822" s="239"/>
      <c r="Z822" s="239"/>
      <c r="AA822" s="239"/>
      <c r="AB822" s="239"/>
      <c r="AC822" s="239"/>
      <c r="AD822" s="239"/>
      <c r="AE822" s="239"/>
      <c r="AF822" s="239"/>
      <c r="AG822" s="239"/>
      <c r="AH822" s="239"/>
      <c r="AI822" s="239"/>
      <c r="AJ822" s="239"/>
    </row>
    <row r="823">
      <c r="A823" s="239"/>
      <c r="B823" s="239"/>
      <c r="C823" s="239"/>
      <c r="D823" s="239"/>
      <c r="E823" s="239"/>
      <c r="F823" s="283"/>
      <c r="G823" s="239"/>
      <c r="H823" s="239"/>
      <c r="I823" s="239"/>
      <c r="J823" s="239"/>
      <c r="K823" s="239"/>
      <c r="L823" s="239"/>
      <c r="M823" s="239"/>
      <c r="N823" s="239"/>
      <c r="O823" s="239"/>
      <c r="P823" s="246"/>
      <c r="Q823" s="239"/>
      <c r="R823" s="239"/>
      <c r="S823" s="239"/>
      <c r="T823" s="239"/>
      <c r="U823" s="239"/>
      <c r="V823" s="239"/>
      <c r="W823" s="246"/>
      <c r="X823" s="239"/>
      <c r="Y823" s="239"/>
      <c r="Z823" s="239"/>
      <c r="AA823" s="239"/>
      <c r="AB823" s="239"/>
      <c r="AC823" s="239"/>
      <c r="AD823" s="239"/>
      <c r="AE823" s="239"/>
      <c r="AF823" s="239"/>
      <c r="AG823" s="239"/>
      <c r="AH823" s="239"/>
      <c r="AI823" s="239"/>
      <c r="AJ823" s="239"/>
    </row>
    <row r="824">
      <c r="A824" s="239"/>
      <c r="B824" s="239"/>
      <c r="C824" s="239"/>
      <c r="D824" s="239"/>
      <c r="E824" s="239"/>
      <c r="F824" s="283"/>
      <c r="G824" s="239"/>
      <c r="H824" s="239"/>
      <c r="I824" s="239"/>
      <c r="J824" s="239"/>
      <c r="K824" s="239"/>
      <c r="L824" s="239"/>
      <c r="M824" s="239"/>
      <c r="N824" s="239"/>
      <c r="O824" s="239"/>
      <c r="P824" s="246"/>
      <c r="Q824" s="239"/>
      <c r="R824" s="239"/>
      <c r="S824" s="239"/>
      <c r="T824" s="239"/>
      <c r="U824" s="239"/>
      <c r="V824" s="239"/>
      <c r="W824" s="246"/>
      <c r="X824" s="239"/>
      <c r="Y824" s="239"/>
      <c r="Z824" s="239"/>
      <c r="AA824" s="239"/>
      <c r="AB824" s="239"/>
      <c r="AC824" s="239"/>
      <c r="AD824" s="239"/>
      <c r="AE824" s="239"/>
      <c r="AF824" s="239"/>
      <c r="AG824" s="239"/>
      <c r="AH824" s="239"/>
      <c r="AI824" s="239"/>
      <c r="AJ824" s="239"/>
    </row>
    <row r="825">
      <c r="A825" s="239"/>
      <c r="B825" s="239"/>
      <c r="C825" s="239"/>
      <c r="D825" s="239"/>
      <c r="E825" s="239"/>
      <c r="F825" s="283"/>
      <c r="G825" s="239"/>
      <c r="H825" s="239"/>
      <c r="I825" s="239"/>
      <c r="J825" s="239"/>
      <c r="K825" s="239"/>
      <c r="L825" s="239"/>
      <c r="M825" s="239"/>
      <c r="N825" s="239"/>
      <c r="O825" s="239"/>
      <c r="P825" s="246"/>
      <c r="Q825" s="239"/>
      <c r="R825" s="239"/>
      <c r="S825" s="239"/>
      <c r="T825" s="239"/>
      <c r="U825" s="239"/>
      <c r="V825" s="239"/>
      <c r="W825" s="246"/>
      <c r="X825" s="239"/>
      <c r="Y825" s="239"/>
      <c r="Z825" s="239"/>
      <c r="AA825" s="239"/>
      <c r="AB825" s="239"/>
      <c r="AC825" s="239"/>
      <c r="AD825" s="239"/>
      <c r="AE825" s="239"/>
      <c r="AF825" s="239"/>
      <c r="AG825" s="239"/>
      <c r="AH825" s="239"/>
      <c r="AI825" s="239"/>
      <c r="AJ825" s="239"/>
    </row>
    <row r="826">
      <c r="A826" s="239"/>
      <c r="B826" s="239"/>
      <c r="C826" s="239"/>
      <c r="D826" s="239"/>
      <c r="E826" s="239"/>
      <c r="F826" s="283"/>
      <c r="G826" s="239"/>
      <c r="H826" s="239"/>
      <c r="I826" s="239"/>
      <c r="J826" s="239"/>
      <c r="K826" s="239"/>
      <c r="L826" s="239"/>
      <c r="M826" s="239"/>
      <c r="N826" s="239"/>
      <c r="O826" s="239"/>
      <c r="P826" s="246"/>
      <c r="Q826" s="239"/>
      <c r="R826" s="239"/>
      <c r="S826" s="239"/>
      <c r="T826" s="239"/>
      <c r="U826" s="239"/>
      <c r="V826" s="239"/>
      <c r="W826" s="246"/>
      <c r="X826" s="239"/>
      <c r="Y826" s="239"/>
      <c r="Z826" s="239"/>
      <c r="AA826" s="239"/>
      <c r="AB826" s="239"/>
      <c r="AC826" s="239"/>
      <c r="AD826" s="239"/>
      <c r="AE826" s="239"/>
      <c r="AF826" s="239"/>
      <c r="AG826" s="239"/>
      <c r="AH826" s="239"/>
      <c r="AI826" s="239"/>
      <c r="AJ826" s="239"/>
    </row>
    <row r="827">
      <c r="A827" s="239"/>
      <c r="B827" s="239"/>
      <c r="C827" s="239"/>
      <c r="D827" s="239"/>
      <c r="E827" s="239"/>
      <c r="F827" s="283"/>
      <c r="G827" s="239"/>
      <c r="H827" s="239"/>
      <c r="I827" s="239"/>
      <c r="J827" s="239"/>
      <c r="K827" s="239"/>
      <c r="L827" s="239"/>
      <c r="M827" s="239"/>
      <c r="N827" s="239"/>
      <c r="O827" s="239"/>
      <c r="P827" s="246"/>
      <c r="Q827" s="239"/>
      <c r="R827" s="239"/>
      <c r="S827" s="239"/>
      <c r="T827" s="239"/>
      <c r="U827" s="239"/>
      <c r="V827" s="239"/>
      <c r="W827" s="246"/>
      <c r="X827" s="239"/>
      <c r="Y827" s="239"/>
      <c r="Z827" s="239"/>
      <c r="AA827" s="239"/>
      <c r="AB827" s="239"/>
      <c r="AC827" s="239"/>
      <c r="AD827" s="239"/>
      <c r="AE827" s="239"/>
      <c r="AF827" s="239"/>
      <c r="AG827" s="239"/>
      <c r="AH827" s="239"/>
      <c r="AI827" s="239"/>
      <c r="AJ827" s="239"/>
    </row>
    <row r="828">
      <c r="A828" s="239"/>
      <c r="B828" s="239"/>
      <c r="C828" s="239"/>
      <c r="D828" s="239"/>
      <c r="E828" s="239"/>
      <c r="F828" s="283"/>
      <c r="G828" s="239"/>
      <c r="H828" s="239"/>
      <c r="I828" s="239"/>
      <c r="J828" s="239"/>
      <c r="K828" s="239"/>
      <c r="L828" s="239"/>
      <c r="M828" s="239"/>
      <c r="N828" s="239"/>
      <c r="O828" s="239"/>
      <c r="P828" s="246"/>
      <c r="Q828" s="239"/>
      <c r="R828" s="239"/>
      <c r="S828" s="239"/>
      <c r="T828" s="239"/>
      <c r="U828" s="239"/>
      <c r="V828" s="239"/>
      <c r="W828" s="246"/>
      <c r="X828" s="239"/>
      <c r="Y828" s="239"/>
      <c r="Z828" s="239"/>
      <c r="AA828" s="239"/>
      <c r="AB828" s="239"/>
      <c r="AC828" s="239"/>
      <c r="AD828" s="239"/>
      <c r="AE828" s="239"/>
      <c r="AF828" s="239"/>
      <c r="AG828" s="239"/>
      <c r="AH828" s="239"/>
      <c r="AI828" s="239"/>
      <c r="AJ828" s="239"/>
    </row>
    <row r="829">
      <c r="A829" s="239"/>
      <c r="B829" s="239"/>
      <c r="C829" s="239"/>
      <c r="D829" s="239"/>
      <c r="E829" s="239"/>
      <c r="F829" s="283"/>
      <c r="G829" s="239"/>
      <c r="H829" s="239"/>
      <c r="I829" s="239"/>
      <c r="J829" s="239"/>
      <c r="K829" s="239"/>
      <c r="L829" s="239"/>
      <c r="M829" s="239"/>
      <c r="N829" s="239"/>
      <c r="O829" s="239"/>
      <c r="P829" s="246"/>
      <c r="Q829" s="239"/>
      <c r="R829" s="239"/>
      <c r="S829" s="239"/>
      <c r="T829" s="239"/>
      <c r="U829" s="239"/>
      <c r="V829" s="239"/>
      <c r="W829" s="246"/>
      <c r="X829" s="239"/>
      <c r="Y829" s="239"/>
      <c r="Z829" s="239"/>
      <c r="AA829" s="239"/>
      <c r="AB829" s="239"/>
      <c r="AC829" s="239"/>
      <c r="AD829" s="239"/>
      <c r="AE829" s="239"/>
      <c r="AF829" s="239"/>
      <c r="AG829" s="239"/>
      <c r="AH829" s="239"/>
      <c r="AI829" s="239"/>
      <c r="AJ829" s="239"/>
    </row>
    <row r="830">
      <c r="A830" s="239"/>
      <c r="B830" s="239"/>
      <c r="C830" s="239"/>
      <c r="D830" s="239"/>
      <c r="E830" s="239"/>
      <c r="F830" s="283"/>
      <c r="G830" s="239"/>
      <c r="H830" s="239"/>
      <c r="I830" s="239"/>
      <c r="J830" s="239"/>
      <c r="K830" s="239"/>
      <c r="L830" s="239"/>
      <c r="M830" s="239"/>
      <c r="N830" s="239"/>
      <c r="O830" s="239"/>
      <c r="P830" s="246"/>
      <c r="Q830" s="239"/>
      <c r="R830" s="239"/>
      <c r="S830" s="239"/>
      <c r="T830" s="239"/>
      <c r="U830" s="239"/>
      <c r="V830" s="239"/>
      <c r="W830" s="246"/>
      <c r="X830" s="239"/>
      <c r="Y830" s="239"/>
      <c r="Z830" s="239"/>
      <c r="AA830" s="239"/>
      <c r="AB830" s="239"/>
      <c r="AC830" s="239"/>
      <c r="AD830" s="239"/>
      <c r="AE830" s="239"/>
      <c r="AF830" s="239"/>
      <c r="AG830" s="239"/>
      <c r="AH830" s="239"/>
      <c r="AI830" s="239"/>
      <c r="AJ830" s="239"/>
    </row>
    <row r="831">
      <c r="A831" s="239"/>
      <c r="B831" s="239"/>
      <c r="C831" s="239"/>
      <c r="D831" s="239"/>
      <c r="E831" s="239"/>
      <c r="F831" s="283"/>
      <c r="G831" s="239"/>
      <c r="H831" s="239"/>
      <c r="I831" s="239"/>
      <c r="J831" s="239"/>
      <c r="K831" s="239"/>
      <c r="L831" s="239"/>
      <c r="M831" s="239"/>
      <c r="N831" s="239"/>
      <c r="O831" s="239"/>
      <c r="P831" s="246"/>
      <c r="Q831" s="239"/>
      <c r="R831" s="239"/>
      <c r="S831" s="239"/>
      <c r="T831" s="239"/>
      <c r="U831" s="239"/>
      <c r="V831" s="239"/>
      <c r="W831" s="246"/>
      <c r="X831" s="239"/>
      <c r="Y831" s="239"/>
      <c r="Z831" s="239"/>
      <c r="AA831" s="239"/>
      <c r="AB831" s="239"/>
      <c r="AC831" s="239"/>
      <c r="AD831" s="239"/>
      <c r="AE831" s="239"/>
      <c r="AF831" s="239"/>
      <c r="AG831" s="239"/>
      <c r="AH831" s="239"/>
      <c r="AI831" s="239"/>
      <c r="AJ831" s="239"/>
    </row>
    <row r="832">
      <c r="A832" s="239"/>
      <c r="B832" s="239"/>
      <c r="C832" s="239"/>
      <c r="D832" s="239"/>
      <c r="E832" s="239"/>
      <c r="F832" s="283"/>
      <c r="G832" s="239"/>
      <c r="H832" s="239"/>
      <c r="I832" s="239"/>
      <c r="J832" s="239"/>
      <c r="K832" s="239"/>
      <c r="L832" s="239"/>
      <c r="M832" s="239"/>
      <c r="N832" s="239"/>
      <c r="O832" s="239"/>
      <c r="P832" s="246"/>
      <c r="Q832" s="239"/>
      <c r="R832" s="239"/>
      <c r="S832" s="239"/>
      <c r="T832" s="239"/>
      <c r="U832" s="239"/>
      <c r="V832" s="239"/>
      <c r="W832" s="246"/>
      <c r="X832" s="239"/>
      <c r="Y832" s="239"/>
      <c r="Z832" s="239"/>
      <c r="AA832" s="239"/>
      <c r="AB832" s="239"/>
      <c r="AC832" s="239"/>
      <c r="AD832" s="239"/>
      <c r="AE832" s="239"/>
      <c r="AF832" s="239"/>
      <c r="AG832" s="239"/>
      <c r="AH832" s="239"/>
      <c r="AI832" s="239"/>
      <c r="AJ832" s="239"/>
    </row>
    <row r="833">
      <c r="A833" s="239"/>
      <c r="B833" s="239"/>
      <c r="C833" s="239"/>
      <c r="D833" s="239"/>
      <c r="E833" s="239"/>
      <c r="F833" s="283"/>
      <c r="G833" s="239"/>
      <c r="H833" s="239"/>
      <c r="I833" s="239"/>
      <c r="J833" s="239"/>
      <c r="K833" s="239"/>
      <c r="L833" s="239"/>
      <c r="M833" s="239"/>
      <c r="N833" s="239"/>
      <c r="O833" s="239"/>
      <c r="P833" s="246"/>
      <c r="Q833" s="239"/>
      <c r="R833" s="239"/>
      <c r="S833" s="239"/>
      <c r="T833" s="239"/>
      <c r="U833" s="239"/>
      <c r="V833" s="239"/>
      <c r="W833" s="246"/>
      <c r="X833" s="239"/>
      <c r="Y833" s="239"/>
      <c r="Z833" s="239"/>
      <c r="AA833" s="239"/>
      <c r="AB833" s="239"/>
      <c r="AC833" s="239"/>
      <c r="AD833" s="239"/>
      <c r="AE833" s="239"/>
      <c r="AF833" s="239"/>
      <c r="AG833" s="239"/>
      <c r="AH833" s="239"/>
      <c r="AI833" s="239"/>
      <c r="AJ833" s="239"/>
    </row>
    <row r="834">
      <c r="A834" s="239"/>
      <c r="B834" s="239"/>
      <c r="C834" s="239"/>
      <c r="D834" s="239"/>
      <c r="E834" s="239"/>
      <c r="F834" s="283"/>
      <c r="G834" s="239"/>
      <c r="H834" s="239"/>
      <c r="I834" s="239"/>
      <c r="J834" s="239"/>
      <c r="K834" s="239"/>
      <c r="L834" s="239"/>
      <c r="M834" s="239"/>
      <c r="N834" s="239"/>
      <c r="O834" s="239"/>
      <c r="P834" s="246"/>
      <c r="Q834" s="239"/>
      <c r="R834" s="239"/>
      <c r="S834" s="239"/>
      <c r="T834" s="239"/>
      <c r="U834" s="239"/>
      <c r="V834" s="239"/>
      <c r="W834" s="246"/>
      <c r="X834" s="239"/>
      <c r="Y834" s="239"/>
      <c r="Z834" s="239"/>
      <c r="AA834" s="239"/>
      <c r="AB834" s="239"/>
      <c r="AC834" s="239"/>
      <c r="AD834" s="239"/>
      <c r="AE834" s="239"/>
      <c r="AF834" s="239"/>
      <c r="AG834" s="239"/>
      <c r="AH834" s="239"/>
      <c r="AI834" s="239"/>
      <c r="AJ834" s="239"/>
    </row>
    <row r="835">
      <c r="A835" s="239"/>
      <c r="B835" s="239"/>
      <c r="C835" s="239"/>
      <c r="D835" s="239"/>
      <c r="E835" s="239"/>
      <c r="F835" s="283"/>
      <c r="G835" s="239"/>
      <c r="H835" s="239"/>
      <c r="I835" s="239"/>
      <c r="J835" s="239"/>
      <c r="K835" s="239"/>
      <c r="L835" s="239"/>
      <c r="M835" s="239"/>
      <c r="N835" s="239"/>
      <c r="O835" s="239"/>
      <c r="P835" s="246"/>
      <c r="Q835" s="239"/>
      <c r="R835" s="239"/>
      <c r="S835" s="239"/>
      <c r="T835" s="239"/>
      <c r="U835" s="239"/>
      <c r="V835" s="239"/>
      <c r="W835" s="246"/>
      <c r="X835" s="239"/>
      <c r="Y835" s="239"/>
      <c r="Z835" s="239"/>
      <c r="AA835" s="239"/>
      <c r="AB835" s="239"/>
      <c r="AC835" s="239"/>
      <c r="AD835" s="239"/>
      <c r="AE835" s="239"/>
      <c r="AF835" s="239"/>
      <c r="AG835" s="239"/>
      <c r="AH835" s="239"/>
      <c r="AI835" s="239"/>
      <c r="AJ835" s="239"/>
    </row>
    <row r="836">
      <c r="A836" s="239"/>
      <c r="B836" s="239"/>
      <c r="C836" s="239"/>
      <c r="D836" s="239"/>
      <c r="E836" s="239"/>
      <c r="F836" s="283"/>
      <c r="G836" s="239"/>
      <c r="H836" s="239"/>
      <c r="I836" s="239"/>
      <c r="J836" s="239"/>
      <c r="K836" s="239"/>
      <c r="L836" s="239"/>
      <c r="M836" s="239"/>
      <c r="N836" s="239"/>
      <c r="O836" s="239"/>
      <c r="P836" s="246"/>
      <c r="Q836" s="239"/>
      <c r="R836" s="239"/>
      <c r="S836" s="239"/>
      <c r="T836" s="239"/>
      <c r="U836" s="239"/>
      <c r="V836" s="239"/>
      <c r="W836" s="246"/>
      <c r="X836" s="239"/>
      <c r="Y836" s="239"/>
      <c r="Z836" s="239"/>
      <c r="AA836" s="239"/>
      <c r="AB836" s="239"/>
      <c r="AC836" s="239"/>
      <c r="AD836" s="239"/>
      <c r="AE836" s="239"/>
      <c r="AF836" s="239"/>
      <c r="AG836" s="239"/>
      <c r="AH836" s="239"/>
      <c r="AI836" s="239"/>
      <c r="AJ836" s="239"/>
    </row>
    <row r="837">
      <c r="A837" s="239"/>
      <c r="B837" s="239"/>
      <c r="C837" s="239"/>
      <c r="D837" s="239"/>
      <c r="E837" s="239"/>
      <c r="F837" s="283"/>
      <c r="G837" s="239"/>
      <c r="H837" s="239"/>
      <c r="I837" s="239"/>
      <c r="J837" s="239"/>
      <c r="K837" s="239"/>
      <c r="L837" s="239"/>
      <c r="M837" s="239"/>
      <c r="N837" s="239"/>
      <c r="O837" s="239"/>
      <c r="P837" s="246"/>
      <c r="Q837" s="239"/>
      <c r="R837" s="239"/>
      <c r="S837" s="239"/>
      <c r="T837" s="239"/>
      <c r="U837" s="239"/>
      <c r="V837" s="239"/>
      <c r="W837" s="246"/>
      <c r="X837" s="239"/>
      <c r="Y837" s="239"/>
      <c r="Z837" s="239"/>
      <c r="AA837" s="239"/>
      <c r="AB837" s="239"/>
      <c r="AC837" s="239"/>
      <c r="AD837" s="239"/>
      <c r="AE837" s="239"/>
      <c r="AF837" s="239"/>
      <c r="AG837" s="239"/>
      <c r="AH837" s="239"/>
      <c r="AI837" s="239"/>
      <c r="AJ837" s="239"/>
    </row>
    <row r="838">
      <c r="A838" s="239"/>
      <c r="B838" s="239"/>
      <c r="C838" s="239"/>
      <c r="D838" s="239"/>
      <c r="E838" s="239"/>
      <c r="F838" s="283"/>
      <c r="G838" s="239"/>
      <c r="H838" s="239"/>
      <c r="I838" s="239"/>
      <c r="J838" s="239"/>
      <c r="K838" s="239"/>
      <c r="L838" s="239"/>
      <c r="M838" s="239"/>
      <c r="N838" s="239"/>
      <c r="O838" s="239"/>
      <c r="P838" s="246"/>
      <c r="Q838" s="239"/>
      <c r="R838" s="239"/>
      <c r="S838" s="239"/>
      <c r="T838" s="239"/>
      <c r="U838" s="239"/>
      <c r="V838" s="239"/>
      <c r="W838" s="246"/>
      <c r="X838" s="239"/>
      <c r="Y838" s="239"/>
      <c r="Z838" s="239"/>
      <c r="AA838" s="239"/>
      <c r="AB838" s="239"/>
      <c r="AC838" s="239"/>
      <c r="AD838" s="239"/>
      <c r="AE838" s="239"/>
      <c r="AF838" s="239"/>
      <c r="AG838" s="239"/>
      <c r="AH838" s="239"/>
      <c r="AI838" s="239"/>
      <c r="AJ838" s="239"/>
    </row>
    <row r="839">
      <c r="A839" s="239"/>
      <c r="B839" s="239"/>
      <c r="C839" s="239"/>
      <c r="D839" s="239"/>
      <c r="E839" s="239"/>
      <c r="F839" s="283"/>
      <c r="G839" s="239"/>
      <c r="H839" s="239"/>
      <c r="I839" s="239"/>
      <c r="J839" s="239"/>
      <c r="K839" s="239"/>
      <c r="L839" s="239"/>
      <c r="M839" s="239"/>
      <c r="N839" s="239"/>
      <c r="O839" s="239"/>
      <c r="P839" s="246"/>
      <c r="Q839" s="239"/>
      <c r="R839" s="239"/>
      <c r="S839" s="239"/>
      <c r="T839" s="239"/>
      <c r="U839" s="239"/>
      <c r="V839" s="239"/>
      <c r="W839" s="246"/>
      <c r="X839" s="239"/>
      <c r="Y839" s="239"/>
      <c r="Z839" s="239"/>
      <c r="AA839" s="239"/>
      <c r="AB839" s="239"/>
      <c r="AC839" s="239"/>
      <c r="AD839" s="239"/>
      <c r="AE839" s="239"/>
      <c r="AF839" s="239"/>
      <c r="AG839" s="239"/>
      <c r="AH839" s="239"/>
      <c r="AI839" s="239"/>
      <c r="AJ839" s="239"/>
    </row>
    <row r="840">
      <c r="A840" s="239"/>
      <c r="B840" s="239"/>
      <c r="C840" s="239"/>
      <c r="D840" s="239"/>
      <c r="E840" s="239"/>
      <c r="F840" s="283"/>
      <c r="G840" s="239"/>
      <c r="H840" s="239"/>
      <c r="I840" s="239"/>
      <c r="J840" s="239"/>
      <c r="K840" s="239"/>
      <c r="L840" s="239"/>
      <c r="M840" s="239"/>
      <c r="N840" s="239"/>
      <c r="O840" s="239"/>
      <c r="P840" s="246"/>
      <c r="Q840" s="239"/>
      <c r="R840" s="239"/>
      <c r="S840" s="239"/>
      <c r="T840" s="239"/>
      <c r="U840" s="239"/>
      <c r="V840" s="239"/>
      <c r="W840" s="246"/>
      <c r="X840" s="239"/>
      <c r="Y840" s="239"/>
      <c r="Z840" s="239"/>
      <c r="AA840" s="239"/>
      <c r="AB840" s="239"/>
      <c r="AC840" s="239"/>
      <c r="AD840" s="239"/>
      <c r="AE840" s="239"/>
      <c r="AF840" s="239"/>
      <c r="AG840" s="239"/>
      <c r="AH840" s="239"/>
      <c r="AI840" s="239"/>
      <c r="AJ840" s="239"/>
    </row>
    <row r="841">
      <c r="A841" s="239"/>
      <c r="B841" s="239"/>
      <c r="C841" s="239"/>
      <c r="D841" s="239"/>
      <c r="E841" s="239"/>
      <c r="F841" s="283"/>
      <c r="G841" s="239"/>
      <c r="H841" s="239"/>
      <c r="I841" s="239"/>
      <c r="J841" s="239"/>
      <c r="K841" s="239"/>
      <c r="L841" s="239"/>
      <c r="M841" s="239"/>
      <c r="N841" s="239"/>
      <c r="O841" s="239"/>
      <c r="P841" s="246"/>
      <c r="Q841" s="239"/>
      <c r="R841" s="239"/>
      <c r="S841" s="239"/>
      <c r="T841" s="239"/>
      <c r="U841" s="239"/>
      <c r="V841" s="239"/>
      <c r="W841" s="246"/>
      <c r="X841" s="239"/>
      <c r="Y841" s="239"/>
      <c r="Z841" s="239"/>
      <c r="AA841" s="239"/>
      <c r="AB841" s="239"/>
      <c r="AC841" s="239"/>
      <c r="AD841" s="239"/>
      <c r="AE841" s="239"/>
      <c r="AF841" s="239"/>
      <c r="AG841" s="239"/>
      <c r="AH841" s="239"/>
      <c r="AI841" s="239"/>
      <c r="AJ841" s="239"/>
    </row>
    <row r="842">
      <c r="A842" s="239"/>
      <c r="B842" s="239"/>
      <c r="C842" s="239"/>
      <c r="D842" s="239"/>
      <c r="E842" s="239"/>
      <c r="F842" s="283"/>
      <c r="G842" s="239"/>
      <c r="H842" s="239"/>
      <c r="I842" s="239"/>
      <c r="J842" s="239"/>
      <c r="K842" s="239"/>
      <c r="L842" s="239"/>
      <c r="M842" s="239"/>
      <c r="N842" s="239"/>
      <c r="O842" s="239"/>
      <c r="P842" s="246"/>
      <c r="Q842" s="239"/>
      <c r="R842" s="239"/>
      <c r="S842" s="239"/>
      <c r="T842" s="239"/>
      <c r="U842" s="239"/>
      <c r="V842" s="239"/>
      <c r="W842" s="246"/>
      <c r="X842" s="239"/>
      <c r="Y842" s="239"/>
      <c r="Z842" s="239"/>
      <c r="AA842" s="239"/>
      <c r="AB842" s="239"/>
      <c r="AC842" s="239"/>
      <c r="AD842" s="239"/>
      <c r="AE842" s="239"/>
      <c r="AF842" s="239"/>
      <c r="AG842" s="239"/>
      <c r="AH842" s="239"/>
      <c r="AI842" s="239"/>
      <c r="AJ842" s="239"/>
    </row>
    <row r="843">
      <c r="A843" s="239"/>
      <c r="B843" s="239"/>
      <c r="C843" s="239"/>
      <c r="D843" s="239"/>
      <c r="E843" s="239"/>
      <c r="F843" s="283"/>
      <c r="G843" s="239"/>
      <c r="H843" s="239"/>
      <c r="I843" s="239"/>
      <c r="J843" s="239"/>
      <c r="K843" s="239"/>
      <c r="L843" s="239"/>
      <c r="M843" s="239"/>
      <c r="N843" s="239"/>
      <c r="O843" s="239"/>
      <c r="P843" s="246"/>
      <c r="Q843" s="239"/>
      <c r="R843" s="239"/>
      <c r="S843" s="239"/>
      <c r="T843" s="239"/>
      <c r="U843" s="239"/>
      <c r="V843" s="239"/>
      <c r="W843" s="246"/>
      <c r="X843" s="239"/>
      <c r="Y843" s="239"/>
      <c r="Z843" s="239"/>
      <c r="AA843" s="239"/>
      <c r="AB843" s="239"/>
      <c r="AC843" s="239"/>
      <c r="AD843" s="239"/>
      <c r="AE843" s="239"/>
      <c r="AF843" s="239"/>
      <c r="AG843" s="239"/>
      <c r="AH843" s="239"/>
      <c r="AI843" s="239"/>
      <c r="AJ843" s="239"/>
    </row>
    <row r="844">
      <c r="A844" s="239"/>
      <c r="B844" s="239"/>
      <c r="C844" s="239"/>
      <c r="D844" s="239"/>
      <c r="E844" s="239"/>
      <c r="F844" s="283"/>
      <c r="G844" s="239"/>
      <c r="H844" s="239"/>
      <c r="I844" s="239"/>
      <c r="J844" s="239"/>
      <c r="K844" s="239"/>
      <c r="L844" s="239"/>
      <c r="M844" s="239"/>
      <c r="N844" s="239"/>
      <c r="O844" s="239"/>
      <c r="P844" s="246"/>
      <c r="Q844" s="239"/>
      <c r="R844" s="239"/>
      <c r="S844" s="239"/>
      <c r="T844" s="239"/>
      <c r="U844" s="239"/>
      <c r="V844" s="239"/>
      <c r="W844" s="246"/>
      <c r="X844" s="239"/>
      <c r="Y844" s="239"/>
      <c r="Z844" s="239"/>
      <c r="AA844" s="239"/>
      <c r="AB844" s="239"/>
      <c r="AC844" s="239"/>
      <c r="AD844" s="239"/>
      <c r="AE844" s="239"/>
      <c r="AF844" s="239"/>
      <c r="AG844" s="239"/>
      <c r="AH844" s="239"/>
      <c r="AI844" s="239"/>
      <c r="AJ844" s="239"/>
    </row>
    <row r="845">
      <c r="A845" s="239"/>
      <c r="B845" s="239"/>
      <c r="C845" s="239"/>
      <c r="D845" s="239"/>
      <c r="E845" s="239"/>
      <c r="F845" s="283"/>
      <c r="G845" s="239"/>
      <c r="H845" s="239"/>
      <c r="I845" s="239"/>
      <c r="J845" s="239"/>
      <c r="K845" s="239"/>
      <c r="L845" s="239"/>
      <c r="M845" s="239"/>
      <c r="N845" s="239"/>
      <c r="O845" s="239"/>
      <c r="P845" s="246"/>
      <c r="Q845" s="239"/>
      <c r="R845" s="239"/>
      <c r="S845" s="239"/>
      <c r="T845" s="239"/>
      <c r="U845" s="239"/>
      <c r="V845" s="239"/>
      <c r="W845" s="246"/>
      <c r="X845" s="239"/>
      <c r="Y845" s="239"/>
      <c r="Z845" s="239"/>
      <c r="AA845" s="239"/>
      <c r="AB845" s="239"/>
      <c r="AC845" s="239"/>
      <c r="AD845" s="239"/>
      <c r="AE845" s="239"/>
      <c r="AF845" s="239"/>
      <c r="AG845" s="239"/>
      <c r="AH845" s="239"/>
      <c r="AI845" s="239"/>
      <c r="AJ845" s="239"/>
    </row>
    <row r="846">
      <c r="A846" s="239"/>
      <c r="B846" s="239"/>
      <c r="C846" s="239"/>
      <c r="D846" s="239"/>
      <c r="E846" s="239"/>
      <c r="F846" s="283"/>
      <c r="G846" s="239"/>
      <c r="H846" s="239"/>
      <c r="I846" s="239"/>
      <c r="J846" s="239"/>
      <c r="K846" s="239"/>
      <c r="L846" s="239"/>
      <c r="M846" s="239"/>
      <c r="N846" s="239"/>
      <c r="O846" s="239"/>
      <c r="P846" s="246"/>
      <c r="Q846" s="239"/>
      <c r="R846" s="239"/>
      <c r="S846" s="239"/>
      <c r="T846" s="239"/>
      <c r="U846" s="239"/>
      <c r="V846" s="239"/>
      <c r="W846" s="246"/>
      <c r="X846" s="239"/>
      <c r="Y846" s="239"/>
      <c r="Z846" s="239"/>
      <c r="AA846" s="239"/>
      <c r="AB846" s="239"/>
      <c r="AC846" s="239"/>
      <c r="AD846" s="239"/>
      <c r="AE846" s="239"/>
      <c r="AF846" s="239"/>
      <c r="AG846" s="239"/>
      <c r="AH846" s="239"/>
      <c r="AI846" s="239"/>
      <c r="AJ846" s="239"/>
    </row>
    <row r="847">
      <c r="A847" s="239"/>
      <c r="B847" s="239"/>
      <c r="C847" s="239"/>
      <c r="D847" s="239"/>
      <c r="E847" s="239"/>
      <c r="F847" s="283"/>
      <c r="G847" s="239"/>
      <c r="H847" s="239"/>
      <c r="I847" s="239"/>
      <c r="J847" s="239"/>
      <c r="K847" s="239"/>
      <c r="L847" s="239"/>
      <c r="M847" s="239"/>
      <c r="N847" s="239"/>
      <c r="O847" s="239"/>
      <c r="P847" s="246"/>
      <c r="Q847" s="239"/>
      <c r="R847" s="239"/>
      <c r="S847" s="239"/>
      <c r="T847" s="239"/>
      <c r="U847" s="239"/>
      <c r="V847" s="239"/>
      <c r="W847" s="246"/>
      <c r="X847" s="239"/>
      <c r="Y847" s="239"/>
      <c r="Z847" s="239"/>
      <c r="AA847" s="239"/>
      <c r="AB847" s="239"/>
      <c r="AC847" s="239"/>
      <c r="AD847" s="239"/>
      <c r="AE847" s="239"/>
      <c r="AF847" s="239"/>
      <c r="AG847" s="239"/>
      <c r="AH847" s="239"/>
      <c r="AI847" s="239"/>
      <c r="AJ847" s="239"/>
    </row>
    <row r="848">
      <c r="A848" s="239"/>
      <c r="B848" s="239"/>
      <c r="C848" s="239"/>
      <c r="D848" s="239"/>
      <c r="E848" s="239"/>
      <c r="F848" s="283"/>
      <c r="G848" s="239"/>
      <c r="H848" s="239"/>
      <c r="I848" s="239"/>
      <c r="J848" s="239"/>
      <c r="K848" s="239"/>
      <c r="L848" s="239"/>
      <c r="M848" s="239"/>
      <c r="N848" s="239"/>
      <c r="O848" s="239"/>
      <c r="P848" s="246"/>
      <c r="Q848" s="239"/>
      <c r="R848" s="239"/>
      <c r="S848" s="239"/>
      <c r="T848" s="239"/>
      <c r="U848" s="239"/>
      <c r="V848" s="239"/>
      <c r="W848" s="246"/>
      <c r="X848" s="239"/>
      <c r="Y848" s="239"/>
      <c r="Z848" s="239"/>
      <c r="AA848" s="239"/>
      <c r="AB848" s="239"/>
      <c r="AC848" s="239"/>
      <c r="AD848" s="239"/>
      <c r="AE848" s="239"/>
      <c r="AF848" s="239"/>
      <c r="AG848" s="239"/>
      <c r="AH848" s="239"/>
      <c r="AI848" s="239"/>
      <c r="AJ848" s="239"/>
    </row>
    <row r="849">
      <c r="A849" s="239"/>
      <c r="B849" s="239"/>
      <c r="C849" s="239"/>
      <c r="D849" s="239"/>
      <c r="E849" s="239"/>
      <c r="F849" s="283"/>
      <c r="G849" s="239"/>
      <c r="H849" s="239"/>
      <c r="I849" s="239"/>
      <c r="J849" s="239"/>
      <c r="K849" s="239"/>
      <c r="L849" s="239"/>
      <c r="M849" s="239"/>
      <c r="N849" s="239"/>
      <c r="O849" s="239"/>
      <c r="P849" s="246"/>
      <c r="Q849" s="239"/>
      <c r="R849" s="239"/>
      <c r="S849" s="239"/>
      <c r="T849" s="239"/>
      <c r="U849" s="239"/>
      <c r="V849" s="239"/>
      <c r="W849" s="246"/>
      <c r="X849" s="239"/>
      <c r="Y849" s="239"/>
      <c r="Z849" s="239"/>
      <c r="AA849" s="239"/>
      <c r="AB849" s="239"/>
      <c r="AC849" s="239"/>
      <c r="AD849" s="239"/>
      <c r="AE849" s="239"/>
      <c r="AF849" s="239"/>
      <c r="AG849" s="239"/>
      <c r="AH849" s="239"/>
      <c r="AI849" s="239"/>
      <c r="AJ849" s="239"/>
    </row>
    <row r="850">
      <c r="A850" s="239"/>
      <c r="B850" s="239"/>
      <c r="C850" s="239"/>
      <c r="D850" s="239"/>
      <c r="E850" s="239"/>
      <c r="F850" s="283"/>
      <c r="G850" s="239"/>
      <c r="H850" s="239"/>
      <c r="I850" s="239"/>
      <c r="J850" s="239"/>
      <c r="K850" s="239"/>
      <c r="L850" s="239"/>
      <c r="M850" s="239"/>
      <c r="N850" s="239"/>
      <c r="O850" s="239"/>
      <c r="P850" s="246"/>
      <c r="Q850" s="239"/>
      <c r="R850" s="239"/>
      <c r="S850" s="239"/>
      <c r="T850" s="239"/>
      <c r="U850" s="239"/>
      <c r="V850" s="239"/>
      <c r="W850" s="246"/>
      <c r="X850" s="239"/>
      <c r="Y850" s="239"/>
      <c r="Z850" s="239"/>
      <c r="AA850" s="239"/>
      <c r="AB850" s="239"/>
      <c r="AC850" s="239"/>
      <c r="AD850" s="239"/>
      <c r="AE850" s="239"/>
      <c r="AF850" s="239"/>
      <c r="AG850" s="239"/>
      <c r="AH850" s="239"/>
      <c r="AI850" s="239"/>
      <c r="AJ850" s="239"/>
    </row>
    <row r="851">
      <c r="A851" s="239"/>
      <c r="B851" s="239"/>
      <c r="C851" s="239"/>
      <c r="D851" s="239"/>
      <c r="E851" s="239"/>
      <c r="F851" s="283"/>
      <c r="G851" s="239"/>
      <c r="H851" s="239"/>
      <c r="I851" s="239"/>
      <c r="J851" s="239"/>
      <c r="K851" s="239"/>
      <c r="L851" s="239"/>
      <c r="M851" s="239"/>
      <c r="N851" s="239"/>
      <c r="O851" s="239"/>
      <c r="P851" s="246"/>
      <c r="Q851" s="239"/>
      <c r="R851" s="239"/>
      <c r="S851" s="239"/>
      <c r="T851" s="239"/>
      <c r="U851" s="239"/>
      <c r="V851" s="239"/>
      <c r="W851" s="246"/>
      <c r="X851" s="239"/>
      <c r="Y851" s="239"/>
      <c r="Z851" s="239"/>
      <c r="AA851" s="239"/>
      <c r="AB851" s="239"/>
      <c r="AC851" s="239"/>
      <c r="AD851" s="239"/>
      <c r="AE851" s="239"/>
      <c r="AF851" s="239"/>
      <c r="AG851" s="239"/>
      <c r="AH851" s="239"/>
      <c r="AI851" s="239"/>
      <c r="AJ851" s="239"/>
    </row>
    <row r="852">
      <c r="A852" s="239"/>
      <c r="B852" s="239"/>
      <c r="C852" s="239"/>
      <c r="D852" s="239"/>
      <c r="E852" s="239"/>
      <c r="F852" s="283"/>
      <c r="G852" s="239"/>
      <c r="H852" s="239"/>
      <c r="I852" s="239"/>
      <c r="J852" s="239"/>
      <c r="K852" s="239"/>
      <c r="L852" s="239"/>
      <c r="M852" s="239"/>
      <c r="N852" s="239"/>
      <c r="O852" s="239"/>
      <c r="P852" s="246"/>
      <c r="Q852" s="239"/>
      <c r="R852" s="239"/>
      <c r="S852" s="239"/>
      <c r="T852" s="239"/>
      <c r="U852" s="239"/>
      <c r="V852" s="239"/>
      <c r="W852" s="246"/>
      <c r="X852" s="239"/>
      <c r="Y852" s="239"/>
      <c r="Z852" s="239"/>
      <c r="AA852" s="239"/>
      <c r="AB852" s="239"/>
      <c r="AC852" s="239"/>
      <c r="AD852" s="239"/>
      <c r="AE852" s="239"/>
      <c r="AF852" s="239"/>
      <c r="AG852" s="239"/>
      <c r="AH852" s="239"/>
      <c r="AI852" s="239"/>
      <c r="AJ852" s="239"/>
    </row>
    <row r="853">
      <c r="A853" s="239"/>
      <c r="B853" s="239"/>
      <c r="C853" s="239"/>
      <c r="D853" s="239"/>
      <c r="E853" s="239"/>
      <c r="F853" s="283"/>
      <c r="G853" s="239"/>
      <c r="H853" s="239"/>
      <c r="I853" s="239"/>
      <c r="J853" s="239"/>
      <c r="K853" s="239"/>
      <c r="L853" s="239"/>
      <c r="M853" s="239"/>
      <c r="N853" s="239"/>
      <c r="O853" s="239"/>
      <c r="P853" s="246"/>
      <c r="Q853" s="239"/>
      <c r="R853" s="239"/>
      <c r="S853" s="239"/>
      <c r="T853" s="239"/>
      <c r="U853" s="239"/>
      <c r="V853" s="239"/>
      <c r="W853" s="246"/>
      <c r="X853" s="239"/>
      <c r="Y853" s="239"/>
      <c r="Z853" s="239"/>
      <c r="AA853" s="239"/>
      <c r="AB853" s="239"/>
      <c r="AC853" s="239"/>
      <c r="AD853" s="239"/>
      <c r="AE853" s="239"/>
      <c r="AF853" s="239"/>
      <c r="AG853" s="239"/>
      <c r="AH853" s="239"/>
      <c r="AI853" s="239"/>
      <c r="AJ853" s="239"/>
    </row>
    <row r="854">
      <c r="A854" s="239"/>
      <c r="B854" s="239"/>
      <c r="C854" s="239"/>
      <c r="D854" s="239"/>
      <c r="E854" s="239"/>
      <c r="F854" s="283"/>
      <c r="G854" s="239"/>
      <c r="H854" s="239"/>
      <c r="I854" s="239"/>
      <c r="J854" s="239"/>
      <c r="K854" s="239"/>
      <c r="L854" s="239"/>
      <c r="M854" s="239"/>
      <c r="N854" s="239"/>
      <c r="O854" s="239"/>
      <c r="P854" s="246"/>
      <c r="Q854" s="239"/>
      <c r="R854" s="239"/>
      <c r="S854" s="239"/>
      <c r="T854" s="239"/>
      <c r="U854" s="239"/>
      <c r="V854" s="239"/>
      <c r="W854" s="246"/>
      <c r="X854" s="239"/>
      <c r="Y854" s="239"/>
      <c r="Z854" s="239"/>
      <c r="AA854" s="239"/>
      <c r="AB854" s="239"/>
      <c r="AC854" s="239"/>
      <c r="AD854" s="239"/>
      <c r="AE854" s="239"/>
      <c r="AF854" s="239"/>
      <c r="AG854" s="239"/>
      <c r="AH854" s="239"/>
      <c r="AI854" s="239"/>
      <c r="AJ854" s="239"/>
    </row>
    <row r="855">
      <c r="A855" s="239"/>
      <c r="B855" s="239"/>
      <c r="C855" s="239"/>
      <c r="D855" s="239"/>
      <c r="E855" s="239"/>
      <c r="F855" s="283"/>
      <c r="G855" s="239"/>
      <c r="H855" s="239"/>
      <c r="I855" s="239"/>
      <c r="J855" s="239"/>
      <c r="K855" s="239"/>
      <c r="L855" s="239"/>
      <c r="M855" s="239"/>
      <c r="N855" s="239"/>
      <c r="O855" s="239"/>
      <c r="P855" s="246"/>
      <c r="Q855" s="239"/>
      <c r="R855" s="239"/>
      <c r="S855" s="239"/>
      <c r="T855" s="239"/>
      <c r="U855" s="239"/>
      <c r="V855" s="239"/>
      <c r="W855" s="246"/>
      <c r="X855" s="239"/>
      <c r="Y855" s="239"/>
      <c r="Z855" s="239"/>
      <c r="AA855" s="239"/>
      <c r="AB855" s="239"/>
      <c r="AC855" s="239"/>
      <c r="AD855" s="239"/>
      <c r="AE855" s="239"/>
      <c r="AF855" s="239"/>
      <c r="AG855" s="239"/>
      <c r="AH855" s="239"/>
      <c r="AI855" s="239"/>
      <c r="AJ855" s="239"/>
    </row>
    <row r="856">
      <c r="A856" s="239"/>
      <c r="B856" s="239"/>
      <c r="C856" s="239"/>
      <c r="D856" s="239"/>
      <c r="E856" s="239"/>
      <c r="F856" s="283"/>
      <c r="G856" s="239"/>
      <c r="H856" s="239"/>
      <c r="I856" s="239"/>
      <c r="J856" s="239"/>
      <c r="K856" s="239"/>
      <c r="L856" s="239"/>
      <c r="M856" s="239"/>
      <c r="N856" s="239"/>
      <c r="O856" s="239"/>
      <c r="P856" s="246"/>
      <c r="Q856" s="239"/>
      <c r="R856" s="239"/>
      <c r="S856" s="239"/>
      <c r="T856" s="239"/>
      <c r="U856" s="239"/>
      <c r="V856" s="239"/>
      <c r="W856" s="246"/>
      <c r="X856" s="239"/>
      <c r="Y856" s="239"/>
      <c r="Z856" s="239"/>
      <c r="AA856" s="239"/>
      <c r="AB856" s="239"/>
      <c r="AC856" s="239"/>
      <c r="AD856" s="239"/>
      <c r="AE856" s="239"/>
      <c r="AF856" s="239"/>
      <c r="AG856" s="239"/>
      <c r="AH856" s="239"/>
      <c r="AI856" s="239"/>
      <c r="AJ856" s="239"/>
    </row>
    <row r="857">
      <c r="A857" s="239"/>
      <c r="B857" s="239"/>
      <c r="C857" s="239"/>
      <c r="D857" s="239"/>
      <c r="E857" s="239"/>
      <c r="F857" s="283"/>
      <c r="G857" s="239"/>
      <c r="H857" s="239"/>
      <c r="I857" s="239"/>
      <c r="J857" s="239"/>
      <c r="K857" s="239"/>
      <c r="L857" s="239"/>
      <c r="M857" s="239"/>
      <c r="N857" s="239"/>
      <c r="O857" s="239"/>
      <c r="P857" s="246"/>
      <c r="Q857" s="239"/>
      <c r="R857" s="239"/>
      <c r="S857" s="239"/>
      <c r="T857" s="239"/>
      <c r="U857" s="239"/>
      <c r="V857" s="239"/>
      <c r="W857" s="246"/>
      <c r="X857" s="239"/>
      <c r="Y857" s="239"/>
      <c r="Z857" s="239"/>
      <c r="AA857" s="239"/>
      <c r="AB857" s="239"/>
      <c r="AC857" s="239"/>
      <c r="AD857" s="239"/>
      <c r="AE857" s="239"/>
      <c r="AF857" s="239"/>
      <c r="AG857" s="239"/>
      <c r="AH857" s="239"/>
      <c r="AI857" s="239"/>
      <c r="AJ857" s="239"/>
    </row>
    <row r="858">
      <c r="A858" s="239"/>
      <c r="B858" s="239"/>
      <c r="C858" s="239"/>
      <c r="D858" s="239"/>
      <c r="E858" s="239"/>
      <c r="F858" s="283"/>
      <c r="G858" s="239"/>
      <c r="H858" s="239"/>
      <c r="I858" s="239"/>
      <c r="J858" s="239"/>
      <c r="K858" s="239"/>
      <c r="L858" s="239"/>
      <c r="M858" s="239"/>
      <c r="N858" s="239"/>
      <c r="O858" s="239"/>
      <c r="P858" s="246"/>
      <c r="Q858" s="239"/>
      <c r="R858" s="239"/>
      <c r="S858" s="239"/>
      <c r="T858" s="239"/>
      <c r="U858" s="239"/>
      <c r="V858" s="239"/>
      <c r="W858" s="246"/>
      <c r="X858" s="239"/>
      <c r="Y858" s="239"/>
      <c r="Z858" s="239"/>
      <c r="AA858" s="239"/>
      <c r="AB858" s="239"/>
      <c r="AC858" s="239"/>
      <c r="AD858" s="239"/>
      <c r="AE858" s="239"/>
      <c r="AF858" s="239"/>
      <c r="AG858" s="239"/>
      <c r="AH858" s="239"/>
      <c r="AI858" s="239"/>
      <c r="AJ858" s="239"/>
    </row>
    <row r="859">
      <c r="A859" s="239"/>
      <c r="B859" s="239"/>
      <c r="C859" s="239"/>
      <c r="D859" s="239"/>
      <c r="E859" s="239"/>
      <c r="F859" s="283"/>
      <c r="G859" s="239"/>
      <c r="H859" s="239"/>
      <c r="I859" s="239"/>
      <c r="J859" s="239"/>
      <c r="K859" s="239"/>
      <c r="L859" s="239"/>
      <c r="M859" s="239"/>
      <c r="N859" s="239"/>
      <c r="O859" s="239"/>
      <c r="P859" s="246"/>
      <c r="Q859" s="239"/>
      <c r="R859" s="239"/>
      <c r="S859" s="239"/>
      <c r="T859" s="239"/>
      <c r="U859" s="239"/>
      <c r="V859" s="239"/>
      <c r="W859" s="246"/>
      <c r="X859" s="239"/>
      <c r="Y859" s="239"/>
      <c r="Z859" s="239"/>
      <c r="AA859" s="239"/>
      <c r="AB859" s="239"/>
      <c r="AC859" s="239"/>
      <c r="AD859" s="239"/>
      <c r="AE859" s="239"/>
      <c r="AF859" s="239"/>
      <c r="AG859" s="239"/>
      <c r="AH859" s="239"/>
      <c r="AI859" s="239"/>
      <c r="AJ859" s="239"/>
    </row>
    <row r="860">
      <c r="A860" s="239"/>
      <c r="B860" s="239"/>
      <c r="C860" s="239"/>
      <c r="D860" s="239"/>
      <c r="E860" s="239"/>
      <c r="F860" s="283"/>
      <c r="G860" s="239"/>
      <c r="H860" s="239"/>
      <c r="I860" s="239"/>
      <c r="J860" s="239"/>
      <c r="K860" s="239"/>
      <c r="L860" s="239"/>
      <c r="M860" s="239"/>
      <c r="N860" s="239"/>
      <c r="O860" s="239"/>
      <c r="P860" s="246"/>
      <c r="Q860" s="239"/>
      <c r="R860" s="239"/>
      <c r="S860" s="239"/>
      <c r="T860" s="239"/>
      <c r="U860" s="239"/>
      <c r="V860" s="239"/>
      <c r="W860" s="246"/>
      <c r="X860" s="239"/>
      <c r="Y860" s="239"/>
      <c r="Z860" s="239"/>
      <c r="AA860" s="239"/>
      <c r="AB860" s="239"/>
      <c r="AC860" s="239"/>
      <c r="AD860" s="239"/>
      <c r="AE860" s="239"/>
      <c r="AF860" s="239"/>
      <c r="AG860" s="239"/>
      <c r="AH860" s="239"/>
      <c r="AI860" s="239"/>
      <c r="AJ860" s="239"/>
    </row>
    <row r="861">
      <c r="A861" s="239"/>
      <c r="B861" s="239"/>
      <c r="C861" s="239"/>
      <c r="D861" s="239"/>
      <c r="E861" s="239"/>
      <c r="F861" s="283"/>
      <c r="G861" s="239"/>
      <c r="H861" s="239"/>
      <c r="I861" s="239"/>
      <c r="J861" s="239"/>
      <c r="K861" s="239"/>
      <c r="L861" s="239"/>
      <c r="M861" s="239"/>
      <c r="N861" s="239"/>
      <c r="O861" s="239"/>
      <c r="P861" s="246"/>
      <c r="Q861" s="239"/>
      <c r="R861" s="239"/>
      <c r="S861" s="239"/>
      <c r="T861" s="239"/>
      <c r="U861" s="239"/>
      <c r="V861" s="239"/>
      <c r="W861" s="246"/>
      <c r="X861" s="239"/>
      <c r="Y861" s="239"/>
      <c r="Z861" s="239"/>
      <c r="AA861" s="239"/>
      <c r="AB861" s="239"/>
      <c r="AC861" s="239"/>
      <c r="AD861" s="239"/>
      <c r="AE861" s="239"/>
      <c r="AF861" s="239"/>
      <c r="AG861" s="239"/>
      <c r="AH861" s="239"/>
      <c r="AI861" s="239"/>
      <c r="AJ861" s="239"/>
    </row>
    <row r="862">
      <c r="A862" s="239"/>
      <c r="B862" s="239"/>
      <c r="C862" s="239"/>
      <c r="D862" s="239"/>
      <c r="E862" s="239"/>
      <c r="F862" s="283"/>
      <c r="G862" s="239"/>
      <c r="H862" s="239"/>
      <c r="I862" s="239"/>
      <c r="J862" s="239"/>
      <c r="K862" s="239"/>
      <c r="L862" s="239"/>
      <c r="M862" s="239"/>
      <c r="N862" s="239"/>
      <c r="O862" s="239"/>
      <c r="P862" s="246"/>
      <c r="Q862" s="239"/>
      <c r="R862" s="239"/>
      <c r="S862" s="239"/>
      <c r="T862" s="239"/>
      <c r="U862" s="239"/>
      <c r="V862" s="239"/>
      <c r="W862" s="246"/>
      <c r="X862" s="239"/>
      <c r="Y862" s="239"/>
      <c r="Z862" s="239"/>
      <c r="AA862" s="239"/>
      <c r="AB862" s="239"/>
      <c r="AC862" s="239"/>
      <c r="AD862" s="239"/>
      <c r="AE862" s="239"/>
      <c r="AF862" s="239"/>
      <c r="AG862" s="239"/>
      <c r="AH862" s="239"/>
      <c r="AI862" s="239"/>
      <c r="AJ862" s="239"/>
    </row>
    <row r="863">
      <c r="A863" s="239"/>
      <c r="B863" s="239"/>
      <c r="C863" s="239"/>
      <c r="D863" s="239"/>
      <c r="E863" s="239"/>
      <c r="F863" s="283"/>
      <c r="G863" s="239"/>
      <c r="H863" s="239"/>
      <c r="I863" s="239"/>
      <c r="J863" s="239"/>
      <c r="K863" s="239"/>
      <c r="L863" s="239"/>
      <c r="M863" s="239"/>
      <c r="N863" s="239"/>
      <c r="O863" s="239"/>
      <c r="P863" s="246"/>
      <c r="Q863" s="239"/>
      <c r="R863" s="239"/>
      <c r="S863" s="239"/>
      <c r="T863" s="239"/>
      <c r="U863" s="239"/>
      <c r="V863" s="239"/>
      <c r="W863" s="246"/>
      <c r="X863" s="239"/>
      <c r="Y863" s="239"/>
      <c r="Z863" s="239"/>
      <c r="AA863" s="239"/>
      <c r="AB863" s="239"/>
      <c r="AC863" s="239"/>
      <c r="AD863" s="239"/>
      <c r="AE863" s="239"/>
      <c r="AF863" s="239"/>
      <c r="AG863" s="239"/>
      <c r="AH863" s="239"/>
      <c r="AI863" s="239"/>
      <c r="AJ863" s="239"/>
    </row>
    <row r="864">
      <c r="A864" s="239"/>
      <c r="B864" s="239"/>
      <c r="C864" s="239"/>
      <c r="D864" s="239"/>
      <c r="E864" s="239"/>
      <c r="F864" s="283"/>
      <c r="G864" s="239"/>
      <c r="H864" s="239"/>
      <c r="I864" s="239"/>
      <c r="J864" s="239"/>
      <c r="K864" s="239"/>
      <c r="L864" s="239"/>
      <c r="M864" s="239"/>
      <c r="N864" s="239"/>
      <c r="O864" s="239"/>
      <c r="P864" s="246"/>
      <c r="Q864" s="239"/>
      <c r="R864" s="239"/>
      <c r="S864" s="239"/>
      <c r="T864" s="239"/>
      <c r="U864" s="239"/>
      <c r="V864" s="239"/>
      <c r="W864" s="246"/>
      <c r="X864" s="239"/>
      <c r="Y864" s="239"/>
      <c r="Z864" s="239"/>
      <c r="AA864" s="239"/>
      <c r="AB864" s="239"/>
      <c r="AC864" s="239"/>
      <c r="AD864" s="239"/>
      <c r="AE864" s="239"/>
      <c r="AF864" s="239"/>
      <c r="AG864" s="239"/>
      <c r="AH864" s="239"/>
      <c r="AI864" s="239"/>
      <c r="AJ864" s="239"/>
    </row>
    <row r="865">
      <c r="A865" s="239"/>
      <c r="B865" s="239"/>
      <c r="C865" s="239"/>
      <c r="D865" s="239"/>
      <c r="E865" s="239"/>
      <c r="F865" s="283"/>
      <c r="G865" s="239"/>
      <c r="H865" s="239"/>
      <c r="I865" s="239"/>
      <c r="J865" s="239"/>
      <c r="K865" s="239"/>
      <c r="L865" s="239"/>
      <c r="M865" s="239"/>
      <c r="N865" s="239"/>
      <c r="O865" s="239"/>
      <c r="P865" s="246"/>
      <c r="Q865" s="239"/>
      <c r="R865" s="239"/>
      <c r="S865" s="239"/>
      <c r="T865" s="239"/>
      <c r="U865" s="239"/>
      <c r="V865" s="239"/>
      <c r="W865" s="246"/>
      <c r="X865" s="239"/>
      <c r="Y865" s="239"/>
      <c r="Z865" s="239"/>
      <c r="AA865" s="239"/>
      <c r="AB865" s="239"/>
      <c r="AC865" s="239"/>
      <c r="AD865" s="239"/>
      <c r="AE865" s="239"/>
      <c r="AF865" s="239"/>
      <c r="AG865" s="239"/>
      <c r="AH865" s="239"/>
      <c r="AI865" s="239"/>
      <c r="AJ865" s="239"/>
    </row>
    <row r="866">
      <c r="A866" s="239"/>
      <c r="B866" s="239"/>
      <c r="C866" s="239"/>
      <c r="D866" s="239"/>
      <c r="E866" s="239"/>
      <c r="F866" s="283"/>
      <c r="G866" s="239"/>
      <c r="H866" s="239"/>
      <c r="I866" s="239"/>
      <c r="J866" s="239"/>
      <c r="K866" s="239"/>
      <c r="L866" s="239"/>
      <c r="M866" s="239"/>
      <c r="N866" s="239"/>
      <c r="O866" s="239"/>
      <c r="P866" s="246"/>
      <c r="Q866" s="239"/>
      <c r="R866" s="239"/>
      <c r="S866" s="239"/>
      <c r="T866" s="239"/>
      <c r="U866" s="239"/>
      <c r="V866" s="239"/>
      <c r="W866" s="246"/>
      <c r="X866" s="239"/>
      <c r="Y866" s="239"/>
      <c r="Z866" s="239"/>
      <c r="AA866" s="239"/>
      <c r="AB866" s="239"/>
      <c r="AC866" s="239"/>
      <c r="AD866" s="239"/>
      <c r="AE866" s="239"/>
      <c r="AF866" s="239"/>
      <c r="AG866" s="239"/>
      <c r="AH866" s="239"/>
      <c r="AI866" s="239"/>
      <c r="AJ866" s="239"/>
    </row>
    <row r="867">
      <c r="A867" s="239"/>
      <c r="B867" s="239"/>
      <c r="C867" s="239"/>
      <c r="D867" s="239"/>
      <c r="E867" s="239"/>
      <c r="F867" s="283"/>
      <c r="G867" s="239"/>
      <c r="H867" s="239"/>
      <c r="I867" s="239"/>
      <c r="J867" s="239"/>
      <c r="K867" s="239"/>
      <c r="L867" s="239"/>
      <c r="M867" s="239"/>
      <c r="N867" s="239"/>
      <c r="O867" s="239"/>
      <c r="P867" s="246"/>
      <c r="Q867" s="239"/>
      <c r="R867" s="239"/>
      <c r="S867" s="239"/>
      <c r="T867" s="239"/>
      <c r="U867" s="239"/>
      <c r="V867" s="239"/>
      <c r="W867" s="246"/>
      <c r="X867" s="239"/>
      <c r="Y867" s="239"/>
      <c r="Z867" s="239"/>
      <c r="AA867" s="239"/>
      <c r="AB867" s="239"/>
      <c r="AC867" s="239"/>
      <c r="AD867" s="239"/>
      <c r="AE867" s="239"/>
      <c r="AF867" s="239"/>
      <c r="AG867" s="239"/>
      <c r="AH867" s="239"/>
      <c r="AI867" s="239"/>
      <c r="AJ867" s="239"/>
    </row>
    <row r="868">
      <c r="A868" s="239"/>
      <c r="B868" s="239"/>
      <c r="C868" s="239"/>
      <c r="D868" s="239"/>
      <c r="E868" s="239"/>
      <c r="F868" s="283"/>
      <c r="G868" s="239"/>
      <c r="H868" s="239"/>
      <c r="I868" s="239"/>
      <c r="J868" s="239"/>
      <c r="K868" s="239"/>
      <c r="L868" s="239"/>
      <c r="M868" s="239"/>
      <c r="N868" s="239"/>
      <c r="O868" s="239"/>
      <c r="P868" s="246"/>
      <c r="Q868" s="239"/>
      <c r="R868" s="239"/>
      <c r="S868" s="239"/>
      <c r="T868" s="239"/>
      <c r="U868" s="239"/>
      <c r="V868" s="239"/>
      <c r="W868" s="246"/>
      <c r="X868" s="239"/>
      <c r="Y868" s="239"/>
      <c r="Z868" s="239"/>
      <c r="AA868" s="239"/>
      <c r="AB868" s="239"/>
      <c r="AC868" s="239"/>
      <c r="AD868" s="239"/>
      <c r="AE868" s="239"/>
      <c r="AF868" s="239"/>
      <c r="AG868" s="239"/>
      <c r="AH868" s="239"/>
      <c r="AI868" s="239"/>
      <c r="AJ868" s="239"/>
    </row>
    <row r="869">
      <c r="A869" s="239"/>
      <c r="B869" s="239"/>
      <c r="C869" s="239"/>
      <c r="D869" s="239"/>
      <c r="E869" s="239"/>
      <c r="F869" s="283"/>
      <c r="G869" s="239"/>
      <c r="H869" s="239"/>
      <c r="I869" s="239"/>
      <c r="J869" s="239"/>
      <c r="K869" s="239"/>
      <c r="L869" s="239"/>
      <c r="M869" s="239"/>
      <c r="N869" s="239"/>
      <c r="O869" s="239"/>
      <c r="P869" s="246"/>
      <c r="Q869" s="239"/>
      <c r="R869" s="239"/>
      <c r="S869" s="239"/>
      <c r="T869" s="239"/>
      <c r="U869" s="239"/>
      <c r="V869" s="239"/>
      <c r="W869" s="246"/>
      <c r="X869" s="239"/>
      <c r="Y869" s="239"/>
      <c r="Z869" s="239"/>
      <c r="AA869" s="239"/>
      <c r="AB869" s="239"/>
      <c r="AC869" s="239"/>
      <c r="AD869" s="239"/>
      <c r="AE869" s="239"/>
      <c r="AF869" s="239"/>
      <c r="AG869" s="239"/>
      <c r="AH869" s="239"/>
      <c r="AI869" s="239"/>
      <c r="AJ869" s="239"/>
    </row>
    <row r="870">
      <c r="A870" s="239"/>
      <c r="B870" s="239"/>
      <c r="C870" s="239"/>
      <c r="D870" s="239"/>
      <c r="E870" s="239"/>
      <c r="F870" s="283"/>
      <c r="G870" s="239"/>
      <c r="H870" s="239"/>
      <c r="I870" s="239"/>
      <c r="J870" s="239"/>
      <c r="K870" s="239"/>
      <c r="L870" s="239"/>
      <c r="M870" s="239"/>
      <c r="N870" s="239"/>
      <c r="O870" s="239"/>
      <c r="P870" s="246"/>
      <c r="Q870" s="239"/>
      <c r="R870" s="239"/>
      <c r="S870" s="239"/>
      <c r="T870" s="239"/>
      <c r="U870" s="239"/>
      <c r="V870" s="239"/>
      <c r="W870" s="246"/>
      <c r="X870" s="239"/>
      <c r="Y870" s="239"/>
      <c r="Z870" s="239"/>
      <c r="AA870" s="239"/>
      <c r="AB870" s="239"/>
      <c r="AC870" s="239"/>
      <c r="AD870" s="239"/>
      <c r="AE870" s="239"/>
      <c r="AF870" s="239"/>
      <c r="AG870" s="239"/>
      <c r="AH870" s="239"/>
      <c r="AI870" s="239"/>
      <c r="AJ870" s="239"/>
    </row>
    <row r="871">
      <c r="A871" s="239"/>
      <c r="B871" s="239"/>
      <c r="C871" s="239"/>
      <c r="D871" s="239"/>
      <c r="E871" s="239"/>
      <c r="F871" s="283"/>
      <c r="G871" s="239"/>
      <c r="H871" s="239"/>
      <c r="I871" s="239"/>
      <c r="J871" s="239"/>
      <c r="K871" s="239"/>
      <c r="L871" s="239"/>
      <c r="M871" s="239"/>
      <c r="N871" s="239"/>
      <c r="O871" s="239"/>
      <c r="P871" s="246"/>
      <c r="Q871" s="239"/>
      <c r="R871" s="239"/>
      <c r="S871" s="239"/>
      <c r="T871" s="239"/>
      <c r="U871" s="239"/>
      <c r="V871" s="239"/>
      <c r="W871" s="246"/>
      <c r="X871" s="239"/>
      <c r="Y871" s="239"/>
      <c r="Z871" s="239"/>
      <c r="AA871" s="239"/>
      <c r="AB871" s="239"/>
      <c r="AC871" s="239"/>
      <c r="AD871" s="239"/>
      <c r="AE871" s="239"/>
      <c r="AF871" s="239"/>
      <c r="AG871" s="239"/>
      <c r="AH871" s="239"/>
      <c r="AI871" s="239"/>
      <c r="AJ871" s="239"/>
    </row>
    <row r="872">
      <c r="A872" s="239"/>
      <c r="B872" s="239"/>
      <c r="C872" s="239"/>
      <c r="D872" s="239"/>
      <c r="E872" s="239"/>
      <c r="F872" s="283"/>
      <c r="G872" s="239"/>
      <c r="H872" s="239"/>
      <c r="I872" s="239"/>
      <c r="J872" s="239"/>
      <c r="K872" s="239"/>
      <c r="L872" s="239"/>
      <c r="M872" s="239"/>
      <c r="N872" s="239"/>
      <c r="O872" s="239"/>
      <c r="P872" s="246"/>
      <c r="Q872" s="239"/>
      <c r="R872" s="239"/>
      <c r="S872" s="239"/>
      <c r="T872" s="239"/>
      <c r="U872" s="239"/>
      <c r="V872" s="239"/>
      <c r="W872" s="246"/>
      <c r="X872" s="239"/>
      <c r="Y872" s="239"/>
      <c r="Z872" s="239"/>
      <c r="AA872" s="239"/>
      <c r="AB872" s="239"/>
      <c r="AC872" s="239"/>
      <c r="AD872" s="239"/>
      <c r="AE872" s="239"/>
      <c r="AF872" s="239"/>
      <c r="AG872" s="239"/>
      <c r="AH872" s="239"/>
      <c r="AI872" s="239"/>
      <c r="AJ872" s="239"/>
    </row>
    <row r="873">
      <c r="A873" s="239"/>
      <c r="B873" s="239"/>
      <c r="C873" s="239"/>
      <c r="D873" s="239"/>
      <c r="E873" s="239"/>
      <c r="F873" s="283"/>
      <c r="G873" s="239"/>
      <c r="H873" s="239"/>
      <c r="I873" s="239"/>
      <c r="J873" s="239"/>
      <c r="K873" s="239"/>
      <c r="L873" s="239"/>
      <c r="M873" s="239"/>
      <c r="N873" s="239"/>
      <c r="O873" s="239"/>
      <c r="P873" s="246"/>
      <c r="Q873" s="239"/>
      <c r="R873" s="239"/>
      <c r="S873" s="239"/>
      <c r="T873" s="239"/>
      <c r="U873" s="239"/>
      <c r="V873" s="239"/>
      <c r="W873" s="246"/>
      <c r="X873" s="239"/>
      <c r="Y873" s="239"/>
      <c r="Z873" s="239"/>
      <c r="AA873" s="239"/>
      <c r="AB873" s="239"/>
      <c r="AC873" s="239"/>
      <c r="AD873" s="239"/>
      <c r="AE873" s="239"/>
      <c r="AF873" s="239"/>
      <c r="AG873" s="239"/>
      <c r="AH873" s="239"/>
      <c r="AI873" s="239"/>
      <c r="AJ873" s="239"/>
    </row>
    <row r="874">
      <c r="A874" s="239"/>
      <c r="B874" s="239"/>
      <c r="C874" s="239"/>
      <c r="D874" s="239"/>
      <c r="E874" s="239"/>
      <c r="F874" s="283"/>
      <c r="G874" s="239"/>
      <c r="H874" s="239"/>
      <c r="I874" s="239"/>
      <c r="J874" s="239"/>
      <c r="K874" s="239"/>
      <c r="L874" s="239"/>
      <c r="M874" s="239"/>
      <c r="N874" s="239"/>
      <c r="O874" s="239"/>
      <c r="P874" s="246"/>
      <c r="Q874" s="239"/>
      <c r="R874" s="239"/>
      <c r="S874" s="239"/>
      <c r="T874" s="239"/>
      <c r="U874" s="239"/>
      <c r="V874" s="239"/>
      <c r="W874" s="246"/>
      <c r="X874" s="239"/>
      <c r="Y874" s="239"/>
      <c r="Z874" s="239"/>
      <c r="AA874" s="239"/>
      <c r="AB874" s="239"/>
      <c r="AC874" s="239"/>
      <c r="AD874" s="239"/>
      <c r="AE874" s="239"/>
      <c r="AF874" s="239"/>
      <c r="AG874" s="239"/>
      <c r="AH874" s="239"/>
      <c r="AI874" s="239"/>
      <c r="AJ874" s="239"/>
    </row>
    <row r="875">
      <c r="A875" s="239"/>
      <c r="B875" s="239"/>
      <c r="C875" s="239"/>
      <c r="D875" s="239"/>
      <c r="E875" s="239"/>
      <c r="F875" s="283"/>
      <c r="G875" s="239"/>
      <c r="H875" s="239"/>
      <c r="I875" s="239"/>
      <c r="J875" s="239"/>
      <c r="K875" s="239"/>
      <c r="L875" s="239"/>
      <c r="M875" s="239"/>
      <c r="N875" s="239"/>
      <c r="O875" s="239"/>
      <c r="P875" s="246"/>
      <c r="Q875" s="239"/>
      <c r="R875" s="239"/>
      <c r="S875" s="239"/>
      <c r="T875" s="239"/>
      <c r="U875" s="239"/>
      <c r="V875" s="239"/>
      <c r="W875" s="246"/>
      <c r="X875" s="239"/>
      <c r="Y875" s="239"/>
      <c r="Z875" s="239"/>
      <c r="AA875" s="239"/>
      <c r="AB875" s="239"/>
      <c r="AC875" s="239"/>
      <c r="AD875" s="239"/>
      <c r="AE875" s="239"/>
      <c r="AF875" s="239"/>
      <c r="AG875" s="239"/>
      <c r="AH875" s="239"/>
      <c r="AI875" s="239"/>
      <c r="AJ875" s="239"/>
    </row>
    <row r="876">
      <c r="A876" s="239"/>
      <c r="B876" s="239"/>
      <c r="C876" s="239"/>
      <c r="D876" s="239"/>
      <c r="E876" s="239"/>
      <c r="F876" s="283"/>
      <c r="G876" s="239"/>
      <c r="H876" s="239"/>
      <c r="I876" s="239"/>
      <c r="J876" s="239"/>
      <c r="K876" s="239"/>
      <c r="L876" s="239"/>
      <c r="M876" s="239"/>
      <c r="N876" s="239"/>
      <c r="O876" s="239"/>
      <c r="P876" s="246"/>
      <c r="Q876" s="239"/>
      <c r="R876" s="239"/>
      <c r="S876" s="239"/>
      <c r="T876" s="239"/>
      <c r="U876" s="239"/>
      <c r="V876" s="239"/>
      <c r="W876" s="246"/>
      <c r="X876" s="239"/>
      <c r="Y876" s="239"/>
      <c r="Z876" s="239"/>
      <c r="AA876" s="239"/>
      <c r="AB876" s="239"/>
      <c r="AC876" s="239"/>
      <c r="AD876" s="239"/>
      <c r="AE876" s="239"/>
      <c r="AF876" s="239"/>
      <c r="AG876" s="239"/>
      <c r="AH876" s="239"/>
      <c r="AI876" s="239"/>
      <c r="AJ876" s="239"/>
    </row>
    <row r="877">
      <c r="A877" s="239"/>
      <c r="B877" s="239"/>
      <c r="C877" s="239"/>
      <c r="D877" s="239"/>
      <c r="E877" s="239"/>
      <c r="F877" s="283"/>
      <c r="G877" s="239"/>
      <c r="H877" s="239"/>
      <c r="I877" s="239"/>
      <c r="J877" s="239"/>
      <c r="K877" s="239"/>
      <c r="L877" s="239"/>
      <c r="M877" s="239"/>
      <c r="N877" s="239"/>
      <c r="O877" s="239"/>
      <c r="P877" s="246"/>
      <c r="Q877" s="239"/>
      <c r="R877" s="239"/>
      <c r="S877" s="239"/>
      <c r="T877" s="239"/>
      <c r="U877" s="239"/>
      <c r="V877" s="239"/>
      <c r="W877" s="246"/>
      <c r="X877" s="239"/>
      <c r="Y877" s="239"/>
      <c r="Z877" s="239"/>
      <c r="AA877" s="239"/>
      <c r="AB877" s="239"/>
      <c r="AC877" s="239"/>
      <c r="AD877" s="239"/>
      <c r="AE877" s="239"/>
      <c r="AF877" s="239"/>
      <c r="AG877" s="239"/>
      <c r="AH877" s="239"/>
      <c r="AI877" s="239"/>
      <c r="AJ877" s="239"/>
    </row>
    <row r="878">
      <c r="A878" s="239"/>
      <c r="B878" s="239"/>
      <c r="C878" s="239"/>
      <c r="D878" s="239"/>
      <c r="E878" s="239"/>
      <c r="F878" s="283"/>
      <c r="G878" s="239"/>
      <c r="H878" s="239"/>
      <c r="I878" s="239"/>
      <c r="J878" s="239"/>
      <c r="K878" s="239"/>
      <c r="L878" s="239"/>
      <c r="M878" s="239"/>
      <c r="N878" s="239"/>
      <c r="O878" s="239"/>
      <c r="P878" s="246"/>
      <c r="Q878" s="239"/>
      <c r="R878" s="239"/>
      <c r="S878" s="239"/>
      <c r="T878" s="239"/>
      <c r="U878" s="239"/>
      <c r="V878" s="239"/>
      <c r="W878" s="246"/>
      <c r="X878" s="239"/>
      <c r="Y878" s="239"/>
      <c r="Z878" s="239"/>
      <c r="AA878" s="239"/>
      <c r="AB878" s="239"/>
      <c r="AC878" s="239"/>
      <c r="AD878" s="239"/>
      <c r="AE878" s="239"/>
      <c r="AF878" s="239"/>
      <c r="AG878" s="239"/>
      <c r="AH878" s="239"/>
      <c r="AI878" s="239"/>
      <c r="AJ878" s="239"/>
    </row>
    <row r="879">
      <c r="A879" s="239"/>
      <c r="B879" s="239"/>
      <c r="C879" s="239"/>
      <c r="D879" s="239"/>
      <c r="E879" s="239"/>
      <c r="F879" s="283"/>
      <c r="G879" s="239"/>
      <c r="H879" s="239"/>
      <c r="I879" s="239"/>
      <c r="J879" s="239"/>
      <c r="K879" s="239"/>
      <c r="L879" s="239"/>
      <c r="M879" s="239"/>
      <c r="N879" s="239"/>
      <c r="O879" s="239"/>
      <c r="P879" s="246"/>
      <c r="Q879" s="239"/>
      <c r="R879" s="239"/>
      <c r="S879" s="239"/>
      <c r="T879" s="239"/>
      <c r="U879" s="239"/>
      <c r="V879" s="239"/>
      <c r="W879" s="246"/>
      <c r="X879" s="239"/>
      <c r="Y879" s="239"/>
      <c r="Z879" s="239"/>
      <c r="AA879" s="239"/>
      <c r="AB879" s="239"/>
      <c r="AC879" s="239"/>
      <c r="AD879" s="239"/>
      <c r="AE879" s="239"/>
      <c r="AF879" s="239"/>
      <c r="AG879" s="239"/>
      <c r="AH879" s="239"/>
      <c r="AI879" s="239"/>
      <c r="AJ879" s="239"/>
    </row>
    <row r="880">
      <c r="A880" s="239"/>
      <c r="B880" s="239"/>
      <c r="C880" s="239"/>
      <c r="D880" s="239"/>
      <c r="E880" s="239"/>
      <c r="F880" s="283"/>
      <c r="G880" s="239"/>
      <c r="H880" s="239"/>
      <c r="I880" s="239"/>
      <c r="J880" s="239"/>
      <c r="K880" s="239"/>
      <c r="L880" s="239"/>
      <c r="M880" s="239"/>
      <c r="N880" s="239"/>
      <c r="O880" s="239"/>
      <c r="P880" s="246"/>
      <c r="Q880" s="239"/>
      <c r="R880" s="239"/>
      <c r="S880" s="239"/>
      <c r="T880" s="239"/>
      <c r="U880" s="239"/>
      <c r="V880" s="239"/>
      <c r="W880" s="246"/>
      <c r="X880" s="239"/>
      <c r="Y880" s="239"/>
      <c r="Z880" s="239"/>
      <c r="AA880" s="239"/>
      <c r="AB880" s="239"/>
      <c r="AC880" s="239"/>
      <c r="AD880" s="239"/>
      <c r="AE880" s="239"/>
      <c r="AF880" s="239"/>
      <c r="AG880" s="239"/>
      <c r="AH880" s="239"/>
      <c r="AI880" s="239"/>
      <c r="AJ880" s="239"/>
    </row>
    <row r="881">
      <c r="A881" s="239"/>
      <c r="B881" s="239"/>
      <c r="C881" s="239"/>
      <c r="D881" s="239"/>
      <c r="E881" s="239"/>
      <c r="F881" s="283"/>
      <c r="G881" s="239"/>
      <c r="H881" s="239"/>
      <c r="I881" s="239"/>
      <c r="J881" s="239"/>
      <c r="K881" s="239"/>
      <c r="L881" s="239"/>
      <c r="M881" s="239"/>
      <c r="N881" s="239"/>
      <c r="O881" s="239"/>
      <c r="P881" s="246"/>
      <c r="Q881" s="239"/>
      <c r="R881" s="239"/>
      <c r="S881" s="239"/>
      <c r="T881" s="239"/>
      <c r="U881" s="239"/>
      <c r="V881" s="239"/>
      <c r="W881" s="246"/>
      <c r="X881" s="239"/>
      <c r="Y881" s="239"/>
      <c r="Z881" s="239"/>
      <c r="AA881" s="239"/>
      <c r="AB881" s="239"/>
      <c r="AC881" s="239"/>
      <c r="AD881" s="239"/>
      <c r="AE881" s="239"/>
      <c r="AF881" s="239"/>
      <c r="AG881" s="239"/>
      <c r="AH881" s="239"/>
      <c r="AI881" s="239"/>
      <c r="AJ881" s="239"/>
    </row>
    <row r="882">
      <c r="A882" s="239"/>
      <c r="B882" s="239"/>
      <c r="C882" s="239"/>
      <c r="D882" s="239"/>
      <c r="E882" s="239"/>
      <c r="F882" s="283"/>
      <c r="G882" s="239"/>
      <c r="H882" s="239"/>
      <c r="I882" s="239"/>
      <c r="J882" s="239"/>
      <c r="K882" s="239"/>
      <c r="L882" s="239"/>
      <c r="M882" s="239"/>
      <c r="N882" s="239"/>
      <c r="O882" s="239"/>
      <c r="P882" s="246"/>
      <c r="Q882" s="239"/>
      <c r="R882" s="239"/>
      <c r="S882" s="239"/>
      <c r="T882" s="239"/>
      <c r="U882" s="239"/>
      <c r="V882" s="239"/>
      <c r="W882" s="246"/>
      <c r="X882" s="239"/>
      <c r="Y882" s="239"/>
      <c r="Z882" s="239"/>
      <c r="AA882" s="239"/>
      <c r="AB882" s="239"/>
      <c r="AC882" s="239"/>
      <c r="AD882" s="239"/>
      <c r="AE882" s="239"/>
      <c r="AF882" s="239"/>
      <c r="AG882" s="239"/>
      <c r="AH882" s="239"/>
      <c r="AI882" s="239"/>
      <c r="AJ882" s="239"/>
    </row>
    <row r="883">
      <c r="A883" s="239"/>
      <c r="B883" s="239"/>
      <c r="C883" s="239"/>
      <c r="D883" s="239"/>
      <c r="E883" s="239"/>
      <c r="F883" s="283"/>
      <c r="G883" s="239"/>
      <c r="H883" s="239"/>
      <c r="I883" s="239"/>
      <c r="J883" s="239"/>
      <c r="K883" s="239"/>
      <c r="L883" s="239"/>
      <c r="M883" s="239"/>
      <c r="N883" s="239"/>
      <c r="O883" s="239"/>
      <c r="P883" s="246"/>
      <c r="Q883" s="239"/>
      <c r="R883" s="239"/>
      <c r="S883" s="239"/>
      <c r="T883" s="239"/>
      <c r="U883" s="239"/>
      <c r="V883" s="239"/>
      <c r="W883" s="246"/>
      <c r="X883" s="239"/>
      <c r="Y883" s="239"/>
      <c r="Z883" s="239"/>
      <c r="AA883" s="239"/>
      <c r="AB883" s="239"/>
      <c r="AC883" s="239"/>
      <c r="AD883" s="239"/>
      <c r="AE883" s="239"/>
      <c r="AF883" s="239"/>
      <c r="AG883" s="239"/>
      <c r="AH883" s="239"/>
      <c r="AI883" s="239"/>
      <c r="AJ883" s="239"/>
    </row>
    <row r="884">
      <c r="A884" s="239"/>
      <c r="B884" s="239"/>
      <c r="C884" s="239"/>
      <c r="D884" s="239"/>
      <c r="E884" s="239"/>
      <c r="F884" s="283"/>
      <c r="G884" s="239"/>
      <c r="H884" s="239"/>
      <c r="I884" s="239"/>
      <c r="J884" s="239"/>
      <c r="K884" s="239"/>
      <c r="L884" s="239"/>
      <c r="M884" s="239"/>
      <c r="N884" s="239"/>
      <c r="O884" s="239"/>
      <c r="P884" s="246"/>
      <c r="Q884" s="239"/>
      <c r="R884" s="239"/>
      <c r="S884" s="239"/>
      <c r="T884" s="239"/>
      <c r="U884" s="239"/>
      <c r="V884" s="239"/>
      <c r="W884" s="246"/>
      <c r="X884" s="239"/>
      <c r="Y884" s="239"/>
      <c r="Z884" s="239"/>
      <c r="AA884" s="239"/>
      <c r="AB884" s="239"/>
      <c r="AC884" s="239"/>
      <c r="AD884" s="239"/>
      <c r="AE884" s="239"/>
      <c r="AF884" s="239"/>
      <c r="AG884" s="239"/>
      <c r="AH884" s="239"/>
      <c r="AI884" s="239"/>
      <c r="AJ884" s="239"/>
    </row>
    <row r="885">
      <c r="A885" s="239"/>
      <c r="B885" s="239"/>
      <c r="C885" s="239"/>
      <c r="D885" s="239"/>
      <c r="E885" s="239"/>
      <c r="F885" s="283"/>
      <c r="G885" s="239"/>
      <c r="H885" s="239"/>
      <c r="I885" s="239"/>
      <c r="J885" s="239"/>
      <c r="K885" s="239"/>
      <c r="L885" s="239"/>
      <c r="M885" s="239"/>
      <c r="N885" s="239"/>
      <c r="O885" s="239"/>
      <c r="P885" s="246"/>
      <c r="Q885" s="239"/>
      <c r="R885" s="239"/>
      <c r="S885" s="239"/>
      <c r="T885" s="239"/>
      <c r="U885" s="239"/>
      <c r="V885" s="239"/>
      <c r="W885" s="246"/>
      <c r="X885" s="239"/>
      <c r="Y885" s="239"/>
      <c r="Z885" s="239"/>
      <c r="AA885" s="239"/>
      <c r="AB885" s="239"/>
      <c r="AC885" s="239"/>
      <c r="AD885" s="239"/>
      <c r="AE885" s="239"/>
      <c r="AF885" s="239"/>
      <c r="AG885" s="239"/>
      <c r="AH885" s="239"/>
      <c r="AI885" s="239"/>
      <c r="AJ885" s="239"/>
    </row>
    <row r="886">
      <c r="A886" s="239"/>
      <c r="B886" s="239"/>
      <c r="C886" s="239"/>
      <c r="D886" s="239"/>
      <c r="E886" s="239"/>
      <c r="F886" s="283"/>
      <c r="G886" s="239"/>
      <c r="H886" s="239"/>
      <c r="I886" s="239"/>
      <c r="J886" s="239"/>
      <c r="K886" s="239"/>
      <c r="L886" s="239"/>
      <c r="M886" s="239"/>
      <c r="N886" s="239"/>
      <c r="O886" s="239"/>
      <c r="P886" s="246"/>
      <c r="Q886" s="239"/>
      <c r="R886" s="239"/>
      <c r="S886" s="239"/>
      <c r="T886" s="239"/>
      <c r="U886" s="239"/>
      <c r="V886" s="239"/>
      <c r="W886" s="246"/>
      <c r="X886" s="239"/>
      <c r="Y886" s="239"/>
      <c r="Z886" s="239"/>
      <c r="AA886" s="239"/>
      <c r="AB886" s="239"/>
      <c r="AC886" s="239"/>
      <c r="AD886" s="239"/>
      <c r="AE886" s="239"/>
      <c r="AF886" s="239"/>
      <c r="AG886" s="239"/>
      <c r="AH886" s="239"/>
      <c r="AI886" s="239"/>
      <c r="AJ886" s="239"/>
    </row>
    <row r="887">
      <c r="A887" s="239"/>
      <c r="B887" s="239"/>
      <c r="C887" s="239"/>
      <c r="D887" s="239"/>
      <c r="E887" s="239"/>
      <c r="F887" s="283"/>
      <c r="G887" s="239"/>
      <c r="H887" s="239"/>
      <c r="I887" s="239"/>
      <c r="J887" s="239"/>
      <c r="K887" s="239"/>
      <c r="L887" s="239"/>
      <c r="M887" s="239"/>
      <c r="N887" s="239"/>
      <c r="O887" s="239"/>
      <c r="P887" s="246"/>
      <c r="Q887" s="239"/>
      <c r="R887" s="239"/>
      <c r="S887" s="239"/>
      <c r="T887" s="239"/>
      <c r="U887" s="239"/>
      <c r="V887" s="239"/>
      <c r="W887" s="246"/>
      <c r="X887" s="239"/>
      <c r="Y887" s="239"/>
      <c r="Z887" s="239"/>
      <c r="AA887" s="239"/>
      <c r="AB887" s="239"/>
      <c r="AC887" s="239"/>
      <c r="AD887" s="239"/>
      <c r="AE887" s="239"/>
      <c r="AF887" s="239"/>
      <c r="AG887" s="239"/>
      <c r="AH887" s="239"/>
      <c r="AI887" s="239"/>
      <c r="AJ887" s="239"/>
    </row>
    <row r="888">
      <c r="A888" s="239"/>
      <c r="B888" s="239"/>
      <c r="C888" s="239"/>
      <c r="D888" s="239"/>
      <c r="E888" s="239"/>
      <c r="F888" s="283"/>
      <c r="G888" s="239"/>
      <c r="H888" s="239"/>
      <c r="I888" s="239"/>
      <c r="J888" s="239"/>
      <c r="K888" s="239"/>
      <c r="L888" s="239"/>
      <c r="M888" s="239"/>
      <c r="N888" s="239"/>
      <c r="O888" s="239"/>
      <c r="P888" s="246"/>
      <c r="Q888" s="239"/>
      <c r="R888" s="239"/>
      <c r="S888" s="239"/>
      <c r="T888" s="239"/>
      <c r="U888" s="239"/>
      <c r="V888" s="239"/>
      <c r="W888" s="246"/>
      <c r="X888" s="239"/>
      <c r="Y888" s="239"/>
      <c r="Z888" s="239"/>
      <c r="AA888" s="239"/>
      <c r="AB888" s="239"/>
      <c r="AC888" s="239"/>
      <c r="AD888" s="239"/>
      <c r="AE888" s="239"/>
      <c r="AF888" s="239"/>
      <c r="AG888" s="239"/>
      <c r="AH888" s="239"/>
      <c r="AI888" s="239"/>
      <c r="AJ888" s="239"/>
    </row>
    <row r="889">
      <c r="A889" s="239"/>
      <c r="B889" s="239"/>
      <c r="C889" s="239"/>
      <c r="D889" s="239"/>
      <c r="E889" s="239"/>
      <c r="F889" s="283"/>
      <c r="G889" s="239"/>
      <c r="H889" s="239"/>
      <c r="I889" s="239"/>
      <c r="J889" s="239"/>
      <c r="K889" s="239"/>
      <c r="L889" s="239"/>
      <c r="M889" s="239"/>
      <c r="N889" s="239"/>
      <c r="O889" s="239"/>
      <c r="P889" s="246"/>
      <c r="Q889" s="239"/>
      <c r="R889" s="239"/>
      <c r="S889" s="239"/>
      <c r="T889" s="239"/>
      <c r="U889" s="239"/>
      <c r="V889" s="239"/>
      <c r="W889" s="246"/>
      <c r="X889" s="239"/>
      <c r="Y889" s="239"/>
      <c r="Z889" s="239"/>
      <c r="AA889" s="239"/>
      <c r="AB889" s="239"/>
      <c r="AC889" s="239"/>
      <c r="AD889" s="239"/>
      <c r="AE889" s="239"/>
      <c r="AF889" s="239"/>
      <c r="AG889" s="239"/>
      <c r="AH889" s="239"/>
      <c r="AI889" s="239"/>
      <c r="AJ889" s="239"/>
    </row>
    <row r="890">
      <c r="A890" s="239"/>
      <c r="B890" s="239"/>
      <c r="C890" s="239"/>
      <c r="D890" s="239"/>
      <c r="E890" s="239"/>
      <c r="F890" s="283"/>
      <c r="G890" s="239"/>
      <c r="H890" s="239"/>
      <c r="I890" s="239"/>
      <c r="J890" s="239"/>
      <c r="K890" s="239"/>
      <c r="L890" s="239"/>
      <c r="M890" s="239"/>
      <c r="N890" s="239"/>
      <c r="O890" s="239"/>
      <c r="P890" s="246"/>
      <c r="Q890" s="239"/>
      <c r="R890" s="239"/>
      <c r="S890" s="239"/>
      <c r="T890" s="239"/>
      <c r="U890" s="239"/>
      <c r="V890" s="239"/>
      <c r="W890" s="246"/>
      <c r="X890" s="239"/>
      <c r="Y890" s="239"/>
      <c r="Z890" s="239"/>
      <c r="AA890" s="239"/>
      <c r="AB890" s="239"/>
      <c r="AC890" s="239"/>
      <c r="AD890" s="239"/>
      <c r="AE890" s="239"/>
      <c r="AF890" s="239"/>
      <c r="AG890" s="239"/>
      <c r="AH890" s="239"/>
      <c r="AI890" s="239"/>
      <c r="AJ890" s="239"/>
    </row>
    <row r="891">
      <c r="A891" s="239"/>
      <c r="B891" s="239"/>
      <c r="C891" s="239"/>
      <c r="D891" s="239"/>
      <c r="E891" s="239"/>
      <c r="F891" s="283"/>
      <c r="G891" s="239"/>
      <c r="H891" s="239"/>
      <c r="I891" s="239"/>
      <c r="J891" s="239"/>
      <c r="K891" s="239"/>
      <c r="L891" s="239"/>
      <c r="M891" s="239"/>
      <c r="N891" s="239"/>
      <c r="O891" s="239"/>
      <c r="P891" s="246"/>
      <c r="Q891" s="239"/>
      <c r="R891" s="239"/>
      <c r="S891" s="239"/>
      <c r="T891" s="239"/>
      <c r="U891" s="239"/>
      <c r="V891" s="239"/>
      <c r="W891" s="246"/>
      <c r="X891" s="239"/>
      <c r="Y891" s="239"/>
      <c r="Z891" s="239"/>
      <c r="AA891" s="239"/>
      <c r="AB891" s="239"/>
      <c r="AC891" s="239"/>
      <c r="AD891" s="239"/>
      <c r="AE891" s="239"/>
      <c r="AF891" s="239"/>
      <c r="AG891" s="239"/>
      <c r="AH891" s="239"/>
      <c r="AI891" s="239"/>
      <c r="AJ891" s="239"/>
    </row>
    <row r="892">
      <c r="A892" s="239"/>
      <c r="B892" s="239"/>
      <c r="C892" s="239"/>
      <c r="D892" s="239"/>
      <c r="E892" s="239"/>
      <c r="F892" s="283"/>
      <c r="G892" s="239"/>
      <c r="H892" s="239"/>
      <c r="I892" s="239"/>
      <c r="J892" s="239"/>
      <c r="K892" s="239"/>
      <c r="L892" s="239"/>
      <c r="M892" s="239"/>
      <c r="N892" s="239"/>
      <c r="O892" s="239"/>
      <c r="P892" s="246"/>
      <c r="Q892" s="239"/>
      <c r="R892" s="239"/>
      <c r="S892" s="239"/>
      <c r="T892" s="239"/>
      <c r="U892" s="239"/>
      <c r="V892" s="239"/>
      <c r="W892" s="246"/>
      <c r="X892" s="239"/>
      <c r="Y892" s="239"/>
      <c r="Z892" s="239"/>
      <c r="AA892" s="239"/>
      <c r="AB892" s="239"/>
      <c r="AC892" s="239"/>
      <c r="AD892" s="239"/>
      <c r="AE892" s="239"/>
      <c r="AF892" s="239"/>
      <c r="AG892" s="239"/>
      <c r="AH892" s="239"/>
      <c r="AI892" s="239"/>
      <c r="AJ892" s="239"/>
    </row>
    <row r="893">
      <c r="A893" s="239"/>
      <c r="B893" s="239"/>
      <c r="C893" s="239"/>
      <c r="D893" s="239"/>
      <c r="E893" s="239"/>
      <c r="F893" s="283"/>
      <c r="G893" s="239"/>
      <c r="H893" s="239"/>
      <c r="I893" s="239"/>
      <c r="J893" s="239"/>
      <c r="K893" s="239"/>
      <c r="L893" s="239"/>
      <c r="M893" s="239"/>
      <c r="N893" s="239"/>
      <c r="O893" s="239"/>
      <c r="P893" s="246"/>
      <c r="Q893" s="239"/>
      <c r="R893" s="239"/>
      <c r="S893" s="239"/>
      <c r="T893" s="239"/>
      <c r="U893" s="239"/>
      <c r="V893" s="239"/>
      <c r="W893" s="246"/>
      <c r="X893" s="239"/>
      <c r="Y893" s="239"/>
      <c r="Z893" s="239"/>
      <c r="AA893" s="239"/>
      <c r="AB893" s="239"/>
      <c r="AC893" s="239"/>
      <c r="AD893" s="239"/>
      <c r="AE893" s="239"/>
      <c r="AF893" s="239"/>
      <c r="AG893" s="239"/>
      <c r="AH893" s="239"/>
      <c r="AI893" s="239"/>
      <c r="AJ893" s="239"/>
    </row>
    <row r="894">
      <c r="A894" s="239"/>
      <c r="B894" s="239"/>
      <c r="C894" s="239"/>
      <c r="D894" s="239"/>
      <c r="E894" s="239"/>
      <c r="F894" s="283"/>
      <c r="G894" s="239"/>
      <c r="H894" s="239"/>
      <c r="I894" s="239"/>
      <c r="J894" s="239"/>
      <c r="K894" s="239"/>
      <c r="L894" s="239"/>
      <c r="M894" s="239"/>
      <c r="N894" s="239"/>
      <c r="O894" s="239"/>
      <c r="P894" s="246"/>
      <c r="Q894" s="239"/>
      <c r="R894" s="239"/>
      <c r="S894" s="239"/>
      <c r="T894" s="239"/>
      <c r="U894" s="239"/>
      <c r="V894" s="239"/>
      <c r="W894" s="246"/>
      <c r="X894" s="239"/>
      <c r="Y894" s="239"/>
      <c r="Z894" s="239"/>
      <c r="AA894" s="239"/>
      <c r="AB894" s="239"/>
      <c r="AC894" s="239"/>
      <c r="AD894" s="239"/>
      <c r="AE894" s="239"/>
      <c r="AF894" s="239"/>
      <c r="AG894" s="239"/>
      <c r="AH894" s="239"/>
      <c r="AI894" s="239"/>
      <c r="AJ894" s="239"/>
    </row>
    <row r="895">
      <c r="A895" s="239"/>
      <c r="B895" s="239"/>
      <c r="C895" s="239"/>
      <c r="D895" s="239"/>
      <c r="E895" s="239"/>
      <c r="F895" s="283"/>
      <c r="G895" s="239"/>
      <c r="H895" s="239"/>
      <c r="I895" s="239"/>
      <c r="J895" s="239"/>
      <c r="K895" s="239"/>
      <c r="L895" s="239"/>
      <c r="M895" s="239"/>
      <c r="N895" s="239"/>
      <c r="O895" s="239"/>
      <c r="P895" s="246"/>
      <c r="Q895" s="239"/>
      <c r="R895" s="239"/>
      <c r="S895" s="239"/>
      <c r="T895" s="239"/>
      <c r="U895" s="239"/>
      <c r="V895" s="239"/>
      <c r="W895" s="246"/>
      <c r="X895" s="239"/>
      <c r="Y895" s="239"/>
      <c r="Z895" s="239"/>
      <c r="AA895" s="239"/>
      <c r="AB895" s="239"/>
      <c r="AC895" s="239"/>
      <c r="AD895" s="239"/>
      <c r="AE895" s="239"/>
      <c r="AF895" s="239"/>
      <c r="AG895" s="239"/>
      <c r="AH895" s="239"/>
      <c r="AI895" s="239"/>
      <c r="AJ895" s="239"/>
    </row>
    <row r="896">
      <c r="A896" s="239"/>
      <c r="B896" s="239"/>
      <c r="C896" s="239"/>
      <c r="D896" s="239"/>
      <c r="E896" s="239"/>
      <c r="F896" s="283"/>
      <c r="G896" s="239"/>
      <c r="H896" s="239"/>
      <c r="I896" s="239"/>
      <c r="J896" s="239"/>
      <c r="K896" s="239"/>
      <c r="L896" s="239"/>
      <c r="M896" s="239"/>
      <c r="N896" s="239"/>
      <c r="O896" s="239"/>
      <c r="P896" s="246"/>
      <c r="Q896" s="239"/>
      <c r="R896" s="239"/>
      <c r="S896" s="239"/>
      <c r="T896" s="239"/>
      <c r="U896" s="239"/>
      <c r="V896" s="239"/>
      <c r="W896" s="246"/>
      <c r="X896" s="239"/>
      <c r="Y896" s="239"/>
      <c r="Z896" s="239"/>
      <c r="AA896" s="239"/>
      <c r="AB896" s="239"/>
      <c r="AC896" s="239"/>
      <c r="AD896" s="239"/>
      <c r="AE896" s="239"/>
      <c r="AF896" s="239"/>
      <c r="AG896" s="239"/>
      <c r="AH896" s="239"/>
      <c r="AI896" s="239"/>
      <c r="AJ896" s="239"/>
    </row>
    <row r="897">
      <c r="A897" s="239"/>
      <c r="B897" s="239"/>
      <c r="C897" s="239"/>
      <c r="D897" s="239"/>
      <c r="E897" s="239"/>
      <c r="F897" s="283"/>
      <c r="G897" s="239"/>
      <c r="H897" s="239"/>
      <c r="I897" s="239"/>
      <c r="J897" s="239"/>
      <c r="K897" s="239"/>
      <c r="L897" s="239"/>
      <c r="M897" s="239"/>
      <c r="N897" s="239"/>
      <c r="O897" s="239"/>
      <c r="P897" s="246"/>
      <c r="Q897" s="239"/>
      <c r="R897" s="239"/>
      <c r="S897" s="239"/>
      <c r="T897" s="239"/>
      <c r="U897" s="239"/>
      <c r="V897" s="239"/>
      <c r="W897" s="246"/>
      <c r="X897" s="239"/>
      <c r="Y897" s="239"/>
      <c r="Z897" s="239"/>
      <c r="AA897" s="239"/>
      <c r="AB897" s="239"/>
      <c r="AC897" s="239"/>
      <c r="AD897" s="239"/>
      <c r="AE897" s="239"/>
      <c r="AF897" s="239"/>
      <c r="AG897" s="239"/>
      <c r="AH897" s="239"/>
      <c r="AI897" s="239"/>
      <c r="AJ897" s="239"/>
    </row>
    <row r="898">
      <c r="A898" s="239"/>
      <c r="B898" s="239"/>
      <c r="C898" s="239"/>
      <c r="D898" s="239"/>
      <c r="E898" s="239"/>
      <c r="F898" s="283"/>
      <c r="G898" s="239"/>
      <c r="H898" s="239"/>
      <c r="I898" s="239"/>
      <c r="J898" s="239"/>
      <c r="K898" s="239"/>
      <c r="L898" s="239"/>
      <c r="M898" s="239"/>
      <c r="N898" s="239"/>
      <c r="O898" s="239"/>
      <c r="P898" s="246"/>
      <c r="Q898" s="239"/>
      <c r="R898" s="239"/>
      <c r="S898" s="239"/>
      <c r="T898" s="239"/>
      <c r="U898" s="239"/>
      <c r="V898" s="239"/>
      <c r="W898" s="246"/>
      <c r="X898" s="239"/>
      <c r="Y898" s="239"/>
      <c r="Z898" s="239"/>
      <c r="AA898" s="239"/>
      <c r="AB898" s="239"/>
      <c r="AC898" s="239"/>
      <c r="AD898" s="239"/>
      <c r="AE898" s="239"/>
      <c r="AF898" s="239"/>
      <c r="AG898" s="239"/>
      <c r="AH898" s="239"/>
      <c r="AI898" s="239"/>
      <c r="AJ898" s="239"/>
    </row>
    <row r="899">
      <c r="A899" s="239"/>
      <c r="B899" s="239"/>
      <c r="C899" s="239"/>
      <c r="D899" s="239"/>
      <c r="E899" s="239"/>
      <c r="F899" s="283"/>
      <c r="G899" s="239"/>
      <c r="H899" s="239"/>
      <c r="I899" s="239"/>
      <c r="J899" s="239"/>
      <c r="K899" s="239"/>
      <c r="L899" s="239"/>
      <c r="M899" s="239"/>
      <c r="N899" s="239"/>
      <c r="O899" s="239"/>
      <c r="P899" s="246"/>
      <c r="Q899" s="239"/>
      <c r="R899" s="239"/>
      <c r="S899" s="239"/>
      <c r="T899" s="239"/>
      <c r="U899" s="239"/>
      <c r="V899" s="239"/>
      <c r="W899" s="246"/>
      <c r="X899" s="239"/>
      <c r="Y899" s="239"/>
      <c r="Z899" s="239"/>
      <c r="AA899" s="239"/>
      <c r="AB899" s="239"/>
      <c r="AC899" s="239"/>
      <c r="AD899" s="239"/>
      <c r="AE899" s="239"/>
      <c r="AF899" s="239"/>
      <c r="AG899" s="239"/>
      <c r="AH899" s="239"/>
      <c r="AI899" s="239"/>
      <c r="AJ899" s="239"/>
    </row>
    <row r="900">
      <c r="A900" s="239"/>
      <c r="B900" s="239"/>
      <c r="C900" s="239"/>
      <c r="D900" s="239"/>
      <c r="E900" s="239"/>
      <c r="F900" s="283"/>
      <c r="G900" s="239"/>
      <c r="H900" s="239"/>
      <c r="I900" s="239"/>
      <c r="J900" s="239"/>
      <c r="K900" s="239"/>
      <c r="L900" s="239"/>
      <c r="M900" s="239"/>
      <c r="N900" s="239"/>
      <c r="O900" s="239"/>
      <c r="P900" s="246"/>
      <c r="Q900" s="239"/>
      <c r="R900" s="239"/>
      <c r="S900" s="239"/>
      <c r="T900" s="239"/>
      <c r="U900" s="239"/>
      <c r="V900" s="239"/>
      <c r="W900" s="246"/>
      <c r="X900" s="239"/>
      <c r="Y900" s="239"/>
      <c r="Z900" s="239"/>
      <c r="AA900" s="239"/>
      <c r="AB900" s="239"/>
      <c r="AC900" s="239"/>
      <c r="AD900" s="239"/>
      <c r="AE900" s="239"/>
      <c r="AF900" s="239"/>
      <c r="AG900" s="239"/>
      <c r="AH900" s="239"/>
      <c r="AI900" s="239"/>
      <c r="AJ900" s="239"/>
    </row>
    <row r="901">
      <c r="A901" s="239"/>
      <c r="B901" s="239"/>
      <c r="C901" s="239"/>
      <c r="D901" s="239"/>
      <c r="E901" s="239"/>
      <c r="F901" s="283"/>
      <c r="G901" s="239"/>
      <c r="H901" s="239"/>
      <c r="I901" s="239"/>
      <c r="J901" s="239"/>
      <c r="K901" s="239"/>
      <c r="L901" s="239"/>
      <c r="M901" s="239"/>
      <c r="N901" s="239"/>
      <c r="O901" s="239"/>
      <c r="P901" s="246"/>
      <c r="Q901" s="239"/>
      <c r="R901" s="239"/>
      <c r="S901" s="239"/>
      <c r="T901" s="239"/>
      <c r="U901" s="239"/>
      <c r="V901" s="239"/>
      <c r="W901" s="246"/>
      <c r="X901" s="239"/>
      <c r="Y901" s="239"/>
      <c r="Z901" s="239"/>
      <c r="AA901" s="239"/>
      <c r="AB901" s="239"/>
      <c r="AC901" s="239"/>
      <c r="AD901" s="239"/>
      <c r="AE901" s="239"/>
      <c r="AF901" s="239"/>
      <c r="AG901" s="239"/>
      <c r="AH901" s="239"/>
      <c r="AI901" s="239"/>
      <c r="AJ901" s="239"/>
    </row>
    <row r="902">
      <c r="A902" s="239"/>
      <c r="B902" s="239"/>
      <c r="C902" s="239"/>
      <c r="D902" s="239"/>
      <c r="E902" s="239"/>
      <c r="F902" s="283"/>
      <c r="G902" s="239"/>
      <c r="H902" s="239"/>
      <c r="I902" s="239"/>
      <c r="J902" s="239"/>
      <c r="K902" s="239"/>
      <c r="L902" s="239"/>
      <c r="M902" s="239"/>
      <c r="N902" s="239"/>
      <c r="O902" s="239"/>
      <c r="P902" s="246"/>
      <c r="Q902" s="239"/>
      <c r="R902" s="239"/>
      <c r="S902" s="239"/>
      <c r="T902" s="239"/>
      <c r="U902" s="239"/>
      <c r="V902" s="239"/>
      <c r="W902" s="246"/>
      <c r="X902" s="239"/>
      <c r="Y902" s="239"/>
      <c r="Z902" s="239"/>
      <c r="AA902" s="239"/>
      <c r="AB902" s="239"/>
      <c r="AC902" s="239"/>
      <c r="AD902" s="239"/>
      <c r="AE902" s="239"/>
      <c r="AF902" s="239"/>
      <c r="AG902" s="239"/>
      <c r="AH902" s="239"/>
      <c r="AI902" s="239"/>
      <c r="AJ902" s="239"/>
    </row>
    <row r="903">
      <c r="A903" s="239"/>
      <c r="B903" s="239"/>
      <c r="C903" s="239"/>
      <c r="D903" s="239"/>
      <c r="E903" s="239"/>
      <c r="F903" s="283"/>
      <c r="G903" s="239"/>
      <c r="H903" s="239"/>
      <c r="I903" s="239"/>
      <c r="J903" s="239"/>
      <c r="K903" s="239"/>
      <c r="L903" s="239"/>
      <c r="M903" s="239"/>
      <c r="N903" s="239"/>
      <c r="O903" s="239"/>
      <c r="P903" s="246"/>
      <c r="Q903" s="239"/>
      <c r="R903" s="239"/>
      <c r="S903" s="239"/>
      <c r="T903" s="239"/>
      <c r="U903" s="239"/>
      <c r="V903" s="239"/>
      <c r="W903" s="246"/>
      <c r="X903" s="239"/>
      <c r="Y903" s="239"/>
      <c r="Z903" s="239"/>
      <c r="AA903" s="239"/>
      <c r="AB903" s="239"/>
      <c r="AC903" s="239"/>
      <c r="AD903" s="239"/>
      <c r="AE903" s="239"/>
      <c r="AF903" s="239"/>
      <c r="AG903" s="239"/>
      <c r="AH903" s="239"/>
      <c r="AI903" s="239"/>
      <c r="AJ903" s="239"/>
    </row>
    <row r="904">
      <c r="A904" s="239"/>
      <c r="B904" s="239"/>
      <c r="C904" s="239"/>
      <c r="D904" s="239"/>
      <c r="E904" s="239"/>
      <c r="F904" s="283"/>
      <c r="G904" s="239"/>
      <c r="H904" s="239"/>
      <c r="I904" s="239"/>
      <c r="J904" s="239"/>
      <c r="K904" s="239"/>
      <c r="L904" s="239"/>
      <c r="M904" s="239"/>
      <c r="N904" s="239"/>
      <c r="O904" s="239"/>
      <c r="P904" s="246"/>
      <c r="Q904" s="239"/>
      <c r="R904" s="239"/>
      <c r="S904" s="239"/>
      <c r="T904" s="239"/>
      <c r="U904" s="239"/>
      <c r="V904" s="239"/>
      <c r="W904" s="246"/>
      <c r="X904" s="239"/>
      <c r="Y904" s="239"/>
      <c r="Z904" s="239"/>
      <c r="AA904" s="239"/>
      <c r="AB904" s="239"/>
      <c r="AC904" s="239"/>
      <c r="AD904" s="239"/>
      <c r="AE904" s="239"/>
      <c r="AF904" s="239"/>
      <c r="AG904" s="239"/>
      <c r="AH904" s="239"/>
      <c r="AI904" s="239"/>
      <c r="AJ904" s="239"/>
    </row>
    <row r="905">
      <c r="A905" s="239"/>
      <c r="B905" s="239"/>
      <c r="C905" s="239"/>
      <c r="D905" s="239"/>
      <c r="E905" s="239"/>
      <c r="F905" s="283"/>
      <c r="G905" s="239"/>
      <c r="H905" s="239"/>
      <c r="I905" s="239"/>
      <c r="J905" s="239"/>
      <c r="K905" s="239"/>
      <c r="L905" s="239"/>
      <c r="M905" s="239"/>
      <c r="N905" s="239"/>
      <c r="O905" s="239"/>
      <c r="P905" s="246"/>
      <c r="Q905" s="239"/>
      <c r="R905" s="239"/>
      <c r="S905" s="239"/>
      <c r="T905" s="239"/>
      <c r="U905" s="239"/>
      <c r="V905" s="239"/>
      <c r="W905" s="246"/>
      <c r="X905" s="239"/>
      <c r="Y905" s="239"/>
      <c r="Z905" s="239"/>
      <c r="AA905" s="239"/>
      <c r="AB905" s="239"/>
      <c r="AC905" s="239"/>
      <c r="AD905" s="239"/>
      <c r="AE905" s="239"/>
      <c r="AF905" s="239"/>
      <c r="AG905" s="239"/>
      <c r="AH905" s="239"/>
      <c r="AI905" s="239"/>
      <c r="AJ905" s="239"/>
    </row>
    <row r="906">
      <c r="A906" s="239"/>
      <c r="B906" s="239"/>
      <c r="C906" s="239"/>
      <c r="D906" s="239"/>
      <c r="E906" s="239"/>
      <c r="F906" s="283"/>
      <c r="G906" s="239"/>
      <c r="H906" s="239"/>
      <c r="I906" s="239"/>
      <c r="J906" s="239"/>
      <c r="K906" s="239"/>
      <c r="L906" s="239"/>
      <c r="M906" s="239"/>
      <c r="N906" s="239"/>
      <c r="O906" s="239"/>
      <c r="P906" s="246"/>
      <c r="Q906" s="239"/>
      <c r="R906" s="239"/>
      <c r="S906" s="239"/>
      <c r="T906" s="239"/>
      <c r="U906" s="239"/>
      <c r="V906" s="239"/>
      <c r="W906" s="246"/>
      <c r="X906" s="239"/>
      <c r="Y906" s="239"/>
      <c r="Z906" s="239"/>
      <c r="AA906" s="239"/>
      <c r="AB906" s="239"/>
      <c r="AC906" s="239"/>
      <c r="AD906" s="239"/>
      <c r="AE906" s="239"/>
      <c r="AF906" s="239"/>
      <c r="AG906" s="239"/>
      <c r="AH906" s="239"/>
      <c r="AI906" s="239"/>
      <c r="AJ906" s="239"/>
    </row>
    <row r="907">
      <c r="A907" s="239"/>
      <c r="B907" s="239"/>
      <c r="C907" s="239"/>
      <c r="D907" s="239"/>
      <c r="E907" s="239"/>
      <c r="F907" s="283"/>
      <c r="G907" s="239"/>
      <c r="H907" s="239"/>
      <c r="I907" s="239"/>
      <c r="J907" s="239"/>
      <c r="K907" s="239"/>
      <c r="L907" s="239"/>
      <c r="M907" s="239"/>
      <c r="N907" s="239"/>
      <c r="O907" s="239"/>
      <c r="P907" s="246"/>
      <c r="Q907" s="239"/>
      <c r="R907" s="239"/>
      <c r="S907" s="239"/>
      <c r="T907" s="239"/>
      <c r="U907" s="239"/>
      <c r="V907" s="239"/>
      <c r="W907" s="246"/>
      <c r="X907" s="239"/>
      <c r="Y907" s="239"/>
      <c r="Z907" s="239"/>
      <c r="AA907" s="239"/>
      <c r="AB907" s="239"/>
      <c r="AC907" s="239"/>
      <c r="AD907" s="239"/>
      <c r="AE907" s="239"/>
      <c r="AF907" s="239"/>
      <c r="AG907" s="239"/>
      <c r="AH907" s="239"/>
      <c r="AI907" s="239"/>
      <c r="AJ907" s="239"/>
    </row>
    <row r="908">
      <c r="A908" s="239"/>
      <c r="B908" s="239"/>
      <c r="C908" s="239"/>
      <c r="D908" s="239"/>
      <c r="E908" s="239"/>
      <c r="F908" s="283"/>
      <c r="G908" s="239"/>
      <c r="H908" s="239"/>
      <c r="I908" s="239"/>
      <c r="J908" s="239"/>
      <c r="K908" s="239"/>
      <c r="L908" s="239"/>
      <c r="M908" s="239"/>
      <c r="N908" s="239"/>
      <c r="O908" s="239"/>
      <c r="P908" s="246"/>
      <c r="Q908" s="239"/>
      <c r="R908" s="239"/>
      <c r="S908" s="239"/>
      <c r="T908" s="239"/>
      <c r="U908" s="239"/>
      <c r="V908" s="239"/>
      <c r="W908" s="246"/>
      <c r="X908" s="239"/>
      <c r="Y908" s="239"/>
      <c r="Z908" s="239"/>
      <c r="AA908" s="239"/>
      <c r="AB908" s="239"/>
      <c r="AC908" s="239"/>
      <c r="AD908" s="239"/>
      <c r="AE908" s="239"/>
      <c r="AF908" s="239"/>
      <c r="AG908" s="239"/>
      <c r="AH908" s="239"/>
      <c r="AI908" s="239"/>
      <c r="AJ908" s="239"/>
    </row>
    <row r="909">
      <c r="A909" s="239"/>
      <c r="B909" s="239"/>
      <c r="C909" s="239"/>
      <c r="D909" s="239"/>
      <c r="E909" s="239"/>
      <c r="F909" s="283"/>
      <c r="G909" s="239"/>
      <c r="H909" s="239"/>
      <c r="I909" s="239"/>
      <c r="J909" s="239"/>
      <c r="K909" s="239"/>
      <c r="L909" s="239"/>
      <c r="M909" s="239"/>
      <c r="N909" s="239"/>
      <c r="O909" s="239"/>
      <c r="P909" s="246"/>
      <c r="Q909" s="239"/>
      <c r="R909" s="239"/>
      <c r="S909" s="239"/>
      <c r="T909" s="239"/>
      <c r="U909" s="239"/>
      <c r="V909" s="239"/>
      <c r="W909" s="246"/>
      <c r="X909" s="239"/>
      <c r="Y909" s="239"/>
      <c r="Z909" s="239"/>
      <c r="AA909" s="239"/>
      <c r="AB909" s="239"/>
      <c r="AC909" s="239"/>
      <c r="AD909" s="239"/>
      <c r="AE909" s="239"/>
      <c r="AF909" s="239"/>
      <c r="AG909" s="239"/>
      <c r="AH909" s="239"/>
      <c r="AI909" s="239"/>
      <c r="AJ909" s="239"/>
    </row>
    <row r="910">
      <c r="A910" s="239"/>
      <c r="B910" s="239"/>
      <c r="C910" s="239"/>
      <c r="D910" s="239"/>
      <c r="E910" s="239"/>
      <c r="F910" s="283"/>
      <c r="G910" s="239"/>
      <c r="H910" s="239"/>
      <c r="I910" s="239"/>
      <c r="J910" s="239"/>
      <c r="K910" s="239"/>
      <c r="L910" s="239"/>
      <c r="M910" s="239"/>
      <c r="N910" s="239"/>
      <c r="O910" s="239"/>
      <c r="P910" s="246"/>
      <c r="Q910" s="239"/>
      <c r="R910" s="239"/>
      <c r="S910" s="239"/>
      <c r="T910" s="239"/>
      <c r="U910" s="239"/>
      <c r="V910" s="239"/>
      <c r="W910" s="246"/>
      <c r="X910" s="239"/>
      <c r="Y910" s="239"/>
      <c r="Z910" s="239"/>
      <c r="AA910" s="239"/>
      <c r="AB910" s="239"/>
      <c r="AC910" s="239"/>
      <c r="AD910" s="239"/>
      <c r="AE910" s="239"/>
      <c r="AF910" s="239"/>
      <c r="AG910" s="239"/>
      <c r="AH910" s="239"/>
      <c r="AI910" s="239"/>
      <c r="AJ910" s="239"/>
    </row>
    <row r="911">
      <c r="A911" s="239"/>
      <c r="B911" s="239"/>
      <c r="C911" s="239"/>
      <c r="D911" s="239"/>
      <c r="E911" s="239"/>
      <c r="F911" s="283"/>
      <c r="G911" s="239"/>
      <c r="H911" s="239"/>
      <c r="I911" s="239"/>
      <c r="J911" s="239"/>
      <c r="K911" s="239"/>
      <c r="L911" s="239"/>
      <c r="M911" s="239"/>
      <c r="N911" s="239"/>
      <c r="O911" s="239"/>
      <c r="P911" s="246"/>
      <c r="Q911" s="239"/>
      <c r="R911" s="239"/>
      <c r="S911" s="239"/>
      <c r="T911" s="239"/>
      <c r="U911" s="239"/>
      <c r="V911" s="239"/>
      <c r="W911" s="246"/>
      <c r="X911" s="239"/>
      <c r="Y911" s="239"/>
      <c r="Z911" s="239"/>
      <c r="AA911" s="239"/>
      <c r="AB911" s="239"/>
      <c r="AC911" s="239"/>
      <c r="AD911" s="239"/>
      <c r="AE911" s="239"/>
      <c r="AF911" s="239"/>
      <c r="AG911" s="239"/>
      <c r="AH911" s="239"/>
      <c r="AI911" s="239"/>
      <c r="AJ911" s="239"/>
    </row>
    <row r="912">
      <c r="A912" s="239"/>
      <c r="B912" s="239"/>
      <c r="C912" s="239"/>
      <c r="D912" s="239"/>
      <c r="E912" s="239"/>
      <c r="F912" s="283"/>
      <c r="G912" s="239"/>
      <c r="H912" s="239"/>
      <c r="I912" s="239"/>
      <c r="J912" s="239"/>
      <c r="K912" s="239"/>
      <c r="L912" s="239"/>
      <c r="M912" s="239"/>
      <c r="N912" s="239"/>
      <c r="O912" s="239"/>
      <c r="P912" s="246"/>
      <c r="Q912" s="239"/>
      <c r="R912" s="239"/>
      <c r="S912" s="239"/>
      <c r="T912" s="239"/>
      <c r="U912" s="239"/>
      <c r="V912" s="239"/>
      <c r="W912" s="246"/>
      <c r="X912" s="239"/>
      <c r="Y912" s="239"/>
      <c r="Z912" s="239"/>
      <c r="AA912" s="239"/>
      <c r="AB912" s="239"/>
      <c r="AC912" s="239"/>
      <c r="AD912" s="239"/>
      <c r="AE912" s="239"/>
      <c r="AF912" s="239"/>
      <c r="AG912" s="239"/>
      <c r="AH912" s="239"/>
      <c r="AI912" s="239"/>
      <c r="AJ912" s="239"/>
    </row>
    <row r="913">
      <c r="A913" s="239"/>
      <c r="B913" s="239"/>
      <c r="C913" s="239"/>
      <c r="D913" s="239"/>
      <c r="E913" s="239"/>
      <c r="F913" s="283"/>
      <c r="G913" s="239"/>
      <c r="H913" s="239"/>
      <c r="I913" s="239"/>
      <c r="J913" s="239"/>
      <c r="K913" s="239"/>
      <c r="L913" s="239"/>
      <c r="M913" s="239"/>
      <c r="N913" s="239"/>
      <c r="O913" s="239"/>
      <c r="P913" s="246"/>
      <c r="Q913" s="239"/>
      <c r="R913" s="239"/>
      <c r="S913" s="239"/>
      <c r="T913" s="239"/>
      <c r="U913" s="239"/>
      <c r="V913" s="239"/>
      <c r="W913" s="246"/>
      <c r="X913" s="239"/>
      <c r="Y913" s="239"/>
      <c r="Z913" s="239"/>
      <c r="AA913" s="239"/>
      <c r="AB913" s="239"/>
      <c r="AC913" s="239"/>
      <c r="AD913" s="239"/>
      <c r="AE913" s="239"/>
      <c r="AF913" s="239"/>
      <c r="AG913" s="239"/>
      <c r="AH913" s="239"/>
      <c r="AI913" s="239"/>
      <c r="AJ913" s="239"/>
    </row>
    <row r="914">
      <c r="A914" s="239"/>
      <c r="B914" s="239"/>
      <c r="C914" s="239"/>
      <c r="D914" s="239"/>
      <c r="E914" s="239"/>
      <c r="F914" s="283"/>
      <c r="G914" s="239"/>
      <c r="H914" s="239"/>
      <c r="I914" s="239"/>
      <c r="J914" s="239"/>
      <c r="K914" s="239"/>
      <c r="L914" s="239"/>
      <c r="M914" s="239"/>
      <c r="N914" s="239"/>
      <c r="O914" s="239"/>
      <c r="P914" s="246"/>
      <c r="Q914" s="239"/>
      <c r="R914" s="239"/>
      <c r="S914" s="239"/>
      <c r="T914" s="239"/>
      <c r="U914" s="239"/>
      <c r="V914" s="239"/>
      <c r="W914" s="246"/>
      <c r="X914" s="239"/>
      <c r="Y914" s="239"/>
      <c r="Z914" s="239"/>
      <c r="AA914" s="239"/>
      <c r="AB914" s="239"/>
      <c r="AC914" s="239"/>
      <c r="AD914" s="239"/>
      <c r="AE914" s="239"/>
      <c r="AF914" s="239"/>
      <c r="AG914" s="239"/>
      <c r="AH914" s="239"/>
      <c r="AI914" s="239"/>
      <c r="AJ914" s="239"/>
    </row>
    <row r="915">
      <c r="A915" s="239"/>
      <c r="B915" s="239"/>
      <c r="C915" s="239"/>
      <c r="D915" s="239"/>
      <c r="E915" s="239"/>
      <c r="F915" s="283"/>
      <c r="G915" s="239"/>
      <c r="H915" s="239"/>
      <c r="I915" s="239"/>
      <c r="J915" s="239"/>
      <c r="K915" s="239"/>
      <c r="L915" s="239"/>
      <c r="M915" s="239"/>
      <c r="N915" s="239"/>
      <c r="O915" s="239"/>
      <c r="P915" s="246"/>
      <c r="Q915" s="239"/>
      <c r="R915" s="239"/>
      <c r="S915" s="239"/>
      <c r="T915" s="239"/>
      <c r="U915" s="239"/>
      <c r="V915" s="239"/>
      <c r="W915" s="246"/>
      <c r="X915" s="239"/>
      <c r="Y915" s="239"/>
      <c r="Z915" s="239"/>
      <c r="AA915" s="239"/>
      <c r="AB915" s="239"/>
      <c r="AC915" s="239"/>
      <c r="AD915" s="239"/>
      <c r="AE915" s="239"/>
      <c r="AF915" s="239"/>
      <c r="AG915" s="239"/>
      <c r="AH915" s="239"/>
      <c r="AI915" s="239"/>
      <c r="AJ915" s="239"/>
    </row>
    <row r="916">
      <c r="A916" s="239"/>
      <c r="B916" s="239"/>
      <c r="C916" s="239"/>
      <c r="D916" s="239"/>
      <c r="E916" s="239"/>
      <c r="F916" s="283"/>
      <c r="G916" s="239"/>
      <c r="H916" s="239"/>
      <c r="I916" s="239"/>
      <c r="J916" s="239"/>
      <c r="K916" s="239"/>
      <c r="L916" s="239"/>
      <c r="M916" s="239"/>
      <c r="N916" s="239"/>
      <c r="O916" s="239"/>
      <c r="P916" s="246"/>
      <c r="Q916" s="239"/>
      <c r="R916" s="239"/>
      <c r="S916" s="239"/>
      <c r="T916" s="239"/>
      <c r="U916" s="239"/>
      <c r="V916" s="239"/>
      <c r="W916" s="246"/>
      <c r="X916" s="239"/>
      <c r="Y916" s="239"/>
      <c r="Z916" s="239"/>
      <c r="AA916" s="239"/>
      <c r="AB916" s="239"/>
      <c r="AC916" s="239"/>
      <c r="AD916" s="239"/>
      <c r="AE916" s="239"/>
      <c r="AF916" s="239"/>
      <c r="AG916" s="239"/>
      <c r="AH916" s="239"/>
      <c r="AI916" s="239"/>
      <c r="AJ916" s="239"/>
    </row>
    <row r="917">
      <c r="A917" s="239"/>
      <c r="B917" s="239"/>
      <c r="C917" s="239"/>
      <c r="D917" s="239"/>
      <c r="E917" s="239"/>
      <c r="F917" s="283"/>
      <c r="G917" s="239"/>
      <c r="H917" s="239"/>
      <c r="I917" s="239"/>
      <c r="J917" s="239"/>
      <c r="K917" s="239"/>
      <c r="L917" s="239"/>
      <c r="M917" s="239"/>
      <c r="N917" s="239"/>
      <c r="O917" s="239"/>
      <c r="P917" s="246"/>
      <c r="Q917" s="239"/>
      <c r="R917" s="239"/>
      <c r="S917" s="239"/>
      <c r="T917" s="239"/>
      <c r="U917" s="239"/>
      <c r="V917" s="239"/>
      <c r="W917" s="246"/>
      <c r="X917" s="239"/>
      <c r="Y917" s="239"/>
      <c r="Z917" s="239"/>
      <c r="AA917" s="239"/>
      <c r="AB917" s="239"/>
      <c r="AC917" s="239"/>
      <c r="AD917" s="239"/>
      <c r="AE917" s="239"/>
      <c r="AF917" s="239"/>
      <c r="AG917" s="239"/>
      <c r="AH917" s="239"/>
      <c r="AI917" s="239"/>
      <c r="AJ917" s="239"/>
    </row>
    <row r="918">
      <c r="A918" s="239"/>
      <c r="B918" s="239"/>
      <c r="C918" s="239"/>
      <c r="D918" s="239"/>
      <c r="E918" s="239"/>
      <c r="F918" s="283"/>
      <c r="G918" s="239"/>
      <c r="H918" s="239"/>
      <c r="I918" s="239"/>
      <c r="J918" s="239"/>
      <c r="K918" s="239"/>
      <c r="L918" s="239"/>
      <c r="M918" s="239"/>
      <c r="N918" s="239"/>
      <c r="O918" s="239"/>
      <c r="P918" s="246"/>
      <c r="Q918" s="239"/>
      <c r="R918" s="239"/>
      <c r="S918" s="239"/>
      <c r="T918" s="239"/>
      <c r="U918" s="239"/>
      <c r="V918" s="239"/>
      <c r="W918" s="246"/>
      <c r="X918" s="239"/>
      <c r="Y918" s="239"/>
      <c r="Z918" s="239"/>
      <c r="AA918" s="239"/>
      <c r="AB918" s="239"/>
      <c r="AC918" s="239"/>
      <c r="AD918" s="239"/>
      <c r="AE918" s="239"/>
      <c r="AF918" s="239"/>
      <c r="AG918" s="239"/>
      <c r="AH918" s="239"/>
      <c r="AI918" s="239"/>
      <c r="AJ918" s="239"/>
    </row>
    <row r="919">
      <c r="A919" s="239"/>
      <c r="B919" s="239"/>
      <c r="C919" s="239"/>
      <c r="D919" s="239"/>
      <c r="E919" s="239"/>
      <c r="F919" s="283"/>
      <c r="G919" s="239"/>
      <c r="H919" s="239"/>
      <c r="I919" s="239"/>
      <c r="J919" s="239"/>
      <c r="K919" s="239"/>
      <c r="L919" s="239"/>
      <c r="M919" s="239"/>
      <c r="N919" s="239"/>
      <c r="O919" s="239"/>
      <c r="P919" s="246"/>
      <c r="Q919" s="239"/>
      <c r="R919" s="239"/>
      <c r="S919" s="239"/>
      <c r="T919" s="239"/>
      <c r="U919" s="239"/>
      <c r="V919" s="239"/>
      <c r="W919" s="246"/>
      <c r="X919" s="239"/>
      <c r="Y919" s="239"/>
      <c r="Z919" s="239"/>
      <c r="AA919" s="239"/>
      <c r="AB919" s="239"/>
      <c r="AC919" s="239"/>
      <c r="AD919" s="239"/>
      <c r="AE919" s="239"/>
      <c r="AF919" s="239"/>
      <c r="AG919" s="239"/>
      <c r="AH919" s="239"/>
      <c r="AI919" s="239"/>
      <c r="AJ919" s="239"/>
    </row>
    <row r="920">
      <c r="A920" s="239"/>
      <c r="B920" s="239"/>
      <c r="C920" s="239"/>
      <c r="D920" s="239"/>
      <c r="E920" s="239"/>
      <c r="F920" s="283"/>
      <c r="G920" s="239"/>
      <c r="H920" s="239"/>
      <c r="I920" s="239"/>
      <c r="J920" s="239"/>
      <c r="K920" s="239"/>
      <c r="L920" s="239"/>
      <c r="M920" s="239"/>
      <c r="N920" s="239"/>
      <c r="O920" s="239"/>
      <c r="P920" s="246"/>
      <c r="Q920" s="239"/>
      <c r="R920" s="239"/>
      <c r="S920" s="239"/>
      <c r="T920" s="239"/>
      <c r="U920" s="239"/>
      <c r="V920" s="239"/>
      <c r="W920" s="246"/>
      <c r="X920" s="239"/>
      <c r="Y920" s="239"/>
      <c r="Z920" s="239"/>
      <c r="AA920" s="239"/>
      <c r="AB920" s="239"/>
      <c r="AC920" s="239"/>
      <c r="AD920" s="239"/>
      <c r="AE920" s="239"/>
      <c r="AF920" s="239"/>
      <c r="AG920" s="239"/>
      <c r="AH920" s="239"/>
      <c r="AI920" s="239"/>
      <c r="AJ920" s="239"/>
    </row>
    <row r="921">
      <c r="A921" s="239"/>
      <c r="B921" s="239"/>
      <c r="C921" s="239"/>
      <c r="D921" s="239"/>
      <c r="E921" s="239"/>
      <c r="F921" s="283"/>
      <c r="G921" s="239"/>
      <c r="H921" s="239"/>
      <c r="I921" s="239"/>
      <c r="J921" s="239"/>
      <c r="K921" s="239"/>
      <c r="L921" s="239"/>
      <c r="M921" s="239"/>
      <c r="N921" s="239"/>
      <c r="O921" s="239"/>
      <c r="P921" s="246"/>
      <c r="Q921" s="239"/>
      <c r="R921" s="239"/>
      <c r="S921" s="239"/>
      <c r="T921" s="239"/>
      <c r="U921" s="239"/>
      <c r="V921" s="239"/>
      <c r="W921" s="246"/>
      <c r="X921" s="239"/>
      <c r="Y921" s="239"/>
      <c r="Z921" s="239"/>
      <c r="AA921" s="239"/>
      <c r="AB921" s="239"/>
      <c r="AC921" s="239"/>
      <c r="AD921" s="239"/>
      <c r="AE921" s="239"/>
      <c r="AF921" s="239"/>
      <c r="AG921" s="239"/>
      <c r="AH921" s="239"/>
      <c r="AI921" s="239"/>
      <c r="AJ921" s="239"/>
    </row>
    <row r="922">
      <c r="A922" s="239"/>
      <c r="B922" s="239"/>
      <c r="C922" s="239"/>
      <c r="D922" s="239"/>
      <c r="E922" s="239"/>
      <c r="F922" s="283"/>
      <c r="G922" s="239"/>
      <c r="H922" s="239"/>
      <c r="I922" s="239"/>
      <c r="J922" s="239"/>
      <c r="K922" s="239"/>
      <c r="L922" s="239"/>
      <c r="M922" s="239"/>
      <c r="N922" s="239"/>
      <c r="O922" s="239"/>
      <c r="P922" s="246"/>
      <c r="Q922" s="239"/>
      <c r="R922" s="239"/>
      <c r="S922" s="239"/>
      <c r="T922" s="239"/>
      <c r="U922" s="239"/>
      <c r="V922" s="239"/>
      <c r="W922" s="246"/>
      <c r="X922" s="239"/>
      <c r="Y922" s="239"/>
      <c r="Z922" s="239"/>
      <c r="AA922" s="239"/>
      <c r="AB922" s="239"/>
      <c r="AC922" s="239"/>
      <c r="AD922" s="239"/>
      <c r="AE922" s="239"/>
      <c r="AF922" s="239"/>
      <c r="AG922" s="239"/>
      <c r="AH922" s="239"/>
      <c r="AI922" s="239"/>
      <c r="AJ922" s="239"/>
    </row>
    <row r="923">
      <c r="A923" s="239"/>
      <c r="B923" s="239"/>
      <c r="C923" s="239"/>
      <c r="D923" s="239"/>
      <c r="E923" s="239"/>
      <c r="F923" s="283"/>
      <c r="G923" s="239"/>
      <c r="H923" s="239"/>
      <c r="I923" s="239"/>
      <c r="J923" s="239"/>
      <c r="K923" s="239"/>
      <c r="L923" s="239"/>
      <c r="M923" s="239"/>
      <c r="N923" s="239"/>
      <c r="O923" s="239"/>
      <c r="P923" s="246"/>
      <c r="Q923" s="239"/>
      <c r="R923" s="239"/>
      <c r="S923" s="239"/>
      <c r="T923" s="239"/>
      <c r="U923" s="239"/>
      <c r="V923" s="239"/>
      <c r="W923" s="246"/>
      <c r="X923" s="239"/>
      <c r="Y923" s="239"/>
      <c r="Z923" s="239"/>
      <c r="AA923" s="239"/>
      <c r="AB923" s="239"/>
      <c r="AC923" s="239"/>
      <c r="AD923" s="239"/>
      <c r="AE923" s="239"/>
      <c r="AF923" s="239"/>
      <c r="AG923" s="239"/>
      <c r="AH923" s="239"/>
      <c r="AI923" s="239"/>
      <c r="AJ923" s="239"/>
    </row>
    <row r="924">
      <c r="A924" s="239"/>
      <c r="B924" s="239"/>
      <c r="C924" s="239"/>
      <c r="D924" s="239"/>
      <c r="E924" s="239"/>
      <c r="F924" s="283"/>
      <c r="G924" s="239"/>
      <c r="H924" s="239"/>
      <c r="I924" s="239"/>
      <c r="J924" s="239"/>
      <c r="K924" s="239"/>
      <c r="L924" s="239"/>
      <c r="M924" s="239"/>
      <c r="N924" s="239"/>
      <c r="O924" s="239"/>
      <c r="P924" s="246"/>
      <c r="Q924" s="239"/>
      <c r="R924" s="239"/>
      <c r="S924" s="239"/>
      <c r="T924" s="239"/>
      <c r="U924" s="239"/>
      <c r="V924" s="239"/>
      <c r="W924" s="246"/>
      <c r="X924" s="239"/>
      <c r="Y924" s="239"/>
      <c r="Z924" s="239"/>
      <c r="AA924" s="239"/>
      <c r="AB924" s="239"/>
      <c r="AC924" s="239"/>
      <c r="AD924" s="239"/>
      <c r="AE924" s="239"/>
      <c r="AF924" s="239"/>
      <c r="AG924" s="239"/>
      <c r="AH924" s="239"/>
      <c r="AI924" s="239"/>
      <c r="AJ924" s="239"/>
    </row>
    <row r="925">
      <c r="A925" s="239"/>
      <c r="B925" s="239"/>
      <c r="C925" s="239"/>
      <c r="D925" s="239"/>
      <c r="E925" s="239"/>
      <c r="F925" s="283"/>
      <c r="G925" s="239"/>
      <c r="H925" s="239"/>
      <c r="I925" s="239"/>
      <c r="J925" s="239"/>
      <c r="K925" s="239"/>
      <c r="L925" s="239"/>
      <c r="M925" s="239"/>
      <c r="N925" s="239"/>
      <c r="O925" s="239"/>
      <c r="P925" s="246"/>
      <c r="Q925" s="239"/>
      <c r="R925" s="239"/>
      <c r="S925" s="239"/>
      <c r="T925" s="239"/>
      <c r="U925" s="239"/>
      <c r="V925" s="239"/>
      <c r="W925" s="246"/>
      <c r="X925" s="239"/>
      <c r="Y925" s="239"/>
      <c r="Z925" s="239"/>
      <c r="AA925" s="239"/>
      <c r="AB925" s="239"/>
      <c r="AC925" s="239"/>
      <c r="AD925" s="239"/>
      <c r="AE925" s="239"/>
      <c r="AF925" s="239"/>
      <c r="AG925" s="239"/>
      <c r="AH925" s="239"/>
      <c r="AI925" s="239"/>
      <c r="AJ925" s="239"/>
    </row>
    <row r="926">
      <c r="A926" s="239"/>
      <c r="B926" s="239"/>
      <c r="C926" s="239"/>
      <c r="D926" s="239"/>
      <c r="E926" s="239"/>
      <c r="F926" s="283"/>
      <c r="G926" s="239"/>
      <c r="H926" s="239"/>
      <c r="I926" s="239"/>
      <c r="J926" s="239"/>
      <c r="K926" s="239"/>
      <c r="L926" s="239"/>
      <c r="M926" s="239"/>
      <c r="N926" s="239"/>
      <c r="O926" s="239"/>
      <c r="P926" s="246"/>
      <c r="Q926" s="239"/>
      <c r="R926" s="239"/>
      <c r="S926" s="239"/>
      <c r="T926" s="239"/>
      <c r="U926" s="239"/>
      <c r="V926" s="239"/>
      <c r="W926" s="246"/>
      <c r="X926" s="239"/>
      <c r="Y926" s="239"/>
      <c r="Z926" s="239"/>
      <c r="AA926" s="239"/>
      <c r="AB926" s="239"/>
      <c r="AC926" s="239"/>
      <c r="AD926" s="239"/>
      <c r="AE926" s="239"/>
      <c r="AF926" s="239"/>
      <c r="AG926" s="239"/>
      <c r="AH926" s="239"/>
      <c r="AI926" s="239"/>
      <c r="AJ926" s="239"/>
    </row>
    <row r="927">
      <c r="A927" s="239"/>
      <c r="B927" s="239"/>
      <c r="C927" s="239"/>
      <c r="D927" s="239"/>
      <c r="E927" s="239"/>
      <c r="F927" s="283"/>
      <c r="G927" s="239"/>
      <c r="H927" s="239"/>
      <c r="I927" s="239"/>
      <c r="J927" s="239"/>
      <c r="K927" s="239"/>
      <c r="L927" s="239"/>
      <c r="M927" s="239"/>
      <c r="N927" s="239"/>
      <c r="O927" s="239"/>
      <c r="P927" s="246"/>
      <c r="Q927" s="239"/>
      <c r="R927" s="239"/>
      <c r="S927" s="239"/>
      <c r="T927" s="239"/>
      <c r="U927" s="239"/>
      <c r="V927" s="239"/>
      <c r="W927" s="246"/>
      <c r="X927" s="239"/>
      <c r="Y927" s="239"/>
      <c r="Z927" s="239"/>
      <c r="AA927" s="239"/>
      <c r="AB927" s="239"/>
      <c r="AC927" s="239"/>
      <c r="AD927" s="239"/>
      <c r="AE927" s="239"/>
      <c r="AF927" s="239"/>
      <c r="AG927" s="239"/>
      <c r="AH927" s="239"/>
      <c r="AI927" s="239"/>
      <c r="AJ927" s="239"/>
    </row>
    <row r="928">
      <c r="A928" s="239"/>
      <c r="B928" s="239"/>
      <c r="C928" s="239"/>
      <c r="D928" s="239"/>
      <c r="E928" s="239"/>
      <c r="F928" s="283"/>
      <c r="G928" s="239"/>
      <c r="H928" s="239"/>
      <c r="I928" s="239"/>
      <c r="J928" s="239"/>
      <c r="K928" s="239"/>
      <c r="L928" s="239"/>
      <c r="M928" s="239"/>
      <c r="N928" s="239"/>
      <c r="O928" s="239"/>
      <c r="P928" s="246"/>
      <c r="Q928" s="239"/>
      <c r="R928" s="239"/>
      <c r="S928" s="239"/>
      <c r="T928" s="239"/>
      <c r="U928" s="239"/>
      <c r="V928" s="239"/>
      <c r="W928" s="246"/>
      <c r="X928" s="239"/>
      <c r="Y928" s="239"/>
      <c r="Z928" s="239"/>
      <c r="AA928" s="239"/>
      <c r="AB928" s="239"/>
      <c r="AC928" s="239"/>
      <c r="AD928" s="239"/>
      <c r="AE928" s="239"/>
      <c r="AF928" s="239"/>
      <c r="AG928" s="239"/>
      <c r="AH928" s="239"/>
      <c r="AI928" s="239"/>
      <c r="AJ928" s="239"/>
    </row>
    <row r="929">
      <c r="A929" s="239"/>
      <c r="B929" s="239"/>
      <c r="C929" s="239"/>
      <c r="D929" s="239"/>
      <c r="E929" s="239"/>
      <c r="F929" s="283"/>
      <c r="G929" s="239"/>
      <c r="H929" s="239"/>
      <c r="I929" s="239"/>
      <c r="J929" s="239"/>
      <c r="K929" s="239"/>
      <c r="L929" s="239"/>
      <c r="M929" s="239"/>
      <c r="N929" s="239"/>
      <c r="O929" s="239"/>
      <c r="P929" s="246"/>
      <c r="Q929" s="239"/>
      <c r="R929" s="239"/>
      <c r="S929" s="239"/>
      <c r="T929" s="239"/>
      <c r="U929" s="239"/>
      <c r="V929" s="239"/>
      <c r="W929" s="246"/>
      <c r="X929" s="239"/>
      <c r="Y929" s="239"/>
      <c r="Z929" s="239"/>
      <c r="AA929" s="239"/>
      <c r="AB929" s="239"/>
      <c r="AC929" s="239"/>
      <c r="AD929" s="239"/>
      <c r="AE929" s="239"/>
      <c r="AF929" s="239"/>
      <c r="AG929" s="239"/>
      <c r="AH929" s="239"/>
      <c r="AI929" s="239"/>
      <c r="AJ929" s="239"/>
    </row>
    <row r="930">
      <c r="A930" s="239"/>
      <c r="B930" s="239"/>
      <c r="C930" s="239"/>
      <c r="D930" s="239"/>
      <c r="E930" s="239"/>
      <c r="F930" s="283"/>
      <c r="G930" s="239"/>
      <c r="H930" s="239"/>
      <c r="I930" s="239"/>
      <c r="J930" s="239"/>
      <c r="K930" s="239"/>
      <c r="L930" s="239"/>
      <c r="M930" s="239"/>
      <c r="N930" s="239"/>
      <c r="O930" s="239"/>
      <c r="P930" s="246"/>
      <c r="Q930" s="239"/>
      <c r="R930" s="239"/>
      <c r="S930" s="239"/>
      <c r="T930" s="239"/>
      <c r="U930" s="239"/>
      <c r="V930" s="239"/>
      <c r="W930" s="246"/>
      <c r="X930" s="239"/>
      <c r="Y930" s="239"/>
      <c r="Z930" s="239"/>
      <c r="AA930" s="239"/>
      <c r="AB930" s="239"/>
      <c r="AC930" s="239"/>
      <c r="AD930" s="239"/>
      <c r="AE930" s="239"/>
      <c r="AF930" s="239"/>
      <c r="AG930" s="239"/>
      <c r="AH930" s="239"/>
      <c r="AI930" s="239"/>
      <c r="AJ930" s="239"/>
    </row>
    <row r="931">
      <c r="A931" s="239"/>
      <c r="B931" s="239"/>
      <c r="C931" s="239"/>
      <c r="D931" s="239"/>
      <c r="E931" s="239"/>
      <c r="F931" s="283"/>
      <c r="G931" s="239"/>
      <c r="H931" s="239"/>
      <c r="I931" s="239"/>
      <c r="J931" s="239"/>
      <c r="K931" s="239"/>
      <c r="L931" s="239"/>
      <c r="M931" s="239"/>
      <c r="N931" s="239"/>
      <c r="O931" s="239"/>
      <c r="P931" s="246"/>
      <c r="Q931" s="239"/>
      <c r="R931" s="239"/>
      <c r="S931" s="239"/>
      <c r="T931" s="239"/>
      <c r="U931" s="239"/>
      <c r="V931" s="239"/>
      <c r="W931" s="246"/>
      <c r="X931" s="239"/>
      <c r="Y931" s="239"/>
      <c r="Z931" s="239"/>
      <c r="AA931" s="239"/>
      <c r="AB931" s="239"/>
      <c r="AC931" s="239"/>
      <c r="AD931" s="239"/>
      <c r="AE931" s="239"/>
      <c r="AF931" s="239"/>
      <c r="AG931" s="239"/>
      <c r="AH931" s="239"/>
      <c r="AI931" s="239"/>
      <c r="AJ931" s="239"/>
    </row>
    <row r="932">
      <c r="A932" s="239"/>
      <c r="B932" s="239"/>
      <c r="C932" s="239"/>
      <c r="D932" s="239"/>
      <c r="E932" s="239"/>
      <c r="F932" s="283"/>
      <c r="G932" s="239"/>
      <c r="H932" s="239"/>
      <c r="I932" s="239"/>
      <c r="J932" s="239"/>
      <c r="K932" s="239"/>
      <c r="L932" s="239"/>
      <c r="M932" s="239"/>
      <c r="N932" s="239"/>
      <c r="O932" s="239"/>
      <c r="P932" s="246"/>
      <c r="Q932" s="239"/>
      <c r="R932" s="239"/>
      <c r="S932" s="239"/>
      <c r="T932" s="239"/>
      <c r="U932" s="239"/>
      <c r="V932" s="239"/>
      <c r="W932" s="246"/>
      <c r="X932" s="239"/>
      <c r="Y932" s="239"/>
      <c r="Z932" s="239"/>
      <c r="AA932" s="239"/>
      <c r="AB932" s="239"/>
      <c r="AC932" s="239"/>
      <c r="AD932" s="239"/>
      <c r="AE932" s="239"/>
      <c r="AF932" s="239"/>
      <c r="AG932" s="239"/>
      <c r="AH932" s="239"/>
      <c r="AI932" s="239"/>
      <c r="AJ932" s="239"/>
    </row>
    <row r="933">
      <c r="A933" s="239"/>
      <c r="B933" s="239"/>
      <c r="C933" s="239"/>
      <c r="D933" s="239"/>
      <c r="E933" s="239"/>
      <c r="F933" s="283"/>
      <c r="G933" s="239"/>
      <c r="H933" s="239"/>
      <c r="I933" s="239"/>
      <c r="J933" s="239"/>
      <c r="K933" s="239"/>
      <c r="L933" s="239"/>
      <c r="M933" s="239"/>
      <c r="N933" s="239"/>
      <c r="O933" s="239"/>
      <c r="P933" s="246"/>
      <c r="Q933" s="239"/>
      <c r="R933" s="239"/>
      <c r="S933" s="239"/>
      <c r="T933" s="239"/>
      <c r="U933" s="239"/>
      <c r="V933" s="239"/>
      <c r="W933" s="246"/>
      <c r="X933" s="239"/>
      <c r="Y933" s="239"/>
      <c r="Z933" s="239"/>
      <c r="AA933" s="239"/>
      <c r="AB933" s="239"/>
      <c r="AC933" s="239"/>
      <c r="AD933" s="239"/>
      <c r="AE933" s="239"/>
      <c r="AF933" s="239"/>
      <c r="AG933" s="239"/>
      <c r="AH933" s="239"/>
      <c r="AI933" s="239"/>
      <c r="AJ933" s="239"/>
    </row>
    <row r="934">
      <c r="A934" s="239"/>
      <c r="B934" s="239"/>
      <c r="C934" s="239"/>
      <c r="D934" s="239"/>
      <c r="E934" s="239"/>
      <c r="F934" s="283"/>
      <c r="G934" s="239"/>
      <c r="H934" s="239"/>
      <c r="I934" s="239"/>
      <c r="J934" s="239"/>
      <c r="K934" s="239"/>
      <c r="L934" s="239"/>
      <c r="M934" s="239"/>
      <c r="N934" s="239"/>
      <c r="O934" s="239"/>
      <c r="P934" s="246"/>
      <c r="Q934" s="239"/>
      <c r="R934" s="239"/>
      <c r="S934" s="239"/>
      <c r="T934" s="239"/>
      <c r="U934" s="239"/>
      <c r="V934" s="239"/>
      <c r="W934" s="246"/>
      <c r="X934" s="239"/>
      <c r="Y934" s="239"/>
      <c r="Z934" s="239"/>
      <c r="AA934" s="239"/>
      <c r="AB934" s="239"/>
      <c r="AC934" s="239"/>
      <c r="AD934" s="239"/>
      <c r="AE934" s="239"/>
      <c r="AF934" s="239"/>
      <c r="AG934" s="239"/>
      <c r="AH934" s="239"/>
      <c r="AI934" s="239"/>
      <c r="AJ934" s="239"/>
    </row>
    <row r="935">
      <c r="A935" s="239"/>
      <c r="B935" s="239"/>
      <c r="C935" s="239"/>
      <c r="D935" s="239"/>
      <c r="E935" s="239"/>
      <c r="F935" s="283"/>
      <c r="G935" s="239"/>
      <c r="H935" s="239"/>
      <c r="I935" s="239"/>
      <c r="J935" s="239"/>
      <c r="K935" s="239"/>
      <c r="L935" s="239"/>
      <c r="M935" s="239"/>
      <c r="N935" s="239"/>
      <c r="O935" s="239"/>
      <c r="P935" s="246"/>
      <c r="Q935" s="239"/>
      <c r="R935" s="239"/>
      <c r="S935" s="239"/>
      <c r="T935" s="239"/>
      <c r="U935" s="239"/>
      <c r="V935" s="239"/>
      <c r="W935" s="246"/>
      <c r="X935" s="239"/>
      <c r="Y935" s="239"/>
      <c r="Z935" s="239"/>
      <c r="AA935" s="239"/>
      <c r="AB935" s="239"/>
      <c r="AC935" s="239"/>
      <c r="AD935" s="239"/>
      <c r="AE935" s="239"/>
      <c r="AF935" s="239"/>
      <c r="AG935" s="239"/>
      <c r="AH935" s="239"/>
      <c r="AI935" s="239"/>
      <c r="AJ935" s="239"/>
    </row>
    <row r="936">
      <c r="A936" s="239"/>
      <c r="B936" s="239"/>
      <c r="C936" s="239"/>
      <c r="D936" s="239"/>
      <c r="E936" s="239"/>
      <c r="F936" s="283"/>
      <c r="G936" s="239"/>
      <c r="H936" s="239"/>
      <c r="I936" s="239"/>
      <c r="J936" s="239"/>
      <c r="K936" s="239"/>
      <c r="L936" s="239"/>
      <c r="M936" s="239"/>
      <c r="N936" s="239"/>
      <c r="O936" s="239"/>
      <c r="P936" s="246"/>
      <c r="Q936" s="239"/>
      <c r="R936" s="239"/>
      <c r="S936" s="239"/>
      <c r="T936" s="239"/>
      <c r="U936" s="239"/>
      <c r="V936" s="239"/>
      <c r="W936" s="246"/>
      <c r="X936" s="239"/>
      <c r="Y936" s="239"/>
      <c r="Z936" s="239"/>
      <c r="AA936" s="239"/>
      <c r="AB936" s="239"/>
      <c r="AC936" s="239"/>
      <c r="AD936" s="239"/>
      <c r="AE936" s="239"/>
      <c r="AF936" s="239"/>
      <c r="AG936" s="239"/>
      <c r="AH936" s="239"/>
      <c r="AI936" s="239"/>
      <c r="AJ936" s="239"/>
    </row>
    <row r="937">
      <c r="A937" s="239"/>
      <c r="B937" s="239"/>
      <c r="C937" s="239"/>
      <c r="D937" s="239"/>
      <c r="E937" s="239"/>
      <c r="F937" s="283"/>
      <c r="G937" s="239"/>
      <c r="H937" s="239"/>
      <c r="I937" s="239"/>
      <c r="J937" s="239"/>
      <c r="K937" s="239"/>
      <c r="L937" s="239"/>
      <c r="M937" s="239"/>
      <c r="N937" s="239"/>
      <c r="O937" s="239"/>
      <c r="P937" s="246"/>
      <c r="Q937" s="239"/>
      <c r="R937" s="239"/>
      <c r="S937" s="239"/>
      <c r="T937" s="239"/>
      <c r="U937" s="239"/>
      <c r="V937" s="239"/>
      <c r="W937" s="246"/>
      <c r="X937" s="239"/>
      <c r="Y937" s="239"/>
      <c r="Z937" s="239"/>
      <c r="AA937" s="239"/>
      <c r="AB937" s="239"/>
      <c r="AC937" s="239"/>
      <c r="AD937" s="239"/>
      <c r="AE937" s="239"/>
      <c r="AF937" s="239"/>
      <c r="AG937" s="239"/>
      <c r="AH937" s="239"/>
      <c r="AI937" s="239"/>
      <c r="AJ937" s="239"/>
    </row>
    <row r="938">
      <c r="A938" s="239"/>
      <c r="B938" s="239"/>
      <c r="C938" s="239"/>
      <c r="D938" s="239"/>
      <c r="E938" s="239"/>
      <c r="F938" s="283"/>
      <c r="G938" s="239"/>
      <c r="H938" s="239"/>
      <c r="I938" s="239"/>
      <c r="J938" s="239"/>
      <c r="K938" s="239"/>
      <c r="L938" s="239"/>
      <c r="M938" s="239"/>
      <c r="N938" s="239"/>
      <c r="O938" s="239"/>
      <c r="P938" s="246"/>
      <c r="Q938" s="239"/>
      <c r="R938" s="239"/>
      <c r="S938" s="239"/>
      <c r="T938" s="239"/>
      <c r="U938" s="239"/>
      <c r="V938" s="239"/>
      <c r="W938" s="246"/>
      <c r="X938" s="239"/>
      <c r="Y938" s="239"/>
      <c r="Z938" s="239"/>
      <c r="AA938" s="239"/>
      <c r="AB938" s="239"/>
      <c r="AC938" s="239"/>
      <c r="AD938" s="239"/>
      <c r="AE938" s="239"/>
      <c r="AF938" s="239"/>
      <c r="AG938" s="239"/>
      <c r="AH938" s="239"/>
      <c r="AI938" s="239"/>
      <c r="AJ938" s="239"/>
    </row>
    <row r="939">
      <c r="A939" s="239"/>
      <c r="B939" s="239"/>
      <c r="C939" s="239"/>
      <c r="D939" s="239"/>
      <c r="E939" s="239"/>
      <c r="F939" s="283"/>
      <c r="G939" s="239"/>
      <c r="H939" s="239"/>
      <c r="I939" s="239"/>
      <c r="J939" s="239"/>
      <c r="K939" s="239"/>
      <c r="L939" s="239"/>
      <c r="M939" s="239"/>
      <c r="N939" s="239"/>
      <c r="O939" s="239"/>
      <c r="P939" s="246"/>
      <c r="Q939" s="239"/>
      <c r="R939" s="239"/>
      <c r="S939" s="239"/>
      <c r="T939" s="239"/>
      <c r="U939" s="239"/>
      <c r="V939" s="239"/>
      <c r="W939" s="246"/>
      <c r="X939" s="239"/>
      <c r="Y939" s="239"/>
      <c r="Z939" s="239"/>
      <c r="AA939" s="239"/>
      <c r="AB939" s="239"/>
      <c r="AC939" s="239"/>
      <c r="AD939" s="239"/>
      <c r="AE939" s="239"/>
      <c r="AF939" s="239"/>
      <c r="AG939" s="239"/>
      <c r="AH939" s="239"/>
      <c r="AI939" s="239"/>
      <c r="AJ939" s="239"/>
    </row>
    <row r="940">
      <c r="A940" s="239"/>
      <c r="B940" s="239"/>
      <c r="C940" s="239"/>
      <c r="D940" s="239"/>
      <c r="E940" s="239"/>
      <c r="F940" s="283"/>
      <c r="G940" s="239"/>
      <c r="H940" s="239"/>
      <c r="I940" s="239"/>
      <c r="J940" s="239"/>
      <c r="K940" s="239"/>
      <c r="L940" s="239"/>
      <c r="M940" s="239"/>
      <c r="N940" s="239"/>
      <c r="O940" s="239"/>
      <c r="P940" s="246"/>
      <c r="Q940" s="239"/>
      <c r="R940" s="239"/>
      <c r="S940" s="239"/>
      <c r="T940" s="239"/>
      <c r="U940" s="239"/>
      <c r="V940" s="239"/>
      <c r="W940" s="246"/>
      <c r="X940" s="239"/>
      <c r="Y940" s="239"/>
      <c r="Z940" s="239"/>
      <c r="AA940" s="239"/>
      <c r="AB940" s="239"/>
      <c r="AC940" s="239"/>
      <c r="AD940" s="239"/>
      <c r="AE940" s="239"/>
      <c r="AF940" s="239"/>
      <c r="AG940" s="239"/>
      <c r="AH940" s="239"/>
      <c r="AI940" s="239"/>
      <c r="AJ940" s="239"/>
    </row>
    <row r="941">
      <c r="A941" s="239"/>
      <c r="B941" s="239"/>
      <c r="C941" s="239"/>
      <c r="D941" s="239"/>
      <c r="E941" s="239"/>
      <c r="F941" s="283"/>
      <c r="G941" s="239"/>
      <c r="H941" s="239"/>
      <c r="I941" s="239"/>
      <c r="J941" s="239"/>
      <c r="K941" s="239"/>
      <c r="L941" s="239"/>
      <c r="M941" s="239"/>
      <c r="N941" s="239"/>
      <c r="O941" s="239"/>
      <c r="P941" s="246"/>
      <c r="Q941" s="239"/>
      <c r="R941" s="239"/>
      <c r="S941" s="239"/>
      <c r="T941" s="239"/>
      <c r="U941" s="239"/>
      <c r="V941" s="239"/>
      <c r="W941" s="246"/>
      <c r="X941" s="239"/>
      <c r="Y941" s="239"/>
      <c r="Z941" s="239"/>
      <c r="AA941" s="239"/>
      <c r="AB941" s="239"/>
      <c r="AC941" s="239"/>
      <c r="AD941" s="239"/>
      <c r="AE941" s="239"/>
      <c r="AF941" s="239"/>
      <c r="AG941" s="239"/>
      <c r="AH941" s="239"/>
      <c r="AI941" s="239"/>
      <c r="AJ941" s="239"/>
    </row>
    <row r="942">
      <c r="A942" s="239"/>
      <c r="B942" s="239"/>
      <c r="C942" s="239"/>
      <c r="D942" s="239"/>
      <c r="E942" s="239"/>
      <c r="F942" s="283"/>
      <c r="G942" s="239"/>
      <c r="H942" s="239"/>
      <c r="I942" s="239"/>
      <c r="J942" s="239"/>
      <c r="K942" s="239"/>
      <c r="L942" s="239"/>
      <c r="M942" s="239"/>
      <c r="N942" s="239"/>
      <c r="O942" s="239"/>
      <c r="P942" s="246"/>
      <c r="Q942" s="239"/>
      <c r="R942" s="239"/>
      <c r="S942" s="239"/>
      <c r="T942" s="239"/>
      <c r="U942" s="239"/>
      <c r="V942" s="239"/>
      <c r="W942" s="246"/>
      <c r="X942" s="239"/>
      <c r="Y942" s="239"/>
      <c r="Z942" s="239"/>
      <c r="AA942" s="239"/>
      <c r="AB942" s="239"/>
      <c r="AC942" s="239"/>
      <c r="AD942" s="239"/>
      <c r="AE942" s="239"/>
      <c r="AF942" s="239"/>
      <c r="AG942" s="239"/>
      <c r="AH942" s="239"/>
      <c r="AI942" s="239"/>
      <c r="AJ942" s="239"/>
    </row>
    <row r="943">
      <c r="A943" s="239"/>
      <c r="B943" s="239"/>
      <c r="C943" s="239"/>
      <c r="D943" s="239"/>
      <c r="E943" s="239"/>
      <c r="F943" s="283"/>
      <c r="G943" s="239"/>
      <c r="H943" s="239"/>
      <c r="I943" s="239"/>
      <c r="J943" s="239"/>
      <c r="K943" s="239"/>
      <c r="L943" s="239"/>
      <c r="M943" s="239"/>
      <c r="N943" s="239"/>
      <c r="O943" s="239"/>
      <c r="P943" s="246"/>
      <c r="Q943" s="239"/>
      <c r="R943" s="239"/>
      <c r="S943" s="239"/>
      <c r="T943" s="239"/>
      <c r="U943" s="239"/>
      <c r="V943" s="239"/>
      <c r="W943" s="246"/>
      <c r="X943" s="239"/>
      <c r="Y943" s="239"/>
      <c r="Z943" s="239"/>
      <c r="AA943" s="239"/>
      <c r="AB943" s="239"/>
      <c r="AC943" s="239"/>
      <c r="AD943" s="239"/>
      <c r="AE943" s="239"/>
      <c r="AF943" s="239"/>
      <c r="AG943" s="239"/>
      <c r="AH943" s="239"/>
      <c r="AI943" s="239"/>
      <c r="AJ943" s="239"/>
    </row>
    <row r="944">
      <c r="A944" s="239"/>
      <c r="B944" s="239"/>
      <c r="C944" s="239"/>
      <c r="D944" s="239"/>
      <c r="E944" s="239"/>
      <c r="F944" s="283"/>
      <c r="G944" s="239"/>
      <c r="H944" s="239"/>
      <c r="I944" s="239"/>
      <c r="J944" s="239"/>
      <c r="K944" s="239"/>
      <c r="L944" s="239"/>
      <c r="M944" s="239"/>
      <c r="N944" s="239"/>
      <c r="O944" s="239"/>
      <c r="P944" s="246"/>
      <c r="Q944" s="239"/>
      <c r="R944" s="239"/>
      <c r="S944" s="239"/>
      <c r="T944" s="239"/>
      <c r="U944" s="239"/>
      <c r="V944" s="239"/>
      <c r="W944" s="246"/>
      <c r="X944" s="239"/>
      <c r="Y944" s="239"/>
      <c r="Z944" s="239"/>
      <c r="AA944" s="239"/>
      <c r="AB944" s="239"/>
      <c r="AC944" s="239"/>
      <c r="AD944" s="239"/>
      <c r="AE944" s="239"/>
      <c r="AF944" s="239"/>
      <c r="AG944" s="239"/>
      <c r="AH944" s="239"/>
      <c r="AI944" s="239"/>
      <c r="AJ944" s="239"/>
    </row>
    <row r="945">
      <c r="A945" s="239"/>
      <c r="B945" s="239"/>
      <c r="C945" s="239"/>
      <c r="D945" s="239"/>
      <c r="E945" s="239"/>
      <c r="F945" s="283"/>
      <c r="G945" s="239"/>
      <c r="H945" s="239"/>
      <c r="I945" s="239"/>
      <c r="J945" s="239"/>
      <c r="K945" s="239"/>
      <c r="L945" s="239"/>
      <c r="M945" s="239"/>
      <c r="N945" s="239"/>
      <c r="O945" s="239"/>
      <c r="P945" s="246"/>
      <c r="Q945" s="239"/>
      <c r="R945" s="239"/>
      <c r="S945" s="239"/>
      <c r="T945" s="239"/>
      <c r="U945" s="239"/>
      <c r="V945" s="239"/>
      <c r="W945" s="246"/>
      <c r="X945" s="239"/>
      <c r="Y945" s="239"/>
      <c r="Z945" s="239"/>
      <c r="AA945" s="239"/>
      <c r="AB945" s="239"/>
      <c r="AC945" s="239"/>
      <c r="AD945" s="239"/>
      <c r="AE945" s="239"/>
      <c r="AF945" s="239"/>
      <c r="AG945" s="239"/>
      <c r="AH945" s="239"/>
      <c r="AI945" s="239"/>
      <c r="AJ945" s="239"/>
    </row>
    <row r="946">
      <c r="A946" s="239"/>
      <c r="B946" s="239"/>
      <c r="C946" s="239"/>
      <c r="D946" s="239"/>
      <c r="E946" s="239"/>
      <c r="F946" s="283"/>
      <c r="G946" s="239"/>
      <c r="H946" s="239"/>
      <c r="I946" s="239"/>
      <c r="J946" s="239"/>
      <c r="K946" s="239"/>
      <c r="L946" s="239"/>
      <c r="M946" s="239"/>
      <c r="N946" s="239"/>
      <c r="O946" s="239"/>
      <c r="P946" s="246"/>
      <c r="Q946" s="239"/>
      <c r="R946" s="239"/>
      <c r="S946" s="239"/>
      <c r="T946" s="239"/>
      <c r="U946" s="239"/>
      <c r="V946" s="239"/>
      <c r="W946" s="246"/>
      <c r="X946" s="239"/>
      <c r="Y946" s="239"/>
      <c r="Z946" s="239"/>
      <c r="AA946" s="239"/>
      <c r="AB946" s="239"/>
      <c r="AC946" s="239"/>
      <c r="AD946" s="239"/>
      <c r="AE946" s="239"/>
      <c r="AF946" s="239"/>
      <c r="AG946" s="239"/>
      <c r="AH946" s="239"/>
      <c r="AI946" s="239"/>
      <c r="AJ946" s="239"/>
    </row>
    <row r="947">
      <c r="A947" s="239"/>
      <c r="B947" s="239"/>
      <c r="C947" s="239"/>
      <c r="D947" s="239"/>
      <c r="E947" s="239"/>
      <c r="F947" s="283"/>
      <c r="G947" s="239"/>
      <c r="H947" s="239"/>
      <c r="I947" s="239"/>
      <c r="J947" s="239"/>
      <c r="K947" s="239"/>
      <c r="L947" s="239"/>
      <c r="M947" s="239"/>
      <c r="N947" s="239"/>
      <c r="O947" s="239"/>
      <c r="P947" s="246"/>
      <c r="Q947" s="239"/>
      <c r="R947" s="239"/>
      <c r="S947" s="239"/>
      <c r="T947" s="239"/>
      <c r="U947" s="239"/>
      <c r="V947" s="239"/>
      <c r="W947" s="246"/>
      <c r="X947" s="239"/>
      <c r="Y947" s="239"/>
      <c r="Z947" s="239"/>
      <c r="AA947" s="239"/>
      <c r="AB947" s="239"/>
      <c r="AC947" s="239"/>
      <c r="AD947" s="239"/>
      <c r="AE947" s="239"/>
      <c r="AF947" s="239"/>
      <c r="AG947" s="239"/>
      <c r="AH947" s="239"/>
      <c r="AI947" s="239"/>
      <c r="AJ947" s="239"/>
    </row>
    <row r="948">
      <c r="A948" s="239"/>
      <c r="B948" s="239"/>
      <c r="C948" s="239"/>
      <c r="D948" s="239"/>
      <c r="E948" s="239"/>
      <c r="F948" s="283"/>
      <c r="G948" s="239"/>
      <c r="H948" s="239"/>
      <c r="I948" s="239"/>
      <c r="J948" s="239"/>
      <c r="K948" s="239"/>
      <c r="L948" s="239"/>
      <c r="M948" s="239"/>
      <c r="N948" s="239"/>
      <c r="O948" s="239"/>
      <c r="P948" s="246"/>
      <c r="Q948" s="239"/>
      <c r="R948" s="239"/>
      <c r="S948" s="239"/>
      <c r="T948" s="239"/>
      <c r="U948" s="239"/>
      <c r="V948" s="239"/>
      <c r="W948" s="246"/>
      <c r="X948" s="239"/>
      <c r="Y948" s="239"/>
      <c r="Z948" s="239"/>
      <c r="AA948" s="239"/>
      <c r="AB948" s="239"/>
      <c r="AC948" s="239"/>
      <c r="AD948" s="239"/>
      <c r="AE948" s="239"/>
      <c r="AF948" s="239"/>
      <c r="AG948" s="239"/>
      <c r="AH948" s="239"/>
      <c r="AI948" s="239"/>
      <c r="AJ948" s="239"/>
    </row>
    <row r="949">
      <c r="A949" s="239"/>
      <c r="B949" s="239"/>
      <c r="C949" s="239"/>
      <c r="D949" s="239"/>
      <c r="E949" s="239"/>
      <c r="F949" s="283"/>
      <c r="G949" s="239"/>
      <c r="H949" s="239"/>
      <c r="I949" s="239"/>
      <c r="J949" s="239"/>
      <c r="K949" s="239"/>
      <c r="L949" s="239"/>
      <c r="M949" s="239"/>
      <c r="N949" s="239"/>
      <c r="O949" s="239"/>
      <c r="P949" s="246"/>
      <c r="Q949" s="239"/>
      <c r="R949" s="239"/>
      <c r="S949" s="239"/>
      <c r="T949" s="239"/>
      <c r="U949" s="239"/>
      <c r="V949" s="239"/>
      <c r="W949" s="246"/>
      <c r="X949" s="239"/>
      <c r="Y949" s="239"/>
      <c r="Z949" s="239"/>
      <c r="AA949" s="239"/>
      <c r="AB949" s="239"/>
      <c r="AC949" s="239"/>
      <c r="AD949" s="239"/>
      <c r="AE949" s="239"/>
      <c r="AF949" s="239"/>
      <c r="AG949" s="239"/>
      <c r="AH949" s="239"/>
      <c r="AI949" s="239"/>
      <c r="AJ949" s="239"/>
    </row>
    <row r="950">
      <c r="A950" s="239"/>
      <c r="B950" s="239"/>
      <c r="C950" s="239"/>
      <c r="D950" s="239"/>
      <c r="E950" s="239"/>
      <c r="F950" s="283"/>
      <c r="G950" s="239"/>
      <c r="H950" s="239"/>
      <c r="I950" s="239"/>
      <c r="J950" s="239"/>
      <c r="K950" s="239"/>
      <c r="L950" s="239"/>
      <c r="M950" s="239"/>
      <c r="N950" s="239"/>
      <c r="O950" s="239"/>
      <c r="P950" s="246"/>
      <c r="Q950" s="239"/>
      <c r="R950" s="239"/>
      <c r="S950" s="239"/>
      <c r="T950" s="239"/>
      <c r="U950" s="239"/>
      <c r="V950" s="239"/>
      <c r="W950" s="246"/>
      <c r="X950" s="239"/>
      <c r="Y950" s="239"/>
      <c r="Z950" s="239"/>
      <c r="AA950" s="239"/>
      <c r="AB950" s="239"/>
      <c r="AC950" s="239"/>
      <c r="AD950" s="239"/>
      <c r="AE950" s="239"/>
      <c r="AF950" s="239"/>
      <c r="AG950" s="239"/>
      <c r="AH950" s="239"/>
      <c r="AI950" s="239"/>
      <c r="AJ950" s="239"/>
    </row>
    <row r="951">
      <c r="A951" s="239"/>
      <c r="B951" s="239"/>
      <c r="C951" s="239"/>
      <c r="D951" s="239"/>
      <c r="E951" s="239"/>
      <c r="F951" s="283"/>
      <c r="G951" s="239"/>
      <c r="H951" s="239"/>
      <c r="I951" s="239"/>
      <c r="J951" s="239"/>
      <c r="K951" s="239"/>
      <c r="L951" s="239"/>
      <c r="M951" s="239"/>
      <c r="N951" s="239"/>
      <c r="O951" s="239"/>
      <c r="P951" s="246"/>
      <c r="Q951" s="239"/>
      <c r="R951" s="239"/>
      <c r="S951" s="239"/>
      <c r="T951" s="239"/>
      <c r="U951" s="239"/>
      <c r="V951" s="239"/>
      <c r="W951" s="246"/>
      <c r="X951" s="239"/>
      <c r="Y951" s="239"/>
      <c r="Z951" s="239"/>
      <c r="AA951" s="239"/>
      <c r="AB951" s="239"/>
      <c r="AC951" s="239"/>
      <c r="AD951" s="239"/>
      <c r="AE951" s="239"/>
      <c r="AF951" s="239"/>
      <c r="AG951" s="239"/>
      <c r="AH951" s="239"/>
      <c r="AI951" s="239"/>
      <c r="AJ951" s="239"/>
    </row>
    <row r="952">
      <c r="A952" s="239"/>
      <c r="B952" s="239"/>
      <c r="C952" s="239"/>
      <c r="D952" s="239"/>
      <c r="E952" s="239"/>
      <c r="F952" s="283"/>
      <c r="G952" s="239"/>
      <c r="H952" s="239"/>
      <c r="I952" s="239"/>
      <c r="J952" s="239"/>
      <c r="K952" s="239"/>
      <c r="L952" s="239"/>
      <c r="M952" s="239"/>
      <c r="N952" s="239"/>
      <c r="O952" s="239"/>
      <c r="P952" s="246"/>
      <c r="Q952" s="239"/>
      <c r="R952" s="239"/>
      <c r="S952" s="239"/>
      <c r="T952" s="239"/>
      <c r="U952" s="239"/>
      <c r="V952" s="239"/>
      <c r="W952" s="246"/>
      <c r="X952" s="239"/>
      <c r="Y952" s="239"/>
      <c r="Z952" s="239"/>
      <c r="AA952" s="239"/>
      <c r="AB952" s="239"/>
      <c r="AC952" s="239"/>
      <c r="AD952" s="239"/>
      <c r="AE952" s="239"/>
      <c r="AF952" s="239"/>
      <c r="AG952" s="239"/>
      <c r="AH952" s="239"/>
      <c r="AI952" s="239"/>
      <c r="AJ952" s="239"/>
    </row>
    <row r="953">
      <c r="A953" s="239"/>
      <c r="B953" s="239"/>
      <c r="C953" s="239"/>
      <c r="D953" s="239"/>
      <c r="E953" s="239"/>
      <c r="F953" s="283"/>
      <c r="G953" s="239"/>
      <c r="H953" s="239"/>
      <c r="I953" s="239"/>
      <c r="J953" s="239"/>
      <c r="K953" s="239"/>
      <c r="L953" s="239"/>
      <c r="M953" s="239"/>
      <c r="N953" s="239"/>
      <c r="O953" s="239"/>
      <c r="P953" s="246"/>
      <c r="Q953" s="239"/>
      <c r="R953" s="239"/>
      <c r="S953" s="239"/>
      <c r="T953" s="239"/>
      <c r="U953" s="239"/>
      <c r="V953" s="239"/>
      <c r="W953" s="246"/>
      <c r="X953" s="239"/>
      <c r="Y953" s="239"/>
      <c r="Z953" s="239"/>
      <c r="AA953" s="239"/>
      <c r="AB953" s="239"/>
      <c r="AC953" s="239"/>
      <c r="AD953" s="239"/>
      <c r="AE953" s="239"/>
      <c r="AF953" s="239"/>
      <c r="AG953" s="239"/>
      <c r="AH953" s="239"/>
      <c r="AI953" s="239"/>
      <c r="AJ953" s="239"/>
    </row>
    <row r="954">
      <c r="A954" s="239"/>
      <c r="B954" s="239"/>
      <c r="C954" s="239"/>
      <c r="D954" s="239"/>
      <c r="E954" s="239"/>
      <c r="F954" s="283"/>
      <c r="G954" s="239"/>
      <c r="H954" s="239"/>
      <c r="I954" s="239"/>
      <c r="J954" s="239"/>
      <c r="K954" s="239"/>
      <c r="L954" s="239"/>
      <c r="M954" s="239"/>
      <c r="N954" s="239"/>
      <c r="O954" s="239"/>
      <c r="P954" s="246"/>
      <c r="Q954" s="239"/>
      <c r="R954" s="239"/>
      <c r="S954" s="239"/>
      <c r="T954" s="239"/>
      <c r="U954" s="239"/>
      <c r="V954" s="239"/>
      <c r="W954" s="246"/>
      <c r="X954" s="239"/>
      <c r="Y954" s="239"/>
      <c r="Z954" s="239"/>
      <c r="AA954" s="239"/>
      <c r="AB954" s="239"/>
      <c r="AC954" s="239"/>
      <c r="AD954" s="239"/>
      <c r="AE954" s="239"/>
      <c r="AF954" s="239"/>
      <c r="AG954" s="239"/>
      <c r="AH954" s="239"/>
      <c r="AI954" s="239"/>
      <c r="AJ954" s="239"/>
    </row>
    <row r="955">
      <c r="A955" s="239"/>
      <c r="B955" s="239"/>
      <c r="C955" s="239"/>
      <c r="D955" s="239"/>
      <c r="E955" s="239"/>
      <c r="F955" s="283"/>
      <c r="G955" s="239"/>
      <c r="H955" s="239"/>
      <c r="I955" s="239"/>
      <c r="J955" s="239"/>
      <c r="K955" s="239"/>
      <c r="L955" s="239"/>
      <c r="M955" s="239"/>
      <c r="N955" s="239"/>
      <c r="O955" s="239"/>
      <c r="P955" s="246"/>
      <c r="Q955" s="239"/>
      <c r="R955" s="239"/>
      <c r="S955" s="239"/>
      <c r="T955" s="239"/>
      <c r="U955" s="239"/>
      <c r="V955" s="239"/>
      <c r="W955" s="246"/>
      <c r="X955" s="239"/>
      <c r="Y955" s="239"/>
      <c r="Z955" s="239"/>
      <c r="AA955" s="239"/>
      <c r="AB955" s="239"/>
      <c r="AC955" s="239"/>
      <c r="AD955" s="239"/>
      <c r="AE955" s="239"/>
      <c r="AF955" s="239"/>
      <c r="AG955" s="239"/>
      <c r="AH955" s="239"/>
      <c r="AI955" s="239"/>
      <c r="AJ955" s="239"/>
    </row>
    <row r="956">
      <c r="A956" s="239"/>
      <c r="B956" s="239"/>
      <c r="C956" s="239"/>
      <c r="D956" s="239"/>
      <c r="E956" s="239"/>
      <c r="F956" s="283"/>
      <c r="G956" s="239"/>
      <c r="H956" s="239"/>
      <c r="I956" s="239"/>
      <c r="J956" s="239"/>
      <c r="K956" s="239"/>
      <c r="L956" s="239"/>
      <c r="M956" s="239"/>
      <c r="N956" s="239"/>
      <c r="O956" s="239"/>
      <c r="P956" s="246"/>
      <c r="Q956" s="239"/>
      <c r="R956" s="239"/>
      <c r="S956" s="239"/>
      <c r="T956" s="239"/>
      <c r="U956" s="239"/>
      <c r="V956" s="239"/>
      <c r="W956" s="246"/>
      <c r="X956" s="239"/>
      <c r="Y956" s="239"/>
      <c r="Z956" s="239"/>
      <c r="AA956" s="239"/>
      <c r="AB956" s="239"/>
      <c r="AC956" s="239"/>
      <c r="AD956" s="239"/>
      <c r="AE956" s="239"/>
      <c r="AF956" s="239"/>
      <c r="AG956" s="239"/>
      <c r="AH956" s="239"/>
      <c r="AI956" s="239"/>
      <c r="AJ956" s="239"/>
    </row>
    <row r="957">
      <c r="A957" s="239"/>
      <c r="B957" s="239"/>
      <c r="C957" s="239"/>
      <c r="D957" s="239"/>
      <c r="E957" s="239"/>
      <c r="F957" s="283"/>
      <c r="G957" s="239"/>
      <c r="H957" s="239"/>
      <c r="I957" s="239"/>
      <c r="J957" s="239"/>
      <c r="K957" s="239"/>
      <c r="L957" s="239"/>
      <c r="M957" s="239"/>
      <c r="N957" s="239"/>
      <c r="O957" s="239"/>
      <c r="P957" s="246"/>
      <c r="Q957" s="239"/>
      <c r="R957" s="239"/>
      <c r="S957" s="239"/>
      <c r="T957" s="239"/>
      <c r="U957" s="239"/>
      <c r="V957" s="239"/>
      <c r="W957" s="246"/>
      <c r="X957" s="239"/>
      <c r="Y957" s="239"/>
      <c r="Z957" s="239"/>
      <c r="AA957" s="239"/>
      <c r="AB957" s="239"/>
      <c r="AC957" s="239"/>
      <c r="AD957" s="239"/>
      <c r="AE957" s="239"/>
      <c r="AF957" s="239"/>
      <c r="AG957" s="239"/>
      <c r="AH957" s="239"/>
      <c r="AI957" s="239"/>
      <c r="AJ957" s="239"/>
    </row>
    <row r="958">
      <c r="A958" s="239"/>
      <c r="B958" s="239"/>
      <c r="C958" s="239"/>
      <c r="D958" s="239"/>
      <c r="E958" s="239"/>
      <c r="F958" s="283"/>
      <c r="G958" s="239"/>
      <c r="H958" s="239"/>
      <c r="I958" s="239"/>
      <c r="J958" s="239"/>
      <c r="K958" s="239"/>
      <c r="L958" s="239"/>
      <c r="M958" s="239"/>
      <c r="N958" s="239"/>
      <c r="O958" s="239"/>
      <c r="P958" s="246"/>
      <c r="Q958" s="239"/>
      <c r="R958" s="239"/>
      <c r="S958" s="239"/>
      <c r="T958" s="239"/>
      <c r="U958" s="239"/>
      <c r="V958" s="239"/>
      <c r="W958" s="246"/>
      <c r="X958" s="239"/>
      <c r="Y958" s="239"/>
      <c r="Z958" s="239"/>
      <c r="AA958" s="239"/>
      <c r="AB958" s="239"/>
      <c r="AC958" s="239"/>
      <c r="AD958" s="239"/>
      <c r="AE958" s="239"/>
      <c r="AF958" s="239"/>
      <c r="AG958" s="239"/>
      <c r="AH958" s="239"/>
      <c r="AI958" s="239"/>
      <c r="AJ958" s="239"/>
    </row>
    <row r="959">
      <c r="A959" s="239"/>
      <c r="B959" s="239"/>
      <c r="C959" s="239"/>
      <c r="D959" s="239"/>
      <c r="E959" s="239"/>
      <c r="F959" s="283"/>
      <c r="G959" s="239"/>
      <c r="H959" s="239"/>
      <c r="I959" s="239"/>
      <c r="J959" s="239"/>
      <c r="K959" s="239"/>
      <c r="L959" s="239"/>
      <c r="M959" s="239"/>
      <c r="N959" s="239"/>
      <c r="O959" s="239"/>
      <c r="P959" s="246"/>
      <c r="Q959" s="239"/>
      <c r="R959" s="239"/>
      <c r="S959" s="239"/>
      <c r="T959" s="239"/>
      <c r="U959" s="239"/>
      <c r="V959" s="239"/>
      <c r="W959" s="246"/>
      <c r="X959" s="239"/>
      <c r="Y959" s="239"/>
      <c r="Z959" s="239"/>
      <c r="AA959" s="239"/>
      <c r="AB959" s="239"/>
      <c r="AC959" s="239"/>
      <c r="AD959" s="239"/>
      <c r="AE959" s="239"/>
      <c r="AF959" s="239"/>
      <c r="AG959" s="239"/>
      <c r="AH959" s="239"/>
      <c r="AI959" s="239"/>
      <c r="AJ959" s="239"/>
    </row>
    <row r="960">
      <c r="A960" s="239"/>
      <c r="B960" s="239"/>
      <c r="C960" s="239"/>
      <c r="D960" s="239"/>
      <c r="E960" s="239"/>
      <c r="F960" s="283"/>
      <c r="G960" s="239"/>
      <c r="H960" s="239"/>
      <c r="I960" s="239"/>
      <c r="J960" s="239"/>
      <c r="K960" s="239"/>
      <c r="L960" s="239"/>
      <c r="M960" s="239"/>
      <c r="N960" s="239"/>
      <c r="O960" s="239"/>
      <c r="P960" s="246"/>
      <c r="Q960" s="239"/>
      <c r="R960" s="239"/>
      <c r="S960" s="239"/>
      <c r="T960" s="239"/>
      <c r="U960" s="239"/>
      <c r="V960" s="239"/>
      <c r="W960" s="246"/>
      <c r="X960" s="239"/>
      <c r="Y960" s="239"/>
      <c r="Z960" s="239"/>
      <c r="AA960" s="239"/>
      <c r="AB960" s="239"/>
      <c r="AC960" s="239"/>
      <c r="AD960" s="239"/>
      <c r="AE960" s="239"/>
      <c r="AF960" s="239"/>
      <c r="AG960" s="239"/>
      <c r="AH960" s="239"/>
      <c r="AI960" s="239"/>
      <c r="AJ960" s="239"/>
    </row>
    <row r="961">
      <c r="A961" s="239"/>
      <c r="B961" s="239"/>
      <c r="C961" s="239"/>
      <c r="D961" s="239"/>
      <c r="E961" s="239"/>
      <c r="F961" s="283"/>
      <c r="G961" s="239"/>
      <c r="H961" s="239"/>
      <c r="I961" s="239"/>
      <c r="J961" s="239"/>
      <c r="K961" s="239"/>
      <c r="L961" s="239"/>
      <c r="M961" s="239"/>
      <c r="N961" s="239"/>
      <c r="O961" s="239"/>
      <c r="P961" s="246"/>
      <c r="Q961" s="239"/>
      <c r="R961" s="239"/>
      <c r="S961" s="239"/>
      <c r="T961" s="239"/>
      <c r="U961" s="239"/>
      <c r="V961" s="239"/>
      <c r="W961" s="246"/>
      <c r="X961" s="239"/>
      <c r="Y961" s="239"/>
      <c r="Z961" s="239"/>
      <c r="AA961" s="239"/>
      <c r="AB961" s="239"/>
      <c r="AC961" s="239"/>
      <c r="AD961" s="239"/>
      <c r="AE961" s="239"/>
      <c r="AF961" s="239"/>
      <c r="AG961" s="239"/>
      <c r="AH961" s="239"/>
      <c r="AI961" s="239"/>
      <c r="AJ961" s="239"/>
    </row>
    <row r="962">
      <c r="A962" s="239"/>
      <c r="B962" s="239"/>
      <c r="C962" s="239"/>
      <c r="D962" s="239"/>
      <c r="E962" s="239"/>
      <c r="F962" s="283"/>
      <c r="G962" s="239"/>
      <c r="H962" s="239"/>
      <c r="I962" s="239"/>
      <c r="J962" s="239"/>
      <c r="K962" s="239"/>
      <c r="L962" s="239"/>
      <c r="M962" s="239"/>
      <c r="N962" s="239"/>
      <c r="O962" s="239"/>
      <c r="P962" s="246"/>
      <c r="Q962" s="239"/>
      <c r="R962" s="239"/>
      <c r="S962" s="239"/>
      <c r="T962" s="239"/>
      <c r="U962" s="239"/>
      <c r="V962" s="239"/>
      <c r="W962" s="246"/>
      <c r="X962" s="239"/>
      <c r="Y962" s="239"/>
      <c r="Z962" s="239"/>
      <c r="AA962" s="239"/>
      <c r="AB962" s="239"/>
      <c r="AC962" s="239"/>
      <c r="AD962" s="239"/>
      <c r="AE962" s="239"/>
      <c r="AF962" s="239"/>
      <c r="AG962" s="239"/>
      <c r="AH962" s="239"/>
      <c r="AI962" s="239"/>
      <c r="AJ962" s="239"/>
    </row>
    <row r="963">
      <c r="A963" s="239"/>
      <c r="B963" s="239"/>
      <c r="C963" s="239"/>
      <c r="D963" s="239"/>
      <c r="E963" s="239"/>
      <c r="F963" s="283"/>
      <c r="G963" s="239"/>
      <c r="H963" s="239"/>
      <c r="I963" s="239"/>
      <c r="J963" s="239"/>
      <c r="K963" s="239"/>
      <c r="L963" s="239"/>
      <c r="M963" s="239"/>
      <c r="N963" s="239"/>
      <c r="O963" s="239"/>
      <c r="P963" s="246"/>
      <c r="Q963" s="239"/>
      <c r="R963" s="239"/>
      <c r="S963" s="239"/>
      <c r="T963" s="239"/>
      <c r="U963" s="239"/>
      <c r="V963" s="239"/>
      <c r="W963" s="246"/>
      <c r="X963" s="239"/>
      <c r="Y963" s="239"/>
      <c r="Z963" s="239"/>
      <c r="AA963" s="239"/>
      <c r="AB963" s="239"/>
      <c r="AC963" s="239"/>
      <c r="AD963" s="239"/>
      <c r="AE963" s="239"/>
      <c r="AF963" s="239"/>
      <c r="AG963" s="239"/>
      <c r="AH963" s="239"/>
      <c r="AI963" s="239"/>
      <c r="AJ963" s="239"/>
    </row>
    <row r="964">
      <c r="A964" s="239"/>
      <c r="B964" s="239"/>
      <c r="C964" s="239"/>
      <c r="D964" s="239"/>
      <c r="E964" s="239"/>
      <c r="F964" s="283"/>
      <c r="G964" s="239"/>
      <c r="H964" s="239"/>
      <c r="I964" s="239"/>
      <c r="J964" s="239"/>
      <c r="K964" s="239"/>
      <c r="L964" s="239"/>
      <c r="M964" s="239"/>
      <c r="N964" s="239"/>
      <c r="O964" s="239"/>
      <c r="P964" s="246"/>
      <c r="Q964" s="239"/>
      <c r="R964" s="239"/>
      <c r="S964" s="239"/>
      <c r="T964" s="239"/>
      <c r="U964" s="239"/>
      <c r="V964" s="239"/>
      <c r="W964" s="246"/>
      <c r="X964" s="239"/>
      <c r="Y964" s="239"/>
      <c r="Z964" s="239"/>
      <c r="AA964" s="239"/>
      <c r="AB964" s="239"/>
      <c r="AC964" s="239"/>
      <c r="AD964" s="239"/>
      <c r="AE964" s="239"/>
      <c r="AF964" s="239"/>
      <c r="AG964" s="239"/>
      <c r="AH964" s="239"/>
      <c r="AI964" s="239"/>
      <c r="AJ964" s="239"/>
    </row>
    <row r="965">
      <c r="A965" s="239"/>
      <c r="B965" s="239"/>
      <c r="C965" s="239"/>
      <c r="D965" s="239"/>
      <c r="E965" s="239"/>
      <c r="F965" s="283"/>
      <c r="G965" s="239"/>
      <c r="H965" s="239"/>
      <c r="I965" s="239"/>
      <c r="J965" s="239"/>
      <c r="K965" s="239"/>
      <c r="L965" s="239"/>
      <c r="M965" s="239"/>
      <c r="N965" s="239"/>
      <c r="O965" s="239"/>
      <c r="P965" s="246"/>
      <c r="Q965" s="239"/>
      <c r="R965" s="239"/>
      <c r="S965" s="239"/>
      <c r="T965" s="239"/>
      <c r="U965" s="239"/>
      <c r="V965" s="239"/>
      <c r="W965" s="246"/>
      <c r="X965" s="239"/>
      <c r="Y965" s="239"/>
      <c r="Z965" s="239"/>
      <c r="AA965" s="239"/>
      <c r="AB965" s="239"/>
      <c r="AC965" s="239"/>
      <c r="AD965" s="239"/>
      <c r="AE965" s="239"/>
      <c r="AF965" s="239"/>
      <c r="AG965" s="239"/>
      <c r="AH965" s="239"/>
      <c r="AI965" s="239"/>
      <c r="AJ965" s="239"/>
    </row>
    <row r="966">
      <c r="A966" s="239"/>
      <c r="B966" s="239"/>
      <c r="C966" s="239"/>
      <c r="D966" s="239"/>
      <c r="E966" s="239"/>
      <c r="F966" s="283"/>
      <c r="G966" s="239"/>
      <c r="H966" s="239"/>
      <c r="I966" s="239"/>
      <c r="J966" s="239"/>
      <c r="K966" s="239"/>
      <c r="L966" s="239"/>
      <c r="M966" s="239"/>
      <c r="N966" s="239"/>
      <c r="O966" s="239"/>
      <c r="P966" s="246"/>
      <c r="Q966" s="239"/>
      <c r="R966" s="239"/>
      <c r="S966" s="239"/>
      <c r="T966" s="239"/>
      <c r="U966" s="239"/>
      <c r="V966" s="239"/>
      <c r="W966" s="246"/>
      <c r="X966" s="239"/>
      <c r="Y966" s="239"/>
      <c r="Z966" s="239"/>
      <c r="AA966" s="239"/>
      <c r="AB966" s="239"/>
      <c r="AC966" s="239"/>
      <c r="AD966" s="239"/>
      <c r="AE966" s="239"/>
      <c r="AF966" s="239"/>
      <c r="AG966" s="239"/>
      <c r="AH966" s="239"/>
      <c r="AI966" s="239"/>
      <c r="AJ966" s="239"/>
    </row>
    <row r="967">
      <c r="A967" s="239"/>
      <c r="B967" s="239"/>
      <c r="C967" s="239"/>
      <c r="D967" s="239"/>
      <c r="E967" s="239"/>
      <c r="F967" s="283"/>
      <c r="G967" s="239"/>
      <c r="H967" s="239"/>
      <c r="I967" s="239"/>
      <c r="J967" s="239"/>
      <c r="K967" s="239"/>
      <c r="L967" s="239"/>
      <c r="M967" s="239"/>
      <c r="N967" s="239"/>
      <c r="O967" s="239"/>
      <c r="P967" s="246"/>
      <c r="Q967" s="239"/>
      <c r="R967" s="239"/>
      <c r="S967" s="239"/>
      <c r="T967" s="239"/>
      <c r="U967" s="239"/>
      <c r="V967" s="239"/>
      <c r="W967" s="246"/>
      <c r="X967" s="239"/>
      <c r="Y967" s="239"/>
      <c r="Z967" s="239"/>
      <c r="AA967" s="239"/>
      <c r="AB967" s="239"/>
      <c r="AC967" s="239"/>
      <c r="AD967" s="239"/>
      <c r="AE967" s="239"/>
      <c r="AF967" s="239"/>
      <c r="AG967" s="239"/>
      <c r="AH967" s="239"/>
      <c r="AI967" s="239"/>
      <c r="AJ967" s="239"/>
    </row>
    <row r="968">
      <c r="A968" s="239"/>
      <c r="B968" s="239"/>
      <c r="C968" s="239"/>
      <c r="D968" s="239"/>
      <c r="E968" s="239"/>
      <c r="F968" s="283"/>
      <c r="G968" s="239"/>
      <c r="H968" s="239"/>
      <c r="I968" s="239"/>
      <c r="J968" s="239"/>
      <c r="K968" s="239"/>
      <c r="L968" s="239"/>
      <c r="M968" s="239"/>
      <c r="N968" s="239"/>
      <c r="O968" s="239"/>
      <c r="P968" s="246"/>
      <c r="Q968" s="239"/>
      <c r="R968" s="239"/>
      <c r="S968" s="239"/>
      <c r="T968" s="239"/>
      <c r="U968" s="239"/>
      <c r="V968" s="239"/>
      <c r="W968" s="246"/>
      <c r="X968" s="239"/>
      <c r="Y968" s="239"/>
      <c r="Z968" s="239"/>
      <c r="AA968" s="239"/>
      <c r="AB968" s="239"/>
      <c r="AC968" s="239"/>
      <c r="AD968" s="239"/>
      <c r="AE968" s="239"/>
      <c r="AF968" s="239"/>
      <c r="AG968" s="239"/>
      <c r="AH968" s="239"/>
      <c r="AI968" s="239"/>
      <c r="AJ968" s="239"/>
    </row>
    <row r="969">
      <c r="A969" s="239"/>
      <c r="B969" s="239"/>
      <c r="C969" s="239"/>
      <c r="D969" s="239"/>
      <c r="E969" s="239"/>
      <c r="F969" s="283"/>
      <c r="G969" s="239"/>
      <c r="H969" s="239"/>
      <c r="I969" s="239"/>
      <c r="J969" s="239"/>
      <c r="K969" s="239"/>
      <c r="L969" s="239"/>
      <c r="M969" s="239"/>
      <c r="N969" s="239"/>
      <c r="O969" s="239"/>
      <c r="P969" s="246"/>
      <c r="Q969" s="239"/>
      <c r="R969" s="239"/>
      <c r="S969" s="239"/>
      <c r="T969" s="239"/>
      <c r="U969" s="239"/>
      <c r="V969" s="239"/>
      <c r="W969" s="246"/>
      <c r="X969" s="239"/>
      <c r="Y969" s="239"/>
      <c r="Z969" s="239"/>
      <c r="AA969" s="239"/>
      <c r="AB969" s="239"/>
      <c r="AC969" s="239"/>
      <c r="AD969" s="239"/>
      <c r="AE969" s="239"/>
      <c r="AF969" s="239"/>
      <c r="AG969" s="239"/>
      <c r="AH969" s="239"/>
      <c r="AI969" s="239"/>
      <c r="AJ969" s="239"/>
    </row>
    <row r="970">
      <c r="A970" s="239"/>
      <c r="B970" s="239"/>
      <c r="C970" s="239"/>
      <c r="D970" s="239"/>
      <c r="E970" s="239"/>
      <c r="F970" s="283"/>
      <c r="G970" s="239"/>
      <c r="H970" s="239"/>
      <c r="I970" s="239"/>
      <c r="J970" s="239"/>
      <c r="K970" s="239"/>
      <c r="L970" s="239"/>
      <c r="M970" s="239"/>
      <c r="N970" s="239"/>
      <c r="O970" s="239"/>
      <c r="P970" s="246"/>
      <c r="Q970" s="239"/>
      <c r="R970" s="239"/>
      <c r="S970" s="239"/>
      <c r="T970" s="239"/>
      <c r="U970" s="239"/>
      <c r="V970" s="239"/>
      <c r="W970" s="246"/>
      <c r="X970" s="239"/>
      <c r="Y970" s="239"/>
      <c r="Z970" s="239"/>
      <c r="AA970" s="239"/>
      <c r="AB970" s="239"/>
      <c r="AC970" s="239"/>
      <c r="AD970" s="239"/>
      <c r="AE970" s="239"/>
      <c r="AF970" s="239"/>
      <c r="AG970" s="239"/>
      <c r="AH970" s="239"/>
      <c r="AI970" s="239"/>
      <c r="AJ970" s="239"/>
    </row>
    <row r="971">
      <c r="A971" s="239"/>
      <c r="B971" s="239"/>
      <c r="C971" s="239"/>
      <c r="D971" s="239"/>
      <c r="E971" s="239"/>
      <c r="F971" s="283"/>
      <c r="G971" s="239"/>
      <c r="H971" s="239"/>
      <c r="I971" s="239"/>
      <c r="J971" s="239"/>
      <c r="K971" s="239"/>
      <c r="L971" s="239"/>
      <c r="M971" s="239"/>
      <c r="N971" s="239"/>
      <c r="O971" s="239"/>
      <c r="P971" s="246"/>
      <c r="Q971" s="239"/>
      <c r="R971" s="239"/>
      <c r="S971" s="239"/>
      <c r="T971" s="239"/>
      <c r="U971" s="239"/>
      <c r="V971" s="239"/>
      <c r="W971" s="246"/>
      <c r="X971" s="239"/>
      <c r="Y971" s="239"/>
      <c r="Z971" s="239"/>
      <c r="AA971" s="239"/>
      <c r="AB971" s="239"/>
      <c r="AC971" s="239"/>
      <c r="AD971" s="239"/>
      <c r="AE971" s="239"/>
      <c r="AF971" s="239"/>
      <c r="AG971" s="239"/>
      <c r="AH971" s="239"/>
      <c r="AI971" s="239"/>
      <c r="AJ971" s="239"/>
    </row>
    <row r="972">
      <c r="A972" s="239"/>
      <c r="B972" s="239"/>
      <c r="C972" s="239"/>
      <c r="D972" s="239"/>
      <c r="E972" s="239"/>
      <c r="F972" s="283"/>
      <c r="G972" s="239"/>
      <c r="H972" s="239"/>
      <c r="I972" s="239"/>
      <c r="J972" s="239"/>
      <c r="K972" s="239"/>
      <c r="L972" s="239"/>
      <c r="M972" s="239"/>
      <c r="N972" s="239"/>
      <c r="O972" s="239"/>
      <c r="P972" s="246"/>
      <c r="Q972" s="239"/>
      <c r="R972" s="239"/>
      <c r="S972" s="239"/>
      <c r="T972" s="239"/>
      <c r="U972" s="239"/>
      <c r="V972" s="239"/>
      <c r="W972" s="246"/>
      <c r="X972" s="239"/>
      <c r="Y972" s="239"/>
      <c r="Z972" s="239"/>
      <c r="AA972" s="239"/>
      <c r="AB972" s="239"/>
      <c r="AC972" s="239"/>
      <c r="AD972" s="239"/>
      <c r="AE972" s="239"/>
      <c r="AF972" s="239"/>
      <c r="AG972" s="239"/>
      <c r="AH972" s="239"/>
      <c r="AI972" s="239"/>
      <c r="AJ972" s="239"/>
    </row>
    <row r="973">
      <c r="A973" s="239"/>
      <c r="B973" s="239"/>
      <c r="C973" s="239"/>
      <c r="D973" s="239"/>
      <c r="E973" s="239"/>
      <c r="F973" s="283"/>
      <c r="G973" s="239"/>
      <c r="H973" s="239"/>
      <c r="I973" s="239"/>
      <c r="J973" s="239"/>
      <c r="K973" s="239"/>
      <c r="L973" s="239"/>
      <c r="M973" s="239"/>
      <c r="N973" s="239"/>
      <c r="O973" s="239"/>
      <c r="P973" s="246"/>
      <c r="Q973" s="239"/>
      <c r="R973" s="239"/>
      <c r="S973" s="239"/>
      <c r="T973" s="239"/>
      <c r="U973" s="239"/>
      <c r="V973" s="239"/>
      <c r="W973" s="246"/>
      <c r="X973" s="239"/>
      <c r="Y973" s="239"/>
      <c r="Z973" s="239"/>
      <c r="AA973" s="239"/>
      <c r="AB973" s="239"/>
      <c r="AC973" s="239"/>
      <c r="AD973" s="239"/>
      <c r="AE973" s="239"/>
      <c r="AF973" s="239"/>
      <c r="AG973" s="239"/>
      <c r="AH973" s="239"/>
      <c r="AI973" s="239"/>
      <c r="AJ973" s="239"/>
    </row>
    <row r="974">
      <c r="A974" s="239"/>
      <c r="B974" s="239"/>
      <c r="C974" s="239"/>
      <c r="D974" s="239"/>
      <c r="E974" s="239"/>
      <c r="F974" s="283"/>
      <c r="G974" s="239"/>
      <c r="H974" s="239"/>
      <c r="I974" s="239"/>
      <c r="J974" s="239"/>
      <c r="K974" s="239"/>
      <c r="L974" s="239"/>
      <c r="M974" s="239"/>
      <c r="N974" s="239"/>
      <c r="O974" s="239"/>
      <c r="P974" s="246"/>
      <c r="Q974" s="239"/>
      <c r="R974" s="239"/>
      <c r="S974" s="239"/>
      <c r="T974" s="239"/>
      <c r="U974" s="239"/>
      <c r="V974" s="239"/>
      <c r="W974" s="246"/>
      <c r="X974" s="239"/>
      <c r="Y974" s="239"/>
      <c r="Z974" s="239"/>
      <c r="AA974" s="239"/>
      <c r="AB974" s="239"/>
      <c r="AC974" s="239"/>
      <c r="AD974" s="239"/>
      <c r="AE974" s="239"/>
      <c r="AF974" s="239"/>
      <c r="AG974" s="239"/>
      <c r="AH974" s="239"/>
      <c r="AI974" s="239"/>
      <c r="AJ974" s="239"/>
    </row>
    <row r="975">
      <c r="A975" s="239"/>
      <c r="B975" s="239"/>
      <c r="C975" s="239"/>
      <c r="D975" s="239"/>
      <c r="E975" s="239"/>
      <c r="F975" s="283"/>
      <c r="G975" s="239"/>
      <c r="H975" s="239"/>
      <c r="I975" s="239"/>
      <c r="J975" s="239"/>
      <c r="K975" s="239"/>
      <c r="L975" s="239"/>
      <c r="M975" s="239"/>
      <c r="N975" s="239"/>
      <c r="O975" s="239"/>
      <c r="P975" s="246"/>
      <c r="Q975" s="239"/>
      <c r="R975" s="239"/>
      <c r="S975" s="239"/>
      <c r="T975" s="239"/>
      <c r="U975" s="239"/>
      <c r="V975" s="239"/>
      <c r="W975" s="246"/>
      <c r="X975" s="239"/>
      <c r="Y975" s="239"/>
      <c r="Z975" s="239"/>
      <c r="AA975" s="239"/>
      <c r="AB975" s="239"/>
      <c r="AC975" s="239"/>
      <c r="AD975" s="239"/>
      <c r="AE975" s="239"/>
      <c r="AF975" s="239"/>
      <c r="AG975" s="239"/>
      <c r="AH975" s="239"/>
      <c r="AI975" s="239"/>
      <c r="AJ975" s="239"/>
    </row>
    <row r="976">
      <c r="A976" s="239"/>
      <c r="B976" s="239"/>
      <c r="C976" s="239"/>
      <c r="D976" s="239"/>
      <c r="E976" s="239"/>
      <c r="F976" s="283"/>
      <c r="G976" s="239"/>
      <c r="H976" s="239"/>
      <c r="I976" s="239"/>
      <c r="J976" s="239"/>
      <c r="K976" s="239"/>
      <c r="L976" s="239"/>
      <c r="M976" s="239"/>
      <c r="N976" s="239"/>
      <c r="O976" s="239"/>
      <c r="P976" s="246"/>
      <c r="Q976" s="239"/>
      <c r="R976" s="239"/>
      <c r="S976" s="239"/>
      <c r="T976" s="239"/>
      <c r="U976" s="239"/>
      <c r="V976" s="239"/>
      <c r="W976" s="246"/>
      <c r="X976" s="239"/>
      <c r="Y976" s="239"/>
      <c r="Z976" s="239"/>
      <c r="AA976" s="239"/>
      <c r="AB976" s="239"/>
      <c r="AC976" s="239"/>
      <c r="AD976" s="239"/>
      <c r="AE976" s="239"/>
      <c r="AF976" s="239"/>
      <c r="AG976" s="239"/>
      <c r="AH976" s="239"/>
      <c r="AI976" s="239"/>
      <c r="AJ976" s="239"/>
    </row>
    <row r="977">
      <c r="A977" s="239"/>
      <c r="B977" s="239"/>
      <c r="C977" s="239"/>
      <c r="D977" s="239"/>
      <c r="E977" s="239"/>
      <c r="F977" s="283"/>
      <c r="G977" s="239"/>
      <c r="H977" s="239"/>
      <c r="I977" s="239"/>
      <c r="J977" s="239"/>
      <c r="K977" s="239"/>
      <c r="L977" s="239"/>
      <c r="M977" s="239"/>
      <c r="N977" s="239"/>
      <c r="O977" s="239"/>
      <c r="P977" s="246"/>
      <c r="Q977" s="239"/>
      <c r="R977" s="239"/>
      <c r="S977" s="239"/>
      <c r="T977" s="239"/>
      <c r="U977" s="239"/>
      <c r="V977" s="239"/>
      <c r="W977" s="246"/>
      <c r="X977" s="239"/>
      <c r="Y977" s="239"/>
      <c r="Z977" s="239"/>
      <c r="AA977" s="239"/>
      <c r="AB977" s="239"/>
      <c r="AC977" s="239"/>
      <c r="AD977" s="239"/>
      <c r="AE977" s="239"/>
      <c r="AF977" s="239"/>
      <c r="AG977" s="239"/>
      <c r="AH977" s="239"/>
      <c r="AI977" s="239"/>
      <c r="AJ977" s="239"/>
    </row>
    <row r="978">
      <c r="A978" s="239"/>
      <c r="B978" s="239"/>
      <c r="C978" s="239"/>
      <c r="D978" s="239"/>
      <c r="E978" s="239"/>
      <c r="F978" s="283"/>
      <c r="G978" s="239"/>
      <c r="H978" s="239"/>
      <c r="I978" s="239"/>
      <c r="J978" s="239"/>
      <c r="K978" s="239"/>
      <c r="L978" s="239"/>
      <c r="M978" s="239"/>
      <c r="N978" s="239"/>
      <c r="O978" s="239"/>
      <c r="P978" s="246"/>
      <c r="Q978" s="239"/>
      <c r="R978" s="239"/>
      <c r="S978" s="239"/>
      <c r="T978" s="239"/>
      <c r="U978" s="239"/>
      <c r="V978" s="239"/>
      <c r="W978" s="246"/>
      <c r="X978" s="239"/>
      <c r="Y978" s="239"/>
      <c r="Z978" s="239"/>
      <c r="AA978" s="239"/>
      <c r="AB978" s="239"/>
      <c r="AC978" s="239"/>
      <c r="AD978" s="239"/>
      <c r="AE978" s="239"/>
      <c r="AF978" s="239"/>
      <c r="AG978" s="239"/>
      <c r="AH978" s="239"/>
      <c r="AI978" s="239"/>
      <c r="AJ978" s="239"/>
    </row>
    <row r="979">
      <c r="A979" s="239"/>
      <c r="B979" s="239"/>
      <c r="C979" s="239"/>
      <c r="D979" s="239"/>
      <c r="E979" s="239"/>
      <c r="F979" s="283"/>
      <c r="G979" s="239"/>
      <c r="H979" s="239"/>
      <c r="I979" s="239"/>
      <c r="J979" s="239"/>
      <c r="K979" s="239"/>
      <c r="L979" s="239"/>
      <c r="M979" s="239"/>
      <c r="N979" s="239"/>
      <c r="O979" s="239"/>
      <c r="P979" s="246"/>
      <c r="Q979" s="239"/>
      <c r="R979" s="239"/>
      <c r="S979" s="239"/>
      <c r="T979" s="239"/>
      <c r="U979" s="239"/>
      <c r="V979" s="239"/>
      <c r="W979" s="246"/>
      <c r="X979" s="239"/>
      <c r="Y979" s="239"/>
      <c r="Z979" s="239"/>
      <c r="AA979" s="239"/>
      <c r="AB979" s="239"/>
      <c r="AC979" s="239"/>
      <c r="AD979" s="239"/>
      <c r="AE979" s="239"/>
      <c r="AF979" s="239"/>
      <c r="AG979" s="239"/>
      <c r="AH979" s="239"/>
      <c r="AI979" s="239"/>
      <c r="AJ979" s="239"/>
    </row>
    <row r="980">
      <c r="A980" s="239"/>
      <c r="B980" s="239"/>
      <c r="C980" s="239"/>
      <c r="D980" s="239"/>
      <c r="E980" s="239"/>
      <c r="F980" s="283"/>
      <c r="G980" s="239"/>
      <c r="H980" s="239"/>
      <c r="I980" s="239"/>
      <c r="J980" s="239"/>
      <c r="K980" s="239"/>
      <c r="L980" s="239"/>
      <c r="M980" s="239"/>
      <c r="N980" s="239"/>
      <c r="O980" s="239"/>
      <c r="P980" s="246"/>
      <c r="Q980" s="239"/>
      <c r="R980" s="239"/>
      <c r="S980" s="239"/>
      <c r="T980" s="239"/>
      <c r="U980" s="239"/>
      <c r="V980" s="239"/>
      <c r="W980" s="246"/>
      <c r="X980" s="239"/>
      <c r="Y980" s="239"/>
      <c r="Z980" s="239"/>
      <c r="AA980" s="239"/>
      <c r="AB980" s="239"/>
      <c r="AC980" s="239"/>
      <c r="AD980" s="239"/>
      <c r="AE980" s="239"/>
      <c r="AF980" s="239"/>
      <c r="AG980" s="239"/>
      <c r="AH980" s="239"/>
      <c r="AI980" s="239"/>
      <c r="AJ980" s="239"/>
    </row>
    <row r="981">
      <c r="A981" s="239"/>
      <c r="B981" s="239"/>
      <c r="C981" s="239"/>
      <c r="D981" s="239"/>
      <c r="E981" s="239"/>
      <c r="F981" s="283"/>
      <c r="G981" s="239"/>
      <c r="H981" s="239"/>
      <c r="I981" s="239"/>
      <c r="J981" s="239"/>
      <c r="K981" s="239"/>
      <c r="L981" s="239"/>
      <c r="M981" s="239"/>
      <c r="N981" s="239"/>
      <c r="O981" s="239"/>
      <c r="P981" s="246"/>
      <c r="Q981" s="239"/>
      <c r="R981" s="239"/>
      <c r="S981" s="239"/>
      <c r="T981" s="239"/>
      <c r="U981" s="239"/>
      <c r="V981" s="239"/>
      <c r="W981" s="246"/>
      <c r="X981" s="239"/>
      <c r="Y981" s="239"/>
      <c r="Z981" s="239"/>
      <c r="AA981" s="239"/>
      <c r="AB981" s="239"/>
      <c r="AC981" s="239"/>
      <c r="AD981" s="239"/>
      <c r="AE981" s="239"/>
      <c r="AF981" s="239"/>
      <c r="AG981" s="239"/>
      <c r="AH981" s="239"/>
      <c r="AI981" s="239"/>
      <c r="AJ981" s="239"/>
    </row>
    <row r="982">
      <c r="A982" s="239"/>
      <c r="B982" s="239"/>
      <c r="C982" s="239"/>
      <c r="D982" s="239"/>
      <c r="E982" s="239"/>
      <c r="F982" s="283"/>
      <c r="G982" s="239"/>
      <c r="H982" s="239"/>
      <c r="I982" s="239"/>
      <c r="J982" s="239"/>
      <c r="K982" s="239"/>
      <c r="L982" s="239"/>
      <c r="M982" s="239"/>
      <c r="N982" s="239"/>
      <c r="O982" s="239"/>
      <c r="P982" s="246"/>
      <c r="Q982" s="239"/>
      <c r="R982" s="239"/>
      <c r="S982" s="239"/>
      <c r="T982" s="239"/>
      <c r="U982" s="239"/>
      <c r="V982" s="239"/>
      <c r="W982" s="246"/>
      <c r="X982" s="239"/>
      <c r="Y982" s="239"/>
      <c r="Z982" s="239"/>
      <c r="AA982" s="239"/>
      <c r="AB982" s="239"/>
      <c r="AC982" s="239"/>
      <c r="AD982" s="239"/>
      <c r="AE982" s="239"/>
      <c r="AF982" s="239"/>
      <c r="AG982" s="239"/>
      <c r="AH982" s="239"/>
      <c r="AI982" s="239"/>
      <c r="AJ982" s="239"/>
    </row>
    <row r="983">
      <c r="A983" s="239"/>
      <c r="B983" s="239"/>
      <c r="C983" s="239"/>
      <c r="D983" s="239"/>
      <c r="E983" s="239"/>
      <c r="F983" s="283"/>
      <c r="G983" s="239"/>
      <c r="H983" s="239"/>
      <c r="I983" s="239"/>
      <c r="J983" s="239"/>
      <c r="K983" s="239"/>
      <c r="L983" s="239"/>
      <c r="M983" s="239"/>
      <c r="N983" s="239"/>
      <c r="O983" s="239"/>
      <c r="P983" s="246"/>
      <c r="Q983" s="239"/>
      <c r="R983" s="239"/>
      <c r="S983" s="239"/>
      <c r="T983" s="239"/>
      <c r="U983" s="239"/>
      <c r="V983" s="239"/>
      <c r="W983" s="246"/>
      <c r="X983" s="239"/>
      <c r="Y983" s="239"/>
      <c r="Z983" s="239"/>
      <c r="AA983" s="239"/>
      <c r="AB983" s="239"/>
      <c r="AC983" s="239"/>
      <c r="AD983" s="239"/>
      <c r="AE983" s="239"/>
      <c r="AF983" s="239"/>
      <c r="AG983" s="239"/>
      <c r="AH983" s="239"/>
      <c r="AI983" s="239"/>
      <c r="AJ983" s="239"/>
    </row>
    <row r="984">
      <c r="A984" s="239"/>
      <c r="B984" s="239"/>
      <c r="C984" s="239"/>
      <c r="D984" s="239"/>
      <c r="E984" s="239"/>
      <c r="F984" s="283"/>
      <c r="G984" s="239"/>
      <c r="H984" s="239"/>
      <c r="I984" s="239"/>
      <c r="J984" s="239"/>
      <c r="K984" s="239"/>
      <c r="L984" s="239"/>
      <c r="M984" s="239"/>
      <c r="N984" s="239"/>
      <c r="O984" s="239"/>
      <c r="P984" s="246"/>
      <c r="Q984" s="239"/>
      <c r="R984" s="239"/>
      <c r="S984" s="239"/>
      <c r="T984" s="239"/>
      <c r="U984" s="239"/>
      <c r="V984" s="239"/>
      <c r="W984" s="246"/>
      <c r="X984" s="239"/>
      <c r="Y984" s="239"/>
      <c r="Z984" s="239"/>
      <c r="AA984" s="239"/>
      <c r="AB984" s="239"/>
      <c r="AC984" s="239"/>
      <c r="AD984" s="239"/>
      <c r="AE984" s="239"/>
      <c r="AF984" s="239"/>
      <c r="AG984" s="239"/>
      <c r="AH984" s="239"/>
      <c r="AI984" s="239"/>
      <c r="AJ984" s="239"/>
    </row>
    <row r="985">
      <c r="A985" s="239"/>
      <c r="B985" s="239"/>
      <c r="C985" s="239"/>
      <c r="D985" s="239"/>
      <c r="E985" s="239"/>
      <c r="F985" s="283"/>
      <c r="G985" s="239"/>
      <c r="H985" s="239"/>
      <c r="I985" s="239"/>
      <c r="J985" s="239"/>
      <c r="K985" s="239"/>
      <c r="L985" s="239"/>
      <c r="M985" s="239"/>
      <c r="N985" s="239"/>
      <c r="O985" s="239"/>
      <c r="P985" s="246"/>
      <c r="Q985" s="239"/>
      <c r="R985" s="239"/>
      <c r="S985" s="239"/>
      <c r="T985" s="239"/>
      <c r="U985" s="239"/>
      <c r="V985" s="239"/>
      <c r="W985" s="246"/>
      <c r="X985" s="239"/>
      <c r="Y985" s="239"/>
      <c r="Z985" s="239"/>
      <c r="AA985" s="239"/>
      <c r="AB985" s="239"/>
      <c r="AC985" s="239"/>
      <c r="AD985" s="239"/>
      <c r="AE985" s="239"/>
      <c r="AF985" s="239"/>
      <c r="AG985" s="239"/>
      <c r="AH985" s="239"/>
      <c r="AI985" s="239"/>
      <c r="AJ985" s="239"/>
    </row>
    <row r="986">
      <c r="A986" s="239"/>
      <c r="B986" s="239"/>
      <c r="C986" s="239"/>
      <c r="D986" s="239"/>
      <c r="E986" s="239"/>
      <c r="F986" s="283"/>
      <c r="G986" s="239"/>
      <c r="H986" s="239"/>
      <c r="I986" s="239"/>
      <c r="J986" s="239"/>
      <c r="K986" s="239"/>
      <c r="L986" s="239"/>
      <c r="M986" s="239"/>
      <c r="N986" s="239"/>
      <c r="O986" s="239"/>
      <c r="P986" s="246"/>
      <c r="Q986" s="239"/>
      <c r="R986" s="239"/>
      <c r="S986" s="239"/>
      <c r="T986" s="239"/>
      <c r="U986" s="239"/>
      <c r="V986" s="239"/>
      <c r="W986" s="246"/>
      <c r="X986" s="239"/>
      <c r="Y986" s="239"/>
      <c r="Z986" s="239"/>
      <c r="AA986" s="239"/>
      <c r="AB986" s="239"/>
      <c r="AC986" s="239"/>
      <c r="AD986" s="239"/>
      <c r="AE986" s="239"/>
      <c r="AF986" s="239"/>
      <c r="AG986" s="239"/>
      <c r="AH986" s="239"/>
      <c r="AI986" s="239"/>
      <c r="AJ986" s="239"/>
    </row>
    <row r="987">
      <c r="A987" s="239"/>
      <c r="B987" s="239"/>
      <c r="C987" s="239"/>
      <c r="D987" s="239"/>
      <c r="E987" s="239"/>
      <c r="F987" s="283"/>
      <c r="G987" s="239"/>
      <c r="H987" s="239"/>
      <c r="I987" s="239"/>
      <c r="J987" s="239"/>
      <c r="K987" s="239"/>
      <c r="L987" s="239"/>
      <c r="M987" s="239"/>
      <c r="N987" s="239"/>
      <c r="O987" s="239"/>
      <c r="P987" s="246"/>
      <c r="Q987" s="239"/>
      <c r="R987" s="239"/>
      <c r="S987" s="239"/>
      <c r="T987" s="239"/>
      <c r="U987" s="239"/>
      <c r="V987" s="239"/>
      <c r="W987" s="246"/>
      <c r="X987" s="239"/>
      <c r="Y987" s="239"/>
      <c r="Z987" s="239"/>
      <c r="AA987" s="239"/>
      <c r="AB987" s="239"/>
      <c r="AC987" s="239"/>
      <c r="AD987" s="239"/>
      <c r="AE987" s="239"/>
      <c r="AF987" s="239"/>
      <c r="AG987" s="239"/>
      <c r="AH987" s="239"/>
      <c r="AI987" s="239"/>
      <c r="AJ987" s="239"/>
    </row>
    <row r="988">
      <c r="A988" s="239"/>
      <c r="B988" s="239"/>
      <c r="C988" s="239"/>
      <c r="D988" s="239"/>
      <c r="E988" s="239"/>
      <c r="F988" s="283"/>
      <c r="G988" s="239"/>
      <c r="H988" s="239"/>
      <c r="I988" s="239"/>
      <c r="J988" s="239"/>
      <c r="K988" s="239"/>
      <c r="L988" s="239"/>
      <c r="M988" s="239"/>
      <c r="N988" s="239"/>
      <c r="O988" s="239"/>
      <c r="P988" s="246"/>
      <c r="Q988" s="239"/>
      <c r="R988" s="239"/>
      <c r="S988" s="239"/>
      <c r="T988" s="239"/>
      <c r="U988" s="239"/>
      <c r="V988" s="239"/>
      <c r="W988" s="246"/>
      <c r="X988" s="239"/>
      <c r="Y988" s="239"/>
      <c r="Z988" s="239"/>
      <c r="AA988" s="239"/>
      <c r="AB988" s="239"/>
      <c r="AC988" s="239"/>
      <c r="AD988" s="239"/>
      <c r="AE988" s="239"/>
      <c r="AF988" s="239"/>
      <c r="AG988" s="239"/>
      <c r="AH988" s="239"/>
      <c r="AI988" s="239"/>
      <c r="AJ988" s="239"/>
    </row>
    <row r="989">
      <c r="A989" s="239"/>
      <c r="B989" s="239"/>
      <c r="C989" s="239"/>
      <c r="D989" s="239"/>
      <c r="E989" s="239"/>
      <c r="F989" s="283"/>
      <c r="G989" s="239"/>
      <c r="H989" s="239"/>
      <c r="I989" s="239"/>
      <c r="J989" s="239"/>
      <c r="K989" s="239"/>
      <c r="L989" s="239"/>
      <c r="M989" s="239"/>
      <c r="N989" s="239"/>
      <c r="O989" s="239"/>
      <c r="P989" s="246"/>
      <c r="Q989" s="239"/>
      <c r="R989" s="239"/>
      <c r="S989" s="239"/>
      <c r="T989" s="239"/>
      <c r="U989" s="239"/>
      <c r="V989" s="239"/>
      <c r="W989" s="246"/>
      <c r="X989" s="239"/>
      <c r="Y989" s="239"/>
      <c r="Z989" s="239"/>
      <c r="AA989" s="239"/>
      <c r="AB989" s="239"/>
      <c r="AC989" s="239"/>
      <c r="AD989" s="239"/>
      <c r="AE989" s="239"/>
      <c r="AF989" s="239"/>
      <c r="AG989" s="239"/>
      <c r="AH989" s="239"/>
      <c r="AI989" s="239"/>
      <c r="AJ989" s="239"/>
    </row>
    <row r="990">
      <c r="A990" s="239"/>
      <c r="B990" s="239"/>
      <c r="C990" s="239"/>
      <c r="D990" s="239"/>
      <c r="E990" s="239"/>
      <c r="F990" s="283"/>
      <c r="G990" s="239"/>
      <c r="H990" s="239"/>
      <c r="I990" s="239"/>
      <c r="J990" s="239"/>
      <c r="K990" s="239"/>
      <c r="L990" s="239"/>
      <c r="M990" s="239"/>
      <c r="N990" s="239"/>
      <c r="O990" s="239"/>
      <c r="P990" s="246"/>
      <c r="Q990" s="239"/>
      <c r="R990" s="239"/>
      <c r="S990" s="239"/>
      <c r="T990" s="239"/>
      <c r="U990" s="239"/>
      <c r="V990" s="239"/>
      <c r="W990" s="246"/>
      <c r="X990" s="239"/>
      <c r="Y990" s="239"/>
      <c r="Z990" s="239"/>
      <c r="AA990" s="239"/>
      <c r="AB990" s="239"/>
      <c r="AC990" s="239"/>
      <c r="AD990" s="239"/>
      <c r="AE990" s="239"/>
      <c r="AF990" s="239"/>
      <c r="AG990" s="239"/>
      <c r="AH990" s="239"/>
      <c r="AI990" s="239"/>
      <c r="AJ990" s="239"/>
    </row>
    <row r="991">
      <c r="A991" s="239"/>
      <c r="B991" s="239"/>
      <c r="C991" s="239"/>
      <c r="D991" s="239"/>
      <c r="E991" s="239"/>
      <c r="F991" s="283"/>
      <c r="G991" s="239"/>
      <c r="H991" s="239"/>
      <c r="I991" s="239"/>
      <c r="J991" s="239"/>
      <c r="K991" s="239"/>
      <c r="L991" s="239"/>
      <c r="M991" s="239"/>
      <c r="N991" s="239"/>
      <c r="O991" s="239"/>
      <c r="P991" s="246"/>
      <c r="Q991" s="239"/>
      <c r="R991" s="239"/>
      <c r="S991" s="239"/>
      <c r="T991" s="239"/>
      <c r="U991" s="239"/>
      <c r="V991" s="239"/>
      <c r="W991" s="246"/>
      <c r="X991" s="239"/>
      <c r="Y991" s="239"/>
      <c r="Z991" s="239"/>
      <c r="AA991" s="239"/>
      <c r="AB991" s="239"/>
      <c r="AC991" s="239"/>
      <c r="AD991" s="239"/>
      <c r="AE991" s="239"/>
      <c r="AF991" s="239"/>
      <c r="AG991" s="239"/>
      <c r="AH991" s="239"/>
      <c r="AI991" s="239"/>
      <c r="AJ991" s="239"/>
    </row>
    <row r="992">
      <c r="A992" s="239"/>
      <c r="B992" s="239"/>
      <c r="C992" s="239"/>
      <c r="D992" s="239"/>
      <c r="E992" s="239"/>
      <c r="F992" s="283"/>
      <c r="G992" s="239"/>
      <c r="H992" s="239"/>
      <c r="I992" s="239"/>
      <c r="J992" s="239"/>
      <c r="K992" s="239"/>
      <c r="L992" s="239"/>
      <c r="M992" s="239"/>
      <c r="N992" s="239"/>
      <c r="O992" s="239"/>
      <c r="P992" s="246"/>
      <c r="Q992" s="239"/>
      <c r="R992" s="239"/>
      <c r="S992" s="239"/>
      <c r="T992" s="239"/>
      <c r="U992" s="239"/>
      <c r="V992" s="239"/>
      <c r="W992" s="246"/>
      <c r="X992" s="239"/>
      <c r="Y992" s="239"/>
      <c r="Z992" s="239"/>
      <c r="AA992" s="239"/>
      <c r="AB992" s="239"/>
      <c r="AC992" s="239"/>
      <c r="AD992" s="239"/>
      <c r="AE992" s="239"/>
      <c r="AF992" s="239"/>
      <c r="AG992" s="239"/>
      <c r="AH992" s="239"/>
      <c r="AI992" s="239"/>
      <c r="AJ992" s="239"/>
    </row>
    <row r="993">
      <c r="A993" s="239"/>
      <c r="B993" s="239"/>
      <c r="C993" s="239"/>
      <c r="D993" s="239"/>
      <c r="E993" s="239"/>
      <c r="F993" s="283"/>
      <c r="G993" s="239"/>
      <c r="H993" s="239"/>
      <c r="I993" s="239"/>
      <c r="J993" s="239"/>
      <c r="K993" s="239"/>
      <c r="L993" s="239"/>
      <c r="M993" s="239"/>
      <c r="N993" s="239"/>
      <c r="O993" s="239"/>
      <c r="P993" s="246"/>
      <c r="Q993" s="239"/>
      <c r="R993" s="239"/>
      <c r="S993" s="239"/>
      <c r="T993" s="239"/>
      <c r="U993" s="239"/>
      <c r="V993" s="239"/>
      <c r="W993" s="246"/>
      <c r="X993" s="239"/>
      <c r="Y993" s="239"/>
      <c r="Z993" s="239"/>
      <c r="AA993" s="239"/>
      <c r="AB993" s="239"/>
      <c r="AC993" s="239"/>
      <c r="AD993" s="239"/>
      <c r="AE993" s="239"/>
      <c r="AF993" s="239"/>
      <c r="AG993" s="239"/>
      <c r="AH993" s="239"/>
      <c r="AI993" s="239"/>
      <c r="AJ993" s="239"/>
    </row>
    <row r="994">
      <c r="A994" s="239"/>
      <c r="B994" s="239"/>
      <c r="C994" s="239"/>
      <c r="D994" s="239"/>
      <c r="E994" s="239"/>
      <c r="F994" s="283"/>
      <c r="G994" s="239"/>
      <c r="H994" s="239"/>
      <c r="I994" s="239"/>
      <c r="J994" s="239"/>
      <c r="K994" s="239"/>
      <c r="L994" s="239"/>
      <c r="M994" s="239"/>
      <c r="N994" s="239"/>
      <c r="O994" s="239"/>
      <c r="P994" s="246"/>
      <c r="Q994" s="239"/>
      <c r="R994" s="239"/>
      <c r="S994" s="239"/>
      <c r="T994" s="239"/>
      <c r="U994" s="239"/>
      <c r="V994" s="239"/>
      <c r="W994" s="246"/>
      <c r="X994" s="239"/>
      <c r="Y994" s="239"/>
      <c r="Z994" s="239"/>
      <c r="AA994" s="239"/>
      <c r="AB994" s="239"/>
      <c r="AC994" s="239"/>
      <c r="AD994" s="239"/>
      <c r="AE994" s="239"/>
      <c r="AF994" s="239"/>
      <c r="AG994" s="239"/>
      <c r="AH994" s="239"/>
      <c r="AI994" s="239"/>
      <c r="AJ994" s="239"/>
    </row>
    <row r="995">
      <c r="A995" s="239"/>
      <c r="B995" s="239"/>
      <c r="C995" s="239"/>
      <c r="D995" s="239"/>
      <c r="E995" s="239"/>
      <c r="F995" s="283"/>
      <c r="G995" s="239"/>
      <c r="H995" s="239"/>
      <c r="I995" s="239"/>
      <c r="J995" s="239"/>
      <c r="K995" s="239"/>
      <c r="L995" s="239"/>
      <c r="M995" s="239"/>
      <c r="N995" s="239"/>
      <c r="O995" s="239"/>
      <c r="P995" s="246"/>
      <c r="Q995" s="239"/>
      <c r="R995" s="239"/>
      <c r="S995" s="239"/>
      <c r="T995" s="239"/>
      <c r="U995" s="239"/>
      <c r="V995" s="239"/>
      <c r="W995" s="246"/>
      <c r="X995" s="239"/>
      <c r="Y995" s="239"/>
      <c r="Z995" s="239"/>
      <c r="AA995" s="239"/>
      <c r="AB995" s="239"/>
      <c r="AC995" s="239"/>
      <c r="AD995" s="239"/>
      <c r="AE995" s="239"/>
      <c r="AF995" s="239"/>
      <c r="AG995" s="239"/>
      <c r="AH995" s="239"/>
      <c r="AI995" s="239"/>
      <c r="AJ995" s="239"/>
    </row>
    <row r="996">
      <c r="A996" s="239"/>
      <c r="B996" s="239"/>
      <c r="C996" s="239"/>
      <c r="D996" s="239"/>
      <c r="E996" s="239"/>
      <c r="F996" s="283"/>
      <c r="G996" s="239"/>
      <c r="H996" s="239"/>
      <c r="I996" s="239"/>
      <c r="J996" s="239"/>
      <c r="K996" s="239"/>
      <c r="L996" s="239"/>
      <c r="M996" s="239"/>
      <c r="N996" s="239"/>
      <c r="O996" s="239"/>
      <c r="P996" s="246"/>
      <c r="Q996" s="239"/>
      <c r="R996" s="239"/>
      <c r="S996" s="239"/>
      <c r="T996" s="239"/>
      <c r="U996" s="239"/>
      <c r="V996" s="239"/>
      <c r="W996" s="246"/>
      <c r="X996" s="239"/>
      <c r="Y996" s="239"/>
      <c r="Z996" s="239"/>
      <c r="AA996" s="239"/>
      <c r="AB996" s="239"/>
      <c r="AC996" s="239"/>
      <c r="AD996" s="239"/>
      <c r="AE996" s="239"/>
      <c r="AF996" s="239"/>
      <c r="AG996" s="239"/>
      <c r="AH996" s="239"/>
      <c r="AI996" s="239"/>
      <c r="AJ996" s="239"/>
    </row>
    <row r="997">
      <c r="A997" s="239"/>
      <c r="B997" s="239"/>
      <c r="C997" s="239"/>
      <c r="D997" s="239"/>
      <c r="E997" s="239"/>
      <c r="F997" s="283"/>
      <c r="G997" s="239"/>
      <c r="H997" s="239"/>
      <c r="I997" s="239"/>
      <c r="J997" s="239"/>
      <c r="K997" s="239"/>
      <c r="L997" s="239"/>
      <c r="M997" s="239"/>
      <c r="N997" s="239"/>
      <c r="O997" s="239"/>
      <c r="P997" s="246"/>
      <c r="Q997" s="239"/>
      <c r="R997" s="239"/>
      <c r="S997" s="239"/>
      <c r="T997" s="239"/>
      <c r="U997" s="239"/>
      <c r="V997" s="239"/>
      <c r="W997" s="246"/>
      <c r="X997" s="239"/>
      <c r="Y997" s="239"/>
      <c r="Z997" s="239"/>
      <c r="AA997" s="239"/>
      <c r="AB997" s="239"/>
      <c r="AC997" s="239"/>
      <c r="AD997" s="239"/>
      <c r="AE997" s="239"/>
      <c r="AF997" s="239"/>
      <c r="AG997" s="239"/>
      <c r="AH997" s="239"/>
      <c r="AI997" s="239"/>
      <c r="AJ997" s="239"/>
    </row>
    <row r="998">
      <c r="A998" s="239"/>
      <c r="B998" s="239"/>
      <c r="C998" s="239"/>
      <c r="D998" s="239"/>
      <c r="E998" s="239"/>
      <c r="F998" s="283"/>
      <c r="G998" s="239"/>
      <c r="H998" s="239"/>
      <c r="I998" s="239"/>
      <c r="J998" s="239"/>
      <c r="K998" s="239"/>
      <c r="L998" s="239"/>
      <c r="M998" s="239"/>
      <c r="N998" s="239"/>
      <c r="O998" s="239"/>
      <c r="P998" s="246"/>
      <c r="Q998" s="239"/>
      <c r="R998" s="239"/>
      <c r="S998" s="239"/>
      <c r="T998" s="239"/>
      <c r="U998" s="239"/>
      <c r="V998" s="239"/>
      <c r="W998" s="246"/>
      <c r="X998" s="239"/>
      <c r="Y998" s="239"/>
      <c r="Z998" s="239"/>
      <c r="AA998" s="239"/>
      <c r="AB998" s="239"/>
      <c r="AC998" s="239"/>
      <c r="AD998" s="239"/>
      <c r="AE998" s="239"/>
      <c r="AF998" s="239"/>
      <c r="AG998" s="239"/>
      <c r="AH998" s="239"/>
      <c r="AI998" s="239"/>
      <c r="AJ998" s="239"/>
    </row>
    <row r="999">
      <c r="A999" s="239"/>
      <c r="B999" s="239"/>
      <c r="C999" s="239"/>
      <c r="D999" s="239"/>
      <c r="E999" s="239"/>
      <c r="F999" s="283"/>
      <c r="G999" s="239"/>
      <c r="H999" s="239"/>
      <c r="I999" s="239"/>
      <c r="J999" s="239"/>
      <c r="K999" s="239"/>
      <c r="L999" s="239"/>
      <c r="M999" s="239"/>
      <c r="N999" s="239"/>
      <c r="O999" s="239"/>
      <c r="P999" s="246"/>
      <c r="Q999" s="239"/>
      <c r="R999" s="239"/>
      <c r="S999" s="239"/>
      <c r="T999" s="239"/>
      <c r="U999" s="239"/>
      <c r="V999" s="239"/>
      <c r="W999" s="246"/>
      <c r="X999" s="239"/>
      <c r="Y999" s="239"/>
      <c r="Z999" s="239"/>
      <c r="AA999" s="239"/>
      <c r="AB999" s="239"/>
      <c r="AC999" s="239"/>
      <c r="AD999" s="239"/>
      <c r="AE999" s="239"/>
      <c r="AF999" s="239"/>
      <c r="AG999" s="239"/>
      <c r="AH999" s="239"/>
      <c r="AI999" s="239"/>
      <c r="AJ999" s="239"/>
    </row>
    <row r="1000">
      <c r="A1000" s="239"/>
      <c r="B1000" s="239"/>
      <c r="C1000" s="239"/>
      <c r="D1000" s="239"/>
      <c r="E1000" s="239"/>
      <c r="F1000" s="283"/>
      <c r="G1000" s="239"/>
      <c r="H1000" s="239"/>
      <c r="I1000" s="239"/>
      <c r="J1000" s="239"/>
      <c r="K1000" s="239"/>
      <c r="L1000" s="239"/>
      <c r="M1000" s="239"/>
      <c r="N1000" s="239"/>
      <c r="O1000" s="239"/>
      <c r="P1000" s="246"/>
      <c r="Q1000" s="239"/>
      <c r="R1000" s="239"/>
      <c r="S1000" s="239"/>
      <c r="T1000" s="239"/>
      <c r="U1000" s="239"/>
      <c r="V1000" s="239"/>
      <c r="W1000" s="246"/>
      <c r="X1000" s="239"/>
      <c r="Y1000" s="239"/>
      <c r="Z1000" s="239"/>
      <c r="AA1000" s="239"/>
      <c r="AB1000" s="239"/>
      <c r="AC1000" s="239"/>
      <c r="AD1000" s="239"/>
      <c r="AE1000" s="239"/>
      <c r="AF1000" s="239"/>
      <c r="AG1000" s="239"/>
      <c r="AH1000" s="239"/>
      <c r="AI1000" s="239"/>
      <c r="AJ1000" s="239"/>
    </row>
    <row r="1001">
      <c r="A1001" s="239"/>
      <c r="B1001" s="239"/>
      <c r="C1001" s="239"/>
      <c r="D1001" s="239"/>
      <c r="E1001" s="239"/>
      <c r="F1001" s="283"/>
      <c r="G1001" s="239"/>
      <c r="H1001" s="239"/>
      <c r="I1001" s="239"/>
      <c r="J1001" s="239"/>
      <c r="K1001" s="239"/>
      <c r="L1001" s="239"/>
      <c r="M1001" s="239"/>
      <c r="N1001" s="239"/>
      <c r="O1001" s="239"/>
      <c r="P1001" s="246"/>
      <c r="Q1001" s="239"/>
      <c r="R1001" s="239"/>
      <c r="S1001" s="239"/>
      <c r="T1001" s="239"/>
      <c r="U1001" s="239"/>
      <c r="V1001" s="239"/>
      <c r="W1001" s="246"/>
      <c r="X1001" s="239"/>
      <c r="Y1001" s="239"/>
      <c r="Z1001" s="239"/>
      <c r="AA1001" s="239"/>
      <c r="AB1001" s="239"/>
      <c r="AC1001" s="239"/>
      <c r="AD1001" s="239"/>
      <c r="AE1001" s="239"/>
      <c r="AF1001" s="239"/>
      <c r="AG1001" s="239"/>
      <c r="AH1001" s="239"/>
      <c r="AI1001" s="239"/>
      <c r="AJ1001" s="239"/>
    </row>
    <row r="1002">
      <c r="A1002" s="239"/>
      <c r="B1002" s="239"/>
      <c r="C1002" s="239"/>
      <c r="D1002" s="239"/>
      <c r="E1002" s="239"/>
      <c r="F1002" s="283"/>
      <c r="G1002" s="239"/>
      <c r="H1002" s="239"/>
      <c r="I1002" s="239"/>
      <c r="J1002" s="239"/>
      <c r="K1002" s="239"/>
      <c r="L1002" s="239"/>
      <c r="M1002" s="239"/>
      <c r="N1002" s="239"/>
      <c r="O1002" s="239"/>
      <c r="P1002" s="246"/>
      <c r="Q1002" s="239"/>
      <c r="R1002" s="239"/>
      <c r="S1002" s="239"/>
      <c r="T1002" s="239"/>
      <c r="U1002" s="239"/>
      <c r="V1002" s="239"/>
      <c r="W1002" s="246"/>
      <c r="X1002" s="239"/>
      <c r="Y1002" s="239"/>
      <c r="Z1002" s="239"/>
      <c r="AA1002" s="239"/>
      <c r="AB1002" s="239"/>
      <c r="AC1002" s="239"/>
      <c r="AD1002" s="239"/>
      <c r="AE1002" s="239"/>
      <c r="AF1002" s="239"/>
      <c r="AG1002" s="239"/>
      <c r="AH1002" s="239"/>
      <c r="AI1002" s="239"/>
      <c r="AJ1002" s="239"/>
    </row>
    <row r="1003">
      <c r="A1003" s="239"/>
      <c r="B1003" s="239"/>
      <c r="C1003" s="239"/>
      <c r="D1003" s="239"/>
      <c r="E1003" s="239"/>
      <c r="F1003" s="283"/>
      <c r="G1003" s="239"/>
      <c r="H1003" s="239"/>
      <c r="I1003" s="239"/>
      <c r="J1003" s="239"/>
      <c r="K1003" s="239"/>
      <c r="L1003" s="239"/>
      <c r="M1003" s="239"/>
      <c r="N1003" s="239"/>
      <c r="O1003" s="239"/>
      <c r="P1003" s="246"/>
      <c r="Q1003" s="239"/>
      <c r="R1003" s="239"/>
      <c r="S1003" s="239"/>
      <c r="T1003" s="239"/>
      <c r="U1003" s="239"/>
      <c r="V1003" s="239"/>
      <c r="W1003" s="246"/>
      <c r="X1003" s="239"/>
      <c r="Y1003" s="239"/>
      <c r="Z1003" s="239"/>
      <c r="AA1003" s="239"/>
      <c r="AB1003" s="239"/>
      <c r="AC1003" s="239"/>
      <c r="AD1003" s="239"/>
      <c r="AE1003" s="239"/>
      <c r="AF1003" s="239"/>
      <c r="AG1003" s="239"/>
      <c r="AH1003" s="239"/>
      <c r="AI1003" s="239"/>
      <c r="AJ1003" s="239"/>
    </row>
    <row r="1004">
      <c r="A1004" s="239"/>
      <c r="B1004" s="239"/>
      <c r="C1004" s="239"/>
      <c r="D1004" s="239"/>
      <c r="E1004" s="239"/>
      <c r="F1004" s="283"/>
      <c r="G1004" s="239"/>
      <c r="H1004" s="239"/>
      <c r="I1004" s="239"/>
      <c r="J1004" s="239"/>
      <c r="K1004" s="239"/>
      <c r="L1004" s="239"/>
      <c r="M1004" s="239"/>
      <c r="N1004" s="239"/>
      <c r="O1004" s="239"/>
      <c r="P1004" s="246"/>
      <c r="Q1004" s="239"/>
      <c r="R1004" s="239"/>
      <c r="S1004" s="239"/>
      <c r="T1004" s="239"/>
      <c r="U1004" s="239"/>
      <c r="V1004" s="239"/>
      <c r="W1004" s="246"/>
      <c r="X1004" s="239"/>
      <c r="Y1004" s="239"/>
      <c r="Z1004" s="239"/>
      <c r="AA1004" s="239"/>
      <c r="AB1004" s="239"/>
      <c r="AC1004" s="239"/>
      <c r="AD1004" s="239"/>
      <c r="AE1004" s="239"/>
      <c r="AF1004" s="239"/>
      <c r="AG1004" s="239"/>
      <c r="AH1004" s="239"/>
      <c r="AI1004" s="239"/>
      <c r="AJ1004" s="239"/>
    </row>
    <row r="1005">
      <c r="A1005" s="239"/>
      <c r="B1005" s="239"/>
      <c r="C1005" s="239"/>
      <c r="D1005" s="239"/>
      <c r="E1005" s="239"/>
      <c r="F1005" s="283"/>
      <c r="G1005" s="239"/>
      <c r="H1005" s="239"/>
      <c r="I1005" s="239"/>
      <c r="J1005" s="239"/>
      <c r="K1005" s="239"/>
      <c r="L1005" s="239"/>
      <c r="M1005" s="239"/>
      <c r="N1005" s="239"/>
      <c r="O1005" s="239"/>
      <c r="P1005" s="246"/>
      <c r="Q1005" s="239"/>
      <c r="R1005" s="239"/>
      <c r="S1005" s="239"/>
      <c r="T1005" s="239"/>
      <c r="U1005" s="239"/>
      <c r="V1005" s="239"/>
      <c r="W1005" s="246"/>
      <c r="X1005" s="239"/>
      <c r="Y1005" s="239"/>
      <c r="Z1005" s="239"/>
      <c r="AA1005" s="239"/>
      <c r="AB1005" s="239"/>
      <c r="AC1005" s="239"/>
      <c r="AD1005" s="239"/>
      <c r="AE1005" s="239"/>
      <c r="AF1005" s="239"/>
      <c r="AG1005" s="239"/>
      <c r="AH1005" s="239"/>
      <c r="AI1005" s="239"/>
      <c r="AJ1005" s="239"/>
    </row>
    <row r="1006">
      <c r="A1006" s="239"/>
      <c r="B1006" s="239"/>
      <c r="C1006" s="239"/>
      <c r="D1006" s="239"/>
      <c r="E1006" s="239"/>
      <c r="F1006" s="283"/>
      <c r="G1006" s="239"/>
      <c r="H1006" s="239"/>
      <c r="I1006" s="239"/>
      <c r="J1006" s="239"/>
      <c r="K1006" s="239"/>
      <c r="L1006" s="239"/>
      <c r="M1006" s="239"/>
      <c r="N1006" s="239"/>
      <c r="O1006" s="239"/>
      <c r="P1006" s="246"/>
      <c r="Q1006" s="239"/>
      <c r="R1006" s="239"/>
      <c r="S1006" s="239"/>
      <c r="T1006" s="239"/>
      <c r="U1006" s="239"/>
      <c r="V1006" s="239"/>
      <c r="W1006" s="246"/>
      <c r="X1006" s="239"/>
      <c r="Y1006" s="239"/>
      <c r="Z1006" s="239"/>
      <c r="AA1006" s="239"/>
      <c r="AB1006" s="239"/>
      <c r="AC1006" s="239"/>
      <c r="AD1006" s="239"/>
      <c r="AE1006" s="239"/>
      <c r="AF1006" s="239"/>
      <c r="AG1006" s="239"/>
      <c r="AH1006" s="239"/>
      <c r="AI1006" s="239"/>
      <c r="AJ1006" s="239"/>
    </row>
    <row r="1007">
      <c r="A1007" s="239"/>
      <c r="B1007" s="239"/>
      <c r="C1007" s="239"/>
      <c r="D1007" s="239"/>
      <c r="E1007" s="239"/>
      <c r="F1007" s="283"/>
      <c r="G1007" s="239"/>
      <c r="H1007" s="239"/>
      <c r="I1007" s="239"/>
      <c r="J1007" s="239"/>
      <c r="K1007" s="239"/>
      <c r="L1007" s="239"/>
      <c r="M1007" s="239"/>
      <c r="N1007" s="239"/>
      <c r="O1007" s="239"/>
      <c r="P1007" s="246"/>
      <c r="Q1007" s="239"/>
      <c r="R1007" s="239"/>
      <c r="S1007" s="239"/>
      <c r="T1007" s="239"/>
      <c r="U1007" s="239"/>
      <c r="V1007" s="239"/>
      <c r="W1007" s="246"/>
      <c r="X1007" s="239"/>
      <c r="Y1007" s="239"/>
      <c r="Z1007" s="239"/>
      <c r="AA1007" s="239"/>
      <c r="AB1007" s="239"/>
      <c r="AC1007" s="239"/>
      <c r="AD1007" s="239"/>
      <c r="AE1007" s="239"/>
      <c r="AF1007" s="239"/>
      <c r="AG1007" s="239"/>
      <c r="AH1007" s="239"/>
      <c r="AI1007" s="239"/>
      <c r="AJ1007" s="239"/>
    </row>
    <row r="1008">
      <c r="A1008" s="239"/>
      <c r="B1008" s="239"/>
      <c r="C1008" s="239"/>
      <c r="D1008" s="239"/>
      <c r="E1008" s="239"/>
      <c r="F1008" s="283"/>
      <c r="G1008" s="239"/>
      <c r="H1008" s="239"/>
      <c r="I1008" s="239"/>
      <c r="J1008" s="239"/>
      <c r="K1008" s="239"/>
      <c r="L1008" s="239"/>
      <c r="M1008" s="239"/>
      <c r="N1008" s="239"/>
      <c r="O1008" s="239"/>
      <c r="P1008" s="246"/>
      <c r="Q1008" s="239"/>
      <c r="R1008" s="239"/>
      <c r="S1008" s="239"/>
      <c r="T1008" s="239"/>
      <c r="U1008" s="239"/>
      <c r="V1008" s="239"/>
      <c r="W1008" s="246"/>
      <c r="X1008" s="239"/>
      <c r="Y1008" s="239"/>
      <c r="Z1008" s="239"/>
      <c r="AA1008" s="239"/>
      <c r="AB1008" s="239"/>
      <c r="AC1008" s="239"/>
      <c r="AD1008" s="239"/>
      <c r="AE1008" s="239"/>
      <c r="AF1008" s="239"/>
      <c r="AG1008" s="239"/>
      <c r="AH1008" s="239"/>
      <c r="AI1008" s="239"/>
      <c r="AJ1008" s="239"/>
    </row>
    <row r="1009">
      <c r="A1009" s="239"/>
      <c r="B1009" s="239"/>
      <c r="C1009" s="239"/>
      <c r="D1009" s="239"/>
      <c r="E1009" s="239"/>
      <c r="F1009" s="283"/>
      <c r="G1009" s="239"/>
      <c r="H1009" s="239"/>
      <c r="I1009" s="239"/>
      <c r="J1009" s="239"/>
      <c r="K1009" s="239"/>
      <c r="L1009" s="239"/>
      <c r="M1009" s="239"/>
      <c r="N1009" s="239"/>
      <c r="O1009" s="239"/>
      <c r="P1009" s="246"/>
      <c r="Q1009" s="239"/>
      <c r="R1009" s="239"/>
      <c r="S1009" s="239"/>
      <c r="T1009" s="239"/>
      <c r="U1009" s="239"/>
      <c r="V1009" s="239"/>
      <c r="W1009" s="246"/>
      <c r="X1009" s="239"/>
      <c r="Y1009" s="239"/>
      <c r="Z1009" s="239"/>
      <c r="AA1009" s="239"/>
      <c r="AB1009" s="239"/>
      <c r="AC1009" s="239"/>
      <c r="AD1009" s="239"/>
      <c r="AE1009" s="239"/>
      <c r="AF1009" s="239"/>
      <c r="AG1009" s="239"/>
      <c r="AH1009" s="239"/>
      <c r="AI1009" s="239"/>
      <c r="AJ1009" s="239"/>
    </row>
    <row r="1010">
      <c r="A1010" s="239"/>
      <c r="B1010" s="239"/>
      <c r="C1010" s="239"/>
      <c r="D1010" s="239"/>
      <c r="E1010" s="239"/>
      <c r="F1010" s="283"/>
      <c r="G1010" s="239"/>
      <c r="H1010" s="239"/>
      <c r="I1010" s="239"/>
      <c r="J1010" s="239"/>
      <c r="K1010" s="239"/>
      <c r="L1010" s="239"/>
      <c r="M1010" s="239"/>
      <c r="N1010" s="239"/>
      <c r="O1010" s="239"/>
      <c r="P1010" s="246"/>
      <c r="Q1010" s="239"/>
      <c r="R1010" s="239"/>
      <c r="S1010" s="239"/>
      <c r="T1010" s="239"/>
      <c r="U1010" s="239"/>
      <c r="V1010" s="239"/>
      <c r="W1010" s="246"/>
      <c r="X1010" s="239"/>
      <c r="Y1010" s="239"/>
      <c r="Z1010" s="239"/>
      <c r="AA1010" s="239"/>
      <c r="AB1010" s="239"/>
      <c r="AC1010" s="239"/>
      <c r="AD1010" s="239"/>
      <c r="AE1010" s="239"/>
      <c r="AF1010" s="239"/>
      <c r="AG1010" s="239"/>
      <c r="AH1010" s="239"/>
      <c r="AI1010" s="239"/>
      <c r="AJ1010" s="239"/>
    </row>
    <row r="1011">
      <c r="A1011" s="239"/>
      <c r="B1011" s="239"/>
      <c r="C1011" s="239"/>
      <c r="D1011" s="239"/>
      <c r="E1011" s="239"/>
      <c r="F1011" s="283"/>
      <c r="G1011" s="239"/>
      <c r="H1011" s="239"/>
      <c r="I1011" s="239"/>
      <c r="J1011" s="239"/>
      <c r="K1011" s="239"/>
      <c r="L1011" s="239"/>
      <c r="M1011" s="239"/>
      <c r="N1011" s="239"/>
      <c r="O1011" s="239"/>
      <c r="P1011" s="246"/>
      <c r="Q1011" s="239"/>
      <c r="R1011" s="239"/>
      <c r="S1011" s="239"/>
      <c r="T1011" s="239"/>
      <c r="U1011" s="239"/>
      <c r="V1011" s="239"/>
      <c r="W1011" s="246"/>
      <c r="X1011" s="239"/>
      <c r="Y1011" s="239"/>
      <c r="Z1011" s="239"/>
      <c r="AA1011" s="239"/>
      <c r="AB1011" s="239"/>
      <c r="AC1011" s="239"/>
      <c r="AD1011" s="239"/>
      <c r="AE1011" s="239"/>
      <c r="AF1011" s="239"/>
      <c r="AG1011" s="239"/>
      <c r="AH1011" s="239"/>
      <c r="AI1011" s="239"/>
      <c r="AJ1011" s="239"/>
    </row>
    <row r="1012">
      <c r="A1012" s="239"/>
      <c r="B1012" s="239"/>
      <c r="C1012" s="239"/>
      <c r="D1012" s="239"/>
      <c r="E1012" s="239"/>
      <c r="F1012" s="283"/>
      <c r="G1012" s="239"/>
      <c r="H1012" s="239"/>
      <c r="I1012" s="239"/>
      <c r="J1012" s="239"/>
      <c r="K1012" s="239"/>
      <c r="L1012" s="239"/>
      <c r="M1012" s="239"/>
      <c r="N1012" s="239"/>
      <c r="O1012" s="239"/>
      <c r="P1012" s="246"/>
      <c r="Q1012" s="239"/>
      <c r="R1012" s="239"/>
      <c r="S1012" s="239"/>
      <c r="T1012" s="239"/>
      <c r="U1012" s="239"/>
      <c r="V1012" s="239"/>
      <c r="W1012" s="246"/>
      <c r="X1012" s="239"/>
      <c r="Y1012" s="239"/>
      <c r="Z1012" s="239"/>
      <c r="AA1012" s="239"/>
      <c r="AB1012" s="239"/>
      <c r="AC1012" s="239"/>
      <c r="AD1012" s="239"/>
      <c r="AE1012" s="239"/>
      <c r="AF1012" s="239"/>
      <c r="AG1012" s="239"/>
      <c r="AH1012" s="239"/>
      <c r="AI1012" s="239"/>
      <c r="AJ1012" s="239"/>
    </row>
    <row r="1013">
      <c r="A1013" s="239"/>
      <c r="B1013" s="239"/>
      <c r="C1013" s="239"/>
      <c r="D1013" s="239"/>
      <c r="E1013" s="239"/>
      <c r="F1013" s="283"/>
      <c r="G1013" s="239"/>
      <c r="H1013" s="239"/>
      <c r="I1013" s="239"/>
      <c r="J1013" s="239"/>
      <c r="K1013" s="239"/>
      <c r="L1013" s="239"/>
      <c r="M1013" s="239"/>
      <c r="N1013" s="239"/>
      <c r="O1013" s="239"/>
      <c r="P1013" s="246"/>
      <c r="Q1013" s="239"/>
      <c r="R1013" s="239"/>
      <c r="S1013" s="239"/>
      <c r="T1013" s="239"/>
      <c r="U1013" s="239"/>
      <c r="V1013" s="239"/>
      <c r="W1013" s="246"/>
      <c r="X1013" s="239"/>
      <c r="Y1013" s="239"/>
      <c r="Z1013" s="239"/>
      <c r="AA1013" s="239"/>
      <c r="AB1013" s="239"/>
      <c r="AC1013" s="239"/>
      <c r="AD1013" s="239"/>
      <c r="AE1013" s="239"/>
      <c r="AF1013" s="239"/>
      <c r="AG1013" s="239"/>
      <c r="AH1013" s="239"/>
      <c r="AI1013" s="239"/>
      <c r="AJ1013" s="239"/>
    </row>
    <row r="1014">
      <c r="A1014" s="239"/>
      <c r="B1014" s="239"/>
      <c r="C1014" s="239"/>
      <c r="D1014" s="239"/>
      <c r="E1014" s="239"/>
      <c r="F1014" s="283"/>
      <c r="G1014" s="239"/>
      <c r="H1014" s="239"/>
      <c r="I1014" s="239"/>
      <c r="J1014" s="239"/>
      <c r="K1014" s="239"/>
      <c r="L1014" s="239"/>
      <c r="M1014" s="239"/>
      <c r="N1014" s="239"/>
      <c r="O1014" s="239"/>
      <c r="P1014" s="246"/>
      <c r="Q1014" s="239"/>
      <c r="R1014" s="239"/>
      <c r="S1014" s="239"/>
      <c r="T1014" s="239"/>
      <c r="U1014" s="239"/>
      <c r="V1014" s="239"/>
      <c r="W1014" s="246"/>
      <c r="X1014" s="239"/>
      <c r="Y1014" s="239"/>
      <c r="Z1014" s="239"/>
      <c r="AA1014" s="239"/>
      <c r="AB1014" s="239"/>
      <c r="AC1014" s="239"/>
      <c r="AD1014" s="239"/>
      <c r="AE1014" s="239"/>
      <c r="AF1014" s="239"/>
      <c r="AG1014" s="239"/>
      <c r="AH1014" s="239"/>
      <c r="AI1014" s="239"/>
      <c r="AJ1014" s="239"/>
    </row>
    <row r="1015">
      <c r="A1015" s="239"/>
      <c r="B1015" s="239"/>
      <c r="C1015" s="239"/>
      <c r="D1015" s="239"/>
      <c r="E1015" s="239"/>
      <c r="F1015" s="283"/>
      <c r="G1015" s="239"/>
      <c r="H1015" s="239"/>
      <c r="I1015" s="239"/>
      <c r="J1015" s="239"/>
      <c r="K1015" s="239"/>
      <c r="L1015" s="239"/>
      <c r="M1015" s="239"/>
      <c r="N1015" s="239"/>
      <c r="O1015" s="239"/>
      <c r="P1015" s="246"/>
      <c r="Q1015" s="239"/>
      <c r="R1015" s="239"/>
      <c r="S1015" s="239"/>
      <c r="T1015" s="239"/>
      <c r="U1015" s="239"/>
      <c r="V1015" s="239"/>
      <c r="W1015" s="246"/>
      <c r="X1015" s="239"/>
      <c r="Y1015" s="239"/>
      <c r="Z1015" s="239"/>
      <c r="AA1015" s="239"/>
      <c r="AB1015" s="239"/>
      <c r="AC1015" s="239"/>
      <c r="AD1015" s="239"/>
      <c r="AE1015" s="239"/>
      <c r="AF1015" s="239"/>
      <c r="AG1015" s="239"/>
      <c r="AH1015" s="239"/>
      <c r="AI1015" s="239"/>
      <c r="AJ1015" s="239"/>
    </row>
    <row r="1016">
      <c r="A1016" s="239"/>
      <c r="B1016" s="239"/>
      <c r="C1016" s="239"/>
      <c r="D1016" s="239"/>
      <c r="E1016" s="239"/>
      <c r="F1016" s="283"/>
      <c r="G1016" s="239"/>
      <c r="H1016" s="239"/>
      <c r="I1016" s="239"/>
      <c r="J1016" s="239"/>
      <c r="K1016" s="239"/>
      <c r="L1016" s="239"/>
      <c r="M1016" s="239"/>
      <c r="N1016" s="239"/>
      <c r="O1016" s="239"/>
      <c r="P1016" s="246"/>
      <c r="Q1016" s="239"/>
      <c r="R1016" s="239"/>
      <c r="S1016" s="239"/>
      <c r="T1016" s="239"/>
      <c r="U1016" s="239"/>
      <c r="V1016" s="239"/>
      <c r="W1016" s="246"/>
      <c r="X1016" s="239"/>
      <c r="Y1016" s="239"/>
      <c r="Z1016" s="239"/>
      <c r="AA1016" s="239"/>
      <c r="AB1016" s="239"/>
      <c r="AC1016" s="239"/>
      <c r="AD1016" s="239"/>
      <c r="AE1016" s="239"/>
      <c r="AF1016" s="239"/>
      <c r="AG1016" s="239"/>
      <c r="AH1016" s="239"/>
      <c r="AI1016" s="239"/>
      <c r="AJ1016" s="239"/>
    </row>
    <row r="1017">
      <c r="A1017" s="239"/>
      <c r="B1017" s="239"/>
      <c r="C1017" s="239"/>
      <c r="D1017" s="239"/>
      <c r="E1017" s="239"/>
      <c r="F1017" s="283"/>
      <c r="G1017" s="239"/>
      <c r="H1017" s="239"/>
      <c r="I1017" s="239"/>
      <c r="J1017" s="239"/>
      <c r="K1017" s="239"/>
      <c r="L1017" s="239"/>
      <c r="M1017" s="239"/>
      <c r="N1017" s="239"/>
      <c r="O1017" s="239"/>
      <c r="P1017" s="246"/>
      <c r="Q1017" s="239"/>
      <c r="R1017" s="239"/>
      <c r="S1017" s="239"/>
      <c r="T1017" s="239"/>
      <c r="U1017" s="239"/>
      <c r="V1017" s="239"/>
      <c r="W1017" s="246"/>
      <c r="X1017" s="239"/>
      <c r="Y1017" s="239"/>
      <c r="Z1017" s="239"/>
      <c r="AA1017" s="239"/>
      <c r="AB1017" s="239"/>
      <c r="AC1017" s="239"/>
      <c r="AD1017" s="239"/>
      <c r="AE1017" s="239"/>
      <c r="AF1017" s="239"/>
      <c r="AG1017" s="239"/>
      <c r="AH1017" s="239"/>
      <c r="AI1017" s="239"/>
      <c r="AJ1017" s="239"/>
    </row>
    <row r="1018">
      <c r="A1018" s="239"/>
      <c r="B1018" s="239"/>
      <c r="C1018" s="239"/>
      <c r="D1018" s="239"/>
      <c r="E1018" s="239"/>
      <c r="F1018" s="283"/>
      <c r="G1018" s="239"/>
      <c r="H1018" s="239"/>
      <c r="I1018" s="239"/>
      <c r="J1018" s="239"/>
      <c r="K1018" s="239"/>
      <c r="L1018" s="239"/>
      <c r="M1018" s="239"/>
      <c r="N1018" s="239"/>
      <c r="O1018" s="239"/>
      <c r="P1018" s="246"/>
      <c r="Q1018" s="239"/>
      <c r="R1018" s="239"/>
      <c r="S1018" s="239"/>
      <c r="T1018" s="239"/>
      <c r="U1018" s="239"/>
      <c r="V1018" s="239"/>
      <c r="W1018" s="246"/>
      <c r="X1018" s="239"/>
      <c r="Y1018" s="239"/>
      <c r="Z1018" s="239"/>
      <c r="AA1018" s="239"/>
      <c r="AB1018" s="239"/>
      <c r="AC1018" s="239"/>
      <c r="AD1018" s="239"/>
      <c r="AE1018" s="239"/>
      <c r="AF1018" s="239"/>
      <c r="AG1018" s="239"/>
      <c r="AH1018" s="239"/>
      <c r="AI1018" s="239"/>
      <c r="AJ1018" s="239"/>
    </row>
    <row r="1019">
      <c r="A1019" s="239"/>
      <c r="B1019" s="239"/>
      <c r="C1019" s="239"/>
      <c r="D1019" s="239"/>
      <c r="E1019" s="239"/>
      <c r="F1019" s="283"/>
      <c r="G1019" s="239"/>
      <c r="H1019" s="239"/>
      <c r="I1019" s="239"/>
      <c r="J1019" s="239"/>
      <c r="K1019" s="239"/>
      <c r="L1019" s="239"/>
      <c r="M1019" s="239"/>
      <c r="N1019" s="239"/>
      <c r="O1019" s="239"/>
      <c r="P1019" s="246"/>
      <c r="Q1019" s="239"/>
      <c r="R1019" s="239"/>
      <c r="S1019" s="239"/>
      <c r="T1019" s="239"/>
      <c r="U1019" s="239"/>
      <c r="V1019" s="239"/>
      <c r="W1019" s="246"/>
      <c r="X1019" s="239"/>
      <c r="Y1019" s="239"/>
      <c r="Z1019" s="239"/>
      <c r="AA1019" s="239"/>
      <c r="AB1019" s="239"/>
      <c r="AC1019" s="239"/>
      <c r="AD1019" s="239"/>
      <c r="AE1019" s="239"/>
      <c r="AF1019" s="239"/>
      <c r="AG1019" s="239"/>
      <c r="AH1019" s="239"/>
      <c r="AI1019" s="239"/>
      <c r="AJ1019" s="239"/>
    </row>
    <row r="1020">
      <c r="A1020" s="239"/>
      <c r="B1020" s="239"/>
      <c r="C1020" s="239"/>
      <c r="D1020" s="239"/>
      <c r="E1020" s="239"/>
      <c r="F1020" s="283"/>
      <c r="G1020" s="239"/>
      <c r="H1020" s="239"/>
      <c r="I1020" s="239"/>
      <c r="J1020" s="239"/>
      <c r="K1020" s="239"/>
      <c r="L1020" s="239"/>
      <c r="M1020" s="239"/>
      <c r="N1020" s="239"/>
      <c r="O1020" s="239"/>
      <c r="P1020" s="246"/>
      <c r="Q1020" s="239"/>
      <c r="R1020" s="239"/>
      <c r="S1020" s="239"/>
      <c r="T1020" s="239"/>
      <c r="U1020" s="239"/>
      <c r="V1020" s="239"/>
      <c r="W1020" s="246"/>
      <c r="X1020" s="239"/>
      <c r="Y1020" s="239"/>
      <c r="Z1020" s="239"/>
      <c r="AA1020" s="239"/>
      <c r="AB1020" s="239"/>
      <c r="AC1020" s="239"/>
      <c r="AD1020" s="239"/>
      <c r="AE1020" s="239"/>
      <c r="AF1020" s="239"/>
      <c r="AG1020" s="239"/>
      <c r="AH1020" s="239"/>
      <c r="AI1020" s="239"/>
      <c r="AJ1020" s="239"/>
    </row>
    <row r="1021">
      <c r="A1021" s="239"/>
      <c r="B1021" s="239"/>
      <c r="C1021" s="239"/>
      <c r="D1021" s="239"/>
      <c r="E1021" s="239"/>
      <c r="F1021" s="283"/>
      <c r="G1021" s="239"/>
      <c r="H1021" s="239"/>
      <c r="I1021" s="239"/>
      <c r="J1021" s="239"/>
      <c r="K1021" s="239"/>
      <c r="L1021" s="239"/>
      <c r="M1021" s="239"/>
      <c r="N1021" s="239"/>
      <c r="O1021" s="239"/>
      <c r="P1021" s="246"/>
      <c r="Q1021" s="239"/>
      <c r="R1021" s="239"/>
      <c r="S1021" s="239"/>
      <c r="T1021" s="239"/>
      <c r="U1021" s="239"/>
      <c r="V1021" s="239"/>
      <c r="W1021" s="246"/>
      <c r="X1021" s="239"/>
      <c r="Y1021" s="239"/>
      <c r="Z1021" s="239"/>
      <c r="AA1021" s="239"/>
      <c r="AB1021" s="239"/>
      <c r="AC1021" s="239"/>
      <c r="AD1021" s="239"/>
      <c r="AE1021" s="239"/>
      <c r="AF1021" s="239"/>
      <c r="AG1021" s="239"/>
      <c r="AH1021" s="239"/>
      <c r="AI1021" s="239"/>
      <c r="AJ1021" s="239"/>
    </row>
    <row r="1022">
      <c r="A1022" s="239"/>
      <c r="B1022" s="239"/>
      <c r="C1022" s="239"/>
      <c r="D1022" s="239"/>
      <c r="E1022" s="239"/>
      <c r="F1022" s="283"/>
      <c r="G1022" s="239"/>
      <c r="H1022" s="239"/>
      <c r="I1022" s="239"/>
      <c r="J1022" s="239"/>
      <c r="K1022" s="239"/>
      <c r="L1022" s="239"/>
      <c r="M1022" s="239"/>
      <c r="N1022" s="239"/>
      <c r="O1022" s="239"/>
      <c r="P1022" s="246"/>
      <c r="Q1022" s="239"/>
      <c r="R1022" s="239"/>
      <c r="S1022" s="239"/>
      <c r="T1022" s="239"/>
      <c r="U1022" s="239"/>
      <c r="V1022" s="239"/>
      <c r="W1022" s="246"/>
      <c r="X1022" s="239"/>
      <c r="Y1022" s="239"/>
      <c r="Z1022" s="239"/>
      <c r="AA1022" s="239"/>
      <c r="AB1022" s="239"/>
      <c r="AC1022" s="239"/>
      <c r="AD1022" s="239"/>
      <c r="AE1022" s="239"/>
      <c r="AF1022" s="239"/>
      <c r="AG1022" s="239"/>
      <c r="AH1022" s="239"/>
      <c r="AI1022" s="239"/>
      <c r="AJ1022" s="239"/>
    </row>
    <row r="1023">
      <c r="A1023" s="239"/>
      <c r="B1023" s="239"/>
      <c r="C1023" s="239"/>
      <c r="D1023" s="239"/>
      <c r="E1023" s="239"/>
      <c r="F1023" s="283"/>
      <c r="G1023" s="239"/>
      <c r="H1023" s="239"/>
      <c r="I1023" s="239"/>
      <c r="J1023" s="239"/>
      <c r="K1023" s="239"/>
      <c r="L1023" s="239"/>
      <c r="M1023" s="239"/>
      <c r="N1023" s="239"/>
      <c r="O1023" s="239"/>
      <c r="P1023" s="246"/>
      <c r="Q1023" s="239"/>
      <c r="R1023" s="239"/>
      <c r="S1023" s="239"/>
      <c r="T1023" s="239"/>
      <c r="U1023" s="239"/>
      <c r="V1023" s="239"/>
      <c r="W1023" s="246"/>
      <c r="X1023" s="239"/>
      <c r="Y1023" s="239"/>
      <c r="Z1023" s="239"/>
      <c r="AA1023" s="239"/>
      <c r="AB1023" s="239"/>
      <c r="AC1023" s="239"/>
      <c r="AD1023" s="239"/>
      <c r="AE1023" s="239"/>
      <c r="AF1023" s="239"/>
      <c r="AG1023" s="239"/>
      <c r="AH1023" s="239"/>
      <c r="AI1023" s="239"/>
      <c r="AJ1023" s="239"/>
    </row>
    <row r="1024">
      <c r="A1024" s="239"/>
      <c r="B1024" s="239"/>
      <c r="C1024" s="239"/>
      <c r="D1024" s="239"/>
      <c r="E1024" s="239"/>
      <c r="F1024" s="283"/>
      <c r="G1024" s="239"/>
      <c r="H1024" s="239"/>
      <c r="I1024" s="239"/>
      <c r="J1024" s="239"/>
      <c r="K1024" s="239"/>
      <c r="L1024" s="239"/>
      <c r="M1024" s="239"/>
      <c r="N1024" s="239"/>
      <c r="O1024" s="239"/>
      <c r="P1024" s="246"/>
      <c r="Q1024" s="239"/>
      <c r="R1024" s="239"/>
      <c r="S1024" s="239"/>
      <c r="T1024" s="239"/>
      <c r="U1024" s="239"/>
      <c r="V1024" s="239"/>
      <c r="W1024" s="246"/>
      <c r="X1024" s="239"/>
      <c r="Y1024" s="239"/>
      <c r="Z1024" s="239"/>
      <c r="AA1024" s="239"/>
      <c r="AB1024" s="239"/>
      <c r="AC1024" s="239"/>
      <c r="AD1024" s="239"/>
      <c r="AE1024" s="239"/>
      <c r="AF1024" s="239"/>
      <c r="AG1024" s="239"/>
      <c r="AH1024" s="239"/>
      <c r="AI1024" s="239"/>
      <c r="AJ1024" s="239"/>
    </row>
    <row r="1025">
      <c r="A1025" s="239"/>
      <c r="B1025" s="239"/>
      <c r="C1025" s="239"/>
      <c r="D1025" s="239"/>
      <c r="E1025" s="239"/>
      <c r="F1025" s="283"/>
      <c r="G1025" s="239"/>
      <c r="H1025" s="239"/>
      <c r="I1025" s="239"/>
      <c r="J1025" s="239"/>
      <c r="K1025" s="239"/>
      <c r="L1025" s="239"/>
      <c r="M1025" s="239"/>
      <c r="N1025" s="239"/>
      <c r="O1025" s="239"/>
      <c r="P1025" s="246"/>
      <c r="Q1025" s="239"/>
      <c r="R1025" s="239"/>
      <c r="S1025" s="239"/>
      <c r="T1025" s="239"/>
      <c r="U1025" s="239"/>
      <c r="V1025" s="239"/>
      <c r="W1025" s="246"/>
      <c r="X1025" s="239"/>
      <c r="Y1025" s="239"/>
      <c r="Z1025" s="239"/>
      <c r="AA1025" s="239"/>
      <c r="AB1025" s="239"/>
      <c r="AC1025" s="239"/>
      <c r="AD1025" s="239"/>
      <c r="AE1025" s="239"/>
      <c r="AF1025" s="239"/>
      <c r="AG1025" s="239"/>
      <c r="AH1025" s="239"/>
      <c r="AI1025" s="239"/>
      <c r="AJ1025" s="239"/>
    </row>
    <row r="1026">
      <c r="A1026" s="239"/>
      <c r="B1026" s="239"/>
      <c r="C1026" s="239"/>
      <c r="D1026" s="239"/>
      <c r="E1026" s="239"/>
      <c r="F1026" s="283"/>
      <c r="G1026" s="239"/>
      <c r="H1026" s="239"/>
      <c r="I1026" s="239"/>
      <c r="J1026" s="239"/>
      <c r="K1026" s="239"/>
      <c r="L1026" s="239"/>
      <c r="M1026" s="239"/>
      <c r="N1026" s="239"/>
      <c r="O1026" s="239"/>
      <c r="P1026" s="246"/>
      <c r="Q1026" s="239"/>
      <c r="R1026" s="239"/>
      <c r="S1026" s="239"/>
      <c r="T1026" s="239"/>
      <c r="U1026" s="239"/>
      <c r="V1026" s="239"/>
      <c r="W1026" s="246"/>
      <c r="X1026" s="239"/>
      <c r="Y1026" s="239"/>
      <c r="Z1026" s="239"/>
      <c r="AA1026" s="239"/>
      <c r="AB1026" s="239"/>
      <c r="AC1026" s="239"/>
      <c r="AD1026" s="239"/>
      <c r="AE1026" s="239"/>
      <c r="AF1026" s="239"/>
      <c r="AG1026" s="239"/>
      <c r="AH1026" s="239"/>
      <c r="AI1026" s="239"/>
      <c r="AJ1026" s="239"/>
    </row>
    <row r="1027">
      <c r="A1027" s="239"/>
      <c r="B1027" s="239"/>
      <c r="C1027" s="239"/>
      <c r="D1027" s="239"/>
      <c r="E1027" s="239"/>
      <c r="F1027" s="283"/>
      <c r="G1027" s="239"/>
      <c r="H1027" s="239"/>
      <c r="I1027" s="239"/>
      <c r="J1027" s="239"/>
      <c r="K1027" s="239"/>
      <c r="L1027" s="239"/>
      <c r="M1027" s="239"/>
      <c r="N1027" s="239"/>
      <c r="O1027" s="239"/>
      <c r="P1027" s="246"/>
      <c r="Q1027" s="239"/>
      <c r="R1027" s="239"/>
      <c r="S1027" s="239"/>
      <c r="T1027" s="239"/>
      <c r="U1027" s="239"/>
      <c r="V1027" s="239"/>
      <c r="W1027" s="246"/>
      <c r="X1027" s="239"/>
      <c r="Y1027" s="239"/>
      <c r="Z1027" s="239"/>
      <c r="AA1027" s="239"/>
      <c r="AB1027" s="239"/>
      <c r="AC1027" s="239"/>
      <c r="AD1027" s="239"/>
      <c r="AE1027" s="239"/>
      <c r="AF1027" s="239"/>
      <c r="AG1027" s="239"/>
      <c r="AH1027" s="239"/>
      <c r="AI1027" s="239"/>
      <c r="AJ1027" s="239"/>
    </row>
    <row r="1028">
      <c r="A1028" s="239"/>
      <c r="B1028" s="239"/>
      <c r="C1028" s="239"/>
      <c r="D1028" s="239"/>
      <c r="E1028" s="239"/>
      <c r="F1028" s="283"/>
      <c r="G1028" s="239"/>
      <c r="H1028" s="239"/>
      <c r="I1028" s="239"/>
      <c r="J1028" s="239"/>
      <c r="K1028" s="239"/>
      <c r="L1028" s="239"/>
      <c r="M1028" s="239"/>
      <c r="N1028" s="239"/>
      <c r="O1028" s="239"/>
      <c r="P1028" s="246"/>
      <c r="Q1028" s="239"/>
      <c r="R1028" s="239"/>
      <c r="S1028" s="239"/>
      <c r="T1028" s="239"/>
      <c r="U1028" s="239"/>
      <c r="V1028" s="239"/>
      <c r="W1028" s="246"/>
      <c r="X1028" s="239"/>
      <c r="Y1028" s="239"/>
      <c r="Z1028" s="239"/>
      <c r="AA1028" s="239"/>
      <c r="AB1028" s="239"/>
      <c r="AC1028" s="239"/>
      <c r="AD1028" s="239"/>
      <c r="AE1028" s="239"/>
      <c r="AF1028" s="239"/>
      <c r="AG1028" s="239"/>
      <c r="AH1028" s="239"/>
      <c r="AI1028" s="239"/>
      <c r="AJ1028" s="239"/>
    </row>
    <row r="1029">
      <c r="A1029" s="239"/>
      <c r="B1029" s="239"/>
      <c r="C1029" s="239"/>
      <c r="D1029" s="239"/>
      <c r="E1029" s="239"/>
      <c r="F1029" s="283"/>
      <c r="G1029" s="239"/>
      <c r="H1029" s="239"/>
      <c r="I1029" s="239"/>
      <c r="J1029" s="239"/>
      <c r="K1029" s="239"/>
      <c r="L1029" s="239"/>
      <c r="M1029" s="239"/>
      <c r="N1029" s="239"/>
      <c r="O1029" s="239"/>
      <c r="P1029" s="246"/>
      <c r="Q1029" s="239"/>
      <c r="R1029" s="239"/>
      <c r="S1029" s="239"/>
      <c r="T1029" s="239"/>
      <c r="U1029" s="239"/>
      <c r="V1029" s="239"/>
      <c r="W1029" s="246"/>
      <c r="X1029" s="239"/>
      <c r="Y1029" s="239"/>
      <c r="Z1029" s="239"/>
      <c r="AA1029" s="239"/>
      <c r="AB1029" s="239"/>
      <c r="AC1029" s="239"/>
      <c r="AD1029" s="239"/>
      <c r="AE1029" s="239"/>
      <c r="AF1029" s="239"/>
      <c r="AG1029" s="239"/>
      <c r="AH1029" s="239"/>
      <c r="AI1029" s="239"/>
      <c r="AJ1029" s="239"/>
    </row>
    <row r="1030">
      <c r="A1030" s="239"/>
      <c r="B1030" s="239"/>
      <c r="C1030" s="239"/>
      <c r="D1030" s="239"/>
      <c r="E1030" s="239"/>
      <c r="F1030" s="283"/>
      <c r="G1030" s="239"/>
      <c r="H1030" s="239"/>
      <c r="I1030" s="239"/>
      <c r="J1030" s="239"/>
      <c r="K1030" s="239"/>
      <c r="L1030" s="239"/>
      <c r="M1030" s="239"/>
      <c r="N1030" s="239"/>
      <c r="O1030" s="239"/>
      <c r="P1030" s="246"/>
      <c r="Q1030" s="239"/>
      <c r="R1030" s="239"/>
      <c r="S1030" s="239"/>
      <c r="T1030" s="239"/>
      <c r="U1030" s="239"/>
      <c r="V1030" s="239"/>
      <c r="W1030" s="246"/>
      <c r="X1030" s="239"/>
      <c r="Y1030" s="239"/>
      <c r="Z1030" s="239"/>
      <c r="AA1030" s="239"/>
      <c r="AB1030" s="239"/>
      <c r="AC1030" s="239"/>
      <c r="AD1030" s="239"/>
      <c r="AE1030" s="239"/>
      <c r="AF1030" s="239"/>
      <c r="AG1030" s="239"/>
      <c r="AH1030" s="239"/>
      <c r="AI1030" s="239"/>
      <c r="AJ1030" s="239"/>
    </row>
    <row r="1031">
      <c r="A1031" s="239"/>
      <c r="B1031" s="239"/>
      <c r="C1031" s="239"/>
      <c r="D1031" s="239"/>
      <c r="E1031" s="239"/>
      <c r="F1031" s="283"/>
      <c r="G1031" s="239"/>
      <c r="H1031" s="239"/>
      <c r="I1031" s="239"/>
      <c r="J1031" s="239"/>
      <c r="K1031" s="239"/>
      <c r="L1031" s="239"/>
      <c r="M1031" s="239"/>
      <c r="N1031" s="239"/>
      <c r="O1031" s="239"/>
      <c r="P1031" s="246"/>
      <c r="Q1031" s="239"/>
      <c r="R1031" s="239"/>
      <c r="S1031" s="239"/>
      <c r="T1031" s="239"/>
      <c r="U1031" s="239"/>
      <c r="V1031" s="239"/>
      <c r="W1031" s="246"/>
      <c r="X1031" s="239"/>
      <c r="Y1031" s="239"/>
      <c r="Z1031" s="239"/>
      <c r="AA1031" s="239"/>
      <c r="AB1031" s="239"/>
      <c r="AC1031" s="239"/>
      <c r="AD1031" s="239"/>
      <c r="AE1031" s="239"/>
      <c r="AF1031" s="239"/>
      <c r="AG1031" s="239"/>
      <c r="AH1031" s="239"/>
      <c r="AI1031" s="239"/>
      <c r="AJ1031" s="239"/>
    </row>
    <row r="1032">
      <c r="A1032" s="239"/>
      <c r="B1032" s="239"/>
      <c r="C1032" s="239"/>
      <c r="D1032" s="239"/>
      <c r="E1032" s="239"/>
      <c r="F1032" s="283"/>
      <c r="G1032" s="239"/>
      <c r="H1032" s="239"/>
      <c r="I1032" s="239"/>
      <c r="J1032" s="239"/>
      <c r="K1032" s="239"/>
      <c r="L1032" s="239"/>
      <c r="M1032" s="239"/>
      <c r="N1032" s="239"/>
      <c r="O1032" s="239"/>
      <c r="P1032" s="246"/>
      <c r="Q1032" s="239"/>
      <c r="R1032" s="239"/>
      <c r="S1032" s="239"/>
      <c r="T1032" s="239"/>
      <c r="U1032" s="239"/>
      <c r="V1032" s="239"/>
      <c r="W1032" s="246"/>
      <c r="X1032" s="239"/>
      <c r="Y1032" s="239"/>
      <c r="Z1032" s="239"/>
      <c r="AA1032" s="239"/>
      <c r="AB1032" s="239"/>
      <c r="AC1032" s="239"/>
      <c r="AD1032" s="239"/>
      <c r="AE1032" s="239"/>
      <c r="AF1032" s="239"/>
      <c r="AG1032" s="239"/>
      <c r="AH1032" s="239"/>
      <c r="AI1032" s="239"/>
      <c r="AJ1032" s="239"/>
    </row>
    <row r="1033">
      <c r="A1033" s="239"/>
      <c r="B1033" s="239"/>
      <c r="C1033" s="239"/>
      <c r="D1033" s="239"/>
      <c r="E1033" s="239"/>
      <c r="F1033" s="283"/>
      <c r="G1033" s="239"/>
      <c r="H1033" s="239"/>
      <c r="I1033" s="239"/>
      <c r="J1033" s="239"/>
      <c r="K1033" s="239"/>
      <c r="L1033" s="239"/>
      <c r="M1033" s="239"/>
      <c r="N1033" s="239"/>
      <c r="O1033" s="239"/>
      <c r="P1033" s="246"/>
      <c r="Q1033" s="239"/>
      <c r="R1033" s="239"/>
      <c r="S1033" s="239"/>
      <c r="T1033" s="239"/>
      <c r="U1033" s="239"/>
      <c r="V1033" s="239"/>
      <c r="W1033" s="246"/>
      <c r="X1033" s="239"/>
      <c r="Y1033" s="239"/>
      <c r="Z1033" s="239"/>
      <c r="AA1033" s="239"/>
      <c r="AB1033" s="239"/>
      <c r="AC1033" s="239"/>
      <c r="AD1033" s="239"/>
      <c r="AE1033" s="239"/>
      <c r="AF1033" s="239"/>
      <c r="AG1033" s="239"/>
      <c r="AH1033" s="239"/>
      <c r="AI1033" s="239"/>
      <c r="AJ1033" s="239"/>
    </row>
    <row r="1034">
      <c r="A1034" s="239"/>
      <c r="B1034" s="239"/>
      <c r="C1034" s="239"/>
      <c r="D1034" s="239"/>
      <c r="E1034" s="239"/>
      <c r="F1034" s="283"/>
      <c r="G1034" s="239"/>
      <c r="H1034" s="239"/>
      <c r="I1034" s="239"/>
      <c r="J1034" s="239"/>
      <c r="K1034" s="239"/>
      <c r="L1034" s="239"/>
      <c r="M1034" s="239"/>
      <c r="N1034" s="239"/>
      <c r="O1034" s="239"/>
      <c r="P1034" s="246"/>
      <c r="Q1034" s="239"/>
      <c r="R1034" s="239"/>
      <c r="S1034" s="239"/>
      <c r="T1034" s="239"/>
      <c r="U1034" s="239"/>
      <c r="V1034" s="239"/>
      <c r="W1034" s="246"/>
      <c r="X1034" s="239"/>
      <c r="Y1034" s="239"/>
      <c r="Z1034" s="239"/>
      <c r="AA1034" s="239"/>
      <c r="AB1034" s="239"/>
      <c r="AC1034" s="239"/>
      <c r="AD1034" s="239"/>
      <c r="AE1034" s="239"/>
      <c r="AF1034" s="239"/>
      <c r="AG1034" s="239"/>
      <c r="AH1034" s="239"/>
      <c r="AI1034" s="239"/>
      <c r="AJ1034" s="239"/>
    </row>
    <row r="1035">
      <c r="A1035" s="239"/>
      <c r="B1035" s="239"/>
      <c r="C1035" s="239"/>
      <c r="D1035" s="239"/>
      <c r="E1035" s="239"/>
      <c r="F1035" s="283"/>
      <c r="G1035" s="239"/>
      <c r="H1035" s="239"/>
      <c r="I1035" s="239"/>
      <c r="J1035" s="239"/>
      <c r="K1035" s="239"/>
      <c r="L1035" s="239"/>
      <c r="M1035" s="239"/>
      <c r="N1035" s="239"/>
      <c r="O1035" s="239"/>
      <c r="P1035" s="246"/>
      <c r="Q1035" s="239"/>
      <c r="R1035" s="239"/>
      <c r="S1035" s="239"/>
      <c r="T1035" s="239"/>
      <c r="U1035" s="239"/>
      <c r="V1035" s="239"/>
      <c r="W1035" s="246"/>
      <c r="X1035" s="239"/>
      <c r="Y1035" s="239"/>
      <c r="Z1035" s="239"/>
      <c r="AA1035" s="239"/>
      <c r="AB1035" s="239"/>
      <c r="AC1035" s="239"/>
      <c r="AD1035" s="239"/>
      <c r="AE1035" s="239"/>
      <c r="AF1035" s="239"/>
      <c r="AG1035" s="239"/>
      <c r="AH1035" s="239"/>
      <c r="AI1035" s="239"/>
      <c r="AJ1035" s="239"/>
    </row>
    <row r="1036">
      <c r="A1036" s="239"/>
      <c r="B1036" s="239"/>
      <c r="C1036" s="239"/>
      <c r="D1036" s="239"/>
      <c r="E1036" s="239"/>
      <c r="F1036" s="283"/>
      <c r="G1036" s="239"/>
      <c r="H1036" s="239"/>
      <c r="I1036" s="239"/>
      <c r="J1036" s="239"/>
      <c r="K1036" s="239"/>
      <c r="L1036" s="239"/>
      <c r="M1036" s="239"/>
      <c r="N1036" s="239"/>
      <c r="O1036" s="239"/>
      <c r="P1036" s="246"/>
      <c r="Q1036" s="239"/>
      <c r="R1036" s="239"/>
      <c r="S1036" s="239"/>
      <c r="T1036" s="239"/>
      <c r="U1036" s="239"/>
      <c r="V1036" s="239"/>
      <c r="W1036" s="246"/>
      <c r="X1036" s="239"/>
      <c r="Y1036" s="239"/>
      <c r="Z1036" s="239"/>
      <c r="AA1036" s="239"/>
      <c r="AB1036" s="239"/>
      <c r="AC1036" s="239"/>
      <c r="AD1036" s="239"/>
      <c r="AE1036" s="239"/>
      <c r="AF1036" s="239"/>
      <c r="AG1036" s="239"/>
      <c r="AH1036" s="239"/>
      <c r="AI1036" s="239"/>
      <c r="AJ1036" s="239"/>
    </row>
    <row r="1037">
      <c r="A1037" s="239"/>
      <c r="B1037" s="239"/>
      <c r="C1037" s="239"/>
      <c r="D1037" s="239"/>
      <c r="E1037" s="239"/>
      <c r="F1037" s="283"/>
      <c r="G1037" s="239"/>
      <c r="H1037" s="239"/>
      <c r="I1037" s="239"/>
      <c r="J1037" s="239"/>
      <c r="K1037" s="239"/>
      <c r="L1037" s="239"/>
      <c r="M1037" s="239"/>
      <c r="N1037" s="239"/>
      <c r="O1037" s="239"/>
      <c r="P1037" s="246"/>
      <c r="Q1037" s="239"/>
      <c r="R1037" s="239"/>
      <c r="S1037" s="239"/>
      <c r="T1037" s="239"/>
      <c r="U1037" s="239"/>
      <c r="V1037" s="239"/>
      <c r="W1037" s="246"/>
      <c r="X1037" s="239"/>
      <c r="Y1037" s="239"/>
      <c r="Z1037" s="239"/>
      <c r="AA1037" s="239"/>
      <c r="AB1037" s="239"/>
      <c r="AC1037" s="239"/>
      <c r="AD1037" s="239"/>
      <c r="AE1037" s="239"/>
      <c r="AF1037" s="239"/>
      <c r="AG1037" s="239"/>
      <c r="AH1037" s="239"/>
      <c r="AI1037" s="239"/>
      <c r="AJ1037" s="239"/>
    </row>
    <row r="1038">
      <c r="A1038" s="239"/>
      <c r="B1038" s="239"/>
      <c r="C1038" s="239"/>
      <c r="D1038" s="239"/>
      <c r="E1038" s="239"/>
      <c r="F1038" s="283"/>
      <c r="G1038" s="239"/>
      <c r="H1038" s="239"/>
      <c r="I1038" s="239"/>
      <c r="J1038" s="239"/>
      <c r="K1038" s="239"/>
      <c r="L1038" s="239"/>
      <c r="M1038" s="239"/>
      <c r="N1038" s="239"/>
      <c r="O1038" s="239"/>
      <c r="P1038" s="246"/>
      <c r="Q1038" s="239"/>
      <c r="R1038" s="239"/>
      <c r="S1038" s="239"/>
      <c r="T1038" s="239"/>
      <c r="U1038" s="239"/>
      <c r="V1038" s="239"/>
      <c r="W1038" s="246"/>
      <c r="X1038" s="239"/>
      <c r="Y1038" s="239"/>
      <c r="Z1038" s="239"/>
      <c r="AA1038" s="239"/>
      <c r="AB1038" s="239"/>
      <c r="AC1038" s="239"/>
      <c r="AD1038" s="239"/>
      <c r="AE1038" s="239"/>
      <c r="AF1038" s="239"/>
      <c r="AG1038" s="239"/>
      <c r="AH1038" s="239"/>
      <c r="AI1038" s="239"/>
      <c r="AJ1038" s="239"/>
    </row>
    <row r="1039">
      <c r="A1039" s="239"/>
      <c r="B1039" s="239"/>
      <c r="C1039" s="239"/>
      <c r="D1039" s="239"/>
      <c r="E1039" s="239"/>
      <c r="F1039" s="283"/>
      <c r="G1039" s="239"/>
      <c r="H1039" s="239"/>
      <c r="I1039" s="239"/>
      <c r="J1039" s="239"/>
      <c r="K1039" s="239"/>
      <c r="L1039" s="239"/>
      <c r="M1039" s="239"/>
      <c r="N1039" s="239"/>
      <c r="O1039" s="239"/>
      <c r="P1039" s="246"/>
      <c r="Q1039" s="239"/>
      <c r="R1039" s="239"/>
      <c r="S1039" s="239"/>
      <c r="T1039" s="239"/>
      <c r="U1039" s="239"/>
      <c r="V1039" s="239"/>
      <c r="W1039" s="246"/>
      <c r="X1039" s="239"/>
      <c r="Y1039" s="239"/>
      <c r="Z1039" s="239"/>
      <c r="AA1039" s="239"/>
      <c r="AB1039" s="239"/>
      <c r="AC1039" s="239"/>
      <c r="AD1039" s="239"/>
      <c r="AE1039" s="239"/>
      <c r="AF1039" s="239"/>
      <c r="AG1039" s="239"/>
      <c r="AH1039" s="239"/>
      <c r="AI1039" s="239"/>
      <c r="AJ1039" s="239"/>
    </row>
    <row r="1040">
      <c r="A1040" s="239"/>
      <c r="B1040" s="239"/>
      <c r="C1040" s="239"/>
      <c r="D1040" s="239"/>
      <c r="E1040" s="239"/>
      <c r="F1040" s="283"/>
      <c r="G1040" s="239"/>
      <c r="H1040" s="239"/>
      <c r="I1040" s="239"/>
      <c r="J1040" s="239"/>
      <c r="K1040" s="239"/>
      <c r="L1040" s="239"/>
      <c r="M1040" s="239"/>
      <c r="N1040" s="239"/>
      <c r="O1040" s="239"/>
      <c r="P1040" s="246"/>
      <c r="Q1040" s="239"/>
      <c r="R1040" s="239"/>
      <c r="S1040" s="239"/>
      <c r="T1040" s="239"/>
      <c r="U1040" s="239"/>
      <c r="V1040" s="239"/>
      <c r="W1040" s="246"/>
      <c r="X1040" s="239"/>
      <c r="Y1040" s="239"/>
      <c r="Z1040" s="239"/>
      <c r="AA1040" s="239"/>
      <c r="AB1040" s="239"/>
      <c r="AC1040" s="239"/>
      <c r="AD1040" s="239"/>
      <c r="AE1040" s="239"/>
      <c r="AF1040" s="239"/>
      <c r="AG1040" s="239"/>
      <c r="AH1040" s="239"/>
      <c r="AI1040" s="239"/>
      <c r="AJ1040" s="239"/>
    </row>
    <row r="1041">
      <c r="A1041" s="239"/>
      <c r="B1041" s="239"/>
      <c r="C1041" s="239"/>
      <c r="D1041" s="239"/>
      <c r="E1041" s="239"/>
      <c r="F1041" s="283"/>
      <c r="G1041" s="239"/>
      <c r="H1041" s="239"/>
      <c r="I1041" s="239"/>
      <c r="J1041" s="239"/>
      <c r="K1041" s="239"/>
      <c r="L1041" s="239"/>
      <c r="M1041" s="239"/>
      <c r="N1041" s="239"/>
      <c r="O1041" s="239"/>
      <c r="P1041" s="246"/>
      <c r="Q1041" s="239"/>
      <c r="R1041" s="239"/>
      <c r="S1041" s="239"/>
      <c r="T1041" s="239"/>
      <c r="U1041" s="239"/>
      <c r="V1041" s="239"/>
      <c r="W1041" s="246"/>
      <c r="X1041" s="239"/>
      <c r="Y1041" s="239"/>
      <c r="Z1041" s="239"/>
      <c r="AA1041" s="239"/>
      <c r="AB1041" s="239"/>
      <c r="AC1041" s="239"/>
      <c r="AD1041" s="239"/>
      <c r="AE1041" s="239"/>
      <c r="AF1041" s="239"/>
      <c r="AG1041" s="239"/>
      <c r="AH1041" s="239"/>
      <c r="AI1041" s="239"/>
      <c r="AJ1041" s="239"/>
    </row>
    <row r="1042">
      <c r="A1042" s="239"/>
      <c r="B1042" s="239"/>
      <c r="C1042" s="239"/>
      <c r="D1042" s="239"/>
      <c r="E1042" s="239"/>
      <c r="F1042" s="283"/>
      <c r="G1042" s="239"/>
      <c r="H1042" s="239"/>
      <c r="I1042" s="239"/>
      <c r="J1042" s="239"/>
      <c r="K1042" s="239"/>
      <c r="L1042" s="239"/>
      <c r="M1042" s="239"/>
      <c r="N1042" s="239"/>
      <c r="O1042" s="239"/>
      <c r="P1042" s="246"/>
      <c r="Q1042" s="239"/>
      <c r="R1042" s="239"/>
      <c r="S1042" s="239"/>
      <c r="T1042" s="239"/>
      <c r="U1042" s="239"/>
      <c r="V1042" s="239"/>
      <c r="W1042" s="246"/>
      <c r="X1042" s="239"/>
      <c r="Y1042" s="239"/>
      <c r="Z1042" s="239"/>
      <c r="AA1042" s="239"/>
      <c r="AB1042" s="239"/>
      <c r="AC1042" s="239"/>
      <c r="AD1042" s="239"/>
      <c r="AE1042" s="239"/>
      <c r="AF1042" s="239"/>
      <c r="AG1042" s="239"/>
      <c r="AH1042" s="239"/>
      <c r="AI1042" s="239"/>
      <c r="AJ1042" s="239"/>
    </row>
    <row r="1043">
      <c r="A1043" s="239"/>
      <c r="B1043" s="239"/>
      <c r="C1043" s="239"/>
      <c r="D1043" s="239"/>
      <c r="E1043" s="239"/>
      <c r="F1043" s="283"/>
      <c r="G1043" s="239"/>
      <c r="H1043" s="239"/>
      <c r="I1043" s="239"/>
      <c r="J1043" s="239"/>
      <c r="K1043" s="239"/>
      <c r="L1043" s="239"/>
      <c r="M1043" s="239"/>
      <c r="N1043" s="239"/>
      <c r="O1043" s="239"/>
      <c r="P1043" s="246"/>
      <c r="Q1043" s="239"/>
      <c r="R1043" s="239"/>
      <c r="S1043" s="239"/>
      <c r="T1043" s="239"/>
      <c r="U1043" s="239"/>
      <c r="V1043" s="239"/>
      <c r="W1043" s="246"/>
      <c r="X1043" s="239"/>
      <c r="Y1043" s="239"/>
      <c r="Z1043" s="239"/>
      <c r="AA1043" s="239"/>
      <c r="AB1043" s="239"/>
      <c r="AC1043" s="239"/>
      <c r="AD1043" s="239"/>
      <c r="AE1043" s="239"/>
      <c r="AF1043" s="239"/>
      <c r="AG1043" s="239"/>
      <c r="AH1043" s="239"/>
      <c r="AI1043" s="239"/>
      <c r="AJ1043" s="239"/>
    </row>
    <row r="1044">
      <c r="A1044" s="239"/>
      <c r="B1044" s="239"/>
      <c r="C1044" s="239"/>
      <c r="D1044" s="239"/>
      <c r="E1044" s="239"/>
      <c r="F1044" s="283"/>
      <c r="G1044" s="239"/>
      <c r="H1044" s="239"/>
      <c r="I1044" s="239"/>
      <c r="J1044" s="239"/>
      <c r="K1044" s="239"/>
      <c r="L1044" s="239"/>
      <c r="M1044" s="239"/>
      <c r="N1044" s="239"/>
      <c r="O1044" s="239"/>
      <c r="P1044" s="246"/>
      <c r="Q1044" s="239"/>
      <c r="R1044" s="239"/>
      <c r="S1044" s="239"/>
      <c r="T1044" s="239"/>
      <c r="U1044" s="239"/>
      <c r="V1044" s="239"/>
      <c r="W1044" s="246"/>
      <c r="X1044" s="239"/>
      <c r="Y1044" s="239"/>
      <c r="Z1044" s="239"/>
      <c r="AA1044" s="239"/>
      <c r="AB1044" s="239"/>
      <c r="AC1044" s="239"/>
      <c r="AD1044" s="239"/>
      <c r="AE1044" s="239"/>
      <c r="AF1044" s="239"/>
      <c r="AG1044" s="239"/>
      <c r="AH1044" s="239"/>
      <c r="AI1044" s="239"/>
      <c r="AJ1044" s="239"/>
    </row>
    <row r="1045">
      <c r="A1045" s="239"/>
      <c r="B1045" s="239"/>
      <c r="C1045" s="239"/>
      <c r="D1045" s="239"/>
      <c r="E1045" s="239"/>
      <c r="F1045" s="283"/>
      <c r="G1045" s="239"/>
      <c r="H1045" s="239"/>
      <c r="I1045" s="239"/>
      <c r="J1045" s="239"/>
      <c r="K1045" s="239"/>
      <c r="L1045" s="239"/>
      <c r="M1045" s="239"/>
      <c r="N1045" s="239"/>
      <c r="O1045" s="239"/>
      <c r="P1045" s="246"/>
      <c r="Q1045" s="239"/>
      <c r="R1045" s="239"/>
      <c r="S1045" s="239"/>
      <c r="T1045" s="239"/>
      <c r="U1045" s="239"/>
      <c r="V1045" s="239"/>
      <c r="W1045" s="246"/>
      <c r="X1045" s="239"/>
      <c r="Y1045" s="239"/>
      <c r="Z1045" s="239"/>
      <c r="AA1045" s="239"/>
      <c r="AB1045" s="239"/>
      <c r="AC1045" s="239"/>
      <c r="AD1045" s="239"/>
      <c r="AE1045" s="239"/>
      <c r="AF1045" s="239"/>
      <c r="AG1045" s="239"/>
      <c r="AH1045" s="239"/>
      <c r="AI1045" s="239"/>
      <c r="AJ1045" s="239"/>
    </row>
    <row r="1046">
      <c r="A1046" s="239"/>
      <c r="B1046" s="239"/>
      <c r="C1046" s="239"/>
      <c r="D1046" s="239"/>
      <c r="E1046" s="239"/>
      <c r="F1046" s="283"/>
      <c r="G1046" s="239"/>
      <c r="H1046" s="239"/>
      <c r="I1046" s="239"/>
      <c r="J1046" s="239"/>
      <c r="K1046" s="239"/>
      <c r="L1046" s="239"/>
      <c r="M1046" s="239"/>
      <c r="N1046" s="239"/>
      <c r="O1046" s="239"/>
      <c r="P1046" s="246"/>
      <c r="Q1046" s="239"/>
      <c r="R1046" s="239"/>
      <c r="S1046" s="239"/>
      <c r="T1046" s="239"/>
      <c r="U1046" s="239"/>
      <c r="V1046" s="239"/>
      <c r="W1046" s="246"/>
      <c r="X1046" s="239"/>
      <c r="Y1046" s="239"/>
      <c r="Z1046" s="239"/>
      <c r="AA1046" s="239"/>
      <c r="AB1046" s="239"/>
      <c r="AC1046" s="239"/>
      <c r="AD1046" s="239"/>
      <c r="AE1046" s="239"/>
      <c r="AF1046" s="239"/>
      <c r="AG1046" s="239"/>
      <c r="AH1046" s="239"/>
      <c r="AI1046" s="239"/>
      <c r="AJ1046" s="239"/>
    </row>
    <row r="1047">
      <c r="A1047" s="239"/>
      <c r="B1047" s="239"/>
      <c r="C1047" s="239"/>
      <c r="D1047" s="239"/>
      <c r="E1047" s="239"/>
      <c r="F1047" s="283"/>
      <c r="G1047" s="239"/>
      <c r="H1047" s="239"/>
      <c r="I1047" s="239"/>
      <c r="J1047" s="239"/>
      <c r="K1047" s="239"/>
      <c r="L1047" s="239"/>
      <c r="M1047" s="239"/>
      <c r="N1047" s="239"/>
      <c r="O1047" s="239"/>
      <c r="P1047" s="246"/>
      <c r="Q1047" s="239"/>
      <c r="R1047" s="239"/>
      <c r="S1047" s="239"/>
      <c r="T1047" s="239"/>
      <c r="U1047" s="239"/>
      <c r="V1047" s="239"/>
      <c r="W1047" s="246"/>
      <c r="X1047" s="239"/>
      <c r="Y1047" s="239"/>
      <c r="Z1047" s="239"/>
      <c r="AA1047" s="239"/>
      <c r="AB1047" s="239"/>
      <c r="AC1047" s="239"/>
      <c r="AD1047" s="239"/>
      <c r="AE1047" s="239"/>
      <c r="AF1047" s="239"/>
      <c r="AG1047" s="239"/>
      <c r="AH1047" s="239"/>
      <c r="AI1047" s="239"/>
      <c r="AJ1047" s="239"/>
    </row>
    <row r="1048">
      <c r="A1048" s="239"/>
      <c r="B1048" s="239"/>
      <c r="C1048" s="239"/>
      <c r="D1048" s="239"/>
      <c r="E1048" s="239"/>
      <c r="F1048" s="283"/>
      <c r="G1048" s="239"/>
      <c r="H1048" s="239"/>
      <c r="I1048" s="239"/>
      <c r="J1048" s="239"/>
      <c r="K1048" s="239"/>
      <c r="L1048" s="239"/>
      <c r="M1048" s="239"/>
      <c r="N1048" s="239"/>
      <c r="O1048" s="239"/>
      <c r="P1048" s="246"/>
      <c r="Q1048" s="239"/>
      <c r="R1048" s="239"/>
      <c r="S1048" s="239"/>
      <c r="T1048" s="239"/>
      <c r="U1048" s="239"/>
      <c r="V1048" s="239"/>
      <c r="W1048" s="246"/>
      <c r="X1048" s="239"/>
      <c r="Y1048" s="239"/>
      <c r="Z1048" s="239"/>
      <c r="AA1048" s="239"/>
      <c r="AB1048" s="239"/>
      <c r="AC1048" s="239"/>
      <c r="AD1048" s="239"/>
      <c r="AE1048" s="239"/>
      <c r="AF1048" s="239"/>
      <c r="AG1048" s="239"/>
      <c r="AH1048" s="239"/>
      <c r="AI1048" s="239"/>
      <c r="AJ1048" s="239"/>
    </row>
    <row r="1049">
      <c r="A1049" s="239"/>
      <c r="B1049" s="239"/>
      <c r="C1049" s="239"/>
      <c r="D1049" s="239"/>
      <c r="E1049" s="239"/>
      <c r="F1049" s="283"/>
      <c r="G1049" s="239"/>
      <c r="H1049" s="239"/>
      <c r="I1049" s="239"/>
      <c r="J1049" s="239"/>
      <c r="K1049" s="239"/>
      <c r="L1049" s="239"/>
      <c r="M1049" s="239"/>
      <c r="N1049" s="239"/>
      <c r="O1049" s="239"/>
      <c r="P1049" s="246"/>
      <c r="Q1049" s="239"/>
      <c r="R1049" s="239"/>
      <c r="S1049" s="239"/>
      <c r="T1049" s="239"/>
      <c r="U1049" s="239"/>
      <c r="V1049" s="239"/>
      <c r="W1049" s="246"/>
      <c r="X1049" s="239"/>
      <c r="Y1049" s="239"/>
      <c r="Z1049" s="239"/>
      <c r="AA1049" s="239"/>
      <c r="AB1049" s="239"/>
      <c r="AC1049" s="239"/>
      <c r="AD1049" s="239"/>
      <c r="AE1049" s="239"/>
      <c r="AF1049" s="239"/>
      <c r="AG1049" s="239"/>
      <c r="AH1049" s="239"/>
      <c r="AI1049" s="239"/>
      <c r="AJ1049" s="239"/>
    </row>
    <row r="1050">
      <c r="A1050" s="239"/>
      <c r="B1050" s="239"/>
      <c r="C1050" s="239"/>
      <c r="D1050" s="239"/>
      <c r="E1050" s="239"/>
      <c r="F1050" s="283"/>
      <c r="G1050" s="239"/>
      <c r="H1050" s="239"/>
      <c r="I1050" s="239"/>
      <c r="J1050" s="239"/>
      <c r="K1050" s="239"/>
      <c r="L1050" s="239"/>
      <c r="M1050" s="239"/>
      <c r="N1050" s="239"/>
      <c r="O1050" s="239"/>
      <c r="P1050" s="246"/>
      <c r="Q1050" s="239"/>
      <c r="R1050" s="239"/>
      <c r="S1050" s="239"/>
      <c r="T1050" s="239"/>
      <c r="U1050" s="239"/>
      <c r="V1050" s="239"/>
      <c r="W1050" s="246"/>
      <c r="X1050" s="239"/>
      <c r="Y1050" s="239"/>
      <c r="Z1050" s="239"/>
      <c r="AA1050" s="239"/>
      <c r="AB1050" s="239"/>
      <c r="AC1050" s="239"/>
      <c r="AD1050" s="239"/>
      <c r="AE1050" s="239"/>
      <c r="AF1050" s="239"/>
      <c r="AG1050" s="239"/>
      <c r="AH1050" s="239"/>
      <c r="AI1050" s="239"/>
      <c r="AJ1050" s="239"/>
    </row>
    <row r="1051">
      <c r="A1051" s="239"/>
      <c r="B1051" s="239"/>
      <c r="C1051" s="239"/>
      <c r="D1051" s="239"/>
      <c r="E1051" s="239"/>
      <c r="F1051" s="283"/>
      <c r="G1051" s="239"/>
      <c r="H1051" s="239"/>
      <c r="I1051" s="239"/>
      <c r="J1051" s="239"/>
      <c r="K1051" s="239"/>
      <c r="L1051" s="239"/>
      <c r="M1051" s="239"/>
      <c r="N1051" s="239"/>
      <c r="O1051" s="239"/>
      <c r="P1051" s="246"/>
      <c r="Q1051" s="239"/>
      <c r="R1051" s="239"/>
      <c r="S1051" s="239"/>
      <c r="T1051" s="239"/>
      <c r="U1051" s="239"/>
      <c r="V1051" s="239"/>
      <c r="W1051" s="246"/>
      <c r="X1051" s="239"/>
      <c r="Y1051" s="239"/>
      <c r="Z1051" s="239"/>
      <c r="AA1051" s="239"/>
      <c r="AB1051" s="239"/>
      <c r="AC1051" s="239"/>
      <c r="AD1051" s="239"/>
      <c r="AE1051" s="239"/>
      <c r="AF1051" s="239"/>
      <c r="AG1051" s="239"/>
      <c r="AH1051" s="239"/>
      <c r="AI1051" s="239"/>
      <c r="AJ1051" s="239"/>
    </row>
    <row r="1052">
      <c r="A1052" s="239"/>
      <c r="B1052" s="239"/>
      <c r="C1052" s="239"/>
      <c r="D1052" s="239"/>
      <c r="E1052" s="239"/>
      <c r="F1052" s="283"/>
      <c r="G1052" s="239"/>
      <c r="H1052" s="239"/>
      <c r="I1052" s="239"/>
      <c r="J1052" s="239"/>
      <c r="K1052" s="239"/>
      <c r="L1052" s="239"/>
      <c r="M1052" s="239"/>
      <c r="N1052" s="239"/>
      <c r="O1052" s="239"/>
      <c r="P1052" s="246"/>
      <c r="Q1052" s="239"/>
      <c r="R1052" s="239"/>
      <c r="S1052" s="239"/>
      <c r="T1052" s="239"/>
      <c r="U1052" s="239"/>
      <c r="V1052" s="239"/>
      <c r="W1052" s="246"/>
      <c r="X1052" s="239"/>
      <c r="Y1052" s="239"/>
      <c r="Z1052" s="239"/>
      <c r="AA1052" s="239"/>
      <c r="AB1052" s="239"/>
      <c r="AC1052" s="239"/>
      <c r="AD1052" s="239"/>
      <c r="AE1052" s="239"/>
      <c r="AF1052" s="239"/>
      <c r="AG1052" s="239"/>
      <c r="AH1052" s="239"/>
      <c r="AI1052" s="239"/>
      <c r="AJ1052" s="239"/>
    </row>
    <row r="1053">
      <c r="A1053" s="239"/>
      <c r="B1053" s="239"/>
      <c r="C1053" s="239"/>
      <c r="D1053" s="239"/>
      <c r="E1053" s="239"/>
      <c r="F1053" s="283"/>
      <c r="G1053" s="239"/>
      <c r="H1053" s="239"/>
      <c r="I1053" s="239"/>
      <c r="J1053" s="239"/>
      <c r="K1053" s="239"/>
      <c r="L1053" s="239"/>
      <c r="M1053" s="239"/>
      <c r="N1053" s="239"/>
      <c r="O1053" s="239"/>
      <c r="P1053" s="246"/>
      <c r="Q1053" s="239"/>
      <c r="R1053" s="239"/>
      <c r="S1053" s="239"/>
      <c r="T1053" s="239"/>
      <c r="U1053" s="239"/>
      <c r="V1053" s="239"/>
      <c r="W1053" s="246"/>
      <c r="X1053" s="239"/>
      <c r="Y1053" s="239"/>
      <c r="Z1053" s="239"/>
      <c r="AA1053" s="239"/>
      <c r="AB1053" s="239"/>
      <c r="AC1053" s="239"/>
      <c r="AD1053" s="239"/>
      <c r="AE1053" s="239"/>
      <c r="AF1053" s="239"/>
      <c r="AG1053" s="239"/>
      <c r="AH1053" s="239"/>
      <c r="AI1053" s="239"/>
      <c r="AJ1053" s="239"/>
    </row>
    <row r="1054">
      <c r="A1054" s="239"/>
      <c r="B1054" s="239"/>
      <c r="C1054" s="239"/>
      <c r="D1054" s="239"/>
      <c r="E1054" s="239"/>
      <c r="F1054" s="283"/>
      <c r="G1054" s="239"/>
      <c r="H1054" s="239"/>
      <c r="I1054" s="239"/>
      <c r="J1054" s="239"/>
      <c r="K1054" s="239"/>
      <c r="L1054" s="239"/>
      <c r="M1054" s="239"/>
      <c r="N1054" s="239"/>
      <c r="O1054" s="239"/>
      <c r="P1054" s="246"/>
      <c r="Q1054" s="239"/>
      <c r="R1054" s="239"/>
      <c r="S1054" s="239"/>
      <c r="T1054" s="239"/>
      <c r="U1054" s="239"/>
      <c r="V1054" s="239"/>
      <c r="W1054" s="246"/>
      <c r="X1054" s="239"/>
      <c r="Y1054" s="239"/>
      <c r="Z1054" s="239"/>
      <c r="AA1054" s="239"/>
      <c r="AB1054" s="239"/>
      <c r="AC1054" s="239"/>
      <c r="AD1054" s="239"/>
      <c r="AE1054" s="239"/>
      <c r="AF1054" s="239"/>
      <c r="AG1054" s="239"/>
      <c r="AH1054" s="239"/>
      <c r="AI1054" s="239"/>
      <c r="AJ1054" s="239"/>
    </row>
    <row r="1055">
      <c r="A1055" s="239"/>
      <c r="B1055" s="239"/>
      <c r="C1055" s="239"/>
      <c r="D1055" s="239"/>
      <c r="E1055" s="239"/>
      <c r="F1055" s="283"/>
      <c r="G1055" s="239"/>
      <c r="H1055" s="239"/>
      <c r="I1055" s="239"/>
      <c r="J1055" s="239"/>
      <c r="K1055" s="239"/>
      <c r="L1055" s="239"/>
      <c r="M1055" s="239"/>
      <c r="N1055" s="239"/>
      <c r="O1055" s="239"/>
      <c r="P1055" s="246"/>
      <c r="Q1055" s="239"/>
      <c r="R1055" s="239"/>
      <c r="S1055" s="239"/>
      <c r="T1055" s="239"/>
      <c r="U1055" s="239"/>
      <c r="V1055" s="239"/>
      <c r="W1055" s="246"/>
      <c r="X1055" s="239"/>
      <c r="Y1055" s="239"/>
      <c r="Z1055" s="239"/>
      <c r="AA1055" s="239"/>
      <c r="AB1055" s="239"/>
      <c r="AC1055" s="239"/>
      <c r="AD1055" s="239"/>
      <c r="AE1055" s="239"/>
      <c r="AF1055" s="239"/>
      <c r="AG1055" s="239"/>
      <c r="AH1055" s="239"/>
      <c r="AI1055" s="239"/>
      <c r="AJ1055" s="239"/>
    </row>
    <row r="1056">
      <c r="A1056" s="239"/>
      <c r="B1056" s="239"/>
      <c r="C1056" s="239"/>
      <c r="D1056" s="239"/>
      <c r="E1056" s="239"/>
      <c r="F1056" s="283"/>
      <c r="G1056" s="239"/>
      <c r="H1056" s="239"/>
      <c r="I1056" s="239"/>
      <c r="J1056" s="239"/>
      <c r="K1056" s="239"/>
      <c r="L1056" s="239"/>
      <c r="M1056" s="239"/>
      <c r="N1056" s="239"/>
      <c r="O1056" s="239"/>
      <c r="P1056" s="246"/>
      <c r="Q1056" s="239"/>
      <c r="R1056" s="239"/>
      <c r="S1056" s="239"/>
      <c r="T1056" s="239"/>
      <c r="U1056" s="239"/>
      <c r="V1056" s="239"/>
      <c r="W1056" s="246"/>
      <c r="X1056" s="239"/>
      <c r="Y1056" s="239"/>
      <c r="Z1056" s="239"/>
      <c r="AA1056" s="239"/>
      <c r="AB1056" s="239"/>
      <c r="AC1056" s="239"/>
      <c r="AD1056" s="239"/>
      <c r="AE1056" s="239"/>
      <c r="AF1056" s="239"/>
      <c r="AG1056" s="239"/>
      <c r="AH1056" s="239"/>
      <c r="AI1056" s="239"/>
      <c r="AJ1056" s="239"/>
    </row>
    <row r="1057">
      <c r="A1057" s="239"/>
      <c r="B1057" s="239"/>
      <c r="C1057" s="239"/>
      <c r="D1057" s="239"/>
      <c r="E1057" s="239"/>
      <c r="F1057" s="283"/>
      <c r="G1057" s="239"/>
      <c r="H1057" s="239"/>
      <c r="I1057" s="239"/>
      <c r="J1057" s="239"/>
      <c r="K1057" s="239"/>
      <c r="L1057" s="239"/>
      <c r="M1057" s="239"/>
      <c r="N1057" s="239"/>
      <c r="O1057" s="239"/>
      <c r="P1057" s="246"/>
      <c r="Q1057" s="239"/>
      <c r="R1057" s="239"/>
      <c r="S1057" s="239"/>
      <c r="T1057" s="239"/>
      <c r="U1057" s="239"/>
      <c r="V1057" s="239"/>
      <c r="W1057" s="246"/>
      <c r="X1057" s="239"/>
      <c r="Y1057" s="239"/>
      <c r="Z1057" s="239"/>
      <c r="AA1057" s="239"/>
      <c r="AB1057" s="239"/>
      <c r="AC1057" s="239"/>
      <c r="AD1057" s="239"/>
      <c r="AE1057" s="239"/>
      <c r="AF1057" s="239"/>
      <c r="AG1057" s="239"/>
      <c r="AH1057" s="239"/>
      <c r="AI1057" s="239"/>
      <c r="AJ1057" s="239"/>
    </row>
    <row r="1058">
      <c r="A1058" s="239"/>
      <c r="B1058" s="239"/>
      <c r="C1058" s="239"/>
      <c r="D1058" s="239"/>
      <c r="E1058" s="239"/>
      <c r="F1058" s="283"/>
      <c r="G1058" s="239"/>
      <c r="H1058" s="239"/>
      <c r="I1058" s="239"/>
      <c r="J1058" s="239"/>
      <c r="K1058" s="239"/>
      <c r="L1058" s="239"/>
      <c r="M1058" s="239"/>
      <c r="N1058" s="239"/>
      <c r="O1058" s="239"/>
      <c r="P1058" s="246"/>
      <c r="Q1058" s="239"/>
      <c r="R1058" s="239"/>
      <c r="S1058" s="239"/>
      <c r="T1058" s="239"/>
      <c r="U1058" s="239"/>
      <c r="V1058" s="239"/>
      <c r="W1058" s="246"/>
      <c r="X1058" s="239"/>
      <c r="Y1058" s="239"/>
      <c r="Z1058" s="239"/>
      <c r="AA1058" s="239"/>
      <c r="AB1058" s="239"/>
      <c r="AC1058" s="239"/>
      <c r="AD1058" s="239"/>
      <c r="AE1058" s="239"/>
      <c r="AF1058" s="239"/>
      <c r="AG1058" s="239"/>
      <c r="AH1058" s="239"/>
      <c r="AI1058" s="239"/>
      <c r="AJ1058" s="239"/>
    </row>
    <row r="1059">
      <c r="A1059" s="239"/>
      <c r="B1059" s="239"/>
      <c r="C1059" s="239"/>
      <c r="D1059" s="239"/>
      <c r="E1059" s="239"/>
      <c r="F1059" s="283"/>
      <c r="G1059" s="239"/>
      <c r="H1059" s="239"/>
      <c r="I1059" s="239"/>
      <c r="J1059" s="239"/>
      <c r="K1059" s="239"/>
      <c r="L1059" s="239"/>
      <c r="M1059" s="239"/>
      <c r="N1059" s="239"/>
      <c r="O1059" s="239"/>
      <c r="P1059" s="246"/>
      <c r="Q1059" s="239"/>
      <c r="R1059" s="239"/>
      <c r="S1059" s="239"/>
      <c r="T1059" s="239"/>
      <c r="U1059" s="239"/>
      <c r="V1059" s="239"/>
      <c r="W1059" s="246"/>
      <c r="X1059" s="239"/>
      <c r="Y1059" s="239"/>
      <c r="Z1059" s="239"/>
      <c r="AA1059" s="239"/>
      <c r="AB1059" s="239"/>
      <c r="AC1059" s="239"/>
      <c r="AD1059" s="239"/>
      <c r="AE1059" s="239"/>
      <c r="AF1059" s="239"/>
      <c r="AG1059" s="239"/>
      <c r="AH1059" s="239"/>
      <c r="AI1059" s="239"/>
      <c r="AJ1059" s="239"/>
    </row>
    <row r="1060">
      <c r="A1060" s="239"/>
      <c r="B1060" s="239"/>
      <c r="C1060" s="239"/>
      <c r="D1060" s="239"/>
      <c r="E1060" s="239"/>
      <c r="F1060" s="283"/>
      <c r="G1060" s="239"/>
      <c r="H1060" s="239"/>
      <c r="I1060" s="239"/>
      <c r="J1060" s="239"/>
      <c r="K1060" s="239"/>
      <c r="L1060" s="239"/>
      <c r="M1060" s="239"/>
      <c r="N1060" s="239"/>
      <c r="O1060" s="239"/>
      <c r="P1060" s="246"/>
      <c r="Q1060" s="239"/>
      <c r="R1060" s="239"/>
      <c r="S1060" s="239"/>
      <c r="T1060" s="239"/>
      <c r="U1060" s="239"/>
      <c r="V1060" s="239"/>
      <c r="W1060" s="246"/>
      <c r="X1060" s="239"/>
      <c r="Y1060" s="239"/>
      <c r="Z1060" s="239"/>
      <c r="AA1060" s="239"/>
      <c r="AB1060" s="239"/>
      <c r="AC1060" s="239"/>
      <c r="AD1060" s="239"/>
      <c r="AE1060" s="239"/>
      <c r="AF1060" s="239"/>
      <c r="AG1060" s="239"/>
      <c r="AH1060" s="239"/>
      <c r="AI1060" s="239"/>
      <c r="AJ1060" s="239"/>
    </row>
    <row r="1061">
      <c r="A1061" s="239"/>
      <c r="B1061" s="239"/>
      <c r="C1061" s="239"/>
      <c r="D1061" s="239"/>
      <c r="E1061" s="239"/>
      <c r="F1061" s="283"/>
      <c r="G1061" s="239"/>
      <c r="H1061" s="239"/>
      <c r="I1061" s="239"/>
      <c r="J1061" s="239"/>
      <c r="K1061" s="239"/>
      <c r="L1061" s="239"/>
      <c r="M1061" s="239"/>
      <c r="N1061" s="239"/>
      <c r="O1061" s="239"/>
      <c r="P1061" s="246"/>
      <c r="Q1061" s="239"/>
      <c r="R1061" s="239"/>
      <c r="S1061" s="239"/>
      <c r="T1061" s="239"/>
      <c r="U1061" s="239"/>
      <c r="V1061" s="239"/>
      <c r="W1061" s="246"/>
      <c r="X1061" s="239"/>
      <c r="Y1061" s="239"/>
      <c r="Z1061" s="239"/>
      <c r="AA1061" s="239"/>
      <c r="AB1061" s="239"/>
      <c r="AC1061" s="239"/>
      <c r="AD1061" s="239"/>
      <c r="AE1061" s="239"/>
      <c r="AF1061" s="239"/>
      <c r="AG1061" s="239"/>
      <c r="AH1061" s="239"/>
      <c r="AI1061" s="239"/>
      <c r="AJ1061" s="239"/>
    </row>
    <row r="1062">
      <c r="A1062" s="239"/>
      <c r="B1062" s="239"/>
      <c r="C1062" s="239"/>
      <c r="D1062" s="239"/>
      <c r="E1062" s="239"/>
      <c r="F1062" s="283"/>
      <c r="G1062" s="239"/>
      <c r="H1062" s="239"/>
      <c r="I1062" s="239"/>
      <c r="J1062" s="239"/>
      <c r="K1062" s="239"/>
      <c r="L1062" s="239"/>
      <c r="M1062" s="239"/>
      <c r="N1062" s="239"/>
      <c r="O1062" s="239"/>
      <c r="P1062" s="246"/>
      <c r="Q1062" s="239"/>
      <c r="R1062" s="239"/>
      <c r="S1062" s="239"/>
      <c r="T1062" s="239"/>
      <c r="U1062" s="239"/>
      <c r="V1062" s="239"/>
      <c r="W1062" s="246"/>
      <c r="X1062" s="239"/>
      <c r="Y1062" s="239"/>
      <c r="Z1062" s="239"/>
      <c r="AA1062" s="239"/>
      <c r="AB1062" s="239"/>
      <c r="AC1062" s="239"/>
      <c r="AD1062" s="239"/>
      <c r="AE1062" s="239"/>
      <c r="AF1062" s="239"/>
      <c r="AG1062" s="239"/>
      <c r="AH1062" s="239"/>
      <c r="AI1062" s="239"/>
      <c r="AJ1062" s="239"/>
    </row>
    <row r="1063">
      <c r="A1063" s="239"/>
      <c r="B1063" s="239"/>
      <c r="C1063" s="239"/>
      <c r="D1063" s="239"/>
      <c r="E1063" s="239"/>
      <c r="F1063" s="283"/>
      <c r="G1063" s="239"/>
      <c r="H1063" s="239"/>
      <c r="I1063" s="239"/>
      <c r="J1063" s="239"/>
      <c r="K1063" s="239"/>
      <c r="L1063" s="239"/>
      <c r="M1063" s="239"/>
      <c r="N1063" s="239"/>
      <c r="O1063" s="239"/>
      <c r="P1063" s="246"/>
      <c r="Q1063" s="239"/>
      <c r="R1063" s="239"/>
      <c r="S1063" s="239"/>
      <c r="T1063" s="239"/>
      <c r="U1063" s="239"/>
      <c r="V1063" s="239"/>
      <c r="W1063" s="246"/>
      <c r="X1063" s="239"/>
      <c r="Y1063" s="239"/>
      <c r="Z1063" s="239"/>
      <c r="AA1063" s="239"/>
      <c r="AB1063" s="239"/>
      <c r="AC1063" s="239"/>
      <c r="AD1063" s="239"/>
      <c r="AE1063" s="239"/>
      <c r="AF1063" s="239"/>
      <c r="AG1063" s="239"/>
      <c r="AH1063" s="239"/>
      <c r="AI1063" s="239"/>
      <c r="AJ1063" s="239"/>
    </row>
    <row r="1064">
      <c r="A1064" s="239"/>
      <c r="B1064" s="239"/>
      <c r="C1064" s="239"/>
      <c r="D1064" s="239"/>
      <c r="E1064" s="239"/>
      <c r="F1064" s="283"/>
      <c r="G1064" s="239"/>
      <c r="H1064" s="239"/>
      <c r="I1064" s="239"/>
      <c r="J1064" s="239"/>
      <c r="K1064" s="239"/>
      <c r="L1064" s="239"/>
      <c r="M1064" s="239"/>
      <c r="N1064" s="239"/>
      <c r="O1064" s="239"/>
      <c r="P1064" s="246"/>
      <c r="Q1064" s="239"/>
      <c r="R1064" s="239"/>
      <c r="S1064" s="239"/>
      <c r="T1064" s="239"/>
      <c r="U1064" s="239"/>
      <c r="V1064" s="239"/>
      <c r="W1064" s="246"/>
      <c r="X1064" s="239"/>
      <c r="Y1064" s="239"/>
      <c r="Z1064" s="239"/>
      <c r="AA1064" s="239"/>
      <c r="AB1064" s="239"/>
      <c r="AC1064" s="239"/>
      <c r="AD1064" s="239"/>
      <c r="AE1064" s="239"/>
      <c r="AF1064" s="239"/>
      <c r="AG1064" s="239"/>
      <c r="AH1064" s="239"/>
      <c r="AI1064" s="239"/>
      <c r="AJ1064" s="239"/>
    </row>
    <row r="1065">
      <c r="A1065" s="239"/>
      <c r="B1065" s="239"/>
      <c r="C1065" s="239"/>
      <c r="D1065" s="239"/>
      <c r="E1065" s="239"/>
      <c r="F1065" s="283"/>
      <c r="G1065" s="239"/>
      <c r="H1065" s="239"/>
      <c r="I1065" s="239"/>
      <c r="J1065" s="239"/>
      <c r="K1065" s="239"/>
      <c r="L1065" s="239"/>
      <c r="M1065" s="239"/>
      <c r="N1065" s="239"/>
      <c r="O1065" s="239"/>
      <c r="P1065" s="246"/>
      <c r="Q1065" s="239"/>
      <c r="R1065" s="239"/>
      <c r="S1065" s="239"/>
      <c r="T1065" s="239"/>
      <c r="U1065" s="239"/>
      <c r="V1065" s="239"/>
      <c r="W1065" s="246"/>
      <c r="X1065" s="239"/>
      <c r="Y1065" s="239"/>
      <c r="Z1065" s="239"/>
      <c r="AA1065" s="239"/>
      <c r="AB1065" s="239"/>
      <c r="AC1065" s="239"/>
      <c r="AD1065" s="239"/>
      <c r="AE1065" s="239"/>
      <c r="AF1065" s="239"/>
      <c r="AG1065" s="239"/>
      <c r="AH1065" s="239"/>
      <c r="AI1065" s="239"/>
      <c r="AJ1065" s="239"/>
    </row>
    <row r="1066">
      <c r="A1066" s="239"/>
      <c r="B1066" s="239"/>
      <c r="C1066" s="239"/>
      <c r="D1066" s="239"/>
      <c r="E1066" s="239"/>
      <c r="F1066" s="283"/>
      <c r="G1066" s="239"/>
      <c r="H1066" s="239"/>
      <c r="I1066" s="239"/>
      <c r="J1066" s="239"/>
      <c r="K1066" s="239"/>
      <c r="L1066" s="239"/>
      <c r="M1066" s="239"/>
      <c r="N1066" s="239"/>
      <c r="O1066" s="239"/>
      <c r="P1066" s="246"/>
      <c r="Q1066" s="239"/>
      <c r="R1066" s="239"/>
      <c r="S1066" s="239"/>
      <c r="T1066" s="239"/>
      <c r="U1066" s="239"/>
      <c r="V1066" s="239"/>
      <c r="W1066" s="246"/>
      <c r="X1066" s="239"/>
      <c r="Y1066" s="239"/>
      <c r="Z1066" s="239"/>
      <c r="AA1066" s="239"/>
      <c r="AB1066" s="239"/>
      <c r="AC1066" s="239"/>
      <c r="AD1066" s="239"/>
      <c r="AE1066" s="239"/>
      <c r="AF1066" s="239"/>
      <c r="AG1066" s="239"/>
      <c r="AH1066" s="239"/>
      <c r="AI1066" s="239"/>
      <c r="AJ1066" s="239"/>
    </row>
    <row r="1067">
      <c r="A1067" s="239"/>
      <c r="B1067" s="239"/>
      <c r="C1067" s="239"/>
      <c r="D1067" s="239"/>
      <c r="E1067" s="239"/>
      <c r="F1067" s="283"/>
      <c r="G1067" s="239"/>
      <c r="H1067" s="239"/>
      <c r="I1067" s="239"/>
      <c r="J1067" s="239"/>
      <c r="K1067" s="239"/>
      <c r="L1067" s="239"/>
      <c r="M1067" s="239"/>
      <c r="N1067" s="239"/>
      <c r="O1067" s="239"/>
      <c r="P1067" s="246"/>
      <c r="Q1067" s="239"/>
      <c r="R1067" s="239"/>
      <c r="S1067" s="239"/>
      <c r="T1067" s="239"/>
      <c r="U1067" s="239"/>
      <c r="V1067" s="239"/>
      <c r="W1067" s="246"/>
      <c r="X1067" s="239"/>
      <c r="Y1067" s="239"/>
      <c r="Z1067" s="239"/>
      <c r="AA1067" s="239"/>
      <c r="AB1067" s="239"/>
      <c r="AC1067" s="239"/>
      <c r="AD1067" s="239"/>
      <c r="AE1067" s="239"/>
      <c r="AF1067" s="239"/>
      <c r="AG1067" s="239"/>
      <c r="AH1067" s="239"/>
      <c r="AI1067" s="239"/>
      <c r="AJ1067" s="239"/>
    </row>
    <row r="1068">
      <c r="A1068" s="239"/>
      <c r="B1068" s="239"/>
      <c r="C1068" s="239"/>
      <c r="D1068" s="239"/>
      <c r="E1068" s="239"/>
      <c r="F1068" s="283"/>
      <c r="G1068" s="239"/>
      <c r="H1068" s="239"/>
      <c r="I1068" s="239"/>
      <c r="J1068" s="239"/>
      <c r="K1068" s="239"/>
      <c r="L1068" s="239"/>
      <c r="M1068" s="239"/>
      <c r="N1068" s="239"/>
      <c r="O1068" s="239"/>
      <c r="P1068" s="246"/>
      <c r="Q1068" s="239"/>
      <c r="R1068" s="239"/>
      <c r="S1068" s="239"/>
      <c r="T1068" s="239"/>
      <c r="U1068" s="239"/>
      <c r="V1068" s="239"/>
      <c r="W1068" s="246"/>
      <c r="X1068" s="239"/>
      <c r="Y1068" s="239"/>
      <c r="Z1068" s="239"/>
      <c r="AA1068" s="239"/>
      <c r="AB1068" s="239"/>
      <c r="AC1068" s="239"/>
      <c r="AD1068" s="239"/>
      <c r="AE1068" s="239"/>
      <c r="AF1068" s="239"/>
      <c r="AG1068" s="239"/>
      <c r="AH1068" s="239"/>
      <c r="AI1068" s="239"/>
      <c r="AJ1068" s="239"/>
    </row>
    <row r="1069">
      <c r="A1069" s="239"/>
      <c r="B1069" s="239"/>
      <c r="C1069" s="239"/>
      <c r="D1069" s="239"/>
      <c r="E1069" s="239"/>
      <c r="F1069" s="283"/>
      <c r="G1069" s="239"/>
      <c r="H1069" s="239"/>
      <c r="I1069" s="239"/>
      <c r="J1069" s="239"/>
      <c r="K1069" s="239"/>
      <c r="L1069" s="239"/>
      <c r="M1069" s="239"/>
      <c r="N1069" s="239"/>
      <c r="O1069" s="239"/>
      <c r="P1069" s="246"/>
      <c r="Q1069" s="239"/>
      <c r="R1069" s="239"/>
      <c r="S1069" s="239"/>
      <c r="T1069" s="239"/>
      <c r="U1069" s="239"/>
      <c r="V1069" s="239"/>
      <c r="W1069" s="246"/>
      <c r="X1069" s="239"/>
      <c r="Y1069" s="239"/>
      <c r="Z1069" s="239"/>
      <c r="AA1069" s="239"/>
      <c r="AB1069" s="239"/>
      <c r="AC1069" s="239"/>
      <c r="AD1069" s="239"/>
      <c r="AE1069" s="239"/>
      <c r="AF1069" s="239"/>
      <c r="AG1069" s="239"/>
      <c r="AH1069" s="239"/>
      <c r="AI1069" s="239"/>
      <c r="AJ1069" s="239"/>
    </row>
    <row r="1070">
      <c r="A1070" s="239"/>
      <c r="B1070" s="239"/>
      <c r="C1070" s="239"/>
      <c r="D1070" s="239"/>
      <c r="E1070" s="239"/>
      <c r="F1070" s="283"/>
      <c r="G1070" s="239"/>
      <c r="H1070" s="239"/>
      <c r="I1070" s="239"/>
      <c r="J1070" s="239"/>
      <c r="K1070" s="239"/>
      <c r="L1070" s="239"/>
      <c r="M1070" s="239"/>
      <c r="N1070" s="239"/>
      <c r="O1070" s="239"/>
      <c r="P1070" s="246"/>
      <c r="Q1070" s="239"/>
      <c r="R1070" s="239"/>
      <c r="S1070" s="239"/>
      <c r="T1070" s="239"/>
      <c r="U1070" s="239"/>
      <c r="V1070" s="239"/>
      <c r="W1070" s="246"/>
      <c r="X1070" s="239"/>
      <c r="Y1070" s="239"/>
      <c r="Z1070" s="239"/>
      <c r="AA1070" s="239"/>
      <c r="AB1070" s="239"/>
      <c r="AC1070" s="239"/>
      <c r="AD1070" s="239"/>
      <c r="AE1070" s="239"/>
      <c r="AF1070" s="239"/>
      <c r="AG1070" s="239"/>
      <c r="AH1070" s="239"/>
      <c r="AI1070" s="239"/>
      <c r="AJ1070" s="239"/>
    </row>
    <row r="1071">
      <c r="A1071" s="239"/>
      <c r="B1071" s="239"/>
      <c r="C1071" s="239"/>
      <c r="D1071" s="239"/>
      <c r="E1071" s="239"/>
      <c r="F1071" s="283"/>
      <c r="G1071" s="239"/>
      <c r="H1071" s="239"/>
      <c r="I1071" s="239"/>
      <c r="J1071" s="239"/>
      <c r="K1071" s="239"/>
      <c r="L1071" s="239"/>
      <c r="M1071" s="239"/>
      <c r="N1071" s="239"/>
      <c r="O1071" s="239"/>
      <c r="P1071" s="246"/>
      <c r="Q1071" s="239"/>
      <c r="R1071" s="239"/>
      <c r="S1071" s="239"/>
      <c r="T1071" s="239"/>
      <c r="U1071" s="239"/>
      <c r="V1071" s="239"/>
      <c r="W1071" s="246"/>
      <c r="X1071" s="239"/>
      <c r="Y1071" s="239"/>
      <c r="Z1071" s="239"/>
      <c r="AA1071" s="239"/>
      <c r="AB1071" s="239"/>
      <c r="AC1071" s="239"/>
      <c r="AD1071" s="239"/>
      <c r="AE1071" s="239"/>
      <c r="AF1071" s="239"/>
      <c r="AG1071" s="239"/>
      <c r="AH1071" s="239"/>
      <c r="AI1071" s="239"/>
      <c r="AJ1071" s="239"/>
    </row>
    <row r="1072">
      <c r="A1072" s="239"/>
      <c r="B1072" s="239"/>
      <c r="C1072" s="239"/>
      <c r="D1072" s="239"/>
      <c r="E1072" s="239"/>
      <c r="F1072" s="283"/>
      <c r="G1072" s="239"/>
      <c r="H1072" s="239"/>
      <c r="I1072" s="239"/>
      <c r="J1072" s="239"/>
      <c r="K1072" s="239"/>
      <c r="L1072" s="239"/>
      <c r="M1072" s="239"/>
      <c r="N1072" s="239"/>
      <c r="O1072" s="239"/>
      <c r="P1072" s="246"/>
      <c r="Q1072" s="239"/>
      <c r="R1072" s="239"/>
      <c r="S1072" s="239"/>
      <c r="T1072" s="239"/>
      <c r="U1072" s="239"/>
      <c r="V1072" s="239"/>
      <c r="W1072" s="246"/>
      <c r="X1072" s="239"/>
      <c r="Y1072" s="239"/>
      <c r="Z1072" s="239"/>
      <c r="AA1072" s="239"/>
      <c r="AB1072" s="239"/>
      <c r="AC1072" s="239"/>
      <c r="AD1072" s="239"/>
      <c r="AE1072" s="239"/>
      <c r="AF1072" s="239"/>
      <c r="AG1072" s="239"/>
      <c r="AH1072" s="239"/>
      <c r="AI1072" s="239"/>
      <c r="AJ1072" s="239"/>
    </row>
    <row r="1073">
      <c r="A1073" s="239"/>
      <c r="B1073" s="239"/>
      <c r="C1073" s="239"/>
      <c r="D1073" s="239"/>
      <c r="E1073" s="239"/>
      <c r="F1073" s="283"/>
      <c r="G1073" s="239"/>
      <c r="H1073" s="239"/>
      <c r="I1073" s="239"/>
      <c r="J1073" s="239"/>
      <c r="K1073" s="239"/>
      <c r="L1073" s="239"/>
      <c r="M1073" s="239"/>
      <c r="N1073" s="239"/>
      <c r="O1073" s="239"/>
      <c r="P1073" s="246"/>
      <c r="Q1073" s="239"/>
      <c r="R1073" s="239"/>
      <c r="S1073" s="239"/>
      <c r="T1073" s="239"/>
      <c r="U1073" s="239"/>
      <c r="V1073" s="239"/>
      <c r="W1073" s="246"/>
      <c r="X1073" s="239"/>
      <c r="Y1073" s="239"/>
      <c r="Z1073" s="239"/>
      <c r="AA1073" s="239"/>
      <c r="AB1073" s="239"/>
      <c r="AC1073" s="239"/>
      <c r="AD1073" s="239"/>
      <c r="AE1073" s="239"/>
      <c r="AF1073" s="239"/>
      <c r="AG1073" s="239"/>
      <c r="AH1073" s="239"/>
      <c r="AI1073" s="239"/>
      <c r="AJ1073" s="239"/>
    </row>
    <row r="1074">
      <c r="A1074" s="239"/>
      <c r="B1074" s="239"/>
      <c r="C1074" s="239"/>
      <c r="D1074" s="239"/>
      <c r="E1074" s="239"/>
      <c r="F1074" s="283"/>
      <c r="G1074" s="239"/>
      <c r="H1074" s="239"/>
      <c r="I1074" s="239"/>
      <c r="J1074" s="239"/>
      <c r="K1074" s="239"/>
      <c r="L1074" s="239"/>
      <c r="M1074" s="239"/>
      <c r="N1074" s="239"/>
      <c r="O1074" s="239"/>
      <c r="P1074" s="246"/>
      <c r="Q1074" s="239"/>
      <c r="R1074" s="239"/>
      <c r="S1074" s="239"/>
      <c r="T1074" s="239"/>
      <c r="U1074" s="239"/>
      <c r="V1074" s="239"/>
      <c r="W1074" s="246"/>
      <c r="X1074" s="239"/>
      <c r="Y1074" s="239"/>
      <c r="Z1074" s="239"/>
      <c r="AA1074" s="239"/>
      <c r="AB1074" s="239"/>
      <c r="AC1074" s="239"/>
      <c r="AD1074" s="239"/>
      <c r="AE1074" s="239"/>
      <c r="AF1074" s="239"/>
      <c r="AG1074" s="239"/>
      <c r="AH1074" s="239"/>
      <c r="AI1074" s="239"/>
      <c r="AJ1074" s="239"/>
    </row>
    <row r="1075">
      <c r="A1075" s="239"/>
      <c r="B1075" s="239"/>
      <c r="C1075" s="239"/>
      <c r="D1075" s="239"/>
      <c r="E1075" s="239"/>
      <c r="F1075" s="283"/>
      <c r="G1075" s="239"/>
      <c r="H1075" s="239"/>
      <c r="I1075" s="239"/>
      <c r="J1075" s="239"/>
      <c r="K1075" s="239"/>
      <c r="L1075" s="239"/>
      <c r="M1075" s="239"/>
      <c r="N1075" s="239"/>
      <c r="O1075" s="239"/>
      <c r="P1075" s="246"/>
      <c r="Q1075" s="239"/>
      <c r="R1075" s="239"/>
      <c r="S1075" s="239"/>
      <c r="T1075" s="239"/>
      <c r="U1075" s="239"/>
      <c r="V1075" s="239"/>
      <c r="W1075" s="246"/>
      <c r="X1075" s="239"/>
      <c r="Y1075" s="239"/>
      <c r="Z1075" s="239"/>
      <c r="AA1075" s="239"/>
      <c r="AB1075" s="239"/>
      <c r="AC1075" s="239"/>
      <c r="AD1075" s="239"/>
      <c r="AE1075" s="239"/>
      <c r="AF1075" s="239"/>
      <c r="AG1075" s="239"/>
      <c r="AH1075" s="239"/>
      <c r="AI1075" s="239"/>
      <c r="AJ1075" s="239"/>
    </row>
    <row r="1076">
      <c r="A1076" s="239"/>
      <c r="B1076" s="239"/>
      <c r="C1076" s="239"/>
      <c r="D1076" s="239"/>
      <c r="E1076" s="239"/>
      <c r="F1076" s="283"/>
      <c r="G1076" s="239"/>
      <c r="H1076" s="239"/>
      <c r="I1076" s="239"/>
      <c r="J1076" s="239"/>
      <c r="K1076" s="239"/>
      <c r="L1076" s="239"/>
      <c r="M1076" s="239"/>
      <c r="N1076" s="239"/>
      <c r="O1076" s="239"/>
      <c r="P1076" s="246"/>
      <c r="Q1076" s="239"/>
      <c r="R1076" s="239"/>
      <c r="S1076" s="239"/>
      <c r="T1076" s="239"/>
      <c r="U1076" s="239"/>
      <c r="V1076" s="239"/>
      <c r="W1076" s="246"/>
      <c r="X1076" s="239"/>
      <c r="Y1076" s="239"/>
      <c r="Z1076" s="239"/>
      <c r="AA1076" s="239"/>
      <c r="AB1076" s="239"/>
      <c r="AC1076" s="239"/>
      <c r="AD1076" s="239"/>
      <c r="AE1076" s="239"/>
      <c r="AF1076" s="239"/>
      <c r="AG1076" s="239"/>
      <c r="AH1076" s="239"/>
      <c r="AI1076" s="239"/>
      <c r="AJ1076" s="239"/>
    </row>
    <row r="1077">
      <c r="A1077" s="239"/>
      <c r="B1077" s="239"/>
      <c r="C1077" s="239"/>
      <c r="D1077" s="239"/>
      <c r="E1077" s="239"/>
      <c r="F1077" s="283"/>
      <c r="G1077" s="239"/>
      <c r="H1077" s="239"/>
      <c r="I1077" s="239"/>
      <c r="J1077" s="239"/>
      <c r="K1077" s="239"/>
      <c r="L1077" s="239"/>
      <c r="M1077" s="239"/>
      <c r="N1077" s="239"/>
      <c r="O1077" s="239"/>
      <c r="P1077" s="246"/>
      <c r="Q1077" s="239"/>
      <c r="R1077" s="239"/>
      <c r="S1077" s="239"/>
      <c r="T1077" s="239"/>
      <c r="U1077" s="239"/>
      <c r="V1077" s="239"/>
      <c r="W1077" s="246"/>
      <c r="X1077" s="239"/>
      <c r="Y1077" s="239"/>
      <c r="Z1077" s="239"/>
      <c r="AA1077" s="239"/>
      <c r="AB1077" s="239"/>
      <c r="AC1077" s="239"/>
      <c r="AD1077" s="239"/>
      <c r="AE1077" s="239"/>
      <c r="AF1077" s="239"/>
      <c r="AG1077" s="239"/>
      <c r="AH1077" s="239"/>
      <c r="AI1077" s="239"/>
      <c r="AJ1077" s="239"/>
    </row>
    <row r="1078">
      <c r="A1078" s="239"/>
      <c r="B1078" s="239"/>
      <c r="C1078" s="239"/>
      <c r="D1078" s="239"/>
      <c r="E1078" s="239"/>
      <c r="F1078" s="283"/>
      <c r="G1078" s="239"/>
      <c r="H1078" s="239"/>
      <c r="I1078" s="239"/>
      <c r="J1078" s="239"/>
      <c r="K1078" s="239"/>
      <c r="L1078" s="239"/>
      <c r="M1078" s="239"/>
      <c r="N1078" s="239"/>
      <c r="O1078" s="239"/>
      <c r="P1078" s="246"/>
      <c r="Q1078" s="239"/>
      <c r="R1078" s="239"/>
      <c r="S1078" s="239"/>
      <c r="T1078" s="239"/>
      <c r="U1078" s="239"/>
      <c r="V1078" s="239"/>
      <c r="W1078" s="246"/>
      <c r="X1078" s="239"/>
      <c r="Y1078" s="239"/>
      <c r="Z1078" s="239"/>
      <c r="AA1078" s="239"/>
      <c r="AB1078" s="239"/>
      <c r="AC1078" s="239"/>
      <c r="AD1078" s="239"/>
      <c r="AE1078" s="239"/>
      <c r="AF1078" s="239"/>
      <c r="AG1078" s="239"/>
      <c r="AH1078" s="239"/>
      <c r="AI1078" s="239"/>
      <c r="AJ1078" s="239"/>
    </row>
    <row r="1079">
      <c r="A1079" s="239"/>
      <c r="B1079" s="239"/>
      <c r="C1079" s="239"/>
      <c r="D1079" s="239"/>
      <c r="E1079" s="239"/>
      <c r="F1079" s="283"/>
      <c r="G1079" s="239"/>
      <c r="H1079" s="239"/>
      <c r="I1079" s="239"/>
      <c r="J1079" s="239"/>
      <c r="K1079" s="239"/>
      <c r="L1079" s="239"/>
      <c r="M1079" s="239"/>
      <c r="N1079" s="239"/>
      <c r="O1079" s="239"/>
      <c r="P1079" s="246"/>
      <c r="Q1079" s="239"/>
      <c r="R1079" s="239"/>
      <c r="S1079" s="239"/>
      <c r="T1079" s="239"/>
      <c r="U1079" s="239"/>
      <c r="V1079" s="239"/>
      <c r="W1079" s="246"/>
      <c r="X1079" s="239"/>
      <c r="Y1079" s="239"/>
      <c r="Z1079" s="239"/>
      <c r="AA1079" s="239"/>
      <c r="AB1079" s="239"/>
      <c r="AC1079" s="239"/>
      <c r="AD1079" s="239"/>
      <c r="AE1079" s="239"/>
      <c r="AF1079" s="239"/>
      <c r="AG1079" s="239"/>
      <c r="AH1079" s="239"/>
      <c r="AI1079" s="239"/>
      <c r="AJ1079" s="239"/>
    </row>
    <row r="1080">
      <c r="A1080" s="239"/>
      <c r="B1080" s="239"/>
      <c r="C1080" s="239"/>
      <c r="D1080" s="239"/>
      <c r="E1080" s="239"/>
      <c r="F1080" s="283"/>
      <c r="G1080" s="239"/>
      <c r="H1080" s="239"/>
      <c r="I1080" s="239"/>
      <c r="J1080" s="239"/>
      <c r="K1080" s="239"/>
      <c r="L1080" s="239"/>
      <c r="M1080" s="239"/>
      <c r="N1080" s="239"/>
      <c r="O1080" s="239"/>
      <c r="P1080" s="246"/>
      <c r="Q1080" s="239"/>
      <c r="R1080" s="239"/>
      <c r="S1080" s="239"/>
      <c r="T1080" s="239"/>
      <c r="U1080" s="239"/>
      <c r="V1080" s="239"/>
      <c r="W1080" s="246"/>
      <c r="X1080" s="239"/>
      <c r="Y1080" s="239"/>
      <c r="Z1080" s="239"/>
      <c r="AA1080" s="239"/>
      <c r="AB1080" s="239"/>
      <c r="AC1080" s="239"/>
      <c r="AD1080" s="239"/>
      <c r="AE1080" s="239"/>
      <c r="AF1080" s="239"/>
      <c r="AG1080" s="239"/>
      <c r="AH1080" s="239"/>
      <c r="AI1080" s="239"/>
      <c r="AJ1080" s="239"/>
    </row>
    <row r="1081">
      <c r="A1081" s="239"/>
      <c r="B1081" s="239"/>
      <c r="C1081" s="239"/>
      <c r="D1081" s="239"/>
      <c r="E1081" s="239"/>
      <c r="F1081" s="283"/>
      <c r="G1081" s="239"/>
      <c r="H1081" s="239"/>
      <c r="I1081" s="239"/>
      <c r="J1081" s="239"/>
      <c r="K1081" s="239"/>
      <c r="L1081" s="239"/>
      <c r="M1081" s="239"/>
      <c r="N1081" s="239"/>
      <c r="O1081" s="239"/>
      <c r="P1081" s="246"/>
      <c r="Q1081" s="239"/>
      <c r="R1081" s="239"/>
      <c r="S1081" s="239"/>
      <c r="T1081" s="239"/>
      <c r="U1081" s="239"/>
      <c r="V1081" s="239"/>
      <c r="W1081" s="246"/>
      <c r="X1081" s="239"/>
      <c r="Y1081" s="239"/>
      <c r="Z1081" s="239"/>
      <c r="AA1081" s="239"/>
      <c r="AB1081" s="239"/>
      <c r="AC1081" s="239"/>
      <c r="AD1081" s="239"/>
      <c r="AE1081" s="239"/>
      <c r="AF1081" s="239"/>
      <c r="AG1081" s="239"/>
      <c r="AH1081" s="239"/>
      <c r="AI1081" s="239"/>
      <c r="AJ1081" s="239"/>
    </row>
    <row r="1082">
      <c r="A1082" s="239"/>
      <c r="B1082" s="239"/>
      <c r="C1082" s="239"/>
      <c r="D1082" s="239"/>
      <c r="E1082" s="239"/>
      <c r="F1082" s="283"/>
      <c r="G1082" s="239"/>
      <c r="H1082" s="239"/>
      <c r="I1082" s="239"/>
      <c r="J1082" s="239"/>
      <c r="K1082" s="239"/>
      <c r="L1082" s="239"/>
      <c r="M1082" s="239"/>
      <c r="N1082" s="239"/>
      <c r="O1082" s="239"/>
      <c r="P1082" s="246"/>
      <c r="Q1082" s="239"/>
      <c r="R1082" s="239"/>
      <c r="S1082" s="239"/>
      <c r="T1082" s="239"/>
      <c r="U1082" s="239"/>
      <c r="V1082" s="239"/>
      <c r="W1082" s="246"/>
      <c r="X1082" s="239"/>
      <c r="Y1082" s="239"/>
      <c r="Z1082" s="239"/>
      <c r="AA1082" s="239"/>
      <c r="AB1082" s="239"/>
      <c r="AC1082" s="239"/>
      <c r="AD1082" s="239"/>
      <c r="AE1082" s="239"/>
      <c r="AF1082" s="239"/>
      <c r="AG1082" s="239"/>
      <c r="AH1082" s="239"/>
      <c r="AI1082" s="239"/>
      <c r="AJ1082" s="239"/>
    </row>
    <row r="1083">
      <c r="A1083" s="239"/>
      <c r="B1083" s="239"/>
      <c r="C1083" s="239"/>
      <c r="D1083" s="239"/>
      <c r="E1083" s="239"/>
      <c r="F1083" s="283"/>
      <c r="G1083" s="239"/>
      <c r="H1083" s="239"/>
      <c r="I1083" s="239"/>
      <c r="J1083" s="239"/>
      <c r="K1083" s="239"/>
      <c r="L1083" s="239"/>
      <c r="M1083" s="239"/>
      <c r="N1083" s="239"/>
      <c r="O1083" s="239"/>
      <c r="P1083" s="246"/>
      <c r="Q1083" s="239"/>
      <c r="R1083" s="239"/>
      <c r="S1083" s="239"/>
      <c r="T1083" s="239"/>
      <c r="U1083" s="239"/>
      <c r="V1083" s="239"/>
      <c r="W1083" s="246"/>
      <c r="X1083" s="239"/>
      <c r="Y1083" s="239"/>
      <c r="Z1083" s="239"/>
      <c r="AA1083" s="239"/>
      <c r="AB1083" s="239"/>
      <c r="AC1083" s="239"/>
      <c r="AD1083" s="239"/>
      <c r="AE1083" s="239"/>
      <c r="AF1083" s="239"/>
      <c r="AG1083" s="239"/>
      <c r="AH1083" s="239"/>
      <c r="AI1083" s="239"/>
      <c r="AJ1083" s="239"/>
    </row>
    <row r="1084">
      <c r="A1084" s="239"/>
      <c r="B1084" s="239"/>
      <c r="C1084" s="239"/>
      <c r="D1084" s="239"/>
      <c r="E1084" s="239"/>
      <c r="F1084" s="283"/>
      <c r="G1084" s="239"/>
      <c r="H1084" s="239"/>
      <c r="I1084" s="239"/>
      <c r="J1084" s="239"/>
      <c r="K1084" s="239"/>
      <c r="L1084" s="239"/>
      <c r="M1084" s="239"/>
      <c r="N1084" s="239"/>
      <c r="O1084" s="239"/>
      <c r="P1084" s="246"/>
      <c r="Q1084" s="239"/>
      <c r="R1084" s="239"/>
      <c r="S1084" s="239"/>
      <c r="T1084" s="239"/>
      <c r="U1084" s="239"/>
      <c r="V1084" s="239"/>
      <c r="W1084" s="246"/>
      <c r="X1084" s="239"/>
      <c r="Y1084" s="239"/>
      <c r="Z1084" s="239"/>
      <c r="AA1084" s="239"/>
      <c r="AB1084" s="239"/>
      <c r="AC1084" s="239"/>
      <c r="AD1084" s="239"/>
      <c r="AE1084" s="239"/>
      <c r="AF1084" s="239"/>
      <c r="AG1084" s="239"/>
      <c r="AH1084" s="239"/>
      <c r="AI1084" s="239"/>
      <c r="AJ1084" s="239"/>
    </row>
    <row r="1085">
      <c r="A1085" s="239"/>
      <c r="B1085" s="239"/>
      <c r="C1085" s="239"/>
      <c r="D1085" s="239"/>
      <c r="E1085" s="239"/>
      <c r="F1085" s="283"/>
      <c r="G1085" s="239"/>
      <c r="H1085" s="239"/>
      <c r="I1085" s="239"/>
      <c r="J1085" s="239"/>
      <c r="K1085" s="239"/>
      <c r="L1085" s="239"/>
      <c r="M1085" s="239"/>
      <c r="N1085" s="239"/>
      <c r="O1085" s="239"/>
      <c r="P1085" s="246"/>
      <c r="Q1085" s="239"/>
      <c r="R1085" s="239"/>
      <c r="S1085" s="239"/>
      <c r="T1085" s="239"/>
      <c r="U1085" s="239"/>
      <c r="V1085" s="239"/>
      <c r="W1085" s="246"/>
      <c r="X1085" s="239"/>
      <c r="Y1085" s="239"/>
      <c r="Z1085" s="239"/>
      <c r="AA1085" s="239"/>
      <c r="AB1085" s="239"/>
      <c r="AC1085" s="239"/>
      <c r="AD1085" s="239"/>
      <c r="AE1085" s="239"/>
      <c r="AF1085" s="239"/>
      <c r="AG1085" s="239"/>
      <c r="AH1085" s="239"/>
      <c r="AI1085" s="239"/>
      <c r="AJ1085" s="239"/>
    </row>
    <row r="1086">
      <c r="A1086" s="239"/>
      <c r="B1086" s="239"/>
      <c r="C1086" s="239"/>
      <c r="D1086" s="239"/>
      <c r="E1086" s="239"/>
      <c r="F1086" s="283"/>
      <c r="G1086" s="239"/>
      <c r="H1086" s="239"/>
      <c r="I1086" s="239"/>
      <c r="J1086" s="239"/>
      <c r="K1086" s="239"/>
      <c r="L1086" s="239"/>
      <c r="M1086" s="239"/>
      <c r="N1086" s="239"/>
      <c r="O1086" s="239"/>
      <c r="P1086" s="246"/>
      <c r="Q1086" s="239"/>
      <c r="R1086" s="239"/>
      <c r="S1086" s="239"/>
      <c r="T1086" s="239"/>
      <c r="U1086" s="239"/>
      <c r="V1086" s="239"/>
      <c r="W1086" s="246"/>
      <c r="X1086" s="239"/>
      <c r="Y1086" s="239"/>
      <c r="Z1086" s="239"/>
      <c r="AA1086" s="239"/>
      <c r="AB1086" s="239"/>
      <c r="AC1086" s="239"/>
      <c r="AD1086" s="239"/>
      <c r="AE1086" s="239"/>
      <c r="AF1086" s="239"/>
      <c r="AG1086" s="239"/>
      <c r="AH1086" s="239"/>
      <c r="AI1086" s="239"/>
      <c r="AJ1086" s="239"/>
    </row>
    <row r="1087">
      <c r="A1087" s="239"/>
      <c r="B1087" s="239"/>
      <c r="C1087" s="239"/>
      <c r="D1087" s="239"/>
      <c r="E1087" s="239"/>
      <c r="F1087" s="283"/>
      <c r="G1087" s="239"/>
      <c r="H1087" s="239"/>
      <c r="I1087" s="239"/>
      <c r="J1087" s="239"/>
      <c r="K1087" s="239"/>
      <c r="L1087" s="239"/>
      <c r="M1087" s="239"/>
      <c r="N1087" s="239"/>
      <c r="O1087" s="239"/>
      <c r="P1087" s="246"/>
      <c r="Q1087" s="239"/>
      <c r="R1087" s="239"/>
      <c r="S1087" s="239"/>
      <c r="T1087" s="239"/>
      <c r="U1087" s="239"/>
      <c r="V1087" s="239"/>
      <c r="W1087" s="246"/>
      <c r="X1087" s="239"/>
      <c r="Y1087" s="239"/>
      <c r="Z1087" s="239"/>
      <c r="AA1087" s="239"/>
      <c r="AB1087" s="239"/>
      <c r="AC1087" s="239"/>
      <c r="AD1087" s="239"/>
      <c r="AE1087" s="239"/>
      <c r="AF1087" s="239"/>
      <c r="AG1087" s="239"/>
      <c r="AH1087" s="239"/>
      <c r="AI1087" s="239"/>
      <c r="AJ1087" s="239"/>
    </row>
    <row r="1088">
      <c r="A1088" s="239"/>
      <c r="B1088" s="239"/>
      <c r="C1088" s="239"/>
      <c r="D1088" s="239"/>
      <c r="E1088" s="239"/>
      <c r="F1088" s="283"/>
      <c r="G1088" s="239"/>
      <c r="H1088" s="239"/>
      <c r="I1088" s="239"/>
      <c r="J1088" s="239"/>
      <c r="K1088" s="239"/>
      <c r="L1088" s="239"/>
      <c r="M1088" s="239"/>
      <c r="N1088" s="239"/>
      <c r="O1088" s="239"/>
      <c r="P1088" s="246"/>
      <c r="Q1088" s="239"/>
      <c r="R1088" s="239"/>
      <c r="S1088" s="239"/>
      <c r="T1088" s="239"/>
      <c r="U1088" s="239"/>
      <c r="V1088" s="239"/>
      <c r="W1088" s="246"/>
      <c r="X1088" s="239"/>
      <c r="Y1088" s="239"/>
      <c r="Z1088" s="239"/>
      <c r="AA1088" s="239"/>
      <c r="AB1088" s="239"/>
      <c r="AC1088" s="239"/>
      <c r="AD1088" s="239"/>
      <c r="AE1088" s="239"/>
      <c r="AF1088" s="239"/>
      <c r="AG1088" s="239"/>
      <c r="AH1088" s="239"/>
      <c r="AI1088" s="239"/>
      <c r="AJ1088" s="239"/>
    </row>
    <row r="1089">
      <c r="A1089" s="239"/>
      <c r="B1089" s="239"/>
      <c r="C1089" s="239"/>
      <c r="D1089" s="239"/>
      <c r="E1089" s="239"/>
      <c r="F1089" s="283"/>
      <c r="G1089" s="239"/>
      <c r="H1089" s="239"/>
      <c r="I1089" s="239"/>
      <c r="J1089" s="239"/>
      <c r="K1089" s="239"/>
      <c r="L1089" s="239"/>
      <c r="M1089" s="239"/>
      <c r="N1089" s="239"/>
      <c r="O1089" s="239"/>
      <c r="P1089" s="246"/>
      <c r="Q1089" s="239"/>
      <c r="R1089" s="239"/>
      <c r="S1089" s="239"/>
      <c r="T1089" s="239"/>
      <c r="U1089" s="239"/>
      <c r="V1089" s="239"/>
      <c r="W1089" s="246"/>
      <c r="X1089" s="239"/>
      <c r="Y1089" s="239"/>
      <c r="Z1089" s="239"/>
      <c r="AA1089" s="239"/>
      <c r="AB1089" s="239"/>
      <c r="AC1089" s="239"/>
      <c r="AD1089" s="239"/>
      <c r="AE1089" s="239"/>
      <c r="AF1089" s="239"/>
      <c r="AG1089" s="239"/>
      <c r="AH1089" s="239"/>
      <c r="AI1089" s="239"/>
      <c r="AJ1089" s="239"/>
    </row>
    <row r="1090">
      <c r="A1090" s="239"/>
      <c r="B1090" s="239"/>
      <c r="C1090" s="239"/>
      <c r="D1090" s="239"/>
      <c r="E1090" s="239"/>
      <c r="F1090" s="283"/>
      <c r="G1090" s="239"/>
      <c r="H1090" s="239"/>
      <c r="I1090" s="239"/>
      <c r="J1090" s="239"/>
      <c r="K1090" s="239"/>
      <c r="L1090" s="239"/>
      <c r="M1090" s="239"/>
      <c r="N1090" s="239"/>
      <c r="O1090" s="239"/>
      <c r="P1090" s="246"/>
      <c r="Q1090" s="239"/>
      <c r="R1090" s="239"/>
      <c r="S1090" s="239"/>
      <c r="T1090" s="239"/>
      <c r="U1090" s="239"/>
      <c r="V1090" s="239"/>
      <c r="W1090" s="246"/>
      <c r="X1090" s="239"/>
      <c r="Y1090" s="239"/>
      <c r="Z1090" s="239"/>
      <c r="AA1090" s="239"/>
      <c r="AB1090" s="239"/>
      <c r="AC1090" s="239"/>
      <c r="AD1090" s="239"/>
      <c r="AE1090" s="239"/>
      <c r="AF1090" s="239"/>
      <c r="AG1090" s="239"/>
      <c r="AH1090" s="239"/>
      <c r="AI1090" s="239"/>
      <c r="AJ1090" s="239"/>
    </row>
    <row r="1091">
      <c r="A1091" s="239"/>
      <c r="B1091" s="239"/>
      <c r="C1091" s="239"/>
      <c r="D1091" s="239"/>
      <c r="E1091" s="239"/>
      <c r="F1091" s="283"/>
      <c r="G1091" s="239"/>
      <c r="H1091" s="239"/>
      <c r="I1091" s="239"/>
      <c r="J1091" s="239"/>
      <c r="K1091" s="239"/>
      <c r="L1091" s="239"/>
      <c r="M1091" s="239"/>
      <c r="N1091" s="239"/>
      <c r="O1091" s="239"/>
      <c r="P1091" s="246"/>
      <c r="Q1091" s="239"/>
      <c r="R1091" s="239"/>
      <c r="S1091" s="239"/>
      <c r="T1091" s="239"/>
      <c r="U1091" s="239"/>
      <c r="V1091" s="239"/>
      <c r="W1091" s="246"/>
      <c r="X1091" s="239"/>
      <c r="Y1091" s="239"/>
      <c r="Z1091" s="239"/>
      <c r="AA1091" s="239"/>
      <c r="AB1091" s="239"/>
      <c r="AC1091" s="239"/>
      <c r="AD1091" s="239"/>
      <c r="AE1091" s="239"/>
      <c r="AF1091" s="239"/>
      <c r="AG1091" s="239"/>
      <c r="AH1091" s="239"/>
      <c r="AI1091" s="239"/>
      <c r="AJ1091" s="239"/>
    </row>
    <row r="1092">
      <c r="A1092" s="239"/>
      <c r="B1092" s="239"/>
      <c r="C1092" s="239"/>
      <c r="D1092" s="239"/>
      <c r="E1092" s="239"/>
      <c r="F1092" s="283"/>
      <c r="G1092" s="239"/>
      <c r="H1092" s="239"/>
      <c r="I1092" s="239"/>
      <c r="J1092" s="239"/>
      <c r="K1092" s="239"/>
      <c r="L1092" s="239"/>
      <c r="M1092" s="239"/>
      <c r="N1092" s="239"/>
      <c r="O1092" s="239"/>
      <c r="P1092" s="246"/>
      <c r="Q1092" s="239"/>
      <c r="R1092" s="239"/>
      <c r="S1092" s="239"/>
      <c r="T1092" s="239"/>
      <c r="U1092" s="239"/>
      <c r="V1092" s="239"/>
      <c r="W1092" s="246"/>
      <c r="X1092" s="239"/>
      <c r="Y1092" s="239"/>
      <c r="Z1092" s="239"/>
      <c r="AA1092" s="239"/>
      <c r="AB1092" s="239"/>
      <c r="AC1092" s="239"/>
      <c r="AD1092" s="239"/>
      <c r="AE1092" s="239"/>
      <c r="AF1092" s="239"/>
      <c r="AG1092" s="239"/>
      <c r="AH1092" s="239"/>
      <c r="AI1092" s="239"/>
      <c r="AJ1092" s="239"/>
    </row>
    <row r="1093">
      <c r="A1093" s="239"/>
      <c r="B1093" s="239"/>
      <c r="C1093" s="239"/>
      <c r="D1093" s="239"/>
      <c r="E1093" s="239"/>
      <c r="F1093" s="283"/>
      <c r="G1093" s="239"/>
      <c r="H1093" s="239"/>
      <c r="I1093" s="239"/>
      <c r="J1093" s="239"/>
      <c r="K1093" s="239"/>
      <c r="L1093" s="239"/>
      <c r="M1093" s="239"/>
      <c r="N1093" s="239"/>
      <c r="O1093" s="239"/>
      <c r="P1093" s="246"/>
      <c r="Q1093" s="239"/>
      <c r="R1093" s="239"/>
      <c r="S1093" s="239"/>
      <c r="T1093" s="239"/>
      <c r="U1093" s="239"/>
      <c r="V1093" s="239"/>
      <c r="W1093" s="246"/>
      <c r="X1093" s="239"/>
      <c r="Y1093" s="239"/>
      <c r="Z1093" s="239"/>
      <c r="AA1093" s="239"/>
      <c r="AB1093" s="239"/>
      <c r="AC1093" s="239"/>
      <c r="AD1093" s="239"/>
      <c r="AE1093" s="239"/>
      <c r="AF1093" s="239"/>
      <c r="AG1093" s="239"/>
      <c r="AH1093" s="239"/>
      <c r="AI1093" s="239"/>
      <c r="AJ1093" s="239"/>
    </row>
    <row r="1094">
      <c r="A1094" s="239"/>
      <c r="B1094" s="239"/>
      <c r="C1094" s="239"/>
      <c r="D1094" s="239"/>
      <c r="E1094" s="239"/>
      <c r="F1094" s="283"/>
      <c r="G1094" s="239"/>
      <c r="H1094" s="239"/>
      <c r="I1094" s="239"/>
      <c r="J1094" s="239"/>
      <c r="K1094" s="239"/>
      <c r="L1094" s="239"/>
      <c r="M1094" s="239"/>
      <c r="N1094" s="239"/>
      <c r="O1094" s="239"/>
      <c r="P1094" s="246"/>
      <c r="Q1094" s="239"/>
      <c r="R1094" s="239"/>
      <c r="S1094" s="239"/>
      <c r="T1094" s="239"/>
      <c r="U1094" s="239"/>
      <c r="V1094" s="239"/>
      <c r="W1094" s="246"/>
      <c r="X1094" s="239"/>
      <c r="Y1094" s="239"/>
      <c r="Z1094" s="239"/>
      <c r="AA1094" s="239"/>
      <c r="AB1094" s="239"/>
      <c r="AC1094" s="239"/>
      <c r="AD1094" s="239"/>
      <c r="AE1094" s="239"/>
      <c r="AF1094" s="239"/>
      <c r="AG1094" s="239"/>
      <c r="AH1094" s="239"/>
      <c r="AI1094" s="239"/>
      <c r="AJ1094" s="239"/>
    </row>
    <row r="1095">
      <c r="A1095" s="239"/>
      <c r="B1095" s="239"/>
      <c r="C1095" s="239"/>
      <c r="D1095" s="239"/>
      <c r="E1095" s="239"/>
      <c r="F1095" s="283"/>
      <c r="G1095" s="239"/>
      <c r="H1095" s="239"/>
      <c r="I1095" s="239"/>
      <c r="J1095" s="239"/>
      <c r="K1095" s="239"/>
      <c r="L1095" s="239"/>
      <c r="M1095" s="239"/>
      <c r="N1095" s="239"/>
      <c r="O1095" s="239"/>
      <c r="P1095" s="246"/>
      <c r="Q1095" s="239"/>
      <c r="R1095" s="239"/>
      <c r="S1095" s="239"/>
      <c r="T1095" s="239"/>
      <c r="U1095" s="239"/>
      <c r="V1095" s="239"/>
      <c r="W1095" s="246"/>
      <c r="X1095" s="239"/>
      <c r="Y1095" s="239"/>
      <c r="Z1095" s="239"/>
      <c r="AA1095" s="239"/>
      <c r="AB1095" s="239"/>
      <c r="AC1095" s="239"/>
      <c r="AD1095" s="239"/>
      <c r="AE1095" s="239"/>
      <c r="AF1095" s="239"/>
      <c r="AG1095" s="239"/>
      <c r="AH1095" s="239"/>
      <c r="AI1095" s="239"/>
      <c r="AJ1095" s="239"/>
    </row>
    <row r="1096">
      <c r="A1096" s="239"/>
      <c r="B1096" s="239"/>
      <c r="C1096" s="239"/>
      <c r="D1096" s="239"/>
      <c r="E1096" s="239"/>
      <c r="F1096" s="283"/>
      <c r="G1096" s="239"/>
      <c r="H1096" s="239"/>
      <c r="I1096" s="239"/>
      <c r="J1096" s="239"/>
      <c r="K1096" s="239"/>
      <c r="L1096" s="239"/>
      <c r="M1096" s="239"/>
      <c r="N1096" s="239"/>
      <c r="O1096" s="239"/>
      <c r="P1096" s="246"/>
      <c r="Q1096" s="239"/>
      <c r="R1096" s="239"/>
      <c r="S1096" s="239"/>
      <c r="T1096" s="239"/>
      <c r="U1096" s="239"/>
      <c r="V1096" s="239"/>
      <c r="W1096" s="246"/>
      <c r="X1096" s="239"/>
      <c r="Y1096" s="239"/>
      <c r="Z1096" s="239"/>
      <c r="AA1096" s="239"/>
      <c r="AB1096" s="239"/>
      <c r="AC1096" s="239"/>
      <c r="AD1096" s="239"/>
      <c r="AE1096" s="239"/>
      <c r="AF1096" s="239"/>
      <c r="AG1096" s="239"/>
      <c r="AH1096" s="239"/>
      <c r="AI1096" s="239"/>
      <c r="AJ1096" s="239"/>
    </row>
    <row r="1097">
      <c r="A1097" s="239"/>
      <c r="B1097" s="239"/>
      <c r="C1097" s="239"/>
      <c r="D1097" s="239"/>
      <c r="E1097" s="239"/>
      <c r="F1097" s="283"/>
      <c r="G1097" s="239"/>
      <c r="H1097" s="239"/>
      <c r="I1097" s="239"/>
      <c r="J1097" s="239"/>
      <c r="K1097" s="239"/>
      <c r="L1097" s="239"/>
      <c r="M1097" s="239"/>
      <c r="N1097" s="239"/>
      <c r="O1097" s="239"/>
      <c r="P1097" s="246"/>
      <c r="Q1097" s="239"/>
      <c r="R1097" s="239"/>
      <c r="S1097" s="239"/>
      <c r="T1097" s="239"/>
      <c r="U1097" s="239"/>
      <c r="V1097" s="239"/>
      <c r="W1097" s="246"/>
      <c r="X1097" s="239"/>
      <c r="Y1097" s="239"/>
      <c r="Z1097" s="239"/>
      <c r="AA1097" s="239"/>
      <c r="AB1097" s="239"/>
      <c r="AC1097" s="239"/>
      <c r="AD1097" s="239"/>
      <c r="AE1097" s="239"/>
      <c r="AF1097" s="239"/>
      <c r="AG1097" s="239"/>
      <c r="AH1097" s="239"/>
      <c r="AI1097" s="239"/>
      <c r="AJ1097" s="239"/>
    </row>
    <row r="1098">
      <c r="A1098" s="239"/>
      <c r="B1098" s="239"/>
      <c r="C1098" s="239"/>
      <c r="D1098" s="239"/>
      <c r="E1098" s="239"/>
      <c r="F1098" s="283"/>
      <c r="G1098" s="239"/>
      <c r="H1098" s="239"/>
      <c r="I1098" s="239"/>
      <c r="J1098" s="239"/>
      <c r="K1098" s="239"/>
      <c r="L1098" s="239"/>
      <c r="M1098" s="239"/>
      <c r="N1098" s="239"/>
      <c r="O1098" s="239"/>
      <c r="P1098" s="246"/>
      <c r="Q1098" s="239"/>
      <c r="R1098" s="239"/>
      <c r="S1098" s="239"/>
      <c r="T1098" s="239"/>
      <c r="U1098" s="239"/>
      <c r="V1098" s="239"/>
      <c r="W1098" s="246"/>
      <c r="X1098" s="239"/>
      <c r="Y1098" s="239"/>
      <c r="Z1098" s="239"/>
      <c r="AA1098" s="239"/>
      <c r="AB1098" s="239"/>
      <c r="AC1098" s="239"/>
      <c r="AD1098" s="239"/>
      <c r="AE1098" s="239"/>
      <c r="AF1098" s="239"/>
      <c r="AG1098" s="239"/>
      <c r="AH1098" s="239"/>
      <c r="AI1098" s="239"/>
      <c r="AJ1098" s="239"/>
    </row>
    <row r="1099">
      <c r="A1099" s="239"/>
      <c r="B1099" s="239"/>
      <c r="C1099" s="239"/>
      <c r="D1099" s="239"/>
      <c r="E1099" s="239"/>
      <c r="F1099" s="283"/>
      <c r="G1099" s="239"/>
      <c r="H1099" s="239"/>
      <c r="I1099" s="239"/>
      <c r="J1099" s="239"/>
      <c r="K1099" s="239"/>
      <c r="L1099" s="239"/>
      <c r="M1099" s="239"/>
      <c r="N1099" s="239"/>
      <c r="O1099" s="239"/>
      <c r="P1099" s="246"/>
      <c r="Q1099" s="239"/>
      <c r="R1099" s="239"/>
      <c r="S1099" s="239"/>
      <c r="T1099" s="239"/>
      <c r="U1099" s="239"/>
      <c r="V1099" s="239"/>
      <c r="W1099" s="246"/>
      <c r="X1099" s="239"/>
      <c r="Y1099" s="239"/>
      <c r="Z1099" s="239"/>
      <c r="AA1099" s="239"/>
      <c r="AB1099" s="239"/>
      <c r="AC1099" s="239"/>
      <c r="AD1099" s="239"/>
      <c r="AE1099" s="239"/>
      <c r="AF1099" s="239"/>
      <c r="AG1099" s="239"/>
      <c r="AH1099" s="239"/>
      <c r="AI1099" s="239"/>
      <c r="AJ1099" s="239"/>
    </row>
    <row r="1100">
      <c r="A1100" s="239"/>
      <c r="B1100" s="239"/>
      <c r="C1100" s="239"/>
      <c r="D1100" s="239"/>
      <c r="E1100" s="239"/>
      <c r="F1100" s="283"/>
      <c r="G1100" s="239"/>
      <c r="H1100" s="239"/>
      <c r="I1100" s="239"/>
      <c r="J1100" s="239"/>
      <c r="K1100" s="239"/>
      <c r="L1100" s="239"/>
      <c r="M1100" s="239"/>
      <c r="N1100" s="239"/>
      <c r="O1100" s="239"/>
      <c r="P1100" s="246"/>
      <c r="Q1100" s="239"/>
      <c r="R1100" s="239"/>
      <c r="S1100" s="239"/>
      <c r="T1100" s="239"/>
      <c r="U1100" s="239"/>
      <c r="V1100" s="239"/>
      <c r="W1100" s="246"/>
      <c r="X1100" s="239"/>
      <c r="Y1100" s="239"/>
      <c r="Z1100" s="239"/>
      <c r="AA1100" s="239"/>
      <c r="AB1100" s="239"/>
      <c r="AC1100" s="239"/>
      <c r="AD1100" s="239"/>
      <c r="AE1100" s="239"/>
      <c r="AF1100" s="239"/>
      <c r="AG1100" s="239"/>
      <c r="AH1100" s="239"/>
      <c r="AI1100" s="239"/>
      <c r="AJ1100" s="239"/>
    </row>
    <row r="1101">
      <c r="A1101" s="239"/>
      <c r="B1101" s="239"/>
      <c r="C1101" s="239"/>
      <c r="D1101" s="239"/>
      <c r="E1101" s="239"/>
      <c r="F1101" s="283"/>
      <c r="G1101" s="239"/>
      <c r="H1101" s="239"/>
      <c r="I1101" s="239"/>
      <c r="J1101" s="239"/>
      <c r="K1101" s="239"/>
      <c r="L1101" s="239"/>
      <c r="M1101" s="239"/>
      <c r="N1101" s="239"/>
      <c r="O1101" s="239"/>
      <c r="P1101" s="246"/>
      <c r="Q1101" s="239"/>
      <c r="R1101" s="239"/>
      <c r="S1101" s="239"/>
      <c r="T1101" s="239"/>
      <c r="U1101" s="239"/>
      <c r="V1101" s="239"/>
      <c r="W1101" s="246"/>
      <c r="X1101" s="239"/>
      <c r="Y1101" s="239"/>
      <c r="Z1101" s="239"/>
      <c r="AA1101" s="239"/>
      <c r="AB1101" s="239"/>
      <c r="AC1101" s="239"/>
      <c r="AD1101" s="239"/>
      <c r="AE1101" s="239"/>
      <c r="AF1101" s="239"/>
      <c r="AG1101" s="239"/>
      <c r="AH1101" s="239"/>
      <c r="AI1101" s="239"/>
      <c r="AJ1101" s="239"/>
    </row>
    <row r="1102">
      <c r="A1102" s="239"/>
      <c r="B1102" s="239"/>
      <c r="C1102" s="239"/>
      <c r="D1102" s="239"/>
      <c r="E1102" s="239"/>
      <c r="F1102" s="283"/>
      <c r="G1102" s="239"/>
      <c r="H1102" s="239"/>
      <c r="I1102" s="239"/>
      <c r="J1102" s="239"/>
      <c r="K1102" s="239"/>
      <c r="L1102" s="239"/>
      <c r="M1102" s="239"/>
      <c r="N1102" s="239"/>
      <c r="O1102" s="239"/>
      <c r="P1102" s="246"/>
      <c r="Q1102" s="239"/>
      <c r="R1102" s="239"/>
      <c r="S1102" s="239"/>
      <c r="T1102" s="239"/>
      <c r="U1102" s="239"/>
      <c r="V1102" s="239"/>
      <c r="W1102" s="246"/>
      <c r="X1102" s="239"/>
      <c r="Y1102" s="239"/>
      <c r="Z1102" s="239"/>
      <c r="AA1102" s="239"/>
      <c r="AB1102" s="239"/>
      <c r="AC1102" s="239"/>
      <c r="AD1102" s="239"/>
      <c r="AE1102" s="239"/>
      <c r="AF1102" s="239"/>
      <c r="AG1102" s="239"/>
      <c r="AH1102" s="239"/>
      <c r="AI1102" s="239"/>
      <c r="AJ1102" s="239"/>
    </row>
    <row r="1103">
      <c r="A1103" s="239"/>
      <c r="B1103" s="239"/>
      <c r="C1103" s="239"/>
      <c r="D1103" s="239"/>
      <c r="E1103" s="239"/>
      <c r="F1103" s="283"/>
      <c r="G1103" s="239"/>
      <c r="H1103" s="239"/>
      <c r="I1103" s="239"/>
      <c r="J1103" s="239"/>
      <c r="K1103" s="239"/>
      <c r="L1103" s="239"/>
      <c r="M1103" s="239"/>
      <c r="N1103" s="239"/>
      <c r="O1103" s="239"/>
      <c r="P1103" s="246"/>
      <c r="Q1103" s="239"/>
      <c r="R1103" s="239"/>
      <c r="S1103" s="239"/>
      <c r="T1103" s="239"/>
      <c r="U1103" s="239"/>
      <c r="V1103" s="239"/>
      <c r="W1103" s="246"/>
      <c r="X1103" s="239"/>
      <c r="Y1103" s="239"/>
      <c r="Z1103" s="239"/>
      <c r="AA1103" s="239"/>
      <c r="AB1103" s="239"/>
      <c r="AC1103" s="239"/>
      <c r="AD1103" s="239"/>
      <c r="AE1103" s="239"/>
      <c r="AF1103" s="239"/>
      <c r="AG1103" s="239"/>
      <c r="AH1103" s="239"/>
      <c r="AI1103" s="239"/>
      <c r="AJ1103" s="239"/>
    </row>
    <row r="1104">
      <c r="A1104" s="239"/>
      <c r="B1104" s="239"/>
      <c r="C1104" s="239"/>
      <c r="D1104" s="239"/>
      <c r="E1104" s="239"/>
      <c r="F1104" s="283"/>
      <c r="G1104" s="239"/>
      <c r="H1104" s="239"/>
      <c r="I1104" s="239"/>
      <c r="J1104" s="239"/>
      <c r="K1104" s="239"/>
      <c r="L1104" s="239"/>
      <c r="M1104" s="239"/>
      <c r="N1104" s="239"/>
      <c r="O1104" s="239"/>
      <c r="P1104" s="246"/>
      <c r="Q1104" s="239"/>
      <c r="R1104" s="239"/>
      <c r="S1104" s="239"/>
      <c r="T1104" s="239"/>
      <c r="U1104" s="239"/>
      <c r="V1104" s="239"/>
      <c r="W1104" s="246"/>
      <c r="X1104" s="239"/>
      <c r="Y1104" s="239"/>
      <c r="Z1104" s="239"/>
      <c r="AA1104" s="239"/>
      <c r="AB1104" s="239"/>
      <c r="AC1104" s="239"/>
      <c r="AD1104" s="239"/>
      <c r="AE1104" s="239"/>
      <c r="AF1104" s="239"/>
      <c r="AG1104" s="239"/>
      <c r="AH1104" s="239"/>
      <c r="AI1104" s="239"/>
      <c r="AJ1104" s="239"/>
    </row>
    <row r="1105">
      <c r="A1105" s="239"/>
      <c r="B1105" s="239"/>
      <c r="C1105" s="239"/>
      <c r="D1105" s="239"/>
      <c r="E1105" s="239"/>
      <c r="F1105" s="283"/>
      <c r="G1105" s="239"/>
      <c r="H1105" s="239"/>
      <c r="I1105" s="239"/>
      <c r="J1105" s="239"/>
      <c r="K1105" s="239"/>
      <c r="L1105" s="239"/>
      <c r="M1105" s="239"/>
      <c r="N1105" s="239"/>
      <c r="O1105" s="239"/>
      <c r="P1105" s="246"/>
      <c r="Q1105" s="239"/>
      <c r="R1105" s="239"/>
      <c r="S1105" s="239"/>
      <c r="T1105" s="239"/>
      <c r="U1105" s="239"/>
      <c r="V1105" s="239"/>
      <c r="W1105" s="246"/>
      <c r="X1105" s="239"/>
      <c r="Y1105" s="239"/>
      <c r="Z1105" s="239"/>
      <c r="AA1105" s="239"/>
      <c r="AB1105" s="239"/>
      <c r="AC1105" s="239"/>
      <c r="AD1105" s="239"/>
      <c r="AE1105" s="239"/>
      <c r="AF1105" s="239"/>
      <c r="AG1105" s="239"/>
      <c r="AH1105" s="239"/>
      <c r="AI1105" s="239"/>
      <c r="AJ1105" s="239"/>
    </row>
    <row r="1106">
      <c r="A1106" s="239"/>
      <c r="B1106" s="239"/>
      <c r="C1106" s="239"/>
      <c r="D1106" s="239"/>
      <c r="E1106" s="239"/>
      <c r="F1106" s="283"/>
      <c r="G1106" s="239"/>
      <c r="H1106" s="239"/>
      <c r="I1106" s="239"/>
      <c r="J1106" s="239"/>
      <c r="K1106" s="239"/>
      <c r="L1106" s="239"/>
      <c r="M1106" s="239"/>
      <c r="N1106" s="239"/>
      <c r="O1106" s="239"/>
      <c r="P1106" s="246"/>
      <c r="Q1106" s="239"/>
      <c r="R1106" s="239"/>
      <c r="S1106" s="239"/>
      <c r="T1106" s="239"/>
      <c r="U1106" s="239"/>
      <c r="V1106" s="239"/>
      <c r="W1106" s="246"/>
      <c r="X1106" s="239"/>
      <c r="Y1106" s="239"/>
      <c r="Z1106" s="239"/>
      <c r="AA1106" s="239"/>
      <c r="AB1106" s="239"/>
      <c r="AC1106" s="239"/>
      <c r="AD1106" s="239"/>
      <c r="AE1106" s="239"/>
      <c r="AF1106" s="239"/>
      <c r="AG1106" s="239"/>
      <c r="AH1106" s="239"/>
      <c r="AI1106" s="239"/>
      <c r="AJ1106" s="239"/>
    </row>
    <row r="1107">
      <c r="A1107" s="239"/>
      <c r="B1107" s="239"/>
      <c r="C1107" s="239"/>
      <c r="D1107" s="239"/>
      <c r="E1107" s="239"/>
      <c r="F1107" s="283"/>
      <c r="G1107" s="239"/>
      <c r="H1107" s="239"/>
      <c r="I1107" s="239"/>
      <c r="J1107" s="239"/>
      <c r="K1107" s="239"/>
      <c r="L1107" s="239"/>
      <c r="M1107" s="239"/>
      <c r="N1107" s="239"/>
      <c r="O1107" s="239"/>
      <c r="P1107" s="246"/>
      <c r="Q1107" s="239"/>
      <c r="R1107" s="239"/>
      <c r="S1107" s="239"/>
      <c r="T1107" s="239"/>
      <c r="U1107" s="239"/>
      <c r="V1107" s="239"/>
      <c r="W1107" s="246"/>
      <c r="X1107" s="239"/>
      <c r="Y1107" s="239"/>
      <c r="Z1107" s="239"/>
      <c r="AA1107" s="239"/>
      <c r="AB1107" s="239"/>
      <c r="AC1107" s="239"/>
      <c r="AD1107" s="239"/>
      <c r="AE1107" s="239"/>
      <c r="AF1107" s="239"/>
      <c r="AG1107" s="239"/>
      <c r="AH1107" s="239"/>
      <c r="AI1107" s="239"/>
      <c r="AJ1107" s="239"/>
    </row>
    <row r="1108">
      <c r="A1108" s="239"/>
      <c r="B1108" s="239"/>
      <c r="C1108" s="239"/>
      <c r="D1108" s="239"/>
      <c r="E1108" s="239"/>
      <c r="F1108" s="283"/>
      <c r="G1108" s="239"/>
      <c r="H1108" s="239"/>
      <c r="I1108" s="239"/>
      <c r="J1108" s="239"/>
      <c r="K1108" s="239"/>
      <c r="L1108" s="239"/>
      <c r="M1108" s="239"/>
      <c r="N1108" s="239"/>
      <c r="O1108" s="239"/>
      <c r="P1108" s="246"/>
      <c r="Q1108" s="239"/>
      <c r="R1108" s="239"/>
      <c r="S1108" s="239"/>
      <c r="T1108" s="239"/>
      <c r="U1108" s="239"/>
      <c r="V1108" s="239"/>
      <c r="W1108" s="246"/>
      <c r="X1108" s="239"/>
      <c r="Y1108" s="239"/>
      <c r="Z1108" s="239"/>
      <c r="AA1108" s="239"/>
      <c r="AB1108" s="239"/>
      <c r="AC1108" s="239"/>
      <c r="AD1108" s="239"/>
      <c r="AE1108" s="239"/>
      <c r="AF1108" s="239"/>
      <c r="AG1108" s="239"/>
      <c r="AH1108" s="239"/>
      <c r="AI1108" s="239"/>
      <c r="AJ1108" s="239"/>
    </row>
    <row r="1109">
      <c r="A1109" s="239"/>
      <c r="B1109" s="239"/>
      <c r="C1109" s="239"/>
      <c r="D1109" s="239"/>
      <c r="E1109" s="239"/>
      <c r="F1109" s="283"/>
      <c r="G1109" s="239"/>
      <c r="H1109" s="239"/>
      <c r="I1109" s="239"/>
      <c r="J1109" s="239"/>
      <c r="K1109" s="239"/>
      <c r="L1109" s="239"/>
      <c r="M1109" s="239"/>
      <c r="N1109" s="239"/>
      <c r="O1109" s="239"/>
      <c r="P1109" s="246"/>
      <c r="Q1109" s="239"/>
      <c r="R1109" s="239"/>
      <c r="S1109" s="239"/>
      <c r="T1109" s="239"/>
      <c r="U1109" s="239"/>
      <c r="V1109" s="239"/>
      <c r="W1109" s="246"/>
      <c r="X1109" s="239"/>
      <c r="Y1109" s="239"/>
      <c r="Z1109" s="239"/>
      <c r="AA1109" s="239"/>
      <c r="AB1109" s="239"/>
      <c r="AC1109" s="239"/>
      <c r="AD1109" s="239"/>
      <c r="AE1109" s="239"/>
      <c r="AF1109" s="239"/>
      <c r="AG1109" s="239"/>
      <c r="AH1109" s="239"/>
      <c r="AI1109" s="239"/>
      <c r="AJ1109" s="239"/>
    </row>
    <row r="1110">
      <c r="A1110" s="239"/>
      <c r="B1110" s="239"/>
      <c r="C1110" s="239"/>
      <c r="D1110" s="239"/>
      <c r="E1110" s="239"/>
      <c r="F1110" s="283"/>
      <c r="G1110" s="239"/>
      <c r="H1110" s="239"/>
      <c r="I1110" s="239"/>
      <c r="J1110" s="239"/>
      <c r="K1110" s="239"/>
      <c r="L1110" s="239"/>
      <c r="M1110" s="239"/>
      <c r="N1110" s="239"/>
      <c r="O1110" s="239"/>
      <c r="P1110" s="246"/>
      <c r="Q1110" s="239"/>
      <c r="R1110" s="239"/>
      <c r="S1110" s="239"/>
      <c r="T1110" s="239"/>
      <c r="U1110" s="239"/>
      <c r="V1110" s="239"/>
      <c r="W1110" s="246"/>
      <c r="X1110" s="239"/>
      <c r="Y1110" s="239"/>
      <c r="Z1110" s="239"/>
      <c r="AA1110" s="239"/>
      <c r="AB1110" s="239"/>
      <c r="AC1110" s="239"/>
      <c r="AD1110" s="239"/>
      <c r="AE1110" s="239"/>
      <c r="AF1110" s="239"/>
      <c r="AG1110" s="239"/>
      <c r="AH1110" s="239"/>
      <c r="AI1110" s="239"/>
      <c r="AJ1110" s="239"/>
    </row>
    <row r="1111">
      <c r="A1111" s="239"/>
      <c r="B1111" s="239"/>
      <c r="C1111" s="239"/>
      <c r="D1111" s="239"/>
      <c r="E1111" s="239"/>
      <c r="F1111" s="283"/>
      <c r="G1111" s="239"/>
      <c r="H1111" s="239"/>
      <c r="I1111" s="239"/>
      <c r="J1111" s="239"/>
      <c r="K1111" s="239"/>
      <c r="L1111" s="239"/>
      <c r="M1111" s="239"/>
      <c r="N1111" s="239"/>
      <c r="O1111" s="239"/>
      <c r="P1111" s="246"/>
      <c r="Q1111" s="239"/>
      <c r="R1111" s="239"/>
      <c r="S1111" s="239"/>
      <c r="T1111" s="239"/>
      <c r="U1111" s="239"/>
      <c r="V1111" s="239"/>
      <c r="W1111" s="246"/>
      <c r="X1111" s="239"/>
      <c r="Y1111" s="239"/>
      <c r="Z1111" s="239"/>
      <c r="AA1111" s="239"/>
      <c r="AB1111" s="239"/>
      <c r="AC1111" s="239"/>
      <c r="AD1111" s="239"/>
      <c r="AE1111" s="239"/>
      <c r="AF1111" s="239"/>
      <c r="AG1111" s="239"/>
      <c r="AH1111" s="239"/>
      <c r="AI1111" s="239"/>
      <c r="AJ1111" s="239"/>
    </row>
    <row r="1112">
      <c r="A1112" s="239"/>
      <c r="B1112" s="239"/>
      <c r="C1112" s="239"/>
      <c r="D1112" s="239"/>
      <c r="E1112" s="239"/>
      <c r="F1112" s="283"/>
      <c r="G1112" s="239"/>
      <c r="H1112" s="239"/>
      <c r="I1112" s="239"/>
      <c r="J1112" s="239"/>
      <c r="K1112" s="239"/>
      <c r="L1112" s="239"/>
      <c r="M1112" s="239"/>
      <c r="N1112" s="239"/>
      <c r="O1112" s="239"/>
      <c r="P1112" s="246"/>
      <c r="Q1112" s="239"/>
      <c r="R1112" s="239"/>
      <c r="S1112" s="239"/>
      <c r="T1112" s="239"/>
      <c r="U1112" s="239"/>
      <c r="V1112" s="239"/>
      <c r="W1112" s="246"/>
      <c r="X1112" s="239"/>
      <c r="Y1112" s="239"/>
      <c r="Z1112" s="239"/>
      <c r="AA1112" s="239"/>
      <c r="AB1112" s="239"/>
      <c r="AC1112" s="239"/>
      <c r="AD1112" s="239"/>
      <c r="AE1112" s="239"/>
      <c r="AF1112" s="239"/>
      <c r="AG1112" s="239"/>
      <c r="AH1112" s="239"/>
      <c r="AI1112" s="239"/>
      <c r="AJ1112" s="239"/>
    </row>
    <row r="1113">
      <c r="A1113" s="239"/>
      <c r="B1113" s="239"/>
      <c r="C1113" s="239"/>
      <c r="D1113" s="239"/>
      <c r="E1113" s="239"/>
      <c r="F1113" s="283"/>
      <c r="G1113" s="239"/>
      <c r="H1113" s="239"/>
      <c r="I1113" s="239"/>
      <c r="J1113" s="239"/>
      <c r="K1113" s="239"/>
      <c r="L1113" s="239"/>
      <c r="M1113" s="239"/>
      <c r="N1113" s="239"/>
      <c r="O1113" s="239"/>
      <c r="P1113" s="246"/>
      <c r="Q1113" s="239"/>
      <c r="R1113" s="239"/>
      <c r="S1113" s="239"/>
      <c r="T1113" s="239"/>
      <c r="U1113" s="239"/>
      <c r="V1113" s="239"/>
      <c r="W1113" s="246"/>
      <c r="X1113" s="239"/>
      <c r="Y1113" s="239"/>
      <c r="Z1113" s="239"/>
      <c r="AA1113" s="239"/>
      <c r="AB1113" s="239"/>
      <c r="AC1113" s="239"/>
      <c r="AD1113" s="239"/>
      <c r="AE1113" s="239"/>
      <c r="AF1113" s="239"/>
      <c r="AG1113" s="239"/>
      <c r="AH1113" s="239"/>
      <c r="AI1113" s="239"/>
      <c r="AJ1113" s="239"/>
    </row>
    <row r="1114">
      <c r="A1114" s="239"/>
      <c r="B1114" s="239"/>
      <c r="C1114" s="239"/>
      <c r="D1114" s="239"/>
      <c r="E1114" s="239"/>
      <c r="F1114" s="283"/>
      <c r="G1114" s="239"/>
      <c r="H1114" s="239"/>
      <c r="I1114" s="239"/>
      <c r="J1114" s="239"/>
      <c r="K1114" s="239"/>
      <c r="L1114" s="239"/>
      <c r="M1114" s="239"/>
      <c r="N1114" s="239"/>
      <c r="O1114" s="239"/>
      <c r="P1114" s="246"/>
      <c r="Q1114" s="239"/>
      <c r="R1114" s="239"/>
      <c r="S1114" s="239"/>
      <c r="T1114" s="239"/>
      <c r="U1114" s="239"/>
      <c r="V1114" s="239"/>
      <c r="W1114" s="246"/>
      <c r="X1114" s="239"/>
      <c r="Y1114" s="239"/>
      <c r="Z1114" s="239"/>
      <c r="AA1114" s="239"/>
      <c r="AB1114" s="239"/>
      <c r="AC1114" s="239"/>
      <c r="AD1114" s="239"/>
      <c r="AE1114" s="239"/>
      <c r="AF1114" s="239"/>
      <c r="AG1114" s="239"/>
      <c r="AH1114" s="239"/>
      <c r="AI1114" s="239"/>
      <c r="AJ1114" s="239"/>
    </row>
    <row r="1115">
      <c r="A1115" s="239"/>
      <c r="B1115" s="239"/>
      <c r="C1115" s="239"/>
      <c r="D1115" s="239"/>
      <c r="E1115" s="239"/>
      <c r="F1115" s="283"/>
      <c r="G1115" s="239"/>
      <c r="H1115" s="239"/>
      <c r="I1115" s="239"/>
      <c r="J1115" s="239"/>
      <c r="K1115" s="239"/>
      <c r="L1115" s="239"/>
      <c r="M1115" s="239"/>
      <c r="N1115" s="239"/>
      <c r="O1115" s="239"/>
      <c r="P1115" s="246"/>
      <c r="Q1115" s="239"/>
      <c r="R1115" s="239"/>
      <c r="S1115" s="239"/>
      <c r="T1115" s="239"/>
      <c r="U1115" s="239"/>
      <c r="V1115" s="239"/>
      <c r="W1115" s="246"/>
      <c r="X1115" s="239"/>
      <c r="Y1115" s="239"/>
      <c r="Z1115" s="239"/>
      <c r="AA1115" s="239"/>
      <c r="AB1115" s="239"/>
      <c r="AC1115" s="239"/>
      <c r="AD1115" s="239"/>
      <c r="AE1115" s="239"/>
      <c r="AF1115" s="239"/>
      <c r="AG1115" s="239"/>
      <c r="AH1115" s="239"/>
      <c r="AI1115" s="239"/>
      <c r="AJ1115" s="239"/>
    </row>
    <row r="1116">
      <c r="A1116" s="239"/>
      <c r="B1116" s="239"/>
      <c r="C1116" s="239"/>
      <c r="D1116" s="239"/>
      <c r="E1116" s="239"/>
      <c r="F1116" s="283"/>
      <c r="G1116" s="239"/>
      <c r="H1116" s="239"/>
      <c r="I1116" s="239"/>
      <c r="J1116" s="239"/>
      <c r="K1116" s="239"/>
      <c r="L1116" s="239"/>
      <c r="M1116" s="239"/>
      <c r="N1116" s="239"/>
      <c r="O1116" s="239"/>
      <c r="P1116" s="246"/>
      <c r="Q1116" s="239"/>
      <c r="R1116" s="239"/>
      <c r="S1116" s="239"/>
      <c r="T1116" s="239"/>
      <c r="U1116" s="239"/>
      <c r="V1116" s="239"/>
      <c r="W1116" s="246"/>
      <c r="X1116" s="239"/>
      <c r="Y1116" s="239"/>
      <c r="Z1116" s="239"/>
      <c r="AA1116" s="239"/>
      <c r="AB1116" s="239"/>
      <c r="AC1116" s="239"/>
      <c r="AD1116" s="239"/>
      <c r="AE1116" s="239"/>
      <c r="AF1116" s="239"/>
      <c r="AG1116" s="239"/>
      <c r="AH1116" s="239"/>
      <c r="AI1116" s="239"/>
      <c r="AJ1116" s="239"/>
    </row>
    <row r="1117">
      <c r="A1117" s="239"/>
      <c r="B1117" s="239"/>
      <c r="C1117" s="239"/>
      <c r="D1117" s="239"/>
      <c r="E1117" s="239"/>
      <c r="F1117" s="283"/>
      <c r="G1117" s="239"/>
      <c r="H1117" s="239"/>
      <c r="I1117" s="239"/>
      <c r="J1117" s="239"/>
      <c r="K1117" s="239"/>
      <c r="L1117" s="239"/>
      <c r="M1117" s="239"/>
      <c r="N1117" s="239"/>
      <c r="O1117" s="239"/>
      <c r="P1117" s="246"/>
      <c r="Q1117" s="239"/>
      <c r="R1117" s="239"/>
      <c r="S1117" s="239"/>
      <c r="T1117" s="239"/>
      <c r="U1117" s="239"/>
      <c r="V1117" s="239"/>
      <c r="W1117" s="246"/>
      <c r="X1117" s="239"/>
      <c r="Y1117" s="239"/>
      <c r="Z1117" s="239"/>
      <c r="AA1117" s="239"/>
      <c r="AB1117" s="239"/>
      <c r="AC1117" s="239"/>
      <c r="AD1117" s="239"/>
      <c r="AE1117" s="239"/>
      <c r="AF1117" s="239"/>
      <c r="AG1117" s="239"/>
      <c r="AH1117" s="239"/>
      <c r="AI1117" s="239"/>
      <c r="AJ1117" s="239"/>
    </row>
    <row r="1118">
      <c r="A1118" s="239"/>
      <c r="B1118" s="239"/>
      <c r="C1118" s="239"/>
      <c r="D1118" s="239"/>
      <c r="E1118" s="239"/>
      <c r="F1118" s="283"/>
      <c r="G1118" s="239"/>
      <c r="H1118" s="239"/>
      <c r="I1118" s="239"/>
      <c r="J1118" s="239"/>
      <c r="K1118" s="239"/>
      <c r="L1118" s="239"/>
      <c r="M1118" s="239"/>
      <c r="N1118" s="239"/>
      <c r="O1118" s="239"/>
      <c r="P1118" s="246"/>
      <c r="Q1118" s="239"/>
      <c r="R1118" s="239"/>
      <c r="S1118" s="239"/>
      <c r="T1118" s="239"/>
      <c r="U1118" s="239"/>
      <c r="V1118" s="239"/>
      <c r="W1118" s="246"/>
      <c r="X1118" s="239"/>
      <c r="Y1118" s="239"/>
      <c r="Z1118" s="239"/>
      <c r="AA1118" s="239"/>
      <c r="AB1118" s="239"/>
      <c r="AC1118" s="239"/>
      <c r="AD1118" s="239"/>
      <c r="AE1118" s="239"/>
      <c r="AF1118" s="239"/>
      <c r="AG1118" s="239"/>
      <c r="AH1118" s="239"/>
      <c r="AI1118" s="239"/>
      <c r="AJ1118" s="239"/>
    </row>
    <row r="1119">
      <c r="A1119" s="239"/>
      <c r="B1119" s="239"/>
      <c r="C1119" s="239"/>
      <c r="D1119" s="239"/>
      <c r="E1119" s="239"/>
      <c r="F1119" s="283"/>
      <c r="G1119" s="239"/>
      <c r="H1119" s="239"/>
      <c r="I1119" s="239"/>
      <c r="J1119" s="239"/>
      <c r="K1119" s="239"/>
      <c r="L1119" s="239"/>
      <c r="M1119" s="239"/>
      <c r="N1119" s="239"/>
      <c r="O1119" s="239"/>
      <c r="P1119" s="246"/>
      <c r="Q1119" s="239"/>
      <c r="R1119" s="239"/>
      <c r="S1119" s="239"/>
      <c r="T1119" s="239"/>
      <c r="U1119" s="239"/>
      <c r="V1119" s="239"/>
      <c r="W1119" s="246"/>
      <c r="X1119" s="239"/>
      <c r="Y1119" s="239"/>
      <c r="Z1119" s="239"/>
      <c r="AA1119" s="239"/>
      <c r="AB1119" s="239"/>
      <c r="AC1119" s="239"/>
      <c r="AD1119" s="239"/>
      <c r="AE1119" s="239"/>
      <c r="AF1119" s="239"/>
      <c r="AG1119" s="239"/>
      <c r="AH1119" s="239"/>
      <c r="AI1119" s="239"/>
      <c r="AJ1119" s="239"/>
    </row>
    <row r="1120">
      <c r="A1120" s="239"/>
      <c r="B1120" s="239"/>
      <c r="C1120" s="239"/>
      <c r="D1120" s="239"/>
      <c r="E1120" s="239"/>
      <c r="F1120" s="283"/>
      <c r="G1120" s="239"/>
      <c r="H1120" s="239"/>
      <c r="I1120" s="239"/>
      <c r="J1120" s="239"/>
      <c r="K1120" s="239"/>
      <c r="L1120" s="239"/>
      <c r="M1120" s="239"/>
      <c r="N1120" s="239"/>
      <c r="O1120" s="239"/>
      <c r="P1120" s="246"/>
      <c r="Q1120" s="239"/>
      <c r="R1120" s="239"/>
      <c r="S1120" s="239"/>
      <c r="T1120" s="239"/>
      <c r="U1120" s="239"/>
      <c r="V1120" s="239"/>
      <c r="W1120" s="246"/>
      <c r="X1120" s="239"/>
      <c r="Y1120" s="239"/>
      <c r="Z1120" s="239"/>
      <c r="AA1120" s="239"/>
      <c r="AB1120" s="239"/>
      <c r="AC1120" s="239"/>
      <c r="AD1120" s="239"/>
      <c r="AE1120" s="239"/>
      <c r="AF1120" s="239"/>
      <c r="AG1120" s="239"/>
      <c r="AH1120" s="239"/>
      <c r="AI1120" s="239"/>
      <c r="AJ1120" s="239"/>
    </row>
    <row r="1121">
      <c r="A1121" s="239"/>
      <c r="B1121" s="239"/>
      <c r="C1121" s="239"/>
      <c r="D1121" s="239"/>
      <c r="E1121" s="239"/>
      <c r="F1121" s="283"/>
      <c r="G1121" s="239"/>
      <c r="H1121" s="239"/>
      <c r="I1121" s="239"/>
      <c r="J1121" s="239"/>
      <c r="K1121" s="239"/>
      <c r="L1121" s="239"/>
      <c r="M1121" s="239"/>
      <c r="N1121" s="239"/>
      <c r="O1121" s="239"/>
      <c r="P1121" s="246"/>
      <c r="Q1121" s="239"/>
      <c r="R1121" s="239"/>
      <c r="S1121" s="239"/>
      <c r="T1121" s="239"/>
      <c r="U1121" s="239"/>
      <c r="V1121" s="239"/>
      <c r="W1121" s="246"/>
      <c r="X1121" s="239"/>
      <c r="Y1121" s="239"/>
      <c r="Z1121" s="239"/>
      <c r="AA1121" s="239"/>
      <c r="AB1121" s="239"/>
      <c r="AC1121" s="239"/>
      <c r="AD1121" s="239"/>
      <c r="AE1121" s="239"/>
      <c r="AF1121" s="239"/>
      <c r="AG1121" s="239"/>
      <c r="AH1121" s="239"/>
      <c r="AI1121" s="239"/>
      <c r="AJ1121" s="239"/>
    </row>
    <row r="1122">
      <c r="A1122" s="239"/>
      <c r="B1122" s="239"/>
      <c r="C1122" s="239"/>
      <c r="D1122" s="239"/>
      <c r="E1122" s="239"/>
      <c r="F1122" s="283"/>
      <c r="G1122" s="239"/>
      <c r="H1122" s="239"/>
      <c r="I1122" s="239"/>
      <c r="J1122" s="239"/>
      <c r="K1122" s="239"/>
      <c r="L1122" s="239"/>
      <c r="M1122" s="239"/>
      <c r="N1122" s="239"/>
      <c r="O1122" s="239"/>
      <c r="P1122" s="246"/>
      <c r="Q1122" s="239"/>
      <c r="R1122" s="239"/>
      <c r="S1122" s="239"/>
      <c r="T1122" s="239"/>
      <c r="U1122" s="239"/>
      <c r="V1122" s="239"/>
      <c r="W1122" s="246"/>
      <c r="X1122" s="239"/>
      <c r="Y1122" s="239"/>
      <c r="Z1122" s="239"/>
      <c r="AA1122" s="239"/>
      <c r="AB1122" s="239"/>
      <c r="AC1122" s="239"/>
      <c r="AD1122" s="239"/>
      <c r="AE1122" s="239"/>
      <c r="AF1122" s="239"/>
      <c r="AG1122" s="239"/>
      <c r="AH1122" s="239"/>
      <c r="AI1122" s="239"/>
      <c r="AJ1122" s="239"/>
    </row>
    <row r="1123">
      <c r="A1123" s="239"/>
      <c r="B1123" s="239"/>
      <c r="C1123" s="239"/>
      <c r="D1123" s="239"/>
      <c r="E1123" s="239"/>
      <c r="F1123" s="283"/>
      <c r="G1123" s="239"/>
      <c r="H1123" s="239"/>
      <c r="I1123" s="239"/>
      <c r="J1123" s="239"/>
      <c r="K1123" s="239"/>
      <c r="L1123" s="239"/>
      <c r="M1123" s="239"/>
      <c r="N1123" s="239"/>
      <c r="O1123" s="239"/>
      <c r="P1123" s="246"/>
      <c r="Q1123" s="239"/>
      <c r="R1123" s="239"/>
      <c r="S1123" s="239"/>
      <c r="T1123" s="239"/>
      <c r="U1123" s="239"/>
      <c r="V1123" s="239"/>
      <c r="W1123" s="246"/>
      <c r="X1123" s="239"/>
      <c r="Y1123" s="239"/>
      <c r="Z1123" s="239"/>
      <c r="AA1123" s="239"/>
      <c r="AB1123" s="239"/>
      <c r="AC1123" s="239"/>
      <c r="AD1123" s="239"/>
      <c r="AE1123" s="239"/>
      <c r="AF1123" s="239"/>
      <c r="AG1123" s="239"/>
      <c r="AH1123" s="239"/>
      <c r="AI1123" s="239"/>
      <c r="AJ1123" s="239"/>
    </row>
    <row r="1124">
      <c r="A1124" s="239"/>
      <c r="B1124" s="239"/>
      <c r="C1124" s="239"/>
      <c r="D1124" s="239"/>
      <c r="E1124" s="239"/>
      <c r="F1124" s="283"/>
      <c r="G1124" s="239"/>
      <c r="H1124" s="239"/>
      <c r="I1124" s="239"/>
      <c r="J1124" s="239"/>
      <c r="K1124" s="239"/>
      <c r="L1124" s="239"/>
      <c r="M1124" s="239"/>
      <c r="N1124" s="239"/>
      <c r="O1124" s="239"/>
      <c r="P1124" s="246"/>
      <c r="Q1124" s="239"/>
      <c r="R1124" s="239"/>
      <c r="S1124" s="239"/>
      <c r="T1124" s="239"/>
      <c r="U1124" s="239"/>
      <c r="V1124" s="239"/>
      <c r="W1124" s="246"/>
      <c r="X1124" s="239"/>
      <c r="Y1124" s="239"/>
      <c r="Z1124" s="239"/>
      <c r="AA1124" s="239"/>
      <c r="AB1124" s="239"/>
      <c r="AC1124" s="239"/>
      <c r="AD1124" s="239"/>
      <c r="AE1124" s="239"/>
      <c r="AF1124" s="239"/>
      <c r="AG1124" s="239"/>
      <c r="AH1124" s="239"/>
      <c r="AI1124" s="239"/>
      <c r="AJ1124" s="239"/>
    </row>
    <row r="1125">
      <c r="A1125" s="239"/>
      <c r="B1125" s="239"/>
      <c r="C1125" s="239"/>
      <c r="D1125" s="239"/>
      <c r="E1125" s="239"/>
      <c r="F1125" s="283"/>
      <c r="G1125" s="239"/>
      <c r="H1125" s="239"/>
      <c r="I1125" s="239"/>
      <c r="J1125" s="239"/>
      <c r="K1125" s="239"/>
      <c r="L1125" s="239"/>
      <c r="M1125" s="239"/>
      <c r="N1125" s="239"/>
      <c r="O1125" s="239"/>
      <c r="P1125" s="246"/>
      <c r="Q1125" s="239"/>
      <c r="R1125" s="239"/>
      <c r="S1125" s="239"/>
      <c r="T1125" s="239"/>
      <c r="U1125" s="239"/>
      <c r="V1125" s="239"/>
      <c r="W1125" s="246"/>
      <c r="X1125" s="239"/>
      <c r="Y1125" s="239"/>
      <c r="Z1125" s="239"/>
      <c r="AA1125" s="239"/>
      <c r="AB1125" s="239"/>
      <c r="AC1125" s="239"/>
      <c r="AD1125" s="239"/>
      <c r="AE1125" s="239"/>
      <c r="AF1125" s="239"/>
      <c r="AG1125" s="239"/>
      <c r="AH1125" s="239"/>
      <c r="AI1125" s="239"/>
      <c r="AJ1125" s="239"/>
    </row>
    <row r="1126">
      <c r="A1126" s="239"/>
      <c r="B1126" s="239"/>
      <c r="C1126" s="239"/>
      <c r="D1126" s="239"/>
      <c r="E1126" s="239"/>
      <c r="F1126" s="283"/>
      <c r="G1126" s="239"/>
      <c r="H1126" s="239"/>
      <c r="I1126" s="239"/>
      <c r="J1126" s="239"/>
      <c r="K1126" s="239"/>
      <c r="L1126" s="239"/>
      <c r="M1126" s="239"/>
      <c r="N1126" s="239"/>
      <c r="O1126" s="239"/>
      <c r="P1126" s="246"/>
      <c r="Q1126" s="239"/>
      <c r="R1126" s="239"/>
      <c r="S1126" s="239"/>
      <c r="T1126" s="239"/>
      <c r="U1126" s="239"/>
      <c r="V1126" s="239"/>
      <c r="W1126" s="246"/>
      <c r="X1126" s="239"/>
      <c r="Y1126" s="239"/>
      <c r="Z1126" s="239"/>
      <c r="AA1126" s="239"/>
      <c r="AB1126" s="239"/>
      <c r="AC1126" s="239"/>
      <c r="AD1126" s="239"/>
      <c r="AE1126" s="239"/>
      <c r="AF1126" s="239"/>
      <c r="AG1126" s="239"/>
      <c r="AH1126" s="239"/>
      <c r="AI1126" s="239"/>
      <c r="AJ1126" s="239"/>
    </row>
    <row r="1127">
      <c r="A1127" s="239"/>
      <c r="B1127" s="239"/>
      <c r="C1127" s="239"/>
      <c r="D1127" s="239"/>
      <c r="E1127" s="239"/>
      <c r="F1127" s="283"/>
      <c r="G1127" s="239"/>
      <c r="H1127" s="239"/>
      <c r="I1127" s="239"/>
      <c r="J1127" s="239"/>
      <c r="K1127" s="239"/>
      <c r="L1127" s="239"/>
      <c r="M1127" s="239"/>
      <c r="N1127" s="239"/>
      <c r="O1127" s="239"/>
      <c r="P1127" s="246"/>
      <c r="Q1127" s="239"/>
      <c r="R1127" s="239"/>
      <c r="S1127" s="239"/>
      <c r="T1127" s="239"/>
      <c r="U1127" s="239"/>
      <c r="V1127" s="239"/>
      <c r="W1127" s="246"/>
      <c r="X1127" s="239"/>
      <c r="Y1127" s="239"/>
      <c r="Z1127" s="239"/>
      <c r="AA1127" s="239"/>
      <c r="AB1127" s="239"/>
      <c r="AC1127" s="239"/>
      <c r="AD1127" s="239"/>
      <c r="AE1127" s="239"/>
      <c r="AF1127" s="239"/>
      <c r="AG1127" s="239"/>
      <c r="AH1127" s="239"/>
      <c r="AI1127" s="239"/>
      <c r="AJ1127" s="239"/>
    </row>
    <row r="1128">
      <c r="A1128" s="239"/>
      <c r="B1128" s="239"/>
      <c r="C1128" s="239"/>
      <c r="D1128" s="239"/>
      <c r="E1128" s="239"/>
      <c r="F1128" s="283"/>
      <c r="G1128" s="239"/>
      <c r="H1128" s="239"/>
      <c r="I1128" s="239"/>
      <c r="J1128" s="239"/>
      <c r="K1128" s="239"/>
      <c r="L1128" s="239"/>
      <c r="M1128" s="239"/>
      <c r="N1128" s="239"/>
      <c r="O1128" s="239"/>
      <c r="P1128" s="246"/>
      <c r="Q1128" s="239"/>
      <c r="R1128" s="239"/>
      <c r="S1128" s="239"/>
      <c r="T1128" s="239"/>
      <c r="U1128" s="239"/>
      <c r="V1128" s="239"/>
      <c r="W1128" s="246"/>
      <c r="X1128" s="239"/>
      <c r="Y1128" s="239"/>
      <c r="Z1128" s="239"/>
      <c r="AA1128" s="239"/>
      <c r="AB1128" s="239"/>
      <c r="AC1128" s="239"/>
      <c r="AD1128" s="239"/>
      <c r="AE1128" s="239"/>
      <c r="AF1128" s="239"/>
      <c r="AG1128" s="239"/>
      <c r="AH1128" s="239"/>
      <c r="AI1128" s="239"/>
      <c r="AJ1128" s="239"/>
    </row>
    <row r="1129">
      <c r="A1129" s="239"/>
      <c r="B1129" s="239"/>
      <c r="C1129" s="239"/>
      <c r="D1129" s="239"/>
      <c r="E1129" s="239"/>
      <c r="F1129" s="283"/>
      <c r="G1129" s="239"/>
      <c r="H1129" s="239"/>
      <c r="I1129" s="239"/>
      <c r="J1129" s="239"/>
      <c r="K1129" s="239"/>
      <c r="L1129" s="239"/>
      <c r="M1129" s="239"/>
      <c r="N1129" s="239"/>
      <c r="O1129" s="239"/>
      <c r="P1129" s="246"/>
      <c r="Q1129" s="239"/>
      <c r="R1129" s="239"/>
      <c r="S1129" s="239"/>
      <c r="T1129" s="239"/>
      <c r="U1129" s="239"/>
      <c r="V1129" s="239"/>
      <c r="W1129" s="246"/>
      <c r="X1129" s="239"/>
      <c r="Y1129" s="239"/>
      <c r="Z1129" s="239"/>
      <c r="AA1129" s="239"/>
      <c r="AB1129" s="239"/>
      <c r="AC1129" s="239"/>
      <c r="AD1129" s="239"/>
      <c r="AE1129" s="239"/>
      <c r="AF1129" s="239"/>
      <c r="AG1129" s="239"/>
      <c r="AH1129" s="239"/>
      <c r="AI1129" s="239"/>
      <c r="AJ1129" s="239"/>
    </row>
    <row r="1130">
      <c r="A1130" s="239"/>
      <c r="B1130" s="239"/>
      <c r="C1130" s="239"/>
      <c r="D1130" s="239"/>
      <c r="E1130" s="239"/>
      <c r="F1130" s="283"/>
      <c r="G1130" s="239"/>
      <c r="H1130" s="239"/>
      <c r="I1130" s="239"/>
      <c r="J1130" s="239"/>
      <c r="K1130" s="239"/>
      <c r="L1130" s="239"/>
      <c r="M1130" s="239"/>
      <c r="N1130" s="239"/>
      <c r="O1130" s="239"/>
      <c r="P1130" s="246"/>
      <c r="Q1130" s="239"/>
      <c r="R1130" s="239"/>
      <c r="S1130" s="239"/>
      <c r="T1130" s="239"/>
      <c r="U1130" s="239"/>
      <c r="V1130" s="239"/>
      <c r="W1130" s="246"/>
      <c r="X1130" s="239"/>
      <c r="Y1130" s="239"/>
      <c r="Z1130" s="239"/>
      <c r="AA1130" s="239"/>
      <c r="AB1130" s="239"/>
      <c r="AC1130" s="239"/>
      <c r="AD1130" s="239"/>
      <c r="AE1130" s="239"/>
      <c r="AF1130" s="239"/>
      <c r="AG1130" s="239"/>
      <c r="AH1130" s="239"/>
      <c r="AI1130" s="239"/>
      <c r="AJ1130" s="239"/>
    </row>
    <row r="1131">
      <c r="A1131" s="239"/>
      <c r="B1131" s="239"/>
      <c r="C1131" s="239"/>
      <c r="D1131" s="239"/>
      <c r="E1131" s="239"/>
      <c r="F1131" s="283"/>
      <c r="G1131" s="239"/>
      <c r="H1131" s="239"/>
      <c r="I1131" s="239"/>
      <c r="J1131" s="239"/>
      <c r="K1131" s="239"/>
      <c r="L1131" s="239"/>
      <c r="M1131" s="239"/>
      <c r="N1131" s="239"/>
      <c r="O1131" s="239"/>
      <c r="P1131" s="246"/>
      <c r="Q1131" s="239"/>
      <c r="R1131" s="239"/>
      <c r="S1131" s="239"/>
      <c r="T1131" s="239"/>
      <c r="U1131" s="239"/>
      <c r="V1131" s="239"/>
      <c r="W1131" s="246"/>
      <c r="X1131" s="239"/>
      <c r="Y1131" s="239"/>
      <c r="Z1131" s="239"/>
      <c r="AA1131" s="239"/>
      <c r="AB1131" s="239"/>
      <c r="AC1131" s="239"/>
      <c r="AD1131" s="239"/>
      <c r="AE1131" s="239"/>
      <c r="AF1131" s="239"/>
      <c r="AG1131" s="239"/>
      <c r="AH1131" s="239"/>
      <c r="AI1131" s="239"/>
      <c r="AJ1131" s="239"/>
    </row>
    <row r="1132">
      <c r="A1132" s="239"/>
      <c r="B1132" s="239"/>
      <c r="C1132" s="239"/>
      <c r="D1132" s="239"/>
      <c r="E1132" s="239"/>
      <c r="F1132" s="283"/>
      <c r="G1132" s="239"/>
      <c r="H1132" s="239"/>
      <c r="I1132" s="239"/>
      <c r="J1132" s="239"/>
      <c r="K1132" s="239"/>
      <c r="L1132" s="239"/>
      <c r="M1132" s="239"/>
      <c r="N1132" s="239"/>
      <c r="O1132" s="239"/>
      <c r="P1132" s="246"/>
      <c r="Q1132" s="239"/>
      <c r="R1132" s="239"/>
      <c r="S1132" s="239"/>
      <c r="T1132" s="239"/>
      <c r="U1132" s="239"/>
      <c r="V1132" s="239"/>
      <c r="W1132" s="246"/>
      <c r="X1132" s="239"/>
      <c r="Y1132" s="239"/>
      <c r="Z1132" s="239"/>
      <c r="AA1132" s="239"/>
      <c r="AB1132" s="239"/>
      <c r="AC1132" s="239"/>
      <c r="AD1132" s="239"/>
      <c r="AE1132" s="239"/>
      <c r="AF1132" s="239"/>
      <c r="AG1132" s="239"/>
      <c r="AH1132" s="239"/>
      <c r="AI1132" s="239"/>
      <c r="AJ1132" s="239"/>
    </row>
    <row r="1133">
      <c r="A1133" s="239"/>
      <c r="B1133" s="239"/>
      <c r="C1133" s="239"/>
      <c r="D1133" s="239"/>
      <c r="E1133" s="239"/>
      <c r="F1133" s="283"/>
      <c r="G1133" s="239"/>
      <c r="H1133" s="239"/>
      <c r="I1133" s="239"/>
      <c r="J1133" s="239"/>
      <c r="K1133" s="239"/>
      <c r="L1133" s="239"/>
      <c r="M1133" s="239"/>
      <c r="N1133" s="239"/>
      <c r="O1133" s="239"/>
      <c r="P1133" s="246"/>
      <c r="Q1133" s="239"/>
      <c r="R1133" s="239"/>
      <c r="S1133" s="239"/>
      <c r="T1133" s="239"/>
      <c r="U1133" s="239"/>
      <c r="V1133" s="239"/>
      <c r="W1133" s="246"/>
      <c r="X1133" s="239"/>
      <c r="Y1133" s="239"/>
      <c r="Z1133" s="239"/>
      <c r="AA1133" s="239"/>
      <c r="AB1133" s="239"/>
      <c r="AC1133" s="239"/>
      <c r="AD1133" s="239"/>
      <c r="AE1133" s="239"/>
      <c r="AF1133" s="239"/>
      <c r="AG1133" s="239"/>
      <c r="AH1133" s="239"/>
      <c r="AI1133" s="239"/>
      <c r="AJ1133" s="239"/>
    </row>
    <row r="1134">
      <c r="A1134" s="239"/>
      <c r="B1134" s="239"/>
      <c r="C1134" s="239"/>
      <c r="D1134" s="239"/>
      <c r="E1134" s="239"/>
      <c r="F1134" s="283"/>
      <c r="G1134" s="239"/>
      <c r="H1134" s="239"/>
      <c r="I1134" s="239"/>
      <c r="J1134" s="239"/>
      <c r="K1134" s="239"/>
      <c r="L1134" s="239"/>
      <c r="M1134" s="239"/>
      <c r="N1134" s="239"/>
      <c r="O1134" s="239"/>
      <c r="P1134" s="246"/>
      <c r="Q1134" s="239"/>
      <c r="R1134" s="239"/>
      <c r="S1134" s="239"/>
      <c r="T1134" s="239"/>
      <c r="U1134" s="239"/>
      <c r="V1134" s="239"/>
      <c r="W1134" s="246"/>
      <c r="X1134" s="239"/>
      <c r="Y1134" s="239"/>
      <c r="Z1134" s="239"/>
      <c r="AA1134" s="239"/>
      <c r="AB1134" s="239"/>
      <c r="AC1134" s="239"/>
      <c r="AD1134" s="239"/>
      <c r="AE1134" s="239"/>
      <c r="AF1134" s="239"/>
      <c r="AG1134" s="239"/>
      <c r="AH1134" s="239"/>
      <c r="AI1134" s="239"/>
      <c r="AJ1134" s="239"/>
    </row>
    <row r="1135">
      <c r="A1135" s="239"/>
      <c r="B1135" s="239"/>
      <c r="C1135" s="239"/>
      <c r="D1135" s="239"/>
      <c r="E1135" s="239"/>
      <c r="F1135" s="283"/>
      <c r="G1135" s="239"/>
      <c r="H1135" s="239"/>
      <c r="I1135" s="239"/>
      <c r="J1135" s="239"/>
      <c r="K1135" s="239"/>
      <c r="L1135" s="239"/>
      <c r="M1135" s="239"/>
      <c r="N1135" s="239"/>
      <c r="O1135" s="239"/>
      <c r="P1135" s="246"/>
      <c r="Q1135" s="239"/>
      <c r="R1135" s="239"/>
      <c r="S1135" s="239"/>
      <c r="T1135" s="239"/>
      <c r="U1135" s="239"/>
      <c r="V1135" s="239"/>
      <c r="W1135" s="246"/>
      <c r="X1135" s="239"/>
      <c r="Y1135" s="239"/>
      <c r="Z1135" s="239"/>
      <c r="AA1135" s="239"/>
      <c r="AB1135" s="239"/>
      <c r="AC1135" s="239"/>
      <c r="AD1135" s="239"/>
      <c r="AE1135" s="239"/>
      <c r="AF1135" s="239"/>
      <c r="AG1135" s="239"/>
      <c r="AH1135" s="239"/>
      <c r="AI1135" s="239"/>
      <c r="AJ1135" s="239"/>
    </row>
    <row r="1136">
      <c r="A1136" s="239"/>
      <c r="B1136" s="239"/>
      <c r="C1136" s="239"/>
      <c r="D1136" s="239"/>
      <c r="E1136" s="239"/>
      <c r="F1136" s="283"/>
      <c r="G1136" s="239"/>
      <c r="H1136" s="239"/>
      <c r="I1136" s="239"/>
      <c r="J1136" s="239"/>
      <c r="K1136" s="239"/>
      <c r="L1136" s="239"/>
      <c r="M1136" s="239"/>
      <c r="N1136" s="239"/>
      <c r="O1136" s="239"/>
      <c r="P1136" s="246"/>
      <c r="Q1136" s="239"/>
      <c r="R1136" s="239"/>
      <c r="S1136" s="239"/>
      <c r="T1136" s="239"/>
      <c r="U1136" s="239"/>
      <c r="V1136" s="239"/>
      <c r="W1136" s="246"/>
      <c r="X1136" s="239"/>
      <c r="Y1136" s="239"/>
      <c r="Z1136" s="239"/>
      <c r="AA1136" s="239"/>
      <c r="AB1136" s="239"/>
      <c r="AC1136" s="239"/>
      <c r="AD1136" s="239"/>
      <c r="AE1136" s="239"/>
      <c r="AF1136" s="239"/>
      <c r="AG1136" s="239"/>
      <c r="AH1136" s="239"/>
      <c r="AI1136" s="239"/>
      <c r="AJ1136" s="239"/>
    </row>
    <row r="1137">
      <c r="A1137" s="239"/>
      <c r="B1137" s="239"/>
      <c r="C1137" s="239"/>
      <c r="D1137" s="239"/>
      <c r="E1137" s="239"/>
      <c r="F1137" s="283"/>
      <c r="G1137" s="239"/>
      <c r="H1137" s="239"/>
      <c r="I1137" s="239"/>
      <c r="J1137" s="239"/>
      <c r="K1137" s="239"/>
      <c r="L1137" s="239"/>
      <c r="M1137" s="239"/>
      <c r="N1137" s="239"/>
      <c r="O1137" s="239"/>
      <c r="P1137" s="246"/>
      <c r="Q1137" s="239"/>
      <c r="R1137" s="239"/>
      <c r="S1137" s="239"/>
      <c r="T1137" s="239"/>
      <c r="U1137" s="239"/>
      <c r="V1137" s="239"/>
      <c r="W1137" s="246"/>
      <c r="X1137" s="239"/>
      <c r="Y1137" s="239"/>
      <c r="Z1137" s="239"/>
      <c r="AA1137" s="239"/>
      <c r="AB1137" s="239"/>
      <c r="AC1137" s="239"/>
      <c r="AD1137" s="239"/>
      <c r="AE1137" s="239"/>
      <c r="AF1137" s="239"/>
      <c r="AG1137" s="239"/>
      <c r="AH1137" s="239"/>
      <c r="AI1137" s="239"/>
      <c r="AJ1137" s="239"/>
    </row>
    <row r="1138">
      <c r="A1138" s="239"/>
      <c r="B1138" s="239"/>
      <c r="C1138" s="239"/>
      <c r="D1138" s="239"/>
      <c r="E1138" s="239"/>
      <c r="F1138" s="283"/>
      <c r="G1138" s="239"/>
      <c r="H1138" s="239"/>
      <c r="I1138" s="239"/>
      <c r="J1138" s="239"/>
      <c r="K1138" s="239"/>
      <c r="L1138" s="239"/>
      <c r="M1138" s="239"/>
      <c r="N1138" s="239"/>
      <c r="O1138" s="239"/>
      <c r="P1138" s="246"/>
      <c r="Q1138" s="239"/>
      <c r="R1138" s="239"/>
      <c r="S1138" s="239"/>
      <c r="T1138" s="239"/>
      <c r="U1138" s="239"/>
      <c r="V1138" s="239"/>
      <c r="W1138" s="246"/>
      <c r="X1138" s="239"/>
      <c r="Y1138" s="239"/>
      <c r="Z1138" s="239"/>
      <c r="AA1138" s="239"/>
      <c r="AB1138" s="239"/>
      <c r="AC1138" s="239"/>
      <c r="AD1138" s="239"/>
      <c r="AE1138" s="239"/>
      <c r="AF1138" s="239"/>
      <c r="AG1138" s="239"/>
      <c r="AH1138" s="239"/>
      <c r="AI1138" s="239"/>
      <c r="AJ1138" s="239"/>
    </row>
    <row r="1139">
      <c r="A1139" s="239"/>
      <c r="B1139" s="239"/>
      <c r="C1139" s="239"/>
      <c r="D1139" s="239"/>
      <c r="E1139" s="239"/>
      <c r="F1139" s="283"/>
      <c r="G1139" s="239"/>
      <c r="H1139" s="239"/>
      <c r="I1139" s="239"/>
      <c r="J1139" s="239"/>
      <c r="K1139" s="239"/>
      <c r="L1139" s="239"/>
      <c r="M1139" s="239"/>
      <c r="N1139" s="239"/>
      <c r="O1139" s="239"/>
      <c r="P1139" s="246"/>
      <c r="Q1139" s="239"/>
      <c r="R1139" s="239"/>
      <c r="S1139" s="239"/>
      <c r="T1139" s="239"/>
      <c r="U1139" s="239"/>
      <c r="V1139" s="239"/>
      <c r="W1139" s="246"/>
      <c r="X1139" s="239"/>
      <c r="Y1139" s="239"/>
      <c r="Z1139" s="239"/>
      <c r="AA1139" s="239"/>
      <c r="AB1139" s="239"/>
      <c r="AC1139" s="239"/>
      <c r="AD1139" s="239"/>
      <c r="AE1139" s="239"/>
      <c r="AF1139" s="239"/>
      <c r="AG1139" s="239"/>
      <c r="AH1139" s="239"/>
      <c r="AI1139" s="239"/>
      <c r="AJ1139" s="239"/>
    </row>
    <row r="1140">
      <c r="A1140" s="239"/>
      <c r="B1140" s="239"/>
      <c r="C1140" s="239"/>
      <c r="D1140" s="239"/>
      <c r="E1140" s="239"/>
      <c r="F1140" s="283"/>
      <c r="G1140" s="239"/>
      <c r="H1140" s="239"/>
      <c r="I1140" s="239"/>
      <c r="J1140" s="239"/>
      <c r="K1140" s="239"/>
      <c r="L1140" s="239"/>
      <c r="M1140" s="239"/>
      <c r="N1140" s="239"/>
      <c r="O1140" s="239"/>
      <c r="P1140" s="246"/>
      <c r="Q1140" s="239"/>
      <c r="R1140" s="239"/>
      <c r="S1140" s="239"/>
      <c r="T1140" s="239"/>
      <c r="U1140" s="239"/>
      <c r="V1140" s="239"/>
      <c r="W1140" s="246"/>
      <c r="X1140" s="239"/>
      <c r="Y1140" s="239"/>
      <c r="Z1140" s="239"/>
      <c r="AA1140" s="239"/>
      <c r="AB1140" s="239"/>
      <c r="AC1140" s="239"/>
      <c r="AD1140" s="239"/>
      <c r="AE1140" s="239"/>
      <c r="AF1140" s="239"/>
      <c r="AG1140" s="239"/>
      <c r="AH1140" s="239"/>
      <c r="AI1140" s="239"/>
      <c r="AJ1140" s="239"/>
    </row>
    <row r="1141">
      <c r="A1141" s="239"/>
      <c r="B1141" s="239"/>
      <c r="C1141" s="239"/>
      <c r="D1141" s="239"/>
      <c r="E1141" s="239"/>
      <c r="F1141" s="283"/>
      <c r="G1141" s="239"/>
      <c r="H1141" s="239"/>
      <c r="I1141" s="239"/>
      <c r="J1141" s="239"/>
      <c r="K1141" s="239"/>
      <c r="L1141" s="239"/>
      <c r="M1141" s="239"/>
      <c r="N1141" s="239"/>
      <c r="O1141" s="239"/>
      <c r="P1141" s="246"/>
      <c r="Q1141" s="239"/>
      <c r="R1141" s="239"/>
      <c r="S1141" s="239"/>
      <c r="T1141" s="239"/>
      <c r="U1141" s="239"/>
      <c r="V1141" s="239"/>
      <c r="W1141" s="246"/>
      <c r="X1141" s="239"/>
      <c r="Y1141" s="239"/>
      <c r="Z1141" s="239"/>
      <c r="AA1141" s="239"/>
      <c r="AB1141" s="239"/>
      <c r="AC1141" s="239"/>
      <c r="AD1141" s="239"/>
      <c r="AE1141" s="239"/>
      <c r="AF1141" s="239"/>
      <c r="AG1141" s="239"/>
      <c r="AH1141" s="239"/>
      <c r="AI1141" s="239"/>
      <c r="AJ1141" s="239"/>
    </row>
    <row r="1142">
      <c r="A1142" s="239"/>
      <c r="B1142" s="239"/>
      <c r="C1142" s="239"/>
      <c r="D1142" s="239"/>
      <c r="E1142" s="239"/>
      <c r="F1142" s="283"/>
      <c r="G1142" s="239"/>
      <c r="H1142" s="239"/>
      <c r="I1142" s="239"/>
      <c r="J1142" s="239"/>
      <c r="K1142" s="239"/>
      <c r="L1142" s="239"/>
      <c r="M1142" s="239"/>
      <c r="N1142" s="239"/>
      <c r="O1142" s="239"/>
      <c r="P1142" s="246"/>
      <c r="Q1142" s="239"/>
      <c r="R1142" s="239"/>
      <c r="S1142" s="239"/>
      <c r="T1142" s="239"/>
      <c r="U1142" s="239"/>
      <c r="V1142" s="239"/>
      <c r="W1142" s="246"/>
      <c r="X1142" s="239"/>
      <c r="Y1142" s="239"/>
      <c r="Z1142" s="239"/>
      <c r="AA1142" s="239"/>
      <c r="AB1142" s="239"/>
      <c r="AC1142" s="239"/>
      <c r="AD1142" s="239"/>
      <c r="AE1142" s="239"/>
      <c r="AF1142" s="239"/>
      <c r="AG1142" s="239"/>
      <c r="AH1142" s="239"/>
      <c r="AI1142" s="239"/>
      <c r="AJ1142" s="239"/>
    </row>
    <row r="1143">
      <c r="A1143" s="239"/>
      <c r="B1143" s="239"/>
      <c r="C1143" s="239"/>
      <c r="D1143" s="239"/>
      <c r="E1143" s="239"/>
      <c r="F1143" s="283"/>
      <c r="G1143" s="239"/>
      <c r="H1143" s="239"/>
      <c r="I1143" s="239"/>
      <c r="J1143" s="239"/>
      <c r="K1143" s="239"/>
      <c r="L1143" s="239"/>
      <c r="M1143" s="239"/>
      <c r="N1143" s="239"/>
      <c r="O1143" s="239"/>
      <c r="P1143" s="246"/>
      <c r="Q1143" s="239"/>
      <c r="R1143" s="239"/>
      <c r="S1143" s="239"/>
      <c r="T1143" s="239"/>
      <c r="U1143" s="239"/>
      <c r="V1143" s="239"/>
      <c r="W1143" s="246"/>
      <c r="X1143" s="239"/>
      <c r="Y1143" s="239"/>
      <c r="Z1143" s="239"/>
      <c r="AA1143" s="239"/>
      <c r="AB1143" s="239"/>
      <c r="AC1143" s="239"/>
      <c r="AD1143" s="239"/>
      <c r="AE1143" s="239"/>
      <c r="AF1143" s="239"/>
      <c r="AG1143" s="239"/>
      <c r="AH1143" s="239"/>
      <c r="AI1143" s="239"/>
      <c r="AJ1143" s="239"/>
    </row>
    <row r="1144">
      <c r="A1144" s="239"/>
      <c r="B1144" s="239"/>
      <c r="C1144" s="239"/>
      <c r="D1144" s="239"/>
      <c r="E1144" s="239"/>
      <c r="F1144" s="283"/>
      <c r="G1144" s="239"/>
      <c r="H1144" s="239"/>
      <c r="I1144" s="239"/>
      <c r="J1144" s="239"/>
      <c r="K1144" s="239"/>
      <c r="L1144" s="239"/>
      <c r="M1144" s="239"/>
      <c r="N1144" s="239"/>
      <c r="O1144" s="239"/>
      <c r="P1144" s="246"/>
      <c r="Q1144" s="239"/>
      <c r="R1144" s="239"/>
      <c r="S1144" s="239"/>
      <c r="T1144" s="239"/>
      <c r="U1144" s="239"/>
      <c r="V1144" s="239"/>
      <c r="W1144" s="246"/>
      <c r="X1144" s="239"/>
      <c r="Y1144" s="239"/>
      <c r="Z1144" s="239"/>
      <c r="AA1144" s="239"/>
      <c r="AB1144" s="239"/>
      <c r="AC1144" s="239"/>
      <c r="AD1144" s="239"/>
      <c r="AE1144" s="239"/>
      <c r="AF1144" s="239"/>
      <c r="AG1144" s="239"/>
      <c r="AH1144" s="239"/>
      <c r="AI1144" s="239"/>
      <c r="AJ1144" s="239"/>
    </row>
    <row r="1145">
      <c r="A1145" s="239"/>
      <c r="B1145" s="239"/>
      <c r="C1145" s="239"/>
      <c r="D1145" s="239"/>
      <c r="E1145" s="239"/>
      <c r="F1145" s="283"/>
      <c r="G1145" s="239"/>
      <c r="H1145" s="239"/>
      <c r="I1145" s="239"/>
      <c r="J1145" s="239"/>
      <c r="K1145" s="239"/>
      <c r="L1145" s="239"/>
      <c r="M1145" s="239"/>
      <c r="N1145" s="239"/>
      <c r="O1145" s="239"/>
      <c r="P1145" s="246"/>
      <c r="Q1145" s="239"/>
      <c r="R1145" s="239"/>
      <c r="S1145" s="239"/>
      <c r="T1145" s="239"/>
      <c r="U1145" s="239"/>
      <c r="V1145" s="239"/>
      <c r="W1145" s="246"/>
      <c r="X1145" s="239"/>
      <c r="Y1145" s="239"/>
      <c r="Z1145" s="239"/>
      <c r="AA1145" s="239"/>
      <c r="AB1145" s="239"/>
      <c r="AC1145" s="239"/>
      <c r="AD1145" s="239"/>
      <c r="AE1145" s="239"/>
      <c r="AF1145" s="239"/>
      <c r="AG1145" s="239"/>
      <c r="AH1145" s="239"/>
      <c r="AI1145" s="239"/>
      <c r="AJ1145" s="239"/>
    </row>
    <row r="1146">
      <c r="A1146" s="239"/>
      <c r="B1146" s="239"/>
      <c r="C1146" s="239"/>
      <c r="D1146" s="239"/>
      <c r="E1146" s="239"/>
      <c r="F1146" s="283"/>
      <c r="G1146" s="239"/>
      <c r="H1146" s="239"/>
      <c r="I1146" s="239"/>
      <c r="J1146" s="239"/>
      <c r="K1146" s="239"/>
      <c r="L1146" s="239"/>
      <c r="M1146" s="239"/>
      <c r="N1146" s="239"/>
      <c r="O1146" s="239"/>
      <c r="P1146" s="246"/>
      <c r="Q1146" s="239"/>
      <c r="R1146" s="239"/>
      <c r="S1146" s="239"/>
      <c r="T1146" s="239"/>
      <c r="U1146" s="239"/>
      <c r="V1146" s="239"/>
      <c r="W1146" s="246"/>
      <c r="X1146" s="239"/>
      <c r="Y1146" s="239"/>
      <c r="Z1146" s="239"/>
      <c r="AA1146" s="239"/>
      <c r="AB1146" s="239"/>
      <c r="AC1146" s="239"/>
      <c r="AD1146" s="239"/>
      <c r="AE1146" s="239"/>
      <c r="AF1146" s="239"/>
      <c r="AG1146" s="239"/>
      <c r="AH1146" s="239"/>
      <c r="AI1146" s="239"/>
      <c r="AJ1146" s="239"/>
    </row>
    <row r="1147">
      <c r="A1147" s="239"/>
      <c r="B1147" s="239"/>
      <c r="C1147" s="239"/>
      <c r="D1147" s="239"/>
      <c r="E1147" s="239"/>
      <c r="F1147" s="283"/>
      <c r="G1147" s="239"/>
      <c r="H1147" s="239"/>
      <c r="I1147" s="239"/>
      <c r="J1147" s="239"/>
      <c r="K1147" s="239"/>
      <c r="L1147" s="239"/>
      <c r="M1147" s="239"/>
      <c r="N1147" s="239"/>
      <c r="O1147" s="239"/>
      <c r="P1147" s="246"/>
      <c r="Q1147" s="239"/>
      <c r="R1147" s="239"/>
      <c r="S1147" s="239"/>
      <c r="T1147" s="239"/>
      <c r="U1147" s="239"/>
      <c r="V1147" s="239"/>
      <c r="W1147" s="246"/>
      <c r="X1147" s="239"/>
      <c r="Y1147" s="239"/>
      <c r="Z1147" s="239"/>
      <c r="AA1147" s="239"/>
      <c r="AB1147" s="239"/>
      <c r="AC1147" s="239"/>
      <c r="AD1147" s="239"/>
      <c r="AE1147" s="239"/>
      <c r="AF1147" s="239"/>
      <c r="AG1147" s="239"/>
      <c r="AH1147" s="239"/>
      <c r="AI1147" s="239"/>
      <c r="AJ1147" s="239"/>
    </row>
    <row r="1148">
      <c r="A1148" s="239"/>
      <c r="B1148" s="239"/>
      <c r="C1148" s="239"/>
      <c r="D1148" s="239"/>
      <c r="E1148" s="239"/>
      <c r="F1148" s="283"/>
      <c r="G1148" s="239"/>
      <c r="H1148" s="239"/>
      <c r="I1148" s="239"/>
      <c r="J1148" s="239"/>
      <c r="K1148" s="239"/>
      <c r="L1148" s="239"/>
      <c r="M1148" s="239"/>
      <c r="N1148" s="239"/>
      <c r="O1148" s="239"/>
      <c r="P1148" s="246"/>
      <c r="Q1148" s="239"/>
      <c r="R1148" s="239"/>
      <c r="S1148" s="239"/>
      <c r="T1148" s="239"/>
      <c r="U1148" s="239"/>
      <c r="V1148" s="239"/>
      <c r="W1148" s="246"/>
      <c r="X1148" s="239"/>
      <c r="Y1148" s="239"/>
      <c r="Z1148" s="239"/>
      <c r="AA1148" s="239"/>
      <c r="AB1148" s="239"/>
      <c r="AC1148" s="239"/>
      <c r="AD1148" s="239"/>
      <c r="AE1148" s="239"/>
      <c r="AF1148" s="239"/>
      <c r="AG1148" s="239"/>
      <c r="AH1148" s="239"/>
      <c r="AI1148" s="239"/>
      <c r="AJ1148" s="239"/>
    </row>
    <row r="1149">
      <c r="A1149" s="239"/>
      <c r="B1149" s="239"/>
      <c r="C1149" s="239"/>
      <c r="D1149" s="239"/>
      <c r="E1149" s="239"/>
      <c r="F1149" s="283"/>
      <c r="G1149" s="239"/>
      <c r="H1149" s="239"/>
      <c r="I1149" s="239"/>
      <c r="J1149" s="239"/>
      <c r="K1149" s="239"/>
      <c r="L1149" s="239"/>
      <c r="M1149" s="239"/>
      <c r="N1149" s="239"/>
      <c r="O1149" s="239"/>
      <c r="P1149" s="246"/>
      <c r="Q1149" s="239"/>
      <c r="R1149" s="239"/>
      <c r="S1149" s="239"/>
      <c r="T1149" s="239"/>
      <c r="U1149" s="239"/>
      <c r="V1149" s="239"/>
      <c r="W1149" s="246"/>
      <c r="X1149" s="239"/>
      <c r="Y1149" s="239"/>
      <c r="Z1149" s="239"/>
      <c r="AA1149" s="239"/>
      <c r="AB1149" s="239"/>
      <c r="AC1149" s="239"/>
      <c r="AD1149" s="239"/>
      <c r="AE1149" s="239"/>
      <c r="AF1149" s="239"/>
      <c r="AG1149" s="239"/>
      <c r="AH1149" s="239"/>
      <c r="AI1149" s="239"/>
      <c r="AJ1149" s="239"/>
    </row>
    <row r="1150">
      <c r="A1150" s="239"/>
      <c r="B1150" s="239"/>
      <c r="C1150" s="239"/>
      <c r="D1150" s="239"/>
      <c r="E1150" s="239"/>
      <c r="F1150" s="283"/>
      <c r="G1150" s="239"/>
      <c r="H1150" s="239"/>
      <c r="I1150" s="239"/>
      <c r="J1150" s="239"/>
      <c r="K1150" s="239"/>
      <c r="L1150" s="239"/>
      <c r="M1150" s="239"/>
      <c r="N1150" s="239"/>
      <c r="O1150" s="239"/>
      <c r="P1150" s="246"/>
      <c r="Q1150" s="239"/>
      <c r="R1150" s="239"/>
      <c r="S1150" s="239"/>
      <c r="T1150" s="239"/>
      <c r="U1150" s="239"/>
      <c r="V1150" s="239"/>
      <c r="W1150" s="246"/>
      <c r="X1150" s="239"/>
      <c r="Y1150" s="239"/>
      <c r="Z1150" s="239"/>
      <c r="AA1150" s="239"/>
      <c r="AB1150" s="239"/>
      <c r="AC1150" s="239"/>
      <c r="AD1150" s="239"/>
      <c r="AE1150" s="239"/>
      <c r="AF1150" s="239"/>
      <c r="AG1150" s="239"/>
      <c r="AH1150" s="239"/>
      <c r="AI1150" s="239"/>
      <c r="AJ1150" s="239"/>
    </row>
    <row r="1151">
      <c r="A1151" s="239"/>
      <c r="B1151" s="239"/>
      <c r="C1151" s="239"/>
      <c r="D1151" s="239"/>
      <c r="E1151" s="239"/>
      <c r="F1151" s="283"/>
      <c r="G1151" s="239"/>
      <c r="H1151" s="239"/>
      <c r="I1151" s="239"/>
      <c r="J1151" s="239"/>
      <c r="K1151" s="239"/>
      <c r="L1151" s="239"/>
      <c r="M1151" s="239"/>
      <c r="N1151" s="239"/>
      <c r="O1151" s="239"/>
      <c r="P1151" s="246"/>
      <c r="Q1151" s="239"/>
      <c r="R1151" s="239"/>
      <c r="S1151" s="239"/>
      <c r="T1151" s="239"/>
      <c r="U1151" s="239"/>
      <c r="V1151" s="239"/>
      <c r="W1151" s="246"/>
      <c r="X1151" s="239"/>
      <c r="Y1151" s="239"/>
      <c r="Z1151" s="239"/>
      <c r="AA1151" s="239"/>
      <c r="AB1151" s="239"/>
      <c r="AC1151" s="239"/>
      <c r="AD1151" s="239"/>
      <c r="AE1151" s="239"/>
      <c r="AF1151" s="239"/>
      <c r="AG1151" s="239"/>
      <c r="AH1151" s="239"/>
      <c r="AI1151" s="239"/>
      <c r="AJ1151" s="239"/>
    </row>
    <row r="1152">
      <c r="A1152" s="239"/>
      <c r="B1152" s="239"/>
      <c r="C1152" s="239"/>
      <c r="D1152" s="239"/>
      <c r="E1152" s="239"/>
      <c r="F1152" s="283"/>
      <c r="G1152" s="239"/>
      <c r="H1152" s="239"/>
      <c r="I1152" s="239"/>
      <c r="J1152" s="239"/>
      <c r="K1152" s="239"/>
      <c r="L1152" s="239"/>
      <c r="M1152" s="239"/>
      <c r="N1152" s="239"/>
      <c r="O1152" s="239"/>
      <c r="P1152" s="246"/>
      <c r="Q1152" s="239"/>
      <c r="R1152" s="239"/>
      <c r="S1152" s="239"/>
      <c r="T1152" s="239"/>
      <c r="U1152" s="239"/>
      <c r="V1152" s="239"/>
      <c r="W1152" s="246"/>
      <c r="X1152" s="239"/>
      <c r="Y1152" s="239"/>
      <c r="Z1152" s="239"/>
      <c r="AA1152" s="239"/>
      <c r="AB1152" s="239"/>
      <c r="AC1152" s="239"/>
      <c r="AD1152" s="239"/>
      <c r="AE1152" s="239"/>
      <c r="AF1152" s="239"/>
      <c r="AG1152" s="239"/>
      <c r="AH1152" s="239"/>
      <c r="AI1152" s="239"/>
      <c r="AJ1152" s="239"/>
    </row>
    <row r="1153">
      <c r="A1153" s="239"/>
      <c r="B1153" s="239"/>
      <c r="C1153" s="239"/>
      <c r="D1153" s="239"/>
      <c r="E1153" s="239"/>
      <c r="F1153" s="283"/>
      <c r="G1153" s="239"/>
      <c r="H1153" s="239"/>
      <c r="I1153" s="239"/>
      <c r="J1153" s="239"/>
      <c r="K1153" s="239"/>
      <c r="L1153" s="239"/>
      <c r="M1153" s="239"/>
      <c r="N1153" s="239"/>
      <c r="O1153" s="239"/>
      <c r="P1153" s="246"/>
      <c r="Q1153" s="239"/>
      <c r="R1153" s="239"/>
      <c r="S1153" s="239"/>
      <c r="T1153" s="239"/>
      <c r="U1153" s="239"/>
      <c r="V1153" s="239"/>
      <c r="W1153" s="246"/>
      <c r="X1153" s="239"/>
      <c r="Y1153" s="239"/>
      <c r="Z1153" s="239"/>
      <c r="AA1153" s="239"/>
      <c r="AB1153" s="239"/>
      <c r="AC1153" s="239"/>
      <c r="AD1153" s="239"/>
      <c r="AE1153" s="239"/>
      <c r="AF1153" s="239"/>
      <c r="AG1153" s="239"/>
      <c r="AH1153" s="239"/>
      <c r="AI1153" s="239"/>
      <c r="AJ1153" s="239"/>
    </row>
    <row r="1154">
      <c r="A1154" s="239"/>
      <c r="B1154" s="239"/>
      <c r="C1154" s="239"/>
      <c r="D1154" s="239"/>
      <c r="E1154" s="239"/>
      <c r="F1154" s="283"/>
      <c r="G1154" s="239"/>
      <c r="H1154" s="239"/>
      <c r="I1154" s="239"/>
      <c r="J1154" s="239"/>
      <c r="K1154" s="239"/>
      <c r="L1154" s="239"/>
      <c r="M1154" s="239"/>
      <c r="N1154" s="239"/>
      <c r="O1154" s="239"/>
      <c r="P1154" s="246"/>
      <c r="Q1154" s="239"/>
      <c r="R1154" s="239"/>
      <c r="S1154" s="239"/>
      <c r="T1154" s="239"/>
      <c r="U1154" s="239"/>
      <c r="V1154" s="239"/>
      <c r="W1154" s="246"/>
      <c r="X1154" s="239"/>
      <c r="Y1154" s="239"/>
      <c r="Z1154" s="239"/>
      <c r="AA1154" s="239"/>
      <c r="AB1154" s="239"/>
      <c r="AC1154" s="239"/>
      <c r="AD1154" s="239"/>
      <c r="AE1154" s="239"/>
      <c r="AF1154" s="239"/>
      <c r="AG1154" s="239"/>
      <c r="AH1154" s="239"/>
      <c r="AI1154" s="239"/>
      <c r="AJ1154" s="239"/>
    </row>
    <row r="1155">
      <c r="A1155" s="239"/>
      <c r="B1155" s="239"/>
      <c r="C1155" s="239"/>
      <c r="D1155" s="239"/>
      <c r="E1155" s="239"/>
      <c r="F1155" s="283"/>
      <c r="G1155" s="239"/>
      <c r="H1155" s="239"/>
      <c r="I1155" s="239"/>
      <c r="J1155" s="239"/>
      <c r="K1155" s="239"/>
      <c r="L1155" s="239"/>
      <c r="M1155" s="239"/>
      <c r="N1155" s="239"/>
      <c r="O1155" s="239"/>
      <c r="P1155" s="246"/>
      <c r="Q1155" s="239"/>
      <c r="R1155" s="239"/>
      <c r="S1155" s="239"/>
      <c r="T1155" s="239"/>
      <c r="U1155" s="239"/>
      <c r="V1155" s="239"/>
      <c r="W1155" s="246"/>
      <c r="X1155" s="239"/>
      <c r="Y1155" s="239"/>
      <c r="Z1155" s="239"/>
      <c r="AA1155" s="239"/>
      <c r="AB1155" s="239"/>
      <c r="AC1155" s="239"/>
      <c r="AD1155" s="239"/>
      <c r="AE1155" s="239"/>
      <c r="AF1155" s="239"/>
      <c r="AG1155" s="239"/>
      <c r="AH1155" s="239"/>
      <c r="AI1155" s="239"/>
      <c r="AJ1155" s="239"/>
    </row>
    <row r="1156">
      <c r="A1156" s="239"/>
      <c r="B1156" s="239"/>
      <c r="C1156" s="239"/>
      <c r="D1156" s="239"/>
      <c r="E1156" s="239"/>
      <c r="F1156" s="283"/>
      <c r="G1156" s="239"/>
      <c r="H1156" s="239"/>
      <c r="I1156" s="239"/>
      <c r="J1156" s="239"/>
      <c r="K1156" s="239"/>
      <c r="L1156" s="239"/>
      <c r="M1156" s="239"/>
      <c r="N1156" s="239"/>
      <c r="O1156" s="239"/>
      <c r="P1156" s="246"/>
      <c r="Q1156" s="239"/>
      <c r="R1156" s="239"/>
      <c r="S1156" s="239"/>
      <c r="T1156" s="239"/>
      <c r="U1156" s="239"/>
      <c r="V1156" s="239"/>
      <c r="W1156" s="246"/>
      <c r="X1156" s="239"/>
      <c r="Y1156" s="239"/>
      <c r="Z1156" s="239"/>
      <c r="AA1156" s="239"/>
      <c r="AB1156" s="239"/>
      <c r="AC1156" s="239"/>
      <c r="AD1156" s="239"/>
      <c r="AE1156" s="239"/>
      <c r="AF1156" s="239"/>
      <c r="AG1156" s="239"/>
      <c r="AH1156" s="239"/>
      <c r="AI1156" s="239"/>
      <c r="AJ1156" s="239"/>
    </row>
    <row r="1157">
      <c r="A1157" s="239"/>
      <c r="B1157" s="239"/>
      <c r="C1157" s="239"/>
      <c r="D1157" s="239"/>
      <c r="E1157" s="239"/>
      <c r="F1157" s="283"/>
      <c r="G1157" s="239"/>
      <c r="H1157" s="239"/>
      <c r="I1157" s="239"/>
      <c r="J1157" s="239"/>
      <c r="K1157" s="239"/>
      <c r="L1157" s="239"/>
      <c r="M1157" s="239"/>
      <c r="N1157" s="239"/>
      <c r="O1157" s="239"/>
      <c r="P1157" s="246"/>
      <c r="Q1157" s="239"/>
      <c r="R1157" s="239"/>
      <c r="S1157" s="239"/>
      <c r="T1157" s="239"/>
      <c r="U1157" s="239"/>
      <c r="V1157" s="239"/>
      <c r="W1157" s="246"/>
      <c r="X1157" s="239"/>
      <c r="Y1157" s="239"/>
      <c r="Z1157" s="239"/>
      <c r="AA1157" s="239"/>
      <c r="AB1157" s="239"/>
      <c r="AC1157" s="239"/>
      <c r="AD1157" s="239"/>
      <c r="AE1157" s="239"/>
      <c r="AF1157" s="239"/>
      <c r="AG1157" s="239"/>
      <c r="AH1157" s="239"/>
      <c r="AI1157" s="239"/>
      <c r="AJ1157" s="239"/>
    </row>
    <row r="1158">
      <c r="A1158" s="239"/>
      <c r="B1158" s="239"/>
      <c r="C1158" s="239"/>
      <c r="D1158" s="239"/>
      <c r="E1158" s="239"/>
      <c r="F1158" s="283"/>
      <c r="G1158" s="239"/>
      <c r="H1158" s="239"/>
      <c r="I1158" s="239"/>
      <c r="J1158" s="239"/>
      <c r="K1158" s="239"/>
      <c r="L1158" s="239"/>
      <c r="M1158" s="239"/>
      <c r="N1158" s="239"/>
      <c r="O1158" s="239"/>
      <c r="P1158" s="246"/>
      <c r="Q1158" s="239"/>
      <c r="R1158" s="239"/>
      <c r="S1158" s="239"/>
      <c r="T1158" s="239"/>
      <c r="U1158" s="239"/>
      <c r="V1158" s="239"/>
      <c r="W1158" s="246"/>
      <c r="X1158" s="239"/>
      <c r="Y1158" s="239"/>
      <c r="Z1158" s="239"/>
      <c r="AA1158" s="239"/>
      <c r="AB1158" s="239"/>
      <c r="AC1158" s="239"/>
      <c r="AD1158" s="239"/>
      <c r="AE1158" s="239"/>
      <c r="AF1158" s="239"/>
      <c r="AG1158" s="239"/>
      <c r="AH1158" s="239"/>
      <c r="AI1158" s="239"/>
      <c r="AJ1158" s="239"/>
    </row>
    <row r="1159">
      <c r="A1159" s="239"/>
      <c r="B1159" s="239"/>
      <c r="C1159" s="239"/>
      <c r="D1159" s="239"/>
      <c r="E1159" s="239"/>
      <c r="F1159" s="283"/>
      <c r="G1159" s="239"/>
      <c r="H1159" s="239"/>
      <c r="I1159" s="239"/>
      <c r="J1159" s="239"/>
      <c r="K1159" s="239"/>
      <c r="L1159" s="239"/>
      <c r="M1159" s="239"/>
      <c r="N1159" s="239"/>
      <c r="O1159" s="239"/>
      <c r="P1159" s="246"/>
      <c r="Q1159" s="239"/>
      <c r="R1159" s="239"/>
      <c r="S1159" s="239"/>
      <c r="T1159" s="239"/>
      <c r="U1159" s="239"/>
      <c r="V1159" s="239"/>
      <c r="W1159" s="246"/>
      <c r="X1159" s="239"/>
      <c r="Y1159" s="239"/>
      <c r="Z1159" s="239"/>
      <c r="AA1159" s="239"/>
      <c r="AB1159" s="239"/>
      <c r="AC1159" s="239"/>
      <c r="AD1159" s="239"/>
      <c r="AE1159" s="239"/>
      <c r="AF1159" s="239"/>
      <c r="AG1159" s="239"/>
      <c r="AH1159" s="239"/>
      <c r="AI1159" s="239"/>
      <c r="AJ1159" s="239"/>
    </row>
    <row r="1160">
      <c r="A1160" s="239"/>
      <c r="B1160" s="239"/>
      <c r="C1160" s="239"/>
      <c r="D1160" s="239"/>
      <c r="E1160" s="239"/>
      <c r="F1160" s="283"/>
      <c r="G1160" s="239"/>
      <c r="H1160" s="239"/>
      <c r="I1160" s="239"/>
      <c r="J1160" s="239"/>
      <c r="K1160" s="239"/>
      <c r="L1160" s="239"/>
      <c r="M1160" s="239"/>
      <c r="N1160" s="239"/>
      <c r="O1160" s="239"/>
      <c r="P1160" s="246"/>
      <c r="Q1160" s="239"/>
      <c r="R1160" s="239"/>
      <c r="S1160" s="239"/>
      <c r="T1160" s="239"/>
      <c r="U1160" s="239"/>
      <c r="V1160" s="239"/>
      <c r="W1160" s="246"/>
      <c r="X1160" s="239"/>
      <c r="Y1160" s="239"/>
      <c r="Z1160" s="239"/>
      <c r="AA1160" s="239"/>
      <c r="AB1160" s="239"/>
      <c r="AC1160" s="239"/>
      <c r="AD1160" s="239"/>
      <c r="AE1160" s="239"/>
      <c r="AF1160" s="239"/>
      <c r="AG1160" s="239"/>
      <c r="AH1160" s="239"/>
      <c r="AI1160" s="239"/>
      <c r="AJ1160" s="239"/>
    </row>
    <row r="1161">
      <c r="A1161" s="239"/>
      <c r="B1161" s="239"/>
      <c r="C1161" s="239"/>
      <c r="D1161" s="239"/>
      <c r="E1161" s="239"/>
      <c r="F1161" s="283"/>
      <c r="G1161" s="239"/>
      <c r="H1161" s="239"/>
      <c r="I1161" s="239"/>
      <c r="J1161" s="239"/>
      <c r="K1161" s="239"/>
      <c r="L1161" s="239"/>
      <c r="M1161" s="239"/>
      <c r="N1161" s="239"/>
      <c r="O1161" s="239"/>
      <c r="P1161" s="246"/>
      <c r="Q1161" s="239"/>
      <c r="R1161" s="239"/>
      <c r="S1161" s="239"/>
      <c r="T1161" s="239"/>
      <c r="U1161" s="239"/>
      <c r="V1161" s="239"/>
      <c r="W1161" s="246"/>
      <c r="X1161" s="239"/>
      <c r="Y1161" s="239"/>
      <c r="Z1161" s="239"/>
      <c r="AA1161" s="239"/>
      <c r="AB1161" s="239"/>
      <c r="AC1161" s="239"/>
      <c r="AD1161" s="239"/>
      <c r="AE1161" s="239"/>
      <c r="AF1161" s="239"/>
      <c r="AG1161" s="239"/>
      <c r="AH1161" s="239"/>
      <c r="AI1161" s="239"/>
      <c r="AJ1161" s="239"/>
    </row>
    <row r="1162">
      <c r="A1162" s="239"/>
      <c r="B1162" s="239"/>
      <c r="C1162" s="239"/>
      <c r="D1162" s="239"/>
      <c r="E1162" s="239"/>
      <c r="F1162" s="283"/>
      <c r="G1162" s="239"/>
      <c r="H1162" s="239"/>
      <c r="I1162" s="239"/>
      <c r="J1162" s="239"/>
      <c r="K1162" s="239"/>
      <c r="L1162" s="239"/>
      <c r="M1162" s="239"/>
      <c r="N1162" s="239"/>
      <c r="O1162" s="239"/>
      <c r="P1162" s="246"/>
      <c r="Q1162" s="239"/>
      <c r="R1162" s="239"/>
      <c r="S1162" s="239"/>
      <c r="T1162" s="239"/>
      <c r="U1162" s="239"/>
      <c r="V1162" s="239"/>
      <c r="W1162" s="246"/>
      <c r="X1162" s="239"/>
      <c r="Y1162" s="239"/>
      <c r="Z1162" s="239"/>
      <c r="AA1162" s="239"/>
      <c r="AB1162" s="239"/>
      <c r="AC1162" s="239"/>
      <c r="AD1162" s="239"/>
      <c r="AE1162" s="239"/>
      <c r="AF1162" s="239"/>
      <c r="AG1162" s="239"/>
      <c r="AH1162" s="239"/>
      <c r="AI1162" s="239"/>
      <c r="AJ1162" s="239"/>
    </row>
    <row r="1163">
      <c r="A1163" s="239"/>
      <c r="B1163" s="239"/>
      <c r="C1163" s="239"/>
      <c r="D1163" s="239"/>
      <c r="E1163" s="239"/>
      <c r="F1163" s="283"/>
      <c r="G1163" s="239"/>
      <c r="H1163" s="239"/>
      <c r="I1163" s="239"/>
      <c r="J1163" s="239"/>
      <c r="K1163" s="239"/>
      <c r="L1163" s="239"/>
      <c r="M1163" s="239"/>
      <c r="N1163" s="239"/>
      <c r="O1163" s="239"/>
      <c r="P1163" s="246"/>
      <c r="Q1163" s="239"/>
      <c r="R1163" s="239"/>
      <c r="S1163" s="239"/>
      <c r="T1163" s="239"/>
      <c r="U1163" s="239"/>
      <c r="V1163" s="239"/>
      <c r="W1163" s="246"/>
      <c r="X1163" s="239"/>
      <c r="Y1163" s="239"/>
      <c r="Z1163" s="239"/>
      <c r="AA1163" s="239"/>
      <c r="AB1163" s="239"/>
      <c r="AC1163" s="239"/>
      <c r="AD1163" s="239"/>
      <c r="AE1163" s="239"/>
      <c r="AF1163" s="239"/>
      <c r="AG1163" s="239"/>
      <c r="AH1163" s="239"/>
      <c r="AI1163" s="239"/>
      <c r="AJ1163" s="239"/>
    </row>
    <row r="1164">
      <c r="A1164" s="239"/>
      <c r="B1164" s="239"/>
      <c r="C1164" s="239"/>
      <c r="D1164" s="239"/>
      <c r="E1164" s="239"/>
      <c r="F1164" s="283"/>
      <c r="G1164" s="239"/>
      <c r="H1164" s="239"/>
      <c r="I1164" s="239"/>
      <c r="J1164" s="239"/>
      <c r="K1164" s="239"/>
      <c r="L1164" s="239"/>
      <c r="M1164" s="239"/>
      <c r="N1164" s="239"/>
      <c r="O1164" s="239"/>
      <c r="P1164" s="246"/>
      <c r="Q1164" s="239"/>
      <c r="R1164" s="239"/>
      <c r="S1164" s="239"/>
      <c r="T1164" s="239"/>
      <c r="U1164" s="239"/>
      <c r="V1164" s="239"/>
      <c r="W1164" s="246"/>
      <c r="X1164" s="239"/>
      <c r="Y1164" s="239"/>
      <c r="Z1164" s="239"/>
      <c r="AA1164" s="239"/>
      <c r="AB1164" s="239"/>
      <c r="AC1164" s="239"/>
      <c r="AD1164" s="239"/>
      <c r="AE1164" s="239"/>
      <c r="AF1164" s="239"/>
      <c r="AG1164" s="239"/>
      <c r="AH1164" s="239"/>
      <c r="AI1164" s="239"/>
      <c r="AJ1164" s="239"/>
    </row>
    <row r="1165">
      <c r="A1165" s="239"/>
      <c r="B1165" s="239"/>
      <c r="C1165" s="239"/>
      <c r="D1165" s="239"/>
      <c r="E1165" s="239"/>
      <c r="F1165" s="283"/>
      <c r="G1165" s="239"/>
      <c r="H1165" s="239"/>
      <c r="I1165" s="239"/>
      <c r="J1165" s="239"/>
      <c r="K1165" s="239"/>
      <c r="L1165" s="239"/>
      <c r="M1165" s="239"/>
      <c r="N1165" s="239"/>
      <c r="O1165" s="239"/>
      <c r="P1165" s="246"/>
      <c r="Q1165" s="239"/>
      <c r="R1165" s="239"/>
      <c r="S1165" s="239"/>
      <c r="T1165" s="239"/>
      <c r="U1165" s="239"/>
      <c r="V1165" s="239"/>
      <c r="W1165" s="246"/>
      <c r="X1165" s="239"/>
      <c r="Y1165" s="239"/>
      <c r="Z1165" s="239"/>
      <c r="AA1165" s="239"/>
      <c r="AB1165" s="239"/>
      <c r="AC1165" s="239"/>
      <c r="AD1165" s="239"/>
      <c r="AE1165" s="239"/>
      <c r="AF1165" s="239"/>
      <c r="AG1165" s="239"/>
      <c r="AH1165" s="239"/>
      <c r="AI1165" s="239"/>
      <c r="AJ1165" s="239"/>
    </row>
    <row r="1166">
      <c r="A1166" s="239"/>
      <c r="B1166" s="239"/>
      <c r="C1166" s="239"/>
      <c r="D1166" s="239"/>
      <c r="E1166" s="239"/>
      <c r="F1166" s="283"/>
      <c r="G1166" s="239"/>
      <c r="H1166" s="239"/>
      <c r="I1166" s="239"/>
      <c r="J1166" s="239"/>
      <c r="K1166" s="239"/>
      <c r="L1166" s="239"/>
      <c r="M1166" s="239"/>
      <c r="N1166" s="239"/>
      <c r="O1166" s="239"/>
      <c r="P1166" s="246"/>
      <c r="Q1166" s="239"/>
      <c r="R1166" s="239"/>
      <c r="S1166" s="239"/>
      <c r="T1166" s="239"/>
      <c r="U1166" s="239"/>
      <c r="V1166" s="239"/>
      <c r="W1166" s="246"/>
      <c r="X1166" s="239"/>
      <c r="Y1166" s="239"/>
      <c r="Z1166" s="239"/>
      <c r="AA1166" s="239"/>
      <c r="AB1166" s="239"/>
      <c r="AC1166" s="239"/>
      <c r="AD1166" s="239"/>
      <c r="AE1166" s="239"/>
      <c r="AF1166" s="239"/>
      <c r="AG1166" s="239"/>
      <c r="AH1166" s="239"/>
      <c r="AI1166" s="239"/>
      <c r="AJ1166" s="239"/>
    </row>
    <row r="1167">
      <c r="A1167" s="239"/>
      <c r="B1167" s="239"/>
      <c r="C1167" s="239"/>
      <c r="D1167" s="239"/>
      <c r="E1167" s="239"/>
      <c r="F1167" s="283"/>
      <c r="G1167" s="239"/>
      <c r="H1167" s="239"/>
      <c r="I1167" s="239"/>
      <c r="J1167" s="239"/>
      <c r="K1167" s="239"/>
      <c r="L1167" s="239"/>
      <c r="M1167" s="239"/>
      <c r="N1167" s="239"/>
      <c r="O1167" s="239"/>
      <c r="P1167" s="246"/>
      <c r="Q1167" s="239"/>
      <c r="R1167" s="239"/>
      <c r="S1167" s="239"/>
      <c r="T1167" s="239"/>
      <c r="U1167" s="239"/>
      <c r="V1167" s="239"/>
      <c r="W1167" s="246"/>
      <c r="X1167" s="239"/>
      <c r="Y1167" s="239"/>
      <c r="Z1167" s="239"/>
      <c r="AA1167" s="239"/>
      <c r="AB1167" s="239"/>
      <c r="AC1167" s="239"/>
      <c r="AD1167" s="239"/>
      <c r="AE1167" s="239"/>
      <c r="AF1167" s="239"/>
      <c r="AG1167" s="239"/>
      <c r="AH1167" s="239"/>
      <c r="AI1167" s="239"/>
      <c r="AJ1167" s="239"/>
    </row>
    <row r="1168">
      <c r="A1168" s="239"/>
      <c r="B1168" s="239"/>
      <c r="C1168" s="239"/>
      <c r="D1168" s="239"/>
      <c r="E1168" s="239"/>
      <c r="F1168" s="283"/>
      <c r="G1168" s="239"/>
      <c r="H1168" s="239"/>
      <c r="I1168" s="239"/>
      <c r="J1168" s="239"/>
      <c r="K1168" s="239"/>
      <c r="L1168" s="239"/>
      <c r="M1168" s="239"/>
      <c r="N1168" s="239"/>
      <c r="O1168" s="239"/>
      <c r="P1168" s="246"/>
      <c r="Q1168" s="239"/>
      <c r="R1168" s="239"/>
      <c r="S1168" s="239"/>
      <c r="T1168" s="239"/>
      <c r="U1168" s="239"/>
      <c r="V1168" s="239"/>
      <c r="W1168" s="246"/>
      <c r="X1168" s="239"/>
      <c r="Y1168" s="239"/>
      <c r="Z1168" s="239"/>
      <c r="AA1168" s="239"/>
      <c r="AB1168" s="239"/>
      <c r="AC1168" s="239"/>
      <c r="AD1168" s="239"/>
      <c r="AE1168" s="239"/>
      <c r="AF1168" s="239"/>
      <c r="AG1168" s="239"/>
      <c r="AH1168" s="239"/>
      <c r="AI1168" s="239"/>
      <c r="AJ1168" s="239"/>
    </row>
    <row r="1169">
      <c r="A1169" s="239"/>
      <c r="B1169" s="239"/>
      <c r="C1169" s="239"/>
      <c r="D1169" s="239"/>
      <c r="E1169" s="239"/>
      <c r="F1169" s="283"/>
      <c r="G1169" s="239"/>
      <c r="H1169" s="239"/>
      <c r="I1169" s="239"/>
      <c r="J1169" s="239"/>
      <c r="K1169" s="239"/>
      <c r="L1169" s="239"/>
      <c r="M1169" s="239"/>
      <c r="N1169" s="239"/>
      <c r="O1169" s="239"/>
      <c r="P1169" s="246"/>
      <c r="Q1169" s="239"/>
      <c r="R1169" s="239"/>
      <c r="S1169" s="239"/>
      <c r="T1169" s="239"/>
      <c r="U1169" s="239"/>
      <c r="V1169" s="239"/>
      <c r="W1169" s="246"/>
      <c r="X1169" s="239"/>
      <c r="Y1169" s="239"/>
      <c r="Z1169" s="239"/>
      <c r="AA1169" s="239"/>
      <c r="AB1169" s="239"/>
      <c r="AC1169" s="239"/>
      <c r="AD1169" s="239"/>
      <c r="AE1169" s="239"/>
      <c r="AF1169" s="239"/>
      <c r="AG1169" s="239"/>
      <c r="AH1169" s="239"/>
      <c r="AI1169" s="239"/>
      <c r="AJ1169" s="239"/>
    </row>
    <row r="1170">
      <c r="A1170" s="239"/>
      <c r="B1170" s="239"/>
      <c r="C1170" s="239"/>
      <c r="D1170" s="239"/>
      <c r="E1170" s="239"/>
      <c r="F1170" s="283"/>
      <c r="G1170" s="239"/>
      <c r="H1170" s="239"/>
      <c r="I1170" s="239"/>
      <c r="J1170" s="239"/>
      <c r="K1170" s="239"/>
      <c r="L1170" s="239"/>
      <c r="M1170" s="239"/>
      <c r="N1170" s="239"/>
      <c r="O1170" s="239"/>
      <c r="P1170" s="246"/>
      <c r="Q1170" s="239"/>
      <c r="R1170" s="239"/>
      <c r="S1170" s="239"/>
      <c r="T1170" s="239"/>
      <c r="U1170" s="239"/>
      <c r="V1170" s="239"/>
      <c r="W1170" s="246"/>
      <c r="X1170" s="239"/>
      <c r="Y1170" s="239"/>
      <c r="Z1170" s="239"/>
      <c r="AA1170" s="239"/>
      <c r="AB1170" s="239"/>
      <c r="AC1170" s="239"/>
      <c r="AD1170" s="239"/>
      <c r="AE1170" s="239"/>
      <c r="AF1170" s="239"/>
      <c r="AG1170" s="239"/>
      <c r="AH1170" s="239"/>
      <c r="AI1170" s="239"/>
      <c r="AJ1170" s="239"/>
    </row>
    <row r="1171">
      <c r="A1171" s="239"/>
      <c r="B1171" s="239"/>
      <c r="C1171" s="239"/>
      <c r="D1171" s="239"/>
      <c r="E1171" s="239"/>
      <c r="F1171" s="283"/>
      <c r="G1171" s="239"/>
      <c r="H1171" s="239"/>
      <c r="I1171" s="239"/>
      <c r="J1171" s="239"/>
      <c r="K1171" s="239"/>
      <c r="L1171" s="239"/>
      <c r="M1171" s="239"/>
      <c r="N1171" s="239"/>
      <c r="O1171" s="239"/>
      <c r="P1171" s="246"/>
      <c r="Q1171" s="239"/>
      <c r="R1171" s="239"/>
      <c r="S1171" s="239"/>
      <c r="T1171" s="239"/>
      <c r="U1171" s="239"/>
      <c r="V1171" s="239"/>
      <c r="W1171" s="246"/>
      <c r="X1171" s="239"/>
      <c r="Y1171" s="239"/>
      <c r="Z1171" s="239"/>
      <c r="AA1171" s="239"/>
      <c r="AB1171" s="239"/>
      <c r="AC1171" s="239"/>
      <c r="AD1171" s="239"/>
      <c r="AE1171" s="239"/>
      <c r="AF1171" s="239"/>
      <c r="AG1171" s="239"/>
      <c r="AH1171" s="239"/>
      <c r="AI1171" s="239"/>
      <c r="AJ1171" s="239"/>
    </row>
    <row r="1172">
      <c r="A1172" s="239"/>
      <c r="B1172" s="239"/>
      <c r="C1172" s="239"/>
      <c r="D1172" s="239"/>
      <c r="E1172" s="239"/>
      <c r="F1172" s="283"/>
      <c r="G1172" s="239"/>
      <c r="H1172" s="239"/>
      <c r="I1172" s="239"/>
      <c r="J1172" s="239"/>
      <c r="K1172" s="239"/>
      <c r="L1172" s="239"/>
      <c r="M1172" s="239"/>
      <c r="N1172" s="239"/>
      <c r="O1172" s="239"/>
      <c r="P1172" s="246"/>
      <c r="Q1172" s="239"/>
      <c r="R1172" s="239"/>
      <c r="S1172" s="239"/>
      <c r="T1172" s="239"/>
      <c r="U1172" s="239"/>
      <c r="V1172" s="239"/>
      <c r="W1172" s="246"/>
      <c r="X1172" s="239"/>
      <c r="Y1172" s="239"/>
      <c r="Z1172" s="239"/>
      <c r="AA1172" s="239"/>
      <c r="AB1172" s="239"/>
      <c r="AC1172" s="239"/>
      <c r="AD1172" s="239"/>
      <c r="AE1172" s="239"/>
      <c r="AF1172" s="239"/>
      <c r="AG1172" s="239"/>
      <c r="AH1172" s="239"/>
      <c r="AI1172" s="239"/>
      <c r="AJ1172" s="239"/>
    </row>
    <row r="1173">
      <c r="A1173" s="239"/>
      <c r="B1173" s="239"/>
      <c r="C1173" s="239"/>
      <c r="D1173" s="239"/>
      <c r="E1173" s="239"/>
      <c r="F1173" s="283"/>
      <c r="G1173" s="239"/>
      <c r="H1173" s="239"/>
      <c r="I1173" s="239"/>
      <c r="J1173" s="239"/>
      <c r="K1173" s="239"/>
      <c r="L1173" s="239"/>
      <c r="M1173" s="239"/>
      <c r="N1173" s="239"/>
      <c r="O1173" s="239"/>
      <c r="P1173" s="246"/>
      <c r="Q1173" s="239"/>
      <c r="R1173" s="239"/>
      <c r="S1173" s="239"/>
      <c r="T1173" s="239"/>
      <c r="U1173" s="239"/>
      <c r="V1173" s="239"/>
      <c r="W1173" s="246"/>
      <c r="X1173" s="239"/>
      <c r="Y1173" s="239"/>
      <c r="Z1173" s="239"/>
      <c r="AA1173" s="239"/>
      <c r="AB1173" s="239"/>
      <c r="AC1173" s="239"/>
      <c r="AD1173" s="239"/>
      <c r="AE1173" s="239"/>
      <c r="AF1173" s="239"/>
      <c r="AG1173" s="239"/>
      <c r="AH1173" s="239"/>
      <c r="AI1173" s="239"/>
      <c r="AJ1173" s="239"/>
    </row>
    <row r="1174">
      <c r="A1174" s="239"/>
      <c r="B1174" s="239"/>
      <c r="C1174" s="239"/>
      <c r="D1174" s="239"/>
      <c r="E1174" s="239"/>
      <c r="F1174" s="283"/>
      <c r="G1174" s="239"/>
      <c r="H1174" s="239"/>
      <c r="I1174" s="239"/>
      <c r="J1174" s="239"/>
      <c r="K1174" s="239"/>
      <c r="L1174" s="239"/>
      <c r="M1174" s="239"/>
      <c r="N1174" s="239"/>
      <c r="O1174" s="239"/>
      <c r="P1174" s="246"/>
      <c r="Q1174" s="239"/>
      <c r="R1174" s="239"/>
      <c r="S1174" s="239"/>
      <c r="T1174" s="239"/>
      <c r="U1174" s="239"/>
      <c r="V1174" s="239"/>
      <c r="W1174" s="246"/>
      <c r="X1174" s="239"/>
      <c r="Y1174" s="239"/>
      <c r="Z1174" s="239"/>
      <c r="AA1174" s="239"/>
      <c r="AB1174" s="239"/>
      <c r="AC1174" s="239"/>
      <c r="AD1174" s="239"/>
      <c r="AE1174" s="239"/>
      <c r="AF1174" s="239"/>
      <c r="AG1174" s="239"/>
      <c r="AH1174" s="239"/>
      <c r="AI1174" s="239"/>
      <c r="AJ1174" s="239"/>
    </row>
    <row r="1175">
      <c r="A1175" s="239"/>
      <c r="B1175" s="239"/>
      <c r="C1175" s="239"/>
      <c r="D1175" s="239"/>
      <c r="E1175" s="239"/>
      <c r="F1175" s="283"/>
      <c r="G1175" s="239"/>
      <c r="H1175" s="239"/>
      <c r="I1175" s="239"/>
      <c r="J1175" s="239"/>
      <c r="K1175" s="239"/>
      <c r="L1175" s="239"/>
      <c r="M1175" s="239"/>
      <c r="N1175" s="239"/>
      <c r="O1175" s="239"/>
      <c r="P1175" s="246"/>
      <c r="Q1175" s="239"/>
      <c r="R1175" s="239"/>
      <c r="S1175" s="239"/>
      <c r="T1175" s="239"/>
      <c r="U1175" s="239"/>
      <c r="V1175" s="239"/>
      <c r="W1175" s="246"/>
      <c r="X1175" s="239"/>
      <c r="Y1175" s="239"/>
      <c r="Z1175" s="239"/>
      <c r="AA1175" s="239"/>
      <c r="AB1175" s="239"/>
      <c r="AC1175" s="239"/>
      <c r="AD1175" s="239"/>
      <c r="AE1175" s="239"/>
      <c r="AF1175" s="239"/>
      <c r="AG1175" s="239"/>
      <c r="AH1175" s="239"/>
      <c r="AI1175" s="239"/>
      <c r="AJ1175" s="239"/>
    </row>
    <row r="1176">
      <c r="A1176" s="239"/>
      <c r="B1176" s="239"/>
      <c r="C1176" s="239"/>
      <c r="D1176" s="239"/>
      <c r="E1176" s="239"/>
      <c r="F1176" s="283"/>
      <c r="G1176" s="239"/>
      <c r="H1176" s="239"/>
      <c r="I1176" s="239"/>
      <c r="J1176" s="239"/>
      <c r="K1176" s="239"/>
      <c r="L1176" s="239"/>
      <c r="M1176" s="239"/>
      <c r="N1176" s="239"/>
      <c r="O1176" s="239"/>
      <c r="P1176" s="246"/>
      <c r="Q1176" s="239"/>
      <c r="R1176" s="239"/>
      <c r="S1176" s="239"/>
      <c r="T1176" s="239"/>
      <c r="U1176" s="239"/>
      <c r="V1176" s="239"/>
      <c r="W1176" s="246"/>
      <c r="X1176" s="239"/>
      <c r="Y1176" s="239"/>
      <c r="Z1176" s="239"/>
      <c r="AA1176" s="239"/>
      <c r="AB1176" s="239"/>
      <c r="AC1176" s="239"/>
      <c r="AD1176" s="239"/>
      <c r="AE1176" s="239"/>
      <c r="AF1176" s="239"/>
      <c r="AG1176" s="239"/>
      <c r="AH1176" s="239"/>
      <c r="AI1176" s="239"/>
      <c r="AJ1176" s="239"/>
    </row>
    <row r="1177">
      <c r="A1177" s="239"/>
      <c r="B1177" s="239"/>
      <c r="C1177" s="239"/>
      <c r="D1177" s="239"/>
      <c r="E1177" s="239"/>
      <c r="F1177" s="283"/>
      <c r="G1177" s="239"/>
      <c r="H1177" s="239"/>
      <c r="I1177" s="239"/>
      <c r="J1177" s="239"/>
      <c r="K1177" s="239"/>
      <c r="L1177" s="239"/>
      <c r="M1177" s="239"/>
      <c r="N1177" s="239"/>
      <c r="O1177" s="239"/>
      <c r="P1177" s="246"/>
      <c r="Q1177" s="239"/>
      <c r="R1177" s="239"/>
      <c r="S1177" s="239"/>
      <c r="T1177" s="239"/>
      <c r="U1177" s="239"/>
      <c r="V1177" s="239"/>
      <c r="W1177" s="246"/>
      <c r="X1177" s="239"/>
      <c r="Y1177" s="239"/>
      <c r="Z1177" s="239"/>
      <c r="AA1177" s="239"/>
      <c r="AB1177" s="239"/>
      <c r="AC1177" s="239"/>
      <c r="AD1177" s="239"/>
      <c r="AE1177" s="239"/>
      <c r="AF1177" s="239"/>
      <c r="AG1177" s="239"/>
      <c r="AH1177" s="239"/>
      <c r="AI1177" s="239"/>
      <c r="AJ1177" s="239"/>
    </row>
    <row r="1178">
      <c r="A1178" s="239"/>
      <c r="B1178" s="239"/>
      <c r="C1178" s="239"/>
      <c r="D1178" s="239"/>
      <c r="E1178" s="239"/>
      <c r="F1178" s="283"/>
      <c r="G1178" s="239"/>
      <c r="H1178" s="239"/>
      <c r="I1178" s="239"/>
      <c r="J1178" s="239"/>
      <c r="K1178" s="239"/>
      <c r="L1178" s="239"/>
      <c r="M1178" s="239"/>
      <c r="N1178" s="239"/>
      <c r="O1178" s="239"/>
      <c r="P1178" s="246"/>
      <c r="Q1178" s="239"/>
      <c r="R1178" s="239"/>
      <c r="S1178" s="239"/>
      <c r="T1178" s="239"/>
      <c r="U1178" s="239"/>
      <c r="V1178" s="239"/>
      <c r="W1178" s="246"/>
      <c r="X1178" s="239"/>
      <c r="Y1178" s="239"/>
      <c r="Z1178" s="239"/>
      <c r="AA1178" s="239"/>
      <c r="AB1178" s="239"/>
      <c r="AC1178" s="239"/>
      <c r="AD1178" s="239"/>
      <c r="AE1178" s="239"/>
      <c r="AF1178" s="239"/>
      <c r="AG1178" s="239"/>
      <c r="AH1178" s="239"/>
      <c r="AI1178" s="239"/>
      <c r="AJ1178" s="239"/>
    </row>
    <row r="1179">
      <c r="A1179" s="239"/>
      <c r="B1179" s="239"/>
      <c r="C1179" s="239"/>
      <c r="D1179" s="239"/>
      <c r="E1179" s="239"/>
      <c r="F1179" s="283"/>
      <c r="G1179" s="239"/>
      <c r="H1179" s="239"/>
      <c r="I1179" s="239"/>
      <c r="J1179" s="239"/>
      <c r="K1179" s="239"/>
      <c r="L1179" s="239"/>
      <c r="M1179" s="239"/>
      <c r="N1179" s="239"/>
      <c r="O1179" s="239"/>
      <c r="P1179" s="246"/>
      <c r="Q1179" s="239"/>
      <c r="R1179" s="239"/>
      <c r="S1179" s="239"/>
      <c r="T1179" s="239"/>
      <c r="U1179" s="239"/>
      <c r="V1179" s="239"/>
      <c r="W1179" s="246"/>
      <c r="X1179" s="239"/>
      <c r="Y1179" s="239"/>
      <c r="Z1179" s="239"/>
      <c r="AA1179" s="239"/>
      <c r="AB1179" s="239"/>
      <c r="AC1179" s="239"/>
      <c r="AD1179" s="239"/>
      <c r="AE1179" s="239"/>
      <c r="AF1179" s="239"/>
      <c r="AG1179" s="239"/>
      <c r="AH1179" s="239"/>
      <c r="AI1179" s="239"/>
      <c r="AJ1179" s="239"/>
    </row>
    <row r="1180">
      <c r="A1180" s="239"/>
      <c r="B1180" s="239"/>
      <c r="C1180" s="239"/>
      <c r="D1180" s="239"/>
      <c r="E1180" s="239"/>
      <c r="F1180" s="283"/>
      <c r="G1180" s="239"/>
      <c r="H1180" s="239"/>
      <c r="I1180" s="239"/>
      <c r="J1180" s="239"/>
      <c r="K1180" s="239"/>
      <c r="L1180" s="239"/>
      <c r="M1180" s="239"/>
      <c r="N1180" s="239"/>
      <c r="O1180" s="239"/>
      <c r="P1180" s="246"/>
      <c r="Q1180" s="239"/>
      <c r="R1180" s="239"/>
      <c r="S1180" s="239"/>
      <c r="T1180" s="239"/>
      <c r="U1180" s="239"/>
      <c r="V1180" s="239"/>
      <c r="W1180" s="246"/>
      <c r="X1180" s="239"/>
      <c r="Y1180" s="239"/>
      <c r="Z1180" s="239"/>
      <c r="AA1180" s="239"/>
      <c r="AB1180" s="239"/>
      <c r="AC1180" s="239"/>
      <c r="AD1180" s="239"/>
      <c r="AE1180" s="239"/>
      <c r="AF1180" s="239"/>
      <c r="AG1180" s="239"/>
      <c r="AH1180" s="239"/>
      <c r="AI1180" s="239"/>
      <c r="AJ1180" s="239"/>
    </row>
    <row r="1181">
      <c r="A1181" s="239"/>
      <c r="B1181" s="239"/>
      <c r="C1181" s="239"/>
      <c r="D1181" s="239"/>
      <c r="E1181" s="239"/>
      <c r="F1181" s="283"/>
      <c r="G1181" s="239"/>
      <c r="H1181" s="239"/>
      <c r="I1181" s="239"/>
      <c r="J1181" s="239"/>
      <c r="K1181" s="239"/>
      <c r="L1181" s="239"/>
      <c r="M1181" s="239"/>
      <c r="N1181" s="239"/>
      <c r="O1181" s="239"/>
      <c r="P1181" s="246"/>
      <c r="Q1181" s="239"/>
      <c r="R1181" s="239"/>
      <c r="S1181" s="239"/>
      <c r="T1181" s="239"/>
      <c r="U1181" s="239"/>
      <c r="V1181" s="239"/>
      <c r="W1181" s="246"/>
      <c r="X1181" s="239"/>
      <c r="Y1181" s="239"/>
      <c r="Z1181" s="239"/>
      <c r="AA1181" s="239"/>
      <c r="AB1181" s="239"/>
      <c r="AC1181" s="239"/>
      <c r="AD1181" s="239"/>
      <c r="AE1181" s="239"/>
      <c r="AF1181" s="239"/>
      <c r="AG1181" s="239"/>
      <c r="AH1181" s="239"/>
      <c r="AI1181" s="239"/>
      <c r="AJ1181" s="239"/>
    </row>
    <row r="1182">
      <c r="A1182" s="239"/>
      <c r="B1182" s="239"/>
      <c r="C1182" s="239"/>
      <c r="D1182" s="239"/>
      <c r="E1182" s="239"/>
      <c r="F1182" s="283"/>
      <c r="G1182" s="239"/>
      <c r="H1182" s="239"/>
      <c r="I1182" s="239"/>
      <c r="J1182" s="239"/>
      <c r="K1182" s="239"/>
      <c r="L1182" s="239"/>
      <c r="M1182" s="239"/>
      <c r="N1182" s="239"/>
      <c r="O1182" s="239"/>
      <c r="P1182" s="246"/>
      <c r="Q1182" s="239"/>
      <c r="R1182" s="239"/>
      <c r="S1182" s="239"/>
      <c r="T1182" s="239"/>
      <c r="U1182" s="239"/>
      <c r="V1182" s="239"/>
      <c r="W1182" s="246"/>
      <c r="X1182" s="239"/>
      <c r="Y1182" s="239"/>
      <c r="Z1182" s="239"/>
      <c r="AA1182" s="239"/>
      <c r="AB1182" s="239"/>
      <c r="AC1182" s="239"/>
      <c r="AD1182" s="239"/>
      <c r="AE1182" s="239"/>
      <c r="AF1182" s="239"/>
      <c r="AG1182" s="239"/>
      <c r="AH1182" s="239"/>
      <c r="AI1182" s="239"/>
      <c r="AJ1182" s="239"/>
    </row>
    <row r="1183">
      <c r="A1183" s="239"/>
      <c r="B1183" s="239"/>
      <c r="C1183" s="239"/>
      <c r="D1183" s="239"/>
      <c r="E1183" s="239"/>
      <c r="F1183" s="283"/>
      <c r="G1183" s="239"/>
      <c r="H1183" s="239"/>
      <c r="I1183" s="239"/>
      <c r="J1183" s="239"/>
      <c r="K1183" s="239"/>
      <c r="L1183" s="239"/>
      <c r="M1183" s="239"/>
      <c r="N1183" s="239"/>
      <c r="O1183" s="239"/>
      <c r="P1183" s="246"/>
      <c r="Q1183" s="239"/>
      <c r="R1183" s="239"/>
      <c r="S1183" s="239"/>
      <c r="T1183" s="239"/>
      <c r="U1183" s="239"/>
      <c r="V1183" s="239"/>
      <c r="W1183" s="246"/>
      <c r="X1183" s="239"/>
      <c r="Y1183" s="239"/>
      <c r="Z1183" s="239"/>
      <c r="AA1183" s="239"/>
      <c r="AB1183" s="239"/>
      <c r="AC1183" s="239"/>
      <c r="AD1183" s="239"/>
      <c r="AE1183" s="239"/>
      <c r="AF1183" s="239"/>
      <c r="AG1183" s="239"/>
      <c r="AH1183" s="239"/>
      <c r="AI1183" s="239"/>
      <c r="AJ1183" s="239"/>
    </row>
    <row r="1184">
      <c r="A1184" s="239"/>
      <c r="B1184" s="239"/>
      <c r="C1184" s="239"/>
      <c r="D1184" s="239"/>
      <c r="E1184" s="239"/>
      <c r="F1184" s="283"/>
      <c r="G1184" s="239"/>
      <c r="H1184" s="239"/>
      <c r="I1184" s="239"/>
      <c r="J1184" s="239"/>
      <c r="K1184" s="239"/>
      <c r="L1184" s="239"/>
      <c r="M1184" s="239"/>
      <c r="N1184" s="239"/>
      <c r="O1184" s="239"/>
      <c r="P1184" s="246"/>
      <c r="Q1184" s="239"/>
      <c r="R1184" s="239"/>
      <c r="S1184" s="239"/>
      <c r="T1184" s="239"/>
      <c r="U1184" s="239"/>
      <c r="V1184" s="239"/>
      <c r="W1184" s="246"/>
      <c r="X1184" s="239"/>
      <c r="Y1184" s="239"/>
      <c r="Z1184" s="239"/>
      <c r="AA1184" s="239"/>
      <c r="AB1184" s="239"/>
      <c r="AC1184" s="239"/>
      <c r="AD1184" s="239"/>
      <c r="AE1184" s="239"/>
      <c r="AF1184" s="239"/>
      <c r="AG1184" s="239"/>
      <c r="AH1184" s="239"/>
      <c r="AI1184" s="239"/>
      <c r="AJ1184" s="239"/>
    </row>
    <row r="1185">
      <c r="A1185" s="239"/>
      <c r="B1185" s="239"/>
      <c r="C1185" s="239"/>
      <c r="D1185" s="239"/>
      <c r="E1185" s="239"/>
      <c r="F1185" s="283"/>
      <c r="G1185" s="239"/>
      <c r="H1185" s="239"/>
      <c r="I1185" s="239"/>
      <c r="J1185" s="239"/>
      <c r="K1185" s="239"/>
      <c r="L1185" s="239"/>
      <c r="M1185" s="239"/>
      <c r="N1185" s="239"/>
      <c r="O1185" s="239"/>
      <c r="P1185" s="246"/>
      <c r="Q1185" s="239"/>
      <c r="R1185" s="239"/>
      <c r="S1185" s="239"/>
      <c r="T1185" s="239"/>
      <c r="U1185" s="239"/>
      <c r="V1185" s="239"/>
      <c r="W1185" s="246"/>
      <c r="X1185" s="239"/>
      <c r="Y1185" s="239"/>
      <c r="Z1185" s="239"/>
      <c r="AA1185" s="239"/>
      <c r="AB1185" s="239"/>
      <c r="AC1185" s="239"/>
      <c r="AD1185" s="239"/>
      <c r="AE1185" s="239"/>
      <c r="AF1185" s="239"/>
      <c r="AG1185" s="239"/>
      <c r="AH1185" s="239"/>
      <c r="AI1185" s="239"/>
      <c r="AJ1185" s="239"/>
    </row>
    <row r="1186">
      <c r="A1186" s="239"/>
      <c r="B1186" s="239"/>
      <c r="C1186" s="239"/>
      <c r="D1186" s="239"/>
      <c r="E1186" s="239"/>
      <c r="F1186" s="283"/>
      <c r="G1186" s="239"/>
      <c r="H1186" s="239"/>
      <c r="I1186" s="239"/>
      <c r="J1186" s="239"/>
      <c r="K1186" s="239"/>
      <c r="L1186" s="239"/>
      <c r="M1186" s="239"/>
      <c r="N1186" s="239"/>
      <c r="O1186" s="239"/>
      <c r="P1186" s="246"/>
      <c r="Q1186" s="239"/>
      <c r="R1186" s="239"/>
      <c r="S1186" s="239"/>
      <c r="T1186" s="239"/>
      <c r="U1186" s="239"/>
      <c r="V1186" s="239"/>
      <c r="W1186" s="246"/>
      <c r="X1186" s="239"/>
      <c r="Y1186" s="239"/>
      <c r="Z1186" s="239"/>
      <c r="AA1186" s="239"/>
      <c r="AB1186" s="239"/>
      <c r="AC1186" s="239"/>
      <c r="AD1186" s="239"/>
      <c r="AE1186" s="239"/>
      <c r="AF1186" s="239"/>
      <c r="AG1186" s="239"/>
      <c r="AH1186" s="239"/>
      <c r="AI1186" s="239"/>
      <c r="AJ1186" s="239"/>
    </row>
    <row r="1187">
      <c r="A1187" s="239"/>
      <c r="B1187" s="239"/>
      <c r="C1187" s="239"/>
      <c r="D1187" s="239"/>
      <c r="E1187" s="239"/>
      <c r="F1187" s="283"/>
      <c r="G1187" s="239"/>
      <c r="H1187" s="239"/>
      <c r="I1187" s="239"/>
      <c r="J1187" s="239"/>
      <c r="K1187" s="239"/>
      <c r="L1187" s="239"/>
      <c r="M1187" s="239"/>
      <c r="N1187" s="239"/>
      <c r="O1187" s="239"/>
      <c r="P1187" s="246"/>
      <c r="Q1187" s="239"/>
      <c r="R1187" s="239"/>
      <c r="S1187" s="239"/>
      <c r="T1187" s="239"/>
      <c r="U1187" s="239"/>
      <c r="V1187" s="239"/>
      <c r="W1187" s="246"/>
      <c r="X1187" s="239"/>
      <c r="Y1187" s="239"/>
      <c r="Z1187" s="239"/>
      <c r="AA1187" s="239"/>
      <c r="AB1187" s="239"/>
      <c r="AC1187" s="239"/>
      <c r="AD1187" s="239"/>
      <c r="AE1187" s="239"/>
      <c r="AF1187" s="239"/>
      <c r="AG1187" s="239"/>
      <c r="AH1187" s="239"/>
      <c r="AI1187" s="239"/>
      <c r="AJ1187" s="239"/>
    </row>
    <row r="1188">
      <c r="A1188" s="239"/>
      <c r="B1188" s="239"/>
      <c r="C1188" s="239"/>
      <c r="D1188" s="239"/>
      <c r="E1188" s="239"/>
      <c r="F1188" s="283"/>
      <c r="G1188" s="239"/>
      <c r="H1188" s="239"/>
      <c r="I1188" s="239"/>
      <c r="J1188" s="239"/>
      <c r="K1188" s="239"/>
      <c r="L1188" s="239"/>
      <c r="M1188" s="239"/>
      <c r="N1188" s="239"/>
      <c r="O1188" s="239"/>
      <c r="P1188" s="246"/>
      <c r="Q1188" s="239"/>
      <c r="R1188" s="239"/>
      <c r="S1188" s="239"/>
      <c r="T1188" s="239"/>
      <c r="U1188" s="239"/>
      <c r="V1188" s="239"/>
      <c r="W1188" s="246"/>
      <c r="X1188" s="239"/>
      <c r="Y1188" s="239"/>
      <c r="Z1188" s="239"/>
      <c r="AA1188" s="239"/>
      <c r="AB1188" s="239"/>
      <c r="AC1188" s="239"/>
      <c r="AD1188" s="239"/>
      <c r="AE1188" s="239"/>
      <c r="AF1188" s="239"/>
      <c r="AG1188" s="239"/>
      <c r="AH1188" s="239"/>
      <c r="AI1188" s="239"/>
      <c r="AJ1188" s="239"/>
    </row>
    <row r="1189">
      <c r="A1189" s="239"/>
      <c r="B1189" s="239"/>
      <c r="C1189" s="239"/>
      <c r="D1189" s="239"/>
      <c r="E1189" s="239"/>
      <c r="F1189" s="283"/>
      <c r="G1189" s="239"/>
      <c r="H1189" s="239"/>
      <c r="I1189" s="239"/>
      <c r="J1189" s="239"/>
      <c r="K1189" s="239"/>
      <c r="L1189" s="239"/>
      <c r="M1189" s="239"/>
      <c r="N1189" s="239"/>
      <c r="O1189" s="239"/>
      <c r="P1189" s="246"/>
      <c r="Q1189" s="239"/>
      <c r="R1189" s="239"/>
      <c r="S1189" s="239"/>
      <c r="T1189" s="239"/>
      <c r="U1189" s="239"/>
      <c r="V1189" s="239"/>
      <c r="W1189" s="246"/>
      <c r="X1189" s="239"/>
      <c r="Y1189" s="239"/>
      <c r="Z1189" s="239"/>
      <c r="AA1189" s="239"/>
      <c r="AB1189" s="239"/>
      <c r="AC1189" s="239"/>
      <c r="AD1189" s="239"/>
      <c r="AE1189" s="239"/>
      <c r="AF1189" s="239"/>
      <c r="AG1189" s="239"/>
      <c r="AH1189" s="239"/>
      <c r="AI1189" s="239"/>
      <c r="AJ1189" s="239"/>
    </row>
    <row r="1190">
      <c r="A1190" s="239"/>
      <c r="B1190" s="239"/>
      <c r="C1190" s="239"/>
      <c r="D1190" s="239"/>
      <c r="E1190" s="239"/>
      <c r="F1190" s="283"/>
      <c r="G1190" s="239"/>
      <c r="H1190" s="239"/>
      <c r="I1190" s="239"/>
      <c r="J1190" s="239"/>
      <c r="K1190" s="239"/>
      <c r="L1190" s="239"/>
      <c r="M1190" s="239"/>
      <c r="N1190" s="239"/>
      <c r="O1190" s="239"/>
      <c r="P1190" s="246"/>
      <c r="Q1190" s="239"/>
      <c r="R1190" s="239"/>
      <c r="S1190" s="239"/>
      <c r="T1190" s="239"/>
      <c r="U1190" s="239"/>
      <c r="V1190" s="239"/>
      <c r="W1190" s="246"/>
      <c r="X1190" s="239"/>
      <c r="Y1190" s="239"/>
      <c r="Z1190" s="239"/>
      <c r="AA1190" s="239"/>
      <c r="AB1190" s="239"/>
      <c r="AC1190" s="239"/>
      <c r="AD1190" s="239"/>
      <c r="AE1190" s="239"/>
      <c r="AF1190" s="239"/>
      <c r="AG1190" s="239"/>
      <c r="AH1190" s="239"/>
      <c r="AI1190" s="239"/>
      <c r="AJ1190" s="239"/>
    </row>
    <row r="1191">
      <c r="A1191" s="239"/>
      <c r="B1191" s="239"/>
      <c r="C1191" s="239"/>
      <c r="D1191" s="239"/>
      <c r="E1191" s="239"/>
      <c r="F1191" s="283"/>
      <c r="G1191" s="239"/>
      <c r="H1191" s="239"/>
      <c r="I1191" s="239"/>
      <c r="J1191" s="239"/>
      <c r="K1191" s="239"/>
      <c r="L1191" s="239"/>
      <c r="M1191" s="239"/>
      <c r="N1191" s="239"/>
      <c r="O1191" s="239"/>
      <c r="P1191" s="246"/>
      <c r="Q1191" s="239"/>
      <c r="R1191" s="239"/>
      <c r="S1191" s="239"/>
      <c r="T1191" s="239"/>
      <c r="U1191" s="239"/>
      <c r="V1191" s="239"/>
      <c r="W1191" s="246"/>
      <c r="X1191" s="239"/>
      <c r="Y1191" s="239"/>
      <c r="Z1191" s="239"/>
      <c r="AA1191" s="239"/>
      <c r="AB1191" s="239"/>
      <c r="AC1191" s="239"/>
      <c r="AD1191" s="239"/>
      <c r="AE1191" s="239"/>
      <c r="AF1191" s="239"/>
      <c r="AG1191" s="239"/>
      <c r="AH1191" s="239"/>
      <c r="AI1191" s="239"/>
      <c r="AJ1191" s="239"/>
    </row>
    <row r="1192">
      <c r="A1192" s="239"/>
      <c r="B1192" s="239"/>
      <c r="C1192" s="239"/>
      <c r="D1192" s="239"/>
      <c r="E1192" s="239"/>
      <c r="F1192" s="283"/>
      <c r="G1192" s="239"/>
      <c r="H1192" s="239"/>
      <c r="I1192" s="239"/>
      <c r="J1192" s="239"/>
      <c r="K1192" s="239"/>
      <c r="L1192" s="239"/>
      <c r="M1192" s="239"/>
      <c r="N1192" s="239"/>
      <c r="O1192" s="239"/>
      <c r="P1192" s="246"/>
      <c r="Q1192" s="239"/>
      <c r="R1192" s="239"/>
      <c r="S1192" s="239"/>
      <c r="T1192" s="239"/>
      <c r="U1192" s="239"/>
      <c r="V1192" s="239"/>
      <c r="W1192" s="246"/>
      <c r="X1192" s="239"/>
      <c r="Y1192" s="239"/>
      <c r="Z1192" s="239"/>
      <c r="AA1192" s="239"/>
      <c r="AB1192" s="239"/>
      <c r="AC1192" s="239"/>
      <c r="AD1192" s="239"/>
      <c r="AE1192" s="239"/>
      <c r="AF1192" s="239"/>
      <c r="AG1192" s="239"/>
      <c r="AH1192" s="239"/>
      <c r="AI1192" s="239"/>
      <c r="AJ1192" s="239"/>
    </row>
    <row r="1193">
      <c r="A1193" s="239"/>
      <c r="B1193" s="239"/>
      <c r="C1193" s="239"/>
      <c r="D1193" s="239"/>
      <c r="E1193" s="239"/>
      <c r="F1193" s="283"/>
      <c r="G1193" s="239"/>
      <c r="H1193" s="239"/>
      <c r="I1193" s="239"/>
      <c r="J1193" s="239"/>
      <c r="K1193" s="239"/>
      <c r="L1193" s="239"/>
      <c r="M1193" s="239"/>
      <c r="N1193" s="239"/>
      <c r="O1193" s="239"/>
      <c r="P1193" s="246"/>
      <c r="Q1193" s="239"/>
      <c r="R1193" s="239"/>
      <c r="S1193" s="239"/>
      <c r="T1193" s="239"/>
      <c r="U1193" s="239"/>
      <c r="V1193" s="239"/>
      <c r="W1193" s="246"/>
      <c r="X1193" s="239"/>
      <c r="Y1193" s="239"/>
      <c r="Z1193" s="239"/>
      <c r="AA1193" s="239"/>
      <c r="AB1193" s="239"/>
      <c r="AC1193" s="239"/>
      <c r="AD1193" s="239"/>
      <c r="AE1193" s="239"/>
      <c r="AF1193" s="239"/>
      <c r="AG1193" s="239"/>
      <c r="AH1193" s="239"/>
      <c r="AI1193" s="239"/>
      <c r="AJ1193" s="239"/>
    </row>
    <row r="1194">
      <c r="A1194" s="239"/>
      <c r="B1194" s="239"/>
      <c r="C1194" s="239"/>
      <c r="D1194" s="239"/>
      <c r="E1194" s="239"/>
      <c r="F1194" s="283"/>
      <c r="G1194" s="239"/>
      <c r="H1194" s="239"/>
      <c r="I1194" s="239"/>
      <c r="J1194" s="239"/>
      <c r="K1194" s="239"/>
      <c r="L1194" s="239"/>
      <c r="M1194" s="239"/>
      <c r="N1194" s="239"/>
      <c r="O1194" s="239"/>
      <c r="P1194" s="246"/>
      <c r="Q1194" s="239"/>
      <c r="R1194" s="239"/>
      <c r="S1194" s="239"/>
      <c r="T1194" s="239"/>
      <c r="U1194" s="239"/>
      <c r="V1194" s="239"/>
      <c r="W1194" s="246"/>
      <c r="X1194" s="239"/>
      <c r="Y1194" s="239"/>
      <c r="Z1194" s="239"/>
      <c r="AA1194" s="239"/>
      <c r="AB1194" s="239"/>
      <c r="AC1194" s="239"/>
      <c r="AD1194" s="239"/>
      <c r="AE1194" s="239"/>
      <c r="AF1194" s="239"/>
      <c r="AG1194" s="239"/>
      <c r="AH1194" s="239"/>
      <c r="AI1194" s="239"/>
      <c r="AJ1194" s="239"/>
    </row>
    <row r="1195">
      <c r="A1195" s="239"/>
      <c r="B1195" s="239"/>
      <c r="C1195" s="239"/>
      <c r="D1195" s="239"/>
      <c r="E1195" s="239"/>
      <c r="F1195" s="283"/>
      <c r="G1195" s="239"/>
      <c r="H1195" s="239"/>
      <c r="I1195" s="239"/>
      <c r="J1195" s="239"/>
      <c r="K1195" s="239"/>
      <c r="L1195" s="239"/>
      <c r="M1195" s="239"/>
      <c r="N1195" s="239"/>
      <c r="O1195" s="239"/>
      <c r="P1195" s="246"/>
      <c r="Q1195" s="239"/>
      <c r="R1195" s="239"/>
      <c r="S1195" s="239"/>
      <c r="T1195" s="239"/>
      <c r="U1195" s="239"/>
      <c r="V1195" s="239"/>
      <c r="W1195" s="246"/>
      <c r="X1195" s="239"/>
      <c r="Y1195" s="239"/>
      <c r="Z1195" s="239"/>
      <c r="AA1195" s="239"/>
      <c r="AB1195" s="239"/>
      <c r="AC1195" s="239"/>
      <c r="AD1195" s="239"/>
      <c r="AE1195" s="239"/>
      <c r="AF1195" s="239"/>
      <c r="AG1195" s="239"/>
      <c r="AH1195" s="239"/>
      <c r="AI1195" s="239"/>
      <c r="AJ1195" s="239"/>
    </row>
    <row r="1196">
      <c r="A1196" s="239"/>
      <c r="B1196" s="239"/>
      <c r="C1196" s="239"/>
      <c r="D1196" s="239"/>
      <c r="E1196" s="239"/>
      <c r="F1196" s="283"/>
      <c r="G1196" s="239"/>
      <c r="H1196" s="239"/>
      <c r="I1196" s="239"/>
      <c r="J1196" s="239"/>
      <c r="K1196" s="239"/>
      <c r="L1196" s="239"/>
      <c r="M1196" s="239"/>
      <c r="N1196" s="239"/>
      <c r="O1196" s="239"/>
      <c r="P1196" s="246"/>
      <c r="Q1196" s="239"/>
      <c r="R1196" s="239"/>
      <c r="S1196" s="239"/>
      <c r="T1196" s="239"/>
      <c r="U1196" s="239"/>
      <c r="V1196" s="239"/>
      <c r="W1196" s="246"/>
      <c r="X1196" s="239"/>
      <c r="Y1196" s="239"/>
      <c r="Z1196" s="239"/>
      <c r="AA1196" s="239"/>
      <c r="AB1196" s="239"/>
      <c r="AC1196" s="239"/>
      <c r="AD1196" s="239"/>
      <c r="AE1196" s="239"/>
      <c r="AF1196" s="239"/>
      <c r="AG1196" s="239"/>
      <c r="AH1196" s="239"/>
      <c r="AI1196" s="239"/>
      <c r="AJ1196" s="239"/>
    </row>
    <row r="1197">
      <c r="A1197" s="239"/>
      <c r="B1197" s="239"/>
      <c r="C1197" s="239"/>
      <c r="D1197" s="239"/>
      <c r="E1197" s="239"/>
      <c r="F1197" s="283"/>
      <c r="G1197" s="239"/>
      <c r="H1197" s="239"/>
      <c r="I1197" s="239"/>
      <c r="J1197" s="239"/>
      <c r="K1197" s="239"/>
      <c r="L1197" s="239"/>
      <c r="M1197" s="239"/>
      <c r="N1197" s="239"/>
      <c r="O1197" s="239"/>
      <c r="P1197" s="246"/>
      <c r="Q1197" s="239"/>
      <c r="R1197" s="239"/>
      <c r="S1197" s="239"/>
      <c r="T1197" s="239"/>
      <c r="U1197" s="239"/>
      <c r="V1197" s="239"/>
      <c r="W1197" s="246"/>
      <c r="X1197" s="239"/>
      <c r="Y1197" s="239"/>
      <c r="Z1197" s="239"/>
      <c r="AA1197" s="239"/>
      <c r="AB1197" s="239"/>
      <c r="AC1197" s="239"/>
      <c r="AD1197" s="239"/>
      <c r="AE1197" s="239"/>
      <c r="AF1197" s="239"/>
      <c r="AG1197" s="239"/>
      <c r="AH1197" s="239"/>
      <c r="AI1197" s="239"/>
      <c r="AJ1197" s="239"/>
    </row>
    <row r="1198">
      <c r="A1198" s="239"/>
      <c r="B1198" s="239"/>
      <c r="C1198" s="239"/>
      <c r="D1198" s="239"/>
      <c r="E1198" s="239"/>
      <c r="F1198" s="283"/>
      <c r="G1198" s="239"/>
      <c r="H1198" s="239"/>
      <c r="I1198" s="239"/>
      <c r="J1198" s="239"/>
      <c r="K1198" s="239"/>
      <c r="L1198" s="239"/>
      <c r="M1198" s="239"/>
      <c r="N1198" s="239"/>
      <c r="O1198" s="239"/>
      <c r="P1198" s="246"/>
      <c r="Q1198" s="239"/>
      <c r="R1198" s="239"/>
      <c r="S1198" s="239"/>
      <c r="T1198" s="239"/>
      <c r="U1198" s="239"/>
      <c r="V1198" s="239"/>
      <c r="W1198" s="246"/>
      <c r="X1198" s="239"/>
      <c r="Y1198" s="239"/>
      <c r="Z1198" s="239"/>
      <c r="AA1198" s="239"/>
      <c r="AB1198" s="239"/>
      <c r="AC1198" s="239"/>
      <c r="AD1198" s="239"/>
      <c r="AE1198" s="239"/>
      <c r="AF1198" s="239"/>
      <c r="AG1198" s="239"/>
      <c r="AH1198" s="239"/>
      <c r="AI1198" s="239"/>
      <c r="AJ1198" s="239"/>
    </row>
    <row r="1199">
      <c r="A1199" s="239"/>
      <c r="B1199" s="239"/>
      <c r="C1199" s="239"/>
      <c r="D1199" s="239"/>
      <c r="E1199" s="239"/>
      <c r="F1199" s="283"/>
      <c r="G1199" s="239"/>
      <c r="H1199" s="239"/>
      <c r="I1199" s="239"/>
      <c r="J1199" s="239"/>
      <c r="K1199" s="239"/>
      <c r="L1199" s="239"/>
      <c r="M1199" s="239"/>
      <c r="N1199" s="239"/>
      <c r="O1199" s="239"/>
      <c r="P1199" s="246"/>
      <c r="Q1199" s="239"/>
      <c r="R1199" s="239"/>
      <c r="S1199" s="239"/>
      <c r="T1199" s="239"/>
      <c r="U1199" s="239"/>
      <c r="V1199" s="239"/>
      <c r="W1199" s="246"/>
      <c r="X1199" s="239"/>
      <c r="Y1199" s="239"/>
      <c r="Z1199" s="239"/>
      <c r="AA1199" s="239"/>
      <c r="AB1199" s="239"/>
      <c r="AC1199" s="239"/>
      <c r="AD1199" s="239"/>
      <c r="AE1199" s="239"/>
      <c r="AF1199" s="239"/>
      <c r="AG1199" s="239"/>
      <c r="AH1199" s="239"/>
      <c r="AI1199" s="239"/>
      <c r="AJ1199" s="239"/>
    </row>
    <row r="1200">
      <c r="A1200" s="239"/>
      <c r="B1200" s="239"/>
      <c r="C1200" s="239"/>
      <c r="D1200" s="239"/>
      <c r="E1200" s="239"/>
      <c r="F1200" s="283"/>
      <c r="G1200" s="239"/>
      <c r="H1200" s="239"/>
      <c r="I1200" s="239"/>
      <c r="J1200" s="239"/>
      <c r="K1200" s="239"/>
      <c r="L1200" s="239"/>
      <c r="M1200" s="239"/>
      <c r="N1200" s="239"/>
      <c r="O1200" s="239"/>
      <c r="P1200" s="246"/>
      <c r="Q1200" s="239"/>
      <c r="R1200" s="239"/>
      <c r="S1200" s="239"/>
      <c r="T1200" s="239"/>
      <c r="U1200" s="239"/>
      <c r="V1200" s="239"/>
      <c r="W1200" s="246"/>
      <c r="X1200" s="239"/>
      <c r="Y1200" s="239"/>
      <c r="Z1200" s="239"/>
      <c r="AA1200" s="239"/>
      <c r="AB1200" s="239"/>
      <c r="AC1200" s="239"/>
      <c r="AD1200" s="239"/>
      <c r="AE1200" s="239"/>
      <c r="AF1200" s="239"/>
      <c r="AG1200" s="239"/>
      <c r="AH1200" s="239"/>
      <c r="AI1200" s="239"/>
      <c r="AJ1200" s="239"/>
    </row>
    <row r="1201">
      <c r="A1201" s="239"/>
      <c r="B1201" s="239"/>
      <c r="C1201" s="239"/>
      <c r="D1201" s="239"/>
      <c r="E1201" s="239"/>
      <c r="F1201" s="283"/>
      <c r="G1201" s="239"/>
      <c r="H1201" s="239"/>
      <c r="I1201" s="239"/>
      <c r="J1201" s="239"/>
      <c r="K1201" s="239"/>
      <c r="L1201" s="239"/>
      <c r="M1201" s="239"/>
      <c r="N1201" s="239"/>
      <c r="O1201" s="239"/>
      <c r="P1201" s="246"/>
      <c r="Q1201" s="239"/>
      <c r="R1201" s="239"/>
      <c r="S1201" s="239"/>
      <c r="T1201" s="239"/>
      <c r="U1201" s="239"/>
      <c r="V1201" s="239"/>
      <c r="W1201" s="246"/>
      <c r="X1201" s="239"/>
      <c r="Y1201" s="239"/>
      <c r="Z1201" s="239"/>
      <c r="AA1201" s="239"/>
      <c r="AB1201" s="239"/>
      <c r="AC1201" s="239"/>
      <c r="AD1201" s="239"/>
      <c r="AE1201" s="239"/>
      <c r="AF1201" s="239"/>
      <c r="AG1201" s="239"/>
      <c r="AH1201" s="239"/>
      <c r="AI1201" s="239"/>
      <c r="AJ1201" s="239"/>
    </row>
    <row r="1202">
      <c r="A1202" s="239"/>
      <c r="B1202" s="239"/>
      <c r="C1202" s="239"/>
      <c r="D1202" s="239"/>
      <c r="E1202" s="239"/>
      <c r="F1202" s="283"/>
      <c r="G1202" s="239"/>
      <c r="H1202" s="239"/>
      <c r="I1202" s="239"/>
      <c r="J1202" s="239"/>
      <c r="K1202" s="239"/>
      <c r="L1202" s="239"/>
      <c r="M1202" s="239"/>
      <c r="N1202" s="239"/>
      <c r="O1202" s="239"/>
      <c r="P1202" s="246"/>
      <c r="Q1202" s="239"/>
      <c r="R1202" s="239"/>
      <c r="S1202" s="239"/>
      <c r="T1202" s="239"/>
      <c r="U1202" s="239"/>
      <c r="V1202" s="239"/>
      <c r="W1202" s="246"/>
      <c r="X1202" s="239"/>
      <c r="Y1202" s="239"/>
      <c r="Z1202" s="239"/>
      <c r="AA1202" s="239"/>
      <c r="AB1202" s="239"/>
      <c r="AC1202" s="239"/>
      <c r="AD1202" s="239"/>
      <c r="AE1202" s="239"/>
      <c r="AF1202" s="239"/>
      <c r="AG1202" s="239"/>
      <c r="AH1202" s="239"/>
      <c r="AI1202" s="239"/>
      <c r="AJ1202" s="239"/>
    </row>
    <row r="1203">
      <c r="A1203" s="239"/>
      <c r="B1203" s="239"/>
      <c r="C1203" s="239"/>
      <c r="D1203" s="239"/>
      <c r="E1203" s="239"/>
      <c r="F1203" s="283"/>
      <c r="G1203" s="239"/>
      <c r="H1203" s="239"/>
      <c r="I1203" s="239"/>
      <c r="J1203" s="239"/>
      <c r="K1203" s="239"/>
      <c r="L1203" s="239"/>
      <c r="M1203" s="239"/>
      <c r="N1203" s="239"/>
      <c r="O1203" s="239"/>
      <c r="P1203" s="246"/>
      <c r="Q1203" s="239"/>
      <c r="R1203" s="239"/>
      <c r="S1203" s="239"/>
      <c r="T1203" s="239"/>
      <c r="U1203" s="239"/>
      <c r="V1203" s="239"/>
      <c r="W1203" s="246"/>
      <c r="X1203" s="239"/>
      <c r="Y1203" s="239"/>
      <c r="Z1203" s="239"/>
      <c r="AA1203" s="239"/>
      <c r="AB1203" s="239"/>
      <c r="AC1203" s="239"/>
      <c r="AD1203" s="239"/>
      <c r="AE1203" s="239"/>
      <c r="AF1203" s="239"/>
      <c r="AG1203" s="239"/>
      <c r="AH1203" s="239"/>
      <c r="AI1203" s="239"/>
      <c r="AJ1203" s="239"/>
    </row>
    <row r="1204">
      <c r="A1204" s="239"/>
      <c r="B1204" s="239"/>
      <c r="C1204" s="239"/>
      <c r="D1204" s="239"/>
      <c r="E1204" s="239"/>
      <c r="F1204" s="283"/>
      <c r="G1204" s="239"/>
      <c r="H1204" s="239"/>
      <c r="I1204" s="239"/>
      <c r="J1204" s="239"/>
      <c r="K1204" s="239"/>
      <c r="L1204" s="239"/>
      <c r="M1204" s="239"/>
      <c r="N1204" s="239"/>
      <c r="O1204" s="239"/>
      <c r="P1204" s="246"/>
      <c r="Q1204" s="239"/>
      <c r="R1204" s="239"/>
      <c r="S1204" s="239"/>
      <c r="T1204" s="239"/>
      <c r="U1204" s="239"/>
      <c r="V1204" s="239"/>
      <c r="W1204" s="246"/>
      <c r="X1204" s="239"/>
      <c r="Y1204" s="239"/>
      <c r="Z1204" s="239"/>
      <c r="AA1204" s="239"/>
      <c r="AB1204" s="239"/>
      <c r="AC1204" s="239"/>
      <c r="AD1204" s="239"/>
      <c r="AE1204" s="239"/>
      <c r="AF1204" s="239"/>
      <c r="AG1204" s="239"/>
      <c r="AH1204" s="239"/>
      <c r="AI1204" s="239"/>
      <c r="AJ1204" s="239"/>
    </row>
    <row r="1205">
      <c r="A1205" s="239"/>
      <c r="B1205" s="239"/>
      <c r="C1205" s="239"/>
      <c r="D1205" s="239"/>
      <c r="E1205" s="239"/>
      <c r="F1205" s="283"/>
      <c r="G1205" s="239"/>
      <c r="H1205" s="239"/>
      <c r="I1205" s="239"/>
      <c r="J1205" s="239"/>
      <c r="K1205" s="239"/>
      <c r="L1205" s="239"/>
      <c r="M1205" s="239"/>
      <c r="N1205" s="239"/>
      <c r="O1205" s="239"/>
      <c r="P1205" s="246"/>
      <c r="Q1205" s="239"/>
      <c r="R1205" s="239"/>
      <c r="S1205" s="239"/>
      <c r="T1205" s="239"/>
      <c r="U1205" s="239"/>
      <c r="V1205" s="239"/>
      <c r="W1205" s="246"/>
      <c r="X1205" s="239"/>
      <c r="Y1205" s="239"/>
      <c r="Z1205" s="239"/>
      <c r="AA1205" s="239"/>
      <c r="AB1205" s="239"/>
      <c r="AC1205" s="239"/>
      <c r="AD1205" s="239"/>
      <c r="AE1205" s="239"/>
      <c r="AF1205" s="239"/>
      <c r="AG1205" s="239"/>
      <c r="AH1205" s="239"/>
      <c r="AI1205" s="239"/>
      <c r="AJ1205" s="239"/>
    </row>
    <row r="1206">
      <c r="A1206" s="239"/>
      <c r="B1206" s="239"/>
      <c r="C1206" s="239"/>
      <c r="D1206" s="239"/>
      <c r="E1206" s="239"/>
      <c r="F1206" s="283"/>
      <c r="G1206" s="239"/>
      <c r="H1206" s="239"/>
      <c r="I1206" s="239"/>
      <c r="J1206" s="239"/>
      <c r="K1206" s="239"/>
      <c r="L1206" s="239"/>
      <c r="M1206" s="239"/>
      <c r="N1206" s="239"/>
      <c r="O1206" s="239"/>
      <c r="P1206" s="246"/>
      <c r="Q1206" s="239"/>
      <c r="R1206" s="239"/>
      <c r="S1206" s="239"/>
      <c r="T1206" s="239"/>
      <c r="U1206" s="239"/>
      <c r="V1206" s="239"/>
      <c r="W1206" s="246"/>
      <c r="X1206" s="239"/>
      <c r="Y1206" s="239"/>
      <c r="Z1206" s="239"/>
      <c r="AA1206" s="239"/>
      <c r="AB1206" s="239"/>
      <c r="AC1206" s="239"/>
      <c r="AD1206" s="239"/>
      <c r="AE1206" s="239"/>
      <c r="AF1206" s="239"/>
      <c r="AG1206" s="239"/>
      <c r="AH1206" s="239"/>
      <c r="AI1206" s="239"/>
      <c r="AJ1206" s="239"/>
    </row>
    <row r="1207">
      <c r="A1207" s="239"/>
      <c r="B1207" s="239"/>
      <c r="C1207" s="239"/>
      <c r="D1207" s="239"/>
      <c r="E1207" s="239"/>
      <c r="F1207" s="283"/>
      <c r="G1207" s="239"/>
      <c r="H1207" s="239"/>
      <c r="I1207" s="239"/>
      <c r="J1207" s="239"/>
      <c r="K1207" s="239"/>
      <c r="L1207" s="239"/>
      <c r="M1207" s="239"/>
      <c r="N1207" s="239"/>
      <c r="O1207" s="239"/>
      <c r="P1207" s="246"/>
      <c r="Q1207" s="239"/>
      <c r="R1207" s="239"/>
      <c r="S1207" s="239"/>
      <c r="T1207" s="239"/>
      <c r="U1207" s="239"/>
      <c r="V1207" s="239"/>
      <c r="W1207" s="246"/>
      <c r="X1207" s="239"/>
      <c r="Y1207" s="239"/>
      <c r="Z1207" s="239"/>
      <c r="AA1207" s="239"/>
      <c r="AB1207" s="239"/>
      <c r="AC1207" s="239"/>
      <c r="AD1207" s="239"/>
      <c r="AE1207" s="239"/>
      <c r="AF1207" s="239"/>
      <c r="AG1207" s="239"/>
      <c r="AH1207" s="239"/>
      <c r="AI1207" s="239"/>
      <c r="AJ1207" s="239"/>
    </row>
    <row r="1208">
      <c r="A1208" s="239"/>
      <c r="B1208" s="239"/>
      <c r="C1208" s="239"/>
      <c r="D1208" s="239"/>
      <c r="E1208" s="239"/>
      <c r="F1208" s="283"/>
      <c r="G1208" s="239"/>
      <c r="H1208" s="239"/>
      <c r="I1208" s="239"/>
      <c r="J1208" s="239"/>
      <c r="K1208" s="239"/>
      <c r="L1208" s="239"/>
      <c r="M1208" s="239"/>
      <c r="N1208" s="239"/>
      <c r="O1208" s="239"/>
      <c r="P1208" s="246"/>
      <c r="Q1208" s="239"/>
      <c r="R1208" s="239"/>
      <c r="S1208" s="239"/>
      <c r="T1208" s="239"/>
      <c r="U1208" s="239"/>
      <c r="V1208" s="239"/>
      <c r="W1208" s="246"/>
      <c r="X1208" s="239"/>
      <c r="Y1208" s="239"/>
      <c r="Z1208" s="239"/>
      <c r="AA1208" s="239"/>
      <c r="AB1208" s="239"/>
      <c r="AC1208" s="239"/>
      <c r="AD1208" s="239"/>
      <c r="AE1208" s="239"/>
      <c r="AF1208" s="239"/>
      <c r="AG1208" s="239"/>
      <c r="AH1208" s="239"/>
      <c r="AI1208" s="239"/>
      <c r="AJ1208" s="239"/>
    </row>
    <row r="1209">
      <c r="A1209" s="239"/>
      <c r="B1209" s="239"/>
      <c r="C1209" s="239"/>
      <c r="D1209" s="239"/>
      <c r="E1209" s="239"/>
      <c r="F1209" s="283"/>
      <c r="G1209" s="239"/>
      <c r="H1209" s="239"/>
      <c r="I1209" s="239"/>
      <c r="J1209" s="239"/>
      <c r="K1209" s="239"/>
      <c r="L1209" s="239"/>
      <c r="M1209" s="239"/>
      <c r="N1209" s="239"/>
      <c r="O1209" s="239"/>
      <c r="P1209" s="246"/>
      <c r="Q1209" s="239"/>
      <c r="R1209" s="239"/>
      <c r="S1209" s="239"/>
      <c r="T1209" s="239"/>
      <c r="U1209" s="239"/>
      <c r="V1209" s="239"/>
      <c r="W1209" s="246"/>
      <c r="X1209" s="239"/>
      <c r="Y1209" s="239"/>
      <c r="Z1209" s="239"/>
      <c r="AA1209" s="239"/>
      <c r="AB1209" s="239"/>
      <c r="AC1209" s="239"/>
      <c r="AD1209" s="239"/>
      <c r="AE1209" s="239"/>
      <c r="AF1209" s="239"/>
      <c r="AG1209" s="239"/>
      <c r="AH1209" s="239"/>
      <c r="AI1209" s="239"/>
      <c r="AJ1209" s="239"/>
    </row>
    <row r="1210">
      <c r="A1210" s="239"/>
      <c r="B1210" s="239"/>
      <c r="C1210" s="239"/>
      <c r="D1210" s="239"/>
      <c r="E1210" s="239"/>
      <c r="F1210" s="283"/>
      <c r="G1210" s="239"/>
      <c r="H1210" s="239"/>
      <c r="I1210" s="239"/>
      <c r="J1210" s="239"/>
      <c r="K1210" s="239"/>
      <c r="L1210" s="239"/>
      <c r="M1210" s="239"/>
      <c r="N1210" s="239"/>
      <c r="O1210" s="239"/>
      <c r="P1210" s="246"/>
      <c r="Q1210" s="239"/>
      <c r="R1210" s="239"/>
      <c r="S1210" s="239"/>
      <c r="T1210" s="239"/>
      <c r="U1210" s="239"/>
      <c r="V1210" s="239"/>
      <c r="W1210" s="246"/>
      <c r="X1210" s="239"/>
      <c r="Y1210" s="239"/>
      <c r="Z1210" s="239"/>
      <c r="AA1210" s="239"/>
      <c r="AB1210" s="239"/>
      <c r="AC1210" s="239"/>
      <c r="AD1210" s="239"/>
      <c r="AE1210" s="239"/>
      <c r="AF1210" s="239"/>
      <c r="AG1210" s="239"/>
      <c r="AH1210" s="239"/>
      <c r="AI1210" s="239"/>
      <c r="AJ1210" s="239"/>
    </row>
    <row r="1211">
      <c r="A1211" s="239"/>
      <c r="B1211" s="239"/>
      <c r="C1211" s="239"/>
      <c r="D1211" s="239"/>
      <c r="E1211" s="239"/>
      <c r="F1211" s="283"/>
      <c r="G1211" s="239"/>
      <c r="H1211" s="239"/>
      <c r="I1211" s="239"/>
      <c r="J1211" s="239"/>
      <c r="K1211" s="239"/>
      <c r="L1211" s="239"/>
      <c r="M1211" s="239"/>
      <c r="N1211" s="239"/>
      <c r="O1211" s="239"/>
      <c r="P1211" s="246"/>
      <c r="Q1211" s="239"/>
      <c r="R1211" s="239"/>
      <c r="S1211" s="239"/>
      <c r="T1211" s="239"/>
      <c r="U1211" s="239"/>
      <c r="V1211" s="239"/>
      <c r="W1211" s="246"/>
      <c r="X1211" s="239"/>
      <c r="Y1211" s="239"/>
      <c r="Z1211" s="239"/>
      <c r="AA1211" s="239"/>
      <c r="AB1211" s="239"/>
      <c r="AC1211" s="239"/>
      <c r="AD1211" s="239"/>
      <c r="AE1211" s="239"/>
      <c r="AF1211" s="239"/>
      <c r="AG1211" s="239"/>
      <c r="AH1211" s="239"/>
      <c r="AI1211" s="239"/>
      <c r="AJ1211" s="239"/>
    </row>
    <row r="1212">
      <c r="A1212" s="239"/>
      <c r="B1212" s="239"/>
      <c r="C1212" s="239"/>
      <c r="D1212" s="239"/>
      <c r="E1212" s="239"/>
      <c r="F1212" s="283"/>
      <c r="G1212" s="239"/>
      <c r="H1212" s="239"/>
      <c r="I1212" s="239"/>
      <c r="J1212" s="239"/>
      <c r="K1212" s="239"/>
      <c r="L1212" s="239"/>
      <c r="M1212" s="239"/>
      <c r="N1212" s="239"/>
      <c r="O1212" s="239"/>
      <c r="P1212" s="246"/>
      <c r="Q1212" s="239"/>
      <c r="R1212" s="239"/>
      <c r="S1212" s="239"/>
      <c r="T1212" s="239"/>
      <c r="U1212" s="239"/>
      <c r="V1212" s="239"/>
      <c r="W1212" s="246"/>
      <c r="X1212" s="239"/>
      <c r="Y1212" s="239"/>
      <c r="Z1212" s="239"/>
      <c r="AA1212" s="239"/>
      <c r="AB1212" s="239"/>
      <c r="AC1212" s="239"/>
      <c r="AD1212" s="239"/>
      <c r="AE1212" s="239"/>
      <c r="AF1212" s="239"/>
      <c r="AG1212" s="239"/>
      <c r="AH1212" s="239"/>
      <c r="AI1212" s="239"/>
      <c r="AJ1212" s="239"/>
    </row>
    <row r="1213">
      <c r="A1213" s="239"/>
      <c r="B1213" s="239"/>
      <c r="C1213" s="239"/>
      <c r="D1213" s="239"/>
      <c r="E1213" s="239"/>
      <c r="F1213" s="283"/>
      <c r="G1213" s="239"/>
      <c r="H1213" s="239"/>
      <c r="I1213" s="239"/>
      <c r="J1213" s="239"/>
      <c r="K1213" s="239"/>
      <c r="L1213" s="239"/>
      <c r="M1213" s="239"/>
      <c r="N1213" s="239"/>
      <c r="O1213" s="239"/>
      <c r="P1213" s="246"/>
      <c r="Q1213" s="239"/>
      <c r="R1213" s="239"/>
      <c r="S1213" s="239"/>
      <c r="T1213" s="239"/>
      <c r="U1213" s="239"/>
      <c r="V1213" s="239"/>
      <c r="W1213" s="246"/>
      <c r="X1213" s="239"/>
      <c r="Y1213" s="239"/>
      <c r="Z1213" s="239"/>
      <c r="AA1213" s="239"/>
      <c r="AB1213" s="239"/>
      <c r="AC1213" s="239"/>
      <c r="AD1213" s="239"/>
      <c r="AE1213" s="239"/>
      <c r="AF1213" s="239"/>
      <c r="AG1213" s="239"/>
      <c r="AH1213" s="239"/>
      <c r="AI1213" s="239"/>
      <c r="AJ1213" s="239"/>
    </row>
    <row r="1214">
      <c r="A1214" s="239"/>
      <c r="B1214" s="239"/>
      <c r="C1214" s="239"/>
      <c r="D1214" s="239"/>
      <c r="E1214" s="239"/>
      <c r="F1214" s="283"/>
      <c r="G1214" s="239"/>
      <c r="H1214" s="239"/>
      <c r="I1214" s="239"/>
      <c r="J1214" s="239"/>
      <c r="K1214" s="239"/>
      <c r="L1214" s="239"/>
      <c r="M1214" s="239"/>
      <c r="N1214" s="239"/>
      <c r="O1214" s="239"/>
      <c r="P1214" s="246"/>
      <c r="Q1214" s="239"/>
      <c r="R1214" s="239"/>
      <c r="S1214" s="239"/>
      <c r="T1214" s="239"/>
      <c r="U1214" s="239"/>
      <c r="V1214" s="239"/>
      <c r="W1214" s="246"/>
      <c r="X1214" s="239"/>
      <c r="Y1214" s="239"/>
      <c r="Z1214" s="239"/>
      <c r="AA1214" s="239"/>
      <c r="AB1214" s="239"/>
      <c r="AC1214" s="239"/>
      <c r="AD1214" s="239"/>
      <c r="AE1214" s="239"/>
      <c r="AF1214" s="239"/>
      <c r="AG1214" s="239"/>
      <c r="AH1214" s="239"/>
      <c r="AI1214" s="239"/>
      <c r="AJ1214" s="239"/>
    </row>
    <row r="1215">
      <c r="A1215" s="239"/>
      <c r="B1215" s="239"/>
      <c r="C1215" s="239"/>
      <c r="D1215" s="239"/>
      <c r="E1215" s="239"/>
      <c r="F1215" s="283"/>
      <c r="G1215" s="239"/>
      <c r="H1215" s="239"/>
      <c r="I1215" s="239"/>
      <c r="J1215" s="239"/>
      <c r="K1215" s="239"/>
      <c r="L1215" s="239"/>
      <c r="M1215" s="239"/>
      <c r="N1215" s="239"/>
      <c r="O1215" s="239"/>
      <c r="P1215" s="246"/>
      <c r="Q1215" s="239"/>
      <c r="R1215" s="239"/>
      <c r="S1215" s="239"/>
      <c r="T1215" s="239"/>
      <c r="U1215" s="239"/>
      <c r="V1215" s="239"/>
      <c r="W1215" s="246"/>
      <c r="X1215" s="239"/>
      <c r="Y1215" s="239"/>
      <c r="Z1215" s="239"/>
      <c r="AA1215" s="239"/>
      <c r="AB1215" s="239"/>
      <c r="AC1215" s="239"/>
      <c r="AD1215" s="239"/>
      <c r="AE1215" s="239"/>
      <c r="AF1215" s="239"/>
      <c r="AG1215" s="239"/>
      <c r="AH1215" s="239"/>
      <c r="AI1215" s="239"/>
      <c r="AJ1215" s="239"/>
    </row>
    <row r="1216">
      <c r="A1216" s="239"/>
      <c r="B1216" s="239"/>
      <c r="C1216" s="239"/>
      <c r="D1216" s="239"/>
      <c r="E1216" s="239"/>
      <c r="F1216" s="283"/>
      <c r="G1216" s="239"/>
      <c r="H1216" s="239"/>
      <c r="I1216" s="239"/>
      <c r="J1216" s="239"/>
      <c r="K1216" s="239"/>
      <c r="L1216" s="239"/>
      <c r="M1216" s="239"/>
      <c r="N1216" s="239"/>
      <c r="O1216" s="239"/>
      <c r="P1216" s="246"/>
      <c r="Q1216" s="239"/>
      <c r="R1216" s="239"/>
      <c r="S1216" s="239"/>
      <c r="T1216" s="239"/>
      <c r="U1216" s="239"/>
      <c r="V1216" s="239"/>
      <c r="W1216" s="246"/>
      <c r="X1216" s="239"/>
      <c r="Y1216" s="239"/>
      <c r="Z1216" s="239"/>
      <c r="AA1216" s="239"/>
      <c r="AB1216" s="239"/>
      <c r="AC1216" s="239"/>
      <c r="AD1216" s="239"/>
      <c r="AE1216" s="239"/>
      <c r="AF1216" s="239"/>
      <c r="AG1216" s="239"/>
      <c r="AH1216" s="239"/>
      <c r="AI1216" s="239"/>
      <c r="AJ1216" s="239"/>
    </row>
    <row r="1217">
      <c r="A1217" s="239"/>
      <c r="B1217" s="239"/>
      <c r="C1217" s="239"/>
      <c r="D1217" s="239"/>
      <c r="E1217" s="239"/>
      <c r="F1217" s="283"/>
      <c r="G1217" s="239"/>
      <c r="H1217" s="239"/>
      <c r="I1217" s="239"/>
      <c r="J1217" s="239"/>
      <c r="K1217" s="239"/>
      <c r="L1217" s="239"/>
      <c r="M1217" s="239"/>
      <c r="N1217" s="239"/>
      <c r="O1217" s="239"/>
      <c r="P1217" s="246"/>
      <c r="Q1217" s="239"/>
      <c r="R1217" s="239"/>
      <c r="S1217" s="239"/>
      <c r="T1217" s="239"/>
      <c r="U1217" s="239"/>
      <c r="V1217" s="239"/>
      <c r="W1217" s="246"/>
      <c r="X1217" s="239"/>
      <c r="Y1217" s="239"/>
      <c r="Z1217" s="239"/>
      <c r="AA1217" s="239"/>
      <c r="AB1217" s="239"/>
      <c r="AC1217" s="239"/>
      <c r="AD1217" s="239"/>
      <c r="AE1217" s="239"/>
      <c r="AF1217" s="239"/>
      <c r="AG1217" s="239"/>
      <c r="AH1217" s="239"/>
      <c r="AI1217" s="239"/>
      <c r="AJ1217" s="239"/>
    </row>
    <row r="1218">
      <c r="A1218" s="239"/>
      <c r="B1218" s="239"/>
      <c r="C1218" s="239"/>
      <c r="D1218" s="239"/>
      <c r="E1218" s="239"/>
      <c r="F1218" s="283"/>
      <c r="G1218" s="239"/>
      <c r="H1218" s="239"/>
      <c r="I1218" s="239"/>
      <c r="J1218" s="239"/>
      <c r="K1218" s="239"/>
      <c r="L1218" s="239"/>
      <c r="M1218" s="239"/>
      <c r="N1218" s="239"/>
      <c r="O1218" s="239"/>
      <c r="P1218" s="246"/>
      <c r="Q1218" s="239"/>
      <c r="R1218" s="239"/>
      <c r="S1218" s="239"/>
      <c r="T1218" s="239"/>
      <c r="U1218" s="239"/>
      <c r="V1218" s="239"/>
      <c r="W1218" s="246"/>
      <c r="X1218" s="239"/>
      <c r="Y1218" s="239"/>
      <c r="Z1218" s="239"/>
      <c r="AA1218" s="239"/>
      <c r="AB1218" s="239"/>
      <c r="AC1218" s="239"/>
      <c r="AD1218" s="239"/>
      <c r="AE1218" s="239"/>
      <c r="AF1218" s="239"/>
      <c r="AG1218" s="239"/>
      <c r="AH1218" s="239"/>
      <c r="AI1218" s="239"/>
      <c r="AJ1218" s="239"/>
    </row>
    <row r="1219">
      <c r="A1219" s="239"/>
      <c r="B1219" s="239"/>
      <c r="C1219" s="239"/>
      <c r="D1219" s="239"/>
      <c r="E1219" s="239"/>
      <c r="F1219" s="283"/>
      <c r="G1219" s="239"/>
      <c r="H1219" s="239"/>
      <c r="I1219" s="239"/>
      <c r="J1219" s="239"/>
      <c r="K1219" s="239"/>
      <c r="L1219" s="239"/>
      <c r="M1219" s="239"/>
      <c r="N1219" s="239"/>
      <c r="O1219" s="239"/>
      <c r="P1219" s="246"/>
      <c r="Q1219" s="239"/>
      <c r="R1219" s="239"/>
      <c r="S1219" s="239"/>
      <c r="T1219" s="239"/>
      <c r="U1219" s="239"/>
      <c r="V1219" s="239"/>
      <c r="W1219" s="246"/>
      <c r="X1219" s="239"/>
      <c r="Y1219" s="239"/>
      <c r="Z1219" s="239"/>
      <c r="AA1219" s="239"/>
      <c r="AB1219" s="239"/>
      <c r="AC1219" s="239"/>
      <c r="AD1219" s="239"/>
      <c r="AE1219" s="239"/>
      <c r="AF1219" s="239"/>
      <c r="AG1219" s="239"/>
      <c r="AH1219" s="239"/>
      <c r="AI1219" s="239"/>
      <c r="AJ1219" s="239"/>
    </row>
    <row r="1220">
      <c r="A1220" s="239"/>
      <c r="B1220" s="239"/>
      <c r="C1220" s="239"/>
      <c r="D1220" s="239"/>
      <c r="E1220" s="239"/>
      <c r="F1220" s="283"/>
      <c r="G1220" s="239"/>
      <c r="H1220" s="239"/>
      <c r="I1220" s="239"/>
      <c r="J1220" s="239"/>
      <c r="K1220" s="239"/>
      <c r="L1220" s="239"/>
      <c r="M1220" s="239"/>
      <c r="N1220" s="239"/>
      <c r="O1220" s="239"/>
      <c r="P1220" s="246"/>
      <c r="Q1220" s="239"/>
      <c r="R1220" s="239"/>
      <c r="S1220" s="239"/>
      <c r="T1220" s="239"/>
      <c r="U1220" s="239"/>
      <c r="V1220" s="239"/>
      <c r="W1220" s="246"/>
      <c r="X1220" s="239"/>
      <c r="Y1220" s="239"/>
      <c r="Z1220" s="239"/>
      <c r="AA1220" s="239"/>
      <c r="AB1220" s="239"/>
      <c r="AC1220" s="239"/>
      <c r="AD1220" s="239"/>
      <c r="AE1220" s="239"/>
      <c r="AF1220" s="239"/>
      <c r="AG1220" s="239"/>
      <c r="AH1220" s="239"/>
      <c r="AI1220" s="239"/>
      <c r="AJ1220" s="239"/>
    </row>
    <row r="1221">
      <c r="A1221" s="239"/>
      <c r="B1221" s="239"/>
      <c r="C1221" s="239"/>
      <c r="D1221" s="239"/>
      <c r="E1221" s="239"/>
      <c r="F1221" s="283"/>
      <c r="G1221" s="239"/>
      <c r="H1221" s="239"/>
      <c r="I1221" s="239"/>
      <c r="J1221" s="239"/>
      <c r="K1221" s="239"/>
      <c r="L1221" s="239"/>
      <c r="M1221" s="239"/>
      <c r="N1221" s="239"/>
      <c r="O1221" s="239"/>
      <c r="P1221" s="246"/>
      <c r="Q1221" s="239"/>
      <c r="R1221" s="239"/>
      <c r="S1221" s="239"/>
      <c r="T1221" s="239"/>
      <c r="U1221" s="239"/>
      <c r="V1221" s="239"/>
      <c r="W1221" s="246"/>
      <c r="X1221" s="239"/>
      <c r="Y1221" s="239"/>
      <c r="Z1221" s="239"/>
      <c r="AA1221" s="239"/>
      <c r="AB1221" s="239"/>
      <c r="AC1221" s="239"/>
      <c r="AD1221" s="239"/>
      <c r="AE1221" s="239"/>
      <c r="AF1221" s="239"/>
      <c r="AG1221" s="239"/>
      <c r="AH1221" s="239"/>
      <c r="AI1221" s="239"/>
      <c r="AJ1221" s="239"/>
    </row>
    <row r="1222">
      <c r="A1222" s="239"/>
      <c r="B1222" s="239"/>
      <c r="C1222" s="239"/>
      <c r="D1222" s="239"/>
      <c r="E1222" s="239"/>
      <c r="F1222" s="283"/>
      <c r="G1222" s="239"/>
      <c r="H1222" s="239"/>
      <c r="I1222" s="239"/>
      <c r="J1222" s="239"/>
      <c r="K1222" s="239"/>
      <c r="L1222" s="239"/>
      <c r="M1222" s="239"/>
      <c r="N1222" s="239"/>
      <c r="O1222" s="239"/>
      <c r="P1222" s="246"/>
      <c r="Q1222" s="239"/>
      <c r="R1222" s="239"/>
      <c r="S1222" s="239"/>
      <c r="T1222" s="239"/>
      <c r="U1222" s="239"/>
      <c r="V1222" s="239"/>
      <c r="W1222" s="246"/>
      <c r="X1222" s="239"/>
      <c r="Y1222" s="239"/>
      <c r="Z1222" s="239"/>
      <c r="AA1222" s="239"/>
      <c r="AB1222" s="239"/>
      <c r="AC1222" s="239"/>
      <c r="AD1222" s="239"/>
      <c r="AE1222" s="239"/>
      <c r="AF1222" s="239"/>
      <c r="AG1222" s="239"/>
      <c r="AH1222" s="239"/>
      <c r="AI1222" s="239"/>
      <c r="AJ1222" s="239"/>
    </row>
    <row r="1223">
      <c r="A1223" s="239"/>
      <c r="B1223" s="239"/>
      <c r="C1223" s="239"/>
      <c r="D1223" s="239"/>
      <c r="E1223" s="239"/>
      <c r="F1223" s="283"/>
      <c r="G1223" s="239"/>
      <c r="H1223" s="239"/>
      <c r="I1223" s="239"/>
      <c r="J1223" s="239"/>
      <c r="K1223" s="239"/>
      <c r="L1223" s="239"/>
      <c r="M1223" s="239"/>
      <c r="N1223" s="239"/>
      <c r="O1223" s="239"/>
      <c r="P1223" s="246"/>
      <c r="Q1223" s="239"/>
      <c r="R1223" s="239"/>
      <c r="S1223" s="239"/>
      <c r="T1223" s="239"/>
      <c r="U1223" s="239"/>
      <c r="V1223" s="239"/>
      <c r="W1223" s="246"/>
      <c r="X1223" s="239"/>
      <c r="Y1223" s="239"/>
      <c r="Z1223" s="239"/>
      <c r="AA1223" s="239"/>
      <c r="AB1223" s="239"/>
      <c r="AC1223" s="239"/>
      <c r="AD1223" s="239"/>
      <c r="AE1223" s="239"/>
      <c r="AF1223" s="239"/>
      <c r="AG1223" s="239"/>
      <c r="AH1223" s="239"/>
      <c r="AI1223" s="239"/>
      <c r="AJ1223" s="239"/>
    </row>
    <row r="1224">
      <c r="A1224" s="239"/>
      <c r="B1224" s="239"/>
      <c r="C1224" s="239"/>
      <c r="D1224" s="239"/>
      <c r="E1224" s="239"/>
      <c r="F1224" s="283"/>
      <c r="G1224" s="239"/>
      <c r="H1224" s="239"/>
      <c r="I1224" s="239"/>
      <c r="J1224" s="239"/>
      <c r="K1224" s="239"/>
      <c r="L1224" s="239"/>
      <c r="M1224" s="239"/>
      <c r="N1224" s="239"/>
      <c r="O1224" s="239"/>
      <c r="P1224" s="246"/>
      <c r="Q1224" s="239"/>
      <c r="R1224" s="239"/>
      <c r="S1224" s="239"/>
      <c r="T1224" s="239"/>
      <c r="U1224" s="239"/>
      <c r="V1224" s="239"/>
      <c r="W1224" s="246"/>
      <c r="X1224" s="239"/>
      <c r="Y1224" s="239"/>
      <c r="Z1224" s="239"/>
      <c r="AA1224" s="239"/>
      <c r="AB1224" s="239"/>
      <c r="AC1224" s="239"/>
      <c r="AD1224" s="239"/>
      <c r="AE1224" s="239"/>
      <c r="AF1224" s="239"/>
      <c r="AG1224" s="239"/>
      <c r="AH1224" s="239"/>
      <c r="AI1224" s="239"/>
      <c r="AJ1224" s="239"/>
    </row>
    <row r="1225">
      <c r="A1225" s="239"/>
      <c r="B1225" s="239"/>
      <c r="C1225" s="239"/>
      <c r="D1225" s="239"/>
      <c r="E1225" s="239"/>
      <c r="F1225" s="283"/>
      <c r="G1225" s="239"/>
      <c r="H1225" s="239"/>
      <c r="I1225" s="239"/>
      <c r="J1225" s="239"/>
      <c r="K1225" s="239"/>
      <c r="L1225" s="239"/>
      <c r="M1225" s="239"/>
      <c r="N1225" s="239"/>
      <c r="O1225" s="239"/>
      <c r="P1225" s="246"/>
      <c r="Q1225" s="239"/>
      <c r="R1225" s="239"/>
      <c r="S1225" s="239"/>
      <c r="T1225" s="239"/>
      <c r="U1225" s="239"/>
      <c r="V1225" s="239"/>
      <c r="W1225" s="246"/>
      <c r="X1225" s="239"/>
      <c r="Y1225" s="239"/>
      <c r="Z1225" s="239"/>
      <c r="AA1225" s="239"/>
      <c r="AB1225" s="239"/>
      <c r="AC1225" s="239"/>
      <c r="AD1225" s="239"/>
      <c r="AE1225" s="239"/>
      <c r="AF1225" s="239"/>
      <c r="AG1225" s="239"/>
      <c r="AH1225" s="239"/>
      <c r="AI1225" s="239"/>
      <c r="AJ1225" s="239"/>
    </row>
    <row r="1226">
      <c r="A1226" s="239"/>
      <c r="B1226" s="239"/>
      <c r="C1226" s="239"/>
      <c r="D1226" s="239"/>
      <c r="E1226" s="239"/>
      <c r="F1226" s="283"/>
      <c r="G1226" s="239"/>
      <c r="H1226" s="239"/>
      <c r="I1226" s="239"/>
      <c r="J1226" s="239"/>
      <c r="K1226" s="239"/>
      <c r="L1226" s="239"/>
      <c r="M1226" s="239"/>
      <c r="N1226" s="239"/>
      <c r="O1226" s="239"/>
      <c r="P1226" s="246"/>
      <c r="Q1226" s="239"/>
      <c r="R1226" s="239"/>
      <c r="S1226" s="239"/>
      <c r="T1226" s="239"/>
      <c r="U1226" s="239"/>
      <c r="V1226" s="239"/>
      <c r="W1226" s="246"/>
      <c r="X1226" s="239"/>
      <c r="Y1226" s="239"/>
      <c r="Z1226" s="239"/>
      <c r="AA1226" s="239"/>
      <c r="AB1226" s="239"/>
      <c r="AC1226" s="239"/>
      <c r="AD1226" s="239"/>
      <c r="AE1226" s="239"/>
      <c r="AF1226" s="239"/>
      <c r="AG1226" s="239"/>
      <c r="AH1226" s="239"/>
      <c r="AI1226" s="239"/>
      <c r="AJ1226" s="239"/>
    </row>
    <row r="1227">
      <c r="A1227" s="239"/>
      <c r="B1227" s="239"/>
      <c r="C1227" s="239"/>
      <c r="D1227" s="239"/>
      <c r="E1227" s="239"/>
      <c r="F1227" s="283"/>
      <c r="G1227" s="239"/>
      <c r="H1227" s="239"/>
      <c r="I1227" s="239"/>
      <c r="J1227" s="239"/>
      <c r="K1227" s="239"/>
      <c r="L1227" s="239"/>
      <c r="M1227" s="239"/>
      <c r="N1227" s="239"/>
      <c r="O1227" s="239"/>
      <c r="P1227" s="246"/>
      <c r="Q1227" s="239"/>
      <c r="R1227" s="239"/>
      <c r="S1227" s="239"/>
      <c r="T1227" s="239"/>
      <c r="U1227" s="239"/>
      <c r="V1227" s="239"/>
      <c r="W1227" s="246"/>
      <c r="X1227" s="239"/>
      <c r="Y1227" s="239"/>
      <c r="Z1227" s="239"/>
      <c r="AA1227" s="239"/>
      <c r="AB1227" s="239"/>
      <c r="AC1227" s="239"/>
      <c r="AD1227" s="239"/>
      <c r="AE1227" s="239"/>
      <c r="AF1227" s="239"/>
      <c r="AG1227" s="239"/>
      <c r="AH1227" s="239"/>
      <c r="AI1227" s="239"/>
      <c r="AJ1227" s="239"/>
    </row>
    <row r="1228">
      <c r="A1228" s="239"/>
      <c r="B1228" s="239"/>
      <c r="C1228" s="239"/>
      <c r="D1228" s="239"/>
      <c r="E1228" s="239"/>
      <c r="F1228" s="283"/>
      <c r="G1228" s="239"/>
      <c r="H1228" s="239"/>
      <c r="I1228" s="239"/>
      <c r="J1228" s="239"/>
      <c r="K1228" s="239"/>
      <c r="L1228" s="239"/>
      <c r="M1228" s="239"/>
      <c r="N1228" s="239"/>
      <c r="O1228" s="239"/>
      <c r="P1228" s="246"/>
      <c r="Q1228" s="239"/>
      <c r="R1228" s="239"/>
      <c r="S1228" s="239"/>
      <c r="T1228" s="239"/>
      <c r="U1228" s="239"/>
      <c r="V1228" s="239"/>
      <c r="W1228" s="246"/>
      <c r="X1228" s="239"/>
      <c r="Y1228" s="239"/>
      <c r="Z1228" s="239"/>
      <c r="AA1228" s="239"/>
      <c r="AB1228" s="239"/>
      <c r="AC1228" s="239"/>
      <c r="AD1228" s="239"/>
      <c r="AE1228" s="239"/>
      <c r="AF1228" s="239"/>
      <c r="AG1228" s="239"/>
      <c r="AH1228" s="239"/>
      <c r="AI1228" s="239"/>
      <c r="AJ1228" s="239"/>
    </row>
    <row r="1229">
      <c r="A1229" s="239"/>
      <c r="B1229" s="239"/>
      <c r="C1229" s="239"/>
      <c r="D1229" s="239"/>
      <c r="E1229" s="239"/>
      <c r="F1229" s="283"/>
      <c r="G1229" s="239"/>
      <c r="H1229" s="239"/>
      <c r="I1229" s="239"/>
      <c r="J1229" s="239"/>
      <c r="K1229" s="239"/>
      <c r="L1229" s="239"/>
      <c r="M1229" s="239"/>
      <c r="N1229" s="239"/>
      <c r="O1229" s="239"/>
      <c r="P1229" s="246"/>
      <c r="Q1229" s="239"/>
      <c r="R1229" s="239"/>
      <c r="S1229" s="239"/>
      <c r="T1229" s="239"/>
      <c r="U1229" s="239"/>
      <c r="V1229" s="239"/>
      <c r="W1229" s="246"/>
      <c r="X1229" s="239"/>
      <c r="Y1229" s="239"/>
      <c r="Z1229" s="239"/>
      <c r="AA1229" s="239"/>
      <c r="AB1229" s="239"/>
      <c r="AC1229" s="239"/>
      <c r="AD1229" s="239"/>
      <c r="AE1229" s="239"/>
      <c r="AF1229" s="239"/>
      <c r="AG1229" s="239"/>
      <c r="AH1229" s="239"/>
      <c r="AI1229" s="239"/>
      <c r="AJ1229" s="239"/>
    </row>
    <row r="1230">
      <c r="A1230" s="239"/>
      <c r="B1230" s="239"/>
      <c r="C1230" s="239"/>
      <c r="D1230" s="239"/>
      <c r="E1230" s="239"/>
      <c r="F1230" s="283"/>
      <c r="G1230" s="239"/>
      <c r="H1230" s="239"/>
      <c r="I1230" s="239"/>
      <c r="J1230" s="239"/>
      <c r="K1230" s="239"/>
      <c r="L1230" s="239"/>
      <c r="M1230" s="239"/>
      <c r="N1230" s="239"/>
      <c r="O1230" s="239"/>
      <c r="P1230" s="246"/>
      <c r="Q1230" s="239"/>
      <c r="R1230" s="239"/>
      <c r="S1230" s="239"/>
      <c r="T1230" s="239"/>
      <c r="U1230" s="239"/>
      <c r="V1230" s="239"/>
      <c r="W1230" s="246"/>
      <c r="X1230" s="239"/>
      <c r="Y1230" s="239"/>
      <c r="Z1230" s="239"/>
      <c r="AA1230" s="239"/>
      <c r="AB1230" s="239"/>
      <c r="AC1230" s="239"/>
      <c r="AD1230" s="239"/>
      <c r="AE1230" s="239"/>
      <c r="AF1230" s="239"/>
      <c r="AG1230" s="239"/>
      <c r="AH1230" s="239"/>
      <c r="AI1230" s="239"/>
      <c r="AJ1230" s="239"/>
    </row>
    <row r="1231">
      <c r="A1231" s="239"/>
      <c r="B1231" s="239"/>
      <c r="C1231" s="239"/>
      <c r="D1231" s="239"/>
      <c r="E1231" s="239"/>
      <c r="F1231" s="283"/>
      <c r="G1231" s="239"/>
      <c r="H1231" s="239"/>
      <c r="I1231" s="239"/>
      <c r="J1231" s="239"/>
      <c r="K1231" s="239"/>
      <c r="L1231" s="239"/>
      <c r="M1231" s="239"/>
      <c r="N1231" s="239"/>
      <c r="O1231" s="239"/>
      <c r="P1231" s="246"/>
      <c r="Q1231" s="239"/>
      <c r="R1231" s="239"/>
      <c r="S1231" s="239"/>
      <c r="T1231" s="239"/>
      <c r="U1231" s="239"/>
      <c r="V1231" s="239"/>
      <c r="W1231" s="246"/>
      <c r="X1231" s="239"/>
      <c r="Y1231" s="239"/>
      <c r="Z1231" s="239"/>
      <c r="AA1231" s="239"/>
      <c r="AB1231" s="239"/>
      <c r="AC1231" s="239"/>
      <c r="AD1231" s="239"/>
      <c r="AE1231" s="239"/>
      <c r="AF1231" s="239"/>
      <c r="AG1231" s="239"/>
      <c r="AH1231" s="239"/>
      <c r="AI1231" s="239"/>
      <c r="AJ1231" s="239"/>
    </row>
    <row r="1232">
      <c r="A1232" s="239"/>
      <c r="B1232" s="239"/>
      <c r="C1232" s="239"/>
      <c r="D1232" s="239"/>
      <c r="E1232" s="239"/>
      <c r="F1232" s="283"/>
      <c r="G1232" s="239"/>
      <c r="H1232" s="239"/>
      <c r="I1232" s="239"/>
      <c r="J1232" s="239"/>
      <c r="K1232" s="239"/>
      <c r="L1232" s="239"/>
      <c r="M1232" s="239"/>
      <c r="N1232" s="239"/>
      <c r="O1232" s="239"/>
      <c r="P1232" s="246"/>
      <c r="Q1232" s="239"/>
      <c r="R1232" s="239"/>
      <c r="S1232" s="239"/>
      <c r="T1232" s="239"/>
      <c r="U1232" s="239"/>
      <c r="V1232" s="239"/>
      <c r="W1232" s="246"/>
      <c r="X1232" s="239"/>
      <c r="Y1232" s="239"/>
      <c r="Z1232" s="239"/>
      <c r="AA1232" s="239"/>
      <c r="AB1232" s="239"/>
      <c r="AC1232" s="239"/>
      <c r="AD1232" s="239"/>
      <c r="AE1232" s="239"/>
      <c r="AF1232" s="239"/>
      <c r="AG1232" s="239"/>
      <c r="AH1232" s="239"/>
      <c r="AI1232" s="239"/>
      <c r="AJ1232" s="239"/>
    </row>
    <row r="1233">
      <c r="A1233" s="239"/>
      <c r="B1233" s="239"/>
      <c r="C1233" s="239"/>
      <c r="D1233" s="239"/>
      <c r="E1233" s="239"/>
      <c r="F1233" s="283"/>
      <c r="G1233" s="239"/>
      <c r="H1233" s="239"/>
      <c r="I1233" s="239"/>
      <c r="J1233" s="239"/>
      <c r="K1233" s="239"/>
      <c r="L1233" s="239"/>
      <c r="M1233" s="239"/>
      <c r="N1233" s="239"/>
      <c r="O1233" s="239"/>
      <c r="P1233" s="246"/>
      <c r="Q1233" s="239"/>
      <c r="R1233" s="239"/>
      <c r="S1233" s="239"/>
      <c r="T1233" s="239"/>
      <c r="U1233" s="239"/>
      <c r="V1233" s="239"/>
      <c r="W1233" s="246"/>
      <c r="X1233" s="239"/>
      <c r="Y1233" s="239"/>
      <c r="Z1233" s="239"/>
      <c r="AA1233" s="239"/>
      <c r="AB1233" s="239"/>
      <c r="AC1233" s="239"/>
      <c r="AD1233" s="239"/>
      <c r="AE1233" s="239"/>
      <c r="AF1233" s="239"/>
      <c r="AG1233" s="239"/>
      <c r="AH1233" s="239"/>
      <c r="AI1233" s="239"/>
      <c r="AJ1233" s="239"/>
    </row>
    <row r="1234">
      <c r="A1234" s="239"/>
      <c r="B1234" s="239"/>
      <c r="C1234" s="239"/>
      <c r="D1234" s="239"/>
      <c r="E1234" s="239"/>
      <c r="F1234" s="283"/>
      <c r="G1234" s="239"/>
      <c r="H1234" s="239"/>
      <c r="I1234" s="239"/>
      <c r="J1234" s="239"/>
      <c r="K1234" s="239"/>
      <c r="L1234" s="239"/>
      <c r="M1234" s="239"/>
      <c r="N1234" s="239"/>
      <c r="O1234" s="239"/>
      <c r="P1234" s="246"/>
      <c r="Q1234" s="239"/>
      <c r="R1234" s="239"/>
      <c r="S1234" s="239"/>
      <c r="T1234" s="239"/>
      <c r="U1234" s="239"/>
      <c r="V1234" s="239"/>
      <c r="W1234" s="246"/>
      <c r="X1234" s="239"/>
      <c r="Y1234" s="239"/>
      <c r="Z1234" s="239"/>
      <c r="AA1234" s="239"/>
      <c r="AB1234" s="239"/>
      <c r="AC1234" s="239"/>
      <c r="AD1234" s="239"/>
      <c r="AE1234" s="239"/>
      <c r="AF1234" s="239"/>
      <c r="AG1234" s="239"/>
      <c r="AH1234" s="239"/>
      <c r="AI1234" s="239"/>
      <c r="AJ1234" s="239"/>
    </row>
    <row r="1235">
      <c r="A1235" s="239"/>
      <c r="B1235" s="239"/>
      <c r="C1235" s="239"/>
      <c r="D1235" s="239"/>
      <c r="E1235" s="239"/>
      <c r="F1235" s="283"/>
      <c r="G1235" s="239"/>
      <c r="H1235" s="239"/>
      <c r="I1235" s="239"/>
      <c r="J1235" s="239"/>
      <c r="K1235" s="239"/>
      <c r="L1235" s="239"/>
      <c r="M1235" s="239"/>
      <c r="N1235" s="239"/>
      <c r="O1235" s="239"/>
      <c r="P1235" s="246"/>
      <c r="Q1235" s="239"/>
      <c r="R1235" s="239"/>
      <c r="S1235" s="239"/>
      <c r="T1235" s="239"/>
      <c r="U1235" s="239"/>
      <c r="V1235" s="239"/>
      <c r="W1235" s="246"/>
      <c r="X1235" s="239"/>
      <c r="Y1235" s="239"/>
      <c r="Z1235" s="239"/>
      <c r="AA1235" s="239"/>
      <c r="AB1235" s="239"/>
      <c r="AC1235" s="239"/>
      <c r="AD1235" s="239"/>
      <c r="AE1235" s="239"/>
      <c r="AF1235" s="239"/>
      <c r="AG1235" s="239"/>
      <c r="AH1235" s="239"/>
      <c r="AI1235" s="239"/>
      <c r="AJ1235" s="239"/>
    </row>
    <row r="1236">
      <c r="A1236" s="239"/>
      <c r="B1236" s="239"/>
      <c r="C1236" s="239"/>
      <c r="D1236" s="239"/>
      <c r="E1236" s="239"/>
      <c r="F1236" s="283"/>
      <c r="G1236" s="239"/>
      <c r="H1236" s="239"/>
      <c r="I1236" s="239"/>
      <c r="J1236" s="239"/>
      <c r="K1236" s="239"/>
      <c r="L1236" s="239"/>
      <c r="M1236" s="239"/>
      <c r="N1236" s="239"/>
      <c r="O1236" s="239"/>
      <c r="P1236" s="246"/>
      <c r="Q1236" s="239"/>
      <c r="R1236" s="239"/>
      <c r="S1236" s="239"/>
      <c r="T1236" s="239"/>
      <c r="U1236" s="239"/>
      <c r="V1236" s="239"/>
      <c r="W1236" s="246"/>
      <c r="X1236" s="239"/>
      <c r="Y1236" s="239"/>
      <c r="Z1236" s="239"/>
      <c r="AA1236" s="239"/>
      <c r="AB1236" s="239"/>
      <c r="AC1236" s="239"/>
      <c r="AD1236" s="239"/>
      <c r="AE1236" s="239"/>
      <c r="AF1236" s="239"/>
      <c r="AG1236" s="239"/>
      <c r="AH1236" s="239"/>
      <c r="AI1236" s="239"/>
      <c r="AJ1236" s="239"/>
    </row>
    <row r="1237">
      <c r="A1237" s="239"/>
      <c r="B1237" s="239"/>
      <c r="C1237" s="239"/>
      <c r="D1237" s="239"/>
      <c r="E1237" s="239"/>
      <c r="F1237" s="283"/>
      <c r="G1237" s="239"/>
      <c r="H1237" s="239"/>
      <c r="I1237" s="239"/>
      <c r="J1237" s="239"/>
      <c r="K1237" s="239"/>
      <c r="L1237" s="239"/>
      <c r="M1237" s="239"/>
      <c r="N1237" s="239"/>
      <c r="O1237" s="239"/>
      <c r="P1237" s="246"/>
      <c r="Q1237" s="239"/>
      <c r="R1237" s="239"/>
      <c r="S1237" s="239"/>
      <c r="T1237" s="239"/>
      <c r="U1237" s="239"/>
      <c r="V1237" s="239"/>
      <c r="W1237" s="246"/>
      <c r="X1237" s="239"/>
      <c r="Y1237" s="239"/>
      <c r="Z1237" s="239"/>
      <c r="AA1237" s="239"/>
      <c r="AB1237" s="239"/>
      <c r="AC1237" s="239"/>
      <c r="AD1237" s="239"/>
      <c r="AE1237" s="239"/>
      <c r="AF1237" s="239"/>
      <c r="AG1237" s="239"/>
      <c r="AH1237" s="239"/>
      <c r="AI1237" s="239"/>
      <c r="AJ1237" s="239"/>
    </row>
    <row r="1238">
      <c r="A1238" s="239"/>
      <c r="B1238" s="239"/>
      <c r="C1238" s="239"/>
      <c r="D1238" s="239"/>
      <c r="E1238" s="239"/>
      <c r="F1238" s="283"/>
      <c r="G1238" s="239"/>
      <c r="H1238" s="239"/>
      <c r="I1238" s="239"/>
      <c r="J1238" s="239"/>
      <c r="K1238" s="239"/>
      <c r="L1238" s="239"/>
      <c r="M1238" s="239"/>
      <c r="N1238" s="239"/>
      <c r="O1238" s="239"/>
      <c r="P1238" s="246"/>
      <c r="Q1238" s="239"/>
      <c r="R1238" s="239"/>
      <c r="S1238" s="239"/>
      <c r="T1238" s="239"/>
      <c r="U1238" s="239"/>
      <c r="V1238" s="239"/>
      <c r="W1238" s="246"/>
      <c r="X1238" s="239"/>
      <c r="Y1238" s="239"/>
      <c r="Z1238" s="239"/>
      <c r="AA1238" s="239"/>
      <c r="AB1238" s="239"/>
      <c r="AC1238" s="239"/>
      <c r="AD1238" s="239"/>
      <c r="AE1238" s="239"/>
      <c r="AF1238" s="239"/>
      <c r="AG1238" s="239"/>
      <c r="AH1238" s="239"/>
      <c r="AI1238" s="239"/>
      <c r="AJ1238" s="239"/>
    </row>
    <row r="1239">
      <c r="A1239" s="239"/>
      <c r="B1239" s="239"/>
      <c r="C1239" s="239"/>
      <c r="D1239" s="239"/>
      <c r="E1239" s="239"/>
      <c r="F1239" s="283"/>
      <c r="G1239" s="239"/>
      <c r="H1239" s="239"/>
      <c r="I1239" s="239"/>
      <c r="J1239" s="239"/>
      <c r="K1239" s="239"/>
      <c r="L1239" s="239"/>
      <c r="M1239" s="239"/>
      <c r="N1239" s="239"/>
      <c r="O1239" s="239"/>
      <c r="P1239" s="246"/>
      <c r="Q1239" s="239"/>
      <c r="R1239" s="239"/>
      <c r="S1239" s="239"/>
      <c r="T1239" s="239"/>
      <c r="U1239" s="239"/>
      <c r="V1239" s="239"/>
      <c r="W1239" s="246"/>
      <c r="X1239" s="239"/>
      <c r="Y1239" s="239"/>
      <c r="Z1239" s="239"/>
      <c r="AA1239" s="239"/>
      <c r="AB1239" s="239"/>
      <c r="AC1239" s="239"/>
      <c r="AD1239" s="239"/>
      <c r="AE1239" s="239"/>
      <c r="AF1239" s="239"/>
      <c r="AG1239" s="239"/>
      <c r="AH1239" s="239"/>
      <c r="AI1239" s="239"/>
      <c r="AJ1239" s="239"/>
    </row>
    <row r="1240">
      <c r="A1240" s="239"/>
      <c r="B1240" s="239"/>
      <c r="C1240" s="239"/>
      <c r="D1240" s="239"/>
      <c r="E1240" s="239"/>
      <c r="F1240" s="283"/>
      <c r="G1240" s="239"/>
      <c r="H1240" s="239"/>
      <c r="I1240" s="239"/>
      <c r="J1240" s="239"/>
      <c r="K1240" s="239"/>
      <c r="L1240" s="239"/>
      <c r="M1240" s="239"/>
      <c r="N1240" s="239"/>
      <c r="O1240" s="239"/>
      <c r="P1240" s="246"/>
      <c r="Q1240" s="239"/>
      <c r="R1240" s="239"/>
      <c r="S1240" s="239"/>
      <c r="T1240" s="239"/>
      <c r="U1240" s="239"/>
      <c r="V1240" s="239"/>
      <c r="W1240" s="246"/>
      <c r="X1240" s="239"/>
      <c r="Y1240" s="239"/>
      <c r="Z1240" s="239"/>
      <c r="AA1240" s="239"/>
      <c r="AB1240" s="239"/>
      <c r="AC1240" s="239"/>
      <c r="AD1240" s="239"/>
      <c r="AE1240" s="239"/>
      <c r="AF1240" s="239"/>
      <c r="AG1240" s="239"/>
      <c r="AH1240" s="239"/>
      <c r="AI1240" s="239"/>
      <c r="AJ1240" s="239"/>
    </row>
    <row r="1241">
      <c r="A1241" s="239"/>
      <c r="B1241" s="239"/>
      <c r="C1241" s="239"/>
      <c r="D1241" s="239"/>
      <c r="E1241" s="239"/>
      <c r="F1241" s="283"/>
      <c r="G1241" s="239"/>
      <c r="H1241" s="239"/>
      <c r="I1241" s="239"/>
      <c r="J1241" s="239"/>
      <c r="K1241" s="239"/>
      <c r="L1241" s="239"/>
      <c r="M1241" s="239"/>
      <c r="N1241" s="239"/>
      <c r="O1241" s="239"/>
      <c r="P1241" s="246"/>
      <c r="Q1241" s="239"/>
      <c r="R1241" s="239"/>
      <c r="S1241" s="239"/>
      <c r="T1241" s="239"/>
      <c r="U1241" s="239"/>
      <c r="V1241" s="239"/>
      <c r="W1241" s="246"/>
      <c r="X1241" s="239"/>
      <c r="Y1241" s="239"/>
      <c r="Z1241" s="239"/>
      <c r="AA1241" s="239"/>
      <c r="AB1241" s="239"/>
      <c r="AC1241" s="239"/>
      <c r="AD1241" s="239"/>
      <c r="AE1241" s="239"/>
      <c r="AF1241" s="239"/>
      <c r="AG1241" s="239"/>
      <c r="AH1241" s="239"/>
      <c r="AI1241" s="239"/>
      <c r="AJ1241" s="239"/>
    </row>
    <row r="1242">
      <c r="A1242" s="239"/>
      <c r="B1242" s="239"/>
      <c r="C1242" s="239"/>
      <c r="D1242" s="239"/>
      <c r="E1242" s="239"/>
      <c r="F1242" s="283"/>
      <c r="G1242" s="239"/>
      <c r="H1242" s="239"/>
      <c r="I1242" s="239"/>
      <c r="J1242" s="239"/>
      <c r="K1242" s="239"/>
      <c r="L1242" s="239"/>
      <c r="M1242" s="239"/>
      <c r="N1242" s="239"/>
      <c r="O1242" s="239"/>
      <c r="P1242" s="246"/>
      <c r="Q1242" s="239"/>
      <c r="R1242" s="239"/>
      <c r="S1242" s="239"/>
      <c r="T1242" s="239"/>
      <c r="U1242" s="239"/>
      <c r="V1242" s="239"/>
      <c r="W1242" s="246"/>
      <c r="X1242" s="239"/>
      <c r="Y1242" s="239"/>
      <c r="Z1242" s="239"/>
      <c r="AA1242" s="239"/>
      <c r="AB1242" s="239"/>
      <c r="AC1242" s="239"/>
      <c r="AD1242" s="239"/>
      <c r="AE1242" s="239"/>
      <c r="AF1242" s="239"/>
      <c r="AG1242" s="239"/>
      <c r="AH1242" s="239"/>
      <c r="AI1242" s="239"/>
      <c r="AJ1242" s="239"/>
    </row>
    <row r="1243">
      <c r="A1243" s="239"/>
      <c r="B1243" s="239"/>
      <c r="C1243" s="239"/>
      <c r="D1243" s="239"/>
      <c r="E1243" s="239"/>
      <c r="F1243" s="283"/>
      <c r="G1243" s="239"/>
      <c r="H1243" s="239"/>
      <c r="I1243" s="239"/>
      <c r="J1243" s="239"/>
      <c r="K1243" s="239"/>
      <c r="L1243" s="239"/>
      <c r="M1243" s="239"/>
      <c r="N1243" s="239"/>
      <c r="O1243" s="239"/>
      <c r="P1243" s="246"/>
      <c r="Q1243" s="239"/>
      <c r="R1243" s="239"/>
      <c r="S1243" s="239"/>
      <c r="T1243" s="239"/>
      <c r="U1243" s="239"/>
      <c r="V1243" s="239"/>
      <c r="W1243" s="246"/>
      <c r="X1243" s="239"/>
      <c r="Y1243" s="239"/>
      <c r="Z1243" s="239"/>
      <c r="AA1243" s="239"/>
      <c r="AB1243" s="239"/>
      <c r="AC1243" s="239"/>
      <c r="AD1243" s="239"/>
      <c r="AE1243" s="239"/>
      <c r="AF1243" s="239"/>
      <c r="AG1243" s="239"/>
      <c r="AH1243" s="239"/>
      <c r="AI1243" s="239"/>
      <c r="AJ1243" s="239"/>
    </row>
    <row r="1244">
      <c r="A1244" s="239"/>
      <c r="B1244" s="239"/>
      <c r="C1244" s="239"/>
      <c r="D1244" s="239"/>
      <c r="E1244" s="239"/>
      <c r="F1244" s="283"/>
      <c r="G1244" s="239"/>
      <c r="H1244" s="239"/>
      <c r="I1244" s="239"/>
      <c r="J1244" s="239"/>
      <c r="K1244" s="239"/>
      <c r="L1244" s="239"/>
      <c r="M1244" s="239"/>
      <c r="N1244" s="239"/>
      <c r="O1244" s="239"/>
      <c r="P1244" s="246"/>
      <c r="Q1244" s="239"/>
      <c r="R1244" s="239"/>
      <c r="S1244" s="239"/>
      <c r="T1244" s="239"/>
      <c r="U1244" s="239"/>
      <c r="V1244" s="239"/>
      <c r="W1244" s="246"/>
      <c r="X1244" s="239"/>
      <c r="Y1244" s="239"/>
      <c r="Z1244" s="239"/>
      <c r="AA1244" s="239"/>
      <c r="AB1244" s="239"/>
      <c r="AC1244" s="239"/>
      <c r="AD1244" s="239"/>
      <c r="AE1244" s="239"/>
      <c r="AF1244" s="239"/>
      <c r="AG1244" s="239"/>
      <c r="AH1244" s="239"/>
      <c r="AI1244" s="239"/>
      <c r="AJ1244" s="239"/>
    </row>
    <row r="1245">
      <c r="A1245" s="239"/>
      <c r="B1245" s="239"/>
      <c r="C1245" s="239"/>
      <c r="D1245" s="239"/>
      <c r="E1245" s="239"/>
      <c r="F1245" s="283"/>
      <c r="G1245" s="239"/>
      <c r="H1245" s="239"/>
      <c r="I1245" s="239"/>
      <c r="J1245" s="239"/>
      <c r="K1245" s="239"/>
      <c r="L1245" s="239"/>
      <c r="M1245" s="239"/>
      <c r="N1245" s="239"/>
      <c r="O1245" s="239"/>
      <c r="P1245" s="246"/>
      <c r="Q1245" s="239"/>
      <c r="R1245" s="239"/>
      <c r="S1245" s="239"/>
      <c r="T1245" s="239"/>
      <c r="U1245" s="239"/>
      <c r="V1245" s="239"/>
      <c r="W1245" s="246"/>
      <c r="X1245" s="239"/>
      <c r="Y1245" s="239"/>
      <c r="Z1245" s="239"/>
      <c r="AA1245" s="239"/>
      <c r="AB1245" s="239"/>
      <c r="AC1245" s="239"/>
      <c r="AD1245" s="239"/>
      <c r="AE1245" s="239"/>
      <c r="AF1245" s="239"/>
      <c r="AG1245" s="239"/>
      <c r="AH1245" s="239"/>
      <c r="AI1245" s="239"/>
      <c r="AJ1245" s="239"/>
    </row>
    <row r="1246">
      <c r="A1246" s="239"/>
      <c r="B1246" s="239"/>
      <c r="C1246" s="239"/>
      <c r="D1246" s="239"/>
      <c r="E1246" s="239"/>
      <c r="F1246" s="283"/>
      <c r="G1246" s="239"/>
      <c r="H1246" s="239"/>
      <c r="I1246" s="239"/>
      <c r="J1246" s="239"/>
      <c r="K1246" s="239"/>
      <c r="L1246" s="239"/>
      <c r="M1246" s="239"/>
      <c r="N1246" s="239"/>
      <c r="O1246" s="239"/>
      <c r="P1246" s="246"/>
      <c r="Q1246" s="239"/>
      <c r="R1246" s="239"/>
      <c r="S1246" s="239"/>
      <c r="T1246" s="239"/>
      <c r="U1246" s="239"/>
      <c r="V1246" s="239"/>
      <c r="W1246" s="246"/>
      <c r="X1246" s="239"/>
      <c r="Y1246" s="239"/>
      <c r="Z1246" s="239"/>
      <c r="AA1246" s="239"/>
      <c r="AB1246" s="239"/>
      <c r="AC1246" s="239"/>
      <c r="AD1246" s="239"/>
      <c r="AE1246" s="239"/>
      <c r="AF1246" s="239"/>
      <c r="AG1246" s="239"/>
      <c r="AH1246" s="239"/>
      <c r="AI1246" s="239"/>
      <c r="AJ1246" s="239"/>
    </row>
    <row r="1247">
      <c r="A1247" s="239"/>
      <c r="B1247" s="239"/>
      <c r="C1247" s="239"/>
      <c r="D1247" s="239"/>
      <c r="E1247" s="239"/>
      <c r="F1247" s="283"/>
      <c r="G1247" s="239"/>
      <c r="H1247" s="239"/>
      <c r="I1247" s="239"/>
      <c r="J1247" s="239"/>
      <c r="K1247" s="239"/>
      <c r="L1247" s="239"/>
      <c r="M1247" s="239"/>
      <c r="N1247" s="239"/>
      <c r="O1247" s="239"/>
      <c r="P1247" s="246"/>
      <c r="Q1247" s="239"/>
      <c r="R1247" s="239"/>
      <c r="S1247" s="239"/>
      <c r="T1247" s="239"/>
      <c r="U1247" s="239"/>
      <c r="V1247" s="239"/>
      <c r="W1247" s="246"/>
      <c r="X1247" s="239"/>
      <c r="Y1247" s="239"/>
      <c r="Z1247" s="239"/>
      <c r="AA1247" s="239"/>
      <c r="AB1247" s="239"/>
      <c r="AC1247" s="239"/>
      <c r="AD1247" s="239"/>
      <c r="AE1247" s="239"/>
      <c r="AF1247" s="239"/>
      <c r="AG1247" s="239"/>
      <c r="AH1247" s="239"/>
      <c r="AI1247" s="239"/>
      <c r="AJ1247" s="239"/>
    </row>
    <row r="1248">
      <c r="A1248" s="239"/>
      <c r="B1248" s="239"/>
      <c r="C1248" s="239"/>
      <c r="D1248" s="239"/>
      <c r="E1248" s="239"/>
      <c r="F1248" s="283"/>
      <c r="G1248" s="239"/>
      <c r="H1248" s="239"/>
      <c r="I1248" s="239"/>
      <c r="J1248" s="239"/>
      <c r="K1248" s="239"/>
      <c r="L1248" s="239"/>
      <c r="M1248" s="239"/>
      <c r="N1248" s="239"/>
      <c r="O1248" s="239"/>
      <c r="P1248" s="246"/>
      <c r="Q1248" s="239"/>
      <c r="R1248" s="239"/>
      <c r="S1248" s="239"/>
      <c r="T1248" s="239"/>
      <c r="U1248" s="239"/>
      <c r="V1248" s="239"/>
      <c r="W1248" s="246"/>
      <c r="X1248" s="239"/>
      <c r="Y1248" s="239"/>
      <c r="Z1248" s="239"/>
      <c r="AA1248" s="239"/>
      <c r="AB1248" s="239"/>
      <c r="AC1248" s="239"/>
      <c r="AD1248" s="239"/>
      <c r="AE1248" s="239"/>
      <c r="AF1248" s="239"/>
      <c r="AG1248" s="239"/>
      <c r="AH1248" s="239"/>
      <c r="AI1248" s="239"/>
      <c r="AJ1248" s="239"/>
    </row>
    <row r="1249">
      <c r="A1249" s="239"/>
      <c r="B1249" s="239"/>
      <c r="C1249" s="239"/>
      <c r="D1249" s="239"/>
      <c r="E1249" s="239"/>
      <c r="F1249" s="283"/>
      <c r="G1249" s="239"/>
      <c r="H1249" s="239"/>
      <c r="I1249" s="239"/>
      <c r="J1249" s="239"/>
      <c r="K1249" s="239"/>
      <c r="L1249" s="239"/>
      <c r="M1249" s="239"/>
      <c r="N1249" s="239"/>
      <c r="O1249" s="239"/>
      <c r="P1249" s="246"/>
      <c r="Q1249" s="239"/>
      <c r="R1249" s="239"/>
      <c r="S1249" s="239"/>
      <c r="T1249" s="239"/>
      <c r="U1249" s="239"/>
      <c r="V1249" s="239"/>
      <c r="W1249" s="246"/>
      <c r="X1249" s="239"/>
      <c r="Y1249" s="239"/>
      <c r="Z1249" s="239"/>
      <c r="AA1249" s="239"/>
      <c r="AB1249" s="239"/>
      <c r="AC1249" s="239"/>
      <c r="AD1249" s="239"/>
      <c r="AE1249" s="239"/>
      <c r="AF1249" s="239"/>
      <c r="AG1249" s="239"/>
      <c r="AH1249" s="239"/>
      <c r="AI1249" s="239"/>
      <c r="AJ1249" s="239"/>
    </row>
    <row r="1250">
      <c r="A1250" s="239"/>
      <c r="B1250" s="239"/>
      <c r="C1250" s="239"/>
      <c r="D1250" s="239"/>
      <c r="E1250" s="239"/>
      <c r="F1250" s="283"/>
      <c r="G1250" s="239"/>
      <c r="H1250" s="239"/>
      <c r="I1250" s="239"/>
      <c r="J1250" s="239"/>
      <c r="K1250" s="239"/>
      <c r="L1250" s="239"/>
      <c r="M1250" s="239"/>
      <c r="N1250" s="239"/>
      <c r="O1250" s="239"/>
      <c r="P1250" s="246"/>
      <c r="Q1250" s="239"/>
      <c r="R1250" s="239"/>
      <c r="S1250" s="239"/>
      <c r="T1250" s="239"/>
      <c r="U1250" s="239"/>
      <c r="V1250" s="239"/>
      <c r="W1250" s="246"/>
      <c r="X1250" s="239"/>
      <c r="Y1250" s="239"/>
      <c r="Z1250" s="239"/>
      <c r="AA1250" s="239"/>
      <c r="AB1250" s="239"/>
      <c r="AC1250" s="239"/>
      <c r="AD1250" s="239"/>
      <c r="AE1250" s="239"/>
      <c r="AF1250" s="239"/>
      <c r="AG1250" s="239"/>
      <c r="AH1250" s="239"/>
      <c r="AI1250" s="239"/>
      <c r="AJ1250" s="239"/>
    </row>
    <row r="1251">
      <c r="A1251" s="239"/>
      <c r="B1251" s="239"/>
      <c r="C1251" s="239"/>
      <c r="D1251" s="239"/>
      <c r="E1251" s="239"/>
      <c r="F1251" s="283"/>
      <c r="G1251" s="239"/>
      <c r="H1251" s="239"/>
      <c r="I1251" s="239"/>
      <c r="J1251" s="239"/>
      <c r="K1251" s="239"/>
      <c r="L1251" s="239"/>
      <c r="M1251" s="239"/>
      <c r="N1251" s="239"/>
      <c r="O1251" s="239"/>
      <c r="P1251" s="246"/>
      <c r="Q1251" s="239"/>
      <c r="R1251" s="239"/>
      <c r="S1251" s="239"/>
      <c r="T1251" s="239"/>
      <c r="U1251" s="239"/>
      <c r="V1251" s="239"/>
      <c r="W1251" s="246"/>
      <c r="X1251" s="239"/>
      <c r="Y1251" s="239"/>
      <c r="Z1251" s="239"/>
      <c r="AA1251" s="239"/>
      <c r="AB1251" s="239"/>
      <c r="AC1251" s="239"/>
      <c r="AD1251" s="239"/>
      <c r="AE1251" s="239"/>
      <c r="AF1251" s="239"/>
      <c r="AG1251" s="239"/>
      <c r="AH1251" s="239"/>
      <c r="AI1251" s="239"/>
      <c r="AJ1251" s="239"/>
    </row>
    <row r="1252">
      <c r="A1252" s="239"/>
      <c r="B1252" s="239"/>
      <c r="C1252" s="239"/>
      <c r="D1252" s="239"/>
      <c r="E1252" s="239"/>
      <c r="F1252" s="283"/>
      <c r="G1252" s="239"/>
      <c r="H1252" s="239"/>
      <c r="I1252" s="239"/>
      <c r="J1252" s="239"/>
      <c r="K1252" s="239"/>
      <c r="L1252" s="239"/>
      <c r="M1252" s="239"/>
      <c r="N1252" s="239"/>
      <c r="O1252" s="239"/>
      <c r="P1252" s="246"/>
      <c r="Q1252" s="239"/>
      <c r="R1252" s="239"/>
      <c r="S1252" s="239"/>
      <c r="T1252" s="239"/>
      <c r="U1252" s="239"/>
      <c r="V1252" s="239"/>
      <c r="W1252" s="246"/>
      <c r="X1252" s="239"/>
      <c r="Y1252" s="239"/>
      <c r="Z1252" s="239"/>
      <c r="AA1252" s="239"/>
      <c r="AB1252" s="239"/>
      <c r="AC1252" s="239"/>
      <c r="AD1252" s="239"/>
      <c r="AE1252" s="239"/>
      <c r="AF1252" s="239"/>
      <c r="AG1252" s="239"/>
      <c r="AH1252" s="239"/>
      <c r="AI1252" s="239"/>
      <c r="AJ1252" s="239"/>
    </row>
    <row r="1253">
      <c r="A1253" s="239"/>
      <c r="B1253" s="239"/>
      <c r="C1253" s="239"/>
      <c r="D1253" s="239"/>
      <c r="E1253" s="239"/>
      <c r="F1253" s="283"/>
      <c r="G1253" s="239"/>
      <c r="H1253" s="239"/>
      <c r="I1253" s="239"/>
      <c r="J1253" s="239"/>
      <c r="K1253" s="239"/>
      <c r="L1253" s="239"/>
      <c r="M1253" s="239"/>
      <c r="N1253" s="239"/>
      <c r="O1253" s="239"/>
      <c r="P1253" s="246"/>
      <c r="Q1253" s="239"/>
      <c r="R1253" s="239"/>
      <c r="S1253" s="239"/>
      <c r="T1253" s="239"/>
      <c r="U1253" s="239"/>
      <c r="V1253" s="239"/>
      <c r="W1253" s="246"/>
      <c r="X1253" s="239"/>
      <c r="Y1253" s="239"/>
      <c r="Z1253" s="239"/>
      <c r="AA1253" s="239"/>
      <c r="AB1253" s="239"/>
      <c r="AC1253" s="239"/>
      <c r="AD1253" s="239"/>
      <c r="AE1253" s="239"/>
      <c r="AF1253" s="239"/>
      <c r="AG1253" s="239"/>
      <c r="AH1253" s="239"/>
      <c r="AI1253" s="239"/>
      <c r="AJ1253" s="239"/>
    </row>
    <row r="1254">
      <c r="A1254" s="239"/>
      <c r="B1254" s="239"/>
      <c r="C1254" s="239"/>
      <c r="D1254" s="239"/>
      <c r="E1254" s="239"/>
      <c r="F1254" s="283"/>
      <c r="G1254" s="239"/>
      <c r="H1254" s="239"/>
      <c r="I1254" s="239"/>
      <c r="J1254" s="239"/>
      <c r="K1254" s="239"/>
      <c r="L1254" s="239"/>
      <c r="M1254" s="239"/>
      <c r="N1254" s="239"/>
      <c r="O1254" s="239"/>
      <c r="P1254" s="246"/>
      <c r="Q1254" s="239"/>
      <c r="R1254" s="239"/>
      <c r="S1254" s="239"/>
      <c r="T1254" s="239"/>
      <c r="U1254" s="239"/>
      <c r="V1254" s="239"/>
      <c r="W1254" s="246"/>
      <c r="X1254" s="239"/>
      <c r="Y1254" s="239"/>
      <c r="Z1254" s="239"/>
      <c r="AA1254" s="239"/>
      <c r="AB1254" s="239"/>
      <c r="AC1254" s="239"/>
      <c r="AD1254" s="239"/>
      <c r="AE1254" s="239"/>
      <c r="AF1254" s="239"/>
      <c r="AG1254" s="239"/>
      <c r="AH1254" s="239"/>
      <c r="AI1254" s="239"/>
      <c r="AJ1254" s="239"/>
    </row>
    <row r="1255">
      <c r="A1255" s="239"/>
      <c r="B1255" s="239"/>
      <c r="C1255" s="239"/>
      <c r="D1255" s="239"/>
      <c r="E1255" s="239"/>
      <c r="F1255" s="283"/>
      <c r="G1255" s="239"/>
      <c r="H1255" s="239"/>
      <c r="I1255" s="239"/>
      <c r="J1255" s="239"/>
      <c r="K1255" s="239"/>
      <c r="L1255" s="239"/>
      <c r="M1255" s="239"/>
      <c r="N1255" s="239"/>
      <c r="O1255" s="239"/>
      <c r="P1255" s="246"/>
      <c r="Q1255" s="239"/>
      <c r="R1255" s="239"/>
      <c r="S1255" s="239"/>
      <c r="T1255" s="239"/>
      <c r="U1255" s="239"/>
      <c r="V1255" s="239"/>
      <c r="W1255" s="246"/>
      <c r="X1255" s="239"/>
      <c r="Y1255" s="239"/>
      <c r="Z1255" s="239"/>
      <c r="AA1255" s="239"/>
      <c r="AB1255" s="239"/>
      <c r="AC1255" s="239"/>
      <c r="AD1255" s="239"/>
      <c r="AE1255" s="239"/>
      <c r="AF1255" s="239"/>
      <c r="AG1255" s="239"/>
      <c r="AH1255" s="239"/>
      <c r="AI1255" s="239"/>
      <c r="AJ1255" s="239"/>
    </row>
    <row r="1256">
      <c r="A1256" s="239"/>
      <c r="B1256" s="239"/>
      <c r="C1256" s="239"/>
      <c r="D1256" s="239"/>
      <c r="E1256" s="239"/>
      <c r="F1256" s="283"/>
      <c r="G1256" s="239"/>
      <c r="H1256" s="239"/>
      <c r="I1256" s="239"/>
      <c r="J1256" s="239"/>
      <c r="K1256" s="239"/>
      <c r="L1256" s="239"/>
      <c r="M1256" s="239"/>
      <c r="N1256" s="239"/>
      <c r="O1256" s="239"/>
      <c r="P1256" s="246"/>
      <c r="Q1256" s="239"/>
      <c r="R1256" s="239"/>
      <c r="S1256" s="239"/>
      <c r="T1256" s="239"/>
      <c r="U1256" s="239"/>
      <c r="V1256" s="239"/>
      <c r="W1256" s="246"/>
      <c r="X1256" s="239"/>
      <c r="Y1256" s="239"/>
      <c r="Z1256" s="239"/>
      <c r="AA1256" s="239"/>
      <c r="AB1256" s="239"/>
      <c r="AC1256" s="239"/>
      <c r="AD1256" s="239"/>
      <c r="AE1256" s="239"/>
      <c r="AF1256" s="239"/>
      <c r="AG1256" s="239"/>
      <c r="AH1256" s="239"/>
      <c r="AI1256" s="239"/>
      <c r="AJ1256" s="239"/>
    </row>
    <row r="1257">
      <c r="A1257" s="239"/>
      <c r="B1257" s="239"/>
      <c r="C1257" s="239"/>
      <c r="D1257" s="239"/>
      <c r="E1257" s="239"/>
      <c r="F1257" s="283"/>
      <c r="G1257" s="239"/>
      <c r="H1257" s="239"/>
      <c r="I1257" s="239"/>
      <c r="J1257" s="239"/>
      <c r="K1257" s="239"/>
      <c r="L1257" s="239"/>
      <c r="M1257" s="239"/>
      <c r="N1257" s="239"/>
      <c r="O1257" s="239"/>
      <c r="P1257" s="246"/>
      <c r="Q1257" s="239"/>
      <c r="R1257" s="239"/>
      <c r="S1257" s="239"/>
      <c r="T1257" s="239"/>
      <c r="U1257" s="239"/>
      <c r="V1257" s="239"/>
      <c r="W1257" s="246"/>
      <c r="X1257" s="239"/>
      <c r="Y1257" s="239"/>
      <c r="Z1257" s="239"/>
      <c r="AA1257" s="239"/>
      <c r="AB1257" s="239"/>
      <c r="AC1257" s="239"/>
      <c r="AD1257" s="239"/>
      <c r="AE1257" s="239"/>
      <c r="AF1257" s="239"/>
      <c r="AG1257" s="239"/>
      <c r="AH1257" s="239"/>
      <c r="AI1257" s="239"/>
      <c r="AJ1257" s="239"/>
    </row>
    <row r="1258">
      <c r="A1258" s="239"/>
      <c r="B1258" s="239"/>
      <c r="C1258" s="239"/>
      <c r="D1258" s="239"/>
      <c r="E1258" s="239"/>
      <c r="F1258" s="283"/>
      <c r="G1258" s="239"/>
      <c r="H1258" s="239"/>
      <c r="I1258" s="239"/>
      <c r="J1258" s="239"/>
      <c r="K1258" s="239"/>
      <c r="L1258" s="239"/>
      <c r="M1258" s="239"/>
      <c r="N1258" s="239"/>
      <c r="O1258" s="239"/>
      <c r="P1258" s="246"/>
      <c r="Q1258" s="239"/>
      <c r="R1258" s="239"/>
      <c r="S1258" s="239"/>
      <c r="T1258" s="239"/>
      <c r="U1258" s="239"/>
      <c r="V1258" s="239"/>
      <c r="W1258" s="246"/>
      <c r="X1258" s="239"/>
      <c r="Y1258" s="239"/>
      <c r="Z1258" s="239"/>
      <c r="AA1258" s="239"/>
      <c r="AB1258" s="239"/>
      <c r="AC1258" s="239"/>
      <c r="AD1258" s="239"/>
      <c r="AE1258" s="239"/>
      <c r="AF1258" s="239"/>
      <c r="AG1258" s="239"/>
      <c r="AH1258" s="239"/>
      <c r="AI1258" s="239"/>
      <c r="AJ1258" s="239"/>
    </row>
    <row r="1259">
      <c r="A1259" s="239"/>
      <c r="B1259" s="239"/>
      <c r="C1259" s="239"/>
      <c r="D1259" s="239"/>
      <c r="E1259" s="239"/>
      <c r="F1259" s="283"/>
      <c r="G1259" s="239"/>
      <c r="H1259" s="239"/>
      <c r="I1259" s="239"/>
      <c r="J1259" s="239"/>
      <c r="K1259" s="239"/>
      <c r="L1259" s="239"/>
      <c r="M1259" s="239"/>
      <c r="N1259" s="239"/>
      <c r="O1259" s="239"/>
      <c r="P1259" s="246"/>
      <c r="Q1259" s="239"/>
      <c r="R1259" s="239"/>
      <c r="S1259" s="239"/>
      <c r="T1259" s="239"/>
      <c r="U1259" s="239"/>
      <c r="V1259" s="239"/>
      <c r="W1259" s="246"/>
      <c r="X1259" s="239"/>
      <c r="Y1259" s="239"/>
      <c r="Z1259" s="239"/>
      <c r="AA1259" s="239"/>
      <c r="AB1259" s="239"/>
      <c r="AC1259" s="239"/>
      <c r="AD1259" s="239"/>
      <c r="AE1259" s="239"/>
      <c r="AF1259" s="239"/>
      <c r="AG1259" s="239"/>
      <c r="AH1259" s="239"/>
      <c r="AI1259" s="239"/>
      <c r="AJ1259" s="239"/>
    </row>
    <row r="1260">
      <c r="A1260" s="239"/>
      <c r="B1260" s="239"/>
      <c r="C1260" s="239"/>
      <c r="D1260" s="239"/>
      <c r="E1260" s="239"/>
      <c r="F1260" s="283"/>
      <c r="G1260" s="239"/>
      <c r="H1260" s="239"/>
      <c r="I1260" s="239"/>
      <c r="J1260" s="239"/>
      <c r="K1260" s="239"/>
      <c r="L1260" s="239"/>
      <c r="M1260" s="239"/>
      <c r="N1260" s="239"/>
      <c r="O1260" s="239"/>
      <c r="P1260" s="246"/>
      <c r="Q1260" s="239"/>
      <c r="R1260" s="239"/>
      <c r="S1260" s="239"/>
      <c r="T1260" s="239"/>
      <c r="U1260" s="239"/>
      <c r="V1260" s="239"/>
      <c r="W1260" s="246"/>
      <c r="X1260" s="239"/>
      <c r="Y1260" s="239"/>
      <c r="Z1260" s="239"/>
      <c r="AA1260" s="239"/>
      <c r="AB1260" s="239"/>
      <c r="AC1260" s="239"/>
      <c r="AD1260" s="239"/>
      <c r="AE1260" s="239"/>
      <c r="AF1260" s="239"/>
      <c r="AG1260" s="239"/>
      <c r="AH1260" s="239"/>
      <c r="AI1260" s="239"/>
      <c r="AJ1260" s="239"/>
    </row>
    <row r="1261">
      <c r="A1261" s="239"/>
      <c r="B1261" s="239"/>
      <c r="C1261" s="239"/>
      <c r="D1261" s="239"/>
      <c r="E1261" s="239"/>
      <c r="F1261" s="283"/>
      <c r="G1261" s="239"/>
      <c r="H1261" s="239"/>
      <c r="I1261" s="239"/>
      <c r="J1261" s="239"/>
      <c r="K1261" s="239"/>
      <c r="L1261" s="239"/>
      <c r="M1261" s="239"/>
      <c r="N1261" s="239"/>
      <c r="O1261" s="239"/>
      <c r="P1261" s="246"/>
      <c r="Q1261" s="239"/>
      <c r="R1261" s="239"/>
      <c r="S1261" s="239"/>
      <c r="T1261" s="239"/>
      <c r="U1261" s="239"/>
      <c r="V1261" s="239"/>
      <c r="W1261" s="246"/>
      <c r="X1261" s="239"/>
      <c r="Y1261" s="239"/>
      <c r="Z1261" s="239"/>
      <c r="AA1261" s="239"/>
      <c r="AB1261" s="239"/>
      <c r="AC1261" s="239"/>
      <c r="AD1261" s="239"/>
      <c r="AE1261" s="239"/>
      <c r="AF1261" s="239"/>
      <c r="AG1261" s="239"/>
      <c r="AH1261" s="239"/>
      <c r="AI1261" s="239"/>
      <c r="AJ1261" s="239"/>
    </row>
    <row r="1262">
      <c r="A1262" s="239"/>
      <c r="B1262" s="239"/>
      <c r="C1262" s="239"/>
      <c r="D1262" s="239"/>
      <c r="E1262" s="239"/>
      <c r="F1262" s="283"/>
      <c r="G1262" s="239"/>
      <c r="H1262" s="239"/>
      <c r="I1262" s="239"/>
      <c r="J1262" s="239"/>
      <c r="K1262" s="239"/>
      <c r="L1262" s="239"/>
      <c r="M1262" s="239"/>
      <c r="N1262" s="239"/>
      <c r="O1262" s="239"/>
      <c r="P1262" s="246"/>
      <c r="Q1262" s="239"/>
      <c r="R1262" s="239"/>
      <c r="S1262" s="239"/>
      <c r="T1262" s="239"/>
      <c r="U1262" s="239"/>
      <c r="V1262" s="239"/>
      <c r="W1262" s="246"/>
      <c r="X1262" s="239"/>
      <c r="Y1262" s="239"/>
      <c r="Z1262" s="239"/>
      <c r="AA1262" s="239"/>
      <c r="AB1262" s="239"/>
      <c r="AC1262" s="239"/>
      <c r="AD1262" s="239"/>
      <c r="AE1262" s="239"/>
      <c r="AF1262" s="239"/>
      <c r="AG1262" s="239"/>
      <c r="AH1262" s="239"/>
      <c r="AI1262" s="239"/>
      <c r="AJ1262" s="239"/>
    </row>
    <row r="1263">
      <c r="A1263" s="239"/>
      <c r="B1263" s="239"/>
      <c r="C1263" s="239"/>
      <c r="D1263" s="239"/>
      <c r="E1263" s="239"/>
      <c r="F1263" s="283"/>
      <c r="G1263" s="239"/>
      <c r="H1263" s="239"/>
      <c r="I1263" s="239"/>
      <c r="J1263" s="239"/>
      <c r="K1263" s="239"/>
      <c r="L1263" s="239"/>
      <c r="M1263" s="239"/>
      <c r="N1263" s="239"/>
      <c r="O1263" s="239"/>
      <c r="P1263" s="246"/>
      <c r="Q1263" s="239"/>
      <c r="R1263" s="239"/>
      <c r="S1263" s="239"/>
      <c r="T1263" s="239"/>
      <c r="U1263" s="239"/>
      <c r="V1263" s="239"/>
      <c r="W1263" s="246"/>
      <c r="X1263" s="239"/>
      <c r="Y1263" s="239"/>
      <c r="Z1263" s="239"/>
      <c r="AA1263" s="239"/>
      <c r="AB1263" s="239"/>
      <c r="AC1263" s="239"/>
      <c r="AD1263" s="239"/>
      <c r="AE1263" s="239"/>
      <c r="AF1263" s="239"/>
      <c r="AG1263" s="239"/>
      <c r="AH1263" s="239"/>
      <c r="AI1263" s="239"/>
      <c r="AJ1263" s="239"/>
    </row>
    <row r="1264">
      <c r="A1264" s="239"/>
      <c r="B1264" s="239"/>
      <c r="C1264" s="239"/>
      <c r="D1264" s="239"/>
      <c r="E1264" s="239"/>
      <c r="F1264" s="283"/>
      <c r="G1264" s="239"/>
      <c r="H1264" s="239"/>
      <c r="I1264" s="239"/>
      <c r="J1264" s="239"/>
      <c r="K1264" s="239"/>
      <c r="L1264" s="239"/>
      <c r="M1264" s="239"/>
      <c r="N1264" s="239"/>
      <c r="O1264" s="239"/>
      <c r="P1264" s="246"/>
      <c r="Q1264" s="239"/>
      <c r="R1264" s="239"/>
      <c r="S1264" s="239"/>
      <c r="T1264" s="239"/>
      <c r="U1264" s="239"/>
      <c r="V1264" s="239"/>
      <c r="W1264" s="246"/>
      <c r="X1264" s="239"/>
      <c r="Y1264" s="239"/>
      <c r="Z1264" s="239"/>
      <c r="AA1264" s="239"/>
      <c r="AB1264" s="239"/>
      <c r="AC1264" s="239"/>
      <c r="AD1264" s="239"/>
      <c r="AE1264" s="239"/>
      <c r="AF1264" s="239"/>
      <c r="AG1264" s="239"/>
      <c r="AH1264" s="239"/>
      <c r="AI1264" s="239"/>
      <c r="AJ1264" s="239"/>
    </row>
    <row r="1265">
      <c r="A1265" s="239"/>
      <c r="B1265" s="239"/>
      <c r="C1265" s="239"/>
      <c r="D1265" s="239"/>
      <c r="E1265" s="239"/>
      <c r="F1265" s="283"/>
      <c r="G1265" s="239"/>
      <c r="H1265" s="239"/>
      <c r="I1265" s="239"/>
      <c r="J1265" s="239"/>
      <c r="K1265" s="239"/>
      <c r="L1265" s="239"/>
      <c r="M1265" s="239"/>
      <c r="N1265" s="239"/>
      <c r="O1265" s="239"/>
      <c r="P1265" s="246"/>
      <c r="Q1265" s="239"/>
      <c r="R1265" s="239"/>
      <c r="S1265" s="239"/>
      <c r="T1265" s="239"/>
      <c r="U1265" s="239"/>
      <c r="V1265" s="239"/>
      <c r="W1265" s="246"/>
      <c r="X1265" s="239"/>
      <c r="Y1265" s="239"/>
      <c r="Z1265" s="239"/>
      <c r="AA1265" s="239"/>
      <c r="AB1265" s="239"/>
      <c r="AC1265" s="239"/>
      <c r="AD1265" s="239"/>
      <c r="AE1265" s="239"/>
      <c r="AF1265" s="239"/>
      <c r="AG1265" s="239"/>
      <c r="AH1265" s="239"/>
      <c r="AI1265" s="239"/>
      <c r="AJ1265" s="239"/>
    </row>
    <row r="1266">
      <c r="A1266" s="239"/>
      <c r="B1266" s="239"/>
      <c r="C1266" s="239"/>
      <c r="D1266" s="239"/>
      <c r="E1266" s="239"/>
      <c r="F1266" s="283"/>
      <c r="G1266" s="239"/>
      <c r="H1266" s="239"/>
      <c r="I1266" s="239"/>
      <c r="J1266" s="239"/>
      <c r="K1266" s="239"/>
      <c r="L1266" s="239"/>
      <c r="M1266" s="239"/>
      <c r="N1266" s="239"/>
      <c r="O1266" s="239"/>
      <c r="P1266" s="246"/>
      <c r="Q1266" s="239"/>
      <c r="R1266" s="239"/>
      <c r="S1266" s="239"/>
      <c r="T1266" s="239"/>
      <c r="U1266" s="239"/>
      <c r="V1266" s="239"/>
      <c r="W1266" s="246"/>
      <c r="X1266" s="239"/>
      <c r="Y1266" s="239"/>
      <c r="Z1266" s="239"/>
      <c r="AA1266" s="239"/>
      <c r="AB1266" s="239"/>
      <c r="AC1266" s="239"/>
      <c r="AD1266" s="239"/>
      <c r="AE1266" s="239"/>
      <c r="AF1266" s="239"/>
      <c r="AG1266" s="239"/>
      <c r="AH1266" s="239"/>
      <c r="AI1266" s="239"/>
      <c r="AJ1266" s="239"/>
    </row>
    <row r="1267">
      <c r="A1267" s="239"/>
      <c r="B1267" s="239"/>
      <c r="C1267" s="239"/>
      <c r="D1267" s="239"/>
      <c r="E1267" s="239"/>
      <c r="F1267" s="283"/>
      <c r="G1267" s="239"/>
      <c r="H1267" s="239"/>
      <c r="I1267" s="239"/>
      <c r="J1267" s="239"/>
      <c r="K1267" s="239"/>
      <c r="L1267" s="239"/>
      <c r="M1267" s="239"/>
      <c r="N1267" s="239"/>
      <c r="O1267" s="239"/>
      <c r="P1267" s="246"/>
      <c r="Q1267" s="239"/>
      <c r="R1267" s="239"/>
      <c r="S1267" s="239"/>
      <c r="T1267" s="239"/>
      <c r="U1267" s="239"/>
      <c r="V1267" s="239"/>
      <c r="W1267" s="246"/>
      <c r="X1267" s="239"/>
      <c r="Y1267" s="239"/>
      <c r="Z1267" s="239"/>
      <c r="AA1267" s="239"/>
      <c r="AB1267" s="239"/>
      <c r="AC1267" s="239"/>
      <c r="AD1267" s="239"/>
      <c r="AE1267" s="239"/>
      <c r="AF1267" s="239"/>
      <c r="AG1267" s="239"/>
      <c r="AH1267" s="239"/>
      <c r="AI1267" s="239"/>
      <c r="AJ1267" s="239"/>
    </row>
    <row r="1268">
      <c r="A1268" s="239"/>
      <c r="B1268" s="239"/>
      <c r="C1268" s="239"/>
      <c r="D1268" s="239"/>
      <c r="E1268" s="239"/>
      <c r="F1268" s="283"/>
      <c r="G1268" s="239"/>
      <c r="H1268" s="239"/>
      <c r="I1268" s="239"/>
      <c r="J1268" s="239"/>
      <c r="K1268" s="239"/>
      <c r="L1268" s="239"/>
      <c r="M1268" s="239"/>
      <c r="N1268" s="239"/>
      <c r="O1268" s="239"/>
      <c r="P1268" s="246"/>
      <c r="Q1268" s="239"/>
      <c r="R1268" s="239"/>
      <c r="S1268" s="239"/>
      <c r="T1268" s="239"/>
      <c r="U1268" s="239"/>
      <c r="V1268" s="239"/>
      <c r="W1268" s="246"/>
      <c r="X1268" s="239"/>
      <c r="Y1268" s="239"/>
      <c r="Z1268" s="239"/>
      <c r="AA1268" s="239"/>
      <c r="AB1268" s="239"/>
      <c r="AC1268" s="239"/>
      <c r="AD1268" s="239"/>
      <c r="AE1268" s="239"/>
      <c r="AF1268" s="239"/>
      <c r="AG1268" s="239"/>
      <c r="AH1268" s="239"/>
      <c r="AI1268" s="239"/>
      <c r="AJ1268" s="239"/>
    </row>
    <row r="1269">
      <c r="A1269" s="239"/>
      <c r="B1269" s="239"/>
      <c r="C1269" s="239"/>
      <c r="D1269" s="239"/>
      <c r="E1269" s="239"/>
      <c r="F1269" s="283"/>
      <c r="G1269" s="239"/>
      <c r="H1269" s="239"/>
      <c r="I1269" s="239"/>
      <c r="J1269" s="239"/>
      <c r="K1269" s="239"/>
      <c r="L1269" s="239"/>
      <c r="M1269" s="239"/>
      <c r="N1269" s="239"/>
      <c r="O1269" s="239"/>
      <c r="P1269" s="246"/>
      <c r="Q1269" s="239"/>
      <c r="R1269" s="239"/>
      <c r="S1269" s="239"/>
      <c r="T1269" s="239"/>
      <c r="U1269" s="239"/>
      <c r="V1269" s="239"/>
      <c r="W1269" s="246"/>
      <c r="X1269" s="239"/>
      <c r="Y1269" s="239"/>
      <c r="Z1269" s="239"/>
      <c r="AA1269" s="239"/>
      <c r="AB1269" s="239"/>
      <c r="AC1269" s="239"/>
      <c r="AD1269" s="239"/>
      <c r="AE1269" s="239"/>
      <c r="AF1269" s="239"/>
      <c r="AG1269" s="239"/>
      <c r="AH1269" s="239"/>
      <c r="AI1269" s="239"/>
      <c r="AJ1269" s="239"/>
    </row>
    <row r="1270">
      <c r="A1270" s="239"/>
      <c r="B1270" s="239"/>
      <c r="C1270" s="239"/>
      <c r="D1270" s="239"/>
      <c r="E1270" s="239"/>
      <c r="F1270" s="283"/>
      <c r="G1270" s="239"/>
      <c r="H1270" s="239"/>
      <c r="I1270" s="239"/>
      <c r="J1270" s="239"/>
      <c r="K1270" s="239"/>
      <c r="L1270" s="239"/>
      <c r="M1270" s="239"/>
      <c r="N1270" s="239"/>
      <c r="O1270" s="239"/>
      <c r="P1270" s="246"/>
      <c r="Q1270" s="239"/>
      <c r="R1270" s="239"/>
      <c r="S1270" s="239"/>
      <c r="T1270" s="239"/>
      <c r="U1270" s="239"/>
      <c r="V1270" s="239"/>
      <c r="W1270" s="246"/>
      <c r="X1270" s="239"/>
      <c r="Y1270" s="239"/>
      <c r="Z1270" s="239"/>
      <c r="AA1270" s="239"/>
      <c r="AB1270" s="239"/>
      <c r="AC1270" s="239"/>
      <c r="AD1270" s="239"/>
      <c r="AE1270" s="239"/>
      <c r="AF1270" s="239"/>
      <c r="AG1270" s="239"/>
      <c r="AH1270" s="239"/>
      <c r="AI1270" s="239"/>
      <c r="AJ1270" s="239"/>
    </row>
    <row r="1271">
      <c r="A1271" s="239"/>
      <c r="B1271" s="239"/>
      <c r="C1271" s="239"/>
      <c r="D1271" s="239"/>
      <c r="E1271" s="239"/>
      <c r="F1271" s="283"/>
      <c r="G1271" s="239"/>
      <c r="H1271" s="239"/>
      <c r="I1271" s="239"/>
      <c r="J1271" s="239"/>
      <c r="K1271" s="239"/>
      <c r="L1271" s="239"/>
      <c r="M1271" s="239"/>
      <c r="N1271" s="239"/>
      <c r="O1271" s="239"/>
      <c r="P1271" s="246"/>
      <c r="Q1271" s="239"/>
      <c r="R1271" s="239"/>
      <c r="S1271" s="239"/>
      <c r="T1271" s="239"/>
      <c r="U1271" s="239"/>
      <c r="V1271" s="239"/>
      <c r="W1271" s="246"/>
      <c r="X1271" s="239"/>
      <c r="Y1271" s="239"/>
      <c r="Z1271" s="239"/>
      <c r="AA1271" s="239"/>
      <c r="AB1271" s="239"/>
      <c r="AC1271" s="239"/>
      <c r="AD1271" s="239"/>
      <c r="AE1271" s="239"/>
      <c r="AF1271" s="239"/>
      <c r="AG1271" s="239"/>
      <c r="AH1271" s="239"/>
      <c r="AI1271" s="239"/>
      <c r="AJ1271" s="239"/>
    </row>
    <row r="1272">
      <c r="A1272" s="239"/>
      <c r="B1272" s="239"/>
      <c r="C1272" s="239"/>
      <c r="D1272" s="239"/>
      <c r="E1272" s="239"/>
      <c r="F1272" s="283"/>
      <c r="G1272" s="239"/>
      <c r="H1272" s="239"/>
      <c r="I1272" s="239"/>
      <c r="J1272" s="239"/>
      <c r="K1272" s="239"/>
      <c r="L1272" s="239"/>
      <c r="M1272" s="239"/>
      <c r="N1272" s="239"/>
      <c r="O1272" s="239"/>
      <c r="P1272" s="246"/>
      <c r="Q1272" s="239"/>
      <c r="R1272" s="239"/>
      <c r="S1272" s="239"/>
      <c r="T1272" s="239"/>
      <c r="U1272" s="239"/>
      <c r="V1272" s="239"/>
      <c r="W1272" s="246"/>
      <c r="X1272" s="239"/>
      <c r="Y1272" s="239"/>
      <c r="Z1272" s="239"/>
      <c r="AA1272" s="239"/>
      <c r="AB1272" s="239"/>
      <c r="AC1272" s="239"/>
      <c r="AD1272" s="239"/>
      <c r="AE1272" s="239"/>
      <c r="AF1272" s="239"/>
      <c r="AG1272" s="239"/>
      <c r="AH1272" s="239"/>
      <c r="AI1272" s="239"/>
      <c r="AJ1272" s="239"/>
    </row>
    <row r="1273">
      <c r="A1273" s="239"/>
      <c r="B1273" s="239"/>
      <c r="C1273" s="239"/>
      <c r="D1273" s="239"/>
      <c r="E1273" s="239"/>
      <c r="F1273" s="283"/>
      <c r="G1273" s="239"/>
      <c r="H1273" s="239"/>
      <c r="I1273" s="239"/>
      <c r="J1273" s="239"/>
      <c r="K1273" s="239"/>
      <c r="L1273" s="239"/>
      <c r="M1273" s="239"/>
      <c r="N1273" s="239"/>
      <c r="O1273" s="239"/>
      <c r="P1273" s="246"/>
      <c r="Q1273" s="239"/>
      <c r="R1273" s="239"/>
      <c r="S1273" s="239"/>
      <c r="T1273" s="239"/>
      <c r="U1273" s="239"/>
      <c r="V1273" s="239"/>
      <c r="W1273" s="246"/>
      <c r="X1273" s="239"/>
      <c r="Y1273" s="239"/>
      <c r="Z1273" s="239"/>
      <c r="AA1273" s="239"/>
      <c r="AB1273" s="239"/>
      <c r="AC1273" s="239"/>
      <c r="AD1273" s="239"/>
      <c r="AE1273" s="239"/>
      <c r="AF1273" s="239"/>
      <c r="AG1273" s="239"/>
      <c r="AH1273" s="239"/>
      <c r="AI1273" s="239"/>
      <c r="AJ1273" s="239"/>
    </row>
    <row r="1274">
      <c r="A1274" s="239"/>
      <c r="B1274" s="239"/>
      <c r="C1274" s="239"/>
      <c r="D1274" s="239"/>
      <c r="E1274" s="239"/>
      <c r="F1274" s="283"/>
      <c r="G1274" s="239"/>
      <c r="H1274" s="239"/>
      <c r="I1274" s="239"/>
      <c r="J1274" s="239"/>
      <c r="K1274" s="239"/>
      <c r="L1274" s="239"/>
      <c r="M1274" s="239"/>
      <c r="N1274" s="239"/>
      <c r="O1274" s="239"/>
      <c r="P1274" s="246"/>
      <c r="Q1274" s="239"/>
      <c r="R1274" s="239"/>
      <c r="S1274" s="239"/>
      <c r="T1274" s="239"/>
      <c r="U1274" s="239"/>
      <c r="V1274" s="239"/>
      <c r="W1274" s="246"/>
      <c r="X1274" s="239"/>
      <c r="Y1274" s="239"/>
      <c r="Z1274" s="239"/>
      <c r="AA1274" s="239"/>
      <c r="AB1274" s="239"/>
      <c r="AC1274" s="239"/>
      <c r="AD1274" s="239"/>
      <c r="AE1274" s="239"/>
      <c r="AF1274" s="239"/>
      <c r="AG1274" s="239"/>
      <c r="AH1274" s="239"/>
      <c r="AI1274" s="239"/>
      <c r="AJ1274" s="239"/>
    </row>
    <row r="1275">
      <c r="A1275" s="239"/>
      <c r="B1275" s="239"/>
      <c r="C1275" s="239"/>
      <c r="D1275" s="239"/>
      <c r="E1275" s="239"/>
      <c r="F1275" s="283"/>
      <c r="G1275" s="239"/>
      <c r="H1275" s="239"/>
      <c r="I1275" s="239"/>
      <c r="J1275" s="239"/>
      <c r="K1275" s="239"/>
      <c r="L1275" s="239"/>
      <c r="M1275" s="239"/>
      <c r="N1275" s="239"/>
      <c r="O1275" s="239"/>
      <c r="P1275" s="246"/>
      <c r="Q1275" s="239"/>
      <c r="R1275" s="239"/>
      <c r="S1275" s="239"/>
      <c r="T1275" s="239"/>
      <c r="U1275" s="239"/>
      <c r="V1275" s="239"/>
      <c r="W1275" s="246"/>
      <c r="X1275" s="239"/>
      <c r="Y1275" s="239"/>
      <c r="Z1275" s="239"/>
      <c r="AA1275" s="239"/>
      <c r="AB1275" s="239"/>
      <c r="AC1275" s="239"/>
      <c r="AD1275" s="239"/>
      <c r="AE1275" s="239"/>
      <c r="AF1275" s="239"/>
      <c r="AG1275" s="239"/>
      <c r="AH1275" s="239"/>
      <c r="AI1275" s="239"/>
      <c r="AJ1275" s="239"/>
    </row>
    <row r="1276">
      <c r="A1276" s="239"/>
      <c r="B1276" s="239"/>
      <c r="C1276" s="239"/>
      <c r="D1276" s="239"/>
      <c r="E1276" s="239"/>
      <c r="F1276" s="283"/>
      <c r="G1276" s="239"/>
      <c r="H1276" s="239"/>
      <c r="I1276" s="239"/>
      <c r="J1276" s="239"/>
      <c r="K1276" s="239"/>
      <c r="L1276" s="239"/>
      <c r="M1276" s="239"/>
      <c r="N1276" s="239"/>
      <c r="O1276" s="239"/>
      <c r="P1276" s="246"/>
      <c r="Q1276" s="239"/>
      <c r="R1276" s="239"/>
      <c r="S1276" s="239"/>
      <c r="T1276" s="239"/>
      <c r="U1276" s="239"/>
      <c r="V1276" s="239"/>
      <c r="W1276" s="246"/>
      <c r="X1276" s="239"/>
      <c r="Y1276" s="239"/>
      <c r="Z1276" s="239"/>
      <c r="AA1276" s="239"/>
      <c r="AB1276" s="239"/>
      <c r="AC1276" s="239"/>
      <c r="AD1276" s="239"/>
      <c r="AE1276" s="239"/>
      <c r="AF1276" s="239"/>
      <c r="AG1276" s="239"/>
      <c r="AH1276" s="239"/>
      <c r="AI1276" s="239"/>
      <c r="AJ1276" s="239"/>
    </row>
    <row r="1277">
      <c r="A1277" s="239"/>
      <c r="B1277" s="239"/>
      <c r="C1277" s="239"/>
      <c r="D1277" s="239"/>
      <c r="E1277" s="239"/>
      <c r="F1277" s="283"/>
      <c r="G1277" s="239"/>
      <c r="H1277" s="239"/>
      <c r="I1277" s="239"/>
      <c r="J1277" s="239"/>
      <c r="K1277" s="239"/>
      <c r="L1277" s="239"/>
      <c r="M1277" s="239"/>
      <c r="N1277" s="239"/>
      <c r="O1277" s="239"/>
      <c r="P1277" s="246"/>
      <c r="Q1277" s="239"/>
      <c r="R1277" s="239"/>
      <c r="S1277" s="239"/>
      <c r="T1277" s="239"/>
      <c r="U1277" s="239"/>
      <c r="V1277" s="239"/>
      <c r="W1277" s="246"/>
      <c r="X1277" s="239"/>
      <c r="Y1277" s="239"/>
      <c r="Z1277" s="239"/>
      <c r="AA1277" s="239"/>
      <c r="AB1277" s="239"/>
      <c r="AC1277" s="239"/>
      <c r="AD1277" s="239"/>
      <c r="AE1277" s="239"/>
      <c r="AF1277" s="239"/>
      <c r="AG1277" s="239"/>
      <c r="AH1277" s="239"/>
      <c r="AI1277" s="239"/>
      <c r="AJ1277" s="239"/>
    </row>
    <row r="1278">
      <c r="A1278" s="239"/>
      <c r="B1278" s="239"/>
      <c r="C1278" s="239"/>
      <c r="D1278" s="239"/>
      <c r="E1278" s="239"/>
      <c r="F1278" s="283"/>
      <c r="G1278" s="239"/>
      <c r="H1278" s="239"/>
      <c r="I1278" s="239"/>
      <c r="J1278" s="239"/>
      <c r="K1278" s="239"/>
      <c r="L1278" s="239"/>
      <c r="M1278" s="239"/>
      <c r="N1278" s="239"/>
      <c r="O1278" s="239"/>
      <c r="P1278" s="246"/>
      <c r="Q1278" s="239"/>
      <c r="R1278" s="239"/>
      <c r="S1278" s="239"/>
      <c r="T1278" s="239"/>
      <c r="U1278" s="239"/>
      <c r="V1278" s="239"/>
      <c r="W1278" s="246"/>
      <c r="X1278" s="239"/>
      <c r="Y1278" s="239"/>
      <c r="Z1278" s="239"/>
      <c r="AA1278" s="239"/>
      <c r="AB1278" s="239"/>
      <c r="AC1278" s="239"/>
      <c r="AD1278" s="239"/>
      <c r="AE1278" s="239"/>
      <c r="AF1278" s="239"/>
      <c r="AG1278" s="239"/>
      <c r="AH1278" s="239"/>
      <c r="AI1278" s="239"/>
      <c r="AJ1278" s="239"/>
    </row>
    <row r="1279">
      <c r="A1279" s="239"/>
      <c r="B1279" s="239"/>
      <c r="C1279" s="239"/>
      <c r="D1279" s="239"/>
      <c r="E1279" s="239"/>
      <c r="F1279" s="283"/>
      <c r="G1279" s="239"/>
      <c r="H1279" s="239"/>
      <c r="I1279" s="239"/>
      <c r="J1279" s="239"/>
      <c r="K1279" s="239"/>
      <c r="L1279" s="239"/>
      <c r="M1279" s="239"/>
      <c r="N1279" s="239"/>
      <c r="O1279" s="239"/>
      <c r="P1279" s="246"/>
      <c r="Q1279" s="239"/>
      <c r="R1279" s="239"/>
      <c r="S1279" s="239"/>
      <c r="T1279" s="239"/>
      <c r="U1279" s="239"/>
      <c r="V1279" s="239"/>
      <c r="W1279" s="246"/>
      <c r="X1279" s="239"/>
      <c r="Y1279" s="239"/>
      <c r="Z1279" s="239"/>
      <c r="AA1279" s="239"/>
      <c r="AB1279" s="239"/>
      <c r="AC1279" s="239"/>
      <c r="AD1279" s="239"/>
      <c r="AE1279" s="239"/>
      <c r="AF1279" s="239"/>
      <c r="AG1279" s="239"/>
      <c r="AH1279" s="239"/>
      <c r="AI1279" s="239"/>
      <c r="AJ1279" s="239"/>
    </row>
    <row r="1280">
      <c r="A1280" s="239"/>
      <c r="B1280" s="239"/>
      <c r="C1280" s="239"/>
      <c r="D1280" s="239"/>
      <c r="E1280" s="239"/>
      <c r="F1280" s="283"/>
      <c r="G1280" s="239"/>
      <c r="H1280" s="239"/>
      <c r="I1280" s="239"/>
      <c r="J1280" s="239"/>
      <c r="K1280" s="239"/>
      <c r="L1280" s="239"/>
      <c r="M1280" s="239"/>
      <c r="N1280" s="239"/>
      <c r="O1280" s="239"/>
      <c r="P1280" s="246"/>
      <c r="Q1280" s="239"/>
      <c r="R1280" s="239"/>
      <c r="S1280" s="239"/>
      <c r="T1280" s="239"/>
      <c r="U1280" s="239"/>
      <c r="V1280" s="239"/>
      <c r="W1280" s="246"/>
      <c r="X1280" s="239"/>
      <c r="Y1280" s="239"/>
      <c r="Z1280" s="239"/>
      <c r="AA1280" s="239"/>
      <c r="AB1280" s="239"/>
      <c r="AC1280" s="239"/>
      <c r="AD1280" s="239"/>
      <c r="AE1280" s="239"/>
      <c r="AF1280" s="239"/>
      <c r="AG1280" s="239"/>
      <c r="AH1280" s="239"/>
      <c r="AI1280" s="239"/>
      <c r="AJ1280" s="239"/>
    </row>
    <row r="1281">
      <c r="A1281" s="239"/>
      <c r="B1281" s="239"/>
      <c r="C1281" s="239"/>
      <c r="D1281" s="239"/>
      <c r="E1281" s="239"/>
      <c r="F1281" s="283"/>
      <c r="G1281" s="239"/>
      <c r="H1281" s="239"/>
      <c r="I1281" s="239"/>
      <c r="J1281" s="239"/>
      <c r="K1281" s="239"/>
      <c r="L1281" s="239"/>
      <c r="M1281" s="239"/>
      <c r="N1281" s="239"/>
      <c r="O1281" s="239"/>
      <c r="P1281" s="246"/>
      <c r="Q1281" s="239"/>
      <c r="R1281" s="239"/>
      <c r="S1281" s="239"/>
      <c r="T1281" s="239"/>
      <c r="U1281" s="239"/>
      <c r="V1281" s="239"/>
      <c r="W1281" s="246"/>
      <c r="X1281" s="239"/>
      <c r="Y1281" s="239"/>
      <c r="Z1281" s="239"/>
      <c r="AA1281" s="239"/>
      <c r="AB1281" s="239"/>
      <c r="AC1281" s="239"/>
      <c r="AD1281" s="239"/>
      <c r="AE1281" s="239"/>
      <c r="AF1281" s="239"/>
      <c r="AG1281" s="239"/>
      <c r="AH1281" s="239"/>
      <c r="AI1281" s="239"/>
      <c r="AJ1281" s="239"/>
    </row>
    <row r="1282">
      <c r="A1282" s="239"/>
      <c r="B1282" s="239"/>
      <c r="C1282" s="239"/>
      <c r="D1282" s="239"/>
      <c r="E1282" s="239"/>
      <c r="F1282" s="283"/>
      <c r="G1282" s="239"/>
      <c r="H1282" s="239"/>
      <c r="I1282" s="239"/>
      <c r="J1282" s="239"/>
      <c r="K1282" s="239"/>
      <c r="L1282" s="239"/>
      <c r="M1282" s="239"/>
      <c r="N1282" s="239"/>
      <c r="O1282" s="239"/>
      <c r="P1282" s="246"/>
      <c r="Q1282" s="239"/>
      <c r="R1282" s="239"/>
      <c r="S1282" s="239"/>
      <c r="T1282" s="239"/>
      <c r="U1282" s="239"/>
      <c r="V1282" s="239"/>
      <c r="W1282" s="246"/>
      <c r="X1282" s="239"/>
      <c r="Y1282" s="239"/>
      <c r="Z1282" s="239"/>
      <c r="AA1282" s="239"/>
      <c r="AB1282" s="239"/>
      <c r="AC1282" s="239"/>
      <c r="AD1282" s="239"/>
      <c r="AE1282" s="239"/>
      <c r="AF1282" s="239"/>
      <c r="AG1282" s="239"/>
      <c r="AH1282" s="239"/>
      <c r="AI1282" s="239"/>
      <c r="AJ1282" s="239"/>
    </row>
    <row r="1283">
      <c r="A1283" s="239"/>
      <c r="B1283" s="239"/>
      <c r="C1283" s="239"/>
      <c r="D1283" s="239"/>
      <c r="E1283" s="239"/>
      <c r="F1283" s="283"/>
      <c r="G1283" s="239"/>
      <c r="H1283" s="239"/>
      <c r="I1283" s="239"/>
      <c r="J1283" s="239"/>
      <c r="K1283" s="239"/>
      <c r="L1283" s="239"/>
      <c r="M1283" s="239"/>
      <c r="N1283" s="239"/>
      <c r="O1283" s="239"/>
      <c r="P1283" s="246"/>
      <c r="Q1283" s="239"/>
      <c r="R1283" s="239"/>
      <c r="S1283" s="239"/>
      <c r="T1283" s="239"/>
      <c r="U1283" s="239"/>
      <c r="V1283" s="239"/>
      <c r="W1283" s="246"/>
      <c r="X1283" s="239"/>
      <c r="Y1283" s="239"/>
      <c r="Z1283" s="239"/>
      <c r="AA1283" s="239"/>
      <c r="AB1283" s="239"/>
      <c r="AC1283" s="239"/>
      <c r="AD1283" s="239"/>
      <c r="AE1283" s="239"/>
      <c r="AF1283" s="239"/>
      <c r="AG1283" s="239"/>
      <c r="AH1283" s="239"/>
      <c r="AI1283" s="239"/>
      <c r="AJ1283" s="239"/>
    </row>
    <row r="1284">
      <c r="A1284" s="239"/>
      <c r="B1284" s="239"/>
      <c r="C1284" s="239"/>
      <c r="D1284" s="239"/>
      <c r="E1284" s="239"/>
      <c r="F1284" s="283"/>
      <c r="G1284" s="239"/>
      <c r="H1284" s="239"/>
      <c r="I1284" s="239"/>
      <c r="J1284" s="239"/>
      <c r="K1284" s="239"/>
      <c r="L1284" s="239"/>
      <c r="M1284" s="239"/>
      <c r="N1284" s="239"/>
      <c r="O1284" s="239"/>
      <c r="P1284" s="246"/>
      <c r="Q1284" s="239"/>
      <c r="R1284" s="239"/>
      <c r="S1284" s="239"/>
      <c r="T1284" s="239"/>
      <c r="U1284" s="239"/>
      <c r="V1284" s="239"/>
      <c r="W1284" s="246"/>
      <c r="X1284" s="239"/>
      <c r="Y1284" s="239"/>
      <c r="Z1284" s="239"/>
      <c r="AA1284" s="239"/>
      <c r="AB1284" s="239"/>
      <c r="AC1284" s="239"/>
      <c r="AD1284" s="239"/>
      <c r="AE1284" s="239"/>
      <c r="AF1284" s="239"/>
      <c r="AG1284" s="239"/>
      <c r="AH1284" s="239"/>
      <c r="AI1284" s="239"/>
      <c r="AJ1284" s="239"/>
    </row>
    <row r="1285">
      <c r="A1285" s="239"/>
      <c r="B1285" s="239"/>
      <c r="C1285" s="239"/>
      <c r="D1285" s="239"/>
      <c r="E1285" s="239"/>
      <c r="F1285" s="283"/>
      <c r="G1285" s="239"/>
      <c r="H1285" s="239"/>
      <c r="I1285" s="239"/>
      <c r="J1285" s="239"/>
      <c r="K1285" s="239"/>
      <c r="L1285" s="239"/>
      <c r="M1285" s="239"/>
      <c r="N1285" s="239"/>
      <c r="O1285" s="239"/>
      <c r="P1285" s="246"/>
      <c r="Q1285" s="239"/>
      <c r="R1285" s="239"/>
      <c r="S1285" s="239"/>
      <c r="T1285" s="239"/>
      <c r="U1285" s="239"/>
      <c r="V1285" s="239"/>
      <c r="W1285" s="246"/>
      <c r="X1285" s="239"/>
      <c r="Y1285" s="239"/>
      <c r="Z1285" s="239"/>
      <c r="AA1285" s="239"/>
      <c r="AB1285" s="239"/>
      <c r="AC1285" s="239"/>
      <c r="AD1285" s="239"/>
      <c r="AE1285" s="239"/>
      <c r="AF1285" s="239"/>
      <c r="AG1285" s="239"/>
      <c r="AH1285" s="239"/>
      <c r="AI1285" s="239"/>
      <c r="AJ1285" s="239"/>
    </row>
    <row r="1286">
      <c r="A1286" s="239"/>
      <c r="B1286" s="239"/>
      <c r="C1286" s="239"/>
      <c r="D1286" s="239"/>
      <c r="E1286" s="239"/>
      <c r="F1286" s="283"/>
      <c r="G1286" s="239"/>
      <c r="H1286" s="239"/>
      <c r="I1286" s="239"/>
      <c r="J1286" s="239"/>
      <c r="K1286" s="239"/>
      <c r="L1286" s="239"/>
      <c r="M1286" s="239"/>
      <c r="N1286" s="239"/>
      <c r="O1286" s="239"/>
      <c r="P1286" s="246"/>
      <c r="Q1286" s="239"/>
      <c r="R1286" s="239"/>
      <c r="S1286" s="239"/>
      <c r="T1286" s="239"/>
      <c r="U1286" s="239"/>
      <c r="V1286" s="239"/>
      <c r="W1286" s="246"/>
      <c r="X1286" s="239"/>
      <c r="Y1286" s="239"/>
      <c r="Z1286" s="239"/>
      <c r="AA1286" s="239"/>
      <c r="AB1286" s="239"/>
      <c r="AC1286" s="239"/>
      <c r="AD1286" s="239"/>
      <c r="AE1286" s="239"/>
      <c r="AF1286" s="239"/>
      <c r="AG1286" s="239"/>
      <c r="AH1286" s="239"/>
      <c r="AI1286" s="239"/>
      <c r="AJ1286" s="239"/>
    </row>
    <row r="1287">
      <c r="A1287" s="239"/>
      <c r="B1287" s="239"/>
      <c r="C1287" s="239"/>
      <c r="D1287" s="239"/>
      <c r="E1287" s="239"/>
      <c r="F1287" s="283"/>
      <c r="G1287" s="239"/>
      <c r="H1287" s="239"/>
      <c r="I1287" s="239"/>
      <c r="J1287" s="239"/>
      <c r="K1287" s="239"/>
      <c r="L1287" s="239"/>
      <c r="M1287" s="239"/>
      <c r="N1287" s="239"/>
      <c r="O1287" s="239"/>
      <c r="P1287" s="246"/>
      <c r="Q1287" s="239"/>
      <c r="R1287" s="239"/>
      <c r="S1287" s="239"/>
      <c r="T1287" s="239"/>
      <c r="U1287" s="239"/>
      <c r="V1287" s="239"/>
      <c r="W1287" s="246"/>
      <c r="X1287" s="239"/>
      <c r="Y1287" s="239"/>
      <c r="Z1287" s="239"/>
      <c r="AA1287" s="239"/>
      <c r="AB1287" s="239"/>
      <c r="AC1287" s="239"/>
      <c r="AD1287" s="239"/>
      <c r="AE1287" s="239"/>
      <c r="AF1287" s="239"/>
      <c r="AG1287" s="239"/>
      <c r="AH1287" s="239"/>
      <c r="AI1287" s="239"/>
      <c r="AJ1287" s="239"/>
    </row>
    <row r="1288">
      <c r="A1288" s="239"/>
      <c r="B1288" s="239"/>
      <c r="C1288" s="239"/>
      <c r="D1288" s="239"/>
      <c r="E1288" s="239"/>
      <c r="F1288" s="283"/>
      <c r="G1288" s="239"/>
      <c r="H1288" s="239"/>
      <c r="I1288" s="239"/>
      <c r="J1288" s="239"/>
      <c r="K1288" s="239"/>
      <c r="L1288" s="239"/>
      <c r="M1288" s="239"/>
      <c r="N1288" s="239"/>
      <c r="O1288" s="239"/>
      <c r="P1288" s="246"/>
      <c r="Q1288" s="239"/>
      <c r="R1288" s="239"/>
      <c r="S1288" s="239"/>
      <c r="T1288" s="239"/>
      <c r="U1288" s="239"/>
      <c r="V1288" s="239"/>
      <c r="W1288" s="246"/>
      <c r="X1288" s="239"/>
      <c r="Y1288" s="239"/>
      <c r="Z1288" s="239"/>
      <c r="AA1288" s="239"/>
      <c r="AB1288" s="239"/>
      <c r="AC1288" s="239"/>
      <c r="AD1288" s="239"/>
      <c r="AE1288" s="239"/>
      <c r="AF1288" s="239"/>
      <c r="AG1288" s="239"/>
      <c r="AH1288" s="239"/>
      <c r="AI1288" s="239"/>
      <c r="AJ1288" s="239"/>
    </row>
    <row r="1289">
      <c r="A1289" s="239"/>
      <c r="B1289" s="239"/>
      <c r="C1289" s="239"/>
      <c r="D1289" s="239"/>
      <c r="E1289" s="239"/>
      <c r="F1289" s="283"/>
      <c r="G1289" s="239"/>
      <c r="H1289" s="239"/>
      <c r="I1289" s="239"/>
      <c r="J1289" s="239"/>
      <c r="K1289" s="239"/>
      <c r="L1289" s="239"/>
      <c r="M1289" s="239"/>
      <c r="N1289" s="239"/>
      <c r="O1289" s="239"/>
      <c r="P1289" s="246"/>
      <c r="Q1289" s="239"/>
      <c r="R1289" s="239"/>
      <c r="S1289" s="239"/>
      <c r="T1289" s="239"/>
      <c r="U1289" s="239"/>
      <c r="V1289" s="239"/>
      <c r="W1289" s="246"/>
      <c r="X1289" s="239"/>
      <c r="Y1289" s="239"/>
      <c r="Z1289" s="239"/>
      <c r="AA1289" s="239"/>
      <c r="AB1289" s="239"/>
      <c r="AC1289" s="239"/>
      <c r="AD1289" s="239"/>
      <c r="AE1289" s="239"/>
      <c r="AF1289" s="239"/>
      <c r="AG1289" s="239"/>
      <c r="AH1289" s="239"/>
      <c r="AI1289" s="239"/>
      <c r="AJ1289" s="239"/>
    </row>
    <row r="1290">
      <c r="A1290" s="239"/>
      <c r="B1290" s="239"/>
      <c r="C1290" s="239"/>
      <c r="D1290" s="239"/>
      <c r="E1290" s="239"/>
      <c r="F1290" s="283"/>
      <c r="G1290" s="239"/>
      <c r="H1290" s="239"/>
      <c r="I1290" s="239"/>
      <c r="J1290" s="239"/>
      <c r="K1290" s="239"/>
      <c r="L1290" s="239"/>
      <c r="M1290" s="239"/>
      <c r="N1290" s="239"/>
      <c r="O1290" s="239"/>
      <c r="P1290" s="246"/>
      <c r="Q1290" s="239"/>
      <c r="R1290" s="239"/>
      <c r="S1290" s="239"/>
      <c r="T1290" s="239"/>
      <c r="U1290" s="239"/>
      <c r="V1290" s="239"/>
      <c r="W1290" s="246"/>
      <c r="X1290" s="239"/>
      <c r="Y1290" s="239"/>
      <c r="Z1290" s="239"/>
      <c r="AA1290" s="239"/>
      <c r="AB1290" s="239"/>
      <c r="AC1290" s="239"/>
      <c r="AD1290" s="239"/>
      <c r="AE1290" s="239"/>
      <c r="AF1290" s="239"/>
      <c r="AG1290" s="239"/>
      <c r="AH1290" s="239"/>
      <c r="AI1290" s="239"/>
      <c r="AJ1290" s="239"/>
    </row>
    <row r="1291">
      <c r="A1291" s="239"/>
      <c r="B1291" s="239"/>
      <c r="C1291" s="239"/>
      <c r="D1291" s="239"/>
      <c r="E1291" s="239"/>
      <c r="F1291" s="283"/>
      <c r="G1291" s="239"/>
      <c r="H1291" s="239"/>
      <c r="I1291" s="239"/>
      <c r="J1291" s="239"/>
      <c r="K1291" s="239"/>
      <c r="L1291" s="239"/>
      <c r="M1291" s="239"/>
      <c r="N1291" s="239"/>
      <c r="O1291" s="239"/>
      <c r="P1291" s="246"/>
      <c r="Q1291" s="239"/>
      <c r="R1291" s="239"/>
      <c r="S1291" s="239"/>
      <c r="T1291" s="239"/>
      <c r="U1291" s="239"/>
      <c r="V1291" s="239"/>
      <c r="W1291" s="246"/>
      <c r="X1291" s="239"/>
      <c r="Y1291" s="239"/>
      <c r="Z1291" s="239"/>
      <c r="AA1291" s="239"/>
      <c r="AB1291" s="239"/>
      <c r="AC1291" s="239"/>
      <c r="AD1291" s="239"/>
      <c r="AE1291" s="239"/>
      <c r="AF1291" s="239"/>
      <c r="AG1291" s="239"/>
      <c r="AH1291" s="239"/>
      <c r="AI1291" s="239"/>
      <c r="AJ1291" s="239"/>
    </row>
    <row r="1292">
      <c r="A1292" s="239"/>
      <c r="B1292" s="239"/>
      <c r="C1292" s="239"/>
      <c r="D1292" s="239"/>
      <c r="E1292" s="239"/>
      <c r="F1292" s="283"/>
      <c r="G1292" s="239"/>
      <c r="H1292" s="239"/>
      <c r="I1292" s="239"/>
      <c r="J1292" s="239"/>
      <c r="K1292" s="239"/>
      <c r="L1292" s="239"/>
      <c r="M1292" s="239"/>
      <c r="N1292" s="239"/>
      <c r="O1292" s="239"/>
      <c r="P1292" s="246"/>
      <c r="Q1292" s="239"/>
      <c r="R1292" s="239"/>
      <c r="S1292" s="239"/>
      <c r="T1292" s="239"/>
      <c r="U1292" s="239"/>
      <c r="V1292" s="239"/>
      <c r="W1292" s="246"/>
      <c r="X1292" s="239"/>
      <c r="Y1292" s="239"/>
      <c r="Z1292" s="239"/>
      <c r="AA1292" s="239"/>
      <c r="AB1292" s="239"/>
      <c r="AC1292" s="239"/>
      <c r="AD1292" s="239"/>
      <c r="AE1292" s="239"/>
      <c r="AF1292" s="239"/>
      <c r="AG1292" s="239"/>
      <c r="AH1292" s="239"/>
      <c r="AI1292" s="239"/>
      <c r="AJ1292" s="239"/>
    </row>
    <row r="1293">
      <c r="A1293" s="239"/>
      <c r="B1293" s="239"/>
      <c r="C1293" s="239"/>
      <c r="D1293" s="239"/>
      <c r="E1293" s="239"/>
      <c r="F1293" s="283"/>
      <c r="G1293" s="239"/>
      <c r="H1293" s="239"/>
      <c r="I1293" s="239"/>
      <c r="J1293" s="239"/>
      <c r="K1293" s="239"/>
      <c r="L1293" s="239"/>
      <c r="M1293" s="239"/>
      <c r="N1293" s="239"/>
      <c r="O1293" s="239"/>
      <c r="P1293" s="246"/>
      <c r="Q1293" s="239"/>
      <c r="R1293" s="239"/>
      <c r="S1293" s="239"/>
      <c r="T1293" s="239"/>
      <c r="U1293" s="239"/>
      <c r="V1293" s="239"/>
      <c r="W1293" s="246"/>
      <c r="X1293" s="239"/>
      <c r="Y1293" s="239"/>
      <c r="Z1293" s="239"/>
      <c r="AA1293" s="239"/>
      <c r="AB1293" s="239"/>
      <c r="AC1293" s="239"/>
      <c r="AD1293" s="239"/>
      <c r="AE1293" s="239"/>
      <c r="AF1293" s="239"/>
      <c r="AG1293" s="239"/>
      <c r="AH1293" s="239"/>
      <c r="AI1293" s="239"/>
      <c r="AJ1293" s="239"/>
    </row>
    <row r="1294">
      <c r="A1294" s="239"/>
      <c r="B1294" s="239"/>
      <c r="C1294" s="239"/>
      <c r="D1294" s="239"/>
      <c r="E1294" s="239"/>
      <c r="F1294" s="283"/>
      <c r="G1294" s="239"/>
      <c r="H1294" s="239"/>
      <c r="I1294" s="239"/>
      <c r="J1294" s="239"/>
      <c r="K1294" s="239"/>
      <c r="L1294" s="239"/>
      <c r="M1294" s="239"/>
      <c r="N1294" s="239"/>
      <c r="O1294" s="239"/>
      <c r="P1294" s="246"/>
      <c r="Q1294" s="239"/>
      <c r="R1294" s="239"/>
      <c r="S1294" s="239"/>
      <c r="T1294" s="239"/>
      <c r="U1294" s="239"/>
      <c r="V1294" s="239"/>
      <c r="W1294" s="246"/>
      <c r="X1294" s="239"/>
      <c r="Y1294" s="239"/>
      <c r="Z1294" s="239"/>
      <c r="AA1294" s="239"/>
      <c r="AB1294" s="239"/>
      <c r="AC1294" s="239"/>
      <c r="AD1294" s="239"/>
      <c r="AE1294" s="239"/>
      <c r="AF1294" s="239"/>
      <c r="AG1294" s="239"/>
      <c r="AH1294" s="239"/>
      <c r="AI1294" s="239"/>
      <c r="AJ1294" s="239"/>
    </row>
    <row r="1295">
      <c r="A1295" s="239"/>
      <c r="B1295" s="239"/>
      <c r="C1295" s="239"/>
      <c r="D1295" s="239"/>
      <c r="E1295" s="239"/>
      <c r="F1295" s="283"/>
      <c r="G1295" s="239"/>
      <c r="H1295" s="239"/>
      <c r="I1295" s="239"/>
      <c r="J1295" s="239"/>
      <c r="K1295" s="239"/>
      <c r="L1295" s="239"/>
      <c r="M1295" s="239"/>
      <c r="N1295" s="239"/>
      <c r="O1295" s="239"/>
      <c r="P1295" s="246"/>
      <c r="Q1295" s="239"/>
      <c r="R1295" s="239"/>
      <c r="S1295" s="239"/>
      <c r="T1295" s="239"/>
      <c r="U1295" s="239"/>
      <c r="V1295" s="239"/>
      <c r="W1295" s="246"/>
      <c r="X1295" s="239"/>
      <c r="Y1295" s="239"/>
      <c r="Z1295" s="239"/>
      <c r="AA1295" s="239"/>
      <c r="AB1295" s="239"/>
      <c r="AC1295" s="239"/>
      <c r="AD1295" s="239"/>
      <c r="AE1295" s="239"/>
      <c r="AF1295" s="239"/>
      <c r="AG1295" s="239"/>
      <c r="AH1295" s="239"/>
      <c r="AI1295" s="239"/>
      <c r="AJ1295" s="239"/>
    </row>
    <row r="1296">
      <c r="A1296" s="239"/>
      <c r="B1296" s="239"/>
      <c r="C1296" s="239"/>
      <c r="D1296" s="239"/>
      <c r="E1296" s="239"/>
      <c r="F1296" s="283"/>
      <c r="G1296" s="239"/>
      <c r="H1296" s="239"/>
      <c r="I1296" s="239"/>
      <c r="J1296" s="239"/>
      <c r="K1296" s="239"/>
      <c r="L1296" s="239"/>
      <c r="M1296" s="239"/>
      <c r="N1296" s="239"/>
      <c r="O1296" s="239"/>
      <c r="P1296" s="246"/>
      <c r="Q1296" s="239"/>
      <c r="R1296" s="239"/>
      <c r="S1296" s="239"/>
      <c r="T1296" s="239"/>
      <c r="U1296" s="239"/>
      <c r="V1296" s="239"/>
      <c r="W1296" s="246"/>
      <c r="X1296" s="239"/>
      <c r="Y1296" s="239"/>
      <c r="Z1296" s="239"/>
      <c r="AA1296" s="239"/>
      <c r="AB1296" s="239"/>
      <c r="AC1296" s="239"/>
      <c r="AD1296" s="239"/>
      <c r="AE1296" s="239"/>
      <c r="AF1296" s="239"/>
      <c r="AG1296" s="239"/>
      <c r="AH1296" s="239"/>
      <c r="AI1296" s="239"/>
      <c r="AJ1296" s="239"/>
    </row>
    <row r="1297">
      <c r="A1297" s="239"/>
      <c r="B1297" s="239"/>
      <c r="C1297" s="239"/>
      <c r="D1297" s="239"/>
      <c r="E1297" s="239"/>
      <c r="F1297" s="283"/>
      <c r="G1297" s="239"/>
      <c r="H1297" s="239"/>
      <c r="I1297" s="239"/>
      <c r="J1297" s="239"/>
      <c r="K1297" s="239"/>
      <c r="L1297" s="239"/>
      <c r="M1297" s="239"/>
      <c r="N1297" s="239"/>
      <c r="O1297" s="239"/>
      <c r="P1297" s="246"/>
      <c r="Q1297" s="239"/>
      <c r="R1297" s="239"/>
      <c r="S1297" s="239"/>
      <c r="T1297" s="239"/>
      <c r="U1297" s="239"/>
      <c r="V1297" s="239"/>
      <c r="W1297" s="246"/>
      <c r="X1297" s="239"/>
      <c r="Y1297" s="239"/>
      <c r="Z1297" s="239"/>
      <c r="AA1297" s="239"/>
      <c r="AB1297" s="239"/>
      <c r="AC1297" s="239"/>
      <c r="AD1297" s="239"/>
      <c r="AE1297" s="239"/>
      <c r="AF1297" s="239"/>
      <c r="AG1297" s="239"/>
      <c r="AH1297" s="239"/>
      <c r="AI1297" s="239"/>
      <c r="AJ1297" s="239"/>
    </row>
    <row r="1298">
      <c r="A1298" s="239"/>
      <c r="B1298" s="239"/>
      <c r="C1298" s="239"/>
      <c r="D1298" s="239"/>
      <c r="E1298" s="239"/>
      <c r="F1298" s="283"/>
      <c r="G1298" s="239"/>
      <c r="H1298" s="239"/>
      <c r="I1298" s="239"/>
      <c r="J1298" s="239"/>
      <c r="K1298" s="239"/>
      <c r="L1298" s="239"/>
      <c r="M1298" s="239"/>
      <c r="N1298" s="239"/>
      <c r="O1298" s="239"/>
      <c r="P1298" s="246"/>
      <c r="Q1298" s="239"/>
      <c r="R1298" s="239"/>
      <c r="S1298" s="239"/>
      <c r="T1298" s="239"/>
      <c r="U1298" s="239"/>
      <c r="V1298" s="239"/>
      <c r="W1298" s="246"/>
      <c r="X1298" s="239"/>
      <c r="Y1298" s="239"/>
      <c r="Z1298" s="239"/>
      <c r="AA1298" s="239"/>
      <c r="AB1298" s="239"/>
      <c r="AC1298" s="239"/>
      <c r="AD1298" s="239"/>
      <c r="AE1298" s="239"/>
      <c r="AF1298" s="239"/>
      <c r="AG1298" s="239"/>
      <c r="AH1298" s="239"/>
      <c r="AI1298" s="239"/>
      <c r="AJ1298" s="239"/>
    </row>
    <row r="1299">
      <c r="A1299" s="239"/>
      <c r="B1299" s="239"/>
      <c r="C1299" s="239"/>
      <c r="D1299" s="239"/>
      <c r="E1299" s="239"/>
      <c r="F1299" s="283"/>
      <c r="G1299" s="239"/>
      <c r="H1299" s="239"/>
      <c r="I1299" s="239"/>
      <c r="J1299" s="239"/>
      <c r="K1299" s="239"/>
      <c r="L1299" s="239"/>
      <c r="M1299" s="239"/>
      <c r="N1299" s="239"/>
      <c r="O1299" s="239"/>
      <c r="P1299" s="246"/>
      <c r="Q1299" s="239"/>
      <c r="R1299" s="239"/>
      <c r="S1299" s="239"/>
      <c r="T1299" s="239"/>
      <c r="U1299" s="239"/>
      <c r="V1299" s="239"/>
      <c r="W1299" s="246"/>
      <c r="X1299" s="239"/>
      <c r="Y1299" s="239"/>
      <c r="Z1299" s="239"/>
      <c r="AA1299" s="239"/>
      <c r="AB1299" s="239"/>
      <c r="AC1299" s="239"/>
      <c r="AD1299" s="239"/>
      <c r="AE1299" s="239"/>
      <c r="AF1299" s="239"/>
      <c r="AG1299" s="239"/>
      <c r="AH1299" s="239"/>
      <c r="AI1299" s="239"/>
      <c r="AJ1299" s="239"/>
    </row>
    <row r="1300">
      <c r="A1300" s="239"/>
      <c r="B1300" s="239"/>
      <c r="C1300" s="239"/>
      <c r="D1300" s="239"/>
      <c r="E1300" s="239"/>
      <c r="F1300" s="283"/>
      <c r="G1300" s="239"/>
      <c r="H1300" s="239"/>
      <c r="I1300" s="239"/>
      <c r="J1300" s="239"/>
      <c r="K1300" s="239"/>
      <c r="L1300" s="239"/>
      <c r="M1300" s="239"/>
      <c r="N1300" s="239"/>
      <c r="O1300" s="239"/>
      <c r="P1300" s="246"/>
      <c r="Q1300" s="239"/>
      <c r="R1300" s="239"/>
      <c r="S1300" s="239"/>
      <c r="T1300" s="239"/>
      <c r="U1300" s="239"/>
      <c r="V1300" s="239"/>
      <c r="W1300" s="246"/>
      <c r="X1300" s="239"/>
      <c r="Y1300" s="239"/>
      <c r="Z1300" s="239"/>
      <c r="AA1300" s="239"/>
      <c r="AB1300" s="239"/>
      <c r="AC1300" s="239"/>
      <c r="AD1300" s="239"/>
      <c r="AE1300" s="239"/>
      <c r="AF1300" s="239"/>
      <c r="AG1300" s="239"/>
      <c r="AH1300" s="239"/>
      <c r="AI1300" s="239"/>
      <c r="AJ1300" s="239"/>
    </row>
    <row r="1301">
      <c r="A1301" s="239"/>
      <c r="B1301" s="239"/>
      <c r="C1301" s="239"/>
      <c r="D1301" s="239"/>
      <c r="E1301" s="239"/>
      <c r="F1301" s="283"/>
      <c r="G1301" s="239"/>
      <c r="H1301" s="239"/>
      <c r="I1301" s="239"/>
      <c r="J1301" s="239"/>
      <c r="K1301" s="239"/>
      <c r="L1301" s="239"/>
      <c r="M1301" s="239"/>
      <c r="N1301" s="239"/>
      <c r="O1301" s="239"/>
      <c r="P1301" s="246"/>
      <c r="Q1301" s="239"/>
      <c r="R1301" s="239"/>
      <c r="S1301" s="239"/>
      <c r="T1301" s="239"/>
      <c r="U1301" s="239"/>
      <c r="V1301" s="239"/>
      <c r="W1301" s="246"/>
      <c r="X1301" s="239"/>
      <c r="Y1301" s="239"/>
      <c r="Z1301" s="239"/>
      <c r="AA1301" s="239"/>
      <c r="AB1301" s="239"/>
      <c r="AC1301" s="239"/>
      <c r="AD1301" s="239"/>
      <c r="AE1301" s="239"/>
      <c r="AF1301" s="239"/>
      <c r="AG1301" s="239"/>
      <c r="AH1301" s="239"/>
      <c r="AI1301" s="239"/>
      <c r="AJ1301" s="239"/>
    </row>
    <row r="1302">
      <c r="A1302" s="239"/>
      <c r="B1302" s="239"/>
      <c r="C1302" s="239"/>
      <c r="D1302" s="239"/>
      <c r="E1302" s="239"/>
      <c r="F1302" s="283"/>
      <c r="G1302" s="239"/>
      <c r="H1302" s="239"/>
      <c r="I1302" s="239"/>
      <c r="J1302" s="239"/>
      <c r="K1302" s="239"/>
      <c r="L1302" s="239"/>
      <c r="M1302" s="239"/>
      <c r="N1302" s="239"/>
      <c r="O1302" s="239"/>
      <c r="P1302" s="246"/>
      <c r="Q1302" s="239"/>
      <c r="R1302" s="239"/>
      <c r="S1302" s="239"/>
      <c r="T1302" s="239"/>
      <c r="U1302" s="239"/>
      <c r="V1302" s="239"/>
      <c r="W1302" s="246"/>
      <c r="X1302" s="239"/>
      <c r="Y1302" s="239"/>
      <c r="Z1302" s="239"/>
      <c r="AA1302" s="239"/>
      <c r="AB1302" s="239"/>
      <c r="AC1302" s="239"/>
      <c r="AD1302" s="239"/>
      <c r="AE1302" s="239"/>
      <c r="AF1302" s="239"/>
      <c r="AG1302" s="239"/>
      <c r="AH1302" s="239"/>
      <c r="AI1302" s="239"/>
      <c r="AJ1302" s="239"/>
    </row>
    <row r="1303">
      <c r="A1303" s="239"/>
      <c r="B1303" s="239"/>
      <c r="C1303" s="239"/>
      <c r="D1303" s="239"/>
      <c r="E1303" s="239"/>
      <c r="F1303" s="283"/>
      <c r="G1303" s="239"/>
      <c r="H1303" s="239"/>
      <c r="I1303" s="239"/>
      <c r="J1303" s="239"/>
      <c r="K1303" s="239"/>
      <c r="L1303" s="239"/>
      <c r="M1303" s="239"/>
      <c r="N1303" s="239"/>
      <c r="O1303" s="239"/>
      <c r="P1303" s="246"/>
      <c r="Q1303" s="239"/>
      <c r="R1303" s="239"/>
      <c r="S1303" s="239"/>
      <c r="T1303" s="239"/>
      <c r="U1303" s="239"/>
      <c r="V1303" s="239"/>
      <c r="W1303" s="246"/>
      <c r="X1303" s="239"/>
      <c r="Y1303" s="239"/>
      <c r="Z1303" s="239"/>
      <c r="AA1303" s="239"/>
      <c r="AB1303" s="239"/>
      <c r="AC1303" s="239"/>
      <c r="AD1303" s="239"/>
      <c r="AE1303" s="239"/>
      <c r="AF1303" s="239"/>
      <c r="AG1303" s="239"/>
      <c r="AH1303" s="239"/>
      <c r="AI1303" s="239"/>
      <c r="AJ1303" s="239"/>
    </row>
    <row r="1304">
      <c r="A1304" s="239"/>
      <c r="B1304" s="239"/>
      <c r="C1304" s="239"/>
      <c r="D1304" s="239"/>
      <c r="E1304" s="239"/>
      <c r="F1304" s="283"/>
      <c r="G1304" s="239"/>
      <c r="H1304" s="239"/>
      <c r="I1304" s="239"/>
      <c r="J1304" s="239"/>
      <c r="K1304" s="239"/>
      <c r="L1304" s="239"/>
      <c r="M1304" s="239"/>
      <c r="N1304" s="239"/>
      <c r="O1304" s="239"/>
      <c r="P1304" s="246"/>
      <c r="Q1304" s="239"/>
      <c r="R1304" s="239"/>
      <c r="S1304" s="239"/>
      <c r="T1304" s="239"/>
      <c r="U1304" s="239"/>
      <c r="V1304" s="239"/>
      <c r="W1304" s="246"/>
      <c r="X1304" s="239"/>
      <c r="Y1304" s="239"/>
      <c r="Z1304" s="239"/>
      <c r="AA1304" s="239"/>
      <c r="AB1304" s="239"/>
      <c r="AC1304" s="239"/>
      <c r="AD1304" s="239"/>
      <c r="AE1304" s="239"/>
      <c r="AF1304" s="239"/>
      <c r="AG1304" s="239"/>
      <c r="AH1304" s="239"/>
      <c r="AI1304" s="239"/>
      <c r="AJ1304" s="239"/>
    </row>
    <row r="1305">
      <c r="A1305" s="239"/>
      <c r="B1305" s="239"/>
      <c r="C1305" s="239"/>
      <c r="D1305" s="239"/>
      <c r="E1305" s="239"/>
      <c r="F1305" s="283"/>
      <c r="G1305" s="239"/>
      <c r="H1305" s="239"/>
      <c r="I1305" s="239"/>
      <c r="J1305" s="239"/>
      <c r="K1305" s="239"/>
      <c r="L1305" s="239"/>
      <c r="M1305" s="239"/>
      <c r="N1305" s="239"/>
      <c r="O1305" s="239"/>
      <c r="P1305" s="246"/>
      <c r="Q1305" s="239"/>
      <c r="R1305" s="239"/>
      <c r="S1305" s="239"/>
      <c r="T1305" s="239"/>
      <c r="U1305" s="239"/>
      <c r="V1305" s="239"/>
      <c r="W1305" s="246"/>
      <c r="X1305" s="239"/>
      <c r="Y1305" s="239"/>
      <c r="Z1305" s="239"/>
      <c r="AA1305" s="239"/>
      <c r="AB1305" s="239"/>
      <c r="AC1305" s="239"/>
      <c r="AD1305" s="239"/>
      <c r="AE1305" s="239"/>
      <c r="AF1305" s="239"/>
      <c r="AG1305" s="239"/>
      <c r="AH1305" s="239"/>
      <c r="AI1305" s="239"/>
      <c r="AJ1305" s="239"/>
    </row>
    <row r="1306">
      <c r="A1306" s="239"/>
      <c r="B1306" s="239"/>
      <c r="C1306" s="239"/>
      <c r="D1306" s="239"/>
      <c r="E1306" s="239"/>
      <c r="F1306" s="283"/>
      <c r="G1306" s="239"/>
      <c r="H1306" s="239"/>
      <c r="I1306" s="239"/>
      <c r="J1306" s="239"/>
      <c r="K1306" s="239"/>
      <c r="L1306" s="239"/>
      <c r="M1306" s="239"/>
      <c r="N1306" s="239"/>
      <c r="O1306" s="239"/>
      <c r="P1306" s="246"/>
      <c r="Q1306" s="239"/>
      <c r="R1306" s="239"/>
      <c r="S1306" s="239"/>
      <c r="T1306" s="239"/>
      <c r="U1306" s="239"/>
      <c r="V1306" s="239"/>
      <c r="W1306" s="246"/>
      <c r="X1306" s="239"/>
      <c r="Y1306" s="239"/>
      <c r="Z1306" s="239"/>
      <c r="AA1306" s="239"/>
      <c r="AB1306" s="239"/>
      <c r="AC1306" s="239"/>
      <c r="AD1306" s="239"/>
      <c r="AE1306" s="239"/>
      <c r="AF1306" s="239"/>
      <c r="AG1306" s="239"/>
      <c r="AH1306" s="239"/>
      <c r="AI1306" s="239"/>
      <c r="AJ1306" s="239"/>
    </row>
    <row r="1307">
      <c r="A1307" s="239"/>
      <c r="B1307" s="239"/>
      <c r="C1307" s="239"/>
      <c r="D1307" s="239"/>
      <c r="E1307" s="239"/>
      <c r="F1307" s="283"/>
      <c r="G1307" s="239"/>
      <c r="H1307" s="239"/>
      <c r="I1307" s="239"/>
      <c r="J1307" s="239"/>
      <c r="K1307" s="239"/>
      <c r="L1307" s="239"/>
      <c r="M1307" s="239"/>
      <c r="N1307" s="239"/>
      <c r="O1307" s="239"/>
      <c r="P1307" s="246"/>
      <c r="Q1307" s="239"/>
      <c r="R1307" s="239"/>
      <c r="S1307" s="239"/>
      <c r="T1307" s="239"/>
      <c r="U1307" s="239"/>
      <c r="V1307" s="239"/>
      <c r="W1307" s="246"/>
      <c r="X1307" s="239"/>
      <c r="Y1307" s="239"/>
      <c r="Z1307" s="239"/>
      <c r="AA1307" s="239"/>
      <c r="AB1307" s="239"/>
      <c r="AC1307" s="239"/>
      <c r="AD1307" s="239"/>
      <c r="AE1307" s="239"/>
      <c r="AF1307" s="239"/>
      <c r="AG1307" s="239"/>
      <c r="AH1307" s="239"/>
      <c r="AI1307" s="239"/>
      <c r="AJ1307" s="239"/>
    </row>
    <row r="1308">
      <c r="A1308" s="239"/>
      <c r="B1308" s="239"/>
      <c r="C1308" s="239"/>
      <c r="D1308" s="239"/>
      <c r="E1308" s="239"/>
      <c r="F1308" s="283"/>
      <c r="G1308" s="239"/>
      <c r="H1308" s="239"/>
      <c r="I1308" s="239"/>
      <c r="J1308" s="239"/>
      <c r="K1308" s="239"/>
      <c r="L1308" s="239"/>
      <c r="M1308" s="239"/>
      <c r="N1308" s="239"/>
      <c r="O1308" s="239"/>
      <c r="P1308" s="246"/>
      <c r="Q1308" s="239"/>
      <c r="R1308" s="239"/>
      <c r="S1308" s="239"/>
      <c r="T1308" s="239"/>
      <c r="U1308" s="239"/>
      <c r="V1308" s="239"/>
      <c r="W1308" s="246"/>
      <c r="X1308" s="239"/>
      <c r="Y1308" s="239"/>
      <c r="Z1308" s="239"/>
      <c r="AA1308" s="239"/>
      <c r="AB1308" s="239"/>
      <c r="AC1308" s="239"/>
      <c r="AD1308" s="239"/>
      <c r="AE1308" s="239"/>
      <c r="AF1308" s="239"/>
      <c r="AG1308" s="239"/>
      <c r="AH1308" s="239"/>
      <c r="AI1308" s="239"/>
      <c r="AJ1308" s="239"/>
    </row>
    <row r="1309">
      <c r="A1309" s="239"/>
      <c r="B1309" s="239"/>
      <c r="C1309" s="239"/>
      <c r="D1309" s="239"/>
      <c r="E1309" s="239"/>
      <c r="F1309" s="283"/>
      <c r="G1309" s="239"/>
      <c r="H1309" s="239"/>
      <c r="I1309" s="239"/>
      <c r="J1309" s="239"/>
      <c r="K1309" s="239"/>
      <c r="L1309" s="239"/>
      <c r="M1309" s="239"/>
      <c r="N1309" s="239"/>
      <c r="O1309" s="239"/>
      <c r="P1309" s="246"/>
      <c r="Q1309" s="239"/>
      <c r="R1309" s="239"/>
      <c r="S1309" s="239"/>
      <c r="T1309" s="239"/>
      <c r="U1309" s="239"/>
      <c r="V1309" s="239"/>
      <c r="W1309" s="246"/>
      <c r="X1309" s="239"/>
      <c r="Y1309" s="239"/>
      <c r="Z1309" s="239"/>
      <c r="AA1309" s="239"/>
      <c r="AB1309" s="239"/>
      <c r="AC1309" s="239"/>
      <c r="AD1309" s="239"/>
      <c r="AE1309" s="239"/>
      <c r="AF1309" s="239"/>
      <c r="AG1309" s="239"/>
      <c r="AH1309" s="239"/>
      <c r="AI1309" s="239"/>
      <c r="AJ1309" s="239"/>
    </row>
    <row r="1310">
      <c r="A1310" s="239"/>
      <c r="B1310" s="239"/>
      <c r="C1310" s="239"/>
      <c r="D1310" s="239"/>
      <c r="E1310" s="239"/>
      <c r="F1310" s="283"/>
      <c r="G1310" s="239"/>
      <c r="H1310" s="239"/>
      <c r="I1310" s="239"/>
      <c r="J1310" s="239"/>
      <c r="K1310" s="239"/>
      <c r="L1310" s="239"/>
      <c r="M1310" s="239"/>
      <c r="N1310" s="239"/>
      <c r="O1310" s="239"/>
      <c r="P1310" s="246"/>
      <c r="Q1310" s="239"/>
      <c r="R1310" s="239"/>
      <c r="S1310" s="239"/>
      <c r="T1310" s="239"/>
      <c r="U1310" s="239"/>
      <c r="V1310" s="239"/>
      <c r="W1310" s="246"/>
      <c r="X1310" s="239"/>
      <c r="Y1310" s="239"/>
      <c r="Z1310" s="239"/>
      <c r="AA1310" s="239"/>
      <c r="AB1310" s="239"/>
      <c r="AC1310" s="239"/>
      <c r="AD1310" s="239"/>
      <c r="AE1310" s="239"/>
      <c r="AF1310" s="239"/>
      <c r="AG1310" s="239"/>
      <c r="AH1310" s="239"/>
      <c r="AI1310" s="239"/>
      <c r="AJ1310" s="239"/>
    </row>
    <row r="1311">
      <c r="A1311" s="239"/>
      <c r="B1311" s="239"/>
      <c r="C1311" s="239"/>
      <c r="D1311" s="239"/>
      <c r="E1311" s="239"/>
      <c r="F1311" s="283"/>
      <c r="G1311" s="239"/>
      <c r="H1311" s="239"/>
      <c r="I1311" s="239"/>
      <c r="J1311" s="239"/>
      <c r="K1311" s="239"/>
      <c r="L1311" s="239"/>
      <c r="M1311" s="239"/>
      <c r="N1311" s="239"/>
      <c r="O1311" s="239"/>
      <c r="P1311" s="246"/>
      <c r="Q1311" s="239"/>
      <c r="R1311" s="239"/>
      <c r="S1311" s="239"/>
      <c r="T1311" s="239"/>
      <c r="U1311" s="239"/>
      <c r="V1311" s="239"/>
      <c r="W1311" s="246"/>
      <c r="X1311" s="239"/>
      <c r="Y1311" s="239"/>
      <c r="Z1311" s="239"/>
      <c r="AA1311" s="239"/>
      <c r="AB1311" s="239"/>
      <c r="AC1311" s="239"/>
      <c r="AD1311" s="239"/>
      <c r="AE1311" s="239"/>
      <c r="AF1311" s="239"/>
      <c r="AG1311" s="239"/>
      <c r="AH1311" s="239"/>
      <c r="AI1311" s="239"/>
      <c r="AJ1311" s="239"/>
    </row>
    <row r="1312">
      <c r="A1312" s="239"/>
      <c r="B1312" s="239"/>
      <c r="C1312" s="239"/>
      <c r="D1312" s="239"/>
      <c r="E1312" s="239"/>
      <c r="F1312" s="283"/>
      <c r="G1312" s="239"/>
      <c r="H1312" s="239"/>
      <c r="I1312" s="239"/>
      <c r="J1312" s="239"/>
      <c r="K1312" s="239"/>
      <c r="L1312" s="239"/>
      <c r="M1312" s="239"/>
      <c r="N1312" s="239"/>
      <c r="O1312" s="239"/>
      <c r="P1312" s="246"/>
      <c r="Q1312" s="239"/>
      <c r="R1312" s="239"/>
      <c r="S1312" s="239"/>
      <c r="T1312" s="239"/>
      <c r="U1312" s="239"/>
      <c r="V1312" s="239"/>
      <c r="W1312" s="246"/>
      <c r="X1312" s="239"/>
      <c r="Y1312" s="239"/>
      <c r="Z1312" s="239"/>
      <c r="AA1312" s="239"/>
      <c r="AB1312" s="239"/>
      <c r="AC1312" s="239"/>
      <c r="AD1312" s="239"/>
      <c r="AE1312" s="239"/>
      <c r="AF1312" s="239"/>
      <c r="AG1312" s="239"/>
      <c r="AH1312" s="239"/>
      <c r="AI1312" s="239"/>
      <c r="AJ1312" s="239"/>
    </row>
    <row r="1313">
      <c r="A1313" s="239"/>
      <c r="B1313" s="239"/>
      <c r="C1313" s="239"/>
      <c r="D1313" s="239"/>
      <c r="E1313" s="239"/>
      <c r="F1313" s="283"/>
      <c r="G1313" s="239"/>
      <c r="H1313" s="239"/>
      <c r="I1313" s="239"/>
      <c r="J1313" s="239"/>
      <c r="K1313" s="239"/>
      <c r="L1313" s="239"/>
      <c r="M1313" s="239"/>
      <c r="N1313" s="239"/>
      <c r="O1313" s="239"/>
      <c r="P1313" s="246"/>
      <c r="Q1313" s="239"/>
      <c r="R1313" s="239"/>
      <c r="S1313" s="239"/>
      <c r="T1313" s="239"/>
      <c r="U1313" s="239"/>
      <c r="V1313" s="239"/>
      <c r="W1313" s="246"/>
      <c r="X1313" s="239"/>
      <c r="Y1313" s="239"/>
      <c r="Z1313" s="239"/>
      <c r="AA1313" s="239"/>
      <c r="AB1313" s="239"/>
      <c r="AC1313" s="239"/>
      <c r="AD1313" s="239"/>
      <c r="AE1313" s="239"/>
      <c r="AF1313" s="239"/>
      <c r="AG1313" s="239"/>
      <c r="AH1313" s="239"/>
      <c r="AI1313" s="239"/>
      <c r="AJ1313" s="239"/>
    </row>
    <row r="1314">
      <c r="A1314" s="239"/>
      <c r="B1314" s="239"/>
      <c r="C1314" s="239"/>
      <c r="D1314" s="239"/>
      <c r="E1314" s="239"/>
      <c r="F1314" s="283"/>
      <c r="G1314" s="239"/>
      <c r="H1314" s="239"/>
      <c r="I1314" s="239"/>
      <c r="J1314" s="239"/>
      <c r="K1314" s="239"/>
      <c r="L1314" s="239"/>
      <c r="M1314" s="239"/>
      <c r="N1314" s="239"/>
      <c r="O1314" s="239"/>
      <c r="P1314" s="246"/>
      <c r="Q1314" s="239"/>
      <c r="R1314" s="239"/>
      <c r="S1314" s="239"/>
      <c r="T1314" s="239"/>
      <c r="U1314" s="239"/>
      <c r="V1314" s="239"/>
      <c r="W1314" s="246"/>
      <c r="X1314" s="239"/>
      <c r="Y1314" s="239"/>
      <c r="Z1314" s="239"/>
      <c r="AA1314" s="239"/>
      <c r="AB1314" s="239"/>
      <c r="AC1314" s="239"/>
      <c r="AD1314" s="239"/>
      <c r="AE1314" s="239"/>
      <c r="AF1314" s="239"/>
      <c r="AG1314" s="239"/>
      <c r="AH1314" s="239"/>
      <c r="AI1314" s="239"/>
      <c r="AJ1314" s="239"/>
    </row>
    <row r="1315">
      <c r="A1315" s="239"/>
      <c r="B1315" s="239"/>
      <c r="C1315" s="239"/>
      <c r="D1315" s="239"/>
      <c r="E1315" s="239"/>
      <c r="F1315" s="283"/>
      <c r="G1315" s="239"/>
      <c r="H1315" s="239"/>
      <c r="I1315" s="239"/>
      <c r="J1315" s="239"/>
      <c r="K1315" s="239"/>
      <c r="L1315" s="239"/>
      <c r="M1315" s="239"/>
      <c r="N1315" s="239"/>
      <c r="O1315" s="239"/>
      <c r="P1315" s="246"/>
      <c r="Q1315" s="239"/>
      <c r="R1315" s="239"/>
      <c r="S1315" s="239"/>
      <c r="T1315" s="239"/>
      <c r="U1315" s="239"/>
      <c r="V1315" s="239"/>
      <c r="W1315" s="246"/>
      <c r="X1315" s="239"/>
      <c r="Y1315" s="239"/>
      <c r="Z1315" s="239"/>
      <c r="AA1315" s="239"/>
      <c r="AB1315" s="239"/>
      <c r="AC1315" s="239"/>
      <c r="AD1315" s="239"/>
      <c r="AE1315" s="239"/>
      <c r="AF1315" s="239"/>
      <c r="AG1315" s="239"/>
      <c r="AH1315" s="239"/>
      <c r="AI1315" s="239"/>
      <c r="AJ1315" s="239"/>
    </row>
    <row r="1316">
      <c r="A1316" s="239"/>
      <c r="B1316" s="239"/>
      <c r="C1316" s="239"/>
      <c r="D1316" s="239"/>
      <c r="E1316" s="239"/>
      <c r="F1316" s="283"/>
      <c r="G1316" s="239"/>
      <c r="H1316" s="239"/>
      <c r="I1316" s="239"/>
      <c r="J1316" s="239"/>
      <c r="K1316" s="239"/>
      <c r="L1316" s="239"/>
      <c r="M1316" s="239"/>
      <c r="N1316" s="239"/>
      <c r="O1316" s="239"/>
      <c r="P1316" s="246"/>
      <c r="Q1316" s="239"/>
      <c r="R1316" s="239"/>
      <c r="S1316" s="239"/>
      <c r="T1316" s="239"/>
      <c r="U1316" s="239"/>
      <c r="V1316" s="239"/>
      <c r="W1316" s="246"/>
      <c r="X1316" s="239"/>
      <c r="Y1316" s="239"/>
      <c r="Z1316" s="239"/>
      <c r="AA1316" s="239"/>
      <c r="AB1316" s="239"/>
      <c r="AC1316" s="239"/>
      <c r="AD1316" s="239"/>
      <c r="AE1316" s="239"/>
      <c r="AF1316" s="239"/>
      <c r="AG1316" s="239"/>
      <c r="AH1316" s="239"/>
      <c r="AI1316" s="239"/>
      <c r="AJ1316" s="239"/>
    </row>
    <row r="1317">
      <c r="A1317" s="239"/>
      <c r="B1317" s="239"/>
      <c r="C1317" s="239"/>
      <c r="D1317" s="239"/>
      <c r="E1317" s="239"/>
      <c r="F1317" s="283"/>
      <c r="G1317" s="239"/>
      <c r="H1317" s="239"/>
      <c r="I1317" s="239"/>
      <c r="J1317" s="239"/>
      <c r="K1317" s="239"/>
      <c r="L1317" s="239"/>
      <c r="M1317" s="239"/>
      <c r="N1317" s="239"/>
      <c r="O1317" s="239"/>
      <c r="P1317" s="246"/>
      <c r="Q1317" s="239"/>
      <c r="R1317" s="239"/>
      <c r="S1317" s="239"/>
      <c r="T1317" s="239"/>
      <c r="U1317" s="239"/>
      <c r="V1317" s="239"/>
      <c r="W1317" s="246"/>
      <c r="X1317" s="239"/>
      <c r="Y1317" s="239"/>
      <c r="Z1317" s="239"/>
      <c r="AA1317" s="239"/>
      <c r="AB1317" s="239"/>
      <c r="AC1317" s="239"/>
      <c r="AD1317" s="239"/>
      <c r="AE1317" s="239"/>
      <c r="AF1317" s="239"/>
      <c r="AG1317" s="239"/>
      <c r="AH1317" s="239"/>
      <c r="AI1317" s="239"/>
      <c r="AJ1317" s="239"/>
    </row>
    <row r="1318">
      <c r="A1318" s="239"/>
      <c r="B1318" s="239"/>
      <c r="C1318" s="239"/>
      <c r="D1318" s="239"/>
      <c r="E1318" s="239"/>
      <c r="F1318" s="283"/>
      <c r="G1318" s="239"/>
      <c r="H1318" s="239"/>
      <c r="I1318" s="239"/>
      <c r="J1318" s="239"/>
      <c r="K1318" s="239"/>
      <c r="L1318" s="239"/>
      <c r="M1318" s="239"/>
      <c r="N1318" s="239"/>
      <c r="O1318" s="239"/>
      <c r="P1318" s="246"/>
      <c r="Q1318" s="239"/>
      <c r="R1318" s="239"/>
      <c r="S1318" s="239"/>
      <c r="T1318" s="239"/>
      <c r="U1318" s="239"/>
      <c r="V1318" s="239"/>
      <c r="W1318" s="246"/>
      <c r="X1318" s="239"/>
      <c r="Y1318" s="239"/>
      <c r="Z1318" s="239"/>
      <c r="AA1318" s="239"/>
      <c r="AB1318" s="239"/>
      <c r="AC1318" s="239"/>
      <c r="AD1318" s="239"/>
      <c r="AE1318" s="239"/>
      <c r="AF1318" s="239"/>
      <c r="AG1318" s="239"/>
      <c r="AH1318" s="239"/>
      <c r="AI1318" s="239"/>
      <c r="AJ1318" s="239"/>
    </row>
    <row r="1319">
      <c r="A1319" s="239"/>
      <c r="B1319" s="239"/>
      <c r="C1319" s="239"/>
      <c r="D1319" s="239"/>
      <c r="E1319" s="239"/>
      <c r="F1319" s="283"/>
      <c r="G1319" s="239"/>
      <c r="H1319" s="239"/>
      <c r="I1319" s="239"/>
      <c r="J1319" s="239"/>
      <c r="K1319" s="239"/>
      <c r="L1319" s="239"/>
      <c r="M1319" s="239"/>
      <c r="N1319" s="239"/>
      <c r="O1319" s="239"/>
      <c r="P1319" s="246"/>
      <c r="Q1319" s="239"/>
      <c r="R1319" s="239"/>
      <c r="S1319" s="239"/>
      <c r="T1319" s="239"/>
      <c r="U1319" s="239"/>
      <c r="V1319" s="239"/>
      <c r="W1319" s="246"/>
      <c r="X1319" s="239"/>
      <c r="Y1319" s="239"/>
      <c r="Z1319" s="239"/>
      <c r="AA1319" s="239"/>
      <c r="AB1319" s="239"/>
      <c r="AC1319" s="239"/>
      <c r="AD1319" s="239"/>
      <c r="AE1319" s="239"/>
      <c r="AF1319" s="239"/>
      <c r="AG1319" s="239"/>
      <c r="AH1319" s="239"/>
      <c r="AI1319" s="239"/>
      <c r="AJ1319" s="239"/>
    </row>
    <row r="1320">
      <c r="A1320" s="239"/>
      <c r="B1320" s="239"/>
      <c r="C1320" s="239"/>
      <c r="D1320" s="239"/>
      <c r="E1320" s="239"/>
      <c r="F1320" s="283"/>
      <c r="G1320" s="239"/>
      <c r="H1320" s="239"/>
      <c r="I1320" s="239"/>
      <c r="J1320" s="239"/>
      <c r="K1320" s="239"/>
      <c r="L1320" s="239"/>
      <c r="M1320" s="239"/>
      <c r="N1320" s="239"/>
      <c r="O1320" s="239"/>
      <c r="P1320" s="246"/>
      <c r="Q1320" s="239"/>
      <c r="R1320" s="239"/>
      <c r="S1320" s="239"/>
      <c r="T1320" s="239"/>
      <c r="U1320" s="239"/>
      <c r="V1320" s="239"/>
      <c r="W1320" s="246"/>
      <c r="X1320" s="239"/>
      <c r="Y1320" s="239"/>
      <c r="Z1320" s="239"/>
      <c r="AA1320" s="239"/>
      <c r="AB1320" s="239"/>
      <c r="AC1320" s="239"/>
      <c r="AD1320" s="239"/>
      <c r="AE1320" s="239"/>
      <c r="AF1320" s="239"/>
      <c r="AG1320" s="239"/>
      <c r="AH1320" s="239"/>
      <c r="AI1320" s="239"/>
      <c r="AJ1320" s="239"/>
    </row>
    <row r="1321">
      <c r="A1321" s="239"/>
      <c r="B1321" s="239"/>
      <c r="C1321" s="239"/>
      <c r="D1321" s="239"/>
      <c r="E1321" s="239"/>
      <c r="F1321" s="283"/>
      <c r="G1321" s="239"/>
      <c r="H1321" s="239"/>
      <c r="I1321" s="239"/>
      <c r="J1321" s="239"/>
      <c r="K1321" s="239"/>
      <c r="L1321" s="239"/>
      <c r="M1321" s="239"/>
      <c r="N1321" s="239"/>
      <c r="O1321" s="239"/>
      <c r="P1321" s="246"/>
      <c r="Q1321" s="239"/>
      <c r="R1321" s="239"/>
      <c r="S1321" s="239"/>
      <c r="T1321" s="239"/>
      <c r="U1321" s="239"/>
      <c r="V1321" s="239"/>
      <c r="W1321" s="246"/>
      <c r="X1321" s="239"/>
      <c r="Y1321" s="239"/>
      <c r="Z1321" s="239"/>
      <c r="AA1321" s="239"/>
      <c r="AB1321" s="239"/>
      <c r="AC1321" s="239"/>
      <c r="AD1321" s="239"/>
      <c r="AE1321" s="239"/>
      <c r="AF1321" s="239"/>
      <c r="AG1321" s="239"/>
      <c r="AH1321" s="239"/>
      <c r="AI1321" s="239"/>
      <c r="AJ1321" s="239"/>
    </row>
    <row r="1322">
      <c r="A1322" s="239"/>
      <c r="B1322" s="239"/>
      <c r="C1322" s="239"/>
      <c r="D1322" s="239"/>
      <c r="E1322" s="239"/>
      <c r="F1322" s="283"/>
      <c r="G1322" s="239"/>
      <c r="H1322" s="239"/>
      <c r="I1322" s="239"/>
      <c r="J1322" s="239"/>
      <c r="K1322" s="239"/>
      <c r="L1322" s="239"/>
      <c r="M1322" s="239"/>
      <c r="N1322" s="239"/>
      <c r="O1322" s="239"/>
      <c r="P1322" s="246"/>
      <c r="Q1322" s="239"/>
      <c r="R1322" s="239"/>
      <c r="S1322" s="239"/>
      <c r="T1322" s="239"/>
      <c r="U1322" s="239"/>
      <c r="V1322" s="239"/>
      <c r="W1322" s="246"/>
      <c r="X1322" s="239"/>
      <c r="Y1322" s="239"/>
      <c r="Z1322" s="239"/>
      <c r="AA1322" s="239"/>
      <c r="AB1322" s="239"/>
      <c r="AC1322" s="239"/>
      <c r="AD1322" s="239"/>
      <c r="AE1322" s="239"/>
      <c r="AF1322" s="239"/>
      <c r="AG1322" s="239"/>
      <c r="AH1322" s="239"/>
      <c r="AI1322" s="239"/>
      <c r="AJ1322" s="239"/>
    </row>
    <row r="1323">
      <c r="A1323" s="239"/>
      <c r="B1323" s="239"/>
      <c r="C1323" s="239"/>
      <c r="D1323" s="239"/>
      <c r="E1323" s="239"/>
      <c r="F1323" s="283"/>
      <c r="G1323" s="239"/>
      <c r="H1323" s="239"/>
      <c r="I1323" s="239"/>
      <c r="J1323" s="239"/>
      <c r="K1323" s="239"/>
      <c r="L1323" s="239"/>
      <c r="M1323" s="239"/>
      <c r="N1323" s="239"/>
      <c r="O1323" s="239"/>
      <c r="P1323" s="246"/>
      <c r="Q1323" s="239"/>
      <c r="R1323" s="239"/>
      <c r="S1323" s="239"/>
      <c r="T1323" s="239"/>
      <c r="U1323" s="239"/>
      <c r="V1323" s="239"/>
      <c r="W1323" s="246"/>
      <c r="X1323" s="239"/>
      <c r="Y1323" s="239"/>
      <c r="Z1323" s="239"/>
      <c r="AA1323" s="239"/>
      <c r="AB1323" s="239"/>
      <c r="AC1323" s="239"/>
      <c r="AD1323" s="239"/>
      <c r="AE1323" s="239"/>
      <c r="AF1323" s="239"/>
      <c r="AG1323" s="239"/>
      <c r="AH1323" s="239"/>
      <c r="AI1323" s="239"/>
      <c r="AJ1323" s="239"/>
    </row>
    <row r="1324">
      <c r="A1324" s="239"/>
      <c r="B1324" s="239"/>
      <c r="C1324" s="239"/>
      <c r="D1324" s="239"/>
      <c r="E1324" s="239"/>
      <c r="F1324" s="283"/>
      <c r="G1324" s="239"/>
      <c r="H1324" s="239"/>
      <c r="I1324" s="239"/>
      <c r="J1324" s="239"/>
      <c r="K1324" s="239"/>
      <c r="L1324" s="239"/>
      <c r="M1324" s="239"/>
      <c r="N1324" s="239"/>
      <c r="O1324" s="239"/>
      <c r="P1324" s="246"/>
      <c r="Q1324" s="239"/>
      <c r="R1324" s="239"/>
      <c r="S1324" s="239"/>
      <c r="T1324" s="239"/>
      <c r="U1324" s="239"/>
      <c r="V1324" s="239"/>
      <c r="W1324" s="246"/>
      <c r="X1324" s="239"/>
      <c r="Y1324" s="239"/>
      <c r="Z1324" s="239"/>
      <c r="AA1324" s="239"/>
      <c r="AB1324" s="239"/>
      <c r="AC1324" s="239"/>
      <c r="AD1324" s="239"/>
      <c r="AE1324" s="239"/>
      <c r="AF1324" s="239"/>
      <c r="AG1324" s="239"/>
      <c r="AH1324" s="239"/>
      <c r="AI1324" s="239"/>
      <c r="AJ1324" s="239"/>
    </row>
    <row r="1325">
      <c r="A1325" s="239"/>
      <c r="B1325" s="239"/>
      <c r="C1325" s="239"/>
      <c r="D1325" s="239"/>
      <c r="E1325" s="239"/>
      <c r="F1325" s="283"/>
      <c r="G1325" s="239"/>
      <c r="H1325" s="239"/>
      <c r="I1325" s="239"/>
      <c r="J1325" s="239"/>
      <c r="K1325" s="239"/>
      <c r="L1325" s="239"/>
      <c r="M1325" s="239"/>
      <c r="N1325" s="239"/>
      <c r="O1325" s="239"/>
      <c r="P1325" s="246"/>
      <c r="Q1325" s="239"/>
      <c r="R1325" s="239"/>
      <c r="S1325" s="239"/>
      <c r="T1325" s="239"/>
      <c r="U1325" s="239"/>
      <c r="V1325" s="239"/>
      <c r="W1325" s="246"/>
      <c r="X1325" s="239"/>
      <c r="Y1325" s="239"/>
      <c r="Z1325" s="239"/>
      <c r="AA1325" s="239"/>
      <c r="AB1325" s="239"/>
      <c r="AC1325" s="239"/>
      <c r="AD1325" s="239"/>
      <c r="AE1325" s="239"/>
      <c r="AF1325" s="239"/>
      <c r="AG1325" s="239"/>
      <c r="AH1325" s="239"/>
      <c r="AI1325" s="239"/>
      <c r="AJ1325" s="239"/>
    </row>
    <row r="1326">
      <c r="A1326" s="239"/>
      <c r="B1326" s="239"/>
      <c r="C1326" s="239"/>
      <c r="D1326" s="239"/>
      <c r="E1326" s="239"/>
      <c r="F1326" s="283"/>
      <c r="G1326" s="239"/>
      <c r="H1326" s="239"/>
      <c r="I1326" s="239"/>
      <c r="J1326" s="239"/>
      <c r="K1326" s="239"/>
      <c r="L1326" s="239"/>
      <c r="M1326" s="239"/>
      <c r="N1326" s="239"/>
      <c r="O1326" s="239"/>
      <c r="P1326" s="246"/>
      <c r="Q1326" s="239"/>
      <c r="R1326" s="239"/>
      <c r="S1326" s="239"/>
      <c r="T1326" s="239"/>
      <c r="U1326" s="239"/>
      <c r="V1326" s="239"/>
      <c r="W1326" s="246"/>
      <c r="X1326" s="239"/>
      <c r="Y1326" s="239"/>
      <c r="Z1326" s="239"/>
      <c r="AA1326" s="239"/>
      <c r="AB1326" s="239"/>
      <c r="AC1326" s="239"/>
      <c r="AD1326" s="239"/>
      <c r="AE1326" s="239"/>
      <c r="AF1326" s="239"/>
      <c r="AG1326" s="239"/>
      <c r="AH1326" s="239"/>
      <c r="AI1326" s="239"/>
      <c r="AJ1326" s="239"/>
    </row>
    <row r="1327">
      <c r="A1327" s="239"/>
      <c r="B1327" s="239"/>
      <c r="C1327" s="239"/>
      <c r="D1327" s="239"/>
      <c r="E1327" s="239"/>
      <c r="F1327" s="283"/>
      <c r="G1327" s="239"/>
      <c r="H1327" s="239"/>
      <c r="I1327" s="239"/>
      <c r="J1327" s="239"/>
      <c r="K1327" s="239"/>
      <c r="L1327" s="239"/>
      <c r="M1327" s="239"/>
      <c r="N1327" s="239"/>
      <c r="O1327" s="239"/>
      <c r="P1327" s="246"/>
      <c r="Q1327" s="239"/>
      <c r="R1327" s="239"/>
      <c r="S1327" s="239"/>
      <c r="T1327" s="239"/>
      <c r="U1327" s="239"/>
      <c r="V1327" s="239"/>
      <c r="W1327" s="246"/>
      <c r="X1327" s="239"/>
      <c r="Y1327" s="239"/>
      <c r="Z1327" s="239"/>
      <c r="AA1327" s="239"/>
      <c r="AB1327" s="239"/>
      <c r="AC1327" s="239"/>
      <c r="AD1327" s="239"/>
      <c r="AE1327" s="239"/>
      <c r="AF1327" s="239"/>
      <c r="AG1327" s="239"/>
      <c r="AH1327" s="239"/>
      <c r="AI1327" s="239"/>
      <c r="AJ1327" s="239"/>
    </row>
    <row r="1328">
      <c r="A1328" s="239"/>
      <c r="B1328" s="239"/>
      <c r="C1328" s="239"/>
      <c r="D1328" s="239"/>
      <c r="E1328" s="239"/>
      <c r="F1328" s="283"/>
      <c r="G1328" s="239"/>
      <c r="H1328" s="239"/>
      <c r="I1328" s="239"/>
      <c r="J1328" s="239"/>
      <c r="K1328" s="239"/>
      <c r="L1328" s="239"/>
      <c r="M1328" s="239"/>
      <c r="N1328" s="239"/>
      <c r="O1328" s="239"/>
      <c r="P1328" s="246"/>
      <c r="Q1328" s="239"/>
      <c r="R1328" s="239"/>
      <c r="S1328" s="239"/>
      <c r="T1328" s="239"/>
      <c r="U1328" s="239"/>
      <c r="V1328" s="239"/>
      <c r="W1328" s="246"/>
      <c r="X1328" s="239"/>
      <c r="Y1328" s="239"/>
      <c r="Z1328" s="239"/>
      <c r="AA1328" s="239"/>
      <c r="AB1328" s="239"/>
      <c r="AC1328" s="239"/>
      <c r="AD1328" s="239"/>
      <c r="AE1328" s="239"/>
      <c r="AF1328" s="239"/>
      <c r="AG1328" s="239"/>
      <c r="AH1328" s="239"/>
      <c r="AI1328" s="239"/>
      <c r="AJ1328" s="239"/>
    </row>
    <row r="1329">
      <c r="A1329" s="239"/>
      <c r="B1329" s="239"/>
      <c r="C1329" s="239"/>
      <c r="D1329" s="239"/>
      <c r="E1329" s="239"/>
      <c r="F1329" s="283"/>
      <c r="G1329" s="239"/>
      <c r="H1329" s="239"/>
      <c r="I1329" s="239"/>
      <c r="J1329" s="239"/>
      <c r="K1329" s="239"/>
      <c r="L1329" s="239"/>
      <c r="M1329" s="239"/>
      <c r="N1329" s="239"/>
      <c r="O1329" s="239"/>
      <c r="P1329" s="246"/>
      <c r="Q1329" s="239"/>
      <c r="R1329" s="239"/>
      <c r="S1329" s="239"/>
      <c r="T1329" s="239"/>
      <c r="U1329" s="239"/>
      <c r="V1329" s="239"/>
      <c r="W1329" s="246"/>
      <c r="X1329" s="239"/>
      <c r="Y1329" s="239"/>
      <c r="Z1329" s="239"/>
      <c r="AA1329" s="239"/>
      <c r="AB1329" s="239"/>
      <c r="AC1329" s="239"/>
      <c r="AD1329" s="239"/>
      <c r="AE1329" s="239"/>
      <c r="AF1329" s="239"/>
      <c r="AG1329" s="239"/>
      <c r="AH1329" s="239"/>
      <c r="AI1329" s="239"/>
      <c r="AJ1329" s="239"/>
    </row>
    <row r="1330">
      <c r="A1330" s="239"/>
      <c r="B1330" s="239"/>
      <c r="C1330" s="239"/>
      <c r="D1330" s="239"/>
      <c r="E1330" s="239"/>
      <c r="F1330" s="283"/>
      <c r="G1330" s="239"/>
      <c r="H1330" s="239"/>
      <c r="I1330" s="239"/>
      <c r="J1330" s="239"/>
      <c r="K1330" s="239"/>
      <c r="L1330" s="239"/>
      <c r="M1330" s="239"/>
      <c r="N1330" s="239"/>
      <c r="O1330" s="239"/>
      <c r="P1330" s="246"/>
      <c r="Q1330" s="239"/>
      <c r="R1330" s="239"/>
      <c r="S1330" s="239"/>
      <c r="T1330" s="239"/>
      <c r="U1330" s="239"/>
      <c r="V1330" s="239"/>
      <c r="W1330" s="246"/>
      <c r="X1330" s="239"/>
      <c r="Y1330" s="239"/>
      <c r="Z1330" s="239"/>
      <c r="AA1330" s="239"/>
      <c r="AB1330" s="239"/>
      <c r="AC1330" s="239"/>
      <c r="AD1330" s="239"/>
      <c r="AE1330" s="239"/>
      <c r="AF1330" s="239"/>
      <c r="AG1330" s="239"/>
      <c r="AH1330" s="239"/>
      <c r="AI1330" s="239"/>
      <c r="AJ1330" s="239"/>
    </row>
    <row r="1331">
      <c r="A1331" s="239"/>
      <c r="B1331" s="239"/>
      <c r="C1331" s="239"/>
      <c r="D1331" s="239"/>
      <c r="E1331" s="239"/>
      <c r="F1331" s="283"/>
      <c r="G1331" s="239"/>
      <c r="H1331" s="239"/>
      <c r="I1331" s="239"/>
      <c r="J1331" s="239"/>
      <c r="K1331" s="239"/>
      <c r="L1331" s="239"/>
      <c r="M1331" s="239"/>
      <c r="N1331" s="239"/>
      <c r="O1331" s="239"/>
      <c r="P1331" s="246"/>
      <c r="Q1331" s="239"/>
      <c r="R1331" s="239"/>
      <c r="S1331" s="239"/>
      <c r="T1331" s="239"/>
      <c r="U1331" s="239"/>
      <c r="V1331" s="239"/>
      <c r="W1331" s="246"/>
      <c r="X1331" s="239"/>
      <c r="Y1331" s="239"/>
      <c r="Z1331" s="239"/>
      <c r="AA1331" s="239"/>
      <c r="AB1331" s="239"/>
      <c r="AC1331" s="239"/>
      <c r="AD1331" s="239"/>
      <c r="AE1331" s="239"/>
      <c r="AF1331" s="239"/>
      <c r="AG1331" s="239"/>
      <c r="AH1331" s="239"/>
      <c r="AI1331" s="239"/>
      <c r="AJ1331" s="239"/>
    </row>
    <row r="1332">
      <c r="A1332" s="239"/>
      <c r="B1332" s="239"/>
      <c r="C1332" s="239"/>
      <c r="D1332" s="239"/>
      <c r="E1332" s="239"/>
      <c r="F1332" s="283"/>
      <c r="G1332" s="239"/>
      <c r="H1332" s="239"/>
      <c r="I1332" s="239"/>
      <c r="J1332" s="239"/>
      <c r="K1332" s="239"/>
      <c r="L1332" s="239"/>
      <c r="M1332" s="239"/>
      <c r="N1332" s="239"/>
      <c r="O1332" s="239"/>
      <c r="P1332" s="246"/>
      <c r="Q1332" s="239"/>
      <c r="R1332" s="239"/>
      <c r="S1332" s="239"/>
      <c r="T1332" s="239"/>
      <c r="U1332" s="239"/>
      <c r="V1332" s="239"/>
      <c r="W1332" s="246"/>
      <c r="X1332" s="239"/>
      <c r="Y1332" s="239"/>
      <c r="Z1332" s="239"/>
      <c r="AA1332" s="239"/>
      <c r="AB1332" s="239"/>
      <c r="AC1332" s="239"/>
      <c r="AD1332" s="239"/>
      <c r="AE1332" s="239"/>
      <c r="AF1332" s="239"/>
      <c r="AG1332" s="239"/>
      <c r="AH1332" s="239"/>
      <c r="AI1332" s="239"/>
      <c r="AJ1332" s="239"/>
    </row>
    <row r="1333">
      <c r="A1333" s="239"/>
      <c r="B1333" s="239"/>
      <c r="C1333" s="239"/>
      <c r="D1333" s="239"/>
      <c r="E1333" s="239"/>
      <c r="F1333" s="283"/>
      <c r="G1333" s="239"/>
      <c r="H1333" s="239"/>
      <c r="I1333" s="239"/>
      <c r="J1333" s="239"/>
      <c r="K1333" s="239"/>
      <c r="L1333" s="239"/>
      <c r="M1333" s="239"/>
      <c r="N1333" s="239"/>
      <c r="O1333" s="239"/>
      <c r="P1333" s="246"/>
      <c r="Q1333" s="239"/>
      <c r="R1333" s="239"/>
      <c r="S1333" s="239"/>
      <c r="T1333" s="239"/>
      <c r="U1333" s="239"/>
      <c r="V1333" s="239"/>
      <c r="W1333" s="246"/>
      <c r="X1333" s="239"/>
      <c r="Y1333" s="239"/>
      <c r="Z1333" s="239"/>
      <c r="AA1333" s="239"/>
      <c r="AB1333" s="239"/>
      <c r="AC1333" s="239"/>
      <c r="AD1333" s="239"/>
      <c r="AE1333" s="239"/>
      <c r="AF1333" s="239"/>
      <c r="AG1333" s="239"/>
      <c r="AH1333" s="239"/>
      <c r="AI1333" s="239"/>
      <c r="AJ1333" s="239"/>
    </row>
    <row r="1334">
      <c r="A1334" s="239"/>
      <c r="B1334" s="239"/>
      <c r="C1334" s="239"/>
      <c r="D1334" s="239"/>
      <c r="E1334" s="239"/>
      <c r="F1334" s="283"/>
      <c r="G1334" s="239"/>
      <c r="H1334" s="239"/>
      <c r="I1334" s="239"/>
      <c r="J1334" s="239"/>
      <c r="K1334" s="239"/>
      <c r="L1334" s="239"/>
      <c r="M1334" s="239"/>
      <c r="N1334" s="239"/>
      <c r="O1334" s="239"/>
      <c r="P1334" s="246"/>
      <c r="Q1334" s="239"/>
      <c r="R1334" s="239"/>
      <c r="S1334" s="239"/>
      <c r="T1334" s="239"/>
      <c r="U1334" s="239"/>
      <c r="V1334" s="239"/>
      <c r="W1334" s="246"/>
      <c r="X1334" s="239"/>
      <c r="Y1334" s="239"/>
      <c r="Z1334" s="239"/>
      <c r="AA1334" s="239"/>
      <c r="AB1334" s="239"/>
      <c r="AC1334" s="239"/>
      <c r="AD1334" s="239"/>
      <c r="AE1334" s="239"/>
      <c r="AF1334" s="239"/>
      <c r="AG1334" s="239"/>
      <c r="AH1334" s="239"/>
      <c r="AI1334" s="239"/>
      <c r="AJ1334" s="239"/>
    </row>
    <row r="1335">
      <c r="A1335" s="239"/>
      <c r="B1335" s="239"/>
      <c r="C1335" s="239"/>
      <c r="D1335" s="239"/>
      <c r="E1335" s="239"/>
      <c r="F1335" s="283"/>
      <c r="G1335" s="239"/>
      <c r="H1335" s="239"/>
      <c r="I1335" s="239"/>
      <c r="J1335" s="239"/>
      <c r="K1335" s="239"/>
      <c r="L1335" s="239"/>
      <c r="M1335" s="239"/>
      <c r="N1335" s="239"/>
      <c r="O1335" s="239"/>
      <c r="P1335" s="246"/>
      <c r="Q1335" s="239"/>
      <c r="R1335" s="239"/>
      <c r="S1335" s="239"/>
      <c r="T1335" s="239"/>
      <c r="U1335" s="239"/>
      <c r="V1335" s="239"/>
      <c r="W1335" s="246"/>
      <c r="X1335" s="239"/>
      <c r="Y1335" s="239"/>
      <c r="Z1335" s="239"/>
      <c r="AA1335" s="239"/>
      <c r="AB1335" s="239"/>
      <c r="AC1335" s="239"/>
      <c r="AD1335" s="239"/>
      <c r="AE1335" s="239"/>
      <c r="AF1335" s="239"/>
      <c r="AG1335" s="239"/>
      <c r="AH1335" s="239"/>
      <c r="AI1335" s="239"/>
      <c r="AJ1335" s="239"/>
    </row>
    <row r="1336">
      <c r="A1336" s="239"/>
      <c r="B1336" s="239"/>
      <c r="C1336" s="239"/>
      <c r="D1336" s="239"/>
      <c r="E1336" s="239"/>
      <c r="F1336" s="283"/>
      <c r="G1336" s="239"/>
      <c r="H1336" s="239"/>
      <c r="I1336" s="239"/>
      <c r="J1336" s="239"/>
      <c r="K1336" s="239"/>
      <c r="L1336" s="239"/>
      <c r="M1336" s="239"/>
      <c r="N1336" s="239"/>
      <c r="O1336" s="239"/>
      <c r="P1336" s="246"/>
      <c r="Q1336" s="239"/>
      <c r="R1336" s="239"/>
      <c r="S1336" s="239"/>
      <c r="T1336" s="239"/>
      <c r="U1336" s="239"/>
      <c r="V1336" s="239"/>
      <c r="W1336" s="246"/>
      <c r="X1336" s="239"/>
      <c r="Y1336" s="239"/>
      <c r="Z1336" s="239"/>
      <c r="AA1336" s="239"/>
      <c r="AB1336" s="239"/>
      <c r="AC1336" s="239"/>
      <c r="AD1336" s="239"/>
      <c r="AE1336" s="239"/>
      <c r="AF1336" s="239"/>
      <c r="AG1336" s="239"/>
      <c r="AH1336" s="239"/>
      <c r="AI1336" s="239"/>
      <c r="AJ1336" s="239"/>
    </row>
    <row r="1337">
      <c r="A1337" s="239"/>
      <c r="B1337" s="239"/>
      <c r="C1337" s="239"/>
      <c r="D1337" s="239"/>
      <c r="E1337" s="239"/>
      <c r="F1337" s="283"/>
      <c r="G1337" s="239"/>
      <c r="H1337" s="239"/>
      <c r="I1337" s="239"/>
      <c r="J1337" s="239"/>
      <c r="K1337" s="239"/>
      <c r="L1337" s="239"/>
      <c r="M1337" s="239"/>
      <c r="N1337" s="239"/>
      <c r="O1337" s="239"/>
      <c r="P1337" s="246"/>
      <c r="Q1337" s="239"/>
      <c r="R1337" s="239"/>
      <c r="S1337" s="239"/>
      <c r="T1337" s="239"/>
      <c r="U1337" s="239"/>
      <c r="V1337" s="239"/>
      <c r="W1337" s="246"/>
      <c r="X1337" s="239"/>
      <c r="Y1337" s="239"/>
      <c r="Z1337" s="239"/>
      <c r="AA1337" s="239"/>
      <c r="AB1337" s="239"/>
      <c r="AC1337" s="239"/>
      <c r="AD1337" s="239"/>
      <c r="AE1337" s="239"/>
      <c r="AF1337" s="239"/>
      <c r="AG1337" s="239"/>
      <c r="AH1337" s="239"/>
      <c r="AI1337" s="239"/>
      <c r="AJ1337" s="239"/>
    </row>
    <row r="1338">
      <c r="A1338" s="239"/>
      <c r="B1338" s="239"/>
      <c r="C1338" s="239"/>
      <c r="D1338" s="239"/>
      <c r="E1338" s="239"/>
      <c r="F1338" s="283"/>
      <c r="G1338" s="239"/>
      <c r="H1338" s="239"/>
      <c r="I1338" s="239"/>
      <c r="J1338" s="239"/>
      <c r="K1338" s="239"/>
      <c r="L1338" s="239"/>
      <c r="M1338" s="239"/>
      <c r="N1338" s="239"/>
      <c r="O1338" s="239"/>
      <c r="P1338" s="246"/>
      <c r="Q1338" s="239"/>
      <c r="R1338" s="239"/>
      <c r="S1338" s="239"/>
      <c r="T1338" s="239"/>
      <c r="U1338" s="239"/>
      <c r="V1338" s="239"/>
      <c r="W1338" s="246"/>
      <c r="X1338" s="239"/>
      <c r="Y1338" s="239"/>
      <c r="Z1338" s="239"/>
      <c r="AA1338" s="239"/>
      <c r="AB1338" s="239"/>
      <c r="AC1338" s="239"/>
      <c r="AD1338" s="239"/>
      <c r="AE1338" s="239"/>
      <c r="AF1338" s="239"/>
      <c r="AG1338" s="239"/>
      <c r="AH1338" s="239"/>
      <c r="AI1338" s="239"/>
      <c r="AJ1338" s="239"/>
    </row>
    <row r="1339">
      <c r="A1339" s="239"/>
      <c r="B1339" s="239"/>
      <c r="C1339" s="239"/>
      <c r="D1339" s="239"/>
      <c r="E1339" s="239"/>
      <c r="F1339" s="283"/>
      <c r="G1339" s="239"/>
      <c r="H1339" s="239"/>
      <c r="I1339" s="239"/>
      <c r="J1339" s="239"/>
      <c r="K1339" s="239"/>
      <c r="L1339" s="239"/>
      <c r="M1339" s="239"/>
      <c r="N1339" s="239"/>
      <c r="O1339" s="239"/>
      <c r="P1339" s="246"/>
      <c r="Q1339" s="239"/>
      <c r="R1339" s="239"/>
      <c r="S1339" s="239"/>
      <c r="T1339" s="239"/>
      <c r="U1339" s="239"/>
      <c r="V1339" s="239"/>
      <c r="W1339" s="246"/>
      <c r="X1339" s="239"/>
      <c r="Y1339" s="239"/>
      <c r="Z1339" s="239"/>
      <c r="AA1339" s="239"/>
      <c r="AB1339" s="239"/>
      <c r="AC1339" s="239"/>
      <c r="AD1339" s="239"/>
      <c r="AE1339" s="239"/>
      <c r="AF1339" s="239"/>
      <c r="AG1339" s="239"/>
      <c r="AH1339" s="239"/>
      <c r="AI1339" s="239"/>
      <c r="AJ1339" s="239"/>
    </row>
    <row r="1340">
      <c r="A1340" s="239"/>
      <c r="B1340" s="239"/>
      <c r="C1340" s="239"/>
      <c r="D1340" s="239"/>
      <c r="E1340" s="239"/>
      <c r="F1340" s="283"/>
      <c r="G1340" s="239"/>
      <c r="H1340" s="239"/>
      <c r="I1340" s="239"/>
      <c r="J1340" s="239"/>
      <c r="K1340" s="239"/>
      <c r="L1340" s="239"/>
      <c r="M1340" s="239"/>
      <c r="N1340" s="239"/>
      <c r="O1340" s="239"/>
      <c r="P1340" s="246"/>
      <c r="Q1340" s="239"/>
      <c r="R1340" s="239"/>
      <c r="S1340" s="239"/>
      <c r="T1340" s="239"/>
      <c r="U1340" s="239"/>
      <c r="V1340" s="239"/>
      <c r="W1340" s="246"/>
      <c r="X1340" s="239"/>
      <c r="Y1340" s="239"/>
      <c r="Z1340" s="239"/>
      <c r="AA1340" s="239"/>
      <c r="AB1340" s="239"/>
      <c r="AC1340" s="239"/>
      <c r="AD1340" s="239"/>
      <c r="AE1340" s="239"/>
      <c r="AF1340" s="239"/>
      <c r="AG1340" s="239"/>
      <c r="AH1340" s="239"/>
      <c r="AI1340" s="239"/>
      <c r="AJ1340" s="239"/>
    </row>
    <row r="1341">
      <c r="A1341" s="239"/>
      <c r="B1341" s="239"/>
      <c r="C1341" s="239"/>
      <c r="D1341" s="239"/>
      <c r="E1341" s="239"/>
      <c r="F1341" s="283"/>
      <c r="G1341" s="239"/>
      <c r="H1341" s="239"/>
      <c r="I1341" s="239"/>
      <c r="J1341" s="239"/>
      <c r="K1341" s="239"/>
      <c r="L1341" s="239"/>
      <c r="M1341" s="239"/>
      <c r="N1341" s="239"/>
      <c r="O1341" s="239"/>
      <c r="P1341" s="246"/>
      <c r="Q1341" s="239"/>
      <c r="R1341" s="239"/>
      <c r="S1341" s="239"/>
      <c r="T1341" s="239"/>
      <c r="U1341" s="239"/>
      <c r="V1341" s="239"/>
      <c r="W1341" s="246"/>
      <c r="X1341" s="239"/>
      <c r="Y1341" s="239"/>
      <c r="Z1341" s="239"/>
      <c r="AA1341" s="239"/>
      <c r="AB1341" s="239"/>
      <c r="AC1341" s="239"/>
      <c r="AD1341" s="239"/>
      <c r="AE1341" s="239"/>
      <c r="AF1341" s="239"/>
      <c r="AG1341" s="239"/>
      <c r="AH1341" s="239"/>
      <c r="AI1341" s="239"/>
      <c r="AJ1341" s="239"/>
    </row>
    <row r="1342">
      <c r="A1342" s="239"/>
      <c r="B1342" s="239"/>
      <c r="C1342" s="239"/>
      <c r="D1342" s="239"/>
      <c r="E1342" s="239"/>
      <c r="F1342" s="283"/>
      <c r="G1342" s="239"/>
      <c r="H1342" s="239"/>
      <c r="I1342" s="239"/>
      <c r="J1342" s="239"/>
      <c r="K1342" s="239"/>
      <c r="L1342" s="239"/>
      <c r="M1342" s="239"/>
      <c r="N1342" s="239"/>
      <c r="O1342" s="239"/>
      <c r="P1342" s="246"/>
      <c r="Q1342" s="239"/>
      <c r="R1342" s="239"/>
      <c r="S1342" s="239"/>
      <c r="T1342" s="239"/>
      <c r="U1342" s="239"/>
      <c r="V1342" s="239"/>
      <c r="W1342" s="246"/>
      <c r="X1342" s="239"/>
      <c r="Y1342" s="239"/>
      <c r="Z1342" s="239"/>
      <c r="AA1342" s="239"/>
      <c r="AB1342" s="239"/>
      <c r="AC1342" s="239"/>
      <c r="AD1342" s="239"/>
      <c r="AE1342" s="239"/>
      <c r="AF1342" s="239"/>
      <c r="AG1342" s="239"/>
      <c r="AH1342" s="239"/>
      <c r="AI1342" s="239"/>
      <c r="AJ1342" s="239"/>
    </row>
    <row r="1343">
      <c r="A1343" s="239"/>
      <c r="B1343" s="239"/>
      <c r="C1343" s="239"/>
      <c r="D1343" s="239"/>
      <c r="E1343" s="239"/>
      <c r="F1343" s="283"/>
      <c r="G1343" s="239"/>
      <c r="H1343" s="239"/>
      <c r="I1343" s="239"/>
      <c r="J1343" s="239"/>
      <c r="K1343" s="239"/>
      <c r="L1343" s="239"/>
      <c r="M1343" s="239"/>
      <c r="N1343" s="239"/>
      <c r="O1343" s="239"/>
      <c r="P1343" s="246"/>
      <c r="Q1343" s="239"/>
      <c r="R1343" s="239"/>
      <c r="S1343" s="239"/>
      <c r="T1343" s="239"/>
      <c r="U1343" s="239"/>
      <c r="V1343" s="239"/>
      <c r="W1343" s="246"/>
      <c r="X1343" s="239"/>
      <c r="Y1343" s="239"/>
      <c r="Z1343" s="239"/>
      <c r="AA1343" s="239"/>
      <c r="AB1343" s="239"/>
      <c r="AC1343" s="239"/>
      <c r="AD1343" s="239"/>
      <c r="AE1343" s="239"/>
      <c r="AF1343" s="239"/>
      <c r="AG1343" s="239"/>
      <c r="AH1343" s="239"/>
      <c r="AI1343" s="239"/>
      <c r="AJ1343" s="239"/>
    </row>
    <row r="1344">
      <c r="A1344" s="239"/>
      <c r="B1344" s="239"/>
      <c r="C1344" s="239"/>
      <c r="D1344" s="239"/>
      <c r="E1344" s="239"/>
      <c r="F1344" s="283"/>
      <c r="G1344" s="239"/>
      <c r="H1344" s="239"/>
      <c r="I1344" s="239"/>
      <c r="J1344" s="239"/>
      <c r="K1344" s="239"/>
      <c r="L1344" s="239"/>
      <c r="M1344" s="239"/>
      <c r="N1344" s="239"/>
      <c r="O1344" s="239"/>
      <c r="P1344" s="246"/>
      <c r="Q1344" s="239"/>
      <c r="R1344" s="239"/>
      <c r="S1344" s="239"/>
      <c r="T1344" s="239"/>
      <c r="U1344" s="239"/>
      <c r="V1344" s="239"/>
      <c r="W1344" s="246"/>
      <c r="X1344" s="239"/>
      <c r="Y1344" s="239"/>
      <c r="Z1344" s="239"/>
      <c r="AA1344" s="239"/>
      <c r="AB1344" s="239"/>
      <c r="AC1344" s="239"/>
      <c r="AD1344" s="239"/>
      <c r="AE1344" s="239"/>
      <c r="AF1344" s="239"/>
      <c r="AG1344" s="239"/>
      <c r="AH1344" s="239"/>
      <c r="AI1344" s="239"/>
      <c r="AJ1344" s="239"/>
    </row>
    <row r="1345">
      <c r="A1345" s="239"/>
      <c r="B1345" s="239"/>
      <c r="C1345" s="239"/>
      <c r="D1345" s="239"/>
      <c r="E1345" s="239"/>
      <c r="F1345" s="283"/>
      <c r="G1345" s="239"/>
      <c r="H1345" s="239"/>
      <c r="I1345" s="239"/>
      <c r="J1345" s="239"/>
      <c r="K1345" s="239"/>
      <c r="L1345" s="239"/>
      <c r="M1345" s="239"/>
      <c r="N1345" s="239"/>
      <c r="O1345" s="239"/>
      <c r="P1345" s="246"/>
      <c r="Q1345" s="239"/>
      <c r="R1345" s="239"/>
      <c r="S1345" s="239"/>
      <c r="T1345" s="239"/>
      <c r="U1345" s="239"/>
      <c r="V1345" s="239"/>
      <c r="W1345" s="246"/>
      <c r="X1345" s="239"/>
      <c r="Y1345" s="239"/>
      <c r="Z1345" s="239"/>
      <c r="AA1345" s="239"/>
      <c r="AB1345" s="239"/>
      <c r="AC1345" s="239"/>
      <c r="AD1345" s="239"/>
      <c r="AE1345" s="239"/>
      <c r="AF1345" s="239"/>
      <c r="AG1345" s="239"/>
      <c r="AH1345" s="239"/>
      <c r="AI1345" s="239"/>
      <c r="AJ1345" s="239"/>
    </row>
    <row r="1346">
      <c r="A1346" s="239"/>
      <c r="B1346" s="239"/>
      <c r="C1346" s="239"/>
      <c r="D1346" s="239"/>
      <c r="E1346" s="239"/>
      <c r="F1346" s="283"/>
      <c r="G1346" s="239"/>
      <c r="H1346" s="239"/>
      <c r="I1346" s="239"/>
      <c r="J1346" s="239"/>
      <c r="K1346" s="239"/>
      <c r="L1346" s="239"/>
      <c r="M1346" s="239"/>
      <c r="N1346" s="239"/>
      <c r="O1346" s="239"/>
      <c r="P1346" s="246"/>
      <c r="Q1346" s="239"/>
      <c r="R1346" s="239"/>
      <c r="S1346" s="239"/>
      <c r="T1346" s="239"/>
      <c r="U1346" s="239"/>
      <c r="V1346" s="239"/>
      <c r="W1346" s="246"/>
      <c r="X1346" s="239"/>
      <c r="Y1346" s="239"/>
      <c r="Z1346" s="239"/>
      <c r="AA1346" s="239"/>
      <c r="AB1346" s="239"/>
      <c r="AC1346" s="239"/>
      <c r="AD1346" s="239"/>
      <c r="AE1346" s="239"/>
      <c r="AF1346" s="239"/>
      <c r="AG1346" s="239"/>
      <c r="AH1346" s="239"/>
      <c r="AI1346" s="239"/>
      <c r="AJ1346" s="239"/>
    </row>
    <row r="1347">
      <c r="A1347" s="239"/>
      <c r="B1347" s="239"/>
      <c r="C1347" s="239"/>
      <c r="D1347" s="239"/>
      <c r="E1347" s="239"/>
      <c r="F1347" s="283"/>
      <c r="G1347" s="239"/>
      <c r="H1347" s="239"/>
      <c r="I1347" s="239"/>
      <c r="J1347" s="239"/>
      <c r="K1347" s="239"/>
      <c r="L1347" s="239"/>
      <c r="M1347" s="239"/>
      <c r="N1347" s="239"/>
      <c r="O1347" s="239"/>
      <c r="P1347" s="246"/>
      <c r="Q1347" s="239"/>
      <c r="R1347" s="239"/>
      <c r="S1347" s="239"/>
      <c r="T1347" s="239"/>
      <c r="U1347" s="239"/>
      <c r="V1347" s="239"/>
      <c r="W1347" s="246"/>
      <c r="X1347" s="239"/>
      <c r="Y1347" s="239"/>
      <c r="Z1347" s="239"/>
      <c r="AA1347" s="239"/>
      <c r="AB1347" s="239"/>
      <c r="AC1347" s="239"/>
      <c r="AD1347" s="239"/>
      <c r="AE1347" s="239"/>
      <c r="AF1347" s="239"/>
      <c r="AG1347" s="239"/>
      <c r="AH1347" s="239"/>
      <c r="AI1347" s="239"/>
      <c r="AJ1347" s="239"/>
    </row>
    <row r="1348">
      <c r="A1348" s="239"/>
      <c r="B1348" s="239"/>
      <c r="C1348" s="239"/>
      <c r="D1348" s="239"/>
      <c r="E1348" s="239"/>
      <c r="F1348" s="283"/>
      <c r="G1348" s="239"/>
      <c r="H1348" s="239"/>
      <c r="I1348" s="239"/>
      <c r="J1348" s="239"/>
      <c r="K1348" s="239"/>
      <c r="L1348" s="239"/>
      <c r="M1348" s="239"/>
      <c r="N1348" s="239"/>
      <c r="O1348" s="239"/>
      <c r="P1348" s="246"/>
      <c r="Q1348" s="239"/>
      <c r="R1348" s="239"/>
      <c r="S1348" s="239"/>
      <c r="T1348" s="239"/>
      <c r="U1348" s="239"/>
      <c r="V1348" s="239"/>
      <c r="W1348" s="246"/>
      <c r="X1348" s="239"/>
      <c r="Y1348" s="239"/>
      <c r="Z1348" s="239"/>
      <c r="AA1348" s="239"/>
      <c r="AB1348" s="239"/>
      <c r="AC1348" s="239"/>
      <c r="AD1348" s="239"/>
      <c r="AE1348" s="239"/>
      <c r="AF1348" s="239"/>
      <c r="AG1348" s="239"/>
      <c r="AH1348" s="239"/>
      <c r="AI1348" s="239"/>
      <c r="AJ1348" s="239"/>
    </row>
    <row r="1349">
      <c r="A1349" s="239"/>
      <c r="B1349" s="239"/>
      <c r="C1349" s="239"/>
      <c r="D1349" s="239"/>
      <c r="E1349" s="239"/>
      <c r="F1349" s="283"/>
      <c r="G1349" s="239"/>
      <c r="H1349" s="239"/>
      <c r="I1349" s="239"/>
      <c r="J1349" s="239"/>
      <c r="K1349" s="239"/>
      <c r="L1349" s="239"/>
      <c r="M1349" s="239"/>
      <c r="N1349" s="239"/>
      <c r="O1349" s="239"/>
      <c r="P1349" s="246"/>
      <c r="Q1349" s="239"/>
      <c r="R1349" s="239"/>
      <c r="S1349" s="239"/>
      <c r="T1349" s="239"/>
      <c r="U1349" s="239"/>
      <c r="V1349" s="239"/>
      <c r="W1349" s="246"/>
      <c r="X1349" s="239"/>
      <c r="Y1349" s="239"/>
      <c r="Z1349" s="239"/>
      <c r="AA1349" s="239"/>
      <c r="AB1349" s="239"/>
      <c r="AC1349" s="239"/>
      <c r="AD1349" s="239"/>
      <c r="AE1349" s="239"/>
      <c r="AF1349" s="239"/>
      <c r="AG1349" s="239"/>
      <c r="AH1349" s="239"/>
      <c r="AI1349" s="239"/>
      <c r="AJ1349" s="239"/>
    </row>
    <row r="1350">
      <c r="A1350" s="239"/>
      <c r="B1350" s="239"/>
      <c r="C1350" s="239"/>
      <c r="D1350" s="239"/>
      <c r="E1350" s="239"/>
      <c r="F1350" s="283"/>
      <c r="G1350" s="239"/>
      <c r="H1350" s="239"/>
      <c r="I1350" s="239"/>
      <c r="J1350" s="239"/>
      <c r="K1350" s="239"/>
      <c r="L1350" s="239"/>
      <c r="M1350" s="239"/>
      <c r="N1350" s="239"/>
      <c r="O1350" s="239"/>
      <c r="P1350" s="246"/>
      <c r="Q1350" s="239"/>
      <c r="R1350" s="239"/>
      <c r="S1350" s="239"/>
      <c r="T1350" s="239"/>
      <c r="U1350" s="239"/>
      <c r="V1350" s="239"/>
      <c r="W1350" s="246"/>
      <c r="X1350" s="239"/>
      <c r="Y1350" s="239"/>
      <c r="Z1350" s="239"/>
      <c r="AA1350" s="239"/>
      <c r="AB1350" s="239"/>
      <c r="AC1350" s="239"/>
      <c r="AD1350" s="239"/>
      <c r="AE1350" s="239"/>
      <c r="AF1350" s="239"/>
      <c r="AG1350" s="239"/>
      <c r="AH1350" s="239"/>
      <c r="AI1350" s="239"/>
      <c r="AJ1350" s="239"/>
    </row>
    <row r="1351">
      <c r="A1351" s="239"/>
      <c r="B1351" s="239"/>
      <c r="C1351" s="239"/>
      <c r="D1351" s="239"/>
      <c r="E1351" s="239"/>
      <c r="F1351" s="283"/>
      <c r="G1351" s="239"/>
      <c r="H1351" s="239"/>
      <c r="I1351" s="239"/>
      <c r="J1351" s="239"/>
      <c r="K1351" s="239"/>
      <c r="L1351" s="239"/>
      <c r="M1351" s="239"/>
      <c r="N1351" s="239"/>
      <c r="O1351" s="239"/>
      <c r="P1351" s="246"/>
      <c r="Q1351" s="239"/>
      <c r="R1351" s="239"/>
      <c r="S1351" s="239"/>
      <c r="T1351" s="239"/>
      <c r="U1351" s="239"/>
      <c r="V1351" s="239"/>
      <c r="W1351" s="246"/>
      <c r="X1351" s="239"/>
      <c r="Y1351" s="239"/>
      <c r="Z1351" s="239"/>
      <c r="AA1351" s="239"/>
      <c r="AB1351" s="239"/>
      <c r="AC1351" s="239"/>
      <c r="AD1351" s="239"/>
      <c r="AE1351" s="239"/>
      <c r="AF1351" s="239"/>
      <c r="AG1351" s="239"/>
      <c r="AH1351" s="239"/>
      <c r="AI1351" s="239"/>
      <c r="AJ1351" s="239"/>
    </row>
    <row r="1352">
      <c r="A1352" s="239"/>
      <c r="B1352" s="239"/>
      <c r="C1352" s="239"/>
      <c r="D1352" s="239"/>
      <c r="E1352" s="239"/>
      <c r="F1352" s="283"/>
      <c r="G1352" s="239"/>
      <c r="H1352" s="239"/>
      <c r="I1352" s="239"/>
      <c r="J1352" s="239"/>
      <c r="K1352" s="239"/>
      <c r="L1352" s="239"/>
      <c r="M1352" s="239"/>
      <c r="N1352" s="239"/>
      <c r="O1352" s="239"/>
      <c r="P1352" s="246"/>
      <c r="Q1352" s="239"/>
      <c r="R1352" s="239"/>
      <c r="S1352" s="239"/>
      <c r="T1352" s="239"/>
      <c r="U1352" s="239"/>
      <c r="V1352" s="239"/>
      <c r="W1352" s="246"/>
      <c r="X1352" s="239"/>
      <c r="Y1352" s="239"/>
      <c r="Z1352" s="239"/>
      <c r="AA1352" s="239"/>
      <c r="AB1352" s="239"/>
      <c r="AC1352" s="239"/>
      <c r="AD1352" s="239"/>
      <c r="AE1352" s="239"/>
      <c r="AF1352" s="239"/>
      <c r="AG1352" s="239"/>
      <c r="AH1352" s="239"/>
      <c r="AI1352" s="239"/>
      <c r="AJ1352" s="239"/>
    </row>
    <row r="1353">
      <c r="A1353" s="239"/>
      <c r="B1353" s="239"/>
      <c r="C1353" s="239"/>
      <c r="D1353" s="239"/>
      <c r="E1353" s="239"/>
      <c r="F1353" s="283"/>
      <c r="G1353" s="239"/>
      <c r="H1353" s="239"/>
      <c r="I1353" s="239"/>
      <c r="J1353" s="239"/>
      <c r="K1353" s="239"/>
      <c r="L1353" s="239"/>
      <c r="M1353" s="239"/>
      <c r="N1353" s="239"/>
      <c r="O1353" s="239"/>
      <c r="P1353" s="246"/>
      <c r="Q1353" s="239"/>
      <c r="R1353" s="239"/>
      <c r="S1353" s="239"/>
      <c r="T1353" s="239"/>
      <c r="U1353" s="239"/>
      <c r="V1353" s="239"/>
      <c r="W1353" s="246"/>
      <c r="X1353" s="239"/>
      <c r="Y1353" s="239"/>
      <c r="Z1353" s="239"/>
      <c r="AA1353" s="239"/>
      <c r="AB1353" s="239"/>
      <c r="AC1353" s="239"/>
      <c r="AD1353" s="239"/>
      <c r="AE1353" s="239"/>
      <c r="AF1353" s="239"/>
      <c r="AG1353" s="239"/>
      <c r="AH1353" s="239"/>
      <c r="AI1353" s="239"/>
      <c r="AJ1353" s="239"/>
    </row>
    <row r="1354">
      <c r="A1354" s="239"/>
      <c r="B1354" s="239"/>
      <c r="C1354" s="239"/>
      <c r="D1354" s="239"/>
      <c r="E1354" s="239"/>
      <c r="F1354" s="283"/>
      <c r="G1354" s="239"/>
      <c r="H1354" s="239"/>
      <c r="I1354" s="239"/>
      <c r="J1354" s="239"/>
      <c r="K1354" s="239"/>
      <c r="L1354" s="239"/>
      <c r="M1354" s="239"/>
      <c r="N1354" s="239"/>
      <c r="O1354" s="239"/>
      <c r="P1354" s="246"/>
      <c r="Q1354" s="239"/>
      <c r="R1354" s="239"/>
      <c r="S1354" s="239"/>
      <c r="T1354" s="239"/>
      <c r="U1354" s="239"/>
      <c r="V1354" s="239"/>
      <c r="W1354" s="246"/>
      <c r="X1354" s="239"/>
      <c r="Y1354" s="239"/>
      <c r="Z1354" s="239"/>
      <c r="AA1354" s="239"/>
      <c r="AB1354" s="239"/>
      <c r="AC1354" s="239"/>
      <c r="AD1354" s="239"/>
      <c r="AE1354" s="239"/>
      <c r="AF1354" s="239"/>
      <c r="AG1354" s="239"/>
      <c r="AH1354" s="239"/>
      <c r="AI1354" s="239"/>
      <c r="AJ1354" s="239"/>
    </row>
    <row r="1355">
      <c r="A1355" s="239"/>
      <c r="B1355" s="239"/>
      <c r="C1355" s="239"/>
      <c r="D1355" s="239"/>
      <c r="E1355" s="239"/>
      <c r="F1355" s="283"/>
      <c r="G1355" s="239"/>
      <c r="H1355" s="239"/>
      <c r="I1355" s="239"/>
      <c r="J1355" s="239"/>
      <c r="K1355" s="239"/>
      <c r="L1355" s="239"/>
      <c r="M1355" s="239"/>
      <c r="N1355" s="239"/>
      <c r="O1355" s="239"/>
      <c r="P1355" s="246"/>
      <c r="Q1355" s="239"/>
      <c r="R1355" s="239"/>
      <c r="S1355" s="239"/>
      <c r="T1355" s="239"/>
      <c r="U1355" s="239"/>
      <c r="V1355" s="239"/>
      <c r="W1355" s="246"/>
      <c r="X1355" s="239"/>
      <c r="Y1355" s="239"/>
      <c r="Z1355" s="239"/>
      <c r="AA1355" s="239"/>
      <c r="AB1355" s="239"/>
      <c r="AC1355" s="239"/>
      <c r="AD1355" s="239"/>
      <c r="AE1355" s="239"/>
      <c r="AF1355" s="239"/>
      <c r="AG1355" s="239"/>
      <c r="AH1355" s="239"/>
      <c r="AI1355" s="239"/>
      <c r="AJ1355" s="239"/>
    </row>
    <row r="1356">
      <c r="A1356" s="239"/>
      <c r="B1356" s="239"/>
      <c r="C1356" s="239"/>
      <c r="D1356" s="239"/>
      <c r="E1356" s="239"/>
      <c r="F1356" s="283"/>
      <c r="G1356" s="239"/>
      <c r="H1356" s="239"/>
      <c r="I1356" s="239"/>
      <c r="J1356" s="239"/>
      <c r="K1356" s="239"/>
      <c r="L1356" s="239"/>
      <c r="M1356" s="239"/>
      <c r="N1356" s="239"/>
      <c r="O1356" s="239"/>
      <c r="P1356" s="246"/>
      <c r="Q1356" s="239"/>
      <c r="R1356" s="239"/>
      <c r="S1356" s="239"/>
      <c r="T1356" s="239"/>
      <c r="U1356" s="239"/>
      <c r="V1356" s="239"/>
      <c r="W1356" s="246"/>
      <c r="X1356" s="239"/>
      <c r="Y1356" s="239"/>
      <c r="Z1356" s="239"/>
      <c r="AA1356" s="239"/>
      <c r="AB1356" s="239"/>
      <c r="AC1356" s="239"/>
      <c r="AD1356" s="239"/>
      <c r="AE1356" s="239"/>
      <c r="AF1356" s="239"/>
      <c r="AG1356" s="239"/>
      <c r="AH1356" s="239"/>
      <c r="AI1356" s="239"/>
      <c r="AJ1356" s="239"/>
    </row>
    <row r="1357">
      <c r="A1357" s="239"/>
      <c r="B1357" s="239"/>
      <c r="C1357" s="239"/>
      <c r="D1357" s="239"/>
      <c r="E1357" s="239"/>
      <c r="F1357" s="283"/>
      <c r="G1357" s="239"/>
      <c r="H1357" s="239"/>
      <c r="I1357" s="239"/>
      <c r="J1357" s="239"/>
      <c r="K1357" s="239"/>
      <c r="L1357" s="239"/>
      <c r="M1357" s="239"/>
      <c r="N1357" s="239"/>
      <c r="O1357" s="239"/>
      <c r="P1357" s="246"/>
      <c r="Q1357" s="239"/>
      <c r="R1357" s="239"/>
      <c r="S1357" s="239"/>
      <c r="T1357" s="239"/>
      <c r="U1357" s="239"/>
      <c r="V1357" s="239"/>
      <c r="W1357" s="246"/>
      <c r="X1357" s="239"/>
      <c r="Y1357" s="239"/>
      <c r="Z1357" s="239"/>
      <c r="AA1357" s="239"/>
      <c r="AB1357" s="239"/>
      <c r="AC1357" s="239"/>
      <c r="AD1357" s="239"/>
      <c r="AE1357" s="239"/>
      <c r="AF1357" s="239"/>
      <c r="AG1357" s="239"/>
      <c r="AH1357" s="239"/>
      <c r="AI1357" s="239"/>
      <c r="AJ1357" s="239"/>
    </row>
    <row r="1358">
      <c r="A1358" s="239"/>
      <c r="B1358" s="239"/>
      <c r="C1358" s="239"/>
      <c r="D1358" s="239"/>
      <c r="E1358" s="239"/>
      <c r="F1358" s="283"/>
      <c r="G1358" s="239"/>
      <c r="H1358" s="239"/>
      <c r="I1358" s="239"/>
      <c r="J1358" s="239"/>
      <c r="K1358" s="239"/>
      <c r="L1358" s="239"/>
      <c r="M1358" s="239"/>
      <c r="N1358" s="239"/>
      <c r="O1358" s="239"/>
      <c r="P1358" s="246"/>
      <c r="Q1358" s="239"/>
      <c r="R1358" s="239"/>
      <c r="S1358" s="239"/>
      <c r="T1358" s="239"/>
      <c r="U1358" s="239"/>
      <c r="V1358" s="239"/>
      <c r="W1358" s="246"/>
      <c r="X1358" s="239"/>
      <c r="Y1358" s="239"/>
      <c r="Z1358" s="239"/>
      <c r="AA1358" s="239"/>
      <c r="AB1358" s="239"/>
      <c r="AC1358" s="239"/>
      <c r="AD1358" s="239"/>
      <c r="AE1358" s="239"/>
      <c r="AF1358" s="239"/>
      <c r="AG1358" s="239"/>
      <c r="AH1358" s="239"/>
      <c r="AI1358" s="239"/>
      <c r="AJ1358" s="239"/>
    </row>
    <row r="1359">
      <c r="A1359" s="239"/>
      <c r="B1359" s="239"/>
      <c r="C1359" s="239"/>
      <c r="D1359" s="239"/>
      <c r="E1359" s="239"/>
      <c r="F1359" s="283"/>
      <c r="G1359" s="239"/>
      <c r="H1359" s="239"/>
      <c r="I1359" s="239"/>
      <c r="J1359" s="239"/>
      <c r="K1359" s="239"/>
      <c r="L1359" s="239"/>
      <c r="M1359" s="239"/>
      <c r="N1359" s="239"/>
      <c r="O1359" s="239"/>
      <c r="P1359" s="246"/>
      <c r="Q1359" s="239"/>
      <c r="R1359" s="239"/>
      <c r="S1359" s="239"/>
      <c r="T1359" s="239"/>
      <c r="U1359" s="239"/>
      <c r="V1359" s="239"/>
      <c r="W1359" s="246"/>
      <c r="X1359" s="239"/>
      <c r="Y1359" s="239"/>
      <c r="Z1359" s="239"/>
      <c r="AA1359" s="239"/>
      <c r="AB1359" s="239"/>
      <c r="AC1359" s="239"/>
      <c r="AD1359" s="239"/>
      <c r="AE1359" s="239"/>
      <c r="AF1359" s="239"/>
      <c r="AG1359" s="239"/>
      <c r="AH1359" s="239"/>
      <c r="AI1359" s="239"/>
      <c r="AJ1359" s="239"/>
    </row>
    <row r="1360">
      <c r="A1360" s="239"/>
      <c r="B1360" s="239"/>
      <c r="C1360" s="239"/>
      <c r="D1360" s="239"/>
      <c r="E1360" s="239"/>
      <c r="F1360" s="283"/>
      <c r="G1360" s="239"/>
      <c r="H1360" s="239"/>
      <c r="I1360" s="239"/>
      <c r="J1360" s="239"/>
      <c r="K1360" s="239"/>
      <c r="L1360" s="239"/>
      <c r="M1360" s="239"/>
      <c r="N1360" s="239"/>
      <c r="O1360" s="239"/>
      <c r="P1360" s="246"/>
      <c r="Q1360" s="239"/>
      <c r="R1360" s="239"/>
      <c r="S1360" s="239"/>
      <c r="T1360" s="239"/>
      <c r="U1360" s="239"/>
      <c r="V1360" s="239"/>
      <c r="W1360" s="246"/>
      <c r="X1360" s="239"/>
      <c r="Y1360" s="239"/>
      <c r="Z1360" s="239"/>
      <c r="AA1360" s="239"/>
      <c r="AB1360" s="239"/>
      <c r="AC1360" s="239"/>
      <c r="AD1360" s="239"/>
      <c r="AE1360" s="239"/>
      <c r="AF1360" s="239"/>
      <c r="AG1360" s="239"/>
      <c r="AH1360" s="239"/>
      <c r="AI1360" s="239"/>
      <c r="AJ1360" s="239"/>
    </row>
    <row r="1361">
      <c r="A1361" s="239"/>
      <c r="B1361" s="239"/>
      <c r="C1361" s="239"/>
      <c r="D1361" s="239"/>
      <c r="E1361" s="239"/>
      <c r="F1361" s="283"/>
      <c r="G1361" s="239"/>
      <c r="H1361" s="239"/>
      <c r="I1361" s="239"/>
      <c r="J1361" s="239"/>
      <c r="K1361" s="239"/>
      <c r="L1361" s="239"/>
      <c r="M1361" s="239"/>
      <c r="N1361" s="239"/>
      <c r="O1361" s="239"/>
      <c r="P1361" s="246"/>
      <c r="Q1361" s="239"/>
      <c r="R1361" s="239"/>
      <c r="S1361" s="239"/>
      <c r="T1361" s="239"/>
      <c r="U1361" s="239"/>
      <c r="V1361" s="239"/>
      <c r="W1361" s="246"/>
      <c r="X1361" s="239"/>
      <c r="Y1361" s="239"/>
      <c r="Z1361" s="239"/>
      <c r="AA1361" s="239"/>
      <c r="AB1361" s="239"/>
      <c r="AC1361" s="239"/>
      <c r="AD1361" s="239"/>
      <c r="AE1361" s="239"/>
      <c r="AF1361" s="239"/>
      <c r="AG1361" s="239"/>
      <c r="AH1361" s="239"/>
      <c r="AI1361" s="239"/>
      <c r="AJ1361" s="239"/>
    </row>
    <row r="1362">
      <c r="A1362" s="239"/>
      <c r="B1362" s="239"/>
      <c r="C1362" s="239"/>
      <c r="D1362" s="239"/>
      <c r="E1362" s="239"/>
      <c r="F1362" s="283"/>
      <c r="G1362" s="239"/>
      <c r="H1362" s="239"/>
      <c r="I1362" s="239"/>
      <c r="J1362" s="239"/>
      <c r="K1362" s="239"/>
      <c r="L1362" s="239"/>
      <c r="M1362" s="239"/>
      <c r="N1362" s="239"/>
      <c r="O1362" s="239"/>
      <c r="P1362" s="246"/>
      <c r="Q1362" s="239"/>
      <c r="R1362" s="239"/>
      <c r="S1362" s="239"/>
      <c r="T1362" s="239"/>
      <c r="U1362" s="239"/>
      <c r="V1362" s="239"/>
      <c r="W1362" s="246"/>
      <c r="X1362" s="239"/>
      <c r="Y1362" s="239"/>
      <c r="Z1362" s="239"/>
      <c r="AA1362" s="239"/>
      <c r="AB1362" s="239"/>
      <c r="AC1362" s="239"/>
      <c r="AD1362" s="239"/>
      <c r="AE1362" s="239"/>
      <c r="AF1362" s="239"/>
      <c r="AG1362" s="239"/>
      <c r="AH1362" s="239"/>
      <c r="AI1362" s="239"/>
      <c r="AJ1362" s="239"/>
    </row>
    <row r="1363">
      <c r="A1363" s="239"/>
      <c r="B1363" s="239"/>
      <c r="C1363" s="239"/>
      <c r="D1363" s="239"/>
      <c r="E1363" s="239"/>
      <c r="F1363" s="283"/>
      <c r="G1363" s="239"/>
      <c r="H1363" s="239"/>
      <c r="I1363" s="239"/>
      <c r="J1363" s="239"/>
      <c r="K1363" s="239"/>
      <c r="L1363" s="239"/>
      <c r="M1363" s="239"/>
      <c r="N1363" s="239"/>
      <c r="O1363" s="239"/>
      <c r="P1363" s="246"/>
      <c r="Q1363" s="239"/>
      <c r="R1363" s="239"/>
      <c r="S1363" s="239"/>
      <c r="T1363" s="239"/>
      <c r="U1363" s="239"/>
      <c r="V1363" s="239"/>
      <c r="W1363" s="246"/>
      <c r="X1363" s="239"/>
      <c r="Y1363" s="239"/>
      <c r="Z1363" s="239"/>
      <c r="AA1363" s="239"/>
      <c r="AB1363" s="239"/>
      <c r="AC1363" s="239"/>
      <c r="AD1363" s="239"/>
      <c r="AE1363" s="239"/>
      <c r="AF1363" s="239"/>
      <c r="AG1363" s="239"/>
      <c r="AH1363" s="239"/>
      <c r="AI1363" s="239"/>
      <c r="AJ1363" s="239"/>
    </row>
    <row r="1364">
      <c r="A1364" s="239"/>
      <c r="B1364" s="239"/>
      <c r="C1364" s="239"/>
      <c r="D1364" s="239"/>
      <c r="E1364" s="239"/>
      <c r="F1364" s="283"/>
      <c r="G1364" s="239"/>
      <c r="H1364" s="239"/>
      <c r="I1364" s="239"/>
      <c r="J1364" s="239"/>
      <c r="K1364" s="239"/>
      <c r="L1364" s="239"/>
      <c r="M1364" s="239"/>
      <c r="N1364" s="239"/>
      <c r="O1364" s="239"/>
      <c r="P1364" s="246"/>
      <c r="Q1364" s="239"/>
      <c r="R1364" s="239"/>
      <c r="S1364" s="239"/>
      <c r="T1364" s="239"/>
      <c r="U1364" s="239"/>
      <c r="V1364" s="239"/>
      <c r="W1364" s="246"/>
      <c r="X1364" s="239"/>
      <c r="Y1364" s="239"/>
      <c r="Z1364" s="239"/>
      <c r="AA1364" s="239"/>
      <c r="AB1364" s="239"/>
      <c r="AC1364" s="239"/>
      <c r="AD1364" s="239"/>
      <c r="AE1364" s="239"/>
      <c r="AF1364" s="239"/>
      <c r="AG1364" s="239"/>
      <c r="AH1364" s="239"/>
      <c r="AI1364" s="239"/>
      <c r="AJ1364" s="239"/>
    </row>
    <row r="1365">
      <c r="A1365" s="239"/>
      <c r="B1365" s="239"/>
      <c r="C1365" s="239"/>
      <c r="D1365" s="239"/>
      <c r="E1365" s="239"/>
      <c r="F1365" s="283"/>
      <c r="G1365" s="239"/>
      <c r="H1365" s="239"/>
      <c r="I1365" s="239"/>
      <c r="J1365" s="239"/>
      <c r="K1365" s="239"/>
      <c r="L1365" s="239"/>
      <c r="M1365" s="239"/>
      <c r="N1365" s="239"/>
      <c r="O1365" s="239"/>
      <c r="P1365" s="246"/>
      <c r="Q1365" s="239"/>
      <c r="R1365" s="239"/>
      <c r="S1365" s="239"/>
      <c r="T1365" s="239"/>
      <c r="U1365" s="239"/>
      <c r="V1365" s="239"/>
      <c r="W1365" s="246"/>
      <c r="X1365" s="239"/>
      <c r="Y1365" s="239"/>
      <c r="Z1365" s="239"/>
      <c r="AA1365" s="239"/>
      <c r="AB1365" s="239"/>
      <c r="AC1365" s="239"/>
      <c r="AD1365" s="239"/>
      <c r="AE1365" s="239"/>
      <c r="AF1365" s="239"/>
      <c r="AG1365" s="239"/>
      <c r="AH1365" s="239"/>
      <c r="AI1365" s="239"/>
      <c r="AJ1365" s="239"/>
    </row>
    <row r="1366">
      <c r="A1366" s="239"/>
      <c r="B1366" s="239"/>
      <c r="C1366" s="239"/>
      <c r="D1366" s="239"/>
      <c r="E1366" s="239"/>
      <c r="F1366" s="283"/>
      <c r="G1366" s="239"/>
      <c r="H1366" s="239"/>
      <c r="I1366" s="239"/>
      <c r="J1366" s="239"/>
      <c r="K1366" s="239"/>
      <c r="L1366" s="239"/>
      <c r="M1366" s="239"/>
      <c r="N1366" s="239"/>
      <c r="O1366" s="239"/>
      <c r="P1366" s="246"/>
      <c r="Q1366" s="239"/>
      <c r="R1366" s="239"/>
      <c r="S1366" s="239"/>
      <c r="T1366" s="239"/>
      <c r="U1366" s="239"/>
      <c r="V1366" s="239"/>
      <c r="W1366" s="246"/>
      <c r="X1366" s="239"/>
      <c r="Y1366" s="239"/>
      <c r="Z1366" s="239"/>
      <c r="AA1366" s="239"/>
      <c r="AB1366" s="239"/>
      <c r="AC1366" s="239"/>
      <c r="AD1366" s="239"/>
      <c r="AE1366" s="239"/>
      <c r="AF1366" s="239"/>
      <c r="AG1366" s="239"/>
      <c r="AH1366" s="239"/>
      <c r="AI1366" s="239"/>
      <c r="AJ1366" s="239"/>
    </row>
    <row r="1367">
      <c r="A1367" s="239"/>
      <c r="B1367" s="239"/>
      <c r="C1367" s="239"/>
      <c r="D1367" s="239"/>
      <c r="E1367" s="239"/>
      <c r="F1367" s="283"/>
      <c r="G1367" s="239"/>
      <c r="H1367" s="239"/>
      <c r="I1367" s="239"/>
      <c r="J1367" s="239"/>
      <c r="K1367" s="239"/>
      <c r="L1367" s="239"/>
      <c r="M1367" s="239"/>
      <c r="N1367" s="239"/>
      <c r="O1367" s="239"/>
      <c r="P1367" s="246"/>
      <c r="Q1367" s="239"/>
      <c r="R1367" s="239"/>
      <c r="S1367" s="239"/>
      <c r="T1367" s="239"/>
      <c r="U1367" s="239"/>
      <c r="V1367" s="239"/>
      <c r="W1367" s="246"/>
      <c r="X1367" s="239"/>
      <c r="Y1367" s="239"/>
      <c r="Z1367" s="239"/>
      <c r="AA1367" s="239"/>
      <c r="AB1367" s="239"/>
      <c r="AC1367" s="239"/>
      <c r="AD1367" s="239"/>
      <c r="AE1367" s="239"/>
      <c r="AF1367" s="239"/>
      <c r="AG1367" s="239"/>
      <c r="AH1367" s="239"/>
      <c r="AI1367" s="239"/>
      <c r="AJ1367" s="239"/>
    </row>
    <row r="1368">
      <c r="A1368" s="239"/>
      <c r="B1368" s="239"/>
      <c r="C1368" s="239"/>
      <c r="D1368" s="239"/>
      <c r="E1368" s="239"/>
      <c r="F1368" s="283"/>
      <c r="G1368" s="239"/>
      <c r="H1368" s="239"/>
      <c r="I1368" s="239"/>
      <c r="J1368" s="239"/>
      <c r="K1368" s="239"/>
      <c r="L1368" s="239"/>
      <c r="M1368" s="239"/>
      <c r="N1368" s="239"/>
      <c r="O1368" s="239"/>
      <c r="P1368" s="246"/>
      <c r="Q1368" s="239"/>
      <c r="R1368" s="239"/>
      <c r="S1368" s="239"/>
      <c r="T1368" s="239"/>
      <c r="U1368" s="239"/>
      <c r="V1368" s="239"/>
      <c r="W1368" s="246"/>
      <c r="X1368" s="239"/>
      <c r="Y1368" s="239"/>
      <c r="Z1368" s="239"/>
      <c r="AA1368" s="239"/>
      <c r="AB1368" s="239"/>
      <c r="AC1368" s="239"/>
      <c r="AD1368" s="239"/>
      <c r="AE1368" s="239"/>
      <c r="AF1368" s="239"/>
      <c r="AG1368" s="239"/>
      <c r="AH1368" s="239"/>
      <c r="AI1368" s="239"/>
      <c r="AJ1368" s="239"/>
    </row>
    <row r="1369">
      <c r="A1369" s="239"/>
      <c r="B1369" s="239"/>
      <c r="C1369" s="239"/>
      <c r="D1369" s="239"/>
      <c r="E1369" s="239"/>
      <c r="F1369" s="283"/>
      <c r="G1369" s="239"/>
      <c r="H1369" s="239"/>
      <c r="I1369" s="239"/>
      <c r="J1369" s="239"/>
      <c r="K1369" s="239"/>
      <c r="L1369" s="239"/>
      <c r="M1369" s="239"/>
      <c r="N1369" s="239"/>
      <c r="O1369" s="239"/>
      <c r="P1369" s="246"/>
      <c r="Q1369" s="239"/>
      <c r="R1369" s="239"/>
      <c r="S1369" s="239"/>
      <c r="T1369" s="239"/>
      <c r="U1369" s="239"/>
      <c r="V1369" s="239"/>
      <c r="W1369" s="246"/>
      <c r="X1369" s="239"/>
      <c r="Y1369" s="239"/>
      <c r="Z1369" s="239"/>
      <c r="AA1369" s="239"/>
      <c r="AB1369" s="239"/>
      <c r="AC1369" s="239"/>
      <c r="AD1369" s="239"/>
      <c r="AE1369" s="239"/>
      <c r="AF1369" s="239"/>
      <c r="AG1369" s="239"/>
      <c r="AH1369" s="239"/>
      <c r="AI1369" s="239"/>
      <c r="AJ1369" s="239"/>
    </row>
    <row r="1370">
      <c r="A1370" s="239"/>
      <c r="B1370" s="239"/>
      <c r="C1370" s="239"/>
      <c r="D1370" s="239"/>
      <c r="E1370" s="239"/>
      <c r="F1370" s="283"/>
      <c r="G1370" s="239"/>
      <c r="H1370" s="239"/>
      <c r="I1370" s="239"/>
      <c r="J1370" s="239"/>
      <c r="K1370" s="239"/>
      <c r="L1370" s="239"/>
      <c r="M1370" s="239"/>
      <c r="N1370" s="239"/>
      <c r="O1370" s="239"/>
      <c r="P1370" s="246"/>
      <c r="Q1370" s="239"/>
      <c r="R1370" s="239"/>
      <c r="S1370" s="239"/>
      <c r="T1370" s="239"/>
      <c r="U1370" s="239"/>
      <c r="V1370" s="239"/>
      <c r="W1370" s="246"/>
      <c r="X1370" s="239"/>
      <c r="Y1370" s="239"/>
      <c r="Z1370" s="239"/>
      <c r="AA1370" s="239"/>
      <c r="AB1370" s="239"/>
      <c r="AC1370" s="239"/>
      <c r="AD1370" s="239"/>
      <c r="AE1370" s="239"/>
      <c r="AF1370" s="239"/>
      <c r="AG1370" s="239"/>
      <c r="AH1370" s="239"/>
      <c r="AI1370" s="239"/>
      <c r="AJ1370" s="239"/>
    </row>
    <row r="1371">
      <c r="A1371" s="239"/>
      <c r="B1371" s="239"/>
      <c r="C1371" s="239"/>
      <c r="D1371" s="239"/>
      <c r="E1371" s="239"/>
      <c r="F1371" s="283"/>
      <c r="G1371" s="239"/>
      <c r="H1371" s="239"/>
      <c r="I1371" s="239"/>
      <c r="J1371" s="239"/>
      <c r="K1371" s="239"/>
      <c r="L1371" s="239"/>
      <c r="M1371" s="239"/>
      <c r="N1371" s="239"/>
      <c r="O1371" s="239"/>
      <c r="P1371" s="246"/>
      <c r="Q1371" s="239"/>
      <c r="R1371" s="239"/>
      <c r="S1371" s="239"/>
      <c r="T1371" s="239"/>
      <c r="U1371" s="239"/>
      <c r="V1371" s="239"/>
      <c r="W1371" s="246"/>
      <c r="X1371" s="239"/>
      <c r="Y1371" s="239"/>
      <c r="Z1371" s="239"/>
      <c r="AA1371" s="239"/>
      <c r="AB1371" s="239"/>
      <c r="AC1371" s="239"/>
      <c r="AD1371" s="239"/>
      <c r="AE1371" s="239"/>
      <c r="AF1371" s="239"/>
      <c r="AG1371" s="239"/>
      <c r="AH1371" s="239"/>
      <c r="AI1371" s="239"/>
      <c r="AJ1371" s="239"/>
    </row>
    <row r="1372">
      <c r="A1372" s="239"/>
      <c r="B1372" s="239"/>
      <c r="C1372" s="239"/>
      <c r="D1372" s="239"/>
      <c r="E1372" s="239"/>
      <c r="F1372" s="283"/>
      <c r="G1372" s="239"/>
      <c r="H1372" s="239"/>
      <c r="I1372" s="239"/>
      <c r="J1372" s="239"/>
      <c r="K1372" s="239"/>
      <c r="L1372" s="239"/>
      <c r="M1372" s="239"/>
      <c r="N1372" s="239"/>
      <c r="O1372" s="239"/>
      <c r="P1372" s="246"/>
      <c r="Q1372" s="239"/>
      <c r="R1372" s="239"/>
      <c r="S1372" s="239"/>
      <c r="T1372" s="239"/>
      <c r="U1372" s="239"/>
      <c r="V1372" s="239"/>
      <c r="W1372" s="246"/>
      <c r="X1372" s="239"/>
      <c r="Y1372" s="239"/>
      <c r="Z1372" s="239"/>
      <c r="AA1372" s="239"/>
      <c r="AB1372" s="239"/>
      <c r="AC1372" s="239"/>
      <c r="AD1372" s="239"/>
      <c r="AE1372" s="239"/>
      <c r="AF1372" s="239"/>
      <c r="AG1372" s="239"/>
      <c r="AH1372" s="239"/>
      <c r="AI1372" s="239"/>
      <c r="AJ1372" s="239"/>
    </row>
    <row r="1373">
      <c r="A1373" s="239"/>
      <c r="B1373" s="239"/>
      <c r="C1373" s="239"/>
      <c r="D1373" s="239"/>
      <c r="E1373" s="239"/>
      <c r="F1373" s="283"/>
      <c r="G1373" s="239"/>
      <c r="H1373" s="239"/>
      <c r="I1373" s="239"/>
      <c r="J1373" s="239"/>
      <c r="K1373" s="239"/>
      <c r="L1373" s="239"/>
      <c r="M1373" s="239"/>
      <c r="N1373" s="239"/>
      <c r="O1373" s="239"/>
      <c r="P1373" s="246"/>
      <c r="Q1373" s="239"/>
      <c r="R1373" s="239"/>
      <c r="S1373" s="239"/>
      <c r="T1373" s="239"/>
      <c r="U1373" s="239"/>
      <c r="V1373" s="239"/>
      <c r="W1373" s="246"/>
      <c r="X1373" s="239"/>
      <c r="Y1373" s="239"/>
      <c r="Z1373" s="239"/>
      <c r="AA1373" s="239"/>
      <c r="AB1373" s="239"/>
      <c r="AC1373" s="239"/>
      <c r="AD1373" s="239"/>
      <c r="AE1373" s="239"/>
      <c r="AF1373" s="239"/>
      <c r="AG1373" s="239"/>
      <c r="AH1373" s="239"/>
      <c r="AI1373" s="239"/>
      <c r="AJ1373" s="239"/>
    </row>
    <row r="1374">
      <c r="A1374" s="239"/>
      <c r="B1374" s="239"/>
      <c r="C1374" s="239"/>
      <c r="D1374" s="239"/>
      <c r="E1374" s="239"/>
      <c r="F1374" s="283"/>
      <c r="G1374" s="239"/>
      <c r="H1374" s="239"/>
      <c r="I1374" s="239"/>
      <c r="J1374" s="239"/>
      <c r="K1374" s="239"/>
      <c r="L1374" s="239"/>
      <c r="M1374" s="239"/>
      <c r="N1374" s="239"/>
      <c r="O1374" s="239"/>
      <c r="P1374" s="246"/>
      <c r="Q1374" s="239"/>
      <c r="R1374" s="239"/>
      <c r="S1374" s="239"/>
      <c r="T1374" s="239"/>
      <c r="U1374" s="239"/>
      <c r="V1374" s="239"/>
      <c r="W1374" s="246"/>
      <c r="X1374" s="239"/>
      <c r="Y1374" s="239"/>
      <c r="Z1374" s="239"/>
      <c r="AA1374" s="239"/>
      <c r="AB1374" s="239"/>
      <c r="AC1374" s="239"/>
      <c r="AD1374" s="239"/>
      <c r="AE1374" s="239"/>
      <c r="AF1374" s="239"/>
      <c r="AG1374" s="239"/>
      <c r="AH1374" s="239"/>
      <c r="AI1374" s="239"/>
      <c r="AJ1374" s="239"/>
    </row>
    <row r="1375">
      <c r="A1375" s="239"/>
      <c r="B1375" s="239"/>
      <c r="C1375" s="239"/>
      <c r="D1375" s="239"/>
      <c r="E1375" s="239"/>
      <c r="F1375" s="283"/>
      <c r="G1375" s="239"/>
      <c r="H1375" s="239"/>
      <c r="I1375" s="239"/>
      <c r="J1375" s="239"/>
      <c r="K1375" s="239"/>
      <c r="L1375" s="239"/>
      <c r="M1375" s="239"/>
      <c r="N1375" s="239"/>
      <c r="O1375" s="239"/>
      <c r="P1375" s="246"/>
      <c r="Q1375" s="239"/>
      <c r="R1375" s="239"/>
      <c r="S1375" s="239"/>
      <c r="T1375" s="239"/>
      <c r="U1375" s="239"/>
      <c r="V1375" s="239"/>
      <c r="W1375" s="246"/>
      <c r="X1375" s="239"/>
      <c r="Y1375" s="239"/>
      <c r="Z1375" s="239"/>
      <c r="AA1375" s="239"/>
      <c r="AB1375" s="239"/>
      <c r="AC1375" s="239"/>
      <c r="AD1375" s="239"/>
      <c r="AE1375" s="239"/>
      <c r="AF1375" s="239"/>
      <c r="AG1375" s="239"/>
      <c r="AH1375" s="239"/>
      <c r="AI1375" s="239"/>
      <c r="AJ1375" s="239"/>
    </row>
    <row r="1376">
      <c r="A1376" s="239"/>
      <c r="B1376" s="239"/>
      <c r="C1376" s="239"/>
      <c r="D1376" s="239"/>
      <c r="E1376" s="239"/>
      <c r="F1376" s="283"/>
      <c r="G1376" s="239"/>
      <c r="H1376" s="239"/>
      <c r="I1376" s="239"/>
      <c r="J1376" s="239"/>
      <c r="K1376" s="239"/>
      <c r="L1376" s="239"/>
      <c r="M1376" s="239"/>
      <c r="N1376" s="239"/>
      <c r="O1376" s="239"/>
      <c r="P1376" s="246"/>
      <c r="Q1376" s="239"/>
      <c r="R1376" s="239"/>
      <c r="S1376" s="239"/>
      <c r="T1376" s="239"/>
      <c r="U1376" s="239"/>
      <c r="V1376" s="239"/>
      <c r="W1376" s="246"/>
      <c r="X1376" s="239"/>
      <c r="Y1376" s="239"/>
      <c r="Z1376" s="239"/>
      <c r="AA1376" s="239"/>
      <c r="AB1376" s="239"/>
      <c r="AC1376" s="239"/>
      <c r="AD1376" s="239"/>
      <c r="AE1376" s="239"/>
      <c r="AF1376" s="239"/>
      <c r="AG1376" s="239"/>
      <c r="AH1376" s="239"/>
      <c r="AI1376" s="239"/>
      <c r="AJ1376" s="239"/>
    </row>
    <row r="1377">
      <c r="A1377" s="239"/>
      <c r="B1377" s="239"/>
      <c r="C1377" s="239"/>
      <c r="D1377" s="239"/>
      <c r="E1377" s="239"/>
      <c r="F1377" s="283"/>
      <c r="G1377" s="239"/>
      <c r="H1377" s="239"/>
      <c r="I1377" s="239"/>
      <c r="J1377" s="239"/>
      <c r="K1377" s="239"/>
      <c r="L1377" s="239"/>
      <c r="M1377" s="239"/>
      <c r="N1377" s="239"/>
      <c r="O1377" s="239"/>
      <c r="P1377" s="246"/>
      <c r="Q1377" s="239"/>
      <c r="R1377" s="239"/>
      <c r="S1377" s="239"/>
      <c r="T1377" s="239"/>
      <c r="U1377" s="239"/>
      <c r="V1377" s="239"/>
      <c r="W1377" s="246"/>
      <c r="X1377" s="239"/>
      <c r="Y1377" s="239"/>
      <c r="Z1377" s="239"/>
      <c r="AA1377" s="239"/>
      <c r="AB1377" s="239"/>
      <c r="AC1377" s="239"/>
      <c r="AD1377" s="239"/>
      <c r="AE1377" s="239"/>
      <c r="AF1377" s="239"/>
      <c r="AG1377" s="239"/>
      <c r="AH1377" s="239"/>
      <c r="AI1377" s="239"/>
      <c r="AJ1377" s="239"/>
    </row>
    <row r="1378">
      <c r="A1378" s="239"/>
      <c r="B1378" s="239"/>
      <c r="C1378" s="239"/>
      <c r="D1378" s="239"/>
      <c r="E1378" s="239"/>
      <c r="F1378" s="283"/>
      <c r="G1378" s="239"/>
      <c r="H1378" s="239"/>
      <c r="I1378" s="239"/>
      <c r="J1378" s="239"/>
      <c r="K1378" s="239"/>
      <c r="L1378" s="239"/>
      <c r="M1378" s="239"/>
      <c r="N1378" s="239"/>
      <c r="O1378" s="239"/>
      <c r="P1378" s="246"/>
      <c r="Q1378" s="239"/>
      <c r="R1378" s="239"/>
      <c r="S1378" s="239"/>
      <c r="T1378" s="239"/>
      <c r="U1378" s="239"/>
      <c r="V1378" s="239"/>
      <c r="W1378" s="246"/>
      <c r="X1378" s="239"/>
      <c r="Y1378" s="239"/>
      <c r="Z1378" s="239"/>
      <c r="AA1378" s="239"/>
      <c r="AB1378" s="239"/>
      <c r="AC1378" s="239"/>
      <c r="AD1378" s="239"/>
      <c r="AE1378" s="239"/>
      <c r="AF1378" s="239"/>
      <c r="AG1378" s="239"/>
      <c r="AH1378" s="239"/>
      <c r="AI1378" s="239"/>
      <c r="AJ1378" s="239"/>
    </row>
    <row r="1379">
      <c r="A1379" s="239"/>
      <c r="B1379" s="239"/>
      <c r="C1379" s="239"/>
      <c r="D1379" s="239"/>
      <c r="E1379" s="239"/>
      <c r="F1379" s="283"/>
      <c r="G1379" s="239"/>
      <c r="H1379" s="239"/>
      <c r="I1379" s="239"/>
      <c r="J1379" s="239"/>
      <c r="K1379" s="239"/>
      <c r="L1379" s="239"/>
      <c r="M1379" s="239"/>
      <c r="N1379" s="239"/>
      <c r="O1379" s="239"/>
      <c r="P1379" s="246"/>
      <c r="Q1379" s="239"/>
      <c r="R1379" s="239"/>
      <c r="S1379" s="239"/>
      <c r="T1379" s="239"/>
      <c r="U1379" s="239"/>
      <c r="V1379" s="239"/>
      <c r="W1379" s="246"/>
      <c r="X1379" s="239"/>
      <c r="Y1379" s="239"/>
      <c r="Z1379" s="239"/>
      <c r="AA1379" s="239"/>
      <c r="AB1379" s="239"/>
      <c r="AC1379" s="239"/>
      <c r="AD1379" s="239"/>
      <c r="AE1379" s="239"/>
      <c r="AF1379" s="239"/>
      <c r="AG1379" s="239"/>
      <c r="AH1379" s="239"/>
      <c r="AI1379" s="239"/>
      <c r="AJ1379" s="239"/>
    </row>
    <row r="1380">
      <c r="A1380" s="239"/>
      <c r="B1380" s="239"/>
      <c r="C1380" s="239"/>
      <c r="D1380" s="239"/>
      <c r="E1380" s="239"/>
      <c r="F1380" s="283"/>
      <c r="G1380" s="239"/>
      <c r="H1380" s="239"/>
      <c r="I1380" s="239"/>
      <c r="J1380" s="239"/>
      <c r="K1380" s="239"/>
      <c r="L1380" s="239"/>
      <c r="M1380" s="239"/>
      <c r="N1380" s="239"/>
      <c r="O1380" s="239"/>
      <c r="P1380" s="246"/>
      <c r="Q1380" s="239"/>
      <c r="R1380" s="239"/>
      <c r="S1380" s="239"/>
      <c r="T1380" s="239"/>
      <c r="U1380" s="239"/>
      <c r="V1380" s="239"/>
      <c r="W1380" s="246"/>
      <c r="X1380" s="239"/>
      <c r="Y1380" s="239"/>
      <c r="Z1380" s="239"/>
      <c r="AA1380" s="239"/>
      <c r="AB1380" s="239"/>
      <c r="AC1380" s="239"/>
      <c r="AD1380" s="239"/>
      <c r="AE1380" s="239"/>
      <c r="AF1380" s="239"/>
      <c r="AG1380" s="239"/>
      <c r="AH1380" s="239"/>
      <c r="AI1380" s="239"/>
      <c r="AJ1380" s="239"/>
    </row>
    <row r="1381">
      <c r="A1381" s="239"/>
      <c r="B1381" s="239"/>
      <c r="C1381" s="239"/>
      <c r="D1381" s="239"/>
      <c r="E1381" s="239"/>
      <c r="F1381" s="283"/>
      <c r="G1381" s="239"/>
      <c r="H1381" s="239"/>
      <c r="I1381" s="239"/>
      <c r="J1381" s="239"/>
      <c r="K1381" s="239"/>
      <c r="L1381" s="239"/>
      <c r="M1381" s="239"/>
      <c r="N1381" s="239"/>
      <c r="O1381" s="239"/>
      <c r="P1381" s="246"/>
      <c r="Q1381" s="239"/>
      <c r="R1381" s="239"/>
      <c r="S1381" s="239"/>
      <c r="T1381" s="239"/>
      <c r="U1381" s="239"/>
      <c r="V1381" s="239"/>
      <c r="W1381" s="246"/>
      <c r="X1381" s="239"/>
      <c r="Y1381" s="239"/>
      <c r="Z1381" s="239"/>
      <c r="AA1381" s="239"/>
      <c r="AB1381" s="239"/>
      <c r="AC1381" s="239"/>
      <c r="AD1381" s="239"/>
      <c r="AE1381" s="239"/>
      <c r="AF1381" s="239"/>
      <c r="AG1381" s="239"/>
      <c r="AH1381" s="239"/>
      <c r="AI1381" s="239"/>
      <c r="AJ1381" s="239"/>
    </row>
    <row r="1382">
      <c r="A1382" s="239"/>
      <c r="B1382" s="239"/>
      <c r="C1382" s="239"/>
      <c r="D1382" s="239"/>
      <c r="E1382" s="239"/>
      <c r="F1382" s="283"/>
      <c r="G1382" s="239"/>
      <c r="H1382" s="239"/>
      <c r="I1382" s="239"/>
      <c r="J1382" s="239"/>
      <c r="K1382" s="239"/>
      <c r="L1382" s="239"/>
      <c r="M1382" s="239"/>
      <c r="N1382" s="239"/>
      <c r="O1382" s="239"/>
      <c r="P1382" s="246"/>
      <c r="Q1382" s="239"/>
      <c r="R1382" s="239"/>
      <c r="S1382" s="239"/>
      <c r="T1382" s="239"/>
      <c r="U1382" s="239"/>
      <c r="V1382" s="239"/>
      <c r="W1382" s="246"/>
      <c r="X1382" s="239"/>
      <c r="Y1382" s="239"/>
      <c r="Z1382" s="239"/>
      <c r="AA1382" s="239"/>
      <c r="AB1382" s="239"/>
      <c r="AC1382" s="239"/>
      <c r="AD1382" s="239"/>
      <c r="AE1382" s="239"/>
      <c r="AF1382" s="239"/>
      <c r="AG1382" s="239"/>
      <c r="AH1382" s="239"/>
      <c r="AI1382" s="239"/>
      <c r="AJ1382" s="239"/>
    </row>
    <row r="1383">
      <c r="A1383" s="239"/>
      <c r="B1383" s="239"/>
      <c r="C1383" s="239"/>
      <c r="D1383" s="239"/>
      <c r="E1383" s="239"/>
      <c r="F1383" s="283"/>
      <c r="G1383" s="239"/>
      <c r="H1383" s="239"/>
      <c r="I1383" s="239"/>
      <c r="J1383" s="239"/>
      <c r="K1383" s="239"/>
      <c r="L1383" s="239"/>
      <c r="M1383" s="239"/>
      <c r="N1383" s="239"/>
      <c r="O1383" s="239"/>
      <c r="P1383" s="246"/>
      <c r="Q1383" s="239"/>
      <c r="R1383" s="239"/>
      <c r="S1383" s="239"/>
      <c r="T1383" s="239"/>
      <c r="U1383" s="239"/>
      <c r="V1383" s="239"/>
      <c r="W1383" s="246"/>
      <c r="X1383" s="239"/>
      <c r="Y1383" s="239"/>
      <c r="Z1383" s="239"/>
      <c r="AA1383" s="239"/>
      <c r="AB1383" s="239"/>
      <c r="AC1383" s="239"/>
      <c r="AD1383" s="239"/>
      <c r="AE1383" s="239"/>
      <c r="AF1383" s="239"/>
      <c r="AG1383" s="239"/>
      <c r="AH1383" s="239"/>
      <c r="AI1383" s="239"/>
      <c r="AJ1383" s="239"/>
    </row>
    <row r="1384">
      <c r="A1384" s="239"/>
      <c r="B1384" s="239"/>
      <c r="C1384" s="239"/>
      <c r="D1384" s="239"/>
      <c r="E1384" s="239"/>
      <c r="F1384" s="283"/>
      <c r="G1384" s="239"/>
      <c r="H1384" s="239"/>
      <c r="I1384" s="239"/>
      <c r="J1384" s="239"/>
      <c r="K1384" s="239"/>
      <c r="L1384" s="239"/>
      <c r="M1384" s="239"/>
      <c r="N1384" s="239"/>
      <c r="O1384" s="239"/>
      <c r="P1384" s="246"/>
      <c r="Q1384" s="239"/>
      <c r="R1384" s="239"/>
      <c r="S1384" s="239"/>
      <c r="T1384" s="239"/>
      <c r="U1384" s="239"/>
      <c r="V1384" s="239"/>
      <c r="W1384" s="246"/>
      <c r="X1384" s="239"/>
      <c r="Y1384" s="239"/>
      <c r="Z1384" s="239"/>
      <c r="AA1384" s="239"/>
      <c r="AB1384" s="239"/>
      <c r="AC1384" s="239"/>
      <c r="AD1384" s="239"/>
      <c r="AE1384" s="239"/>
      <c r="AF1384" s="239"/>
      <c r="AG1384" s="239"/>
      <c r="AH1384" s="239"/>
      <c r="AI1384" s="239"/>
      <c r="AJ1384" s="239"/>
    </row>
    <row r="1385">
      <c r="A1385" s="239"/>
      <c r="B1385" s="239"/>
      <c r="C1385" s="239"/>
      <c r="D1385" s="239"/>
      <c r="E1385" s="239"/>
      <c r="F1385" s="283"/>
      <c r="G1385" s="239"/>
      <c r="H1385" s="239"/>
      <c r="I1385" s="239"/>
      <c r="J1385" s="239"/>
      <c r="K1385" s="239"/>
      <c r="L1385" s="239"/>
      <c r="M1385" s="239"/>
      <c r="N1385" s="239"/>
      <c r="O1385" s="239"/>
      <c r="P1385" s="246"/>
      <c r="Q1385" s="239"/>
      <c r="R1385" s="239"/>
      <c r="S1385" s="239"/>
      <c r="T1385" s="239"/>
      <c r="U1385" s="239"/>
      <c r="V1385" s="239"/>
      <c r="W1385" s="246"/>
      <c r="X1385" s="239"/>
      <c r="Y1385" s="239"/>
      <c r="Z1385" s="239"/>
      <c r="AA1385" s="239"/>
      <c r="AB1385" s="239"/>
      <c r="AC1385" s="239"/>
      <c r="AD1385" s="239"/>
      <c r="AE1385" s="239"/>
      <c r="AF1385" s="239"/>
      <c r="AG1385" s="239"/>
      <c r="AH1385" s="239"/>
      <c r="AI1385" s="239"/>
      <c r="AJ1385" s="239"/>
    </row>
    <row r="1386">
      <c r="A1386" s="239"/>
      <c r="B1386" s="239"/>
      <c r="C1386" s="239"/>
      <c r="D1386" s="239"/>
      <c r="E1386" s="239"/>
      <c r="F1386" s="283"/>
      <c r="G1386" s="239"/>
      <c r="H1386" s="239"/>
      <c r="I1386" s="239"/>
      <c r="J1386" s="239"/>
      <c r="K1386" s="239"/>
      <c r="L1386" s="239"/>
      <c r="M1386" s="239"/>
      <c r="N1386" s="239"/>
      <c r="O1386" s="239"/>
      <c r="P1386" s="246"/>
      <c r="Q1386" s="239"/>
      <c r="R1386" s="239"/>
      <c r="S1386" s="239"/>
      <c r="T1386" s="239"/>
      <c r="U1386" s="239"/>
      <c r="V1386" s="239"/>
      <c r="W1386" s="246"/>
      <c r="X1386" s="239"/>
      <c r="Y1386" s="239"/>
      <c r="Z1386" s="239"/>
      <c r="AA1386" s="239"/>
      <c r="AB1386" s="239"/>
      <c r="AC1386" s="239"/>
      <c r="AD1386" s="239"/>
      <c r="AE1386" s="239"/>
      <c r="AF1386" s="239"/>
      <c r="AG1386" s="239"/>
      <c r="AH1386" s="239"/>
      <c r="AI1386" s="239"/>
      <c r="AJ1386" s="239"/>
    </row>
    <row r="1387">
      <c r="A1387" s="239"/>
      <c r="B1387" s="239"/>
      <c r="C1387" s="239"/>
      <c r="D1387" s="239"/>
      <c r="E1387" s="239"/>
      <c r="F1387" s="283"/>
      <c r="G1387" s="239"/>
      <c r="H1387" s="239"/>
      <c r="I1387" s="239"/>
      <c r="J1387" s="239"/>
      <c r="K1387" s="239"/>
      <c r="L1387" s="239"/>
      <c r="M1387" s="239"/>
      <c r="N1387" s="239"/>
      <c r="O1387" s="239"/>
      <c r="P1387" s="246"/>
      <c r="Q1387" s="239"/>
      <c r="R1387" s="239"/>
      <c r="S1387" s="239"/>
      <c r="T1387" s="239"/>
      <c r="U1387" s="239"/>
      <c r="V1387" s="239"/>
      <c r="W1387" s="246"/>
      <c r="X1387" s="239"/>
      <c r="Y1387" s="239"/>
      <c r="Z1387" s="239"/>
      <c r="AA1387" s="239"/>
      <c r="AB1387" s="239"/>
      <c r="AC1387" s="239"/>
      <c r="AD1387" s="239"/>
      <c r="AE1387" s="239"/>
      <c r="AF1387" s="239"/>
      <c r="AG1387" s="239"/>
      <c r="AH1387" s="239"/>
      <c r="AI1387" s="239"/>
      <c r="AJ1387" s="239"/>
    </row>
    <row r="1388">
      <c r="A1388" s="239"/>
      <c r="B1388" s="239"/>
      <c r="C1388" s="239"/>
      <c r="D1388" s="239"/>
      <c r="E1388" s="239"/>
      <c r="F1388" s="283"/>
      <c r="G1388" s="239"/>
      <c r="H1388" s="239"/>
      <c r="I1388" s="239"/>
      <c r="J1388" s="239"/>
      <c r="K1388" s="239"/>
      <c r="L1388" s="239"/>
      <c r="M1388" s="239"/>
      <c r="N1388" s="239"/>
      <c r="O1388" s="239"/>
      <c r="P1388" s="246"/>
      <c r="Q1388" s="239"/>
      <c r="R1388" s="239"/>
      <c r="S1388" s="239"/>
      <c r="T1388" s="239"/>
      <c r="U1388" s="239"/>
      <c r="V1388" s="239"/>
      <c r="W1388" s="246"/>
      <c r="X1388" s="239"/>
      <c r="Y1388" s="239"/>
      <c r="Z1388" s="239"/>
      <c r="AA1388" s="239"/>
      <c r="AB1388" s="239"/>
      <c r="AC1388" s="239"/>
      <c r="AD1388" s="239"/>
      <c r="AE1388" s="239"/>
      <c r="AF1388" s="239"/>
      <c r="AG1388" s="239"/>
      <c r="AH1388" s="239"/>
      <c r="AI1388" s="239"/>
      <c r="AJ1388" s="239"/>
    </row>
    <row r="1389">
      <c r="A1389" s="239"/>
      <c r="B1389" s="239"/>
      <c r="C1389" s="239"/>
      <c r="D1389" s="239"/>
      <c r="E1389" s="239"/>
      <c r="F1389" s="283"/>
      <c r="G1389" s="239"/>
      <c r="H1389" s="239"/>
      <c r="I1389" s="239"/>
      <c r="J1389" s="239"/>
      <c r="K1389" s="239"/>
      <c r="L1389" s="239"/>
      <c r="M1389" s="239"/>
      <c r="N1389" s="239"/>
      <c r="O1389" s="239"/>
      <c r="P1389" s="246"/>
      <c r="Q1389" s="239"/>
      <c r="R1389" s="239"/>
      <c r="S1389" s="239"/>
      <c r="T1389" s="239"/>
      <c r="U1389" s="239"/>
      <c r="V1389" s="239"/>
      <c r="W1389" s="246"/>
      <c r="X1389" s="239"/>
      <c r="Y1389" s="239"/>
      <c r="Z1389" s="239"/>
      <c r="AA1389" s="239"/>
      <c r="AB1389" s="239"/>
      <c r="AC1389" s="239"/>
      <c r="AD1389" s="239"/>
      <c r="AE1389" s="239"/>
      <c r="AF1389" s="239"/>
      <c r="AG1389" s="239"/>
      <c r="AH1389" s="239"/>
      <c r="AI1389" s="239"/>
      <c r="AJ1389" s="239"/>
    </row>
    <row r="1390">
      <c r="A1390" s="239"/>
      <c r="B1390" s="239"/>
      <c r="C1390" s="239"/>
      <c r="D1390" s="239"/>
      <c r="E1390" s="239"/>
      <c r="F1390" s="283"/>
      <c r="G1390" s="239"/>
      <c r="H1390" s="239"/>
      <c r="I1390" s="239"/>
      <c r="J1390" s="239"/>
      <c r="K1390" s="239"/>
      <c r="L1390" s="239"/>
      <c r="M1390" s="239"/>
      <c r="N1390" s="239"/>
      <c r="O1390" s="239"/>
      <c r="P1390" s="246"/>
      <c r="Q1390" s="239"/>
      <c r="R1390" s="239"/>
      <c r="S1390" s="239"/>
      <c r="T1390" s="239"/>
      <c r="U1390" s="239"/>
      <c r="V1390" s="239"/>
      <c r="W1390" s="246"/>
      <c r="X1390" s="239"/>
      <c r="Y1390" s="239"/>
      <c r="Z1390" s="239"/>
      <c r="AA1390" s="239"/>
      <c r="AB1390" s="239"/>
      <c r="AC1390" s="239"/>
      <c r="AD1390" s="239"/>
      <c r="AE1390" s="239"/>
      <c r="AF1390" s="239"/>
      <c r="AG1390" s="239"/>
      <c r="AH1390" s="239"/>
      <c r="AI1390" s="239"/>
      <c r="AJ1390" s="239"/>
    </row>
    <row r="1391">
      <c r="A1391" s="239"/>
      <c r="B1391" s="239"/>
      <c r="C1391" s="239"/>
      <c r="D1391" s="239"/>
      <c r="E1391" s="239"/>
      <c r="F1391" s="283"/>
      <c r="G1391" s="239"/>
      <c r="H1391" s="239"/>
      <c r="I1391" s="239"/>
      <c r="J1391" s="239"/>
      <c r="K1391" s="239"/>
      <c r="L1391" s="239"/>
      <c r="M1391" s="239"/>
      <c r="N1391" s="239"/>
      <c r="O1391" s="239"/>
      <c r="P1391" s="246"/>
      <c r="Q1391" s="239"/>
      <c r="R1391" s="239"/>
      <c r="S1391" s="239"/>
      <c r="T1391" s="239"/>
      <c r="U1391" s="239"/>
      <c r="V1391" s="239"/>
      <c r="W1391" s="246"/>
      <c r="X1391" s="239"/>
      <c r="Y1391" s="239"/>
      <c r="Z1391" s="239"/>
      <c r="AA1391" s="239"/>
      <c r="AB1391" s="239"/>
      <c r="AC1391" s="239"/>
      <c r="AD1391" s="239"/>
      <c r="AE1391" s="239"/>
      <c r="AF1391" s="239"/>
      <c r="AG1391" s="239"/>
      <c r="AH1391" s="239"/>
      <c r="AI1391" s="239"/>
      <c r="AJ1391" s="239"/>
    </row>
    <row r="1392">
      <c r="A1392" s="239"/>
      <c r="B1392" s="239"/>
      <c r="C1392" s="239"/>
      <c r="D1392" s="239"/>
      <c r="E1392" s="239"/>
      <c r="F1392" s="283"/>
      <c r="G1392" s="239"/>
      <c r="H1392" s="239"/>
      <c r="I1392" s="239"/>
      <c r="J1392" s="239"/>
      <c r="K1392" s="239"/>
      <c r="L1392" s="239"/>
      <c r="M1392" s="239"/>
      <c r="N1392" s="239"/>
      <c r="O1392" s="239"/>
      <c r="P1392" s="246"/>
      <c r="Q1392" s="239"/>
      <c r="R1392" s="239"/>
      <c r="S1392" s="239"/>
      <c r="T1392" s="239"/>
      <c r="U1392" s="239"/>
      <c r="V1392" s="239"/>
      <c r="W1392" s="246"/>
      <c r="X1392" s="239"/>
      <c r="Y1392" s="239"/>
      <c r="Z1392" s="239"/>
      <c r="AA1392" s="239"/>
      <c r="AB1392" s="239"/>
      <c r="AC1392" s="239"/>
      <c r="AD1392" s="239"/>
      <c r="AE1392" s="239"/>
      <c r="AF1392" s="239"/>
      <c r="AG1392" s="239"/>
      <c r="AH1392" s="239"/>
      <c r="AI1392" s="239"/>
      <c r="AJ1392" s="239"/>
    </row>
    <row r="1393">
      <c r="A1393" s="239"/>
      <c r="B1393" s="239"/>
      <c r="C1393" s="239"/>
      <c r="D1393" s="239"/>
      <c r="E1393" s="239"/>
      <c r="F1393" s="283"/>
      <c r="G1393" s="239"/>
      <c r="H1393" s="239"/>
      <c r="I1393" s="239"/>
      <c r="J1393" s="239"/>
      <c r="K1393" s="239"/>
      <c r="L1393" s="239"/>
      <c r="M1393" s="239"/>
      <c r="N1393" s="239"/>
      <c r="O1393" s="239"/>
      <c r="P1393" s="246"/>
      <c r="Q1393" s="239"/>
      <c r="R1393" s="239"/>
      <c r="S1393" s="239"/>
      <c r="T1393" s="239"/>
      <c r="U1393" s="239"/>
      <c r="V1393" s="239"/>
      <c r="W1393" s="246"/>
      <c r="X1393" s="239"/>
      <c r="Y1393" s="239"/>
      <c r="Z1393" s="239"/>
      <c r="AA1393" s="239"/>
      <c r="AB1393" s="239"/>
      <c r="AC1393" s="239"/>
      <c r="AD1393" s="239"/>
      <c r="AE1393" s="239"/>
      <c r="AF1393" s="239"/>
      <c r="AG1393" s="239"/>
      <c r="AH1393" s="239"/>
      <c r="AI1393" s="239"/>
      <c r="AJ1393" s="239"/>
    </row>
    <row r="1394">
      <c r="A1394" s="239"/>
      <c r="B1394" s="239"/>
      <c r="C1394" s="239"/>
      <c r="D1394" s="239"/>
      <c r="E1394" s="239"/>
      <c r="F1394" s="283"/>
      <c r="G1394" s="239"/>
      <c r="H1394" s="239"/>
      <c r="I1394" s="239"/>
      <c r="J1394" s="239"/>
      <c r="K1394" s="239"/>
      <c r="L1394" s="239"/>
      <c r="M1394" s="239"/>
      <c r="N1394" s="239"/>
      <c r="O1394" s="239"/>
      <c r="P1394" s="246"/>
      <c r="Q1394" s="239"/>
      <c r="R1394" s="239"/>
      <c r="S1394" s="239"/>
      <c r="T1394" s="239"/>
      <c r="U1394" s="239"/>
      <c r="V1394" s="239"/>
      <c r="W1394" s="246"/>
      <c r="X1394" s="239"/>
      <c r="Y1394" s="239"/>
      <c r="Z1394" s="239"/>
      <c r="AA1394" s="239"/>
      <c r="AB1394" s="239"/>
      <c r="AC1394" s="239"/>
      <c r="AD1394" s="239"/>
      <c r="AE1394" s="239"/>
      <c r="AF1394" s="239"/>
      <c r="AG1394" s="239"/>
      <c r="AH1394" s="239"/>
      <c r="AI1394" s="239"/>
      <c r="AJ1394" s="239"/>
    </row>
    <row r="1395">
      <c r="A1395" s="239"/>
      <c r="B1395" s="239"/>
      <c r="C1395" s="239"/>
      <c r="D1395" s="239"/>
      <c r="E1395" s="239"/>
      <c r="F1395" s="283"/>
      <c r="G1395" s="239"/>
      <c r="H1395" s="239"/>
      <c r="I1395" s="239"/>
      <c r="J1395" s="239"/>
      <c r="K1395" s="239"/>
      <c r="L1395" s="239"/>
      <c r="M1395" s="239"/>
      <c r="N1395" s="239"/>
      <c r="O1395" s="239"/>
      <c r="P1395" s="246"/>
      <c r="Q1395" s="239"/>
      <c r="R1395" s="239"/>
      <c r="S1395" s="239"/>
      <c r="T1395" s="239"/>
      <c r="U1395" s="239"/>
      <c r="V1395" s="239"/>
      <c r="W1395" s="246"/>
      <c r="X1395" s="239"/>
      <c r="Y1395" s="239"/>
      <c r="Z1395" s="239"/>
      <c r="AA1395" s="239"/>
      <c r="AB1395" s="239"/>
      <c r="AC1395" s="239"/>
      <c r="AD1395" s="239"/>
      <c r="AE1395" s="239"/>
      <c r="AF1395" s="239"/>
      <c r="AG1395" s="239"/>
      <c r="AH1395" s="239"/>
      <c r="AI1395" s="239"/>
      <c r="AJ1395" s="239"/>
    </row>
    <row r="1396">
      <c r="A1396" s="239"/>
      <c r="B1396" s="239"/>
      <c r="C1396" s="239"/>
      <c r="D1396" s="239"/>
      <c r="E1396" s="239"/>
      <c r="F1396" s="283"/>
      <c r="G1396" s="239"/>
      <c r="H1396" s="239"/>
      <c r="I1396" s="239"/>
      <c r="J1396" s="239"/>
      <c r="K1396" s="239"/>
      <c r="L1396" s="239"/>
      <c r="M1396" s="239"/>
      <c r="N1396" s="239"/>
      <c r="O1396" s="239"/>
      <c r="P1396" s="246"/>
      <c r="Q1396" s="239"/>
      <c r="R1396" s="239"/>
      <c r="S1396" s="239"/>
      <c r="T1396" s="239"/>
      <c r="U1396" s="239"/>
      <c r="V1396" s="239"/>
      <c r="W1396" s="246"/>
      <c r="X1396" s="239"/>
      <c r="Y1396" s="239"/>
      <c r="Z1396" s="239"/>
      <c r="AA1396" s="239"/>
      <c r="AB1396" s="239"/>
      <c r="AC1396" s="239"/>
      <c r="AD1396" s="239"/>
      <c r="AE1396" s="239"/>
      <c r="AF1396" s="239"/>
      <c r="AG1396" s="239"/>
      <c r="AH1396" s="239"/>
      <c r="AI1396" s="239"/>
      <c r="AJ1396" s="239"/>
    </row>
    <row r="1397">
      <c r="A1397" s="239"/>
      <c r="B1397" s="239"/>
      <c r="C1397" s="239"/>
      <c r="D1397" s="239"/>
      <c r="E1397" s="239"/>
      <c r="F1397" s="283"/>
      <c r="G1397" s="239"/>
      <c r="H1397" s="239"/>
      <c r="I1397" s="239"/>
      <c r="J1397" s="239"/>
      <c r="K1397" s="239"/>
      <c r="L1397" s="239"/>
      <c r="M1397" s="239"/>
      <c r="N1397" s="239"/>
      <c r="O1397" s="239"/>
      <c r="P1397" s="246"/>
      <c r="Q1397" s="239"/>
      <c r="R1397" s="239"/>
      <c r="S1397" s="239"/>
      <c r="T1397" s="239"/>
      <c r="U1397" s="239"/>
      <c r="V1397" s="239"/>
      <c r="W1397" s="246"/>
      <c r="X1397" s="239"/>
      <c r="Y1397" s="239"/>
      <c r="Z1397" s="239"/>
      <c r="AA1397" s="239"/>
      <c r="AB1397" s="239"/>
      <c r="AC1397" s="239"/>
      <c r="AD1397" s="239"/>
      <c r="AE1397" s="239"/>
      <c r="AF1397" s="239"/>
      <c r="AG1397" s="239"/>
      <c r="AH1397" s="239"/>
      <c r="AI1397" s="239"/>
      <c r="AJ1397" s="239"/>
    </row>
    <row r="1398">
      <c r="A1398" s="239"/>
      <c r="B1398" s="239"/>
      <c r="C1398" s="239"/>
      <c r="D1398" s="239"/>
      <c r="E1398" s="239"/>
      <c r="F1398" s="283"/>
      <c r="G1398" s="239"/>
      <c r="H1398" s="239"/>
      <c r="I1398" s="239"/>
      <c r="J1398" s="239"/>
      <c r="K1398" s="239"/>
      <c r="L1398" s="239"/>
      <c r="M1398" s="239"/>
      <c r="N1398" s="239"/>
      <c r="O1398" s="239"/>
      <c r="P1398" s="246"/>
      <c r="Q1398" s="239"/>
      <c r="R1398" s="239"/>
      <c r="S1398" s="239"/>
      <c r="T1398" s="239"/>
      <c r="U1398" s="239"/>
      <c r="V1398" s="239"/>
      <c r="W1398" s="246"/>
      <c r="X1398" s="239"/>
      <c r="Y1398" s="239"/>
      <c r="Z1398" s="239"/>
      <c r="AA1398" s="239"/>
      <c r="AB1398" s="239"/>
      <c r="AC1398" s="239"/>
      <c r="AD1398" s="239"/>
      <c r="AE1398" s="239"/>
      <c r="AF1398" s="239"/>
      <c r="AG1398" s="239"/>
      <c r="AH1398" s="239"/>
      <c r="AI1398" s="239"/>
      <c r="AJ1398" s="239"/>
    </row>
    <row r="1399">
      <c r="A1399" s="239"/>
      <c r="B1399" s="239"/>
      <c r="C1399" s="239"/>
      <c r="D1399" s="239"/>
      <c r="E1399" s="239"/>
      <c r="F1399" s="283"/>
      <c r="G1399" s="239"/>
      <c r="H1399" s="239"/>
      <c r="I1399" s="239"/>
      <c r="J1399" s="239"/>
      <c r="K1399" s="239"/>
      <c r="L1399" s="239"/>
      <c r="M1399" s="239"/>
      <c r="N1399" s="239"/>
      <c r="O1399" s="239"/>
      <c r="P1399" s="246"/>
      <c r="Q1399" s="239"/>
      <c r="R1399" s="239"/>
      <c r="S1399" s="239"/>
      <c r="T1399" s="239"/>
      <c r="U1399" s="239"/>
      <c r="V1399" s="239"/>
      <c r="W1399" s="246"/>
      <c r="X1399" s="239"/>
      <c r="Y1399" s="239"/>
      <c r="Z1399" s="239"/>
      <c r="AA1399" s="239"/>
      <c r="AB1399" s="239"/>
      <c r="AC1399" s="239"/>
      <c r="AD1399" s="239"/>
      <c r="AE1399" s="239"/>
      <c r="AF1399" s="239"/>
      <c r="AG1399" s="239"/>
      <c r="AH1399" s="239"/>
      <c r="AI1399" s="239"/>
      <c r="AJ1399" s="239"/>
    </row>
    <row r="1400">
      <c r="A1400" s="239"/>
      <c r="B1400" s="239"/>
      <c r="C1400" s="239"/>
      <c r="D1400" s="239"/>
      <c r="E1400" s="239"/>
      <c r="F1400" s="283"/>
      <c r="G1400" s="239"/>
      <c r="H1400" s="239"/>
      <c r="I1400" s="239"/>
      <c r="J1400" s="239"/>
      <c r="K1400" s="239"/>
      <c r="L1400" s="239"/>
      <c r="M1400" s="239"/>
      <c r="N1400" s="239"/>
      <c r="O1400" s="239"/>
      <c r="P1400" s="246"/>
      <c r="Q1400" s="239"/>
      <c r="R1400" s="239"/>
      <c r="S1400" s="239"/>
      <c r="T1400" s="239"/>
      <c r="U1400" s="239"/>
      <c r="V1400" s="239"/>
      <c r="W1400" s="246"/>
      <c r="X1400" s="239"/>
      <c r="Y1400" s="239"/>
      <c r="Z1400" s="239"/>
      <c r="AA1400" s="239"/>
      <c r="AB1400" s="239"/>
      <c r="AC1400" s="239"/>
      <c r="AD1400" s="239"/>
      <c r="AE1400" s="239"/>
      <c r="AF1400" s="239"/>
      <c r="AG1400" s="239"/>
      <c r="AH1400" s="239"/>
      <c r="AI1400" s="239"/>
      <c r="AJ1400" s="239"/>
    </row>
    <row r="1401">
      <c r="A1401" s="239"/>
      <c r="B1401" s="239"/>
      <c r="C1401" s="239"/>
      <c r="D1401" s="239"/>
      <c r="E1401" s="239"/>
      <c r="F1401" s="283"/>
      <c r="G1401" s="239"/>
      <c r="H1401" s="239"/>
      <c r="I1401" s="239"/>
      <c r="J1401" s="239"/>
      <c r="K1401" s="239"/>
      <c r="L1401" s="239"/>
      <c r="M1401" s="239"/>
      <c r="N1401" s="239"/>
      <c r="O1401" s="239"/>
      <c r="P1401" s="246"/>
      <c r="Q1401" s="239"/>
      <c r="R1401" s="239"/>
      <c r="S1401" s="239"/>
      <c r="T1401" s="239"/>
      <c r="U1401" s="239"/>
      <c r="V1401" s="239"/>
      <c r="W1401" s="246"/>
      <c r="X1401" s="239"/>
      <c r="Y1401" s="239"/>
      <c r="Z1401" s="239"/>
      <c r="AA1401" s="239"/>
      <c r="AB1401" s="239"/>
      <c r="AC1401" s="239"/>
      <c r="AD1401" s="239"/>
      <c r="AE1401" s="239"/>
      <c r="AF1401" s="239"/>
      <c r="AG1401" s="239"/>
      <c r="AH1401" s="239"/>
      <c r="AI1401" s="239"/>
      <c r="AJ1401" s="239"/>
    </row>
    <row r="1402">
      <c r="A1402" s="239"/>
      <c r="B1402" s="239"/>
      <c r="C1402" s="239"/>
      <c r="D1402" s="239"/>
      <c r="E1402" s="239"/>
      <c r="F1402" s="283"/>
      <c r="G1402" s="239"/>
      <c r="H1402" s="239"/>
      <c r="I1402" s="239"/>
      <c r="J1402" s="239"/>
      <c r="K1402" s="239"/>
      <c r="L1402" s="239"/>
      <c r="M1402" s="239"/>
      <c r="N1402" s="239"/>
      <c r="O1402" s="239"/>
      <c r="P1402" s="246"/>
      <c r="Q1402" s="239"/>
      <c r="R1402" s="239"/>
      <c r="S1402" s="239"/>
      <c r="T1402" s="239"/>
      <c r="U1402" s="239"/>
      <c r="V1402" s="239"/>
      <c r="W1402" s="246"/>
      <c r="X1402" s="239"/>
      <c r="Y1402" s="239"/>
      <c r="Z1402" s="239"/>
      <c r="AA1402" s="239"/>
      <c r="AB1402" s="239"/>
      <c r="AC1402" s="239"/>
      <c r="AD1402" s="239"/>
      <c r="AE1402" s="239"/>
      <c r="AF1402" s="239"/>
      <c r="AG1402" s="239"/>
      <c r="AH1402" s="239"/>
      <c r="AI1402" s="239"/>
      <c r="AJ1402" s="239"/>
    </row>
    <row r="1403">
      <c r="A1403" s="239"/>
      <c r="B1403" s="239"/>
      <c r="C1403" s="239"/>
      <c r="D1403" s="239"/>
      <c r="E1403" s="239"/>
      <c r="F1403" s="283"/>
      <c r="G1403" s="239"/>
      <c r="H1403" s="239"/>
      <c r="I1403" s="239"/>
      <c r="J1403" s="239"/>
      <c r="K1403" s="239"/>
      <c r="L1403" s="239"/>
      <c r="M1403" s="239"/>
      <c r="N1403" s="239"/>
      <c r="O1403" s="239"/>
      <c r="P1403" s="246"/>
      <c r="Q1403" s="239"/>
      <c r="R1403" s="239"/>
      <c r="S1403" s="239"/>
      <c r="T1403" s="239"/>
      <c r="U1403" s="239"/>
      <c r="V1403" s="239"/>
      <c r="W1403" s="246"/>
      <c r="X1403" s="239"/>
      <c r="Y1403" s="239"/>
      <c r="Z1403" s="239"/>
      <c r="AA1403" s="239"/>
      <c r="AB1403" s="239"/>
      <c r="AC1403" s="239"/>
      <c r="AD1403" s="239"/>
      <c r="AE1403" s="239"/>
      <c r="AF1403" s="239"/>
      <c r="AG1403" s="239"/>
      <c r="AH1403" s="239"/>
      <c r="AI1403" s="239"/>
      <c r="AJ1403" s="239"/>
    </row>
    <row r="1404">
      <c r="A1404" s="239"/>
      <c r="B1404" s="239"/>
      <c r="C1404" s="239"/>
      <c r="D1404" s="239"/>
      <c r="E1404" s="239"/>
      <c r="F1404" s="283"/>
      <c r="G1404" s="239"/>
      <c r="H1404" s="239"/>
      <c r="I1404" s="239"/>
      <c r="J1404" s="239"/>
      <c r="K1404" s="239"/>
      <c r="L1404" s="239"/>
      <c r="M1404" s="239"/>
      <c r="N1404" s="239"/>
      <c r="O1404" s="239"/>
      <c r="P1404" s="246"/>
      <c r="Q1404" s="239"/>
      <c r="R1404" s="239"/>
      <c r="S1404" s="239"/>
      <c r="T1404" s="239"/>
      <c r="U1404" s="239"/>
      <c r="V1404" s="239"/>
      <c r="W1404" s="246"/>
      <c r="X1404" s="239"/>
      <c r="Y1404" s="239"/>
      <c r="Z1404" s="239"/>
      <c r="AA1404" s="239"/>
      <c r="AB1404" s="239"/>
      <c r="AC1404" s="239"/>
      <c r="AD1404" s="239"/>
      <c r="AE1404" s="239"/>
      <c r="AF1404" s="239"/>
      <c r="AG1404" s="239"/>
      <c r="AH1404" s="239"/>
      <c r="AI1404" s="239"/>
      <c r="AJ1404" s="239"/>
    </row>
    <row r="1405">
      <c r="A1405" s="239"/>
      <c r="B1405" s="239"/>
      <c r="C1405" s="239"/>
      <c r="D1405" s="239"/>
      <c r="E1405" s="239"/>
      <c r="F1405" s="283"/>
      <c r="G1405" s="239"/>
      <c r="H1405" s="239"/>
      <c r="I1405" s="239"/>
      <c r="J1405" s="239"/>
      <c r="K1405" s="239"/>
      <c r="L1405" s="239"/>
      <c r="M1405" s="239"/>
      <c r="N1405" s="239"/>
      <c r="O1405" s="239"/>
      <c r="P1405" s="246"/>
      <c r="Q1405" s="239"/>
      <c r="R1405" s="239"/>
      <c r="S1405" s="239"/>
      <c r="T1405" s="239"/>
      <c r="U1405" s="239"/>
      <c r="V1405" s="239"/>
      <c r="W1405" s="246"/>
      <c r="X1405" s="239"/>
      <c r="Y1405" s="239"/>
      <c r="Z1405" s="239"/>
      <c r="AA1405" s="239"/>
      <c r="AB1405" s="239"/>
      <c r="AC1405" s="239"/>
      <c r="AD1405" s="239"/>
      <c r="AE1405" s="239"/>
      <c r="AF1405" s="239"/>
      <c r="AG1405" s="239"/>
      <c r="AH1405" s="239"/>
      <c r="AI1405" s="239"/>
      <c r="AJ1405" s="239"/>
    </row>
    <row r="1406">
      <c r="A1406" s="239"/>
      <c r="B1406" s="239"/>
      <c r="C1406" s="239"/>
      <c r="D1406" s="239"/>
      <c r="E1406" s="239"/>
      <c r="F1406" s="283"/>
      <c r="G1406" s="239"/>
      <c r="H1406" s="239"/>
      <c r="I1406" s="239"/>
      <c r="J1406" s="239"/>
      <c r="K1406" s="239"/>
      <c r="L1406" s="239"/>
      <c r="M1406" s="239"/>
      <c r="N1406" s="239"/>
      <c r="O1406" s="239"/>
      <c r="P1406" s="246"/>
      <c r="Q1406" s="239"/>
      <c r="R1406" s="239"/>
      <c r="S1406" s="239"/>
      <c r="T1406" s="239"/>
      <c r="U1406" s="239"/>
      <c r="V1406" s="239"/>
      <c r="W1406" s="246"/>
      <c r="X1406" s="239"/>
      <c r="Y1406" s="239"/>
      <c r="Z1406" s="239"/>
      <c r="AA1406" s="239"/>
      <c r="AB1406" s="239"/>
      <c r="AC1406" s="239"/>
      <c r="AD1406" s="239"/>
      <c r="AE1406" s="239"/>
      <c r="AF1406" s="239"/>
      <c r="AG1406" s="239"/>
      <c r="AH1406" s="239"/>
      <c r="AI1406" s="239"/>
      <c r="AJ1406" s="239"/>
    </row>
    <row r="1407">
      <c r="A1407" s="239"/>
      <c r="B1407" s="239"/>
      <c r="C1407" s="239"/>
      <c r="D1407" s="239"/>
      <c r="E1407" s="239"/>
      <c r="F1407" s="283"/>
      <c r="G1407" s="239"/>
      <c r="H1407" s="239"/>
      <c r="I1407" s="239"/>
      <c r="J1407" s="239"/>
      <c r="K1407" s="239"/>
      <c r="L1407" s="239"/>
      <c r="M1407" s="239"/>
      <c r="N1407" s="239"/>
      <c r="O1407" s="239"/>
      <c r="P1407" s="246"/>
      <c r="Q1407" s="239"/>
      <c r="R1407" s="239"/>
      <c r="S1407" s="239"/>
      <c r="T1407" s="239"/>
      <c r="U1407" s="239"/>
      <c r="V1407" s="239"/>
      <c r="W1407" s="246"/>
      <c r="X1407" s="239"/>
      <c r="Y1407" s="239"/>
      <c r="Z1407" s="239"/>
      <c r="AA1407" s="239"/>
      <c r="AB1407" s="239"/>
      <c r="AC1407" s="239"/>
      <c r="AD1407" s="239"/>
      <c r="AE1407" s="239"/>
      <c r="AF1407" s="239"/>
      <c r="AG1407" s="239"/>
      <c r="AH1407" s="239"/>
      <c r="AI1407" s="239"/>
      <c r="AJ1407" s="239"/>
    </row>
    <row r="1408">
      <c r="A1408" s="239"/>
      <c r="B1408" s="239"/>
      <c r="C1408" s="239"/>
      <c r="D1408" s="239"/>
      <c r="E1408" s="239"/>
      <c r="F1408" s="283"/>
      <c r="G1408" s="239"/>
      <c r="H1408" s="239"/>
      <c r="I1408" s="239"/>
      <c r="J1408" s="239"/>
      <c r="K1408" s="239"/>
      <c r="L1408" s="239"/>
      <c r="M1408" s="239"/>
      <c r="N1408" s="239"/>
      <c r="O1408" s="239"/>
      <c r="P1408" s="246"/>
      <c r="Q1408" s="239"/>
      <c r="R1408" s="239"/>
      <c r="S1408" s="239"/>
      <c r="T1408" s="239"/>
      <c r="U1408" s="239"/>
      <c r="V1408" s="239"/>
      <c r="W1408" s="246"/>
      <c r="X1408" s="239"/>
      <c r="Y1408" s="239"/>
      <c r="Z1408" s="239"/>
      <c r="AA1408" s="239"/>
      <c r="AB1408" s="239"/>
      <c r="AC1408" s="239"/>
      <c r="AD1408" s="239"/>
      <c r="AE1408" s="239"/>
      <c r="AF1408" s="239"/>
      <c r="AG1408" s="239"/>
      <c r="AH1408" s="239"/>
      <c r="AI1408" s="239"/>
      <c r="AJ1408" s="239"/>
    </row>
    <row r="1409">
      <c r="A1409" s="239"/>
      <c r="B1409" s="239"/>
      <c r="C1409" s="239"/>
      <c r="D1409" s="239"/>
      <c r="E1409" s="239"/>
      <c r="F1409" s="283"/>
      <c r="G1409" s="239"/>
      <c r="H1409" s="239"/>
      <c r="I1409" s="239"/>
      <c r="J1409" s="239"/>
      <c r="K1409" s="239"/>
      <c r="L1409" s="239"/>
      <c r="M1409" s="239"/>
      <c r="N1409" s="239"/>
      <c r="O1409" s="239"/>
      <c r="P1409" s="246"/>
      <c r="Q1409" s="239"/>
      <c r="R1409" s="239"/>
      <c r="S1409" s="239"/>
      <c r="T1409" s="239"/>
      <c r="U1409" s="239"/>
      <c r="V1409" s="239"/>
      <c r="W1409" s="246"/>
      <c r="X1409" s="239"/>
      <c r="Y1409" s="239"/>
      <c r="Z1409" s="239"/>
      <c r="AA1409" s="239"/>
      <c r="AB1409" s="239"/>
      <c r="AC1409" s="239"/>
      <c r="AD1409" s="239"/>
      <c r="AE1409" s="239"/>
      <c r="AF1409" s="239"/>
      <c r="AG1409" s="239"/>
      <c r="AH1409" s="239"/>
      <c r="AI1409" s="239"/>
      <c r="AJ1409" s="239"/>
    </row>
    <row r="1410">
      <c r="A1410" s="239"/>
      <c r="B1410" s="239"/>
      <c r="C1410" s="239"/>
      <c r="D1410" s="239"/>
      <c r="E1410" s="239"/>
      <c r="F1410" s="283"/>
      <c r="G1410" s="239"/>
      <c r="H1410" s="239"/>
      <c r="I1410" s="239"/>
      <c r="J1410" s="239"/>
      <c r="K1410" s="239"/>
      <c r="L1410" s="239"/>
      <c r="M1410" s="239"/>
      <c r="N1410" s="239"/>
      <c r="O1410" s="239"/>
      <c r="P1410" s="246"/>
      <c r="Q1410" s="239"/>
      <c r="R1410" s="239"/>
      <c r="S1410" s="239"/>
      <c r="T1410" s="239"/>
      <c r="U1410" s="239"/>
      <c r="V1410" s="239"/>
      <c r="W1410" s="246"/>
      <c r="X1410" s="239"/>
      <c r="Y1410" s="239"/>
      <c r="Z1410" s="239"/>
      <c r="AA1410" s="239"/>
      <c r="AB1410" s="239"/>
      <c r="AC1410" s="239"/>
      <c r="AD1410" s="239"/>
      <c r="AE1410" s="239"/>
      <c r="AF1410" s="239"/>
      <c r="AG1410" s="239"/>
      <c r="AH1410" s="239"/>
      <c r="AI1410" s="239"/>
      <c r="AJ1410" s="239"/>
    </row>
    <row r="1411">
      <c r="A1411" s="239"/>
      <c r="B1411" s="239"/>
      <c r="C1411" s="239"/>
      <c r="D1411" s="239"/>
      <c r="E1411" s="239"/>
      <c r="F1411" s="283"/>
      <c r="G1411" s="239"/>
      <c r="H1411" s="239"/>
      <c r="I1411" s="239"/>
      <c r="J1411" s="239"/>
      <c r="K1411" s="239"/>
      <c r="L1411" s="239"/>
      <c r="M1411" s="239"/>
      <c r="N1411" s="239"/>
      <c r="O1411" s="239"/>
      <c r="P1411" s="246"/>
      <c r="Q1411" s="239"/>
      <c r="R1411" s="239"/>
      <c r="S1411" s="239"/>
      <c r="T1411" s="239"/>
      <c r="U1411" s="239"/>
      <c r="V1411" s="239"/>
      <c r="W1411" s="246"/>
      <c r="X1411" s="239"/>
      <c r="Y1411" s="239"/>
      <c r="Z1411" s="239"/>
      <c r="AA1411" s="239"/>
      <c r="AB1411" s="239"/>
      <c r="AC1411" s="239"/>
      <c r="AD1411" s="239"/>
      <c r="AE1411" s="239"/>
      <c r="AF1411" s="239"/>
      <c r="AG1411" s="239"/>
      <c r="AH1411" s="239"/>
      <c r="AI1411" s="239"/>
      <c r="AJ1411" s="239"/>
    </row>
    <row r="1412">
      <c r="A1412" s="239"/>
      <c r="B1412" s="239"/>
      <c r="C1412" s="239"/>
      <c r="D1412" s="239"/>
      <c r="E1412" s="239"/>
      <c r="F1412" s="283"/>
      <c r="G1412" s="239"/>
      <c r="H1412" s="239"/>
      <c r="I1412" s="239"/>
      <c r="J1412" s="239"/>
      <c r="K1412" s="239"/>
      <c r="L1412" s="239"/>
      <c r="M1412" s="239"/>
      <c r="N1412" s="239"/>
      <c r="O1412" s="239"/>
      <c r="P1412" s="246"/>
      <c r="Q1412" s="239"/>
      <c r="R1412" s="239"/>
      <c r="S1412" s="239"/>
      <c r="T1412" s="239"/>
      <c r="U1412" s="239"/>
      <c r="V1412" s="239"/>
      <c r="W1412" s="246"/>
      <c r="X1412" s="239"/>
      <c r="Y1412" s="239"/>
      <c r="Z1412" s="239"/>
      <c r="AA1412" s="239"/>
      <c r="AB1412" s="239"/>
      <c r="AC1412" s="239"/>
      <c r="AD1412" s="239"/>
      <c r="AE1412" s="239"/>
      <c r="AF1412" s="239"/>
      <c r="AG1412" s="239"/>
      <c r="AH1412" s="239"/>
      <c r="AI1412" s="239"/>
      <c r="AJ1412" s="239"/>
    </row>
    <row r="1413">
      <c r="A1413" s="239"/>
      <c r="B1413" s="239"/>
      <c r="C1413" s="239"/>
      <c r="D1413" s="239"/>
      <c r="E1413" s="239"/>
      <c r="F1413" s="283"/>
      <c r="G1413" s="239"/>
      <c r="H1413" s="239"/>
      <c r="I1413" s="239"/>
      <c r="J1413" s="239"/>
      <c r="K1413" s="239"/>
      <c r="L1413" s="239"/>
      <c r="M1413" s="239"/>
      <c r="N1413" s="239"/>
      <c r="O1413" s="239"/>
      <c r="P1413" s="246"/>
      <c r="Q1413" s="239"/>
      <c r="R1413" s="239"/>
      <c r="S1413" s="239"/>
      <c r="T1413" s="239"/>
      <c r="U1413" s="239"/>
      <c r="V1413" s="239"/>
      <c r="W1413" s="246"/>
      <c r="X1413" s="239"/>
      <c r="Y1413" s="239"/>
      <c r="Z1413" s="239"/>
      <c r="AA1413" s="239"/>
      <c r="AB1413" s="239"/>
      <c r="AC1413" s="239"/>
      <c r="AD1413" s="239"/>
      <c r="AE1413" s="239"/>
      <c r="AF1413" s="239"/>
      <c r="AG1413" s="239"/>
      <c r="AH1413" s="239"/>
      <c r="AI1413" s="239"/>
      <c r="AJ1413" s="239"/>
    </row>
    <row r="1414">
      <c r="A1414" s="239"/>
      <c r="B1414" s="239"/>
      <c r="C1414" s="239"/>
      <c r="D1414" s="239"/>
      <c r="E1414" s="239"/>
      <c r="F1414" s="283"/>
      <c r="G1414" s="239"/>
      <c r="H1414" s="239"/>
      <c r="I1414" s="239"/>
      <c r="J1414" s="239"/>
      <c r="K1414" s="239"/>
      <c r="L1414" s="239"/>
      <c r="M1414" s="239"/>
      <c r="N1414" s="239"/>
      <c r="O1414" s="239"/>
      <c r="P1414" s="246"/>
      <c r="Q1414" s="239"/>
      <c r="R1414" s="239"/>
      <c r="S1414" s="239"/>
      <c r="T1414" s="239"/>
      <c r="U1414" s="239"/>
      <c r="V1414" s="239"/>
      <c r="W1414" s="246"/>
      <c r="X1414" s="239"/>
      <c r="Y1414" s="239"/>
      <c r="Z1414" s="239"/>
      <c r="AA1414" s="239"/>
      <c r="AB1414" s="239"/>
      <c r="AC1414" s="239"/>
      <c r="AD1414" s="239"/>
      <c r="AE1414" s="239"/>
      <c r="AF1414" s="239"/>
      <c r="AG1414" s="239"/>
      <c r="AH1414" s="239"/>
      <c r="AI1414" s="239"/>
      <c r="AJ1414" s="239"/>
    </row>
    <row r="1415">
      <c r="A1415" s="239"/>
      <c r="B1415" s="239"/>
      <c r="C1415" s="239"/>
      <c r="D1415" s="239"/>
      <c r="E1415" s="239"/>
      <c r="F1415" s="283"/>
      <c r="G1415" s="239"/>
      <c r="H1415" s="239"/>
      <c r="I1415" s="239"/>
      <c r="J1415" s="239"/>
      <c r="K1415" s="239"/>
      <c r="L1415" s="239"/>
      <c r="M1415" s="239"/>
      <c r="N1415" s="239"/>
      <c r="O1415" s="239"/>
      <c r="P1415" s="246"/>
      <c r="Q1415" s="239"/>
      <c r="R1415" s="239"/>
      <c r="S1415" s="239"/>
      <c r="T1415" s="239"/>
      <c r="U1415" s="239"/>
      <c r="V1415" s="239"/>
      <c r="W1415" s="246"/>
      <c r="X1415" s="239"/>
      <c r="Y1415" s="239"/>
      <c r="Z1415" s="239"/>
      <c r="AA1415" s="239"/>
      <c r="AB1415" s="239"/>
      <c r="AC1415" s="239"/>
      <c r="AD1415" s="239"/>
      <c r="AE1415" s="239"/>
      <c r="AF1415" s="239"/>
      <c r="AG1415" s="239"/>
      <c r="AH1415" s="239"/>
      <c r="AI1415" s="239"/>
      <c r="AJ1415" s="239"/>
    </row>
    <row r="1416">
      <c r="A1416" s="239"/>
      <c r="B1416" s="239"/>
      <c r="C1416" s="239"/>
      <c r="D1416" s="239"/>
      <c r="E1416" s="239"/>
      <c r="F1416" s="283"/>
      <c r="G1416" s="239"/>
      <c r="H1416" s="239"/>
      <c r="I1416" s="239"/>
      <c r="J1416" s="239"/>
      <c r="K1416" s="239"/>
      <c r="L1416" s="239"/>
      <c r="M1416" s="239"/>
      <c r="N1416" s="239"/>
      <c r="O1416" s="239"/>
      <c r="P1416" s="246"/>
      <c r="Q1416" s="239"/>
      <c r="R1416" s="239"/>
      <c r="S1416" s="239"/>
      <c r="T1416" s="239"/>
      <c r="U1416" s="239"/>
      <c r="V1416" s="239"/>
      <c r="W1416" s="246"/>
      <c r="X1416" s="239"/>
      <c r="Y1416" s="239"/>
      <c r="Z1416" s="239"/>
      <c r="AA1416" s="239"/>
      <c r="AB1416" s="239"/>
      <c r="AC1416" s="239"/>
      <c r="AD1416" s="239"/>
      <c r="AE1416" s="239"/>
      <c r="AF1416" s="239"/>
      <c r="AG1416" s="239"/>
      <c r="AH1416" s="239"/>
      <c r="AI1416" s="239"/>
      <c r="AJ1416" s="239"/>
    </row>
    <row r="1417">
      <c r="A1417" s="239"/>
      <c r="B1417" s="239"/>
      <c r="C1417" s="239"/>
      <c r="D1417" s="239"/>
      <c r="E1417" s="239"/>
      <c r="F1417" s="283"/>
      <c r="G1417" s="239"/>
      <c r="H1417" s="239"/>
      <c r="I1417" s="239"/>
      <c r="J1417" s="239"/>
      <c r="K1417" s="239"/>
      <c r="L1417" s="239"/>
      <c r="M1417" s="239"/>
      <c r="N1417" s="239"/>
      <c r="O1417" s="239"/>
      <c r="P1417" s="246"/>
      <c r="Q1417" s="239"/>
      <c r="R1417" s="239"/>
      <c r="S1417" s="239"/>
      <c r="T1417" s="239"/>
      <c r="U1417" s="239"/>
      <c r="V1417" s="239"/>
      <c r="W1417" s="246"/>
      <c r="X1417" s="239"/>
      <c r="Y1417" s="239"/>
      <c r="Z1417" s="239"/>
      <c r="AA1417" s="239"/>
      <c r="AB1417" s="239"/>
      <c r="AC1417" s="239"/>
      <c r="AD1417" s="239"/>
      <c r="AE1417" s="239"/>
      <c r="AF1417" s="239"/>
      <c r="AG1417" s="239"/>
      <c r="AH1417" s="239"/>
      <c r="AI1417" s="239"/>
      <c r="AJ1417" s="239"/>
    </row>
    <row r="1418">
      <c r="A1418" s="239"/>
      <c r="B1418" s="239"/>
      <c r="C1418" s="239"/>
      <c r="D1418" s="239"/>
      <c r="E1418" s="239"/>
      <c r="F1418" s="283"/>
      <c r="G1418" s="239"/>
      <c r="H1418" s="239"/>
      <c r="I1418" s="239"/>
      <c r="J1418" s="239"/>
      <c r="K1418" s="239"/>
      <c r="L1418" s="239"/>
      <c r="M1418" s="239"/>
      <c r="N1418" s="239"/>
      <c r="O1418" s="239"/>
      <c r="P1418" s="246"/>
      <c r="Q1418" s="239"/>
      <c r="R1418" s="239"/>
      <c r="S1418" s="239"/>
      <c r="T1418" s="239"/>
      <c r="U1418" s="239"/>
      <c r="V1418" s="239"/>
      <c r="W1418" s="246"/>
      <c r="X1418" s="239"/>
      <c r="Y1418" s="239"/>
      <c r="Z1418" s="239"/>
      <c r="AA1418" s="239"/>
      <c r="AB1418" s="239"/>
      <c r="AC1418" s="239"/>
      <c r="AD1418" s="239"/>
      <c r="AE1418" s="239"/>
      <c r="AF1418" s="239"/>
      <c r="AG1418" s="239"/>
      <c r="AH1418" s="239"/>
      <c r="AI1418" s="239"/>
      <c r="AJ1418" s="239"/>
    </row>
    <row r="1419">
      <c r="A1419" s="239"/>
      <c r="B1419" s="239"/>
      <c r="C1419" s="239"/>
      <c r="D1419" s="239"/>
      <c r="E1419" s="239"/>
      <c r="F1419" s="283"/>
      <c r="G1419" s="239"/>
      <c r="H1419" s="239"/>
      <c r="I1419" s="239"/>
      <c r="J1419" s="239"/>
      <c r="K1419" s="239"/>
      <c r="L1419" s="239"/>
      <c r="M1419" s="239"/>
      <c r="N1419" s="239"/>
      <c r="O1419" s="239"/>
      <c r="P1419" s="246"/>
      <c r="Q1419" s="239"/>
      <c r="R1419" s="239"/>
      <c r="S1419" s="239"/>
      <c r="T1419" s="239"/>
      <c r="U1419" s="239"/>
      <c r="V1419" s="239"/>
      <c r="W1419" s="246"/>
      <c r="X1419" s="239"/>
      <c r="Y1419" s="239"/>
      <c r="Z1419" s="239"/>
      <c r="AA1419" s="239"/>
      <c r="AB1419" s="239"/>
      <c r="AC1419" s="239"/>
      <c r="AD1419" s="239"/>
      <c r="AE1419" s="239"/>
      <c r="AF1419" s="239"/>
      <c r="AG1419" s="239"/>
      <c r="AH1419" s="239"/>
      <c r="AI1419" s="239"/>
      <c r="AJ1419" s="239"/>
    </row>
    <row r="1420">
      <c r="A1420" s="239"/>
      <c r="B1420" s="239"/>
      <c r="C1420" s="239"/>
      <c r="D1420" s="239"/>
      <c r="E1420" s="239"/>
      <c r="F1420" s="283"/>
      <c r="G1420" s="239"/>
      <c r="H1420" s="239"/>
      <c r="I1420" s="239"/>
      <c r="J1420" s="239"/>
      <c r="K1420" s="239"/>
      <c r="L1420" s="239"/>
      <c r="M1420" s="239"/>
      <c r="N1420" s="239"/>
      <c r="O1420" s="239"/>
      <c r="P1420" s="246"/>
      <c r="Q1420" s="239"/>
      <c r="R1420" s="239"/>
      <c r="S1420" s="239"/>
      <c r="T1420" s="239"/>
      <c r="U1420" s="239"/>
      <c r="V1420" s="239"/>
      <c r="W1420" s="246"/>
      <c r="X1420" s="239"/>
      <c r="Y1420" s="239"/>
      <c r="Z1420" s="239"/>
      <c r="AA1420" s="239"/>
      <c r="AB1420" s="239"/>
      <c r="AC1420" s="239"/>
      <c r="AD1420" s="239"/>
      <c r="AE1420" s="239"/>
      <c r="AF1420" s="239"/>
      <c r="AG1420" s="239"/>
      <c r="AH1420" s="239"/>
      <c r="AI1420" s="239"/>
      <c r="AJ1420" s="239"/>
    </row>
    <row r="1421">
      <c r="A1421" s="239"/>
      <c r="B1421" s="239"/>
      <c r="C1421" s="239"/>
      <c r="D1421" s="239"/>
      <c r="E1421" s="239"/>
      <c r="F1421" s="283"/>
      <c r="G1421" s="239"/>
      <c r="H1421" s="239"/>
      <c r="I1421" s="239"/>
      <c r="J1421" s="239"/>
      <c r="K1421" s="239"/>
      <c r="L1421" s="239"/>
      <c r="M1421" s="239"/>
      <c r="N1421" s="239"/>
      <c r="O1421" s="239"/>
      <c r="P1421" s="246"/>
      <c r="Q1421" s="239"/>
      <c r="R1421" s="239"/>
      <c r="S1421" s="239"/>
      <c r="T1421" s="239"/>
      <c r="U1421" s="239"/>
      <c r="V1421" s="239"/>
      <c r="W1421" s="246"/>
      <c r="X1421" s="239"/>
      <c r="Y1421" s="239"/>
      <c r="Z1421" s="239"/>
      <c r="AA1421" s="239"/>
      <c r="AB1421" s="239"/>
      <c r="AC1421" s="239"/>
      <c r="AD1421" s="239"/>
      <c r="AE1421" s="239"/>
      <c r="AF1421" s="239"/>
      <c r="AG1421" s="239"/>
      <c r="AH1421" s="239"/>
      <c r="AI1421" s="239"/>
      <c r="AJ1421" s="239"/>
    </row>
    <row r="1422">
      <c r="A1422" s="239"/>
      <c r="B1422" s="239"/>
      <c r="C1422" s="239"/>
      <c r="D1422" s="239"/>
      <c r="E1422" s="239"/>
      <c r="F1422" s="283"/>
      <c r="G1422" s="239"/>
      <c r="H1422" s="239"/>
      <c r="I1422" s="239"/>
      <c r="J1422" s="239"/>
      <c r="K1422" s="239"/>
      <c r="L1422" s="239"/>
      <c r="M1422" s="239"/>
      <c r="N1422" s="239"/>
      <c r="O1422" s="239"/>
      <c r="P1422" s="246"/>
      <c r="Q1422" s="239"/>
      <c r="R1422" s="239"/>
      <c r="S1422" s="239"/>
      <c r="T1422" s="239"/>
      <c r="U1422" s="239"/>
      <c r="V1422" s="239"/>
      <c r="W1422" s="246"/>
      <c r="X1422" s="239"/>
      <c r="Y1422" s="239"/>
      <c r="Z1422" s="239"/>
      <c r="AA1422" s="239"/>
      <c r="AB1422" s="239"/>
      <c r="AC1422" s="239"/>
      <c r="AD1422" s="239"/>
      <c r="AE1422" s="239"/>
      <c r="AF1422" s="239"/>
      <c r="AG1422" s="239"/>
      <c r="AH1422" s="239"/>
      <c r="AI1422" s="239"/>
      <c r="AJ1422" s="239"/>
    </row>
    <row r="1423">
      <c r="A1423" s="239"/>
      <c r="B1423" s="239"/>
      <c r="C1423" s="239"/>
      <c r="D1423" s="239"/>
      <c r="E1423" s="239"/>
      <c r="F1423" s="283"/>
      <c r="G1423" s="239"/>
      <c r="H1423" s="239"/>
      <c r="I1423" s="239"/>
      <c r="J1423" s="239"/>
      <c r="K1423" s="239"/>
      <c r="L1423" s="239"/>
      <c r="M1423" s="239"/>
      <c r="N1423" s="239"/>
      <c r="O1423" s="239"/>
      <c r="P1423" s="246"/>
      <c r="Q1423" s="239"/>
      <c r="R1423" s="239"/>
      <c r="S1423" s="239"/>
      <c r="T1423" s="239"/>
      <c r="U1423" s="239"/>
      <c r="V1423" s="239"/>
      <c r="W1423" s="246"/>
      <c r="X1423" s="239"/>
      <c r="Y1423" s="239"/>
      <c r="Z1423" s="239"/>
      <c r="AA1423" s="239"/>
      <c r="AB1423" s="239"/>
      <c r="AC1423" s="239"/>
      <c r="AD1423" s="239"/>
      <c r="AE1423" s="239"/>
      <c r="AF1423" s="239"/>
      <c r="AG1423" s="239"/>
      <c r="AH1423" s="239"/>
      <c r="AI1423" s="239"/>
      <c r="AJ1423" s="239"/>
    </row>
    <row r="1424">
      <c r="A1424" s="239"/>
      <c r="B1424" s="239"/>
      <c r="C1424" s="239"/>
      <c r="D1424" s="239"/>
      <c r="E1424" s="239"/>
      <c r="F1424" s="283"/>
      <c r="G1424" s="239"/>
      <c r="H1424" s="239"/>
      <c r="I1424" s="239"/>
      <c r="J1424" s="239"/>
      <c r="K1424" s="239"/>
      <c r="L1424" s="239"/>
      <c r="M1424" s="239"/>
      <c r="N1424" s="239"/>
      <c r="O1424" s="239"/>
      <c r="P1424" s="246"/>
      <c r="Q1424" s="239"/>
      <c r="R1424" s="239"/>
      <c r="S1424" s="239"/>
      <c r="T1424" s="239"/>
      <c r="U1424" s="239"/>
      <c r="V1424" s="239"/>
      <c r="W1424" s="246"/>
      <c r="X1424" s="239"/>
      <c r="Y1424" s="239"/>
      <c r="Z1424" s="239"/>
      <c r="AA1424" s="239"/>
      <c r="AB1424" s="239"/>
      <c r="AC1424" s="239"/>
      <c r="AD1424" s="239"/>
      <c r="AE1424" s="239"/>
      <c r="AF1424" s="239"/>
      <c r="AG1424" s="239"/>
      <c r="AH1424" s="239"/>
      <c r="AI1424" s="239"/>
      <c r="AJ1424" s="239"/>
    </row>
    <row r="1425">
      <c r="A1425" s="239"/>
      <c r="B1425" s="239"/>
      <c r="C1425" s="239"/>
      <c r="D1425" s="239"/>
      <c r="E1425" s="239"/>
      <c r="F1425" s="283"/>
      <c r="G1425" s="239"/>
      <c r="H1425" s="239"/>
      <c r="I1425" s="239"/>
      <c r="J1425" s="239"/>
      <c r="K1425" s="239"/>
      <c r="L1425" s="239"/>
      <c r="M1425" s="239"/>
      <c r="N1425" s="239"/>
      <c r="O1425" s="239"/>
      <c r="P1425" s="246"/>
      <c r="Q1425" s="239"/>
      <c r="R1425" s="239"/>
      <c r="S1425" s="239"/>
      <c r="T1425" s="239"/>
      <c r="U1425" s="239"/>
      <c r="V1425" s="239"/>
      <c r="W1425" s="246"/>
      <c r="X1425" s="239"/>
      <c r="Y1425" s="239"/>
      <c r="Z1425" s="239"/>
      <c r="AA1425" s="239"/>
      <c r="AB1425" s="239"/>
      <c r="AC1425" s="239"/>
      <c r="AD1425" s="239"/>
      <c r="AE1425" s="239"/>
      <c r="AF1425" s="239"/>
      <c r="AG1425" s="239"/>
      <c r="AH1425" s="239"/>
      <c r="AI1425" s="239"/>
      <c r="AJ1425" s="239"/>
    </row>
    <row r="1426">
      <c r="A1426" s="239"/>
      <c r="B1426" s="239"/>
      <c r="C1426" s="239"/>
      <c r="D1426" s="239"/>
      <c r="E1426" s="239"/>
      <c r="F1426" s="283"/>
      <c r="G1426" s="239"/>
      <c r="H1426" s="239"/>
      <c r="I1426" s="239"/>
      <c r="J1426" s="239"/>
      <c r="K1426" s="239"/>
      <c r="L1426" s="239"/>
      <c r="M1426" s="239"/>
      <c r="N1426" s="239"/>
      <c r="O1426" s="239"/>
      <c r="P1426" s="246"/>
      <c r="Q1426" s="239"/>
      <c r="R1426" s="239"/>
      <c r="S1426" s="239"/>
      <c r="T1426" s="239"/>
      <c r="U1426" s="239"/>
      <c r="V1426" s="239"/>
      <c r="W1426" s="246"/>
      <c r="X1426" s="239"/>
      <c r="Y1426" s="239"/>
      <c r="Z1426" s="239"/>
      <c r="AA1426" s="239"/>
      <c r="AB1426" s="239"/>
      <c r="AC1426" s="239"/>
      <c r="AD1426" s="239"/>
      <c r="AE1426" s="239"/>
      <c r="AF1426" s="239"/>
      <c r="AG1426" s="239"/>
      <c r="AH1426" s="239"/>
      <c r="AI1426" s="239"/>
      <c r="AJ1426" s="239"/>
    </row>
    <row r="1427">
      <c r="A1427" s="239"/>
      <c r="B1427" s="239"/>
      <c r="C1427" s="239"/>
      <c r="D1427" s="239"/>
      <c r="E1427" s="239"/>
      <c r="F1427" s="283"/>
      <c r="G1427" s="239"/>
      <c r="H1427" s="239"/>
      <c r="I1427" s="239"/>
      <c r="J1427" s="239"/>
      <c r="K1427" s="239"/>
      <c r="L1427" s="239"/>
      <c r="M1427" s="239"/>
      <c r="N1427" s="239"/>
      <c r="O1427" s="239"/>
      <c r="P1427" s="246"/>
      <c r="Q1427" s="239"/>
      <c r="R1427" s="239"/>
      <c r="S1427" s="239"/>
      <c r="T1427" s="239"/>
      <c r="U1427" s="239"/>
      <c r="V1427" s="239"/>
      <c r="W1427" s="246"/>
      <c r="X1427" s="239"/>
      <c r="Y1427" s="239"/>
      <c r="Z1427" s="239"/>
      <c r="AA1427" s="239"/>
      <c r="AB1427" s="239"/>
      <c r="AC1427" s="239"/>
      <c r="AD1427" s="239"/>
      <c r="AE1427" s="239"/>
      <c r="AF1427" s="239"/>
      <c r="AG1427" s="239"/>
      <c r="AH1427" s="239"/>
      <c r="AI1427" s="239"/>
      <c r="AJ1427" s="239"/>
    </row>
    <row r="1428">
      <c r="A1428" s="239"/>
      <c r="B1428" s="239"/>
      <c r="C1428" s="239"/>
      <c r="D1428" s="239"/>
      <c r="E1428" s="239"/>
      <c r="F1428" s="283"/>
      <c r="G1428" s="239"/>
      <c r="H1428" s="239"/>
      <c r="I1428" s="239"/>
      <c r="J1428" s="239"/>
      <c r="K1428" s="239"/>
      <c r="L1428" s="239"/>
      <c r="M1428" s="239"/>
      <c r="N1428" s="239"/>
      <c r="O1428" s="239"/>
      <c r="P1428" s="246"/>
      <c r="Q1428" s="239"/>
      <c r="R1428" s="239"/>
      <c r="S1428" s="239"/>
      <c r="T1428" s="239"/>
      <c r="U1428" s="239"/>
      <c r="V1428" s="239"/>
      <c r="W1428" s="246"/>
      <c r="X1428" s="239"/>
      <c r="Y1428" s="239"/>
      <c r="Z1428" s="239"/>
      <c r="AA1428" s="239"/>
      <c r="AB1428" s="239"/>
      <c r="AC1428" s="239"/>
      <c r="AD1428" s="239"/>
      <c r="AE1428" s="239"/>
      <c r="AF1428" s="239"/>
      <c r="AG1428" s="239"/>
      <c r="AH1428" s="239"/>
      <c r="AI1428" s="239"/>
      <c r="AJ1428" s="239"/>
    </row>
    <row r="1429">
      <c r="A1429" s="239"/>
      <c r="B1429" s="239"/>
      <c r="C1429" s="239"/>
      <c r="D1429" s="239"/>
      <c r="E1429" s="239"/>
      <c r="F1429" s="283"/>
      <c r="G1429" s="239"/>
      <c r="H1429" s="239"/>
      <c r="I1429" s="239"/>
      <c r="J1429" s="239"/>
      <c r="K1429" s="239"/>
      <c r="L1429" s="239"/>
      <c r="M1429" s="239"/>
      <c r="N1429" s="239"/>
      <c r="O1429" s="239"/>
      <c r="P1429" s="246"/>
      <c r="Q1429" s="239"/>
      <c r="R1429" s="239"/>
      <c r="S1429" s="239"/>
      <c r="T1429" s="239"/>
      <c r="U1429" s="239"/>
      <c r="V1429" s="239"/>
      <c r="W1429" s="246"/>
      <c r="X1429" s="239"/>
      <c r="Y1429" s="239"/>
      <c r="Z1429" s="239"/>
      <c r="AA1429" s="239"/>
      <c r="AB1429" s="239"/>
      <c r="AC1429" s="239"/>
      <c r="AD1429" s="239"/>
      <c r="AE1429" s="239"/>
      <c r="AF1429" s="239"/>
      <c r="AG1429" s="239"/>
      <c r="AH1429" s="239"/>
      <c r="AI1429" s="239"/>
      <c r="AJ1429" s="239"/>
    </row>
    <row r="1430">
      <c r="A1430" s="239"/>
      <c r="B1430" s="239"/>
      <c r="C1430" s="239"/>
      <c r="D1430" s="239"/>
      <c r="E1430" s="239"/>
      <c r="F1430" s="283"/>
      <c r="G1430" s="239"/>
      <c r="H1430" s="239"/>
      <c r="I1430" s="239"/>
      <c r="J1430" s="239"/>
      <c r="K1430" s="239"/>
      <c r="L1430" s="239"/>
      <c r="M1430" s="239"/>
      <c r="N1430" s="239"/>
      <c r="O1430" s="239"/>
      <c r="P1430" s="246"/>
      <c r="Q1430" s="239"/>
      <c r="R1430" s="239"/>
      <c r="S1430" s="239"/>
      <c r="T1430" s="239"/>
      <c r="U1430" s="239"/>
      <c r="V1430" s="239"/>
      <c r="W1430" s="246"/>
      <c r="X1430" s="239"/>
      <c r="Y1430" s="239"/>
      <c r="Z1430" s="239"/>
      <c r="AA1430" s="239"/>
      <c r="AB1430" s="239"/>
      <c r="AC1430" s="239"/>
      <c r="AD1430" s="239"/>
      <c r="AE1430" s="239"/>
      <c r="AF1430" s="239"/>
      <c r="AG1430" s="239"/>
      <c r="AH1430" s="239"/>
      <c r="AI1430" s="239"/>
      <c r="AJ1430" s="239"/>
    </row>
    <row r="1431">
      <c r="A1431" s="239"/>
      <c r="B1431" s="239"/>
      <c r="C1431" s="239"/>
      <c r="D1431" s="239"/>
      <c r="E1431" s="239"/>
      <c r="F1431" s="283"/>
      <c r="G1431" s="239"/>
      <c r="H1431" s="239"/>
      <c r="I1431" s="239"/>
      <c r="J1431" s="239"/>
      <c r="K1431" s="239"/>
      <c r="L1431" s="239"/>
      <c r="M1431" s="239"/>
      <c r="N1431" s="239"/>
      <c r="O1431" s="239"/>
      <c r="P1431" s="246"/>
      <c r="Q1431" s="239"/>
      <c r="R1431" s="239"/>
      <c r="S1431" s="239"/>
      <c r="T1431" s="239"/>
      <c r="U1431" s="239"/>
      <c r="V1431" s="239"/>
      <c r="W1431" s="246"/>
      <c r="X1431" s="239"/>
      <c r="Y1431" s="239"/>
      <c r="Z1431" s="239"/>
      <c r="AA1431" s="239"/>
      <c r="AB1431" s="239"/>
      <c r="AC1431" s="239"/>
      <c r="AD1431" s="239"/>
      <c r="AE1431" s="239"/>
      <c r="AF1431" s="239"/>
      <c r="AG1431" s="239"/>
      <c r="AH1431" s="239"/>
      <c r="AI1431" s="239"/>
      <c r="AJ1431" s="239"/>
    </row>
    <row r="1432">
      <c r="A1432" s="239"/>
      <c r="B1432" s="239"/>
      <c r="C1432" s="239"/>
      <c r="D1432" s="239"/>
      <c r="E1432" s="239"/>
      <c r="F1432" s="283"/>
      <c r="G1432" s="239"/>
      <c r="H1432" s="239"/>
      <c r="I1432" s="239"/>
      <c r="J1432" s="239"/>
      <c r="K1432" s="239"/>
      <c r="L1432" s="239"/>
      <c r="M1432" s="239"/>
      <c r="N1432" s="239"/>
      <c r="O1432" s="239"/>
      <c r="P1432" s="246"/>
      <c r="Q1432" s="239"/>
      <c r="R1432" s="239"/>
      <c r="S1432" s="239"/>
      <c r="T1432" s="239"/>
      <c r="U1432" s="239"/>
      <c r="V1432" s="239"/>
      <c r="W1432" s="246"/>
      <c r="X1432" s="239"/>
      <c r="Y1432" s="239"/>
      <c r="Z1432" s="239"/>
      <c r="AA1432" s="239"/>
      <c r="AB1432" s="239"/>
      <c r="AC1432" s="239"/>
      <c r="AD1432" s="239"/>
      <c r="AE1432" s="239"/>
      <c r="AF1432" s="239"/>
      <c r="AG1432" s="239"/>
      <c r="AH1432" s="239"/>
      <c r="AI1432" s="239"/>
      <c r="AJ1432" s="239"/>
    </row>
    <row r="1433">
      <c r="A1433" s="239"/>
      <c r="B1433" s="239"/>
      <c r="C1433" s="239"/>
      <c r="D1433" s="239"/>
      <c r="E1433" s="239"/>
      <c r="F1433" s="283"/>
      <c r="G1433" s="239"/>
      <c r="H1433" s="239"/>
      <c r="I1433" s="239"/>
      <c r="J1433" s="239"/>
      <c r="K1433" s="239"/>
      <c r="L1433" s="239"/>
      <c r="M1433" s="239"/>
      <c r="N1433" s="239"/>
      <c r="O1433" s="239"/>
      <c r="P1433" s="246"/>
      <c r="Q1433" s="239"/>
      <c r="R1433" s="239"/>
      <c r="S1433" s="239"/>
      <c r="T1433" s="239"/>
      <c r="U1433" s="239"/>
      <c r="V1433" s="239"/>
      <c r="W1433" s="246"/>
      <c r="X1433" s="239"/>
      <c r="Y1433" s="239"/>
      <c r="Z1433" s="239"/>
      <c r="AA1433" s="239"/>
      <c r="AB1433" s="239"/>
      <c r="AC1433" s="239"/>
      <c r="AD1433" s="239"/>
      <c r="AE1433" s="239"/>
      <c r="AF1433" s="239"/>
      <c r="AG1433" s="239"/>
      <c r="AH1433" s="239"/>
      <c r="AI1433" s="239"/>
      <c r="AJ1433" s="239"/>
    </row>
    <row r="1434">
      <c r="A1434" s="239"/>
      <c r="B1434" s="239"/>
      <c r="C1434" s="239"/>
      <c r="D1434" s="239"/>
      <c r="E1434" s="239"/>
      <c r="F1434" s="283"/>
      <c r="G1434" s="239"/>
      <c r="H1434" s="239"/>
      <c r="I1434" s="239"/>
      <c r="J1434" s="239"/>
      <c r="K1434" s="239"/>
      <c r="L1434" s="239"/>
      <c r="M1434" s="239"/>
      <c r="N1434" s="239"/>
      <c r="O1434" s="239"/>
      <c r="P1434" s="246"/>
      <c r="Q1434" s="239"/>
      <c r="R1434" s="239"/>
      <c r="S1434" s="239"/>
      <c r="T1434" s="239"/>
      <c r="U1434" s="239"/>
      <c r="V1434" s="239"/>
      <c r="W1434" s="246"/>
      <c r="X1434" s="239"/>
      <c r="Y1434" s="239"/>
      <c r="Z1434" s="239"/>
      <c r="AA1434" s="239"/>
      <c r="AB1434" s="239"/>
      <c r="AC1434" s="239"/>
      <c r="AD1434" s="239"/>
      <c r="AE1434" s="239"/>
      <c r="AF1434" s="239"/>
      <c r="AG1434" s="239"/>
      <c r="AH1434" s="239"/>
      <c r="AI1434" s="239"/>
      <c r="AJ1434" s="239"/>
    </row>
    <row r="1435">
      <c r="A1435" s="239"/>
      <c r="B1435" s="239"/>
      <c r="C1435" s="239"/>
      <c r="D1435" s="239"/>
      <c r="E1435" s="239"/>
      <c r="F1435" s="283"/>
      <c r="G1435" s="239"/>
      <c r="H1435" s="239"/>
      <c r="I1435" s="239"/>
      <c r="J1435" s="239"/>
      <c r="K1435" s="239"/>
      <c r="L1435" s="239"/>
      <c r="M1435" s="239"/>
      <c r="N1435" s="239"/>
      <c r="O1435" s="239"/>
      <c r="P1435" s="246"/>
      <c r="Q1435" s="239"/>
      <c r="R1435" s="239"/>
      <c r="S1435" s="239"/>
      <c r="T1435" s="239"/>
      <c r="U1435" s="239"/>
      <c r="V1435" s="239"/>
      <c r="W1435" s="246"/>
      <c r="X1435" s="239"/>
      <c r="Y1435" s="239"/>
      <c r="Z1435" s="239"/>
      <c r="AA1435" s="239"/>
      <c r="AB1435" s="239"/>
      <c r="AC1435" s="239"/>
      <c r="AD1435" s="239"/>
      <c r="AE1435" s="239"/>
      <c r="AF1435" s="239"/>
      <c r="AG1435" s="239"/>
      <c r="AH1435" s="239"/>
      <c r="AI1435" s="239"/>
      <c r="AJ1435" s="239"/>
    </row>
    <row r="1436">
      <c r="A1436" s="239"/>
      <c r="B1436" s="239"/>
      <c r="C1436" s="239"/>
      <c r="D1436" s="239"/>
      <c r="E1436" s="239"/>
      <c r="F1436" s="283"/>
      <c r="G1436" s="239"/>
      <c r="H1436" s="239"/>
      <c r="I1436" s="239"/>
      <c r="J1436" s="239"/>
      <c r="K1436" s="239"/>
      <c r="L1436" s="239"/>
      <c r="M1436" s="239"/>
      <c r="N1436" s="239"/>
      <c r="O1436" s="239"/>
      <c r="P1436" s="246"/>
      <c r="Q1436" s="239"/>
      <c r="R1436" s="239"/>
      <c r="S1436" s="239"/>
      <c r="T1436" s="239"/>
      <c r="U1436" s="239"/>
      <c r="V1436" s="239"/>
      <c r="W1436" s="246"/>
      <c r="X1436" s="239"/>
      <c r="Y1436" s="239"/>
      <c r="Z1436" s="239"/>
      <c r="AA1436" s="239"/>
      <c r="AB1436" s="239"/>
      <c r="AC1436" s="239"/>
      <c r="AD1436" s="239"/>
      <c r="AE1436" s="239"/>
      <c r="AF1436" s="239"/>
      <c r="AG1436" s="239"/>
      <c r="AH1436" s="239"/>
      <c r="AI1436" s="239"/>
      <c r="AJ1436" s="239"/>
    </row>
    <row r="1437">
      <c r="A1437" s="239"/>
      <c r="B1437" s="239"/>
      <c r="C1437" s="239"/>
      <c r="D1437" s="239"/>
      <c r="E1437" s="239"/>
      <c r="F1437" s="283"/>
      <c r="G1437" s="239"/>
      <c r="H1437" s="239"/>
      <c r="I1437" s="239"/>
      <c r="J1437" s="239"/>
      <c r="K1437" s="239"/>
      <c r="L1437" s="239"/>
      <c r="M1437" s="239"/>
      <c r="N1437" s="239"/>
      <c r="O1437" s="239"/>
      <c r="P1437" s="246"/>
      <c r="Q1437" s="239"/>
      <c r="R1437" s="239"/>
      <c r="S1437" s="239"/>
      <c r="T1437" s="239"/>
      <c r="U1437" s="239"/>
      <c r="V1437" s="239"/>
      <c r="W1437" s="246"/>
      <c r="X1437" s="239"/>
      <c r="Y1437" s="239"/>
      <c r="Z1437" s="239"/>
      <c r="AA1437" s="239"/>
      <c r="AB1437" s="239"/>
      <c r="AC1437" s="239"/>
      <c r="AD1437" s="239"/>
      <c r="AE1437" s="239"/>
      <c r="AF1437" s="239"/>
      <c r="AG1437" s="239"/>
      <c r="AH1437" s="239"/>
      <c r="AI1437" s="239"/>
      <c r="AJ1437" s="239"/>
    </row>
    <row r="1438">
      <c r="A1438" s="239"/>
      <c r="B1438" s="239"/>
      <c r="C1438" s="239"/>
      <c r="D1438" s="239"/>
      <c r="E1438" s="239"/>
      <c r="F1438" s="283"/>
      <c r="G1438" s="239"/>
      <c r="H1438" s="239"/>
      <c r="I1438" s="239"/>
      <c r="J1438" s="239"/>
      <c r="K1438" s="239"/>
      <c r="L1438" s="239"/>
      <c r="M1438" s="239"/>
      <c r="N1438" s="239"/>
      <c r="O1438" s="239"/>
      <c r="P1438" s="246"/>
      <c r="Q1438" s="239"/>
      <c r="R1438" s="239"/>
      <c r="S1438" s="239"/>
      <c r="T1438" s="239"/>
      <c r="U1438" s="239"/>
      <c r="V1438" s="239"/>
      <c r="W1438" s="246"/>
      <c r="X1438" s="239"/>
      <c r="Y1438" s="239"/>
      <c r="Z1438" s="239"/>
      <c r="AA1438" s="239"/>
      <c r="AB1438" s="239"/>
      <c r="AC1438" s="239"/>
      <c r="AD1438" s="239"/>
      <c r="AE1438" s="239"/>
      <c r="AF1438" s="239"/>
      <c r="AG1438" s="239"/>
      <c r="AH1438" s="239"/>
      <c r="AI1438" s="239"/>
      <c r="AJ1438" s="239"/>
    </row>
    <row r="1439">
      <c r="A1439" s="239"/>
      <c r="B1439" s="239"/>
      <c r="C1439" s="239"/>
      <c r="D1439" s="239"/>
      <c r="E1439" s="239"/>
      <c r="F1439" s="283"/>
      <c r="G1439" s="239"/>
      <c r="H1439" s="239"/>
      <c r="I1439" s="239"/>
      <c r="J1439" s="239"/>
      <c r="K1439" s="239"/>
      <c r="L1439" s="239"/>
      <c r="M1439" s="239"/>
      <c r="N1439" s="239"/>
      <c r="O1439" s="239"/>
      <c r="P1439" s="246"/>
      <c r="Q1439" s="239"/>
      <c r="R1439" s="239"/>
      <c r="S1439" s="239"/>
      <c r="T1439" s="239"/>
      <c r="U1439" s="239"/>
      <c r="V1439" s="239"/>
      <c r="W1439" s="246"/>
      <c r="X1439" s="239"/>
      <c r="Y1439" s="239"/>
      <c r="Z1439" s="239"/>
      <c r="AA1439" s="239"/>
      <c r="AB1439" s="239"/>
      <c r="AC1439" s="239"/>
      <c r="AD1439" s="239"/>
      <c r="AE1439" s="239"/>
      <c r="AF1439" s="239"/>
      <c r="AG1439" s="239"/>
      <c r="AH1439" s="239"/>
      <c r="AI1439" s="239"/>
      <c r="AJ1439" s="239"/>
    </row>
    <row r="1440">
      <c r="A1440" s="239"/>
      <c r="B1440" s="239"/>
      <c r="C1440" s="239"/>
      <c r="D1440" s="239"/>
      <c r="E1440" s="239"/>
      <c r="F1440" s="283"/>
      <c r="G1440" s="239"/>
      <c r="H1440" s="239"/>
      <c r="I1440" s="239"/>
      <c r="J1440" s="239"/>
      <c r="K1440" s="239"/>
      <c r="L1440" s="239"/>
      <c r="M1440" s="239"/>
      <c r="N1440" s="239"/>
      <c r="O1440" s="239"/>
      <c r="P1440" s="246"/>
      <c r="Q1440" s="239"/>
      <c r="R1440" s="239"/>
      <c r="S1440" s="239"/>
      <c r="T1440" s="239"/>
      <c r="U1440" s="239"/>
      <c r="V1440" s="239"/>
      <c r="W1440" s="246"/>
      <c r="X1440" s="239"/>
      <c r="Y1440" s="239"/>
      <c r="Z1440" s="239"/>
      <c r="AA1440" s="239"/>
      <c r="AB1440" s="239"/>
      <c r="AC1440" s="239"/>
      <c r="AD1440" s="239"/>
      <c r="AE1440" s="239"/>
      <c r="AF1440" s="239"/>
      <c r="AG1440" s="239"/>
      <c r="AH1440" s="239"/>
      <c r="AI1440" s="239"/>
      <c r="AJ1440" s="239"/>
    </row>
    <row r="1441">
      <c r="A1441" s="239"/>
      <c r="B1441" s="239"/>
      <c r="C1441" s="239"/>
      <c r="D1441" s="239"/>
      <c r="E1441" s="239"/>
      <c r="F1441" s="283"/>
      <c r="G1441" s="239"/>
      <c r="H1441" s="239"/>
      <c r="I1441" s="239"/>
      <c r="J1441" s="239"/>
      <c r="K1441" s="239"/>
      <c r="L1441" s="239"/>
      <c r="M1441" s="239"/>
      <c r="N1441" s="239"/>
      <c r="O1441" s="239"/>
      <c r="P1441" s="246"/>
      <c r="Q1441" s="239"/>
      <c r="R1441" s="239"/>
      <c r="S1441" s="239"/>
      <c r="T1441" s="239"/>
      <c r="U1441" s="239"/>
      <c r="V1441" s="239"/>
      <c r="W1441" s="246"/>
      <c r="X1441" s="239"/>
      <c r="Y1441" s="239"/>
      <c r="Z1441" s="239"/>
      <c r="AA1441" s="239"/>
      <c r="AB1441" s="239"/>
      <c r="AC1441" s="239"/>
      <c r="AD1441" s="239"/>
      <c r="AE1441" s="239"/>
      <c r="AF1441" s="239"/>
      <c r="AG1441" s="239"/>
      <c r="AH1441" s="239"/>
      <c r="AI1441" s="239"/>
      <c r="AJ1441" s="239"/>
    </row>
    <row r="1442">
      <c r="A1442" s="239"/>
      <c r="B1442" s="239"/>
      <c r="C1442" s="239"/>
      <c r="D1442" s="239"/>
      <c r="E1442" s="239"/>
      <c r="F1442" s="283"/>
      <c r="G1442" s="239"/>
      <c r="H1442" s="239"/>
      <c r="I1442" s="239"/>
      <c r="J1442" s="239"/>
      <c r="K1442" s="239"/>
      <c r="L1442" s="239"/>
      <c r="M1442" s="239"/>
      <c r="N1442" s="239"/>
      <c r="O1442" s="239"/>
      <c r="P1442" s="246"/>
      <c r="Q1442" s="239"/>
      <c r="R1442" s="239"/>
      <c r="S1442" s="239"/>
      <c r="T1442" s="239"/>
      <c r="U1442" s="239"/>
      <c r="V1442" s="239"/>
      <c r="W1442" s="246"/>
      <c r="X1442" s="239"/>
      <c r="Y1442" s="239"/>
      <c r="Z1442" s="239"/>
      <c r="AA1442" s="239"/>
      <c r="AB1442" s="239"/>
      <c r="AC1442" s="239"/>
      <c r="AD1442" s="239"/>
      <c r="AE1442" s="239"/>
      <c r="AF1442" s="239"/>
      <c r="AG1442" s="239"/>
      <c r="AH1442" s="239"/>
      <c r="AI1442" s="239"/>
      <c r="AJ1442" s="239"/>
    </row>
    <row r="1443">
      <c r="A1443" s="239"/>
      <c r="B1443" s="239"/>
      <c r="C1443" s="239"/>
      <c r="D1443" s="239"/>
      <c r="E1443" s="239"/>
      <c r="F1443" s="283"/>
      <c r="G1443" s="239"/>
      <c r="H1443" s="239"/>
      <c r="I1443" s="239"/>
      <c r="J1443" s="239"/>
      <c r="K1443" s="239"/>
      <c r="L1443" s="239"/>
      <c r="M1443" s="239"/>
      <c r="N1443" s="239"/>
      <c r="O1443" s="239"/>
      <c r="P1443" s="246"/>
      <c r="Q1443" s="239"/>
      <c r="R1443" s="239"/>
      <c r="S1443" s="239"/>
      <c r="T1443" s="239"/>
      <c r="U1443" s="239"/>
      <c r="V1443" s="239"/>
      <c r="W1443" s="246"/>
      <c r="X1443" s="239"/>
      <c r="Y1443" s="239"/>
      <c r="Z1443" s="239"/>
      <c r="AA1443" s="239"/>
      <c r="AB1443" s="239"/>
      <c r="AC1443" s="239"/>
      <c r="AD1443" s="239"/>
      <c r="AE1443" s="239"/>
      <c r="AF1443" s="239"/>
      <c r="AG1443" s="239"/>
      <c r="AH1443" s="239"/>
      <c r="AI1443" s="239"/>
      <c r="AJ1443" s="239"/>
    </row>
    <row r="1444">
      <c r="A1444" s="239"/>
      <c r="B1444" s="239"/>
      <c r="C1444" s="239"/>
      <c r="D1444" s="239"/>
      <c r="E1444" s="239"/>
      <c r="F1444" s="283"/>
      <c r="G1444" s="239"/>
      <c r="H1444" s="239"/>
      <c r="I1444" s="239"/>
      <c r="J1444" s="239"/>
      <c r="K1444" s="239"/>
      <c r="L1444" s="239"/>
      <c r="M1444" s="239"/>
      <c r="N1444" s="239"/>
      <c r="O1444" s="239"/>
      <c r="P1444" s="246"/>
      <c r="Q1444" s="239"/>
      <c r="R1444" s="239"/>
      <c r="S1444" s="239"/>
      <c r="T1444" s="239"/>
      <c r="U1444" s="239"/>
      <c r="V1444" s="239"/>
      <c r="W1444" s="246"/>
      <c r="X1444" s="239"/>
      <c r="Y1444" s="239"/>
      <c r="Z1444" s="239"/>
      <c r="AA1444" s="239"/>
      <c r="AB1444" s="239"/>
      <c r="AC1444" s="239"/>
      <c r="AD1444" s="239"/>
      <c r="AE1444" s="239"/>
      <c r="AF1444" s="239"/>
      <c r="AG1444" s="239"/>
      <c r="AH1444" s="239"/>
      <c r="AI1444" s="239"/>
      <c r="AJ1444" s="239"/>
    </row>
    <row r="1445">
      <c r="A1445" s="239"/>
      <c r="B1445" s="239"/>
      <c r="C1445" s="239"/>
      <c r="D1445" s="239"/>
      <c r="E1445" s="239"/>
      <c r="F1445" s="283"/>
      <c r="G1445" s="239"/>
      <c r="H1445" s="239"/>
      <c r="I1445" s="239"/>
      <c r="J1445" s="239"/>
      <c r="K1445" s="239"/>
      <c r="L1445" s="239"/>
      <c r="M1445" s="239"/>
      <c r="N1445" s="239"/>
      <c r="O1445" s="239"/>
      <c r="P1445" s="246"/>
      <c r="Q1445" s="239"/>
      <c r="R1445" s="239"/>
      <c r="S1445" s="239"/>
      <c r="T1445" s="239"/>
      <c r="U1445" s="239"/>
      <c r="V1445" s="239"/>
      <c r="W1445" s="246"/>
      <c r="X1445" s="239"/>
      <c r="Y1445" s="239"/>
      <c r="Z1445" s="239"/>
      <c r="AA1445" s="239"/>
      <c r="AB1445" s="239"/>
      <c r="AC1445" s="239"/>
      <c r="AD1445" s="239"/>
      <c r="AE1445" s="239"/>
      <c r="AF1445" s="239"/>
      <c r="AG1445" s="239"/>
      <c r="AH1445" s="239"/>
      <c r="AI1445" s="239"/>
      <c r="AJ1445" s="239"/>
    </row>
    <row r="1446">
      <c r="A1446" s="239"/>
      <c r="B1446" s="239"/>
      <c r="C1446" s="239"/>
      <c r="D1446" s="239"/>
      <c r="E1446" s="239"/>
      <c r="F1446" s="283"/>
      <c r="G1446" s="239"/>
      <c r="H1446" s="239"/>
      <c r="I1446" s="239"/>
      <c r="J1446" s="239"/>
      <c r="K1446" s="239"/>
      <c r="L1446" s="239"/>
      <c r="M1446" s="239"/>
      <c r="N1446" s="239"/>
      <c r="O1446" s="239"/>
      <c r="P1446" s="246"/>
      <c r="Q1446" s="239"/>
      <c r="R1446" s="239"/>
      <c r="S1446" s="239"/>
      <c r="T1446" s="239"/>
      <c r="U1446" s="239"/>
      <c r="V1446" s="239"/>
      <c r="W1446" s="246"/>
      <c r="X1446" s="239"/>
      <c r="Y1446" s="239"/>
      <c r="Z1446" s="239"/>
      <c r="AA1446" s="239"/>
      <c r="AB1446" s="239"/>
      <c r="AC1446" s="239"/>
      <c r="AD1446" s="239"/>
      <c r="AE1446" s="239"/>
      <c r="AF1446" s="239"/>
      <c r="AG1446" s="239"/>
      <c r="AH1446" s="239"/>
      <c r="AI1446" s="239"/>
      <c r="AJ1446" s="239"/>
    </row>
    <row r="1447">
      <c r="A1447" s="239"/>
      <c r="B1447" s="239"/>
      <c r="C1447" s="239"/>
      <c r="D1447" s="239"/>
      <c r="E1447" s="239"/>
      <c r="F1447" s="283"/>
      <c r="G1447" s="239"/>
      <c r="H1447" s="239"/>
      <c r="I1447" s="239"/>
      <c r="J1447" s="239"/>
      <c r="K1447" s="239"/>
      <c r="L1447" s="239"/>
      <c r="M1447" s="239"/>
      <c r="N1447" s="239"/>
      <c r="O1447" s="239"/>
      <c r="P1447" s="246"/>
      <c r="Q1447" s="239"/>
      <c r="R1447" s="239"/>
      <c r="S1447" s="239"/>
      <c r="T1447" s="239"/>
      <c r="U1447" s="239"/>
      <c r="V1447" s="239"/>
      <c r="W1447" s="246"/>
      <c r="X1447" s="239"/>
      <c r="Y1447" s="239"/>
      <c r="Z1447" s="239"/>
      <c r="AA1447" s="239"/>
      <c r="AB1447" s="239"/>
      <c r="AC1447" s="239"/>
      <c r="AD1447" s="239"/>
      <c r="AE1447" s="239"/>
      <c r="AF1447" s="239"/>
      <c r="AG1447" s="239"/>
      <c r="AH1447" s="239"/>
      <c r="AI1447" s="239"/>
      <c r="AJ1447" s="239"/>
    </row>
    <row r="1448">
      <c r="A1448" s="239"/>
      <c r="B1448" s="239"/>
      <c r="C1448" s="239"/>
      <c r="D1448" s="239"/>
      <c r="E1448" s="239"/>
      <c r="F1448" s="283"/>
      <c r="G1448" s="239"/>
      <c r="H1448" s="239"/>
      <c r="I1448" s="239"/>
      <c r="J1448" s="239"/>
      <c r="K1448" s="239"/>
      <c r="L1448" s="239"/>
      <c r="M1448" s="239"/>
      <c r="N1448" s="239"/>
      <c r="O1448" s="239"/>
      <c r="P1448" s="246"/>
      <c r="Q1448" s="239"/>
      <c r="R1448" s="239"/>
      <c r="S1448" s="239"/>
      <c r="T1448" s="239"/>
      <c r="U1448" s="239"/>
      <c r="V1448" s="239"/>
      <c r="W1448" s="246"/>
      <c r="X1448" s="239"/>
      <c r="Y1448" s="239"/>
      <c r="Z1448" s="239"/>
      <c r="AA1448" s="239"/>
      <c r="AB1448" s="239"/>
      <c r="AC1448" s="239"/>
      <c r="AD1448" s="239"/>
      <c r="AE1448" s="239"/>
      <c r="AF1448" s="239"/>
      <c r="AG1448" s="239"/>
      <c r="AH1448" s="239"/>
      <c r="AI1448" s="239"/>
      <c r="AJ1448" s="239"/>
    </row>
    <row r="1449">
      <c r="A1449" s="239"/>
      <c r="B1449" s="239"/>
      <c r="C1449" s="239"/>
      <c r="D1449" s="239"/>
      <c r="E1449" s="239"/>
      <c r="F1449" s="283"/>
      <c r="G1449" s="239"/>
      <c r="H1449" s="239"/>
      <c r="I1449" s="239"/>
      <c r="J1449" s="239"/>
      <c r="K1449" s="239"/>
      <c r="L1449" s="239"/>
      <c r="M1449" s="239"/>
      <c r="N1449" s="239"/>
      <c r="O1449" s="239"/>
      <c r="P1449" s="246"/>
      <c r="Q1449" s="239"/>
      <c r="R1449" s="239"/>
      <c r="S1449" s="239"/>
      <c r="T1449" s="239"/>
      <c r="U1449" s="239"/>
      <c r="V1449" s="239"/>
      <c r="W1449" s="246"/>
      <c r="X1449" s="239"/>
      <c r="Y1449" s="239"/>
      <c r="Z1449" s="239"/>
      <c r="AA1449" s="239"/>
      <c r="AB1449" s="239"/>
      <c r="AC1449" s="239"/>
      <c r="AD1449" s="239"/>
      <c r="AE1449" s="239"/>
      <c r="AF1449" s="239"/>
      <c r="AG1449" s="239"/>
      <c r="AH1449" s="239"/>
      <c r="AI1449" s="239"/>
      <c r="AJ1449" s="239"/>
    </row>
    <row r="1450">
      <c r="A1450" s="239"/>
      <c r="B1450" s="239"/>
      <c r="C1450" s="239"/>
      <c r="D1450" s="239"/>
      <c r="E1450" s="239"/>
      <c r="F1450" s="283"/>
      <c r="G1450" s="239"/>
      <c r="H1450" s="239"/>
      <c r="I1450" s="239"/>
      <c r="J1450" s="239"/>
      <c r="K1450" s="239"/>
      <c r="L1450" s="239"/>
      <c r="M1450" s="239"/>
      <c r="N1450" s="239"/>
      <c r="O1450" s="239"/>
      <c r="P1450" s="246"/>
      <c r="Q1450" s="239"/>
      <c r="R1450" s="239"/>
      <c r="S1450" s="239"/>
      <c r="T1450" s="239"/>
      <c r="U1450" s="239"/>
      <c r="V1450" s="239"/>
      <c r="W1450" s="246"/>
      <c r="X1450" s="239"/>
      <c r="Y1450" s="239"/>
      <c r="Z1450" s="239"/>
      <c r="AA1450" s="239"/>
      <c r="AB1450" s="239"/>
      <c r="AC1450" s="239"/>
      <c r="AD1450" s="239"/>
      <c r="AE1450" s="239"/>
      <c r="AF1450" s="239"/>
      <c r="AG1450" s="239"/>
      <c r="AH1450" s="239"/>
      <c r="AI1450" s="239"/>
      <c r="AJ1450" s="239"/>
    </row>
    <row r="1451">
      <c r="A1451" s="239"/>
      <c r="B1451" s="239"/>
      <c r="C1451" s="239"/>
      <c r="D1451" s="239"/>
      <c r="E1451" s="239"/>
      <c r="F1451" s="283"/>
      <c r="G1451" s="239"/>
      <c r="H1451" s="239"/>
      <c r="I1451" s="239"/>
      <c r="J1451" s="239"/>
      <c r="K1451" s="239"/>
      <c r="L1451" s="239"/>
      <c r="M1451" s="239"/>
      <c r="N1451" s="239"/>
      <c r="O1451" s="239"/>
      <c r="P1451" s="246"/>
      <c r="Q1451" s="239"/>
      <c r="R1451" s="239"/>
      <c r="S1451" s="239"/>
      <c r="T1451" s="239"/>
      <c r="U1451" s="239"/>
      <c r="V1451" s="239"/>
      <c r="W1451" s="246"/>
      <c r="X1451" s="239"/>
      <c r="Y1451" s="239"/>
      <c r="Z1451" s="239"/>
      <c r="AA1451" s="239"/>
      <c r="AB1451" s="239"/>
      <c r="AC1451" s="239"/>
      <c r="AD1451" s="239"/>
      <c r="AE1451" s="239"/>
      <c r="AF1451" s="239"/>
      <c r="AG1451" s="239"/>
      <c r="AH1451" s="239"/>
      <c r="AI1451" s="239"/>
      <c r="AJ1451" s="239"/>
    </row>
    <row r="1452">
      <c r="A1452" s="239"/>
      <c r="B1452" s="239"/>
      <c r="C1452" s="239"/>
      <c r="D1452" s="239"/>
      <c r="E1452" s="239"/>
      <c r="F1452" s="283"/>
      <c r="G1452" s="239"/>
      <c r="H1452" s="239"/>
      <c r="I1452" s="239"/>
      <c r="J1452" s="239"/>
      <c r="K1452" s="239"/>
      <c r="L1452" s="239"/>
      <c r="M1452" s="239"/>
      <c r="N1452" s="239"/>
      <c r="O1452" s="239"/>
      <c r="P1452" s="246"/>
      <c r="Q1452" s="239"/>
      <c r="R1452" s="239"/>
      <c r="S1452" s="239"/>
      <c r="T1452" s="239"/>
      <c r="U1452" s="239"/>
      <c r="V1452" s="239"/>
      <c r="W1452" s="246"/>
      <c r="X1452" s="239"/>
      <c r="Y1452" s="239"/>
      <c r="Z1452" s="239"/>
      <c r="AA1452" s="239"/>
      <c r="AB1452" s="239"/>
      <c r="AC1452" s="239"/>
      <c r="AD1452" s="239"/>
      <c r="AE1452" s="239"/>
      <c r="AF1452" s="239"/>
      <c r="AG1452" s="239"/>
      <c r="AH1452" s="239"/>
      <c r="AI1452" s="239"/>
      <c r="AJ1452" s="239"/>
    </row>
    <row r="1453">
      <c r="A1453" s="239"/>
      <c r="B1453" s="239"/>
      <c r="C1453" s="239"/>
      <c r="D1453" s="239"/>
      <c r="E1453" s="239"/>
      <c r="F1453" s="283"/>
      <c r="G1453" s="239"/>
      <c r="H1453" s="239"/>
      <c r="I1453" s="239"/>
      <c r="J1453" s="239"/>
      <c r="K1453" s="239"/>
      <c r="L1453" s="239"/>
      <c r="M1453" s="239"/>
      <c r="N1453" s="239"/>
      <c r="O1453" s="239"/>
      <c r="P1453" s="246"/>
      <c r="Q1453" s="239"/>
      <c r="R1453" s="239"/>
      <c r="S1453" s="239"/>
      <c r="T1453" s="239"/>
      <c r="U1453" s="239"/>
      <c r="V1453" s="239"/>
      <c r="W1453" s="246"/>
      <c r="X1453" s="239"/>
      <c r="Y1453" s="239"/>
      <c r="Z1453" s="239"/>
      <c r="AA1453" s="239"/>
      <c r="AB1453" s="239"/>
      <c r="AC1453" s="239"/>
      <c r="AD1453" s="239"/>
      <c r="AE1453" s="239"/>
      <c r="AF1453" s="239"/>
      <c r="AG1453" s="239"/>
      <c r="AH1453" s="239"/>
      <c r="AI1453" s="239"/>
      <c r="AJ1453" s="239"/>
    </row>
    <row r="1454">
      <c r="A1454" s="239"/>
      <c r="B1454" s="239"/>
      <c r="C1454" s="239"/>
      <c r="D1454" s="239"/>
      <c r="E1454" s="239"/>
      <c r="F1454" s="283"/>
      <c r="G1454" s="239"/>
      <c r="H1454" s="239"/>
      <c r="I1454" s="239"/>
      <c r="J1454" s="239"/>
      <c r="K1454" s="239"/>
      <c r="L1454" s="239"/>
      <c r="M1454" s="239"/>
      <c r="N1454" s="239"/>
      <c r="O1454" s="239"/>
      <c r="P1454" s="246"/>
      <c r="Q1454" s="239"/>
      <c r="R1454" s="239"/>
      <c r="S1454" s="239"/>
      <c r="T1454" s="239"/>
      <c r="U1454" s="239"/>
      <c r="V1454" s="239"/>
      <c r="W1454" s="246"/>
      <c r="X1454" s="239"/>
      <c r="Y1454" s="239"/>
      <c r="Z1454" s="239"/>
      <c r="AA1454" s="239"/>
      <c r="AB1454" s="239"/>
      <c r="AC1454" s="239"/>
      <c r="AD1454" s="239"/>
      <c r="AE1454" s="239"/>
      <c r="AF1454" s="239"/>
      <c r="AG1454" s="239"/>
      <c r="AH1454" s="239"/>
      <c r="AI1454" s="239"/>
      <c r="AJ1454" s="239"/>
    </row>
    <row r="1455">
      <c r="A1455" s="239"/>
      <c r="B1455" s="239"/>
      <c r="C1455" s="239"/>
      <c r="D1455" s="239"/>
      <c r="E1455" s="239"/>
      <c r="F1455" s="283"/>
      <c r="G1455" s="239"/>
      <c r="H1455" s="239"/>
      <c r="I1455" s="239"/>
      <c r="J1455" s="239"/>
      <c r="K1455" s="239"/>
      <c r="L1455" s="239"/>
      <c r="M1455" s="239"/>
      <c r="N1455" s="239"/>
      <c r="O1455" s="239"/>
      <c r="P1455" s="246"/>
      <c r="Q1455" s="239"/>
      <c r="R1455" s="239"/>
      <c r="S1455" s="239"/>
      <c r="T1455" s="239"/>
      <c r="U1455" s="239"/>
      <c r="V1455" s="239"/>
      <c r="W1455" s="246"/>
      <c r="X1455" s="239"/>
      <c r="Y1455" s="239"/>
      <c r="Z1455" s="239"/>
      <c r="AA1455" s="239"/>
      <c r="AB1455" s="239"/>
      <c r="AC1455" s="239"/>
      <c r="AD1455" s="239"/>
      <c r="AE1455" s="239"/>
      <c r="AF1455" s="239"/>
      <c r="AG1455" s="239"/>
      <c r="AH1455" s="239"/>
      <c r="AI1455" s="239"/>
      <c r="AJ1455" s="239"/>
    </row>
    <row r="1456">
      <c r="A1456" s="239"/>
      <c r="B1456" s="239"/>
      <c r="C1456" s="239"/>
      <c r="D1456" s="239"/>
      <c r="E1456" s="239"/>
      <c r="F1456" s="283"/>
      <c r="G1456" s="239"/>
      <c r="H1456" s="239"/>
      <c r="I1456" s="239"/>
      <c r="J1456" s="239"/>
      <c r="K1456" s="239"/>
      <c r="L1456" s="239"/>
      <c r="M1456" s="239"/>
      <c r="N1456" s="239"/>
      <c r="O1456" s="239"/>
      <c r="P1456" s="246"/>
      <c r="Q1456" s="239"/>
      <c r="R1456" s="239"/>
      <c r="S1456" s="239"/>
      <c r="T1456" s="239"/>
      <c r="U1456" s="239"/>
      <c r="V1456" s="239"/>
      <c r="W1456" s="246"/>
      <c r="X1456" s="239"/>
      <c r="Y1456" s="239"/>
      <c r="Z1456" s="239"/>
      <c r="AA1456" s="239"/>
      <c r="AB1456" s="239"/>
      <c r="AC1456" s="239"/>
      <c r="AD1456" s="239"/>
      <c r="AE1456" s="239"/>
      <c r="AF1456" s="239"/>
      <c r="AG1456" s="239"/>
      <c r="AH1456" s="239"/>
      <c r="AI1456" s="239"/>
      <c r="AJ1456" s="239"/>
    </row>
    <row r="1457">
      <c r="A1457" s="239"/>
      <c r="B1457" s="239"/>
      <c r="C1457" s="239"/>
      <c r="D1457" s="239"/>
      <c r="E1457" s="239"/>
      <c r="F1457" s="283"/>
      <c r="G1457" s="239"/>
      <c r="H1457" s="239"/>
      <c r="I1457" s="239"/>
      <c r="J1457" s="239"/>
      <c r="K1457" s="239"/>
      <c r="L1457" s="239"/>
      <c r="M1457" s="239"/>
      <c r="N1457" s="239"/>
      <c r="O1457" s="239"/>
      <c r="P1457" s="246"/>
      <c r="Q1457" s="239"/>
      <c r="R1457" s="239"/>
      <c r="S1457" s="239"/>
      <c r="T1457" s="239"/>
      <c r="U1457" s="239"/>
      <c r="V1457" s="239"/>
      <c r="W1457" s="246"/>
      <c r="X1457" s="239"/>
      <c r="Y1457" s="239"/>
      <c r="Z1457" s="239"/>
      <c r="AA1457" s="239"/>
      <c r="AB1457" s="239"/>
      <c r="AC1457" s="239"/>
      <c r="AD1457" s="239"/>
      <c r="AE1457" s="239"/>
      <c r="AF1457" s="239"/>
      <c r="AG1457" s="239"/>
      <c r="AH1457" s="239"/>
      <c r="AI1457" s="239"/>
      <c r="AJ1457" s="239"/>
    </row>
    <row r="1458">
      <c r="A1458" s="239"/>
      <c r="B1458" s="239"/>
      <c r="C1458" s="239"/>
      <c r="D1458" s="239"/>
      <c r="E1458" s="239"/>
      <c r="F1458" s="283"/>
      <c r="G1458" s="239"/>
      <c r="H1458" s="239"/>
      <c r="I1458" s="239"/>
      <c r="J1458" s="239"/>
      <c r="K1458" s="239"/>
      <c r="L1458" s="239"/>
      <c r="M1458" s="239"/>
      <c r="N1458" s="239"/>
      <c r="O1458" s="239"/>
      <c r="P1458" s="246"/>
      <c r="Q1458" s="239"/>
      <c r="R1458" s="239"/>
      <c r="S1458" s="239"/>
      <c r="T1458" s="239"/>
      <c r="U1458" s="239"/>
      <c r="V1458" s="239"/>
      <c r="W1458" s="246"/>
      <c r="X1458" s="239"/>
      <c r="Y1458" s="239"/>
      <c r="Z1458" s="239"/>
      <c r="AA1458" s="239"/>
      <c r="AB1458" s="239"/>
      <c r="AC1458" s="239"/>
      <c r="AD1458" s="239"/>
      <c r="AE1458" s="239"/>
      <c r="AF1458" s="239"/>
      <c r="AG1458" s="239"/>
      <c r="AH1458" s="239"/>
      <c r="AI1458" s="239"/>
      <c r="AJ1458" s="239"/>
    </row>
    <row r="1459">
      <c r="A1459" s="239"/>
      <c r="B1459" s="239"/>
      <c r="C1459" s="239"/>
      <c r="D1459" s="239"/>
      <c r="E1459" s="239"/>
      <c r="F1459" s="283"/>
      <c r="G1459" s="239"/>
      <c r="H1459" s="239"/>
      <c r="I1459" s="239"/>
      <c r="J1459" s="239"/>
      <c r="K1459" s="239"/>
      <c r="L1459" s="239"/>
      <c r="M1459" s="239"/>
      <c r="N1459" s="239"/>
      <c r="O1459" s="239"/>
      <c r="P1459" s="246"/>
      <c r="Q1459" s="239"/>
      <c r="R1459" s="239"/>
      <c r="S1459" s="239"/>
      <c r="T1459" s="239"/>
      <c r="U1459" s="239"/>
      <c r="V1459" s="239"/>
      <c r="W1459" s="246"/>
      <c r="X1459" s="239"/>
      <c r="Y1459" s="239"/>
      <c r="Z1459" s="239"/>
      <c r="AA1459" s="239"/>
      <c r="AB1459" s="239"/>
      <c r="AC1459" s="239"/>
      <c r="AD1459" s="239"/>
      <c r="AE1459" s="239"/>
      <c r="AF1459" s="239"/>
      <c r="AG1459" s="239"/>
      <c r="AH1459" s="239"/>
      <c r="AI1459" s="239"/>
      <c r="AJ1459" s="239"/>
    </row>
    <row r="1460">
      <c r="A1460" s="239"/>
      <c r="B1460" s="239"/>
      <c r="C1460" s="239"/>
      <c r="D1460" s="239"/>
      <c r="E1460" s="239"/>
      <c r="F1460" s="283"/>
      <c r="G1460" s="239"/>
      <c r="H1460" s="239"/>
      <c r="I1460" s="239"/>
      <c r="J1460" s="239"/>
      <c r="K1460" s="239"/>
      <c r="L1460" s="239"/>
      <c r="M1460" s="239"/>
      <c r="N1460" s="239"/>
      <c r="O1460" s="239"/>
      <c r="P1460" s="246"/>
      <c r="Q1460" s="239"/>
      <c r="R1460" s="239"/>
      <c r="S1460" s="239"/>
      <c r="T1460" s="239"/>
      <c r="U1460" s="239"/>
      <c r="V1460" s="239"/>
      <c r="W1460" s="246"/>
      <c r="X1460" s="239"/>
      <c r="Y1460" s="239"/>
      <c r="Z1460" s="239"/>
      <c r="AA1460" s="239"/>
      <c r="AB1460" s="239"/>
      <c r="AC1460" s="239"/>
      <c r="AD1460" s="239"/>
      <c r="AE1460" s="239"/>
      <c r="AF1460" s="239"/>
      <c r="AG1460" s="239"/>
      <c r="AH1460" s="239"/>
      <c r="AI1460" s="239"/>
      <c r="AJ1460" s="239"/>
    </row>
    <row r="1461">
      <c r="A1461" s="239"/>
      <c r="B1461" s="239"/>
      <c r="C1461" s="239"/>
      <c r="D1461" s="239"/>
      <c r="E1461" s="239"/>
      <c r="F1461" s="283"/>
      <c r="G1461" s="239"/>
      <c r="H1461" s="239"/>
      <c r="I1461" s="239"/>
      <c r="J1461" s="239"/>
      <c r="K1461" s="239"/>
      <c r="L1461" s="239"/>
      <c r="M1461" s="239"/>
      <c r="N1461" s="239"/>
      <c r="O1461" s="239"/>
      <c r="P1461" s="246"/>
      <c r="Q1461" s="239"/>
      <c r="R1461" s="239"/>
      <c r="S1461" s="239"/>
      <c r="T1461" s="239"/>
      <c r="U1461" s="239"/>
      <c r="V1461" s="239"/>
      <c r="W1461" s="246"/>
      <c r="X1461" s="239"/>
      <c r="Y1461" s="239"/>
      <c r="Z1461" s="239"/>
      <c r="AA1461" s="239"/>
      <c r="AB1461" s="239"/>
      <c r="AC1461" s="239"/>
      <c r="AD1461" s="239"/>
      <c r="AE1461" s="239"/>
      <c r="AF1461" s="239"/>
      <c r="AG1461" s="239"/>
      <c r="AH1461" s="239"/>
      <c r="AI1461" s="239"/>
      <c r="AJ1461" s="239"/>
    </row>
    <row r="1462">
      <c r="A1462" s="239"/>
      <c r="B1462" s="239"/>
      <c r="C1462" s="239"/>
      <c r="D1462" s="239"/>
      <c r="E1462" s="239"/>
      <c r="F1462" s="283"/>
      <c r="G1462" s="239"/>
      <c r="H1462" s="239"/>
      <c r="I1462" s="239"/>
      <c r="J1462" s="239"/>
      <c r="K1462" s="239"/>
      <c r="L1462" s="239"/>
      <c r="M1462" s="239"/>
      <c r="N1462" s="239"/>
      <c r="O1462" s="239"/>
      <c r="P1462" s="246"/>
      <c r="Q1462" s="239"/>
      <c r="R1462" s="239"/>
      <c r="S1462" s="239"/>
      <c r="T1462" s="239"/>
      <c r="U1462" s="239"/>
      <c r="V1462" s="239"/>
      <c r="W1462" s="246"/>
      <c r="X1462" s="239"/>
      <c r="Y1462" s="239"/>
      <c r="Z1462" s="239"/>
      <c r="AA1462" s="239"/>
      <c r="AB1462" s="239"/>
      <c r="AC1462" s="239"/>
      <c r="AD1462" s="239"/>
      <c r="AE1462" s="239"/>
      <c r="AF1462" s="239"/>
      <c r="AG1462" s="239"/>
      <c r="AH1462" s="239"/>
      <c r="AI1462" s="239"/>
      <c r="AJ1462" s="239"/>
    </row>
    <row r="1463">
      <c r="A1463" s="239"/>
      <c r="B1463" s="239"/>
      <c r="C1463" s="239"/>
      <c r="D1463" s="239"/>
      <c r="E1463" s="239"/>
      <c r="F1463" s="283"/>
      <c r="G1463" s="239"/>
      <c r="H1463" s="239"/>
      <c r="I1463" s="239"/>
      <c r="J1463" s="239"/>
      <c r="K1463" s="239"/>
      <c r="L1463" s="239"/>
      <c r="M1463" s="239"/>
      <c r="N1463" s="239"/>
      <c r="O1463" s="239"/>
      <c r="P1463" s="246"/>
      <c r="Q1463" s="239"/>
      <c r="R1463" s="239"/>
      <c r="S1463" s="239"/>
      <c r="T1463" s="239"/>
      <c r="U1463" s="239"/>
      <c r="V1463" s="239"/>
      <c r="W1463" s="246"/>
      <c r="X1463" s="239"/>
      <c r="Y1463" s="239"/>
      <c r="Z1463" s="239"/>
      <c r="AA1463" s="239"/>
      <c r="AB1463" s="239"/>
      <c r="AC1463" s="239"/>
      <c r="AD1463" s="239"/>
      <c r="AE1463" s="239"/>
      <c r="AF1463" s="239"/>
      <c r="AG1463" s="239"/>
      <c r="AH1463" s="239"/>
      <c r="AI1463" s="239"/>
      <c r="AJ1463" s="239"/>
    </row>
    <row r="1464">
      <c r="A1464" s="239"/>
      <c r="B1464" s="239"/>
      <c r="C1464" s="239"/>
      <c r="D1464" s="239"/>
      <c r="E1464" s="239"/>
      <c r="F1464" s="283"/>
      <c r="G1464" s="239"/>
      <c r="H1464" s="239"/>
      <c r="I1464" s="239"/>
      <c r="J1464" s="239"/>
      <c r="K1464" s="239"/>
      <c r="L1464" s="239"/>
      <c r="M1464" s="239"/>
      <c r="N1464" s="239"/>
      <c r="O1464" s="239"/>
      <c r="P1464" s="246"/>
      <c r="Q1464" s="239"/>
      <c r="R1464" s="239"/>
      <c r="S1464" s="239"/>
      <c r="T1464" s="239"/>
      <c r="U1464" s="239"/>
      <c r="V1464" s="239"/>
      <c r="W1464" s="246"/>
      <c r="X1464" s="239"/>
      <c r="Y1464" s="239"/>
      <c r="Z1464" s="239"/>
      <c r="AA1464" s="239"/>
      <c r="AB1464" s="239"/>
      <c r="AC1464" s="239"/>
      <c r="AD1464" s="239"/>
      <c r="AE1464" s="239"/>
      <c r="AF1464" s="239"/>
      <c r="AG1464" s="239"/>
      <c r="AH1464" s="239"/>
      <c r="AI1464" s="239"/>
      <c r="AJ1464" s="239"/>
    </row>
    <row r="1465">
      <c r="A1465" s="239"/>
      <c r="B1465" s="239"/>
      <c r="C1465" s="239"/>
      <c r="D1465" s="239"/>
      <c r="E1465" s="239"/>
      <c r="F1465" s="283"/>
      <c r="G1465" s="239"/>
      <c r="H1465" s="239"/>
      <c r="I1465" s="239"/>
      <c r="J1465" s="239"/>
      <c r="K1465" s="239"/>
      <c r="L1465" s="239"/>
      <c r="M1465" s="239"/>
      <c r="N1465" s="239"/>
      <c r="O1465" s="239"/>
      <c r="P1465" s="246"/>
      <c r="Q1465" s="239"/>
      <c r="R1465" s="239"/>
      <c r="S1465" s="239"/>
      <c r="T1465" s="239"/>
      <c r="U1465" s="239"/>
      <c r="V1465" s="239"/>
      <c r="W1465" s="246"/>
      <c r="X1465" s="239"/>
      <c r="Y1465" s="239"/>
      <c r="Z1465" s="239"/>
      <c r="AA1465" s="239"/>
      <c r="AB1465" s="239"/>
      <c r="AC1465" s="239"/>
      <c r="AD1465" s="239"/>
      <c r="AE1465" s="239"/>
      <c r="AF1465" s="239"/>
      <c r="AG1465" s="239"/>
      <c r="AH1465" s="239"/>
      <c r="AI1465" s="239"/>
      <c r="AJ1465" s="239"/>
    </row>
    <row r="1466">
      <c r="A1466" s="239"/>
      <c r="B1466" s="239"/>
      <c r="C1466" s="239"/>
      <c r="D1466" s="239"/>
      <c r="E1466" s="239"/>
      <c r="F1466" s="283"/>
      <c r="G1466" s="239"/>
      <c r="H1466" s="239"/>
      <c r="I1466" s="239"/>
      <c r="J1466" s="239"/>
      <c r="K1466" s="239"/>
      <c r="L1466" s="239"/>
      <c r="M1466" s="239"/>
      <c r="N1466" s="239"/>
      <c r="O1466" s="239"/>
      <c r="P1466" s="246"/>
      <c r="Q1466" s="239"/>
      <c r="R1466" s="239"/>
      <c r="S1466" s="239"/>
      <c r="T1466" s="239"/>
      <c r="U1466" s="239"/>
      <c r="V1466" s="239"/>
      <c r="W1466" s="246"/>
      <c r="X1466" s="239"/>
      <c r="Y1466" s="239"/>
      <c r="Z1466" s="239"/>
      <c r="AA1466" s="239"/>
      <c r="AB1466" s="239"/>
      <c r="AC1466" s="239"/>
      <c r="AD1466" s="239"/>
      <c r="AE1466" s="239"/>
      <c r="AF1466" s="239"/>
      <c r="AG1466" s="239"/>
      <c r="AH1466" s="239"/>
      <c r="AI1466" s="239"/>
      <c r="AJ1466" s="239"/>
    </row>
    <row r="1467">
      <c r="A1467" s="239"/>
      <c r="B1467" s="239"/>
      <c r="C1467" s="239"/>
      <c r="D1467" s="239"/>
      <c r="E1467" s="239"/>
      <c r="F1467" s="283"/>
      <c r="G1467" s="239"/>
      <c r="H1467" s="239"/>
      <c r="I1467" s="239"/>
      <c r="J1467" s="239"/>
      <c r="K1467" s="239"/>
      <c r="L1467" s="239"/>
      <c r="M1467" s="239"/>
      <c r="N1467" s="239"/>
      <c r="O1467" s="239"/>
      <c r="P1467" s="246"/>
      <c r="Q1467" s="239"/>
      <c r="R1467" s="239"/>
      <c r="S1467" s="239"/>
      <c r="T1467" s="239"/>
      <c r="U1467" s="239"/>
      <c r="V1467" s="239"/>
      <c r="W1467" s="246"/>
      <c r="X1467" s="239"/>
      <c r="Y1467" s="239"/>
      <c r="Z1467" s="239"/>
      <c r="AA1467" s="239"/>
      <c r="AB1467" s="239"/>
      <c r="AC1467" s="239"/>
      <c r="AD1467" s="239"/>
      <c r="AE1467" s="239"/>
      <c r="AF1467" s="239"/>
      <c r="AG1467" s="239"/>
      <c r="AH1467" s="239"/>
      <c r="AI1467" s="239"/>
      <c r="AJ1467" s="239"/>
    </row>
    <row r="1468">
      <c r="A1468" s="239"/>
      <c r="B1468" s="239"/>
      <c r="C1468" s="239"/>
      <c r="D1468" s="239"/>
      <c r="E1468" s="239"/>
      <c r="F1468" s="283"/>
      <c r="G1468" s="239"/>
      <c r="H1468" s="239"/>
      <c r="I1468" s="239"/>
      <c r="J1468" s="239"/>
      <c r="K1468" s="239"/>
      <c r="L1468" s="239"/>
      <c r="M1468" s="239"/>
      <c r="N1468" s="239"/>
      <c r="O1468" s="239"/>
      <c r="P1468" s="246"/>
      <c r="Q1468" s="239"/>
      <c r="R1468" s="239"/>
      <c r="S1468" s="239"/>
      <c r="T1468" s="239"/>
      <c r="U1468" s="239"/>
      <c r="V1468" s="239"/>
      <c r="W1468" s="246"/>
      <c r="X1468" s="239"/>
      <c r="Y1468" s="239"/>
      <c r="Z1468" s="239"/>
      <c r="AA1468" s="239"/>
      <c r="AB1468" s="239"/>
      <c r="AC1468" s="239"/>
      <c r="AD1468" s="239"/>
      <c r="AE1468" s="239"/>
      <c r="AF1468" s="239"/>
      <c r="AG1468" s="239"/>
      <c r="AH1468" s="239"/>
      <c r="AI1468" s="239"/>
      <c r="AJ1468" s="239"/>
    </row>
    <row r="1469">
      <c r="A1469" s="239"/>
      <c r="B1469" s="239"/>
      <c r="C1469" s="239"/>
      <c r="D1469" s="239"/>
      <c r="E1469" s="239"/>
      <c r="F1469" s="283"/>
      <c r="G1469" s="239"/>
      <c r="H1469" s="239"/>
      <c r="I1469" s="239"/>
      <c r="J1469" s="239"/>
      <c r="K1469" s="239"/>
      <c r="L1469" s="239"/>
      <c r="M1469" s="239"/>
      <c r="N1469" s="239"/>
      <c r="O1469" s="239"/>
      <c r="P1469" s="246"/>
      <c r="Q1469" s="239"/>
      <c r="R1469" s="239"/>
      <c r="S1469" s="239"/>
      <c r="T1469" s="239"/>
      <c r="U1469" s="239"/>
      <c r="V1469" s="239"/>
      <c r="W1469" s="246"/>
      <c r="X1469" s="239"/>
      <c r="Y1469" s="239"/>
      <c r="Z1469" s="239"/>
      <c r="AA1469" s="239"/>
      <c r="AB1469" s="239"/>
      <c r="AC1469" s="239"/>
      <c r="AD1469" s="239"/>
      <c r="AE1469" s="239"/>
      <c r="AF1469" s="239"/>
      <c r="AG1469" s="239"/>
      <c r="AH1469" s="239"/>
      <c r="AI1469" s="239"/>
      <c r="AJ1469" s="239"/>
    </row>
    <row r="1470">
      <c r="A1470" s="239"/>
      <c r="B1470" s="239"/>
      <c r="C1470" s="239"/>
      <c r="D1470" s="239"/>
      <c r="E1470" s="239"/>
      <c r="F1470" s="283"/>
      <c r="G1470" s="239"/>
      <c r="H1470" s="239"/>
      <c r="I1470" s="239"/>
      <c r="J1470" s="239"/>
      <c r="K1470" s="239"/>
      <c r="L1470" s="239"/>
      <c r="M1470" s="239"/>
      <c r="N1470" s="239"/>
      <c r="O1470" s="239"/>
      <c r="P1470" s="246"/>
      <c r="Q1470" s="239"/>
      <c r="R1470" s="239"/>
      <c r="S1470" s="239"/>
      <c r="T1470" s="239"/>
      <c r="U1470" s="239"/>
      <c r="V1470" s="239"/>
      <c r="W1470" s="246"/>
      <c r="X1470" s="239"/>
      <c r="Y1470" s="239"/>
      <c r="Z1470" s="239"/>
      <c r="AA1470" s="239"/>
      <c r="AB1470" s="239"/>
      <c r="AC1470" s="239"/>
      <c r="AD1470" s="239"/>
      <c r="AE1470" s="239"/>
      <c r="AF1470" s="239"/>
      <c r="AG1470" s="239"/>
      <c r="AH1470" s="239"/>
      <c r="AI1470" s="239"/>
      <c r="AJ1470" s="239"/>
    </row>
    <row r="1471">
      <c r="A1471" s="239"/>
      <c r="B1471" s="239"/>
      <c r="C1471" s="239"/>
      <c r="D1471" s="239"/>
      <c r="E1471" s="239"/>
      <c r="F1471" s="283"/>
      <c r="G1471" s="239"/>
      <c r="H1471" s="239"/>
      <c r="I1471" s="239"/>
      <c r="J1471" s="239"/>
      <c r="K1471" s="239"/>
      <c r="L1471" s="239"/>
      <c r="M1471" s="239"/>
      <c r="N1471" s="239"/>
      <c r="O1471" s="239"/>
      <c r="P1471" s="246"/>
      <c r="Q1471" s="239"/>
      <c r="R1471" s="239"/>
      <c r="S1471" s="239"/>
      <c r="T1471" s="239"/>
      <c r="U1471" s="239"/>
      <c r="V1471" s="239"/>
      <c r="W1471" s="246"/>
      <c r="X1471" s="239"/>
      <c r="Y1471" s="239"/>
      <c r="Z1471" s="239"/>
      <c r="AA1471" s="239"/>
      <c r="AB1471" s="239"/>
      <c r="AC1471" s="239"/>
      <c r="AD1471" s="239"/>
      <c r="AE1471" s="239"/>
      <c r="AF1471" s="239"/>
      <c r="AG1471" s="239"/>
      <c r="AH1471" s="239"/>
      <c r="AI1471" s="239"/>
      <c r="AJ1471" s="239"/>
    </row>
    <row r="1472">
      <c r="A1472" s="239"/>
      <c r="B1472" s="239"/>
      <c r="C1472" s="239"/>
      <c r="D1472" s="239"/>
      <c r="E1472" s="239"/>
      <c r="F1472" s="283"/>
      <c r="G1472" s="239"/>
      <c r="H1472" s="239"/>
      <c r="I1472" s="239"/>
      <c r="J1472" s="239"/>
      <c r="K1472" s="239"/>
      <c r="L1472" s="239"/>
      <c r="M1472" s="239"/>
      <c r="N1472" s="239"/>
      <c r="O1472" s="239"/>
      <c r="P1472" s="246"/>
      <c r="Q1472" s="239"/>
      <c r="R1472" s="239"/>
      <c r="S1472" s="239"/>
      <c r="T1472" s="239"/>
      <c r="U1472" s="239"/>
      <c r="V1472" s="239"/>
      <c r="W1472" s="246"/>
      <c r="X1472" s="239"/>
      <c r="Y1472" s="239"/>
      <c r="Z1472" s="239"/>
      <c r="AA1472" s="239"/>
      <c r="AB1472" s="239"/>
      <c r="AC1472" s="239"/>
      <c r="AD1472" s="239"/>
      <c r="AE1472" s="239"/>
      <c r="AF1472" s="239"/>
      <c r="AG1472" s="239"/>
      <c r="AH1472" s="239"/>
      <c r="AI1472" s="239"/>
      <c r="AJ1472" s="239"/>
    </row>
    <row r="1473">
      <c r="A1473" s="239"/>
      <c r="B1473" s="239"/>
      <c r="C1473" s="239"/>
      <c r="D1473" s="239"/>
      <c r="E1473" s="239"/>
      <c r="F1473" s="283"/>
      <c r="G1473" s="239"/>
      <c r="H1473" s="239"/>
      <c r="I1473" s="239"/>
      <c r="J1473" s="239"/>
      <c r="K1473" s="239"/>
      <c r="L1473" s="239"/>
      <c r="M1473" s="239"/>
      <c r="N1473" s="239"/>
      <c r="O1473" s="239"/>
      <c r="P1473" s="246"/>
      <c r="Q1473" s="239"/>
      <c r="R1473" s="239"/>
      <c r="S1473" s="239"/>
      <c r="T1473" s="239"/>
      <c r="U1473" s="239"/>
      <c r="V1473" s="239"/>
      <c r="W1473" s="246"/>
      <c r="X1473" s="239"/>
      <c r="Y1473" s="239"/>
      <c r="Z1473" s="239"/>
      <c r="AA1473" s="239"/>
      <c r="AB1473" s="239"/>
      <c r="AC1473" s="239"/>
      <c r="AD1473" s="239"/>
      <c r="AE1473" s="239"/>
      <c r="AF1473" s="239"/>
      <c r="AG1473" s="239"/>
      <c r="AH1473" s="239"/>
      <c r="AI1473" s="239"/>
      <c r="AJ1473" s="239"/>
    </row>
    <row r="1474">
      <c r="A1474" s="239"/>
      <c r="B1474" s="239"/>
      <c r="C1474" s="239"/>
      <c r="D1474" s="239"/>
      <c r="E1474" s="239"/>
      <c r="F1474" s="283"/>
      <c r="G1474" s="239"/>
      <c r="H1474" s="239"/>
      <c r="I1474" s="239"/>
      <c r="J1474" s="239"/>
      <c r="K1474" s="239"/>
      <c r="L1474" s="239"/>
      <c r="M1474" s="239"/>
      <c r="N1474" s="239"/>
      <c r="O1474" s="239"/>
      <c r="P1474" s="246"/>
      <c r="Q1474" s="239"/>
      <c r="R1474" s="239"/>
      <c r="S1474" s="239"/>
      <c r="T1474" s="239"/>
      <c r="U1474" s="239"/>
      <c r="V1474" s="239"/>
      <c r="W1474" s="246"/>
      <c r="X1474" s="239"/>
      <c r="Y1474" s="239"/>
      <c r="Z1474" s="239"/>
      <c r="AA1474" s="239"/>
      <c r="AB1474" s="239"/>
      <c r="AC1474" s="239"/>
      <c r="AD1474" s="239"/>
      <c r="AE1474" s="239"/>
      <c r="AF1474" s="239"/>
      <c r="AG1474" s="239"/>
      <c r="AH1474" s="239"/>
      <c r="AI1474" s="239"/>
      <c r="AJ1474" s="239"/>
    </row>
    <row r="1475">
      <c r="A1475" s="239"/>
      <c r="B1475" s="239"/>
      <c r="C1475" s="239"/>
      <c r="D1475" s="239"/>
      <c r="E1475" s="239"/>
      <c r="F1475" s="283"/>
      <c r="G1475" s="239"/>
      <c r="H1475" s="239"/>
      <c r="I1475" s="239"/>
      <c r="J1475" s="239"/>
      <c r="K1475" s="239"/>
      <c r="L1475" s="239"/>
      <c r="M1475" s="239"/>
      <c r="N1475" s="239"/>
      <c r="O1475" s="239"/>
      <c r="P1475" s="246"/>
      <c r="Q1475" s="239"/>
      <c r="R1475" s="239"/>
      <c r="S1475" s="239"/>
      <c r="T1475" s="239"/>
      <c r="U1475" s="239"/>
      <c r="V1475" s="239"/>
      <c r="W1475" s="246"/>
      <c r="X1475" s="239"/>
      <c r="Y1475" s="239"/>
      <c r="Z1475" s="239"/>
      <c r="AA1475" s="239"/>
      <c r="AB1475" s="239"/>
      <c r="AC1475" s="239"/>
      <c r="AD1475" s="239"/>
      <c r="AE1475" s="239"/>
      <c r="AF1475" s="239"/>
      <c r="AG1475" s="239"/>
      <c r="AH1475" s="239"/>
      <c r="AI1475" s="239"/>
      <c r="AJ1475" s="239"/>
    </row>
    <row r="1476">
      <c r="A1476" s="239"/>
      <c r="B1476" s="239"/>
      <c r="C1476" s="239"/>
      <c r="D1476" s="239"/>
      <c r="E1476" s="239"/>
      <c r="F1476" s="283"/>
      <c r="G1476" s="239"/>
      <c r="H1476" s="239"/>
      <c r="I1476" s="239"/>
      <c r="J1476" s="239"/>
      <c r="K1476" s="239"/>
      <c r="L1476" s="239"/>
      <c r="M1476" s="239"/>
      <c r="N1476" s="239"/>
      <c r="O1476" s="239"/>
      <c r="P1476" s="246"/>
      <c r="Q1476" s="239"/>
      <c r="R1476" s="239"/>
      <c r="S1476" s="239"/>
      <c r="T1476" s="239"/>
      <c r="U1476" s="239"/>
      <c r="V1476" s="239"/>
      <c r="W1476" s="246"/>
      <c r="X1476" s="239"/>
      <c r="Y1476" s="239"/>
      <c r="Z1476" s="239"/>
      <c r="AA1476" s="239"/>
      <c r="AB1476" s="239"/>
      <c r="AC1476" s="239"/>
      <c r="AD1476" s="239"/>
      <c r="AE1476" s="239"/>
      <c r="AF1476" s="239"/>
      <c r="AG1476" s="239"/>
      <c r="AH1476" s="239"/>
      <c r="AI1476" s="239"/>
      <c r="AJ1476" s="239"/>
    </row>
    <row r="1477">
      <c r="A1477" s="239"/>
      <c r="B1477" s="239"/>
      <c r="C1477" s="239"/>
      <c r="D1477" s="239"/>
      <c r="E1477" s="239"/>
      <c r="F1477" s="283"/>
      <c r="G1477" s="239"/>
      <c r="H1477" s="239"/>
      <c r="I1477" s="239"/>
      <c r="J1477" s="239"/>
      <c r="K1477" s="239"/>
      <c r="L1477" s="239"/>
      <c r="M1477" s="239"/>
      <c r="N1477" s="239"/>
      <c r="O1477" s="239"/>
      <c r="P1477" s="246"/>
      <c r="Q1477" s="239"/>
      <c r="R1477" s="239"/>
      <c r="S1477" s="239"/>
      <c r="T1477" s="239"/>
      <c r="U1477" s="239"/>
      <c r="V1477" s="239"/>
      <c r="W1477" s="246"/>
      <c r="X1477" s="239"/>
      <c r="Y1477" s="239"/>
      <c r="Z1477" s="239"/>
      <c r="AA1477" s="239"/>
      <c r="AB1477" s="239"/>
      <c r="AC1477" s="239"/>
      <c r="AD1477" s="239"/>
      <c r="AE1477" s="239"/>
      <c r="AF1477" s="239"/>
      <c r="AG1477" s="239"/>
      <c r="AH1477" s="239"/>
      <c r="AI1477" s="239"/>
      <c r="AJ1477" s="239"/>
    </row>
    <row r="1478">
      <c r="A1478" s="239"/>
      <c r="B1478" s="239"/>
      <c r="C1478" s="239"/>
      <c r="D1478" s="239"/>
      <c r="E1478" s="239"/>
      <c r="F1478" s="283"/>
      <c r="G1478" s="239"/>
      <c r="H1478" s="239"/>
      <c r="I1478" s="239"/>
      <c r="J1478" s="239"/>
      <c r="K1478" s="239"/>
      <c r="L1478" s="239"/>
      <c r="M1478" s="239"/>
      <c r="N1478" s="239"/>
      <c r="O1478" s="239"/>
      <c r="P1478" s="246"/>
      <c r="Q1478" s="239"/>
      <c r="R1478" s="239"/>
      <c r="S1478" s="239"/>
      <c r="T1478" s="239"/>
      <c r="U1478" s="239"/>
      <c r="V1478" s="239"/>
      <c r="W1478" s="246"/>
      <c r="X1478" s="239"/>
      <c r="Y1478" s="239"/>
      <c r="Z1478" s="239"/>
      <c r="AA1478" s="239"/>
      <c r="AB1478" s="239"/>
      <c r="AC1478" s="239"/>
      <c r="AD1478" s="239"/>
      <c r="AE1478" s="239"/>
      <c r="AF1478" s="239"/>
      <c r="AG1478" s="239"/>
      <c r="AH1478" s="239"/>
      <c r="AI1478" s="239"/>
      <c r="AJ1478" s="239"/>
    </row>
    <row r="1479">
      <c r="A1479" s="239"/>
      <c r="B1479" s="239"/>
      <c r="C1479" s="239"/>
      <c r="D1479" s="239"/>
      <c r="E1479" s="239"/>
      <c r="F1479" s="283"/>
      <c r="G1479" s="239"/>
      <c r="H1479" s="239"/>
      <c r="I1479" s="239"/>
      <c r="J1479" s="239"/>
      <c r="K1479" s="239"/>
      <c r="L1479" s="239"/>
      <c r="M1479" s="239"/>
      <c r="N1479" s="239"/>
      <c r="O1479" s="239"/>
      <c r="P1479" s="246"/>
      <c r="Q1479" s="239"/>
      <c r="R1479" s="239"/>
      <c r="S1479" s="239"/>
      <c r="T1479" s="239"/>
      <c r="U1479" s="239"/>
      <c r="V1479" s="239"/>
      <c r="W1479" s="246"/>
      <c r="X1479" s="239"/>
      <c r="Y1479" s="239"/>
      <c r="Z1479" s="239"/>
      <c r="AA1479" s="239"/>
      <c r="AB1479" s="239"/>
      <c r="AC1479" s="239"/>
      <c r="AD1479" s="239"/>
      <c r="AE1479" s="239"/>
      <c r="AF1479" s="239"/>
      <c r="AG1479" s="239"/>
      <c r="AH1479" s="239"/>
      <c r="AI1479" s="239"/>
      <c r="AJ1479" s="239"/>
    </row>
    <row r="1480">
      <c r="A1480" s="239"/>
      <c r="B1480" s="239"/>
      <c r="C1480" s="239"/>
      <c r="D1480" s="239"/>
      <c r="E1480" s="239"/>
      <c r="F1480" s="283"/>
      <c r="G1480" s="239"/>
      <c r="H1480" s="239"/>
      <c r="I1480" s="239"/>
      <c r="J1480" s="239"/>
      <c r="K1480" s="239"/>
      <c r="L1480" s="239"/>
      <c r="M1480" s="239"/>
      <c r="N1480" s="239"/>
      <c r="O1480" s="239"/>
      <c r="P1480" s="246"/>
      <c r="Q1480" s="239"/>
      <c r="R1480" s="239"/>
      <c r="S1480" s="239"/>
      <c r="T1480" s="239"/>
      <c r="U1480" s="239"/>
      <c r="V1480" s="239"/>
      <c r="W1480" s="246"/>
      <c r="X1480" s="239"/>
      <c r="Y1480" s="239"/>
      <c r="Z1480" s="239"/>
      <c r="AA1480" s="239"/>
      <c r="AB1480" s="239"/>
      <c r="AC1480" s="239"/>
      <c r="AD1480" s="239"/>
      <c r="AE1480" s="239"/>
      <c r="AF1480" s="239"/>
      <c r="AG1480" s="239"/>
      <c r="AH1480" s="239"/>
      <c r="AI1480" s="239"/>
      <c r="AJ1480" s="239"/>
    </row>
    <row r="1481">
      <c r="A1481" s="239"/>
      <c r="B1481" s="239"/>
      <c r="C1481" s="239"/>
      <c r="D1481" s="239"/>
      <c r="E1481" s="239"/>
      <c r="F1481" s="283"/>
      <c r="G1481" s="239"/>
      <c r="H1481" s="239"/>
      <c r="I1481" s="239"/>
      <c r="J1481" s="239"/>
      <c r="K1481" s="239"/>
      <c r="L1481" s="239"/>
      <c r="M1481" s="239"/>
      <c r="N1481" s="239"/>
      <c r="O1481" s="239"/>
      <c r="P1481" s="246"/>
      <c r="Q1481" s="239"/>
      <c r="R1481" s="239"/>
      <c r="S1481" s="239"/>
      <c r="T1481" s="239"/>
      <c r="U1481" s="239"/>
      <c r="V1481" s="239"/>
      <c r="W1481" s="246"/>
      <c r="X1481" s="239"/>
      <c r="Y1481" s="239"/>
      <c r="Z1481" s="239"/>
      <c r="AA1481" s="239"/>
      <c r="AB1481" s="239"/>
      <c r="AC1481" s="239"/>
      <c r="AD1481" s="239"/>
      <c r="AE1481" s="239"/>
      <c r="AF1481" s="239"/>
      <c r="AG1481" s="239"/>
      <c r="AH1481" s="239"/>
      <c r="AI1481" s="239"/>
      <c r="AJ1481" s="239"/>
    </row>
    <row r="1482">
      <c r="A1482" s="239"/>
      <c r="B1482" s="239"/>
      <c r="C1482" s="239"/>
      <c r="D1482" s="239"/>
      <c r="E1482" s="239"/>
      <c r="F1482" s="283"/>
      <c r="G1482" s="239"/>
      <c r="H1482" s="239"/>
      <c r="I1482" s="239"/>
      <c r="J1482" s="239"/>
      <c r="K1482" s="239"/>
      <c r="L1482" s="239"/>
      <c r="M1482" s="239"/>
      <c r="N1482" s="239"/>
      <c r="O1482" s="239"/>
      <c r="P1482" s="246"/>
      <c r="Q1482" s="239"/>
      <c r="R1482" s="239"/>
      <c r="S1482" s="239"/>
      <c r="T1482" s="239"/>
      <c r="U1482" s="239"/>
      <c r="V1482" s="239"/>
      <c r="W1482" s="246"/>
      <c r="X1482" s="239"/>
      <c r="Y1482" s="239"/>
      <c r="Z1482" s="239"/>
      <c r="AA1482" s="239"/>
      <c r="AB1482" s="239"/>
      <c r="AC1482" s="239"/>
      <c r="AD1482" s="239"/>
      <c r="AE1482" s="239"/>
      <c r="AF1482" s="239"/>
      <c r="AG1482" s="239"/>
      <c r="AH1482" s="239"/>
      <c r="AI1482" s="239"/>
      <c r="AJ1482" s="239"/>
    </row>
    <row r="1483">
      <c r="A1483" s="239"/>
      <c r="B1483" s="239"/>
      <c r="C1483" s="239"/>
      <c r="D1483" s="239"/>
      <c r="E1483" s="239"/>
      <c r="F1483" s="283"/>
      <c r="G1483" s="239"/>
      <c r="H1483" s="239"/>
      <c r="I1483" s="239"/>
      <c r="J1483" s="239"/>
      <c r="K1483" s="239"/>
      <c r="L1483" s="239"/>
      <c r="M1483" s="239"/>
      <c r="N1483" s="239"/>
      <c r="O1483" s="239"/>
      <c r="P1483" s="246"/>
      <c r="Q1483" s="239"/>
      <c r="R1483" s="239"/>
      <c r="S1483" s="239"/>
      <c r="T1483" s="239"/>
      <c r="U1483" s="239"/>
      <c r="V1483" s="239"/>
      <c r="W1483" s="246"/>
      <c r="X1483" s="239"/>
      <c r="Y1483" s="239"/>
      <c r="Z1483" s="239"/>
      <c r="AA1483" s="239"/>
      <c r="AB1483" s="239"/>
      <c r="AC1483" s="239"/>
      <c r="AD1483" s="239"/>
      <c r="AE1483" s="239"/>
      <c r="AF1483" s="239"/>
      <c r="AG1483" s="239"/>
      <c r="AH1483" s="239"/>
      <c r="AI1483" s="239"/>
      <c r="AJ1483" s="239"/>
    </row>
    <row r="1484">
      <c r="A1484" s="239"/>
      <c r="B1484" s="239"/>
      <c r="C1484" s="239"/>
      <c r="D1484" s="239"/>
      <c r="E1484" s="239"/>
      <c r="F1484" s="283"/>
      <c r="G1484" s="239"/>
      <c r="H1484" s="239"/>
      <c r="I1484" s="239"/>
      <c r="J1484" s="239"/>
      <c r="K1484" s="239"/>
      <c r="L1484" s="239"/>
      <c r="M1484" s="239"/>
      <c r="N1484" s="239"/>
      <c r="O1484" s="239"/>
      <c r="P1484" s="246"/>
      <c r="Q1484" s="239"/>
      <c r="R1484" s="239"/>
      <c r="S1484" s="239"/>
      <c r="T1484" s="239"/>
      <c r="U1484" s="239"/>
      <c r="V1484" s="239"/>
      <c r="W1484" s="246"/>
      <c r="X1484" s="239"/>
      <c r="Y1484" s="239"/>
      <c r="Z1484" s="239"/>
      <c r="AA1484" s="239"/>
      <c r="AB1484" s="239"/>
      <c r="AC1484" s="239"/>
      <c r="AD1484" s="239"/>
      <c r="AE1484" s="239"/>
      <c r="AF1484" s="239"/>
      <c r="AG1484" s="239"/>
      <c r="AH1484" s="239"/>
      <c r="AI1484" s="239"/>
      <c r="AJ1484" s="239"/>
    </row>
    <row r="1485">
      <c r="A1485" s="239"/>
      <c r="B1485" s="239"/>
      <c r="C1485" s="239"/>
      <c r="D1485" s="239"/>
      <c r="E1485" s="239"/>
      <c r="F1485" s="283"/>
      <c r="G1485" s="239"/>
      <c r="H1485" s="239"/>
      <c r="I1485" s="239"/>
      <c r="J1485" s="239"/>
      <c r="K1485" s="239"/>
      <c r="L1485" s="239"/>
      <c r="M1485" s="239"/>
      <c r="N1485" s="239"/>
      <c r="O1485" s="239"/>
      <c r="P1485" s="246"/>
      <c r="Q1485" s="239"/>
      <c r="R1485" s="239"/>
      <c r="S1485" s="239"/>
      <c r="T1485" s="239"/>
      <c r="U1485" s="239"/>
      <c r="V1485" s="239"/>
      <c r="W1485" s="246"/>
      <c r="X1485" s="239"/>
      <c r="Y1485" s="239"/>
      <c r="Z1485" s="239"/>
      <c r="AA1485" s="239"/>
      <c r="AB1485" s="239"/>
      <c r="AC1485" s="239"/>
      <c r="AD1485" s="239"/>
      <c r="AE1485" s="239"/>
      <c r="AF1485" s="239"/>
      <c r="AG1485" s="239"/>
      <c r="AH1485" s="239"/>
      <c r="AI1485" s="239"/>
      <c r="AJ1485" s="239"/>
    </row>
    <row r="1486">
      <c r="A1486" s="239"/>
      <c r="B1486" s="239"/>
      <c r="C1486" s="239"/>
      <c r="D1486" s="239"/>
      <c r="E1486" s="239"/>
      <c r="F1486" s="283"/>
      <c r="G1486" s="239"/>
      <c r="H1486" s="239"/>
      <c r="I1486" s="239"/>
      <c r="J1486" s="239"/>
      <c r="K1486" s="239"/>
      <c r="L1486" s="239"/>
      <c r="M1486" s="239"/>
      <c r="N1486" s="239"/>
      <c r="O1486" s="239"/>
      <c r="P1486" s="246"/>
      <c r="Q1486" s="239"/>
      <c r="R1486" s="239"/>
      <c r="S1486" s="239"/>
      <c r="T1486" s="239"/>
      <c r="U1486" s="239"/>
      <c r="V1486" s="239"/>
      <c r="W1486" s="246"/>
      <c r="X1486" s="239"/>
      <c r="Y1486" s="239"/>
      <c r="Z1486" s="239"/>
      <c r="AA1486" s="239"/>
      <c r="AB1486" s="239"/>
      <c r="AC1486" s="239"/>
      <c r="AD1486" s="239"/>
      <c r="AE1486" s="239"/>
      <c r="AF1486" s="239"/>
      <c r="AG1486" s="239"/>
      <c r="AH1486" s="239"/>
      <c r="AI1486" s="239"/>
      <c r="AJ1486" s="239"/>
    </row>
    <row r="1487">
      <c r="A1487" s="239"/>
      <c r="B1487" s="239"/>
      <c r="C1487" s="239"/>
      <c r="D1487" s="239"/>
      <c r="E1487" s="239"/>
      <c r="F1487" s="283"/>
      <c r="G1487" s="239"/>
      <c r="H1487" s="239"/>
      <c r="I1487" s="239"/>
      <c r="J1487" s="239"/>
      <c r="K1487" s="239"/>
      <c r="L1487" s="239"/>
      <c r="M1487" s="239"/>
      <c r="N1487" s="239"/>
      <c r="O1487" s="239"/>
      <c r="P1487" s="246"/>
      <c r="Q1487" s="239"/>
      <c r="R1487" s="239"/>
      <c r="S1487" s="239"/>
      <c r="T1487" s="239"/>
      <c r="U1487" s="239"/>
      <c r="V1487" s="239"/>
      <c r="W1487" s="246"/>
      <c r="X1487" s="239"/>
      <c r="Y1487" s="239"/>
      <c r="Z1487" s="239"/>
      <c r="AA1487" s="239"/>
      <c r="AB1487" s="239"/>
      <c r="AC1487" s="239"/>
      <c r="AD1487" s="239"/>
      <c r="AE1487" s="239"/>
      <c r="AF1487" s="239"/>
      <c r="AG1487" s="239"/>
      <c r="AH1487" s="239"/>
      <c r="AI1487" s="239"/>
      <c r="AJ1487" s="239"/>
    </row>
    <row r="1488">
      <c r="A1488" s="239"/>
      <c r="B1488" s="239"/>
      <c r="C1488" s="239"/>
      <c r="D1488" s="239"/>
      <c r="E1488" s="239"/>
      <c r="F1488" s="283"/>
      <c r="G1488" s="239"/>
      <c r="H1488" s="239"/>
      <c r="I1488" s="239"/>
      <c r="J1488" s="239"/>
      <c r="K1488" s="239"/>
      <c r="L1488" s="239"/>
      <c r="M1488" s="239"/>
      <c r="N1488" s="239"/>
      <c r="O1488" s="239"/>
      <c r="P1488" s="246"/>
      <c r="Q1488" s="239"/>
      <c r="R1488" s="239"/>
      <c r="S1488" s="239"/>
      <c r="T1488" s="239"/>
      <c r="U1488" s="239"/>
      <c r="V1488" s="239"/>
      <c r="W1488" s="246"/>
      <c r="X1488" s="239"/>
      <c r="Y1488" s="239"/>
      <c r="Z1488" s="239"/>
      <c r="AA1488" s="239"/>
      <c r="AB1488" s="239"/>
      <c r="AC1488" s="239"/>
      <c r="AD1488" s="239"/>
      <c r="AE1488" s="239"/>
      <c r="AF1488" s="239"/>
      <c r="AG1488" s="239"/>
      <c r="AH1488" s="239"/>
      <c r="AI1488" s="239"/>
      <c r="AJ1488" s="239"/>
    </row>
    <row r="1489">
      <c r="A1489" s="239"/>
      <c r="B1489" s="239"/>
      <c r="C1489" s="239"/>
      <c r="D1489" s="239"/>
      <c r="E1489" s="239"/>
      <c r="F1489" s="283"/>
      <c r="G1489" s="239"/>
      <c r="H1489" s="239"/>
      <c r="I1489" s="239"/>
      <c r="J1489" s="239"/>
      <c r="K1489" s="239"/>
      <c r="L1489" s="239"/>
      <c r="M1489" s="239"/>
      <c r="N1489" s="239"/>
      <c r="O1489" s="239"/>
      <c r="P1489" s="246"/>
      <c r="Q1489" s="239"/>
      <c r="R1489" s="239"/>
      <c r="S1489" s="239"/>
      <c r="T1489" s="239"/>
      <c r="U1489" s="239"/>
      <c r="V1489" s="239"/>
      <c r="W1489" s="246"/>
      <c r="X1489" s="239"/>
      <c r="Y1489" s="239"/>
      <c r="Z1489" s="239"/>
      <c r="AA1489" s="239"/>
      <c r="AB1489" s="239"/>
      <c r="AC1489" s="239"/>
      <c r="AD1489" s="239"/>
      <c r="AE1489" s="239"/>
      <c r="AF1489" s="239"/>
      <c r="AG1489" s="239"/>
      <c r="AH1489" s="239"/>
      <c r="AI1489" s="239"/>
      <c r="AJ1489" s="239"/>
    </row>
    <row r="1490">
      <c r="A1490" s="239"/>
      <c r="B1490" s="239"/>
      <c r="C1490" s="239"/>
      <c r="D1490" s="239"/>
      <c r="E1490" s="239"/>
      <c r="F1490" s="283"/>
      <c r="G1490" s="239"/>
      <c r="H1490" s="239"/>
      <c r="I1490" s="239"/>
      <c r="J1490" s="239"/>
      <c r="K1490" s="239"/>
      <c r="L1490" s="239"/>
      <c r="M1490" s="239"/>
      <c r="N1490" s="239"/>
      <c r="O1490" s="239"/>
      <c r="P1490" s="246"/>
      <c r="Q1490" s="239"/>
      <c r="R1490" s="239"/>
      <c r="S1490" s="239"/>
      <c r="T1490" s="239"/>
      <c r="U1490" s="239"/>
      <c r="V1490" s="239"/>
      <c r="W1490" s="246"/>
      <c r="X1490" s="239"/>
      <c r="Y1490" s="239"/>
      <c r="Z1490" s="239"/>
      <c r="AA1490" s="239"/>
      <c r="AB1490" s="239"/>
      <c r="AC1490" s="239"/>
      <c r="AD1490" s="239"/>
      <c r="AE1490" s="239"/>
      <c r="AF1490" s="239"/>
      <c r="AG1490" s="239"/>
      <c r="AH1490" s="239"/>
      <c r="AI1490" s="239"/>
      <c r="AJ1490" s="239"/>
    </row>
    <row r="1491">
      <c r="A1491" s="239"/>
      <c r="B1491" s="239"/>
      <c r="C1491" s="239"/>
      <c r="D1491" s="239"/>
      <c r="E1491" s="239"/>
      <c r="F1491" s="283"/>
      <c r="G1491" s="239"/>
      <c r="H1491" s="239"/>
      <c r="I1491" s="239"/>
      <c r="J1491" s="239"/>
      <c r="K1491" s="239"/>
      <c r="L1491" s="239"/>
      <c r="M1491" s="239"/>
      <c r="N1491" s="239"/>
      <c r="O1491" s="239"/>
      <c r="P1491" s="246"/>
      <c r="Q1491" s="239"/>
      <c r="R1491" s="239"/>
      <c r="S1491" s="239"/>
      <c r="T1491" s="239"/>
      <c r="U1491" s="239"/>
      <c r="V1491" s="239"/>
      <c r="W1491" s="246"/>
      <c r="X1491" s="239"/>
      <c r="Y1491" s="239"/>
      <c r="Z1491" s="239"/>
      <c r="AA1491" s="239"/>
      <c r="AB1491" s="239"/>
      <c r="AC1491" s="239"/>
      <c r="AD1491" s="239"/>
      <c r="AE1491" s="239"/>
      <c r="AF1491" s="239"/>
      <c r="AG1491" s="239"/>
      <c r="AH1491" s="239"/>
      <c r="AI1491" s="239"/>
      <c r="AJ1491" s="239"/>
    </row>
    <row r="1492">
      <c r="A1492" s="239"/>
      <c r="B1492" s="239"/>
      <c r="C1492" s="239"/>
      <c r="D1492" s="239"/>
      <c r="E1492" s="239"/>
      <c r="F1492" s="283"/>
      <c r="G1492" s="239"/>
      <c r="H1492" s="239"/>
      <c r="I1492" s="239"/>
      <c r="J1492" s="239"/>
      <c r="K1492" s="239"/>
      <c r="L1492" s="239"/>
      <c r="M1492" s="239"/>
      <c r="N1492" s="239"/>
      <c r="O1492" s="239"/>
      <c r="P1492" s="246"/>
      <c r="Q1492" s="239"/>
      <c r="R1492" s="239"/>
      <c r="S1492" s="239"/>
      <c r="T1492" s="239"/>
      <c r="U1492" s="239"/>
      <c r="V1492" s="239"/>
      <c r="W1492" s="246"/>
      <c r="X1492" s="239"/>
      <c r="Y1492" s="239"/>
      <c r="Z1492" s="239"/>
      <c r="AA1492" s="239"/>
      <c r="AB1492" s="239"/>
      <c r="AC1492" s="239"/>
      <c r="AD1492" s="239"/>
      <c r="AE1492" s="239"/>
      <c r="AF1492" s="239"/>
      <c r="AG1492" s="239"/>
      <c r="AH1492" s="239"/>
      <c r="AI1492" s="239"/>
      <c r="AJ1492" s="239"/>
    </row>
    <row r="1493">
      <c r="A1493" s="239"/>
      <c r="B1493" s="239"/>
      <c r="C1493" s="239"/>
      <c r="D1493" s="239"/>
      <c r="E1493" s="239"/>
      <c r="F1493" s="283"/>
      <c r="G1493" s="239"/>
      <c r="H1493" s="239"/>
      <c r="I1493" s="239"/>
      <c r="J1493" s="239"/>
      <c r="K1493" s="239"/>
      <c r="L1493" s="239"/>
      <c r="M1493" s="239"/>
      <c r="N1493" s="239"/>
      <c r="O1493" s="239"/>
      <c r="P1493" s="246"/>
      <c r="Q1493" s="239"/>
      <c r="R1493" s="239"/>
      <c r="S1493" s="239"/>
      <c r="T1493" s="239"/>
      <c r="U1493" s="239"/>
      <c r="V1493" s="239"/>
      <c r="W1493" s="246"/>
      <c r="X1493" s="239"/>
      <c r="Y1493" s="239"/>
      <c r="Z1493" s="239"/>
      <c r="AA1493" s="239"/>
      <c r="AB1493" s="239"/>
      <c r="AC1493" s="239"/>
      <c r="AD1493" s="239"/>
      <c r="AE1493" s="239"/>
      <c r="AF1493" s="239"/>
      <c r="AG1493" s="239"/>
      <c r="AH1493" s="239"/>
      <c r="AI1493" s="239"/>
      <c r="AJ1493" s="239"/>
    </row>
    <row r="1494">
      <c r="A1494" s="239"/>
      <c r="B1494" s="239"/>
      <c r="C1494" s="239"/>
      <c r="D1494" s="239"/>
      <c r="E1494" s="239"/>
      <c r="F1494" s="283"/>
      <c r="G1494" s="239"/>
      <c r="H1494" s="239"/>
      <c r="I1494" s="239"/>
      <c r="J1494" s="239"/>
      <c r="K1494" s="239"/>
      <c r="L1494" s="239"/>
      <c r="M1494" s="239"/>
      <c r="N1494" s="239"/>
      <c r="O1494" s="239"/>
      <c r="P1494" s="246"/>
      <c r="Q1494" s="239"/>
      <c r="R1494" s="239"/>
      <c r="S1494" s="239"/>
      <c r="T1494" s="239"/>
      <c r="U1494" s="239"/>
      <c r="V1494" s="239"/>
      <c r="W1494" s="246"/>
      <c r="X1494" s="239"/>
      <c r="Y1494" s="239"/>
      <c r="Z1494" s="239"/>
      <c r="AA1494" s="239"/>
      <c r="AB1494" s="239"/>
      <c r="AC1494" s="239"/>
      <c r="AD1494" s="239"/>
      <c r="AE1494" s="239"/>
      <c r="AF1494" s="239"/>
      <c r="AG1494" s="239"/>
      <c r="AH1494" s="239"/>
      <c r="AI1494" s="239"/>
      <c r="AJ1494" s="239"/>
    </row>
    <row r="1495">
      <c r="A1495" s="239"/>
      <c r="B1495" s="239"/>
      <c r="C1495" s="239"/>
      <c r="D1495" s="239"/>
      <c r="E1495" s="239"/>
      <c r="F1495" s="283"/>
      <c r="G1495" s="239"/>
      <c r="H1495" s="239"/>
      <c r="I1495" s="239"/>
      <c r="J1495" s="239"/>
      <c r="K1495" s="239"/>
      <c r="L1495" s="239"/>
      <c r="M1495" s="239"/>
      <c r="N1495" s="239"/>
      <c r="O1495" s="239"/>
      <c r="P1495" s="246"/>
      <c r="Q1495" s="239"/>
      <c r="R1495" s="239"/>
      <c r="S1495" s="239"/>
      <c r="T1495" s="239"/>
      <c r="U1495" s="239"/>
      <c r="V1495" s="239"/>
      <c r="W1495" s="246"/>
      <c r="X1495" s="239"/>
      <c r="Y1495" s="239"/>
      <c r="Z1495" s="239"/>
      <c r="AA1495" s="239"/>
      <c r="AB1495" s="239"/>
      <c r="AC1495" s="239"/>
      <c r="AD1495" s="239"/>
      <c r="AE1495" s="239"/>
      <c r="AF1495" s="239"/>
      <c r="AG1495" s="239"/>
      <c r="AH1495" s="239"/>
      <c r="AI1495" s="239"/>
      <c r="AJ1495" s="239"/>
    </row>
    <row r="1496">
      <c r="A1496" s="239"/>
      <c r="B1496" s="239"/>
      <c r="C1496" s="239"/>
      <c r="D1496" s="239"/>
      <c r="E1496" s="239"/>
      <c r="F1496" s="283"/>
      <c r="G1496" s="239"/>
      <c r="H1496" s="239"/>
      <c r="I1496" s="239"/>
      <c r="J1496" s="239"/>
      <c r="K1496" s="239"/>
      <c r="L1496" s="239"/>
      <c r="M1496" s="239"/>
      <c r="N1496" s="239"/>
      <c r="O1496" s="239"/>
      <c r="P1496" s="246"/>
      <c r="Q1496" s="239"/>
      <c r="R1496" s="239"/>
      <c r="S1496" s="239"/>
      <c r="T1496" s="239"/>
      <c r="U1496" s="239"/>
      <c r="V1496" s="239"/>
      <c r="W1496" s="246"/>
      <c r="X1496" s="239"/>
      <c r="Y1496" s="239"/>
      <c r="Z1496" s="239"/>
      <c r="AA1496" s="239"/>
      <c r="AB1496" s="239"/>
      <c r="AC1496" s="239"/>
      <c r="AD1496" s="239"/>
      <c r="AE1496" s="239"/>
      <c r="AF1496" s="239"/>
      <c r="AG1496" s="239"/>
      <c r="AH1496" s="239"/>
      <c r="AI1496" s="239"/>
      <c r="AJ1496" s="239"/>
    </row>
    <row r="1497">
      <c r="A1497" s="239"/>
      <c r="B1497" s="239"/>
      <c r="C1497" s="239"/>
      <c r="D1497" s="239"/>
      <c r="E1497" s="239"/>
      <c r="F1497" s="283"/>
      <c r="G1497" s="239"/>
      <c r="H1497" s="239"/>
      <c r="I1497" s="239"/>
      <c r="J1497" s="239"/>
      <c r="K1497" s="239"/>
      <c r="L1497" s="239"/>
      <c r="M1497" s="239"/>
      <c r="N1497" s="239"/>
      <c r="O1497" s="239"/>
      <c r="P1497" s="246"/>
      <c r="Q1497" s="239"/>
      <c r="R1497" s="239"/>
      <c r="S1497" s="239"/>
      <c r="T1497" s="239"/>
      <c r="U1497" s="239"/>
      <c r="V1497" s="239"/>
      <c r="W1497" s="246"/>
      <c r="X1497" s="239"/>
      <c r="Y1497" s="239"/>
      <c r="Z1497" s="239"/>
      <c r="AA1497" s="239"/>
      <c r="AB1497" s="239"/>
      <c r="AC1497" s="239"/>
      <c r="AD1497" s="239"/>
      <c r="AE1497" s="239"/>
      <c r="AF1497" s="239"/>
      <c r="AG1497" s="239"/>
      <c r="AH1497" s="239"/>
      <c r="AI1497" s="239"/>
      <c r="AJ1497" s="239"/>
    </row>
    <row r="1498">
      <c r="A1498" s="239"/>
      <c r="B1498" s="239"/>
      <c r="C1498" s="239"/>
      <c r="D1498" s="239"/>
      <c r="E1498" s="239"/>
      <c r="F1498" s="283"/>
      <c r="G1498" s="239"/>
      <c r="H1498" s="239"/>
      <c r="I1498" s="239"/>
      <c r="J1498" s="239"/>
      <c r="K1498" s="239"/>
      <c r="L1498" s="239"/>
      <c r="M1498" s="239"/>
      <c r="N1498" s="239"/>
      <c r="O1498" s="239"/>
      <c r="P1498" s="246"/>
      <c r="Q1498" s="239"/>
      <c r="R1498" s="239"/>
      <c r="S1498" s="239"/>
      <c r="T1498" s="239"/>
      <c r="U1498" s="239"/>
      <c r="V1498" s="239"/>
      <c r="W1498" s="246"/>
      <c r="X1498" s="239"/>
      <c r="Y1498" s="239"/>
      <c r="Z1498" s="239"/>
      <c r="AA1498" s="239"/>
      <c r="AB1498" s="239"/>
      <c r="AC1498" s="239"/>
      <c r="AD1498" s="239"/>
      <c r="AE1498" s="239"/>
      <c r="AF1498" s="239"/>
      <c r="AG1498" s="239"/>
      <c r="AH1498" s="239"/>
      <c r="AI1498" s="239"/>
      <c r="AJ1498" s="239"/>
    </row>
    <row r="1499">
      <c r="A1499" s="239"/>
      <c r="B1499" s="239"/>
      <c r="C1499" s="239"/>
      <c r="D1499" s="239"/>
      <c r="E1499" s="239"/>
      <c r="F1499" s="283"/>
      <c r="G1499" s="239"/>
      <c r="H1499" s="239"/>
      <c r="I1499" s="239"/>
      <c r="J1499" s="239"/>
      <c r="K1499" s="239"/>
      <c r="L1499" s="239"/>
      <c r="M1499" s="239"/>
      <c r="N1499" s="239"/>
      <c r="O1499" s="239"/>
      <c r="P1499" s="246"/>
      <c r="Q1499" s="239"/>
      <c r="R1499" s="239"/>
      <c r="S1499" s="239"/>
      <c r="T1499" s="239"/>
      <c r="U1499" s="239"/>
      <c r="V1499" s="239"/>
      <c r="W1499" s="246"/>
      <c r="X1499" s="239"/>
      <c r="Y1499" s="239"/>
      <c r="Z1499" s="239"/>
      <c r="AA1499" s="239"/>
      <c r="AB1499" s="239"/>
      <c r="AC1499" s="239"/>
      <c r="AD1499" s="239"/>
      <c r="AE1499" s="239"/>
      <c r="AF1499" s="239"/>
      <c r="AG1499" s="239"/>
      <c r="AH1499" s="239"/>
      <c r="AI1499" s="239"/>
      <c r="AJ1499" s="239"/>
    </row>
    <row r="1500">
      <c r="A1500" s="239"/>
      <c r="B1500" s="239"/>
      <c r="C1500" s="239"/>
      <c r="D1500" s="239"/>
      <c r="E1500" s="239"/>
      <c r="F1500" s="283"/>
      <c r="G1500" s="239"/>
      <c r="H1500" s="239"/>
      <c r="I1500" s="239"/>
      <c r="J1500" s="239"/>
      <c r="K1500" s="239"/>
      <c r="L1500" s="239"/>
      <c r="M1500" s="239"/>
      <c r="N1500" s="239"/>
      <c r="O1500" s="239"/>
      <c r="P1500" s="246"/>
      <c r="Q1500" s="239"/>
      <c r="R1500" s="239"/>
      <c r="S1500" s="239"/>
      <c r="T1500" s="239"/>
      <c r="U1500" s="239"/>
      <c r="V1500" s="239"/>
      <c r="W1500" s="246"/>
      <c r="X1500" s="239"/>
      <c r="Y1500" s="239"/>
      <c r="Z1500" s="239"/>
      <c r="AA1500" s="239"/>
      <c r="AB1500" s="239"/>
      <c r="AC1500" s="239"/>
      <c r="AD1500" s="239"/>
      <c r="AE1500" s="239"/>
      <c r="AF1500" s="239"/>
      <c r="AG1500" s="239"/>
      <c r="AH1500" s="239"/>
      <c r="AI1500" s="239"/>
      <c r="AJ1500" s="239"/>
    </row>
    <row r="1501">
      <c r="A1501" s="239"/>
      <c r="B1501" s="239"/>
      <c r="C1501" s="239"/>
      <c r="D1501" s="239"/>
      <c r="E1501" s="239"/>
      <c r="F1501" s="283"/>
      <c r="G1501" s="239"/>
      <c r="H1501" s="239"/>
      <c r="I1501" s="239"/>
      <c r="J1501" s="239"/>
      <c r="K1501" s="239"/>
      <c r="L1501" s="239"/>
      <c r="M1501" s="239"/>
      <c r="N1501" s="239"/>
      <c r="O1501" s="239"/>
      <c r="P1501" s="246"/>
      <c r="Q1501" s="239"/>
      <c r="R1501" s="239"/>
      <c r="S1501" s="239"/>
      <c r="T1501" s="239"/>
      <c r="U1501" s="239"/>
      <c r="V1501" s="239"/>
      <c r="W1501" s="246"/>
      <c r="X1501" s="239"/>
      <c r="Y1501" s="239"/>
      <c r="Z1501" s="239"/>
      <c r="AA1501" s="239"/>
      <c r="AB1501" s="239"/>
      <c r="AC1501" s="239"/>
      <c r="AD1501" s="239"/>
      <c r="AE1501" s="239"/>
      <c r="AF1501" s="239"/>
      <c r="AG1501" s="239"/>
      <c r="AH1501" s="239"/>
      <c r="AI1501" s="239"/>
      <c r="AJ1501" s="239"/>
    </row>
    <row r="1502">
      <c r="A1502" s="239"/>
      <c r="B1502" s="239"/>
      <c r="C1502" s="239"/>
      <c r="D1502" s="239"/>
      <c r="E1502" s="239"/>
      <c r="F1502" s="283"/>
      <c r="G1502" s="239"/>
      <c r="H1502" s="239"/>
      <c r="I1502" s="239"/>
      <c r="J1502" s="239"/>
      <c r="K1502" s="239"/>
      <c r="L1502" s="239"/>
      <c r="M1502" s="239"/>
      <c r="N1502" s="239"/>
      <c r="O1502" s="239"/>
      <c r="P1502" s="246"/>
      <c r="Q1502" s="239"/>
      <c r="R1502" s="239"/>
      <c r="S1502" s="239"/>
      <c r="T1502" s="239"/>
      <c r="U1502" s="239"/>
      <c r="V1502" s="239"/>
      <c r="W1502" s="246"/>
      <c r="X1502" s="239"/>
      <c r="Y1502" s="239"/>
      <c r="Z1502" s="239"/>
      <c r="AA1502" s="239"/>
      <c r="AB1502" s="239"/>
      <c r="AC1502" s="239"/>
      <c r="AD1502" s="239"/>
      <c r="AE1502" s="239"/>
      <c r="AF1502" s="239"/>
      <c r="AG1502" s="239"/>
      <c r="AH1502" s="239"/>
      <c r="AI1502" s="239"/>
      <c r="AJ1502" s="239"/>
    </row>
    <row r="1503">
      <c r="A1503" s="239"/>
      <c r="B1503" s="239"/>
      <c r="C1503" s="239"/>
      <c r="D1503" s="239"/>
      <c r="E1503" s="239"/>
      <c r="F1503" s="283"/>
      <c r="G1503" s="239"/>
      <c r="H1503" s="239"/>
      <c r="I1503" s="239"/>
      <c r="J1503" s="239"/>
      <c r="K1503" s="239"/>
      <c r="L1503" s="239"/>
      <c r="M1503" s="239"/>
      <c r="N1503" s="239"/>
      <c r="O1503" s="239"/>
      <c r="P1503" s="246"/>
      <c r="Q1503" s="239"/>
      <c r="R1503" s="239"/>
      <c r="S1503" s="239"/>
      <c r="T1503" s="239"/>
      <c r="U1503" s="239"/>
      <c r="V1503" s="239"/>
      <c r="W1503" s="246"/>
      <c r="X1503" s="239"/>
      <c r="Y1503" s="239"/>
      <c r="Z1503" s="239"/>
      <c r="AA1503" s="239"/>
      <c r="AB1503" s="239"/>
      <c r="AC1503" s="239"/>
      <c r="AD1503" s="239"/>
      <c r="AE1503" s="239"/>
      <c r="AF1503" s="239"/>
      <c r="AG1503" s="239"/>
      <c r="AH1503" s="239"/>
      <c r="AI1503" s="239"/>
      <c r="AJ1503" s="239"/>
    </row>
    <row r="1504">
      <c r="A1504" s="239"/>
      <c r="B1504" s="239"/>
      <c r="C1504" s="239"/>
      <c r="D1504" s="239"/>
      <c r="E1504" s="239"/>
      <c r="F1504" s="283"/>
      <c r="G1504" s="239"/>
      <c r="H1504" s="239"/>
      <c r="I1504" s="239"/>
      <c r="J1504" s="239"/>
      <c r="K1504" s="239"/>
      <c r="L1504" s="239"/>
      <c r="M1504" s="239"/>
      <c r="N1504" s="239"/>
      <c r="O1504" s="239"/>
      <c r="P1504" s="246"/>
      <c r="Q1504" s="239"/>
      <c r="R1504" s="239"/>
      <c r="S1504" s="239"/>
      <c r="T1504" s="239"/>
      <c r="U1504" s="239"/>
      <c r="V1504" s="239"/>
      <c r="W1504" s="246"/>
      <c r="X1504" s="239"/>
      <c r="Y1504" s="239"/>
      <c r="Z1504" s="239"/>
      <c r="AA1504" s="239"/>
      <c r="AB1504" s="239"/>
      <c r="AC1504" s="239"/>
      <c r="AD1504" s="239"/>
      <c r="AE1504" s="239"/>
      <c r="AF1504" s="239"/>
      <c r="AG1504" s="239"/>
      <c r="AH1504" s="239"/>
      <c r="AI1504" s="239"/>
      <c r="AJ1504" s="239"/>
    </row>
    <row r="1505">
      <c r="A1505" s="239"/>
      <c r="B1505" s="239"/>
      <c r="C1505" s="239"/>
      <c r="D1505" s="239"/>
      <c r="E1505" s="239"/>
      <c r="F1505" s="283"/>
      <c r="G1505" s="239"/>
      <c r="H1505" s="239"/>
      <c r="I1505" s="239"/>
      <c r="J1505" s="239"/>
      <c r="K1505" s="239"/>
      <c r="L1505" s="239"/>
      <c r="M1505" s="239"/>
      <c r="N1505" s="239"/>
      <c r="O1505" s="239"/>
      <c r="P1505" s="246"/>
      <c r="Q1505" s="239"/>
      <c r="R1505" s="239"/>
      <c r="S1505" s="239"/>
      <c r="T1505" s="239"/>
      <c r="U1505" s="239"/>
      <c r="V1505" s="239"/>
      <c r="W1505" s="246"/>
      <c r="X1505" s="239"/>
      <c r="Y1505" s="239"/>
      <c r="Z1505" s="239"/>
      <c r="AA1505" s="239"/>
      <c r="AB1505" s="239"/>
      <c r="AC1505" s="239"/>
      <c r="AD1505" s="239"/>
      <c r="AE1505" s="239"/>
      <c r="AF1505" s="239"/>
      <c r="AG1505" s="239"/>
      <c r="AH1505" s="239"/>
      <c r="AI1505" s="239"/>
      <c r="AJ1505" s="239"/>
    </row>
    <row r="1506">
      <c r="A1506" s="239"/>
      <c r="B1506" s="239"/>
      <c r="C1506" s="239"/>
      <c r="D1506" s="239"/>
      <c r="E1506" s="239"/>
      <c r="F1506" s="283"/>
      <c r="G1506" s="239"/>
      <c r="H1506" s="239"/>
      <c r="I1506" s="239"/>
      <c r="J1506" s="239"/>
      <c r="K1506" s="239"/>
      <c r="L1506" s="239"/>
      <c r="M1506" s="239"/>
      <c r="N1506" s="239"/>
      <c r="O1506" s="239"/>
      <c r="P1506" s="246"/>
      <c r="Q1506" s="239"/>
      <c r="R1506" s="239"/>
      <c r="S1506" s="239"/>
      <c r="T1506" s="239"/>
      <c r="U1506" s="239"/>
      <c r="V1506" s="239"/>
      <c r="W1506" s="246"/>
      <c r="X1506" s="239"/>
      <c r="Y1506" s="239"/>
      <c r="Z1506" s="239"/>
      <c r="AA1506" s="239"/>
      <c r="AB1506" s="239"/>
      <c r="AC1506" s="239"/>
      <c r="AD1506" s="239"/>
      <c r="AE1506" s="239"/>
      <c r="AF1506" s="239"/>
      <c r="AG1506" s="239"/>
      <c r="AH1506" s="239"/>
      <c r="AI1506" s="239"/>
      <c r="AJ1506" s="239"/>
    </row>
    <row r="1507">
      <c r="A1507" s="239"/>
      <c r="B1507" s="239"/>
      <c r="C1507" s="239"/>
      <c r="D1507" s="239"/>
      <c r="E1507" s="239"/>
      <c r="F1507" s="283"/>
      <c r="G1507" s="239"/>
      <c r="H1507" s="239"/>
      <c r="I1507" s="239"/>
      <c r="J1507" s="239"/>
      <c r="K1507" s="239"/>
      <c r="L1507" s="239"/>
      <c r="M1507" s="239"/>
      <c r="N1507" s="239"/>
      <c r="O1507" s="239"/>
      <c r="P1507" s="246"/>
      <c r="Q1507" s="239"/>
      <c r="R1507" s="239"/>
      <c r="S1507" s="239"/>
      <c r="T1507" s="239"/>
      <c r="U1507" s="239"/>
      <c r="V1507" s="239"/>
      <c r="W1507" s="246"/>
      <c r="X1507" s="239"/>
      <c r="Y1507" s="239"/>
      <c r="Z1507" s="239"/>
      <c r="AA1507" s="239"/>
      <c r="AB1507" s="239"/>
      <c r="AC1507" s="239"/>
      <c r="AD1507" s="239"/>
      <c r="AE1507" s="239"/>
      <c r="AF1507" s="239"/>
      <c r="AG1507" s="239"/>
      <c r="AH1507" s="239"/>
      <c r="AI1507" s="239"/>
      <c r="AJ1507" s="239"/>
    </row>
    <row r="1508">
      <c r="A1508" s="239"/>
      <c r="B1508" s="239"/>
      <c r="C1508" s="239"/>
      <c r="D1508" s="239"/>
      <c r="E1508" s="239"/>
      <c r="F1508" s="283"/>
      <c r="G1508" s="239"/>
      <c r="H1508" s="239"/>
      <c r="I1508" s="239"/>
      <c r="J1508" s="239"/>
      <c r="K1508" s="239"/>
      <c r="L1508" s="239"/>
      <c r="M1508" s="239"/>
      <c r="N1508" s="239"/>
      <c r="O1508" s="239"/>
      <c r="P1508" s="246"/>
      <c r="Q1508" s="239"/>
      <c r="R1508" s="239"/>
      <c r="S1508" s="239"/>
      <c r="T1508" s="239"/>
      <c r="U1508" s="239"/>
      <c r="V1508" s="239"/>
      <c r="W1508" s="246"/>
      <c r="X1508" s="239"/>
      <c r="Y1508" s="239"/>
      <c r="Z1508" s="239"/>
      <c r="AA1508" s="239"/>
      <c r="AB1508" s="239"/>
      <c r="AC1508" s="239"/>
      <c r="AD1508" s="239"/>
      <c r="AE1508" s="239"/>
      <c r="AF1508" s="239"/>
      <c r="AG1508" s="239"/>
      <c r="AH1508" s="239"/>
      <c r="AI1508" s="239"/>
      <c r="AJ1508" s="239"/>
    </row>
    <row r="1509">
      <c r="A1509" s="239"/>
      <c r="B1509" s="239"/>
      <c r="C1509" s="239"/>
      <c r="D1509" s="239"/>
      <c r="E1509" s="239"/>
      <c r="F1509" s="283"/>
      <c r="G1509" s="239"/>
      <c r="H1509" s="239"/>
      <c r="I1509" s="239"/>
      <c r="J1509" s="239"/>
      <c r="K1509" s="239"/>
      <c r="L1509" s="239"/>
      <c r="M1509" s="239"/>
      <c r="N1509" s="239"/>
      <c r="O1509" s="239"/>
      <c r="P1509" s="246"/>
      <c r="Q1509" s="239"/>
      <c r="R1509" s="239"/>
      <c r="S1509" s="239"/>
      <c r="T1509" s="239"/>
      <c r="U1509" s="239"/>
      <c r="V1509" s="239"/>
      <c r="W1509" s="246"/>
      <c r="X1509" s="239"/>
      <c r="Y1509" s="239"/>
      <c r="Z1509" s="239"/>
      <c r="AA1509" s="239"/>
      <c r="AB1509" s="239"/>
      <c r="AC1509" s="239"/>
      <c r="AD1509" s="239"/>
      <c r="AE1509" s="239"/>
      <c r="AF1509" s="239"/>
      <c r="AG1509" s="239"/>
      <c r="AH1509" s="239"/>
      <c r="AI1509" s="239"/>
      <c r="AJ1509" s="239"/>
    </row>
    <row r="1510">
      <c r="A1510" s="239"/>
      <c r="B1510" s="239"/>
      <c r="C1510" s="239"/>
      <c r="D1510" s="239"/>
      <c r="E1510" s="239"/>
      <c r="F1510" s="283"/>
      <c r="G1510" s="239"/>
      <c r="H1510" s="239"/>
      <c r="I1510" s="239"/>
      <c r="J1510" s="239"/>
      <c r="K1510" s="239"/>
      <c r="L1510" s="239"/>
      <c r="M1510" s="239"/>
      <c r="N1510" s="239"/>
      <c r="O1510" s="239"/>
      <c r="P1510" s="246"/>
      <c r="Q1510" s="239"/>
      <c r="R1510" s="239"/>
      <c r="S1510" s="239"/>
      <c r="T1510" s="239"/>
      <c r="U1510" s="239"/>
      <c r="V1510" s="239"/>
      <c r="W1510" s="246"/>
      <c r="X1510" s="239"/>
      <c r="Y1510" s="239"/>
      <c r="Z1510" s="239"/>
      <c r="AA1510" s="239"/>
      <c r="AB1510" s="239"/>
      <c r="AC1510" s="239"/>
      <c r="AD1510" s="239"/>
      <c r="AE1510" s="239"/>
      <c r="AF1510" s="239"/>
      <c r="AG1510" s="239"/>
      <c r="AH1510" s="239"/>
      <c r="AI1510" s="239"/>
      <c r="AJ1510" s="239"/>
    </row>
    <row r="1511">
      <c r="A1511" s="239"/>
      <c r="B1511" s="239"/>
      <c r="C1511" s="239"/>
      <c r="D1511" s="239"/>
      <c r="E1511" s="239"/>
      <c r="F1511" s="283"/>
      <c r="G1511" s="239"/>
      <c r="H1511" s="239"/>
      <c r="I1511" s="239"/>
      <c r="J1511" s="239"/>
      <c r="K1511" s="239"/>
      <c r="L1511" s="239"/>
      <c r="M1511" s="239"/>
      <c r="N1511" s="239"/>
      <c r="O1511" s="239"/>
      <c r="P1511" s="246"/>
      <c r="Q1511" s="239"/>
      <c r="R1511" s="239"/>
      <c r="S1511" s="239"/>
      <c r="T1511" s="239"/>
      <c r="U1511" s="239"/>
      <c r="V1511" s="239"/>
      <c r="W1511" s="246"/>
      <c r="X1511" s="239"/>
      <c r="Y1511" s="239"/>
      <c r="Z1511" s="239"/>
      <c r="AA1511" s="239"/>
      <c r="AB1511" s="239"/>
      <c r="AC1511" s="239"/>
      <c r="AD1511" s="239"/>
      <c r="AE1511" s="239"/>
      <c r="AF1511" s="239"/>
      <c r="AG1511" s="239"/>
      <c r="AH1511" s="239"/>
      <c r="AI1511" s="239"/>
      <c r="AJ1511" s="239"/>
    </row>
    <row r="1512">
      <c r="A1512" s="239"/>
      <c r="B1512" s="239"/>
      <c r="C1512" s="239"/>
      <c r="D1512" s="239"/>
      <c r="E1512" s="239"/>
      <c r="F1512" s="283"/>
      <c r="G1512" s="239"/>
      <c r="H1512" s="239"/>
      <c r="I1512" s="239"/>
      <c r="J1512" s="239"/>
      <c r="K1512" s="239"/>
      <c r="L1512" s="239"/>
      <c r="M1512" s="239"/>
      <c r="N1512" s="239"/>
      <c r="O1512" s="239"/>
      <c r="P1512" s="246"/>
      <c r="Q1512" s="239"/>
      <c r="R1512" s="239"/>
      <c r="S1512" s="239"/>
      <c r="T1512" s="239"/>
      <c r="U1512" s="239"/>
      <c r="V1512" s="239"/>
      <c r="W1512" s="246"/>
      <c r="X1512" s="239"/>
      <c r="Y1512" s="239"/>
      <c r="Z1512" s="239"/>
      <c r="AA1512" s="239"/>
      <c r="AB1512" s="239"/>
      <c r="AC1512" s="239"/>
      <c r="AD1512" s="239"/>
      <c r="AE1512" s="239"/>
      <c r="AF1512" s="239"/>
      <c r="AG1512" s="239"/>
      <c r="AH1512" s="239"/>
      <c r="AI1512" s="239"/>
      <c r="AJ1512" s="239"/>
    </row>
    <row r="1513">
      <c r="A1513" s="239"/>
      <c r="B1513" s="239"/>
      <c r="C1513" s="239"/>
      <c r="D1513" s="239"/>
      <c r="E1513" s="239"/>
      <c r="F1513" s="283"/>
      <c r="G1513" s="239"/>
      <c r="H1513" s="239"/>
      <c r="I1513" s="239"/>
      <c r="J1513" s="239"/>
      <c r="K1513" s="239"/>
      <c r="L1513" s="239"/>
      <c r="M1513" s="239"/>
      <c r="N1513" s="239"/>
      <c r="O1513" s="239"/>
      <c r="P1513" s="246"/>
      <c r="Q1513" s="239"/>
      <c r="R1513" s="239"/>
      <c r="S1513" s="239"/>
      <c r="T1513" s="239"/>
      <c r="U1513" s="239"/>
      <c r="V1513" s="239"/>
      <c r="W1513" s="246"/>
      <c r="X1513" s="239"/>
      <c r="Y1513" s="239"/>
      <c r="Z1513" s="239"/>
      <c r="AA1513" s="239"/>
      <c r="AB1513" s="239"/>
      <c r="AC1513" s="239"/>
      <c r="AD1513" s="239"/>
      <c r="AE1513" s="239"/>
      <c r="AF1513" s="239"/>
      <c r="AG1513" s="239"/>
      <c r="AH1513" s="239"/>
      <c r="AI1513" s="239"/>
      <c r="AJ1513" s="239"/>
    </row>
    <row r="1514">
      <c r="A1514" s="239"/>
      <c r="B1514" s="239"/>
      <c r="C1514" s="239"/>
      <c r="D1514" s="239"/>
      <c r="E1514" s="239"/>
      <c r="F1514" s="283"/>
      <c r="G1514" s="239"/>
      <c r="H1514" s="239"/>
      <c r="I1514" s="239"/>
      <c r="J1514" s="239"/>
      <c r="K1514" s="239"/>
      <c r="L1514" s="239"/>
      <c r="M1514" s="239"/>
      <c r="N1514" s="239"/>
      <c r="O1514" s="239"/>
      <c r="P1514" s="246"/>
      <c r="Q1514" s="239"/>
      <c r="R1514" s="239"/>
      <c r="S1514" s="239"/>
      <c r="T1514" s="239"/>
      <c r="U1514" s="239"/>
      <c r="V1514" s="239"/>
      <c r="W1514" s="246"/>
      <c r="X1514" s="239"/>
      <c r="Y1514" s="239"/>
      <c r="Z1514" s="239"/>
      <c r="AA1514" s="239"/>
      <c r="AB1514" s="239"/>
      <c r="AC1514" s="239"/>
      <c r="AD1514" s="239"/>
      <c r="AE1514" s="239"/>
      <c r="AF1514" s="239"/>
      <c r="AG1514" s="239"/>
      <c r="AH1514" s="239"/>
      <c r="AI1514" s="239"/>
      <c r="AJ1514" s="239"/>
    </row>
    <row r="1515">
      <c r="A1515" s="239"/>
      <c r="B1515" s="239"/>
      <c r="C1515" s="239"/>
      <c r="D1515" s="239"/>
      <c r="E1515" s="239"/>
      <c r="F1515" s="283"/>
      <c r="G1515" s="239"/>
      <c r="H1515" s="239"/>
      <c r="I1515" s="239"/>
      <c r="J1515" s="239"/>
      <c r="K1515" s="239"/>
      <c r="L1515" s="239"/>
      <c r="M1515" s="239"/>
      <c r="N1515" s="239"/>
      <c r="O1515" s="239"/>
      <c r="P1515" s="246"/>
      <c r="Q1515" s="239"/>
      <c r="R1515" s="239"/>
      <c r="S1515" s="239"/>
      <c r="T1515" s="239"/>
      <c r="U1515" s="239"/>
      <c r="V1515" s="239"/>
      <c r="W1515" s="246"/>
      <c r="X1515" s="239"/>
      <c r="Y1515" s="239"/>
      <c r="Z1515" s="239"/>
      <c r="AA1515" s="239"/>
      <c r="AB1515" s="239"/>
      <c r="AC1515" s="239"/>
      <c r="AD1515" s="239"/>
      <c r="AE1515" s="239"/>
      <c r="AF1515" s="239"/>
      <c r="AG1515" s="239"/>
      <c r="AH1515" s="239"/>
      <c r="AI1515" s="239"/>
      <c r="AJ1515" s="239"/>
    </row>
    <row r="1516">
      <c r="A1516" s="239"/>
      <c r="B1516" s="239"/>
      <c r="C1516" s="239"/>
      <c r="D1516" s="239"/>
      <c r="E1516" s="239"/>
      <c r="F1516" s="283"/>
      <c r="G1516" s="239"/>
      <c r="H1516" s="239"/>
      <c r="I1516" s="239"/>
      <c r="J1516" s="239"/>
      <c r="K1516" s="239"/>
      <c r="L1516" s="239"/>
      <c r="M1516" s="239"/>
      <c r="N1516" s="239"/>
      <c r="O1516" s="239"/>
      <c r="P1516" s="246"/>
      <c r="Q1516" s="239"/>
      <c r="R1516" s="239"/>
      <c r="S1516" s="239"/>
      <c r="T1516" s="239"/>
      <c r="U1516" s="239"/>
      <c r="V1516" s="239"/>
      <c r="W1516" s="246"/>
      <c r="X1516" s="239"/>
      <c r="Y1516" s="239"/>
      <c r="Z1516" s="239"/>
      <c r="AA1516" s="239"/>
      <c r="AB1516" s="239"/>
      <c r="AC1516" s="239"/>
      <c r="AD1516" s="239"/>
      <c r="AE1516" s="239"/>
      <c r="AF1516" s="239"/>
      <c r="AG1516" s="239"/>
      <c r="AH1516" s="239"/>
      <c r="AI1516" s="239"/>
      <c r="AJ1516" s="239"/>
    </row>
    <row r="1517">
      <c r="A1517" s="239"/>
      <c r="B1517" s="239"/>
      <c r="C1517" s="239"/>
      <c r="D1517" s="239"/>
      <c r="E1517" s="239"/>
      <c r="F1517" s="283"/>
      <c r="G1517" s="239"/>
      <c r="H1517" s="239"/>
      <c r="I1517" s="239"/>
      <c r="J1517" s="239"/>
      <c r="K1517" s="239"/>
      <c r="L1517" s="239"/>
      <c r="M1517" s="239"/>
      <c r="N1517" s="239"/>
      <c r="O1517" s="239"/>
      <c r="P1517" s="246"/>
      <c r="Q1517" s="239"/>
      <c r="R1517" s="239"/>
      <c r="S1517" s="239"/>
      <c r="T1517" s="239"/>
      <c r="U1517" s="239"/>
      <c r="V1517" s="239"/>
      <c r="W1517" s="246"/>
      <c r="X1517" s="239"/>
      <c r="Y1517" s="239"/>
      <c r="Z1517" s="239"/>
      <c r="AA1517" s="239"/>
      <c r="AB1517" s="239"/>
      <c r="AC1517" s="239"/>
      <c r="AD1517" s="239"/>
      <c r="AE1517" s="239"/>
      <c r="AF1517" s="239"/>
      <c r="AG1517" s="239"/>
      <c r="AH1517" s="239"/>
      <c r="AI1517" s="239"/>
      <c r="AJ1517" s="239"/>
    </row>
    <row r="1518">
      <c r="A1518" s="239"/>
      <c r="B1518" s="239"/>
      <c r="C1518" s="239"/>
      <c r="D1518" s="239"/>
      <c r="E1518" s="239"/>
      <c r="F1518" s="283"/>
      <c r="G1518" s="239"/>
      <c r="H1518" s="239"/>
      <c r="I1518" s="239"/>
      <c r="J1518" s="239"/>
      <c r="K1518" s="239"/>
      <c r="L1518" s="239"/>
      <c r="M1518" s="239"/>
      <c r="N1518" s="239"/>
      <c r="O1518" s="239"/>
      <c r="P1518" s="246"/>
      <c r="Q1518" s="239"/>
      <c r="R1518" s="239"/>
      <c r="S1518" s="239"/>
      <c r="T1518" s="239"/>
      <c r="U1518" s="239"/>
      <c r="V1518" s="239"/>
      <c r="W1518" s="246"/>
      <c r="X1518" s="239"/>
      <c r="Y1518" s="239"/>
      <c r="Z1518" s="239"/>
      <c r="AA1518" s="239"/>
      <c r="AB1518" s="239"/>
      <c r="AC1518" s="239"/>
      <c r="AD1518" s="239"/>
      <c r="AE1518" s="239"/>
      <c r="AF1518" s="239"/>
      <c r="AG1518" s="239"/>
      <c r="AH1518" s="239"/>
      <c r="AI1518" s="239"/>
      <c r="AJ1518" s="239"/>
    </row>
    <row r="1519">
      <c r="A1519" s="239"/>
      <c r="B1519" s="239"/>
      <c r="C1519" s="239"/>
      <c r="D1519" s="239"/>
      <c r="E1519" s="239"/>
      <c r="F1519" s="283"/>
      <c r="G1519" s="239"/>
      <c r="H1519" s="239"/>
      <c r="I1519" s="239"/>
      <c r="J1519" s="239"/>
      <c r="K1519" s="239"/>
      <c r="L1519" s="239"/>
      <c r="M1519" s="239"/>
      <c r="N1519" s="239"/>
      <c r="O1519" s="239"/>
      <c r="P1519" s="246"/>
      <c r="Q1519" s="239"/>
      <c r="R1519" s="239"/>
      <c r="S1519" s="239"/>
      <c r="T1519" s="239"/>
      <c r="U1519" s="239"/>
      <c r="V1519" s="239"/>
      <c r="W1519" s="246"/>
      <c r="X1519" s="239"/>
      <c r="Y1519" s="239"/>
      <c r="Z1519" s="239"/>
      <c r="AA1519" s="239"/>
      <c r="AB1519" s="239"/>
      <c r="AC1519" s="239"/>
      <c r="AD1519" s="239"/>
      <c r="AE1519" s="239"/>
      <c r="AF1519" s="239"/>
      <c r="AG1519" s="239"/>
      <c r="AH1519" s="239"/>
      <c r="AI1519" s="239"/>
      <c r="AJ1519" s="239"/>
    </row>
    <row r="1520">
      <c r="A1520" s="239"/>
      <c r="B1520" s="239"/>
      <c r="C1520" s="239"/>
      <c r="D1520" s="239"/>
      <c r="E1520" s="239"/>
      <c r="F1520" s="283"/>
      <c r="G1520" s="239"/>
      <c r="H1520" s="239"/>
      <c r="I1520" s="239"/>
      <c r="J1520" s="239"/>
      <c r="K1520" s="239"/>
      <c r="L1520" s="239"/>
      <c r="M1520" s="239"/>
      <c r="N1520" s="239"/>
      <c r="O1520" s="239"/>
      <c r="P1520" s="246"/>
      <c r="Q1520" s="239"/>
      <c r="R1520" s="239"/>
      <c r="S1520" s="239"/>
      <c r="T1520" s="239"/>
      <c r="U1520" s="239"/>
      <c r="V1520" s="239"/>
      <c r="W1520" s="246"/>
      <c r="X1520" s="239"/>
      <c r="Y1520" s="239"/>
      <c r="Z1520" s="239"/>
      <c r="AA1520" s="239"/>
      <c r="AB1520" s="239"/>
      <c r="AC1520" s="239"/>
      <c r="AD1520" s="239"/>
      <c r="AE1520" s="239"/>
      <c r="AF1520" s="239"/>
      <c r="AG1520" s="239"/>
      <c r="AH1520" s="239"/>
      <c r="AI1520" s="239"/>
      <c r="AJ1520" s="239"/>
    </row>
    <row r="1521">
      <c r="A1521" s="239"/>
      <c r="B1521" s="239"/>
      <c r="C1521" s="239"/>
      <c r="D1521" s="239"/>
      <c r="E1521" s="239"/>
      <c r="F1521" s="283"/>
      <c r="G1521" s="239"/>
      <c r="H1521" s="239"/>
      <c r="I1521" s="239"/>
      <c r="J1521" s="239"/>
      <c r="K1521" s="239"/>
      <c r="L1521" s="239"/>
      <c r="M1521" s="239"/>
      <c r="N1521" s="239"/>
      <c r="O1521" s="239"/>
      <c r="P1521" s="246"/>
      <c r="Q1521" s="239"/>
      <c r="R1521" s="239"/>
      <c r="S1521" s="239"/>
      <c r="T1521" s="239"/>
      <c r="U1521" s="239"/>
      <c r="V1521" s="239"/>
      <c r="W1521" s="246"/>
      <c r="X1521" s="239"/>
      <c r="Y1521" s="239"/>
      <c r="Z1521" s="239"/>
      <c r="AA1521" s="239"/>
      <c r="AB1521" s="239"/>
      <c r="AC1521" s="239"/>
      <c r="AD1521" s="239"/>
      <c r="AE1521" s="239"/>
      <c r="AF1521" s="239"/>
      <c r="AG1521" s="239"/>
      <c r="AH1521" s="239"/>
      <c r="AI1521" s="239"/>
      <c r="AJ1521" s="239"/>
    </row>
    <row r="1522">
      <c r="A1522" s="239"/>
      <c r="B1522" s="239"/>
      <c r="C1522" s="239"/>
      <c r="D1522" s="239"/>
      <c r="E1522" s="239"/>
      <c r="F1522" s="283"/>
      <c r="G1522" s="239"/>
      <c r="H1522" s="239"/>
      <c r="I1522" s="239"/>
      <c r="J1522" s="239"/>
      <c r="K1522" s="239"/>
      <c r="L1522" s="239"/>
      <c r="M1522" s="239"/>
      <c r="N1522" s="239"/>
      <c r="O1522" s="239"/>
      <c r="P1522" s="246"/>
      <c r="Q1522" s="239"/>
      <c r="R1522" s="239"/>
      <c r="S1522" s="239"/>
      <c r="T1522" s="239"/>
      <c r="U1522" s="239"/>
      <c r="V1522" s="239"/>
      <c r="W1522" s="246"/>
      <c r="X1522" s="239"/>
      <c r="Y1522" s="239"/>
      <c r="Z1522" s="239"/>
      <c r="AA1522" s="239"/>
      <c r="AB1522" s="239"/>
      <c r="AC1522" s="239"/>
      <c r="AD1522" s="239"/>
      <c r="AE1522" s="239"/>
      <c r="AF1522" s="239"/>
      <c r="AG1522" s="239"/>
      <c r="AH1522" s="239"/>
      <c r="AI1522" s="239"/>
      <c r="AJ1522" s="239"/>
    </row>
    <row r="1523">
      <c r="A1523" s="239"/>
      <c r="B1523" s="239"/>
      <c r="C1523" s="239"/>
      <c r="D1523" s="239"/>
      <c r="E1523" s="239"/>
      <c r="F1523" s="283"/>
      <c r="G1523" s="239"/>
      <c r="H1523" s="239"/>
      <c r="I1523" s="239"/>
      <c r="J1523" s="239"/>
      <c r="K1523" s="239"/>
      <c r="L1523" s="239"/>
      <c r="M1523" s="239"/>
      <c r="N1523" s="239"/>
      <c r="O1523" s="239"/>
      <c r="P1523" s="246"/>
      <c r="Q1523" s="239"/>
      <c r="R1523" s="239"/>
      <c r="S1523" s="239"/>
      <c r="T1523" s="239"/>
      <c r="U1523" s="239"/>
      <c r="V1523" s="239"/>
      <c r="W1523" s="246"/>
      <c r="X1523" s="239"/>
      <c r="Y1523" s="239"/>
      <c r="Z1523" s="239"/>
      <c r="AA1523" s="239"/>
      <c r="AB1523" s="239"/>
      <c r="AC1523" s="239"/>
      <c r="AD1523" s="239"/>
      <c r="AE1523" s="239"/>
      <c r="AF1523" s="239"/>
      <c r="AG1523" s="239"/>
      <c r="AH1523" s="239"/>
      <c r="AI1523" s="239"/>
      <c r="AJ1523" s="239"/>
    </row>
    <row r="1524">
      <c r="A1524" s="239"/>
      <c r="B1524" s="239"/>
      <c r="C1524" s="239"/>
      <c r="D1524" s="239"/>
      <c r="E1524" s="239"/>
      <c r="F1524" s="283"/>
      <c r="G1524" s="239"/>
      <c r="H1524" s="239"/>
      <c r="I1524" s="239"/>
      <c r="J1524" s="239"/>
      <c r="K1524" s="239"/>
      <c r="L1524" s="239"/>
      <c r="M1524" s="239"/>
      <c r="N1524" s="239"/>
      <c r="O1524" s="239"/>
      <c r="P1524" s="246"/>
      <c r="Q1524" s="239"/>
      <c r="R1524" s="239"/>
      <c r="S1524" s="239"/>
      <c r="T1524" s="239"/>
      <c r="U1524" s="239"/>
      <c r="V1524" s="239"/>
      <c r="W1524" s="246"/>
      <c r="X1524" s="239"/>
      <c r="Y1524" s="239"/>
      <c r="Z1524" s="239"/>
      <c r="AA1524" s="239"/>
      <c r="AB1524" s="239"/>
      <c r="AC1524" s="239"/>
      <c r="AD1524" s="239"/>
      <c r="AE1524" s="239"/>
      <c r="AF1524" s="239"/>
      <c r="AG1524" s="239"/>
      <c r="AH1524" s="239"/>
      <c r="AI1524" s="239"/>
      <c r="AJ1524" s="239"/>
    </row>
    <row r="1525">
      <c r="A1525" s="239"/>
      <c r="B1525" s="239"/>
      <c r="C1525" s="239"/>
      <c r="D1525" s="239"/>
      <c r="E1525" s="239"/>
      <c r="F1525" s="283"/>
      <c r="G1525" s="239"/>
      <c r="H1525" s="239"/>
      <c r="I1525" s="239"/>
      <c r="J1525" s="239"/>
      <c r="K1525" s="239"/>
      <c r="L1525" s="239"/>
      <c r="M1525" s="239"/>
      <c r="N1525" s="239"/>
      <c r="O1525" s="239"/>
      <c r="P1525" s="246"/>
      <c r="Q1525" s="239"/>
      <c r="R1525" s="239"/>
      <c r="S1525" s="239"/>
      <c r="T1525" s="239"/>
      <c r="U1525" s="239"/>
      <c r="V1525" s="239"/>
      <c r="W1525" s="246"/>
      <c r="X1525" s="239"/>
      <c r="Y1525" s="239"/>
      <c r="Z1525" s="239"/>
      <c r="AA1525" s="239"/>
      <c r="AB1525" s="239"/>
      <c r="AC1525" s="239"/>
      <c r="AD1525" s="239"/>
      <c r="AE1525" s="239"/>
      <c r="AF1525" s="239"/>
      <c r="AG1525" s="239"/>
      <c r="AH1525" s="239"/>
      <c r="AI1525" s="239"/>
      <c r="AJ1525" s="239"/>
    </row>
    <row r="1526">
      <c r="A1526" s="239"/>
      <c r="B1526" s="239"/>
      <c r="C1526" s="239"/>
      <c r="D1526" s="239"/>
      <c r="E1526" s="239"/>
      <c r="F1526" s="283"/>
      <c r="G1526" s="239"/>
      <c r="H1526" s="239"/>
      <c r="I1526" s="239"/>
      <c r="J1526" s="239"/>
      <c r="K1526" s="239"/>
      <c r="L1526" s="239"/>
      <c r="M1526" s="239"/>
      <c r="N1526" s="239"/>
      <c r="O1526" s="239"/>
      <c r="P1526" s="246"/>
      <c r="Q1526" s="239"/>
      <c r="R1526" s="239"/>
      <c r="S1526" s="239"/>
      <c r="T1526" s="239"/>
      <c r="U1526" s="239"/>
      <c r="V1526" s="239"/>
      <c r="W1526" s="246"/>
      <c r="X1526" s="239"/>
      <c r="Y1526" s="239"/>
      <c r="Z1526" s="239"/>
      <c r="AA1526" s="239"/>
      <c r="AB1526" s="239"/>
      <c r="AC1526" s="239"/>
      <c r="AD1526" s="239"/>
      <c r="AE1526" s="239"/>
      <c r="AF1526" s="239"/>
      <c r="AG1526" s="239"/>
      <c r="AH1526" s="239"/>
      <c r="AI1526" s="239"/>
      <c r="AJ1526" s="239"/>
    </row>
    <row r="1527">
      <c r="A1527" s="239"/>
      <c r="B1527" s="239"/>
      <c r="C1527" s="239"/>
      <c r="D1527" s="239"/>
      <c r="E1527" s="239"/>
      <c r="F1527" s="283"/>
      <c r="G1527" s="239"/>
      <c r="H1527" s="239"/>
      <c r="I1527" s="239"/>
      <c r="J1527" s="239"/>
      <c r="K1527" s="239"/>
      <c r="L1527" s="239"/>
      <c r="M1527" s="239"/>
      <c r="N1527" s="239"/>
      <c r="O1527" s="239"/>
      <c r="P1527" s="246"/>
      <c r="Q1527" s="239"/>
      <c r="R1527" s="239"/>
      <c r="S1527" s="239"/>
      <c r="T1527" s="239"/>
      <c r="U1527" s="239"/>
      <c r="V1527" s="239"/>
      <c r="W1527" s="246"/>
      <c r="X1527" s="239"/>
      <c r="Y1527" s="239"/>
      <c r="Z1527" s="239"/>
      <c r="AA1527" s="239"/>
      <c r="AB1527" s="239"/>
      <c r="AC1527" s="239"/>
      <c r="AD1527" s="239"/>
      <c r="AE1527" s="239"/>
      <c r="AF1527" s="239"/>
      <c r="AG1527" s="239"/>
      <c r="AH1527" s="239"/>
      <c r="AI1527" s="239"/>
      <c r="AJ1527" s="239"/>
    </row>
    <row r="1528">
      <c r="A1528" s="239"/>
      <c r="B1528" s="239"/>
      <c r="C1528" s="239"/>
      <c r="D1528" s="239"/>
      <c r="E1528" s="239"/>
      <c r="F1528" s="283"/>
      <c r="G1528" s="239"/>
      <c r="H1528" s="239"/>
      <c r="I1528" s="239"/>
      <c r="J1528" s="239"/>
      <c r="K1528" s="239"/>
      <c r="L1528" s="239"/>
      <c r="M1528" s="239"/>
      <c r="N1528" s="239"/>
      <c r="O1528" s="239"/>
      <c r="P1528" s="246"/>
      <c r="Q1528" s="239"/>
      <c r="R1528" s="239"/>
      <c r="S1528" s="239"/>
      <c r="T1528" s="239"/>
      <c r="U1528" s="239"/>
      <c r="V1528" s="239"/>
      <c r="W1528" s="246"/>
      <c r="X1528" s="239"/>
      <c r="Y1528" s="239"/>
      <c r="Z1528" s="239"/>
      <c r="AA1528" s="239"/>
      <c r="AB1528" s="239"/>
      <c r="AC1528" s="239"/>
      <c r="AD1528" s="239"/>
      <c r="AE1528" s="239"/>
      <c r="AF1528" s="239"/>
      <c r="AG1528" s="239"/>
      <c r="AH1528" s="239"/>
      <c r="AI1528" s="239"/>
      <c r="AJ1528" s="239"/>
    </row>
    <row r="1529">
      <c r="A1529" s="239"/>
      <c r="B1529" s="239"/>
      <c r="C1529" s="239"/>
      <c r="D1529" s="239"/>
      <c r="E1529" s="239"/>
      <c r="F1529" s="283"/>
      <c r="G1529" s="239"/>
      <c r="H1529" s="239"/>
      <c r="I1529" s="239"/>
      <c r="J1529" s="239"/>
      <c r="K1529" s="239"/>
      <c r="L1529" s="239"/>
      <c r="M1529" s="239"/>
      <c r="N1529" s="239"/>
      <c r="O1529" s="239"/>
      <c r="P1529" s="246"/>
      <c r="Q1529" s="239"/>
      <c r="R1529" s="239"/>
      <c r="S1529" s="239"/>
      <c r="T1529" s="239"/>
      <c r="U1529" s="239"/>
      <c r="V1529" s="239"/>
      <c r="W1529" s="246"/>
      <c r="X1529" s="239"/>
      <c r="Y1529" s="239"/>
      <c r="Z1529" s="239"/>
      <c r="AA1529" s="239"/>
      <c r="AB1529" s="239"/>
      <c r="AC1529" s="239"/>
      <c r="AD1529" s="239"/>
      <c r="AE1529" s="239"/>
      <c r="AF1529" s="239"/>
      <c r="AG1529" s="239"/>
      <c r="AH1529" s="239"/>
      <c r="AI1529" s="239"/>
      <c r="AJ1529" s="239"/>
    </row>
    <row r="1530">
      <c r="A1530" s="239"/>
      <c r="B1530" s="239"/>
      <c r="C1530" s="239"/>
      <c r="D1530" s="239"/>
      <c r="E1530" s="239"/>
      <c r="F1530" s="283"/>
      <c r="G1530" s="239"/>
      <c r="H1530" s="239"/>
      <c r="I1530" s="239"/>
      <c r="J1530" s="239"/>
      <c r="K1530" s="239"/>
      <c r="L1530" s="239"/>
      <c r="M1530" s="239"/>
      <c r="N1530" s="239"/>
      <c r="O1530" s="239"/>
      <c r="P1530" s="246"/>
      <c r="Q1530" s="239"/>
      <c r="R1530" s="239"/>
      <c r="S1530" s="239"/>
      <c r="T1530" s="239"/>
      <c r="U1530" s="239"/>
      <c r="V1530" s="239"/>
      <c r="W1530" s="246"/>
      <c r="X1530" s="239"/>
      <c r="Y1530" s="239"/>
      <c r="Z1530" s="239"/>
      <c r="AA1530" s="239"/>
      <c r="AB1530" s="239"/>
      <c r="AC1530" s="239"/>
      <c r="AD1530" s="239"/>
      <c r="AE1530" s="239"/>
      <c r="AF1530" s="239"/>
      <c r="AG1530" s="239"/>
      <c r="AH1530" s="239"/>
      <c r="AI1530" s="239"/>
      <c r="AJ1530" s="239"/>
    </row>
    <row r="1531">
      <c r="A1531" s="239"/>
      <c r="B1531" s="239"/>
      <c r="C1531" s="239"/>
      <c r="D1531" s="239"/>
      <c r="E1531" s="239"/>
      <c r="F1531" s="283"/>
      <c r="G1531" s="239"/>
      <c r="H1531" s="239"/>
      <c r="I1531" s="239"/>
      <c r="J1531" s="239"/>
      <c r="K1531" s="239"/>
      <c r="L1531" s="239"/>
      <c r="M1531" s="239"/>
      <c r="N1531" s="239"/>
      <c r="O1531" s="239"/>
      <c r="P1531" s="246"/>
      <c r="Q1531" s="239"/>
      <c r="R1531" s="239"/>
      <c r="S1531" s="239"/>
      <c r="T1531" s="239"/>
      <c r="U1531" s="239"/>
      <c r="V1531" s="239"/>
      <c r="W1531" s="246"/>
      <c r="X1531" s="239"/>
      <c r="Y1531" s="239"/>
      <c r="Z1531" s="239"/>
      <c r="AA1531" s="239"/>
      <c r="AB1531" s="239"/>
      <c r="AC1531" s="239"/>
      <c r="AD1531" s="239"/>
      <c r="AE1531" s="239"/>
      <c r="AF1531" s="239"/>
      <c r="AG1531" s="239"/>
      <c r="AH1531" s="239"/>
      <c r="AI1531" s="239"/>
      <c r="AJ1531" s="239"/>
    </row>
    <row r="1532">
      <c r="A1532" s="239"/>
      <c r="B1532" s="239"/>
      <c r="C1532" s="239"/>
      <c r="D1532" s="239"/>
      <c r="E1532" s="239"/>
      <c r="F1532" s="283"/>
      <c r="G1532" s="239"/>
      <c r="H1532" s="239"/>
      <c r="I1532" s="239"/>
      <c r="J1532" s="239"/>
      <c r="K1532" s="239"/>
      <c r="L1532" s="239"/>
      <c r="M1532" s="239"/>
      <c r="N1532" s="239"/>
      <c r="O1532" s="239"/>
      <c r="P1532" s="246"/>
      <c r="Q1532" s="239"/>
      <c r="R1532" s="239"/>
      <c r="S1532" s="239"/>
      <c r="T1532" s="239"/>
      <c r="U1532" s="239"/>
      <c r="V1532" s="239"/>
      <c r="W1532" s="246"/>
      <c r="X1532" s="239"/>
      <c r="Y1532" s="239"/>
      <c r="Z1532" s="239"/>
      <c r="AA1532" s="239"/>
      <c r="AB1532" s="239"/>
      <c r="AC1532" s="239"/>
      <c r="AD1532" s="239"/>
      <c r="AE1532" s="239"/>
      <c r="AF1532" s="239"/>
      <c r="AG1532" s="239"/>
      <c r="AH1532" s="239"/>
      <c r="AI1532" s="239"/>
      <c r="AJ1532" s="239"/>
    </row>
    <row r="1533">
      <c r="A1533" s="239"/>
      <c r="B1533" s="239"/>
      <c r="C1533" s="239"/>
      <c r="D1533" s="239"/>
      <c r="E1533" s="239"/>
      <c r="F1533" s="283"/>
      <c r="G1533" s="239"/>
      <c r="H1533" s="239"/>
      <c r="I1533" s="239"/>
      <c r="J1533" s="239"/>
      <c r="K1533" s="239"/>
      <c r="L1533" s="239"/>
      <c r="M1533" s="239"/>
      <c r="N1533" s="239"/>
      <c r="O1533" s="239"/>
      <c r="P1533" s="246"/>
      <c r="Q1533" s="239"/>
      <c r="R1533" s="239"/>
      <c r="S1533" s="239"/>
      <c r="T1533" s="239"/>
      <c r="U1533" s="239"/>
      <c r="V1533" s="239"/>
      <c r="W1533" s="246"/>
      <c r="X1533" s="239"/>
      <c r="Y1533" s="239"/>
      <c r="Z1533" s="239"/>
      <c r="AA1533" s="239"/>
      <c r="AB1533" s="239"/>
      <c r="AC1533" s="239"/>
      <c r="AD1533" s="239"/>
      <c r="AE1533" s="239"/>
      <c r="AF1533" s="239"/>
      <c r="AG1533" s="239"/>
      <c r="AH1533" s="239"/>
      <c r="AI1533" s="239"/>
      <c r="AJ1533" s="239"/>
    </row>
    <row r="1534">
      <c r="A1534" s="239"/>
      <c r="B1534" s="239"/>
      <c r="C1534" s="239"/>
      <c r="D1534" s="239"/>
      <c r="E1534" s="239"/>
      <c r="F1534" s="283"/>
      <c r="G1534" s="239"/>
      <c r="H1534" s="239"/>
      <c r="I1534" s="239"/>
      <c r="J1534" s="239"/>
      <c r="K1534" s="239"/>
      <c r="L1534" s="239"/>
      <c r="M1534" s="239"/>
      <c r="N1534" s="239"/>
      <c r="O1534" s="239"/>
      <c r="P1534" s="246"/>
      <c r="Q1534" s="239"/>
      <c r="R1534" s="239"/>
      <c r="S1534" s="239"/>
      <c r="T1534" s="239"/>
      <c r="U1534" s="239"/>
      <c r="V1534" s="239"/>
      <c r="W1534" s="246"/>
      <c r="X1534" s="239"/>
      <c r="Y1534" s="239"/>
      <c r="Z1534" s="239"/>
      <c r="AA1534" s="239"/>
      <c r="AB1534" s="239"/>
      <c r="AC1534" s="239"/>
      <c r="AD1534" s="239"/>
      <c r="AE1534" s="239"/>
      <c r="AF1534" s="239"/>
      <c r="AG1534" s="239"/>
      <c r="AH1534" s="239"/>
      <c r="AI1534" s="239"/>
      <c r="AJ1534" s="239"/>
    </row>
    <row r="1535">
      <c r="A1535" s="239"/>
      <c r="B1535" s="239"/>
      <c r="C1535" s="239"/>
      <c r="D1535" s="239"/>
      <c r="E1535" s="239"/>
      <c r="F1535" s="283"/>
      <c r="G1535" s="239"/>
      <c r="H1535" s="239"/>
      <c r="I1535" s="239"/>
      <c r="J1535" s="239"/>
      <c r="K1535" s="239"/>
      <c r="L1535" s="239"/>
      <c r="M1535" s="239"/>
      <c r="N1535" s="239"/>
      <c r="O1535" s="239"/>
      <c r="P1535" s="246"/>
      <c r="Q1535" s="239"/>
      <c r="R1535" s="239"/>
      <c r="S1535" s="239"/>
      <c r="T1535" s="239"/>
      <c r="U1535" s="239"/>
      <c r="V1535" s="239"/>
      <c r="W1535" s="246"/>
      <c r="X1535" s="239"/>
      <c r="Y1535" s="239"/>
      <c r="Z1535" s="239"/>
      <c r="AA1535" s="239"/>
      <c r="AB1535" s="239"/>
      <c r="AC1535" s="239"/>
      <c r="AD1535" s="239"/>
      <c r="AE1535" s="239"/>
      <c r="AF1535" s="239"/>
      <c r="AG1535" s="239"/>
      <c r="AH1535" s="239"/>
      <c r="AI1535" s="239"/>
      <c r="AJ1535" s="239"/>
    </row>
    <row r="1536">
      <c r="A1536" s="239"/>
      <c r="B1536" s="239"/>
      <c r="C1536" s="239"/>
      <c r="D1536" s="239"/>
      <c r="E1536" s="239"/>
      <c r="F1536" s="283"/>
      <c r="G1536" s="239"/>
      <c r="H1536" s="239"/>
      <c r="I1536" s="239"/>
      <c r="J1536" s="239"/>
      <c r="K1536" s="239"/>
      <c r="L1536" s="239"/>
      <c r="M1536" s="239"/>
      <c r="N1536" s="239"/>
      <c r="O1536" s="239"/>
      <c r="P1536" s="246"/>
      <c r="Q1536" s="239"/>
      <c r="R1536" s="239"/>
      <c r="S1536" s="239"/>
      <c r="T1536" s="239"/>
      <c r="U1536" s="239"/>
      <c r="V1536" s="239"/>
      <c r="W1536" s="246"/>
      <c r="X1536" s="239"/>
      <c r="Y1536" s="239"/>
      <c r="Z1536" s="239"/>
      <c r="AA1536" s="239"/>
      <c r="AB1536" s="239"/>
      <c r="AC1536" s="239"/>
      <c r="AD1536" s="239"/>
      <c r="AE1536" s="239"/>
      <c r="AF1536" s="239"/>
      <c r="AG1536" s="239"/>
      <c r="AH1536" s="239"/>
      <c r="AI1536" s="239"/>
      <c r="AJ1536" s="239"/>
    </row>
    <row r="1537">
      <c r="A1537" s="239"/>
      <c r="B1537" s="239"/>
      <c r="C1537" s="239"/>
      <c r="D1537" s="239"/>
      <c r="E1537" s="239"/>
      <c r="F1537" s="283"/>
      <c r="G1537" s="239"/>
      <c r="H1537" s="239"/>
      <c r="I1537" s="239"/>
      <c r="J1537" s="239"/>
      <c r="K1537" s="239"/>
      <c r="L1537" s="239"/>
      <c r="M1537" s="239"/>
      <c r="N1537" s="239"/>
      <c r="O1537" s="239"/>
      <c r="P1537" s="246"/>
      <c r="Q1537" s="239"/>
      <c r="R1537" s="239"/>
      <c r="S1537" s="239"/>
      <c r="T1537" s="239"/>
      <c r="U1537" s="239"/>
      <c r="V1537" s="239"/>
      <c r="W1537" s="246"/>
      <c r="X1537" s="239"/>
      <c r="Y1537" s="239"/>
      <c r="Z1537" s="239"/>
      <c r="AA1537" s="239"/>
      <c r="AB1537" s="239"/>
      <c r="AC1537" s="239"/>
      <c r="AD1537" s="239"/>
      <c r="AE1537" s="239"/>
      <c r="AF1537" s="239"/>
      <c r="AG1537" s="239"/>
      <c r="AH1537" s="239"/>
      <c r="AI1537" s="239"/>
      <c r="AJ1537" s="239"/>
    </row>
    <row r="1538">
      <c r="A1538" s="239"/>
      <c r="B1538" s="239"/>
      <c r="C1538" s="239"/>
      <c r="D1538" s="239"/>
      <c r="E1538" s="239"/>
      <c r="F1538" s="283"/>
      <c r="G1538" s="239"/>
      <c r="H1538" s="239"/>
      <c r="I1538" s="239"/>
      <c r="J1538" s="239"/>
      <c r="K1538" s="239"/>
      <c r="L1538" s="239"/>
      <c r="M1538" s="239"/>
      <c r="N1538" s="239"/>
      <c r="O1538" s="239"/>
      <c r="P1538" s="246"/>
      <c r="Q1538" s="239"/>
      <c r="R1538" s="239"/>
      <c r="S1538" s="239"/>
      <c r="T1538" s="239"/>
      <c r="U1538" s="239"/>
      <c r="V1538" s="239"/>
      <c r="W1538" s="246"/>
      <c r="X1538" s="239"/>
      <c r="Y1538" s="239"/>
      <c r="Z1538" s="239"/>
      <c r="AA1538" s="239"/>
      <c r="AB1538" s="239"/>
      <c r="AC1538" s="239"/>
      <c r="AD1538" s="239"/>
      <c r="AE1538" s="239"/>
      <c r="AF1538" s="239"/>
      <c r="AG1538" s="239"/>
      <c r="AH1538" s="239"/>
      <c r="AI1538" s="239"/>
      <c r="AJ1538" s="239"/>
    </row>
    <row r="1539">
      <c r="A1539" s="239"/>
      <c r="B1539" s="239"/>
      <c r="C1539" s="239"/>
      <c r="D1539" s="239"/>
      <c r="E1539" s="239"/>
      <c r="F1539" s="283"/>
      <c r="G1539" s="239"/>
      <c r="H1539" s="239"/>
      <c r="I1539" s="239"/>
      <c r="J1539" s="239"/>
      <c r="K1539" s="239"/>
      <c r="L1539" s="239"/>
      <c r="M1539" s="239"/>
      <c r="N1539" s="239"/>
      <c r="O1539" s="239"/>
      <c r="P1539" s="246"/>
      <c r="Q1539" s="239"/>
      <c r="R1539" s="239"/>
      <c r="S1539" s="239"/>
      <c r="T1539" s="239"/>
      <c r="U1539" s="239"/>
      <c r="V1539" s="239"/>
      <c r="W1539" s="246"/>
      <c r="X1539" s="239"/>
      <c r="Y1539" s="239"/>
      <c r="Z1539" s="239"/>
      <c r="AA1539" s="239"/>
      <c r="AB1539" s="239"/>
      <c r="AC1539" s="239"/>
      <c r="AD1539" s="239"/>
      <c r="AE1539" s="239"/>
      <c r="AF1539" s="239"/>
      <c r="AG1539" s="239"/>
      <c r="AH1539" s="239"/>
      <c r="AI1539" s="239"/>
      <c r="AJ1539" s="239"/>
    </row>
    <row r="1540">
      <c r="A1540" s="239"/>
      <c r="B1540" s="239"/>
      <c r="C1540" s="239"/>
      <c r="D1540" s="239"/>
      <c r="E1540" s="239"/>
      <c r="F1540" s="283"/>
      <c r="G1540" s="239"/>
      <c r="H1540" s="239"/>
      <c r="I1540" s="239"/>
      <c r="J1540" s="239"/>
      <c r="K1540" s="239"/>
      <c r="L1540" s="239"/>
      <c r="M1540" s="239"/>
      <c r="N1540" s="239"/>
      <c r="O1540" s="239"/>
      <c r="P1540" s="246"/>
      <c r="Q1540" s="239"/>
      <c r="R1540" s="239"/>
      <c r="S1540" s="239"/>
      <c r="T1540" s="239"/>
      <c r="U1540" s="239"/>
      <c r="V1540" s="239"/>
      <c r="W1540" s="246"/>
      <c r="X1540" s="239"/>
      <c r="Y1540" s="239"/>
      <c r="Z1540" s="239"/>
      <c r="AA1540" s="239"/>
      <c r="AB1540" s="239"/>
      <c r="AC1540" s="239"/>
      <c r="AD1540" s="239"/>
      <c r="AE1540" s="239"/>
      <c r="AF1540" s="239"/>
      <c r="AG1540" s="239"/>
      <c r="AH1540" s="239"/>
      <c r="AI1540" s="239"/>
      <c r="AJ1540" s="239"/>
    </row>
    <row r="1541">
      <c r="A1541" s="239"/>
      <c r="B1541" s="239"/>
      <c r="C1541" s="239"/>
      <c r="D1541" s="239"/>
      <c r="E1541" s="239"/>
      <c r="F1541" s="283"/>
      <c r="G1541" s="239"/>
      <c r="H1541" s="239"/>
      <c r="I1541" s="239"/>
      <c r="J1541" s="239"/>
      <c r="K1541" s="239"/>
      <c r="L1541" s="239"/>
      <c r="M1541" s="239"/>
      <c r="N1541" s="239"/>
      <c r="O1541" s="239"/>
      <c r="P1541" s="246"/>
      <c r="Q1541" s="239"/>
      <c r="R1541" s="239"/>
      <c r="S1541" s="239"/>
      <c r="T1541" s="239"/>
      <c r="U1541" s="239"/>
      <c r="V1541" s="239"/>
      <c r="W1541" s="246"/>
      <c r="X1541" s="239"/>
      <c r="Y1541" s="239"/>
      <c r="Z1541" s="239"/>
      <c r="AA1541" s="239"/>
      <c r="AB1541" s="239"/>
      <c r="AC1541" s="239"/>
      <c r="AD1541" s="239"/>
      <c r="AE1541" s="239"/>
      <c r="AF1541" s="239"/>
      <c r="AG1541" s="239"/>
      <c r="AH1541" s="239"/>
      <c r="AI1541" s="239"/>
      <c r="AJ1541" s="239"/>
    </row>
    <row r="1542">
      <c r="A1542" s="239"/>
      <c r="B1542" s="239"/>
      <c r="C1542" s="239"/>
      <c r="D1542" s="239"/>
      <c r="E1542" s="239"/>
      <c r="F1542" s="283"/>
      <c r="G1542" s="239"/>
      <c r="H1542" s="239"/>
      <c r="I1542" s="239"/>
      <c r="J1542" s="239"/>
      <c r="K1542" s="239"/>
      <c r="L1542" s="239"/>
      <c r="M1542" s="239"/>
      <c r="N1542" s="239"/>
      <c r="O1542" s="239"/>
      <c r="P1542" s="246"/>
      <c r="Q1542" s="239"/>
      <c r="R1542" s="239"/>
      <c r="S1542" s="239"/>
      <c r="T1542" s="239"/>
      <c r="U1542" s="239"/>
      <c r="V1542" s="239"/>
      <c r="W1542" s="246"/>
      <c r="X1542" s="239"/>
      <c r="Y1542" s="239"/>
      <c r="Z1542" s="239"/>
      <c r="AA1542" s="239"/>
      <c r="AB1542" s="239"/>
      <c r="AC1542" s="239"/>
      <c r="AD1542" s="239"/>
      <c r="AE1542" s="239"/>
      <c r="AF1542" s="239"/>
      <c r="AG1542" s="239"/>
      <c r="AH1542" s="239"/>
      <c r="AI1542" s="239"/>
      <c r="AJ1542" s="239"/>
    </row>
    <row r="1543">
      <c r="A1543" s="239"/>
      <c r="B1543" s="239"/>
      <c r="C1543" s="239"/>
      <c r="D1543" s="239"/>
      <c r="E1543" s="239"/>
      <c r="F1543" s="283"/>
      <c r="G1543" s="239"/>
      <c r="H1543" s="239"/>
      <c r="I1543" s="239"/>
      <c r="J1543" s="239"/>
      <c r="K1543" s="239"/>
      <c r="L1543" s="239"/>
      <c r="M1543" s="239"/>
      <c r="N1543" s="239"/>
      <c r="O1543" s="239"/>
      <c r="P1543" s="246"/>
      <c r="Q1543" s="239"/>
      <c r="R1543" s="239"/>
      <c r="S1543" s="239"/>
      <c r="T1543" s="239"/>
      <c r="U1543" s="239"/>
      <c r="V1543" s="239"/>
      <c r="W1543" s="246"/>
      <c r="X1543" s="239"/>
      <c r="Y1543" s="239"/>
      <c r="Z1543" s="239"/>
      <c r="AA1543" s="239"/>
      <c r="AB1543" s="239"/>
      <c r="AC1543" s="239"/>
      <c r="AD1543" s="239"/>
      <c r="AE1543" s="239"/>
      <c r="AF1543" s="239"/>
      <c r="AG1543" s="239"/>
      <c r="AH1543" s="239"/>
      <c r="AI1543" s="239"/>
      <c r="AJ1543" s="239"/>
    </row>
    <row r="1544">
      <c r="A1544" s="239"/>
      <c r="B1544" s="239"/>
      <c r="C1544" s="239"/>
      <c r="D1544" s="239"/>
      <c r="E1544" s="239"/>
      <c r="F1544" s="283"/>
      <c r="G1544" s="239"/>
      <c r="H1544" s="239"/>
      <c r="I1544" s="239"/>
      <c r="J1544" s="239"/>
      <c r="K1544" s="239"/>
      <c r="L1544" s="239"/>
      <c r="M1544" s="239"/>
      <c r="N1544" s="239"/>
      <c r="O1544" s="239"/>
      <c r="P1544" s="246"/>
      <c r="Q1544" s="239"/>
      <c r="R1544" s="239"/>
      <c r="S1544" s="239"/>
      <c r="T1544" s="239"/>
      <c r="U1544" s="239"/>
      <c r="V1544" s="239"/>
      <c r="W1544" s="246"/>
      <c r="X1544" s="239"/>
      <c r="Y1544" s="239"/>
      <c r="Z1544" s="239"/>
      <c r="AA1544" s="239"/>
      <c r="AB1544" s="239"/>
      <c r="AC1544" s="239"/>
      <c r="AD1544" s="239"/>
      <c r="AE1544" s="239"/>
      <c r="AF1544" s="239"/>
      <c r="AG1544" s="239"/>
      <c r="AH1544" s="239"/>
      <c r="AI1544" s="239"/>
      <c r="AJ1544" s="239"/>
    </row>
    <row r="1545">
      <c r="A1545" s="239"/>
      <c r="B1545" s="239"/>
      <c r="C1545" s="239"/>
      <c r="D1545" s="239"/>
      <c r="E1545" s="239"/>
      <c r="F1545" s="283"/>
      <c r="G1545" s="239"/>
      <c r="H1545" s="239"/>
      <c r="I1545" s="239"/>
      <c r="J1545" s="239"/>
      <c r="K1545" s="239"/>
      <c r="L1545" s="239"/>
      <c r="M1545" s="239"/>
      <c r="N1545" s="239"/>
      <c r="O1545" s="239"/>
      <c r="P1545" s="246"/>
      <c r="Q1545" s="239"/>
      <c r="R1545" s="239"/>
      <c r="S1545" s="239"/>
      <c r="T1545" s="239"/>
      <c r="U1545" s="239"/>
      <c r="V1545" s="239"/>
      <c r="W1545" s="246"/>
      <c r="X1545" s="239"/>
      <c r="Y1545" s="239"/>
      <c r="Z1545" s="239"/>
      <c r="AA1545" s="239"/>
      <c r="AB1545" s="239"/>
      <c r="AC1545" s="239"/>
      <c r="AD1545" s="239"/>
      <c r="AE1545" s="239"/>
      <c r="AF1545" s="239"/>
      <c r="AG1545" s="239"/>
      <c r="AH1545" s="239"/>
      <c r="AI1545" s="239"/>
      <c r="AJ1545" s="239"/>
    </row>
    <row r="1546">
      <c r="A1546" s="239"/>
      <c r="B1546" s="239"/>
      <c r="C1546" s="239"/>
      <c r="D1546" s="239"/>
      <c r="E1546" s="239"/>
      <c r="F1546" s="283"/>
      <c r="G1546" s="239"/>
      <c r="H1546" s="239"/>
      <c r="I1546" s="239"/>
      <c r="J1546" s="239"/>
      <c r="K1546" s="239"/>
      <c r="L1546" s="239"/>
      <c r="M1546" s="239"/>
      <c r="N1546" s="239"/>
      <c r="O1546" s="239"/>
      <c r="P1546" s="246"/>
      <c r="Q1546" s="239"/>
      <c r="R1546" s="239"/>
      <c r="S1546" s="239"/>
      <c r="T1546" s="239"/>
      <c r="U1546" s="239"/>
      <c r="V1546" s="239"/>
      <c r="W1546" s="246"/>
      <c r="X1546" s="239"/>
      <c r="Y1546" s="239"/>
      <c r="Z1546" s="239"/>
      <c r="AA1546" s="239"/>
      <c r="AB1546" s="239"/>
      <c r="AC1546" s="239"/>
      <c r="AD1546" s="239"/>
      <c r="AE1546" s="239"/>
      <c r="AF1546" s="239"/>
      <c r="AG1546" s="239"/>
      <c r="AH1546" s="239"/>
      <c r="AI1546" s="239"/>
      <c r="AJ1546" s="239"/>
    </row>
    <row r="1547">
      <c r="A1547" s="239"/>
      <c r="B1547" s="239"/>
      <c r="C1547" s="239"/>
      <c r="D1547" s="239"/>
      <c r="E1547" s="239"/>
      <c r="F1547" s="283"/>
      <c r="G1547" s="239"/>
      <c r="H1547" s="239"/>
      <c r="I1547" s="239"/>
      <c r="J1547" s="239"/>
      <c r="K1547" s="239"/>
      <c r="L1547" s="239"/>
      <c r="M1547" s="239"/>
      <c r="N1547" s="239"/>
      <c r="O1547" s="239"/>
      <c r="P1547" s="246"/>
      <c r="Q1547" s="239"/>
      <c r="R1547" s="239"/>
      <c r="S1547" s="239"/>
      <c r="T1547" s="239"/>
      <c r="U1547" s="239"/>
      <c r="V1547" s="239"/>
      <c r="W1547" s="246"/>
      <c r="X1547" s="239"/>
      <c r="Y1547" s="239"/>
      <c r="Z1547" s="239"/>
      <c r="AA1547" s="239"/>
      <c r="AB1547" s="239"/>
      <c r="AC1547" s="239"/>
      <c r="AD1547" s="239"/>
      <c r="AE1547" s="239"/>
      <c r="AF1547" s="239"/>
      <c r="AG1547" s="239"/>
      <c r="AH1547" s="239"/>
      <c r="AI1547" s="239"/>
      <c r="AJ1547" s="239"/>
    </row>
    <row r="1548">
      <c r="A1548" s="239"/>
      <c r="B1548" s="239"/>
      <c r="C1548" s="239"/>
      <c r="D1548" s="239"/>
      <c r="E1548" s="239"/>
      <c r="F1548" s="283"/>
      <c r="G1548" s="239"/>
      <c r="H1548" s="239"/>
      <c r="I1548" s="239"/>
      <c r="J1548" s="239"/>
      <c r="K1548" s="239"/>
      <c r="L1548" s="239"/>
      <c r="M1548" s="239"/>
      <c r="N1548" s="239"/>
      <c r="O1548" s="239"/>
      <c r="P1548" s="246"/>
      <c r="Q1548" s="239"/>
      <c r="R1548" s="239"/>
      <c r="S1548" s="239"/>
      <c r="T1548" s="239"/>
      <c r="U1548" s="239"/>
      <c r="V1548" s="239"/>
      <c r="W1548" s="246"/>
      <c r="X1548" s="239"/>
      <c r="Y1548" s="239"/>
      <c r="Z1548" s="239"/>
      <c r="AA1548" s="239"/>
      <c r="AB1548" s="239"/>
      <c r="AC1548" s="239"/>
      <c r="AD1548" s="239"/>
      <c r="AE1548" s="239"/>
      <c r="AF1548" s="239"/>
      <c r="AG1548" s="239"/>
      <c r="AH1548" s="239"/>
      <c r="AI1548" s="239"/>
      <c r="AJ1548" s="239"/>
    </row>
    <row r="1549">
      <c r="A1549" s="239"/>
      <c r="B1549" s="239"/>
      <c r="C1549" s="239"/>
      <c r="D1549" s="239"/>
      <c r="E1549" s="239"/>
      <c r="F1549" s="283"/>
      <c r="G1549" s="239"/>
      <c r="H1549" s="239"/>
      <c r="I1549" s="239"/>
      <c r="J1549" s="239"/>
      <c r="K1549" s="239"/>
      <c r="L1549" s="239"/>
      <c r="M1549" s="239"/>
      <c r="N1549" s="239"/>
      <c r="O1549" s="239"/>
      <c r="P1549" s="246"/>
      <c r="Q1549" s="239"/>
      <c r="R1549" s="239"/>
      <c r="S1549" s="239"/>
      <c r="T1549" s="239"/>
      <c r="U1549" s="239"/>
      <c r="V1549" s="239"/>
      <c r="W1549" s="246"/>
      <c r="X1549" s="239"/>
      <c r="Y1549" s="239"/>
      <c r="Z1549" s="239"/>
      <c r="AA1549" s="239"/>
      <c r="AB1549" s="239"/>
      <c r="AC1549" s="239"/>
      <c r="AD1549" s="239"/>
      <c r="AE1549" s="239"/>
      <c r="AF1549" s="239"/>
      <c r="AG1549" s="239"/>
      <c r="AH1549" s="239"/>
      <c r="AI1549" s="239"/>
      <c r="AJ1549" s="239"/>
    </row>
    <row r="1550">
      <c r="A1550" s="239"/>
      <c r="B1550" s="239"/>
      <c r="C1550" s="239"/>
      <c r="D1550" s="239"/>
      <c r="E1550" s="239"/>
      <c r="F1550" s="283"/>
      <c r="G1550" s="239"/>
      <c r="H1550" s="239"/>
      <c r="I1550" s="239"/>
      <c r="J1550" s="239"/>
      <c r="K1550" s="239"/>
      <c r="L1550" s="239"/>
      <c r="M1550" s="239"/>
      <c r="N1550" s="239"/>
      <c r="O1550" s="239"/>
      <c r="P1550" s="246"/>
      <c r="Q1550" s="239"/>
      <c r="R1550" s="239"/>
      <c r="S1550" s="239"/>
      <c r="T1550" s="239"/>
      <c r="U1550" s="239"/>
      <c r="V1550" s="239"/>
      <c r="W1550" s="246"/>
      <c r="X1550" s="239"/>
      <c r="Y1550" s="239"/>
      <c r="Z1550" s="239"/>
      <c r="AA1550" s="239"/>
      <c r="AB1550" s="239"/>
      <c r="AC1550" s="239"/>
      <c r="AD1550" s="239"/>
      <c r="AE1550" s="239"/>
      <c r="AF1550" s="239"/>
      <c r="AG1550" s="239"/>
      <c r="AH1550" s="239"/>
      <c r="AI1550" s="239"/>
      <c r="AJ1550" s="239"/>
    </row>
    <row r="1551">
      <c r="A1551" s="239"/>
      <c r="B1551" s="239"/>
      <c r="C1551" s="239"/>
      <c r="D1551" s="239"/>
      <c r="E1551" s="239"/>
      <c r="F1551" s="283"/>
      <c r="G1551" s="239"/>
      <c r="H1551" s="239"/>
      <c r="I1551" s="239"/>
      <c r="J1551" s="239"/>
      <c r="K1551" s="239"/>
      <c r="L1551" s="239"/>
      <c r="M1551" s="239"/>
      <c r="N1551" s="239"/>
      <c r="O1551" s="239"/>
      <c r="P1551" s="246"/>
      <c r="Q1551" s="239"/>
      <c r="R1551" s="239"/>
      <c r="S1551" s="239"/>
      <c r="T1551" s="239"/>
      <c r="U1551" s="239"/>
      <c r="V1551" s="239"/>
      <c r="W1551" s="246"/>
      <c r="X1551" s="239"/>
      <c r="Y1551" s="239"/>
      <c r="Z1551" s="239"/>
      <c r="AA1551" s="239"/>
      <c r="AB1551" s="239"/>
      <c r="AC1551" s="239"/>
      <c r="AD1551" s="239"/>
      <c r="AE1551" s="239"/>
      <c r="AF1551" s="239"/>
      <c r="AG1551" s="239"/>
      <c r="AH1551" s="239"/>
      <c r="AI1551" s="239"/>
      <c r="AJ1551" s="239"/>
    </row>
    <row r="1552">
      <c r="A1552" s="239"/>
      <c r="B1552" s="239"/>
      <c r="C1552" s="239"/>
      <c r="D1552" s="239"/>
      <c r="E1552" s="239"/>
      <c r="F1552" s="283"/>
      <c r="G1552" s="239"/>
      <c r="H1552" s="239"/>
      <c r="I1552" s="239"/>
      <c r="J1552" s="239"/>
      <c r="K1552" s="239"/>
      <c r="L1552" s="239"/>
      <c r="M1552" s="239"/>
      <c r="N1552" s="239"/>
      <c r="O1552" s="239"/>
      <c r="P1552" s="246"/>
      <c r="Q1552" s="239"/>
      <c r="R1552" s="239"/>
      <c r="S1552" s="239"/>
      <c r="T1552" s="239"/>
      <c r="U1552" s="239"/>
      <c r="V1552" s="239"/>
      <c r="W1552" s="246"/>
      <c r="X1552" s="239"/>
      <c r="Y1552" s="239"/>
      <c r="Z1552" s="239"/>
      <c r="AA1552" s="239"/>
      <c r="AB1552" s="239"/>
      <c r="AC1552" s="239"/>
      <c r="AD1552" s="239"/>
      <c r="AE1552" s="239"/>
      <c r="AF1552" s="239"/>
      <c r="AG1552" s="239"/>
      <c r="AH1552" s="239"/>
      <c r="AI1552" s="239"/>
      <c r="AJ1552" s="239"/>
    </row>
    <row r="1553">
      <c r="A1553" s="239"/>
      <c r="B1553" s="239"/>
      <c r="C1553" s="239"/>
      <c r="D1553" s="239"/>
      <c r="E1553" s="239"/>
      <c r="F1553" s="283"/>
      <c r="G1553" s="239"/>
      <c r="H1553" s="239"/>
      <c r="I1553" s="239"/>
      <c r="J1553" s="239"/>
      <c r="K1553" s="239"/>
      <c r="L1553" s="239"/>
      <c r="M1553" s="239"/>
      <c r="N1553" s="239"/>
      <c r="O1553" s="239"/>
      <c r="P1553" s="246"/>
      <c r="Q1553" s="239"/>
      <c r="R1553" s="239"/>
      <c r="S1553" s="239"/>
      <c r="T1553" s="239"/>
      <c r="U1553" s="239"/>
      <c r="V1553" s="239"/>
      <c r="W1553" s="246"/>
      <c r="X1553" s="239"/>
      <c r="Y1553" s="239"/>
      <c r="Z1553" s="239"/>
      <c r="AA1553" s="239"/>
      <c r="AB1553" s="239"/>
      <c r="AC1553" s="239"/>
      <c r="AD1553" s="239"/>
      <c r="AE1553" s="239"/>
      <c r="AF1553" s="239"/>
      <c r="AG1553" s="239"/>
      <c r="AH1553" s="239"/>
      <c r="AI1553" s="239"/>
      <c r="AJ1553" s="239"/>
    </row>
    <row r="1554">
      <c r="A1554" s="239"/>
      <c r="B1554" s="239"/>
      <c r="C1554" s="239"/>
      <c r="D1554" s="239"/>
      <c r="E1554" s="239"/>
      <c r="F1554" s="283"/>
      <c r="G1554" s="239"/>
      <c r="H1554" s="239"/>
      <c r="I1554" s="239"/>
      <c r="J1554" s="239"/>
      <c r="K1554" s="239"/>
      <c r="L1554" s="239"/>
      <c r="M1554" s="239"/>
      <c r="N1554" s="239"/>
      <c r="O1554" s="239"/>
      <c r="P1554" s="246"/>
      <c r="Q1554" s="239"/>
      <c r="R1554" s="239"/>
      <c r="S1554" s="239"/>
      <c r="T1554" s="239"/>
      <c r="U1554" s="239"/>
      <c r="V1554" s="239"/>
      <c r="W1554" s="246"/>
      <c r="X1554" s="239"/>
      <c r="Y1554" s="239"/>
      <c r="Z1554" s="239"/>
      <c r="AA1554" s="239"/>
      <c r="AB1554" s="239"/>
      <c r="AC1554" s="239"/>
      <c r="AD1554" s="239"/>
      <c r="AE1554" s="239"/>
      <c r="AF1554" s="239"/>
      <c r="AG1554" s="239"/>
      <c r="AH1554" s="239"/>
      <c r="AI1554" s="239"/>
      <c r="AJ1554" s="239"/>
    </row>
    <row r="1555">
      <c r="A1555" s="239"/>
      <c r="B1555" s="239"/>
      <c r="C1555" s="239"/>
      <c r="D1555" s="239"/>
      <c r="E1555" s="239"/>
      <c r="F1555" s="283"/>
      <c r="G1555" s="239"/>
      <c r="H1555" s="239"/>
      <c r="I1555" s="239"/>
      <c r="J1555" s="239"/>
      <c r="K1555" s="239"/>
      <c r="L1555" s="239"/>
      <c r="M1555" s="239"/>
      <c r="N1555" s="239"/>
      <c r="O1555" s="239"/>
      <c r="P1555" s="246"/>
      <c r="Q1555" s="239"/>
      <c r="R1555" s="239"/>
      <c r="S1555" s="239"/>
      <c r="T1555" s="239"/>
      <c r="U1555" s="239"/>
      <c r="V1555" s="239"/>
      <c r="W1555" s="246"/>
      <c r="X1555" s="239"/>
      <c r="Y1555" s="239"/>
      <c r="Z1555" s="239"/>
      <c r="AA1555" s="239"/>
      <c r="AB1555" s="239"/>
      <c r="AC1555" s="239"/>
      <c r="AD1555" s="239"/>
      <c r="AE1555" s="239"/>
      <c r="AF1555" s="239"/>
      <c r="AG1555" s="239"/>
      <c r="AH1555" s="239"/>
      <c r="AI1555" s="239"/>
      <c r="AJ1555" s="239"/>
    </row>
    <row r="1556">
      <c r="A1556" s="239"/>
      <c r="B1556" s="239"/>
      <c r="C1556" s="239"/>
      <c r="D1556" s="239"/>
      <c r="E1556" s="239"/>
      <c r="F1556" s="283"/>
      <c r="G1556" s="239"/>
      <c r="H1556" s="239"/>
      <c r="I1556" s="239"/>
      <c r="J1556" s="239"/>
      <c r="K1556" s="239"/>
      <c r="L1556" s="239"/>
      <c r="M1556" s="239"/>
      <c r="N1556" s="239"/>
      <c r="O1556" s="239"/>
      <c r="P1556" s="246"/>
      <c r="Q1556" s="239"/>
      <c r="R1556" s="239"/>
      <c r="S1556" s="239"/>
      <c r="T1556" s="239"/>
      <c r="U1556" s="239"/>
      <c r="V1556" s="239"/>
      <c r="W1556" s="246"/>
      <c r="X1556" s="239"/>
      <c r="Y1556" s="239"/>
      <c r="Z1556" s="239"/>
      <c r="AA1556" s="239"/>
      <c r="AB1556" s="239"/>
      <c r="AC1556" s="239"/>
      <c r="AD1556" s="239"/>
      <c r="AE1556" s="239"/>
      <c r="AF1556" s="239"/>
      <c r="AG1556" s="239"/>
      <c r="AH1556" s="239"/>
      <c r="AI1556" s="239"/>
      <c r="AJ1556" s="239"/>
    </row>
    <row r="1557">
      <c r="A1557" s="239"/>
      <c r="B1557" s="239"/>
      <c r="C1557" s="239"/>
      <c r="D1557" s="239"/>
      <c r="E1557" s="239"/>
      <c r="F1557" s="283"/>
      <c r="G1557" s="239"/>
      <c r="H1557" s="239"/>
      <c r="I1557" s="239"/>
      <c r="J1557" s="239"/>
      <c r="K1557" s="239"/>
      <c r="L1557" s="239"/>
      <c r="M1557" s="239"/>
      <c r="N1557" s="239"/>
      <c r="O1557" s="239"/>
      <c r="P1557" s="246"/>
      <c r="Q1557" s="239"/>
      <c r="R1557" s="239"/>
      <c r="S1557" s="239"/>
      <c r="T1557" s="239"/>
      <c r="U1557" s="239"/>
      <c r="V1557" s="239"/>
      <c r="W1557" s="246"/>
      <c r="X1557" s="239"/>
      <c r="Y1557" s="239"/>
      <c r="Z1557" s="239"/>
      <c r="AA1557" s="239"/>
      <c r="AB1557" s="239"/>
      <c r="AC1557" s="239"/>
      <c r="AD1557" s="239"/>
      <c r="AE1557" s="239"/>
      <c r="AF1557" s="239"/>
      <c r="AG1557" s="239"/>
      <c r="AH1557" s="239"/>
      <c r="AI1557" s="239"/>
      <c r="AJ1557" s="239"/>
    </row>
    <row r="1558">
      <c r="A1558" s="239"/>
      <c r="B1558" s="239"/>
      <c r="C1558" s="239"/>
      <c r="D1558" s="239"/>
      <c r="E1558" s="239"/>
      <c r="F1558" s="283"/>
      <c r="G1558" s="239"/>
      <c r="H1558" s="239"/>
      <c r="I1558" s="239"/>
      <c r="J1558" s="239"/>
      <c r="K1558" s="239"/>
      <c r="L1558" s="239"/>
      <c r="M1558" s="239"/>
      <c r="N1558" s="239"/>
      <c r="O1558" s="239"/>
      <c r="P1558" s="246"/>
      <c r="Q1558" s="239"/>
      <c r="R1558" s="239"/>
      <c r="S1558" s="239"/>
      <c r="T1558" s="239"/>
      <c r="U1558" s="239"/>
      <c r="V1558" s="239"/>
      <c r="W1558" s="246"/>
      <c r="X1558" s="239"/>
      <c r="Y1558" s="239"/>
      <c r="Z1558" s="239"/>
      <c r="AA1558" s="239"/>
      <c r="AB1558" s="239"/>
      <c r="AC1558" s="239"/>
      <c r="AD1558" s="239"/>
      <c r="AE1558" s="239"/>
      <c r="AF1558" s="239"/>
      <c r="AG1558" s="239"/>
      <c r="AH1558" s="239"/>
      <c r="AI1558" s="239"/>
      <c r="AJ1558" s="239"/>
    </row>
    <row r="1559">
      <c r="A1559" s="239"/>
      <c r="B1559" s="239"/>
      <c r="C1559" s="239"/>
      <c r="D1559" s="239"/>
      <c r="E1559" s="239"/>
      <c r="F1559" s="283"/>
      <c r="G1559" s="239"/>
      <c r="H1559" s="239"/>
      <c r="I1559" s="239"/>
      <c r="J1559" s="239"/>
      <c r="K1559" s="239"/>
      <c r="L1559" s="239"/>
      <c r="M1559" s="239"/>
      <c r="N1559" s="239"/>
      <c r="O1559" s="239"/>
      <c r="P1559" s="246"/>
      <c r="Q1559" s="239"/>
      <c r="R1559" s="239"/>
      <c r="S1559" s="239"/>
      <c r="T1559" s="239"/>
      <c r="U1559" s="239"/>
      <c r="V1559" s="239"/>
      <c r="W1559" s="246"/>
      <c r="X1559" s="239"/>
      <c r="Y1559" s="239"/>
      <c r="Z1559" s="239"/>
      <c r="AA1559" s="239"/>
      <c r="AB1559" s="239"/>
      <c r="AC1559" s="239"/>
      <c r="AD1559" s="239"/>
      <c r="AE1559" s="239"/>
      <c r="AF1559" s="239"/>
      <c r="AG1559" s="239"/>
      <c r="AH1559" s="239"/>
      <c r="AI1559" s="239"/>
      <c r="AJ1559" s="239"/>
    </row>
    <row r="1560">
      <c r="A1560" s="239"/>
      <c r="B1560" s="239"/>
      <c r="C1560" s="239"/>
      <c r="D1560" s="239"/>
      <c r="E1560" s="239"/>
      <c r="F1560" s="283"/>
      <c r="G1560" s="239"/>
      <c r="H1560" s="239"/>
      <c r="I1560" s="239"/>
      <c r="J1560" s="239"/>
      <c r="K1560" s="239"/>
      <c r="L1560" s="239"/>
      <c r="M1560" s="239"/>
      <c r="N1560" s="239"/>
      <c r="O1560" s="239"/>
      <c r="P1560" s="246"/>
      <c r="Q1560" s="239"/>
      <c r="R1560" s="239"/>
      <c r="S1560" s="239"/>
      <c r="T1560" s="239"/>
      <c r="U1560" s="239"/>
      <c r="V1560" s="239"/>
      <c r="W1560" s="246"/>
      <c r="X1560" s="239"/>
      <c r="Y1560" s="239"/>
      <c r="Z1560" s="239"/>
      <c r="AA1560" s="239"/>
      <c r="AB1560" s="239"/>
      <c r="AC1560" s="239"/>
      <c r="AD1560" s="239"/>
      <c r="AE1560" s="239"/>
      <c r="AF1560" s="239"/>
      <c r="AG1560" s="239"/>
      <c r="AH1560" s="239"/>
      <c r="AI1560" s="239"/>
      <c r="AJ1560" s="239"/>
    </row>
    <row r="1561">
      <c r="A1561" s="239"/>
      <c r="B1561" s="239"/>
      <c r="C1561" s="239"/>
      <c r="D1561" s="239"/>
      <c r="E1561" s="239"/>
      <c r="F1561" s="283"/>
      <c r="G1561" s="239"/>
      <c r="H1561" s="239"/>
      <c r="I1561" s="239"/>
      <c r="J1561" s="239"/>
      <c r="K1561" s="239"/>
      <c r="L1561" s="239"/>
      <c r="M1561" s="239"/>
      <c r="N1561" s="239"/>
      <c r="O1561" s="239"/>
      <c r="P1561" s="246"/>
      <c r="Q1561" s="239"/>
      <c r="R1561" s="239"/>
      <c r="S1561" s="239"/>
      <c r="T1561" s="239"/>
      <c r="U1561" s="239"/>
      <c r="V1561" s="239"/>
      <c r="W1561" s="246"/>
      <c r="X1561" s="239"/>
      <c r="Y1561" s="239"/>
      <c r="Z1561" s="239"/>
      <c r="AA1561" s="239"/>
      <c r="AB1561" s="239"/>
      <c r="AC1561" s="239"/>
      <c r="AD1561" s="239"/>
      <c r="AE1561" s="239"/>
      <c r="AF1561" s="239"/>
      <c r="AG1561" s="239"/>
      <c r="AH1561" s="239"/>
      <c r="AI1561" s="239"/>
      <c r="AJ1561" s="239"/>
    </row>
    <row r="1562">
      <c r="A1562" s="239"/>
      <c r="B1562" s="239"/>
      <c r="C1562" s="239"/>
      <c r="D1562" s="239"/>
      <c r="E1562" s="239"/>
      <c r="F1562" s="283"/>
      <c r="G1562" s="239"/>
      <c r="H1562" s="239"/>
      <c r="I1562" s="239"/>
      <c r="J1562" s="239"/>
      <c r="K1562" s="239"/>
      <c r="L1562" s="239"/>
      <c r="M1562" s="239"/>
      <c r="N1562" s="239"/>
      <c r="O1562" s="239"/>
      <c r="P1562" s="246"/>
      <c r="Q1562" s="239"/>
      <c r="R1562" s="239"/>
      <c r="S1562" s="239"/>
      <c r="T1562" s="239"/>
      <c r="U1562" s="239"/>
      <c r="V1562" s="239"/>
      <c r="W1562" s="246"/>
      <c r="X1562" s="239"/>
      <c r="Y1562" s="239"/>
      <c r="Z1562" s="239"/>
      <c r="AA1562" s="239"/>
      <c r="AB1562" s="239"/>
      <c r="AC1562" s="239"/>
      <c r="AD1562" s="239"/>
      <c r="AE1562" s="239"/>
      <c r="AF1562" s="239"/>
      <c r="AG1562" s="239"/>
      <c r="AH1562" s="239"/>
      <c r="AI1562" s="239"/>
      <c r="AJ1562" s="239"/>
    </row>
    <row r="1563">
      <c r="A1563" s="239"/>
      <c r="B1563" s="239"/>
      <c r="C1563" s="239"/>
      <c r="D1563" s="239"/>
      <c r="E1563" s="239"/>
      <c r="F1563" s="283"/>
      <c r="G1563" s="239"/>
      <c r="H1563" s="239"/>
      <c r="I1563" s="239"/>
      <c r="J1563" s="239"/>
      <c r="K1563" s="239"/>
      <c r="L1563" s="239"/>
      <c r="M1563" s="239"/>
      <c r="N1563" s="239"/>
      <c r="O1563" s="239"/>
      <c r="P1563" s="246"/>
      <c r="Q1563" s="239"/>
      <c r="R1563" s="239"/>
      <c r="S1563" s="239"/>
      <c r="T1563" s="239"/>
      <c r="U1563" s="239"/>
      <c r="V1563" s="239"/>
      <c r="W1563" s="246"/>
      <c r="X1563" s="239"/>
      <c r="Y1563" s="239"/>
      <c r="Z1563" s="239"/>
      <c r="AA1563" s="239"/>
      <c r="AB1563" s="239"/>
      <c r="AC1563" s="239"/>
      <c r="AD1563" s="239"/>
      <c r="AE1563" s="239"/>
      <c r="AF1563" s="239"/>
      <c r="AG1563" s="239"/>
      <c r="AH1563" s="239"/>
      <c r="AI1563" s="239"/>
      <c r="AJ1563" s="239"/>
    </row>
    <row r="1564">
      <c r="A1564" s="239"/>
      <c r="B1564" s="239"/>
      <c r="C1564" s="239"/>
      <c r="D1564" s="239"/>
      <c r="E1564" s="239"/>
      <c r="F1564" s="283"/>
      <c r="G1564" s="239"/>
      <c r="H1564" s="239"/>
      <c r="I1564" s="239"/>
      <c r="J1564" s="239"/>
      <c r="K1564" s="239"/>
      <c r="L1564" s="239"/>
      <c r="M1564" s="239"/>
      <c r="N1564" s="239"/>
      <c r="O1564" s="239"/>
      <c r="P1564" s="246"/>
      <c r="Q1564" s="239"/>
      <c r="R1564" s="239"/>
      <c r="S1564" s="239"/>
      <c r="T1564" s="239"/>
      <c r="U1564" s="239"/>
      <c r="V1564" s="239"/>
      <c r="W1564" s="246"/>
      <c r="X1564" s="239"/>
      <c r="Y1564" s="239"/>
      <c r="Z1564" s="239"/>
      <c r="AA1564" s="239"/>
      <c r="AB1564" s="239"/>
      <c r="AC1564" s="239"/>
      <c r="AD1564" s="239"/>
      <c r="AE1564" s="239"/>
      <c r="AF1564" s="239"/>
      <c r="AG1564" s="239"/>
      <c r="AH1564" s="239"/>
      <c r="AI1564" s="239"/>
      <c r="AJ1564" s="239"/>
    </row>
    <row r="1565">
      <c r="A1565" s="239"/>
      <c r="B1565" s="239"/>
      <c r="C1565" s="239"/>
      <c r="D1565" s="239"/>
      <c r="E1565" s="239"/>
      <c r="F1565" s="283"/>
      <c r="G1565" s="239"/>
      <c r="H1565" s="239"/>
      <c r="I1565" s="239"/>
      <c r="J1565" s="239"/>
      <c r="K1565" s="239"/>
      <c r="L1565" s="239"/>
      <c r="M1565" s="239"/>
      <c r="N1565" s="239"/>
      <c r="O1565" s="239"/>
      <c r="P1565" s="246"/>
      <c r="Q1565" s="239"/>
      <c r="R1565" s="239"/>
      <c r="S1565" s="239"/>
      <c r="T1565" s="239"/>
      <c r="U1565" s="239"/>
      <c r="V1565" s="239"/>
      <c r="W1565" s="246"/>
      <c r="X1565" s="239"/>
      <c r="Y1565" s="239"/>
      <c r="Z1565" s="239"/>
      <c r="AA1565" s="239"/>
      <c r="AB1565" s="239"/>
      <c r="AC1565" s="239"/>
      <c r="AD1565" s="239"/>
      <c r="AE1565" s="239"/>
      <c r="AF1565" s="239"/>
      <c r="AG1565" s="239"/>
      <c r="AH1565" s="239"/>
      <c r="AI1565" s="239"/>
      <c r="AJ1565" s="239"/>
    </row>
    <row r="1566">
      <c r="A1566" s="239"/>
      <c r="B1566" s="239"/>
      <c r="C1566" s="239"/>
      <c r="D1566" s="239"/>
      <c r="E1566" s="239"/>
      <c r="F1566" s="283"/>
      <c r="G1566" s="239"/>
      <c r="H1566" s="239"/>
      <c r="I1566" s="239"/>
      <c r="J1566" s="239"/>
      <c r="K1566" s="239"/>
      <c r="L1566" s="239"/>
      <c r="M1566" s="239"/>
      <c r="N1566" s="239"/>
      <c r="O1566" s="239"/>
      <c r="P1566" s="246"/>
      <c r="Q1566" s="239"/>
      <c r="R1566" s="239"/>
      <c r="S1566" s="239"/>
      <c r="T1566" s="239"/>
      <c r="U1566" s="239"/>
      <c r="V1566" s="239"/>
      <c r="W1566" s="246"/>
      <c r="X1566" s="239"/>
      <c r="Y1566" s="239"/>
      <c r="Z1566" s="239"/>
      <c r="AA1566" s="239"/>
      <c r="AB1566" s="239"/>
      <c r="AC1566" s="239"/>
      <c r="AD1566" s="239"/>
      <c r="AE1566" s="239"/>
      <c r="AF1566" s="239"/>
      <c r="AG1566" s="239"/>
      <c r="AH1566" s="239"/>
      <c r="AI1566" s="239"/>
      <c r="AJ1566" s="239"/>
    </row>
    <row r="1567">
      <c r="A1567" s="239"/>
      <c r="B1567" s="239"/>
      <c r="C1567" s="239"/>
      <c r="D1567" s="239"/>
      <c r="E1567" s="239"/>
      <c r="F1567" s="283"/>
      <c r="G1567" s="239"/>
      <c r="H1567" s="239"/>
      <c r="I1567" s="239"/>
      <c r="J1567" s="239"/>
      <c r="K1567" s="239"/>
      <c r="L1567" s="239"/>
      <c r="M1567" s="239"/>
      <c r="N1567" s="239"/>
      <c r="O1567" s="239"/>
      <c r="P1567" s="246"/>
      <c r="Q1567" s="239"/>
      <c r="R1567" s="239"/>
      <c r="S1567" s="239"/>
      <c r="T1567" s="239"/>
      <c r="U1567" s="239"/>
      <c r="V1567" s="239"/>
      <c r="W1567" s="246"/>
      <c r="X1567" s="239"/>
      <c r="Y1567" s="239"/>
      <c r="Z1567" s="239"/>
      <c r="AA1567" s="239"/>
      <c r="AB1567" s="239"/>
      <c r="AC1567" s="239"/>
      <c r="AD1567" s="239"/>
      <c r="AE1567" s="239"/>
      <c r="AF1567" s="239"/>
      <c r="AG1567" s="239"/>
      <c r="AH1567" s="239"/>
      <c r="AI1567" s="239"/>
      <c r="AJ1567" s="239"/>
    </row>
    <row r="1568">
      <c r="A1568" s="239"/>
      <c r="B1568" s="239"/>
      <c r="C1568" s="239"/>
      <c r="D1568" s="239"/>
      <c r="E1568" s="239"/>
      <c r="F1568" s="283"/>
      <c r="G1568" s="239"/>
      <c r="H1568" s="239"/>
      <c r="I1568" s="239"/>
      <c r="J1568" s="239"/>
      <c r="K1568" s="239"/>
      <c r="L1568" s="239"/>
      <c r="M1568" s="239"/>
      <c r="N1568" s="239"/>
      <c r="O1568" s="239"/>
      <c r="P1568" s="246"/>
      <c r="Q1568" s="239"/>
      <c r="R1568" s="239"/>
      <c r="S1568" s="239"/>
      <c r="T1568" s="239"/>
      <c r="U1568" s="239"/>
      <c r="V1568" s="239"/>
      <c r="W1568" s="246"/>
      <c r="X1568" s="239"/>
      <c r="Y1568" s="239"/>
      <c r="Z1568" s="239"/>
      <c r="AA1568" s="239"/>
      <c r="AB1568" s="239"/>
      <c r="AC1568" s="239"/>
      <c r="AD1568" s="239"/>
      <c r="AE1568" s="239"/>
      <c r="AF1568" s="239"/>
      <c r="AG1568" s="239"/>
      <c r="AH1568" s="239"/>
      <c r="AI1568" s="239"/>
      <c r="AJ1568" s="239"/>
    </row>
    <row r="1569">
      <c r="A1569" s="239"/>
      <c r="B1569" s="239"/>
      <c r="C1569" s="239"/>
      <c r="D1569" s="239"/>
      <c r="E1569" s="239"/>
      <c r="F1569" s="283"/>
      <c r="G1569" s="239"/>
      <c r="H1569" s="239"/>
      <c r="I1569" s="239"/>
      <c r="J1569" s="239"/>
      <c r="K1569" s="239"/>
      <c r="L1569" s="239"/>
      <c r="M1569" s="239"/>
      <c r="N1569" s="239"/>
      <c r="O1569" s="239"/>
      <c r="P1569" s="246"/>
      <c r="Q1569" s="239"/>
      <c r="R1569" s="239"/>
      <c r="S1569" s="239"/>
      <c r="T1569" s="239"/>
      <c r="U1569" s="239"/>
      <c r="V1569" s="239"/>
      <c r="W1569" s="246"/>
      <c r="X1569" s="239"/>
      <c r="Y1569" s="239"/>
      <c r="Z1569" s="239"/>
      <c r="AA1569" s="239"/>
      <c r="AB1569" s="239"/>
      <c r="AC1569" s="239"/>
      <c r="AD1569" s="239"/>
      <c r="AE1569" s="239"/>
      <c r="AF1569" s="239"/>
      <c r="AG1569" s="239"/>
      <c r="AH1569" s="239"/>
      <c r="AI1569" s="239"/>
      <c r="AJ1569" s="239"/>
    </row>
    <row r="1570">
      <c r="A1570" s="239"/>
      <c r="B1570" s="239"/>
      <c r="C1570" s="239"/>
      <c r="D1570" s="239"/>
      <c r="E1570" s="239"/>
      <c r="F1570" s="283"/>
      <c r="G1570" s="239"/>
      <c r="H1570" s="239"/>
      <c r="I1570" s="239"/>
      <c r="J1570" s="239"/>
      <c r="K1570" s="239"/>
      <c r="L1570" s="239"/>
      <c r="M1570" s="239"/>
      <c r="N1570" s="239"/>
      <c r="O1570" s="239"/>
      <c r="P1570" s="246"/>
      <c r="Q1570" s="239"/>
      <c r="R1570" s="239"/>
      <c r="S1570" s="239"/>
      <c r="T1570" s="239"/>
      <c r="U1570" s="239"/>
      <c r="V1570" s="239"/>
      <c r="W1570" s="246"/>
      <c r="X1570" s="239"/>
      <c r="Y1570" s="239"/>
      <c r="Z1570" s="239"/>
      <c r="AA1570" s="239"/>
      <c r="AB1570" s="239"/>
      <c r="AC1570" s="239"/>
      <c r="AD1570" s="239"/>
      <c r="AE1570" s="239"/>
      <c r="AF1570" s="239"/>
      <c r="AG1570" s="239"/>
      <c r="AH1570" s="239"/>
      <c r="AI1570" s="239"/>
      <c r="AJ1570" s="239"/>
    </row>
    <row r="1571">
      <c r="A1571" s="239"/>
      <c r="B1571" s="239"/>
      <c r="C1571" s="239"/>
      <c r="D1571" s="239"/>
      <c r="E1571" s="239"/>
      <c r="F1571" s="283"/>
      <c r="G1571" s="239"/>
      <c r="H1571" s="239"/>
      <c r="I1571" s="239"/>
      <c r="J1571" s="239"/>
      <c r="K1571" s="239"/>
      <c r="L1571" s="239"/>
      <c r="M1571" s="239"/>
      <c r="N1571" s="239"/>
      <c r="O1571" s="239"/>
      <c r="P1571" s="246"/>
      <c r="Q1571" s="239"/>
      <c r="R1571" s="239"/>
      <c r="S1571" s="239"/>
      <c r="T1571" s="239"/>
      <c r="U1571" s="239"/>
      <c r="V1571" s="239"/>
      <c r="W1571" s="246"/>
      <c r="X1571" s="239"/>
      <c r="Y1571" s="239"/>
      <c r="Z1571" s="239"/>
      <c r="AA1571" s="239"/>
      <c r="AB1571" s="239"/>
      <c r="AC1571" s="239"/>
      <c r="AD1571" s="239"/>
      <c r="AE1571" s="239"/>
      <c r="AF1571" s="239"/>
      <c r="AG1571" s="239"/>
      <c r="AH1571" s="239"/>
      <c r="AI1571" s="239"/>
      <c r="AJ1571" s="239"/>
    </row>
    <row r="1572">
      <c r="A1572" s="239"/>
      <c r="B1572" s="239"/>
      <c r="C1572" s="239"/>
      <c r="D1572" s="239"/>
      <c r="E1572" s="239"/>
      <c r="F1572" s="283"/>
      <c r="G1572" s="239"/>
      <c r="H1572" s="239"/>
      <c r="I1572" s="239"/>
      <c r="J1572" s="239"/>
      <c r="K1572" s="239"/>
      <c r="L1572" s="239"/>
      <c r="M1572" s="239"/>
      <c r="N1572" s="239"/>
      <c r="O1572" s="239"/>
      <c r="P1572" s="246"/>
      <c r="Q1572" s="239"/>
      <c r="R1572" s="239"/>
      <c r="S1572" s="239"/>
      <c r="T1572" s="239"/>
      <c r="U1572" s="239"/>
      <c r="V1572" s="239"/>
      <c r="W1572" s="246"/>
      <c r="X1572" s="239"/>
      <c r="Y1572" s="239"/>
      <c r="Z1572" s="239"/>
      <c r="AA1572" s="239"/>
      <c r="AB1572" s="239"/>
      <c r="AC1572" s="239"/>
      <c r="AD1572" s="239"/>
      <c r="AE1572" s="239"/>
      <c r="AF1572" s="239"/>
      <c r="AG1572" s="239"/>
      <c r="AH1572" s="239"/>
      <c r="AI1572" s="239"/>
      <c r="AJ1572" s="239"/>
    </row>
    <row r="1573">
      <c r="A1573" s="239"/>
      <c r="B1573" s="239"/>
      <c r="C1573" s="239"/>
      <c r="D1573" s="239"/>
      <c r="E1573" s="239"/>
      <c r="F1573" s="283"/>
      <c r="G1573" s="239"/>
      <c r="H1573" s="239"/>
      <c r="I1573" s="239"/>
      <c r="J1573" s="239"/>
      <c r="K1573" s="239"/>
      <c r="L1573" s="239"/>
      <c r="M1573" s="239"/>
      <c r="N1573" s="239"/>
      <c r="O1573" s="239"/>
      <c r="P1573" s="246"/>
      <c r="Q1573" s="239"/>
      <c r="R1573" s="239"/>
      <c r="S1573" s="239"/>
      <c r="T1573" s="239"/>
      <c r="U1573" s="239"/>
      <c r="V1573" s="239"/>
      <c r="W1573" s="246"/>
      <c r="X1573" s="239"/>
      <c r="Y1573" s="239"/>
      <c r="Z1573" s="239"/>
      <c r="AA1573" s="239"/>
      <c r="AB1573" s="239"/>
      <c r="AC1573" s="239"/>
      <c r="AD1573" s="239"/>
      <c r="AE1573" s="239"/>
      <c r="AF1573" s="239"/>
      <c r="AG1573" s="239"/>
      <c r="AH1573" s="239"/>
      <c r="AI1573" s="239"/>
      <c r="AJ1573" s="239"/>
    </row>
    <row r="1574">
      <c r="A1574" s="239"/>
      <c r="B1574" s="239"/>
      <c r="C1574" s="239"/>
      <c r="D1574" s="239"/>
      <c r="E1574" s="239"/>
      <c r="F1574" s="283"/>
      <c r="G1574" s="239"/>
      <c r="H1574" s="239"/>
      <c r="I1574" s="239"/>
      <c r="J1574" s="239"/>
      <c r="K1574" s="239"/>
      <c r="L1574" s="239"/>
      <c r="M1574" s="239"/>
      <c r="N1574" s="239"/>
      <c r="O1574" s="239"/>
      <c r="P1574" s="246"/>
      <c r="Q1574" s="239"/>
      <c r="R1574" s="239"/>
      <c r="S1574" s="239"/>
      <c r="T1574" s="239"/>
      <c r="U1574" s="239"/>
      <c r="V1574" s="239"/>
      <c r="W1574" s="246"/>
      <c r="X1574" s="239"/>
      <c r="Y1574" s="239"/>
      <c r="Z1574" s="239"/>
      <c r="AA1574" s="239"/>
      <c r="AB1574" s="239"/>
      <c r="AC1574" s="239"/>
      <c r="AD1574" s="239"/>
      <c r="AE1574" s="239"/>
      <c r="AF1574" s="239"/>
      <c r="AG1574" s="239"/>
      <c r="AH1574" s="239"/>
      <c r="AI1574" s="239"/>
      <c r="AJ1574" s="239"/>
    </row>
    <row r="1575">
      <c r="A1575" s="239"/>
      <c r="B1575" s="239"/>
      <c r="C1575" s="239"/>
      <c r="D1575" s="239"/>
      <c r="E1575" s="239"/>
      <c r="F1575" s="283"/>
      <c r="G1575" s="239"/>
      <c r="H1575" s="239"/>
      <c r="I1575" s="239"/>
      <c r="J1575" s="239"/>
      <c r="K1575" s="239"/>
      <c r="L1575" s="239"/>
      <c r="M1575" s="239"/>
      <c r="N1575" s="239"/>
      <c r="O1575" s="239"/>
      <c r="P1575" s="246"/>
      <c r="Q1575" s="239"/>
      <c r="R1575" s="239"/>
      <c r="S1575" s="239"/>
      <c r="T1575" s="239"/>
      <c r="U1575" s="239"/>
      <c r="V1575" s="239"/>
      <c r="W1575" s="246"/>
      <c r="X1575" s="239"/>
      <c r="Y1575" s="239"/>
      <c r="Z1575" s="239"/>
      <c r="AA1575" s="239"/>
      <c r="AB1575" s="239"/>
      <c r="AC1575" s="239"/>
      <c r="AD1575" s="239"/>
      <c r="AE1575" s="239"/>
      <c r="AF1575" s="239"/>
      <c r="AG1575" s="239"/>
      <c r="AH1575" s="239"/>
      <c r="AI1575" s="239"/>
      <c r="AJ1575" s="239"/>
    </row>
    <row r="1576">
      <c r="A1576" s="239"/>
      <c r="B1576" s="239"/>
      <c r="C1576" s="239"/>
      <c r="D1576" s="239"/>
      <c r="E1576" s="239"/>
      <c r="F1576" s="283"/>
      <c r="G1576" s="239"/>
      <c r="H1576" s="239"/>
      <c r="I1576" s="239"/>
      <c r="J1576" s="239"/>
      <c r="K1576" s="239"/>
      <c r="L1576" s="239"/>
      <c r="M1576" s="239"/>
      <c r="N1576" s="239"/>
      <c r="O1576" s="239"/>
      <c r="P1576" s="246"/>
      <c r="Q1576" s="239"/>
      <c r="R1576" s="239"/>
      <c r="S1576" s="239"/>
      <c r="T1576" s="239"/>
      <c r="U1576" s="239"/>
      <c r="V1576" s="239"/>
      <c r="W1576" s="246"/>
      <c r="X1576" s="239"/>
      <c r="Y1576" s="239"/>
      <c r="Z1576" s="239"/>
      <c r="AA1576" s="239"/>
      <c r="AB1576" s="239"/>
      <c r="AC1576" s="239"/>
      <c r="AD1576" s="239"/>
      <c r="AE1576" s="239"/>
      <c r="AF1576" s="239"/>
      <c r="AG1576" s="239"/>
      <c r="AH1576" s="239"/>
      <c r="AI1576" s="239"/>
      <c r="AJ1576" s="239"/>
    </row>
    <row r="1577">
      <c r="A1577" s="239"/>
      <c r="B1577" s="239"/>
      <c r="C1577" s="239"/>
      <c r="D1577" s="239"/>
      <c r="E1577" s="239"/>
      <c r="F1577" s="283"/>
      <c r="G1577" s="239"/>
      <c r="H1577" s="239"/>
      <c r="I1577" s="239"/>
      <c r="J1577" s="239"/>
      <c r="K1577" s="239"/>
      <c r="L1577" s="239"/>
      <c r="M1577" s="239"/>
      <c r="N1577" s="239"/>
      <c r="O1577" s="239"/>
      <c r="P1577" s="246"/>
      <c r="Q1577" s="239"/>
      <c r="R1577" s="239"/>
      <c r="S1577" s="239"/>
      <c r="T1577" s="239"/>
      <c r="U1577" s="239"/>
      <c r="V1577" s="239"/>
      <c r="W1577" s="246"/>
      <c r="X1577" s="239"/>
      <c r="Y1577" s="239"/>
      <c r="Z1577" s="239"/>
      <c r="AA1577" s="239"/>
      <c r="AB1577" s="239"/>
      <c r="AC1577" s="239"/>
      <c r="AD1577" s="239"/>
      <c r="AE1577" s="239"/>
      <c r="AF1577" s="239"/>
      <c r="AG1577" s="239"/>
      <c r="AH1577" s="239"/>
      <c r="AI1577" s="239"/>
      <c r="AJ1577" s="239"/>
    </row>
    <row r="1578">
      <c r="A1578" s="239"/>
      <c r="B1578" s="239"/>
      <c r="C1578" s="239"/>
      <c r="D1578" s="239"/>
      <c r="E1578" s="239"/>
      <c r="F1578" s="283"/>
      <c r="G1578" s="239"/>
      <c r="H1578" s="239"/>
      <c r="I1578" s="239"/>
      <c r="J1578" s="239"/>
      <c r="K1578" s="239"/>
      <c r="L1578" s="239"/>
      <c r="M1578" s="239"/>
      <c r="N1578" s="239"/>
      <c r="O1578" s="239"/>
      <c r="P1578" s="246"/>
      <c r="Q1578" s="239"/>
      <c r="R1578" s="239"/>
      <c r="S1578" s="239"/>
      <c r="T1578" s="239"/>
      <c r="U1578" s="239"/>
      <c r="V1578" s="239"/>
      <c r="W1578" s="246"/>
      <c r="X1578" s="239"/>
      <c r="Y1578" s="239"/>
      <c r="Z1578" s="239"/>
      <c r="AA1578" s="239"/>
      <c r="AB1578" s="239"/>
      <c r="AC1578" s="239"/>
      <c r="AD1578" s="239"/>
      <c r="AE1578" s="239"/>
      <c r="AF1578" s="239"/>
      <c r="AG1578" s="239"/>
      <c r="AH1578" s="239"/>
      <c r="AI1578" s="239"/>
      <c r="AJ1578" s="239"/>
    </row>
    <row r="1579">
      <c r="A1579" s="239"/>
      <c r="B1579" s="239"/>
      <c r="C1579" s="239"/>
      <c r="D1579" s="239"/>
      <c r="E1579" s="239"/>
      <c r="F1579" s="283"/>
      <c r="G1579" s="239"/>
      <c r="H1579" s="239"/>
      <c r="I1579" s="239"/>
      <c r="J1579" s="239"/>
      <c r="K1579" s="239"/>
      <c r="L1579" s="239"/>
      <c r="M1579" s="239"/>
      <c r="N1579" s="239"/>
      <c r="O1579" s="239"/>
      <c r="P1579" s="246"/>
      <c r="Q1579" s="239"/>
      <c r="R1579" s="239"/>
      <c r="S1579" s="239"/>
      <c r="T1579" s="239"/>
      <c r="U1579" s="239"/>
      <c r="V1579" s="239"/>
      <c r="W1579" s="246"/>
      <c r="X1579" s="239"/>
      <c r="Y1579" s="239"/>
      <c r="Z1579" s="239"/>
      <c r="AA1579" s="239"/>
      <c r="AB1579" s="239"/>
      <c r="AC1579" s="239"/>
      <c r="AD1579" s="239"/>
      <c r="AE1579" s="239"/>
      <c r="AF1579" s="239"/>
      <c r="AG1579" s="239"/>
      <c r="AH1579" s="239"/>
      <c r="AI1579" s="239"/>
      <c r="AJ1579" s="239"/>
    </row>
    <row r="1580">
      <c r="A1580" s="239"/>
      <c r="B1580" s="239"/>
      <c r="C1580" s="239"/>
      <c r="D1580" s="239"/>
      <c r="E1580" s="239"/>
      <c r="F1580" s="283"/>
      <c r="G1580" s="239"/>
      <c r="H1580" s="239"/>
      <c r="I1580" s="239"/>
      <c r="J1580" s="239"/>
      <c r="K1580" s="239"/>
      <c r="L1580" s="239"/>
      <c r="M1580" s="239"/>
      <c r="N1580" s="239"/>
      <c r="O1580" s="239"/>
      <c r="P1580" s="246"/>
      <c r="Q1580" s="239"/>
      <c r="R1580" s="239"/>
      <c r="S1580" s="239"/>
      <c r="T1580" s="239"/>
      <c r="U1580" s="239"/>
      <c r="V1580" s="239"/>
      <c r="W1580" s="246"/>
      <c r="X1580" s="239"/>
      <c r="Y1580" s="239"/>
      <c r="Z1580" s="239"/>
      <c r="AA1580" s="239"/>
      <c r="AB1580" s="239"/>
      <c r="AC1580" s="239"/>
      <c r="AD1580" s="239"/>
      <c r="AE1580" s="239"/>
      <c r="AF1580" s="239"/>
      <c r="AG1580" s="239"/>
      <c r="AH1580" s="239"/>
      <c r="AI1580" s="239"/>
      <c r="AJ1580" s="239"/>
    </row>
    <row r="1581">
      <c r="A1581" s="239"/>
      <c r="B1581" s="239"/>
      <c r="C1581" s="239"/>
      <c r="D1581" s="239"/>
      <c r="E1581" s="239"/>
      <c r="F1581" s="283"/>
      <c r="G1581" s="239"/>
      <c r="H1581" s="239"/>
      <c r="I1581" s="239"/>
      <c r="J1581" s="239"/>
      <c r="K1581" s="239"/>
      <c r="L1581" s="239"/>
      <c r="M1581" s="239"/>
      <c r="N1581" s="239"/>
      <c r="O1581" s="239"/>
      <c r="P1581" s="246"/>
      <c r="Q1581" s="239"/>
      <c r="R1581" s="239"/>
      <c r="S1581" s="239"/>
      <c r="T1581" s="239"/>
      <c r="U1581" s="239"/>
      <c r="V1581" s="239"/>
      <c r="W1581" s="246"/>
      <c r="X1581" s="239"/>
      <c r="Y1581" s="239"/>
      <c r="Z1581" s="239"/>
      <c r="AA1581" s="239"/>
      <c r="AB1581" s="239"/>
      <c r="AC1581" s="239"/>
      <c r="AD1581" s="239"/>
      <c r="AE1581" s="239"/>
      <c r="AF1581" s="239"/>
      <c r="AG1581" s="239"/>
      <c r="AH1581" s="239"/>
      <c r="AI1581" s="239"/>
      <c r="AJ1581" s="239"/>
    </row>
    <row r="1582">
      <c r="A1582" s="239"/>
      <c r="B1582" s="239"/>
      <c r="C1582" s="239"/>
      <c r="D1582" s="239"/>
      <c r="E1582" s="239"/>
      <c r="F1582" s="283"/>
      <c r="G1582" s="239"/>
      <c r="H1582" s="239"/>
      <c r="I1582" s="239"/>
      <c r="J1582" s="239"/>
      <c r="K1582" s="239"/>
      <c r="L1582" s="239"/>
      <c r="M1582" s="239"/>
      <c r="N1582" s="239"/>
      <c r="O1582" s="239"/>
      <c r="P1582" s="246"/>
      <c r="Q1582" s="239"/>
      <c r="R1582" s="239"/>
      <c r="S1582" s="239"/>
      <c r="T1582" s="239"/>
      <c r="U1582" s="239"/>
      <c r="V1582" s="239"/>
      <c r="W1582" s="246"/>
      <c r="X1582" s="239"/>
      <c r="Y1582" s="239"/>
      <c r="Z1582" s="239"/>
      <c r="AA1582" s="239"/>
      <c r="AB1582" s="239"/>
      <c r="AC1582" s="239"/>
      <c r="AD1582" s="239"/>
      <c r="AE1582" s="239"/>
      <c r="AF1582" s="239"/>
      <c r="AG1582" s="239"/>
      <c r="AH1582" s="239"/>
      <c r="AI1582" s="239"/>
      <c r="AJ1582" s="239"/>
    </row>
    <row r="1583">
      <c r="A1583" s="239"/>
      <c r="B1583" s="239"/>
      <c r="C1583" s="239"/>
      <c r="D1583" s="239"/>
      <c r="E1583" s="239"/>
      <c r="F1583" s="283"/>
      <c r="G1583" s="239"/>
      <c r="H1583" s="239"/>
      <c r="I1583" s="239"/>
      <c r="J1583" s="239"/>
      <c r="K1583" s="239"/>
      <c r="L1583" s="239"/>
      <c r="M1583" s="239"/>
      <c r="N1583" s="239"/>
      <c r="O1583" s="239"/>
      <c r="P1583" s="246"/>
      <c r="Q1583" s="239"/>
      <c r="R1583" s="239"/>
      <c r="S1583" s="239"/>
      <c r="T1583" s="239"/>
      <c r="U1583" s="239"/>
      <c r="V1583" s="239"/>
      <c r="W1583" s="246"/>
      <c r="X1583" s="239"/>
      <c r="Y1583" s="239"/>
      <c r="Z1583" s="239"/>
      <c r="AA1583" s="239"/>
      <c r="AB1583" s="239"/>
      <c r="AC1583" s="239"/>
      <c r="AD1583" s="239"/>
      <c r="AE1583" s="239"/>
      <c r="AF1583" s="239"/>
      <c r="AG1583" s="239"/>
      <c r="AH1583" s="239"/>
      <c r="AI1583" s="239"/>
      <c r="AJ1583" s="239"/>
    </row>
    <row r="1584">
      <c r="A1584" s="239"/>
      <c r="B1584" s="239"/>
      <c r="C1584" s="239"/>
      <c r="D1584" s="239"/>
      <c r="E1584" s="239"/>
      <c r="F1584" s="283"/>
      <c r="G1584" s="239"/>
      <c r="H1584" s="239"/>
      <c r="I1584" s="239"/>
      <c r="J1584" s="239"/>
      <c r="K1584" s="239"/>
      <c r="L1584" s="239"/>
      <c r="M1584" s="239"/>
      <c r="N1584" s="239"/>
      <c r="O1584" s="239"/>
      <c r="P1584" s="246"/>
      <c r="Q1584" s="239"/>
      <c r="R1584" s="239"/>
      <c r="S1584" s="239"/>
      <c r="T1584" s="239"/>
      <c r="U1584" s="239"/>
      <c r="V1584" s="239"/>
      <c r="W1584" s="246"/>
      <c r="X1584" s="239"/>
      <c r="Y1584" s="239"/>
      <c r="Z1584" s="239"/>
      <c r="AA1584" s="239"/>
      <c r="AB1584" s="239"/>
      <c r="AC1584" s="239"/>
      <c r="AD1584" s="239"/>
      <c r="AE1584" s="239"/>
      <c r="AF1584" s="239"/>
      <c r="AG1584" s="239"/>
      <c r="AH1584" s="239"/>
      <c r="AI1584" s="239"/>
      <c r="AJ1584" s="239"/>
    </row>
    <row r="1585">
      <c r="A1585" s="239"/>
      <c r="B1585" s="239"/>
      <c r="C1585" s="239"/>
      <c r="D1585" s="239"/>
      <c r="E1585" s="239"/>
      <c r="F1585" s="283"/>
      <c r="G1585" s="239"/>
      <c r="H1585" s="239"/>
      <c r="I1585" s="239"/>
      <c r="J1585" s="239"/>
      <c r="K1585" s="239"/>
      <c r="L1585" s="239"/>
      <c r="M1585" s="239"/>
      <c r="N1585" s="239"/>
      <c r="O1585" s="239"/>
      <c r="P1585" s="246"/>
      <c r="Q1585" s="239"/>
      <c r="R1585" s="239"/>
      <c r="S1585" s="239"/>
      <c r="T1585" s="239"/>
      <c r="U1585" s="239"/>
      <c r="V1585" s="239"/>
      <c r="W1585" s="246"/>
      <c r="X1585" s="239"/>
      <c r="Y1585" s="239"/>
      <c r="Z1585" s="239"/>
      <c r="AA1585" s="239"/>
      <c r="AB1585" s="239"/>
      <c r="AC1585" s="239"/>
      <c r="AD1585" s="239"/>
      <c r="AE1585" s="239"/>
      <c r="AF1585" s="239"/>
      <c r="AG1585" s="239"/>
      <c r="AH1585" s="239"/>
      <c r="AI1585" s="239"/>
      <c r="AJ1585" s="239"/>
    </row>
    <row r="1586">
      <c r="A1586" s="239"/>
      <c r="B1586" s="239"/>
      <c r="C1586" s="239"/>
      <c r="D1586" s="239"/>
      <c r="E1586" s="239"/>
      <c r="F1586" s="283"/>
      <c r="G1586" s="239"/>
      <c r="H1586" s="239"/>
      <c r="I1586" s="239"/>
      <c r="J1586" s="239"/>
      <c r="K1586" s="239"/>
      <c r="L1586" s="239"/>
      <c r="M1586" s="239"/>
      <c r="N1586" s="239"/>
      <c r="O1586" s="239"/>
      <c r="P1586" s="246"/>
      <c r="Q1586" s="239"/>
      <c r="R1586" s="239"/>
      <c r="S1586" s="239"/>
      <c r="T1586" s="239"/>
      <c r="U1586" s="239"/>
      <c r="V1586" s="239"/>
      <c r="W1586" s="246"/>
      <c r="X1586" s="239"/>
      <c r="Y1586" s="239"/>
      <c r="Z1586" s="239"/>
      <c r="AA1586" s="239"/>
      <c r="AB1586" s="239"/>
      <c r="AC1586" s="239"/>
      <c r="AD1586" s="239"/>
      <c r="AE1586" s="239"/>
      <c r="AF1586" s="239"/>
      <c r="AG1586" s="239"/>
      <c r="AH1586" s="239"/>
      <c r="AI1586" s="239"/>
      <c r="AJ1586" s="239"/>
    </row>
    <row r="1587">
      <c r="A1587" s="239"/>
      <c r="B1587" s="239"/>
      <c r="C1587" s="239"/>
      <c r="D1587" s="239"/>
      <c r="E1587" s="239"/>
      <c r="F1587" s="283"/>
      <c r="G1587" s="239"/>
      <c r="H1587" s="239"/>
      <c r="I1587" s="239"/>
      <c r="J1587" s="239"/>
      <c r="K1587" s="239"/>
      <c r="L1587" s="239"/>
      <c r="M1587" s="239"/>
      <c r="N1587" s="239"/>
      <c r="O1587" s="239"/>
      <c r="P1587" s="246"/>
      <c r="Q1587" s="239"/>
      <c r="R1587" s="239"/>
      <c r="S1587" s="239"/>
      <c r="T1587" s="239"/>
      <c r="U1587" s="239"/>
      <c r="V1587" s="239"/>
      <c r="W1587" s="246"/>
      <c r="X1587" s="239"/>
      <c r="Y1587" s="239"/>
      <c r="Z1587" s="239"/>
      <c r="AA1587" s="239"/>
      <c r="AB1587" s="239"/>
      <c r="AC1587" s="239"/>
      <c r="AD1587" s="239"/>
      <c r="AE1587" s="239"/>
      <c r="AF1587" s="239"/>
      <c r="AG1587" s="239"/>
      <c r="AH1587" s="239"/>
      <c r="AI1587" s="239"/>
      <c r="AJ1587" s="239"/>
    </row>
    <row r="1588">
      <c r="A1588" s="239"/>
      <c r="B1588" s="239"/>
      <c r="C1588" s="239"/>
      <c r="D1588" s="239"/>
      <c r="E1588" s="239"/>
      <c r="F1588" s="283"/>
      <c r="G1588" s="239"/>
      <c r="H1588" s="239"/>
      <c r="I1588" s="239"/>
      <c r="J1588" s="239"/>
      <c r="K1588" s="239"/>
      <c r="L1588" s="239"/>
      <c r="M1588" s="239"/>
      <c r="N1588" s="239"/>
      <c r="O1588" s="239"/>
      <c r="P1588" s="246"/>
      <c r="Q1588" s="239"/>
      <c r="R1588" s="239"/>
      <c r="S1588" s="239"/>
      <c r="T1588" s="239"/>
      <c r="U1588" s="239"/>
      <c r="V1588" s="239"/>
      <c r="W1588" s="246"/>
      <c r="X1588" s="239"/>
      <c r="Y1588" s="239"/>
      <c r="Z1588" s="239"/>
      <c r="AA1588" s="239"/>
      <c r="AB1588" s="239"/>
      <c r="AC1588" s="239"/>
      <c r="AD1588" s="239"/>
      <c r="AE1588" s="239"/>
      <c r="AF1588" s="239"/>
      <c r="AG1588" s="239"/>
      <c r="AH1588" s="239"/>
      <c r="AI1588" s="239"/>
      <c r="AJ1588" s="239"/>
    </row>
    <row r="1589">
      <c r="A1589" s="239"/>
      <c r="B1589" s="239"/>
      <c r="C1589" s="239"/>
      <c r="D1589" s="239"/>
      <c r="E1589" s="239"/>
      <c r="F1589" s="283"/>
      <c r="G1589" s="239"/>
      <c r="H1589" s="239"/>
      <c r="I1589" s="239"/>
      <c r="J1589" s="239"/>
      <c r="K1589" s="239"/>
      <c r="L1589" s="239"/>
      <c r="M1589" s="239"/>
      <c r="N1589" s="239"/>
      <c r="O1589" s="239"/>
      <c r="P1589" s="246"/>
      <c r="Q1589" s="239"/>
      <c r="R1589" s="239"/>
      <c r="S1589" s="239"/>
      <c r="T1589" s="239"/>
      <c r="U1589" s="239"/>
      <c r="V1589" s="239"/>
      <c r="W1589" s="246"/>
      <c r="X1589" s="239"/>
      <c r="Y1589" s="239"/>
      <c r="Z1589" s="239"/>
      <c r="AA1589" s="239"/>
      <c r="AB1589" s="239"/>
      <c r="AC1589" s="239"/>
      <c r="AD1589" s="239"/>
      <c r="AE1589" s="239"/>
      <c r="AF1589" s="239"/>
      <c r="AG1589" s="239"/>
      <c r="AH1589" s="239"/>
      <c r="AI1589" s="239"/>
      <c r="AJ1589" s="239"/>
    </row>
    <row r="1590">
      <c r="A1590" s="239"/>
      <c r="B1590" s="239"/>
      <c r="C1590" s="239"/>
      <c r="D1590" s="239"/>
      <c r="E1590" s="239"/>
      <c r="F1590" s="283"/>
      <c r="G1590" s="239"/>
      <c r="H1590" s="239"/>
      <c r="I1590" s="239"/>
      <c r="J1590" s="239"/>
      <c r="K1590" s="239"/>
      <c r="L1590" s="239"/>
      <c r="M1590" s="239"/>
      <c r="N1590" s="239"/>
      <c r="O1590" s="239"/>
      <c r="P1590" s="246"/>
      <c r="Q1590" s="239"/>
      <c r="R1590" s="239"/>
      <c r="S1590" s="239"/>
      <c r="T1590" s="239"/>
      <c r="U1590" s="239"/>
      <c r="V1590" s="239"/>
      <c r="W1590" s="246"/>
      <c r="X1590" s="239"/>
      <c r="Y1590" s="239"/>
      <c r="Z1590" s="239"/>
      <c r="AA1590" s="239"/>
      <c r="AB1590" s="239"/>
      <c r="AC1590" s="239"/>
      <c r="AD1590" s="239"/>
      <c r="AE1590" s="239"/>
      <c r="AF1590" s="239"/>
      <c r="AG1590" s="239"/>
      <c r="AH1590" s="239"/>
      <c r="AI1590" s="239"/>
      <c r="AJ1590" s="239"/>
    </row>
    <row r="1591">
      <c r="A1591" s="239"/>
      <c r="B1591" s="239"/>
      <c r="C1591" s="239"/>
      <c r="D1591" s="239"/>
      <c r="E1591" s="239"/>
      <c r="F1591" s="283"/>
      <c r="G1591" s="239"/>
      <c r="H1591" s="239"/>
      <c r="I1591" s="239"/>
      <c r="J1591" s="239"/>
      <c r="K1591" s="239"/>
      <c r="L1591" s="239"/>
      <c r="M1591" s="239"/>
      <c r="N1591" s="239"/>
      <c r="O1591" s="239"/>
      <c r="P1591" s="246"/>
      <c r="Q1591" s="239"/>
      <c r="R1591" s="239"/>
      <c r="S1591" s="239"/>
      <c r="T1591" s="239"/>
      <c r="U1591" s="239"/>
      <c r="V1591" s="239"/>
      <c r="W1591" s="246"/>
      <c r="X1591" s="239"/>
      <c r="Y1591" s="239"/>
      <c r="Z1591" s="239"/>
      <c r="AA1591" s="239"/>
      <c r="AB1591" s="239"/>
      <c r="AC1591" s="239"/>
      <c r="AD1591" s="239"/>
      <c r="AE1591" s="239"/>
      <c r="AF1591" s="239"/>
      <c r="AG1591" s="239"/>
      <c r="AH1591" s="239"/>
      <c r="AI1591" s="239"/>
      <c r="AJ1591" s="239"/>
    </row>
    <row r="1592">
      <c r="A1592" s="239"/>
      <c r="B1592" s="239"/>
      <c r="C1592" s="239"/>
      <c r="D1592" s="239"/>
      <c r="E1592" s="239"/>
      <c r="F1592" s="283"/>
      <c r="G1592" s="239"/>
      <c r="H1592" s="239"/>
      <c r="I1592" s="239"/>
      <c r="J1592" s="239"/>
      <c r="K1592" s="239"/>
      <c r="L1592" s="239"/>
      <c r="M1592" s="239"/>
      <c r="N1592" s="239"/>
      <c r="O1592" s="239"/>
      <c r="P1592" s="246"/>
      <c r="Q1592" s="239"/>
      <c r="R1592" s="239"/>
      <c r="S1592" s="239"/>
      <c r="T1592" s="239"/>
      <c r="U1592" s="239"/>
      <c r="V1592" s="239"/>
      <c r="W1592" s="246"/>
      <c r="X1592" s="239"/>
      <c r="Y1592" s="239"/>
      <c r="Z1592" s="239"/>
      <c r="AA1592" s="239"/>
      <c r="AB1592" s="239"/>
      <c r="AC1592" s="239"/>
      <c r="AD1592" s="239"/>
      <c r="AE1592" s="239"/>
      <c r="AF1592" s="239"/>
      <c r="AG1592" s="239"/>
      <c r="AH1592" s="239"/>
      <c r="AI1592" s="239"/>
      <c r="AJ1592" s="239"/>
    </row>
    <row r="1593">
      <c r="A1593" s="239"/>
      <c r="B1593" s="239"/>
      <c r="C1593" s="239"/>
      <c r="D1593" s="239"/>
      <c r="E1593" s="239"/>
      <c r="F1593" s="283"/>
      <c r="G1593" s="239"/>
      <c r="H1593" s="239"/>
      <c r="I1593" s="239"/>
      <c r="J1593" s="239"/>
      <c r="K1593" s="239"/>
      <c r="L1593" s="239"/>
      <c r="M1593" s="239"/>
      <c r="N1593" s="239"/>
      <c r="O1593" s="239"/>
      <c r="P1593" s="246"/>
      <c r="Q1593" s="239"/>
      <c r="R1593" s="239"/>
      <c r="S1593" s="239"/>
      <c r="T1593" s="239"/>
      <c r="U1593" s="239"/>
      <c r="V1593" s="239"/>
      <c r="W1593" s="246"/>
      <c r="X1593" s="239"/>
      <c r="Y1593" s="239"/>
      <c r="Z1593" s="239"/>
      <c r="AA1593" s="239"/>
      <c r="AB1593" s="239"/>
      <c r="AC1593" s="239"/>
      <c r="AD1593" s="239"/>
      <c r="AE1593" s="239"/>
      <c r="AF1593" s="239"/>
      <c r="AG1593" s="239"/>
      <c r="AH1593" s="239"/>
      <c r="AI1593" s="239"/>
      <c r="AJ1593" s="239"/>
    </row>
    <row r="1594">
      <c r="A1594" s="239"/>
      <c r="B1594" s="239"/>
      <c r="C1594" s="239"/>
      <c r="D1594" s="239"/>
      <c r="E1594" s="239"/>
      <c r="F1594" s="283"/>
      <c r="G1594" s="239"/>
      <c r="H1594" s="239"/>
      <c r="I1594" s="239"/>
      <c r="J1594" s="239"/>
      <c r="K1594" s="239"/>
      <c r="L1594" s="239"/>
      <c r="M1594" s="239"/>
      <c r="N1594" s="239"/>
      <c r="O1594" s="239"/>
      <c r="P1594" s="246"/>
      <c r="Q1594" s="239"/>
      <c r="R1594" s="239"/>
      <c r="S1594" s="239"/>
      <c r="T1594" s="239"/>
      <c r="U1594" s="239"/>
      <c r="V1594" s="239"/>
      <c r="W1594" s="246"/>
      <c r="X1594" s="239"/>
      <c r="Y1594" s="239"/>
      <c r="Z1594" s="239"/>
      <c r="AA1594" s="239"/>
      <c r="AB1594" s="239"/>
      <c r="AC1594" s="239"/>
      <c r="AD1594" s="239"/>
      <c r="AE1594" s="239"/>
      <c r="AF1594" s="239"/>
      <c r="AG1594" s="239"/>
      <c r="AH1594" s="239"/>
      <c r="AI1594" s="239"/>
      <c r="AJ1594" s="239"/>
    </row>
    <row r="1595">
      <c r="A1595" s="239"/>
      <c r="B1595" s="239"/>
      <c r="C1595" s="239"/>
      <c r="D1595" s="239"/>
      <c r="E1595" s="239"/>
      <c r="F1595" s="283"/>
      <c r="G1595" s="239"/>
      <c r="H1595" s="239"/>
      <c r="I1595" s="239"/>
      <c r="J1595" s="239"/>
      <c r="K1595" s="239"/>
      <c r="L1595" s="239"/>
      <c r="M1595" s="239"/>
      <c r="N1595" s="239"/>
      <c r="O1595" s="239"/>
      <c r="P1595" s="246"/>
      <c r="Q1595" s="239"/>
      <c r="R1595" s="239"/>
      <c r="S1595" s="239"/>
      <c r="T1595" s="239"/>
      <c r="U1595" s="239"/>
      <c r="V1595" s="239"/>
      <c r="W1595" s="246"/>
      <c r="X1595" s="239"/>
      <c r="Y1595" s="239"/>
      <c r="Z1595" s="239"/>
      <c r="AA1595" s="239"/>
      <c r="AB1595" s="239"/>
      <c r="AC1595" s="239"/>
      <c r="AD1595" s="239"/>
      <c r="AE1595" s="239"/>
      <c r="AF1595" s="239"/>
      <c r="AG1595" s="239"/>
      <c r="AH1595" s="239"/>
      <c r="AI1595" s="239"/>
      <c r="AJ1595" s="239"/>
    </row>
    <row r="1596">
      <c r="A1596" s="239"/>
      <c r="B1596" s="239"/>
      <c r="C1596" s="239"/>
      <c r="D1596" s="239"/>
      <c r="E1596" s="239"/>
      <c r="F1596" s="283"/>
      <c r="G1596" s="239"/>
      <c r="H1596" s="239"/>
      <c r="I1596" s="239"/>
      <c r="J1596" s="239"/>
      <c r="K1596" s="239"/>
      <c r="L1596" s="239"/>
      <c r="M1596" s="239"/>
      <c r="N1596" s="239"/>
      <c r="O1596" s="239"/>
      <c r="P1596" s="246"/>
      <c r="Q1596" s="239"/>
      <c r="R1596" s="239"/>
      <c r="S1596" s="239"/>
      <c r="T1596" s="239"/>
      <c r="U1596" s="239"/>
      <c r="V1596" s="239"/>
      <c r="W1596" s="246"/>
      <c r="X1596" s="239"/>
      <c r="Y1596" s="239"/>
      <c r="Z1596" s="239"/>
      <c r="AA1596" s="239"/>
      <c r="AB1596" s="239"/>
      <c r="AC1596" s="239"/>
      <c r="AD1596" s="239"/>
      <c r="AE1596" s="239"/>
      <c r="AF1596" s="239"/>
      <c r="AG1596" s="239"/>
      <c r="AH1596" s="239"/>
      <c r="AI1596" s="239"/>
      <c r="AJ1596" s="239"/>
    </row>
    <row r="1597">
      <c r="A1597" s="239"/>
      <c r="B1597" s="239"/>
      <c r="C1597" s="239"/>
      <c r="D1597" s="239"/>
      <c r="E1597" s="239"/>
      <c r="F1597" s="283"/>
      <c r="G1597" s="239"/>
      <c r="H1597" s="239"/>
      <c r="I1597" s="239"/>
      <c r="J1597" s="239"/>
      <c r="K1597" s="239"/>
      <c r="L1597" s="239"/>
      <c r="M1597" s="239"/>
      <c r="N1597" s="239"/>
      <c r="O1597" s="239"/>
      <c r="P1597" s="246"/>
      <c r="Q1597" s="239"/>
      <c r="R1597" s="239"/>
      <c r="S1597" s="239"/>
      <c r="T1597" s="239"/>
      <c r="U1597" s="239"/>
      <c r="V1597" s="239"/>
      <c r="W1597" s="246"/>
      <c r="X1597" s="239"/>
      <c r="Y1597" s="239"/>
      <c r="Z1597" s="239"/>
      <c r="AA1597" s="239"/>
      <c r="AB1597" s="239"/>
      <c r="AC1597" s="239"/>
      <c r="AD1597" s="239"/>
      <c r="AE1597" s="239"/>
      <c r="AF1597" s="239"/>
      <c r="AG1597" s="239"/>
      <c r="AH1597" s="239"/>
      <c r="AI1597" s="239"/>
      <c r="AJ1597" s="239"/>
    </row>
    <row r="1598">
      <c r="A1598" s="239"/>
      <c r="B1598" s="239"/>
      <c r="C1598" s="239"/>
      <c r="D1598" s="239"/>
      <c r="E1598" s="239"/>
      <c r="F1598" s="283"/>
      <c r="G1598" s="239"/>
      <c r="H1598" s="239"/>
      <c r="I1598" s="239"/>
      <c r="J1598" s="239"/>
      <c r="K1598" s="239"/>
      <c r="L1598" s="239"/>
      <c r="M1598" s="239"/>
      <c r="N1598" s="239"/>
      <c r="O1598" s="239"/>
      <c r="P1598" s="246"/>
      <c r="Q1598" s="239"/>
      <c r="R1598" s="239"/>
      <c r="S1598" s="239"/>
      <c r="T1598" s="239"/>
      <c r="U1598" s="239"/>
      <c r="V1598" s="239"/>
      <c r="W1598" s="246"/>
      <c r="X1598" s="239"/>
      <c r="Y1598" s="239"/>
      <c r="Z1598" s="239"/>
      <c r="AA1598" s="239"/>
      <c r="AB1598" s="239"/>
      <c r="AC1598" s="239"/>
      <c r="AD1598" s="239"/>
      <c r="AE1598" s="239"/>
      <c r="AF1598" s="239"/>
      <c r="AG1598" s="239"/>
      <c r="AH1598" s="239"/>
      <c r="AI1598" s="239"/>
      <c r="AJ1598" s="239"/>
    </row>
    <row r="1599">
      <c r="A1599" s="239"/>
      <c r="B1599" s="239"/>
      <c r="C1599" s="239"/>
      <c r="D1599" s="239"/>
      <c r="E1599" s="239"/>
      <c r="F1599" s="283"/>
      <c r="G1599" s="239"/>
      <c r="H1599" s="239"/>
      <c r="I1599" s="239"/>
      <c r="J1599" s="239"/>
      <c r="K1599" s="239"/>
      <c r="L1599" s="239"/>
      <c r="M1599" s="239"/>
      <c r="N1599" s="239"/>
      <c r="O1599" s="239"/>
      <c r="P1599" s="246"/>
      <c r="Q1599" s="239"/>
      <c r="R1599" s="239"/>
      <c r="S1599" s="239"/>
      <c r="T1599" s="239"/>
      <c r="U1599" s="239"/>
      <c r="V1599" s="239"/>
      <c r="W1599" s="246"/>
      <c r="X1599" s="239"/>
      <c r="Y1599" s="239"/>
      <c r="Z1599" s="239"/>
      <c r="AA1599" s="239"/>
      <c r="AB1599" s="239"/>
      <c r="AC1599" s="239"/>
      <c r="AD1599" s="239"/>
      <c r="AE1599" s="239"/>
      <c r="AF1599" s="239"/>
      <c r="AG1599" s="239"/>
      <c r="AH1599" s="239"/>
      <c r="AI1599" s="239"/>
      <c r="AJ1599" s="239"/>
    </row>
    <row r="1600">
      <c r="A1600" s="239"/>
      <c r="B1600" s="239"/>
      <c r="C1600" s="239"/>
      <c r="D1600" s="239"/>
      <c r="E1600" s="239"/>
      <c r="F1600" s="283"/>
      <c r="G1600" s="239"/>
      <c r="H1600" s="239"/>
      <c r="I1600" s="239"/>
      <c r="J1600" s="239"/>
      <c r="K1600" s="239"/>
      <c r="L1600" s="239"/>
      <c r="M1600" s="239"/>
      <c r="N1600" s="239"/>
      <c r="O1600" s="239"/>
      <c r="P1600" s="246"/>
      <c r="Q1600" s="239"/>
      <c r="R1600" s="239"/>
      <c r="S1600" s="239"/>
      <c r="T1600" s="239"/>
      <c r="U1600" s="239"/>
      <c r="V1600" s="239"/>
      <c r="W1600" s="246"/>
      <c r="X1600" s="239"/>
      <c r="Y1600" s="239"/>
      <c r="Z1600" s="239"/>
      <c r="AA1600" s="239"/>
      <c r="AB1600" s="239"/>
      <c r="AC1600" s="239"/>
      <c r="AD1600" s="239"/>
      <c r="AE1600" s="239"/>
      <c r="AF1600" s="239"/>
      <c r="AG1600" s="239"/>
      <c r="AH1600" s="239"/>
      <c r="AI1600" s="239"/>
      <c r="AJ1600" s="239"/>
    </row>
    <row r="1601">
      <c r="A1601" s="239"/>
      <c r="B1601" s="239"/>
      <c r="C1601" s="239"/>
      <c r="D1601" s="239"/>
      <c r="E1601" s="239"/>
      <c r="F1601" s="283"/>
      <c r="G1601" s="239"/>
      <c r="H1601" s="239"/>
      <c r="I1601" s="239"/>
      <c r="J1601" s="239"/>
      <c r="K1601" s="239"/>
      <c r="L1601" s="239"/>
      <c r="M1601" s="239"/>
      <c r="N1601" s="239"/>
      <c r="O1601" s="239"/>
      <c r="P1601" s="246"/>
      <c r="Q1601" s="239"/>
      <c r="R1601" s="239"/>
      <c r="S1601" s="239"/>
      <c r="T1601" s="239"/>
      <c r="U1601" s="239"/>
      <c r="V1601" s="239"/>
      <c r="W1601" s="246"/>
      <c r="X1601" s="239"/>
      <c r="Y1601" s="239"/>
      <c r="Z1601" s="239"/>
      <c r="AA1601" s="239"/>
      <c r="AB1601" s="239"/>
      <c r="AC1601" s="239"/>
      <c r="AD1601" s="239"/>
      <c r="AE1601" s="239"/>
      <c r="AF1601" s="239"/>
      <c r="AG1601" s="239"/>
      <c r="AH1601" s="239"/>
      <c r="AI1601" s="239"/>
      <c r="AJ1601" s="239"/>
    </row>
    <row r="1602">
      <c r="A1602" s="239"/>
      <c r="B1602" s="239"/>
      <c r="C1602" s="239"/>
      <c r="D1602" s="239"/>
      <c r="E1602" s="239"/>
      <c r="F1602" s="283"/>
      <c r="G1602" s="239"/>
      <c r="H1602" s="239"/>
      <c r="I1602" s="239"/>
      <c r="J1602" s="239"/>
      <c r="K1602" s="239"/>
      <c r="L1602" s="239"/>
      <c r="M1602" s="239"/>
      <c r="N1602" s="239"/>
      <c r="O1602" s="239"/>
      <c r="P1602" s="246"/>
      <c r="Q1602" s="239"/>
      <c r="R1602" s="239"/>
      <c r="S1602" s="239"/>
      <c r="T1602" s="239"/>
      <c r="U1602" s="239"/>
      <c r="V1602" s="239"/>
      <c r="W1602" s="246"/>
      <c r="X1602" s="239"/>
      <c r="Y1602" s="239"/>
      <c r="Z1602" s="239"/>
      <c r="AA1602" s="239"/>
      <c r="AB1602" s="239"/>
      <c r="AC1602" s="239"/>
      <c r="AD1602" s="239"/>
      <c r="AE1602" s="239"/>
      <c r="AF1602" s="239"/>
      <c r="AG1602" s="239"/>
      <c r="AH1602" s="239"/>
      <c r="AI1602" s="239"/>
      <c r="AJ1602" s="239"/>
    </row>
    <row r="1603">
      <c r="A1603" s="239"/>
      <c r="B1603" s="239"/>
      <c r="C1603" s="239"/>
      <c r="D1603" s="239"/>
      <c r="E1603" s="239"/>
      <c r="F1603" s="283"/>
      <c r="G1603" s="239"/>
      <c r="H1603" s="239"/>
      <c r="I1603" s="239"/>
      <c r="J1603" s="239"/>
      <c r="K1603" s="239"/>
      <c r="L1603" s="239"/>
      <c r="M1603" s="239"/>
      <c r="N1603" s="239"/>
      <c r="O1603" s="239"/>
      <c r="P1603" s="246"/>
      <c r="Q1603" s="239"/>
      <c r="R1603" s="239"/>
      <c r="S1603" s="239"/>
      <c r="T1603" s="239"/>
      <c r="U1603" s="239"/>
      <c r="V1603" s="239"/>
      <c r="W1603" s="246"/>
      <c r="X1603" s="239"/>
      <c r="Y1603" s="239"/>
      <c r="Z1603" s="239"/>
      <c r="AA1603" s="239"/>
      <c r="AB1603" s="239"/>
      <c r="AC1603" s="239"/>
      <c r="AD1603" s="239"/>
      <c r="AE1603" s="239"/>
      <c r="AF1603" s="239"/>
      <c r="AG1603" s="239"/>
      <c r="AH1603" s="239"/>
      <c r="AI1603" s="239"/>
      <c r="AJ1603" s="239"/>
    </row>
    <row r="1604">
      <c r="A1604" s="239"/>
      <c r="B1604" s="239"/>
      <c r="C1604" s="239"/>
      <c r="D1604" s="239"/>
      <c r="E1604" s="239"/>
      <c r="F1604" s="283"/>
      <c r="G1604" s="239"/>
      <c r="H1604" s="239"/>
      <c r="I1604" s="239"/>
      <c r="J1604" s="239"/>
      <c r="K1604" s="239"/>
      <c r="L1604" s="239"/>
      <c r="M1604" s="239"/>
      <c r="N1604" s="239"/>
      <c r="O1604" s="239"/>
      <c r="P1604" s="246"/>
      <c r="Q1604" s="239"/>
      <c r="R1604" s="239"/>
      <c r="S1604" s="239"/>
      <c r="T1604" s="239"/>
      <c r="U1604" s="239"/>
      <c r="V1604" s="239"/>
      <c r="W1604" s="246"/>
      <c r="X1604" s="239"/>
      <c r="Y1604" s="239"/>
      <c r="Z1604" s="239"/>
      <c r="AA1604" s="239"/>
      <c r="AB1604" s="239"/>
      <c r="AC1604" s="239"/>
      <c r="AD1604" s="239"/>
      <c r="AE1604" s="239"/>
      <c r="AF1604" s="239"/>
      <c r="AG1604" s="239"/>
      <c r="AH1604" s="239"/>
      <c r="AI1604" s="239"/>
      <c r="AJ1604" s="239"/>
    </row>
    <row r="1605">
      <c r="A1605" s="239"/>
      <c r="B1605" s="239"/>
      <c r="C1605" s="239"/>
      <c r="D1605" s="239"/>
      <c r="E1605" s="239"/>
      <c r="F1605" s="283"/>
      <c r="G1605" s="239"/>
      <c r="H1605" s="239"/>
      <c r="I1605" s="239"/>
      <c r="J1605" s="239"/>
      <c r="K1605" s="239"/>
      <c r="L1605" s="239"/>
      <c r="M1605" s="239"/>
      <c r="N1605" s="239"/>
      <c r="O1605" s="239"/>
      <c r="P1605" s="246"/>
      <c r="Q1605" s="239"/>
      <c r="R1605" s="239"/>
      <c r="S1605" s="239"/>
      <c r="T1605" s="239"/>
      <c r="U1605" s="239"/>
      <c r="V1605" s="239"/>
      <c r="W1605" s="246"/>
      <c r="X1605" s="239"/>
      <c r="Y1605" s="239"/>
      <c r="Z1605" s="239"/>
      <c r="AA1605" s="239"/>
      <c r="AB1605" s="239"/>
      <c r="AC1605" s="239"/>
      <c r="AD1605" s="239"/>
      <c r="AE1605" s="239"/>
      <c r="AF1605" s="239"/>
      <c r="AG1605" s="239"/>
      <c r="AH1605" s="239"/>
      <c r="AI1605" s="239"/>
      <c r="AJ1605" s="239"/>
    </row>
    <row r="1606">
      <c r="A1606" s="239"/>
      <c r="B1606" s="239"/>
      <c r="C1606" s="239"/>
      <c r="D1606" s="239"/>
      <c r="E1606" s="239"/>
      <c r="F1606" s="283"/>
      <c r="G1606" s="239"/>
      <c r="H1606" s="239"/>
      <c r="I1606" s="239"/>
      <c r="J1606" s="239"/>
      <c r="K1606" s="239"/>
      <c r="L1606" s="239"/>
      <c r="M1606" s="239"/>
      <c r="N1606" s="239"/>
      <c r="O1606" s="239"/>
      <c r="P1606" s="246"/>
      <c r="Q1606" s="239"/>
      <c r="R1606" s="239"/>
      <c r="S1606" s="239"/>
      <c r="T1606" s="239"/>
      <c r="U1606" s="239"/>
      <c r="V1606" s="239"/>
      <c r="W1606" s="246"/>
      <c r="X1606" s="239"/>
      <c r="Y1606" s="239"/>
      <c r="Z1606" s="239"/>
      <c r="AA1606" s="239"/>
      <c r="AB1606" s="239"/>
      <c r="AC1606" s="239"/>
      <c r="AD1606" s="239"/>
      <c r="AE1606" s="239"/>
      <c r="AF1606" s="239"/>
      <c r="AG1606" s="239"/>
      <c r="AH1606" s="239"/>
      <c r="AI1606" s="239"/>
      <c r="AJ1606" s="239"/>
    </row>
    <row r="1607">
      <c r="A1607" s="239"/>
      <c r="B1607" s="239"/>
      <c r="C1607" s="239"/>
      <c r="D1607" s="239"/>
      <c r="E1607" s="239"/>
      <c r="F1607" s="283"/>
      <c r="G1607" s="239"/>
      <c r="H1607" s="239"/>
      <c r="I1607" s="239"/>
      <c r="J1607" s="239"/>
      <c r="K1607" s="239"/>
      <c r="L1607" s="239"/>
      <c r="M1607" s="239"/>
      <c r="N1607" s="239"/>
      <c r="O1607" s="239"/>
      <c r="P1607" s="246"/>
      <c r="Q1607" s="239"/>
      <c r="R1607" s="239"/>
      <c r="S1607" s="239"/>
      <c r="T1607" s="239"/>
      <c r="U1607" s="239"/>
      <c r="V1607" s="239"/>
      <c r="W1607" s="246"/>
      <c r="X1607" s="239"/>
      <c r="Y1607" s="239"/>
      <c r="Z1607" s="239"/>
      <c r="AA1607" s="239"/>
      <c r="AB1607" s="239"/>
      <c r="AC1607" s="239"/>
      <c r="AD1607" s="239"/>
      <c r="AE1607" s="239"/>
      <c r="AF1607" s="239"/>
      <c r="AG1607" s="239"/>
      <c r="AH1607" s="239"/>
      <c r="AI1607" s="239"/>
      <c r="AJ1607" s="239"/>
    </row>
    <row r="1608">
      <c r="A1608" s="239"/>
      <c r="B1608" s="239"/>
      <c r="C1608" s="239"/>
      <c r="D1608" s="239"/>
      <c r="E1608" s="239"/>
      <c r="F1608" s="283"/>
      <c r="G1608" s="239"/>
      <c r="H1608" s="239"/>
      <c r="I1608" s="239"/>
      <c r="J1608" s="239"/>
      <c r="K1608" s="239"/>
      <c r="L1608" s="239"/>
      <c r="M1608" s="239"/>
      <c r="N1608" s="239"/>
      <c r="O1608" s="239"/>
      <c r="P1608" s="246"/>
      <c r="Q1608" s="239"/>
      <c r="R1608" s="239"/>
      <c r="S1608" s="239"/>
      <c r="T1608" s="239"/>
      <c r="U1608" s="239"/>
      <c r="V1608" s="239"/>
      <c r="W1608" s="246"/>
      <c r="X1608" s="239"/>
      <c r="Y1608" s="239"/>
      <c r="Z1608" s="239"/>
      <c r="AA1608" s="239"/>
      <c r="AB1608" s="239"/>
      <c r="AC1608" s="239"/>
      <c r="AD1608" s="239"/>
      <c r="AE1608" s="239"/>
      <c r="AF1608" s="239"/>
      <c r="AG1608" s="239"/>
      <c r="AH1608" s="239"/>
      <c r="AI1608" s="239"/>
      <c r="AJ1608" s="239"/>
    </row>
    <row r="1609">
      <c r="A1609" s="239"/>
      <c r="B1609" s="239"/>
      <c r="C1609" s="239"/>
      <c r="D1609" s="239"/>
      <c r="E1609" s="239"/>
      <c r="F1609" s="283"/>
      <c r="G1609" s="239"/>
      <c r="H1609" s="239"/>
      <c r="I1609" s="239"/>
      <c r="J1609" s="239"/>
      <c r="K1609" s="239"/>
      <c r="L1609" s="239"/>
      <c r="M1609" s="239"/>
      <c r="N1609" s="239"/>
      <c r="O1609" s="239"/>
      <c r="P1609" s="246"/>
      <c r="Q1609" s="239"/>
      <c r="R1609" s="239"/>
      <c r="S1609" s="239"/>
      <c r="T1609" s="239"/>
      <c r="U1609" s="239"/>
      <c r="V1609" s="239"/>
      <c r="W1609" s="246"/>
      <c r="X1609" s="239"/>
      <c r="Y1609" s="239"/>
      <c r="Z1609" s="239"/>
      <c r="AA1609" s="239"/>
      <c r="AB1609" s="239"/>
      <c r="AC1609" s="239"/>
      <c r="AD1609" s="239"/>
      <c r="AE1609" s="239"/>
      <c r="AF1609" s="239"/>
      <c r="AG1609" s="239"/>
      <c r="AH1609" s="239"/>
      <c r="AI1609" s="239"/>
      <c r="AJ1609" s="239"/>
    </row>
    <row r="1610">
      <c r="A1610" s="239"/>
      <c r="B1610" s="239"/>
      <c r="C1610" s="239"/>
      <c r="D1610" s="239"/>
      <c r="E1610" s="239"/>
      <c r="F1610" s="283"/>
      <c r="G1610" s="239"/>
      <c r="H1610" s="239"/>
      <c r="I1610" s="239"/>
      <c r="J1610" s="239"/>
      <c r="K1610" s="239"/>
      <c r="L1610" s="239"/>
      <c r="M1610" s="239"/>
      <c r="N1610" s="239"/>
      <c r="O1610" s="239"/>
      <c r="P1610" s="246"/>
      <c r="Q1610" s="239"/>
      <c r="R1610" s="239"/>
      <c r="S1610" s="239"/>
      <c r="T1610" s="239"/>
      <c r="U1610" s="239"/>
      <c r="V1610" s="239"/>
      <c r="W1610" s="246"/>
      <c r="X1610" s="239"/>
      <c r="Y1610" s="239"/>
      <c r="Z1610" s="239"/>
      <c r="AA1610" s="239"/>
      <c r="AB1610" s="239"/>
      <c r="AC1610" s="239"/>
      <c r="AD1610" s="239"/>
      <c r="AE1610" s="239"/>
      <c r="AF1610" s="239"/>
      <c r="AG1610" s="239"/>
      <c r="AH1610" s="239"/>
      <c r="AI1610" s="239"/>
      <c r="AJ1610" s="239"/>
    </row>
    <row r="1611">
      <c r="A1611" s="239"/>
      <c r="B1611" s="239"/>
      <c r="C1611" s="239"/>
      <c r="D1611" s="239"/>
      <c r="E1611" s="239"/>
      <c r="F1611" s="283"/>
      <c r="G1611" s="239"/>
      <c r="H1611" s="239"/>
      <c r="I1611" s="239"/>
      <c r="J1611" s="239"/>
      <c r="K1611" s="239"/>
      <c r="L1611" s="239"/>
      <c r="M1611" s="239"/>
      <c r="N1611" s="239"/>
      <c r="O1611" s="239"/>
      <c r="P1611" s="246"/>
      <c r="Q1611" s="239"/>
      <c r="R1611" s="239"/>
      <c r="S1611" s="239"/>
      <c r="T1611" s="239"/>
      <c r="U1611" s="239"/>
      <c r="V1611" s="239"/>
      <c r="W1611" s="246"/>
      <c r="X1611" s="239"/>
      <c r="Y1611" s="239"/>
      <c r="Z1611" s="239"/>
      <c r="AA1611" s="239"/>
      <c r="AB1611" s="239"/>
      <c r="AC1611" s="239"/>
      <c r="AD1611" s="239"/>
      <c r="AE1611" s="239"/>
      <c r="AF1611" s="239"/>
      <c r="AG1611" s="239"/>
      <c r="AH1611" s="239"/>
      <c r="AI1611" s="239"/>
      <c r="AJ1611" s="239"/>
    </row>
    <row r="1612">
      <c r="A1612" s="239"/>
      <c r="B1612" s="239"/>
      <c r="C1612" s="239"/>
      <c r="D1612" s="239"/>
      <c r="E1612" s="239"/>
      <c r="F1612" s="283"/>
      <c r="G1612" s="239"/>
      <c r="H1612" s="239"/>
      <c r="I1612" s="239"/>
      <c r="J1612" s="239"/>
      <c r="K1612" s="239"/>
      <c r="L1612" s="239"/>
      <c r="M1612" s="239"/>
      <c r="N1612" s="239"/>
      <c r="O1612" s="239"/>
      <c r="P1612" s="246"/>
      <c r="Q1612" s="239"/>
      <c r="R1612" s="239"/>
      <c r="S1612" s="239"/>
      <c r="T1612" s="239"/>
      <c r="U1612" s="239"/>
      <c r="V1612" s="239"/>
      <c r="W1612" s="246"/>
      <c r="X1612" s="239"/>
      <c r="Y1612" s="239"/>
      <c r="Z1612" s="239"/>
      <c r="AA1612" s="239"/>
      <c r="AB1612" s="239"/>
      <c r="AC1612" s="239"/>
      <c r="AD1612" s="239"/>
      <c r="AE1612" s="239"/>
      <c r="AF1612" s="239"/>
      <c r="AG1612" s="239"/>
      <c r="AH1612" s="239"/>
      <c r="AI1612" s="239"/>
      <c r="AJ1612" s="239"/>
    </row>
    <row r="1613">
      <c r="A1613" s="239"/>
      <c r="B1613" s="239"/>
      <c r="C1613" s="239"/>
      <c r="D1613" s="239"/>
      <c r="E1613" s="239"/>
      <c r="F1613" s="283"/>
      <c r="G1613" s="239"/>
      <c r="H1613" s="239"/>
      <c r="I1613" s="239"/>
      <c r="J1613" s="239"/>
      <c r="K1613" s="239"/>
      <c r="L1613" s="239"/>
      <c r="M1613" s="239"/>
      <c r="N1613" s="239"/>
      <c r="O1613" s="239"/>
      <c r="P1613" s="246"/>
      <c r="Q1613" s="239"/>
      <c r="R1613" s="239"/>
      <c r="S1613" s="239"/>
      <c r="T1613" s="239"/>
      <c r="U1613" s="239"/>
      <c r="V1613" s="239"/>
      <c r="W1613" s="246"/>
      <c r="X1613" s="239"/>
      <c r="Y1613" s="239"/>
      <c r="Z1613" s="239"/>
      <c r="AA1613" s="239"/>
      <c r="AB1613" s="239"/>
      <c r="AC1613" s="239"/>
      <c r="AD1613" s="239"/>
      <c r="AE1613" s="239"/>
      <c r="AF1613" s="239"/>
      <c r="AG1613" s="239"/>
      <c r="AH1613" s="239"/>
      <c r="AI1613" s="239"/>
      <c r="AJ1613" s="239"/>
    </row>
    <row r="1614">
      <c r="A1614" s="239"/>
      <c r="B1614" s="239"/>
      <c r="C1614" s="239"/>
      <c r="D1614" s="239"/>
      <c r="E1614" s="239"/>
      <c r="F1614" s="283"/>
      <c r="G1614" s="239"/>
      <c r="H1614" s="239"/>
      <c r="I1614" s="239"/>
      <c r="J1614" s="239"/>
      <c r="K1614" s="239"/>
      <c r="L1614" s="239"/>
      <c r="M1614" s="239"/>
      <c r="N1614" s="239"/>
      <c r="O1614" s="239"/>
      <c r="P1614" s="246"/>
      <c r="Q1614" s="239"/>
      <c r="R1614" s="239"/>
      <c r="S1614" s="239"/>
      <c r="T1614" s="239"/>
      <c r="U1614" s="239"/>
      <c r="V1614" s="239"/>
      <c r="W1614" s="246"/>
      <c r="X1614" s="239"/>
      <c r="Y1614" s="239"/>
      <c r="Z1614" s="239"/>
      <c r="AA1614" s="239"/>
      <c r="AB1614" s="239"/>
      <c r="AC1614" s="239"/>
      <c r="AD1614" s="239"/>
      <c r="AE1614" s="239"/>
      <c r="AF1614" s="239"/>
      <c r="AG1614" s="239"/>
      <c r="AH1614" s="239"/>
      <c r="AI1614" s="239"/>
      <c r="AJ1614" s="239"/>
    </row>
    <row r="1615">
      <c r="A1615" s="239"/>
      <c r="B1615" s="239"/>
      <c r="C1615" s="239"/>
      <c r="D1615" s="239"/>
      <c r="E1615" s="239"/>
      <c r="F1615" s="283"/>
      <c r="G1615" s="239"/>
      <c r="H1615" s="239"/>
      <c r="I1615" s="239"/>
      <c r="J1615" s="239"/>
      <c r="K1615" s="239"/>
      <c r="L1615" s="239"/>
      <c r="M1615" s="239"/>
      <c r="N1615" s="239"/>
      <c r="O1615" s="239"/>
      <c r="P1615" s="246"/>
      <c r="Q1615" s="239"/>
      <c r="R1615" s="239"/>
      <c r="S1615" s="239"/>
      <c r="T1615" s="239"/>
      <c r="U1615" s="239"/>
      <c r="V1615" s="239"/>
      <c r="W1615" s="246"/>
      <c r="X1615" s="239"/>
      <c r="Y1615" s="239"/>
      <c r="Z1615" s="239"/>
      <c r="AA1615" s="239"/>
      <c r="AB1615" s="239"/>
      <c r="AC1615" s="239"/>
      <c r="AD1615" s="239"/>
      <c r="AE1615" s="239"/>
      <c r="AF1615" s="239"/>
      <c r="AG1615" s="239"/>
      <c r="AH1615" s="239"/>
      <c r="AI1615" s="239"/>
      <c r="AJ1615" s="239"/>
    </row>
    <row r="1616">
      <c r="A1616" s="239"/>
      <c r="B1616" s="239"/>
      <c r="C1616" s="239"/>
      <c r="D1616" s="239"/>
      <c r="E1616" s="239"/>
      <c r="F1616" s="283"/>
      <c r="G1616" s="239"/>
      <c r="H1616" s="239"/>
      <c r="I1616" s="239"/>
      <c r="J1616" s="239"/>
      <c r="K1616" s="239"/>
      <c r="L1616" s="239"/>
      <c r="M1616" s="239"/>
      <c r="N1616" s="239"/>
      <c r="O1616" s="239"/>
      <c r="P1616" s="246"/>
      <c r="Q1616" s="239"/>
      <c r="R1616" s="239"/>
      <c r="S1616" s="239"/>
      <c r="T1616" s="239"/>
      <c r="U1616" s="239"/>
      <c r="V1616" s="239"/>
      <c r="W1616" s="246"/>
      <c r="X1616" s="239"/>
      <c r="Y1616" s="239"/>
      <c r="Z1616" s="239"/>
      <c r="AA1616" s="239"/>
      <c r="AB1616" s="239"/>
      <c r="AC1616" s="239"/>
      <c r="AD1616" s="239"/>
      <c r="AE1616" s="239"/>
      <c r="AF1616" s="239"/>
      <c r="AG1616" s="239"/>
      <c r="AH1616" s="239"/>
      <c r="AI1616" s="239"/>
      <c r="AJ1616" s="239"/>
    </row>
    <row r="1617">
      <c r="A1617" s="239"/>
      <c r="B1617" s="239"/>
      <c r="C1617" s="239"/>
      <c r="D1617" s="239"/>
      <c r="E1617" s="239"/>
      <c r="F1617" s="283"/>
      <c r="G1617" s="239"/>
      <c r="H1617" s="239"/>
      <c r="I1617" s="239"/>
      <c r="J1617" s="239"/>
      <c r="K1617" s="239"/>
      <c r="L1617" s="239"/>
      <c r="M1617" s="239"/>
      <c r="N1617" s="239"/>
      <c r="O1617" s="239"/>
      <c r="P1617" s="246"/>
      <c r="Q1617" s="239"/>
      <c r="R1617" s="239"/>
      <c r="S1617" s="239"/>
      <c r="T1617" s="239"/>
      <c r="U1617" s="239"/>
      <c r="V1617" s="239"/>
      <c r="W1617" s="246"/>
      <c r="X1617" s="239"/>
      <c r="Y1617" s="239"/>
      <c r="Z1617" s="239"/>
      <c r="AA1617" s="239"/>
      <c r="AB1617" s="239"/>
      <c r="AC1617" s="239"/>
      <c r="AD1617" s="239"/>
      <c r="AE1617" s="239"/>
      <c r="AF1617" s="239"/>
      <c r="AG1617" s="239"/>
      <c r="AH1617" s="239"/>
      <c r="AI1617" s="239"/>
      <c r="AJ1617" s="239"/>
    </row>
    <row r="1618">
      <c r="A1618" s="239"/>
      <c r="B1618" s="239"/>
      <c r="C1618" s="239"/>
      <c r="D1618" s="239"/>
      <c r="E1618" s="239"/>
      <c r="F1618" s="283"/>
      <c r="G1618" s="239"/>
      <c r="H1618" s="239"/>
      <c r="I1618" s="239"/>
      <c r="J1618" s="239"/>
      <c r="K1618" s="239"/>
      <c r="L1618" s="239"/>
      <c r="M1618" s="239"/>
      <c r="N1618" s="239"/>
      <c r="O1618" s="239"/>
      <c r="P1618" s="246"/>
      <c r="Q1618" s="239"/>
      <c r="R1618" s="239"/>
      <c r="S1618" s="239"/>
      <c r="T1618" s="239"/>
      <c r="U1618" s="239"/>
      <c r="V1618" s="239"/>
      <c r="W1618" s="246"/>
      <c r="X1618" s="239"/>
      <c r="Y1618" s="239"/>
      <c r="Z1618" s="239"/>
      <c r="AA1618" s="239"/>
      <c r="AB1618" s="239"/>
      <c r="AC1618" s="239"/>
      <c r="AD1618" s="239"/>
      <c r="AE1618" s="239"/>
      <c r="AF1618" s="239"/>
      <c r="AG1618" s="239"/>
      <c r="AH1618" s="239"/>
      <c r="AI1618" s="239"/>
      <c r="AJ1618" s="239"/>
    </row>
    <row r="1619">
      <c r="A1619" s="239"/>
      <c r="B1619" s="239"/>
      <c r="C1619" s="239"/>
      <c r="D1619" s="239"/>
      <c r="E1619" s="239"/>
      <c r="F1619" s="283"/>
      <c r="G1619" s="239"/>
      <c r="H1619" s="239"/>
      <c r="I1619" s="239"/>
      <c r="J1619" s="239"/>
      <c r="K1619" s="239"/>
      <c r="L1619" s="239"/>
      <c r="M1619" s="239"/>
      <c r="N1619" s="239"/>
      <c r="O1619" s="239"/>
      <c r="P1619" s="246"/>
      <c r="Q1619" s="239"/>
      <c r="R1619" s="239"/>
      <c r="S1619" s="239"/>
      <c r="T1619" s="239"/>
      <c r="U1619" s="239"/>
      <c r="V1619" s="239"/>
      <c r="W1619" s="246"/>
      <c r="X1619" s="239"/>
      <c r="Y1619" s="239"/>
      <c r="Z1619" s="239"/>
      <c r="AA1619" s="239"/>
      <c r="AB1619" s="239"/>
      <c r="AC1619" s="239"/>
      <c r="AD1619" s="239"/>
      <c r="AE1619" s="239"/>
      <c r="AF1619" s="239"/>
      <c r="AG1619" s="239"/>
      <c r="AH1619" s="239"/>
      <c r="AI1619" s="239"/>
      <c r="AJ1619" s="239"/>
    </row>
    <row r="1620">
      <c r="A1620" s="239"/>
      <c r="B1620" s="239"/>
      <c r="C1620" s="239"/>
      <c r="D1620" s="239"/>
      <c r="E1620" s="239"/>
      <c r="F1620" s="283"/>
      <c r="G1620" s="239"/>
      <c r="H1620" s="239"/>
      <c r="I1620" s="239"/>
      <c r="J1620" s="239"/>
      <c r="K1620" s="239"/>
      <c r="L1620" s="239"/>
      <c r="M1620" s="239"/>
      <c r="N1620" s="239"/>
      <c r="O1620" s="239"/>
      <c r="P1620" s="246"/>
      <c r="Q1620" s="239"/>
      <c r="R1620" s="239"/>
      <c r="S1620" s="239"/>
      <c r="T1620" s="239"/>
      <c r="U1620" s="239"/>
      <c r="V1620" s="239"/>
      <c r="W1620" s="246"/>
      <c r="X1620" s="239"/>
      <c r="Y1620" s="239"/>
      <c r="Z1620" s="239"/>
      <c r="AA1620" s="239"/>
      <c r="AB1620" s="239"/>
      <c r="AC1620" s="239"/>
      <c r="AD1620" s="239"/>
      <c r="AE1620" s="239"/>
      <c r="AF1620" s="239"/>
      <c r="AG1620" s="239"/>
      <c r="AH1620" s="239"/>
      <c r="AI1620" s="239"/>
      <c r="AJ1620" s="239"/>
    </row>
    <row r="1621">
      <c r="A1621" s="239"/>
      <c r="B1621" s="239"/>
      <c r="C1621" s="239"/>
      <c r="D1621" s="239"/>
      <c r="E1621" s="239"/>
      <c r="F1621" s="283"/>
      <c r="G1621" s="239"/>
      <c r="H1621" s="239"/>
      <c r="I1621" s="239"/>
      <c r="J1621" s="239"/>
      <c r="K1621" s="239"/>
      <c r="L1621" s="239"/>
      <c r="M1621" s="239"/>
      <c r="N1621" s="239"/>
      <c r="O1621" s="239"/>
      <c r="P1621" s="246"/>
      <c r="Q1621" s="239"/>
      <c r="R1621" s="239"/>
      <c r="S1621" s="239"/>
      <c r="T1621" s="239"/>
      <c r="U1621" s="239"/>
      <c r="V1621" s="239"/>
      <c r="W1621" s="246"/>
      <c r="X1621" s="239"/>
      <c r="Y1621" s="239"/>
      <c r="Z1621" s="239"/>
      <c r="AA1621" s="239"/>
      <c r="AB1621" s="239"/>
      <c r="AC1621" s="239"/>
      <c r="AD1621" s="239"/>
      <c r="AE1621" s="239"/>
      <c r="AF1621" s="239"/>
      <c r="AG1621" s="239"/>
      <c r="AH1621" s="239"/>
      <c r="AI1621" s="239"/>
      <c r="AJ1621" s="239"/>
    </row>
    <row r="1622">
      <c r="A1622" s="239"/>
      <c r="B1622" s="239"/>
      <c r="C1622" s="239"/>
      <c r="D1622" s="239"/>
      <c r="E1622" s="239"/>
      <c r="F1622" s="283"/>
      <c r="G1622" s="239"/>
      <c r="H1622" s="239"/>
      <c r="I1622" s="239"/>
      <c r="J1622" s="239"/>
      <c r="K1622" s="239"/>
      <c r="L1622" s="239"/>
      <c r="M1622" s="239"/>
      <c r="N1622" s="239"/>
      <c r="O1622" s="239"/>
      <c r="P1622" s="246"/>
      <c r="Q1622" s="239"/>
      <c r="R1622" s="239"/>
      <c r="S1622" s="239"/>
      <c r="T1622" s="239"/>
      <c r="U1622" s="239"/>
      <c r="V1622" s="239"/>
      <c r="W1622" s="246"/>
      <c r="X1622" s="239"/>
      <c r="Y1622" s="239"/>
      <c r="Z1622" s="239"/>
      <c r="AA1622" s="239"/>
      <c r="AB1622" s="239"/>
      <c r="AC1622" s="239"/>
      <c r="AD1622" s="239"/>
      <c r="AE1622" s="239"/>
      <c r="AF1622" s="239"/>
      <c r="AG1622" s="239"/>
      <c r="AH1622" s="239"/>
      <c r="AI1622" s="239"/>
      <c r="AJ1622" s="239"/>
    </row>
    <row r="1623">
      <c r="A1623" s="239"/>
      <c r="B1623" s="239"/>
      <c r="C1623" s="239"/>
      <c r="D1623" s="239"/>
      <c r="E1623" s="239"/>
      <c r="F1623" s="283"/>
      <c r="G1623" s="239"/>
      <c r="H1623" s="239"/>
      <c r="I1623" s="239"/>
      <c r="J1623" s="239"/>
      <c r="K1623" s="239"/>
      <c r="L1623" s="239"/>
      <c r="M1623" s="239"/>
      <c r="N1623" s="239"/>
      <c r="O1623" s="239"/>
      <c r="P1623" s="246"/>
      <c r="Q1623" s="239"/>
      <c r="R1623" s="239"/>
      <c r="S1623" s="239"/>
      <c r="T1623" s="239"/>
      <c r="U1623" s="239"/>
      <c r="V1623" s="239"/>
      <c r="W1623" s="246"/>
      <c r="X1623" s="239"/>
      <c r="Y1623" s="239"/>
      <c r="Z1623" s="239"/>
      <c r="AA1623" s="239"/>
      <c r="AB1623" s="239"/>
      <c r="AC1623" s="239"/>
      <c r="AD1623" s="239"/>
      <c r="AE1623" s="239"/>
      <c r="AF1623" s="239"/>
      <c r="AG1623" s="239"/>
      <c r="AH1623" s="239"/>
      <c r="AI1623" s="239"/>
      <c r="AJ1623" s="239"/>
    </row>
    <row r="1624">
      <c r="A1624" s="239"/>
      <c r="B1624" s="239"/>
      <c r="C1624" s="239"/>
      <c r="D1624" s="239"/>
      <c r="E1624" s="239"/>
      <c r="F1624" s="283"/>
      <c r="G1624" s="239"/>
      <c r="H1624" s="239"/>
      <c r="I1624" s="239"/>
      <c r="J1624" s="239"/>
      <c r="K1624" s="239"/>
      <c r="L1624" s="239"/>
      <c r="M1624" s="239"/>
      <c r="N1624" s="239"/>
      <c r="O1624" s="239"/>
      <c r="P1624" s="246"/>
      <c r="Q1624" s="239"/>
      <c r="R1624" s="239"/>
      <c r="S1624" s="239"/>
      <c r="T1624" s="239"/>
      <c r="U1624" s="239"/>
      <c r="V1624" s="239"/>
      <c r="W1624" s="246"/>
      <c r="X1624" s="239"/>
      <c r="Y1624" s="239"/>
      <c r="Z1624" s="239"/>
      <c r="AA1624" s="239"/>
      <c r="AB1624" s="239"/>
      <c r="AC1624" s="239"/>
      <c r="AD1624" s="239"/>
      <c r="AE1624" s="239"/>
      <c r="AF1624" s="239"/>
      <c r="AG1624" s="239"/>
      <c r="AH1624" s="239"/>
      <c r="AI1624" s="239"/>
      <c r="AJ1624" s="239"/>
    </row>
    <row r="1625">
      <c r="A1625" s="239"/>
      <c r="B1625" s="239"/>
      <c r="C1625" s="239"/>
      <c r="D1625" s="239"/>
      <c r="E1625" s="239"/>
      <c r="F1625" s="283"/>
      <c r="G1625" s="239"/>
      <c r="H1625" s="239"/>
      <c r="I1625" s="239"/>
      <c r="J1625" s="239"/>
      <c r="K1625" s="239"/>
      <c r="L1625" s="239"/>
      <c r="M1625" s="239"/>
      <c r="N1625" s="239"/>
      <c r="O1625" s="239"/>
      <c r="P1625" s="246"/>
      <c r="Q1625" s="239"/>
      <c r="R1625" s="239"/>
      <c r="S1625" s="239"/>
      <c r="T1625" s="239"/>
      <c r="U1625" s="239"/>
      <c r="V1625" s="239"/>
      <c r="W1625" s="246"/>
      <c r="X1625" s="239"/>
      <c r="Y1625" s="239"/>
      <c r="Z1625" s="239"/>
      <c r="AA1625" s="239"/>
      <c r="AB1625" s="239"/>
      <c r="AC1625" s="239"/>
      <c r="AD1625" s="239"/>
      <c r="AE1625" s="239"/>
      <c r="AF1625" s="239"/>
      <c r="AG1625" s="239"/>
      <c r="AH1625" s="239"/>
      <c r="AI1625" s="239"/>
      <c r="AJ1625" s="239"/>
    </row>
    <row r="1626">
      <c r="A1626" s="239"/>
      <c r="B1626" s="239"/>
      <c r="C1626" s="239"/>
      <c r="D1626" s="239"/>
      <c r="E1626" s="239"/>
      <c r="F1626" s="283"/>
      <c r="G1626" s="239"/>
      <c r="H1626" s="239"/>
      <c r="I1626" s="239"/>
      <c r="J1626" s="239"/>
      <c r="K1626" s="239"/>
      <c r="L1626" s="239"/>
      <c r="M1626" s="239"/>
      <c r="N1626" s="239"/>
      <c r="O1626" s="239"/>
      <c r="P1626" s="246"/>
      <c r="Q1626" s="239"/>
      <c r="R1626" s="239"/>
      <c r="S1626" s="239"/>
      <c r="T1626" s="239"/>
      <c r="U1626" s="239"/>
      <c r="V1626" s="239"/>
      <c r="W1626" s="246"/>
      <c r="X1626" s="239"/>
      <c r="Y1626" s="239"/>
      <c r="Z1626" s="239"/>
      <c r="AA1626" s="239"/>
      <c r="AB1626" s="239"/>
      <c r="AC1626" s="239"/>
      <c r="AD1626" s="239"/>
      <c r="AE1626" s="239"/>
      <c r="AF1626" s="239"/>
      <c r="AG1626" s="239"/>
      <c r="AH1626" s="239"/>
      <c r="AI1626" s="239"/>
      <c r="AJ1626" s="239"/>
    </row>
    <row r="1627">
      <c r="A1627" s="239"/>
      <c r="B1627" s="239"/>
      <c r="C1627" s="239"/>
      <c r="D1627" s="239"/>
      <c r="E1627" s="239"/>
      <c r="F1627" s="283"/>
      <c r="G1627" s="239"/>
      <c r="H1627" s="239"/>
      <c r="I1627" s="239"/>
      <c r="J1627" s="239"/>
      <c r="K1627" s="239"/>
      <c r="L1627" s="239"/>
      <c r="M1627" s="239"/>
      <c r="N1627" s="239"/>
      <c r="O1627" s="239"/>
      <c r="P1627" s="246"/>
      <c r="Q1627" s="239"/>
      <c r="R1627" s="239"/>
      <c r="S1627" s="239"/>
      <c r="T1627" s="239"/>
      <c r="U1627" s="239"/>
      <c r="V1627" s="239"/>
      <c r="W1627" s="246"/>
      <c r="X1627" s="239"/>
      <c r="Y1627" s="239"/>
      <c r="Z1627" s="239"/>
      <c r="AA1627" s="239"/>
      <c r="AB1627" s="239"/>
      <c r="AC1627" s="239"/>
      <c r="AD1627" s="239"/>
      <c r="AE1627" s="239"/>
      <c r="AF1627" s="239"/>
      <c r="AG1627" s="239"/>
      <c r="AH1627" s="239"/>
      <c r="AI1627" s="239"/>
      <c r="AJ1627" s="239"/>
    </row>
    <row r="1628">
      <c r="A1628" s="239"/>
      <c r="B1628" s="239"/>
      <c r="C1628" s="239"/>
      <c r="D1628" s="239"/>
      <c r="E1628" s="239"/>
      <c r="F1628" s="283"/>
      <c r="G1628" s="239"/>
      <c r="H1628" s="239"/>
      <c r="I1628" s="239"/>
      <c r="J1628" s="239"/>
      <c r="K1628" s="239"/>
      <c r="L1628" s="239"/>
      <c r="M1628" s="239"/>
      <c r="N1628" s="239"/>
      <c r="O1628" s="239"/>
      <c r="P1628" s="246"/>
      <c r="Q1628" s="239"/>
      <c r="R1628" s="239"/>
      <c r="S1628" s="239"/>
      <c r="T1628" s="239"/>
      <c r="U1628" s="239"/>
      <c r="V1628" s="239"/>
      <c r="W1628" s="246"/>
      <c r="X1628" s="239"/>
      <c r="Y1628" s="239"/>
      <c r="Z1628" s="239"/>
      <c r="AA1628" s="239"/>
      <c r="AB1628" s="239"/>
      <c r="AC1628" s="239"/>
      <c r="AD1628" s="239"/>
      <c r="AE1628" s="239"/>
      <c r="AF1628" s="239"/>
      <c r="AG1628" s="239"/>
      <c r="AH1628" s="239"/>
      <c r="AI1628" s="239"/>
      <c r="AJ1628" s="239"/>
    </row>
    <row r="1629">
      <c r="A1629" s="239"/>
      <c r="B1629" s="239"/>
      <c r="C1629" s="239"/>
      <c r="D1629" s="239"/>
      <c r="E1629" s="239"/>
      <c r="F1629" s="283"/>
      <c r="G1629" s="239"/>
      <c r="H1629" s="239"/>
      <c r="I1629" s="239"/>
      <c r="J1629" s="239"/>
      <c r="K1629" s="239"/>
      <c r="L1629" s="239"/>
      <c r="M1629" s="239"/>
      <c r="N1629" s="239"/>
      <c r="O1629" s="239"/>
      <c r="P1629" s="246"/>
      <c r="Q1629" s="239"/>
      <c r="R1629" s="239"/>
      <c r="S1629" s="239"/>
      <c r="T1629" s="239"/>
      <c r="U1629" s="239"/>
      <c r="V1629" s="239"/>
      <c r="W1629" s="246"/>
      <c r="X1629" s="239"/>
      <c r="Y1629" s="239"/>
      <c r="Z1629" s="239"/>
      <c r="AA1629" s="239"/>
      <c r="AB1629" s="239"/>
      <c r="AC1629" s="239"/>
      <c r="AD1629" s="239"/>
      <c r="AE1629" s="239"/>
      <c r="AF1629" s="239"/>
      <c r="AG1629" s="239"/>
      <c r="AH1629" s="239"/>
      <c r="AI1629" s="239"/>
      <c r="AJ1629" s="239"/>
    </row>
    <row r="1630">
      <c r="A1630" s="239"/>
      <c r="B1630" s="239"/>
      <c r="C1630" s="239"/>
      <c r="D1630" s="239"/>
      <c r="E1630" s="239"/>
      <c r="F1630" s="283"/>
      <c r="G1630" s="239"/>
      <c r="H1630" s="239"/>
      <c r="I1630" s="239"/>
      <c r="J1630" s="239"/>
      <c r="K1630" s="239"/>
      <c r="L1630" s="239"/>
      <c r="M1630" s="239"/>
      <c r="N1630" s="239"/>
      <c r="O1630" s="239"/>
      <c r="P1630" s="246"/>
      <c r="Q1630" s="239"/>
      <c r="R1630" s="239"/>
      <c r="S1630" s="239"/>
      <c r="T1630" s="239"/>
      <c r="U1630" s="239"/>
      <c r="V1630" s="239"/>
      <c r="W1630" s="246"/>
      <c r="X1630" s="239"/>
      <c r="Y1630" s="239"/>
      <c r="Z1630" s="239"/>
      <c r="AA1630" s="239"/>
      <c r="AB1630" s="239"/>
      <c r="AC1630" s="239"/>
      <c r="AD1630" s="239"/>
      <c r="AE1630" s="239"/>
      <c r="AF1630" s="239"/>
      <c r="AG1630" s="239"/>
      <c r="AH1630" s="239"/>
      <c r="AI1630" s="239"/>
      <c r="AJ1630" s="239"/>
    </row>
    <row r="1631">
      <c r="A1631" s="239"/>
      <c r="B1631" s="239"/>
      <c r="C1631" s="239"/>
      <c r="D1631" s="239"/>
      <c r="E1631" s="239"/>
      <c r="F1631" s="283"/>
      <c r="G1631" s="239"/>
      <c r="H1631" s="239"/>
      <c r="I1631" s="239"/>
      <c r="J1631" s="239"/>
      <c r="K1631" s="239"/>
      <c r="L1631" s="239"/>
      <c r="M1631" s="239"/>
      <c r="N1631" s="239"/>
      <c r="O1631" s="239"/>
      <c r="P1631" s="246"/>
      <c r="Q1631" s="239"/>
      <c r="R1631" s="239"/>
      <c r="S1631" s="239"/>
      <c r="T1631" s="239"/>
      <c r="U1631" s="239"/>
      <c r="V1631" s="239"/>
      <c r="W1631" s="246"/>
      <c r="X1631" s="239"/>
      <c r="Y1631" s="239"/>
      <c r="Z1631" s="239"/>
      <c r="AA1631" s="239"/>
      <c r="AB1631" s="239"/>
      <c r="AC1631" s="239"/>
      <c r="AD1631" s="239"/>
      <c r="AE1631" s="239"/>
      <c r="AF1631" s="239"/>
      <c r="AG1631" s="239"/>
      <c r="AH1631" s="239"/>
      <c r="AI1631" s="239"/>
      <c r="AJ1631" s="239"/>
    </row>
    <row r="1632">
      <c r="A1632" s="239"/>
      <c r="B1632" s="239"/>
      <c r="C1632" s="239"/>
      <c r="D1632" s="239"/>
      <c r="E1632" s="239"/>
      <c r="F1632" s="283"/>
      <c r="G1632" s="239"/>
      <c r="H1632" s="239"/>
      <c r="I1632" s="239"/>
      <c r="J1632" s="239"/>
      <c r="K1632" s="239"/>
      <c r="L1632" s="239"/>
      <c r="M1632" s="239"/>
      <c r="N1632" s="239"/>
      <c r="O1632" s="239"/>
      <c r="P1632" s="246"/>
      <c r="Q1632" s="239"/>
      <c r="R1632" s="239"/>
      <c r="S1632" s="239"/>
      <c r="T1632" s="239"/>
      <c r="U1632" s="239"/>
      <c r="V1632" s="239"/>
      <c r="W1632" s="246"/>
      <c r="X1632" s="239"/>
      <c r="Y1632" s="239"/>
      <c r="Z1632" s="239"/>
      <c r="AA1632" s="239"/>
      <c r="AB1632" s="239"/>
      <c r="AC1632" s="239"/>
      <c r="AD1632" s="239"/>
      <c r="AE1632" s="239"/>
      <c r="AF1632" s="239"/>
      <c r="AG1632" s="239"/>
      <c r="AH1632" s="239"/>
      <c r="AI1632" s="239"/>
      <c r="AJ1632" s="239"/>
    </row>
    <row r="1633">
      <c r="A1633" s="239"/>
      <c r="B1633" s="239"/>
      <c r="C1633" s="239"/>
      <c r="D1633" s="239"/>
      <c r="E1633" s="239"/>
      <c r="F1633" s="283"/>
      <c r="G1633" s="239"/>
      <c r="H1633" s="239"/>
      <c r="I1633" s="239"/>
      <c r="J1633" s="239"/>
      <c r="K1633" s="239"/>
      <c r="L1633" s="239"/>
      <c r="M1633" s="239"/>
      <c r="N1633" s="239"/>
      <c r="O1633" s="239"/>
      <c r="P1633" s="246"/>
      <c r="Q1633" s="239"/>
      <c r="R1633" s="239"/>
      <c r="S1633" s="239"/>
      <c r="T1633" s="239"/>
      <c r="U1633" s="239"/>
      <c r="V1633" s="239"/>
      <c r="W1633" s="246"/>
      <c r="X1633" s="239"/>
      <c r="Y1633" s="239"/>
      <c r="Z1633" s="239"/>
      <c r="AA1633" s="239"/>
      <c r="AB1633" s="239"/>
      <c r="AC1633" s="239"/>
      <c r="AD1633" s="239"/>
      <c r="AE1633" s="239"/>
      <c r="AF1633" s="239"/>
      <c r="AG1633" s="239"/>
      <c r="AH1633" s="239"/>
      <c r="AI1633" s="239"/>
      <c r="AJ1633" s="239"/>
    </row>
    <row r="1634">
      <c r="A1634" s="239"/>
      <c r="B1634" s="239"/>
      <c r="C1634" s="239"/>
      <c r="D1634" s="239"/>
      <c r="E1634" s="239"/>
      <c r="F1634" s="283"/>
      <c r="G1634" s="239"/>
      <c r="H1634" s="239"/>
      <c r="I1634" s="239"/>
      <c r="J1634" s="239"/>
      <c r="K1634" s="239"/>
      <c r="L1634" s="239"/>
      <c r="M1634" s="239"/>
      <c r="N1634" s="239"/>
      <c r="O1634" s="239"/>
      <c r="P1634" s="246"/>
      <c r="Q1634" s="239"/>
      <c r="R1634" s="239"/>
      <c r="S1634" s="239"/>
      <c r="T1634" s="239"/>
      <c r="U1634" s="239"/>
      <c r="V1634" s="239"/>
      <c r="W1634" s="246"/>
      <c r="X1634" s="239"/>
      <c r="Y1634" s="239"/>
      <c r="Z1634" s="239"/>
      <c r="AA1634" s="239"/>
      <c r="AB1634" s="239"/>
      <c r="AC1634" s="239"/>
      <c r="AD1634" s="239"/>
      <c r="AE1634" s="239"/>
      <c r="AF1634" s="239"/>
      <c r="AG1634" s="239"/>
      <c r="AH1634" s="239"/>
      <c r="AI1634" s="239"/>
      <c r="AJ1634" s="239"/>
    </row>
    <row r="1635">
      <c r="A1635" s="239"/>
      <c r="B1635" s="239"/>
      <c r="C1635" s="239"/>
      <c r="D1635" s="239"/>
      <c r="E1635" s="239"/>
      <c r="F1635" s="283"/>
      <c r="G1635" s="239"/>
      <c r="H1635" s="239"/>
      <c r="I1635" s="239"/>
      <c r="J1635" s="239"/>
      <c r="K1635" s="239"/>
      <c r="L1635" s="239"/>
      <c r="M1635" s="239"/>
      <c r="N1635" s="239"/>
      <c r="O1635" s="239"/>
      <c r="P1635" s="246"/>
      <c r="Q1635" s="239"/>
      <c r="R1635" s="239"/>
      <c r="S1635" s="239"/>
      <c r="T1635" s="239"/>
      <c r="U1635" s="239"/>
      <c r="V1635" s="239"/>
      <c r="W1635" s="246"/>
      <c r="X1635" s="239"/>
      <c r="Y1635" s="239"/>
      <c r="Z1635" s="239"/>
      <c r="AA1635" s="239"/>
      <c r="AB1635" s="239"/>
      <c r="AC1635" s="239"/>
      <c r="AD1635" s="239"/>
      <c r="AE1635" s="239"/>
      <c r="AF1635" s="239"/>
      <c r="AG1635" s="239"/>
      <c r="AH1635" s="239"/>
      <c r="AI1635" s="239"/>
      <c r="AJ1635" s="239"/>
    </row>
    <row r="1636">
      <c r="A1636" s="239"/>
      <c r="B1636" s="239"/>
      <c r="C1636" s="239"/>
      <c r="D1636" s="239"/>
      <c r="E1636" s="239"/>
      <c r="F1636" s="283"/>
      <c r="G1636" s="239"/>
      <c r="H1636" s="239"/>
      <c r="I1636" s="239"/>
      <c r="J1636" s="239"/>
      <c r="K1636" s="239"/>
      <c r="L1636" s="239"/>
      <c r="M1636" s="239"/>
      <c r="N1636" s="239"/>
      <c r="O1636" s="239"/>
      <c r="P1636" s="246"/>
      <c r="Q1636" s="239"/>
      <c r="R1636" s="239"/>
      <c r="S1636" s="239"/>
      <c r="T1636" s="239"/>
      <c r="U1636" s="239"/>
      <c r="V1636" s="239"/>
      <c r="W1636" s="246"/>
      <c r="X1636" s="239"/>
      <c r="Y1636" s="239"/>
      <c r="Z1636" s="239"/>
      <c r="AA1636" s="239"/>
      <c r="AB1636" s="239"/>
      <c r="AC1636" s="239"/>
      <c r="AD1636" s="239"/>
      <c r="AE1636" s="239"/>
      <c r="AF1636" s="239"/>
      <c r="AG1636" s="239"/>
      <c r="AH1636" s="239"/>
      <c r="AI1636" s="239"/>
      <c r="AJ1636" s="239"/>
    </row>
    <row r="1637">
      <c r="A1637" s="239"/>
      <c r="B1637" s="239"/>
      <c r="C1637" s="239"/>
      <c r="D1637" s="239"/>
      <c r="E1637" s="239"/>
      <c r="F1637" s="283"/>
      <c r="G1637" s="239"/>
      <c r="H1637" s="239"/>
      <c r="I1637" s="239"/>
      <c r="J1637" s="239"/>
      <c r="K1637" s="239"/>
      <c r="L1637" s="239"/>
      <c r="M1637" s="239"/>
      <c r="N1637" s="239"/>
      <c r="O1637" s="239"/>
      <c r="P1637" s="246"/>
      <c r="Q1637" s="239"/>
      <c r="R1637" s="239"/>
      <c r="S1637" s="239"/>
      <c r="T1637" s="239"/>
      <c r="U1637" s="239"/>
      <c r="V1637" s="239"/>
      <c r="W1637" s="246"/>
      <c r="X1637" s="239"/>
      <c r="Y1637" s="239"/>
      <c r="Z1637" s="239"/>
      <c r="AA1637" s="239"/>
      <c r="AB1637" s="239"/>
      <c r="AC1637" s="239"/>
      <c r="AD1637" s="239"/>
      <c r="AE1637" s="239"/>
      <c r="AF1637" s="239"/>
      <c r="AG1637" s="239"/>
      <c r="AH1637" s="239"/>
      <c r="AI1637" s="239"/>
      <c r="AJ1637" s="239"/>
    </row>
    <row r="1638">
      <c r="A1638" s="239"/>
      <c r="B1638" s="239"/>
      <c r="C1638" s="239"/>
      <c r="D1638" s="239"/>
      <c r="E1638" s="239"/>
      <c r="F1638" s="283"/>
      <c r="G1638" s="239"/>
      <c r="H1638" s="239"/>
      <c r="I1638" s="239"/>
      <c r="J1638" s="239"/>
      <c r="K1638" s="239"/>
      <c r="L1638" s="239"/>
      <c r="M1638" s="239"/>
      <c r="N1638" s="239"/>
      <c r="O1638" s="239"/>
      <c r="P1638" s="246"/>
      <c r="Q1638" s="239"/>
      <c r="R1638" s="239"/>
      <c r="S1638" s="239"/>
      <c r="T1638" s="239"/>
      <c r="U1638" s="239"/>
      <c r="V1638" s="239"/>
      <c r="W1638" s="246"/>
      <c r="X1638" s="239"/>
      <c r="Y1638" s="239"/>
      <c r="Z1638" s="239"/>
      <c r="AA1638" s="239"/>
      <c r="AB1638" s="239"/>
      <c r="AC1638" s="239"/>
      <c r="AD1638" s="239"/>
      <c r="AE1638" s="239"/>
      <c r="AF1638" s="239"/>
      <c r="AG1638" s="239"/>
      <c r="AH1638" s="239"/>
      <c r="AI1638" s="239"/>
      <c r="AJ1638" s="239"/>
    </row>
    <row r="1639">
      <c r="A1639" s="239"/>
      <c r="B1639" s="239"/>
      <c r="C1639" s="239"/>
      <c r="D1639" s="239"/>
      <c r="E1639" s="239"/>
      <c r="F1639" s="283"/>
      <c r="G1639" s="239"/>
      <c r="H1639" s="239"/>
      <c r="I1639" s="239"/>
      <c r="J1639" s="239"/>
      <c r="K1639" s="239"/>
      <c r="L1639" s="239"/>
      <c r="M1639" s="239"/>
      <c r="N1639" s="239"/>
      <c r="O1639" s="239"/>
      <c r="P1639" s="246"/>
      <c r="Q1639" s="239"/>
      <c r="R1639" s="239"/>
      <c r="S1639" s="239"/>
      <c r="T1639" s="239"/>
      <c r="U1639" s="239"/>
      <c r="V1639" s="239"/>
      <c r="W1639" s="246"/>
      <c r="X1639" s="239"/>
      <c r="Y1639" s="239"/>
      <c r="Z1639" s="239"/>
      <c r="AA1639" s="239"/>
      <c r="AB1639" s="239"/>
      <c r="AC1639" s="239"/>
      <c r="AD1639" s="239"/>
      <c r="AE1639" s="239"/>
      <c r="AF1639" s="239"/>
      <c r="AG1639" s="239"/>
      <c r="AH1639" s="239"/>
      <c r="AI1639" s="239"/>
      <c r="AJ1639" s="239"/>
    </row>
    <row r="1640">
      <c r="A1640" s="239"/>
      <c r="B1640" s="239"/>
      <c r="C1640" s="239"/>
      <c r="D1640" s="239"/>
      <c r="E1640" s="239"/>
      <c r="F1640" s="283"/>
      <c r="G1640" s="239"/>
      <c r="H1640" s="239"/>
      <c r="I1640" s="239"/>
      <c r="J1640" s="239"/>
      <c r="K1640" s="239"/>
      <c r="L1640" s="239"/>
      <c r="M1640" s="239"/>
      <c r="N1640" s="239"/>
      <c r="O1640" s="239"/>
      <c r="P1640" s="246"/>
      <c r="Q1640" s="239"/>
      <c r="R1640" s="239"/>
      <c r="S1640" s="239"/>
      <c r="T1640" s="239"/>
      <c r="U1640" s="239"/>
      <c r="V1640" s="239"/>
      <c r="W1640" s="246"/>
      <c r="X1640" s="239"/>
      <c r="Y1640" s="239"/>
      <c r="Z1640" s="239"/>
      <c r="AA1640" s="239"/>
      <c r="AB1640" s="239"/>
      <c r="AC1640" s="239"/>
      <c r="AD1640" s="239"/>
      <c r="AE1640" s="239"/>
      <c r="AF1640" s="239"/>
      <c r="AG1640" s="239"/>
      <c r="AH1640" s="239"/>
      <c r="AI1640" s="239"/>
      <c r="AJ1640" s="239"/>
    </row>
    <row r="1641">
      <c r="A1641" s="239"/>
      <c r="B1641" s="239"/>
      <c r="C1641" s="239"/>
      <c r="D1641" s="239"/>
      <c r="E1641" s="239"/>
      <c r="F1641" s="283"/>
      <c r="G1641" s="239"/>
      <c r="H1641" s="239"/>
      <c r="I1641" s="239"/>
      <c r="J1641" s="239"/>
      <c r="K1641" s="239"/>
      <c r="L1641" s="239"/>
      <c r="M1641" s="239"/>
      <c r="N1641" s="239"/>
      <c r="O1641" s="239"/>
      <c r="P1641" s="246"/>
      <c r="Q1641" s="239"/>
      <c r="R1641" s="239"/>
      <c r="S1641" s="239"/>
      <c r="T1641" s="239"/>
      <c r="U1641" s="239"/>
      <c r="V1641" s="239"/>
      <c r="W1641" s="246"/>
      <c r="X1641" s="239"/>
      <c r="Y1641" s="239"/>
      <c r="Z1641" s="239"/>
      <c r="AA1641" s="239"/>
      <c r="AB1641" s="239"/>
      <c r="AC1641" s="239"/>
      <c r="AD1641" s="239"/>
      <c r="AE1641" s="239"/>
      <c r="AF1641" s="239"/>
      <c r="AG1641" s="239"/>
      <c r="AH1641" s="239"/>
      <c r="AI1641" s="239"/>
      <c r="AJ1641" s="239"/>
    </row>
    <row r="1642">
      <c r="A1642" s="239"/>
      <c r="B1642" s="239"/>
      <c r="C1642" s="239"/>
      <c r="D1642" s="239"/>
      <c r="E1642" s="239"/>
      <c r="F1642" s="283"/>
      <c r="G1642" s="239"/>
      <c r="H1642" s="239"/>
      <c r="I1642" s="239"/>
      <c r="J1642" s="239"/>
      <c r="K1642" s="239"/>
      <c r="L1642" s="239"/>
      <c r="M1642" s="239"/>
      <c r="N1642" s="239"/>
      <c r="O1642" s="239"/>
      <c r="P1642" s="246"/>
      <c r="Q1642" s="239"/>
      <c r="R1642" s="239"/>
      <c r="S1642" s="239"/>
      <c r="T1642" s="239"/>
      <c r="U1642" s="239"/>
      <c r="V1642" s="239"/>
      <c r="W1642" s="246"/>
      <c r="X1642" s="239"/>
      <c r="Y1642" s="239"/>
      <c r="Z1642" s="239"/>
      <c r="AA1642" s="239"/>
      <c r="AB1642" s="239"/>
      <c r="AC1642" s="239"/>
      <c r="AD1642" s="239"/>
      <c r="AE1642" s="239"/>
      <c r="AF1642" s="239"/>
      <c r="AG1642" s="239"/>
      <c r="AH1642" s="239"/>
      <c r="AI1642" s="239"/>
      <c r="AJ1642" s="239"/>
    </row>
    <row r="1643">
      <c r="A1643" s="239"/>
      <c r="B1643" s="239"/>
      <c r="C1643" s="239"/>
      <c r="D1643" s="239"/>
      <c r="E1643" s="239"/>
      <c r="F1643" s="283"/>
      <c r="G1643" s="239"/>
      <c r="H1643" s="239"/>
      <c r="I1643" s="239"/>
      <c r="J1643" s="239"/>
      <c r="K1643" s="239"/>
      <c r="L1643" s="239"/>
      <c r="M1643" s="239"/>
      <c r="N1643" s="239"/>
      <c r="O1643" s="239"/>
      <c r="P1643" s="246"/>
      <c r="Q1643" s="239"/>
      <c r="R1643" s="239"/>
      <c r="S1643" s="239"/>
      <c r="T1643" s="239"/>
      <c r="U1643" s="239"/>
      <c r="V1643" s="239"/>
      <c r="W1643" s="246"/>
      <c r="X1643" s="239"/>
      <c r="Y1643" s="239"/>
      <c r="Z1643" s="239"/>
      <c r="AA1643" s="239"/>
      <c r="AB1643" s="239"/>
      <c r="AC1643" s="239"/>
      <c r="AD1643" s="239"/>
      <c r="AE1643" s="239"/>
      <c r="AF1643" s="239"/>
      <c r="AG1643" s="239"/>
      <c r="AH1643" s="239"/>
      <c r="AI1643" s="239"/>
      <c r="AJ1643" s="239"/>
    </row>
    <row r="1644">
      <c r="A1644" s="239"/>
      <c r="B1644" s="239"/>
      <c r="C1644" s="239"/>
      <c r="D1644" s="239"/>
      <c r="E1644" s="239"/>
      <c r="F1644" s="283"/>
      <c r="G1644" s="239"/>
      <c r="H1644" s="239"/>
      <c r="I1644" s="239"/>
      <c r="J1644" s="239"/>
      <c r="K1644" s="239"/>
      <c r="L1644" s="239"/>
      <c r="M1644" s="239"/>
      <c r="N1644" s="239"/>
      <c r="O1644" s="239"/>
      <c r="P1644" s="246"/>
      <c r="Q1644" s="239"/>
      <c r="R1644" s="239"/>
      <c r="S1644" s="239"/>
      <c r="T1644" s="239"/>
      <c r="U1644" s="239"/>
      <c r="V1644" s="239"/>
      <c r="W1644" s="246"/>
      <c r="X1644" s="239"/>
      <c r="Y1644" s="239"/>
      <c r="Z1644" s="239"/>
      <c r="AA1644" s="239"/>
      <c r="AB1644" s="239"/>
      <c r="AC1644" s="239"/>
      <c r="AD1644" s="239"/>
      <c r="AE1644" s="239"/>
      <c r="AF1644" s="239"/>
      <c r="AG1644" s="239"/>
      <c r="AH1644" s="239"/>
      <c r="AI1644" s="239"/>
      <c r="AJ1644" s="239"/>
    </row>
    <row r="1645">
      <c r="A1645" s="239"/>
      <c r="B1645" s="239"/>
      <c r="C1645" s="239"/>
      <c r="D1645" s="239"/>
      <c r="E1645" s="239"/>
      <c r="F1645" s="283"/>
      <c r="G1645" s="239"/>
      <c r="H1645" s="239"/>
      <c r="I1645" s="239"/>
      <c r="J1645" s="239"/>
      <c r="K1645" s="239"/>
      <c r="L1645" s="239"/>
      <c r="M1645" s="239"/>
      <c r="N1645" s="239"/>
      <c r="O1645" s="239"/>
      <c r="P1645" s="246"/>
      <c r="Q1645" s="239"/>
      <c r="R1645" s="239"/>
      <c r="S1645" s="239"/>
      <c r="T1645" s="239"/>
      <c r="U1645" s="239"/>
      <c r="V1645" s="239"/>
      <c r="W1645" s="246"/>
      <c r="X1645" s="239"/>
      <c r="Y1645" s="239"/>
      <c r="Z1645" s="239"/>
      <c r="AA1645" s="239"/>
      <c r="AB1645" s="239"/>
      <c r="AC1645" s="239"/>
      <c r="AD1645" s="239"/>
      <c r="AE1645" s="239"/>
      <c r="AF1645" s="239"/>
      <c r="AG1645" s="239"/>
      <c r="AH1645" s="239"/>
      <c r="AI1645" s="239"/>
      <c r="AJ1645" s="239"/>
    </row>
    <row r="1646">
      <c r="A1646" s="239"/>
      <c r="B1646" s="239"/>
      <c r="C1646" s="239"/>
      <c r="D1646" s="239"/>
      <c r="E1646" s="239"/>
      <c r="F1646" s="283"/>
      <c r="G1646" s="239"/>
      <c r="H1646" s="239"/>
      <c r="I1646" s="239"/>
      <c r="J1646" s="239"/>
      <c r="K1646" s="239"/>
      <c r="L1646" s="239"/>
      <c r="M1646" s="239"/>
      <c r="N1646" s="239"/>
      <c r="O1646" s="239"/>
      <c r="P1646" s="246"/>
      <c r="Q1646" s="239"/>
      <c r="R1646" s="239"/>
      <c r="S1646" s="239"/>
      <c r="T1646" s="239"/>
      <c r="U1646" s="239"/>
      <c r="V1646" s="239"/>
      <c r="W1646" s="246"/>
      <c r="X1646" s="239"/>
      <c r="Y1646" s="239"/>
      <c r="Z1646" s="239"/>
      <c r="AA1646" s="239"/>
      <c r="AB1646" s="239"/>
      <c r="AC1646" s="239"/>
      <c r="AD1646" s="239"/>
      <c r="AE1646" s="239"/>
      <c r="AF1646" s="239"/>
      <c r="AG1646" s="239"/>
      <c r="AH1646" s="239"/>
      <c r="AI1646" s="239"/>
      <c r="AJ1646" s="239"/>
    </row>
    <row r="1647">
      <c r="A1647" s="239"/>
      <c r="B1647" s="239"/>
      <c r="C1647" s="239"/>
      <c r="D1647" s="239"/>
      <c r="E1647" s="239"/>
      <c r="F1647" s="283"/>
      <c r="G1647" s="239"/>
      <c r="H1647" s="239"/>
      <c r="I1647" s="239"/>
      <c r="J1647" s="239"/>
      <c r="K1647" s="239"/>
      <c r="L1647" s="239"/>
      <c r="M1647" s="239"/>
      <c r="N1647" s="239"/>
      <c r="O1647" s="239"/>
      <c r="P1647" s="246"/>
      <c r="Q1647" s="239"/>
      <c r="R1647" s="239"/>
      <c r="S1647" s="239"/>
      <c r="T1647" s="239"/>
      <c r="U1647" s="239"/>
      <c r="V1647" s="239"/>
      <c r="W1647" s="246"/>
      <c r="X1647" s="239"/>
      <c r="Y1647" s="239"/>
      <c r="Z1647" s="239"/>
      <c r="AA1647" s="239"/>
      <c r="AB1647" s="239"/>
      <c r="AC1647" s="239"/>
      <c r="AD1647" s="239"/>
      <c r="AE1647" s="239"/>
      <c r="AF1647" s="239"/>
      <c r="AG1647" s="239"/>
      <c r="AH1647" s="239"/>
      <c r="AI1647" s="239"/>
      <c r="AJ1647" s="239"/>
    </row>
    <row r="1648">
      <c r="A1648" s="239"/>
      <c r="B1648" s="239"/>
      <c r="C1648" s="239"/>
      <c r="D1648" s="239"/>
      <c r="E1648" s="239"/>
      <c r="F1648" s="283"/>
      <c r="G1648" s="239"/>
      <c r="H1648" s="239"/>
      <c r="I1648" s="239"/>
      <c r="J1648" s="239"/>
      <c r="K1648" s="239"/>
      <c r="L1648" s="239"/>
      <c r="M1648" s="239"/>
      <c r="N1648" s="239"/>
      <c r="O1648" s="239"/>
      <c r="P1648" s="246"/>
      <c r="Q1648" s="239"/>
      <c r="R1648" s="239"/>
      <c r="S1648" s="239"/>
      <c r="T1648" s="239"/>
      <c r="U1648" s="239"/>
      <c r="V1648" s="239"/>
      <c r="W1648" s="246"/>
      <c r="X1648" s="239"/>
      <c r="Y1648" s="239"/>
      <c r="Z1648" s="239"/>
      <c r="AA1648" s="239"/>
      <c r="AB1648" s="239"/>
      <c r="AC1648" s="239"/>
      <c r="AD1648" s="239"/>
      <c r="AE1648" s="239"/>
      <c r="AF1648" s="239"/>
      <c r="AG1648" s="239"/>
      <c r="AH1648" s="239"/>
      <c r="AI1648" s="239"/>
      <c r="AJ1648" s="239"/>
    </row>
    <row r="1649">
      <c r="A1649" s="239"/>
      <c r="B1649" s="239"/>
      <c r="C1649" s="239"/>
      <c r="D1649" s="239"/>
      <c r="E1649" s="239"/>
      <c r="F1649" s="283"/>
      <c r="G1649" s="239"/>
      <c r="H1649" s="239"/>
      <c r="I1649" s="239"/>
      <c r="J1649" s="239"/>
      <c r="K1649" s="239"/>
      <c r="L1649" s="239"/>
      <c r="M1649" s="239"/>
      <c r="N1649" s="239"/>
      <c r="O1649" s="239"/>
      <c r="P1649" s="246"/>
      <c r="Q1649" s="239"/>
      <c r="R1649" s="239"/>
      <c r="S1649" s="239"/>
      <c r="T1649" s="239"/>
      <c r="U1649" s="239"/>
      <c r="V1649" s="239"/>
      <c r="W1649" s="246"/>
      <c r="X1649" s="239"/>
      <c r="Y1649" s="239"/>
      <c r="Z1649" s="239"/>
      <c r="AA1649" s="239"/>
      <c r="AB1649" s="239"/>
      <c r="AC1649" s="239"/>
      <c r="AD1649" s="239"/>
      <c r="AE1649" s="239"/>
      <c r="AF1649" s="239"/>
      <c r="AG1649" s="239"/>
      <c r="AH1649" s="239"/>
      <c r="AI1649" s="239"/>
      <c r="AJ1649" s="239"/>
    </row>
    <row r="1650">
      <c r="A1650" s="239"/>
      <c r="B1650" s="239"/>
      <c r="C1650" s="239"/>
      <c r="D1650" s="239"/>
      <c r="E1650" s="239"/>
      <c r="F1650" s="283"/>
      <c r="G1650" s="239"/>
      <c r="H1650" s="239"/>
      <c r="I1650" s="239"/>
      <c r="J1650" s="239"/>
      <c r="K1650" s="239"/>
      <c r="L1650" s="239"/>
      <c r="M1650" s="239"/>
      <c r="N1650" s="239"/>
      <c r="O1650" s="239"/>
      <c r="P1650" s="246"/>
      <c r="Q1650" s="239"/>
      <c r="R1650" s="239"/>
      <c r="S1650" s="239"/>
      <c r="T1650" s="239"/>
      <c r="U1650" s="239"/>
      <c r="V1650" s="239"/>
      <c r="W1650" s="246"/>
      <c r="X1650" s="239"/>
      <c r="Y1650" s="239"/>
      <c r="Z1650" s="239"/>
      <c r="AA1650" s="239"/>
      <c r="AB1650" s="239"/>
      <c r="AC1650" s="239"/>
      <c r="AD1650" s="239"/>
      <c r="AE1650" s="239"/>
      <c r="AF1650" s="239"/>
      <c r="AG1650" s="239"/>
      <c r="AH1650" s="239"/>
      <c r="AI1650" s="239"/>
      <c r="AJ1650" s="239"/>
    </row>
    <row r="1651">
      <c r="A1651" s="239"/>
      <c r="B1651" s="239"/>
      <c r="C1651" s="239"/>
      <c r="D1651" s="239"/>
      <c r="E1651" s="239"/>
      <c r="F1651" s="283"/>
      <c r="G1651" s="239"/>
      <c r="H1651" s="239"/>
      <c r="I1651" s="239"/>
      <c r="J1651" s="239"/>
      <c r="K1651" s="239"/>
      <c r="L1651" s="239"/>
      <c r="M1651" s="239"/>
      <c r="N1651" s="239"/>
      <c r="O1651" s="239"/>
      <c r="P1651" s="246"/>
      <c r="Q1651" s="239"/>
      <c r="R1651" s="239"/>
      <c r="S1651" s="239"/>
      <c r="T1651" s="239"/>
      <c r="U1651" s="239"/>
      <c r="V1651" s="239"/>
      <c r="W1651" s="246"/>
      <c r="X1651" s="239"/>
      <c r="Y1651" s="239"/>
      <c r="Z1651" s="239"/>
      <c r="AA1651" s="239"/>
      <c r="AB1651" s="239"/>
      <c r="AC1651" s="239"/>
      <c r="AD1651" s="239"/>
      <c r="AE1651" s="239"/>
      <c r="AF1651" s="239"/>
      <c r="AG1651" s="239"/>
      <c r="AH1651" s="239"/>
      <c r="AI1651" s="239"/>
      <c r="AJ1651" s="239"/>
    </row>
    <row r="1652">
      <c r="A1652" s="239"/>
      <c r="B1652" s="239"/>
      <c r="C1652" s="239"/>
      <c r="D1652" s="239"/>
      <c r="E1652" s="239"/>
      <c r="F1652" s="283"/>
      <c r="G1652" s="239"/>
      <c r="H1652" s="239"/>
      <c r="I1652" s="239"/>
      <c r="J1652" s="239"/>
      <c r="K1652" s="239"/>
      <c r="L1652" s="239"/>
      <c r="M1652" s="239"/>
      <c r="N1652" s="239"/>
      <c r="O1652" s="239"/>
      <c r="P1652" s="246"/>
      <c r="Q1652" s="239"/>
      <c r="R1652" s="239"/>
      <c r="S1652" s="239"/>
      <c r="T1652" s="239"/>
      <c r="U1652" s="239"/>
      <c r="V1652" s="239"/>
      <c r="W1652" s="246"/>
      <c r="X1652" s="239"/>
      <c r="Y1652" s="239"/>
      <c r="Z1652" s="239"/>
      <c r="AA1652" s="239"/>
      <c r="AB1652" s="239"/>
      <c r="AC1652" s="239"/>
      <c r="AD1652" s="239"/>
      <c r="AE1652" s="239"/>
      <c r="AF1652" s="239"/>
      <c r="AG1652" s="239"/>
      <c r="AH1652" s="239"/>
      <c r="AI1652" s="239"/>
      <c r="AJ1652" s="239"/>
    </row>
    <row r="1653">
      <c r="A1653" s="239"/>
      <c r="B1653" s="239"/>
      <c r="C1653" s="239"/>
      <c r="D1653" s="239"/>
      <c r="E1653" s="239"/>
      <c r="F1653" s="283"/>
      <c r="G1653" s="239"/>
      <c r="H1653" s="239"/>
      <c r="I1653" s="239"/>
      <c r="J1653" s="239"/>
      <c r="K1653" s="239"/>
      <c r="L1653" s="239"/>
      <c r="M1653" s="239"/>
      <c r="N1653" s="239"/>
      <c r="O1653" s="239"/>
      <c r="P1653" s="246"/>
      <c r="Q1653" s="239"/>
      <c r="R1653" s="239"/>
      <c r="S1653" s="239"/>
      <c r="T1653" s="239"/>
      <c r="U1653" s="239"/>
      <c r="V1653" s="239"/>
      <c r="W1653" s="246"/>
      <c r="X1653" s="239"/>
      <c r="Y1653" s="239"/>
      <c r="Z1653" s="239"/>
      <c r="AA1653" s="239"/>
      <c r="AB1653" s="239"/>
      <c r="AC1653" s="239"/>
      <c r="AD1653" s="239"/>
      <c r="AE1653" s="239"/>
      <c r="AF1653" s="239"/>
      <c r="AG1653" s="239"/>
      <c r="AH1653" s="239"/>
      <c r="AI1653" s="239"/>
      <c r="AJ1653" s="239"/>
    </row>
    <row r="1654">
      <c r="A1654" s="239"/>
      <c r="B1654" s="239"/>
      <c r="C1654" s="239"/>
      <c r="D1654" s="239"/>
      <c r="E1654" s="239"/>
      <c r="F1654" s="283"/>
      <c r="G1654" s="239"/>
      <c r="H1654" s="239"/>
      <c r="I1654" s="239"/>
      <c r="J1654" s="239"/>
      <c r="K1654" s="239"/>
      <c r="L1654" s="239"/>
      <c r="M1654" s="239"/>
      <c r="N1654" s="239"/>
      <c r="O1654" s="239"/>
      <c r="P1654" s="246"/>
      <c r="Q1654" s="239"/>
      <c r="R1654" s="239"/>
      <c r="S1654" s="239"/>
      <c r="T1654" s="239"/>
      <c r="U1654" s="239"/>
      <c r="V1654" s="239"/>
      <c r="W1654" s="246"/>
      <c r="X1654" s="239"/>
      <c r="Y1654" s="239"/>
      <c r="Z1654" s="239"/>
      <c r="AA1654" s="239"/>
      <c r="AB1654" s="239"/>
      <c r="AC1654" s="239"/>
      <c r="AD1654" s="239"/>
      <c r="AE1654" s="239"/>
      <c r="AF1654" s="239"/>
      <c r="AG1654" s="239"/>
      <c r="AH1654" s="239"/>
      <c r="AI1654" s="239"/>
      <c r="AJ1654" s="239"/>
    </row>
    <row r="1655">
      <c r="A1655" s="239"/>
      <c r="B1655" s="239"/>
      <c r="C1655" s="239"/>
      <c r="D1655" s="239"/>
      <c r="E1655" s="239"/>
      <c r="F1655" s="283"/>
      <c r="G1655" s="239"/>
      <c r="H1655" s="239"/>
      <c r="I1655" s="239"/>
      <c r="J1655" s="239"/>
      <c r="K1655" s="239"/>
      <c r="L1655" s="239"/>
      <c r="M1655" s="239"/>
      <c r="N1655" s="239"/>
      <c r="O1655" s="239"/>
      <c r="P1655" s="246"/>
      <c r="Q1655" s="239"/>
      <c r="R1655" s="239"/>
      <c r="S1655" s="239"/>
      <c r="T1655" s="239"/>
      <c r="U1655" s="239"/>
      <c r="V1655" s="239"/>
      <c r="W1655" s="246"/>
      <c r="X1655" s="239"/>
      <c r="Y1655" s="239"/>
      <c r="Z1655" s="239"/>
      <c r="AA1655" s="239"/>
      <c r="AB1655" s="239"/>
      <c r="AC1655" s="239"/>
      <c r="AD1655" s="239"/>
      <c r="AE1655" s="239"/>
      <c r="AF1655" s="239"/>
      <c r="AG1655" s="239"/>
      <c r="AH1655" s="239"/>
      <c r="AI1655" s="239"/>
      <c r="AJ1655" s="239"/>
    </row>
    <row r="1656">
      <c r="A1656" s="239"/>
      <c r="B1656" s="239"/>
      <c r="C1656" s="239"/>
      <c r="D1656" s="239"/>
      <c r="E1656" s="239"/>
      <c r="F1656" s="283"/>
      <c r="G1656" s="239"/>
      <c r="H1656" s="239"/>
      <c r="I1656" s="239"/>
      <c r="J1656" s="239"/>
      <c r="K1656" s="239"/>
      <c r="L1656" s="239"/>
      <c r="M1656" s="239"/>
      <c r="N1656" s="239"/>
      <c r="O1656" s="239"/>
      <c r="P1656" s="246"/>
      <c r="Q1656" s="239"/>
      <c r="R1656" s="239"/>
      <c r="S1656" s="239"/>
      <c r="T1656" s="239"/>
      <c r="U1656" s="239"/>
      <c r="V1656" s="239"/>
      <c r="W1656" s="246"/>
      <c r="X1656" s="239"/>
      <c r="Y1656" s="239"/>
      <c r="Z1656" s="239"/>
      <c r="AA1656" s="239"/>
      <c r="AB1656" s="239"/>
      <c r="AC1656" s="239"/>
      <c r="AD1656" s="239"/>
      <c r="AE1656" s="239"/>
      <c r="AF1656" s="239"/>
      <c r="AG1656" s="239"/>
      <c r="AH1656" s="239"/>
      <c r="AI1656" s="239"/>
      <c r="AJ1656" s="239"/>
    </row>
    <row r="1657">
      <c r="A1657" s="239"/>
      <c r="B1657" s="239"/>
      <c r="C1657" s="239"/>
      <c r="D1657" s="239"/>
      <c r="E1657" s="239"/>
      <c r="F1657" s="283"/>
      <c r="G1657" s="239"/>
      <c r="H1657" s="239"/>
      <c r="I1657" s="239"/>
      <c r="J1657" s="239"/>
      <c r="K1657" s="239"/>
      <c r="L1657" s="239"/>
      <c r="M1657" s="239"/>
      <c r="N1657" s="239"/>
      <c r="O1657" s="239"/>
      <c r="P1657" s="246"/>
      <c r="Q1657" s="239"/>
      <c r="R1657" s="239"/>
      <c r="S1657" s="239"/>
      <c r="T1657" s="239"/>
      <c r="U1657" s="239"/>
      <c r="V1657" s="239"/>
      <c r="W1657" s="246"/>
      <c r="X1657" s="239"/>
      <c r="Y1657" s="239"/>
      <c r="Z1657" s="239"/>
      <c r="AA1657" s="239"/>
      <c r="AB1657" s="239"/>
      <c r="AC1657" s="239"/>
      <c r="AD1657" s="239"/>
      <c r="AE1657" s="239"/>
      <c r="AF1657" s="239"/>
      <c r="AG1657" s="239"/>
      <c r="AH1657" s="239"/>
      <c r="AI1657" s="239"/>
      <c r="AJ1657" s="239"/>
    </row>
    <row r="1658">
      <c r="A1658" s="239"/>
      <c r="B1658" s="239"/>
      <c r="C1658" s="239"/>
      <c r="D1658" s="239"/>
      <c r="E1658" s="239"/>
      <c r="F1658" s="283"/>
      <c r="G1658" s="239"/>
      <c r="H1658" s="239"/>
      <c r="I1658" s="239"/>
      <c r="J1658" s="239"/>
      <c r="K1658" s="239"/>
      <c r="L1658" s="239"/>
      <c r="M1658" s="239"/>
      <c r="N1658" s="239"/>
      <c r="O1658" s="239"/>
      <c r="P1658" s="246"/>
      <c r="Q1658" s="239"/>
      <c r="R1658" s="239"/>
      <c r="S1658" s="239"/>
      <c r="T1658" s="239"/>
      <c r="U1658" s="239"/>
      <c r="V1658" s="239"/>
      <c r="W1658" s="246"/>
      <c r="X1658" s="239"/>
      <c r="Y1658" s="239"/>
      <c r="Z1658" s="239"/>
      <c r="AA1658" s="239"/>
      <c r="AB1658" s="239"/>
      <c r="AC1658" s="239"/>
      <c r="AD1658" s="239"/>
      <c r="AE1658" s="239"/>
      <c r="AF1658" s="239"/>
      <c r="AG1658" s="239"/>
      <c r="AH1658" s="239"/>
      <c r="AI1658" s="239"/>
      <c r="AJ1658" s="239"/>
    </row>
    <row r="1659">
      <c r="A1659" s="239"/>
      <c r="B1659" s="239"/>
      <c r="C1659" s="239"/>
      <c r="D1659" s="239"/>
      <c r="E1659" s="239"/>
      <c r="F1659" s="283"/>
      <c r="G1659" s="239"/>
      <c r="H1659" s="239"/>
      <c r="I1659" s="239"/>
      <c r="J1659" s="239"/>
      <c r="K1659" s="239"/>
      <c r="L1659" s="239"/>
      <c r="M1659" s="239"/>
      <c r="N1659" s="239"/>
      <c r="O1659" s="239"/>
      <c r="P1659" s="246"/>
      <c r="Q1659" s="239"/>
      <c r="R1659" s="239"/>
      <c r="S1659" s="239"/>
      <c r="T1659" s="239"/>
      <c r="U1659" s="239"/>
      <c r="V1659" s="239"/>
      <c r="W1659" s="246"/>
      <c r="X1659" s="239"/>
      <c r="Y1659" s="239"/>
      <c r="Z1659" s="239"/>
      <c r="AA1659" s="239"/>
      <c r="AB1659" s="239"/>
      <c r="AC1659" s="239"/>
      <c r="AD1659" s="239"/>
      <c r="AE1659" s="239"/>
      <c r="AF1659" s="239"/>
      <c r="AG1659" s="239"/>
      <c r="AH1659" s="239"/>
      <c r="AI1659" s="239"/>
      <c r="AJ1659" s="239"/>
    </row>
    <row r="1660">
      <c r="A1660" s="239"/>
      <c r="B1660" s="239"/>
      <c r="C1660" s="239"/>
      <c r="D1660" s="239"/>
      <c r="E1660" s="239"/>
      <c r="F1660" s="283"/>
      <c r="G1660" s="239"/>
      <c r="H1660" s="239"/>
      <c r="I1660" s="239"/>
      <c r="J1660" s="239"/>
      <c r="K1660" s="239"/>
      <c r="L1660" s="239"/>
      <c r="M1660" s="239"/>
      <c r="N1660" s="239"/>
      <c r="O1660" s="239"/>
      <c r="P1660" s="246"/>
      <c r="Q1660" s="239"/>
      <c r="R1660" s="239"/>
      <c r="S1660" s="239"/>
      <c r="T1660" s="239"/>
      <c r="U1660" s="239"/>
      <c r="V1660" s="239"/>
      <c r="W1660" s="246"/>
      <c r="X1660" s="239"/>
      <c r="Y1660" s="239"/>
      <c r="Z1660" s="239"/>
      <c r="AA1660" s="239"/>
      <c r="AB1660" s="239"/>
      <c r="AC1660" s="239"/>
      <c r="AD1660" s="239"/>
      <c r="AE1660" s="239"/>
      <c r="AF1660" s="239"/>
      <c r="AG1660" s="239"/>
      <c r="AH1660" s="239"/>
      <c r="AI1660" s="239"/>
      <c r="AJ1660" s="239"/>
    </row>
    <row r="1661">
      <c r="A1661" s="239"/>
      <c r="B1661" s="239"/>
      <c r="C1661" s="239"/>
      <c r="D1661" s="239"/>
      <c r="E1661" s="239"/>
      <c r="F1661" s="283"/>
      <c r="G1661" s="239"/>
      <c r="H1661" s="239"/>
      <c r="I1661" s="239"/>
      <c r="J1661" s="239"/>
      <c r="K1661" s="239"/>
      <c r="L1661" s="239"/>
      <c r="M1661" s="239"/>
      <c r="N1661" s="239"/>
      <c r="O1661" s="239"/>
      <c r="P1661" s="246"/>
      <c r="Q1661" s="239"/>
      <c r="R1661" s="239"/>
      <c r="S1661" s="239"/>
      <c r="T1661" s="239"/>
      <c r="U1661" s="239"/>
      <c r="V1661" s="239"/>
      <c r="W1661" s="246"/>
      <c r="X1661" s="239"/>
      <c r="Y1661" s="239"/>
      <c r="Z1661" s="239"/>
      <c r="AA1661" s="239"/>
      <c r="AB1661" s="239"/>
      <c r="AC1661" s="239"/>
      <c r="AD1661" s="239"/>
      <c r="AE1661" s="239"/>
      <c r="AF1661" s="239"/>
      <c r="AG1661" s="239"/>
      <c r="AH1661" s="239"/>
      <c r="AI1661" s="239"/>
      <c r="AJ1661" s="239"/>
    </row>
    <row r="1662">
      <c r="A1662" s="239"/>
      <c r="B1662" s="239"/>
      <c r="C1662" s="239"/>
      <c r="D1662" s="239"/>
      <c r="E1662" s="239"/>
      <c r="F1662" s="283"/>
      <c r="G1662" s="239"/>
      <c r="H1662" s="239"/>
      <c r="I1662" s="239"/>
      <c r="J1662" s="239"/>
      <c r="K1662" s="239"/>
      <c r="L1662" s="239"/>
      <c r="M1662" s="239"/>
      <c r="N1662" s="239"/>
      <c r="O1662" s="239"/>
      <c r="P1662" s="246"/>
      <c r="Q1662" s="239"/>
      <c r="R1662" s="239"/>
      <c r="S1662" s="239"/>
      <c r="T1662" s="239"/>
      <c r="U1662" s="239"/>
      <c r="V1662" s="239"/>
      <c r="W1662" s="246"/>
      <c r="X1662" s="239"/>
      <c r="Y1662" s="239"/>
      <c r="Z1662" s="239"/>
      <c r="AA1662" s="239"/>
      <c r="AB1662" s="239"/>
      <c r="AC1662" s="239"/>
      <c r="AD1662" s="239"/>
      <c r="AE1662" s="239"/>
      <c r="AF1662" s="239"/>
      <c r="AG1662" s="239"/>
      <c r="AH1662" s="239"/>
      <c r="AI1662" s="239"/>
      <c r="AJ1662" s="239"/>
    </row>
    <row r="1663">
      <c r="A1663" s="239"/>
      <c r="B1663" s="239"/>
      <c r="C1663" s="239"/>
      <c r="D1663" s="239"/>
      <c r="E1663" s="239"/>
      <c r="F1663" s="283"/>
      <c r="G1663" s="239"/>
      <c r="H1663" s="239"/>
      <c r="I1663" s="239"/>
      <c r="J1663" s="239"/>
      <c r="K1663" s="239"/>
      <c r="L1663" s="239"/>
      <c r="M1663" s="239"/>
      <c r="N1663" s="239"/>
      <c r="O1663" s="239"/>
      <c r="P1663" s="246"/>
      <c r="Q1663" s="239"/>
      <c r="R1663" s="239"/>
      <c r="S1663" s="239"/>
      <c r="T1663" s="239"/>
      <c r="U1663" s="239"/>
      <c r="V1663" s="239"/>
      <c r="W1663" s="246"/>
      <c r="X1663" s="239"/>
      <c r="Y1663" s="239"/>
      <c r="Z1663" s="239"/>
      <c r="AA1663" s="239"/>
      <c r="AB1663" s="239"/>
      <c r="AC1663" s="239"/>
      <c r="AD1663" s="239"/>
      <c r="AE1663" s="239"/>
      <c r="AF1663" s="239"/>
      <c r="AG1663" s="239"/>
      <c r="AH1663" s="239"/>
      <c r="AI1663" s="239"/>
      <c r="AJ1663" s="239"/>
    </row>
    <row r="1664">
      <c r="A1664" s="239"/>
      <c r="B1664" s="239"/>
      <c r="C1664" s="239"/>
      <c r="D1664" s="239"/>
      <c r="E1664" s="239"/>
      <c r="F1664" s="283"/>
      <c r="G1664" s="239"/>
      <c r="H1664" s="239"/>
      <c r="I1664" s="239"/>
      <c r="J1664" s="239"/>
      <c r="K1664" s="239"/>
      <c r="L1664" s="239"/>
      <c r="M1664" s="239"/>
      <c r="N1664" s="239"/>
      <c r="O1664" s="239"/>
      <c r="P1664" s="246"/>
      <c r="Q1664" s="239"/>
      <c r="R1664" s="239"/>
      <c r="S1664" s="239"/>
      <c r="T1664" s="239"/>
      <c r="U1664" s="239"/>
      <c r="V1664" s="239"/>
      <c r="W1664" s="246"/>
      <c r="X1664" s="239"/>
      <c r="Y1664" s="239"/>
      <c r="Z1664" s="239"/>
      <c r="AA1664" s="239"/>
      <c r="AB1664" s="239"/>
      <c r="AC1664" s="239"/>
      <c r="AD1664" s="239"/>
      <c r="AE1664" s="239"/>
      <c r="AF1664" s="239"/>
      <c r="AG1664" s="239"/>
      <c r="AH1664" s="239"/>
      <c r="AI1664" s="239"/>
      <c r="AJ1664" s="239"/>
    </row>
    <row r="1665">
      <c r="A1665" s="239"/>
      <c r="B1665" s="239"/>
      <c r="C1665" s="239"/>
      <c r="D1665" s="239"/>
      <c r="E1665" s="239"/>
      <c r="F1665" s="283"/>
      <c r="G1665" s="239"/>
      <c r="H1665" s="239"/>
      <c r="I1665" s="239"/>
      <c r="J1665" s="239"/>
      <c r="K1665" s="239"/>
      <c r="L1665" s="239"/>
      <c r="M1665" s="239"/>
      <c r="N1665" s="239"/>
      <c r="O1665" s="239"/>
      <c r="P1665" s="246"/>
      <c r="Q1665" s="239"/>
      <c r="R1665" s="239"/>
      <c r="S1665" s="239"/>
      <c r="T1665" s="239"/>
      <c r="U1665" s="239"/>
      <c r="V1665" s="239"/>
      <c r="W1665" s="246"/>
      <c r="X1665" s="239"/>
      <c r="Y1665" s="239"/>
      <c r="Z1665" s="239"/>
      <c r="AA1665" s="239"/>
      <c r="AB1665" s="239"/>
      <c r="AC1665" s="239"/>
      <c r="AD1665" s="239"/>
      <c r="AE1665" s="239"/>
      <c r="AF1665" s="239"/>
      <c r="AG1665" s="239"/>
      <c r="AH1665" s="239"/>
      <c r="AI1665" s="239"/>
      <c r="AJ1665" s="239"/>
    </row>
    <row r="1666">
      <c r="A1666" s="239"/>
      <c r="B1666" s="239"/>
      <c r="C1666" s="239"/>
      <c r="D1666" s="239"/>
      <c r="E1666" s="239"/>
      <c r="F1666" s="283"/>
      <c r="G1666" s="239"/>
      <c r="H1666" s="239"/>
      <c r="I1666" s="239"/>
      <c r="J1666" s="239"/>
      <c r="K1666" s="239"/>
      <c r="L1666" s="239"/>
      <c r="M1666" s="239"/>
      <c r="N1666" s="239"/>
      <c r="O1666" s="239"/>
      <c r="P1666" s="246"/>
      <c r="Q1666" s="239"/>
      <c r="R1666" s="239"/>
      <c r="S1666" s="239"/>
      <c r="T1666" s="239"/>
      <c r="U1666" s="239"/>
      <c r="V1666" s="239"/>
      <c r="W1666" s="246"/>
      <c r="X1666" s="239"/>
      <c r="Y1666" s="239"/>
      <c r="Z1666" s="239"/>
      <c r="AA1666" s="239"/>
      <c r="AB1666" s="239"/>
      <c r="AC1666" s="239"/>
      <c r="AD1666" s="239"/>
      <c r="AE1666" s="239"/>
      <c r="AF1666" s="239"/>
      <c r="AG1666" s="239"/>
      <c r="AH1666" s="239"/>
      <c r="AI1666" s="239"/>
      <c r="AJ1666" s="239"/>
    </row>
    <row r="1667">
      <c r="A1667" s="239"/>
      <c r="B1667" s="239"/>
      <c r="C1667" s="239"/>
      <c r="D1667" s="239"/>
      <c r="E1667" s="239"/>
      <c r="F1667" s="283"/>
      <c r="G1667" s="239"/>
      <c r="H1667" s="239"/>
      <c r="I1667" s="239"/>
      <c r="J1667" s="239"/>
      <c r="K1667" s="239"/>
      <c r="L1667" s="239"/>
      <c r="M1667" s="239"/>
      <c r="N1667" s="239"/>
      <c r="O1667" s="239"/>
      <c r="P1667" s="246"/>
      <c r="Q1667" s="239"/>
      <c r="R1667" s="239"/>
      <c r="S1667" s="239"/>
      <c r="T1667" s="239"/>
      <c r="U1667" s="239"/>
      <c r="V1667" s="239"/>
      <c r="W1667" s="246"/>
      <c r="X1667" s="239"/>
      <c r="Y1667" s="239"/>
      <c r="Z1667" s="239"/>
      <c r="AA1667" s="239"/>
      <c r="AB1667" s="239"/>
      <c r="AC1667" s="239"/>
      <c r="AD1667" s="239"/>
      <c r="AE1667" s="239"/>
      <c r="AF1667" s="239"/>
      <c r="AG1667" s="239"/>
      <c r="AH1667" s="239"/>
      <c r="AI1667" s="239"/>
      <c r="AJ1667" s="239"/>
    </row>
    <row r="1668">
      <c r="A1668" s="239"/>
      <c r="B1668" s="239"/>
      <c r="C1668" s="239"/>
      <c r="D1668" s="239"/>
      <c r="E1668" s="239"/>
      <c r="F1668" s="283"/>
      <c r="G1668" s="239"/>
      <c r="H1668" s="239"/>
      <c r="I1668" s="239"/>
      <c r="J1668" s="239"/>
      <c r="K1668" s="239"/>
      <c r="L1668" s="239"/>
      <c r="M1668" s="239"/>
      <c r="N1668" s="239"/>
      <c r="O1668" s="239"/>
      <c r="P1668" s="246"/>
      <c r="Q1668" s="239"/>
      <c r="R1668" s="239"/>
      <c r="S1668" s="239"/>
      <c r="T1668" s="239"/>
      <c r="U1668" s="239"/>
      <c r="V1668" s="239"/>
      <c r="W1668" s="246"/>
      <c r="X1668" s="239"/>
      <c r="Y1668" s="239"/>
      <c r="Z1668" s="239"/>
      <c r="AA1668" s="239"/>
      <c r="AB1668" s="239"/>
      <c r="AC1668" s="239"/>
      <c r="AD1668" s="239"/>
      <c r="AE1668" s="239"/>
      <c r="AF1668" s="239"/>
      <c r="AG1668" s="239"/>
      <c r="AH1668" s="239"/>
      <c r="AI1668" s="239"/>
      <c r="AJ1668" s="239"/>
    </row>
    <row r="1669">
      <c r="A1669" s="239"/>
      <c r="B1669" s="239"/>
      <c r="C1669" s="239"/>
      <c r="D1669" s="239"/>
      <c r="E1669" s="239"/>
      <c r="F1669" s="283"/>
      <c r="G1669" s="239"/>
      <c r="H1669" s="239"/>
      <c r="I1669" s="239"/>
      <c r="J1669" s="239"/>
      <c r="K1669" s="239"/>
      <c r="L1669" s="239"/>
      <c r="M1669" s="239"/>
      <c r="N1669" s="239"/>
      <c r="O1669" s="239"/>
      <c r="P1669" s="246"/>
      <c r="Q1669" s="239"/>
      <c r="R1669" s="239"/>
      <c r="S1669" s="239"/>
      <c r="T1669" s="239"/>
      <c r="U1669" s="239"/>
      <c r="V1669" s="239"/>
      <c r="W1669" s="246"/>
      <c r="X1669" s="239"/>
      <c r="Y1669" s="239"/>
      <c r="Z1669" s="239"/>
      <c r="AA1669" s="239"/>
      <c r="AB1669" s="239"/>
      <c r="AC1669" s="239"/>
      <c r="AD1669" s="239"/>
      <c r="AE1669" s="239"/>
      <c r="AF1669" s="239"/>
      <c r="AG1669" s="239"/>
      <c r="AH1669" s="239"/>
      <c r="AI1669" s="239"/>
      <c r="AJ1669" s="239"/>
    </row>
    <row r="1670">
      <c r="A1670" s="239"/>
      <c r="B1670" s="239"/>
      <c r="C1670" s="239"/>
      <c r="D1670" s="239"/>
      <c r="E1670" s="239"/>
      <c r="F1670" s="283"/>
      <c r="G1670" s="239"/>
      <c r="H1670" s="239"/>
      <c r="I1670" s="239"/>
      <c r="J1670" s="239"/>
      <c r="K1670" s="239"/>
      <c r="L1670" s="239"/>
      <c r="M1670" s="239"/>
      <c r="N1670" s="239"/>
      <c r="O1670" s="239"/>
      <c r="P1670" s="246"/>
      <c r="Q1670" s="239"/>
      <c r="R1670" s="239"/>
      <c r="S1670" s="239"/>
      <c r="T1670" s="239"/>
      <c r="U1670" s="239"/>
      <c r="V1670" s="239"/>
      <c r="W1670" s="246"/>
      <c r="X1670" s="239"/>
      <c r="Y1670" s="239"/>
      <c r="Z1670" s="239"/>
      <c r="AA1670" s="239"/>
      <c r="AB1670" s="239"/>
      <c r="AC1670" s="239"/>
      <c r="AD1670" s="239"/>
      <c r="AE1670" s="239"/>
      <c r="AF1670" s="239"/>
      <c r="AG1670" s="239"/>
      <c r="AH1670" s="239"/>
      <c r="AI1670" s="239"/>
      <c r="AJ1670" s="239"/>
    </row>
    <row r="1671">
      <c r="A1671" s="239"/>
      <c r="B1671" s="239"/>
      <c r="C1671" s="239"/>
      <c r="D1671" s="239"/>
      <c r="E1671" s="239"/>
      <c r="F1671" s="283"/>
      <c r="G1671" s="239"/>
      <c r="H1671" s="239"/>
      <c r="I1671" s="239"/>
      <c r="J1671" s="239"/>
      <c r="K1671" s="239"/>
      <c r="L1671" s="239"/>
      <c r="M1671" s="239"/>
      <c r="N1671" s="239"/>
      <c r="O1671" s="239"/>
      <c r="P1671" s="246"/>
      <c r="Q1671" s="239"/>
      <c r="R1671" s="239"/>
      <c r="S1671" s="239"/>
      <c r="T1671" s="239"/>
      <c r="U1671" s="239"/>
      <c r="V1671" s="239"/>
      <c r="W1671" s="246"/>
      <c r="X1671" s="239"/>
      <c r="Y1671" s="239"/>
      <c r="Z1671" s="239"/>
      <c r="AA1671" s="239"/>
      <c r="AB1671" s="239"/>
      <c r="AC1671" s="239"/>
      <c r="AD1671" s="239"/>
      <c r="AE1671" s="239"/>
      <c r="AF1671" s="239"/>
      <c r="AG1671" s="239"/>
      <c r="AH1671" s="239"/>
      <c r="AI1671" s="239"/>
      <c r="AJ1671" s="239"/>
    </row>
    <row r="1672">
      <c r="A1672" s="239"/>
      <c r="B1672" s="239"/>
      <c r="C1672" s="239"/>
      <c r="D1672" s="239"/>
      <c r="E1672" s="239"/>
      <c r="F1672" s="283"/>
      <c r="G1672" s="239"/>
      <c r="H1672" s="239"/>
      <c r="I1672" s="239"/>
      <c r="J1672" s="239"/>
      <c r="K1672" s="239"/>
      <c r="L1672" s="239"/>
      <c r="M1672" s="239"/>
      <c r="N1672" s="239"/>
      <c r="O1672" s="239"/>
      <c r="P1672" s="246"/>
      <c r="Q1672" s="239"/>
      <c r="R1672" s="239"/>
      <c r="S1672" s="239"/>
      <c r="T1672" s="239"/>
      <c r="U1672" s="239"/>
      <c r="V1672" s="239"/>
      <c r="W1672" s="246"/>
      <c r="X1672" s="239"/>
      <c r="Y1672" s="239"/>
      <c r="Z1672" s="239"/>
      <c r="AA1672" s="239"/>
      <c r="AB1672" s="239"/>
      <c r="AC1672" s="239"/>
      <c r="AD1672" s="239"/>
      <c r="AE1672" s="239"/>
      <c r="AF1672" s="239"/>
      <c r="AG1672" s="239"/>
      <c r="AH1672" s="239"/>
      <c r="AI1672" s="239"/>
      <c r="AJ1672" s="239"/>
    </row>
    <row r="1673">
      <c r="A1673" s="239"/>
      <c r="B1673" s="239"/>
      <c r="C1673" s="239"/>
      <c r="D1673" s="239"/>
      <c r="E1673" s="239"/>
      <c r="F1673" s="283"/>
      <c r="G1673" s="239"/>
      <c r="H1673" s="239"/>
      <c r="I1673" s="239"/>
      <c r="J1673" s="239"/>
      <c r="K1673" s="239"/>
      <c r="L1673" s="239"/>
      <c r="M1673" s="239"/>
      <c r="N1673" s="239"/>
      <c r="O1673" s="239"/>
      <c r="P1673" s="246"/>
      <c r="Q1673" s="239"/>
      <c r="R1673" s="239"/>
      <c r="S1673" s="239"/>
      <c r="T1673" s="239"/>
      <c r="U1673" s="239"/>
      <c r="V1673" s="239"/>
      <c r="W1673" s="246"/>
      <c r="X1673" s="239"/>
      <c r="Y1673" s="239"/>
      <c r="Z1673" s="239"/>
      <c r="AA1673" s="239"/>
      <c r="AB1673" s="239"/>
      <c r="AC1673" s="239"/>
      <c r="AD1673" s="239"/>
      <c r="AE1673" s="239"/>
      <c r="AF1673" s="239"/>
      <c r="AG1673" s="239"/>
      <c r="AH1673" s="239"/>
      <c r="AI1673" s="239"/>
      <c r="AJ1673" s="239"/>
    </row>
    <row r="1674">
      <c r="A1674" s="239"/>
      <c r="B1674" s="239"/>
      <c r="C1674" s="239"/>
      <c r="D1674" s="239"/>
      <c r="E1674" s="239"/>
      <c r="F1674" s="283"/>
      <c r="G1674" s="239"/>
      <c r="H1674" s="239"/>
      <c r="I1674" s="239"/>
      <c r="J1674" s="239"/>
      <c r="K1674" s="239"/>
      <c r="L1674" s="239"/>
      <c r="M1674" s="239"/>
      <c r="N1674" s="239"/>
      <c r="O1674" s="239"/>
      <c r="P1674" s="246"/>
      <c r="Q1674" s="239"/>
      <c r="R1674" s="239"/>
      <c r="S1674" s="239"/>
      <c r="T1674" s="239"/>
      <c r="U1674" s="239"/>
      <c r="V1674" s="239"/>
      <c r="W1674" s="246"/>
      <c r="X1674" s="239"/>
      <c r="Y1674" s="239"/>
      <c r="Z1674" s="239"/>
      <c r="AA1674" s="239"/>
      <c r="AB1674" s="239"/>
      <c r="AC1674" s="239"/>
      <c r="AD1674" s="239"/>
      <c r="AE1674" s="239"/>
      <c r="AF1674" s="239"/>
      <c r="AG1674" s="239"/>
      <c r="AH1674" s="239"/>
      <c r="AI1674" s="239"/>
      <c r="AJ1674" s="239"/>
    </row>
    <row r="1675">
      <c r="A1675" s="239"/>
      <c r="B1675" s="239"/>
      <c r="C1675" s="239"/>
      <c r="D1675" s="239"/>
      <c r="E1675" s="239"/>
      <c r="F1675" s="283"/>
      <c r="G1675" s="239"/>
      <c r="H1675" s="239"/>
      <c r="I1675" s="239"/>
      <c r="J1675" s="239"/>
      <c r="K1675" s="239"/>
      <c r="L1675" s="239"/>
      <c r="M1675" s="239"/>
      <c r="N1675" s="239"/>
      <c r="O1675" s="239"/>
      <c r="P1675" s="246"/>
      <c r="Q1675" s="239"/>
      <c r="R1675" s="239"/>
      <c r="S1675" s="239"/>
      <c r="T1675" s="239"/>
      <c r="U1675" s="239"/>
      <c r="V1675" s="239"/>
      <c r="W1675" s="246"/>
      <c r="X1675" s="239"/>
      <c r="Y1675" s="239"/>
      <c r="Z1675" s="239"/>
      <c r="AA1675" s="239"/>
      <c r="AB1675" s="239"/>
      <c r="AC1675" s="239"/>
      <c r="AD1675" s="239"/>
      <c r="AE1675" s="239"/>
      <c r="AF1675" s="239"/>
      <c r="AG1675" s="239"/>
      <c r="AH1675" s="239"/>
      <c r="AI1675" s="239"/>
      <c r="AJ1675" s="239"/>
    </row>
    <row r="1676">
      <c r="A1676" s="239"/>
      <c r="B1676" s="239"/>
      <c r="C1676" s="239"/>
      <c r="D1676" s="239"/>
      <c r="E1676" s="239"/>
      <c r="F1676" s="283"/>
      <c r="G1676" s="239"/>
      <c r="H1676" s="239"/>
      <c r="I1676" s="239"/>
      <c r="J1676" s="239"/>
      <c r="K1676" s="239"/>
      <c r="L1676" s="239"/>
      <c r="M1676" s="239"/>
      <c r="N1676" s="239"/>
      <c r="O1676" s="239"/>
      <c r="P1676" s="246"/>
      <c r="Q1676" s="239"/>
      <c r="R1676" s="239"/>
      <c r="S1676" s="239"/>
      <c r="T1676" s="239"/>
      <c r="U1676" s="239"/>
      <c r="V1676" s="239"/>
      <c r="W1676" s="246"/>
      <c r="X1676" s="239"/>
      <c r="Y1676" s="239"/>
      <c r="Z1676" s="239"/>
      <c r="AA1676" s="239"/>
      <c r="AB1676" s="239"/>
      <c r="AC1676" s="239"/>
      <c r="AD1676" s="239"/>
      <c r="AE1676" s="239"/>
      <c r="AF1676" s="239"/>
      <c r="AG1676" s="239"/>
      <c r="AH1676" s="239"/>
      <c r="AI1676" s="239"/>
      <c r="AJ1676" s="239"/>
    </row>
    <row r="1677">
      <c r="A1677" s="239"/>
      <c r="B1677" s="239"/>
      <c r="C1677" s="239"/>
      <c r="D1677" s="239"/>
      <c r="E1677" s="239"/>
      <c r="F1677" s="283"/>
      <c r="G1677" s="239"/>
      <c r="H1677" s="239"/>
      <c r="I1677" s="239"/>
      <c r="J1677" s="239"/>
      <c r="K1677" s="239"/>
      <c r="L1677" s="239"/>
      <c r="M1677" s="239"/>
      <c r="N1677" s="239"/>
      <c r="O1677" s="239"/>
      <c r="P1677" s="246"/>
      <c r="Q1677" s="239"/>
      <c r="R1677" s="239"/>
      <c r="S1677" s="239"/>
      <c r="T1677" s="239"/>
      <c r="U1677" s="239"/>
      <c r="V1677" s="239"/>
      <c r="W1677" s="246"/>
      <c r="X1677" s="239"/>
      <c r="Y1677" s="239"/>
      <c r="Z1677" s="239"/>
      <c r="AA1677" s="239"/>
      <c r="AB1677" s="239"/>
      <c r="AC1677" s="239"/>
      <c r="AD1677" s="239"/>
      <c r="AE1677" s="239"/>
      <c r="AF1677" s="239"/>
      <c r="AG1677" s="239"/>
      <c r="AH1677" s="239"/>
      <c r="AI1677" s="239"/>
      <c r="AJ1677" s="239"/>
    </row>
    <row r="1678">
      <c r="A1678" s="239"/>
      <c r="B1678" s="239"/>
      <c r="C1678" s="239"/>
      <c r="D1678" s="239"/>
      <c r="E1678" s="239"/>
      <c r="F1678" s="283"/>
      <c r="G1678" s="239"/>
      <c r="H1678" s="239"/>
      <c r="I1678" s="239"/>
      <c r="J1678" s="239"/>
      <c r="K1678" s="239"/>
      <c r="L1678" s="239"/>
      <c r="M1678" s="239"/>
      <c r="N1678" s="239"/>
      <c r="O1678" s="239"/>
      <c r="P1678" s="246"/>
      <c r="Q1678" s="239"/>
      <c r="R1678" s="239"/>
      <c r="S1678" s="239"/>
      <c r="T1678" s="239"/>
      <c r="U1678" s="239"/>
      <c r="V1678" s="239"/>
      <c r="W1678" s="246"/>
      <c r="X1678" s="239"/>
      <c r="Y1678" s="239"/>
      <c r="Z1678" s="239"/>
      <c r="AA1678" s="239"/>
      <c r="AB1678" s="239"/>
      <c r="AC1678" s="239"/>
      <c r="AD1678" s="239"/>
      <c r="AE1678" s="239"/>
      <c r="AF1678" s="239"/>
      <c r="AG1678" s="239"/>
      <c r="AH1678" s="239"/>
      <c r="AI1678" s="239"/>
      <c r="AJ1678" s="239"/>
    </row>
    <row r="1679">
      <c r="A1679" s="239"/>
      <c r="B1679" s="239"/>
      <c r="C1679" s="239"/>
      <c r="D1679" s="239"/>
      <c r="E1679" s="239"/>
      <c r="F1679" s="283"/>
      <c r="G1679" s="239"/>
      <c r="H1679" s="239"/>
      <c r="I1679" s="239"/>
      <c r="J1679" s="239"/>
      <c r="K1679" s="239"/>
      <c r="L1679" s="239"/>
      <c r="M1679" s="239"/>
      <c r="N1679" s="239"/>
      <c r="O1679" s="239"/>
      <c r="P1679" s="246"/>
      <c r="Q1679" s="239"/>
      <c r="R1679" s="239"/>
      <c r="S1679" s="239"/>
      <c r="T1679" s="239"/>
      <c r="U1679" s="239"/>
      <c r="V1679" s="239"/>
      <c r="W1679" s="246"/>
      <c r="X1679" s="239"/>
      <c r="Y1679" s="239"/>
      <c r="Z1679" s="239"/>
      <c r="AA1679" s="239"/>
      <c r="AB1679" s="239"/>
      <c r="AC1679" s="239"/>
      <c r="AD1679" s="239"/>
      <c r="AE1679" s="239"/>
      <c r="AF1679" s="239"/>
      <c r="AG1679" s="239"/>
      <c r="AH1679" s="239"/>
      <c r="AI1679" s="239"/>
      <c r="AJ1679" s="239"/>
    </row>
    <row r="1680">
      <c r="A1680" s="239"/>
      <c r="B1680" s="239"/>
      <c r="C1680" s="239"/>
      <c r="D1680" s="239"/>
      <c r="E1680" s="239"/>
      <c r="F1680" s="283"/>
      <c r="G1680" s="239"/>
      <c r="H1680" s="239"/>
      <c r="I1680" s="239"/>
      <c r="J1680" s="239"/>
      <c r="K1680" s="239"/>
      <c r="L1680" s="239"/>
      <c r="M1680" s="239"/>
      <c r="N1680" s="239"/>
      <c r="O1680" s="239"/>
      <c r="P1680" s="246"/>
      <c r="Q1680" s="239"/>
      <c r="R1680" s="239"/>
      <c r="S1680" s="239"/>
      <c r="T1680" s="239"/>
      <c r="U1680" s="239"/>
      <c r="V1680" s="239"/>
      <c r="W1680" s="246"/>
      <c r="X1680" s="239"/>
      <c r="Y1680" s="239"/>
      <c r="Z1680" s="239"/>
      <c r="AA1680" s="239"/>
      <c r="AB1680" s="239"/>
      <c r="AC1680" s="239"/>
      <c r="AD1680" s="239"/>
      <c r="AE1680" s="239"/>
      <c r="AF1680" s="239"/>
      <c r="AG1680" s="239"/>
      <c r="AH1680" s="239"/>
      <c r="AI1680" s="239"/>
      <c r="AJ1680" s="239"/>
    </row>
    <row r="1681">
      <c r="A1681" s="239"/>
      <c r="B1681" s="239"/>
      <c r="C1681" s="239"/>
      <c r="D1681" s="239"/>
      <c r="E1681" s="239"/>
      <c r="F1681" s="283"/>
      <c r="G1681" s="239"/>
      <c r="H1681" s="239"/>
      <c r="I1681" s="239"/>
      <c r="J1681" s="239"/>
      <c r="K1681" s="239"/>
      <c r="L1681" s="239"/>
      <c r="M1681" s="239"/>
      <c r="N1681" s="239"/>
      <c r="O1681" s="239"/>
      <c r="P1681" s="246"/>
      <c r="Q1681" s="239"/>
      <c r="R1681" s="239"/>
      <c r="S1681" s="239"/>
      <c r="T1681" s="239"/>
      <c r="U1681" s="239"/>
      <c r="V1681" s="239"/>
      <c r="W1681" s="246"/>
      <c r="X1681" s="239"/>
      <c r="Y1681" s="239"/>
      <c r="Z1681" s="239"/>
      <c r="AA1681" s="239"/>
      <c r="AB1681" s="239"/>
      <c r="AC1681" s="239"/>
      <c r="AD1681" s="239"/>
      <c r="AE1681" s="239"/>
      <c r="AF1681" s="239"/>
      <c r="AG1681" s="239"/>
      <c r="AH1681" s="239"/>
      <c r="AI1681" s="239"/>
      <c r="AJ1681" s="239"/>
    </row>
    <row r="1682">
      <c r="A1682" s="239"/>
      <c r="B1682" s="239"/>
      <c r="C1682" s="239"/>
      <c r="D1682" s="239"/>
      <c r="E1682" s="239"/>
      <c r="F1682" s="283"/>
      <c r="G1682" s="239"/>
      <c r="H1682" s="239"/>
      <c r="I1682" s="239"/>
      <c r="J1682" s="239"/>
      <c r="K1682" s="239"/>
      <c r="L1682" s="239"/>
      <c r="M1682" s="239"/>
      <c r="N1682" s="239"/>
      <c r="O1682" s="239"/>
      <c r="P1682" s="246"/>
      <c r="Q1682" s="239"/>
      <c r="R1682" s="239"/>
      <c r="S1682" s="239"/>
      <c r="T1682" s="239"/>
      <c r="U1682" s="239"/>
      <c r="V1682" s="239"/>
      <c r="W1682" s="246"/>
      <c r="X1682" s="239"/>
      <c r="Y1682" s="239"/>
      <c r="Z1682" s="239"/>
      <c r="AA1682" s="239"/>
      <c r="AB1682" s="239"/>
      <c r="AC1682" s="239"/>
      <c r="AD1682" s="239"/>
      <c r="AE1682" s="239"/>
      <c r="AF1682" s="239"/>
      <c r="AG1682" s="239"/>
      <c r="AH1682" s="239"/>
      <c r="AI1682" s="239"/>
      <c r="AJ1682" s="239"/>
    </row>
    <row r="1683">
      <c r="A1683" s="239"/>
      <c r="B1683" s="239"/>
      <c r="C1683" s="239"/>
      <c r="D1683" s="239"/>
      <c r="E1683" s="239"/>
      <c r="F1683" s="283"/>
      <c r="G1683" s="239"/>
      <c r="H1683" s="239"/>
      <c r="I1683" s="239"/>
      <c r="J1683" s="239"/>
      <c r="K1683" s="239"/>
      <c r="L1683" s="239"/>
      <c r="M1683" s="239"/>
      <c r="N1683" s="239"/>
      <c r="O1683" s="239"/>
      <c r="P1683" s="246"/>
      <c r="Q1683" s="239"/>
      <c r="R1683" s="239"/>
      <c r="S1683" s="239"/>
      <c r="T1683" s="239"/>
      <c r="U1683" s="239"/>
      <c r="V1683" s="239"/>
      <c r="W1683" s="246"/>
      <c r="X1683" s="239"/>
      <c r="Y1683" s="239"/>
      <c r="Z1683" s="239"/>
      <c r="AA1683" s="239"/>
      <c r="AB1683" s="239"/>
      <c r="AC1683" s="239"/>
      <c r="AD1683" s="239"/>
      <c r="AE1683" s="239"/>
      <c r="AF1683" s="239"/>
      <c r="AG1683" s="239"/>
      <c r="AH1683" s="239"/>
      <c r="AI1683" s="239"/>
      <c r="AJ1683" s="239"/>
    </row>
    <row r="1684">
      <c r="A1684" s="239"/>
      <c r="B1684" s="239"/>
      <c r="C1684" s="239"/>
      <c r="D1684" s="239"/>
      <c r="E1684" s="239"/>
      <c r="F1684" s="283"/>
      <c r="G1684" s="239"/>
      <c r="H1684" s="239"/>
      <c r="I1684" s="239"/>
      <c r="J1684" s="239"/>
      <c r="K1684" s="239"/>
      <c r="L1684" s="239"/>
      <c r="M1684" s="239"/>
      <c r="N1684" s="239"/>
      <c r="O1684" s="239"/>
      <c r="P1684" s="246"/>
      <c r="Q1684" s="239"/>
      <c r="R1684" s="239"/>
      <c r="S1684" s="239"/>
      <c r="T1684" s="239"/>
      <c r="U1684" s="239"/>
      <c r="V1684" s="239"/>
      <c r="W1684" s="246"/>
      <c r="X1684" s="239"/>
      <c r="Y1684" s="239"/>
      <c r="Z1684" s="239"/>
      <c r="AA1684" s="239"/>
      <c r="AB1684" s="239"/>
      <c r="AC1684" s="239"/>
      <c r="AD1684" s="239"/>
      <c r="AE1684" s="239"/>
      <c r="AF1684" s="239"/>
      <c r="AG1684" s="239"/>
      <c r="AH1684" s="239"/>
      <c r="AI1684" s="239"/>
      <c r="AJ1684" s="239"/>
    </row>
    <row r="1685">
      <c r="A1685" s="239"/>
      <c r="B1685" s="239"/>
      <c r="C1685" s="239"/>
      <c r="D1685" s="239"/>
      <c r="E1685" s="239"/>
      <c r="F1685" s="283"/>
      <c r="G1685" s="239"/>
      <c r="H1685" s="239"/>
      <c r="I1685" s="239"/>
      <c r="J1685" s="239"/>
      <c r="K1685" s="239"/>
      <c r="L1685" s="239"/>
      <c r="M1685" s="239"/>
      <c r="N1685" s="239"/>
      <c r="O1685" s="239"/>
      <c r="P1685" s="246"/>
      <c r="Q1685" s="239"/>
      <c r="R1685" s="239"/>
      <c r="S1685" s="239"/>
      <c r="T1685" s="239"/>
      <c r="U1685" s="239"/>
      <c r="V1685" s="239"/>
      <c r="W1685" s="246"/>
      <c r="X1685" s="239"/>
      <c r="Y1685" s="239"/>
      <c r="Z1685" s="239"/>
      <c r="AA1685" s="239"/>
      <c r="AB1685" s="239"/>
      <c r="AC1685" s="239"/>
      <c r="AD1685" s="239"/>
      <c r="AE1685" s="239"/>
      <c r="AF1685" s="239"/>
      <c r="AG1685" s="239"/>
      <c r="AH1685" s="239"/>
      <c r="AI1685" s="239"/>
      <c r="AJ1685" s="239"/>
    </row>
    <row r="1686">
      <c r="A1686" s="239"/>
      <c r="B1686" s="239"/>
      <c r="C1686" s="239"/>
      <c r="D1686" s="239"/>
      <c r="E1686" s="239"/>
      <c r="F1686" s="283"/>
      <c r="G1686" s="239"/>
      <c r="H1686" s="239"/>
      <c r="I1686" s="239"/>
      <c r="J1686" s="239"/>
      <c r="K1686" s="239"/>
      <c r="L1686" s="239"/>
      <c r="M1686" s="239"/>
      <c r="N1686" s="239"/>
      <c r="O1686" s="239"/>
      <c r="P1686" s="246"/>
      <c r="Q1686" s="239"/>
      <c r="R1686" s="239"/>
      <c r="S1686" s="239"/>
      <c r="T1686" s="239"/>
      <c r="U1686" s="239"/>
      <c r="V1686" s="239"/>
      <c r="W1686" s="246"/>
      <c r="X1686" s="239"/>
      <c r="Y1686" s="239"/>
      <c r="Z1686" s="239"/>
      <c r="AA1686" s="239"/>
      <c r="AB1686" s="239"/>
      <c r="AC1686" s="239"/>
      <c r="AD1686" s="239"/>
      <c r="AE1686" s="239"/>
      <c r="AF1686" s="239"/>
      <c r="AG1686" s="239"/>
      <c r="AH1686" s="239"/>
      <c r="AI1686" s="239"/>
      <c r="AJ1686" s="239"/>
    </row>
    <row r="1687">
      <c r="A1687" s="239"/>
      <c r="B1687" s="239"/>
      <c r="C1687" s="239"/>
      <c r="D1687" s="239"/>
      <c r="E1687" s="239"/>
      <c r="F1687" s="283"/>
      <c r="G1687" s="239"/>
      <c r="H1687" s="239"/>
      <c r="I1687" s="239"/>
      <c r="J1687" s="239"/>
      <c r="K1687" s="239"/>
      <c r="L1687" s="239"/>
      <c r="M1687" s="239"/>
      <c r="N1687" s="239"/>
      <c r="O1687" s="239"/>
      <c r="P1687" s="246"/>
      <c r="Q1687" s="239"/>
      <c r="R1687" s="239"/>
      <c r="S1687" s="239"/>
      <c r="T1687" s="239"/>
      <c r="U1687" s="239"/>
      <c r="V1687" s="239"/>
      <c r="W1687" s="246"/>
      <c r="X1687" s="239"/>
      <c r="Y1687" s="239"/>
      <c r="Z1687" s="239"/>
      <c r="AA1687" s="239"/>
      <c r="AB1687" s="239"/>
      <c r="AC1687" s="239"/>
      <c r="AD1687" s="239"/>
      <c r="AE1687" s="239"/>
      <c r="AF1687" s="239"/>
      <c r="AG1687" s="239"/>
      <c r="AH1687" s="239"/>
      <c r="AI1687" s="239"/>
      <c r="AJ1687" s="239"/>
    </row>
    <row r="1688">
      <c r="A1688" s="239"/>
      <c r="B1688" s="239"/>
      <c r="C1688" s="239"/>
      <c r="D1688" s="239"/>
      <c r="E1688" s="239"/>
      <c r="F1688" s="283"/>
      <c r="G1688" s="239"/>
      <c r="H1688" s="239"/>
      <c r="I1688" s="239"/>
      <c r="J1688" s="239"/>
      <c r="K1688" s="239"/>
      <c r="L1688" s="239"/>
      <c r="M1688" s="239"/>
      <c r="N1688" s="239"/>
      <c r="O1688" s="239"/>
      <c r="P1688" s="246"/>
      <c r="Q1688" s="239"/>
      <c r="R1688" s="239"/>
      <c r="S1688" s="239"/>
      <c r="T1688" s="239"/>
      <c r="U1688" s="239"/>
      <c r="V1688" s="239"/>
      <c r="W1688" s="246"/>
      <c r="X1688" s="239"/>
      <c r="Y1688" s="239"/>
      <c r="Z1688" s="239"/>
      <c r="AA1688" s="239"/>
      <c r="AB1688" s="239"/>
      <c r="AC1688" s="239"/>
      <c r="AD1688" s="239"/>
      <c r="AE1688" s="239"/>
      <c r="AF1688" s="239"/>
      <c r="AG1688" s="239"/>
      <c r="AH1688" s="239"/>
      <c r="AI1688" s="239"/>
      <c r="AJ1688" s="239"/>
    </row>
    <row r="1689">
      <c r="A1689" s="239"/>
      <c r="B1689" s="239"/>
      <c r="C1689" s="239"/>
      <c r="D1689" s="239"/>
      <c r="E1689" s="239"/>
      <c r="F1689" s="283"/>
      <c r="G1689" s="239"/>
      <c r="H1689" s="239"/>
      <c r="I1689" s="239"/>
      <c r="J1689" s="239"/>
      <c r="K1689" s="239"/>
      <c r="L1689" s="239"/>
      <c r="M1689" s="239"/>
      <c r="N1689" s="239"/>
      <c r="O1689" s="239"/>
      <c r="P1689" s="246"/>
      <c r="Q1689" s="239"/>
      <c r="R1689" s="239"/>
      <c r="S1689" s="239"/>
      <c r="T1689" s="239"/>
      <c r="U1689" s="239"/>
      <c r="V1689" s="239"/>
      <c r="W1689" s="246"/>
      <c r="X1689" s="239"/>
      <c r="Y1689" s="239"/>
      <c r="Z1689" s="239"/>
      <c r="AA1689" s="239"/>
      <c r="AB1689" s="239"/>
      <c r="AC1689" s="239"/>
      <c r="AD1689" s="239"/>
      <c r="AE1689" s="239"/>
      <c r="AF1689" s="239"/>
      <c r="AG1689" s="239"/>
      <c r="AH1689" s="239"/>
      <c r="AI1689" s="239"/>
      <c r="AJ1689" s="239"/>
    </row>
    <row r="1690">
      <c r="A1690" s="239"/>
      <c r="B1690" s="239"/>
      <c r="C1690" s="239"/>
      <c r="D1690" s="239"/>
      <c r="E1690" s="239"/>
      <c r="F1690" s="283"/>
      <c r="G1690" s="239"/>
      <c r="H1690" s="239"/>
      <c r="I1690" s="239"/>
      <c r="J1690" s="239"/>
      <c r="K1690" s="239"/>
      <c r="L1690" s="239"/>
      <c r="M1690" s="239"/>
      <c r="N1690" s="239"/>
      <c r="O1690" s="239"/>
      <c r="P1690" s="246"/>
      <c r="Q1690" s="239"/>
      <c r="R1690" s="239"/>
      <c r="S1690" s="239"/>
      <c r="T1690" s="239"/>
      <c r="U1690" s="239"/>
      <c r="V1690" s="239"/>
      <c r="W1690" s="246"/>
      <c r="X1690" s="239"/>
      <c r="Y1690" s="239"/>
      <c r="Z1690" s="239"/>
      <c r="AA1690" s="239"/>
      <c r="AB1690" s="239"/>
      <c r="AC1690" s="239"/>
      <c r="AD1690" s="239"/>
      <c r="AE1690" s="239"/>
      <c r="AF1690" s="239"/>
      <c r="AG1690" s="239"/>
      <c r="AH1690" s="239"/>
      <c r="AI1690" s="239"/>
      <c r="AJ1690" s="239"/>
    </row>
    <row r="1691">
      <c r="A1691" s="239"/>
      <c r="B1691" s="239"/>
      <c r="C1691" s="239"/>
      <c r="D1691" s="239"/>
      <c r="E1691" s="239"/>
      <c r="F1691" s="283"/>
      <c r="G1691" s="239"/>
      <c r="H1691" s="239"/>
      <c r="I1691" s="239"/>
      <c r="J1691" s="239"/>
      <c r="K1691" s="239"/>
      <c r="L1691" s="239"/>
      <c r="M1691" s="239"/>
      <c r="N1691" s="239"/>
      <c r="O1691" s="239"/>
      <c r="P1691" s="246"/>
      <c r="Q1691" s="239"/>
      <c r="R1691" s="239"/>
      <c r="S1691" s="239"/>
      <c r="T1691" s="239"/>
      <c r="U1691" s="239"/>
      <c r="V1691" s="239"/>
      <c r="W1691" s="246"/>
      <c r="X1691" s="239"/>
      <c r="Y1691" s="239"/>
      <c r="Z1691" s="239"/>
      <c r="AA1691" s="239"/>
      <c r="AB1691" s="239"/>
      <c r="AC1691" s="239"/>
      <c r="AD1691" s="239"/>
      <c r="AE1691" s="239"/>
      <c r="AF1691" s="239"/>
      <c r="AG1691" s="239"/>
      <c r="AH1691" s="239"/>
      <c r="AI1691" s="239"/>
      <c r="AJ1691" s="239"/>
    </row>
    <row r="1692">
      <c r="A1692" s="239"/>
      <c r="B1692" s="239"/>
      <c r="C1692" s="239"/>
      <c r="D1692" s="239"/>
      <c r="E1692" s="239"/>
      <c r="F1692" s="283"/>
      <c r="G1692" s="239"/>
      <c r="H1692" s="239"/>
      <c r="I1692" s="239"/>
      <c r="J1692" s="239"/>
      <c r="K1692" s="239"/>
      <c r="L1692" s="239"/>
      <c r="M1692" s="239"/>
      <c r="N1692" s="239"/>
      <c r="O1692" s="239"/>
      <c r="P1692" s="246"/>
      <c r="Q1692" s="239"/>
      <c r="R1692" s="239"/>
      <c r="S1692" s="239"/>
      <c r="T1692" s="239"/>
      <c r="U1692" s="239"/>
      <c r="V1692" s="239"/>
      <c r="W1692" s="246"/>
      <c r="X1692" s="239"/>
      <c r="Y1692" s="239"/>
      <c r="Z1692" s="239"/>
      <c r="AA1692" s="239"/>
      <c r="AB1692" s="239"/>
      <c r="AC1692" s="239"/>
      <c r="AD1692" s="239"/>
      <c r="AE1692" s="239"/>
      <c r="AF1692" s="239"/>
      <c r="AG1692" s="239"/>
      <c r="AH1692" s="239"/>
      <c r="AI1692" s="239"/>
      <c r="AJ1692" s="239"/>
    </row>
    <row r="1693">
      <c r="A1693" s="239"/>
      <c r="B1693" s="239"/>
      <c r="C1693" s="239"/>
      <c r="D1693" s="239"/>
      <c r="E1693" s="239"/>
      <c r="F1693" s="283"/>
      <c r="G1693" s="239"/>
      <c r="H1693" s="239"/>
      <c r="I1693" s="239"/>
      <c r="J1693" s="239"/>
      <c r="K1693" s="239"/>
      <c r="L1693" s="239"/>
      <c r="M1693" s="239"/>
      <c r="N1693" s="239"/>
      <c r="O1693" s="239"/>
      <c r="P1693" s="246"/>
      <c r="Q1693" s="239"/>
      <c r="R1693" s="239"/>
      <c r="S1693" s="239"/>
      <c r="T1693" s="239"/>
      <c r="U1693" s="239"/>
      <c r="V1693" s="239"/>
      <c r="W1693" s="246"/>
      <c r="X1693" s="239"/>
      <c r="Y1693" s="239"/>
      <c r="Z1693" s="239"/>
      <c r="AA1693" s="239"/>
      <c r="AB1693" s="239"/>
      <c r="AC1693" s="239"/>
      <c r="AD1693" s="239"/>
      <c r="AE1693" s="239"/>
      <c r="AF1693" s="239"/>
      <c r="AG1693" s="239"/>
      <c r="AH1693" s="239"/>
      <c r="AI1693" s="239"/>
      <c r="AJ1693" s="239"/>
    </row>
    <row r="1694">
      <c r="A1694" s="239"/>
      <c r="B1694" s="239"/>
      <c r="C1694" s="239"/>
      <c r="D1694" s="239"/>
      <c r="E1694" s="239"/>
      <c r="F1694" s="283"/>
      <c r="G1694" s="239"/>
      <c r="H1694" s="239"/>
      <c r="I1694" s="239"/>
      <c r="J1694" s="239"/>
      <c r="K1694" s="239"/>
      <c r="L1694" s="239"/>
      <c r="M1694" s="239"/>
      <c r="N1694" s="239"/>
      <c r="O1694" s="239"/>
      <c r="P1694" s="246"/>
      <c r="Q1694" s="239"/>
      <c r="R1694" s="239"/>
      <c r="S1694" s="239"/>
      <c r="T1694" s="239"/>
      <c r="U1694" s="239"/>
      <c r="V1694" s="239"/>
      <c r="W1694" s="246"/>
      <c r="X1694" s="239"/>
      <c r="Y1694" s="239"/>
      <c r="Z1694" s="239"/>
      <c r="AA1694" s="239"/>
      <c r="AB1694" s="239"/>
      <c r="AC1694" s="239"/>
      <c r="AD1694" s="239"/>
      <c r="AE1694" s="239"/>
      <c r="AF1694" s="239"/>
      <c r="AG1694" s="239"/>
      <c r="AH1694" s="239"/>
      <c r="AI1694" s="239"/>
      <c r="AJ1694" s="239"/>
    </row>
    <row r="1695">
      <c r="A1695" s="239"/>
      <c r="B1695" s="239"/>
      <c r="C1695" s="239"/>
      <c r="D1695" s="239"/>
      <c r="E1695" s="239"/>
      <c r="F1695" s="283"/>
      <c r="G1695" s="239"/>
      <c r="H1695" s="239"/>
      <c r="I1695" s="239"/>
      <c r="J1695" s="239"/>
      <c r="K1695" s="239"/>
      <c r="L1695" s="239"/>
      <c r="M1695" s="239"/>
      <c r="N1695" s="239"/>
      <c r="O1695" s="239"/>
      <c r="P1695" s="246"/>
      <c r="Q1695" s="239"/>
      <c r="R1695" s="239"/>
      <c r="S1695" s="239"/>
      <c r="T1695" s="239"/>
      <c r="U1695" s="239"/>
      <c r="V1695" s="239"/>
      <c r="W1695" s="246"/>
      <c r="X1695" s="239"/>
      <c r="Y1695" s="239"/>
      <c r="Z1695" s="239"/>
      <c r="AA1695" s="239"/>
      <c r="AB1695" s="239"/>
      <c r="AC1695" s="239"/>
      <c r="AD1695" s="239"/>
      <c r="AE1695" s="239"/>
      <c r="AF1695" s="239"/>
      <c r="AG1695" s="239"/>
      <c r="AH1695" s="239"/>
      <c r="AI1695" s="239"/>
      <c r="AJ1695" s="239"/>
    </row>
    <row r="1696">
      <c r="A1696" s="239"/>
      <c r="B1696" s="239"/>
      <c r="C1696" s="239"/>
      <c r="D1696" s="239"/>
      <c r="E1696" s="239"/>
      <c r="F1696" s="283"/>
      <c r="G1696" s="239"/>
      <c r="H1696" s="239"/>
      <c r="I1696" s="239"/>
      <c r="J1696" s="239"/>
      <c r="K1696" s="239"/>
      <c r="L1696" s="239"/>
      <c r="M1696" s="239"/>
      <c r="N1696" s="239"/>
      <c r="O1696" s="239"/>
      <c r="P1696" s="246"/>
      <c r="Q1696" s="239"/>
      <c r="R1696" s="239"/>
      <c r="S1696" s="239"/>
      <c r="T1696" s="239"/>
      <c r="U1696" s="239"/>
      <c r="V1696" s="239"/>
      <c r="W1696" s="246"/>
      <c r="X1696" s="239"/>
      <c r="Y1696" s="239"/>
      <c r="Z1696" s="239"/>
      <c r="AA1696" s="239"/>
      <c r="AB1696" s="239"/>
      <c r="AC1696" s="239"/>
      <c r="AD1696" s="239"/>
      <c r="AE1696" s="239"/>
      <c r="AF1696" s="239"/>
      <c r="AG1696" s="239"/>
      <c r="AH1696" s="239"/>
      <c r="AI1696" s="239"/>
      <c r="AJ1696" s="239"/>
    </row>
    <row r="1697">
      <c r="A1697" s="239"/>
      <c r="B1697" s="239"/>
      <c r="C1697" s="239"/>
      <c r="D1697" s="239"/>
      <c r="E1697" s="239"/>
      <c r="F1697" s="283"/>
      <c r="G1697" s="239"/>
      <c r="H1697" s="239"/>
      <c r="I1697" s="239"/>
      <c r="J1697" s="239"/>
      <c r="K1697" s="239"/>
      <c r="L1697" s="239"/>
      <c r="M1697" s="239"/>
      <c r="N1697" s="239"/>
      <c r="O1697" s="239"/>
      <c r="P1697" s="246"/>
      <c r="Q1697" s="239"/>
      <c r="R1697" s="239"/>
      <c r="S1697" s="239"/>
      <c r="T1697" s="239"/>
      <c r="U1697" s="239"/>
      <c r="V1697" s="239"/>
      <c r="W1697" s="246"/>
      <c r="X1697" s="239"/>
      <c r="Y1697" s="239"/>
      <c r="Z1697" s="239"/>
      <c r="AA1697" s="239"/>
      <c r="AB1697" s="239"/>
      <c r="AC1697" s="239"/>
      <c r="AD1697" s="239"/>
      <c r="AE1697" s="239"/>
      <c r="AF1697" s="239"/>
      <c r="AG1697" s="239"/>
      <c r="AH1697" s="239"/>
      <c r="AI1697" s="239"/>
      <c r="AJ1697" s="239"/>
    </row>
    <row r="1698">
      <c r="A1698" s="239"/>
      <c r="B1698" s="239"/>
      <c r="C1698" s="239"/>
      <c r="D1698" s="239"/>
      <c r="E1698" s="239"/>
      <c r="F1698" s="283"/>
      <c r="G1698" s="239"/>
      <c r="H1698" s="239"/>
      <c r="I1698" s="239"/>
      <c r="J1698" s="239"/>
      <c r="K1698" s="239"/>
      <c r="L1698" s="239"/>
      <c r="M1698" s="239"/>
      <c r="N1698" s="239"/>
      <c r="O1698" s="239"/>
      <c r="P1698" s="246"/>
      <c r="Q1698" s="239"/>
      <c r="R1698" s="239"/>
      <c r="S1698" s="239"/>
      <c r="T1698" s="239"/>
      <c r="U1698" s="239"/>
      <c r="V1698" s="239"/>
      <c r="W1698" s="246"/>
      <c r="X1698" s="239"/>
      <c r="Y1698" s="239"/>
      <c r="Z1698" s="239"/>
      <c r="AA1698" s="239"/>
      <c r="AB1698" s="239"/>
      <c r="AC1698" s="239"/>
      <c r="AD1698" s="239"/>
      <c r="AE1698" s="239"/>
      <c r="AF1698" s="239"/>
      <c r="AG1698" s="239"/>
      <c r="AH1698" s="239"/>
      <c r="AI1698" s="239"/>
      <c r="AJ1698" s="239"/>
    </row>
    <row r="1699">
      <c r="A1699" s="239"/>
      <c r="B1699" s="239"/>
      <c r="C1699" s="239"/>
      <c r="D1699" s="239"/>
      <c r="E1699" s="239"/>
      <c r="F1699" s="283"/>
      <c r="G1699" s="239"/>
      <c r="H1699" s="239"/>
      <c r="I1699" s="239"/>
      <c r="J1699" s="239"/>
      <c r="K1699" s="239"/>
      <c r="L1699" s="239"/>
      <c r="M1699" s="239"/>
      <c r="N1699" s="239"/>
      <c r="O1699" s="239"/>
      <c r="P1699" s="246"/>
      <c r="Q1699" s="239"/>
      <c r="R1699" s="239"/>
      <c r="S1699" s="239"/>
      <c r="T1699" s="239"/>
      <c r="U1699" s="239"/>
      <c r="V1699" s="239"/>
      <c r="W1699" s="246"/>
      <c r="X1699" s="239"/>
      <c r="Y1699" s="239"/>
      <c r="Z1699" s="239"/>
      <c r="AA1699" s="239"/>
      <c r="AB1699" s="239"/>
      <c r="AC1699" s="239"/>
      <c r="AD1699" s="239"/>
      <c r="AE1699" s="239"/>
      <c r="AF1699" s="239"/>
      <c r="AG1699" s="239"/>
      <c r="AH1699" s="239"/>
      <c r="AI1699" s="239"/>
      <c r="AJ1699" s="239"/>
    </row>
    <row r="1700">
      <c r="A1700" s="239"/>
      <c r="B1700" s="239"/>
      <c r="C1700" s="239"/>
      <c r="D1700" s="239"/>
      <c r="E1700" s="239"/>
      <c r="F1700" s="283"/>
      <c r="G1700" s="239"/>
      <c r="H1700" s="239"/>
      <c r="I1700" s="239"/>
      <c r="J1700" s="239"/>
      <c r="K1700" s="239"/>
      <c r="L1700" s="239"/>
      <c r="M1700" s="239"/>
      <c r="N1700" s="239"/>
      <c r="O1700" s="239"/>
      <c r="P1700" s="246"/>
      <c r="Q1700" s="239"/>
      <c r="R1700" s="239"/>
      <c r="S1700" s="239"/>
      <c r="T1700" s="239"/>
      <c r="U1700" s="239"/>
      <c r="V1700" s="239"/>
      <c r="W1700" s="246"/>
      <c r="X1700" s="239"/>
      <c r="Y1700" s="239"/>
      <c r="Z1700" s="239"/>
      <c r="AA1700" s="239"/>
      <c r="AB1700" s="239"/>
      <c r="AC1700" s="239"/>
      <c r="AD1700" s="239"/>
      <c r="AE1700" s="239"/>
      <c r="AF1700" s="239"/>
      <c r="AG1700" s="239"/>
      <c r="AH1700" s="239"/>
      <c r="AI1700" s="239"/>
      <c r="AJ1700" s="239"/>
    </row>
    <row r="1701">
      <c r="A1701" s="239"/>
      <c r="B1701" s="239"/>
      <c r="C1701" s="239"/>
      <c r="D1701" s="239"/>
      <c r="E1701" s="239"/>
      <c r="F1701" s="283"/>
      <c r="G1701" s="239"/>
      <c r="H1701" s="239"/>
      <c r="I1701" s="239"/>
      <c r="J1701" s="239"/>
      <c r="K1701" s="239"/>
      <c r="L1701" s="239"/>
      <c r="M1701" s="239"/>
      <c r="N1701" s="239"/>
      <c r="O1701" s="239"/>
      <c r="P1701" s="246"/>
      <c r="Q1701" s="239"/>
      <c r="R1701" s="239"/>
      <c r="S1701" s="239"/>
      <c r="T1701" s="239"/>
      <c r="U1701" s="239"/>
      <c r="V1701" s="239"/>
      <c r="W1701" s="246"/>
      <c r="X1701" s="239"/>
      <c r="Y1701" s="239"/>
      <c r="Z1701" s="239"/>
      <c r="AA1701" s="239"/>
      <c r="AB1701" s="239"/>
      <c r="AC1701" s="239"/>
      <c r="AD1701" s="239"/>
      <c r="AE1701" s="239"/>
      <c r="AF1701" s="239"/>
      <c r="AG1701" s="239"/>
      <c r="AH1701" s="239"/>
      <c r="AI1701" s="239"/>
      <c r="AJ1701" s="239"/>
    </row>
    <row r="1702">
      <c r="A1702" s="239"/>
      <c r="B1702" s="239"/>
      <c r="C1702" s="239"/>
      <c r="D1702" s="239"/>
      <c r="E1702" s="239"/>
      <c r="F1702" s="283"/>
      <c r="G1702" s="239"/>
      <c r="H1702" s="239"/>
      <c r="I1702" s="239"/>
      <c r="J1702" s="239"/>
      <c r="K1702" s="239"/>
      <c r="L1702" s="239"/>
      <c r="M1702" s="239"/>
      <c r="N1702" s="239"/>
      <c r="O1702" s="239"/>
      <c r="P1702" s="246"/>
      <c r="Q1702" s="239"/>
      <c r="R1702" s="239"/>
      <c r="S1702" s="239"/>
      <c r="T1702" s="239"/>
      <c r="U1702" s="239"/>
      <c r="V1702" s="239"/>
      <c r="W1702" s="246"/>
      <c r="X1702" s="239"/>
      <c r="Y1702" s="239"/>
      <c r="Z1702" s="239"/>
      <c r="AA1702" s="239"/>
      <c r="AB1702" s="239"/>
      <c r="AC1702" s="239"/>
      <c r="AD1702" s="239"/>
      <c r="AE1702" s="239"/>
      <c r="AF1702" s="239"/>
      <c r="AG1702" s="239"/>
      <c r="AH1702" s="239"/>
      <c r="AI1702" s="239"/>
      <c r="AJ1702" s="239"/>
    </row>
    <row r="1703">
      <c r="A1703" s="239"/>
      <c r="B1703" s="239"/>
      <c r="C1703" s="239"/>
      <c r="D1703" s="239"/>
      <c r="E1703" s="239"/>
      <c r="F1703" s="283"/>
      <c r="G1703" s="239"/>
      <c r="H1703" s="239"/>
      <c r="I1703" s="239"/>
      <c r="J1703" s="239"/>
      <c r="K1703" s="239"/>
      <c r="L1703" s="239"/>
      <c r="M1703" s="239"/>
      <c r="N1703" s="239"/>
      <c r="O1703" s="239"/>
      <c r="P1703" s="246"/>
      <c r="Q1703" s="239"/>
      <c r="R1703" s="239"/>
      <c r="S1703" s="239"/>
      <c r="T1703" s="239"/>
      <c r="U1703" s="239"/>
      <c r="V1703" s="239"/>
      <c r="W1703" s="246"/>
      <c r="X1703" s="239"/>
      <c r="Y1703" s="239"/>
      <c r="Z1703" s="239"/>
      <c r="AA1703" s="239"/>
      <c r="AB1703" s="239"/>
      <c r="AC1703" s="239"/>
      <c r="AD1703" s="239"/>
      <c r="AE1703" s="239"/>
      <c r="AF1703" s="239"/>
      <c r="AG1703" s="239"/>
      <c r="AH1703" s="239"/>
      <c r="AI1703" s="239"/>
      <c r="AJ1703" s="239"/>
    </row>
    <row r="1704">
      <c r="A1704" s="239"/>
      <c r="B1704" s="239"/>
      <c r="C1704" s="239"/>
      <c r="D1704" s="239"/>
      <c r="E1704" s="239"/>
      <c r="F1704" s="283"/>
      <c r="G1704" s="239"/>
      <c r="H1704" s="239"/>
      <c r="I1704" s="239"/>
      <c r="J1704" s="239"/>
      <c r="K1704" s="239"/>
      <c r="L1704" s="239"/>
      <c r="M1704" s="239"/>
      <c r="N1704" s="239"/>
      <c r="O1704" s="239"/>
      <c r="P1704" s="246"/>
      <c r="Q1704" s="239"/>
      <c r="R1704" s="239"/>
      <c r="S1704" s="239"/>
      <c r="T1704" s="239"/>
      <c r="U1704" s="239"/>
      <c r="V1704" s="239"/>
      <c r="W1704" s="246"/>
      <c r="X1704" s="239"/>
      <c r="Y1704" s="239"/>
      <c r="Z1704" s="239"/>
      <c r="AA1704" s="239"/>
      <c r="AB1704" s="239"/>
      <c r="AC1704" s="239"/>
      <c r="AD1704" s="239"/>
      <c r="AE1704" s="239"/>
      <c r="AF1704" s="239"/>
      <c r="AG1704" s="239"/>
      <c r="AH1704" s="239"/>
      <c r="AI1704" s="239"/>
      <c r="AJ1704" s="239"/>
    </row>
    <row r="1705">
      <c r="A1705" s="239"/>
      <c r="B1705" s="239"/>
      <c r="C1705" s="239"/>
      <c r="D1705" s="239"/>
      <c r="E1705" s="239"/>
      <c r="F1705" s="283"/>
      <c r="G1705" s="239"/>
      <c r="H1705" s="239"/>
      <c r="I1705" s="239"/>
      <c r="J1705" s="239"/>
      <c r="K1705" s="239"/>
      <c r="L1705" s="239"/>
      <c r="M1705" s="239"/>
      <c r="N1705" s="239"/>
      <c r="O1705" s="239"/>
      <c r="P1705" s="246"/>
      <c r="Q1705" s="239"/>
      <c r="R1705" s="239"/>
      <c r="S1705" s="239"/>
      <c r="T1705" s="239"/>
      <c r="U1705" s="239"/>
      <c r="V1705" s="239"/>
      <c r="W1705" s="246"/>
      <c r="X1705" s="239"/>
      <c r="Y1705" s="239"/>
      <c r="Z1705" s="239"/>
      <c r="AA1705" s="239"/>
      <c r="AB1705" s="239"/>
      <c r="AC1705" s="239"/>
      <c r="AD1705" s="239"/>
      <c r="AE1705" s="239"/>
      <c r="AF1705" s="239"/>
      <c r="AG1705" s="239"/>
      <c r="AH1705" s="239"/>
      <c r="AI1705" s="239"/>
      <c r="AJ1705" s="239"/>
    </row>
    <row r="1706">
      <c r="A1706" s="239"/>
      <c r="B1706" s="239"/>
      <c r="C1706" s="239"/>
      <c r="D1706" s="239"/>
      <c r="E1706" s="239"/>
      <c r="F1706" s="283"/>
      <c r="G1706" s="239"/>
      <c r="H1706" s="239"/>
      <c r="I1706" s="239"/>
      <c r="J1706" s="239"/>
      <c r="K1706" s="239"/>
      <c r="L1706" s="239"/>
      <c r="M1706" s="239"/>
      <c r="N1706" s="239"/>
      <c r="O1706" s="239"/>
      <c r="P1706" s="246"/>
      <c r="Q1706" s="239"/>
      <c r="R1706" s="239"/>
      <c r="S1706" s="239"/>
      <c r="T1706" s="239"/>
      <c r="U1706" s="239"/>
      <c r="V1706" s="239"/>
      <c r="W1706" s="246"/>
      <c r="X1706" s="239"/>
      <c r="Y1706" s="239"/>
      <c r="Z1706" s="239"/>
      <c r="AA1706" s="239"/>
      <c r="AB1706" s="239"/>
      <c r="AC1706" s="239"/>
      <c r="AD1706" s="239"/>
      <c r="AE1706" s="239"/>
      <c r="AF1706" s="239"/>
      <c r="AG1706" s="239"/>
      <c r="AH1706" s="239"/>
      <c r="AI1706" s="239"/>
      <c r="AJ1706" s="239"/>
    </row>
    <row r="1707">
      <c r="A1707" s="239"/>
      <c r="B1707" s="239"/>
      <c r="C1707" s="239"/>
      <c r="D1707" s="239"/>
      <c r="E1707" s="239"/>
      <c r="F1707" s="283"/>
      <c r="G1707" s="239"/>
      <c r="H1707" s="239"/>
      <c r="I1707" s="239"/>
      <c r="J1707" s="239"/>
      <c r="K1707" s="239"/>
      <c r="L1707" s="239"/>
      <c r="M1707" s="239"/>
      <c r="N1707" s="239"/>
      <c r="O1707" s="239"/>
      <c r="P1707" s="246"/>
      <c r="Q1707" s="239"/>
      <c r="R1707" s="239"/>
      <c r="S1707" s="239"/>
      <c r="T1707" s="239"/>
      <c r="U1707" s="239"/>
      <c r="V1707" s="239"/>
      <c r="W1707" s="246"/>
      <c r="X1707" s="239"/>
      <c r="Y1707" s="239"/>
      <c r="Z1707" s="239"/>
      <c r="AA1707" s="239"/>
      <c r="AB1707" s="239"/>
      <c r="AC1707" s="239"/>
      <c r="AD1707" s="239"/>
      <c r="AE1707" s="239"/>
      <c r="AF1707" s="239"/>
      <c r="AG1707" s="239"/>
      <c r="AH1707" s="239"/>
      <c r="AI1707" s="239"/>
      <c r="AJ1707" s="239"/>
    </row>
    <row r="1708">
      <c r="A1708" s="239"/>
      <c r="B1708" s="239"/>
      <c r="C1708" s="239"/>
      <c r="D1708" s="239"/>
      <c r="E1708" s="239"/>
      <c r="F1708" s="283"/>
      <c r="G1708" s="239"/>
      <c r="H1708" s="239"/>
      <c r="I1708" s="239"/>
      <c r="J1708" s="239"/>
      <c r="K1708" s="239"/>
      <c r="L1708" s="239"/>
      <c r="M1708" s="239"/>
      <c r="N1708" s="239"/>
      <c r="O1708" s="239"/>
      <c r="P1708" s="246"/>
      <c r="Q1708" s="239"/>
      <c r="R1708" s="239"/>
      <c r="S1708" s="239"/>
      <c r="T1708" s="239"/>
      <c r="U1708" s="239"/>
      <c r="V1708" s="239"/>
      <c r="W1708" s="246"/>
      <c r="X1708" s="239"/>
      <c r="Y1708" s="239"/>
      <c r="Z1708" s="239"/>
      <c r="AA1708" s="239"/>
      <c r="AB1708" s="239"/>
      <c r="AC1708" s="239"/>
      <c r="AD1708" s="239"/>
      <c r="AE1708" s="239"/>
      <c r="AF1708" s="239"/>
      <c r="AG1708" s="239"/>
      <c r="AH1708" s="239"/>
      <c r="AI1708" s="239"/>
      <c r="AJ1708" s="239"/>
    </row>
    <row r="1709">
      <c r="A1709" s="239"/>
      <c r="B1709" s="239"/>
      <c r="C1709" s="239"/>
      <c r="D1709" s="239"/>
      <c r="E1709" s="239"/>
      <c r="F1709" s="283"/>
      <c r="G1709" s="239"/>
      <c r="H1709" s="239"/>
      <c r="I1709" s="239"/>
      <c r="J1709" s="239"/>
      <c r="K1709" s="239"/>
      <c r="L1709" s="239"/>
      <c r="M1709" s="239"/>
      <c r="N1709" s="239"/>
      <c r="O1709" s="239"/>
      <c r="P1709" s="246"/>
      <c r="Q1709" s="239"/>
      <c r="R1709" s="239"/>
      <c r="S1709" s="239"/>
      <c r="T1709" s="239"/>
      <c r="U1709" s="239"/>
      <c r="V1709" s="239"/>
      <c r="W1709" s="246"/>
      <c r="X1709" s="239"/>
      <c r="Y1709" s="239"/>
      <c r="Z1709" s="239"/>
      <c r="AA1709" s="239"/>
      <c r="AB1709" s="239"/>
      <c r="AC1709" s="239"/>
      <c r="AD1709" s="239"/>
      <c r="AE1709" s="239"/>
      <c r="AF1709" s="239"/>
      <c r="AG1709" s="239"/>
      <c r="AH1709" s="239"/>
      <c r="AI1709" s="239"/>
      <c r="AJ1709" s="239"/>
    </row>
    <row r="1710">
      <c r="A1710" s="239"/>
      <c r="B1710" s="239"/>
      <c r="C1710" s="239"/>
      <c r="D1710" s="239"/>
      <c r="E1710" s="239"/>
      <c r="F1710" s="283"/>
      <c r="G1710" s="239"/>
      <c r="H1710" s="239"/>
      <c r="I1710" s="239"/>
      <c r="J1710" s="239"/>
      <c r="K1710" s="239"/>
      <c r="L1710" s="239"/>
      <c r="M1710" s="239"/>
      <c r="N1710" s="239"/>
      <c r="O1710" s="239"/>
      <c r="P1710" s="246"/>
      <c r="Q1710" s="239"/>
      <c r="R1710" s="239"/>
      <c r="S1710" s="239"/>
      <c r="T1710" s="239"/>
      <c r="U1710" s="239"/>
      <c r="V1710" s="239"/>
      <c r="W1710" s="246"/>
      <c r="X1710" s="239"/>
      <c r="Y1710" s="239"/>
      <c r="Z1710" s="239"/>
      <c r="AA1710" s="239"/>
      <c r="AB1710" s="239"/>
      <c r="AC1710" s="239"/>
      <c r="AD1710" s="239"/>
      <c r="AE1710" s="239"/>
      <c r="AF1710" s="239"/>
      <c r="AG1710" s="239"/>
      <c r="AH1710" s="239"/>
      <c r="AI1710" s="239"/>
      <c r="AJ1710" s="239"/>
    </row>
    <row r="1711">
      <c r="A1711" s="239"/>
      <c r="B1711" s="239"/>
      <c r="C1711" s="239"/>
      <c r="D1711" s="239"/>
      <c r="E1711" s="239"/>
      <c r="F1711" s="283"/>
      <c r="G1711" s="239"/>
      <c r="H1711" s="239"/>
      <c r="I1711" s="239"/>
      <c r="J1711" s="239"/>
      <c r="K1711" s="239"/>
      <c r="L1711" s="239"/>
      <c r="M1711" s="239"/>
      <c r="N1711" s="239"/>
      <c r="O1711" s="239"/>
      <c r="P1711" s="246"/>
      <c r="Q1711" s="239"/>
      <c r="R1711" s="239"/>
      <c r="S1711" s="239"/>
      <c r="T1711" s="239"/>
      <c r="U1711" s="239"/>
      <c r="V1711" s="239"/>
      <c r="W1711" s="246"/>
      <c r="X1711" s="239"/>
      <c r="Y1711" s="239"/>
      <c r="Z1711" s="239"/>
      <c r="AA1711" s="239"/>
      <c r="AB1711" s="239"/>
      <c r="AC1711" s="239"/>
      <c r="AD1711" s="239"/>
      <c r="AE1711" s="239"/>
      <c r="AF1711" s="239"/>
      <c r="AG1711" s="239"/>
      <c r="AH1711" s="239"/>
      <c r="AI1711" s="239"/>
      <c r="AJ1711" s="239"/>
    </row>
    <row r="1712">
      <c r="A1712" s="239"/>
      <c r="B1712" s="239"/>
      <c r="C1712" s="239"/>
      <c r="D1712" s="239"/>
      <c r="E1712" s="239"/>
      <c r="F1712" s="283"/>
      <c r="G1712" s="239"/>
      <c r="H1712" s="239"/>
      <c r="I1712" s="239"/>
      <c r="J1712" s="239"/>
      <c r="K1712" s="239"/>
      <c r="L1712" s="239"/>
      <c r="M1712" s="239"/>
      <c r="N1712" s="239"/>
      <c r="O1712" s="239"/>
      <c r="P1712" s="246"/>
      <c r="Q1712" s="239"/>
      <c r="R1712" s="239"/>
      <c r="S1712" s="239"/>
      <c r="T1712" s="239"/>
      <c r="U1712" s="239"/>
      <c r="V1712" s="239"/>
      <c r="W1712" s="246"/>
      <c r="X1712" s="239"/>
      <c r="Y1712" s="239"/>
      <c r="Z1712" s="239"/>
      <c r="AA1712" s="239"/>
      <c r="AB1712" s="239"/>
      <c r="AC1712" s="239"/>
      <c r="AD1712" s="239"/>
      <c r="AE1712" s="239"/>
      <c r="AF1712" s="239"/>
      <c r="AG1712" s="239"/>
      <c r="AH1712" s="239"/>
      <c r="AI1712" s="239"/>
      <c r="AJ1712" s="239"/>
    </row>
    <row r="1713">
      <c r="A1713" s="239"/>
      <c r="B1713" s="239"/>
      <c r="C1713" s="239"/>
      <c r="D1713" s="239"/>
      <c r="E1713" s="239"/>
      <c r="F1713" s="283"/>
      <c r="G1713" s="239"/>
      <c r="H1713" s="239"/>
      <c r="I1713" s="239"/>
      <c r="J1713" s="239"/>
      <c r="K1713" s="239"/>
      <c r="L1713" s="239"/>
      <c r="M1713" s="239"/>
      <c r="N1713" s="239"/>
      <c r="O1713" s="239"/>
      <c r="P1713" s="246"/>
      <c r="Q1713" s="239"/>
      <c r="R1713" s="239"/>
      <c r="S1713" s="239"/>
      <c r="T1713" s="239"/>
      <c r="U1713" s="239"/>
      <c r="V1713" s="239"/>
      <c r="W1713" s="246"/>
      <c r="X1713" s="239"/>
      <c r="Y1713" s="239"/>
      <c r="Z1713" s="239"/>
      <c r="AA1713" s="239"/>
      <c r="AB1713" s="239"/>
      <c r="AC1713" s="239"/>
      <c r="AD1713" s="239"/>
      <c r="AE1713" s="239"/>
      <c r="AF1713" s="239"/>
      <c r="AG1713" s="239"/>
      <c r="AH1713" s="239"/>
      <c r="AI1713" s="239"/>
      <c r="AJ1713" s="239"/>
    </row>
    <row r="1714">
      <c r="A1714" s="239"/>
      <c r="B1714" s="239"/>
      <c r="C1714" s="239"/>
      <c r="D1714" s="239"/>
      <c r="E1714" s="239"/>
      <c r="F1714" s="283"/>
      <c r="G1714" s="239"/>
      <c r="H1714" s="239"/>
      <c r="I1714" s="239"/>
      <c r="J1714" s="239"/>
      <c r="K1714" s="239"/>
      <c r="L1714" s="239"/>
      <c r="M1714" s="239"/>
      <c r="N1714" s="239"/>
      <c r="O1714" s="239"/>
      <c r="P1714" s="246"/>
      <c r="Q1714" s="239"/>
      <c r="R1714" s="239"/>
      <c r="S1714" s="239"/>
      <c r="T1714" s="239"/>
      <c r="U1714" s="239"/>
      <c r="V1714" s="239"/>
      <c r="W1714" s="246"/>
      <c r="X1714" s="239"/>
      <c r="Y1714" s="239"/>
      <c r="Z1714" s="239"/>
      <c r="AA1714" s="239"/>
      <c r="AB1714" s="239"/>
      <c r="AC1714" s="239"/>
      <c r="AD1714" s="239"/>
      <c r="AE1714" s="239"/>
      <c r="AF1714" s="239"/>
      <c r="AG1714" s="239"/>
      <c r="AH1714" s="239"/>
      <c r="AI1714" s="239"/>
      <c r="AJ1714" s="239"/>
    </row>
    <row r="1715">
      <c r="A1715" s="239"/>
      <c r="B1715" s="239"/>
      <c r="C1715" s="239"/>
      <c r="D1715" s="239"/>
      <c r="E1715" s="239"/>
      <c r="F1715" s="283"/>
      <c r="G1715" s="239"/>
      <c r="H1715" s="239"/>
      <c r="I1715" s="239"/>
      <c r="J1715" s="239"/>
      <c r="K1715" s="239"/>
      <c r="L1715" s="239"/>
      <c r="M1715" s="239"/>
      <c r="N1715" s="239"/>
      <c r="O1715" s="239"/>
      <c r="P1715" s="246"/>
      <c r="Q1715" s="239"/>
      <c r="R1715" s="239"/>
      <c r="S1715" s="239"/>
      <c r="T1715" s="239"/>
      <c r="U1715" s="239"/>
      <c r="V1715" s="239"/>
      <c r="W1715" s="246"/>
      <c r="X1715" s="239"/>
      <c r="Y1715" s="239"/>
      <c r="Z1715" s="239"/>
      <c r="AA1715" s="239"/>
      <c r="AB1715" s="239"/>
      <c r="AC1715" s="239"/>
      <c r="AD1715" s="239"/>
      <c r="AE1715" s="239"/>
      <c r="AF1715" s="239"/>
      <c r="AG1715" s="239"/>
      <c r="AH1715" s="239"/>
      <c r="AI1715" s="239"/>
      <c r="AJ1715" s="239"/>
    </row>
    <row r="1716">
      <c r="A1716" s="239"/>
      <c r="B1716" s="239"/>
      <c r="C1716" s="239"/>
      <c r="D1716" s="239"/>
      <c r="E1716" s="239"/>
      <c r="F1716" s="283"/>
      <c r="G1716" s="239"/>
      <c r="H1716" s="239"/>
      <c r="I1716" s="239"/>
      <c r="J1716" s="239"/>
      <c r="K1716" s="239"/>
      <c r="L1716" s="239"/>
      <c r="M1716" s="239"/>
      <c r="N1716" s="239"/>
      <c r="O1716" s="239"/>
      <c r="P1716" s="246"/>
      <c r="Q1716" s="239"/>
      <c r="R1716" s="239"/>
      <c r="S1716" s="239"/>
      <c r="T1716" s="239"/>
      <c r="U1716" s="239"/>
      <c r="V1716" s="239"/>
      <c r="W1716" s="246"/>
      <c r="X1716" s="239"/>
      <c r="Y1716" s="239"/>
      <c r="Z1716" s="239"/>
      <c r="AA1716" s="239"/>
      <c r="AB1716" s="239"/>
      <c r="AC1716" s="239"/>
      <c r="AD1716" s="239"/>
      <c r="AE1716" s="239"/>
      <c r="AF1716" s="239"/>
      <c r="AG1716" s="239"/>
      <c r="AH1716" s="239"/>
      <c r="AI1716" s="239"/>
      <c r="AJ1716" s="239"/>
    </row>
    <row r="1717">
      <c r="A1717" s="239"/>
      <c r="B1717" s="239"/>
      <c r="C1717" s="239"/>
      <c r="D1717" s="239"/>
      <c r="E1717" s="239"/>
      <c r="F1717" s="283"/>
      <c r="G1717" s="239"/>
      <c r="H1717" s="239"/>
      <c r="I1717" s="239"/>
      <c r="J1717" s="239"/>
      <c r="K1717" s="239"/>
      <c r="L1717" s="239"/>
      <c r="M1717" s="239"/>
      <c r="N1717" s="239"/>
      <c r="O1717" s="239"/>
      <c r="P1717" s="246"/>
      <c r="Q1717" s="239"/>
      <c r="R1717" s="239"/>
      <c r="S1717" s="239"/>
      <c r="T1717" s="239"/>
      <c r="U1717" s="239"/>
      <c r="V1717" s="239"/>
      <c r="W1717" s="246"/>
      <c r="X1717" s="239"/>
      <c r="Y1717" s="239"/>
      <c r="Z1717" s="239"/>
      <c r="AA1717" s="239"/>
      <c r="AB1717" s="239"/>
      <c r="AC1717" s="239"/>
      <c r="AD1717" s="239"/>
      <c r="AE1717" s="239"/>
      <c r="AF1717" s="239"/>
      <c r="AG1717" s="239"/>
      <c r="AH1717" s="239"/>
      <c r="AI1717" s="239"/>
      <c r="AJ1717" s="239"/>
    </row>
    <row r="1718">
      <c r="A1718" s="239"/>
      <c r="B1718" s="239"/>
      <c r="C1718" s="239"/>
      <c r="D1718" s="239"/>
      <c r="E1718" s="239"/>
      <c r="F1718" s="283"/>
      <c r="G1718" s="239"/>
      <c r="H1718" s="239"/>
      <c r="I1718" s="239"/>
      <c r="J1718" s="239"/>
      <c r="K1718" s="239"/>
      <c r="L1718" s="239"/>
      <c r="M1718" s="239"/>
      <c r="N1718" s="239"/>
      <c r="O1718" s="239"/>
      <c r="P1718" s="246"/>
      <c r="Q1718" s="239"/>
      <c r="R1718" s="239"/>
      <c r="S1718" s="239"/>
      <c r="T1718" s="239"/>
      <c r="U1718" s="239"/>
      <c r="V1718" s="239"/>
      <c r="W1718" s="246"/>
      <c r="X1718" s="239"/>
      <c r="Y1718" s="239"/>
      <c r="Z1718" s="239"/>
      <c r="AA1718" s="239"/>
      <c r="AB1718" s="239"/>
      <c r="AC1718" s="239"/>
      <c r="AD1718" s="239"/>
      <c r="AE1718" s="239"/>
      <c r="AF1718" s="239"/>
      <c r="AG1718" s="239"/>
      <c r="AH1718" s="239"/>
      <c r="AI1718" s="239"/>
      <c r="AJ1718" s="239"/>
    </row>
    <row r="1719">
      <c r="A1719" s="239"/>
      <c r="B1719" s="239"/>
      <c r="C1719" s="239"/>
      <c r="D1719" s="239"/>
      <c r="E1719" s="239"/>
      <c r="F1719" s="283"/>
      <c r="G1719" s="239"/>
      <c r="H1719" s="239"/>
      <c r="I1719" s="239"/>
      <c r="J1719" s="239"/>
      <c r="K1719" s="239"/>
      <c r="L1719" s="239"/>
      <c r="M1719" s="239"/>
      <c r="N1719" s="239"/>
      <c r="O1719" s="239"/>
      <c r="P1719" s="246"/>
      <c r="Q1719" s="239"/>
      <c r="R1719" s="239"/>
      <c r="S1719" s="239"/>
      <c r="T1719" s="239"/>
      <c r="U1719" s="239"/>
      <c r="V1719" s="239"/>
      <c r="W1719" s="246"/>
      <c r="X1719" s="239"/>
      <c r="Y1719" s="239"/>
      <c r="Z1719" s="239"/>
      <c r="AA1719" s="239"/>
      <c r="AB1719" s="239"/>
      <c r="AC1719" s="239"/>
      <c r="AD1719" s="239"/>
      <c r="AE1719" s="239"/>
      <c r="AF1719" s="239"/>
      <c r="AG1719" s="239"/>
      <c r="AH1719" s="239"/>
      <c r="AI1719" s="239"/>
      <c r="AJ1719" s="239"/>
    </row>
    <row r="1720">
      <c r="A1720" s="239"/>
      <c r="B1720" s="239"/>
      <c r="C1720" s="239"/>
      <c r="D1720" s="239"/>
      <c r="E1720" s="239"/>
      <c r="F1720" s="283"/>
      <c r="G1720" s="239"/>
      <c r="H1720" s="239"/>
      <c r="I1720" s="239"/>
      <c r="J1720" s="239"/>
      <c r="K1720" s="239"/>
      <c r="L1720" s="239"/>
      <c r="M1720" s="239"/>
      <c r="N1720" s="239"/>
      <c r="O1720" s="239"/>
      <c r="P1720" s="246"/>
      <c r="Q1720" s="239"/>
      <c r="R1720" s="239"/>
      <c r="S1720" s="239"/>
      <c r="T1720" s="239"/>
      <c r="U1720" s="239"/>
      <c r="V1720" s="239"/>
      <c r="W1720" s="246"/>
      <c r="X1720" s="239"/>
      <c r="Y1720" s="239"/>
      <c r="Z1720" s="239"/>
      <c r="AA1720" s="239"/>
      <c r="AB1720" s="239"/>
      <c r="AC1720" s="239"/>
      <c r="AD1720" s="239"/>
      <c r="AE1720" s="239"/>
      <c r="AF1720" s="239"/>
      <c r="AG1720" s="239"/>
      <c r="AH1720" s="239"/>
      <c r="AI1720" s="239"/>
      <c r="AJ1720" s="239"/>
    </row>
    <row r="1721">
      <c r="A1721" s="239"/>
      <c r="B1721" s="239"/>
      <c r="C1721" s="239"/>
      <c r="D1721" s="239"/>
      <c r="E1721" s="239"/>
      <c r="F1721" s="283"/>
      <c r="G1721" s="239"/>
      <c r="H1721" s="239"/>
      <c r="I1721" s="239"/>
      <c r="J1721" s="239"/>
      <c r="K1721" s="239"/>
      <c r="L1721" s="239"/>
      <c r="M1721" s="239"/>
      <c r="N1721" s="239"/>
      <c r="O1721" s="239"/>
      <c r="P1721" s="246"/>
      <c r="Q1721" s="239"/>
      <c r="R1721" s="239"/>
      <c r="S1721" s="239"/>
      <c r="T1721" s="239"/>
      <c r="U1721" s="239"/>
      <c r="V1721" s="239"/>
      <c r="W1721" s="246"/>
      <c r="X1721" s="239"/>
      <c r="Y1721" s="239"/>
      <c r="Z1721" s="239"/>
      <c r="AA1721" s="239"/>
      <c r="AB1721" s="239"/>
      <c r="AC1721" s="239"/>
      <c r="AD1721" s="239"/>
      <c r="AE1721" s="239"/>
      <c r="AF1721" s="239"/>
      <c r="AG1721" s="239"/>
      <c r="AH1721" s="239"/>
      <c r="AI1721" s="239"/>
      <c r="AJ1721" s="239"/>
    </row>
    <row r="1722">
      <c r="A1722" s="239"/>
      <c r="B1722" s="239"/>
      <c r="C1722" s="239"/>
      <c r="D1722" s="239"/>
      <c r="E1722" s="239"/>
      <c r="F1722" s="283"/>
      <c r="G1722" s="239"/>
      <c r="H1722" s="239"/>
      <c r="I1722" s="239"/>
      <c r="J1722" s="239"/>
      <c r="K1722" s="239"/>
      <c r="L1722" s="239"/>
      <c r="M1722" s="239"/>
      <c r="N1722" s="239"/>
      <c r="O1722" s="239"/>
      <c r="P1722" s="246"/>
      <c r="Q1722" s="239"/>
      <c r="R1722" s="239"/>
      <c r="S1722" s="239"/>
      <c r="T1722" s="239"/>
      <c r="U1722" s="239"/>
      <c r="V1722" s="239"/>
      <c r="W1722" s="246"/>
      <c r="X1722" s="239"/>
      <c r="Y1722" s="239"/>
      <c r="Z1722" s="239"/>
      <c r="AA1722" s="239"/>
      <c r="AB1722" s="239"/>
      <c r="AC1722" s="239"/>
      <c r="AD1722" s="239"/>
      <c r="AE1722" s="239"/>
      <c r="AF1722" s="239"/>
      <c r="AG1722" s="239"/>
      <c r="AH1722" s="239"/>
      <c r="AI1722" s="239"/>
      <c r="AJ1722" s="239"/>
    </row>
    <row r="1723">
      <c r="A1723" s="239"/>
      <c r="B1723" s="239"/>
      <c r="C1723" s="239"/>
      <c r="D1723" s="239"/>
      <c r="E1723" s="239"/>
      <c r="F1723" s="283"/>
      <c r="G1723" s="239"/>
      <c r="H1723" s="239"/>
      <c r="I1723" s="239"/>
      <c r="J1723" s="239"/>
      <c r="K1723" s="239"/>
      <c r="L1723" s="239"/>
      <c r="M1723" s="239"/>
      <c r="N1723" s="239"/>
      <c r="O1723" s="239"/>
      <c r="P1723" s="246"/>
      <c r="Q1723" s="239"/>
      <c r="R1723" s="239"/>
      <c r="S1723" s="239"/>
      <c r="T1723" s="239"/>
      <c r="U1723" s="239"/>
      <c r="V1723" s="239"/>
      <c r="W1723" s="246"/>
      <c r="X1723" s="239"/>
      <c r="Y1723" s="239"/>
      <c r="Z1723" s="239"/>
      <c r="AA1723" s="239"/>
      <c r="AB1723" s="239"/>
      <c r="AC1723" s="239"/>
      <c r="AD1723" s="239"/>
      <c r="AE1723" s="239"/>
      <c r="AF1723" s="239"/>
      <c r="AG1723" s="239"/>
      <c r="AH1723" s="239"/>
      <c r="AI1723" s="239"/>
      <c r="AJ1723" s="239"/>
    </row>
    <row r="1724">
      <c r="A1724" s="239"/>
      <c r="B1724" s="239"/>
      <c r="C1724" s="239"/>
      <c r="D1724" s="239"/>
      <c r="E1724" s="239"/>
      <c r="F1724" s="283"/>
      <c r="G1724" s="239"/>
      <c r="H1724" s="239"/>
      <c r="I1724" s="239"/>
      <c r="J1724" s="239"/>
      <c r="K1724" s="239"/>
      <c r="L1724" s="239"/>
      <c r="M1724" s="239"/>
      <c r="N1724" s="239"/>
      <c r="O1724" s="239"/>
      <c r="P1724" s="246"/>
      <c r="Q1724" s="239"/>
      <c r="R1724" s="239"/>
      <c r="S1724" s="239"/>
      <c r="T1724" s="239"/>
      <c r="U1724" s="239"/>
      <c r="V1724" s="239"/>
      <c r="W1724" s="246"/>
      <c r="X1724" s="239"/>
      <c r="Y1724" s="239"/>
      <c r="Z1724" s="239"/>
      <c r="AA1724" s="239"/>
      <c r="AB1724" s="239"/>
      <c r="AC1724" s="239"/>
      <c r="AD1724" s="239"/>
      <c r="AE1724" s="239"/>
      <c r="AF1724" s="239"/>
      <c r="AG1724" s="239"/>
      <c r="AH1724" s="239"/>
      <c r="AI1724" s="239"/>
      <c r="AJ1724" s="239"/>
    </row>
    <row r="1725">
      <c r="A1725" s="239"/>
      <c r="B1725" s="239"/>
      <c r="C1725" s="239"/>
      <c r="D1725" s="239"/>
      <c r="E1725" s="239"/>
      <c r="F1725" s="283"/>
      <c r="G1725" s="239"/>
      <c r="H1725" s="239"/>
      <c r="I1725" s="239"/>
      <c r="J1725" s="239"/>
      <c r="K1725" s="239"/>
      <c r="L1725" s="239"/>
      <c r="M1725" s="239"/>
      <c r="N1725" s="239"/>
      <c r="O1725" s="239"/>
      <c r="P1725" s="246"/>
      <c r="Q1725" s="239"/>
      <c r="R1725" s="239"/>
      <c r="S1725" s="239"/>
      <c r="T1725" s="239"/>
      <c r="U1725" s="239"/>
      <c r="V1725" s="239"/>
      <c r="W1725" s="246"/>
      <c r="X1725" s="239"/>
      <c r="Y1725" s="239"/>
      <c r="Z1725" s="239"/>
      <c r="AA1725" s="239"/>
      <c r="AB1725" s="239"/>
      <c r="AC1725" s="239"/>
      <c r="AD1725" s="239"/>
      <c r="AE1725" s="239"/>
      <c r="AF1725" s="239"/>
      <c r="AG1725" s="239"/>
      <c r="AH1725" s="239"/>
      <c r="AI1725" s="239"/>
      <c r="AJ1725" s="239"/>
    </row>
    <row r="1726">
      <c r="A1726" s="239"/>
      <c r="B1726" s="239"/>
      <c r="C1726" s="239"/>
      <c r="D1726" s="239"/>
      <c r="E1726" s="239"/>
      <c r="F1726" s="283"/>
      <c r="G1726" s="239"/>
      <c r="H1726" s="239"/>
      <c r="I1726" s="239"/>
      <c r="J1726" s="239"/>
      <c r="K1726" s="239"/>
      <c r="L1726" s="239"/>
      <c r="M1726" s="239"/>
      <c r="N1726" s="239"/>
      <c r="O1726" s="239"/>
      <c r="P1726" s="246"/>
      <c r="Q1726" s="239"/>
      <c r="R1726" s="239"/>
      <c r="S1726" s="239"/>
      <c r="T1726" s="239"/>
      <c r="U1726" s="239"/>
      <c r="V1726" s="239"/>
      <c r="W1726" s="246"/>
      <c r="X1726" s="239"/>
      <c r="Y1726" s="239"/>
      <c r="Z1726" s="239"/>
      <c r="AA1726" s="239"/>
      <c r="AB1726" s="239"/>
      <c r="AC1726" s="239"/>
      <c r="AD1726" s="239"/>
      <c r="AE1726" s="239"/>
      <c r="AF1726" s="239"/>
      <c r="AG1726" s="239"/>
      <c r="AH1726" s="239"/>
      <c r="AI1726" s="239"/>
      <c r="AJ1726" s="239"/>
    </row>
    <row r="1727">
      <c r="A1727" s="239"/>
      <c r="B1727" s="239"/>
      <c r="C1727" s="239"/>
      <c r="D1727" s="239"/>
      <c r="E1727" s="239"/>
      <c r="F1727" s="283"/>
      <c r="G1727" s="239"/>
      <c r="H1727" s="239"/>
      <c r="I1727" s="239"/>
      <c r="J1727" s="239"/>
      <c r="K1727" s="239"/>
      <c r="L1727" s="239"/>
      <c r="M1727" s="239"/>
      <c r="N1727" s="239"/>
      <c r="O1727" s="239"/>
      <c r="P1727" s="246"/>
      <c r="Q1727" s="239"/>
      <c r="R1727" s="239"/>
      <c r="S1727" s="239"/>
      <c r="T1727" s="239"/>
      <c r="U1727" s="239"/>
      <c r="V1727" s="239"/>
      <c r="W1727" s="246"/>
      <c r="X1727" s="239"/>
      <c r="Y1727" s="239"/>
      <c r="Z1727" s="239"/>
      <c r="AA1727" s="239"/>
      <c r="AB1727" s="239"/>
      <c r="AC1727" s="239"/>
      <c r="AD1727" s="239"/>
      <c r="AE1727" s="239"/>
      <c r="AF1727" s="239"/>
      <c r="AG1727" s="239"/>
      <c r="AH1727" s="239"/>
      <c r="AI1727" s="239"/>
      <c r="AJ1727" s="239"/>
    </row>
    <row r="1728">
      <c r="A1728" s="239"/>
      <c r="B1728" s="239"/>
      <c r="C1728" s="239"/>
      <c r="D1728" s="239"/>
      <c r="E1728" s="239"/>
      <c r="F1728" s="283"/>
      <c r="G1728" s="239"/>
      <c r="H1728" s="239"/>
      <c r="I1728" s="239"/>
      <c r="J1728" s="239"/>
      <c r="K1728" s="239"/>
      <c r="L1728" s="239"/>
      <c r="M1728" s="239"/>
      <c r="N1728" s="239"/>
      <c r="O1728" s="239"/>
      <c r="P1728" s="246"/>
      <c r="Q1728" s="239"/>
      <c r="R1728" s="239"/>
      <c r="S1728" s="239"/>
      <c r="T1728" s="239"/>
      <c r="U1728" s="239"/>
      <c r="V1728" s="239"/>
      <c r="W1728" s="246"/>
      <c r="X1728" s="239"/>
      <c r="Y1728" s="239"/>
      <c r="Z1728" s="239"/>
      <c r="AA1728" s="239"/>
      <c r="AB1728" s="239"/>
      <c r="AC1728" s="239"/>
      <c r="AD1728" s="239"/>
      <c r="AE1728" s="239"/>
      <c r="AF1728" s="239"/>
      <c r="AG1728" s="239"/>
      <c r="AH1728" s="239"/>
      <c r="AI1728" s="239"/>
      <c r="AJ1728" s="239"/>
    </row>
    <row r="1729">
      <c r="A1729" s="239"/>
      <c r="B1729" s="239"/>
      <c r="C1729" s="239"/>
      <c r="D1729" s="239"/>
      <c r="E1729" s="239"/>
      <c r="F1729" s="283"/>
      <c r="G1729" s="239"/>
      <c r="H1729" s="239"/>
      <c r="I1729" s="239"/>
      <c r="J1729" s="239"/>
      <c r="K1729" s="239"/>
      <c r="L1729" s="239"/>
      <c r="M1729" s="239"/>
      <c r="N1729" s="239"/>
      <c r="O1729" s="239"/>
      <c r="P1729" s="246"/>
      <c r="Q1729" s="239"/>
      <c r="R1729" s="239"/>
      <c r="S1729" s="239"/>
      <c r="T1729" s="239"/>
      <c r="U1729" s="239"/>
      <c r="V1729" s="239"/>
      <c r="W1729" s="246"/>
      <c r="X1729" s="239"/>
      <c r="Y1729" s="239"/>
      <c r="Z1729" s="239"/>
      <c r="AA1729" s="239"/>
      <c r="AB1729" s="239"/>
      <c r="AC1729" s="239"/>
      <c r="AD1729" s="239"/>
      <c r="AE1729" s="239"/>
      <c r="AF1729" s="239"/>
      <c r="AG1729" s="239"/>
      <c r="AH1729" s="239"/>
      <c r="AI1729" s="239"/>
      <c r="AJ1729" s="239"/>
    </row>
    <row r="1730">
      <c r="A1730" s="239"/>
      <c r="B1730" s="239"/>
      <c r="C1730" s="239"/>
      <c r="D1730" s="239"/>
      <c r="E1730" s="239"/>
      <c r="F1730" s="283"/>
      <c r="G1730" s="239"/>
      <c r="H1730" s="239"/>
      <c r="I1730" s="239"/>
      <c r="J1730" s="239"/>
      <c r="K1730" s="239"/>
      <c r="L1730" s="239"/>
      <c r="M1730" s="239"/>
      <c r="N1730" s="239"/>
      <c r="O1730" s="239"/>
      <c r="P1730" s="246"/>
      <c r="Q1730" s="239"/>
      <c r="R1730" s="239"/>
      <c r="S1730" s="239"/>
      <c r="T1730" s="239"/>
      <c r="U1730" s="239"/>
      <c r="V1730" s="239"/>
      <c r="W1730" s="246"/>
      <c r="X1730" s="239"/>
      <c r="Y1730" s="239"/>
      <c r="Z1730" s="239"/>
      <c r="AA1730" s="239"/>
      <c r="AB1730" s="239"/>
      <c r="AC1730" s="239"/>
      <c r="AD1730" s="239"/>
      <c r="AE1730" s="239"/>
      <c r="AF1730" s="239"/>
      <c r="AG1730" s="239"/>
      <c r="AH1730" s="239"/>
      <c r="AI1730" s="239"/>
      <c r="AJ1730" s="239"/>
    </row>
    <row r="1731">
      <c r="A1731" s="239"/>
      <c r="B1731" s="239"/>
      <c r="C1731" s="239"/>
      <c r="D1731" s="239"/>
      <c r="E1731" s="239"/>
      <c r="F1731" s="283"/>
      <c r="G1731" s="239"/>
      <c r="H1731" s="239"/>
      <c r="I1731" s="239"/>
      <c r="J1731" s="239"/>
      <c r="K1731" s="239"/>
      <c r="L1731" s="239"/>
      <c r="M1731" s="239"/>
      <c r="N1731" s="239"/>
      <c r="O1731" s="239"/>
      <c r="P1731" s="246"/>
      <c r="Q1731" s="239"/>
      <c r="R1731" s="239"/>
      <c r="S1731" s="239"/>
      <c r="T1731" s="239"/>
      <c r="U1731" s="239"/>
      <c r="V1731" s="239"/>
      <c r="W1731" s="246"/>
      <c r="X1731" s="239"/>
      <c r="Y1731" s="239"/>
      <c r="Z1731" s="239"/>
      <c r="AA1731" s="239"/>
      <c r="AB1731" s="239"/>
      <c r="AC1731" s="239"/>
      <c r="AD1731" s="239"/>
      <c r="AE1731" s="239"/>
      <c r="AF1731" s="239"/>
      <c r="AG1731" s="239"/>
      <c r="AH1731" s="239"/>
      <c r="AI1731" s="239"/>
      <c r="AJ1731" s="239"/>
    </row>
    <row r="1732">
      <c r="A1732" s="239"/>
      <c r="B1732" s="239"/>
      <c r="C1732" s="239"/>
      <c r="D1732" s="239"/>
      <c r="E1732" s="239"/>
      <c r="F1732" s="283"/>
      <c r="G1732" s="239"/>
      <c r="H1732" s="239"/>
      <c r="I1732" s="239"/>
      <c r="J1732" s="239"/>
      <c r="K1732" s="239"/>
      <c r="L1732" s="239"/>
      <c r="M1732" s="239"/>
      <c r="N1732" s="239"/>
      <c r="O1732" s="239"/>
      <c r="P1732" s="246"/>
      <c r="Q1732" s="239"/>
      <c r="R1732" s="239"/>
      <c r="S1732" s="239"/>
      <c r="T1732" s="239"/>
      <c r="U1732" s="239"/>
      <c r="V1732" s="239"/>
      <c r="W1732" s="246"/>
      <c r="X1732" s="239"/>
      <c r="Y1732" s="239"/>
      <c r="Z1732" s="239"/>
      <c r="AA1732" s="239"/>
      <c r="AB1732" s="239"/>
      <c r="AC1732" s="239"/>
      <c r="AD1732" s="239"/>
      <c r="AE1732" s="239"/>
      <c r="AF1732" s="239"/>
      <c r="AG1732" s="239"/>
      <c r="AH1732" s="239"/>
      <c r="AI1732" s="239"/>
      <c r="AJ1732" s="239"/>
    </row>
    <row r="1733">
      <c r="A1733" s="239"/>
      <c r="B1733" s="239"/>
      <c r="C1733" s="239"/>
      <c r="D1733" s="239"/>
      <c r="E1733" s="239"/>
      <c r="F1733" s="283"/>
      <c r="G1733" s="239"/>
      <c r="H1733" s="239"/>
      <c r="I1733" s="239"/>
      <c r="J1733" s="239"/>
      <c r="K1733" s="239"/>
      <c r="L1733" s="239"/>
      <c r="M1733" s="239"/>
      <c r="N1733" s="239"/>
      <c r="O1733" s="239"/>
      <c r="P1733" s="246"/>
      <c r="Q1733" s="239"/>
      <c r="R1733" s="239"/>
      <c r="S1733" s="239"/>
      <c r="T1733" s="239"/>
      <c r="U1733" s="239"/>
      <c r="V1733" s="239"/>
      <c r="W1733" s="246"/>
      <c r="X1733" s="239"/>
      <c r="Y1733" s="239"/>
      <c r="Z1733" s="239"/>
      <c r="AA1733" s="239"/>
      <c r="AB1733" s="239"/>
      <c r="AC1733" s="239"/>
      <c r="AD1733" s="239"/>
      <c r="AE1733" s="239"/>
      <c r="AF1733" s="239"/>
      <c r="AG1733" s="239"/>
      <c r="AH1733" s="239"/>
      <c r="AI1733" s="239"/>
      <c r="AJ1733" s="239"/>
    </row>
    <row r="1734">
      <c r="A1734" s="239"/>
      <c r="B1734" s="239"/>
      <c r="C1734" s="239"/>
      <c r="D1734" s="239"/>
      <c r="E1734" s="239"/>
      <c r="F1734" s="283"/>
      <c r="G1734" s="239"/>
      <c r="H1734" s="239"/>
      <c r="I1734" s="239"/>
      <c r="J1734" s="239"/>
      <c r="K1734" s="239"/>
      <c r="L1734" s="239"/>
      <c r="M1734" s="239"/>
      <c r="N1734" s="239"/>
      <c r="O1734" s="239"/>
      <c r="P1734" s="246"/>
      <c r="Q1734" s="239"/>
      <c r="R1734" s="239"/>
      <c r="S1734" s="239"/>
      <c r="T1734" s="239"/>
      <c r="U1734" s="239"/>
      <c r="V1734" s="239"/>
      <c r="W1734" s="246"/>
      <c r="X1734" s="239"/>
      <c r="Y1734" s="239"/>
      <c r="Z1734" s="239"/>
      <c r="AA1734" s="239"/>
      <c r="AB1734" s="239"/>
      <c r="AC1734" s="239"/>
      <c r="AD1734" s="239"/>
      <c r="AE1734" s="239"/>
      <c r="AF1734" s="239"/>
      <c r="AG1734" s="239"/>
      <c r="AH1734" s="239"/>
      <c r="AI1734" s="239"/>
      <c r="AJ1734" s="239"/>
    </row>
    <row r="1735">
      <c r="A1735" s="239"/>
      <c r="B1735" s="239"/>
      <c r="C1735" s="239"/>
      <c r="D1735" s="239"/>
      <c r="E1735" s="239"/>
      <c r="F1735" s="283"/>
      <c r="G1735" s="239"/>
      <c r="H1735" s="239"/>
      <c r="I1735" s="239"/>
      <c r="J1735" s="239"/>
      <c r="K1735" s="239"/>
      <c r="L1735" s="239"/>
      <c r="M1735" s="239"/>
      <c r="N1735" s="239"/>
      <c r="O1735" s="239"/>
      <c r="P1735" s="246"/>
      <c r="Q1735" s="239"/>
      <c r="R1735" s="239"/>
      <c r="S1735" s="239"/>
      <c r="T1735" s="239"/>
      <c r="U1735" s="239"/>
      <c r="V1735" s="239"/>
      <c r="W1735" s="246"/>
      <c r="X1735" s="239"/>
      <c r="Y1735" s="239"/>
      <c r="Z1735" s="239"/>
      <c r="AA1735" s="239"/>
      <c r="AB1735" s="239"/>
      <c r="AC1735" s="239"/>
      <c r="AD1735" s="239"/>
      <c r="AE1735" s="239"/>
      <c r="AF1735" s="239"/>
      <c r="AG1735" s="239"/>
      <c r="AH1735" s="239"/>
      <c r="AI1735" s="239"/>
      <c r="AJ1735" s="239"/>
    </row>
    <row r="1736">
      <c r="A1736" s="239"/>
      <c r="B1736" s="239"/>
      <c r="C1736" s="239"/>
      <c r="D1736" s="239"/>
      <c r="E1736" s="239"/>
      <c r="F1736" s="283"/>
      <c r="G1736" s="239"/>
      <c r="H1736" s="239"/>
      <c r="I1736" s="239"/>
      <c r="J1736" s="239"/>
      <c r="K1736" s="239"/>
      <c r="L1736" s="239"/>
      <c r="M1736" s="239"/>
      <c r="N1736" s="239"/>
      <c r="O1736" s="239"/>
      <c r="P1736" s="246"/>
      <c r="Q1736" s="239"/>
      <c r="R1736" s="239"/>
      <c r="S1736" s="239"/>
      <c r="T1736" s="239"/>
      <c r="U1736" s="239"/>
      <c r="V1736" s="239"/>
      <c r="W1736" s="246"/>
      <c r="X1736" s="239"/>
      <c r="Y1736" s="239"/>
      <c r="Z1736" s="239"/>
      <c r="AA1736" s="239"/>
      <c r="AB1736" s="239"/>
      <c r="AC1736" s="239"/>
      <c r="AD1736" s="239"/>
      <c r="AE1736" s="239"/>
      <c r="AF1736" s="239"/>
      <c r="AG1736" s="239"/>
      <c r="AH1736" s="239"/>
      <c r="AI1736" s="239"/>
      <c r="AJ1736" s="239"/>
    </row>
    <row r="1737">
      <c r="A1737" s="239"/>
      <c r="B1737" s="239"/>
      <c r="C1737" s="239"/>
      <c r="D1737" s="239"/>
      <c r="E1737" s="239"/>
      <c r="F1737" s="283"/>
      <c r="G1737" s="239"/>
      <c r="H1737" s="239"/>
      <c r="I1737" s="239"/>
      <c r="J1737" s="239"/>
      <c r="K1737" s="239"/>
      <c r="L1737" s="239"/>
      <c r="M1737" s="239"/>
      <c r="N1737" s="239"/>
      <c r="O1737" s="239"/>
      <c r="P1737" s="246"/>
      <c r="Q1737" s="239"/>
      <c r="R1737" s="239"/>
      <c r="S1737" s="239"/>
      <c r="T1737" s="239"/>
      <c r="U1737" s="239"/>
      <c r="V1737" s="239"/>
      <c r="W1737" s="246"/>
      <c r="X1737" s="239"/>
      <c r="Y1737" s="239"/>
      <c r="Z1737" s="239"/>
      <c r="AA1737" s="239"/>
      <c r="AB1737" s="239"/>
      <c r="AC1737" s="239"/>
      <c r="AD1737" s="239"/>
      <c r="AE1737" s="239"/>
      <c r="AF1737" s="239"/>
      <c r="AG1737" s="239"/>
      <c r="AH1737" s="239"/>
      <c r="AI1737" s="239"/>
      <c r="AJ1737" s="239"/>
    </row>
    <row r="1738">
      <c r="A1738" s="239"/>
      <c r="B1738" s="239"/>
      <c r="C1738" s="239"/>
      <c r="D1738" s="239"/>
      <c r="E1738" s="239"/>
      <c r="F1738" s="283"/>
      <c r="G1738" s="239"/>
      <c r="H1738" s="239"/>
      <c r="I1738" s="239"/>
      <c r="J1738" s="239"/>
      <c r="K1738" s="239"/>
      <c r="L1738" s="239"/>
      <c r="M1738" s="239"/>
      <c r="N1738" s="239"/>
      <c r="O1738" s="239"/>
      <c r="P1738" s="246"/>
      <c r="Q1738" s="239"/>
      <c r="R1738" s="239"/>
      <c r="S1738" s="239"/>
      <c r="T1738" s="239"/>
      <c r="U1738" s="239"/>
      <c r="V1738" s="239"/>
      <c r="W1738" s="246"/>
      <c r="X1738" s="239"/>
      <c r="Y1738" s="239"/>
      <c r="Z1738" s="239"/>
      <c r="AA1738" s="239"/>
      <c r="AB1738" s="239"/>
      <c r="AC1738" s="239"/>
      <c r="AD1738" s="239"/>
      <c r="AE1738" s="239"/>
      <c r="AF1738" s="239"/>
      <c r="AG1738" s="239"/>
      <c r="AH1738" s="239"/>
      <c r="AI1738" s="239"/>
      <c r="AJ1738" s="239"/>
    </row>
    <row r="1739">
      <c r="A1739" s="239"/>
      <c r="B1739" s="239"/>
      <c r="C1739" s="239"/>
      <c r="D1739" s="239"/>
      <c r="E1739" s="239"/>
      <c r="F1739" s="283"/>
      <c r="G1739" s="239"/>
      <c r="H1739" s="239"/>
      <c r="I1739" s="239"/>
      <c r="J1739" s="239"/>
      <c r="K1739" s="239"/>
      <c r="L1739" s="239"/>
      <c r="M1739" s="239"/>
      <c r="N1739" s="239"/>
      <c r="O1739" s="239"/>
      <c r="P1739" s="246"/>
      <c r="Q1739" s="239"/>
      <c r="R1739" s="239"/>
      <c r="S1739" s="239"/>
      <c r="T1739" s="239"/>
      <c r="U1739" s="239"/>
      <c r="V1739" s="239"/>
      <c r="W1739" s="246"/>
      <c r="X1739" s="239"/>
      <c r="Y1739" s="239"/>
      <c r="Z1739" s="239"/>
      <c r="AA1739" s="239"/>
      <c r="AB1739" s="239"/>
      <c r="AC1739" s="239"/>
      <c r="AD1739" s="239"/>
      <c r="AE1739" s="239"/>
      <c r="AF1739" s="239"/>
      <c r="AG1739" s="239"/>
      <c r="AH1739" s="239"/>
      <c r="AI1739" s="239"/>
      <c r="AJ1739" s="239"/>
    </row>
    <row r="1740">
      <c r="A1740" s="239"/>
      <c r="B1740" s="239"/>
      <c r="C1740" s="239"/>
      <c r="D1740" s="239"/>
      <c r="E1740" s="239"/>
      <c r="F1740" s="283"/>
      <c r="G1740" s="239"/>
      <c r="H1740" s="239"/>
      <c r="I1740" s="239"/>
      <c r="J1740" s="239"/>
      <c r="K1740" s="239"/>
      <c r="L1740" s="239"/>
      <c r="M1740" s="239"/>
      <c r="N1740" s="239"/>
      <c r="O1740" s="239"/>
      <c r="P1740" s="246"/>
      <c r="Q1740" s="239"/>
      <c r="R1740" s="239"/>
      <c r="S1740" s="239"/>
      <c r="T1740" s="239"/>
      <c r="U1740" s="239"/>
      <c r="V1740" s="239"/>
      <c r="W1740" s="246"/>
      <c r="X1740" s="239"/>
      <c r="Y1740" s="239"/>
      <c r="Z1740" s="239"/>
      <c r="AA1740" s="239"/>
      <c r="AB1740" s="239"/>
      <c r="AC1740" s="239"/>
      <c r="AD1740" s="239"/>
      <c r="AE1740" s="239"/>
      <c r="AF1740" s="239"/>
      <c r="AG1740" s="239"/>
      <c r="AH1740" s="239"/>
      <c r="AI1740" s="239"/>
      <c r="AJ1740" s="239"/>
    </row>
    <row r="1741">
      <c r="A1741" s="239"/>
      <c r="B1741" s="239"/>
      <c r="C1741" s="239"/>
      <c r="D1741" s="239"/>
      <c r="E1741" s="239"/>
      <c r="F1741" s="283"/>
      <c r="G1741" s="239"/>
      <c r="H1741" s="239"/>
      <c r="I1741" s="239"/>
      <c r="J1741" s="239"/>
      <c r="K1741" s="239"/>
      <c r="L1741" s="239"/>
      <c r="M1741" s="239"/>
      <c r="N1741" s="239"/>
      <c r="O1741" s="239"/>
      <c r="P1741" s="246"/>
      <c r="Q1741" s="239"/>
      <c r="R1741" s="239"/>
      <c r="S1741" s="239"/>
      <c r="T1741" s="239"/>
      <c r="U1741" s="239"/>
      <c r="V1741" s="239"/>
      <c r="W1741" s="246"/>
      <c r="X1741" s="239"/>
      <c r="Y1741" s="239"/>
      <c r="Z1741" s="239"/>
      <c r="AA1741" s="239"/>
      <c r="AB1741" s="239"/>
      <c r="AC1741" s="239"/>
      <c r="AD1741" s="239"/>
      <c r="AE1741" s="239"/>
      <c r="AF1741" s="239"/>
      <c r="AG1741" s="239"/>
      <c r="AH1741" s="239"/>
      <c r="AI1741" s="239"/>
      <c r="AJ1741" s="239"/>
    </row>
    <row r="1742">
      <c r="A1742" s="239"/>
      <c r="B1742" s="239"/>
      <c r="C1742" s="239"/>
      <c r="D1742" s="239"/>
      <c r="E1742" s="239"/>
      <c r="F1742" s="283"/>
      <c r="G1742" s="239"/>
      <c r="H1742" s="239"/>
      <c r="I1742" s="239"/>
      <c r="J1742" s="239"/>
      <c r="K1742" s="239"/>
      <c r="L1742" s="239"/>
      <c r="M1742" s="239"/>
      <c r="N1742" s="239"/>
      <c r="O1742" s="239"/>
      <c r="P1742" s="246"/>
      <c r="Q1742" s="239"/>
      <c r="R1742" s="239"/>
      <c r="S1742" s="239"/>
      <c r="T1742" s="239"/>
      <c r="U1742" s="239"/>
      <c r="V1742" s="239"/>
      <c r="W1742" s="246"/>
      <c r="X1742" s="239"/>
      <c r="Y1742" s="239"/>
      <c r="Z1742" s="239"/>
      <c r="AA1742" s="239"/>
      <c r="AB1742" s="239"/>
      <c r="AC1742" s="239"/>
      <c r="AD1742" s="239"/>
      <c r="AE1742" s="239"/>
      <c r="AF1742" s="239"/>
      <c r="AG1742" s="239"/>
      <c r="AH1742" s="239"/>
      <c r="AI1742" s="239"/>
      <c r="AJ1742" s="239"/>
    </row>
    <row r="1743">
      <c r="A1743" s="239"/>
      <c r="B1743" s="239"/>
      <c r="C1743" s="239"/>
      <c r="D1743" s="239"/>
      <c r="E1743" s="239"/>
      <c r="F1743" s="283"/>
      <c r="G1743" s="239"/>
      <c r="H1743" s="239"/>
      <c r="I1743" s="239"/>
      <c r="J1743" s="239"/>
      <c r="K1743" s="239"/>
      <c r="L1743" s="239"/>
      <c r="M1743" s="239"/>
      <c r="N1743" s="239"/>
      <c r="O1743" s="239"/>
      <c r="P1743" s="246"/>
      <c r="Q1743" s="239"/>
      <c r="R1743" s="239"/>
      <c r="S1743" s="239"/>
      <c r="T1743" s="239"/>
      <c r="U1743" s="239"/>
      <c r="V1743" s="239"/>
      <c r="W1743" s="246"/>
      <c r="X1743" s="239"/>
      <c r="Y1743" s="239"/>
      <c r="Z1743" s="239"/>
      <c r="AA1743" s="239"/>
      <c r="AB1743" s="239"/>
      <c r="AC1743" s="239"/>
      <c r="AD1743" s="239"/>
      <c r="AE1743" s="239"/>
      <c r="AF1743" s="239"/>
      <c r="AG1743" s="239"/>
      <c r="AH1743" s="239"/>
      <c r="AI1743" s="239"/>
      <c r="AJ1743" s="239"/>
    </row>
    <row r="1744">
      <c r="A1744" s="239"/>
      <c r="B1744" s="239"/>
      <c r="C1744" s="239"/>
      <c r="D1744" s="239"/>
      <c r="E1744" s="239"/>
      <c r="F1744" s="283"/>
      <c r="G1744" s="239"/>
      <c r="H1744" s="239"/>
      <c r="I1744" s="239"/>
      <c r="J1744" s="239"/>
      <c r="K1744" s="239"/>
      <c r="L1744" s="239"/>
      <c r="M1744" s="239"/>
      <c r="N1744" s="239"/>
      <c r="O1744" s="239"/>
      <c r="P1744" s="246"/>
      <c r="Q1744" s="239"/>
      <c r="R1744" s="239"/>
      <c r="S1744" s="239"/>
      <c r="T1744" s="239"/>
      <c r="U1744" s="239"/>
      <c r="V1744" s="239"/>
      <c r="W1744" s="246"/>
      <c r="X1744" s="239"/>
      <c r="Y1744" s="239"/>
      <c r="Z1744" s="239"/>
      <c r="AA1744" s="239"/>
      <c r="AB1744" s="239"/>
      <c r="AC1744" s="239"/>
      <c r="AD1744" s="239"/>
      <c r="AE1744" s="239"/>
      <c r="AF1744" s="239"/>
      <c r="AG1744" s="239"/>
      <c r="AH1744" s="239"/>
      <c r="AI1744" s="239"/>
      <c r="AJ1744" s="239"/>
    </row>
    <row r="1745">
      <c r="A1745" s="239"/>
      <c r="B1745" s="239"/>
      <c r="C1745" s="239"/>
      <c r="D1745" s="239"/>
      <c r="E1745" s="239"/>
      <c r="F1745" s="283"/>
      <c r="G1745" s="239"/>
      <c r="H1745" s="239"/>
      <c r="I1745" s="239"/>
      <c r="J1745" s="239"/>
      <c r="K1745" s="239"/>
      <c r="L1745" s="239"/>
      <c r="M1745" s="239"/>
      <c r="N1745" s="239"/>
      <c r="O1745" s="239"/>
      <c r="P1745" s="246"/>
      <c r="Q1745" s="239"/>
      <c r="R1745" s="239"/>
      <c r="S1745" s="239"/>
      <c r="T1745" s="239"/>
      <c r="U1745" s="239"/>
      <c r="V1745" s="239"/>
      <c r="W1745" s="246"/>
      <c r="X1745" s="239"/>
      <c r="Y1745" s="239"/>
      <c r="Z1745" s="239"/>
      <c r="AA1745" s="239"/>
      <c r="AB1745" s="239"/>
      <c r="AC1745" s="239"/>
      <c r="AD1745" s="239"/>
      <c r="AE1745" s="239"/>
      <c r="AF1745" s="239"/>
      <c r="AG1745" s="239"/>
      <c r="AH1745" s="239"/>
      <c r="AI1745" s="239"/>
      <c r="AJ1745" s="239"/>
    </row>
    <row r="1746">
      <c r="A1746" s="239"/>
      <c r="B1746" s="239"/>
      <c r="C1746" s="239"/>
      <c r="D1746" s="239"/>
      <c r="E1746" s="239"/>
      <c r="F1746" s="283"/>
      <c r="G1746" s="239"/>
      <c r="H1746" s="239"/>
      <c r="I1746" s="239"/>
      <c r="J1746" s="239"/>
      <c r="K1746" s="239"/>
      <c r="L1746" s="239"/>
      <c r="M1746" s="239"/>
      <c r="N1746" s="239"/>
      <c r="O1746" s="239"/>
      <c r="P1746" s="246"/>
      <c r="Q1746" s="239"/>
      <c r="R1746" s="239"/>
      <c r="S1746" s="239"/>
      <c r="T1746" s="239"/>
      <c r="U1746" s="239"/>
      <c r="V1746" s="239"/>
      <c r="W1746" s="246"/>
      <c r="X1746" s="239"/>
      <c r="Y1746" s="239"/>
      <c r="Z1746" s="239"/>
      <c r="AA1746" s="239"/>
      <c r="AB1746" s="239"/>
      <c r="AC1746" s="239"/>
      <c r="AD1746" s="239"/>
      <c r="AE1746" s="239"/>
      <c r="AF1746" s="239"/>
      <c r="AG1746" s="239"/>
      <c r="AH1746" s="239"/>
      <c r="AI1746" s="239"/>
      <c r="AJ1746" s="239"/>
    </row>
    <row r="1747">
      <c r="A1747" s="239"/>
      <c r="B1747" s="239"/>
      <c r="C1747" s="239"/>
      <c r="D1747" s="239"/>
      <c r="E1747" s="239"/>
      <c r="F1747" s="283"/>
      <c r="G1747" s="239"/>
      <c r="H1747" s="239"/>
      <c r="I1747" s="239"/>
      <c r="J1747" s="239"/>
      <c r="K1747" s="239"/>
      <c r="L1747" s="239"/>
      <c r="M1747" s="239"/>
      <c r="N1747" s="239"/>
      <c r="O1747" s="239"/>
      <c r="P1747" s="246"/>
      <c r="Q1747" s="239"/>
      <c r="R1747" s="239"/>
      <c r="S1747" s="239"/>
      <c r="T1747" s="239"/>
      <c r="U1747" s="239"/>
      <c r="V1747" s="239"/>
      <c r="W1747" s="246"/>
      <c r="X1747" s="239"/>
      <c r="Y1747" s="239"/>
      <c r="Z1747" s="239"/>
      <c r="AA1747" s="239"/>
      <c r="AB1747" s="239"/>
      <c r="AC1747" s="239"/>
      <c r="AD1747" s="239"/>
      <c r="AE1747" s="239"/>
      <c r="AF1747" s="239"/>
      <c r="AG1747" s="239"/>
      <c r="AH1747" s="239"/>
      <c r="AI1747" s="239"/>
      <c r="AJ1747" s="239"/>
    </row>
    <row r="1748">
      <c r="A1748" s="239"/>
      <c r="B1748" s="239"/>
      <c r="C1748" s="239"/>
      <c r="D1748" s="239"/>
      <c r="E1748" s="239"/>
      <c r="F1748" s="283"/>
      <c r="G1748" s="239"/>
      <c r="H1748" s="239"/>
      <c r="I1748" s="239"/>
      <c r="J1748" s="239"/>
      <c r="K1748" s="239"/>
      <c r="L1748" s="239"/>
      <c r="M1748" s="239"/>
      <c r="N1748" s="239"/>
      <c r="O1748" s="239"/>
      <c r="P1748" s="246"/>
      <c r="Q1748" s="239"/>
      <c r="R1748" s="239"/>
      <c r="S1748" s="239"/>
      <c r="T1748" s="239"/>
      <c r="U1748" s="239"/>
      <c r="V1748" s="239"/>
      <c r="W1748" s="246"/>
      <c r="X1748" s="239"/>
      <c r="Y1748" s="239"/>
      <c r="Z1748" s="239"/>
      <c r="AA1748" s="239"/>
      <c r="AB1748" s="239"/>
      <c r="AC1748" s="239"/>
      <c r="AD1748" s="239"/>
      <c r="AE1748" s="239"/>
      <c r="AF1748" s="239"/>
      <c r="AG1748" s="239"/>
      <c r="AH1748" s="239"/>
      <c r="AI1748" s="239"/>
      <c r="AJ1748" s="239"/>
    </row>
    <row r="1749">
      <c r="A1749" s="239"/>
      <c r="B1749" s="239"/>
      <c r="C1749" s="239"/>
      <c r="D1749" s="239"/>
      <c r="E1749" s="239"/>
      <c r="F1749" s="283"/>
      <c r="G1749" s="239"/>
      <c r="H1749" s="239"/>
      <c r="I1749" s="239"/>
      <c r="J1749" s="239"/>
      <c r="K1749" s="239"/>
      <c r="L1749" s="239"/>
      <c r="M1749" s="239"/>
      <c r="N1749" s="239"/>
      <c r="O1749" s="239"/>
      <c r="P1749" s="246"/>
      <c r="Q1749" s="239"/>
      <c r="R1749" s="239"/>
      <c r="S1749" s="239"/>
      <c r="T1749" s="239"/>
      <c r="U1749" s="239"/>
      <c r="V1749" s="239"/>
      <c r="W1749" s="246"/>
      <c r="X1749" s="239"/>
      <c r="Y1749" s="239"/>
      <c r="Z1749" s="239"/>
      <c r="AA1749" s="239"/>
      <c r="AB1749" s="239"/>
      <c r="AC1749" s="239"/>
      <c r="AD1749" s="239"/>
      <c r="AE1749" s="239"/>
      <c r="AF1749" s="239"/>
      <c r="AG1749" s="239"/>
      <c r="AH1749" s="239"/>
      <c r="AI1749" s="239"/>
      <c r="AJ1749" s="239"/>
    </row>
    <row r="1750">
      <c r="A1750" s="239"/>
      <c r="B1750" s="239"/>
      <c r="C1750" s="239"/>
      <c r="D1750" s="239"/>
      <c r="E1750" s="239"/>
      <c r="F1750" s="283"/>
      <c r="G1750" s="239"/>
      <c r="H1750" s="239"/>
      <c r="I1750" s="239"/>
      <c r="J1750" s="239"/>
      <c r="K1750" s="239"/>
      <c r="L1750" s="239"/>
      <c r="M1750" s="239"/>
      <c r="N1750" s="239"/>
      <c r="O1750" s="239"/>
      <c r="P1750" s="246"/>
      <c r="Q1750" s="239"/>
      <c r="R1750" s="239"/>
      <c r="S1750" s="239"/>
      <c r="T1750" s="239"/>
      <c r="U1750" s="239"/>
      <c r="V1750" s="239"/>
      <c r="W1750" s="246"/>
      <c r="X1750" s="239"/>
      <c r="Y1750" s="239"/>
      <c r="Z1750" s="239"/>
      <c r="AA1750" s="239"/>
      <c r="AB1750" s="239"/>
      <c r="AC1750" s="239"/>
      <c r="AD1750" s="239"/>
      <c r="AE1750" s="239"/>
      <c r="AF1750" s="239"/>
      <c r="AG1750" s="239"/>
      <c r="AH1750" s="239"/>
      <c r="AI1750" s="239"/>
      <c r="AJ1750" s="239"/>
    </row>
    <row r="1751">
      <c r="A1751" s="239"/>
      <c r="B1751" s="239"/>
      <c r="C1751" s="239"/>
      <c r="D1751" s="239"/>
      <c r="E1751" s="239"/>
      <c r="F1751" s="283"/>
      <c r="G1751" s="239"/>
      <c r="H1751" s="239"/>
      <c r="I1751" s="239"/>
      <c r="J1751" s="239"/>
      <c r="K1751" s="239"/>
      <c r="L1751" s="239"/>
      <c r="M1751" s="239"/>
      <c r="N1751" s="239"/>
      <c r="O1751" s="239"/>
      <c r="P1751" s="246"/>
      <c r="Q1751" s="239"/>
      <c r="R1751" s="239"/>
      <c r="S1751" s="239"/>
      <c r="T1751" s="239"/>
      <c r="U1751" s="239"/>
      <c r="V1751" s="239"/>
      <c r="W1751" s="246"/>
      <c r="X1751" s="239"/>
      <c r="Y1751" s="239"/>
      <c r="Z1751" s="239"/>
      <c r="AA1751" s="239"/>
      <c r="AB1751" s="239"/>
      <c r="AC1751" s="239"/>
      <c r="AD1751" s="239"/>
      <c r="AE1751" s="239"/>
      <c r="AF1751" s="239"/>
      <c r="AG1751" s="239"/>
      <c r="AH1751" s="239"/>
      <c r="AI1751" s="239"/>
      <c r="AJ1751" s="239"/>
    </row>
    <row r="1752">
      <c r="A1752" s="239"/>
      <c r="B1752" s="239"/>
      <c r="C1752" s="239"/>
      <c r="D1752" s="239"/>
      <c r="E1752" s="239"/>
      <c r="F1752" s="283"/>
      <c r="G1752" s="239"/>
      <c r="H1752" s="239"/>
      <c r="I1752" s="239"/>
      <c r="J1752" s="239"/>
      <c r="K1752" s="239"/>
      <c r="L1752" s="239"/>
      <c r="M1752" s="239"/>
      <c r="N1752" s="239"/>
      <c r="O1752" s="239"/>
      <c r="P1752" s="246"/>
      <c r="Q1752" s="239"/>
      <c r="R1752" s="239"/>
      <c r="S1752" s="239"/>
      <c r="T1752" s="239"/>
      <c r="U1752" s="239"/>
      <c r="V1752" s="239"/>
      <c r="W1752" s="246"/>
      <c r="X1752" s="239"/>
      <c r="Y1752" s="239"/>
      <c r="Z1752" s="239"/>
      <c r="AA1752" s="239"/>
      <c r="AB1752" s="239"/>
      <c r="AC1752" s="239"/>
      <c r="AD1752" s="239"/>
      <c r="AE1752" s="239"/>
      <c r="AF1752" s="239"/>
      <c r="AG1752" s="239"/>
      <c r="AH1752" s="239"/>
      <c r="AI1752" s="239"/>
      <c r="AJ1752" s="239"/>
    </row>
    <row r="1753">
      <c r="A1753" s="239"/>
      <c r="B1753" s="239"/>
      <c r="C1753" s="239"/>
      <c r="D1753" s="239"/>
      <c r="E1753" s="239"/>
      <c r="F1753" s="283"/>
      <c r="G1753" s="239"/>
      <c r="H1753" s="239"/>
      <c r="I1753" s="239"/>
      <c r="J1753" s="239"/>
      <c r="K1753" s="239"/>
      <c r="L1753" s="239"/>
      <c r="M1753" s="239"/>
      <c r="N1753" s="239"/>
      <c r="O1753" s="239"/>
      <c r="P1753" s="246"/>
      <c r="Q1753" s="239"/>
      <c r="R1753" s="239"/>
      <c r="S1753" s="239"/>
      <c r="T1753" s="239"/>
      <c r="U1753" s="239"/>
      <c r="V1753" s="239"/>
      <c r="W1753" s="246"/>
      <c r="X1753" s="239"/>
      <c r="Y1753" s="239"/>
      <c r="Z1753" s="239"/>
      <c r="AA1753" s="239"/>
      <c r="AB1753" s="239"/>
      <c r="AC1753" s="239"/>
      <c r="AD1753" s="239"/>
      <c r="AE1753" s="239"/>
      <c r="AF1753" s="239"/>
      <c r="AG1753" s="239"/>
      <c r="AH1753" s="239"/>
      <c r="AI1753" s="239"/>
      <c r="AJ1753" s="239"/>
    </row>
    <row r="1754">
      <c r="A1754" s="239"/>
      <c r="B1754" s="239"/>
      <c r="C1754" s="239"/>
      <c r="D1754" s="239"/>
      <c r="E1754" s="239"/>
      <c r="F1754" s="283"/>
      <c r="G1754" s="239"/>
      <c r="H1754" s="239"/>
      <c r="I1754" s="239"/>
      <c r="J1754" s="239"/>
      <c r="K1754" s="239"/>
      <c r="L1754" s="239"/>
      <c r="M1754" s="239"/>
      <c r="N1754" s="239"/>
      <c r="O1754" s="239"/>
      <c r="P1754" s="246"/>
      <c r="Q1754" s="239"/>
      <c r="R1754" s="239"/>
      <c r="S1754" s="239"/>
      <c r="T1754" s="239"/>
      <c r="U1754" s="239"/>
      <c r="V1754" s="239"/>
      <c r="W1754" s="246"/>
      <c r="X1754" s="239"/>
      <c r="Y1754" s="239"/>
      <c r="Z1754" s="239"/>
      <c r="AA1754" s="239"/>
      <c r="AB1754" s="239"/>
      <c r="AC1754" s="239"/>
      <c r="AD1754" s="239"/>
      <c r="AE1754" s="239"/>
      <c r="AF1754" s="239"/>
      <c r="AG1754" s="239"/>
      <c r="AH1754" s="239"/>
      <c r="AI1754" s="239"/>
      <c r="AJ1754" s="239"/>
    </row>
    <row r="1755">
      <c r="A1755" s="239"/>
      <c r="B1755" s="239"/>
      <c r="C1755" s="239"/>
      <c r="D1755" s="239"/>
      <c r="E1755" s="239"/>
      <c r="F1755" s="283"/>
      <c r="G1755" s="239"/>
      <c r="H1755" s="239"/>
      <c r="I1755" s="239"/>
      <c r="J1755" s="239"/>
      <c r="K1755" s="239"/>
      <c r="L1755" s="239"/>
      <c r="M1755" s="239"/>
      <c r="N1755" s="239"/>
      <c r="O1755" s="239"/>
      <c r="P1755" s="246"/>
      <c r="Q1755" s="239"/>
      <c r="R1755" s="239"/>
      <c r="S1755" s="239"/>
      <c r="T1755" s="239"/>
      <c r="U1755" s="239"/>
      <c r="V1755" s="239"/>
      <c r="W1755" s="246"/>
      <c r="X1755" s="239"/>
      <c r="Y1755" s="239"/>
      <c r="Z1755" s="239"/>
      <c r="AA1755" s="239"/>
      <c r="AB1755" s="239"/>
      <c r="AC1755" s="239"/>
      <c r="AD1755" s="239"/>
      <c r="AE1755" s="239"/>
      <c r="AF1755" s="239"/>
      <c r="AG1755" s="239"/>
      <c r="AH1755" s="239"/>
      <c r="AI1755" s="239"/>
      <c r="AJ1755" s="239"/>
    </row>
    <row r="1756">
      <c r="A1756" s="239"/>
      <c r="B1756" s="239"/>
      <c r="C1756" s="239"/>
      <c r="D1756" s="239"/>
      <c r="E1756" s="239"/>
      <c r="F1756" s="283"/>
      <c r="G1756" s="239"/>
      <c r="H1756" s="239"/>
      <c r="I1756" s="239"/>
      <c r="J1756" s="239"/>
      <c r="K1756" s="239"/>
      <c r="L1756" s="239"/>
      <c r="M1756" s="239"/>
      <c r="N1756" s="239"/>
      <c r="O1756" s="239"/>
      <c r="P1756" s="246"/>
      <c r="Q1756" s="239"/>
      <c r="R1756" s="239"/>
      <c r="S1756" s="239"/>
      <c r="T1756" s="239"/>
      <c r="U1756" s="239"/>
      <c r="V1756" s="239"/>
      <c r="W1756" s="246"/>
      <c r="X1756" s="239"/>
      <c r="Y1756" s="239"/>
      <c r="Z1756" s="239"/>
      <c r="AA1756" s="239"/>
      <c r="AB1756" s="239"/>
      <c r="AC1756" s="239"/>
      <c r="AD1756" s="239"/>
      <c r="AE1756" s="239"/>
      <c r="AF1756" s="239"/>
      <c r="AG1756" s="239"/>
      <c r="AH1756" s="239"/>
      <c r="AI1756" s="239"/>
      <c r="AJ1756" s="239"/>
    </row>
    <row r="1757">
      <c r="A1757" s="239"/>
      <c r="B1757" s="239"/>
      <c r="C1757" s="239"/>
      <c r="D1757" s="239"/>
      <c r="E1757" s="239"/>
      <c r="F1757" s="283"/>
      <c r="G1757" s="239"/>
      <c r="H1757" s="239"/>
      <c r="I1757" s="239"/>
      <c r="J1757" s="239"/>
      <c r="K1757" s="239"/>
      <c r="L1757" s="239"/>
      <c r="M1757" s="239"/>
      <c r="N1757" s="239"/>
      <c r="O1757" s="239"/>
      <c r="P1757" s="246"/>
      <c r="Q1757" s="239"/>
      <c r="R1757" s="239"/>
      <c r="S1757" s="239"/>
      <c r="T1757" s="239"/>
      <c r="U1757" s="239"/>
      <c r="V1757" s="239"/>
      <c r="W1757" s="246"/>
      <c r="X1757" s="239"/>
      <c r="Y1757" s="239"/>
      <c r="Z1757" s="239"/>
      <c r="AA1757" s="239"/>
      <c r="AB1757" s="239"/>
      <c r="AC1757" s="239"/>
      <c r="AD1757" s="239"/>
      <c r="AE1757" s="239"/>
      <c r="AF1757" s="239"/>
      <c r="AG1757" s="239"/>
      <c r="AH1757" s="239"/>
      <c r="AI1757" s="239"/>
      <c r="AJ1757" s="239"/>
    </row>
    <row r="1758">
      <c r="A1758" s="239"/>
      <c r="B1758" s="239"/>
      <c r="C1758" s="239"/>
      <c r="D1758" s="239"/>
      <c r="E1758" s="239"/>
      <c r="F1758" s="283"/>
      <c r="G1758" s="239"/>
      <c r="H1758" s="239"/>
      <c r="I1758" s="239"/>
      <c r="J1758" s="239"/>
      <c r="K1758" s="239"/>
      <c r="L1758" s="239"/>
      <c r="M1758" s="239"/>
      <c r="N1758" s="239"/>
      <c r="O1758" s="239"/>
      <c r="P1758" s="246"/>
      <c r="Q1758" s="239"/>
      <c r="R1758" s="239"/>
      <c r="S1758" s="239"/>
      <c r="T1758" s="239"/>
      <c r="U1758" s="239"/>
      <c r="V1758" s="239"/>
      <c r="W1758" s="246"/>
      <c r="X1758" s="239"/>
      <c r="Y1758" s="239"/>
      <c r="Z1758" s="239"/>
      <c r="AA1758" s="239"/>
      <c r="AB1758" s="239"/>
      <c r="AC1758" s="239"/>
      <c r="AD1758" s="239"/>
      <c r="AE1758" s="239"/>
      <c r="AF1758" s="239"/>
      <c r="AG1758" s="239"/>
      <c r="AH1758" s="239"/>
      <c r="AI1758" s="239"/>
      <c r="AJ1758" s="239"/>
    </row>
    <row r="1759">
      <c r="A1759" s="239"/>
      <c r="B1759" s="239"/>
      <c r="C1759" s="239"/>
      <c r="D1759" s="239"/>
      <c r="E1759" s="239"/>
      <c r="F1759" s="283"/>
      <c r="G1759" s="239"/>
      <c r="H1759" s="239"/>
      <c r="I1759" s="239"/>
      <c r="J1759" s="239"/>
      <c r="K1759" s="239"/>
      <c r="L1759" s="239"/>
      <c r="M1759" s="239"/>
      <c r="N1759" s="239"/>
      <c r="O1759" s="239"/>
      <c r="P1759" s="246"/>
      <c r="Q1759" s="239"/>
      <c r="R1759" s="239"/>
      <c r="S1759" s="239"/>
      <c r="T1759" s="239"/>
      <c r="U1759" s="239"/>
      <c r="V1759" s="239"/>
      <c r="W1759" s="246"/>
      <c r="X1759" s="239"/>
      <c r="Y1759" s="239"/>
      <c r="Z1759" s="239"/>
      <c r="AA1759" s="239"/>
      <c r="AB1759" s="239"/>
      <c r="AC1759" s="239"/>
      <c r="AD1759" s="239"/>
      <c r="AE1759" s="239"/>
      <c r="AF1759" s="239"/>
      <c r="AG1759" s="239"/>
      <c r="AH1759" s="239"/>
      <c r="AI1759" s="239"/>
      <c r="AJ1759" s="239"/>
    </row>
    <row r="1760">
      <c r="A1760" s="239"/>
      <c r="B1760" s="239"/>
      <c r="C1760" s="239"/>
      <c r="D1760" s="239"/>
      <c r="E1760" s="239"/>
      <c r="F1760" s="283"/>
      <c r="G1760" s="239"/>
      <c r="H1760" s="239"/>
      <c r="I1760" s="239"/>
      <c r="J1760" s="239"/>
      <c r="K1760" s="239"/>
      <c r="L1760" s="239"/>
      <c r="M1760" s="239"/>
      <c r="N1760" s="239"/>
      <c r="O1760" s="239"/>
      <c r="P1760" s="246"/>
      <c r="Q1760" s="239"/>
      <c r="R1760" s="239"/>
      <c r="S1760" s="239"/>
      <c r="T1760" s="239"/>
      <c r="U1760" s="239"/>
      <c r="V1760" s="239"/>
      <c r="W1760" s="246"/>
      <c r="X1760" s="239"/>
      <c r="Y1760" s="239"/>
      <c r="Z1760" s="239"/>
      <c r="AA1760" s="239"/>
      <c r="AB1760" s="239"/>
      <c r="AC1760" s="239"/>
      <c r="AD1760" s="239"/>
      <c r="AE1760" s="239"/>
      <c r="AF1760" s="239"/>
      <c r="AG1760" s="239"/>
      <c r="AH1760" s="239"/>
      <c r="AI1760" s="239"/>
      <c r="AJ1760" s="239"/>
    </row>
    <row r="1761">
      <c r="A1761" s="239"/>
      <c r="B1761" s="239"/>
      <c r="C1761" s="239"/>
      <c r="D1761" s="239"/>
      <c r="E1761" s="239"/>
      <c r="F1761" s="283"/>
      <c r="G1761" s="239"/>
      <c r="H1761" s="239"/>
      <c r="I1761" s="239"/>
      <c r="J1761" s="239"/>
      <c r="K1761" s="239"/>
      <c r="L1761" s="239"/>
      <c r="M1761" s="239"/>
      <c r="N1761" s="239"/>
      <c r="O1761" s="239"/>
      <c r="P1761" s="246"/>
      <c r="Q1761" s="239"/>
      <c r="R1761" s="239"/>
      <c r="S1761" s="239"/>
      <c r="T1761" s="239"/>
      <c r="U1761" s="239"/>
      <c r="V1761" s="239"/>
      <c r="W1761" s="246"/>
      <c r="X1761" s="239"/>
      <c r="Y1761" s="239"/>
      <c r="Z1761" s="239"/>
      <c r="AA1761" s="239"/>
      <c r="AB1761" s="239"/>
      <c r="AC1761" s="239"/>
      <c r="AD1761" s="239"/>
      <c r="AE1761" s="239"/>
      <c r="AF1761" s="239"/>
      <c r="AG1761" s="239"/>
      <c r="AH1761" s="239"/>
      <c r="AI1761" s="239"/>
      <c r="AJ1761" s="239"/>
    </row>
    <row r="1762">
      <c r="A1762" s="239"/>
      <c r="B1762" s="239"/>
      <c r="C1762" s="239"/>
      <c r="D1762" s="239"/>
      <c r="E1762" s="239"/>
      <c r="F1762" s="283"/>
      <c r="G1762" s="239"/>
      <c r="H1762" s="239"/>
      <c r="I1762" s="239"/>
      <c r="J1762" s="239"/>
      <c r="K1762" s="239"/>
      <c r="L1762" s="239"/>
      <c r="M1762" s="239"/>
      <c r="N1762" s="239"/>
      <c r="O1762" s="239"/>
      <c r="P1762" s="246"/>
      <c r="Q1762" s="239"/>
      <c r="R1762" s="239"/>
      <c r="S1762" s="239"/>
      <c r="T1762" s="239"/>
      <c r="U1762" s="239"/>
      <c r="V1762" s="239"/>
      <c r="W1762" s="246"/>
      <c r="X1762" s="239"/>
      <c r="Y1762" s="239"/>
      <c r="Z1762" s="239"/>
      <c r="AA1762" s="239"/>
      <c r="AB1762" s="239"/>
      <c r="AC1762" s="239"/>
      <c r="AD1762" s="239"/>
      <c r="AE1762" s="239"/>
      <c r="AF1762" s="239"/>
      <c r="AG1762" s="239"/>
      <c r="AH1762" s="239"/>
      <c r="AI1762" s="239"/>
      <c r="AJ1762" s="239"/>
    </row>
    <row r="1763">
      <c r="A1763" s="239"/>
      <c r="B1763" s="239"/>
      <c r="C1763" s="239"/>
      <c r="D1763" s="239"/>
      <c r="E1763" s="239"/>
      <c r="F1763" s="283"/>
      <c r="G1763" s="239"/>
      <c r="H1763" s="239"/>
      <c r="I1763" s="239"/>
      <c r="J1763" s="239"/>
      <c r="K1763" s="239"/>
      <c r="L1763" s="239"/>
      <c r="M1763" s="239"/>
      <c r="N1763" s="239"/>
      <c r="O1763" s="239"/>
      <c r="P1763" s="246"/>
      <c r="Q1763" s="239"/>
      <c r="R1763" s="239"/>
      <c r="S1763" s="239"/>
      <c r="T1763" s="239"/>
      <c r="U1763" s="239"/>
      <c r="V1763" s="239"/>
      <c r="W1763" s="246"/>
      <c r="X1763" s="239"/>
      <c r="Y1763" s="239"/>
      <c r="Z1763" s="239"/>
      <c r="AA1763" s="239"/>
      <c r="AB1763" s="239"/>
      <c r="AC1763" s="239"/>
      <c r="AD1763" s="239"/>
      <c r="AE1763" s="239"/>
      <c r="AF1763" s="239"/>
      <c r="AG1763" s="239"/>
      <c r="AH1763" s="239"/>
      <c r="AI1763" s="239"/>
      <c r="AJ1763" s="239"/>
    </row>
    <row r="1764">
      <c r="A1764" s="239"/>
      <c r="B1764" s="239"/>
      <c r="C1764" s="239"/>
      <c r="D1764" s="239"/>
      <c r="E1764" s="239"/>
      <c r="F1764" s="283"/>
      <c r="G1764" s="239"/>
      <c r="H1764" s="239"/>
      <c r="I1764" s="239"/>
      <c r="J1764" s="239"/>
      <c r="K1764" s="239"/>
      <c r="L1764" s="239"/>
      <c r="M1764" s="239"/>
      <c r="N1764" s="239"/>
      <c r="O1764" s="239"/>
      <c r="P1764" s="246"/>
      <c r="Q1764" s="239"/>
      <c r="R1764" s="239"/>
      <c r="S1764" s="239"/>
      <c r="T1764" s="239"/>
      <c r="U1764" s="239"/>
      <c r="V1764" s="239"/>
      <c r="W1764" s="246"/>
      <c r="X1764" s="239"/>
      <c r="Y1764" s="239"/>
      <c r="Z1764" s="239"/>
      <c r="AA1764" s="239"/>
      <c r="AB1764" s="239"/>
      <c r="AC1764" s="239"/>
      <c r="AD1764" s="239"/>
      <c r="AE1764" s="239"/>
      <c r="AF1764" s="239"/>
      <c r="AG1764" s="239"/>
      <c r="AH1764" s="239"/>
      <c r="AI1764" s="239"/>
      <c r="AJ1764" s="239"/>
    </row>
    <row r="1765">
      <c r="A1765" s="239"/>
      <c r="B1765" s="239"/>
      <c r="C1765" s="239"/>
      <c r="D1765" s="239"/>
      <c r="E1765" s="239"/>
      <c r="F1765" s="283"/>
      <c r="G1765" s="239"/>
      <c r="H1765" s="239"/>
      <c r="I1765" s="239"/>
      <c r="J1765" s="239"/>
      <c r="K1765" s="239"/>
      <c r="L1765" s="239"/>
      <c r="M1765" s="239"/>
      <c r="N1765" s="239"/>
      <c r="O1765" s="239"/>
      <c r="P1765" s="246"/>
      <c r="Q1765" s="239"/>
      <c r="R1765" s="239"/>
      <c r="S1765" s="239"/>
      <c r="T1765" s="239"/>
      <c r="U1765" s="239"/>
      <c r="V1765" s="239"/>
      <c r="W1765" s="246"/>
      <c r="X1765" s="239"/>
      <c r="Y1765" s="239"/>
      <c r="Z1765" s="239"/>
      <c r="AA1765" s="239"/>
      <c r="AB1765" s="239"/>
      <c r="AC1765" s="239"/>
      <c r="AD1765" s="239"/>
      <c r="AE1765" s="239"/>
      <c r="AF1765" s="239"/>
      <c r="AG1765" s="239"/>
      <c r="AH1765" s="239"/>
      <c r="AI1765" s="239"/>
      <c r="AJ1765" s="239"/>
    </row>
    <row r="1766">
      <c r="A1766" s="239"/>
      <c r="B1766" s="239"/>
      <c r="C1766" s="239"/>
      <c r="D1766" s="239"/>
      <c r="E1766" s="239"/>
      <c r="F1766" s="283"/>
      <c r="G1766" s="239"/>
      <c r="H1766" s="239"/>
      <c r="I1766" s="239"/>
      <c r="J1766" s="239"/>
      <c r="K1766" s="239"/>
      <c r="L1766" s="239"/>
      <c r="M1766" s="239"/>
      <c r="N1766" s="239"/>
      <c r="O1766" s="239"/>
      <c r="P1766" s="246"/>
      <c r="Q1766" s="239"/>
      <c r="R1766" s="239"/>
      <c r="S1766" s="239"/>
      <c r="T1766" s="239"/>
      <c r="U1766" s="239"/>
      <c r="V1766" s="239"/>
      <c r="W1766" s="246"/>
      <c r="X1766" s="239"/>
      <c r="Y1766" s="239"/>
      <c r="Z1766" s="239"/>
      <c r="AA1766" s="239"/>
      <c r="AB1766" s="239"/>
      <c r="AC1766" s="239"/>
      <c r="AD1766" s="239"/>
      <c r="AE1766" s="239"/>
      <c r="AF1766" s="239"/>
      <c r="AG1766" s="239"/>
      <c r="AH1766" s="239"/>
      <c r="AI1766" s="239"/>
      <c r="AJ1766" s="239"/>
    </row>
    <row r="1767">
      <c r="A1767" s="239"/>
      <c r="B1767" s="239"/>
      <c r="C1767" s="239"/>
      <c r="D1767" s="239"/>
      <c r="E1767" s="239"/>
      <c r="F1767" s="283"/>
      <c r="G1767" s="239"/>
      <c r="H1767" s="239"/>
      <c r="I1767" s="239"/>
      <c r="J1767" s="239"/>
      <c r="K1767" s="239"/>
      <c r="L1767" s="239"/>
      <c r="M1767" s="239"/>
      <c r="N1767" s="239"/>
      <c r="O1767" s="239"/>
      <c r="P1767" s="246"/>
      <c r="Q1767" s="239"/>
      <c r="R1767" s="239"/>
      <c r="S1767" s="239"/>
      <c r="T1767" s="239"/>
      <c r="U1767" s="239"/>
      <c r="V1767" s="239"/>
      <c r="W1767" s="246"/>
      <c r="X1767" s="239"/>
      <c r="Y1767" s="239"/>
      <c r="Z1767" s="239"/>
      <c r="AA1767" s="239"/>
      <c r="AB1767" s="239"/>
      <c r="AC1767" s="239"/>
      <c r="AD1767" s="239"/>
      <c r="AE1767" s="239"/>
      <c r="AF1767" s="239"/>
      <c r="AG1767" s="239"/>
      <c r="AH1767" s="239"/>
      <c r="AI1767" s="239"/>
      <c r="AJ1767" s="239"/>
    </row>
    <row r="1768">
      <c r="A1768" s="239"/>
      <c r="B1768" s="239"/>
      <c r="C1768" s="239"/>
      <c r="D1768" s="239"/>
      <c r="E1768" s="239"/>
      <c r="F1768" s="283"/>
      <c r="G1768" s="239"/>
      <c r="H1768" s="239"/>
      <c r="I1768" s="239"/>
      <c r="J1768" s="239"/>
      <c r="K1768" s="239"/>
      <c r="L1768" s="239"/>
      <c r="M1768" s="239"/>
      <c r="N1768" s="239"/>
      <c r="O1768" s="239"/>
      <c r="P1768" s="246"/>
      <c r="Q1768" s="239"/>
      <c r="R1768" s="239"/>
      <c r="S1768" s="239"/>
      <c r="T1768" s="239"/>
      <c r="U1768" s="239"/>
      <c r="V1768" s="239"/>
      <c r="W1768" s="246"/>
      <c r="X1768" s="239"/>
      <c r="Y1768" s="239"/>
      <c r="Z1768" s="239"/>
      <c r="AA1768" s="239"/>
      <c r="AB1768" s="239"/>
      <c r="AC1768" s="239"/>
      <c r="AD1768" s="239"/>
      <c r="AE1768" s="239"/>
      <c r="AF1768" s="239"/>
      <c r="AG1768" s="239"/>
      <c r="AH1768" s="239"/>
      <c r="AI1768" s="239"/>
      <c r="AJ1768" s="239"/>
    </row>
    <row r="1769">
      <c r="A1769" s="239"/>
      <c r="B1769" s="239"/>
      <c r="C1769" s="239"/>
      <c r="D1769" s="239"/>
      <c r="E1769" s="239"/>
      <c r="F1769" s="283"/>
      <c r="G1769" s="239"/>
      <c r="H1769" s="239"/>
      <c r="I1769" s="239"/>
      <c r="J1769" s="239"/>
      <c r="K1769" s="239"/>
      <c r="L1769" s="239"/>
      <c r="M1769" s="239"/>
      <c r="N1769" s="239"/>
      <c r="O1769" s="239"/>
      <c r="P1769" s="246"/>
      <c r="Q1769" s="239"/>
      <c r="R1769" s="239"/>
      <c r="S1769" s="239"/>
      <c r="T1769" s="239"/>
      <c r="U1769" s="239"/>
      <c r="V1769" s="239"/>
      <c r="W1769" s="246"/>
      <c r="X1769" s="239"/>
      <c r="Y1769" s="239"/>
      <c r="Z1769" s="239"/>
      <c r="AA1769" s="239"/>
      <c r="AB1769" s="239"/>
      <c r="AC1769" s="239"/>
      <c r="AD1769" s="239"/>
      <c r="AE1769" s="239"/>
      <c r="AF1769" s="239"/>
      <c r="AG1769" s="239"/>
      <c r="AH1769" s="239"/>
      <c r="AI1769" s="239"/>
      <c r="AJ1769" s="239"/>
    </row>
    <row r="1770">
      <c r="A1770" s="239"/>
      <c r="B1770" s="239"/>
      <c r="C1770" s="239"/>
      <c r="D1770" s="239"/>
      <c r="E1770" s="239"/>
      <c r="F1770" s="283"/>
      <c r="G1770" s="239"/>
      <c r="H1770" s="239"/>
      <c r="I1770" s="239"/>
      <c r="J1770" s="239"/>
      <c r="K1770" s="239"/>
      <c r="L1770" s="239"/>
      <c r="M1770" s="239"/>
      <c r="N1770" s="239"/>
      <c r="O1770" s="239"/>
      <c r="P1770" s="246"/>
      <c r="Q1770" s="239"/>
      <c r="R1770" s="239"/>
      <c r="S1770" s="239"/>
      <c r="T1770" s="239"/>
      <c r="U1770" s="239"/>
      <c r="V1770" s="239"/>
      <c r="W1770" s="246"/>
      <c r="X1770" s="239"/>
      <c r="Y1770" s="239"/>
      <c r="Z1770" s="239"/>
      <c r="AA1770" s="239"/>
      <c r="AB1770" s="239"/>
      <c r="AC1770" s="239"/>
      <c r="AD1770" s="239"/>
      <c r="AE1770" s="239"/>
      <c r="AF1770" s="239"/>
      <c r="AG1770" s="239"/>
      <c r="AH1770" s="239"/>
      <c r="AI1770" s="239"/>
      <c r="AJ1770" s="239"/>
    </row>
    <row r="1771">
      <c r="A1771" s="239"/>
      <c r="B1771" s="239"/>
      <c r="C1771" s="239"/>
      <c r="D1771" s="239"/>
      <c r="E1771" s="239"/>
      <c r="F1771" s="283"/>
      <c r="G1771" s="239"/>
      <c r="H1771" s="239"/>
      <c r="I1771" s="239"/>
      <c r="J1771" s="239"/>
      <c r="K1771" s="239"/>
      <c r="L1771" s="239"/>
      <c r="M1771" s="239"/>
      <c r="N1771" s="239"/>
      <c r="O1771" s="239"/>
      <c r="P1771" s="246"/>
      <c r="Q1771" s="239"/>
      <c r="R1771" s="239"/>
      <c r="S1771" s="239"/>
      <c r="T1771" s="239"/>
      <c r="U1771" s="239"/>
      <c r="V1771" s="239"/>
      <c r="W1771" s="246"/>
      <c r="X1771" s="239"/>
      <c r="Y1771" s="239"/>
      <c r="Z1771" s="239"/>
      <c r="AA1771" s="239"/>
      <c r="AB1771" s="239"/>
      <c r="AC1771" s="239"/>
      <c r="AD1771" s="239"/>
      <c r="AE1771" s="239"/>
      <c r="AF1771" s="239"/>
      <c r="AG1771" s="239"/>
      <c r="AH1771" s="239"/>
      <c r="AI1771" s="239"/>
      <c r="AJ1771" s="239"/>
    </row>
    <row r="1772">
      <c r="A1772" s="239"/>
      <c r="B1772" s="239"/>
      <c r="C1772" s="239"/>
      <c r="D1772" s="239"/>
      <c r="E1772" s="239"/>
      <c r="F1772" s="283"/>
      <c r="G1772" s="239"/>
      <c r="H1772" s="239"/>
      <c r="I1772" s="239"/>
      <c r="J1772" s="239"/>
      <c r="K1772" s="239"/>
      <c r="L1772" s="239"/>
      <c r="M1772" s="239"/>
      <c r="N1772" s="239"/>
      <c r="O1772" s="239"/>
      <c r="P1772" s="246"/>
      <c r="Q1772" s="239"/>
      <c r="R1772" s="239"/>
      <c r="S1772" s="239"/>
      <c r="T1772" s="239"/>
      <c r="U1772" s="239"/>
      <c r="V1772" s="239"/>
      <c r="W1772" s="246"/>
      <c r="X1772" s="239"/>
      <c r="Y1772" s="239"/>
      <c r="Z1772" s="239"/>
      <c r="AA1772" s="239"/>
      <c r="AB1772" s="239"/>
      <c r="AC1772" s="239"/>
      <c r="AD1772" s="239"/>
      <c r="AE1772" s="239"/>
      <c r="AF1772" s="239"/>
      <c r="AG1772" s="239"/>
      <c r="AH1772" s="239"/>
      <c r="AI1772" s="239"/>
      <c r="AJ1772" s="239"/>
    </row>
    <row r="1773">
      <c r="A1773" s="239"/>
      <c r="B1773" s="239"/>
      <c r="C1773" s="239"/>
      <c r="D1773" s="239"/>
      <c r="E1773" s="239"/>
      <c r="F1773" s="283"/>
      <c r="G1773" s="239"/>
      <c r="H1773" s="239"/>
      <c r="I1773" s="239"/>
      <c r="J1773" s="239"/>
      <c r="K1773" s="239"/>
      <c r="L1773" s="239"/>
      <c r="M1773" s="239"/>
      <c r="N1773" s="239"/>
      <c r="O1773" s="239"/>
      <c r="P1773" s="246"/>
      <c r="Q1773" s="239"/>
      <c r="R1773" s="239"/>
      <c r="S1773" s="239"/>
      <c r="T1773" s="239"/>
      <c r="U1773" s="239"/>
      <c r="V1773" s="239"/>
      <c r="W1773" s="246"/>
      <c r="X1773" s="239"/>
      <c r="Y1773" s="239"/>
      <c r="Z1773" s="239"/>
      <c r="AA1773" s="239"/>
      <c r="AB1773" s="239"/>
      <c r="AC1773" s="239"/>
      <c r="AD1773" s="239"/>
      <c r="AE1773" s="239"/>
      <c r="AF1773" s="239"/>
      <c r="AG1773" s="239"/>
      <c r="AH1773" s="239"/>
      <c r="AI1773" s="239"/>
      <c r="AJ1773" s="239"/>
    </row>
    <row r="1774">
      <c r="A1774" s="239"/>
      <c r="B1774" s="239"/>
      <c r="C1774" s="239"/>
      <c r="D1774" s="239"/>
      <c r="E1774" s="239"/>
      <c r="F1774" s="283"/>
      <c r="G1774" s="239"/>
      <c r="H1774" s="239"/>
      <c r="I1774" s="239"/>
      <c r="J1774" s="239"/>
      <c r="K1774" s="239"/>
      <c r="L1774" s="239"/>
      <c r="M1774" s="239"/>
      <c r="N1774" s="239"/>
      <c r="O1774" s="239"/>
      <c r="P1774" s="246"/>
      <c r="Q1774" s="239"/>
      <c r="R1774" s="239"/>
      <c r="S1774" s="239"/>
      <c r="T1774" s="239"/>
      <c r="U1774" s="239"/>
      <c r="V1774" s="239"/>
      <c r="W1774" s="246"/>
      <c r="X1774" s="239"/>
      <c r="Y1774" s="239"/>
      <c r="Z1774" s="239"/>
      <c r="AA1774" s="239"/>
      <c r="AB1774" s="239"/>
      <c r="AC1774" s="239"/>
      <c r="AD1774" s="239"/>
      <c r="AE1774" s="239"/>
      <c r="AF1774" s="239"/>
      <c r="AG1774" s="239"/>
      <c r="AH1774" s="239"/>
      <c r="AI1774" s="239"/>
      <c r="AJ1774" s="239"/>
    </row>
    <row r="1775">
      <c r="A1775" s="239"/>
      <c r="B1775" s="239"/>
      <c r="C1775" s="239"/>
      <c r="D1775" s="239"/>
      <c r="E1775" s="239"/>
      <c r="F1775" s="283"/>
      <c r="G1775" s="239"/>
      <c r="H1775" s="239"/>
      <c r="I1775" s="239"/>
      <c r="J1775" s="239"/>
      <c r="K1775" s="239"/>
      <c r="L1775" s="239"/>
      <c r="M1775" s="239"/>
      <c r="N1775" s="239"/>
      <c r="O1775" s="239"/>
      <c r="P1775" s="246"/>
      <c r="Q1775" s="239"/>
      <c r="R1775" s="239"/>
      <c r="S1775" s="239"/>
      <c r="T1775" s="239"/>
      <c r="U1775" s="239"/>
      <c r="V1775" s="239"/>
      <c r="W1775" s="246"/>
      <c r="X1775" s="239"/>
      <c r="Y1775" s="239"/>
      <c r="Z1775" s="239"/>
      <c r="AA1775" s="239"/>
      <c r="AB1775" s="239"/>
      <c r="AC1775" s="239"/>
      <c r="AD1775" s="239"/>
      <c r="AE1775" s="239"/>
      <c r="AF1775" s="239"/>
      <c r="AG1775" s="239"/>
      <c r="AH1775" s="239"/>
      <c r="AI1775" s="239"/>
      <c r="AJ1775" s="239"/>
    </row>
    <row r="1776">
      <c r="A1776" s="239"/>
      <c r="B1776" s="239"/>
      <c r="C1776" s="239"/>
      <c r="D1776" s="239"/>
      <c r="E1776" s="239"/>
      <c r="F1776" s="283"/>
      <c r="G1776" s="239"/>
      <c r="H1776" s="239"/>
      <c r="I1776" s="239"/>
      <c r="J1776" s="239"/>
      <c r="K1776" s="239"/>
      <c r="L1776" s="239"/>
      <c r="M1776" s="239"/>
      <c r="N1776" s="239"/>
      <c r="O1776" s="239"/>
      <c r="P1776" s="246"/>
      <c r="Q1776" s="239"/>
      <c r="R1776" s="239"/>
      <c r="S1776" s="239"/>
      <c r="T1776" s="239"/>
      <c r="U1776" s="239"/>
      <c r="V1776" s="239"/>
      <c r="W1776" s="246"/>
      <c r="X1776" s="239"/>
      <c r="Y1776" s="239"/>
      <c r="Z1776" s="239"/>
      <c r="AA1776" s="239"/>
      <c r="AB1776" s="239"/>
      <c r="AC1776" s="239"/>
      <c r="AD1776" s="239"/>
      <c r="AE1776" s="239"/>
      <c r="AF1776" s="239"/>
      <c r="AG1776" s="239"/>
      <c r="AH1776" s="239"/>
      <c r="AI1776" s="239"/>
      <c r="AJ1776" s="239"/>
    </row>
    <row r="1777">
      <c r="A1777" s="239"/>
      <c r="B1777" s="239"/>
      <c r="C1777" s="239"/>
      <c r="D1777" s="239"/>
      <c r="E1777" s="239"/>
      <c r="F1777" s="283"/>
      <c r="G1777" s="239"/>
      <c r="H1777" s="239"/>
      <c r="I1777" s="239"/>
      <c r="J1777" s="239"/>
      <c r="K1777" s="239"/>
      <c r="L1777" s="239"/>
      <c r="M1777" s="239"/>
      <c r="N1777" s="239"/>
      <c r="O1777" s="239"/>
      <c r="P1777" s="246"/>
      <c r="Q1777" s="239"/>
      <c r="R1777" s="239"/>
      <c r="S1777" s="239"/>
      <c r="T1777" s="239"/>
      <c r="U1777" s="239"/>
      <c r="V1777" s="239"/>
      <c r="W1777" s="246"/>
      <c r="X1777" s="239"/>
      <c r="Y1777" s="239"/>
      <c r="Z1777" s="239"/>
      <c r="AA1777" s="239"/>
      <c r="AB1777" s="239"/>
      <c r="AC1777" s="239"/>
      <c r="AD1777" s="239"/>
      <c r="AE1777" s="239"/>
      <c r="AF1777" s="239"/>
      <c r="AG1777" s="239"/>
      <c r="AH1777" s="239"/>
      <c r="AI1777" s="239"/>
      <c r="AJ1777" s="239"/>
    </row>
    <row r="1778">
      <c r="A1778" s="239"/>
      <c r="B1778" s="239"/>
      <c r="C1778" s="239"/>
      <c r="D1778" s="239"/>
      <c r="E1778" s="239"/>
      <c r="F1778" s="283"/>
      <c r="G1778" s="239"/>
      <c r="H1778" s="239"/>
      <c r="I1778" s="239"/>
      <c r="J1778" s="239"/>
      <c r="K1778" s="239"/>
      <c r="L1778" s="239"/>
      <c r="M1778" s="239"/>
      <c r="N1778" s="239"/>
      <c r="O1778" s="239"/>
      <c r="P1778" s="246"/>
      <c r="Q1778" s="239"/>
      <c r="R1778" s="239"/>
      <c r="S1778" s="239"/>
      <c r="T1778" s="239"/>
      <c r="U1778" s="239"/>
      <c r="V1778" s="239"/>
      <c r="W1778" s="246"/>
      <c r="X1778" s="239"/>
      <c r="Y1778" s="239"/>
      <c r="Z1778" s="239"/>
      <c r="AA1778" s="239"/>
      <c r="AB1778" s="239"/>
      <c r="AC1778" s="239"/>
      <c r="AD1778" s="239"/>
      <c r="AE1778" s="239"/>
      <c r="AF1778" s="239"/>
      <c r="AG1778" s="239"/>
      <c r="AH1778" s="239"/>
      <c r="AI1778" s="239"/>
      <c r="AJ1778" s="239"/>
    </row>
    <row r="1779">
      <c r="A1779" s="239"/>
      <c r="B1779" s="239"/>
      <c r="C1779" s="239"/>
      <c r="D1779" s="239"/>
      <c r="E1779" s="239"/>
      <c r="F1779" s="283"/>
      <c r="G1779" s="239"/>
      <c r="H1779" s="239"/>
      <c r="I1779" s="239"/>
      <c r="J1779" s="239"/>
      <c r="K1779" s="239"/>
      <c r="L1779" s="239"/>
      <c r="M1779" s="239"/>
      <c r="N1779" s="239"/>
      <c r="O1779" s="239"/>
      <c r="P1779" s="246"/>
      <c r="Q1779" s="239"/>
      <c r="R1779" s="239"/>
      <c r="S1779" s="239"/>
      <c r="T1779" s="239"/>
      <c r="U1779" s="239"/>
      <c r="V1779" s="239"/>
      <c r="W1779" s="246"/>
      <c r="X1779" s="239"/>
      <c r="Y1779" s="239"/>
      <c r="Z1779" s="239"/>
      <c r="AA1779" s="239"/>
      <c r="AB1779" s="239"/>
      <c r="AC1779" s="239"/>
      <c r="AD1779" s="239"/>
      <c r="AE1779" s="239"/>
      <c r="AF1779" s="239"/>
      <c r="AG1779" s="239"/>
      <c r="AH1779" s="239"/>
      <c r="AI1779" s="239"/>
      <c r="AJ1779" s="239"/>
    </row>
    <row r="1780">
      <c r="A1780" s="239"/>
      <c r="B1780" s="239"/>
      <c r="C1780" s="239"/>
      <c r="D1780" s="239"/>
      <c r="E1780" s="239"/>
      <c r="F1780" s="283"/>
      <c r="G1780" s="239"/>
      <c r="H1780" s="239"/>
      <c r="I1780" s="239"/>
      <c r="J1780" s="239"/>
      <c r="K1780" s="239"/>
      <c r="L1780" s="239"/>
      <c r="M1780" s="239"/>
      <c r="N1780" s="239"/>
      <c r="O1780" s="239"/>
      <c r="P1780" s="246"/>
      <c r="Q1780" s="239"/>
      <c r="R1780" s="239"/>
      <c r="S1780" s="239"/>
      <c r="T1780" s="239"/>
      <c r="U1780" s="239"/>
      <c r="V1780" s="239"/>
      <c r="W1780" s="246"/>
      <c r="X1780" s="239"/>
      <c r="Y1780" s="239"/>
      <c r="Z1780" s="239"/>
      <c r="AA1780" s="239"/>
      <c r="AB1780" s="239"/>
      <c r="AC1780" s="239"/>
      <c r="AD1780" s="239"/>
      <c r="AE1780" s="239"/>
      <c r="AF1780" s="239"/>
      <c r="AG1780" s="239"/>
      <c r="AH1780" s="239"/>
      <c r="AI1780" s="239"/>
      <c r="AJ1780" s="239"/>
    </row>
    <row r="1781">
      <c r="A1781" s="239"/>
      <c r="B1781" s="239"/>
      <c r="C1781" s="239"/>
      <c r="D1781" s="239"/>
      <c r="E1781" s="239"/>
      <c r="F1781" s="283"/>
      <c r="G1781" s="239"/>
      <c r="H1781" s="239"/>
      <c r="I1781" s="239"/>
      <c r="J1781" s="239"/>
      <c r="K1781" s="239"/>
      <c r="L1781" s="239"/>
      <c r="M1781" s="239"/>
      <c r="N1781" s="239"/>
      <c r="O1781" s="239"/>
      <c r="P1781" s="246"/>
      <c r="Q1781" s="239"/>
      <c r="R1781" s="239"/>
      <c r="S1781" s="239"/>
      <c r="T1781" s="239"/>
      <c r="U1781" s="239"/>
      <c r="V1781" s="239"/>
      <c r="W1781" s="246"/>
      <c r="X1781" s="239"/>
      <c r="Y1781" s="239"/>
      <c r="Z1781" s="239"/>
      <c r="AA1781" s="239"/>
      <c r="AB1781" s="239"/>
      <c r="AC1781" s="239"/>
      <c r="AD1781" s="239"/>
      <c r="AE1781" s="239"/>
      <c r="AF1781" s="239"/>
      <c r="AG1781" s="239"/>
      <c r="AH1781" s="239"/>
      <c r="AI1781" s="239"/>
      <c r="AJ1781" s="239"/>
    </row>
    <row r="1782">
      <c r="A1782" s="239"/>
      <c r="B1782" s="239"/>
      <c r="C1782" s="239"/>
      <c r="D1782" s="239"/>
      <c r="E1782" s="239"/>
      <c r="F1782" s="283"/>
      <c r="G1782" s="239"/>
      <c r="H1782" s="239"/>
      <c r="I1782" s="239"/>
      <c r="J1782" s="239"/>
      <c r="K1782" s="239"/>
      <c r="L1782" s="239"/>
      <c r="M1782" s="239"/>
      <c r="N1782" s="239"/>
      <c r="O1782" s="239"/>
      <c r="P1782" s="246"/>
      <c r="Q1782" s="239"/>
      <c r="R1782" s="239"/>
      <c r="S1782" s="239"/>
      <c r="T1782" s="239"/>
      <c r="U1782" s="239"/>
      <c r="V1782" s="239"/>
      <c r="W1782" s="246"/>
      <c r="X1782" s="239"/>
      <c r="Y1782" s="239"/>
      <c r="Z1782" s="239"/>
      <c r="AA1782" s="239"/>
      <c r="AB1782" s="239"/>
      <c r="AC1782" s="239"/>
      <c r="AD1782" s="239"/>
      <c r="AE1782" s="239"/>
      <c r="AF1782" s="239"/>
      <c r="AG1782" s="239"/>
      <c r="AH1782" s="239"/>
      <c r="AI1782" s="239"/>
      <c r="AJ1782" s="239"/>
    </row>
    <row r="1783">
      <c r="A1783" s="239"/>
      <c r="B1783" s="239"/>
      <c r="C1783" s="239"/>
      <c r="D1783" s="239"/>
      <c r="E1783" s="239"/>
      <c r="F1783" s="283"/>
      <c r="G1783" s="239"/>
      <c r="H1783" s="239"/>
      <c r="I1783" s="239"/>
      <c r="J1783" s="239"/>
      <c r="K1783" s="239"/>
      <c r="L1783" s="239"/>
      <c r="M1783" s="239"/>
      <c r="N1783" s="239"/>
      <c r="O1783" s="239"/>
      <c r="P1783" s="246"/>
      <c r="Q1783" s="239"/>
      <c r="R1783" s="239"/>
      <c r="S1783" s="239"/>
      <c r="T1783" s="239"/>
      <c r="U1783" s="239"/>
      <c r="V1783" s="239"/>
      <c r="W1783" s="246"/>
      <c r="X1783" s="239"/>
      <c r="Y1783" s="239"/>
      <c r="Z1783" s="239"/>
      <c r="AA1783" s="239"/>
      <c r="AB1783" s="239"/>
      <c r="AC1783" s="239"/>
      <c r="AD1783" s="239"/>
      <c r="AE1783" s="239"/>
      <c r="AF1783" s="239"/>
      <c r="AG1783" s="239"/>
      <c r="AH1783" s="239"/>
      <c r="AI1783" s="239"/>
      <c r="AJ1783" s="239"/>
    </row>
    <row r="1784">
      <c r="A1784" s="239"/>
      <c r="B1784" s="239"/>
      <c r="C1784" s="239"/>
      <c r="D1784" s="239"/>
      <c r="E1784" s="239"/>
      <c r="F1784" s="283"/>
      <c r="G1784" s="239"/>
      <c r="H1784" s="239"/>
      <c r="I1784" s="239"/>
      <c r="J1784" s="239"/>
      <c r="K1784" s="239"/>
      <c r="L1784" s="239"/>
      <c r="M1784" s="239"/>
      <c r="N1784" s="239"/>
      <c r="O1784" s="239"/>
      <c r="P1784" s="246"/>
      <c r="Q1784" s="239"/>
      <c r="R1784" s="239"/>
      <c r="S1784" s="239"/>
      <c r="T1784" s="239"/>
      <c r="U1784" s="239"/>
      <c r="V1784" s="239"/>
      <c r="W1784" s="246"/>
      <c r="X1784" s="239"/>
      <c r="Y1784" s="239"/>
      <c r="Z1784" s="239"/>
      <c r="AA1784" s="239"/>
      <c r="AB1784" s="239"/>
      <c r="AC1784" s="239"/>
      <c r="AD1784" s="239"/>
      <c r="AE1784" s="239"/>
      <c r="AF1784" s="239"/>
      <c r="AG1784" s="239"/>
      <c r="AH1784" s="239"/>
      <c r="AI1784" s="239"/>
      <c r="AJ1784" s="239"/>
    </row>
    <row r="1785">
      <c r="A1785" s="239"/>
      <c r="B1785" s="239"/>
      <c r="C1785" s="239"/>
      <c r="D1785" s="239"/>
      <c r="E1785" s="239"/>
      <c r="F1785" s="283"/>
      <c r="G1785" s="239"/>
      <c r="H1785" s="239"/>
      <c r="I1785" s="239"/>
      <c r="J1785" s="239"/>
      <c r="K1785" s="239"/>
      <c r="L1785" s="239"/>
      <c r="M1785" s="239"/>
      <c r="N1785" s="239"/>
      <c r="O1785" s="239"/>
      <c r="P1785" s="246"/>
      <c r="Q1785" s="239"/>
      <c r="R1785" s="239"/>
      <c r="S1785" s="239"/>
      <c r="T1785" s="239"/>
      <c r="U1785" s="239"/>
      <c r="V1785" s="239"/>
      <c r="W1785" s="246"/>
      <c r="X1785" s="239"/>
      <c r="Y1785" s="239"/>
      <c r="Z1785" s="239"/>
      <c r="AA1785" s="239"/>
      <c r="AB1785" s="239"/>
      <c r="AC1785" s="239"/>
      <c r="AD1785" s="239"/>
      <c r="AE1785" s="239"/>
      <c r="AF1785" s="239"/>
      <c r="AG1785" s="239"/>
      <c r="AH1785" s="239"/>
      <c r="AI1785" s="239"/>
      <c r="AJ1785" s="239"/>
    </row>
    <row r="1786">
      <c r="A1786" s="239"/>
      <c r="B1786" s="239"/>
      <c r="C1786" s="239"/>
      <c r="D1786" s="239"/>
      <c r="E1786" s="239"/>
      <c r="F1786" s="283"/>
      <c r="G1786" s="239"/>
      <c r="H1786" s="239"/>
      <c r="I1786" s="239"/>
      <c r="J1786" s="239"/>
      <c r="K1786" s="239"/>
      <c r="L1786" s="239"/>
      <c r="M1786" s="239"/>
      <c r="N1786" s="239"/>
      <c r="O1786" s="239"/>
      <c r="P1786" s="246"/>
      <c r="Q1786" s="239"/>
      <c r="R1786" s="239"/>
      <c r="S1786" s="239"/>
      <c r="T1786" s="239"/>
      <c r="U1786" s="239"/>
      <c r="V1786" s="239"/>
      <c r="W1786" s="246"/>
      <c r="X1786" s="239"/>
      <c r="Y1786" s="239"/>
      <c r="Z1786" s="239"/>
      <c r="AA1786" s="239"/>
      <c r="AB1786" s="239"/>
      <c r="AC1786" s="239"/>
      <c r="AD1786" s="239"/>
      <c r="AE1786" s="239"/>
      <c r="AF1786" s="239"/>
      <c r="AG1786" s="239"/>
      <c r="AH1786" s="239"/>
      <c r="AI1786" s="239"/>
      <c r="AJ1786" s="239"/>
    </row>
    <row r="1787">
      <c r="A1787" s="239"/>
      <c r="B1787" s="239"/>
      <c r="C1787" s="239"/>
      <c r="D1787" s="239"/>
      <c r="E1787" s="239"/>
      <c r="F1787" s="283"/>
      <c r="G1787" s="239"/>
      <c r="H1787" s="239"/>
      <c r="I1787" s="239"/>
      <c r="J1787" s="239"/>
      <c r="K1787" s="239"/>
      <c r="L1787" s="239"/>
      <c r="M1787" s="239"/>
      <c r="N1787" s="239"/>
      <c r="O1787" s="239"/>
      <c r="P1787" s="246"/>
      <c r="Q1787" s="239"/>
      <c r="R1787" s="239"/>
      <c r="S1787" s="239"/>
      <c r="T1787" s="239"/>
      <c r="U1787" s="239"/>
      <c r="V1787" s="239"/>
      <c r="W1787" s="246"/>
      <c r="X1787" s="239"/>
      <c r="Y1787" s="239"/>
      <c r="Z1787" s="239"/>
      <c r="AA1787" s="239"/>
      <c r="AB1787" s="239"/>
      <c r="AC1787" s="239"/>
      <c r="AD1787" s="239"/>
      <c r="AE1787" s="239"/>
      <c r="AF1787" s="239"/>
      <c r="AG1787" s="239"/>
      <c r="AH1787" s="239"/>
      <c r="AI1787" s="239"/>
      <c r="AJ1787" s="239"/>
    </row>
    <row r="1788">
      <c r="A1788" s="239"/>
      <c r="B1788" s="239"/>
      <c r="C1788" s="239"/>
      <c r="D1788" s="239"/>
      <c r="E1788" s="239"/>
      <c r="F1788" s="283"/>
      <c r="G1788" s="239"/>
      <c r="H1788" s="239"/>
      <c r="I1788" s="239"/>
      <c r="J1788" s="239"/>
      <c r="K1788" s="239"/>
      <c r="L1788" s="239"/>
      <c r="M1788" s="239"/>
      <c r="N1788" s="239"/>
      <c r="O1788" s="239"/>
      <c r="P1788" s="246"/>
      <c r="Q1788" s="239"/>
      <c r="R1788" s="239"/>
      <c r="S1788" s="239"/>
      <c r="T1788" s="239"/>
      <c r="U1788" s="239"/>
      <c r="V1788" s="239"/>
      <c r="W1788" s="246"/>
      <c r="X1788" s="239"/>
      <c r="Y1788" s="239"/>
      <c r="Z1788" s="239"/>
      <c r="AA1788" s="239"/>
      <c r="AB1788" s="239"/>
      <c r="AC1788" s="239"/>
      <c r="AD1788" s="239"/>
      <c r="AE1788" s="239"/>
      <c r="AF1788" s="239"/>
      <c r="AG1788" s="239"/>
      <c r="AH1788" s="239"/>
      <c r="AI1788" s="239"/>
      <c r="AJ1788" s="239"/>
    </row>
    <row r="1789">
      <c r="A1789" s="239"/>
      <c r="B1789" s="239"/>
      <c r="C1789" s="239"/>
      <c r="D1789" s="239"/>
      <c r="E1789" s="239"/>
      <c r="F1789" s="283"/>
      <c r="G1789" s="239"/>
      <c r="H1789" s="239"/>
      <c r="I1789" s="239"/>
      <c r="J1789" s="239"/>
      <c r="K1789" s="239"/>
      <c r="L1789" s="239"/>
      <c r="M1789" s="239"/>
      <c r="N1789" s="239"/>
      <c r="O1789" s="239"/>
      <c r="P1789" s="246"/>
      <c r="Q1789" s="239"/>
      <c r="R1789" s="239"/>
      <c r="S1789" s="239"/>
      <c r="T1789" s="239"/>
      <c r="U1789" s="239"/>
      <c r="V1789" s="239"/>
      <c r="W1789" s="246"/>
      <c r="X1789" s="239"/>
      <c r="Y1789" s="239"/>
      <c r="Z1789" s="239"/>
      <c r="AA1789" s="239"/>
      <c r="AB1789" s="239"/>
      <c r="AC1789" s="239"/>
      <c r="AD1789" s="239"/>
      <c r="AE1789" s="239"/>
      <c r="AF1789" s="239"/>
      <c r="AG1789" s="239"/>
      <c r="AH1789" s="239"/>
      <c r="AI1789" s="239"/>
      <c r="AJ1789" s="239"/>
    </row>
    <row r="1790">
      <c r="A1790" s="239"/>
      <c r="B1790" s="239"/>
      <c r="C1790" s="239"/>
      <c r="D1790" s="239"/>
      <c r="E1790" s="239"/>
      <c r="F1790" s="283"/>
      <c r="G1790" s="239"/>
      <c r="H1790" s="239"/>
      <c r="I1790" s="239"/>
      <c r="J1790" s="239"/>
      <c r="K1790" s="239"/>
      <c r="L1790" s="239"/>
      <c r="M1790" s="239"/>
      <c r="N1790" s="239"/>
      <c r="O1790" s="239"/>
      <c r="P1790" s="246"/>
      <c r="Q1790" s="239"/>
      <c r="R1790" s="239"/>
      <c r="S1790" s="239"/>
      <c r="T1790" s="239"/>
      <c r="U1790" s="239"/>
      <c r="V1790" s="239"/>
      <c r="W1790" s="246"/>
      <c r="X1790" s="239"/>
      <c r="Y1790" s="239"/>
      <c r="Z1790" s="239"/>
      <c r="AA1790" s="239"/>
      <c r="AB1790" s="239"/>
      <c r="AC1790" s="239"/>
      <c r="AD1790" s="239"/>
      <c r="AE1790" s="239"/>
      <c r="AF1790" s="239"/>
      <c r="AG1790" s="239"/>
      <c r="AH1790" s="239"/>
      <c r="AI1790" s="239"/>
      <c r="AJ1790" s="239"/>
    </row>
    <row r="1791">
      <c r="A1791" s="239"/>
      <c r="B1791" s="239"/>
      <c r="C1791" s="239"/>
      <c r="D1791" s="239"/>
      <c r="E1791" s="239"/>
      <c r="F1791" s="283"/>
      <c r="G1791" s="239"/>
      <c r="H1791" s="239"/>
      <c r="I1791" s="239"/>
      <c r="J1791" s="239"/>
      <c r="K1791" s="239"/>
      <c r="L1791" s="239"/>
      <c r="M1791" s="239"/>
      <c r="N1791" s="239"/>
      <c r="O1791" s="239"/>
      <c r="P1791" s="246"/>
      <c r="Q1791" s="239"/>
      <c r="R1791" s="239"/>
      <c r="S1791" s="239"/>
      <c r="T1791" s="239"/>
      <c r="U1791" s="239"/>
      <c r="V1791" s="239"/>
      <c r="W1791" s="246"/>
      <c r="X1791" s="239"/>
      <c r="Y1791" s="239"/>
      <c r="Z1791" s="239"/>
      <c r="AA1791" s="239"/>
      <c r="AB1791" s="239"/>
      <c r="AC1791" s="239"/>
      <c r="AD1791" s="239"/>
      <c r="AE1791" s="239"/>
      <c r="AF1791" s="239"/>
      <c r="AG1791" s="239"/>
      <c r="AH1791" s="239"/>
      <c r="AI1791" s="239"/>
      <c r="AJ1791" s="239"/>
    </row>
    <row r="1792">
      <c r="A1792" s="239"/>
      <c r="B1792" s="239"/>
      <c r="C1792" s="239"/>
      <c r="D1792" s="239"/>
      <c r="E1792" s="239"/>
      <c r="F1792" s="283"/>
      <c r="G1792" s="239"/>
      <c r="H1792" s="239"/>
      <c r="I1792" s="239"/>
      <c r="J1792" s="239"/>
      <c r="K1792" s="239"/>
      <c r="L1792" s="239"/>
      <c r="M1792" s="239"/>
      <c r="N1792" s="239"/>
      <c r="O1792" s="239"/>
      <c r="P1792" s="246"/>
      <c r="Q1792" s="239"/>
      <c r="R1792" s="239"/>
      <c r="S1792" s="239"/>
      <c r="T1792" s="239"/>
      <c r="U1792" s="239"/>
      <c r="V1792" s="239"/>
      <c r="W1792" s="246"/>
      <c r="X1792" s="239"/>
      <c r="Y1792" s="239"/>
      <c r="Z1792" s="239"/>
      <c r="AA1792" s="239"/>
      <c r="AB1792" s="239"/>
      <c r="AC1792" s="239"/>
      <c r="AD1792" s="239"/>
      <c r="AE1792" s="239"/>
      <c r="AF1792" s="239"/>
      <c r="AG1792" s="239"/>
      <c r="AH1792" s="239"/>
      <c r="AI1792" s="239"/>
      <c r="AJ1792" s="239"/>
    </row>
    <row r="1793">
      <c r="A1793" s="239"/>
      <c r="B1793" s="239"/>
      <c r="C1793" s="239"/>
      <c r="D1793" s="239"/>
      <c r="E1793" s="239"/>
      <c r="F1793" s="283"/>
      <c r="G1793" s="239"/>
      <c r="H1793" s="239"/>
      <c r="I1793" s="239"/>
      <c r="J1793" s="239"/>
      <c r="K1793" s="239"/>
      <c r="L1793" s="239"/>
      <c r="M1793" s="239"/>
      <c r="N1793" s="239"/>
      <c r="O1793" s="239"/>
      <c r="P1793" s="246"/>
      <c r="Q1793" s="239"/>
      <c r="R1793" s="239"/>
      <c r="S1793" s="239"/>
      <c r="T1793" s="239"/>
      <c r="U1793" s="239"/>
      <c r="V1793" s="239"/>
      <c r="W1793" s="246"/>
      <c r="X1793" s="239"/>
      <c r="Y1793" s="239"/>
      <c r="Z1793" s="239"/>
      <c r="AA1793" s="239"/>
      <c r="AB1793" s="239"/>
      <c r="AC1793" s="239"/>
      <c r="AD1793" s="239"/>
      <c r="AE1793" s="239"/>
      <c r="AF1793" s="239"/>
      <c r="AG1793" s="239"/>
      <c r="AH1793" s="239"/>
      <c r="AI1793" s="239"/>
      <c r="AJ1793" s="239"/>
    </row>
    <row r="1794">
      <c r="A1794" s="239"/>
      <c r="B1794" s="239"/>
      <c r="C1794" s="239"/>
      <c r="D1794" s="239"/>
      <c r="E1794" s="239"/>
      <c r="F1794" s="283"/>
      <c r="G1794" s="239"/>
      <c r="H1794" s="239"/>
      <c r="I1794" s="239"/>
      <c r="J1794" s="239"/>
      <c r="K1794" s="239"/>
      <c r="L1794" s="239"/>
      <c r="M1794" s="239"/>
      <c r="N1794" s="239"/>
      <c r="O1794" s="239"/>
      <c r="P1794" s="246"/>
      <c r="Q1794" s="239"/>
      <c r="R1794" s="239"/>
      <c r="S1794" s="239"/>
      <c r="T1794" s="239"/>
      <c r="U1794" s="239"/>
      <c r="V1794" s="239"/>
      <c r="W1794" s="246"/>
      <c r="X1794" s="239"/>
      <c r="Y1794" s="239"/>
      <c r="Z1794" s="239"/>
      <c r="AA1794" s="239"/>
      <c r="AB1794" s="239"/>
      <c r="AC1794" s="239"/>
      <c r="AD1794" s="239"/>
      <c r="AE1794" s="239"/>
      <c r="AF1794" s="239"/>
      <c r="AG1794" s="239"/>
      <c r="AH1794" s="239"/>
      <c r="AI1794" s="239"/>
      <c r="AJ1794" s="239"/>
    </row>
    <row r="1795">
      <c r="A1795" s="239"/>
      <c r="B1795" s="239"/>
      <c r="C1795" s="239"/>
      <c r="D1795" s="239"/>
      <c r="E1795" s="239"/>
      <c r="F1795" s="283"/>
      <c r="G1795" s="239"/>
      <c r="H1795" s="239"/>
      <c r="I1795" s="239"/>
      <c r="J1795" s="239"/>
      <c r="K1795" s="239"/>
      <c r="L1795" s="239"/>
      <c r="M1795" s="239"/>
      <c r="N1795" s="239"/>
      <c r="O1795" s="239"/>
      <c r="P1795" s="246"/>
      <c r="Q1795" s="239"/>
      <c r="R1795" s="239"/>
      <c r="S1795" s="239"/>
      <c r="T1795" s="239"/>
      <c r="U1795" s="239"/>
      <c r="V1795" s="239"/>
      <c r="W1795" s="246"/>
      <c r="X1795" s="239"/>
      <c r="Y1795" s="239"/>
      <c r="Z1795" s="239"/>
      <c r="AA1795" s="239"/>
      <c r="AB1795" s="239"/>
      <c r="AC1795" s="239"/>
      <c r="AD1795" s="239"/>
      <c r="AE1795" s="239"/>
      <c r="AF1795" s="239"/>
      <c r="AG1795" s="239"/>
      <c r="AH1795" s="239"/>
      <c r="AI1795" s="239"/>
      <c r="AJ1795" s="239"/>
    </row>
    <row r="1796">
      <c r="A1796" s="239"/>
      <c r="B1796" s="239"/>
      <c r="C1796" s="239"/>
      <c r="D1796" s="239"/>
      <c r="E1796" s="239"/>
      <c r="F1796" s="283"/>
      <c r="G1796" s="239"/>
      <c r="H1796" s="239"/>
      <c r="I1796" s="239"/>
      <c r="J1796" s="239"/>
      <c r="K1796" s="239"/>
      <c r="L1796" s="239"/>
      <c r="M1796" s="239"/>
      <c r="N1796" s="239"/>
      <c r="O1796" s="239"/>
      <c r="P1796" s="246"/>
      <c r="Q1796" s="239"/>
      <c r="R1796" s="239"/>
      <c r="S1796" s="239"/>
      <c r="T1796" s="239"/>
      <c r="U1796" s="239"/>
      <c r="V1796" s="239"/>
      <c r="W1796" s="246"/>
      <c r="X1796" s="239"/>
      <c r="Y1796" s="239"/>
      <c r="Z1796" s="239"/>
      <c r="AA1796" s="239"/>
      <c r="AB1796" s="239"/>
      <c r="AC1796" s="239"/>
      <c r="AD1796" s="239"/>
      <c r="AE1796" s="239"/>
      <c r="AF1796" s="239"/>
      <c r="AG1796" s="239"/>
      <c r="AH1796" s="239"/>
      <c r="AI1796" s="239"/>
      <c r="AJ1796" s="239"/>
    </row>
    <row r="1797">
      <c r="A1797" s="239"/>
      <c r="B1797" s="239"/>
      <c r="C1797" s="239"/>
      <c r="D1797" s="239"/>
      <c r="E1797" s="239"/>
      <c r="F1797" s="283"/>
      <c r="G1797" s="239"/>
      <c r="H1797" s="239"/>
      <c r="I1797" s="239"/>
      <c r="J1797" s="239"/>
      <c r="K1797" s="239"/>
      <c r="L1797" s="239"/>
      <c r="M1797" s="239"/>
      <c r="N1797" s="239"/>
      <c r="O1797" s="239"/>
      <c r="P1797" s="246"/>
      <c r="Q1797" s="239"/>
      <c r="R1797" s="239"/>
      <c r="S1797" s="239"/>
      <c r="T1797" s="239"/>
      <c r="U1797" s="239"/>
      <c r="V1797" s="239"/>
      <c r="W1797" s="246"/>
      <c r="X1797" s="239"/>
      <c r="Y1797" s="239"/>
      <c r="Z1797" s="239"/>
      <c r="AA1797" s="239"/>
      <c r="AB1797" s="239"/>
      <c r="AC1797" s="239"/>
      <c r="AD1797" s="239"/>
      <c r="AE1797" s="239"/>
      <c r="AF1797" s="239"/>
      <c r="AG1797" s="239"/>
      <c r="AH1797" s="239"/>
      <c r="AI1797" s="239"/>
      <c r="AJ1797" s="239"/>
    </row>
    <row r="1798">
      <c r="A1798" s="239"/>
      <c r="B1798" s="239"/>
      <c r="C1798" s="239"/>
      <c r="D1798" s="239"/>
      <c r="E1798" s="239"/>
      <c r="F1798" s="283"/>
      <c r="G1798" s="239"/>
      <c r="H1798" s="239"/>
      <c r="I1798" s="239"/>
      <c r="J1798" s="239"/>
      <c r="K1798" s="239"/>
      <c r="L1798" s="239"/>
      <c r="M1798" s="239"/>
      <c r="N1798" s="239"/>
      <c r="O1798" s="239"/>
      <c r="P1798" s="246"/>
      <c r="Q1798" s="239"/>
      <c r="R1798" s="239"/>
      <c r="S1798" s="239"/>
      <c r="T1798" s="239"/>
      <c r="U1798" s="239"/>
      <c r="V1798" s="239"/>
      <c r="W1798" s="246"/>
      <c r="X1798" s="239"/>
      <c r="Y1798" s="239"/>
      <c r="Z1798" s="239"/>
      <c r="AA1798" s="239"/>
      <c r="AB1798" s="239"/>
      <c r="AC1798" s="239"/>
      <c r="AD1798" s="239"/>
      <c r="AE1798" s="239"/>
      <c r="AF1798" s="239"/>
      <c r="AG1798" s="239"/>
      <c r="AH1798" s="239"/>
      <c r="AI1798" s="239"/>
      <c r="AJ1798" s="239"/>
    </row>
    <row r="1799">
      <c r="A1799" s="239"/>
      <c r="B1799" s="239"/>
      <c r="C1799" s="239"/>
      <c r="D1799" s="239"/>
      <c r="E1799" s="239"/>
      <c r="F1799" s="283"/>
      <c r="G1799" s="239"/>
      <c r="H1799" s="239"/>
      <c r="I1799" s="239"/>
      <c r="J1799" s="239"/>
      <c r="K1799" s="239"/>
      <c r="L1799" s="239"/>
      <c r="M1799" s="239"/>
      <c r="N1799" s="239"/>
      <c r="O1799" s="239"/>
      <c r="P1799" s="246"/>
      <c r="Q1799" s="239"/>
      <c r="R1799" s="239"/>
      <c r="S1799" s="239"/>
      <c r="T1799" s="239"/>
      <c r="U1799" s="239"/>
      <c r="V1799" s="239"/>
      <c r="W1799" s="246"/>
      <c r="X1799" s="239"/>
      <c r="Y1799" s="239"/>
      <c r="Z1799" s="239"/>
      <c r="AA1799" s="239"/>
      <c r="AB1799" s="239"/>
      <c r="AC1799" s="239"/>
      <c r="AD1799" s="239"/>
      <c r="AE1799" s="239"/>
      <c r="AF1799" s="239"/>
      <c r="AG1799" s="239"/>
      <c r="AH1799" s="239"/>
      <c r="AI1799" s="239"/>
      <c r="AJ1799" s="239"/>
    </row>
    <row r="1800">
      <c r="A1800" s="239"/>
      <c r="B1800" s="239"/>
      <c r="C1800" s="239"/>
      <c r="D1800" s="239"/>
      <c r="E1800" s="239"/>
      <c r="F1800" s="283"/>
      <c r="G1800" s="239"/>
      <c r="H1800" s="239"/>
      <c r="I1800" s="239"/>
      <c r="J1800" s="239"/>
      <c r="K1800" s="239"/>
      <c r="L1800" s="239"/>
      <c r="M1800" s="239"/>
      <c r="N1800" s="239"/>
      <c r="O1800" s="239"/>
      <c r="P1800" s="246"/>
      <c r="Q1800" s="239"/>
      <c r="R1800" s="239"/>
      <c r="S1800" s="239"/>
      <c r="T1800" s="239"/>
      <c r="U1800" s="239"/>
      <c r="V1800" s="239"/>
      <c r="W1800" s="246"/>
      <c r="X1800" s="239"/>
      <c r="Y1800" s="239"/>
      <c r="Z1800" s="239"/>
      <c r="AA1800" s="239"/>
      <c r="AB1800" s="239"/>
      <c r="AC1800" s="239"/>
      <c r="AD1800" s="239"/>
      <c r="AE1800" s="239"/>
      <c r="AF1800" s="239"/>
      <c r="AG1800" s="239"/>
      <c r="AH1800" s="239"/>
      <c r="AI1800" s="239"/>
      <c r="AJ1800" s="239"/>
    </row>
    <row r="1801">
      <c r="A1801" s="239"/>
      <c r="B1801" s="239"/>
      <c r="C1801" s="239"/>
      <c r="D1801" s="239"/>
      <c r="E1801" s="239"/>
      <c r="F1801" s="283"/>
      <c r="G1801" s="239"/>
      <c r="H1801" s="239"/>
      <c r="I1801" s="239"/>
      <c r="J1801" s="239"/>
      <c r="K1801" s="239"/>
      <c r="L1801" s="239"/>
      <c r="M1801" s="239"/>
      <c r="N1801" s="239"/>
      <c r="O1801" s="239"/>
      <c r="P1801" s="246"/>
      <c r="Q1801" s="239"/>
      <c r="R1801" s="239"/>
      <c r="S1801" s="239"/>
      <c r="T1801" s="239"/>
      <c r="U1801" s="239"/>
      <c r="V1801" s="239"/>
      <c r="W1801" s="246"/>
      <c r="X1801" s="239"/>
      <c r="Y1801" s="239"/>
      <c r="Z1801" s="239"/>
      <c r="AA1801" s="239"/>
      <c r="AB1801" s="239"/>
      <c r="AC1801" s="239"/>
      <c r="AD1801" s="239"/>
      <c r="AE1801" s="239"/>
      <c r="AF1801" s="239"/>
      <c r="AG1801" s="239"/>
      <c r="AH1801" s="239"/>
      <c r="AI1801" s="239"/>
      <c r="AJ1801" s="239"/>
    </row>
    <row r="1802">
      <c r="A1802" s="239"/>
      <c r="B1802" s="239"/>
      <c r="C1802" s="239"/>
      <c r="D1802" s="239"/>
      <c r="E1802" s="239"/>
      <c r="F1802" s="283"/>
      <c r="G1802" s="239"/>
      <c r="H1802" s="239"/>
      <c r="I1802" s="239"/>
      <c r="J1802" s="239"/>
      <c r="K1802" s="239"/>
      <c r="L1802" s="239"/>
      <c r="M1802" s="239"/>
      <c r="N1802" s="239"/>
      <c r="O1802" s="239"/>
      <c r="P1802" s="246"/>
      <c r="Q1802" s="239"/>
      <c r="R1802" s="239"/>
      <c r="S1802" s="239"/>
      <c r="T1802" s="239"/>
      <c r="U1802" s="239"/>
      <c r="V1802" s="239"/>
      <c r="W1802" s="246"/>
      <c r="X1802" s="239"/>
      <c r="Y1802" s="239"/>
      <c r="Z1802" s="239"/>
      <c r="AA1802" s="239"/>
      <c r="AB1802" s="239"/>
      <c r="AC1802" s="239"/>
      <c r="AD1802" s="239"/>
      <c r="AE1802" s="239"/>
      <c r="AF1802" s="239"/>
      <c r="AG1802" s="239"/>
      <c r="AH1802" s="239"/>
      <c r="AI1802" s="239"/>
      <c r="AJ1802" s="239"/>
    </row>
    <row r="1803">
      <c r="A1803" s="239"/>
      <c r="B1803" s="239"/>
      <c r="C1803" s="239"/>
      <c r="D1803" s="239"/>
      <c r="E1803" s="239"/>
      <c r="F1803" s="283"/>
      <c r="G1803" s="239"/>
      <c r="H1803" s="239"/>
      <c r="I1803" s="239"/>
      <c r="J1803" s="239"/>
      <c r="K1803" s="239"/>
      <c r="L1803" s="239"/>
      <c r="M1803" s="239"/>
      <c r="N1803" s="239"/>
      <c r="O1803" s="239"/>
      <c r="P1803" s="246"/>
      <c r="Q1803" s="239"/>
      <c r="R1803" s="239"/>
      <c r="S1803" s="239"/>
      <c r="T1803" s="239"/>
      <c r="U1803" s="239"/>
      <c r="V1803" s="239"/>
      <c r="W1803" s="246"/>
      <c r="X1803" s="239"/>
      <c r="Y1803" s="239"/>
      <c r="Z1803" s="239"/>
      <c r="AA1803" s="239"/>
      <c r="AB1803" s="239"/>
      <c r="AC1803" s="239"/>
      <c r="AD1803" s="239"/>
      <c r="AE1803" s="239"/>
      <c r="AF1803" s="239"/>
      <c r="AG1803" s="239"/>
      <c r="AH1803" s="239"/>
      <c r="AI1803" s="239"/>
      <c r="AJ1803" s="239"/>
    </row>
    <row r="1804">
      <c r="A1804" s="239"/>
      <c r="B1804" s="239"/>
      <c r="C1804" s="239"/>
      <c r="D1804" s="239"/>
      <c r="E1804" s="239"/>
      <c r="F1804" s="283"/>
      <c r="G1804" s="239"/>
      <c r="H1804" s="239"/>
      <c r="I1804" s="239"/>
      <c r="J1804" s="239"/>
      <c r="K1804" s="239"/>
      <c r="L1804" s="239"/>
      <c r="M1804" s="239"/>
      <c r="N1804" s="239"/>
      <c r="O1804" s="239"/>
      <c r="P1804" s="246"/>
      <c r="Q1804" s="239"/>
      <c r="R1804" s="239"/>
      <c r="S1804" s="239"/>
      <c r="T1804" s="239"/>
      <c r="U1804" s="239"/>
      <c r="V1804" s="239"/>
      <c r="W1804" s="246"/>
      <c r="X1804" s="239"/>
      <c r="Y1804" s="239"/>
      <c r="Z1804" s="239"/>
      <c r="AA1804" s="239"/>
      <c r="AB1804" s="239"/>
      <c r="AC1804" s="239"/>
      <c r="AD1804" s="239"/>
      <c r="AE1804" s="239"/>
      <c r="AF1804" s="239"/>
      <c r="AG1804" s="239"/>
      <c r="AH1804" s="239"/>
      <c r="AI1804" s="239"/>
      <c r="AJ1804" s="239"/>
    </row>
    <row r="1805">
      <c r="A1805" s="239"/>
      <c r="B1805" s="239"/>
      <c r="C1805" s="239"/>
      <c r="D1805" s="239"/>
      <c r="E1805" s="239"/>
      <c r="F1805" s="283"/>
      <c r="G1805" s="239"/>
      <c r="H1805" s="239"/>
      <c r="I1805" s="239"/>
      <c r="J1805" s="239"/>
      <c r="K1805" s="239"/>
      <c r="L1805" s="239"/>
      <c r="M1805" s="239"/>
      <c r="N1805" s="239"/>
      <c r="O1805" s="239"/>
      <c r="P1805" s="246"/>
      <c r="Q1805" s="239"/>
      <c r="R1805" s="239"/>
      <c r="S1805" s="239"/>
      <c r="T1805" s="239"/>
      <c r="U1805" s="239"/>
      <c r="V1805" s="239"/>
      <c r="W1805" s="246"/>
      <c r="X1805" s="239"/>
      <c r="Y1805" s="239"/>
      <c r="Z1805" s="239"/>
      <c r="AA1805" s="239"/>
      <c r="AB1805" s="239"/>
      <c r="AC1805" s="239"/>
      <c r="AD1805" s="239"/>
      <c r="AE1805" s="239"/>
      <c r="AF1805" s="239"/>
      <c r="AG1805" s="239"/>
      <c r="AH1805" s="239"/>
      <c r="AI1805" s="239"/>
      <c r="AJ1805" s="239"/>
    </row>
    <row r="1806">
      <c r="A1806" s="239"/>
      <c r="B1806" s="239"/>
      <c r="C1806" s="239"/>
      <c r="D1806" s="239"/>
      <c r="E1806" s="239"/>
      <c r="F1806" s="283"/>
      <c r="G1806" s="239"/>
      <c r="H1806" s="239"/>
      <c r="I1806" s="239"/>
      <c r="J1806" s="239"/>
      <c r="K1806" s="239"/>
      <c r="L1806" s="239"/>
      <c r="M1806" s="239"/>
      <c r="N1806" s="239"/>
      <c r="O1806" s="239"/>
      <c r="P1806" s="246"/>
      <c r="Q1806" s="239"/>
      <c r="R1806" s="239"/>
      <c r="S1806" s="239"/>
      <c r="T1806" s="239"/>
      <c r="U1806" s="239"/>
      <c r="V1806" s="239"/>
      <c r="W1806" s="246"/>
      <c r="X1806" s="239"/>
      <c r="Y1806" s="239"/>
      <c r="Z1806" s="239"/>
      <c r="AA1806" s="239"/>
      <c r="AB1806" s="239"/>
      <c r="AC1806" s="239"/>
      <c r="AD1806" s="239"/>
      <c r="AE1806" s="239"/>
      <c r="AF1806" s="239"/>
      <c r="AG1806" s="239"/>
      <c r="AH1806" s="239"/>
      <c r="AI1806" s="239"/>
      <c r="AJ1806" s="239"/>
    </row>
    <row r="1807">
      <c r="A1807" s="239"/>
      <c r="B1807" s="239"/>
      <c r="C1807" s="239"/>
      <c r="D1807" s="239"/>
      <c r="E1807" s="239"/>
      <c r="F1807" s="283"/>
      <c r="G1807" s="239"/>
      <c r="H1807" s="239"/>
      <c r="I1807" s="239"/>
      <c r="J1807" s="239"/>
      <c r="K1807" s="239"/>
      <c r="L1807" s="239"/>
      <c r="M1807" s="239"/>
      <c r="N1807" s="239"/>
      <c r="O1807" s="239"/>
      <c r="P1807" s="246"/>
      <c r="Q1807" s="239"/>
      <c r="R1807" s="239"/>
      <c r="S1807" s="239"/>
      <c r="T1807" s="239"/>
      <c r="U1807" s="239"/>
      <c r="V1807" s="239"/>
      <c r="W1807" s="246"/>
      <c r="X1807" s="239"/>
      <c r="Y1807" s="239"/>
      <c r="Z1807" s="239"/>
      <c r="AA1807" s="239"/>
      <c r="AB1807" s="239"/>
      <c r="AC1807" s="239"/>
      <c r="AD1807" s="239"/>
      <c r="AE1807" s="239"/>
      <c r="AF1807" s="239"/>
      <c r="AG1807" s="239"/>
      <c r="AH1807" s="239"/>
      <c r="AI1807" s="239"/>
      <c r="AJ1807" s="239"/>
    </row>
    <row r="1808">
      <c r="A1808" s="239"/>
      <c r="B1808" s="239"/>
      <c r="C1808" s="239"/>
      <c r="D1808" s="239"/>
      <c r="E1808" s="239"/>
      <c r="F1808" s="283"/>
      <c r="G1808" s="239"/>
      <c r="H1808" s="239"/>
      <c r="I1808" s="239"/>
      <c r="J1808" s="239"/>
      <c r="K1808" s="239"/>
      <c r="L1808" s="239"/>
      <c r="M1808" s="239"/>
      <c r="N1808" s="239"/>
      <c r="O1808" s="239"/>
      <c r="P1808" s="246"/>
      <c r="Q1808" s="239"/>
      <c r="R1808" s="239"/>
      <c r="S1808" s="239"/>
      <c r="T1808" s="239"/>
      <c r="U1808" s="239"/>
      <c r="V1808" s="239"/>
      <c r="W1808" s="246"/>
      <c r="X1808" s="239"/>
      <c r="Y1808" s="239"/>
      <c r="Z1808" s="239"/>
      <c r="AA1808" s="239"/>
      <c r="AB1808" s="239"/>
      <c r="AC1808" s="239"/>
      <c r="AD1808" s="239"/>
      <c r="AE1808" s="239"/>
      <c r="AF1808" s="239"/>
      <c r="AG1808" s="239"/>
      <c r="AH1808" s="239"/>
      <c r="AI1808" s="239"/>
      <c r="AJ1808" s="239"/>
    </row>
    <row r="1809">
      <c r="A1809" s="239"/>
      <c r="B1809" s="239"/>
      <c r="C1809" s="239"/>
      <c r="D1809" s="239"/>
      <c r="E1809" s="239"/>
      <c r="F1809" s="283"/>
      <c r="G1809" s="239"/>
      <c r="H1809" s="239"/>
      <c r="I1809" s="239"/>
      <c r="J1809" s="239"/>
      <c r="K1809" s="239"/>
      <c r="L1809" s="239"/>
      <c r="M1809" s="239"/>
      <c r="N1809" s="239"/>
      <c r="O1809" s="239"/>
      <c r="P1809" s="246"/>
      <c r="Q1809" s="239"/>
      <c r="R1809" s="239"/>
      <c r="S1809" s="239"/>
      <c r="T1809" s="239"/>
      <c r="U1809" s="239"/>
      <c r="V1809" s="239"/>
      <c r="W1809" s="246"/>
      <c r="X1809" s="239"/>
      <c r="Y1809" s="239"/>
      <c r="Z1809" s="239"/>
      <c r="AA1809" s="239"/>
      <c r="AB1809" s="239"/>
      <c r="AC1809" s="239"/>
      <c r="AD1809" s="239"/>
      <c r="AE1809" s="239"/>
      <c r="AF1809" s="239"/>
      <c r="AG1809" s="239"/>
      <c r="AH1809" s="239"/>
      <c r="AI1809" s="239"/>
      <c r="AJ1809" s="239"/>
    </row>
    <row r="1810">
      <c r="A1810" s="239"/>
      <c r="B1810" s="239"/>
      <c r="C1810" s="239"/>
      <c r="D1810" s="239"/>
      <c r="E1810" s="239"/>
      <c r="F1810" s="283"/>
      <c r="G1810" s="239"/>
      <c r="H1810" s="239"/>
      <c r="I1810" s="239"/>
      <c r="J1810" s="239"/>
      <c r="K1810" s="239"/>
      <c r="L1810" s="239"/>
      <c r="M1810" s="239"/>
      <c r="N1810" s="239"/>
      <c r="O1810" s="239"/>
      <c r="P1810" s="246"/>
      <c r="Q1810" s="239"/>
      <c r="R1810" s="239"/>
      <c r="S1810" s="239"/>
      <c r="T1810" s="239"/>
      <c r="U1810" s="239"/>
      <c r="V1810" s="239"/>
      <c r="W1810" s="246"/>
      <c r="X1810" s="239"/>
      <c r="Y1810" s="239"/>
      <c r="Z1810" s="239"/>
      <c r="AA1810" s="239"/>
      <c r="AB1810" s="239"/>
      <c r="AC1810" s="239"/>
      <c r="AD1810" s="239"/>
      <c r="AE1810" s="239"/>
      <c r="AF1810" s="239"/>
      <c r="AG1810" s="239"/>
      <c r="AH1810" s="239"/>
      <c r="AI1810" s="239"/>
      <c r="AJ1810" s="239"/>
    </row>
    <row r="1811">
      <c r="A1811" s="239"/>
      <c r="B1811" s="239"/>
      <c r="C1811" s="239"/>
      <c r="D1811" s="239"/>
      <c r="E1811" s="239"/>
      <c r="F1811" s="283"/>
      <c r="G1811" s="239"/>
      <c r="H1811" s="239"/>
      <c r="I1811" s="239"/>
      <c r="J1811" s="239"/>
      <c r="K1811" s="239"/>
      <c r="L1811" s="239"/>
      <c r="M1811" s="239"/>
      <c r="N1811" s="239"/>
      <c r="O1811" s="239"/>
      <c r="P1811" s="246"/>
      <c r="Q1811" s="239"/>
      <c r="R1811" s="239"/>
      <c r="S1811" s="239"/>
      <c r="T1811" s="239"/>
      <c r="U1811" s="239"/>
      <c r="V1811" s="239"/>
      <c r="W1811" s="246"/>
      <c r="X1811" s="239"/>
      <c r="Y1811" s="239"/>
      <c r="Z1811" s="239"/>
      <c r="AA1811" s="239"/>
      <c r="AB1811" s="239"/>
      <c r="AC1811" s="239"/>
      <c r="AD1811" s="239"/>
      <c r="AE1811" s="239"/>
      <c r="AF1811" s="239"/>
      <c r="AG1811" s="239"/>
      <c r="AH1811" s="239"/>
      <c r="AI1811" s="239"/>
      <c r="AJ1811" s="239"/>
    </row>
    <row r="1812">
      <c r="A1812" s="239"/>
      <c r="B1812" s="239"/>
      <c r="C1812" s="239"/>
      <c r="D1812" s="239"/>
      <c r="E1812" s="239"/>
      <c r="F1812" s="283"/>
      <c r="G1812" s="239"/>
      <c r="H1812" s="239"/>
      <c r="I1812" s="239"/>
      <c r="J1812" s="239"/>
      <c r="K1812" s="239"/>
      <c r="L1812" s="239"/>
      <c r="M1812" s="239"/>
      <c r="N1812" s="239"/>
      <c r="O1812" s="239"/>
      <c r="P1812" s="246"/>
      <c r="Q1812" s="239"/>
      <c r="R1812" s="239"/>
      <c r="S1812" s="239"/>
      <c r="T1812" s="239"/>
      <c r="U1812" s="239"/>
      <c r="V1812" s="239"/>
      <c r="W1812" s="246"/>
      <c r="X1812" s="239"/>
      <c r="Y1812" s="239"/>
      <c r="Z1812" s="239"/>
      <c r="AA1812" s="239"/>
      <c r="AB1812" s="239"/>
      <c r="AC1812" s="239"/>
      <c r="AD1812" s="239"/>
      <c r="AE1812" s="239"/>
      <c r="AF1812" s="239"/>
      <c r="AG1812" s="239"/>
      <c r="AH1812" s="239"/>
      <c r="AI1812" s="239"/>
      <c r="AJ1812" s="239"/>
    </row>
    <row r="1813">
      <c r="A1813" s="239"/>
      <c r="B1813" s="239"/>
      <c r="C1813" s="239"/>
      <c r="D1813" s="239"/>
      <c r="E1813" s="239"/>
      <c r="F1813" s="283"/>
      <c r="G1813" s="239"/>
      <c r="H1813" s="239"/>
      <c r="I1813" s="239"/>
      <c r="J1813" s="239"/>
      <c r="K1813" s="239"/>
      <c r="L1813" s="239"/>
      <c r="M1813" s="239"/>
      <c r="N1813" s="239"/>
      <c r="O1813" s="239"/>
      <c r="P1813" s="246"/>
      <c r="Q1813" s="239"/>
      <c r="R1813" s="239"/>
      <c r="S1813" s="239"/>
      <c r="T1813" s="239"/>
      <c r="U1813" s="239"/>
      <c r="V1813" s="239"/>
      <c r="W1813" s="246"/>
      <c r="X1813" s="239"/>
      <c r="Y1813" s="239"/>
      <c r="Z1813" s="239"/>
      <c r="AA1813" s="239"/>
      <c r="AB1813" s="239"/>
      <c r="AC1813" s="239"/>
      <c r="AD1813" s="239"/>
      <c r="AE1813" s="239"/>
      <c r="AF1813" s="239"/>
      <c r="AG1813" s="239"/>
      <c r="AH1813" s="239"/>
      <c r="AI1813" s="239"/>
      <c r="AJ1813" s="239"/>
    </row>
    <row r="1814">
      <c r="A1814" s="239"/>
      <c r="B1814" s="239"/>
      <c r="C1814" s="239"/>
      <c r="D1814" s="239"/>
      <c r="E1814" s="239"/>
      <c r="F1814" s="283"/>
      <c r="G1814" s="239"/>
      <c r="H1814" s="239"/>
      <c r="I1814" s="239"/>
      <c r="J1814" s="239"/>
      <c r="K1814" s="239"/>
      <c r="L1814" s="239"/>
      <c r="M1814" s="239"/>
      <c r="N1814" s="239"/>
      <c r="O1814" s="239"/>
      <c r="P1814" s="246"/>
      <c r="Q1814" s="239"/>
      <c r="R1814" s="239"/>
      <c r="S1814" s="239"/>
      <c r="T1814" s="239"/>
      <c r="U1814" s="239"/>
      <c r="V1814" s="239"/>
      <c r="W1814" s="246"/>
      <c r="X1814" s="239"/>
      <c r="Y1814" s="239"/>
      <c r="Z1814" s="239"/>
      <c r="AA1814" s="239"/>
      <c r="AB1814" s="239"/>
      <c r="AC1814" s="239"/>
      <c r="AD1814" s="239"/>
      <c r="AE1814" s="239"/>
      <c r="AF1814" s="239"/>
      <c r="AG1814" s="239"/>
      <c r="AH1814" s="239"/>
      <c r="AI1814" s="239"/>
      <c r="AJ1814" s="239"/>
    </row>
    <row r="1815">
      <c r="A1815" s="239"/>
      <c r="B1815" s="239"/>
      <c r="C1815" s="239"/>
      <c r="D1815" s="239"/>
      <c r="E1815" s="239"/>
      <c r="F1815" s="283"/>
      <c r="G1815" s="239"/>
      <c r="H1815" s="239"/>
      <c r="I1815" s="239"/>
      <c r="J1815" s="239"/>
      <c r="K1815" s="239"/>
      <c r="L1815" s="239"/>
      <c r="M1815" s="239"/>
      <c r="N1815" s="239"/>
      <c r="O1815" s="239"/>
      <c r="P1815" s="246"/>
      <c r="Q1815" s="239"/>
      <c r="R1815" s="239"/>
      <c r="S1815" s="239"/>
      <c r="T1815" s="239"/>
      <c r="U1815" s="239"/>
      <c r="V1815" s="239"/>
      <c r="W1815" s="246"/>
      <c r="X1815" s="239"/>
      <c r="Y1815" s="239"/>
      <c r="Z1815" s="239"/>
      <c r="AA1815" s="239"/>
      <c r="AB1815" s="239"/>
      <c r="AC1815" s="239"/>
      <c r="AD1815" s="239"/>
      <c r="AE1815" s="239"/>
      <c r="AF1815" s="239"/>
      <c r="AG1815" s="239"/>
      <c r="AH1815" s="239"/>
      <c r="AI1815" s="239"/>
      <c r="AJ1815" s="239"/>
    </row>
    <row r="1816">
      <c r="A1816" s="239"/>
      <c r="B1816" s="239"/>
      <c r="C1816" s="239"/>
      <c r="D1816" s="239"/>
      <c r="E1816" s="239"/>
      <c r="F1816" s="283"/>
      <c r="G1816" s="239"/>
      <c r="H1816" s="239"/>
      <c r="I1816" s="239"/>
      <c r="J1816" s="239"/>
      <c r="K1816" s="239"/>
      <c r="L1816" s="239"/>
      <c r="M1816" s="239"/>
      <c r="N1816" s="239"/>
      <c r="O1816" s="239"/>
      <c r="P1816" s="246"/>
      <c r="Q1816" s="239"/>
      <c r="R1816" s="239"/>
      <c r="S1816" s="239"/>
      <c r="T1816" s="239"/>
      <c r="U1816" s="239"/>
      <c r="V1816" s="239"/>
      <c r="W1816" s="246"/>
      <c r="X1816" s="239"/>
      <c r="Y1816" s="239"/>
      <c r="Z1816" s="239"/>
      <c r="AA1816" s="239"/>
      <c r="AB1816" s="239"/>
      <c r="AC1816" s="239"/>
      <c r="AD1816" s="239"/>
      <c r="AE1816" s="239"/>
      <c r="AF1816" s="239"/>
      <c r="AG1816" s="239"/>
      <c r="AH1816" s="239"/>
      <c r="AI1816" s="239"/>
      <c r="AJ1816" s="239"/>
    </row>
    <row r="1817">
      <c r="A1817" s="239"/>
      <c r="B1817" s="239"/>
      <c r="C1817" s="239"/>
      <c r="D1817" s="239"/>
      <c r="E1817" s="239"/>
      <c r="F1817" s="283"/>
      <c r="G1817" s="239"/>
      <c r="H1817" s="239"/>
      <c r="I1817" s="239"/>
      <c r="J1817" s="239"/>
      <c r="K1817" s="239"/>
      <c r="L1817" s="239"/>
      <c r="M1817" s="239"/>
      <c r="N1817" s="239"/>
      <c r="O1817" s="239"/>
      <c r="P1817" s="246"/>
      <c r="Q1817" s="239"/>
      <c r="R1817" s="239"/>
      <c r="S1817" s="239"/>
      <c r="T1817" s="239"/>
      <c r="U1817" s="239"/>
      <c r="V1817" s="239"/>
      <c r="W1817" s="246"/>
      <c r="X1817" s="239"/>
      <c r="Y1817" s="239"/>
      <c r="Z1817" s="239"/>
      <c r="AA1817" s="239"/>
      <c r="AB1817" s="239"/>
      <c r="AC1817" s="239"/>
      <c r="AD1817" s="239"/>
      <c r="AE1817" s="239"/>
      <c r="AF1817" s="239"/>
      <c r="AG1817" s="239"/>
      <c r="AH1817" s="239"/>
      <c r="AI1817" s="239"/>
      <c r="AJ1817" s="239"/>
    </row>
    <row r="1818">
      <c r="A1818" s="239"/>
      <c r="B1818" s="239"/>
      <c r="C1818" s="239"/>
      <c r="D1818" s="239"/>
      <c r="E1818" s="239"/>
      <c r="F1818" s="283"/>
      <c r="G1818" s="239"/>
      <c r="H1818" s="239"/>
      <c r="I1818" s="239"/>
      <c r="J1818" s="239"/>
      <c r="K1818" s="239"/>
      <c r="L1818" s="239"/>
      <c r="M1818" s="239"/>
      <c r="N1818" s="239"/>
      <c r="O1818" s="239"/>
      <c r="P1818" s="246"/>
      <c r="Q1818" s="239"/>
      <c r="R1818" s="239"/>
      <c r="S1818" s="239"/>
      <c r="T1818" s="239"/>
      <c r="U1818" s="239"/>
      <c r="V1818" s="239"/>
      <c r="W1818" s="246"/>
      <c r="X1818" s="239"/>
      <c r="Y1818" s="239"/>
      <c r="Z1818" s="239"/>
      <c r="AA1818" s="239"/>
      <c r="AB1818" s="239"/>
      <c r="AC1818" s="239"/>
      <c r="AD1818" s="239"/>
      <c r="AE1818" s="239"/>
      <c r="AF1818" s="239"/>
      <c r="AG1818" s="239"/>
      <c r="AH1818" s="239"/>
      <c r="AI1818" s="239"/>
      <c r="AJ1818" s="239"/>
    </row>
    <row r="1819">
      <c r="A1819" s="239"/>
      <c r="B1819" s="239"/>
      <c r="C1819" s="239"/>
      <c r="D1819" s="239"/>
      <c r="E1819" s="239"/>
      <c r="F1819" s="283"/>
      <c r="G1819" s="239"/>
      <c r="H1819" s="239"/>
      <c r="I1819" s="239"/>
      <c r="J1819" s="239"/>
      <c r="K1819" s="239"/>
      <c r="L1819" s="239"/>
      <c r="M1819" s="239"/>
      <c r="N1819" s="239"/>
      <c r="O1819" s="239"/>
      <c r="P1819" s="246"/>
      <c r="Q1819" s="239"/>
      <c r="R1819" s="239"/>
      <c r="S1819" s="239"/>
      <c r="T1819" s="239"/>
      <c r="U1819" s="239"/>
      <c r="V1819" s="239"/>
      <c r="W1819" s="246"/>
      <c r="X1819" s="239"/>
      <c r="Y1819" s="239"/>
      <c r="Z1819" s="239"/>
      <c r="AA1819" s="239"/>
      <c r="AB1819" s="239"/>
      <c r="AC1819" s="239"/>
      <c r="AD1819" s="239"/>
      <c r="AE1819" s="239"/>
      <c r="AF1819" s="239"/>
      <c r="AG1819" s="239"/>
      <c r="AH1819" s="239"/>
      <c r="AI1819" s="239"/>
      <c r="AJ1819" s="239"/>
    </row>
    <row r="1820">
      <c r="A1820" s="239"/>
      <c r="B1820" s="239"/>
      <c r="C1820" s="239"/>
      <c r="D1820" s="239"/>
      <c r="E1820" s="239"/>
      <c r="F1820" s="283"/>
      <c r="G1820" s="239"/>
      <c r="H1820" s="239"/>
      <c r="I1820" s="239"/>
      <c r="J1820" s="239"/>
      <c r="K1820" s="239"/>
      <c r="L1820" s="239"/>
      <c r="M1820" s="239"/>
      <c r="N1820" s="239"/>
      <c r="O1820" s="239"/>
      <c r="P1820" s="246"/>
      <c r="Q1820" s="239"/>
      <c r="R1820" s="239"/>
      <c r="S1820" s="239"/>
      <c r="T1820" s="239"/>
      <c r="U1820" s="239"/>
      <c r="V1820" s="239"/>
      <c r="W1820" s="246"/>
      <c r="X1820" s="239"/>
      <c r="Y1820" s="239"/>
      <c r="Z1820" s="239"/>
      <c r="AA1820" s="239"/>
      <c r="AB1820" s="239"/>
      <c r="AC1820" s="239"/>
      <c r="AD1820" s="239"/>
      <c r="AE1820" s="239"/>
      <c r="AF1820" s="239"/>
      <c r="AG1820" s="239"/>
      <c r="AH1820" s="239"/>
      <c r="AI1820" s="239"/>
      <c r="AJ1820" s="239"/>
    </row>
    <row r="1821">
      <c r="A1821" s="239"/>
      <c r="B1821" s="239"/>
      <c r="C1821" s="239"/>
      <c r="D1821" s="239"/>
      <c r="E1821" s="239"/>
      <c r="F1821" s="283"/>
      <c r="G1821" s="239"/>
      <c r="H1821" s="239"/>
      <c r="I1821" s="239"/>
      <c r="J1821" s="239"/>
      <c r="K1821" s="239"/>
      <c r="L1821" s="239"/>
      <c r="M1821" s="239"/>
      <c r="N1821" s="239"/>
      <c r="O1821" s="239"/>
      <c r="P1821" s="246"/>
      <c r="Q1821" s="239"/>
      <c r="R1821" s="239"/>
      <c r="S1821" s="239"/>
      <c r="T1821" s="239"/>
      <c r="U1821" s="239"/>
      <c r="V1821" s="239"/>
      <c r="W1821" s="246"/>
      <c r="X1821" s="239"/>
      <c r="Y1821" s="239"/>
      <c r="Z1821" s="239"/>
      <c r="AA1821" s="239"/>
      <c r="AB1821" s="239"/>
      <c r="AC1821" s="239"/>
      <c r="AD1821" s="239"/>
      <c r="AE1821" s="239"/>
      <c r="AF1821" s="239"/>
      <c r="AG1821" s="239"/>
      <c r="AH1821" s="239"/>
      <c r="AI1821" s="239"/>
      <c r="AJ1821" s="239"/>
    </row>
    <row r="1822">
      <c r="A1822" s="239"/>
      <c r="B1822" s="239"/>
      <c r="C1822" s="239"/>
      <c r="D1822" s="239"/>
      <c r="E1822" s="239"/>
      <c r="F1822" s="283"/>
      <c r="G1822" s="239"/>
      <c r="H1822" s="239"/>
      <c r="I1822" s="239"/>
      <c r="J1822" s="239"/>
      <c r="K1822" s="239"/>
      <c r="L1822" s="239"/>
      <c r="M1822" s="239"/>
      <c r="N1822" s="239"/>
      <c r="O1822" s="239"/>
      <c r="P1822" s="246"/>
      <c r="Q1822" s="239"/>
      <c r="R1822" s="239"/>
      <c r="S1822" s="239"/>
      <c r="T1822" s="239"/>
      <c r="U1822" s="239"/>
      <c r="V1822" s="239"/>
      <c r="W1822" s="246"/>
      <c r="X1822" s="239"/>
      <c r="Y1822" s="239"/>
      <c r="Z1822" s="239"/>
      <c r="AA1822" s="239"/>
      <c r="AB1822" s="239"/>
      <c r="AC1822" s="239"/>
      <c r="AD1822" s="239"/>
      <c r="AE1822" s="239"/>
      <c r="AF1822" s="239"/>
      <c r="AG1822" s="239"/>
      <c r="AH1822" s="239"/>
      <c r="AI1822" s="239"/>
      <c r="AJ1822" s="239"/>
    </row>
    <row r="1823">
      <c r="A1823" s="239"/>
      <c r="B1823" s="239"/>
      <c r="C1823" s="239"/>
      <c r="D1823" s="239"/>
      <c r="E1823" s="239"/>
      <c r="F1823" s="283"/>
      <c r="G1823" s="239"/>
      <c r="H1823" s="239"/>
      <c r="I1823" s="239"/>
      <c r="J1823" s="239"/>
      <c r="K1823" s="239"/>
      <c r="L1823" s="239"/>
      <c r="M1823" s="239"/>
      <c r="N1823" s="239"/>
      <c r="O1823" s="239"/>
      <c r="P1823" s="246"/>
      <c r="Q1823" s="239"/>
      <c r="R1823" s="239"/>
      <c r="S1823" s="239"/>
      <c r="T1823" s="239"/>
      <c r="U1823" s="239"/>
      <c r="V1823" s="239"/>
      <c r="W1823" s="246"/>
      <c r="X1823" s="239"/>
      <c r="Y1823" s="239"/>
      <c r="Z1823" s="239"/>
      <c r="AA1823" s="239"/>
      <c r="AB1823" s="239"/>
      <c r="AC1823" s="239"/>
      <c r="AD1823" s="239"/>
      <c r="AE1823" s="239"/>
      <c r="AF1823" s="239"/>
      <c r="AG1823" s="239"/>
      <c r="AH1823" s="239"/>
      <c r="AI1823" s="239"/>
      <c r="AJ1823" s="239"/>
    </row>
    <row r="1824">
      <c r="A1824" s="239"/>
      <c r="B1824" s="239"/>
      <c r="C1824" s="239"/>
      <c r="D1824" s="239"/>
      <c r="E1824" s="239"/>
      <c r="F1824" s="283"/>
      <c r="G1824" s="239"/>
      <c r="H1824" s="239"/>
      <c r="I1824" s="239"/>
      <c r="J1824" s="239"/>
      <c r="K1824" s="239"/>
      <c r="L1824" s="239"/>
      <c r="M1824" s="239"/>
      <c r="N1824" s="239"/>
      <c r="O1824" s="239"/>
      <c r="P1824" s="246"/>
      <c r="Q1824" s="239"/>
      <c r="R1824" s="239"/>
      <c r="S1824" s="239"/>
      <c r="T1824" s="239"/>
      <c r="U1824" s="239"/>
      <c r="V1824" s="239"/>
      <c r="W1824" s="246"/>
      <c r="X1824" s="239"/>
      <c r="Y1824" s="239"/>
      <c r="Z1824" s="239"/>
      <c r="AA1824" s="239"/>
      <c r="AB1824" s="239"/>
      <c r="AC1824" s="239"/>
      <c r="AD1824" s="239"/>
      <c r="AE1824" s="239"/>
      <c r="AF1824" s="239"/>
      <c r="AG1824" s="239"/>
      <c r="AH1824" s="239"/>
      <c r="AI1824" s="239"/>
      <c r="AJ1824" s="239"/>
    </row>
    <row r="1825">
      <c r="A1825" s="239"/>
      <c r="B1825" s="239"/>
      <c r="C1825" s="239"/>
      <c r="D1825" s="239"/>
      <c r="E1825" s="239"/>
      <c r="F1825" s="283"/>
      <c r="G1825" s="239"/>
      <c r="H1825" s="239"/>
      <c r="I1825" s="239"/>
      <c r="J1825" s="239"/>
      <c r="K1825" s="239"/>
      <c r="L1825" s="239"/>
      <c r="M1825" s="239"/>
      <c r="N1825" s="239"/>
      <c r="O1825" s="239"/>
      <c r="P1825" s="246"/>
      <c r="Q1825" s="239"/>
      <c r="R1825" s="239"/>
      <c r="S1825" s="239"/>
      <c r="T1825" s="239"/>
      <c r="U1825" s="239"/>
      <c r="V1825" s="239"/>
      <c r="W1825" s="246"/>
      <c r="X1825" s="239"/>
      <c r="Y1825" s="239"/>
      <c r="Z1825" s="239"/>
      <c r="AA1825" s="239"/>
      <c r="AB1825" s="239"/>
      <c r="AC1825" s="239"/>
      <c r="AD1825" s="239"/>
      <c r="AE1825" s="239"/>
      <c r="AF1825" s="239"/>
      <c r="AG1825" s="239"/>
      <c r="AH1825" s="239"/>
      <c r="AI1825" s="239"/>
      <c r="AJ1825" s="239"/>
    </row>
    <row r="1826">
      <c r="A1826" s="239"/>
      <c r="B1826" s="239"/>
      <c r="C1826" s="239"/>
      <c r="D1826" s="239"/>
      <c r="E1826" s="239"/>
      <c r="F1826" s="283"/>
      <c r="G1826" s="239"/>
      <c r="H1826" s="239"/>
      <c r="I1826" s="239"/>
      <c r="J1826" s="239"/>
      <c r="K1826" s="239"/>
      <c r="L1826" s="239"/>
      <c r="M1826" s="239"/>
      <c r="N1826" s="239"/>
      <c r="O1826" s="239"/>
      <c r="P1826" s="246"/>
      <c r="Q1826" s="239"/>
      <c r="R1826" s="239"/>
      <c r="S1826" s="239"/>
      <c r="T1826" s="239"/>
      <c r="U1826" s="239"/>
      <c r="V1826" s="239"/>
      <c r="W1826" s="246"/>
      <c r="X1826" s="239"/>
      <c r="Y1826" s="239"/>
      <c r="Z1826" s="239"/>
      <c r="AA1826" s="239"/>
      <c r="AB1826" s="239"/>
      <c r="AC1826" s="239"/>
      <c r="AD1826" s="239"/>
      <c r="AE1826" s="239"/>
      <c r="AF1826" s="239"/>
      <c r="AG1826" s="239"/>
      <c r="AH1826" s="239"/>
      <c r="AI1826" s="239"/>
      <c r="AJ1826" s="239"/>
    </row>
    <row r="1827">
      <c r="A1827" s="239"/>
      <c r="B1827" s="239"/>
      <c r="C1827" s="239"/>
      <c r="D1827" s="239"/>
      <c r="E1827" s="239"/>
      <c r="F1827" s="283"/>
      <c r="G1827" s="239"/>
      <c r="H1827" s="239"/>
      <c r="I1827" s="239"/>
      <c r="J1827" s="239"/>
      <c r="K1827" s="239"/>
      <c r="L1827" s="239"/>
      <c r="M1827" s="239"/>
      <c r="N1827" s="239"/>
      <c r="O1827" s="239"/>
      <c r="P1827" s="246"/>
      <c r="Q1827" s="239"/>
      <c r="R1827" s="239"/>
      <c r="S1827" s="239"/>
      <c r="T1827" s="239"/>
      <c r="U1827" s="239"/>
      <c r="V1827" s="239"/>
      <c r="W1827" s="246"/>
      <c r="X1827" s="239"/>
      <c r="Y1827" s="239"/>
      <c r="Z1827" s="239"/>
      <c r="AA1827" s="239"/>
      <c r="AB1827" s="239"/>
      <c r="AC1827" s="239"/>
      <c r="AD1827" s="239"/>
      <c r="AE1827" s="239"/>
      <c r="AF1827" s="239"/>
      <c r="AG1827" s="239"/>
      <c r="AH1827" s="239"/>
      <c r="AI1827" s="239"/>
      <c r="AJ1827" s="239"/>
    </row>
    <row r="1828">
      <c r="A1828" s="239"/>
      <c r="B1828" s="239"/>
      <c r="C1828" s="239"/>
      <c r="D1828" s="239"/>
      <c r="E1828" s="239"/>
      <c r="F1828" s="283"/>
      <c r="G1828" s="239"/>
      <c r="H1828" s="239"/>
      <c r="I1828" s="239"/>
      <c r="J1828" s="239"/>
      <c r="K1828" s="239"/>
      <c r="L1828" s="239"/>
      <c r="M1828" s="239"/>
      <c r="N1828" s="239"/>
      <c r="O1828" s="239"/>
      <c r="P1828" s="246"/>
      <c r="Q1828" s="239"/>
      <c r="R1828" s="239"/>
      <c r="S1828" s="239"/>
      <c r="T1828" s="239"/>
      <c r="U1828" s="239"/>
      <c r="V1828" s="239"/>
      <c r="W1828" s="246"/>
      <c r="X1828" s="239"/>
      <c r="Y1828" s="239"/>
      <c r="Z1828" s="239"/>
      <c r="AA1828" s="239"/>
      <c r="AB1828" s="239"/>
      <c r="AC1828" s="239"/>
      <c r="AD1828" s="239"/>
      <c r="AE1828" s="239"/>
      <c r="AF1828" s="239"/>
      <c r="AG1828" s="239"/>
      <c r="AH1828" s="239"/>
      <c r="AI1828" s="239"/>
      <c r="AJ1828" s="239"/>
    </row>
    <row r="1829">
      <c r="A1829" s="239"/>
      <c r="B1829" s="239"/>
      <c r="C1829" s="239"/>
      <c r="D1829" s="239"/>
      <c r="E1829" s="239"/>
      <c r="F1829" s="283"/>
      <c r="G1829" s="239"/>
      <c r="H1829" s="239"/>
      <c r="I1829" s="239"/>
      <c r="J1829" s="239"/>
      <c r="K1829" s="239"/>
      <c r="L1829" s="239"/>
      <c r="M1829" s="239"/>
      <c r="N1829" s="239"/>
      <c r="O1829" s="239"/>
      <c r="P1829" s="246"/>
      <c r="Q1829" s="239"/>
      <c r="R1829" s="239"/>
      <c r="S1829" s="239"/>
      <c r="T1829" s="239"/>
      <c r="U1829" s="239"/>
      <c r="V1829" s="239"/>
      <c r="W1829" s="246"/>
      <c r="X1829" s="239"/>
      <c r="Y1829" s="239"/>
      <c r="Z1829" s="239"/>
      <c r="AA1829" s="239"/>
      <c r="AB1829" s="239"/>
      <c r="AC1829" s="239"/>
      <c r="AD1829" s="239"/>
      <c r="AE1829" s="239"/>
      <c r="AF1829" s="239"/>
      <c r="AG1829" s="239"/>
      <c r="AH1829" s="239"/>
      <c r="AI1829" s="239"/>
      <c r="AJ1829" s="239"/>
    </row>
    <row r="1830">
      <c r="A1830" s="239"/>
      <c r="B1830" s="239"/>
      <c r="C1830" s="239"/>
      <c r="D1830" s="239"/>
      <c r="E1830" s="239"/>
      <c r="F1830" s="283"/>
      <c r="G1830" s="239"/>
      <c r="H1830" s="239"/>
      <c r="I1830" s="239"/>
      <c r="J1830" s="239"/>
      <c r="K1830" s="239"/>
      <c r="L1830" s="239"/>
      <c r="M1830" s="239"/>
      <c r="N1830" s="239"/>
      <c r="O1830" s="239"/>
      <c r="P1830" s="246"/>
      <c r="Q1830" s="239"/>
      <c r="R1830" s="239"/>
      <c r="S1830" s="239"/>
      <c r="T1830" s="239"/>
      <c r="U1830" s="239"/>
      <c r="V1830" s="239"/>
      <c r="W1830" s="246"/>
      <c r="X1830" s="239"/>
      <c r="Y1830" s="239"/>
      <c r="Z1830" s="239"/>
      <c r="AA1830" s="239"/>
      <c r="AB1830" s="239"/>
      <c r="AC1830" s="239"/>
      <c r="AD1830" s="239"/>
      <c r="AE1830" s="239"/>
      <c r="AF1830" s="239"/>
      <c r="AG1830" s="239"/>
      <c r="AH1830" s="239"/>
      <c r="AI1830" s="239"/>
      <c r="AJ1830" s="239"/>
    </row>
    <row r="1831">
      <c r="A1831" s="239"/>
      <c r="B1831" s="239"/>
      <c r="C1831" s="239"/>
      <c r="D1831" s="239"/>
      <c r="E1831" s="239"/>
      <c r="F1831" s="283"/>
      <c r="G1831" s="239"/>
      <c r="H1831" s="239"/>
      <c r="I1831" s="239"/>
      <c r="J1831" s="239"/>
      <c r="K1831" s="239"/>
      <c r="L1831" s="239"/>
      <c r="M1831" s="239"/>
      <c r="N1831" s="239"/>
      <c r="O1831" s="239"/>
      <c r="P1831" s="246"/>
      <c r="Q1831" s="239"/>
      <c r="R1831" s="239"/>
      <c r="S1831" s="239"/>
      <c r="T1831" s="239"/>
      <c r="U1831" s="239"/>
      <c r="V1831" s="239"/>
      <c r="W1831" s="246"/>
      <c r="X1831" s="239"/>
      <c r="Y1831" s="239"/>
      <c r="Z1831" s="239"/>
      <c r="AA1831" s="239"/>
      <c r="AB1831" s="239"/>
      <c r="AC1831" s="239"/>
      <c r="AD1831" s="239"/>
      <c r="AE1831" s="239"/>
      <c r="AF1831" s="239"/>
      <c r="AG1831" s="239"/>
      <c r="AH1831" s="239"/>
      <c r="AI1831" s="239"/>
      <c r="AJ1831" s="239"/>
    </row>
    <row r="1832">
      <c r="A1832" s="239"/>
      <c r="B1832" s="239"/>
      <c r="C1832" s="239"/>
      <c r="D1832" s="239"/>
      <c r="E1832" s="239"/>
      <c r="F1832" s="283"/>
      <c r="G1832" s="239"/>
      <c r="H1832" s="239"/>
      <c r="I1832" s="239"/>
      <c r="J1832" s="239"/>
      <c r="K1832" s="239"/>
      <c r="L1832" s="239"/>
      <c r="M1832" s="239"/>
      <c r="N1832" s="239"/>
      <c r="O1832" s="239"/>
      <c r="P1832" s="246"/>
      <c r="Q1832" s="239"/>
      <c r="R1832" s="239"/>
      <c r="S1832" s="239"/>
      <c r="T1832" s="239"/>
      <c r="U1832" s="239"/>
      <c r="V1832" s="239"/>
      <c r="W1832" s="246"/>
      <c r="X1832" s="239"/>
      <c r="Y1832" s="239"/>
      <c r="Z1832" s="239"/>
      <c r="AA1832" s="239"/>
      <c r="AB1832" s="239"/>
      <c r="AC1832" s="239"/>
      <c r="AD1832" s="239"/>
      <c r="AE1832" s="239"/>
      <c r="AF1832" s="239"/>
      <c r="AG1832" s="239"/>
      <c r="AH1832" s="239"/>
      <c r="AI1832" s="239"/>
      <c r="AJ1832" s="239"/>
    </row>
    <row r="1833">
      <c r="A1833" s="239"/>
      <c r="B1833" s="239"/>
      <c r="C1833" s="239"/>
      <c r="D1833" s="239"/>
      <c r="E1833" s="239"/>
      <c r="F1833" s="283"/>
      <c r="G1833" s="239"/>
      <c r="H1833" s="239"/>
      <c r="I1833" s="239"/>
      <c r="J1833" s="239"/>
      <c r="K1833" s="239"/>
      <c r="L1833" s="239"/>
      <c r="M1833" s="239"/>
      <c r="N1833" s="239"/>
      <c r="O1833" s="239"/>
      <c r="P1833" s="246"/>
      <c r="Q1833" s="239"/>
      <c r="R1833" s="239"/>
      <c r="S1833" s="239"/>
      <c r="T1833" s="239"/>
      <c r="U1833" s="239"/>
      <c r="V1833" s="239"/>
      <c r="W1833" s="246"/>
      <c r="X1833" s="239"/>
      <c r="Y1833" s="239"/>
      <c r="Z1833" s="239"/>
      <c r="AA1833" s="239"/>
      <c r="AB1833" s="239"/>
      <c r="AC1833" s="239"/>
      <c r="AD1833" s="239"/>
      <c r="AE1833" s="239"/>
      <c r="AF1833" s="239"/>
      <c r="AG1833" s="239"/>
      <c r="AH1833" s="239"/>
      <c r="AI1833" s="239"/>
      <c r="AJ1833" s="239"/>
    </row>
    <row r="1834">
      <c r="A1834" s="239"/>
      <c r="B1834" s="239"/>
      <c r="C1834" s="239"/>
      <c r="D1834" s="239"/>
      <c r="E1834" s="239"/>
      <c r="F1834" s="283"/>
      <c r="G1834" s="239"/>
      <c r="H1834" s="239"/>
      <c r="I1834" s="239"/>
      <c r="J1834" s="239"/>
      <c r="K1834" s="239"/>
      <c r="L1834" s="239"/>
      <c r="M1834" s="239"/>
      <c r="N1834" s="239"/>
      <c r="O1834" s="239"/>
      <c r="P1834" s="246"/>
      <c r="Q1834" s="239"/>
      <c r="R1834" s="239"/>
      <c r="S1834" s="239"/>
      <c r="T1834" s="239"/>
      <c r="U1834" s="239"/>
      <c r="V1834" s="239"/>
      <c r="W1834" s="246"/>
      <c r="X1834" s="239"/>
      <c r="Y1834" s="239"/>
      <c r="Z1834" s="239"/>
      <c r="AA1834" s="239"/>
      <c r="AB1834" s="239"/>
      <c r="AC1834" s="239"/>
      <c r="AD1834" s="239"/>
      <c r="AE1834" s="239"/>
      <c r="AF1834" s="239"/>
      <c r="AG1834" s="239"/>
      <c r="AH1834" s="239"/>
      <c r="AI1834" s="239"/>
      <c r="AJ1834" s="239"/>
    </row>
    <row r="1835">
      <c r="A1835" s="239"/>
      <c r="B1835" s="239"/>
      <c r="C1835" s="239"/>
      <c r="D1835" s="239"/>
      <c r="E1835" s="239"/>
      <c r="F1835" s="283"/>
      <c r="G1835" s="239"/>
      <c r="H1835" s="239"/>
      <c r="I1835" s="239"/>
      <c r="J1835" s="239"/>
      <c r="K1835" s="239"/>
      <c r="L1835" s="239"/>
      <c r="M1835" s="239"/>
      <c r="N1835" s="239"/>
      <c r="O1835" s="239"/>
      <c r="P1835" s="246"/>
      <c r="Q1835" s="239"/>
      <c r="R1835" s="239"/>
      <c r="S1835" s="239"/>
      <c r="T1835" s="239"/>
      <c r="U1835" s="239"/>
      <c r="V1835" s="239"/>
      <c r="W1835" s="246"/>
      <c r="X1835" s="239"/>
      <c r="Y1835" s="239"/>
      <c r="Z1835" s="239"/>
      <c r="AA1835" s="239"/>
      <c r="AB1835" s="239"/>
      <c r="AC1835" s="239"/>
      <c r="AD1835" s="239"/>
      <c r="AE1835" s="239"/>
      <c r="AF1835" s="239"/>
      <c r="AG1835" s="239"/>
      <c r="AH1835" s="239"/>
      <c r="AI1835" s="239"/>
      <c r="AJ1835" s="239"/>
    </row>
    <row r="1836">
      <c r="A1836" s="239"/>
      <c r="B1836" s="239"/>
      <c r="C1836" s="239"/>
      <c r="D1836" s="239"/>
      <c r="E1836" s="239"/>
      <c r="F1836" s="283"/>
      <c r="G1836" s="239"/>
      <c r="H1836" s="239"/>
      <c r="I1836" s="239"/>
      <c r="J1836" s="239"/>
      <c r="K1836" s="239"/>
      <c r="L1836" s="239"/>
      <c r="M1836" s="239"/>
      <c r="N1836" s="239"/>
      <c r="O1836" s="239"/>
      <c r="P1836" s="246"/>
      <c r="Q1836" s="239"/>
      <c r="R1836" s="239"/>
      <c r="S1836" s="239"/>
      <c r="T1836" s="239"/>
      <c r="U1836" s="239"/>
      <c r="V1836" s="239"/>
      <c r="W1836" s="246"/>
      <c r="X1836" s="239"/>
      <c r="Y1836" s="239"/>
      <c r="Z1836" s="239"/>
      <c r="AA1836" s="239"/>
      <c r="AB1836" s="239"/>
      <c r="AC1836" s="239"/>
      <c r="AD1836" s="239"/>
      <c r="AE1836" s="239"/>
      <c r="AF1836" s="239"/>
      <c r="AG1836" s="239"/>
      <c r="AH1836" s="239"/>
      <c r="AI1836" s="239"/>
      <c r="AJ1836" s="239"/>
    </row>
    <row r="1837">
      <c r="A1837" s="239"/>
      <c r="B1837" s="239"/>
      <c r="C1837" s="239"/>
      <c r="D1837" s="239"/>
      <c r="E1837" s="239"/>
      <c r="F1837" s="283"/>
      <c r="G1837" s="239"/>
      <c r="H1837" s="239"/>
      <c r="I1837" s="239"/>
      <c r="J1837" s="239"/>
      <c r="K1837" s="239"/>
      <c r="L1837" s="239"/>
      <c r="M1837" s="239"/>
      <c r="N1837" s="239"/>
      <c r="O1837" s="239"/>
      <c r="P1837" s="246"/>
      <c r="Q1837" s="239"/>
      <c r="R1837" s="239"/>
      <c r="S1837" s="239"/>
      <c r="T1837" s="239"/>
      <c r="U1837" s="239"/>
      <c r="V1837" s="239"/>
      <c r="W1837" s="246"/>
      <c r="X1837" s="239"/>
      <c r="Y1837" s="239"/>
      <c r="Z1837" s="239"/>
      <c r="AA1837" s="239"/>
      <c r="AB1837" s="239"/>
      <c r="AC1837" s="239"/>
      <c r="AD1837" s="239"/>
      <c r="AE1837" s="239"/>
      <c r="AF1837" s="239"/>
      <c r="AG1837" s="239"/>
      <c r="AH1837" s="239"/>
      <c r="AI1837" s="239"/>
      <c r="AJ1837" s="239"/>
    </row>
    <row r="1838">
      <c r="A1838" s="239"/>
      <c r="B1838" s="239"/>
      <c r="C1838" s="239"/>
      <c r="D1838" s="239"/>
      <c r="E1838" s="239"/>
      <c r="F1838" s="283"/>
      <c r="G1838" s="239"/>
      <c r="H1838" s="239"/>
      <c r="I1838" s="239"/>
      <c r="J1838" s="239"/>
      <c r="K1838" s="239"/>
      <c r="L1838" s="239"/>
      <c r="M1838" s="239"/>
      <c r="N1838" s="239"/>
      <c r="O1838" s="239"/>
      <c r="P1838" s="246"/>
      <c r="Q1838" s="239"/>
      <c r="R1838" s="239"/>
      <c r="S1838" s="239"/>
      <c r="T1838" s="239"/>
      <c r="U1838" s="239"/>
      <c r="V1838" s="239"/>
      <c r="W1838" s="246"/>
      <c r="X1838" s="239"/>
      <c r="Y1838" s="239"/>
      <c r="Z1838" s="239"/>
      <c r="AA1838" s="239"/>
      <c r="AB1838" s="239"/>
      <c r="AC1838" s="239"/>
      <c r="AD1838" s="239"/>
      <c r="AE1838" s="239"/>
      <c r="AF1838" s="239"/>
      <c r="AG1838" s="239"/>
      <c r="AH1838" s="239"/>
      <c r="AI1838" s="239"/>
      <c r="AJ1838" s="239"/>
    </row>
    <row r="1839">
      <c r="A1839" s="239"/>
      <c r="B1839" s="239"/>
      <c r="C1839" s="239"/>
      <c r="D1839" s="239"/>
      <c r="E1839" s="239"/>
      <c r="F1839" s="283"/>
      <c r="G1839" s="239"/>
      <c r="H1839" s="239"/>
      <c r="I1839" s="239"/>
      <c r="J1839" s="239"/>
      <c r="K1839" s="239"/>
      <c r="L1839" s="239"/>
      <c r="M1839" s="239"/>
      <c r="N1839" s="239"/>
      <c r="O1839" s="239"/>
      <c r="P1839" s="246"/>
      <c r="Q1839" s="239"/>
      <c r="R1839" s="239"/>
      <c r="S1839" s="239"/>
      <c r="T1839" s="239"/>
      <c r="U1839" s="239"/>
      <c r="V1839" s="239"/>
      <c r="W1839" s="246"/>
      <c r="X1839" s="239"/>
      <c r="Y1839" s="239"/>
      <c r="Z1839" s="239"/>
      <c r="AA1839" s="239"/>
      <c r="AB1839" s="239"/>
      <c r="AC1839" s="239"/>
      <c r="AD1839" s="239"/>
      <c r="AE1839" s="239"/>
      <c r="AF1839" s="239"/>
      <c r="AG1839" s="239"/>
      <c r="AH1839" s="239"/>
      <c r="AI1839" s="239"/>
      <c r="AJ1839" s="239"/>
    </row>
    <row r="1840">
      <c r="A1840" s="239"/>
      <c r="B1840" s="239"/>
      <c r="C1840" s="239"/>
      <c r="D1840" s="239"/>
      <c r="E1840" s="239"/>
      <c r="F1840" s="283"/>
      <c r="G1840" s="239"/>
      <c r="H1840" s="239"/>
      <c r="I1840" s="239"/>
      <c r="J1840" s="239"/>
      <c r="K1840" s="239"/>
      <c r="L1840" s="239"/>
      <c r="M1840" s="239"/>
      <c r="N1840" s="239"/>
      <c r="O1840" s="239"/>
      <c r="P1840" s="246"/>
      <c r="Q1840" s="239"/>
      <c r="R1840" s="239"/>
      <c r="S1840" s="239"/>
      <c r="T1840" s="239"/>
      <c r="U1840" s="239"/>
      <c r="V1840" s="239"/>
      <c r="W1840" s="246"/>
      <c r="X1840" s="239"/>
      <c r="Y1840" s="239"/>
      <c r="Z1840" s="239"/>
      <c r="AA1840" s="239"/>
      <c r="AB1840" s="239"/>
      <c r="AC1840" s="239"/>
      <c r="AD1840" s="239"/>
      <c r="AE1840" s="239"/>
      <c r="AF1840" s="239"/>
      <c r="AG1840" s="239"/>
      <c r="AH1840" s="239"/>
      <c r="AI1840" s="239"/>
      <c r="AJ1840" s="239"/>
    </row>
    <row r="1841">
      <c r="A1841" s="239"/>
      <c r="B1841" s="239"/>
      <c r="C1841" s="239"/>
      <c r="D1841" s="239"/>
      <c r="E1841" s="239"/>
      <c r="F1841" s="283"/>
      <c r="G1841" s="239"/>
      <c r="H1841" s="239"/>
      <c r="I1841" s="239"/>
      <c r="J1841" s="239"/>
      <c r="K1841" s="239"/>
      <c r="L1841" s="239"/>
      <c r="M1841" s="239"/>
      <c r="N1841" s="239"/>
      <c r="O1841" s="239"/>
      <c r="P1841" s="246"/>
      <c r="Q1841" s="239"/>
      <c r="R1841" s="239"/>
      <c r="S1841" s="239"/>
      <c r="T1841" s="239"/>
      <c r="U1841" s="239"/>
      <c r="V1841" s="239"/>
      <c r="W1841" s="246"/>
      <c r="X1841" s="239"/>
      <c r="Y1841" s="239"/>
      <c r="Z1841" s="239"/>
      <c r="AA1841" s="239"/>
      <c r="AB1841" s="239"/>
      <c r="AC1841" s="239"/>
      <c r="AD1841" s="239"/>
      <c r="AE1841" s="239"/>
      <c r="AF1841" s="239"/>
      <c r="AG1841" s="239"/>
      <c r="AH1841" s="239"/>
      <c r="AI1841" s="239"/>
      <c r="AJ1841" s="239"/>
    </row>
    <row r="1842">
      <c r="A1842" s="239"/>
      <c r="B1842" s="239"/>
      <c r="C1842" s="239"/>
      <c r="D1842" s="239"/>
      <c r="E1842" s="239"/>
      <c r="F1842" s="283"/>
      <c r="G1842" s="239"/>
      <c r="H1842" s="239"/>
      <c r="I1842" s="239"/>
      <c r="J1842" s="239"/>
      <c r="K1842" s="239"/>
      <c r="L1842" s="239"/>
      <c r="M1842" s="239"/>
      <c r="N1842" s="239"/>
      <c r="O1842" s="239"/>
      <c r="P1842" s="246"/>
      <c r="Q1842" s="239"/>
      <c r="R1842" s="239"/>
      <c r="S1842" s="239"/>
      <c r="T1842" s="239"/>
      <c r="U1842" s="239"/>
      <c r="V1842" s="239"/>
      <c r="W1842" s="246"/>
      <c r="X1842" s="239"/>
      <c r="Y1842" s="239"/>
      <c r="Z1842" s="239"/>
      <c r="AA1842" s="239"/>
      <c r="AB1842" s="239"/>
      <c r="AC1842" s="239"/>
      <c r="AD1842" s="239"/>
      <c r="AE1842" s="239"/>
      <c r="AF1842" s="239"/>
      <c r="AG1842" s="239"/>
      <c r="AH1842" s="239"/>
      <c r="AI1842" s="239"/>
      <c r="AJ1842" s="239"/>
    </row>
    <row r="1843">
      <c r="A1843" s="239"/>
      <c r="B1843" s="239"/>
      <c r="C1843" s="239"/>
      <c r="D1843" s="239"/>
      <c r="E1843" s="239"/>
      <c r="F1843" s="283"/>
      <c r="G1843" s="239"/>
      <c r="H1843" s="239"/>
      <c r="I1843" s="239"/>
      <c r="J1843" s="239"/>
      <c r="K1843" s="239"/>
      <c r="L1843" s="239"/>
      <c r="M1843" s="239"/>
      <c r="N1843" s="239"/>
      <c r="O1843" s="239"/>
      <c r="P1843" s="246"/>
      <c r="Q1843" s="239"/>
      <c r="R1843" s="239"/>
      <c r="S1843" s="239"/>
      <c r="T1843" s="239"/>
      <c r="U1843" s="239"/>
      <c r="V1843" s="239"/>
      <c r="W1843" s="246"/>
      <c r="X1843" s="239"/>
      <c r="Y1843" s="239"/>
      <c r="Z1843" s="239"/>
      <c r="AA1843" s="239"/>
      <c r="AB1843" s="239"/>
      <c r="AC1843" s="239"/>
      <c r="AD1843" s="239"/>
      <c r="AE1843" s="239"/>
      <c r="AF1843" s="239"/>
      <c r="AG1843" s="239"/>
      <c r="AH1843" s="239"/>
      <c r="AI1843" s="239"/>
      <c r="AJ1843" s="239"/>
    </row>
    <row r="1844">
      <c r="A1844" s="239"/>
      <c r="B1844" s="239"/>
      <c r="C1844" s="239"/>
      <c r="D1844" s="239"/>
      <c r="E1844" s="239"/>
      <c r="F1844" s="283"/>
      <c r="G1844" s="239"/>
      <c r="H1844" s="239"/>
      <c r="I1844" s="239"/>
      <c r="J1844" s="239"/>
      <c r="K1844" s="239"/>
      <c r="L1844" s="239"/>
      <c r="M1844" s="239"/>
      <c r="N1844" s="239"/>
      <c r="O1844" s="239"/>
      <c r="P1844" s="246"/>
      <c r="Q1844" s="239"/>
      <c r="R1844" s="239"/>
      <c r="S1844" s="239"/>
      <c r="T1844" s="239"/>
      <c r="U1844" s="239"/>
      <c r="V1844" s="239"/>
      <c r="W1844" s="246"/>
      <c r="X1844" s="239"/>
      <c r="Y1844" s="239"/>
      <c r="Z1844" s="239"/>
      <c r="AA1844" s="239"/>
      <c r="AB1844" s="239"/>
      <c r="AC1844" s="239"/>
      <c r="AD1844" s="239"/>
      <c r="AE1844" s="239"/>
      <c r="AF1844" s="239"/>
      <c r="AG1844" s="239"/>
      <c r="AH1844" s="239"/>
      <c r="AI1844" s="239"/>
      <c r="AJ1844" s="239"/>
    </row>
    <row r="1845">
      <c r="A1845" s="239"/>
      <c r="B1845" s="239"/>
      <c r="C1845" s="239"/>
      <c r="D1845" s="239"/>
      <c r="E1845" s="239"/>
      <c r="F1845" s="283"/>
      <c r="G1845" s="239"/>
      <c r="H1845" s="239"/>
      <c r="I1845" s="239"/>
      <c r="J1845" s="239"/>
      <c r="K1845" s="239"/>
      <c r="L1845" s="239"/>
      <c r="M1845" s="239"/>
      <c r="N1845" s="239"/>
      <c r="O1845" s="239"/>
      <c r="P1845" s="246"/>
      <c r="Q1845" s="239"/>
      <c r="R1845" s="239"/>
      <c r="S1845" s="239"/>
      <c r="T1845" s="239"/>
      <c r="U1845" s="239"/>
      <c r="V1845" s="239"/>
      <c r="W1845" s="246"/>
      <c r="X1845" s="239"/>
      <c r="Y1845" s="239"/>
      <c r="Z1845" s="239"/>
      <c r="AA1845" s="239"/>
      <c r="AB1845" s="239"/>
      <c r="AC1845" s="239"/>
      <c r="AD1845" s="239"/>
      <c r="AE1845" s="239"/>
      <c r="AF1845" s="239"/>
      <c r="AG1845" s="239"/>
      <c r="AH1845" s="239"/>
      <c r="AI1845" s="239"/>
      <c r="AJ1845" s="239"/>
    </row>
    <row r="1846">
      <c r="A1846" s="239"/>
      <c r="B1846" s="239"/>
      <c r="C1846" s="239"/>
      <c r="D1846" s="239"/>
      <c r="E1846" s="239"/>
      <c r="F1846" s="283"/>
      <c r="G1846" s="239"/>
      <c r="H1846" s="239"/>
      <c r="I1846" s="239"/>
      <c r="J1846" s="239"/>
      <c r="K1846" s="239"/>
      <c r="L1846" s="239"/>
      <c r="M1846" s="239"/>
      <c r="N1846" s="239"/>
      <c r="O1846" s="239"/>
      <c r="P1846" s="246"/>
      <c r="Q1846" s="239"/>
      <c r="R1846" s="239"/>
      <c r="S1846" s="239"/>
      <c r="T1846" s="239"/>
      <c r="U1846" s="239"/>
      <c r="V1846" s="239"/>
      <c r="W1846" s="246"/>
      <c r="X1846" s="239"/>
      <c r="Y1846" s="239"/>
      <c r="Z1846" s="239"/>
      <c r="AA1846" s="239"/>
      <c r="AB1846" s="239"/>
      <c r="AC1846" s="239"/>
      <c r="AD1846" s="239"/>
      <c r="AE1846" s="239"/>
      <c r="AF1846" s="239"/>
      <c r="AG1846" s="239"/>
      <c r="AH1846" s="239"/>
      <c r="AI1846" s="239"/>
      <c r="AJ1846" s="239"/>
    </row>
    <row r="1847">
      <c r="A1847" s="239"/>
      <c r="B1847" s="239"/>
      <c r="C1847" s="239"/>
      <c r="D1847" s="239"/>
      <c r="E1847" s="239"/>
      <c r="F1847" s="283"/>
      <c r="G1847" s="239"/>
      <c r="H1847" s="239"/>
      <c r="I1847" s="239"/>
      <c r="J1847" s="239"/>
      <c r="K1847" s="239"/>
      <c r="L1847" s="239"/>
      <c r="M1847" s="239"/>
      <c r="N1847" s="239"/>
      <c r="O1847" s="239"/>
      <c r="P1847" s="246"/>
      <c r="Q1847" s="239"/>
      <c r="R1847" s="239"/>
      <c r="S1847" s="239"/>
      <c r="T1847" s="239"/>
      <c r="U1847" s="239"/>
      <c r="V1847" s="239"/>
      <c r="W1847" s="246"/>
      <c r="X1847" s="239"/>
      <c r="Y1847" s="239"/>
      <c r="Z1847" s="239"/>
      <c r="AA1847" s="239"/>
      <c r="AB1847" s="239"/>
      <c r="AC1847" s="239"/>
      <c r="AD1847" s="239"/>
      <c r="AE1847" s="239"/>
      <c r="AF1847" s="239"/>
      <c r="AG1847" s="239"/>
      <c r="AH1847" s="239"/>
      <c r="AI1847" s="239"/>
      <c r="AJ1847" s="239"/>
    </row>
  </sheetData>
  <mergeCells count="318">
    <mergeCell ref="U35:V35"/>
    <mergeCell ref="U36:V36"/>
    <mergeCell ref="U37:V37"/>
    <mergeCell ref="U30:V30"/>
    <mergeCell ref="U31:V31"/>
    <mergeCell ref="U32:V32"/>
    <mergeCell ref="U33:V33"/>
    <mergeCell ref="U34:V34"/>
    <mergeCell ref="AB34:AC34"/>
    <mergeCell ref="AB35:AC35"/>
    <mergeCell ref="N16:O16"/>
    <mergeCell ref="N17:O17"/>
    <mergeCell ref="U17:V17"/>
    <mergeCell ref="AB17:AC17"/>
    <mergeCell ref="U18:V18"/>
    <mergeCell ref="AB18:AC18"/>
    <mergeCell ref="N18:O18"/>
    <mergeCell ref="N19:O19"/>
    <mergeCell ref="U19:V19"/>
    <mergeCell ref="AB19:AC19"/>
    <mergeCell ref="N20:O20"/>
    <mergeCell ref="AB20:AC20"/>
    <mergeCell ref="AB21:AC21"/>
    <mergeCell ref="N21:O21"/>
    <mergeCell ref="N22:O22"/>
    <mergeCell ref="U22:V22"/>
    <mergeCell ref="AB22:AC22"/>
    <mergeCell ref="N23:O23"/>
    <mergeCell ref="AB23:AC23"/>
    <mergeCell ref="AB24:AC24"/>
    <mergeCell ref="N24:O24"/>
    <mergeCell ref="N25:O25"/>
    <mergeCell ref="N26:O26"/>
    <mergeCell ref="N27:O27"/>
    <mergeCell ref="N28:O28"/>
    <mergeCell ref="N29:O29"/>
    <mergeCell ref="N30:O30"/>
    <mergeCell ref="AB36:AC36"/>
    <mergeCell ref="AB37:AC37"/>
    <mergeCell ref="AB38:AC38"/>
    <mergeCell ref="AB39:AC39"/>
    <mergeCell ref="N38:O38"/>
    <mergeCell ref="N39:O39"/>
    <mergeCell ref="N31:O31"/>
    <mergeCell ref="N32:O32"/>
    <mergeCell ref="N33:O33"/>
    <mergeCell ref="N34:O34"/>
    <mergeCell ref="N35:O35"/>
    <mergeCell ref="N36:O36"/>
    <mergeCell ref="N37:O37"/>
    <mergeCell ref="AB11:AC11"/>
    <mergeCell ref="AB12:AC12"/>
    <mergeCell ref="AB4:AC4"/>
    <mergeCell ref="AB5:AC5"/>
    <mergeCell ref="AB6:AC6"/>
    <mergeCell ref="AB7:AC7"/>
    <mergeCell ref="AB8:AC8"/>
    <mergeCell ref="AB9:AC9"/>
    <mergeCell ref="AB10:AC10"/>
    <mergeCell ref="U12:V12"/>
    <mergeCell ref="U13:V13"/>
    <mergeCell ref="U5:V5"/>
    <mergeCell ref="U6:V6"/>
    <mergeCell ref="U7:V7"/>
    <mergeCell ref="U8:V8"/>
    <mergeCell ref="U9:V9"/>
    <mergeCell ref="U10:V10"/>
    <mergeCell ref="U11:V11"/>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8:C58"/>
    <mergeCell ref="B59:C59"/>
    <mergeCell ref="B60:C60"/>
    <mergeCell ref="B61:C61"/>
    <mergeCell ref="B62:C62"/>
    <mergeCell ref="B63:C63"/>
    <mergeCell ref="B64:C64"/>
    <mergeCell ref="B65:C65"/>
    <mergeCell ref="B51:C51"/>
    <mergeCell ref="B52:C52"/>
    <mergeCell ref="B53:C53"/>
    <mergeCell ref="B54:C54"/>
    <mergeCell ref="B55:C55"/>
    <mergeCell ref="B56:C56"/>
    <mergeCell ref="B57:C57"/>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9:I59"/>
    <mergeCell ref="H60:I60"/>
    <mergeCell ref="H61:I61"/>
    <mergeCell ref="H62:I62"/>
    <mergeCell ref="H63:I63"/>
    <mergeCell ref="H64:I64"/>
    <mergeCell ref="H65:I65"/>
    <mergeCell ref="H52:I52"/>
    <mergeCell ref="H53:I53"/>
    <mergeCell ref="H54:I54"/>
    <mergeCell ref="H55:I55"/>
    <mergeCell ref="H56:I56"/>
    <mergeCell ref="H57:I57"/>
    <mergeCell ref="H58:I58"/>
    <mergeCell ref="H1:Z1"/>
    <mergeCell ref="O2:S2"/>
    <mergeCell ref="B3:F3"/>
    <mergeCell ref="H3:L3"/>
    <mergeCell ref="N3:S3"/>
    <mergeCell ref="U3:Z3"/>
    <mergeCell ref="AB3:AG3"/>
    <mergeCell ref="B1:C2"/>
    <mergeCell ref="B4:C4"/>
    <mergeCell ref="H4:I4"/>
    <mergeCell ref="U4:V4"/>
    <mergeCell ref="B5:C5"/>
    <mergeCell ref="B6:C6"/>
    <mergeCell ref="N6:O6"/>
    <mergeCell ref="H5:I5"/>
    <mergeCell ref="H6:I6"/>
    <mergeCell ref="B7:C7"/>
    <mergeCell ref="H7:I7"/>
    <mergeCell ref="B8:C8"/>
    <mergeCell ref="H8:I8"/>
    <mergeCell ref="H9:I9"/>
    <mergeCell ref="N12:O12"/>
    <mergeCell ref="N13:O13"/>
    <mergeCell ref="AB13:AC13"/>
    <mergeCell ref="U14:V14"/>
    <mergeCell ref="AB14:AC14"/>
    <mergeCell ref="N14:O14"/>
    <mergeCell ref="N15:O15"/>
    <mergeCell ref="U15:V15"/>
    <mergeCell ref="AB15:AC15"/>
    <mergeCell ref="U16:V16"/>
    <mergeCell ref="AB16:AC16"/>
    <mergeCell ref="N4:O4"/>
    <mergeCell ref="N5:O5"/>
    <mergeCell ref="N7:O7"/>
    <mergeCell ref="N8:O8"/>
    <mergeCell ref="N9:O9"/>
    <mergeCell ref="N10:O10"/>
    <mergeCell ref="N11:O11"/>
    <mergeCell ref="U20:V20"/>
    <mergeCell ref="U21:V21"/>
    <mergeCell ref="AB25:AC25"/>
    <mergeCell ref="AB26:AC26"/>
    <mergeCell ref="AB27:AC27"/>
    <mergeCell ref="AB28:AC28"/>
    <mergeCell ref="AB29:AC29"/>
    <mergeCell ref="AB30:AC30"/>
    <mergeCell ref="AB31:AC31"/>
    <mergeCell ref="AB32:AC32"/>
    <mergeCell ref="AB33:AC33"/>
    <mergeCell ref="AB40:AC40"/>
    <mergeCell ref="AB41:AC41"/>
    <mergeCell ref="AB42:AC42"/>
    <mergeCell ref="AB43:AC43"/>
    <mergeCell ref="AB44:AC44"/>
    <mergeCell ref="AB45:AC45"/>
    <mergeCell ref="AB46:AC46"/>
    <mergeCell ref="AB47:AC47"/>
    <mergeCell ref="AB48:AC48"/>
    <mergeCell ref="AB49:AC49"/>
    <mergeCell ref="AB50:AC50"/>
    <mergeCell ref="AB51:AC51"/>
    <mergeCell ref="AB59:AC59"/>
    <mergeCell ref="AB60:AC60"/>
    <mergeCell ref="AB61:AC61"/>
    <mergeCell ref="AB62:AC62"/>
    <mergeCell ref="AB63:AC63"/>
    <mergeCell ref="AB64:AC64"/>
    <mergeCell ref="AB65:AC65"/>
    <mergeCell ref="AB52:AC52"/>
    <mergeCell ref="AB53:AC53"/>
    <mergeCell ref="AB54:AC54"/>
    <mergeCell ref="AB55:AC55"/>
    <mergeCell ref="AB56:AC56"/>
    <mergeCell ref="AB57:AC57"/>
    <mergeCell ref="AB58:AC58"/>
    <mergeCell ref="N63:O63"/>
    <mergeCell ref="N64:O64"/>
    <mergeCell ref="N65:O65"/>
    <mergeCell ref="N56:O56"/>
    <mergeCell ref="N57:O57"/>
    <mergeCell ref="N58:O58"/>
    <mergeCell ref="N59:O59"/>
    <mergeCell ref="N60:O60"/>
    <mergeCell ref="N61:O61"/>
    <mergeCell ref="N62:O62"/>
    <mergeCell ref="U23:V23"/>
    <mergeCell ref="U24:V24"/>
    <mergeCell ref="U25:V25"/>
    <mergeCell ref="U26:V26"/>
    <mergeCell ref="U27:V27"/>
    <mergeCell ref="U28:V28"/>
    <mergeCell ref="U29:V29"/>
    <mergeCell ref="U38:V38"/>
    <mergeCell ref="U39:V39"/>
    <mergeCell ref="N40:O40"/>
    <mergeCell ref="U40:V40"/>
    <mergeCell ref="N41:O41"/>
    <mergeCell ref="U41:V41"/>
    <mergeCell ref="U42:V42"/>
    <mergeCell ref="N42:O42"/>
    <mergeCell ref="N43:O43"/>
    <mergeCell ref="N44:O44"/>
    <mergeCell ref="N45:O45"/>
    <mergeCell ref="N46:O46"/>
    <mergeCell ref="N47:O47"/>
    <mergeCell ref="N48:O48"/>
    <mergeCell ref="U43:V43"/>
    <mergeCell ref="U44:V44"/>
    <mergeCell ref="U45:V45"/>
    <mergeCell ref="U46:V46"/>
    <mergeCell ref="U47:V47"/>
    <mergeCell ref="U48:V48"/>
    <mergeCell ref="U49:V49"/>
    <mergeCell ref="N49:O49"/>
    <mergeCell ref="N50:O50"/>
    <mergeCell ref="N51:O51"/>
    <mergeCell ref="N52:O52"/>
    <mergeCell ref="N53:O53"/>
    <mergeCell ref="N54:O54"/>
    <mergeCell ref="N55:O55"/>
    <mergeCell ref="U50:V50"/>
    <mergeCell ref="U51:V51"/>
    <mergeCell ref="U52:V52"/>
    <mergeCell ref="U53:V53"/>
    <mergeCell ref="U54:V54"/>
    <mergeCell ref="U55:V55"/>
    <mergeCell ref="U56:V56"/>
    <mergeCell ref="U64:V64"/>
    <mergeCell ref="U65:V65"/>
    <mergeCell ref="U57:V57"/>
    <mergeCell ref="U58:V58"/>
    <mergeCell ref="U59:V59"/>
    <mergeCell ref="U60:V60"/>
    <mergeCell ref="U61:V61"/>
    <mergeCell ref="U62:V62"/>
    <mergeCell ref="U63:V63"/>
  </mergeCells>
  <conditionalFormatting sqref="AB3:AG65">
    <cfRule type="expression" dxfId="5" priority="1">
      <formula>$AG3=1</formula>
    </cfRule>
  </conditionalFormatting>
  <conditionalFormatting sqref="AB3:AG65">
    <cfRule type="expression" dxfId="2" priority="2">
      <formula>$AG3=2</formula>
    </cfRule>
  </conditionalFormatting>
  <conditionalFormatting sqref="AB3:AG65">
    <cfRule type="expression" dxfId="6" priority="3">
      <formula>$AG3="XX"</formula>
    </cfRule>
  </conditionalFormatting>
  <conditionalFormatting sqref="AB3:AG65">
    <cfRule type="expression" dxfId="7" priority="4">
      <formula>$AG3=0.1</formula>
    </cfRule>
  </conditionalFormatting>
  <conditionalFormatting sqref="H1">
    <cfRule type="colorScale" priority="5">
      <colorScale>
        <cfvo type="formula" val="2023"/>
        <cfvo type="formula" val="2026"/>
        <color rgb="FFC9DAF8"/>
        <color rgb="FF1155CC"/>
      </colorScale>
    </cfRule>
  </conditionalFormatting>
  <conditionalFormatting sqref="B5:F65">
    <cfRule type="expression" dxfId="5" priority="6">
      <formula>$F5=1</formula>
    </cfRule>
  </conditionalFormatting>
  <conditionalFormatting sqref="B5:F65">
    <cfRule type="expression" dxfId="2" priority="7">
      <formula>$F5=2</formula>
    </cfRule>
  </conditionalFormatting>
  <conditionalFormatting sqref="B5:F65">
    <cfRule type="expression" dxfId="8" priority="8">
      <formula>$F5="XX"</formula>
    </cfRule>
  </conditionalFormatting>
  <conditionalFormatting sqref="H5:L65">
    <cfRule type="expression" dxfId="5" priority="9">
      <formula>$L5=1</formula>
    </cfRule>
  </conditionalFormatting>
  <conditionalFormatting sqref="H5:L65">
    <cfRule type="expression" dxfId="2" priority="10">
      <formula>$L5=2</formula>
    </cfRule>
  </conditionalFormatting>
  <conditionalFormatting sqref="H5:L65">
    <cfRule type="expression" dxfId="8" priority="11">
      <formula>$L5="XX"</formula>
    </cfRule>
  </conditionalFormatting>
  <conditionalFormatting sqref="N5:S65 A55:M65">
    <cfRule type="expression" dxfId="5" priority="12">
      <formula>$S5=1</formula>
    </cfRule>
  </conditionalFormatting>
  <conditionalFormatting sqref="N5:S65">
    <cfRule type="expression" dxfId="2" priority="13">
      <formula>$S5=2</formula>
    </cfRule>
  </conditionalFormatting>
  <conditionalFormatting sqref="N5:S65 A55:M65">
    <cfRule type="expression" dxfId="8" priority="14">
      <formula>$S5="XX"</formula>
    </cfRule>
  </conditionalFormatting>
  <conditionalFormatting sqref="U5:Z65">
    <cfRule type="expression" dxfId="5" priority="15">
      <formula>$Z5=1</formula>
    </cfRule>
  </conditionalFormatting>
  <conditionalFormatting sqref="U5:Z65">
    <cfRule type="expression" dxfId="2" priority="16">
      <formula>$Z5=2</formula>
    </cfRule>
  </conditionalFormatting>
  <conditionalFormatting sqref="H2 N2:V2">
    <cfRule type="containsText" dxfId="9" priority="17" operator="containsText" text="Harvard">
      <formula>NOT(ISERROR(SEARCH(("Harvard"),(H2))))</formula>
    </cfRule>
  </conditionalFormatting>
  <conditionalFormatting sqref="U5:Z65">
    <cfRule type="expression" dxfId="6" priority="18">
      <formula>$Z5="XX"</formula>
    </cfRule>
  </conditionalFormatting>
  <conditionalFormatting sqref="B5:F65">
    <cfRule type="expression" dxfId="7" priority="19">
      <formula>$F5=0.1</formula>
    </cfRule>
  </conditionalFormatting>
  <conditionalFormatting sqref="H5:L65">
    <cfRule type="expression" dxfId="7" priority="20">
      <formula>$L5=0.1</formula>
    </cfRule>
  </conditionalFormatting>
  <conditionalFormatting sqref="N5:S65 A55:M65">
    <cfRule type="expression" dxfId="7" priority="21">
      <formula>$S5=0.1</formula>
    </cfRule>
  </conditionalFormatting>
  <conditionalFormatting sqref="U5:Z65">
    <cfRule type="expression" dxfId="7" priority="22">
      <formula>$Z5=0.1</formula>
    </cfRule>
  </conditionalFormatting>
  <dataValidations>
    <dataValidation type="list" allowBlank="1" showErrorMessage="1" sqref="O2">
      <formula1>"2025,2026,2027,2028,2029"</formula1>
    </dataValidation>
    <dataValidation type="list" allowBlank="1" showErrorMessage="1" sqref="AJ1">
      <formula1>"*,1,2,3"</formula1>
    </dataValidation>
  </dataValidations>
  <printOptions gridLines="1" horizontalCentered="1"/>
  <pageMargins bottom="0.75" footer="0.0" header="0.0" left="0.7" right="0.7" top="0.75"/>
  <pageSetup paperSize="3"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63"/>
    <col customWidth="1" min="2" max="2" width="30.13"/>
    <col customWidth="1" min="3" max="3" width="2.88"/>
    <col customWidth="1" min="4" max="4" width="23.63"/>
    <col customWidth="1" min="5" max="5" width="30.13"/>
    <col customWidth="1" min="6" max="6" width="2.88"/>
    <col customWidth="1" min="7" max="7" width="23.63"/>
    <col customWidth="1" min="8" max="8" width="30.13"/>
    <col customWidth="1" min="9" max="9" width="2.88"/>
    <col customWidth="1" min="10" max="11" width="23.63"/>
    <col customWidth="1" min="12" max="12" width="2.88"/>
    <col customWidth="1" min="13" max="14" width="23.63"/>
    <col customWidth="1" min="15" max="15" width="4.75"/>
    <col customWidth="1" min="16" max="17" width="23.63"/>
    <col customWidth="1" min="18" max="18" width="3.88"/>
    <col customWidth="1" min="19" max="20" width="23.63"/>
    <col customWidth="1" min="21" max="21" width="3.88"/>
    <col customWidth="1" min="22" max="22" width="23.63"/>
    <col customWidth="1" min="23" max="23" width="26.88"/>
    <col customWidth="1" min="24" max="24" width="3.88"/>
    <col customWidth="1" min="25" max="25" width="23.63"/>
    <col customWidth="1" min="26" max="26" width="36.5"/>
    <col customWidth="1" min="27" max="27" width="3.88"/>
    <col customWidth="1" min="28" max="28" width="23.63"/>
    <col customWidth="1" min="29" max="29" width="25.75"/>
    <col customWidth="1" min="30" max="30" width="3.25"/>
    <col customWidth="1" min="31" max="31" width="23.63"/>
    <col customWidth="1" min="32" max="32" width="55.75"/>
    <col customWidth="1" min="33" max="33" width="3.25"/>
    <col customWidth="1" min="34" max="34" width="23.63"/>
    <col customWidth="1" min="35" max="35" width="34.63"/>
    <col customWidth="1" min="36" max="36" width="4.75"/>
    <col customWidth="1" min="37" max="37" width="23.63"/>
    <col customWidth="1" min="38" max="38" width="31.0"/>
    <col customWidth="1" min="39" max="39" width="4.25"/>
    <col customWidth="1" min="40" max="40" width="23.63"/>
    <col customWidth="1" min="41" max="41" width="31.0"/>
    <col customWidth="1" min="42" max="42" width="4.25"/>
    <col customWidth="1" min="43" max="43" width="23.0"/>
    <col customWidth="1" min="44" max="44" width="4.75"/>
    <col customWidth="1" min="45" max="45" width="29.13"/>
    <col customWidth="1" min="46" max="46" width="48.63"/>
    <col customWidth="1" min="47" max="47" width="5.75"/>
    <col customWidth="1" min="48" max="48" width="20.38"/>
    <col customWidth="1" min="49" max="49" width="31.75"/>
    <col customWidth="1" min="50" max="50" width="5.75"/>
    <col customWidth="1" min="51" max="51" width="20.38"/>
    <col customWidth="1" min="52" max="52" width="37.13"/>
    <col customWidth="1" min="53" max="53" width="3.88"/>
    <col customWidth="1" min="54" max="54" width="19.0"/>
    <col customWidth="1" min="55" max="55" width="26.75"/>
    <col customWidth="1" min="56" max="56" width="3.88"/>
    <col customWidth="1" min="57" max="57" width="31.5"/>
    <col customWidth="1" min="58" max="58" width="40.5"/>
    <col customWidth="1" min="59" max="59" width="3.88"/>
    <col customWidth="1" min="60" max="60" width="31.5"/>
    <col customWidth="1" min="61" max="61" width="40.5"/>
  </cols>
  <sheetData>
    <row r="1">
      <c r="A1" s="284" t="s">
        <v>6533</v>
      </c>
      <c r="C1" s="285"/>
      <c r="D1" s="284" t="s">
        <v>6534</v>
      </c>
      <c r="F1" s="285"/>
      <c r="G1" s="284" t="s">
        <v>6535</v>
      </c>
      <c r="I1" s="285" t="s">
        <v>6536</v>
      </c>
      <c r="J1" s="284" t="s">
        <v>6537</v>
      </c>
      <c r="L1" s="285"/>
      <c r="M1" s="284" t="s">
        <v>6538</v>
      </c>
      <c r="O1" s="285"/>
      <c r="P1" s="284" t="s">
        <v>6539</v>
      </c>
      <c r="R1" s="285"/>
      <c r="S1" s="284" t="s">
        <v>6540</v>
      </c>
      <c r="U1" s="285"/>
      <c r="V1" s="284" t="s">
        <v>6541</v>
      </c>
      <c r="X1" s="285"/>
      <c r="Y1" s="284" t="s">
        <v>6542</v>
      </c>
      <c r="AA1" s="285"/>
      <c r="AB1" s="284" t="s">
        <v>6543</v>
      </c>
      <c r="AD1" s="286"/>
      <c r="AE1" s="284" t="s">
        <v>6544</v>
      </c>
      <c r="AG1" s="286"/>
      <c r="AH1" s="287" t="s">
        <v>6545</v>
      </c>
      <c r="AJ1" s="286"/>
      <c r="AK1" s="287" t="s">
        <v>6546</v>
      </c>
      <c r="AM1" s="286"/>
      <c r="AN1" s="284" t="s">
        <v>1801</v>
      </c>
      <c r="AP1" s="286"/>
      <c r="AQ1" s="284" t="s">
        <v>6547</v>
      </c>
      <c r="AR1" s="286"/>
      <c r="AS1" s="287" t="s">
        <v>6548</v>
      </c>
      <c r="AU1" s="288"/>
      <c r="AV1" s="287" t="s">
        <v>6549</v>
      </c>
      <c r="AX1" s="288"/>
      <c r="AY1" s="287" t="s">
        <v>4456</v>
      </c>
      <c r="BA1" s="289"/>
      <c r="BB1" s="287" t="s">
        <v>6550</v>
      </c>
      <c r="BD1" s="289"/>
      <c r="BE1" s="287" t="s">
        <v>6551</v>
      </c>
      <c r="BG1" s="289"/>
      <c r="BH1" s="287" t="s">
        <v>6552</v>
      </c>
      <c r="BJ1" s="290"/>
      <c r="BK1" s="290"/>
      <c r="BL1" s="290"/>
      <c r="BM1" s="290"/>
      <c r="BN1" s="290"/>
      <c r="BO1" s="290"/>
      <c r="BP1" s="290"/>
      <c r="BQ1" s="290"/>
      <c r="BR1" s="290"/>
      <c r="BS1" s="290"/>
      <c r="BT1" s="290"/>
      <c r="BU1" s="290"/>
    </row>
    <row r="2">
      <c r="A2" s="291" t="s">
        <v>6532</v>
      </c>
      <c r="B2" s="291" t="s">
        <v>6553</v>
      </c>
      <c r="C2" s="292"/>
      <c r="D2" s="291" t="s">
        <v>6532</v>
      </c>
      <c r="E2" s="291" t="s">
        <v>6553</v>
      </c>
      <c r="F2" s="292"/>
      <c r="G2" s="291" t="s">
        <v>6532</v>
      </c>
      <c r="H2" s="291" t="s">
        <v>6553</v>
      </c>
      <c r="I2" s="292"/>
      <c r="J2" s="291" t="s">
        <v>6532</v>
      </c>
      <c r="K2" s="291" t="s">
        <v>6553</v>
      </c>
      <c r="L2" s="292"/>
      <c r="M2" s="291" t="s">
        <v>6532</v>
      </c>
      <c r="N2" s="291" t="s">
        <v>6553</v>
      </c>
      <c r="O2" s="292"/>
      <c r="P2" s="291" t="s">
        <v>6532</v>
      </c>
      <c r="Q2" s="291" t="s">
        <v>6553</v>
      </c>
      <c r="R2" s="292"/>
      <c r="S2" s="291" t="s">
        <v>6532</v>
      </c>
      <c r="T2" s="291" t="s">
        <v>6553</v>
      </c>
      <c r="U2" s="292"/>
      <c r="V2" s="291" t="s">
        <v>6532</v>
      </c>
      <c r="W2" s="291" t="s">
        <v>6553</v>
      </c>
      <c r="X2" s="292"/>
      <c r="Y2" s="291" t="s">
        <v>6532</v>
      </c>
      <c r="Z2" s="291" t="s">
        <v>6553</v>
      </c>
      <c r="AA2" s="292"/>
      <c r="AB2" s="291" t="s">
        <v>6532</v>
      </c>
      <c r="AC2" s="291" t="s">
        <v>6553</v>
      </c>
      <c r="AD2" s="292"/>
      <c r="AE2" s="291" t="s">
        <v>6532</v>
      </c>
      <c r="AF2" s="291" t="s">
        <v>6553</v>
      </c>
      <c r="AG2" s="292"/>
      <c r="AH2" s="291" t="s">
        <v>6532</v>
      </c>
      <c r="AI2" s="291" t="s">
        <v>6553</v>
      </c>
      <c r="AJ2" s="292"/>
      <c r="AK2" s="291" t="s">
        <v>6532</v>
      </c>
      <c r="AL2" s="291" t="s">
        <v>6553</v>
      </c>
      <c r="AM2" s="292"/>
      <c r="AN2" s="291" t="s">
        <v>6532</v>
      </c>
      <c r="AO2" s="291" t="s">
        <v>6553</v>
      </c>
      <c r="AP2" s="292"/>
      <c r="AQ2" s="291" t="s">
        <v>6532</v>
      </c>
      <c r="AR2" s="292"/>
      <c r="AS2" s="291" t="s">
        <v>6532</v>
      </c>
      <c r="AT2" s="291" t="s">
        <v>6553</v>
      </c>
      <c r="AU2" s="292"/>
      <c r="AV2" s="291" t="s">
        <v>6532</v>
      </c>
      <c r="AW2" s="291" t="s">
        <v>6553</v>
      </c>
      <c r="AX2" s="292"/>
      <c r="AY2" s="291" t="s">
        <v>6532</v>
      </c>
      <c r="AZ2" s="291" t="s">
        <v>6553</v>
      </c>
      <c r="BA2" s="292"/>
      <c r="BB2" s="291" t="s">
        <v>6532</v>
      </c>
      <c r="BC2" s="291" t="s">
        <v>6553</v>
      </c>
      <c r="BD2" s="292"/>
      <c r="BE2" s="291" t="s">
        <v>6532</v>
      </c>
      <c r="BF2" s="291" t="s">
        <v>6553</v>
      </c>
      <c r="BG2" s="292"/>
      <c r="BH2" s="291" t="s">
        <v>6532</v>
      </c>
      <c r="BI2" s="291" t="s">
        <v>6553</v>
      </c>
      <c r="BJ2" s="290"/>
      <c r="BK2" s="290"/>
      <c r="BL2" s="290"/>
      <c r="BM2" s="290"/>
      <c r="BN2" s="290"/>
      <c r="BO2" s="290"/>
      <c r="BP2" s="290"/>
      <c r="BQ2" s="290"/>
      <c r="BR2" s="290"/>
      <c r="BS2" s="290"/>
      <c r="BT2" s="290"/>
      <c r="BU2" s="290"/>
    </row>
    <row r="3">
      <c r="A3" s="293" t="s">
        <v>6554</v>
      </c>
      <c r="B3" s="293" t="s">
        <v>6555</v>
      </c>
      <c r="C3" s="294"/>
      <c r="D3" s="293"/>
      <c r="E3" s="293"/>
      <c r="F3" s="294"/>
      <c r="G3" s="293" t="s">
        <v>1120</v>
      </c>
      <c r="H3" s="293" t="s">
        <v>6556</v>
      </c>
      <c r="I3" s="294"/>
      <c r="J3" s="293" t="s">
        <v>6557</v>
      </c>
      <c r="K3" s="293" t="s">
        <v>6558</v>
      </c>
      <c r="L3" s="294"/>
      <c r="M3" s="293" t="s">
        <v>6559</v>
      </c>
      <c r="N3" s="295" t="s">
        <v>6560</v>
      </c>
      <c r="O3" s="294"/>
      <c r="P3" s="296" t="s">
        <v>6561</v>
      </c>
      <c r="Q3" s="295" t="s">
        <v>6562</v>
      </c>
      <c r="R3" s="294"/>
      <c r="S3" s="293" t="s">
        <v>6563</v>
      </c>
      <c r="T3" s="293" t="s">
        <v>6564</v>
      </c>
      <c r="U3" s="294"/>
      <c r="V3" s="293" t="s">
        <v>6565</v>
      </c>
      <c r="W3" s="297" t="s">
        <v>6566</v>
      </c>
      <c r="X3" s="294"/>
      <c r="Y3" s="293" t="s">
        <v>6567</v>
      </c>
      <c r="Z3" s="297" t="s">
        <v>6568</v>
      </c>
      <c r="AA3" s="294"/>
      <c r="AB3" s="293" t="s">
        <v>291</v>
      </c>
      <c r="AC3" s="293" t="s">
        <v>6569</v>
      </c>
      <c r="AD3" s="298"/>
      <c r="AE3" s="293" t="s">
        <v>6570</v>
      </c>
      <c r="AF3" s="299" t="s">
        <v>6571</v>
      </c>
      <c r="AG3" s="298"/>
      <c r="AH3" s="300" t="s">
        <v>6572</v>
      </c>
      <c r="AI3" s="300" t="s">
        <v>6573</v>
      </c>
      <c r="AJ3" s="298"/>
      <c r="AL3" s="300" t="s">
        <v>6574</v>
      </c>
      <c r="AM3" s="298"/>
      <c r="AN3" s="293" t="s">
        <v>6575</v>
      </c>
      <c r="AO3" s="295" t="s">
        <v>6576</v>
      </c>
      <c r="AP3" s="298"/>
      <c r="AQ3" s="301" t="s">
        <v>598</v>
      </c>
      <c r="AR3" s="298"/>
      <c r="AS3" s="302"/>
      <c r="AT3" s="303" t="s">
        <v>6577</v>
      </c>
      <c r="AU3" s="304"/>
      <c r="AV3" s="305" t="s">
        <v>6578</v>
      </c>
      <c r="AW3" s="306" t="s">
        <v>6579</v>
      </c>
      <c r="AX3" s="304"/>
      <c r="AZ3" s="300" t="s">
        <v>6580</v>
      </c>
      <c r="BA3" s="307"/>
      <c r="BB3" s="308"/>
      <c r="BC3" s="309" t="s">
        <v>6581</v>
      </c>
      <c r="BD3" s="307"/>
      <c r="BG3" s="307"/>
    </row>
    <row r="4">
      <c r="A4" s="293"/>
      <c r="B4" s="293" t="s">
        <v>3616</v>
      </c>
      <c r="C4" s="294"/>
      <c r="D4" s="293" t="s">
        <v>6582</v>
      </c>
      <c r="E4" s="293" t="s">
        <v>6583</v>
      </c>
      <c r="F4" s="294"/>
      <c r="G4" s="293" t="s">
        <v>1787</v>
      </c>
      <c r="H4" s="293" t="s">
        <v>6584</v>
      </c>
      <c r="I4" s="294"/>
      <c r="J4" s="293" t="s">
        <v>6585</v>
      </c>
      <c r="K4" s="293"/>
      <c r="L4" s="294"/>
      <c r="M4" s="293" t="s">
        <v>6586</v>
      </c>
      <c r="N4" s="293" t="s">
        <v>6587</v>
      </c>
      <c r="O4" s="294"/>
      <c r="P4" s="293" t="s">
        <v>6588</v>
      </c>
      <c r="Q4" s="295" t="s">
        <v>6589</v>
      </c>
      <c r="R4" s="294"/>
      <c r="S4" s="293"/>
      <c r="T4" s="293" t="s">
        <v>6590</v>
      </c>
      <c r="U4" s="294"/>
      <c r="V4" s="293"/>
      <c r="W4" s="310" t="s">
        <v>6591</v>
      </c>
      <c r="X4" s="294"/>
      <c r="Y4" s="293" t="s">
        <v>6592</v>
      </c>
      <c r="Z4" s="310" t="s">
        <v>6593</v>
      </c>
      <c r="AA4" s="294"/>
      <c r="AB4" s="293"/>
      <c r="AC4" s="293" t="s">
        <v>6594</v>
      </c>
      <c r="AD4" s="298"/>
      <c r="AE4" s="293" t="s">
        <v>6595</v>
      </c>
      <c r="AF4" s="299" t="s">
        <v>6596</v>
      </c>
      <c r="AG4" s="298"/>
      <c r="AH4" s="300"/>
      <c r="AI4" s="300" t="s">
        <v>6597</v>
      </c>
      <c r="AJ4" s="298"/>
      <c r="AK4" s="300" t="s">
        <v>6598</v>
      </c>
      <c r="AL4" s="300" t="s">
        <v>6599</v>
      </c>
      <c r="AM4" s="298"/>
      <c r="AN4" s="293" t="s">
        <v>900</v>
      </c>
      <c r="AO4" s="311" t="s">
        <v>6600</v>
      </c>
      <c r="AP4" s="298"/>
      <c r="AQ4" s="312" t="s">
        <v>6601</v>
      </c>
      <c r="AR4" s="298"/>
      <c r="AS4" s="308" t="s">
        <v>6602</v>
      </c>
      <c r="AT4" s="313" t="s">
        <v>6603</v>
      </c>
      <c r="AU4" s="304"/>
      <c r="AV4" s="314"/>
      <c r="AW4" s="315" t="s">
        <v>6604</v>
      </c>
      <c r="AX4" s="304"/>
      <c r="BA4" s="307"/>
      <c r="BB4" s="308"/>
      <c r="BC4" s="309"/>
      <c r="BD4" s="307"/>
      <c r="BG4" s="307"/>
    </row>
    <row r="5">
      <c r="A5" s="293"/>
      <c r="B5" s="293" t="s">
        <v>6605</v>
      </c>
      <c r="C5" s="294"/>
      <c r="D5" s="293"/>
      <c r="E5" s="293" t="s">
        <v>6606</v>
      </c>
      <c r="F5" s="294"/>
      <c r="G5" s="293" t="s">
        <v>1820</v>
      </c>
      <c r="H5" s="293" t="s">
        <v>6607</v>
      </c>
      <c r="I5" s="294"/>
      <c r="J5" s="293" t="s">
        <v>6608</v>
      </c>
      <c r="K5" s="293" t="s">
        <v>6609</v>
      </c>
      <c r="L5" s="294"/>
      <c r="M5" s="293" t="s">
        <v>6610</v>
      </c>
      <c r="N5" s="316" t="s">
        <v>6611</v>
      </c>
      <c r="O5" s="294"/>
      <c r="Q5" s="300" t="s">
        <v>6612</v>
      </c>
      <c r="R5" s="294"/>
      <c r="S5" s="317" t="s">
        <v>6613</v>
      </c>
      <c r="T5" s="317" t="s">
        <v>6614</v>
      </c>
      <c r="U5" s="294"/>
      <c r="V5" s="293"/>
      <c r="W5" s="297" t="s">
        <v>6615</v>
      </c>
      <c r="X5" s="294"/>
      <c r="Y5" s="293"/>
      <c r="Z5" s="318" t="s">
        <v>6616</v>
      </c>
      <c r="AA5" s="294"/>
      <c r="AB5" s="293" t="s">
        <v>6617</v>
      </c>
      <c r="AC5" s="293" t="s">
        <v>6618</v>
      </c>
      <c r="AD5" s="298"/>
      <c r="AE5" s="293"/>
      <c r="AF5" s="299" t="s">
        <v>1408</v>
      </c>
      <c r="AG5" s="298"/>
      <c r="AH5" s="300"/>
      <c r="AI5" s="319"/>
      <c r="AJ5" s="298"/>
      <c r="AK5" s="300"/>
      <c r="AL5" s="300"/>
      <c r="AM5" s="298"/>
      <c r="AN5" s="293"/>
      <c r="AO5" s="293"/>
      <c r="AP5" s="298"/>
      <c r="AQ5" s="312"/>
      <c r="AR5" s="298"/>
      <c r="AS5" s="308"/>
      <c r="AT5" s="320"/>
      <c r="AU5" s="304"/>
      <c r="AV5" s="314"/>
      <c r="AW5" s="315"/>
      <c r="AX5" s="304"/>
      <c r="BA5" s="307"/>
      <c r="BB5" s="308"/>
      <c r="BC5" s="309"/>
      <c r="BD5" s="307"/>
      <c r="BG5" s="307"/>
    </row>
    <row r="6">
      <c r="A6" s="293"/>
      <c r="B6" s="293"/>
      <c r="C6" s="294"/>
      <c r="D6" s="293"/>
      <c r="E6" s="293"/>
      <c r="F6" s="294"/>
      <c r="G6" s="293" t="s">
        <v>1766</v>
      </c>
      <c r="H6" s="293" t="s">
        <v>6619</v>
      </c>
      <c r="I6" s="294"/>
      <c r="J6" s="293"/>
      <c r="K6" s="293" t="s">
        <v>6620</v>
      </c>
      <c r="L6" s="294"/>
      <c r="M6" s="293" t="s">
        <v>6621</v>
      </c>
      <c r="N6" s="293" t="s">
        <v>6622</v>
      </c>
      <c r="O6" s="294"/>
      <c r="Q6" s="300" t="s">
        <v>6623</v>
      </c>
      <c r="R6" s="294"/>
      <c r="S6" s="317"/>
      <c r="T6" s="317" t="s">
        <v>6624</v>
      </c>
      <c r="U6" s="294"/>
      <c r="V6" s="293"/>
      <c r="W6" s="318" t="s">
        <v>6625</v>
      </c>
      <c r="X6" s="294"/>
      <c r="Y6" s="293"/>
      <c r="Z6" s="321" t="s">
        <v>6626</v>
      </c>
      <c r="AA6" s="294"/>
      <c r="AB6" s="293"/>
      <c r="AC6" s="293" t="s">
        <v>6627</v>
      </c>
      <c r="AD6" s="298"/>
      <c r="AE6" s="293"/>
      <c r="AF6" s="293"/>
      <c r="AG6" s="298"/>
      <c r="AH6" s="300"/>
      <c r="AI6" s="319"/>
      <c r="AJ6" s="298"/>
      <c r="AK6" s="300"/>
      <c r="AL6" s="300"/>
      <c r="AM6" s="298"/>
      <c r="AN6" s="293"/>
      <c r="AO6" s="293"/>
      <c r="AP6" s="298"/>
      <c r="AQ6" s="312"/>
      <c r="AR6" s="298"/>
      <c r="AS6" s="308"/>
      <c r="AT6" s="320"/>
      <c r="AU6" s="304"/>
      <c r="AV6" s="314"/>
      <c r="AW6" s="315"/>
      <c r="AX6" s="304"/>
      <c r="BA6" s="307"/>
      <c r="BB6" s="308"/>
      <c r="BC6" s="309"/>
      <c r="BD6" s="307"/>
      <c r="BG6" s="307"/>
    </row>
    <row r="7">
      <c r="A7" s="293" t="s">
        <v>6628</v>
      </c>
      <c r="B7" s="293" t="s">
        <v>6629</v>
      </c>
      <c r="C7" s="294"/>
      <c r="D7" s="293" t="s">
        <v>6630</v>
      </c>
      <c r="E7" s="293" t="s">
        <v>6631</v>
      </c>
      <c r="F7" s="294"/>
      <c r="G7" s="293" t="s">
        <v>1766</v>
      </c>
      <c r="H7" s="293" t="s">
        <v>6632</v>
      </c>
      <c r="I7" s="294"/>
      <c r="J7" s="293"/>
      <c r="K7" s="293" t="s">
        <v>6633</v>
      </c>
      <c r="L7" s="294"/>
      <c r="M7" s="293"/>
      <c r="N7" s="293" t="s">
        <v>6634</v>
      </c>
      <c r="O7" s="294"/>
      <c r="P7" s="296" t="s">
        <v>1642</v>
      </c>
      <c r="Q7" s="293" t="s">
        <v>6635</v>
      </c>
      <c r="R7" s="294"/>
      <c r="S7" s="317"/>
      <c r="T7" s="322" t="s">
        <v>6636</v>
      </c>
      <c r="U7" s="294"/>
      <c r="V7" s="293" t="s">
        <v>2540</v>
      </c>
      <c r="W7" s="322" t="s">
        <v>6637</v>
      </c>
      <c r="X7" s="294"/>
      <c r="Y7" s="293"/>
      <c r="Z7" s="321" t="s">
        <v>6638</v>
      </c>
      <c r="AA7" s="294"/>
      <c r="AB7" s="293"/>
      <c r="AC7" s="293" t="s">
        <v>6639</v>
      </c>
      <c r="AD7" s="298"/>
      <c r="AE7" s="293"/>
      <c r="AF7" s="293"/>
      <c r="AG7" s="298"/>
      <c r="AH7" s="300"/>
      <c r="AI7" s="319" t="s">
        <v>6640</v>
      </c>
      <c r="AJ7" s="298"/>
      <c r="AK7" s="300"/>
      <c r="AL7" s="300" t="s">
        <v>6641</v>
      </c>
      <c r="AM7" s="298"/>
      <c r="AN7" s="293"/>
      <c r="AO7" s="293"/>
      <c r="AP7" s="298"/>
      <c r="AQ7" s="312"/>
      <c r="AR7" s="298"/>
      <c r="AS7" s="308"/>
      <c r="AT7" s="320"/>
      <c r="AU7" s="304"/>
      <c r="AV7" s="314"/>
      <c r="AW7" s="315"/>
      <c r="AX7" s="304"/>
      <c r="BA7" s="307"/>
      <c r="BB7" s="308"/>
      <c r="BC7" s="309"/>
      <c r="BD7" s="307"/>
      <c r="BG7" s="307"/>
    </row>
    <row r="8">
      <c r="A8" s="293"/>
      <c r="B8" s="293"/>
      <c r="C8" s="294"/>
      <c r="D8" s="293"/>
      <c r="E8" s="299" t="s">
        <v>6642</v>
      </c>
      <c r="F8" s="294"/>
      <c r="G8" s="293" t="s">
        <v>1703</v>
      </c>
      <c r="H8" s="293" t="s">
        <v>6643</v>
      </c>
      <c r="I8" s="294"/>
      <c r="J8" s="293"/>
      <c r="K8" s="293" t="s">
        <v>6644</v>
      </c>
      <c r="L8" s="294"/>
      <c r="M8" s="293" t="s">
        <v>6645</v>
      </c>
      <c r="N8" s="316" t="s">
        <v>6646</v>
      </c>
      <c r="O8" s="298"/>
      <c r="P8" s="293"/>
      <c r="Q8" s="299" t="s">
        <v>6647</v>
      </c>
      <c r="R8" s="298"/>
      <c r="S8" s="317" t="s">
        <v>2540</v>
      </c>
      <c r="T8" s="317" t="s">
        <v>6648</v>
      </c>
      <c r="U8" s="298"/>
      <c r="V8" s="323"/>
      <c r="W8" s="322" t="s">
        <v>6649</v>
      </c>
      <c r="X8" s="298"/>
      <c r="Y8" s="293" t="s">
        <v>6650</v>
      </c>
      <c r="Z8" s="318" t="s">
        <v>6651</v>
      </c>
      <c r="AA8" s="298"/>
      <c r="AB8" s="323"/>
      <c r="AC8" s="293" t="s">
        <v>6652</v>
      </c>
      <c r="AD8" s="298"/>
      <c r="AE8" s="293" t="s">
        <v>6653</v>
      </c>
      <c r="AF8" s="293" t="s">
        <v>6654</v>
      </c>
      <c r="AG8" s="298"/>
      <c r="AH8" s="300" t="s">
        <v>784</v>
      </c>
      <c r="AI8" s="324" t="s">
        <v>6655</v>
      </c>
      <c r="AJ8" s="298"/>
      <c r="AK8" s="300" t="s">
        <v>6656</v>
      </c>
      <c r="AL8" s="300" t="s">
        <v>6657</v>
      </c>
      <c r="AM8" s="298"/>
      <c r="AN8" s="293"/>
      <c r="AO8" s="325" t="s">
        <v>6658</v>
      </c>
      <c r="AP8" s="298"/>
      <c r="AQ8" s="312" t="s">
        <v>6659</v>
      </c>
      <c r="AR8" s="298"/>
      <c r="AS8" s="308"/>
      <c r="AT8" s="320" t="s">
        <v>6660</v>
      </c>
      <c r="AU8" s="304"/>
      <c r="AV8" s="314"/>
      <c r="AW8" s="315" t="s">
        <v>6661</v>
      </c>
      <c r="AX8" s="304"/>
      <c r="BA8" s="307"/>
      <c r="BB8" s="308"/>
      <c r="BC8" s="309"/>
      <c r="BD8" s="307"/>
      <c r="BG8" s="307"/>
    </row>
    <row r="9">
      <c r="A9" s="300" t="s">
        <v>1642</v>
      </c>
      <c r="B9" s="293" t="s">
        <v>6662</v>
      </c>
      <c r="C9" s="307"/>
      <c r="E9" s="300" t="s">
        <v>6663</v>
      </c>
      <c r="F9" s="307"/>
      <c r="G9" s="293" t="s">
        <v>1824</v>
      </c>
      <c r="H9" s="293" t="s">
        <v>6664</v>
      </c>
      <c r="I9" s="307"/>
      <c r="K9" s="300" t="s">
        <v>6665</v>
      </c>
      <c r="L9" s="307"/>
      <c r="N9" s="326" t="s">
        <v>6666</v>
      </c>
      <c r="O9" s="294"/>
      <c r="P9" s="293"/>
      <c r="Q9" s="293" t="s">
        <v>6667</v>
      </c>
      <c r="R9" s="294"/>
      <c r="S9" s="317" t="s">
        <v>6668</v>
      </c>
      <c r="T9" s="317" t="s">
        <v>6669</v>
      </c>
      <c r="U9" s="294"/>
      <c r="V9" s="293"/>
      <c r="W9" s="321" t="s">
        <v>6670</v>
      </c>
      <c r="X9" s="294"/>
      <c r="Y9" s="293"/>
      <c r="Z9" s="310" t="s">
        <v>6671</v>
      </c>
      <c r="AA9" s="294"/>
      <c r="AB9" s="293" t="s">
        <v>6672</v>
      </c>
      <c r="AC9" s="293" t="s">
        <v>6673</v>
      </c>
      <c r="AD9" s="327"/>
      <c r="AF9" s="300" t="s">
        <v>6674</v>
      </c>
      <c r="AG9" s="327"/>
      <c r="AH9" s="300" t="s">
        <v>6675</v>
      </c>
      <c r="AI9" s="319" t="s">
        <v>6676</v>
      </c>
      <c r="AJ9" s="298"/>
      <c r="AM9" s="298"/>
      <c r="AN9" s="293" t="s">
        <v>6677</v>
      </c>
      <c r="AO9" s="328" t="s">
        <v>6678</v>
      </c>
      <c r="AP9" s="298"/>
      <c r="AQ9" s="329" t="s">
        <v>6679</v>
      </c>
      <c r="AR9" s="298"/>
      <c r="AS9" s="308" t="s">
        <v>6680</v>
      </c>
      <c r="AT9" s="313" t="s">
        <v>6681</v>
      </c>
      <c r="AU9" s="304"/>
      <c r="AV9" s="314" t="s">
        <v>6682</v>
      </c>
      <c r="AW9" s="315" t="s">
        <v>6683</v>
      </c>
      <c r="AX9" s="304"/>
      <c r="BA9" s="307"/>
      <c r="BB9" s="308"/>
      <c r="BC9" s="309"/>
      <c r="BD9" s="307"/>
      <c r="BG9" s="307"/>
    </row>
    <row r="10">
      <c r="B10" s="293"/>
      <c r="C10" s="294"/>
      <c r="F10" s="294"/>
      <c r="G10" s="293" t="s">
        <v>263</v>
      </c>
      <c r="H10" s="293" t="s">
        <v>6684</v>
      </c>
      <c r="I10" s="294"/>
      <c r="J10" s="293"/>
      <c r="K10" s="293" t="s">
        <v>6685</v>
      </c>
      <c r="L10" s="294"/>
      <c r="M10" s="293" t="s">
        <v>4622</v>
      </c>
      <c r="N10" s="293" t="s">
        <v>6686</v>
      </c>
      <c r="O10" s="294"/>
      <c r="P10" s="293"/>
      <c r="Q10" s="293" t="s">
        <v>6687</v>
      </c>
      <c r="R10" s="294"/>
      <c r="S10" s="317" t="s">
        <v>6688</v>
      </c>
      <c r="T10" s="317" t="s">
        <v>6689</v>
      </c>
      <c r="U10" s="294"/>
      <c r="V10" s="293" t="s">
        <v>6690</v>
      </c>
      <c r="W10" s="310" t="s">
        <v>6691</v>
      </c>
      <c r="X10" s="294"/>
      <c r="Y10" s="293" t="s">
        <v>657</v>
      </c>
      <c r="Z10" s="318" t="s">
        <v>6692</v>
      </c>
      <c r="AA10" s="294"/>
      <c r="AB10" s="293"/>
      <c r="AC10" s="293" t="s">
        <v>6693</v>
      </c>
      <c r="AD10" s="298"/>
      <c r="AE10" s="293" t="s">
        <v>6694</v>
      </c>
      <c r="AF10" s="299" t="s">
        <v>6695</v>
      </c>
      <c r="AG10" s="298"/>
      <c r="AH10" s="300" t="s">
        <v>6696</v>
      </c>
      <c r="AI10" s="330" t="s">
        <v>6697</v>
      </c>
      <c r="AJ10" s="298"/>
      <c r="AK10" s="300" t="s">
        <v>6698</v>
      </c>
      <c r="AL10" s="331" t="s">
        <v>6699</v>
      </c>
      <c r="AM10" s="298"/>
      <c r="AN10" s="323"/>
      <c r="AO10" s="295" t="s">
        <v>6660</v>
      </c>
      <c r="AP10" s="298"/>
      <c r="AQ10" s="312" t="s">
        <v>6700</v>
      </c>
      <c r="AR10" s="298"/>
      <c r="AS10" s="308" t="s">
        <v>6701</v>
      </c>
      <c r="AT10" s="313" t="s">
        <v>6702</v>
      </c>
      <c r="AU10" s="304"/>
      <c r="AV10" s="314"/>
      <c r="AW10" s="314" t="s">
        <v>6703</v>
      </c>
      <c r="AX10" s="304"/>
      <c r="BA10" s="307"/>
      <c r="BB10" s="308"/>
      <c r="BC10" s="309"/>
      <c r="BD10" s="307"/>
      <c r="BG10" s="307"/>
    </row>
    <row r="11">
      <c r="A11" s="300" t="s">
        <v>6704</v>
      </c>
      <c r="B11" s="293" t="s">
        <v>6705</v>
      </c>
      <c r="C11" s="294"/>
      <c r="D11" s="300" t="s">
        <v>6706</v>
      </c>
      <c r="E11" s="293" t="s">
        <v>6707</v>
      </c>
      <c r="F11" s="294"/>
      <c r="G11" s="293" t="s">
        <v>2621</v>
      </c>
      <c r="H11" s="293" t="s">
        <v>6708</v>
      </c>
      <c r="I11" s="294"/>
      <c r="J11" s="293" t="s">
        <v>3782</v>
      </c>
      <c r="K11" s="293" t="s">
        <v>6709</v>
      </c>
      <c r="L11" s="307"/>
      <c r="N11" s="300" t="s">
        <v>6710</v>
      </c>
      <c r="O11" s="294"/>
      <c r="P11" s="293"/>
      <c r="Q11" s="299" t="s">
        <v>6711</v>
      </c>
      <c r="R11" s="294"/>
      <c r="S11" s="317"/>
      <c r="T11" s="317"/>
      <c r="U11" s="294"/>
      <c r="V11" s="293"/>
      <c r="W11" s="297" t="s">
        <v>6712</v>
      </c>
      <c r="X11" s="294"/>
      <c r="Y11" s="293" t="s">
        <v>6713</v>
      </c>
      <c r="Z11" s="310" t="s">
        <v>6714</v>
      </c>
      <c r="AA11" s="294"/>
      <c r="AB11" s="293"/>
      <c r="AC11" s="293" t="s">
        <v>6715</v>
      </c>
      <c r="AD11" s="298"/>
      <c r="AE11" s="293"/>
      <c r="AF11" s="332" t="s">
        <v>6716</v>
      </c>
      <c r="AG11" s="298"/>
      <c r="AH11" s="293" t="s">
        <v>6717</v>
      </c>
      <c r="AI11" s="333" t="s">
        <v>6718</v>
      </c>
      <c r="AJ11" s="298"/>
      <c r="AK11" s="293" t="s">
        <v>6719</v>
      </c>
      <c r="AL11" s="293" t="s">
        <v>6720</v>
      </c>
      <c r="AM11" s="298"/>
      <c r="AN11" s="293" t="s">
        <v>6721</v>
      </c>
      <c r="AO11" s="295" t="s">
        <v>6722</v>
      </c>
      <c r="AP11" s="298"/>
      <c r="AQ11" s="312" t="s">
        <v>6723</v>
      </c>
      <c r="AR11" s="298"/>
      <c r="AS11" s="308" t="s">
        <v>6724</v>
      </c>
      <c r="AT11" s="313" t="s">
        <v>6725</v>
      </c>
      <c r="AU11" s="304"/>
      <c r="AV11" s="314" t="s">
        <v>6726</v>
      </c>
      <c r="AW11" s="315" t="s">
        <v>6727</v>
      </c>
      <c r="AX11" s="304"/>
      <c r="BA11" s="307"/>
      <c r="BB11" s="308"/>
      <c r="BC11" s="309"/>
      <c r="BD11" s="307"/>
      <c r="BG11" s="307"/>
    </row>
    <row r="12">
      <c r="A12" s="300" t="s">
        <v>6728</v>
      </c>
      <c r="B12" s="293" t="s">
        <v>6729</v>
      </c>
      <c r="C12" s="294"/>
      <c r="E12" s="300" t="s">
        <v>6730</v>
      </c>
      <c r="F12" s="294"/>
      <c r="G12" s="293" t="s">
        <v>1424</v>
      </c>
      <c r="H12" s="293" t="s">
        <v>6731</v>
      </c>
      <c r="I12" s="294"/>
      <c r="J12" s="293"/>
      <c r="K12" s="293" t="s">
        <v>6732</v>
      </c>
      <c r="L12" s="294"/>
      <c r="M12" s="293" t="s">
        <v>6733</v>
      </c>
      <c r="N12" s="293" t="s">
        <v>6734</v>
      </c>
      <c r="O12" s="294"/>
      <c r="P12" s="330" t="s">
        <v>6735</v>
      </c>
      <c r="Q12" s="295" t="s">
        <v>6736</v>
      </c>
      <c r="R12" s="294"/>
      <c r="S12" s="317"/>
      <c r="T12" s="317"/>
      <c r="U12" s="294"/>
      <c r="V12" s="293"/>
      <c r="W12" s="297" t="s">
        <v>6737</v>
      </c>
      <c r="X12" s="294"/>
      <c r="Y12" s="293" t="s">
        <v>6738</v>
      </c>
      <c r="Z12" s="297" t="s">
        <v>6739</v>
      </c>
      <c r="AA12" s="294"/>
      <c r="AB12" s="293"/>
      <c r="AC12" s="293" t="s">
        <v>6740</v>
      </c>
      <c r="AD12" s="298"/>
      <c r="AE12" s="293"/>
      <c r="AF12" s="293" t="s">
        <v>6741</v>
      </c>
      <c r="AG12" s="298"/>
      <c r="AH12" s="293" t="s">
        <v>6742</v>
      </c>
      <c r="AI12" s="334" t="s">
        <v>6743</v>
      </c>
      <c r="AJ12" s="298"/>
      <c r="AK12" s="293" t="s">
        <v>842</v>
      </c>
      <c r="AL12" s="293" t="s">
        <v>6744</v>
      </c>
      <c r="AM12" s="298"/>
      <c r="AN12" s="323"/>
      <c r="AO12" s="293" t="s">
        <v>6745</v>
      </c>
      <c r="AP12" s="298"/>
      <c r="AQ12" s="335"/>
      <c r="AR12" s="298"/>
      <c r="AS12" s="308"/>
      <c r="AT12" s="320"/>
      <c r="AU12" s="304"/>
      <c r="AV12" s="314"/>
      <c r="AW12" s="314"/>
      <c r="AX12" s="304"/>
      <c r="BA12" s="307"/>
      <c r="BB12" s="308"/>
      <c r="BC12" s="309"/>
      <c r="BD12" s="307"/>
      <c r="BG12" s="307"/>
    </row>
    <row r="13">
      <c r="A13" s="293"/>
      <c r="B13" s="293" t="s">
        <v>6746</v>
      </c>
      <c r="C13" s="294"/>
      <c r="D13" s="293"/>
      <c r="E13" s="293"/>
      <c r="F13" s="294"/>
      <c r="G13" s="293" t="s">
        <v>1424</v>
      </c>
      <c r="H13" s="293" t="s">
        <v>6747</v>
      </c>
      <c r="I13" s="294"/>
      <c r="J13" s="293" t="s">
        <v>6748</v>
      </c>
      <c r="K13" s="293" t="s">
        <v>6749</v>
      </c>
      <c r="L13" s="294"/>
      <c r="M13" s="293" t="s">
        <v>6750</v>
      </c>
      <c r="N13" s="316" t="s">
        <v>6751</v>
      </c>
      <c r="O13" s="294"/>
      <c r="P13" s="300" t="s">
        <v>6752</v>
      </c>
      <c r="Q13" s="295" t="s">
        <v>6753</v>
      </c>
      <c r="R13" s="294"/>
      <c r="S13" s="317"/>
      <c r="T13" s="317"/>
      <c r="U13" s="294"/>
      <c r="V13" s="293"/>
      <c r="W13" s="321"/>
      <c r="X13" s="294"/>
      <c r="Y13" s="293"/>
      <c r="Z13" s="336" t="s">
        <v>6754</v>
      </c>
      <c r="AA13" s="294"/>
      <c r="AB13" s="293"/>
      <c r="AC13" s="293"/>
      <c r="AD13" s="298"/>
      <c r="AE13" s="293"/>
      <c r="AF13" s="293"/>
      <c r="AG13" s="298"/>
      <c r="AH13" s="293"/>
      <c r="AI13" s="293"/>
      <c r="AJ13" s="298"/>
      <c r="AK13" s="293"/>
      <c r="AL13" s="293"/>
      <c r="AM13" s="298"/>
      <c r="AN13" s="293"/>
      <c r="AO13" s="328"/>
      <c r="AP13" s="298"/>
      <c r="AQ13" s="335"/>
      <c r="AR13" s="298"/>
      <c r="AS13" s="308"/>
      <c r="AT13" s="320"/>
      <c r="AU13" s="304"/>
      <c r="AV13" s="314"/>
      <c r="AW13" s="314"/>
      <c r="AX13" s="304"/>
      <c r="BA13" s="307"/>
      <c r="BB13" s="308"/>
      <c r="BC13" s="309"/>
      <c r="BD13" s="307"/>
      <c r="BG13" s="307"/>
    </row>
    <row r="14">
      <c r="A14" s="293"/>
      <c r="B14" s="293" t="s">
        <v>6755</v>
      </c>
      <c r="C14" s="294"/>
      <c r="D14" s="293" t="s">
        <v>6756</v>
      </c>
      <c r="E14" s="293" t="s">
        <v>60</v>
      </c>
      <c r="F14" s="294"/>
      <c r="G14" s="293" t="s">
        <v>1642</v>
      </c>
      <c r="H14" s="293" t="s">
        <v>6757</v>
      </c>
      <c r="I14" s="294"/>
      <c r="J14" s="293"/>
      <c r="K14" s="293" t="s">
        <v>6758</v>
      </c>
      <c r="L14" s="294"/>
      <c r="M14" s="293" t="s">
        <v>6759</v>
      </c>
      <c r="N14" s="316" t="s">
        <v>6760</v>
      </c>
      <c r="O14" s="294"/>
      <c r="Q14" s="295" t="s">
        <v>6761</v>
      </c>
      <c r="R14" s="294"/>
      <c r="S14" s="317"/>
      <c r="T14" s="317"/>
      <c r="U14" s="294"/>
      <c r="V14" s="293" t="s">
        <v>6762</v>
      </c>
      <c r="W14" s="318" t="s">
        <v>6763</v>
      </c>
      <c r="X14" s="294"/>
      <c r="Y14" s="293" t="s">
        <v>1376</v>
      </c>
      <c r="Z14" s="337" t="s">
        <v>6764</v>
      </c>
      <c r="AA14" s="294"/>
      <c r="AB14" s="293" t="s">
        <v>6765</v>
      </c>
      <c r="AC14" s="293" t="s">
        <v>6766</v>
      </c>
      <c r="AD14" s="298"/>
      <c r="AE14" s="293" t="s">
        <v>6767</v>
      </c>
      <c r="AF14" s="293" t="s">
        <v>6768</v>
      </c>
      <c r="AG14" s="298"/>
      <c r="AH14" s="293" t="s">
        <v>6769</v>
      </c>
      <c r="AI14" s="293" t="s">
        <v>6770</v>
      </c>
      <c r="AJ14" s="298"/>
      <c r="AK14" s="293"/>
      <c r="AL14" s="293" t="s">
        <v>6771</v>
      </c>
      <c r="AM14" s="298"/>
      <c r="AN14" s="293" t="s">
        <v>1529</v>
      </c>
      <c r="AO14" s="328" t="s">
        <v>6772</v>
      </c>
      <c r="AP14" s="298"/>
      <c r="AQ14" s="335"/>
      <c r="AR14" s="298"/>
      <c r="AS14" s="308" t="s">
        <v>6773</v>
      </c>
      <c r="AT14" s="320" t="s">
        <v>6774</v>
      </c>
      <c r="AU14" s="304"/>
      <c r="AV14" s="314" t="s">
        <v>6775</v>
      </c>
      <c r="AW14" s="314" t="s">
        <v>6776</v>
      </c>
      <c r="AX14" s="304"/>
      <c r="BA14" s="307"/>
      <c r="BB14" s="308"/>
      <c r="BC14" s="309"/>
      <c r="BD14" s="307"/>
      <c r="BG14" s="307"/>
    </row>
    <row r="15">
      <c r="A15" s="293"/>
      <c r="B15" s="293"/>
      <c r="C15" s="294"/>
      <c r="D15" s="293"/>
      <c r="E15" s="293"/>
      <c r="F15" s="294"/>
      <c r="G15" s="293" t="s">
        <v>1642</v>
      </c>
      <c r="H15" s="293" t="s">
        <v>6777</v>
      </c>
      <c r="I15" s="294"/>
      <c r="J15" s="293"/>
      <c r="K15" s="293" t="s">
        <v>6778</v>
      </c>
      <c r="L15" s="294"/>
      <c r="M15" s="293"/>
      <c r="N15" s="316" t="s">
        <v>6779</v>
      </c>
      <c r="O15" s="294"/>
      <c r="Q15" s="299" t="s">
        <v>6780</v>
      </c>
      <c r="R15" s="294"/>
      <c r="S15" s="317"/>
      <c r="T15" s="317"/>
      <c r="U15" s="294"/>
      <c r="V15" s="293"/>
      <c r="W15" s="310" t="s">
        <v>6781</v>
      </c>
      <c r="X15" s="294"/>
      <c r="Y15" s="293" t="s">
        <v>6782</v>
      </c>
      <c r="Z15" s="338" t="s">
        <v>6783</v>
      </c>
      <c r="AA15" s="294"/>
      <c r="AB15" s="293"/>
      <c r="AC15" s="293"/>
      <c r="AD15" s="298"/>
      <c r="AE15" s="293"/>
      <c r="AF15" s="293" t="s">
        <v>6784</v>
      </c>
      <c r="AG15" s="298"/>
      <c r="AH15" s="293"/>
      <c r="AI15" s="296"/>
      <c r="AJ15" s="298"/>
      <c r="AK15" s="293"/>
      <c r="AL15" s="293"/>
      <c r="AM15" s="298"/>
      <c r="AN15" s="293"/>
      <c r="AO15" s="295"/>
      <c r="AP15" s="298"/>
      <c r="AQ15" s="339"/>
      <c r="AR15" s="298"/>
      <c r="AS15" s="308"/>
      <c r="AT15" s="340"/>
      <c r="AU15" s="304"/>
      <c r="AV15" s="314"/>
      <c r="AW15" s="315"/>
      <c r="AX15" s="304"/>
      <c r="BA15" s="307"/>
      <c r="BB15" s="308"/>
      <c r="BC15" s="341"/>
      <c r="BD15" s="307"/>
      <c r="BG15" s="307"/>
    </row>
    <row r="16">
      <c r="A16" s="293"/>
      <c r="B16" s="293"/>
      <c r="C16" s="294"/>
      <c r="D16" s="293" t="s">
        <v>6785</v>
      </c>
      <c r="E16" s="299" t="s">
        <v>6786</v>
      </c>
      <c r="F16" s="294"/>
      <c r="G16" s="293" t="s">
        <v>1642</v>
      </c>
      <c r="H16" s="293" t="s">
        <v>6787</v>
      </c>
      <c r="I16" s="294"/>
      <c r="J16" s="293"/>
      <c r="K16" s="293" t="s">
        <v>6788</v>
      </c>
      <c r="L16" s="294"/>
      <c r="M16" s="293" t="s">
        <v>6789</v>
      </c>
      <c r="N16" s="342" t="s">
        <v>6790</v>
      </c>
      <c r="O16" s="294"/>
      <c r="Q16" s="295" t="s">
        <v>6791</v>
      </c>
      <c r="R16" s="294"/>
      <c r="S16" s="317"/>
      <c r="T16" s="317"/>
      <c r="U16" s="294"/>
      <c r="V16" s="293"/>
      <c r="W16" s="293"/>
      <c r="X16" s="294"/>
      <c r="Y16" s="293"/>
      <c r="Z16" s="318" t="s">
        <v>6792</v>
      </c>
      <c r="AA16" s="294"/>
      <c r="AB16" s="293"/>
      <c r="AC16" s="293"/>
      <c r="AD16" s="298"/>
      <c r="AE16" s="293"/>
      <c r="AF16" s="293"/>
      <c r="AG16" s="298"/>
      <c r="AH16" s="293"/>
      <c r="AI16" s="296"/>
      <c r="AJ16" s="298"/>
      <c r="AK16" s="293"/>
      <c r="AL16" s="293"/>
      <c r="AM16" s="298"/>
      <c r="AN16" s="293"/>
      <c r="AO16" s="295"/>
      <c r="AP16" s="298"/>
      <c r="AQ16" s="339"/>
      <c r="AR16" s="298"/>
      <c r="AS16" s="308"/>
      <c r="AT16" s="340"/>
      <c r="AU16" s="304"/>
      <c r="AV16" s="314"/>
      <c r="AW16" s="315"/>
      <c r="AX16" s="304"/>
      <c r="BA16" s="307"/>
      <c r="BB16" s="308"/>
      <c r="BC16" s="341"/>
      <c r="BD16" s="307"/>
      <c r="BG16" s="307"/>
    </row>
    <row r="17">
      <c r="A17" s="293"/>
      <c r="B17" s="293"/>
      <c r="C17" s="294"/>
      <c r="D17" s="293"/>
      <c r="E17" s="293" t="s">
        <v>6793</v>
      </c>
      <c r="F17" s="294"/>
      <c r="G17" s="293" t="s">
        <v>1642</v>
      </c>
      <c r="H17" s="293" t="s">
        <v>6794</v>
      </c>
      <c r="I17" s="294"/>
      <c r="J17" s="293" t="s">
        <v>6795</v>
      </c>
      <c r="K17" s="293" t="s">
        <v>6796</v>
      </c>
      <c r="L17" s="294"/>
      <c r="M17" s="293" t="s">
        <v>224</v>
      </c>
      <c r="N17" s="316" t="s">
        <v>6797</v>
      </c>
      <c r="O17" s="294"/>
      <c r="Q17" s="295" t="s">
        <v>6798</v>
      </c>
      <c r="R17" s="294"/>
      <c r="S17" s="317"/>
      <c r="T17" s="317"/>
      <c r="U17" s="294"/>
      <c r="V17" s="293"/>
      <c r="W17" s="293"/>
      <c r="X17" s="294"/>
      <c r="Y17" s="293"/>
      <c r="Z17" s="322" t="s">
        <v>6799</v>
      </c>
      <c r="AA17" s="294"/>
      <c r="AB17" s="293"/>
      <c r="AC17" s="293"/>
      <c r="AD17" s="298"/>
      <c r="AE17" s="293"/>
      <c r="AF17" s="293"/>
      <c r="AG17" s="298"/>
      <c r="AH17" s="293"/>
      <c r="AI17" s="296"/>
      <c r="AJ17" s="298"/>
      <c r="AK17" s="293"/>
      <c r="AL17" s="293"/>
      <c r="AM17" s="298"/>
      <c r="AN17" s="293"/>
      <c r="AO17" s="295"/>
      <c r="AP17" s="298"/>
      <c r="AQ17" s="339"/>
      <c r="AR17" s="298"/>
      <c r="AS17" s="308"/>
      <c r="AT17" s="340"/>
      <c r="AU17" s="304"/>
      <c r="AV17" s="314"/>
      <c r="AW17" s="315"/>
      <c r="AX17" s="304"/>
      <c r="BA17" s="307"/>
      <c r="BB17" s="308"/>
      <c r="BC17" s="341"/>
      <c r="BD17" s="307"/>
      <c r="BG17" s="307"/>
    </row>
    <row r="18">
      <c r="A18" s="293"/>
      <c r="B18" s="293"/>
      <c r="C18" s="294"/>
      <c r="D18" s="293"/>
      <c r="E18" s="293"/>
      <c r="F18" s="294"/>
      <c r="G18" s="293" t="s">
        <v>412</v>
      </c>
      <c r="H18" s="293" t="s">
        <v>6800</v>
      </c>
      <c r="I18" s="294"/>
      <c r="J18" s="293"/>
      <c r="K18" s="293" t="s">
        <v>6801</v>
      </c>
      <c r="L18" s="294"/>
      <c r="M18" s="293"/>
      <c r="N18" s="295" t="s">
        <v>6802</v>
      </c>
      <c r="O18" s="294"/>
      <c r="Q18" s="295" t="s">
        <v>6803</v>
      </c>
      <c r="R18" s="294"/>
      <c r="S18" s="317"/>
      <c r="T18" s="317"/>
      <c r="U18" s="294"/>
      <c r="V18" s="293"/>
      <c r="W18" s="293"/>
      <c r="X18" s="294"/>
      <c r="Y18" s="293" t="s">
        <v>6804</v>
      </c>
      <c r="Z18" s="310" t="s">
        <v>6805</v>
      </c>
      <c r="AA18" s="294"/>
      <c r="AB18" s="293"/>
      <c r="AC18" s="293"/>
      <c r="AD18" s="298"/>
      <c r="AE18" s="293"/>
      <c r="AF18" s="293" t="s">
        <v>6806</v>
      </c>
      <c r="AG18" s="298"/>
      <c r="AH18" s="293"/>
      <c r="AI18" s="296"/>
      <c r="AJ18" s="298"/>
      <c r="AK18" s="293"/>
      <c r="AL18" s="293"/>
      <c r="AM18" s="298"/>
      <c r="AN18" s="293"/>
      <c r="AO18" s="295"/>
      <c r="AP18" s="298"/>
      <c r="AQ18" s="339"/>
      <c r="AR18" s="298"/>
      <c r="AS18" s="308"/>
      <c r="AT18" s="340"/>
      <c r="AU18" s="304"/>
      <c r="AV18" s="314"/>
      <c r="AW18" s="315"/>
      <c r="AX18" s="304"/>
      <c r="BA18" s="307"/>
      <c r="BB18" s="308"/>
      <c r="BC18" s="341"/>
      <c r="BD18" s="307"/>
      <c r="BG18" s="307"/>
    </row>
    <row r="19">
      <c r="A19" s="293"/>
      <c r="B19" s="293"/>
      <c r="C19" s="294"/>
      <c r="D19" s="293" t="s">
        <v>6807</v>
      </c>
      <c r="E19" s="299" t="s">
        <v>6808</v>
      </c>
      <c r="F19" s="294"/>
      <c r="G19" s="293" t="s">
        <v>412</v>
      </c>
      <c r="H19" s="293" t="s">
        <v>6809</v>
      </c>
      <c r="I19" s="294"/>
      <c r="J19" s="293"/>
      <c r="K19" s="293" t="s">
        <v>6810</v>
      </c>
      <c r="L19" s="294"/>
      <c r="M19" s="293" t="s">
        <v>6811</v>
      </c>
      <c r="N19" s="293" t="s">
        <v>6812</v>
      </c>
      <c r="O19" s="294"/>
      <c r="Q19" s="326" t="s">
        <v>6813</v>
      </c>
      <c r="R19" s="294"/>
      <c r="S19" s="317"/>
      <c r="T19" s="317"/>
      <c r="U19" s="294"/>
      <c r="V19" s="293"/>
      <c r="W19" s="293"/>
      <c r="X19" s="294"/>
      <c r="Y19" s="293" t="s">
        <v>230</v>
      </c>
      <c r="Z19" s="318" t="s">
        <v>6814</v>
      </c>
      <c r="AA19" s="294"/>
      <c r="AB19" s="293"/>
      <c r="AC19" s="293"/>
      <c r="AD19" s="298"/>
      <c r="AE19" s="293"/>
      <c r="AF19" s="293" t="s">
        <v>6815</v>
      </c>
      <c r="AG19" s="298"/>
      <c r="AH19" s="293"/>
      <c r="AI19" s="296"/>
      <c r="AJ19" s="298"/>
      <c r="AK19" s="293"/>
      <c r="AL19" s="293"/>
      <c r="AM19" s="298"/>
      <c r="AN19" s="293"/>
      <c r="AO19" s="295"/>
      <c r="AP19" s="298"/>
      <c r="AQ19" s="339"/>
      <c r="AR19" s="298"/>
      <c r="AS19" s="308"/>
      <c r="AT19" s="340"/>
      <c r="AU19" s="304"/>
      <c r="AV19" s="314"/>
      <c r="AW19" s="315"/>
      <c r="AX19" s="304"/>
      <c r="BA19" s="307"/>
      <c r="BB19" s="308"/>
      <c r="BC19" s="341"/>
      <c r="BD19" s="307"/>
      <c r="BG19" s="307"/>
    </row>
    <row r="20">
      <c r="A20" s="293"/>
      <c r="B20" s="293"/>
      <c r="C20" s="294"/>
      <c r="D20" s="293"/>
      <c r="E20" s="293"/>
      <c r="F20" s="294"/>
      <c r="G20" s="293" t="s">
        <v>1827</v>
      </c>
      <c r="H20" s="293" t="s">
        <v>6816</v>
      </c>
      <c r="I20" s="294"/>
      <c r="J20" s="293" t="s">
        <v>6817</v>
      </c>
      <c r="K20" s="293" t="s">
        <v>6818</v>
      </c>
      <c r="L20" s="294"/>
      <c r="M20" s="293" t="s">
        <v>6819</v>
      </c>
      <c r="N20" s="342" t="s">
        <v>6820</v>
      </c>
      <c r="O20" s="294"/>
      <c r="Q20" s="343" t="s">
        <v>6821</v>
      </c>
      <c r="R20" s="294"/>
      <c r="S20" s="317"/>
      <c r="T20" s="317"/>
      <c r="U20" s="294"/>
      <c r="V20" s="293"/>
      <c r="W20" s="293"/>
      <c r="X20" s="294"/>
      <c r="Y20" s="293"/>
      <c r="Z20" s="318" t="s">
        <v>6822</v>
      </c>
      <c r="AA20" s="294"/>
      <c r="AB20" s="293"/>
      <c r="AC20" s="293"/>
      <c r="AD20" s="298"/>
      <c r="AE20" s="293"/>
      <c r="AF20" s="293" t="s">
        <v>6823</v>
      </c>
      <c r="AG20" s="298"/>
      <c r="AH20" s="293"/>
      <c r="AI20" s="296"/>
      <c r="AJ20" s="298"/>
      <c r="AK20" s="293"/>
      <c r="AL20" s="293"/>
      <c r="AM20" s="298"/>
      <c r="AN20" s="293"/>
      <c r="AO20" s="295"/>
      <c r="AP20" s="298"/>
      <c r="AQ20" s="339"/>
      <c r="AR20" s="298"/>
      <c r="AS20" s="308"/>
      <c r="AT20" s="340"/>
      <c r="AU20" s="304"/>
      <c r="AV20" s="314"/>
      <c r="AW20" s="315"/>
      <c r="AX20" s="304"/>
      <c r="BA20" s="307"/>
      <c r="BB20" s="308"/>
      <c r="BC20" s="341"/>
      <c r="BD20" s="307"/>
      <c r="BG20" s="307"/>
    </row>
    <row r="21">
      <c r="A21" s="293"/>
      <c r="B21" s="293"/>
      <c r="C21" s="307"/>
      <c r="D21" s="293"/>
      <c r="E21" s="293"/>
      <c r="F21" s="307"/>
      <c r="G21" s="293" t="s">
        <v>1827</v>
      </c>
      <c r="H21" s="293" t="s">
        <v>6824</v>
      </c>
      <c r="I21" s="307"/>
      <c r="K21" s="300" t="s">
        <v>6825</v>
      </c>
      <c r="L21" s="307"/>
      <c r="N21" s="300" t="s">
        <v>6826</v>
      </c>
      <c r="O21" s="294"/>
      <c r="P21" s="296"/>
      <c r="R21" s="294"/>
      <c r="S21" s="317"/>
      <c r="T21" s="317"/>
      <c r="U21" s="294"/>
      <c r="V21" s="293"/>
      <c r="W21" s="293"/>
      <c r="X21" s="294"/>
      <c r="Y21" s="293"/>
      <c r="Z21" s="318" t="s">
        <v>6827</v>
      </c>
      <c r="AA21" s="294"/>
      <c r="AB21" s="293"/>
      <c r="AC21" s="293"/>
      <c r="AD21" s="298"/>
      <c r="AE21" s="293"/>
      <c r="AF21" s="293" t="s">
        <v>6828</v>
      </c>
      <c r="AG21" s="298"/>
      <c r="AH21" s="293"/>
      <c r="AI21" s="296"/>
      <c r="AJ21" s="298"/>
      <c r="AK21" s="293"/>
      <c r="AL21" s="293"/>
      <c r="AM21" s="298"/>
      <c r="AN21" s="293"/>
      <c r="AO21" s="295"/>
      <c r="AP21" s="298"/>
      <c r="AQ21" s="339"/>
      <c r="AR21" s="298"/>
      <c r="AS21" s="308"/>
      <c r="AT21" s="340"/>
      <c r="AU21" s="304"/>
      <c r="AV21" s="314"/>
      <c r="AW21" s="315"/>
      <c r="AX21" s="304"/>
      <c r="BA21" s="307"/>
      <c r="BB21" s="308"/>
      <c r="BC21" s="341"/>
      <c r="BD21" s="307"/>
      <c r="BG21" s="307"/>
    </row>
    <row r="22">
      <c r="A22" s="293"/>
      <c r="B22" s="293"/>
      <c r="C22" s="307"/>
      <c r="D22" s="293"/>
      <c r="E22" s="293"/>
      <c r="F22" s="307"/>
      <c r="G22" s="293" t="s">
        <v>1827</v>
      </c>
      <c r="H22" s="293" t="s">
        <v>6829</v>
      </c>
      <c r="I22" s="307"/>
      <c r="J22" s="293"/>
      <c r="K22" s="293" t="s">
        <v>6830</v>
      </c>
      <c r="L22" s="294"/>
      <c r="M22" s="293" t="s">
        <v>6831</v>
      </c>
      <c r="N22" s="293" t="s">
        <v>6832</v>
      </c>
      <c r="O22" s="294"/>
      <c r="P22" s="296" t="s">
        <v>1529</v>
      </c>
      <c r="Q22" s="326" t="s">
        <v>6833</v>
      </c>
      <c r="R22" s="294"/>
      <c r="S22" s="317"/>
      <c r="T22" s="317"/>
      <c r="U22" s="294"/>
      <c r="V22" s="293"/>
      <c r="W22" s="293"/>
      <c r="X22" s="294"/>
      <c r="Y22" s="293" t="s">
        <v>6834</v>
      </c>
      <c r="Z22" s="310" t="s">
        <v>6835</v>
      </c>
      <c r="AA22" s="294"/>
      <c r="AB22" s="293"/>
      <c r="AC22" s="293" t="s">
        <v>6836</v>
      </c>
      <c r="AD22" s="298"/>
      <c r="AE22" s="293" t="s">
        <v>6834</v>
      </c>
      <c r="AF22" s="299" t="s">
        <v>6837</v>
      </c>
      <c r="AG22" s="298"/>
      <c r="AH22" s="293" t="s">
        <v>100</v>
      </c>
      <c r="AI22" s="296" t="s">
        <v>6838</v>
      </c>
      <c r="AJ22" s="298"/>
      <c r="AK22" s="293" t="s">
        <v>6839</v>
      </c>
      <c r="AL22" s="293" t="s">
        <v>6840</v>
      </c>
      <c r="AM22" s="298"/>
      <c r="AN22" s="293" t="s">
        <v>3959</v>
      </c>
      <c r="AO22" s="295" t="s">
        <v>6841</v>
      </c>
      <c r="AP22" s="298"/>
      <c r="AQ22" s="339" t="s">
        <v>96</v>
      </c>
      <c r="AR22" s="298"/>
      <c r="AS22" s="308"/>
      <c r="AT22" s="340"/>
      <c r="AU22" s="304"/>
      <c r="AV22" s="314" t="s">
        <v>6682</v>
      </c>
      <c r="AW22" s="315" t="s">
        <v>939</v>
      </c>
      <c r="AX22" s="304"/>
      <c r="BA22" s="307"/>
      <c r="BB22" s="308"/>
      <c r="BC22" s="341"/>
      <c r="BD22" s="307"/>
      <c r="BG22" s="307"/>
    </row>
    <row r="23">
      <c r="A23" s="293"/>
      <c r="B23" s="293"/>
      <c r="C23" s="307"/>
      <c r="D23" s="293"/>
      <c r="E23" s="293"/>
      <c r="F23" s="307"/>
      <c r="G23" s="293" t="s">
        <v>1770</v>
      </c>
      <c r="H23" s="293" t="s">
        <v>6842</v>
      </c>
      <c r="I23" s="307"/>
      <c r="J23" s="299" t="s">
        <v>6843</v>
      </c>
      <c r="K23" s="293" t="s">
        <v>6844</v>
      </c>
      <c r="L23" s="294"/>
      <c r="M23" s="293" t="s">
        <v>6845</v>
      </c>
      <c r="N23" s="293" t="s">
        <v>6846</v>
      </c>
      <c r="O23" s="298"/>
      <c r="P23" s="300" t="s">
        <v>6847</v>
      </c>
      <c r="Q23" s="326" t="s">
        <v>6848</v>
      </c>
      <c r="R23" s="298"/>
      <c r="S23" s="344"/>
      <c r="T23" s="344"/>
      <c r="U23" s="298"/>
      <c r="V23" s="323"/>
      <c r="W23" s="323"/>
      <c r="X23" s="298"/>
      <c r="Y23" s="323"/>
      <c r="Z23" s="310" t="s">
        <v>6849</v>
      </c>
      <c r="AA23" s="298"/>
      <c r="AB23" s="323"/>
      <c r="AC23" s="293" t="s">
        <v>6850</v>
      </c>
      <c r="AD23" s="298"/>
      <c r="AE23" s="323"/>
      <c r="AF23" s="345"/>
      <c r="AG23" s="298"/>
      <c r="AH23" s="293" t="s">
        <v>6851</v>
      </c>
      <c r="AI23" s="346" t="s">
        <v>6852</v>
      </c>
      <c r="AJ23" s="327"/>
      <c r="AK23" s="293"/>
      <c r="AL23" s="347"/>
      <c r="AM23" s="327"/>
      <c r="AN23" s="293" t="s">
        <v>6853</v>
      </c>
      <c r="AO23" s="348" t="s">
        <v>6854</v>
      </c>
      <c r="AP23" s="327"/>
      <c r="AQ23" s="312" t="s">
        <v>6855</v>
      </c>
      <c r="AR23" s="327"/>
      <c r="AS23" s="308" t="s">
        <v>6856</v>
      </c>
      <c r="AT23" s="349" t="s">
        <v>6857</v>
      </c>
      <c r="AU23" s="307"/>
      <c r="AV23" s="314" t="s">
        <v>6858</v>
      </c>
      <c r="AW23" s="315" t="s">
        <v>6859</v>
      </c>
      <c r="AX23" s="307"/>
      <c r="AZ23" s="331"/>
      <c r="BA23" s="307"/>
      <c r="BB23" s="308"/>
      <c r="BC23" s="309"/>
      <c r="BD23" s="307"/>
      <c r="BG23" s="307"/>
    </row>
    <row r="24">
      <c r="A24" s="293"/>
      <c r="B24" s="293"/>
      <c r="C24" s="307"/>
      <c r="D24" s="293"/>
      <c r="E24" s="293"/>
      <c r="F24" s="307"/>
      <c r="G24" s="293" t="s">
        <v>1770</v>
      </c>
      <c r="H24" s="293" t="s">
        <v>6860</v>
      </c>
      <c r="I24" s="307"/>
      <c r="J24" s="293" t="s">
        <v>6861</v>
      </c>
      <c r="K24" s="293" t="s">
        <v>6862</v>
      </c>
      <c r="L24" s="294"/>
      <c r="M24" s="293" t="s">
        <v>6863</v>
      </c>
      <c r="N24" s="293" t="s">
        <v>6864</v>
      </c>
      <c r="O24" s="298"/>
      <c r="Q24" s="300" t="s">
        <v>6865</v>
      </c>
      <c r="R24" s="298"/>
      <c r="S24" s="317"/>
      <c r="T24" s="317"/>
      <c r="U24" s="298"/>
      <c r="V24" s="323"/>
      <c r="W24" s="323"/>
      <c r="X24" s="298"/>
      <c r="Y24" s="293"/>
      <c r="Z24" s="297" t="s">
        <v>6866</v>
      </c>
      <c r="AA24" s="298"/>
      <c r="AB24" s="323"/>
      <c r="AC24" s="293"/>
      <c r="AD24" s="298"/>
      <c r="AE24" s="293"/>
      <c r="AF24" s="293"/>
      <c r="AG24" s="298"/>
      <c r="AH24" s="293"/>
      <c r="AI24" s="350"/>
      <c r="AJ24" s="298"/>
      <c r="AK24" s="293"/>
      <c r="AL24" s="293"/>
      <c r="AM24" s="298"/>
      <c r="AN24" s="293"/>
      <c r="AO24" s="299"/>
      <c r="AP24" s="298"/>
      <c r="AQ24" s="329"/>
      <c r="AR24" s="298"/>
      <c r="AS24" s="308"/>
      <c r="AT24" s="349"/>
      <c r="AU24" s="304"/>
      <c r="AV24" s="314"/>
      <c r="AW24" s="314"/>
      <c r="AX24" s="304"/>
      <c r="BA24" s="307"/>
      <c r="BB24" s="308"/>
      <c r="BC24" s="309"/>
      <c r="BD24" s="307"/>
      <c r="BG24" s="307"/>
    </row>
    <row r="25">
      <c r="A25" s="293"/>
      <c r="B25" s="293"/>
      <c r="C25" s="307"/>
      <c r="D25" s="293"/>
      <c r="E25" s="293"/>
      <c r="F25" s="307"/>
      <c r="G25" s="293" t="s">
        <v>1770</v>
      </c>
      <c r="H25" s="293" t="s">
        <v>6867</v>
      </c>
      <c r="I25" s="307"/>
      <c r="J25" s="293"/>
      <c r="K25" s="293"/>
      <c r="L25" s="294"/>
      <c r="M25" s="293" t="s">
        <v>6868</v>
      </c>
      <c r="N25" s="293" t="s">
        <v>6869</v>
      </c>
      <c r="O25" s="298"/>
      <c r="Q25" s="300" t="s">
        <v>6870</v>
      </c>
      <c r="R25" s="298"/>
      <c r="S25" s="317"/>
      <c r="T25" s="317"/>
      <c r="U25" s="298"/>
      <c r="V25" s="323"/>
      <c r="W25" s="323"/>
      <c r="X25" s="298"/>
      <c r="Y25" s="293" t="s">
        <v>6871</v>
      </c>
      <c r="Z25" s="318" t="s">
        <v>6872</v>
      </c>
      <c r="AA25" s="298"/>
      <c r="AB25" s="323"/>
      <c r="AC25" s="293" t="s">
        <v>6873</v>
      </c>
      <c r="AD25" s="298"/>
      <c r="AE25" s="293" t="s">
        <v>6874</v>
      </c>
      <c r="AF25" s="293" t="s">
        <v>6875</v>
      </c>
      <c r="AG25" s="298"/>
      <c r="AH25" s="293" t="s">
        <v>6876</v>
      </c>
      <c r="AI25" s="350" t="s">
        <v>6877</v>
      </c>
      <c r="AJ25" s="298"/>
      <c r="AK25" s="293" t="s">
        <v>6878</v>
      </c>
      <c r="AL25" s="293" t="s">
        <v>6879</v>
      </c>
      <c r="AM25" s="298"/>
      <c r="AN25" s="293" t="s">
        <v>6880</v>
      </c>
      <c r="AO25" s="299" t="s">
        <v>6881</v>
      </c>
      <c r="AP25" s="298"/>
      <c r="AQ25" s="329" t="s">
        <v>6882</v>
      </c>
      <c r="AR25" s="298"/>
      <c r="AS25" s="308" t="s">
        <v>6856</v>
      </c>
      <c r="AT25" s="349" t="s">
        <v>6883</v>
      </c>
      <c r="AU25" s="304"/>
      <c r="AV25" s="314"/>
      <c r="AW25" s="314"/>
      <c r="AX25" s="304"/>
      <c r="BA25" s="307"/>
      <c r="BB25" s="308"/>
      <c r="BC25" s="309"/>
      <c r="BD25" s="307"/>
      <c r="BG25" s="307"/>
    </row>
    <row r="26">
      <c r="A26" s="293"/>
      <c r="B26" s="293"/>
      <c r="C26" s="307"/>
      <c r="D26" s="293"/>
      <c r="E26" s="293"/>
      <c r="F26" s="307"/>
      <c r="G26" s="293" t="s">
        <v>1200</v>
      </c>
      <c r="H26" s="293"/>
      <c r="I26" s="307"/>
      <c r="J26" s="293" t="s">
        <v>6884</v>
      </c>
      <c r="K26" s="293" t="s">
        <v>6885</v>
      </c>
      <c r="L26" s="294"/>
      <c r="M26" s="293"/>
      <c r="N26" s="293"/>
      <c r="O26" s="298"/>
      <c r="Q26" s="326" t="s">
        <v>6886</v>
      </c>
      <c r="R26" s="298"/>
      <c r="S26" s="344"/>
      <c r="T26" s="317"/>
      <c r="U26" s="298"/>
      <c r="V26" s="323"/>
      <c r="W26" s="323"/>
      <c r="X26" s="298"/>
      <c r="Y26" s="323"/>
      <c r="Z26" s="321"/>
      <c r="AA26" s="298"/>
      <c r="AB26" s="323"/>
      <c r="AC26" s="293" t="s">
        <v>6887</v>
      </c>
      <c r="AD26" s="298"/>
      <c r="AE26" s="293" t="s">
        <v>6888</v>
      </c>
      <c r="AF26" s="299" t="s">
        <v>6889</v>
      </c>
      <c r="AG26" s="298"/>
      <c r="AH26" s="293" t="s">
        <v>2464</v>
      </c>
      <c r="AI26" s="334" t="s">
        <v>6890</v>
      </c>
      <c r="AJ26" s="327"/>
      <c r="AK26" s="293" t="s">
        <v>6891</v>
      </c>
      <c r="AL26" s="293" t="s">
        <v>6892</v>
      </c>
      <c r="AM26" s="327"/>
      <c r="AN26" s="293" t="s">
        <v>6893</v>
      </c>
      <c r="AO26" s="293" t="s">
        <v>6894</v>
      </c>
      <c r="AP26" s="327"/>
      <c r="AQ26" s="312" t="s">
        <v>6895</v>
      </c>
      <c r="AR26" s="327"/>
      <c r="AS26" s="308" t="s">
        <v>6896</v>
      </c>
      <c r="AT26" s="320" t="s">
        <v>6897</v>
      </c>
      <c r="AU26" s="307"/>
      <c r="AV26" s="351"/>
      <c r="AW26" s="351"/>
      <c r="AX26" s="307"/>
      <c r="BA26" s="307"/>
      <c r="BB26" s="308"/>
      <c r="BC26" s="309"/>
      <c r="BD26" s="307"/>
      <c r="BG26" s="307"/>
    </row>
    <row r="27">
      <c r="A27" s="352"/>
      <c r="C27" s="307"/>
      <c r="D27" s="352"/>
      <c r="F27" s="307"/>
      <c r="G27" s="352" t="s">
        <v>6898</v>
      </c>
      <c r="I27" s="307"/>
      <c r="J27" s="293" t="s">
        <v>6899</v>
      </c>
      <c r="K27" s="293"/>
      <c r="L27" s="294"/>
      <c r="M27" s="293" t="s">
        <v>2665</v>
      </c>
      <c r="N27" s="293" t="s">
        <v>6900</v>
      </c>
      <c r="O27" s="298"/>
      <c r="P27" s="293"/>
      <c r="Q27" s="299" t="s">
        <v>6901</v>
      </c>
      <c r="R27" s="298"/>
      <c r="S27" s="344"/>
      <c r="T27" s="317"/>
      <c r="U27" s="298"/>
      <c r="V27" s="323"/>
      <c r="W27" s="323"/>
      <c r="X27" s="298"/>
      <c r="Y27" s="293" t="s">
        <v>405</v>
      </c>
      <c r="Z27" s="318" t="s">
        <v>6902</v>
      </c>
      <c r="AA27" s="298"/>
      <c r="AB27" s="323"/>
      <c r="AC27" s="293" t="s">
        <v>6903</v>
      </c>
      <c r="AD27" s="298"/>
      <c r="AE27" s="323"/>
      <c r="AF27" s="347" t="s">
        <v>6904</v>
      </c>
      <c r="AG27" s="298"/>
      <c r="AH27" s="293"/>
      <c r="AI27" s="293"/>
      <c r="AJ27" s="298"/>
      <c r="AK27" s="293" t="s">
        <v>6905</v>
      </c>
      <c r="AL27" s="347" t="s">
        <v>6906</v>
      </c>
      <c r="AM27" s="298"/>
      <c r="AN27" s="293" t="s">
        <v>6907</v>
      </c>
      <c r="AO27" s="353" t="s">
        <v>6908</v>
      </c>
      <c r="AP27" s="298"/>
      <c r="AQ27" s="293" t="s">
        <v>6909</v>
      </c>
      <c r="AR27" s="327"/>
      <c r="AS27" s="293" t="s">
        <v>6910</v>
      </c>
      <c r="AT27" s="354" t="s">
        <v>6911</v>
      </c>
      <c r="AU27" s="307"/>
      <c r="AV27" s="355"/>
      <c r="AW27" s="356"/>
      <c r="AX27" s="307"/>
      <c r="AZ27" s="331"/>
      <c r="BA27" s="307"/>
      <c r="BB27" s="308"/>
      <c r="BC27" s="320"/>
      <c r="BD27" s="307"/>
      <c r="BG27" s="307"/>
    </row>
    <row r="28">
      <c r="A28" s="293"/>
      <c r="B28" s="293"/>
      <c r="C28" s="307"/>
      <c r="D28" s="293"/>
      <c r="E28" s="293"/>
      <c r="F28" s="307"/>
      <c r="G28" s="293" t="s">
        <v>2156</v>
      </c>
      <c r="H28" s="293"/>
      <c r="I28" s="307"/>
      <c r="J28" s="293" t="s">
        <v>6912</v>
      </c>
      <c r="K28" s="293" t="s">
        <v>6913</v>
      </c>
      <c r="L28" s="294"/>
      <c r="M28" s="293" t="s">
        <v>6914</v>
      </c>
      <c r="N28" s="342" t="s">
        <v>6915</v>
      </c>
      <c r="O28" s="294"/>
      <c r="Q28" s="293"/>
      <c r="R28" s="294"/>
      <c r="S28" s="317"/>
      <c r="T28" s="317"/>
      <c r="U28" s="294"/>
      <c r="V28" s="293"/>
      <c r="W28" s="293"/>
      <c r="X28" s="294"/>
      <c r="Y28" s="293"/>
      <c r="Z28" s="297" t="s">
        <v>6916</v>
      </c>
      <c r="AA28" s="294"/>
      <c r="AB28" s="293" t="s">
        <v>1230</v>
      </c>
      <c r="AC28" s="293" t="s">
        <v>6917</v>
      </c>
      <c r="AD28" s="298"/>
      <c r="AE28" s="323"/>
      <c r="AF28" s="299" t="s">
        <v>6918</v>
      </c>
      <c r="AG28" s="298"/>
      <c r="AH28" s="293" t="s">
        <v>6919</v>
      </c>
      <c r="AI28" s="293" t="s">
        <v>6920</v>
      </c>
      <c r="AJ28" s="298"/>
      <c r="AK28" s="293" t="s">
        <v>6921</v>
      </c>
      <c r="AL28" s="293" t="s">
        <v>6922</v>
      </c>
      <c r="AM28" s="298"/>
      <c r="AN28" s="293" t="s">
        <v>6688</v>
      </c>
      <c r="AO28" s="293" t="s">
        <v>6923</v>
      </c>
      <c r="AP28" s="298"/>
      <c r="AQ28" s="293" t="s">
        <v>6924</v>
      </c>
      <c r="AR28" s="298"/>
      <c r="AS28" s="293" t="s">
        <v>6925</v>
      </c>
      <c r="AT28" s="357" t="s">
        <v>6926</v>
      </c>
      <c r="AU28" s="304"/>
      <c r="AV28" s="358"/>
      <c r="AW28" s="359"/>
      <c r="AX28" s="304"/>
      <c r="BA28" s="307"/>
      <c r="BB28" s="308"/>
      <c r="BC28" s="309"/>
      <c r="BD28" s="307"/>
      <c r="BG28" s="307"/>
    </row>
    <row r="29">
      <c r="A29" s="352"/>
      <c r="B29" s="293"/>
      <c r="C29" s="304"/>
      <c r="D29" s="352"/>
      <c r="E29" s="293"/>
      <c r="F29" s="304"/>
      <c r="G29" s="352" t="s">
        <v>6927</v>
      </c>
      <c r="H29" s="293"/>
      <c r="I29" s="304"/>
      <c r="J29" s="300" t="s">
        <v>6928</v>
      </c>
      <c r="K29" s="300" t="s">
        <v>6929</v>
      </c>
      <c r="L29" s="307"/>
      <c r="N29" s="300" t="s">
        <v>6930</v>
      </c>
      <c r="O29" s="327"/>
      <c r="P29" s="296" t="s">
        <v>6931</v>
      </c>
      <c r="Q29" s="295" t="s">
        <v>6932</v>
      </c>
      <c r="R29" s="327"/>
      <c r="S29" s="360"/>
      <c r="T29" s="317"/>
      <c r="U29" s="327"/>
      <c r="V29" s="352"/>
      <c r="W29" s="352"/>
      <c r="X29" s="327"/>
      <c r="Y29" s="352"/>
      <c r="Z29" s="355"/>
      <c r="AA29" s="327"/>
      <c r="AB29" s="352"/>
      <c r="AC29" s="342" t="s">
        <v>6933</v>
      </c>
      <c r="AD29" s="327"/>
      <c r="AE29" s="352"/>
      <c r="AF29" s="299" t="s">
        <v>6934</v>
      </c>
      <c r="AG29" s="327"/>
      <c r="AH29" s="293" t="s">
        <v>6935</v>
      </c>
      <c r="AI29" s="296" t="s">
        <v>6936</v>
      </c>
      <c r="AJ29" s="327"/>
      <c r="AK29" s="352"/>
      <c r="AL29" s="293" t="s">
        <v>6937</v>
      </c>
      <c r="AM29" s="327"/>
      <c r="AN29" s="293" t="s">
        <v>6938</v>
      </c>
      <c r="AO29" s="295" t="s">
        <v>6939</v>
      </c>
      <c r="AP29" s="327"/>
      <c r="AQ29" s="293" t="s">
        <v>6940</v>
      </c>
      <c r="AR29" s="327"/>
      <c r="AS29" s="293" t="s">
        <v>6941</v>
      </c>
      <c r="AT29" s="361" t="s">
        <v>6942</v>
      </c>
      <c r="AU29" s="307"/>
      <c r="AV29" s="355"/>
      <c r="AW29" s="355"/>
      <c r="AX29" s="307"/>
      <c r="BA29" s="307"/>
      <c r="BB29" s="308"/>
      <c r="BC29" s="309"/>
      <c r="BD29" s="307"/>
      <c r="BG29" s="307"/>
    </row>
    <row r="30">
      <c r="A30" s="352"/>
      <c r="B30" s="293"/>
      <c r="C30" s="294"/>
      <c r="D30" s="352"/>
      <c r="E30" s="293"/>
      <c r="F30" s="294"/>
      <c r="G30" s="352" t="s">
        <v>6943</v>
      </c>
      <c r="H30" s="293"/>
      <c r="I30" s="294"/>
      <c r="J30" s="293"/>
      <c r="K30" s="293" t="s">
        <v>6944</v>
      </c>
      <c r="L30" s="294"/>
      <c r="M30" s="293" t="s">
        <v>6945</v>
      </c>
      <c r="N30" s="293" t="s">
        <v>6946</v>
      </c>
      <c r="O30" s="294"/>
      <c r="P30" s="296" t="s">
        <v>6947</v>
      </c>
      <c r="Q30" s="293" t="s">
        <v>6948</v>
      </c>
      <c r="R30" s="294"/>
      <c r="S30" s="317"/>
      <c r="T30" s="317"/>
      <c r="U30" s="294"/>
      <c r="V30" s="293"/>
      <c r="W30" s="293"/>
      <c r="X30" s="294"/>
      <c r="Y30" s="293" t="s">
        <v>525</v>
      </c>
      <c r="Z30" s="297" t="s">
        <v>6949</v>
      </c>
      <c r="AA30" s="294"/>
      <c r="AB30" s="293" t="s">
        <v>2533</v>
      </c>
      <c r="AC30" s="293" t="s">
        <v>6950</v>
      </c>
      <c r="AD30" s="327"/>
      <c r="AE30" s="293" t="s">
        <v>6951</v>
      </c>
      <c r="AF30" s="362" t="s">
        <v>6952</v>
      </c>
      <c r="AG30" s="327"/>
      <c r="AH30" s="352"/>
      <c r="AI30" s="352"/>
      <c r="AJ30" s="327"/>
      <c r="AK30" s="352"/>
      <c r="AL30" s="362" t="s">
        <v>6953</v>
      </c>
      <c r="AM30" s="327"/>
      <c r="AN30" s="352"/>
      <c r="AO30" s="352"/>
      <c r="AP30" s="327"/>
      <c r="AQ30" s="325"/>
      <c r="AR30" s="327"/>
      <c r="AS30" s="293"/>
      <c r="AT30" s="363" t="s">
        <v>6954</v>
      </c>
      <c r="AU30" s="307"/>
      <c r="AV30" s="355"/>
      <c r="AW30" s="364"/>
      <c r="AX30" s="307"/>
      <c r="BA30" s="307"/>
      <c r="BB30" s="365"/>
      <c r="BD30" s="307"/>
      <c r="BG30" s="307"/>
    </row>
    <row r="31">
      <c r="A31" s="352"/>
      <c r="B31" s="293"/>
      <c r="C31" s="304"/>
      <c r="D31" s="352"/>
      <c r="E31" s="293"/>
      <c r="F31" s="304"/>
      <c r="G31" s="352" t="s">
        <v>6955</v>
      </c>
      <c r="H31" s="293"/>
      <c r="I31" s="304"/>
      <c r="J31" s="300" t="s">
        <v>6956</v>
      </c>
      <c r="K31" s="300" t="s">
        <v>6957</v>
      </c>
      <c r="L31" s="307"/>
      <c r="N31" s="300" t="s">
        <v>6958</v>
      </c>
      <c r="O31" s="298"/>
      <c r="P31" s="330" t="s">
        <v>6959</v>
      </c>
      <c r="Q31" s="299" t="s">
        <v>6960</v>
      </c>
      <c r="R31" s="298"/>
      <c r="S31" s="344"/>
      <c r="T31" s="317"/>
      <c r="U31" s="298"/>
      <c r="V31" s="323"/>
      <c r="W31" s="323"/>
      <c r="X31" s="298"/>
      <c r="Y31" s="293" t="s">
        <v>6961</v>
      </c>
      <c r="Z31" s="318" t="s">
        <v>6962</v>
      </c>
      <c r="AA31" s="298"/>
      <c r="AB31" s="323"/>
      <c r="AC31" s="293" t="s">
        <v>6963</v>
      </c>
      <c r="AD31" s="298"/>
      <c r="AE31" s="293" t="s">
        <v>784</v>
      </c>
      <c r="AF31" s="293" t="s">
        <v>6964</v>
      </c>
      <c r="AG31" s="298"/>
      <c r="AH31" s="293" t="s">
        <v>6726</v>
      </c>
      <c r="AI31" s="293" t="s">
        <v>2674</v>
      </c>
      <c r="AJ31" s="327"/>
      <c r="AK31" s="293" t="s">
        <v>6965</v>
      </c>
      <c r="AL31" s="293" t="s">
        <v>6966</v>
      </c>
      <c r="AM31" s="327"/>
      <c r="AN31" s="352"/>
      <c r="AO31" s="352"/>
      <c r="AP31" s="327"/>
      <c r="AQ31" s="325"/>
      <c r="AR31" s="327"/>
      <c r="AS31" s="293"/>
      <c r="AT31" s="363" t="s">
        <v>6967</v>
      </c>
      <c r="AU31" s="307"/>
      <c r="AV31" s="355"/>
      <c r="AW31" s="364"/>
      <c r="AX31" s="307"/>
      <c r="BA31" s="307"/>
      <c r="BB31" s="365"/>
      <c r="BD31" s="307"/>
      <c r="BG31" s="307"/>
    </row>
    <row r="32">
      <c r="A32" s="352"/>
      <c r="B32" s="293"/>
      <c r="C32" s="294"/>
      <c r="D32" s="352"/>
      <c r="E32" s="293"/>
      <c r="F32" s="294"/>
      <c r="G32" s="352" t="s">
        <v>6968</v>
      </c>
      <c r="H32" s="293"/>
      <c r="I32" s="294"/>
      <c r="J32" s="293"/>
      <c r="K32" s="293"/>
      <c r="L32" s="294"/>
      <c r="M32" s="293" t="s">
        <v>6969</v>
      </c>
      <c r="N32" s="293" t="s">
        <v>6970</v>
      </c>
      <c r="O32" s="327"/>
      <c r="Q32" s="293"/>
      <c r="R32" s="327"/>
      <c r="S32" s="317"/>
      <c r="T32" s="317"/>
      <c r="U32" s="327"/>
      <c r="V32" s="352"/>
      <c r="W32" s="352"/>
      <c r="X32" s="327"/>
      <c r="Y32" s="352"/>
      <c r="Z32" s="318" t="s">
        <v>6971</v>
      </c>
      <c r="AA32" s="327"/>
      <c r="AB32" s="352"/>
      <c r="AC32" s="293"/>
      <c r="AD32" s="327"/>
      <c r="AE32" s="293"/>
      <c r="AF32" s="293" t="s">
        <v>6972</v>
      </c>
      <c r="AG32" s="327"/>
      <c r="AH32" s="352"/>
      <c r="AI32" s="352"/>
      <c r="AJ32" s="327"/>
      <c r="AK32" s="352"/>
      <c r="AL32" s="293"/>
      <c r="AM32" s="327"/>
      <c r="AN32" s="352"/>
      <c r="AO32" s="352"/>
      <c r="AP32" s="327"/>
      <c r="AQ32" s="325"/>
      <c r="AR32" s="327"/>
      <c r="AS32" s="293"/>
      <c r="AT32" s="354"/>
      <c r="AU32" s="307"/>
      <c r="AV32" s="355"/>
      <c r="AW32" s="364"/>
      <c r="AX32" s="307"/>
      <c r="BA32" s="307"/>
      <c r="BB32" s="365"/>
      <c r="BD32" s="307"/>
      <c r="BG32" s="307"/>
    </row>
    <row r="33">
      <c r="A33" s="352"/>
      <c r="B33" s="293"/>
      <c r="C33" s="294"/>
      <c r="D33" s="352"/>
      <c r="E33" s="293"/>
      <c r="F33" s="294"/>
      <c r="G33" s="352" t="s">
        <v>6868</v>
      </c>
      <c r="H33" s="293"/>
      <c r="I33" s="294"/>
      <c r="J33" s="293"/>
      <c r="K33" s="293"/>
      <c r="L33" s="294"/>
      <c r="M33" s="293"/>
      <c r="N33" s="293" t="s">
        <v>6973</v>
      </c>
      <c r="O33" s="327"/>
      <c r="Q33" s="293"/>
      <c r="R33" s="327"/>
      <c r="S33" s="317"/>
      <c r="T33" s="317"/>
      <c r="U33" s="327"/>
      <c r="V33" s="352"/>
      <c r="W33" s="352"/>
      <c r="X33" s="327"/>
      <c r="Y33" s="352"/>
      <c r="Z33" s="318"/>
      <c r="AA33" s="327"/>
      <c r="AB33" s="352"/>
      <c r="AC33" s="293"/>
      <c r="AD33" s="327"/>
      <c r="AE33" s="293"/>
      <c r="AF33" s="293"/>
      <c r="AG33" s="327"/>
      <c r="AH33" s="352"/>
      <c r="AI33" s="352"/>
      <c r="AJ33" s="327"/>
      <c r="AK33" s="352"/>
      <c r="AL33" s="293"/>
      <c r="AM33" s="327"/>
      <c r="AN33" s="352"/>
      <c r="AO33" s="352"/>
      <c r="AP33" s="327"/>
      <c r="AQ33" s="325"/>
      <c r="AR33" s="327"/>
      <c r="AS33" s="293"/>
      <c r="AT33" s="354"/>
      <c r="AU33" s="307"/>
      <c r="AV33" s="355"/>
      <c r="AW33" s="364"/>
      <c r="AX33" s="307"/>
      <c r="BA33" s="307"/>
      <c r="BB33" s="365"/>
      <c r="BD33" s="307"/>
      <c r="BG33" s="307"/>
    </row>
    <row r="34">
      <c r="A34" s="352"/>
      <c r="B34" s="293"/>
      <c r="C34" s="298"/>
      <c r="D34" s="352"/>
      <c r="E34" s="293"/>
      <c r="F34" s="298"/>
      <c r="G34" s="352" t="s">
        <v>6974</v>
      </c>
      <c r="H34" s="293"/>
      <c r="I34" s="298"/>
      <c r="J34" s="323"/>
      <c r="K34" s="323"/>
      <c r="L34" s="298"/>
      <c r="M34" s="323"/>
      <c r="N34" s="293" t="s">
        <v>6975</v>
      </c>
      <c r="O34" s="327"/>
      <c r="P34" s="296" t="s">
        <v>6976</v>
      </c>
      <c r="Q34" s="295" t="s">
        <v>6977</v>
      </c>
      <c r="R34" s="327"/>
      <c r="S34" s="317"/>
      <c r="T34" s="317"/>
      <c r="U34" s="327"/>
      <c r="V34" s="352"/>
      <c r="W34" s="352"/>
      <c r="X34" s="327"/>
      <c r="Y34" s="352"/>
      <c r="Z34" s="318" t="s">
        <v>6978</v>
      </c>
      <c r="AA34" s="327"/>
      <c r="AB34" s="352"/>
      <c r="AC34" s="293" t="s">
        <v>6979</v>
      </c>
      <c r="AD34" s="327"/>
      <c r="AE34" s="293" t="s">
        <v>6980</v>
      </c>
      <c r="AF34" s="293" t="s">
        <v>6981</v>
      </c>
      <c r="AG34" s="327"/>
      <c r="AH34" s="352"/>
      <c r="AI34" s="352"/>
      <c r="AJ34" s="327"/>
      <c r="AK34" s="352"/>
      <c r="AL34" s="293"/>
      <c r="AM34" s="327"/>
      <c r="AN34" s="352"/>
      <c r="AO34" s="352"/>
      <c r="AP34" s="327"/>
      <c r="AQ34" s="325" t="s">
        <v>6982</v>
      </c>
      <c r="AR34" s="327"/>
      <c r="AS34" s="293" t="s">
        <v>6983</v>
      </c>
      <c r="AT34" s="354" t="s">
        <v>6984</v>
      </c>
      <c r="AU34" s="307"/>
      <c r="AV34" s="355"/>
      <c r="AW34" s="364"/>
      <c r="AX34" s="307"/>
      <c r="BA34" s="307"/>
      <c r="BB34" s="365"/>
      <c r="BD34" s="307"/>
      <c r="BG34" s="307"/>
    </row>
    <row r="35">
      <c r="A35" s="352"/>
      <c r="B35" s="293"/>
      <c r="C35" s="294"/>
      <c r="D35" s="352"/>
      <c r="E35" s="293"/>
      <c r="F35" s="294"/>
      <c r="G35" s="352" t="s">
        <v>6985</v>
      </c>
      <c r="H35" s="293"/>
      <c r="I35" s="294"/>
      <c r="J35" s="293"/>
      <c r="K35" s="293"/>
      <c r="L35" s="294"/>
      <c r="M35" s="293"/>
      <c r="N35" s="293" t="s">
        <v>6986</v>
      </c>
      <c r="O35" s="298"/>
      <c r="R35" s="298"/>
      <c r="S35" s="317"/>
      <c r="T35" s="317"/>
      <c r="U35" s="298"/>
      <c r="V35" s="323"/>
      <c r="W35" s="323"/>
      <c r="X35" s="298"/>
      <c r="Y35" s="293"/>
      <c r="Z35" s="322" t="s">
        <v>6987</v>
      </c>
      <c r="AA35" s="298"/>
      <c r="AB35" s="323"/>
      <c r="AC35" s="293"/>
      <c r="AD35" s="298"/>
      <c r="AE35" s="293"/>
      <c r="AF35" s="293"/>
      <c r="AG35" s="298"/>
      <c r="AH35" s="293"/>
      <c r="AI35" s="293"/>
      <c r="AJ35" s="298"/>
      <c r="AK35" s="293"/>
      <c r="AL35" s="293"/>
      <c r="AM35" s="298"/>
      <c r="AN35" s="323"/>
      <c r="AO35" s="323"/>
      <c r="AP35" s="298"/>
      <c r="AQ35" s="352"/>
      <c r="AR35" s="327"/>
      <c r="AS35" s="293"/>
      <c r="AT35" s="354"/>
      <c r="AU35" s="307"/>
      <c r="AV35" s="355"/>
      <c r="AW35" s="355"/>
      <c r="AX35" s="307"/>
      <c r="BA35" s="307"/>
      <c r="BB35" s="365"/>
      <c r="BC35" s="366"/>
      <c r="BD35" s="307"/>
      <c r="BG35" s="307"/>
    </row>
    <row r="36">
      <c r="C36" s="294"/>
      <c r="F36" s="294"/>
      <c r="I36" s="294"/>
      <c r="J36" s="293"/>
      <c r="K36" s="293"/>
      <c r="L36" s="294"/>
      <c r="M36" s="293" t="s">
        <v>6988</v>
      </c>
      <c r="N36" s="362" t="s">
        <v>6989</v>
      </c>
      <c r="O36" s="298"/>
      <c r="P36" s="330" t="s">
        <v>6990</v>
      </c>
      <c r="Q36" s="300" t="s">
        <v>6991</v>
      </c>
      <c r="R36" s="298"/>
      <c r="S36" s="317"/>
      <c r="T36" s="344"/>
      <c r="U36" s="298"/>
      <c r="V36" s="323"/>
      <c r="W36" s="323"/>
      <c r="X36" s="298"/>
      <c r="Y36" s="293" t="s">
        <v>6992</v>
      </c>
      <c r="Z36" s="318" t="s">
        <v>6993</v>
      </c>
      <c r="AA36" s="298"/>
      <c r="AB36" s="323"/>
      <c r="AC36" s="293" t="s">
        <v>6994</v>
      </c>
      <c r="AD36" s="298"/>
      <c r="AE36" s="293" t="s">
        <v>6995</v>
      </c>
      <c r="AF36" s="293" t="s">
        <v>6996</v>
      </c>
      <c r="AG36" s="298"/>
      <c r="AH36" s="293"/>
      <c r="AI36" s="293"/>
      <c r="AJ36" s="298"/>
      <c r="AK36" s="293" t="s">
        <v>6997</v>
      </c>
      <c r="AL36" s="293" t="s">
        <v>6998</v>
      </c>
      <c r="AM36" s="298"/>
      <c r="AN36" s="323"/>
      <c r="AO36" s="323"/>
      <c r="AP36" s="298"/>
      <c r="AQ36" s="352"/>
      <c r="AR36" s="327"/>
      <c r="AS36" s="293"/>
      <c r="AT36" s="354" t="s">
        <v>6999</v>
      </c>
      <c r="AU36" s="307"/>
      <c r="AV36" s="355"/>
      <c r="AW36" s="355"/>
      <c r="AX36" s="307"/>
      <c r="BA36" s="307"/>
      <c r="BB36" s="365"/>
      <c r="BC36" s="366"/>
      <c r="BD36" s="307"/>
      <c r="BG36" s="307"/>
    </row>
    <row r="37">
      <c r="B37" s="293"/>
      <c r="C37" s="294"/>
      <c r="E37" s="293"/>
      <c r="F37" s="294"/>
      <c r="H37" s="293"/>
      <c r="I37" s="294"/>
      <c r="J37" s="293"/>
      <c r="K37" s="293"/>
      <c r="L37" s="294"/>
      <c r="M37" s="293" t="s">
        <v>7000</v>
      </c>
      <c r="N37" s="293" t="s">
        <v>7001</v>
      </c>
      <c r="O37" s="298"/>
      <c r="Q37" s="293" t="s">
        <v>7002</v>
      </c>
      <c r="R37" s="298"/>
      <c r="S37" s="317"/>
      <c r="T37" s="317"/>
      <c r="U37" s="298"/>
      <c r="V37" s="323"/>
      <c r="W37" s="323"/>
      <c r="X37" s="298"/>
      <c r="Y37" s="293" t="s">
        <v>7003</v>
      </c>
      <c r="Z37" s="297" t="s">
        <v>7004</v>
      </c>
      <c r="AA37" s="298"/>
      <c r="AB37" s="323"/>
      <c r="AC37" s="293"/>
      <c r="AD37" s="298"/>
      <c r="AE37" s="293"/>
      <c r="AF37" s="293"/>
      <c r="AG37" s="298"/>
      <c r="AH37" s="293"/>
      <c r="AI37" s="293"/>
      <c r="AJ37" s="298"/>
      <c r="AK37" s="293"/>
      <c r="AL37" s="293"/>
      <c r="AM37" s="298"/>
      <c r="AN37" s="323"/>
      <c r="AO37" s="323"/>
      <c r="AP37" s="298"/>
      <c r="AQ37" s="352"/>
      <c r="AR37" s="327"/>
      <c r="AS37" s="293"/>
      <c r="AT37" s="354"/>
      <c r="AU37" s="307"/>
      <c r="AV37" s="355"/>
      <c r="AW37" s="355"/>
      <c r="AX37" s="307"/>
      <c r="BA37" s="307"/>
      <c r="BB37" s="365"/>
      <c r="BC37" s="366"/>
      <c r="BD37" s="307"/>
      <c r="BG37" s="307"/>
    </row>
    <row r="38">
      <c r="A38" s="352"/>
      <c r="B38" s="293"/>
      <c r="C38" s="294"/>
      <c r="D38" s="352"/>
      <c r="E38" s="293"/>
      <c r="F38" s="294"/>
      <c r="G38" s="352" t="s">
        <v>1486</v>
      </c>
      <c r="H38" s="293"/>
      <c r="I38" s="294"/>
      <c r="J38" s="293"/>
      <c r="K38" s="293"/>
      <c r="L38" s="294"/>
      <c r="M38" s="293" t="s">
        <v>3782</v>
      </c>
      <c r="N38" s="293" t="s">
        <v>6709</v>
      </c>
      <c r="O38" s="298"/>
      <c r="Q38" s="293"/>
      <c r="R38" s="298"/>
      <c r="S38" s="317"/>
      <c r="T38" s="317"/>
      <c r="U38" s="298"/>
      <c r="V38" s="323"/>
      <c r="W38" s="323"/>
      <c r="X38" s="298"/>
      <c r="Y38" s="293"/>
      <c r="Z38" s="321" t="s">
        <v>7005</v>
      </c>
      <c r="AA38" s="298"/>
      <c r="AB38" s="323"/>
      <c r="AC38" s="293"/>
      <c r="AD38" s="298"/>
      <c r="AE38" s="293"/>
      <c r="AF38" s="293"/>
      <c r="AG38" s="298"/>
      <c r="AH38" s="293"/>
      <c r="AI38" s="293"/>
      <c r="AJ38" s="298"/>
      <c r="AK38" s="293"/>
      <c r="AL38" s="293"/>
      <c r="AM38" s="298"/>
      <c r="AN38" s="323"/>
      <c r="AO38" s="323"/>
      <c r="AP38" s="298"/>
      <c r="AQ38" s="352"/>
      <c r="AR38" s="327"/>
      <c r="AS38" s="293"/>
      <c r="AT38" s="354"/>
      <c r="AU38" s="307"/>
      <c r="AV38" s="355"/>
      <c r="AW38" s="355"/>
      <c r="AX38" s="307"/>
      <c r="BA38" s="307"/>
      <c r="BB38" s="365"/>
      <c r="BC38" s="366"/>
      <c r="BD38" s="307"/>
      <c r="BG38" s="307"/>
    </row>
    <row r="39">
      <c r="A39" s="352"/>
      <c r="B39" s="293"/>
      <c r="C39" s="294"/>
      <c r="D39" s="352"/>
      <c r="E39" s="293"/>
      <c r="F39" s="294"/>
      <c r="G39" s="352" t="s">
        <v>2464</v>
      </c>
      <c r="H39" s="293"/>
      <c r="I39" s="294"/>
      <c r="J39" s="293"/>
      <c r="K39" s="293"/>
      <c r="L39" s="294"/>
      <c r="M39" s="293"/>
      <c r="N39" s="293" t="s">
        <v>6732</v>
      </c>
      <c r="O39" s="294"/>
      <c r="P39" s="330" t="s">
        <v>7006</v>
      </c>
      <c r="Q39" s="295" t="s">
        <v>7007</v>
      </c>
      <c r="R39" s="294"/>
      <c r="S39" s="317"/>
      <c r="T39" s="317"/>
      <c r="U39" s="294"/>
      <c r="V39" s="293"/>
      <c r="W39" s="293"/>
      <c r="X39" s="294"/>
      <c r="Y39" s="293" t="s">
        <v>6782</v>
      </c>
      <c r="Z39" s="318" t="s">
        <v>7008</v>
      </c>
      <c r="AA39" s="294"/>
      <c r="AB39" s="293" t="s">
        <v>2135</v>
      </c>
      <c r="AC39" s="299" t="s">
        <v>7009</v>
      </c>
      <c r="AD39" s="298"/>
      <c r="AF39" s="300" t="s">
        <v>7010</v>
      </c>
      <c r="AG39" s="298"/>
      <c r="AH39" s="293"/>
      <c r="AI39" s="293"/>
      <c r="AJ39" s="298"/>
      <c r="AK39" s="293"/>
      <c r="AL39" s="293"/>
      <c r="AM39" s="298"/>
      <c r="AN39" s="323"/>
      <c r="AO39" s="323"/>
      <c r="AP39" s="298"/>
      <c r="AQ39" s="352"/>
      <c r="AR39" s="327"/>
      <c r="AS39" s="328" t="s">
        <v>7011</v>
      </c>
      <c r="AT39" s="354" t="s">
        <v>6699</v>
      </c>
      <c r="AU39" s="307"/>
      <c r="AV39" s="355"/>
      <c r="AW39" s="355"/>
      <c r="AX39" s="307"/>
      <c r="BA39" s="307"/>
      <c r="BB39" s="365"/>
      <c r="BC39" s="366"/>
      <c r="BD39" s="307"/>
      <c r="BG39" s="307"/>
    </row>
    <row r="40">
      <c r="A40" s="352"/>
      <c r="B40" s="293"/>
      <c r="C40" s="294"/>
      <c r="D40" s="352"/>
      <c r="E40" s="293"/>
      <c r="F40" s="294"/>
      <c r="G40" s="352" t="s">
        <v>1680</v>
      </c>
      <c r="H40" s="293"/>
      <c r="I40" s="294"/>
      <c r="J40" s="293"/>
      <c r="K40" s="293"/>
      <c r="L40" s="294"/>
      <c r="M40" s="293" t="s">
        <v>657</v>
      </c>
      <c r="N40" s="293" t="s">
        <v>1408</v>
      </c>
      <c r="O40" s="298"/>
      <c r="Q40" s="299" t="s">
        <v>7012</v>
      </c>
      <c r="R40" s="298"/>
      <c r="S40" s="344"/>
      <c r="T40" s="317"/>
      <c r="U40" s="298"/>
      <c r="V40" s="323"/>
      <c r="W40" s="323"/>
      <c r="X40" s="298"/>
      <c r="Y40" s="323"/>
      <c r="Z40" s="321" t="s">
        <v>7013</v>
      </c>
      <c r="AA40" s="298"/>
      <c r="AB40" s="323"/>
      <c r="AC40" s="342" t="s">
        <v>7014</v>
      </c>
      <c r="AD40" s="298"/>
      <c r="AE40" s="293" t="s">
        <v>7015</v>
      </c>
      <c r="AF40" s="299" t="s">
        <v>7016</v>
      </c>
      <c r="AG40" s="298"/>
      <c r="AH40" s="293"/>
      <c r="AI40" s="293"/>
      <c r="AJ40" s="298"/>
      <c r="AK40" s="293" t="s">
        <v>6064</v>
      </c>
      <c r="AL40" s="293" t="s">
        <v>7017</v>
      </c>
      <c r="AM40" s="298"/>
      <c r="AN40" s="323"/>
      <c r="AO40" s="323"/>
      <c r="AP40" s="298"/>
      <c r="AQ40" s="352"/>
      <c r="AR40" s="327"/>
      <c r="AS40" s="352"/>
      <c r="AT40" s="362" t="s">
        <v>7018</v>
      </c>
      <c r="AU40" s="307"/>
      <c r="AV40" s="355"/>
      <c r="AW40" s="355"/>
      <c r="AX40" s="307"/>
      <c r="BA40" s="307"/>
      <c r="BC40" s="366"/>
      <c r="BD40" s="307"/>
      <c r="BG40" s="307"/>
    </row>
    <row r="41">
      <c r="A41" s="352"/>
      <c r="B41" s="293"/>
      <c r="C41" s="294"/>
      <c r="D41" s="352"/>
      <c r="E41" s="293"/>
      <c r="F41" s="294"/>
      <c r="G41" s="352" t="s">
        <v>7019</v>
      </c>
      <c r="H41" s="293"/>
      <c r="I41" s="294"/>
      <c r="J41" s="293"/>
      <c r="K41" s="293"/>
      <c r="L41" s="294"/>
      <c r="M41" s="293" t="s">
        <v>7020</v>
      </c>
      <c r="N41" s="293" t="s">
        <v>7021</v>
      </c>
      <c r="O41" s="298"/>
      <c r="P41" s="323"/>
      <c r="Q41" s="295" t="s">
        <v>7022</v>
      </c>
      <c r="R41" s="298"/>
      <c r="S41" s="344"/>
      <c r="T41" s="317"/>
      <c r="U41" s="298"/>
      <c r="V41" s="323"/>
      <c r="W41" s="323"/>
      <c r="X41" s="298"/>
      <c r="Y41" s="322" t="s">
        <v>1332</v>
      </c>
      <c r="Z41" s="318" t="s">
        <v>7023</v>
      </c>
      <c r="AA41" s="298"/>
      <c r="AB41" s="323"/>
      <c r="AC41" s="293" t="s">
        <v>7024</v>
      </c>
      <c r="AD41" s="298"/>
      <c r="AE41" s="293" t="s">
        <v>7025</v>
      </c>
      <c r="AF41" s="299" t="s">
        <v>7026</v>
      </c>
      <c r="AG41" s="298"/>
      <c r="AH41" s="293"/>
      <c r="AI41" s="293"/>
      <c r="AJ41" s="298"/>
      <c r="AK41" s="293" t="s">
        <v>7027</v>
      </c>
      <c r="AL41" s="293" t="s">
        <v>7028</v>
      </c>
      <c r="AM41" s="298"/>
      <c r="AN41" s="323"/>
      <c r="AO41" s="323"/>
      <c r="AP41" s="298"/>
      <c r="AQ41" s="293" t="s">
        <v>7029</v>
      </c>
      <c r="AR41" s="327"/>
      <c r="AS41" s="293" t="s">
        <v>7030</v>
      </c>
      <c r="AT41" s="362" t="s">
        <v>7031</v>
      </c>
      <c r="AU41" s="307"/>
      <c r="AV41" s="355"/>
      <c r="AW41" s="355"/>
      <c r="AX41" s="307"/>
      <c r="BA41" s="307"/>
      <c r="BC41" s="366"/>
      <c r="BD41" s="307"/>
      <c r="BG41" s="307"/>
    </row>
    <row r="42">
      <c r="A42" s="352"/>
      <c r="B42" s="293"/>
      <c r="C42" s="298"/>
      <c r="D42" s="352"/>
      <c r="E42" s="293"/>
      <c r="F42" s="298"/>
      <c r="G42" s="352" t="s">
        <v>197</v>
      </c>
      <c r="H42" s="293"/>
      <c r="I42" s="298"/>
      <c r="J42" s="323"/>
      <c r="K42" s="323"/>
      <c r="L42" s="298"/>
      <c r="M42" s="323"/>
      <c r="N42" s="295" t="s">
        <v>7032</v>
      </c>
      <c r="O42" s="298"/>
      <c r="P42" s="323"/>
      <c r="Q42" s="295" t="s">
        <v>7033</v>
      </c>
      <c r="R42" s="298"/>
      <c r="S42" s="344"/>
      <c r="T42" s="317"/>
      <c r="U42" s="298"/>
      <c r="V42" s="323"/>
      <c r="W42" s="323"/>
      <c r="X42" s="298"/>
      <c r="Y42" s="293" t="s">
        <v>7034</v>
      </c>
      <c r="Z42" s="342" t="s">
        <v>7035</v>
      </c>
      <c r="AA42" s="298"/>
      <c r="AB42" s="323"/>
      <c r="AC42" s="293" t="s">
        <v>7036</v>
      </c>
      <c r="AD42" s="298"/>
      <c r="AE42" s="323"/>
      <c r="AF42" s="293" t="s">
        <v>7037</v>
      </c>
      <c r="AG42" s="298"/>
      <c r="AH42" s="293"/>
      <c r="AI42" s="293"/>
      <c r="AJ42" s="298"/>
      <c r="AK42" s="293" t="s">
        <v>7038</v>
      </c>
      <c r="AL42" s="293" t="s">
        <v>7039</v>
      </c>
      <c r="AM42" s="298"/>
      <c r="AN42" s="323"/>
      <c r="AO42" s="323"/>
      <c r="AP42" s="298"/>
      <c r="AQ42" s="293" t="s">
        <v>7029</v>
      </c>
      <c r="AR42" s="327"/>
      <c r="AS42" s="293" t="s">
        <v>6845</v>
      </c>
      <c r="AT42" s="354" t="s">
        <v>7040</v>
      </c>
      <c r="AU42" s="307"/>
      <c r="AV42" s="355"/>
      <c r="AW42" s="355"/>
      <c r="AX42" s="307"/>
      <c r="BA42" s="307"/>
      <c r="BC42" s="366"/>
      <c r="BD42" s="307"/>
      <c r="BG42" s="307"/>
    </row>
    <row r="43">
      <c r="B43" s="293"/>
      <c r="C43" s="298"/>
      <c r="E43" s="293"/>
      <c r="F43" s="298"/>
      <c r="H43" s="293"/>
      <c r="I43" s="298"/>
      <c r="J43" s="323"/>
      <c r="K43" s="323"/>
      <c r="L43" s="298"/>
      <c r="M43" s="323"/>
      <c r="N43" s="293" t="s">
        <v>7041</v>
      </c>
      <c r="O43" s="294"/>
      <c r="P43" s="323"/>
      <c r="Q43" s="295" t="s">
        <v>7042</v>
      </c>
      <c r="R43" s="294"/>
      <c r="S43" s="367"/>
      <c r="T43" s="344"/>
      <c r="U43" s="294"/>
      <c r="V43" s="293"/>
      <c r="W43" s="293"/>
      <c r="X43" s="294"/>
      <c r="Y43" s="293" t="s">
        <v>7043</v>
      </c>
      <c r="Z43" s="342" t="s">
        <v>7044</v>
      </c>
      <c r="AA43" s="294"/>
      <c r="AB43" s="293" t="s">
        <v>7045</v>
      </c>
      <c r="AC43" s="293" t="s">
        <v>7046</v>
      </c>
      <c r="AD43" s="298"/>
      <c r="AE43" s="323"/>
      <c r="AF43" s="293" t="s">
        <v>7047</v>
      </c>
      <c r="AG43" s="298"/>
      <c r="AH43" s="323"/>
      <c r="AI43" s="323"/>
      <c r="AJ43" s="298"/>
      <c r="AK43" s="323"/>
      <c r="AL43" s="293" t="s">
        <v>7048</v>
      </c>
      <c r="AM43" s="298"/>
      <c r="AN43" s="323"/>
      <c r="AO43" s="323"/>
      <c r="AP43" s="298"/>
      <c r="AQ43" s="293"/>
      <c r="AR43" s="327"/>
      <c r="AS43" s="293" t="s">
        <v>7049</v>
      </c>
      <c r="AT43" s="354" t="s">
        <v>7050</v>
      </c>
      <c r="AU43" s="307"/>
      <c r="AV43" s="355"/>
      <c r="AW43" s="355"/>
      <c r="AX43" s="307"/>
      <c r="BA43" s="307"/>
      <c r="BC43" s="309"/>
      <c r="BD43" s="307"/>
      <c r="BG43" s="307"/>
    </row>
    <row r="44">
      <c r="A44" s="352"/>
      <c r="B44" s="293"/>
      <c r="C44" s="294"/>
      <c r="D44" s="352"/>
      <c r="E44" s="293"/>
      <c r="F44" s="294"/>
      <c r="G44" s="352" t="s">
        <v>7051</v>
      </c>
      <c r="H44" s="293"/>
      <c r="I44" s="294"/>
      <c r="J44" s="293"/>
      <c r="K44" s="293"/>
      <c r="L44" s="294"/>
      <c r="M44" s="293" t="s">
        <v>7052</v>
      </c>
      <c r="N44" s="301" t="s">
        <v>7053</v>
      </c>
      <c r="O44" s="298"/>
      <c r="P44" s="323"/>
      <c r="Q44" s="323"/>
      <c r="R44" s="298"/>
      <c r="S44" s="344"/>
      <c r="T44" s="344"/>
      <c r="U44" s="298"/>
      <c r="V44" s="323"/>
      <c r="W44" s="323"/>
      <c r="X44" s="298"/>
      <c r="Y44" s="293" t="s">
        <v>7054</v>
      </c>
      <c r="Z44" s="342" t="s">
        <v>7055</v>
      </c>
      <c r="AA44" s="298"/>
      <c r="AB44" s="323"/>
      <c r="AC44" s="293" t="s">
        <v>7056</v>
      </c>
      <c r="AD44" s="298"/>
      <c r="AE44" s="323"/>
      <c r="AF44" s="293" t="s">
        <v>7057</v>
      </c>
      <c r="AG44" s="298"/>
      <c r="AH44" s="293"/>
      <c r="AI44" s="293"/>
      <c r="AJ44" s="298"/>
      <c r="AK44" s="293" t="s">
        <v>7058</v>
      </c>
      <c r="AL44" s="293" t="s">
        <v>7059</v>
      </c>
      <c r="AM44" s="298"/>
      <c r="AN44" s="323"/>
      <c r="AO44" s="323"/>
      <c r="AP44" s="298"/>
      <c r="AQ44" s="293" t="s">
        <v>7029</v>
      </c>
      <c r="AR44" s="327"/>
      <c r="AS44" s="293" t="s">
        <v>7060</v>
      </c>
      <c r="AT44" s="311" t="s">
        <v>7061</v>
      </c>
      <c r="AU44" s="307"/>
      <c r="AV44" s="355"/>
      <c r="AW44" s="355"/>
      <c r="AX44" s="307"/>
      <c r="BA44" s="307"/>
      <c r="BC44" s="366"/>
      <c r="BD44" s="307"/>
      <c r="BG44" s="307"/>
    </row>
    <row r="45">
      <c r="A45" s="352"/>
      <c r="B45" s="293"/>
      <c r="C45" s="294"/>
      <c r="D45" s="352"/>
      <c r="E45" s="293"/>
      <c r="F45" s="294"/>
      <c r="G45" s="352" t="s">
        <v>7062</v>
      </c>
      <c r="H45" s="293"/>
      <c r="I45" s="294"/>
      <c r="J45" s="293"/>
      <c r="K45" s="293"/>
      <c r="L45" s="294"/>
      <c r="M45" s="293" t="s">
        <v>7063</v>
      </c>
      <c r="N45" s="293" t="s">
        <v>7064</v>
      </c>
      <c r="O45" s="298"/>
      <c r="P45" s="323"/>
      <c r="Q45" s="323"/>
      <c r="R45" s="298"/>
      <c r="S45" s="344"/>
      <c r="T45" s="344"/>
      <c r="U45" s="298"/>
      <c r="V45" s="323"/>
      <c r="W45" s="323"/>
      <c r="X45" s="298"/>
      <c r="Y45" s="293"/>
      <c r="Z45" s="342" t="s">
        <v>7065</v>
      </c>
      <c r="AA45" s="298"/>
      <c r="AB45" s="323"/>
      <c r="AC45" s="293"/>
      <c r="AD45" s="298"/>
      <c r="AE45" s="323"/>
      <c r="AF45" s="293"/>
      <c r="AG45" s="298"/>
      <c r="AH45" s="323"/>
      <c r="AI45" s="323"/>
      <c r="AJ45" s="298"/>
      <c r="AK45" s="323"/>
      <c r="AL45" s="323"/>
      <c r="AM45" s="298"/>
      <c r="AN45" s="323"/>
      <c r="AO45" s="323"/>
      <c r="AP45" s="298"/>
      <c r="AQ45" s="352"/>
      <c r="AR45" s="327"/>
      <c r="AS45" s="293"/>
      <c r="AT45" s="354"/>
      <c r="AU45" s="307"/>
      <c r="AV45" s="355"/>
      <c r="AW45" s="355"/>
      <c r="AX45" s="307"/>
      <c r="BA45" s="307"/>
      <c r="BC45" s="309"/>
      <c r="BD45" s="307"/>
      <c r="BG45" s="307"/>
    </row>
    <row r="46">
      <c r="B46" s="293"/>
      <c r="C46" s="294"/>
      <c r="E46" s="293"/>
      <c r="F46" s="294"/>
      <c r="H46" s="293"/>
      <c r="I46" s="294"/>
      <c r="J46" s="293"/>
      <c r="K46" s="293"/>
      <c r="L46" s="294"/>
      <c r="M46" s="293" t="s">
        <v>7066</v>
      </c>
      <c r="N46" s="293" t="s">
        <v>7067</v>
      </c>
      <c r="O46" s="298"/>
      <c r="P46" s="300" t="s">
        <v>7068</v>
      </c>
      <c r="Q46" s="323"/>
      <c r="R46" s="298"/>
      <c r="S46" s="344"/>
      <c r="T46" s="344"/>
      <c r="U46" s="298"/>
      <c r="V46" s="323"/>
      <c r="W46" s="323"/>
      <c r="X46" s="298"/>
      <c r="Y46" s="293" t="s">
        <v>1376</v>
      </c>
      <c r="Z46" s="368" t="s">
        <v>7069</v>
      </c>
      <c r="AA46" s="298"/>
      <c r="AB46" s="323"/>
      <c r="AC46" s="293" t="s">
        <v>7070</v>
      </c>
      <c r="AD46" s="298"/>
      <c r="AE46" s="323"/>
      <c r="AF46" s="293" t="s">
        <v>7071</v>
      </c>
      <c r="AG46" s="298"/>
      <c r="AH46" s="323"/>
      <c r="AI46" s="323"/>
      <c r="AJ46" s="298"/>
      <c r="AK46" s="323"/>
      <c r="AL46" s="323"/>
      <c r="AM46" s="298"/>
      <c r="AN46" s="323"/>
      <c r="AO46" s="323"/>
      <c r="AP46" s="298"/>
      <c r="AQ46" s="352"/>
      <c r="AR46" s="327"/>
      <c r="AS46" s="293" t="s">
        <v>7072</v>
      </c>
      <c r="AT46" s="354" t="s">
        <v>7073</v>
      </c>
      <c r="AU46" s="307"/>
      <c r="AV46" s="355"/>
      <c r="AW46" s="355"/>
      <c r="AX46" s="307"/>
      <c r="BA46" s="307"/>
      <c r="BC46" s="309"/>
      <c r="BD46" s="307"/>
      <c r="BG46" s="307"/>
    </row>
    <row r="47">
      <c r="A47" s="352"/>
      <c r="B47" s="293"/>
      <c r="C47" s="294"/>
      <c r="D47" s="352"/>
      <c r="E47" s="293"/>
      <c r="F47" s="294"/>
      <c r="G47" s="352" t="s">
        <v>2170</v>
      </c>
      <c r="H47" s="293"/>
      <c r="I47" s="294"/>
      <c r="J47" s="293"/>
      <c r="K47" s="293"/>
      <c r="L47" s="294"/>
      <c r="M47" s="293" t="s">
        <v>7074</v>
      </c>
      <c r="N47" s="301" t="s">
        <v>7075</v>
      </c>
      <c r="O47" s="298"/>
      <c r="P47" s="293"/>
      <c r="Q47" s="323"/>
      <c r="R47" s="298"/>
      <c r="S47" s="344"/>
      <c r="T47" s="344"/>
      <c r="U47" s="298"/>
      <c r="V47" s="323"/>
      <c r="W47" s="323"/>
      <c r="X47" s="298"/>
      <c r="Y47" s="293" t="s">
        <v>7076</v>
      </c>
      <c r="Z47" s="368" t="s">
        <v>7077</v>
      </c>
      <c r="AA47" s="298"/>
      <c r="AB47" s="323"/>
      <c r="AC47" s="293" t="s">
        <v>7078</v>
      </c>
      <c r="AD47" s="298"/>
      <c r="AE47" s="323"/>
      <c r="AF47" s="293" t="s">
        <v>7079</v>
      </c>
      <c r="AG47" s="298"/>
      <c r="AH47" s="323"/>
      <c r="AI47" s="323"/>
      <c r="AJ47" s="298"/>
      <c r="AK47" s="323"/>
      <c r="AL47" s="323"/>
      <c r="AM47" s="298"/>
      <c r="AN47" s="323"/>
      <c r="AO47" s="323"/>
      <c r="AP47" s="298"/>
      <c r="AQ47" s="293" t="s">
        <v>7080</v>
      </c>
      <c r="AR47" s="327"/>
      <c r="AS47" s="352"/>
      <c r="AT47" s="362" t="s">
        <v>7081</v>
      </c>
      <c r="AU47" s="307"/>
      <c r="AV47" s="355"/>
      <c r="AW47" s="356"/>
      <c r="AX47" s="307"/>
      <c r="BA47" s="307"/>
      <c r="BC47" s="309"/>
      <c r="BD47" s="307"/>
      <c r="BG47" s="307"/>
    </row>
    <row r="48">
      <c r="A48" s="352"/>
      <c r="B48" s="293"/>
      <c r="C48" s="294"/>
      <c r="D48" s="352"/>
      <c r="E48" s="293"/>
      <c r="F48" s="294"/>
      <c r="G48" s="352" t="s">
        <v>7082</v>
      </c>
      <c r="H48" s="293"/>
      <c r="I48" s="294"/>
      <c r="J48" s="293"/>
      <c r="K48" s="293"/>
      <c r="L48" s="294"/>
      <c r="M48" s="293" t="s">
        <v>6578</v>
      </c>
      <c r="N48" s="295" t="s">
        <v>7083</v>
      </c>
      <c r="O48" s="298"/>
      <c r="P48" s="296" t="s">
        <v>7084</v>
      </c>
      <c r="Q48" s="295" t="s">
        <v>7085</v>
      </c>
      <c r="R48" s="298"/>
      <c r="S48" s="367"/>
      <c r="T48" s="344"/>
      <c r="U48" s="298"/>
      <c r="V48" s="323"/>
      <c r="W48" s="323"/>
      <c r="X48" s="298"/>
      <c r="Y48" s="293" t="s">
        <v>7086</v>
      </c>
      <c r="Z48" s="368" t="s">
        <v>7087</v>
      </c>
      <c r="AA48" s="298"/>
      <c r="AB48" s="323"/>
      <c r="AC48" s="293" t="s">
        <v>7088</v>
      </c>
      <c r="AD48" s="298"/>
      <c r="AE48" s="293" t="s">
        <v>7089</v>
      </c>
      <c r="AF48" s="293" t="s">
        <v>7090</v>
      </c>
      <c r="AG48" s="298"/>
      <c r="AH48" s="323"/>
      <c r="AI48" s="323"/>
      <c r="AJ48" s="298"/>
      <c r="AK48" s="323"/>
      <c r="AL48" s="323"/>
      <c r="AM48" s="298"/>
      <c r="AN48" s="323"/>
      <c r="AO48" s="323"/>
      <c r="AP48" s="298"/>
      <c r="AQ48" s="293" t="s">
        <v>7091</v>
      </c>
      <c r="AR48" s="327"/>
      <c r="AS48" s="293" t="s">
        <v>1317</v>
      </c>
      <c r="AT48" s="362" t="s">
        <v>7092</v>
      </c>
      <c r="AU48" s="307"/>
      <c r="AV48" s="355"/>
      <c r="AW48" s="355"/>
      <c r="AX48" s="307"/>
      <c r="BA48" s="307"/>
      <c r="BC48" s="366"/>
      <c r="BD48" s="307"/>
      <c r="BG48" s="307"/>
    </row>
    <row r="49">
      <c r="A49" s="352"/>
      <c r="B49" s="293"/>
      <c r="C49" s="294"/>
      <c r="D49" s="352"/>
      <c r="E49" s="293"/>
      <c r="F49" s="294"/>
      <c r="G49" s="352" t="s">
        <v>443</v>
      </c>
      <c r="H49" s="293"/>
      <c r="I49" s="294"/>
      <c r="J49" s="293"/>
      <c r="K49" s="293"/>
      <c r="L49" s="294"/>
      <c r="M49" s="293" t="s">
        <v>7093</v>
      </c>
      <c r="N49" s="342" t="s">
        <v>7094</v>
      </c>
      <c r="O49" s="327"/>
      <c r="P49" s="323"/>
      <c r="Q49" s="352"/>
      <c r="R49" s="327"/>
      <c r="S49" s="360"/>
      <c r="T49" s="360"/>
      <c r="U49" s="327"/>
      <c r="V49" s="352"/>
      <c r="W49" s="352"/>
      <c r="X49" s="327"/>
      <c r="Y49" s="293" t="s">
        <v>7095</v>
      </c>
      <c r="Z49" s="301" t="s">
        <v>7096</v>
      </c>
      <c r="AA49" s="327"/>
      <c r="AB49" s="352"/>
      <c r="AC49" s="293" t="s">
        <v>7097</v>
      </c>
      <c r="AD49" s="327"/>
      <c r="AE49" s="323"/>
      <c r="AF49" s="323"/>
      <c r="AG49" s="327"/>
      <c r="AH49" s="352"/>
      <c r="AI49" s="352"/>
      <c r="AJ49" s="327"/>
      <c r="AK49" s="352"/>
      <c r="AL49" s="352"/>
      <c r="AM49" s="327"/>
      <c r="AN49" s="352"/>
      <c r="AO49" s="352"/>
      <c r="AP49" s="327"/>
      <c r="AQ49" s="293" t="s">
        <v>7098</v>
      </c>
      <c r="AR49" s="327"/>
      <c r="AS49" s="352"/>
      <c r="AT49" s="362" t="s">
        <v>7099</v>
      </c>
      <c r="AU49" s="307"/>
      <c r="AV49" s="355"/>
      <c r="AW49" s="355"/>
      <c r="AX49" s="307"/>
      <c r="BA49" s="307"/>
      <c r="BC49" s="366"/>
      <c r="BD49" s="307"/>
      <c r="BG49" s="307"/>
    </row>
    <row r="50">
      <c r="A50" s="352"/>
      <c r="B50" s="293"/>
      <c r="C50" s="294"/>
      <c r="D50" s="352"/>
      <c r="E50" s="293"/>
      <c r="F50" s="294"/>
      <c r="G50" s="352" t="s">
        <v>7100</v>
      </c>
      <c r="H50" s="293"/>
      <c r="I50" s="294"/>
      <c r="J50" s="293"/>
      <c r="K50" s="293"/>
      <c r="L50" s="294"/>
      <c r="M50" s="293" t="s">
        <v>7101</v>
      </c>
      <c r="N50" s="293" t="s">
        <v>7102</v>
      </c>
      <c r="O50" s="298"/>
      <c r="P50" s="323"/>
      <c r="Q50" s="323"/>
      <c r="R50" s="298"/>
      <c r="S50" s="344"/>
      <c r="T50" s="344"/>
      <c r="U50" s="298"/>
      <c r="V50" s="323"/>
      <c r="W50" s="323"/>
      <c r="X50" s="298"/>
      <c r="Y50" s="293" t="s">
        <v>2621</v>
      </c>
      <c r="Z50" s="301" t="s">
        <v>7103</v>
      </c>
      <c r="AA50" s="298"/>
      <c r="AB50" s="323"/>
      <c r="AC50" s="293" t="s">
        <v>7104</v>
      </c>
      <c r="AD50" s="298"/>
      <c r="AE50" s="352"/>
      <c r="AF50" s="352"/>
      <c r="AG50" s="298"/>
      <c r="AH50" s="323"/>
      <c r="AI50" s="323"/>
      <c r="AJ50" s="298"/>
      <c r="AK50" s="323"/>
      <c r="AL50" s="323"/>
      <c r="AM50" s="298"/>
      <c r="AN50" s="323"/>
      <c r="AO50" s="323"/>
      <c r="AP50" s="298"/>
      <c r="AQ50" s="342" t="s">
        <v>7105</v>
      </c>
      <c r="AR50" s="327"/>
      <c r="AS50" s="293" t="s">
        <v>7106</v>
      </c>
      <c r="AT50" s="354" t="s">
        <v>7107</v>
      </c>
      <c r="AU50" s="307"/>
      <c r="AV50" s="355"/>
      <c r="AW50" s="355"/>
      <c r="AX50" s="307"/>
      <c r="BA50" s="307"/>
      <c r="BC50" s="366"/>
      <c r="BD50" s="307"/>
      <c r="BG50" s="307"/>
    </row>
    <row r="51">
      <c r="A51" s="352"/>
      <c r="B51" s="293"/>
      <c r="C51" s="298"/>
      <c r="D51" s="352"/>
      <c r="E51" s="293"/>
      <c r="F51" s="298"/>
      <c r="G51" s="352" t="s">
        <v>2432</v>
      </c>
      <c r="H51" s="293"/>
      <c r="I51" s="298"/>
      <c r="J51" s="323"/>
      <c r="K51" s="323"/>
      <c r="L51" s="298"/>
      <c r="M51" s="323"/>
      <c r="N51" s="323"/>
      <c r="O51" s="294"/>
      <c r="P51" s="323"/>
      <c r="Q51" s="300"/>
      <c r="R51" s="294"/>
      <c r="S51" s="367"/>
      <c r="T51" s="369"/>
      <c r="U51" s="294"/>
      <c r="V51" s="293"/>
      <c r="W51" s="293"/>
      <c r="X51" s="294"/>
      <c r="Y51" s="293" t="s">
        <v>7108</v>
      </c>
      <c r="Z51" s="342" t="s">
        <v>7109</v>
      </c>
      <c r="AA51" s="294"/>
      <c r="AB51" s="293" t="s">
        <v>7110</v>
      </c>
      <c r="AC51" s="293" t="s">
        <v>7111</v>
      </c>
      <c r="AD51" s="298"/>
      <c r="AE51" s="323"/>
      <c r="AF51" s="323"/>
      <c r="AG51" s="298"/>
      <c r="AH51" s="323"/>
      <c r="AI51" s="323"/>
      <c r="AJ51" s="298"/>
      <c r="AK51" s="323"/>
      <c r="AL51" s="323"/>
      <c r="AM51" s="298"/>
      <c r="AN51" s="323"/>
      <c r="AO51" s="323"/>
      <c r="AP51" s="298"/>
      <c r="AQ51" s="293" t="s">
        <v>7112</v>
      </c>
      <c r="AR51" s="327"/>
      <c r="AS51" s="299" t="s">
        <v>6724</v>
      </c>
      <c r="AT51" s="354" t="s">
        <v>7113</v>
      </c>
      <c r="AU51" s="307"/>
      <c r="AV51" s="355"/>
      <c r="AW51" s="321"/>
      <c r="AX51" s="307"/>
      <c r="BA51" s="307"/>
      <c r="BC51" s="366"/>
      <c r="BD51" s="307"/>
      <c r="BG51" s="307"/>
    </row>
    <row r="52">
      <c r="A52" s="352"/>
      <c r="B52" s="293"/>
      <c r="C52" s="298"/>
      <c r="D52" s="352"/>
      <c r="E52" s="293"/>
      <c r="F52" s="298"/>
      <c r="G52" s="352" t="s">
        <v>7114</v>
      </c>
      <c r="H52" s="293"/>
      <c r="I52" s="298"/>
      <c r="J52" s="323"/>
      <c r="K52" s="323"/>
      <c r="L52" s="298"/>
      <c r="M52" s="323"/>
      <c r="N52" s="323"/>
      <c r="O52" s="327"/>
      <c r="P52" s="323"/>
      <c r="Q52" s="293"/>
      <c r="R52" s="327"/>
      <c r="S52" s="317"/>
      <c r="T52" s="317"/>
      <c r="U52" s="327"/>
      <c r="V52" s="352"/>
      <c r="W52" s="352"/>
      <c r="X52" s="327"/>
      <c r="Y52" s="293" t="s">
        <v>7115</v>
      </c>
      <c r="Z52" s="342" t="s">
        <v>7116</v>
      </c>
      <c r="AA52" s="327"/>
      <c r="AB52" s="352"/>
      <c r="AC52" s="293" t="s">
        <v>7117</v>
      </c>
      <c r="AD52" s="327"/>
      <c r="AE52" s="323"/>
      <c r="AF52" s="323"/>
      <c r="AG52" s="327"/>
      <c r="AH52" s="352"/>
      <c r="AI52" s="352"/>
      <c r="AJ52" s="327"/>
      <c r="AK52" s="352"/>
      <c r="AL52" s="352"/>
      <c r="AM52" s="327"/>
      <c r="AN52" s="352"/>
      <c r="AO52" s="352"/>
      <c r="AP52" s="327"/>
      <c r="AQ52" s="293" t="s">
        <v>7118</v>
      </c>
      <c r="AR52" s="327"/>
      <c r="AS52" s="299" t="s">
        <v>7119</v>
      </c>
      <c r="AT52" s="354" t="s">
        <v>7120</v>
      </c>
      <c r="AU52" s="307"/>
      <c r="AV52" s="355"/>
      <c r="AW52" s="355"/>
      <c r="AX52" s="307"/>
      <c r="BA52" s="307"/>
      <c r="BC52" s="366"/>
      <c r="BD52" s="307"/>
      <c r="BG52" s="307"/>
    </row>
    <row r="53">
      <c r="A53" s="352"/>
      <c r="B53" s="293"/>
      <c r="C53" s="298"/>
      <c r="D53" s="352"/>
      <c r="E53" s="293"/>
      <c r="F53" s="298"/>
      <c r="G53" s="352" t="s">
        <v>7121</v>
      </c>
      <c r="H53" s="293"/>
      <c r="I53" s="298"/>
      <c r="J53" s="323"/>
      <c r="K53" s="323"/>
      <c r="L53" s="298"/>
      <c r="M53" s="323"/>
      <c r="N53" s="323"/>
      <c r="O53" s="294"/>
      <c r="P53" s="323"/>
      <c r="Q53" s="293"/>
      <c r="R53" s="294"/>
      <c r="S53" s="317"/>
      <c r="T53" s="317"/>
      <c r="U53" s="294"/>
      <c r="V53" s="293"/>
      <c r="W53" s="293"/>
      <c r="X53" s="294"/>
      <c r="Y53" s="293"/>
      <c r="Z53" s="342" t="s">
        <v>7122</v>
      </c>
      <c r="AA53" s="294"/>
      <c r="AB53" s="293" t="s">
        <v>7123</v>
      </c>
      <c r="AC53" s="293" t="s">
        <v>7124</v>
      </c>
      <c r="AD53" s="298"/>
      <c r="AE53" s="293" t="s">
        <v>7125</v>
      </c>
      <c r="AF53" s="316" t="s">
        <v>7126</v>
      </c>
      <c r="AG53" s="298"/>
      <c r="AH53" s="323"/>
      <c r="AI53" s="323"/>
      <c r="AJ53" s="298"/>
      <c r="AK53" s="323"/>
      <c r="AL53" s="323"/>
      <c r="AM53" s="298"/>
      <c r="AN53" s="323"/>
      <c r="AO53" s="323"/>
      <c r="AP53" s="298"/>
      <c r="AQ53" s="293" t="s">
        <v>7029</v>
      </c>
      <c r="AR53" s="327"/>
      <c r="AS53" s="293" t="s">
        <v>7127</v>
      </c>
      <c r="AT53" s="354" t="s">
        <v>7128</v>
      </c>
      <c r="AU53" s="307"/>
      <c r="AV53" s="355"/>
      <c r="AW53" s="355"/>
      <c r="AX53" s="307"/>
      <c r="BA53" s="307"/>
      <c r="BC53" s="366"/>
      <c r="BD53" s="307"/>
      <c r="BG53" s="307"/>
    </row>
    <row r="54">
      <c r="A54" s="352"/>
      <c r="B54" s="293"/>
      <c r="C54" s="298"/>
      <c r="D54" s="352"/>
      <c r="E54" s="293"/>
      <c r="F54" s="298"/>
      <c r="G54" s="352" t="s">
        <v>7129</v>
      </c>
      <c r="H54" s="293"/>
      <c r="I54" s="298"/>
      <c r="J54" s="323"/>
      <c r="K54" s="323"/>
      <c r="L54" s="298"/>
      <c r="M54" s="323"/>
      <c r="N54" s="323"/>
      <c r="O54" s="298"/>
      <c r="P54" s="323"/>
      <c r="Q54" s="323"/>
      <c r="R54" s="298"/>
      <c r="S54" s="344"/>
      <c r="T54" s="344"/>
      <c r="U54" s="298"/>
      <c r="V54" s="323"/>
      <c r="W54" s="323"/>
      <c r="X54" s="298"/>
      <c r="Y54" s="323"/>
      <c r="Z54" s="293" t="s">
        <v>7130</v>
      </c>
      <c r="AA54" s="298"/>
      <c r="AB54" s="323"/>
      <c r="AC54" s="299" t="s">
        <v>7131</v>
      </c>
      <c r="AD54" s="298"/>
      <c r="AE54" s="323"/>
      <c r="AF54" s="316" t="s">
        <v>7132</v>
      </c>
      <c r="AG54" s="298"/>
      <c r="AH54" s="323"/>
      <c r="AI54" s="323"/>
      <c r="AJ54" s="298"/>
      <c r="AK54" s="323"/>
      <c r="AL54" s="323"/>
      <c r="AM54" s="298"/>
      <c r="AN54" s="323"/>
      <c r="AO54" s="323"/>
      <c r="AP54" s="298"/>
      <c r="AQ54" s="293" t="s">
        <v>7029</v>
      </c>
      <c r="AR54" s="327"/>
      <c r="AS54" s="352"/>
      <c r="AT54" s="362" t="s">
        <v>7133</v>
      </c>
      <c r="AU54" s="307"/>
      <c r="AV54" s="355"/>
      <c r="AW54" s="355"/>
      <c r="AX54" s="307"/>
      <c r="BA54" s="307"/>
      <c r="BC54" s="366"/>
      <c r="BD54" s="307"/>
      <c r="BG54" s="307"/>
    </row>
    <row r="55">
      <c r="A55" s="352"/>
      <c r="B55" s="293"/>
      <c r="C55" s="298"/>
      <c r="D55" s="352"/>
      <c r="E55" s="293"/>
      <c r="F55" s="298"/>
      <c r="G55" s="352" t="s">
        <v>6087</v>
      </c>
      <c r="H55" s="293"/>
      <c r="I55" s="298"/>
      <c r="J55" s="323"/>
      <c r="K55" s="323"/>
      <c r="L55" s="298"/>
      <c r="M55" s="323"/>
      <c r="N55" s="323"/>
      <c r="O55" s="298"/>
      <c r="P55" s="323"/>
      <c r="Q55" s="323"/>
      <c r="R55" s="298"/>
      <c r="S55" s="344"/>
      <c r="T55" s="344"/>
      <c r="U55" s="298"/>
      <c r="V55" s="323"/>
      <c r="W55" s="323"/>
      <c r="X55" s="298"/>
      <c r="Y55" s="323"/>
      <c r="Z55" s="342" t="s">
        <v>7134</v>
      </c>
      <c r="AA55" s="298"/>
      <c r="AB55" s="323"/>
      <c r="AC55" s="323"/>
      <c r="AD55" s="298"/>
      <c r="AE55" s="293" t="s">
        <v>7135</v>
      </c>
      <c r="AF55" s="293" t="s">
        <v>7136</v>
      </c>
      <c r="AG55" s="298"/>
      <c r="AH55" s="323"/>
      <c r="AI55" s="323"/>
      <c r="AJ55" s="298"/>
      <c r="AK55" s="323"/>
      <c r="AL55" s="323"/>
      <c r="AM55" s="298"/>
      <c r="AN55" s="323"/>
      <c r="AO55" s="323"/>
      <c r="AP55" s="298"/>
      <c r="AQ55" s="295" t="s">
        <v>7137</v>
      </c>
      <c r="AR55" s="327"/>
      <c r="AS55" s="293" t="s">
        <v>1424</v>
      </c>
      <c r="AT55" s="361" t="s">
        <v>7138</v>
      </c>
      <c r="AU55" s="307"/>
      <c r="AV55" s="355"/>
      <c r="AW55" s="355"/>
      <c r="AX55" s="307"/>
      <c r="BA55" s="307"/>
      <c r="BC55" s="366"/>
      <c r="BD55" s="307"/>
      <c r="BG55" s="307"/>
    </row>
    <row r="56">
      <c r="A56" s="352"/>
      <c r="B56" s="293"/>
      <c r="C56" s="298"/>
      <c r="D56" s="352"/>
      <c r="E56" s="293"/>
      <c r="F56" s="298"/>
      <c r="G56" s="352" t="s">
        <v>1753</v>
      </c>
      <c r="H56" s="293"/>
      <c r="I56" s="298"/>
      <c r="J56" s="323"/>
      <c r="K56" s="323"/>
      <c r="L56" s="298"/>
      <c r="M56" s="323"/>
      <c r="N56" s="323"/>
      <c r="O56" s="298"/>
      <c r="P56" s="323"/>
      <c r="Q56" s="323"/>
      <c r="R56" s="298"/>
      <c r="S56" s="344"/>
      <c r="T56" s="344"/>
      <c r="U56" s="298"/>
      <c r="V56" s="323"/>
      <c r="W56" s="323"/>
      <c r="X56" s="298"/>
      <c r="Y56" s="293" t="s">
        <v>7139</v>
      </c>
      <c r="Z56" s="301" t="s">
        <v>7140</v>
      </c>
      <c r="AA56" s="298"/>
      <c r="AB56" s="323"/>
      <c r="AC56" s="323"/>
      <c r="AD56" s="298"/>
      <c r="AE56" s="293" t="s">
        <v>7141</v>
      </c>
      <c r="AF56" s="293" t="s">
        <v>7142</v>
      </c>
      <c r="AG56" s="298"/>
      <c r="AH56" s="323"/>
      <c r="AI56" s="323"/>
      <c r="AJ56" s="298"/>
      <c r="AK56" s="323"/>
      <c r="AL56" s="323"/>
      <c r="AM56" s="298"/>
      <c r="AN56" s="323"/>
      <c r="AO56" s="323"/>
      <c r="AP56" s="298"/>
      <c r="AQ56" s="293" t="s">
        <v>7143</v>
      </c>
      <c r="AR56" s="327"/>
      <c r="AS56" s="352"/>
      <c r="AT56" s="361" t="s">
        <v>7144</v>
      </c>
      <c r="AU56" s="307"/>
      <c r="AV56" s="355"/>
      <c r="AW56" s="355"/>
      <c r="AX56" s="307"/>
      <c r="BA56" s="307"/>
      <c r="BC56" s="366"/>
      <c r="BD56" s="307"/>
      <c r="BG56" s="307"/>
    </row>
    <row r="57">
      <c r="A57" s="352"/>
      <c r="B57" s="293"/>
      <c r="C57" s="298"/>
      <c r="D57" s="352"/>
      <c r="E57" s="293"/>
      <c r="F57" s="298"/>
      <c r="G57" s="352" t="s">
        <v>7145</v>
      </c>
      <c r="H57" s="293"/>
      <c r="I57" s="298"/>
      <c r="J57" s="323"/>
      <c r="K57" s="323"/>
      <c r="L57" s="298"/>
      <c r="M57" s="323"/>
      <c r="N57" s="323"/>
      <c r="O57" s="327"/>
      <c r="P57" s="323"/>
      <c r="Q57" s="352"/>
      <c r="R57" s="327"/>
      <c r="S57" s="367"/>
      <c r="T57" s="360"/>
      <c r="U57" s="327"/>
      <c r="V57" s="352"/>
      <c r="W57" s="352"/>
      <c r="X57" s="327"/>
      <c r="Y57" s="352"/>
      <c r="Z57" s="301" t="s">
        <v>7146</v>
      </c>
      <c r="AA57" s="327"/>
      <c r="AB57" s="352"/>
      <c r="AC57" s="352"/>
      <c r="AD57" s="327"/>
      <c r="AE57" s="293" t="s">
        <v>7147</v>
      </c>
      <c r="AF57" s="316" t="s">
        <v>7148</v>
      </c>
      <c r="AG57" s="327"/>
      <c r="AH57" s="352"/>
      <c r="AI57" s="352"/>
      <c r="AJ57" s="327"/>
      <c r="AK57" s="352"/>
      <c r="AL57" s="352"/>
      <c r="AM57" s="327"/>
      <c r="AN57" s="352"/>
      <c r="AO57" s="352"/>
      <c r="AP57" s="327"/>
      <c r="AQ57" s="293"/>
      <c r="AR57" s="327"/>
      <c r="AS57" s="293"/>
      <c r="AT57" s="362" t="s">
        <v>7149</v>
      </c>
      <c r="AU57" s="307"/>
      <c r="AV57" s="355"/>
      <c r="AW57" s="355"/>
      <c r="AX57" s="307"/>
      <c r="BA57" s="307"/>
      <c r="BC57" s="366"/>
      <c r="BD57" s="307"/>
      <c r="BG57" s="307"/>
    </row>
    <row r="58">
      <c r="B58" s="293"/>
      <c r="C58" s="298"/>
      <c r="E58" s="293"/>
      <c r="F58" s="298"/>
      <c r="G58" s="300" t="s">
        <v>1235</v>
      </c>
      <c r="H58" s="293" t="s">
        <v>7150</v>
      </c>
      <c r="I58" s="298"/>
      <c r="J58" s="323"/>
      <c r="K58" s="323"/>
      <c r="L58" s="298"/>
      <c r="M58" s="323"/>
      <c r="N58" s="323"/>
      <c r="O58" s="327"/>
      <c r="P58" s="323"/>
      <c r="Q58" s="352"/>
      <c r="R58" s="327"/>
      <c r="S58" s="360"/>
      <c r="T58" s="360"/>
      <c r="U58" s="327"/>
      <c r="V58" s="352"/>
      <c r="W58" s="352"/>
      <c r="X58" s="327"/>
      <c r="Y58" s="352"/>
      <c r="Z58" s="352"/>
      <c r="AA58" s="327"/>
      <c r="AB58" s="352"/>
      <c r="AC58" s="352"/>
      <c r="AD58" s="327"/>
      <c r="AE58" s="352"/>
      <c r="AF58" s="352"/>
      <c r="AG58" s="327"/>
      <c r="AH58" s="352"/>
      <c r="AI58" s="352"/>
      <c r="AJ58" s="327"/>
      <c r="AK58" s="352"/>
      <c r="AL58" s="352"/>
      <c r="AM58" s="327"/>
      <c r="AN58" s="352"/>
      <c r="AO58" s="352"/>
      <c r="AP58" s="327"/>
      <c r="AQ58" s="293" t="s">
        <v>7151</v>
      </c>
      <c r="AR58" s="327"/>
      <c r="AS58" s="293" t="s">
        <v>7152</v>
      </c>
      <c r="AT58" s="362" t="s">
        <v>7153</v>
      </c>
      <c r="AU58" s="307"/>
      <c r="AV58" s="355"/>
      <c r="AW58" s="355"/>
      <c r="AX58" s="307"/>
      <c r="BA58" s="307"/>
      <c r="BC58" s="366"/>
      <c r="BD58" s="307"/>
      <c r="BG58" s="307"/>
    </row>
    <row r="59">
      <c r="B59" s="293"/>
      <c r="C59" s="298"/>
      <c r="E59" s="293"/>
      <c r="F59" s="298"/>
      <c r="H59" s="293"/>
      <c r="I59" s="298"/>
      <c r="J59" s="323"/>
      <c r="K59" s="323"/>
      <c r="L59" s="298"/>
      <c r="M59" s="323"/>
      <c r="N59" s="323"/>
      <c r="O59" s="327"/>
      <c r="P59" s="323"/>
      <c r="Q59" s="352"/>
      <c r="R59" s="327"/>
      <c r="S59" s="360"/>
      <c r="T59" s="360"/>
      <c r="U59" s="327"/>
      <c r="V59" s="352"/>
      <c r="W59" s="352"/>
      <c r="X59" s="327"/>
      <c r="Y59" s="352"/>
      <c r="Z59" s="352"/>
      <c r="AA59" s="327"/>
      <c r="AB59" s="352"/>
      <c r="AC59" s="352"/>
      <c r="AD59" s="327"/>
      <c r="AE59" s="352"/>
      <c r="AF59" s="352"/>
      <c r="AG59" s="327"/>
      <c r="AH59" s="352"/>
      <c r="AI59" s="352"/>
      <c r="AJ59" s="327"/>
      <c r="AK59" s="352"/>
      <c r="AL59" s="352"/>
      <c r="AM59" s="327"/>
      <c r="AN59" s="352"/>
      <c r="AO59" s="352"/>
      <c r="AP59" s="327"/>
      <c r="AQ59" s="293" t="s">
        <v>7154</v>
      </c>
      <c r="AR59" s="327"/>
      <c r="AS59" s="293" t="s">
        <v>7155</v>
      </c>
      <c r="AT59" s="362" t="s">
        <v>7156</v>
      </c>
      <c r="AU59" s="307"/>
      <c r="AV59" s="355"/>
      <c r="AW59" s="355"/>
      <c r="AX59" s="307"/>
      <c r="BA59" s="307"/>
      <c r="BC59" s="366"/>
      <c r="BD59" s="307"/>
      <c r="BG59" s="307"/>
    </row>
    <row r="60">
      <c r="A60" s="352"/>
      <c r="B60" s="293"/>
      <c r="C60" s="298"/>
      <c r="D60" s="352"/>
      <c r="E60" s="293"/>
      <c r="F60" s="298"/>
      <c r="G60" s="352" t="s">
        <v>7157</v>
      </c>
      <c r="H60" s="293"/>
      <c r="I60" s="298"/>
      <c r="J60" s="323"/>
      <c r="K60" s="323"/>
      <c r="L60" s="298"/>
      <c r="M60" s="323"/>
      <c r="N60" s="323"/>
      <c r="O60" s="327"/>
      <c r="P60" s="323"/>
      <c r="Q60" s="352"/>
      <c r="R60" s="327"/>
      <c r="S60" s="317"/>
      <c r="T60" s="360"/>
      <c r="U60" s="327"/>
      <c r="V60" s="352"/>
      <c r="W60" s="352"/>
      <c r="X60" s="327"/>
      <c r="Y60" s="352"/>
      <c r="Z60" s="352"/>
      <c r="AA60" s="327"/>
      <c r="AB60" s="352"/>
      <c r="AC60" s="352"/>
      <c r="AD60" s="327"/>
      <c r="AE60" s="293" t="s">
        <v>7158</v>
      </c>
      <c r="AF60" s="293" t="s">
        <v>7159</v>
      </c>
      <c r="AG60" s="327"/>
      <c r="AH60" s="352"/>
      <c r="AI60" s="352"/>
      <c r="AJ60" s="327"/>
      <c r="AK60" s="352"/>
      <c r="AL60" s="352"/>
      <c r="AM60" s="327"/>
      <c r="AN60" s="352"/>
      <c r="AO60" s="352"/>
      <c r="AP60" s="327"/>
      <c r="AQ60" s="293" t="s">
        <v>7160</v>
      </c>
      <c r="AR60" s="327"/>
      <c r="AS60" s="352"/>
      <c r="AT60" s="362" t="s">
        <v>7161</v>
      </c>
      <c r="AU60" s="307"/>
      <c r="AV60" s="355"/>
      <c r="AW60" s="355"/>
      <c r="AX60" s="307"/>
      <c r="BA60" s="307"/>
      <c r="BC60" s="366"/>
      <c r="BD60" s="307"/>
      <c r="BG60" s="307"/>
    </row>
    <row r="61">
      <c r="A61" s="352"/>
      <c r="B61" s="293"/>
      <c r="C61" s="298"/>
      <c r="D61" s="352"/>
      <c r="E61" s="293"/>
      <c r="F61" s="298"/>
      <c r="G61" s="352" t="s">
        <v>3916</v>
      </c>
      <c r="H61" s="293"/>
      <c r="I61" s="298"/>
      <c r="J61" s="323"/>
      <c r="K61" s="323"/>
      <c r="L61" s="298"/>
      <c r="M61" s="323"/>
      <c r="N61" s="323"/>
      <c r="O61" s="298"/>
      <c r="P61" s="323"/>
      <c r="Q61" s="323"/>
      <c r="R61" s="298"/>
      <c r="S61" s="367"/>
      <c r="T61" s="344"/>
      <c r="U61" s="298"/>
      <c r="V61" s="323"/>
      <c r="W61" s="323"/>
      <c r="X61" s="298"/>
      <c r="Y61" s="323"/>
      <c r="Z61" s="323"/>
      <c r="AA61" s="298"/>
      <c r="AB61" s="323"/>
      <c r="AC61" s="323"/>
      <c r="AD61" s="298"/>
      <c r="AE61" s="323"/>
      <c r="AF61" s="323"/>
      <c r="AG61" s="298"/>
      <c r="AH61" s="323"/>
      <c r="AI61" s="323"/>
      <c r="AJ61" s="298"/>
      <c r="AK61" s="323"/>
      <c r="AL61" s="323"/>
      <c r="AM61" s="298"/>
      <c r="AN61" s="323"/>
      <c r="AO61" s="323"/>
      <c r="AP61" s="298"/>
      <c r="AQ61" s="293" t="s">
        <v>7080</v>
      </c>
      <c r="AR61" s="327"/>
      <c r="AS61" s="293" t="s">
        <v>7162</v>
      </c>
      <c r="AT61" s="363" t="s">
        <v>7163</v>
      </c>
      <c r="AU61" s="307"/>
      <c r="AV61" s="355"/>
      <c r="AW61" s="355"/>
      <c r="AX61" s="307"/>
      <c r="BA61" s="307"/>
      <c r="BC61" s="366"/>
      <c r="BD61" s="307"/>
      <c r="BG61" s="307"/>
    </row>
    <row r="62">
      <c r="A62" s="352"/>
      <c r="B62" s="293"/>
      <c r="C62" s="298"/>
      <c r="D62" s="352"/>
      <c r="E62" s="293"/>
      <c r="F62" s="298"/>
      <c r="G62" s="352" t="s">
        <v>2665</v>
      </c>
      <c r="H62" s="293"/>
      <c r="I62" s="298"/>
      <c r="J62" s="323"/>
      <c r="K62" s="323"/>
      <c r="L62" s="298"/>
      <c r="M62" s="323"/>
      <c r="N62" s="323"/>
      <c r="O62" s="298"/>
      <c r="P62" s="323"/>
      <c r="Q62" s="323"/>
      <c r="R62" s="298"/>
      <c r="S62" s="344"/>
      <c r="T62" s="344"/>
      <c r="U62" s="298"/>
      <c r="V62" s="323"/>
      <c r="W62" s="323"/>
      <c r="X62" s="298"/>
      <c r="Y62" s="323"/>
      <c r="Z62" s="323"/>
      <c r="AA62" s="298"/>
      <c r="AB62" s="323"/>
      <c r="AC62" s="323"/>
      <c r="AD62" s="298"/>
      <c r="AE62" s="323"/>
      <c r="AF62" s="323"/>
      <c r="AG62" s="298"/>
      <c r="AH62" s="323"/>
      <c r="AI62" s="323"/>
      <c r="AJ62" s="298"/>
      <c r="AK62" s="323"/>
      <c r="AL62" s="323"/>
      <c r="AM62" s="298"/>
      <c r="AN62" s="323"/>
      <c r="AO62" s="323"/>
      <c r="AP62" s="298"/>
      <c r="AQ62" s="293" t="s">
        <v>7164</v>
      </c>
      <c r="AR62" s="327"/>
      <c r="AS62" s="293" t="s">
        <v>4622</v>
      </c>
      <c r="AT62" s="361" t="s">
        <v>7165</v>
      </c>
      <c r="AU62" s="307"/>
      <c r="AV62" s="355"/>
      <c r="AW62" s="355"/>
      <c r="AX62" s="307"/>
      <c r="BA62" s="307"/>
      <c r="BC62" s="366"/>
      <c r="BD62" s="307"/>
      <c r="BG62" s="307"/>
    </row>
    <row r="63">
      <c r="A63" s="352"/>
      <c r="C63" s="298"/>
      <c r="D63" s="352"/>
      <c r="F63" s="298"/>
      <c r="G63" s="352" t="s">
        <v>3829</v>
      </c>
      <c r="I63" s="298"/>
      <c r="J63" s="323"/>
      <c r="K63" s="323"/>
      <c r="L63" s="298"/>
      <c r="M63" s="323"/>
      <c r="N63" s="323"/>
      <c r="O63" s="298"/>
      <c r="P63" s="323"/>
      <c r="Q63" s="323"/>
      <c r="R63" s="298"/>
      <c r="S63" s="344"/>
      <c r="T63" s="344"/>
      <c r="U63" s="298"/>
      <c r="V63" s="323"/>
      <c r="W63" s="323"/>
      <c r="X63" s="298"/>
      <c r="Y63" s="323"/>
      <c r="Z63" s="323"/>
      <c r="AA63" s="298"/>
      <c r="AB63" s="323"/>
      <c r="AC63" s="323"/>
      <c r="AD63" s="298"/>
      <c r="AE63" s="323"/>
      <c r="AF63" s="323"/>
      <c r="AG63" s="298"/>
      <c r="AH63" s="323"/>
      <c r="AI63" s="323"/>
      <c r="AJ63" s="298"/>
      <c r="AK63" s="323"/>
      <c r="AL63" s="323"/>
      <c r="AM63" s="298"/>
      <c r="AN63" s="323"/>
      <c r="AO63" s="323"/>
      <c r="AP63" s="298"/>
      <c r="AQ63" s="352"/>
      <c r="AR63" s="327"/>
      <c r="AS63" s="293" t="s">
        <v>7166</v>
      </c>
      <c r="AT63" s="361" t="s">
        <v>7167</v>
      </c>
      <c r="AU63" s="307"/>
      <c r="AV63" s="355"/>
      <c r="AW63" s="355"/>
      <c r="AX63" s="307"/>
      <c r="BA63" s="307"/>
      <c r="BC63" s="366"/>
      <c r="BD63" s="307"/>
      <c r="BG63" s="307"/>
    </row>
    <row r="64">
      <c r="A64" s="352"/>
      <c r="C64" s="298"/>
      <c r="D64" s="352"/>
      <c r="F64" s="298"/>
      <c r="G64" s="352" t="s">
        <v>7168</v>
      </c>
      <c r="I64" s="298"/>
      <c r="J64" s="323"/>
      <c r="K64" s="323"/>
      <c r="L64" s="298"/>
      <c r="M64" s="323"/>
      <c r="N64" s="323"/>
      <c r="O64" s="298"/>
      <c r="P64" s="323"/>
      <c r="Q64" s="323"/>
      <c r="R64" s="298"/>
      <c r="S64" s="367"/>
      <c r="T64" s="344"/>
      <c r="U64" s="298"/>
      <c r="V64" s="323"/>
      <c r="W64" s="323"/>
      <c r="X64" s="298"/>
      <c r="Y64" s="323"/>
      <c r="Z64" s="323"/>
      <c r="AA64" s="298"/>
      <c r="AB64" s="323"/>
      <c r="AC64" s="323"/>
      <c r="AD64" s="298"/>
      <c r="AE64" s="323"/>
      <c r="AF64" s="323"/>
      <c r="AG64" s="298"/>
      <c r="AH64" s="323"/>
      <c r="AI64" s="323"/>
      <c r="AJ64" s="298"/>
      <c r="AK64" s="323"/>
      <c r="AL64" s="323"/>
      <c r="AM64" s="298"/>
      <c r="AN64" s="323"/>
      <c r="AO64" s="323"/>
      <c r="AP64" s="298"/>
      <c r="AQ64" s="293" t="s">
        <v>7169</v>
      </c>
      <c r="AR64" s="327"/>
      <c r="AS64" s="299" t="s">
        <v>314</v>
      </c>
      <c r="AT64" s="354" t="s">
        <v>7170</v>
      </c>
      <c r="AU64" s="307"/>
      <c r="AV64" s="355"/>
      <c r="AW64" s="355"/>
      <c r="AX64" s="307"/>
      <c r="BA64" s="307"/>
      <c r="BC64" s="366"/>
      <c r="BD64" s="307"/>
      <c r="BG64" s="307"/>
    </row>
    <row r="65">
      <c r="A65" s="352"/>
      <c r="C65" s="298"/>
      <c r="D65" s="352"/>
      <c r="F65" s="298"/>
      <c r="G65" s="352" t="s">
        <v>2052</v>
      </c>
      <c r="I65" s="298"/>
      <c r="J65" s="323"/>
      <c r="K65" s="323"/>
      <c r="L65" s="298"/>
      <c r="M65" s="323"/>
      <c r="N65" s="323"/>
      <c r="O65" s="298"/>
      <c r="P65" s="323"/>
      <c r="Q65" s="323"/>
      <c r="R65" s="298"/>
      <c r="S65" s="344"/>
      <c r="T65" s="344"/>
      <c r="U65" s="298"/>
      <c r="V65" s="323"/>
      <c r="W65" s="323"/>
      <c r="X65" s="298"/>
      <c r="Y65" s="323"/>
      <c r="Z65" s="323"/>
      <c r="AA65" s="298"/>
      <c r="AB65" s="323"/>
      <c r="AC65" s="323"/>
      <c r="AD65" s="298"/>
      <c r="AE65" s="323"/>
      <c r="AF65" s="323"/>
      <c r="AG65" s="298"/>
      <c r="AH65" s="323"/>
      <c r="AI65" s="323"/>
      <c r="AJ65" s="298"/>
      <c r="AK65" s="323"/>
      <c r="AL65" s="323"/>
      <c r="AM65" s="298"/>
      <c r="AN65" s="323"/>
      <c r="AO65" s="323"/>
      <c r="AP65" s="298"/>
      <c r="AQ65" s="295" t="s">
        <v>6908</v>
      </c>
      <c r="AR65" s="327"/>
      <c r="AS65" s="293" t="s">
        <v>314</v>
      </c>
      <c r="AT65" s="354" t="s">
        <v>7171</v>
      </c>
      <c r="AU65" s="307"/>
      <c r="AV65" s="355"/>
      <c r="AW65" s="355"/>
      <c r="AX65" s="307"/>
      <c r="BA65" s="307"/>
      <c r="BC65" s="366"/>
      <c r="BD65" s="307"/>
      <c r="BG65" s="307"/>
    </row>
    <row r="66">
      <c r="A66" s="352"/>
      <c r="C66" s="327"/>
      <c r="D66" s="352"/>
      <c r="F66" s="327"/>
      <c r="G66" s="352" t="s">
        <v>7172</v>
      </c>
      <c r="I66" s="327"/>
      <c r="J66" s="352"/>
      <c r="K66" s="352"/>
      <c r="L66" s="327"/>
      <c r="M66" s="352"/>
      <c r="N66" s="352"/>
      <c r="O66" s="327"/>
      <c r="P66" s="323"/>
      <c r="Q66" s="352"/>
      <c r="R66" s="327"/>
      <c r="S66" s="360"/>
      <c r="T66" s="360"/>
      <c r="U66" s="327"/>
      <c r="V66" s="352"/>
      <c r="W66" s="352"/>
      <c r="X66" s="327"/>
      <c r="Y66" s="352"/>
      <c r="Z66" s="352"/>
      <c r="AA66" s="327"/>
      <c r="AB66" s="352"/>
      <c r="AC66" s="352"/>
      <c r="AD66" s="327"/>
      <c r="AE66" s="352"/>
      <c r="AF66" s="352"/>
      <c r="AG66" s="327"/>
      <c r="AH66" s="352"/>
      <c r="AI66" s="352"/>
      <c r="AJ66" s="327"/>
      <c r="AK66" s="352"/>
      <c r="AL66" s="352"/>
      <c r="AM66" s="327"/>
      <c r="AN66" s="352"/>
      <c r="AO66" s="352"/>
      <c r="AP66" s="327"/>
      <c r="AQ66" s="295" t="s">
        <v>7173</v>
      </c>
      <c r="AR66" s="327"/>
      <c r="AS66" s="293" t="s">
        <v>7174</v>
      </c>
      <c r="AT66" s="354" t="s">
        <v>7175</v>
      </c>
      <c r="AU66" s="307"/>
      <c r="AV66" s="355"/>
      <c r="AW66" s="355"/>
      <c r="AX66" s="307"/>
      <c r="BA66" s="307"/>
      <c r="BC66" s="366"/>
      <c r="BD66" s="307"/>
      <c r="BG66" s="307"/>
    </row>
    <row r="67">
      <c r="A67" s="352"/>
      <c r="C67" s="327"/>
      <c r="D67" s="352"/>
      <c r="F67" s="327"/>
      <c r="G67" s="352" t="s">
        <v>7176</v>
      </c>
      <c r="I67" s="327"/>
      <c r="J67" s="352"/>
      <c r="K67" s="352"/>
      <c r="L67" s="327"/>
      <c r="M67" s="352"/>
      <c r="N67" s="352"/>
      <c r="O67" s="327"/>
      <c r="P67" s="352"/>
      <c r="Q67" s="352"/>
      <c r="R67" s="327"/>
      <c r="S67" s="360"/>
      <c r="T67" s="360"/>
      <c r="U67" s="327"/>
      <c r="V67" s="352"/>
      <c r="W67" s="352"/>
      <c r="X67" s="327"/>
      <c r="Y67" s="352"/>
      <c r="Z67" s="352"/>
      <c r="AA67" s="327"/>
      <c r="AB67" s="352"/>
      <c r="AC67" s="352"/>
      <c r="AD67" s="327"/>
      <c r="AE67" s="352"/>
      <c r="AF67" s="352"/>
      <c r="AG67" s="327"/>
      <c r="AH67" s="352"/>
      <c r="AI67" s="352"/>
      <c r="AJ67" s="327"/>
      <c r="AK67" s="352"/>
      <c r="AL67" s="352"/>
      <c r="AM67" s="327"/>
      <c r="AN67" s="352"/>
      <c r="AO67" s="352"/>
      <c r="AP67" s="327"/>
      <c r="AQ67" s="295" t="s">
        <v>7177</v>
      </c>
      <c r="AR67" s="327"/>
      <c r="AS67" s="293" t="s">
        <v>6868</v>
      </c>
      <c r="AT67" s="354" t="s">
        <v>7178</v>
      </c>
      <c r="AU67" s="307"/>
      <c r="AV67" s="355"/>
      <c r="AW67" s="355"/>
      <c r="AX67" s="307"/>
      <c r="BA67" s="307"/>
      <c r="BC67" s="366"/>
      <c r="BD67" s="307"/>
      <c r="BG67" s="307"/>
    </row>
    <row r="68">
      <c r="A68" s="352"/>
      <c r="B68" s="293"/>
      <c r="C68" s="294"/>
      <c r="D68" s="352"/>
      <c r="E68" s="293"/>
      <c r="F68" s="294"/>
      <c r="G68" s="352" t="s">
        <v>5723</v>
      </c>
      <c r="H68" s="293"/>
      <c r="I68" s="294"/>
      <c r="J68" s="293"/>
      <c r="K68" s="293"/>
      <c r="L68" s="294"/>
      <c r="M68" s="293"/>
      <c r="N68" s="293"/>
      <c r="O68" s="327"/>
      <c r="P68" s="293"/>
      <c r="Q68" s="293"/>
      <c r="R68" s="327"/>
      <c r="S68" s="317"/>
      <c r="T68" s="317"/>
      <c r="U68" s="327"/>
      <c r="V68" s="352"/>
      <c r="W68" s="352"/>
      <c r="X68" s="327"/>
      <c r="Y68" s="352"/>
      <c r="Z68" s="352"/>
      <c r="AA68" s="327"/>
      <c r="AB68" s="352"/>
      <c r="AC68" s="352"/>
      <c r="AD68" s="327"/>
      <c r="AE68" s="352"/>
      <c r="AF68" s="352"/>
      <c r="AG68" s="327"/>
      <c r="AH68" s="352"/>
      <c r="AI68" s="352"/>
      <c r="AJ68" s="327"/>
      <c r="AK68" s="352"/>
      <c r="AL68" s="352"/>
      <c r="AM68" s="327"/>
      <c r="AN68" s="352"/>
      <c r="AO68" s="352"/>
      <c r="AP68" s="327"/>
      <c r="AQ68" s="293"/>
      <c r="AR68" s="327"/>
      <c r="AS68" s="293" t="s">
        <v>7179</v>
      </c>
      <c r="AT68" s="361" t="s">
        <v>7180</v>
      </c>
      <c r="AU68" s="307"/>
      <c r="AV68" s="355"/>
      <c r="AW68" s="355"/>
      <c r="AX68" s="307"/>
      <c r="BA68" s="307"/>
      <c r="BC68" s="366"/>
      <c r="BD68" s="307"/>
      <c r="BG68" s="307"/>
    </row>
    <row r="69">
      <c r="A69" s="293"/>
      <c r="B69" s="293"/>
      <c r="C69" s="298"/>
      <c r="D69" s="293"/>
      <c r="E69" s="293"/>
      <c r="F69" s="298"/>
      <c r="G69" s="293" t="s">
        <v>7181</v>
      </c>
      <c r="H69" s="299" t="s">
        <v>7182</v>
      </c>
      <c r="I69" s="298"/>
      <c r="J69" s="323"/>
      <c r="K69" s="323"/>
      <c r="L69" s="298"/>
      <c r="M69" s="323"/>
      <c r="N69" s="323"/>
      <c r="O69" s="298"/>
      <c r="P69" s="293"/>
      <c r="Q69" s="293"/>
      <c r="R69" s="298"/>
      <c r="S69" s="317"/>
      <c r="T69" s="317"/>
      <c r="U69" s="298"/>
      <c r="V69" s="323"/>
      <c r="W69" s="323"/>
      <c r="X69" s="298"/>
      <c r="Y69" s="323"/>
      <c r="Z69" s="323"/>
      <c r="AA69" s="298"/>
      <c r="AB69" s="323"/>
      <c r="AC69" s="323"/>
      <c r="AD69" s="298"/>
      <c r="AE69" s="323"/>
      <c r="AF69" s="323"/>
      <c r="AG69" s="298"/>
      <c r="AH69" s="323"/>
      <c r="AI69" s="323"/>
      <c r="AJ69" s="298"/>
      <c r="AK69" s="323"/>
      <c r="AL69" s="323"/>
      <c r="AM69" s="298"/>
      <c r="AN69" s="323"/>
      <c r="AO69" s="323"/>
      <c r="AP69" s="298"/>
      <c r="AQ69" s="293" t="s">
        <v>7183</v>
      </c>
      <c r="AR69" s="327"/>
      <c r="AS69" s="293" t="s">
        <v>7184</v>
      </c>
      <c r="AT69" s="361" t="s">
        <v>7185</v>
      </c>
      <c r="AU69" s="307"/>
      <c r="AV69" s="355"/>
      <c r="AW69" s="355"/>
      <c r="AX69" s="307"/>
      <c r="BA69" s="307"/>
      <c r="BC69" s="366"/>
      <c r="BD69" s="307"/>
      <c r="BG69" s="307"/>
    </row>
    <row r="70">
      <c r="A70" s="352"/>
      <c r="B70" s="293"/>
      <c r="C70" s="298"/>
      <c r="D70" s="352"/>
      <c r="E70" s="293"/>
      <c r="F70" s="298"/>
      <c r="G70" s="352" t="s">
        <v>7186</v>
      </c>
      <c r="H70" s="293"/>
      <c r="I70" s="298"/>
      <c r="J70" s="323"/>
      <c r="K70" s="323"/>
      <c r="L70" s="298"/>
      <c r="M70" s="323"/>
      <c r="N70" s="323"/>
      <c r="O70" s="298"/>
      <c r="P70" s="323"/>
      <c r="Q70" s="293"/>
      <c r="R70" s="298"/>
      <c r="S70" s="317"/>
      <c r="T70" s="317"/>
      <c r="U70" s="298"/>
      <c r="V70" s="323"/>
      <c r="W70" s="323"/>
      <c r="X70" s="298"/>
      <c r="Y70" s="323"/>
      <c r="Z70" s="323"/>
      <c r="AA70" s="298"/>
      <c r="AB70" s="323"/>
      <c r="AC70" s="323"/>
      <c r="AD70" s="298"/>
      <c r="AE70" s="323"/>
      <c r="AF70" s="323"/>
      <c r="AG70" s="298"/>
      <c r="AH70" s="323"/>
      <c r="AI70" s="323"/>
      <c r="AJ70" s="298"/>
      <c r="AK70" s="323"/>
      <c r="AL70" s="323"/>
      <c r="AM70" s="298"/>
      <c r="AN70" s="323"/>
      <c r="AO70" s="323"/>
      <c r="AP70" s="298"/>
      <c r="AQ70" s="293" t="s">
        <v>7187</v>
      </c>
      <c r="AR70" s="327"/>
      <c r="AS70" s="293"/>
      <c r="AT70" s="362"/>
      <c r="AU70" s="307"/>
      <c r="AV70" s="355"/>
      <c r="AW70" s="355"/>
      <c r="AX70" s="307"/>
      <c r="BA70" s="307"/>
      <c r="BC70" s="366"/>
      <c r="BD70" s="307"/>
      <c r="BG70" s="307"/>
    </row>
    <row r="71">
      <c r="A71" s="352"/>
      <c r="B71" s="293"/>
      <c r="C71" s="298"/>
      <c r="D71" s="352"/>
      <c r="E71" s="293"/>
      <c r="F71" s="298"/>
      <c r="G71" s="352" t="s">
        <v>7188</v>
      </c>
      <c r="H71" s="293"/>
      <c r="I71" s="298"/>
      <c r="J71" s="323"/>
      <c r="K71" s="323"/>
      <c r="L71" s="298"/>
      <c r="M71" s="323"/>
      <c r="N71" s="323"/>
      <c r="O71" s="327"/>
      <c r="P71" s="323"/>
      <c r="Q71" s="293"/>
      <c r="R71" s="327"/>
      <c r="S71" s="317"/>
      <c r="T71" s="317"/>
      <c r="U71" s="327"/>
      <c r="V71" s="352"/>
      <c r="W71" s="352"/>
      <c r="X71" s="327"/>
      <c r="Y71" s="352"/>
      <c r="Z71" s="352"/>
      <c r="AA71" s="327"/>
      <c r="AB71" s="352"/>
      <c r="AC71" s="352"/>
      <c r="AD71" s="327"/>
      <c r="AE71" s="352"/>
      <c r="AF71" s="352"/>
      <c r="AG71" s="327"/>
      <c r="AH71" s="352"/>
      <c r="AI71" s="352"/>
      <c r="AJ71" s="327"/>
      <c r="AK71" s="352"/>
      <c r="AL71" s="352"/>
      <c r="AM71" s="327"/>
      <c r="AN71" s="352"/>
      <c r="AO71" s="352"/>
      <c r="AP71" s="327"/>
      <c r="AQ71" s="293" t="s">
        <v>7189</v>
      </c>
      <c r="AR71" s="327"/>
      <c r="AS71" s="293" t="s">
        <v>7190</v>
      </c>
      <c r="AT71" s="361" t="s">
        <v>7191</v>
      </c>
      <c r="AU71" s="307"/>
      <c r="AV71" s="355"/>
      <c r="AW71" s="355"/>
      <c r="AX71" s="307"/>
      <c r="BA71" s="307"/>
      <c r="BC71" s="366"/>
      <c r="BD71" s="307"/>
      <c r="BG71" s="307"/>
    </row>
    <row r="72">
      <c r="B72" s="293"/>
      <c r="C72" s="298"/>
      <c r="E72" s="293"/>
      <c r="F72" s="298"/>
      <c r="H72" s="293"/>
      <c r="I72" s="298"/>
      <c r="J72" s="323"/>
      <c r="K72" s="323"/>
      <c r="L72" s="298"/>
      <c r="M72" s="323"/>
      <c r="N72" s="323"/>
      <c r="O72" s="327"/>
      <c r="P72" s="323"/>
      <c r="Q72" s="293"/>
      <c r="R72" s="327"/>
      <c r="S72" s="367"/>
      <c r="T72" s="317"/>
      <c r="U72" s="327"/>
      <c r="V72" s="352"/>
      <c r="W72" s="352"/>
      <c r="X72" s="327"/>
      <c r="Y72" s="352"/>
      <c r="Z72" s="352"/>
      <c r="AA72" s="327"/>
      <c r="AB72" s="352"/>
      <c r="AC72" s="352"/>
      <c r="AD72" s="327"/>
      <c r="AE72" s="352"/>
      <c r="AF72" s="352"/>
      <c r="AG72" s="327"/>
      <c r="AH72" s="352"/>
      <c r="AI72" s="352"/>
      <c r="AJ72" s="327"/>
      <c r="AK72" s="352"/>
      <c r="AL72" s="352"/>
      <c r="AM72" s="327"/>
      <c r="AN72" s="352"/>
      <c r="AO72" s="352"/>
      <c r="AP72" s="327"/>
      <c r="AQ72" s="293" t="s">
        <v>7192</v>
      </c>
      <c r="AR72" s="327"/>
      <c r="AS72" s="293" t="s">
        <v>7193</v>
      </c>
      <c r="AT72" s="362" t="s">
        <v>7194</v>
      </c>
      <c r="AU72" s="307"/>
      <c r="AV72" s="355"/>
      <c r="AW72" s="355"/>
      <c r="AX72" s="307"/>
      <c r="BA72" s="307"/>
      <c r="BC72" s="366"/>
      <c r="BD72" s="307"/>
      <c r="BG72" s="307"/>
    </row>
    <row r="73">
      <c r="A73" s="352"/>
      <c r="B73" s="293"/>
      <c r="C73" s="298"/>
      <c r="D73" s="352"/>
      <c r="E73" s="293"/>
      <c r="F73" s="298"/>
      <c r="G73" s="352" t="s">
        <v>7195</v>
      </c>
      <c r="H73" s="293"/>
      <c r="I73" s="298"/>
      <c r="J73" s="323"/>
      <c r="K73" s="323"/>
      <c r="L73" s="298"/>
      <c r="M73" s="323"/>
      <c r="N73" s="323"/>
      <c r="O73" s="298"/>
      <c r="P73" s="323"/>
      <c r="Q73" s="293"/>
      <c r="R73" s="298"/>
      <c r="S73" s="344"/>
      <c r="T73" s="317"/>
      <c r="U73" s="298"/>
      <c r="V73" s="323"/>
      <c r="W73" s="323"/>
      <c r="X73" s="298"/>
      <c r="Y73" s="323"/>
      <c r="Z73" s="323"/>
      <c r="AA73" s="298"/>
      <c r="AB73" s="323"/>
      <c r="AC73" s="323"/>
      <c r="AD73" s="298"/>
      <c r="AE73" s="323"/>
      <c r="AF73" s="323"/>
      <c r="AG73" s="298"/>
      <c r="AH73" s="323"/>
      <c r="AI73" s="323"/>
      <c r="AJ73" s="298"/>
      <c r="AK73" s="323"/>
      <c r="AL73" s="323"/>
      <c r="AM73" s="298"/>
      <c r="AN73" s="323"/>
      <c r="AO73" s="323"/>
      <c r="AP73" s="298"/>
      <c r="AQ73" s="293" t="s">
        <v>7196</v>
      </c>
      <c r="AR73" s="327"/>
      <c r="AS73" s="293" t="s">
        <v>7197</v>
      </c>
      <c r="AT73" s="361" t="s">
        <v>7198</v>
      </c>
      <c r="AU73" s="307"/>
      <c r="AV73" s="355"/>
      <c r="AW73" s="355"/>
      <c r="AX73" s="307"/>
      <c r="BA73" s="307"/>
      <c r="BC73" s="366"/>
      <c r="BD73" s="307"/>
      <c r="BG73" s="307"/>
    </row>
    <row r="74">
      <c r="C74" s="298"/>
      <c r="F74" s="298"/>
      <c r="I74" s="298"/>
      <c r="J74" s="323"/>
      <c r="K74" s="323"/>
      <c r="L74" s="298"/>
      <c r="M74" s="323"/>
      <c r="N74" s="323"/>
      <c r="O74" s="298"/>
      <c r="P74" s="323"/>
      <c r="Q74" s="293"/>
      <c r="R74" s="298"/>
      <c r="S74" s="317"/>
      <c r="T74" s="317"/>
      <c r="U74" s="298"/>
      <c r="V74" s="323"/>
      <c r="W74" s="323"/>
      <c r="X74" s="298"/>
      <c r="Y74" s="323"/>
      <c r="Z74" s="323"/>
      <c r="AA74" s="298"/>
      <c r="AB74" s="323"/>
      <c r="AC74" s="323"/>
      <c r="AD74" s="298"/>
      <c r="AE74" s="323"/>
      <c r="AF74" s="323"/>
      <c r="AG74" s="298"/>
      <c r="AH74" s="323"/>
      <c r="AI74" s="323"/>
      <c r="AJ74" s="298"/>
      <c r="AK74" s="323"/>
      <c r="AL74" s="323"/>
      <c r="AM74" s="298"/>
      <c r="AN74" s="323"/>
      <c r="AO74" s="323"/>
      <c r="AP74" s="298"/>
      <c r="AQ74" s="312" t="s">
        <v>7199</v>
      </c>
      <c r="AR74" s="327"/>
      <c r="AS74" s="308" t="s">
        <v>1599</v>
      </c>
      <c r="AT74" s="370" t="s">
        <v>7200</v>
      </c>
      <c r="AU74" s="307"/>
      <c r="AV74" s="351"/>
      <c r="AW74" s="351"/>
      <c r="AX74" s="307"/>
      <c r="BA74" s="307"/>
      <c r="BC74" s="366"/>
      <c r="BD74" s="307"/>
      <c r="BG74" s="307"/>
    </row>
    <row r="75">
      <c r="A75" s="352"/>
      <c r="B75" s="293"/>
      <c r="C75" s="298"/>
      <c r="D75" s="352"/>
      <c r="E75" s="293"/>
      <c r="F75" s="298"/>
      <c r="G75" s="352" t="s">
        <v>2874</v>
      </c>
      <c r="H75" s="293"/>
      <c r="I75" s="298"/>
      <c r="J75" s="323"/>
      <c r="K75" s="323"/>
      <c r="L75" s="298"/>
      <c r="M75" s="323"/>
      <c r="N75" s="323"/>
      <c r="O75" s="298"/>
      <c r="P75" s="323"/>
      <c r="Q75" s="323"/>
      <c r="R75" s="298"/>
      <c r="S75" s="367"/>
      <c r="T75" s="344"/>
      <c r="U75" s="298"/>
      <c r="V75" s="323"/>
      <c r="W75" s="323"/>
      <c r="X75" s="298"/>
      <c r="Y75" s="323"/>
      <c r="Z75" s="323"/>
      <c r="AA75" s="298"/>
      <c r="AB75" s="323"/>
      <c r="AC75" s="323"/>
      <c r="AD75" s="298"/>
      <c r="AE75" s="323"/>
      <c r="AF75" s="323"/>
      <c r="AG75" s="298"/>
      <c r="AH75" s="323"/>
      <c r="AI75" s="323"/>
      <c r="AJ75" s="298"/>
      <c r="AK75" s="323"/>
      <c r="AL75" s="323"/>
      <c r="AM75" s="298"/>
      <c r="AN75" s="323"/>
      <c r="AO75" s="323"/>
      <c r="AP75" s="298"/>
      <c r="AQ75" s="312" t="s">
        <v>7201</v>
      </c>
      <c r="AR75" s="327"/>
      <c r="AS75" s="308" t="s">
        <v>6775</v>
      </c>
      <c r="AT75" s="370" t="s">
        <v>7202</v>
      </c>
      <c r="AU75" s="307"/>
      <c r="AV75" s="365"/>
      <c r="AW75" s="365"/>
      <c r="AX75" s="307"/>
      <c r="BA75" s="307"/>
      <c r="BC75" s="366"/>
      <c r="BD75" s="307"/>
      <c r="BG75" s="307"/>
    </row>
    <row r="76">
      <c r="A76" s="352"/>
      <c r="B76" s="293"/>
      <c r="C76" s="298"/>
      <c r="D76" s="352"/>
      <c r="E76" s="293"/>
      <c r="F76" s="298"/>
      <c r="G76" s="352" t="s">
        <v>7203</v>
      </c>
      <c r="H76" s="293"/>
      <c r="I76" s="298"/>
      <c r="J76" s="323"/>
      <c r="K76" s="323"/>
      <c r="L76" s="298"/>
      <c r="M76" s="323"/>
      <c r="N76" s="323"/>
      <c r="O76" s="327"/>
      <c r="P76" s="323"/>
      <c r="Q76" s="352"/>
      <c r="R76" s="327"/>
      <c r="S76" s="360"/>
      <c r="T76" s="360"/>
      <c r="U76" s="327"/>
      <c r="V76" s="352"/>
      <c r="W76" s="352"/>
      <c r="X76" s="327"/>
      <c r="Y76" s="352"/>
      <c r="Z76" s="352"/>
      <c r="AA76" s="327"/>
      <c r="AB76" s="352"/>
      <c r="AC76" s="352"/>
      <c r="AD76" s="327"/>
      <c r="AE76" s="352"/>
      <c r="AF76" s="352"/>
      <c r="AG76" s="327"/>
      <c r="AH76" s="352"/>
      <c r="AI76" s="352"/>
      <c r="AJ76" s="327"/>
      <c r="AK76" s="352"/>
      <c r="AL76" s="352"/>
      <c r="AM76" s="327"/>
      <c r="AN76" s="352"/>
      <c r="AO76" s="352"/>
      <c r="AP76" s="327"/>
      <c r="AQ76" s="312"/>
      <c r="AR76" s="327"/>
      <c r="AS76" s="308"/>
      <c r="AT76" s="370" t="s">
        <v>7204</v>
      </c>
      <c r="AU76" s="307"/>
      <c r="AV76" s="365"/>
      <c r="AW76" s="365"/>
      <c r="AX76" s="307"/>
      <c r="BA76" s="307"/>
      <c r="BC76" s="366"/>
      <c r="BD76" s="307"/>
      <c r="BG76" s="307"/>
    </row>
    <row r="77">
      <c r="A77" s="293"/>
      <c r="B77" s="293"/>
      <c r="C77" s="298"/>
      <c r="D77" s="293"/>
      <c r="E77" s="293"/>
      <c r="F77" s="298"/>
      <c r="G77" s="293" t="s">
        <v>7205</v>
      </c>
      <c r="H77" s="299" t="s">
        <v>7206</v>
      </c>
      <c r="I77" s="298"/>
      <c r="J77" s="323"/>
      <c r="K77" s="323"/>
      <c r="L77" s="298"/>
      <c r="M77" s="323"/>
      <c r="N77" s="323"/>
      <c r="O77" s="327"/>
      <c r="P77" s="323"/>
      <c r="Q77" s="352"/>
      <c r="R77" s="327"/>
      <c r="S77" s="360"/>
      <c r="T77" s="360"/>
      <c r="U77" s="327"/>
      <c r="V77" s="352"/>
      <c r="W77" s="352"/>
      <c r="X77" s="327"/>
      <c r="Y77" s="352"/>
      <c r="Z77" s="352"/>
      <c r="AA77" s="327"/>
      <c r="AB77" s="352"/>
      <c r="AC77" s="352"/>
      <c r="AD77" s="327"/>
      <c r="AE77" s="352"/>
      <c r="AF77" s="352"/>
      <c r="AG77" s="327"/>
      <c r="AH77" s="352"/>
      <c r="AI77" s="352"/>
      <c r="AJ77" s="327"/>
      <c r="AK77" s="352"/>
      <c r="AL77" s="352"/>
      <c r="AM77" s="327"/>
      <c r="AN77" s="352"/>
      <c r="AO77" s="352"/>
      <c r="AP77" s="327"/>
      <c r="AQ77" s="312" t="s">
        <v>7207</v>
      </c>
      <c r="AR77" s="327"/>
      <c r="AS77" s="308" t="s">
        <v>6738</v>
      </c>
      <c r="AT77" s="308" t="s">
        <v>7208</v>
      </c>
      <c r="AU77" s="307"/>
      <c r="AV77" s="365"/>
      <c r="AW77" s="365"/>
      <c r="AX77" s="307"/>
      <c r="BA77" s="307"/>
      <c r="BC77" s="366"/>
      <c r="BD77" s="307"/>
      <c r="BG77" s="307"/>
    </row>
    <row r="78">
      <c r="A78" s="352"/>
      <c r="B78" s="293"/>
      <c r="C78" s="298"/>
      <c r="D78" s="352"/>
      <c r="E78" s="293"/>
      <c r="F78" s="298"/>
      <c r="G78" s="352" t="s">
        <v>2029</v>
      </c>
      <c r="H78" s="293"/>
      <c r="I78" s="298"/>
      <c r="J78" s="323"/>
      <c r="K78" s="323"/>
      <c r="L78" s="298"/>
      <c r="M78" s="323"/>
      <c r="N78" s="323"/>
      <c r="O78" s="327"/>
      <c r="P78" s="323"/>
      <c r="Q78" s="352"/>
      <c r="R78" s="327"/>
      <c r="S78" s="367"/>
      <c r="T78" s="360"/>
      <c r="U78" s="327"/>
      <c r="V78" s="352"/>
      <c r="W78" s="352"/>
      <c r="X78" s="327"/>
      <c r="Y78" s="352"/>
      <c r="Z78" s="352"/>
      <c r="AA78" s="327"/>
      <c r="AB78" s="352"/>
      <c r="AC78" s="352"/>
      <c r="AD78" s="327"/>
      <c r="AE78" s="352"/>
      <c r="AF78" s="352"/>
      <c r="AG78" s="327"/>
      <c r="AH78" s="352"/>
      <c r="AI78" s="352"/>
      <c r="AJ78" s="327"/>
      <c r="AK78" s="352"/>
      <c r="AL78" s="352"/>
      <c r="AM78" s="327"/>
      <c r="AN78" s="352"/>
      <c r="AO78" s="352"/>
      <c r="AP78" s="327"/>
      <c r="AQ78" s="312" t="s">
        <v>7209</v>
      </c>
      <c r="AR78" s="327"/>
      <c r="AS78" s="308" t="s">
        <v>7210</v>
      </c>
      <c r="AT78" s="371" t="s">
        <v>7211</v>
      </c>
      <c r="AU78" s="307"/>
      <c r="AV78" s="365"/>
      <c r="AW78" s="365"/>
      <c r="AX78" s="307"/>
      <c r="BA78" s="307"/>
      <c r="BC78" s="366"/>
      <c r="BD78" s="307"/>
      <c r="BG78" s="307"/>
    </row>
    <row r="79">
      <c r="A79" s="352"/>
      <c r="B79" s="293"/>
      <c r="C79" s="298"/>
      <c r="D79" s="352"/>
      <c r="E79" s="293"/>
      <c r="F79" s="298"/>
      <c r="G79" s="352" t="s">
        <v>7212</v>
      </c>
      <c r="H79" s="293"/>
      <c r="I79" s="298"/>
      <c r="J79" s="323"/>
      <c r="K79" s="323"/>
      <c r="L79" s="298"/>
      <c r="M79" s="323"/>
      <c r="N79" s="323"/>
      <c r="O79" s="327"/>
      <c r="P79" s="323"/>
      <c r="Q79" s="352"/>
      <c r="R79" s="327"/>
      <c r="S79" s="360"/>
      <c r="T79" s="360"/>
      <c r="U79" s="327"/>
      <c r="V79" s="352"/>
      <c r="W79" s="352"/>
      <c r="X79" s="327"/>
      <c r="Y79" s="352"/>
      <c r="Z79" s="352"/>
      <c r="AA79" s="327"/>
      <c r="AB79" s="352"/>
      <c r="AC79" s="352"/>
      <c r="AD79" s="327"/>
      <c r="AE79" s="352"/>
      <c r="AF79" s="352"/>
      <c r="AG79" s="327"/>
      <c r="AH79" s="352"/>
      <c r="AI79" s="352"/>
      <c r="AJ79" s="327"/>
      <c r="AK79" s="352"/>
      <c r="AL79" s="352"/>
      <c r="AM79" s="327"/>
      <c r="AN79" s="352"/>
      <c r="AO79" s="352"/>
      <c r="AP79" s="327"/>
      <c r="AQ79" s="312"/>
      <c r="AR79" s="327"/>
      <c r="AS79" s="308" t="s">
        <v>7213</v>
      </c>
      <c r="AT79" s="308" t="s">
        <v>7214</v>
      </c>
      <c r="AU79" s="307"/>
      <c r="AV79" s="365"/>
      <c r="AW79" s="365"/>
      <c r="AX79" s="307"/>
      <c r="BA79" s="307"/>
      <c r="BC79" s="366"/>
      <c r="BD79" s="307"/>
      <c r="BG79" s="307"/>
    </row>
    <row r="80">
      <c r="A80" s="352"/>
      <c r="B80" s="293"/>
      <c r="C80" s="298"/>
      <c r="D80" s="352"/>
      <c r="E80" s="293"/>
      <c r="F80" s="298"/>
      <c r="G80" s="352" t="s">
        <v>7215</v>
      </c>
      <c r="H80" s="293"/>
      <c r="I80" s="298"/>
      <c r="J80" s="323"/>
      <c r="K80" s="323"/>
      <c r="L80" s="298"/>
      <c r="M80" s="323"/>
      <c r="N80" s="323"/>
      <c r="O80" s="298"/>
      <c r="P80" s="323"/>
      <c r="Q80" s="323"/>
      <c r="R80" s="298"/>
      <c r="S80" s="367"/>
      <c r="T80" s="344"/>
      <c r="U80" s="298"/>
      <c r="V80" s="323"/>
      <c r="W80" s="323"/>
      <c r="X80" s="298"/>
      <c r="Y80" s="323"/>
      <c r="Z80" s="323"/>
      <c r="AA80" s="298"/>
      <c r="AB80" s="323"/>
      <c r="AC80" s="323"/>
      <c r="AD80" s="298"/>
      <c r="AE80" s="323"/>
      <c r="AF80" s="323"/>
      <c r="AG80" s="298"/>
      <c r="AH80" s="323"/>
      <c r="AI80" s="323"/>
      <c r="AJ80" s="298"/>
      <c r="AK80" s="323"/>
      <c r="AL80" s="323"/>
      <c r="AM80" s="298"/>
      <c r="AN80" s="323"/>
      <c r="AO80" s="323"/>
      <c r="AP80" s="298"/>
      <c r="AQ80" s="372"/>
      <c r="AR80" s="327"/>
      <c r="AS80" s="308" t="s">
        <v>7216</v>
      </c>
      <c r="AT80" s="308" t="s">
        <v>7217</v>
      </c>
      <c r="AU80" s="307"/>
      <c r="AV80" s="365"/>
      <c r="AW80" s="365"/>
      <c r="AX80" s="307"/>
      <c r="BA80" s="307"/>
      <c r="BC80" s="366"/>
      <c r="BD80" s="307"/>
      <c r="BG80" s="307"/>
    </row>
    <row r="81">
      <c r="A81" s="352"/>
      <c r="B81" s="293"/>
      <c r="C81" s="298"/>
      <c r="D81" s="352"/>
      <c r="E81" s="293"/>
      <c r="F81" s="298"/>
      <c r="G81" s="352" t="s">
        <v>7218</v>
      </c>
      <c r="H81" s="293"/>
      <c r="I81" s="298"/>
      <c r="J81" s="323"/>
      <c r="K81" s="323"/>
      <c r="L81" s="298"/>
      <c r="M81" s="323"/>
      <c r="N81" s="323"/>
      <c r="O81" s="298"/>
      <c r="P81" s="323"/>
      <c r="Q81" s="323"/>
      <c r="R81" s="298"/>
      <c r="S81" s="344"/>
      <c r="T81" s="344"/>
      <c r="U81" s="298"/>
      <c r="V81" s="323"/>
      <c r="W81" s="323"/>
      <c r="X81" s="298"/>
      <c r="Y81" s="323"/>
      <c r="Z81" s="323"/>
      <c r="AA81" s="298"/>
      <c r="AB81" s="323"/>
      <c r="AC81" s="323"/>
      <c r="AD81" s="298"/>
      <c r="AE81" s="323"/>
      <c r="AF81" s="323"/>
      <c r="AG81" s="298"/>
      <c r="AH81" s="323"/>
      <c r="AI81" s="323"/>
      <c r="AJ81" s="298"/>
      <c r="AK81" s="323"/>
      <c r="AL81" s="323"/>
      <c r="AM81" s="298"/>
      <c r="AN81" s="323"/>
      <c r="AO81" s="323"/>
      <c r="AP81" s="298"/>
      <c r="AQ81" s="312" t="s">
        <v>7219</v>
      </c>
      <c r="AR81" s="327"/>
      <c r="AS81" s="308" t="s">
        <v>7216</v>
      </c>
      <c r="AT81" s="308" t="s">
        <v>7220</v>
      </c>
      <c r="AU81" s="307"/>
      <c r="AV81" s="365"/>
      <c r="AW81" s="365"/>
      <c r="AX81" s="307"/>
      <c r="BA81" s="307"/>
      <c r="BC81" s="366"/>
      <c r="BD81" s="307"/>
      <c r="BG81" s="307"/>
    </row>
    <row r="82">
      <c r="B82" s="293"/>
      <c r="C82" s="298"/>
      <c r="E82" s="293"/>
      <c r="F82" s="298"/>
      <c r="H82" s="293"/>
      <c r="I82" s="298"/>
      <c r="J82" s="323"/>
      <c r="K82" s="323"/>
      <c r="L82" s="298"/>
      <c r="M82" s="323"/>
      <c r="N82" s="323"/>
      <c r="O82" s="298"/>
      <c r="P82" s="323"/>
      <c r="Q82" s="323"/>
      <c r="R82" s="298"/>
      <c r="S82" s="344"/>
      <c r="T82" s="344"/>
      <c r="U82" s="298"/>
      <c r="V82" s="323"/>
      <c r="W82" s="323"/>
      <c r="X82" s="298"/>
      <c r="Y82" s="323"/>
      <c r="Z82" s="323"/>
      <c r="AA82" s="298"/>
      <c r="AB82" s="323"/>
      <c r="AC82" s="323"/>
      <c r="AD82" s="298"/>
      <c r="AE82" s="323"/>
      <c r="AF82" s="323"/>
      <c r="AG82" s="298"/>
      <c r="AH82" s="323"/>
      <c r="AI82" s="323"/>
      <c r="AJ82" s="298"/>
      <c r="AK82" s="323"/>
      <c r="AL82" s="323"/>
      <c r="AM82" s="298"/>
      <c r="AN82" s="323"/>
      <c r="AO82" s="323"/>
      <c r="AP82" s="298"/>
      <c r="AQ82" s="312" t="s">
        <v>7221</v>
      </c>
      <c r="AR82" s="327"/>
      <c r="AS82" s="308" t="s">
        <v>7216</v>
      </c>
      <c r="AT82" s="308" t="s">
        <v>7222</v>
      </c>
      <c r="AU82" s="307"/>
      <c r="AV82" s="365"/>
      <c r="AW82" s="365"/>
      <c r="AX82" s="307"/>
      <c r="BA82" s="307"/>
      <c r="BC82" s="366"/>
      <c r="BD82" s="307"/>
      <c r="BG82" s="307"/>
    </row>
    <row r="83">
      <c r="A83" s="352"/>
      <c r="B83" s="293"/>
      <c r="C83" s="298"/>
      <c r="D83" s="352"/>
      <c r="E83" s="293"/>
      <c r="F83" s="298"/>
      <c r="G83" s="352" t="s">
        <v>3547</v>
      </c>
      <c r="H83" s="293"/>
      <c r="I83" s="298"/>
      <c r="J83" s="323"/>
      <c r="K83" s="323"/>
      <c r="L83" s="298"/>
      <c r="M83" s="323"/>
      <c r="N83" s="323"/>
      <c r="O83" s="298"/>
      <c r="P83" s="323"/>
      <c r="Q83" s="323"/>
      <c r="R83" s="298"/>
      <c r="S83" s="344"/>
      <c r="T83" s="344"/>
      <c r="U83" s="298"/>
      <c r="V83" s="323"/>
      <c r="W83" s="323"/>
      <c r="X83" s="298"/>
      <c r="Y83" s="323"/>
      <c r="Z83" s="323"/>
      <c r="AA83" s="298"/>
      <c r="AB83" s="323"/>
      <c r="AC83" s="323"/>
      <c r="AD83" s="298"/>
      <c r="AE83" s="323"/>
      <c r="AF83" s="323"/>
      <c r="AG83" s="298"/>
      <c r="AH83" s="323"/>
      <c r="AI83" s="323"/>
      <c r="AJ83" s="298"/>
      <c r="AK83" s="323"/>
      <c r="AL83" s="323"/>
      <c r="AM83" s="298"/>
      <c r="AN83" s="323"/>
      <c r="AO83" s="323"/>
      <c r="AP83" s="298"/>
      <c r="AQ83" s="312"/>
      <c r="AR83" s="327"/>
      <c r="AS83" s="308" t="s">
        <v>3709</v>
      </c>
      <c r="AT83" s="308" t="s">
        <v>7223</v>
      </c>
      <c r="AU83" s="307"/>
      <c r="AV83" s="365"/>
      <c r="AW83" s="365"/>
      <c r="AX83" s="307"/>
      <c r="BA83" s="307"/>
      <c r="BC83" s="366"/>
      <c r="BD83" s="307"/>
      <c r="BG83" s="307"/>
    </row>
    <row r="84">
      <c r="A84" s="352"/>
      <c r="B84" s="293"/>
      <c r="C84" s="298"/>
      <c r="D84" s="352"/>
      <c r="E84" s="293"/>
      <c r="F84" s="298"/>
      <c r="G84" s="352" t="s">
        <v>1817</v>
      </c>
      <c r="H84" s="293"/>
      <c r="I84" s="298"/>
      <c r="J84" s="323"/>
      <c r="K84" s="323"/>
      <c r="L84" s="298"/>
      <c r="M84" s="323"/>
      <c r="N84" s="323"/>
      <c r="O84" s="298"/>
      <c r="P84" s="323"/>
      <c r="Q84" s="323"/>
      <c r="R84" s="298"/>
      <c r="S84" s="344"/>
      <c r="T84" s="344"/>
      <c r="U84" s="298"/>
      <c r="V84" s="323"/>
      <c r="W84" s="323"/>
      <c r="X84" s="298"/>
      <c r="Y84" s="323"/>
      <c r="Z84" s="323"/>
      <c r="AA84" s="298"/>
      <c r="AB84" s="323"/>
      <c r="AC84" s="323"/>
      <c r="AD84" s="298"/>
      <c r="AE84" s="323"/>
      <c r="AF84" s="323"/>
      <c r="AG84" s="298"/>
      <c r="AH84" s="323"/>
      <c r="AI84" s="323"/>
      <c r="AJ84" s="298"/>
      <c r="AK84" s="323"/>
      <c r="AL84" s="323"/>
      <c r="AM84" s="298"/>
      <c r="AN84" s="323"/>
      <c r="AO84" s="323"/>
      <c r="AP84" s="298"/>
      <c r="AQ84" s="312"/>
      <c r="AR84" s="327"/>
      <c r="AS84" s="308" t="s">
        <v>3709</v>
      </c>
      <c r="AT84" s="308" t="s">
        <v>7224</v>
      </c>
      <c r="AU84" s="307"/>
      <c r="AV84" s="365"/>
      <c r="AW84" s="365"/>
      <c r="AX84" s="307"/>
      <c r="BA84" s="307"/>
      <c r="BC84" s="366"/>
      <c r="BD84" s="307"/>
      <c r="BG84" s="307"/>
    </row>
    <row r="85">
      <c r="A85" s="352"/>
      <c r="B85" s="293"/>
      <c r="C85" s="298"/>
      <c r="D85" s="352"/>
      <c r="E85" s="293"/>
      <c r="F85" s="298"/>
      <c r="G85" s="352" t="s">
        <v>7225</v>
      </c>
      <c r="H85" s="293"/>
      <c r="I85" s="298"/>
      <c r="J85" s="323"/>
      <c r="K85" s="323"/>
      <c r="L85" s="298"/>
      <c r="M85" s="323"/>
      <c r="N85" s="323"/>
      <c r="O85" s="298"/>
      <c r="P85" s="323"/>
      <c r="Q85" s="323"/>
      <c r="R85" s="298"/>
      <c r="S85" s="344"/>
      <c r="T85" s="344"/>
      <c r="U85" s="298"/>
      <c r="V85" s="323"/>
      <c r="W85" s="323"/>
      <c r="X85" s="298"/>
      <c r="Y85" s="323"/>
      <c r="Z85" s="323"/>
      <c r="AA85" s="298"/>
      <c r="AB85" s="323"/>
      <c r="AC85" s="323"/>
      <c r="AD85" s="298"/>
      <c r="AE85" s="323"/>
      <c r="AF85" s="323"/>
      <c r="AG85" s="298"/>
      <c r="AH85" s="323"/>
      <c r="AI85" s="323"/>
      <c r="AJ85" s="298"/>
      <c r="AK85" s="323"/>
      <c r="AL85" s="323"/>
      <c r="AM85" s="298"/>
      <c r="AN85" s="323"/>
      <c r="AO85" s="323"/>
      <c r="AP85" s="298"/>
      <c r="AQ85" s="312" t="s">
        <v>7226</v>
      </c>
      <c r="AR85" s="327"/>
      <c r="AS85" s="308" t="s">
        <v>7227</v>
      </c>
      <c r="AT85" s="308" t="s">
        <v>7228</v>
      </c>
      <c r="AU85" s="307"/>
      <c r="AV85" s="365"/>
      <c r="AW85" s="365"/>
      <c r="AX85" s="307"/>
      <c r="BA85" s="307"/>
      <c r="BC85" s="366"/>
      <c r="BD85" s="307"/>
      <c r="BG85" s="307"/>
    </row>
    <row r="86">
      <c r="A86" s="352"/>
      <c r="B86" s="293"/>
      <c r="C86" s="298"/>
      <c r="D86" s="352"/>
      <c r="E86" s="293"/>
      <c r="F86" s="298"/>
      <c r="G86" s="352" t="s">
        <v>7229</v>
      </c>
      <c r="H86" s="293"/>
      <c r="I86" s="298"/>
      <c r="J86" s="323"/>
      <c r="K86" s="323"/>
      <c r="L86" s="298"/>
      <c r="M86" s="323"/>
      <c r="N86" s="323"/>
      <c r="O86" s="298"/>
      <c r="P86" s="323"/>
      <c r="Q86" s="323"/>
      <c r="R86" s="298"/>
      <c r="S86" s="344"/>
      <c r="T86" s="344"/>
      <c r="U86" s="298"/>
      <c r="V86" s="323"/>
      <c r="W86" s="323"/>
      <c r="X86" s="298"/>
      <c r="Y86" s="323"/>
      <c r="Z86" s="323"/>
      <c r="AA86" s="298"/>
      <c r="AB86" s="323"/>
      <c r="AC86" s="323"/>
      <c r="AD86" s="298"/>
      <c r="AE86" s="323"/>
      <c r="AF86" s="323"/>
      <c r="AG86" s="298"/>
      <c r="AH86" s="323"/>
      <c r="AI86" s="323"/>
      <c r="AJ86" s="298"/>
      <c r="AK86" s="323"/>
      <c r="AL86" s="323"/>
      <c r="AM86" s="298"/>
      <c r="AN86" s="323"/>
      <c r="AO86" s="323"/>
      <c r="AP86" s="298"/>
      <c r="AQ86" s="293" t="s">
        <v>7080</v>
      </c>
      <c r="AR86" s="327"/>
      <c r="AT86" s="300" t="s">
        <v>7230</v>
      </c>
      <c r="AU86" s="307"/>
      <c r="AX86" s="307"/>
      <c r="BA86" s="307"/>
      <c r="BC86" s="366"/>
      <c r="BD86" s="307"/>
      <c r="BG86" s="307"/>
    </row>
    <row r="87">
      <c r="A87" s="352"/>
      <c r="B87" s="293"/>
      <c r="C87" s="298"/>
      <c r="D87" s="352"/>
      <c r="E87" s="293"/>
      <c r="F87" s="298"/>
      <c r="G87" s="352" t="s">
        <v>1603</v>
      </c>
      <c r="H87" s="293"/>
      <c r="I87" s="298"/>
      <c r="J87" s="323"/>
      <c r="K87" s="323"/>
      <c r="L87" s="298"/>
      <c r="M87" s="323"/>
      <c r="N87" s="323"/>
      <c r="O87" s="298"/>
      <c r="P87" s="323"/>
      <c r="Q87" s="323"/>
      <c r="R87" s="298"/>
      <c r="S87" s="344"/>
      <c r="T87" s="344"/>
      <c r="U87" s="298"/>
      <c r="V87" s="323"/>
      <c r="W87" s="323"/>
      <c r="X87" s="298"/>
      <c r="Y87" s="323"/>
      <c r="Z87" s="323"/>
      <c r="AA87" s="298"/>
      <c r="AB87" s="323"/>
      <c r="AC87" s="323"/>
      <c r="AD87" s="298"/>
      <c r="AE87" s="323"/>
      <c r="AF87" s="323"/>
      <c r="AG87" s="298"/>
      <c r="AH87" s="323"/>
      <c r="AI87" s="323"/>
      <c r="AJ87" s="298"/>
      <c r="AK87" s="323"/>
      <c r="AL87" s="323"/>
      <c r="AM87" s="298"/>
      <c r="AN87" s="323"/>
      <c r="AO87" s="323"/>
      <c r="AP87" s="298"/>
      <c r="AQ87" s="293" t="s">
        <v>7231</v>
      </c>
      <c r="AR87" s="327"/>
      <c r="AT87" s="309" t="s">
        <v>7232</v>
      </c>
      <c r="AU87" s="307"/>
      <c r="AX87" s="307"/>
      <c r="BA87" s="307"/>
      <c r="BC87" s="366"/>
      <c r="BD87" s="307"/>
      <c r="BG87" s="307"/>
    </row>
    <row r="88">
      <c r="A88" s="352"/>
      <c r="B88" s="293"/>
      <c r="C88" s="298"/>
      <c r="D88" s="352"/>
      <c r="E88" s="293"/>
      <c r="F88" s="298"/>
      <c r="G88" s="352" t="s">
        <v>632</v>
      </c>
      <c r="H88" s="293"/>
      <c r="I88" s="298"/>
      <c r="J88" s="323"/>
      <c r="K88" s="323"/>
      <c r="L88" s="298"/>
      <c r="M88" s="323"/>
      <c r="N88" s="323"/>
      <c r="O88" s="298"/>
      <c r="P88" s="323"/>
      <c r="Q88" s="323"/>
      <c r="R88" s="298"/>
      <c r="S88" s="344"/>
      <c r="T88" s="344"/>
      <c r="U88" s="298"/>
      <c r="V88" s="323"/>
      <c r="W88" s="323"/>
      <c r="X88" s="298"/>
      <c r="Y88" s="323"/>
      <c r="Z88" s="323"/>
      <c r="AA88" s="298"/>
      <c r="AB88" s="323"/>
      <c r="AC88" s="323"/>
      <c r="AD88" s="298"/>
      <c r="AE88" s="323"/>
      <c r="AF88" s="323"/>
      <c r="AG88" s="298"/>
      <c r="AH88" s="323"/>
      <c r="AI88" s="323"/>
      <c r="AJ88" s="298"/>
      <c r="AK88" s="323"/>
      <c r="AL88" s="323"/>
      <c r="AM88" s="298"/>
      <c r="AN88" s="323"/>
      <c r="AO88" s="323"/>
      <c r="AP88" s="298"/>
      <c r="AQ88" s="293" t="s">
        <v>7233</v>
      </c>
      <c r="AR88" s="327"/>
      <c r="AS88" s="300" t="s">
        <v>7234</v>
      </c>
      <c r="AT88" s="300" t="s">
        <v>7235</v>
      </c>
      <c r="AU88" s="307"/>
      <c r="AX88" s="307"/>
      <c r="BA88" s="307"/>
      <c r="BC88" s="366"/>
      <c r="BD88" s="307"/>
      <c r="BG88" s="307"/>
    </row>
    <row r="89">
      <c r="A89" s="352"/>
      <c r="B89" s="293"/>
      <c r="C89" s="298"/>
      <c r="D89" s="352"/>
      <c r="E89" s="293"/>
      <c r="F89" s="298"/>
      <c r="G89" s="352" t="s">
        <v>332</v>
      </c>
      <c r="H89" s="293"/>
      <c r="I89" s="298"/>
      <c r="J89" s="323"/>
      <c r="K89" s="323"/>
      <c r="L89" s="298"/>
      <c r="M89" s="323"/>
      <c r="N89" s="323"/>
      <c r="O89" s="298"/>
      <c r="P89" s="323"/>
      <c r="Q89" s="323"/>
      <c r="R89" s="298"/>
      <c r="S89" s="344"/>
      <c r="T89" s="344"/>
      <c r="U89" s="298"/>
      <c r="V89" s="323"/>
      <c r="W89" s="323"/>
      <c r="X89" s="298"/>
      <c r="Y89" s="323"/>
      <c r="Z89" s="323"/>
      <c r="AA89" s="298"/>
      <c r="AB89" s="323"/>
      <c r="AC89" s="323"/>
      <c r="AD89" s="298"/>
      <c r="AE89" s="323"/>
      <c r="AF89" s="323"/>
      <c r="AG89" s="298"/>
      <c r="AH89" s="323"/>
      <c r="AI89" s="323"/>
      <c r="AJ89" s="298"/>
      <c r="AK89" s="323"/>
      <c r="AL89" s="323"/>
      <c r="AM89" s="298"/>
      <c r="AN89" s="323"/>
      <c r="AO89" s="323"/>
      <c r="AP89" s="298"/>
      <c r="AQ89" s="295" t="s">
        <v>7236</v>
      </c>
      <c r="AR89" s="327"/>
      <c r="AS89" s="300" t="s">
        <v>474</v>
      </c>
      <c r="AT89" s="326" t="s">
        <v>7237</v>
      </c>
      <c r="AU89" s="307"/>
      <c r="AX89" s="307"/>
      <c r="BA89" s="307"/>
      <c r="BC89" s="366"/>
      <c r="BD89" s="307"/>
      <c r="BG89" s="307"/>
    </row>
    <row r="90">
      <c r="B90" s="293"/>
      <c r="C90" s="298"/>
      <c r="E90" s="293"/>
      <c r="F90" s="298"/>
      <c r="H90" s="293"/>
      <c r="I90" s="298"/>
      <c r="J90" s="323"/>
      <c r="K90" s="323"/>
      <c r="L90" s="298"/>
      <c r="M90" s="323"/>
      <c r="N90" s="323"/>
      <c r="O90" s="298"/>
      <c r="P90" s="323"/>
      <c r="Q90" s="323"/>
      <c r="R90" s="298"/>
      <c r="S90" s="344"/>
      <c r="T90" s="344"/>
      <c r="U90" s="298"/>
      <c r="V90" s="323"/>
      <c r="W90" s="323"/>
      <c r="X90" s="298"/>
      <c r="Y90" s="323"/>
      <c r="Z90" s="323"/>
      <c r="AA90" s="298"/>
      <c r="AB90" s="323"/>
      <c r="AC90" s="323"/>
      <c r="AD90" s="298"/>
      <c r="AE90" s="323"/>
      <c r="AF90" s="323"/>
      <c r="AG90" s="298"/>
      <c r="AH90" s="323"/>
      <c r="AI90" s="323"/>
      <c r="AJ90" s="298"/>
      <c r="AK90" s="323"/>
      <c r="AL90" s="323"/>
      <c r="AM90" s="298"/>
      <c r="AN90" s="323"/>
      <c r="AO90" s="323"/>
      <c r="AP90" s="298"/>
      <c r="AQ90" s="293"/>
      <c r="AR90" s="327"/>
      <c r="AS90" s="300" t="s">
        <v>7238</v>
      </c>
      <c r="AT90" s="373" t="s">
        <v>7239</v>
      </c>
      <c r="AU90" s="307"/>
      <c r="AX90" s="307"/>
      <c r="BA90" s="307"/>
      <c r="BC90" s="366"/>
      <c r="BD90" s="307"/>
      <c r="BG90" s="307"/>
    </row>
    <row r="91">
      <c r="A91" s="352"/>
      <c r="B91" s="293"/>
      <c r="C91" s="298"/>
      <c r="D91" s="352"/>
      <c r="E91" s="293"/>
      <c r="F91" s="298"/>
      <c r="G91" s="352" t="s">
        <v>7240</v>
      </c>
      <c r="H91" s="293"/>
      <c r="I91" s="298"/>
      <c r="J91" s="323"/>
      <c r="K91" s="323"/>
      <c r="L91" s="298"/>
      <c r="M91" s="323"/>
      <c r="N91" s="323"/>
      <c r="O91" s="298"/>
      <c r="P91" s="323"/>
      <c r="Q91" s="323"/>
      <c r="R91" s="298"/>
      <c r="S91" s="344"/>
      <c r="T91" s="344"/>
      <c r="U91" s="298"/>
      <c r="V91" s="323"/>
      <c r="W91" s="323"/>
      <c r="X91" s="298"/>
      <c r="Y91" s="323"/>
      <c r="Z91" s="323"/>
      <c r="AA91" s="298"/>
      <c r="AB91" s="323"/>
      <c r="AC91" s="323"/>
      <c r="AD91" s="298"/>
      <c r="AE91" s="323"/>
      <c r="AF91" s="323"/>
      <c r="AG91" s="298"/>
      <c r="AH91" s="323"/>
      <c r="AI91" s="323"/>
      <c r="AJ91" s="298"/>
      <c r="AK91" s="323"/>
      <c r="AL91" s="323"/>
      <c r="AM91" s="298"/>
      <c r="AN91" s="323"/>
      <c r="AO91" s="323"/>
      <c r="AP91" s="298"/>
      <c r="AQ91" s="317" t="s">
        <v>7241</v>
      </c>
      <c r="AR91" s="327"/>
      <c r="AS91" s="300" t="s">
        <v>7242</v>
      </c>
      <c r="AT91" s="343" t="s">
        <v>7243</v>
      </c>
      <c r="AU91" s="307"/>
      <c r="AX91" s="307"/>
      <c r="BA91" s="307"/>
      <c r="BC91" s="366"/>
      <c r="BD91" s="307"/>
      <c r="BG91" s="307"/>
    </row>
    <row r="92">
      <c r="B92" s="293"/>
      <c r="C92" s="298"/>
      <c r="E92" s="293"/>
      <c r="F92" s="298"/>
      <c r="H92" s="293"/>
      <c r="I92" s="298"/>
      <c r="J92" s="323"/>
      <c r="K92" s="323"/>
      <c r="L92" s="298"/>
      <c r="M92" s="323"/>
      <c r="N92" s="323"/>
      <c r="O92" s="298"/>
      <c r="P92" s="323"/>
      <c r="Q92" s="323"/>
      <c r="R92" s="298"/>
      <c r="S92" s="344"/>
      <c r="T92" s="344"/>
      <c r="U92" s="298"/>
      <c r="V92" s="323"/>
      <c r="W92" s="323"/>
      <c r="X92" s="298"/>
      <c r="Y92" s="323"/>
      <c r="Z92" s="323"/>
      <c r="AA92" s="298"/>
      <c r="AB92" s="323"/>
      <c r="AC92" s="323"/>
      <c r="AD92" s="298"/>
      <c r="AE92" s="323"/>
      <c r="AF92" s="323"/>
      <c r="AG92" s="298"/>
      <c r="AH92" s="323"/>
      <c r="AI92" s="323"/>
      <c r="AJ92" s="298"/>
      <c r="AK92" s="323"/>
      <c r="AL92" s="323"/>
      <c r="AM92" s="298"/>
      <c r="AN92" s="323"/>
      <c r="AO92" s="323"/>
      <c r="AP92" s="298"/>
      <c r="AQ92" s="293" t="s">
        <v>7244</v>
      </c>
      <c r="AR92" s="327"/>
      <c r="AS92" s="300" t="s">
        <v>7245</v>
      </c>
      <c r="AT92" s="309" t="s">
        <v>7246</v>
      </c>
      <c r="AU92" s="307"/>
      <c r="AX92" s="307"/>
      <c r="BA92" s="307"/>
      <c r="BC92" s="366"/>
      <c r="BD92" s="307"/>
      <c r="BG92" s="307"/>
    </row>
    <row r="93">
      <c r="A93" s="352"/>
      <c r="B93" s="293"/>
      <c r="C93" s="298"/>
      <c r="D93" s="352"/>
      <c r="E93" s="293"/>
      <c r="F93" s="298"/>
      <c r="G93" s="352" t="s">
        <v>7247</v>
      </c>
      <c r="H93" s="293"/>
      <c r="I93" s="298"/>
      <c r="J93" s="323"/>
      <c r="K93" s="323"/>
      <c r="L93" s="298"/>
      <c r="M93" s="323"/>
      <c r="N93" s="323"/>
      <c r="O93" s="298"/>
      <c r="P93" s="323"/>
      <c r="Q93" s="323"/>
      <c r="R93" s="298"/>
      <c r="S93" s="344"/>
      <c r="T93" s="344"/>
      <c r="U93" s="298"/>
      <c r="V93" s="323"/>
      <c r="W93" s="323"/>
      <c r="X93" s="298"/>
      <c r="Y93" s="323"/>
      <c r="Z93" s="323"/>
      <c r="AA93" s="298"/>
      <c r="AB93" s="323"/>
      <c r="AC93" s="323"/>
      <c r="AD93" s="298"/>
      <c r="AE93" s="323"/>
      <c r="AF93" s="323"/>
      <c r="AG93" s="298"/>
      <c r="AH93" s="323"/>
      <c r="AI93" s="323"/>
      <c r="AJ93" s="298"/>
      <c r="AK93" s="323"/>
      <c r="AL93" s="323"/>
      <c r="AM93" s="298"/>
      <c r="AN93" s="323"/>
      <c r="AO93" s="323"/>
      <c r="AP93" s="298"/>
      <c r="AQ93" s="293" t="s">
        <v>7248</v>
      </c>
      <c r="AR93" s="327"/>
      <c r="AS93" s="300" t="s">
        <v>7249</v>
      </c>
      <c r="AT93" s="300" t="s">
        <v>7250</v>
      </c>
      <c r="AU93" s="307"/>
      <c r="AX93" s="307"/>
      <c r="BA93" s="307"/>
      <c r="BC93" s="366"/>
      <c r="BD93" s="307"/>
      <c r="BG93" s="307"/>
    </row>
    <row r="94">
      <c r="A94" s="352"/>
      <c r="B94" s="293"/>
      <c r="C94" s="298"/>
      <c r="D94" s="352"/>
      <c r="E94" s="293"/>
      <c r="F94" s="298"/>
      <c r="G94" s="352" t="s">
        <v>7251</v>
      </c>
      <c r="H94" s="293"/>
      <c r="I94" s="298"/>
      <c r="J94" s="323"/>
      <c r="K94" s="323"/>
      <c r="L94" s="298"/>
      <c r="M94" s="323"/>
      <c r="N94" s="323"/>
      <c r="O94" s="298"/>
      <c r="P94" s="323"/>
      <c r="Q94" s="323"/>
      <c r="R94" s="298"/>
      <c r="S94" s="344"/>
      <c r="T94" s="344"/>
      <c r="U94" s="298"/>
      <c r="V94" s="323"/>
      <c r="W94" s="323"/>
      <c r="X94" s="298"/>
      <c r="Y94" s="323"/>
      <c r="Z94" s="323"/>
      <c r="AA94" s="298"/>
      <c r="AB94" s="323"/>
      <c r="AC94" s="323"/>
      <c r="AD94" s="298"/>
      <c r="AE94" s="323"/>
      <c r="AF94" s="323"/>
      <c r="AG94" s="298"/>
      <c r="AH94" s="323"/>
      <c r="AI94" s="323"/>
      <c r="AJ94" s="298"/>
      <c r="AK94" s="323"/>
      <c r="AL94" s="323"/>
      <c r="AM94" s="298"/>
      <c r="AN94" s="323"/>
      <c r="AO94" s="323"/>
      <c r="AP94" s="298"/>
      <c r="AQ94" s="293" t="s">
        <v>7252</v>
      </c>
      <c r="AR94" s="327"/>
      <c r="AS94" s="300" t="s">
        <v>900</v>
      </c>
      <c r="AT94" s="343" t="s">
        <v>7253</v>
      </c>
      <c r="AU94" s="307"/>
      <c r="AX94" s="307"/>
      <c r="BA94" s="307"/>
      <c r="BC94" s="366"/>
      <c r="BD94" s="307"/>
      <c r="BG94" s="307"/>
    </row>
    <row r="95">
      <c r="B95" s="293"/>
      <c r="C95" s="298"/>
      <c r="E95" s="293"/>
      <c r="F95" s="298"/>
      <c r="H95" s="293"/>
      <c r="I95" s="298"/>
      <c r="J95" s="323"/>
      <c r="K95" s="323"/>
      <c r="L95" s="298"/>
      <c r="M95" s="323"/>
      <c r="N95" s="323"/>
      <c r="O95" s="298"/>
      <c r="P95" s="323"/>
      <c r="Q95" s="323"/>
      <c r="R95" s="298"/>
      <c r="S95" s="323"/>
      <c r="T95" s="323"/>
      <c r="U95" s="298"/>
      <c r="V95" s="323"/>
      <c r="W95" s="323"/>
      <c r="X95" s="298"/>
      <c r="Y95" s="323"/>
      <c r="Z95" s="323"/>
      <c r="AA95" s="298"/>
      <c r="AB95" s="323"/>
      <c r="AC95" s="323"/>
      <c r="AD95" s="298"/>
      <c r="AE95" s="323"/>
      <c r="AF95" s="323"/>
      <c r="AG95" s="298"/>
      <c r="AH95" s="323"/>
      <c r="AI95" s="323"/>
      <c r="AJ95" s="298"/>
      <c r="AK95" s="323"/>
      <c r="AL95" s="323"/>
      <c r="AM95" s="298"/>
      <c r="AN95" s="323"/>
      <c r="AO95" s="323"/>
      <c r="AP95" s="298"/>
      <c r="AQ95" s="293" t="s">
        <v>7254</v>
      </c>
      <c r="AR95" s="327"/>
      <c r="AT95" s="300" t="s">
        <v>7255</v>
      </c>
      <c r="AU95" s="307"/>
      <c r="AX95" s="307"/>
      <c r="BA95" s="307"/>
      <c r="BC95" s="366"/>
      <c r="BD95" s="307"/>
      <c r="BG95" s="307"/>
    </row>
    <row r="96">
      <c r="A96" s="352"/>
      <c r="B96" s="293"/>
      <c r="C96" s="298"/>
      <c r="D96" s="352"/>
      <c r="E96" s="293"/>
      <c r="F96" s="298"/>
      <c r="G96" s="352" t="s">
        <v>1683</v>
      </c>
      <c r="H96" s="293"/>
      <c r="I96" s="298"/>
      <c r="J96" s="323"/>
      <c r="K96" s="323"/>
      <c r="L96" s="298"/>
      <c r="M96" s="323"/>
      <c r="N96" s="323"/>
      <c r="O96" s="298"/>
      <c r="P96" s="323"/>
      <c r="Q96" s="323"/>
      <c r="R96" s="298"/>
      <c r="S96" s="323"/>
      <c r="T96" s="323"/>
      <c r="U96" s="298"/>
      <c r="V96" s="323"/>
      <c r="W96" s="323"/>
      <c r="X96" s="298"/>
      <c r="Y96" s="323"/>
      <c r="Z96" s="323"/>
      <c r="AA96" s="298"/>
      <c r="AB96" s="323"/>
      <c r="AC96" s="323"/>
      <c r="AD96" s="298"/>
      <c r="AE96" s="323"/>
      <c r="AF96" s="323"/>
      <c r="AG96" s="298"/>
      <c r="AH96" s="323"/>
      <c r="AI96" s="323"/>
      <c r="AJ96" s="298"/>
      <c r="AK96" s="323"/>
      <c r="AL96" s="323"/>
      <c r="AM96" s="298"/>
      <c r="AN96" s="323"/>
      <c r="AO96" s="323"/>
      <c r="AP96" s="298"/>
      <c r="AQ96" s="293" t="s">
        <v>7256</v>
      </c>
      <c r="AR96" s="327"/>
      <c r="AU96" s="307"/>
      <c r="AX96" s="307"/>
      <c r="BA96" s="307"/>
      <c r="BC96" s="366"/>
      <c r="BD96" s="307"/>
      <c r="BG96" s="307"/>
    </row>
    <row r="97">
      <c r="A97" s="352"/>
      <c r="B97" s="293"/>
      <c r="C97" s="298"/>
      <c r="D97" s="352"/>
      <c r="E97" s="293"/>
      <c r="F97" s="298"/>
      <c r="G97" s="352" t="s">
        <v>7257</v>
      </c>
      <c r="H97" s="293"/>
      <c r="I97" s="298"/>
      <c r="J97" s="323"/>
      <c r="K97" s="323"/>
      <c r="L97" s="298"/>
      <c r="M97" s="323"/>
      <c r="N97" s="323"/>
      <c r="O97" s="298"/>
      <c r="P97" s="323"/>
      <c r="Q97" s="323"/>
      <c r="R97" s="298"/>
      <c r="S97" s="323"/>
      <c r="T97" s="323"/>
      <c r="U97" s="298"/>
      <c r="V97" s="323"/>
      <c r="W97" s="323"/>
      <c r="X97" s="298"/>
      <c r="Y97" s="323"/>
      <c r="Z97" s="323"/>
      <c r="AA97" s="298"/>
      <c r="AB97" s="323"/>
      <c r="AC97" s="323"/>
      <c r="AD97" s="298"/>
      <c r="AE97" s="323"/>
      <c r="AF97" s="323"/>
      <c r="AG97" s="298"/>
      <c r="AH97" s="323"/>
      <c r="AI97" s="323"/>
      <c r="AJ97" s="298"/>
      <c r="AK97" s="323"/>
      <c r="AL97" s="323"/>
      <c r="AM97" s="298"/>
      <c r="AN97" s="323"/>
      <c r="AO97" s="323"/>
      <c r="AP97" s="298"/>
      <c r="AQ97" s="293" t="s">
        <v>7258</v>
      </c>
      <c r="AR97" s="327"/>
      <c r="AU97" s="307"/>
      <c r="AX97" s="307"/>
      <c r="BA97" s="307"/>
      <c r="BC97" s="366"/>
      <c r="BD97" s="307"/>
      <c r="BG97" s="307"/>
    </row>
    <row r="98">
      <c r="A98" s="352"/>
      <c r="B98" s="293"/>
      <c r="C98" s="298"/>
      <c r="D98" s="352"/>
      <c r="E98" s="293"/>
      <c r="F98" s="298"/>
      <c r="G98" s="352" t="s">
        <v>7259</v>
      </c>
      <c r="H98" s="293"/>
      <c r="I98" s="298"/>
      <c r="J98" s="323"/>
      <c r="K98" s="323"/>
      <c r="L98" s="298"/>
      <c r="M98" s="323"/>
      <c r="N98" s="323"/>
      <c r="O98" s="298"/>
      <c r="P98" s="323"/>
      <c r="Q98" s="323"/>
      <c r="R98" s="298"/>
      <c r="S98" s="323"/>
      <c r="T98" s="323"/>
      <c r="U98" s="298"/>
      <c r="V98" s="323"/>
      <c r="W98" s="323"/>
      <c r="X98" s="298"/>
      <c r="Y98" s="323"/>
      <c r="Z98" s="323"/>
      <c r="AA98" s="298"/>
      <c r="AB98" s="323"/>
      <c r="AC98" s="323"/>
      <c r="AD98" s="298"/>
      <c r="AE98" s="323"/>
      <c r="AF98" s="323"/>
      <c r="AG98" s="298"/>
      <c r="AH98" s="323"/>
      <c r="AI98" s="323"/>
      <c r="AJ98" s="298"/>
      <c r="AK98" s="323"/>
      <c r="AL98" s="323"/>
      <c r="AM98" s="298"/>
      <c r="AN98" s="323"/>
      <c r="AO98" s="323"/>
      <c r="AP98" s="298"/>
      <c r="AQ98" s="293" t="s">
        <v>7260</v>
      </c>
      <c r="AR98" s="327"/>
      <c r="AS98" s="300" t="s">
        <v>7261</v>
      </c>
      <c r="AT98" s="300" t="s">
        <v>7262</v>
      </c>
      <c r="AU98" s="307"/>
      <c r="AX98" s="307"/>
      <c r="BA98" s="307"/>
      <c r="BC98" s="366"/>
      <c r="BD98" s="307"/>
      <c r="BG98" s="307"/>
    </row>
    <row r="99">
      <c r="A99" s="352"/>
      <c r="B99" s="293"/>
      <c r="C99" s="298"/>
      <c r="D99" s="352"/>
      <c r="E99" s="293"/>
      <c r="F99" s="298"/>
      <c r="G99" s="352" t="s">
        <v>7263</v>
      </c>
      <c r="H99" s="293"/>
      <c r="I99" s="298"/>
      <c r="J99" s="323"/>
      <c r="K99" s="323"/>
      <c r="L99" s="298"/>
      <c r="M99" s="323"/>
      <c r="N99" s="323"/>
      <c r="O99" s="298"/>
      <c r="P99" s="323"/>
      <c r="Q99" s="323"/>
      <c r="R99" s="298"/>
      <c r="S99" s="323"/>
      <c r="T99" s="323"/>
      <c r="U99" s="298"/>
      <c r="V99" s="323"/>
      <c r="W99" s="323"/>
      <c r="X99" s="298"/>
      <c r="Y99" s="323"/>
      <c r="Z99" s="323"/>
      <c r="AA99" s="298"/>
      <c r="AB99" s="323"/>
      <c r="AC99" s="323"/>
      <c r="AD99" s="298"/>
      <c r="AE99" s="323"/>
      <c r="AF99" s="323"/>
      <c r="AG99" s="298"/>
      <c r="AH99" s="323"/>
      <c r="AI99" s="323"/>
      <c r="AJ99" s="298"/>
      <c r="AK99" s="323"/>
      <c r="AL99" s="323"/>
      <c r="AM99" s="298"/>
      <c r="AN99" s="323"/>
      <c r="AO99" s="323"/>
      <c r="AP99" s="298"/>
      <c r="AQ99" s="293" t="s">
        <v>7264</v>
      </c>
      <c r="AR99" s="327"/>
      <c r="AU99" s="307"/>
      <c r="AX99" s="307"/>
      <c r="BA99" s="307"/>
      <c r="BC99" s="366"/>
      <c r="BD99" s="307"/>
      <c r="BG99" s="307"/>
    </row>
    <row r="100">
      <c r="A100" s="352"/>
      <c r="B100" s="293"/>
      <c r="C100" s="298"/>
      <c r="D100" s="352"/>
      <c r="E100" s="293"/>
      <c r="F100" s="298"/>
      <c r="G100" s="352" t="s">
        <v>7265</v>
      </c>
      <c r="H100" s="293"/>
      <c r="I100" s="298"/>
      <c r="J100" s="323"/>
      <c r="K100" s="323"/>
      <c r="L100" s="298"/>
      <c r="M100" s="323"/>
      <c r="N100" s="323"/>
      <c r="O100" s="298"/>
      <c r="P100" s="323"/>
      <c r="Q100" s="323"/>
      <c r="R100" s="298"/>
      <c r="S100" s="323"/>
      <c r="T100" s="323"/>
      <c r="U100" s="298"/>
      <c r="V100" s="323"/>
      <c r="W100" s="323"/>
      <c r="X100" s="298"/>
      <c r="Y100" s="323"/>
      <c r="Z100" s="323"/>
      <c r="AA100" s="298"/>
      <c r="AB100" s="323"/>
      <c r="AC100" s="323"/>
      <c r="AD100" s="298"/>
      <c r="AE100" s="323"/>
      <c r="AF100" s="323"/>
      <c r="AG100" s="298"/>
      <c r="AH100" s="323"/>
      <c r="AI100" s="323"/>
      <c r="AJ100" s="298"/>
      <c r="AK100" s="323"/>
      <c r="AL100" s="323"/>
      <c r="AM100" s="298"/>
      <c r="AN100" s="323"/>
      <c r="AO100" s="323"/>
      <c r="AP100" s="298"/>
      <c r="AQ100" s="293" t="s">
        <v>7266</v>
      </c>
      <c r="AR100" s="327"/>
      <c r="AU100" s="307"/>
      <c r="AX100" s="307"/>
      <c r="BA100" s="307"/>
      <c r="BC100" s="366"/>
      <c r="BD100" s="307"/>
      <c r="BG100" s="307"/>
    </row>
    <row r="101">
      <c r="A101" s="352"/>
      <c r="B101" s="293"/>
      <c r="C101" s="298"/>
      <c r="D101" s="352"/>
      <c r="E101" s="293"/>
      <c r="F101" s="298"/>
      <c r="G101" s="352" t="s">
        <v>7267</v>
      </c>
      <c r="H101" s="293"/>
      <c r="I101" s="298"/>
      <c r="J101" s="323"/>
      <c r="K101" s="323"/>
      <c r="L101" s="298"/>
      <c r="M101" s="323"/>
      <c r="N101" s="323"/>
      <c r="O101" s="298"/>
      <c r="P101" s="323"/>
      <c r="Q101" s="323"/>
      <c r="R101" s="298"/>
      <c r="S101" s="323"/>
      <c r="T101" s="323"/>
      <c r="U101" s="298"/>
      <c r="V101" s="323"/>
      <c r="W101" s="323"/>
      <c r="X101" s="298"/>
      <c r="Y101" s="323"/>
      <c r="Z101" s="323"/>
      <c r="AA101" s="298"/>
      <c r="AB101" s="323"/>
      <c r="AC101" s="323"/>
      <c r="AD101" s="298"/>
      <c r="AE101" s="323"/>
      <c r="AF101" s="323"/>
      <c r="AG101" s="298"/>
      <c r="AH101" s="323"/>
      <c r="AI101" s="323"/>
      <c r="AJ101" s="298"/>
      <c r="AK101" s="323"/>
      <c r="AL101" s="323"/>
      <c r="AM101" s="298"/>
      <c r="AN101" s="323"/>
      <c r="AO101" s="323"/>
      <c r="AP101" s="298"/>
      <c r="AQ101" s="293" t="s">
        <v>7268</v>
      </c>
      <c r="AR101" s="327"/>
      <c r="AU101" s="307"/>
      <c r="AX101" s="307"/>
      <c r="BA101" s="307"/>
      <c r="BC101" s="366"/>
      <c r="BD101" s="307"/>
      <c r="BG101" s="307"/>
    </row>
    <row r="102">
      <c r="A102" s="352"/>
      <c r="B102" s="293"/>
      <c r="C102" s="298"/>
      <c r="D102" s="352"/>
      <c r="E102" s="293"/>
      <c r="F102" s="298"/>
      <c r="G102" s="352" t="s">
        <v>7269</v>
      </c>
      <c r="H102" s="293"/>
      <c r="I102" s="298"/>
      <c r="J102" s="323"/>
      <c r="K102" s="323"/>
      <c r="L102" s="298"/>
      <c r="M102" s="323"/>
      <c r="N102" s="323"/>
      <c r="O102" s="298"/>
      <c r="P102" s="323"/>
      <c r="Q102" s="323"/>
      <c r="R102" s="298"/>
      <c r="S102" s="323"/>
      <c r="T102" s="323"/>
      <c r="U102" s="298"/>
      <c r="V102" s="323"/>
      <c r="W102" s="323"/>
      <c r="X102" s="298"/>
      <c r="Y102" s="323"/>
      <c r="Z102" s="323"/>
      <c r="AA102" s="298"/>
      <c r="AB102" s="323"/>
      <c r="AC102" s="323"/>
      <c r="AD102" s="298"/>
      <c r="AE102" s="323"/>
      <c r="AF102" s="323"/>
      <c r="AG102" s="298"/>
      <c r="AH102" s="323"/>
      <c r="AI102" s="323"/>
      <c r="AJ102" s="298"/>
      <c r="AK102" s="323"/>
      <c r="AL102" s="323"/>
      <c r="AM102" s="298"/>
      <c r="AN102" s="323"/>
      <c r="AO102" s="323"/>
      <c r="AP102" s="298"/>
      <c r="AQ102" s="293" t="s">
        <v>7270</v>
      </c>
      <c r="AR102" s="327"/>
      <c r="AU102" s="307"/>
      <c r="AX102" s="307"/>
      <c r="BA102" s="307"/>
      <c r="BC102" s="366"/>
      <c r="BD102" s="307"/>
      <c r="BG102" s="307"/>
    </row>
    <row r="103">
      <c r="A103" s="352"/>
      <c r="B103" s="293"/>
      <c r="C103" s="298"/>
      <c r="D103" s="352"/>
      <c r="E103" s="293"/>
      <c r="F103" s="298"/>
      <c r="G103" s="352" t="s">
        <v>7271</v>
      </c>
      <c r="H103" s="293"/>
      <c r="I103" s="298"/>
      <c r="J103" s="323"/>
      <c r="K103" s="323"/>
      <c r="L103" s="298"/>
      <c r="M103" s="323"/>
      <c r="N103" s="323"/>
      <c r="O103" s="298"/>
      <c r="P103" s="323"/>
      <c r="Q103" s="323"/>
      <c r="R103" s="298"/>
      <c r="S103" s="323"/>
      <c r="T103" s="323"/>
      <c r="U103" s="298"/>
      <c r="V103" s="323"/>
      <c r="W103" s="323"/>
      <c r="X103" s="298"/>
      <c r="Y103" s="323"/>
      <c r="Z103" s="323"/>
      <c r="AA103" s="298"/>
      <c r="AB103" s="323"/>
      <c r="AC103" s="323"/>
      <c r="AD103" s="298"/>
      <c r="AE103" s="323"/>
      <c r="AF103" s="323"/>
      <c r="AG103" s="298"/>
      <c r="AH103" s="323"/>
      <c r="AI103" s="323"/>
      <c r="AJ103" s="298"/>
      <c r="AK103" s="323"/>
      <c r="AL103" s="323"/>
      <c r="AM103" s="298"/>
      <c r="AN103" s="323"/>
      <c r="AO103" s="323"/>
      <c r="AP103" s="298"/>
      <c r="AQ103" s="293" t="s">
        <v>7272</v>
      </c>
      <c r="AR103" s="327"/>
      <c r="AU103" s="307"/>
      <c r="AX103" s="307"/>
      <c r="BA103" s="307"/>
      <c r="BC103" s="366"/>
      <c r="BD103" s="307"/>
      <c r="BG103" s="307"/>
    </row>
    <row r="104">
      <c r="A104" s="352"/>
      <c r="B104" s="293"/>
      <c r="C104" s="298"/>
      <c r="D104" s="352"/>
      <c r="E104" s="293"/>
      <c r="F104" s="298"/>
      <c r="G104" s="352" t="s">
        <v>7273</v>
      </c>
      <c r="H104" s="293"/>
      <c r="I104" s="298"/>
      <c r="J104" s="323"/>
      <c r="K104" s="323"/>
      <c r="L104" s="298"/>
      <c r="M104" s="323"/>
      <c r="N104" s="323"/>
      <c r="O104" s="298"/>
      <c r="P104" s="323"/>
      <c r="Q104" s="323"/>
      <c r="R104" s="298"/>
      <c r="S104" s="323"/>
      <c r="T104" s="323"/>
      <c r="U104" s="298"/>
      <c r="V104" s="323"/>
      <c r="W104" s="323"/>
      <c r="X104" s="298"/>
      <c r="Y104" s="323"/>
      <c r="Z104" s="323"/>
      <c r="AA104" s="298"/>
      <c r="AB104" s="323"/>
      <c r="AC104" s="323"/>
      <c r="AD104" s="298"/>
      <c r="AE104" s="323"/>
      <c r="AF104" s="323"/>
      <c r="AG104" s="298"/>
      <c r="AH104" s="323"/>
      <c r="AI104" s="323"/>
      <c r="AJ104" s="298"/>
      <c r="AK104" s="323"/>
      <c r="AL104" s="323"/>
      <c r="AM104" s="298"/>
      <c r="AN104" s="323"/>
      <c r="AO104" s="323"/>
      <c r="AP104" s="298"/>
      <c r="AQ104" s="293" t="s">
        <v>7274</v>
      </c>
      <c r="AR104" s="327"/>
      <c r="AU104" s="307"/>
      <c r="AX104" s="307"/>
      <c r="BA104" s="307"/>
      <c r="BC104" s="366"/>
      <c r="BD104" s="307"/>
      <c r="BG104" s="307"/>
    </row>
    <row r="105">
      <c r="A105" s="352"/>
      <c r="B105" s="293"/>
      <c r="C105" s="298"/>
      <c r="D105" s="352"/>
      <c r="E105" s="293"/>
      <c r="F105" s="298"/>
      <c r="G105" s="352" t="s">
        <v>7275</v>
      </c>
      <c r="H105" s="293"/>
      <c r="I105" s="298"/>
      <c r="J105" s="323"/>
      <c r="K105" s="323"/>
      <c r="L105" s="298"/>
      <c r="M105" s="323"/>
      <c r="N105" s="323"/>
      <c r="O105" s="298"/>
      <c r="P105" s="323"/>
      <c r="Q105" s="323"/>
      <c r="R105" s="298"/>
      <c r="S105" s="323"/>
      <c r="T105" s="323"/>
      <c r="U105" s="298"/>
      <c r="V105" s="323"/>
      <c r="W105" s="323"/>
      <c r="X105" s="298"/>
      <c r="Y105" s="323"/>
      <c r="Z105" s="323"/>
      <c r="AA105" s="298"/>
      <c r="AB105" s="323"/>
      <c r="AC105" s="323"/>
      <c r="AD105" s="298"/>
      <c r="AE105" s="323"/>
      <c r="AF105" s="323"/>
      <c r="AG105" s="298"/>
      <c r="AH105" s="323"/>
      <c r="AI105" s="323"/>
      <c r="AJ105" s="298"/>
      <c r="AK105" s="323"/>
      <c r="AL105" s="323"/>
      <c r="AM105" s="298"/>
      <c r="AN105" s="323"/>
      <c r="AO105" s="323"/>
      <c r="AP105" s="298"/>
      <c r="AQ105" s="293" t="s">
        <v>7276</v>
      </c>
      <c r="AR105" s="327"/>
      <c r="AU105" s="307"/>
      <c r="AX105" s="307"/>
      <c r="BA105" s="307"/>
      <c r="BC105" s="366"/>
      <c r="BD105" s="307"/>
      <c r="BG105" s="307"/>
    </row>
    <row r="106">
      <c r="A106" s="352"/>
      <c r="B106" s="293"/>
      <c r="C106" s="298"/>
      <c r="D106" s="352"/>
      <c r="E106" s="293"/>
      <c r="F106" s="298"/>
      <c r="G106" s="352" t="s">
        <v>3377</v>
      </c>
      <c r="H106" s="293"/>
      <c r="I106" s="298"/>
      <c r="J106" s="323"/>
      <c r="K106" s="323"/>
      <c r="L106" s="298"/>
      <c r="M106" s="323"/>
      <c r="N106" s="323"/>
      <c r="O106" s="298"/>
      <c r="P106" s="323"/>
      <c r="Q106" s="323"/>
      <c r="R106" s="298"/>
      <c r="S106" s="323"/>
      <c r="T106" s="323"/>
      <c r="U106" s="298"/>
      <c r="V106" s="323"/>
      <c r="W106" s="323"/>
      <c r="X106" s="298"/>
      <c r="Y106" s="323"/>
      <c r="Z106" s="323"/>
      <c r="AA106" s="298"/>
      <c r="AB106" s="323"/>
      <c r="AC106" s="323"/>
      <c r="AD106" s="298"/>
      <c r="AE106" s="323"/>
      <c r="AF106" s="323"/>
      <c r="AG106" s="298"/>
      <c r="AH106" s="323"/>
      <c r="AI106" s="323"/>
      <c r="AJ106" s="298"/>
      <c r="AK106" s="323"/>
      <c r="AL106" s="323"/>
      <c r="AM106" s="298"/>
      <c r="AN106" s="323"/>
      <c r="AO106" s="323"/>
      <c r="AP106" s="298"/>
      <c r="AQ106" s="293"/>
      <c r="AR106" s="327"/>
      <c r="AU106" s="307"/>
      <c r="AX106" s="307"/>
      <c r="BA106" s="307"/>
      <c r="BC106" s="366"/>
      <c r="BD106" s="307"/>
      <c r="BG106" s="307"/>
    </row>
    <row r="107">
      <c r="B107" s="293"/>
      <c r="C107" s="298"/>
      <c r="E107" s="293"/>
      <c r="F107" s="298"/>
      <c r="H107" s="293"/>
      <c r="I107" s="298"/>
      <c r="J107" s="323"/>
      <c r="K107" s="323"/>
      <c r="L107" s="298"/>
      <c r="M107" s="323"/>
      <c r="N107" s="323"/>
      <c r="O107" s="298"/>
      <c r="P107" s="323"/>
      <c r="Q107" s="323"/>
      <c r="R107" s="298"/>
      <c r="S107" s="323"/>
      <c r="T107" s="323"/>
      <c r="U107" s="298"/>
      <c r="V107" s="323"/>
      <c r="W107" s="323"/>
      <c r="X107" s="298"/>
      <c r="Y107" s="323"/>
      <c r="Z107" s="323"/>
      <c r="AA107" s="298"/>
      <c r="AB107" s="323"/>
      <c r="AC107" s="323"/>
      <c r="AD107" s="298"/>
      <c r="AE107" s="323"/>
      <c r="AF107" s="323"/>
      <c r="AG107" s="298"/>
      <c r="AH107" s="323"/>
      <c r="AI107" s="323"/>
      <c r="AJ107" s="298"/>
      <c r="AK107" s="323"/>
      <c r="AL107" s="323"/>
      <c r="AM107" s="298"/>
      <c r="AN107" s="323"/>
      <c r="AO107" s="323"/>
      <c r="AP107" s="298"/>
      <c r="AQ107" s="295" t="s">
        <v>7277</v>
      </c>
      <c r="AR107" s="327"/>
      <c r="AU107" s="307"/>
      <c r="AX107" s="307"/>
      <c r="BA107" s="307"/>
      <c r="BC107" s="366"/>
      <c r="BD107" s="307"/>
      <c r="BG107" s="307"/>
    </row>
    <row r="108">
      <c r="A108" s="352"/>
      <c r="B108" s="293"/>
      <c r="C108" s="327"/>
      <c r="D108" s="352"/>
      <c r="E108" s="293"/>
      <c r="F108" s="327"/>
      <c r="G108" s="352" t="s">
        <v>7278</v>
      </c>
      <c r="H108" s="293"/>
      <c r="I108" s="327"/>
      <c r="J108" s="352"/>
      <c r="K108" s="352"/>
      <c r="L108" s="327"/>
      <c r="M108" s="352"/>
      <c r="N108" s="352"/>
      <c r="O108" s="327"/>
      <c r="P108" s="352"/>
      <c r="Q108" s="352"/>
      <c r="R108" s="327"/>
      <c r="S108" s="352"/>
      <c r="T108" s="352"/>
      <c r="U108" s="327"/>
      <c r="V108" s="352"/>
      <c r="W108" s="352"/>
      <c r="X108" s="327"/>
      <c r="Y108" s="352"/>
      <c r="Z108" s="352"/>
      <c r="AA108" s="327"/>
      <c r="AB108" s="352"/>
      <c r="AC108" s="352"/>
      <c r="AD108" s="327"/>
      <c r="AE108" s="352"/>
      <c r="AF108" s="352"/>
      <c r="AG108" s="327"/>
      <c r="AH108" s="352"/>
      <c r="AI108" s="352"/>
      <c r="AJ108" s="327"/>
      <c r="AK108" s="352"/>
      <c r="AL108" s="352"/>
      <c r="AM108" s="327"/>
      <c r="AN108" s="352"/>
      <c r="AO108" s="352"/>
      <c r="AP108" s="327"/>
      <c r="AQ108" s="293" t="s">
        <v>7279</v>
      </c>
      <c r="AR108" s="327"/>
      <c r="AU108" s="307"/>
      <c r="AX108" s="307"/>
      <c r="BA108" s="307"/>
      <c r="BC108" s="366"/>
      <c r="BD108" s="307"/>
      <c r="BG108" s="307"/>
    </row>
    <row r="109">
      <c r="A109" s="352"/>
      <c r="B109" s="293"/>
      <c r="C109" s="327"/>
      <c r="D109" s="352"/>
      <c r="E109" s="293"/>
      <c r="F109" s="327"/>
      <c r="G109" s="352" t="s">
        <v>7280</v>
      </c>
      <c r="H109" s="293"/>
      <c r="I109" s="327"/>
      <c r="J109" s="352"/>
      <c r="K109" s="352"/>
      <c r="L109" s="327"/>
      <c r="M109" s="352"/>
      <c r="N109" s="352"/>
      <c r="O109" s="327"/>
      <c r="P109" s="352"/>
      <c r="Q109" s="352"/>
      <c r="R109" s="327"/>
      <c r="S109" s="352"/>
      <c r="T109" s="352"/>
      <c r="U109" s="327"/>
      <c r="V109" s="352"/>
      <c r="W109" s="352"/>
      <c r="X109" s="327"/>
      <c r="Y109" s="352"/>
      <c r="Z109" s="352"/>
      <c r="AA109" s="327"/>
      <c r="AB109" s="352"/>
      <c r="AC109" s="352"/>
      <c r="AD109" s="327"/>
      <c r="AE109" s="352"/>
      <c r="AF109" s="352"/>
      <c r="AG109" s="327"/>
      <c r="AH109" s="352"/>
      <c r="AI109" s="352"/>
      <c r="AJ109" s="327"/>
      <c r="AK109" s="352"/>
      <c r="AL109" s="352"/>
      <c r="AM109" s="327"/>
      <c r="AN109" s="352"/>
      <c r="AO109" s="352"/>
      <c r="AP109" s="327"/>
      <c r="AQ109" s="293" t="s">
        <v>7281</v>
      </c>
      <c r="AR109" s="327"/>
      <c r="AU109" s="307"/>
      <c r="AX109" s="307"/>
      <c r="BA109" s="307"/>
      <c r="BC109" s="366"/>
      <c r="BD109" s="307"/>
      <c r="BG109" s="307"/>
    </row>
    <row r="110">
      <c r="A110" s="352"/>
      <c r="B110" s="293"/>
      <c r="C110" s="298"/>
      <c r="D110" s="352"/>
      <c r="E110" s="293"/>
      <c r="F110" s="298"/>
      <c r="G110" s="352" t="s">
        <v>7282</v>
      </c>
      <c r="H110" s="293"/>
      <c r="I110" s="298"/>
      <c r="J110" s="323"/>
      <c r="K110" s="323"/>
      <c r="L110" s="298"/>
      <c r="M110" s="323"/>
      <c r="N110" s="323"/>
      <c r="O110" s="298"/>
      <c r="P110" s="323"/>
      <c r="Q110" s="323"/>
      <c r="R110" s="298"/>
      <c r="S110" s="323"/>
      <c r="T110" s="323"/>
      <c r="U110" s="298"/>
      <c r="V110" s="323"/>
      <c r="W110" s="323"/>
      <c r="X110" s="298"/>
      <c r="Y110" s="323"/>
      <c r="Z110" s="323"/>
      <c r="AA110" s="298"/>
      <c r="AB110" s="323"/>
      <c r="AC110" s="323"/>
      <c r="AD110" s="298"/>
      <c r="AE110" s="323"/>
      <c r="AF110" s="323"/>
      <c r="AG110" s="298"/>
      <c r="AH110" s="323"/>
      <c r="AI110" s="323"/>
      <c r="AJ110" s="298"/>
      <c r="AK110" s="323"/>
      <c r="AL110" s="323"/>
      <c r="AM110" s="298"/>
      <c r="AN110" s="323"/>
      <c r="AO110" s="323"/>
      <c r="AP110" s="298"/>
      <c r="AQ110" s="293" t="s">
        <v>7283</v>
      </c>
      <c r="AR110" s="327"/>
      <c r="AU110" s="307"/>
      <c r="AX110" s="307"/>
      <c r="BA110" s="307"/>
      <c r="BC110" s="366"/>
      <c r="BD110" s="307"/>
      <c r="BG110" s="307"/>
    </row>
    <row r="111">
      <c r="A111" s="352"/>
      <c r="B111" s="293"/>
      <c r="C111" s="298"/>
      <c r="D111" s="352"/>
      <c r="E111" s="293"/>
      <c r="F111" s="298"/>
      <c r="G111" s="352" t="s">
        <v>4094</v>
      </c>
      <c r="H111" s="293"/>
      <c r="I111" s="298"/>
      <c r="J111" s="323"/>
      <c r="K111" s="323"/>
      <c r="L111" s="298"/>
      <c r="M111" s="323"/>
      <c r="N111" s="323"/>
      <c r="O111" s="298"/>
      <c r="P111" s="323"/>
      <c r="Q111" s="323"/>
      <c r="R111" s="298"/>
      <c r="S111" s="323"/>
      <c r="T111" s="323"/>
      <c r="U111" s="298"/>
      <c r="V111" s="323"/>
      <c r="W111" s="323"/>
      <c r="X111" s="298"/>
      <c r="Y111" s="323"/>
      <c r="Z111" s="323"/>
      <c r="AA111" s="298"/>
      <c r="AB111" s="323"/>
      <c r="AC111" s="323"/>
      <c r="AD111" s="298"/>
      <c r="AE111" s="323"/>
      <c r="AF111" s="323"/>
      <c r="AG111" s="298"/>
      <c r="AH111" s="323"/>
      <c r="AI111" s="323"/>
      <c r="AJ111" s="298"/>
      <c r="AK111" s="323"/>
      <c r="AL111" s="323"/>
      <c r="AM111" s="298"/>
      <c r="AN111" s="323"/>
      <c r="AO111" s="323"/>
      <c r="AP111" s="298"/>
      <c r="AQ111" s="293" t="s">
        <v>7284</v>
      </c>
      <c r="AR111" s="327"/>
      <c r="AU111" s="307"/>
      <c r="AX111" s="307"/>
      <c r="BA111" s="307"/>
      <c r="BC111" s="366"/>
      <c r="BD111" s="307"/>
      <c r="BG111" s="307"/>
    </row>
    <row r="112">
      <c r="A112" s="352"/>
      <c r="B112" s="293"/>
      <c r="C112" s="327"/>
      <c r="D112" s="352"/>
      <c r="E112" s="293"/>
      <c r="F112" s="327"/>
      <c r="G112" s="352" t="s">
        <v>7285</v>
      </c>
      <c r="H112" s="293"/>
      <c r="I112" s="327"/>
      <c r="J112" s="352"/>
      <c r="K112" s="352"/>
      <c r="L112" s="327"/>
      <c r="M112" s="352"/>
      <c r="N112" s="352"/>
      <c r="O112" s="327"/>
      <c r="P112" s="352"/>
      <c r="Q112" s="352"/>
      <c r="R112" s="327"/>
      <c r="S112" s="352"/>
      <c r="T112" s="352"/>
      <c r="U112" s="327"/>
      <c r="V112" s="352"/>
      <c r="W112" s="352"/>
      <c r="X112" s="327"/>
      <c r="Y112" s="352"/>
      <c r="Z112" s="352"/>
      <c r="AA112" s="327"/>
      <c r="AB112" s="352"/>
      <c r="AC112" s="352"/>
      <c r="AD112" s="327"/>
      <c r="AE112" s="352"/>
      <c r="AF112" s="352"/>
      <c r="AG112" s="327"/>
      <c r="AH112" s="352"/>
      <c r="AI112" s="352"/>
      <c r="AJ112" s="327"/>
      <c r="AK112" s="352"/>
      <c r="AL112" s="352"/>
      <c r="AM112" s="327"/>
      <c r="AN112" s="352"/>
      <c r="AO112" s="352"/>
      <c r="AP112" s="327"/>
      <c r="AQ112" s="293" t="s">
        <v>7286</v>
      </c>
      <c r="AR112" s="327"/>
      <c r="AU112" s="307"/>
      <c r="AX112" s="307"/>
      <c r="BA112" s="307"/>
      <c r="BC112" s="366"/>
      <c r="BD112" s="307"/>
      <c r="BG112" s="307"/>
    </row>
    <row r="113">
      <c r="A113" s="352"/>
      <c r="B113" s="293"/>
      <c r="C113" s="298"/>
      <c r="D113" s="352"/>
      <c r="E113" s="293"/>
      <c r="F113" s="298"/>
      <c r="G113" s="352" t="s">
        <v>7287</v>
      </c>
      <c r="H113" s="293"/>
      <c r="I113" s="298"/>
      <c r="J113" s="323"/>
      <c r="K113" s="323"/>
      <c r="L113" s="298"/>
      <c r="M113" s="323"/>
      <c r="N113" s="323"/>
      <c r="O113" s="298"/>
      <c r="P113" s="323"/>
      <c r="Q113" s="323"/>
      <c r="R113" s="298"/>
      <c r="S113" s="323"/>
      <c r="T113" s="323"/>
      <c r="U113" s="298"/>
      <c r="V113" s="323"/>
      <c r="W113" s="323"/>
      <c r="X113" s="298"/>
      <c r="Y113" s="323"/>
      <c r="Z113" s="323"/>
      <c r="AA113" s="298"/>
      <c r="AB113" s="323"/>
      <c r="AC113" s="323"/>
      <c r="AD113" s="298"/>
      <c r="AE113" s="323"/>
      <c r="AF113" s="323"/>
      <c r="AG113" s="298"/>
      <c r="AH113" s="323"/>
      <c r="AI113" s="323"/>
      <c r="AJ113" s="298"/>
      <c r="AK113" s="323"/>
      <c r="AL113" s="323"/>
      <c r="AM113" s="298"/>
      <c r="AN113" s="323"/>
      <c r="AO113" s="323"/>
      <c r="AP113" s="298"/>
      <c r="AQ113" s="316" t="s">
        <v>7288</v>
      </c>
      <c r="AR113" s="327"/>
      <c r="AU113" s="307"/>
      <c r="AX113" s="307"/>
      <c r="BA113" s="307"/>
      <c r="BC113" s="366"/>
      <c r="BD113" s="307"/>
      <c r="BG113" s="307"/>
    </row>
    <row r="114">
      <c r="A114" s="352"/>
      <c r="B114" s="293"/>
      <c r="C114" s="298"/>
      <c r="D114" s="352"/>
      <c r="E114" s="293"/>
      <c r="F114" s="298"/>
      <c r="G114" s="352" t="s">
        <v>1588</v>
      </c>
      <c r="H114" s="293"/>
      <c r="I114" s="298"/>
      <c r="J114" s="323"/>
      <c r="K114" s="323"/>
      <c r="L114" s="298"/>
      <c r="M114" s="323"/>
      <c r="N114" s="323"/>
      <c r="O114" s="298"/>
      <c r="P114" s="323"/>
      <c r="Q114" s="323"/>
      <c r="R114" s="298"/>
      <c r="S114" s="323"/>
      <c r="T114" s="323"/>
      <c r="U114" s="298"/>
      <c r="V114" s="323"/>
      <c r="W114" s="323"/>
      <c r="X114" s="298"/>
      <c r="Y114" s="323"/>
      <c r="Z114" s="323"/>
      <c r="AA114" s="298"/>
      <c r="AB114" s="323"/>
      <c r="AC114" s="323"/>
      <c r="AD114" s="298"/>
      <c r="AE114" s="323"/>
      <c r="AF114" s="323"/>
      <c r="AG114" s="298"/>
      <c r="AH114" s="323"/>
      <c r="AI114" s="323"/>
      <c r="AJ114" s="298"/>
      <c r="AK114" s="323"/>
      <c r="AL114" s="323"/>
      <c r="AM114" s="298"/>
      <c r="AN114" s="323"/>
      <c r="AO114" s="323"/>
      <c r="AP114" s="298"/>
      <c r="AQ114" s="352"/>
      <c r="AR114" s="327"/>
      <c r="AU114" s="307"/>
      <c r="AX114" s="307"/>
      <c r="BA114" s="307"/>
      <c r="BC114" s="366"/>
      <c r="BD114" s="307"/>
      <c r="BG114" s="307"/>
    </row>
    <row r="115">
      <c r="A115" s="352"/>
      <c r="B115" s="293"/>
      <c r="C115" s="298"/>
      <c r="D115" s="352"/>
      <c r="E115" s="293"/>
      <c r="F115" s="298"/>
      <c r="G115" s="352" t="s">
        <v>3822</v>
      </c>
      <c r="H115" s="293"/>
      <c r="I115" s="298"/>
      <c r="J115" s="323"/>
      <c r="K115" s="323"/>
      <c r="L115" s="298"/>
      <c r="M115" s="323"/>
      <c r="N115" s="323"/>
      <c r="O115" s="298"/>
      <c r="P115" s="323"/>
      <c r="Q115" s="323"/>
      <c r="R115" s="298"/>
      <c r="S115" s="323"/>
      <c r="T115" s="323"/>
      <c r="U115" s="298"/>
      <c r="V115" s="323"/>
      <c r="W115" s="323"/>
      <c r="X115" s="298"/>
      <c r="Y115" s="323"/>
      <c r="Z115" s="323"/>
      <c r="AA115" s="298"/>
      <c r="AB115" s="323"/>
      <c r="AC115" s="323"/>
      <c r="AD115" s="298"/>
      <c r="AE115" s="323"/>
      <c r="AF115" s="323"/>
      <c r="AG115" s="298"/>
      <c r="AH115" s="323"/>
      <c r="AI115" s="323"/>
      <c r="AJ115" s="298"/>
      <c r="AK115" s="323"/>
      <c r="AL115" s="323"/>
      <c r="AM115" s="298"/>
      <c r="AN115" s="323"/>
      <c r="AO115" s="323"/>
      <c r="AP115" s="298"/>
      <c r="AQ115" s="293" t="s">
        <v>7289</v>
      </c>
      <c r="AR115" s="327"/>
      <c r="AU115" s="307"/>
      <c r="AX115" s="307"/>
      <c r="BA115" s="307"/>
      <c r="BC115" s="366"/>
      <c r="BD115" s="307"/>
      <c r="BG115" s="307"/>
    </row>
    <row r="116">
      <c r="A116" s="352"/>
      <c r="B116" s="293"/>
      <c r="C116" s="327"/>
      <c r="D116" s="352"/>
      <c r="E116" s="293"/>
      <c r="F116" s="327"/>
      <c r="G116" s="352" t="s">
        <v>3766</v>
      </c>
      <c r="H116" s="293"/>
      <c r="I116" s="327"/>
      <c r="J116" s="352"/>
      <c r="K116" s="352"/>
      <c r="L116" s="327"/>
      <c r="M116" s="352"/>
      <c r="N116" s="352"/>
      <c r="O116" s="327"/>
      <c r="P116" s="352"/>
      <c r="Q116" s="352"/>
      <c r="R116" s="327"/>
      <c r="S116" s="352"/>
      <c r="T116" s="352"/>
      <c r="U116" s="327"/>
      <c r="V116" s="352"/>
      <c r="W116" s="352"/>
      <c r="X116" s="327"/>
      <c r="Y116" s="352"/>
      <c r="Z116" s="352"/>
      <c r="AA116" s="327"/>
      <c r="AB116" s="352"/>
      <c r="AC116" s="352"/>
      <c r="AD116" s="327"/>
      <c r="AE116" s="352"/>
      <c r="AF116" s="352"/>
      <c r="AG116" s="327"/>
      <c r="AH116" s="352"/>
      <c r="AI116" s="352"/>
      <c r="AJ116" s="327"/>
      <c r="AK116" s="352"/>
      <c r="AL116" s="352"/>
      <c r="AM116" s="327"/>
      <c r="AN116" s="352"/>
      <c r="AO116" s="352"/>
      <c r="AP116" s="327"/>
      <c r="AQ116" s="352"/>
      <c r="AR116" s="327"/>
      <c r="AU116" s="307"/>
      <c r="AX116" s="307"/>
      <c r="BA116" s="307"/>
      <c r="BC116" s="366"/>
      <c r="BD116" s="307"/>
      <c r="BG116" s="307"/>
    </row>
    <row r="117">
      <c r="A117" s="352"/>
      <c r="B117" s="293"/>
      <c r="C117" s="298"/>
      <c r="D117" s="352"/>
      <c r="E117" s="293"/>
      <c r="F117" s="298"/>
      <c r="G117" s="352" t="s">
        <v>7290</v>
      </c>
      <c r="H117" s="293"/>
      <c r="I117" s="298"/>
      <c r="J117" s="323"/>
      <c r="K117" s="323"/>
      <c r="L117" s="298"/>
      <c r="M117" s="323"/>
      <c r="N117" s="323"/>
      <c r="O117" s="298"/>
      <c r="P117" s="323"/>
      <c r="Q117" s="323"/>
      <c r="R117" s="298"/>
      <c r="S117" s="323"/>
      <c r="T117" s="323"/>
      <c r="U117" s="298"/>
      <c r="V117" s="323"/>
      <c r="W117" s="323"/>
      <c r="X117" s="298"/>
      <c r="Y117" s="323"/>
      <c r="Z117" s="323"/>
      <c r="AA117" s="298"/>
      <c r="AB117" s="323"/>
      <c r="AC117" s="323"/>
      <c r="AD117" s="298"/>
      <c r="AE117" s="323"/>
      <c r="AF117" s="323"/>
      <c r="AG117" s="298"/>
      <c r="AH117" s="323"/>
      <c r="AI117" s="323"/>
      <c r="AJ117" s="298"/>
      <c r="AK117" s="323"/>
      <c r="AL117" s="323"/>
      <c r="AM117" s="298"/>
      <c r="AN117" s="323"/>
      <c r="AO117" s="323"/>
      <c r="AP117" s="298"/>
      <c r="AQ117" s="293" t="s">
        <v>7291</v>
      </c>
      <c r="AR117" s="327"/>
      <c r="AU117" s="307"/>
      <c r="AX117" s="307"/>
      <c r="BA117" s="307"/>
      <c r="BC117" s="366"/>
      <c r="BD117" s="307"/>
      <c r="BG117" s="307"/>
    </row>
    <row r="118">
      <c r="A118" s="352"/>
      <c r="B118" s="293"/>
      <c r="C118" s="327"/>
      <c r="D118" s="352"/>
      <c r="E118" s="293"/>
      <c r="F118" s="327"/>
      <c r="G118" s="352" t="s">
        <v>7292</v>
      </c>
      <c r="H118" s="293"/>
      <c r="I118" s="327"/>
      <c r="J118" s="352"/>
      <c r="K118" s="352"/>
      <c r="L118" s="327"/>
      <c r="M118" s="352"/>
      <c r="N118" s="352"/>
      <c r="O118" s="327"/>
      <c r="P118" s="352"/>
      <c r="Q118" s="352"/>
      <c r="R118" s="327"/>
      <c r="S118" s="352"/>
      <c r="T118" s="352"/>
      <c r="U118" s="327"/>
      <c r="V118" s="352"/>
      <c r="W118" s="352"/>
      <c r="X118" s="327"/>
      <c r="Y118" s="352"/>
      <c r="Z118" s="352"/>
      <c r="AA118" s="327"/>
      <c r="AB118" s="352"/>
      <c r="AC118" s="352"/>
      <c r="AD118" s="327"/>
      <c r="AE118" s="352"/>
      <c r="AF118" s="352"/>
      <c r="AG118" s="327"/>
      <c r="AH118" s="352"/>
      <c r="AI118" s="352"/>
      <c r="AJ118" s="327"/>
      <c r="AK118" s="352"/>
      <c r="AL118" s="352"/>
      <c r="AM118" s="327"/>
      <c r="AN118" s="352"/>
      <c r="AO118" s="352"/>
      <c r="AP118" s="327"/>
      <c r="AQ118" s="293" t="s">
        <v>7293</v>
      </c>
      <c r="AR118" s="327"/>
      <c r="AU118" s="307"/>
      <c r="AX118" s="307"/>
      <c r="BA118" s="307"/>
      <c r="BC118" s="366"/>
      <c r="BD118" s="307"/>
      <c r="BG118" s="307"/>
    </row>
    <row r="119">
      <c r="A119" s="352"/>
      <c r="B119" s="293"/>
      <c r="C119" s="327"/>
      <c r="D119" s="352"/>
      <c r="E119" s="293"/>
      <c r="F119" s="327"/>
      <c r="G119" s="352" t="s">
        <v>7294</v>
      </c>
      <c r="H119" s="293"/>
      <c r="I119" s="327"/>
      <c r="J119" s="352"/>
      <c r="K119" s="352"/>
      <c r="L119" s="327"/>
      <c r="M119" s="352"/>
      <c r="N119" s="352"/>
      <c r="O119" s="327"/>
      <c r="P119" s="352"/>
      <c r="Q119" s="352"/>
      <c r="R119" s="327"/>
      <c r="S119" s="352"/>
      <c r="T119" s="352"/>
      <c r="U119" s="327"/>
      <c r="V119" s="352"/>
      <c r="W119" s="352"/>
      <c r="X119" s="327"/>
      <c r="Y119" s="352"/>
      <c r="Z119" s="352"/>
      <c r="AA119" s="327"/>
      <c r="AB119" s="352"/>
      <c r="AC119" s="352"/>
      <c r="AD119" s="327"/>
      <c r="AE119" s="352"/>
      <c r="AF119" s="352"/>
      <c r="AG119" s="327"/>
      <c r="AH119" s="352"/>
      <c r="AI119" s="352"/>
      <c r="AJ119" s="327"/>
      <c r="AK119" s="352"/>
      <c r="AL119" s="352"/>
      <c r="AM119" s="327"/>
      <c r="AN119" s="352"/>
      <c r="AO119" s="352"/>
      <c r="AP119" s="327"/>
      <c r="AQ119" s="293" t="s">
        <v>7295</v>
      </c>
      <c r="AR119" s="327"/>
      <c r="AU119" s="307"/>
      <c r="AX119" s="307"/>
      <c r="BA119" s="307"/>
      <c r="BC119" s="366"/>
      <c r="BD119" s="307"/>
      <c r="BG119" s="307"/>
    </row>
    <row r="120">
      <c r="B120" s="293"/>
      <c r="C120" s="327"/>
      <c r="E120" s="293"/>
      <c r="F120" s="327"/>
      <c r="H120" s="293"/>
      <c r="I120" s="327"/>
      <c r="J120" s="352"/>
      <c r="K120" s="352"/>
      <c r="L120" s="327"/>
      <c r="M120" s="352"/>
      <c r="N120" s="352"/>
      <c r="O120" s="327"/>
      <c r="P120" s="352"/>
      <c r="Q120" s="352"/>
      <c r="R120" s="327"/>
      <c r="S120" s="352"/>
      <c r="T120" s="352"/>
      <c r="U120" s="327"/>
      <c r="V120" s="352"/>
      <c r="W120" s="352"/>
      <c r="X120" s="327"/>
      <c r="Y120" s="352"/>
      <c r="Z120" s="352"/>
      <c r="AA120" s="327"/>
      <c r="AB120" s="352"/>
      <c r="AC120" s="352"/>
      <c r="AD120" s="327"/>
      <c r="AE120" s="352"/>
      <c r="AF120" s="352"/>
      <c r="AG120" s="327"/>
      <c r="AH120" s="352"/>
      <c r="AI120" s="352"/>
      <c r="AJ120" s="327"/>
      <c r="AK120" s="352"/>
      <c r="AL120" s="352"/>
      <c r="AM120" s="327"/>
      <c r="AN120" s="352"/>
      <c r="AO120" s="352"/>
      <c r="AP120" s="327"/>
      <c r="AQ120" s="293" t="s">
        <v>7296</v>
      </c>
      <c r="AR120" s="327"/>
      <c r="AU120" s="307"/>
      <c r="AX120" s="307"/>
      <c r="BA120" s="307"/>
      <c r="BC120" s="366"/>
      <c r="BD120" s="307"/>
      <c r="BG120" s="307"/>
    </row>
    <row r="121">
      <c r="A121" s="352"/>
      <c r="B121" s="293"/>
      <c r="C121" s="298"/>
      <c r="D121" s="352"/>
      <c r="E121" s="293"/>
      <c r="F121" s="298"/>
      <c r="G121" s="352" t="s">
        <v>2135</v>
      </c>
      <c r="H121" s="293"/>
      <c r="I121" s="298"/>
      <c r="J121" s="323"/>
      <c r="K121" s="323"/>
      <c r="L121" s="298"/>
      <c r="M121" s="323"/>
      <c r="N121" s="323"/>
      <c r="O121" s="298"/>
      <c r="P121" s="323"/>
      <c r="Q121" s="323"/>
      <c r="R121" s="298"/>
      <c r="S121" s="323"/>
      <c r="T121" s="323"/>
      <c r="U121" s="298"/>
      <c r="V121" s="323"/>
      <c r="W121" s="323"/>
      <c r="X121" s="298"/>
      <c r="Y121" s="323"/>
      <c r="Z121" s="323"/>
      <c r="AA121" s="298"/>
      <c r="AB121" s="323"/>
      <c r="AC121" s="323"/>
      <c r="AD121" s="298"/>
      <c r="AE121" s="323"/>
      <c r="AF121" s="323"/>
      <c r="AG121" s="298"/>
      <c r="AH121" s="323"/>
      <c r="AI121" s="323"/>
      <c r="AJ121" s="298"/>
      <c r="AK121" s="323"/>
      <c r="AL121" s="323"/>
      <c r="AM121" s="298"/>
      <c r="AN121" s="323"/>
      <c r="AO121" s="323"/>
      <c r="AP121" s="298"/>
      <c r="AQ121" s="293" t="s">
        <v>7080</v>
      </c>
      <c r="AR121" s="327"/>
      <c r="AU121" s="307"/>
      <c r="AX121" s="307"/>
      <c r="BA121" s="307"/>
      <c r="BC121" s="366"/>
      <c r="BD121" s="307"/>
      <c r="BG121" s="307"/>
    </row>
    <row r="122">
      <c r="A122" s="352"/>
      <c r="B122" s="293"/>
      <c r="C122" s="298"/>
      <c r="D122" s="352"/>
      <c r="E122" s="293"/>
      <c r="F122" s="298"/>
      <c r="G122" s="352" t="s">
        <v>3236</v>
      </c>
      <c r="H122" s="293"/>
      <c r="I122" s="298"/>
      <c r="J122" s="323"/>
      <c r="K122" s="323"/>
      <c r="L122" s="298"/>
      <c r="M122" s="323"/>
      <c r="N122" s="323"/>
      <c r="O122" s="298"/>
      <c r="P122" s="323"/>
      <c r="Q122" s="323"/>
      <c r="R122" s="298"/>
      <c r="S122" s="323"/>
      <c r="T122" s="323"/>
      <c r="U122" s="298"/>
      <c r="V122" s="323"/>
      <c r="W122" s="323"/>
      <c r="X122" s="298"/>
      <c r="Y122" s="323"/>
      <c r="Z122" s="323"/>
      <c r="AA122" s="298"/>
      <c r="AB122" s="323"/>
      <c r="AC122" s="323"/>
      <c r="AD122" s="298"/>
      <c r="AE122" s="323"/>
      <c r="AF122" s="323"/>
      <c r="AG122" s="298"/>
      <c r="AH122" s="323"/>
      <c r="AI122" s="323"/>
      <c r="AJ122" s="298"/>
      <c r="AK122" s="323"/>
      <c r="AL122" s="323"/>
      <c r="AM122" s="298"/>
      <c r="AN122" s="323"/>
      <c r="AO122" s="323"/>
      <c r="AP122" s="298"/>
      <c r="AQ122" s="293" t="s">
        <v>7297</v>
      </c>
      <c r="AR122" s="327"/>
      <c r="AU122" s="307"/>
      <c r="AX122" s="307"/>
      <c r="BA122" s="307"/>
      <c r="BC122" s="366"/>
      <c r="BD122" s="307"/>
      <c r="BG122" s="307"/>
    </row>
    <row r="123">
      <c r="A123" s="352"/>
      <c r="B123" s="293"/>
      <c r="C123" s="327"/>
      <c r="D123" s="352"/>
      <c r="E123" s="293"/>
      <c r="F123" s="327"/>
      <c r="G123" s="352" t="s">
        <v>6004</v>
      </c>
      <c r="H123" s="293"/>
      <c r="I123" s="327"/>
      <c r="J123" s="352"/>
      <c r="K123" s="352"/>
      <c r="L123" s="327"/>
      <c r="M123" s="352"/>
      <c r="N123" s="352"/>
      <c r="O123" s="327"/>
      <c r="P123" s="352"/>
      <c r="Q123" s="352"/>
      <c r="R123" s="327"/>
      <c r="S123" s="352"/>
      <c r="T123" s="352"/>
      <c r="U123" s="327"/>
      <c r="V123" s="352"/>
      <c r="W123" s="352"/>
      <c r="X123" s="327"/>
      <c r="Y123" s="352"/>
      <c r="Z123" s="352"/>
      <c r="AA123" s="327"/>
      <c r="AB123" s="352"/>
      <c r="AC123" s="352"/>
      <c r="AD123" s="327"/>
      <c r="AE123" s="352"/>
      <c r="AF123" s="352"/>
      <c r="AG123" s="327"/>
      <c r="AH123" s="352"/>
      <c r="AI123" s="352"/>
      <c r="AJ123" s="327"/>
      <c r="AK123" s="352"/>
      <c r="AL123" s="352"/>
      <c r="AM123" s="327"/>
      <c r="AN123" s="352"/>
      <c r="AO123" s="352"/>
      <c r="AP123" s="327"/>
      <c r="AQ123" s="293" t="s">
        <v>7298</v>
      </c>
      <c r="AR123" s="327"/>
      <c r="AU123" s="307"/>
      <c r="AX123" s="307"/>
      <c r="BA123" s="307"/>
      <c r="BC123" s="366"/>
      <c r="BD123" s="307"/>
      <c r="BG123" s="307"/>
    </row>
    <row r="124">
      <c r="A124" s="352"/>
      <c r="C124" s="327"/>
      <c r="D124" s="352"/>
      <c r="F124" s="327"/>
      <c r="G124" s="352" t="s">
        <v>7299</v>
      </c>
      <c r="I124" s="327"/>
      <c r="J124" s="352"/>
      <c r="K124" s="352"/>
      <c r="L124" s="327"/>
      <c r="M124" s="352"/>
      <c r="N124" s="352"/>
      <c r="O124" s="327"/>
      <c r="P124" s="352"/>
      <c r="Q124" s="352"/>
      <c r="R124" s="327"/>
      <c r="S124" s="352"/>
      <c r="T124" s="352"/>
      <c r="U124" s="327"/>
      <c r="V124" s="352"/>
      <c r="W124" s="352"/>
      <c r="X124" s="327"/>
      <c r="Y124" s="352"/>
      <c r="Z124" s="352"/>
      <c r="AA124" s="327"/>
      <c r="AB124" s="352"/>
      <c r="AC124" s="352"/>
      <c r="AD124" s="327"/>
      <c r="AE124" s="352"/>
      <c r="AF124" s="352"/>
      <c r="AG124" s="327"/>
      <c r="AH124" s="352"/>
      <c r="AI124" s="352"/>
      <c r="AJ124" s="327"/>
      <c r="AK124" s="352"/>
      <c r="AL124" s="352"/>
      <c r="AM124" s="327"/>
      <c r="AN124" s="352"/>
      <c r="AO124" s="352"/>
      <c r="AP124" s="327"/>
      <c r="AQ124" s="293" t="s">
        <v>7300</v>
      </c>
      <c r="AR124" s="327"/>
      <c r="AU124" s="307"/>
      <c r="AX124" s="307"/>
      <c r="BA124" s="307"/>
      <c r="BC124" s="366"/>
      <c r="BD124" s="307"/>
      <c r="BG124" s="307"/>
    </row>
    <row r="125">
      <c r="A125" s="352"/>
      <c r="C125" s="327"/>
      <c r="D125" s="352"/>
      <c r="F125" s="327"/>
      <c r="G125" s="352" t="s">
        <v>2231</v>
      </c>
      <c r="I125" s="327"/>
      <c r="J125" s="352"/>
      <c r="K125" s="352"/>
      <c r="L125" s="327"/>
      <c r="M125" s="352"/>
      <c r="N125" s="352"/>
      <c r="O125" s="327"/>
      <c r="P125" s="352"/>
      <c r="Q125" s="352"/>
      <c r="R125" s="327"/>
      <c r="S125" s="352"/>
      <c r="T125" s="352"/>
      <c r="U125" s="327"/>
      <c r="V125" s="352"/>
      <c r="W125" s="352"/>
      <c r="X125" s="327"/>
      <c r="Y125" s="352"/>
      <c r="Z125" s="352"/>
      <c r="AA125" s="327"/>
      <c r="AB125" s="352"/>
      <c r="AC125" s="352"/>
      <c r="AD125" s="327"/>
      <c r="AE125" s="352"/>
      <c r="AF125" s="352"/>
      <c r="AG125" s="327"/>
      <c r="AH125" s="352"/>
      <c r="AI125" s="352"/>
      <c r="AJ125" s="327"/>
      <c r="AK125" s="352"/>
      <c r="AL125" s="352"/>
      <c r="AM125" s="327"/>
      <c r="AN125" s="352"/>
      <c r="AO125" s="352"/>
      <c r="AP125" s="327"/>
      <c r="AQ125" s="293" t="s">
        <v>7301</v>
      </c>
      <c r="AR125" s="327"/>
      <c r="AU125" s="307"/>
      <c r="AX125" s="307"/>
      <c r="BA125" s="307"/>
      <c r="BC125" s="366"/>
      <c r="BD125" s="307"/>
      <c r="BG125" s="307"/>
    </row>
    <row r="126">
      <c r="A126" s="352"/>
      <c r="C126" s="298"/>
      <c r="D126" s="352"/>
      <c r="F126" s="298"/>
      <c r="G126" s="352" t="s">
        <v>7302</v>
      </c>
      <c r="I126" s="298"/>
      <c r="J126" s="323"/>
      <c r="K126" s="323"/>
      <c r="L126" s="298"/>
      <c r="M126" s="323"/>
      <c r="N126" s="323"/>
      <c r="O126" s="298"/>
      <c r="P126" s="323"/>
      <c r="Q126" s="323"/>
      <c r="R126" s="298"/>
      <c r="S126" s="323"/>
      <c r="T126" s="323"/>
      <c r="U126" s="298"/>
      <c r="V126" s="323"/>
      <c r="W126" s="323"/>
      <c r="X126" s="298"/>
      <c r="Y126" s="323"/>
      <c r="Z126" s="323"/>
      <c r="AA126" s="298"/>
      <c r="AB126" s="323"/>
      <c r="AC126" s="323"/>
      <c r="AD126" s="298"/>
      <c r="AE126" s="323"/>
      <c r="AF126" s="323"/>
      <c r="AG126" s="298"/>
      <c r="AH126" s="323"/>
      <c r="AI126" s="323"/>
      <c r="AJ126" s="298"/>
      <c r="AK126" s="323"/>
      <c r="AL126" s="323"/>
      <c r="AM126" s="298"/>
      <c r="AN126" s="323"/>
      <c r="AO126" s="323"/>
      <c r="AP126" s="298"/>
      <c r="AQ126" s="293" t="s">
        <v>7080</v>
      </c>
      <c r="AR126" s="327"/>
      <c r="AU126" s="307"/>
      <c r="AX126" s="307"/>
      <c r="BA126" s="307"/>
      <c r="BC126" s="366"/>
      <c r="BD126" s="307"/>
      <c r="BG126" s="307"/>
    </row>
    <row r="127">
      <c r="C127" s="298"/>
      <c r="F127" s="298"/>
      <c r="I127" s="298"/>
      <c r="J127" s="323"/>
      <c r="K127" s="323"/>
      <c r="L127" s="298"/>
      <c r="M127" s="323"/>
      <c r="N127" s="323"/>
      <c r="O127" s="298"/>
      <c r="P127" s="323"/>
      <c r="Q127" s="323"/>
      <c r="R127" s="298"/>
      <c r="S127" s="323"/>
      <c r="T127" s="323"/>
      <c r="U127" s="298"/>
      <c r="V127" s="323"/>
      <c r="W127" s="323"/>
      <c r="X127" s="298"/>
      <c r="Y127" s="323"/>
      <c r="Z127" s="323"/>
      <c r="AA127" s="298"/>
      <c r="AB127" s="323"/>
      <c r="AC127" s="323"/>
      <c r="AD127" s="298"/>
      <c r="AE127" s="323"/>
      <c r="AF127" s="323"/>
      <c r="AG127" s="298"/>
      <c r="AH127" s="323"/>
      <c r="AI127" s="323"/>
      <c r="AJ127" s="298"/>
      <c r="AK127" s="323"/>
      <c r="AL127" s="323"/>
      <c r="AM127" s="298"/>
      <c r="AN127" s="323"/>
      <c r="AO127" s="323"/>
      <c r="AP127" s="298"/>
      <c r="AQ127" s="352"/>
      <c r="AR127" s="327"/>
      <c r="AU127" s="307"/>
      <c r="AX127" s="307"/>
      <c r="BA127" s="307"/>
      <c r="BC127" s="366"/>
      <c r="BD127" s="307"/>
      <c r="BG127" s="307"/>
    </row>
    <row r="128">
      <c r="A128" s="352"/>
      <c r="C128" s="298"/>
      <c r="D128" s="352"/>
      <c r="F128" s="298"/>
      <c r="G128" s="352" t="s">
        <v>1593</v>
      </c>
      <c r="I128" s="298"/>
      <c r="J128" s="323"/>
      <c r="K128" s="323"/>
      <c r="L128" s="298"/>
      <c r="M128" s="323"/>
      <c r="N128" s="323"/>
      <c r="O128" s="298"/>
      <c r="P128" s="323"/>
      <c r="Q128" s="323"/>
      <c r="R128" s="298"/>
      <c r="S128" s="323"/>
      <c r="T128" s="323"/>
      <c r="U128" s="298"/>
      <c r="V128" s="323"/>
      <c r="W128" s="323"/>
      <c r="X128" s="298"/>
      <c r="Y128" s="323"/>
      <c r="Z128" s="323"/>
      <c r="AA128" s="298"/>
      <c r="AB128" s="323"/>
      <c r="AC128" s="323"/>
      <c r="AD128" s="298"/>
      <c r="AE128" s="323"/>
      <c r="AF128" s="323"/>
      <c r="AG128" s="298"/>
      <c r="AH128" s="323"/>
      <c r="AI128" s="323"/>
      <c r="AJ128" s="298"/>
      <c r="AK128" s="323"/>
      <c r="AL128" s="323"/>
      <c r="AM128" s="298"/>
      <c r="AN128" s="323"/>
      <c r="AO128" s="323"/>
      <c r="AP128" s="298"/>
      <c r="AQ128" s="293" t="s">
        <v>7303</v>
      </c>
      <c r="AR128" s="327"/>
      <c r="AU128" s="307"/>
      <c r="AX128" s="307"/>
      <c r="BA128" s="307"/>
      <c r="BC128" s="366"/>
      <c r="BD128" s="307"/>
      <c r="BG128" s="307"/>
    </row>
    <row r="129">
      <c r="A129" s="352"/>
      <c r="B129" s="293"/>
      <c r="C129" s="298"/>
      <c r="D129" s="352"/>
      <c r="E129" s="293"/>
      <c r="F129" s="298"/>
      <c r="G129" s="352" t="s">
        <v>2019</v>
      </c>
      <c r="H129" s="293"/>
      <c r="I129" s="298"/>
      <c r="J129" s="323"/>
      <c r="K129" s="323"/>
      <c r="L129" s="298"/>
      <c r="M129" s="323"/>
      <c r="N129" s="323"/>
      <c r="O129" s="298"/>
      <c r="P129" s="323"/>
      <c r="Q129" s="323"/>
      <c r="R129" s="298"/>
      <c r="S129" s="323"/>
      <c r="T129" s="323"/>
      <c r="U129" s="298"/>
      <c r="V129" s="323"/>
      <c r="W129" s="323"/>
      <c r="X129" s="298"/>
      <c r="Y129" s="323"/>
      <c r="Z129" s="323"/>
      <c r="AA129" s="298"/>
      <c r="AB129" s="323"/>
      <c r="AC129" s="323"/>
      <c r="AD129" s="298"/>
      <c r="AE129" s="323"/>
      <c r="AF129" s="323"/>
      <c r="AG129" s="298"/>
      <c r="AH129" s="323"/>
      <c r="AI129" s="323"/>
      <c r="AJ129" s="298"/>
      <c r="AK129" s="323"/>
      <c r="AL129" s="323"/>
      <c r="AM129" s="298"/>
      <c r="AN129" s="323"/>
      <c r="AO129" s="323"/>
      <c r="AP129" s="298"/>
      <c r="AQ129" s="293" t="s">
        <v>7304</v>
      </c>
      <c r="AR129" s="327"/>
      <c r="AU129" s="307"/>
      <c r="AX129" s="307"/>
      <c r="BA129" s="307"/>
      <c r="BC129" s="366"/>
      <c r="BD129" s="307"/>
      <c r="BG129" s="307"/>
    </row>
    <row r="130">
      <c r="A130" s="352"/>
      <c r="B130" s="293"/>
      <c r="C130" s="327"/>
      <c r="D130" s="352"/>
      <c r="E130" s="293"/>
      <c r="F130" s="327"/>
      <c r="G130" s="352" t="s">
        <v>7305</v>
      </c>
      <c r="H130" s="293"/>
      <c r="I130" s="327"/>
      <c r="J130" s="352"/>
      <c r="K130" s="352"/>
      <c r="L130" s="327"/>
      <c r="M130" s="352"/>
      <c r="N130" s="352"/>
      <c r="O130" s="327"/>
      <c r="P130" s="352"/>
      <c r="Q130" s="352"/>
      <c r="R130" s="327"/>
      <c r="S130" s="352"/>
      <c r="T130" s="352"/>
      <c r="U130" s="327"/>
      <c r="V130" s="352"/>
      <c r="W130" s="352"/>
      <c r="X130" s="327"/>
      <c r="Y130" s="352"/>
      <c r="Z130" s="352"/>
      <c r="AA130" s="327"/>
      <c r="AB130" s="352"/>
      <c r="AC130" s="352"/>
      <c r="AD130" s="327"/>
      <c r="AE130" s="352"/>
      <c r="AF130" s="352"/>
      <c r="AG130" s="327"/>
      <c r="AH130" s="352"/>
      <c r="AI130" s="352"/>
      <c r="AJ130" s="327"/>
      <c r="AK130" s="352"/>
      <c r="AL130" s="352"/>
      <c r="AM130" s="327"/>
      <c r="AN130" s="352"/>
      <c r="AO130" s="352"/>
      <c r="AP130" s="327"/>
      <c r="AQ130" s="293" t="s">
        <v>7306</v>
      </c>
      <c r="AR130" s="327"/>
      <c r="AU130" s="307"/>
      <c r="AX130" s="307"/>
      <c r="BA130" s="307"/>
      <c r="BC130" s="366"/>
      <c r="BD130" s="307"/>
      <c r="BG130" s="307"/>
    </row>
    <row r="131">
      <c r="A131" s="352"/>
      <c r="B131" s="293"/>
      <c r="C131" s="327"/>
      <c r="D131" s="352"/>
      <c r="E131" s="293"/>
      <c r="F131" s="327"/>
      <c r="G131" s="352" t="s">
        <v>6726</v>
      </c>
      <c r="H131" s="293"/>
      <c r="I131" s="327"/>
      <c r="J131" s="352"/>
      <c r="K131" s="352"/>
      <c r="L131" s="327"/>
      <c r="M131" s="352"/>
      <c r="N131" s="352"/>
      <c r="O131" s="327"/>
      <c r="P131" s="352"/>
      <c r="Q131" s="352"/>
      <c r="R131" s="327"/>
      <c r="S131" s="352"/>
      <c r="T131" s="352"/>
      <c r="U131" s="327"/>
      <c r="V131" s="352"/>
      <c r="W131" s="352"/>
      <c r="X131" s="327"/>
      <c r="Y131" s="352"/>
      <c r="Z131" s="352"/>
      <c r="AA131" s="327"/>
      <c r="AB131" s="352"/>
      <c r="AC131" s="352"/>
      <c r="AD131" s="327"/>
      <c r="AE131" s="352"/>
      <c r="AF131" s="352"/>
      <c r="AG131" s="327"/>
      <c r="AH131" s="352"/>
      <c r="AI131" s="352"/>
      <c r="AJ131" s="327"/>
      <c r="AK131" s="352"/>
      <c r="AL131" s="352"/>
      <c r="AM131" s="327"/>
      <c r="AN131" s="352"/>
      <c r="AO131" s="352"/>
      <c r="AP131" s="327"/>
      <c r="AQ131" s="293" t="s">
        <v>7307</v>
      </c>
      <c r="AR131" s="327"/>
      <c r="AU131" s="307"/>
      <c r="AX131" s="307"/>
      <c r="BA131" s="307"/>
      <c r="BC131" s="366"/>
      <c r="BD131" s="307"/>
      <c r="BG131" s="307"/>
    </row>
    <row r="132">
      <c r="A132" s="352"/>
      <c r="B132" s="293"/>
      <c r="C132" s="298"/>
      <c r="D132" s="352"/>
      <c r="E132" s="293"/>
      <c r="F132" s="298"/>
      <c r="G132" s="352" t="s">
        <v>7308</v>
      </c>
      <c r="H132" s="293"/>
      <c r="I132" s="298"/>
      <c r="J132" s="323"/>
      <c r="K132" s="323"/>
      <c r="L132" s="298"/>
      <c r="M132" s="323"/>
      <c r="N132" s="323"/>
      <c r="O132" s="298"/>
      <c r="P132" s="323"/>
      <c r="Q132" s="323"/>
      <c r="R132" s="298"/>
      <c r="S132" s="323"/>
      <c r="T132" s="323"/>
      <c r="U132" s="298"/>
      <c r="V132" s="323"/>
      <c r="W132" s="323"/>
      <c r="X132" s="298"/>
      <c r="Y132" s="323"/>
      <c r="Z132" s="323"/>
      <c r="AA132" s="298"/>
      <c r="AB132" s="323"/>
      <c r="AC132" s="323"/>
      <c r="AD132" s="298"/>
      <c r="AE132" s="323"/>
      <c r="AF132" s="323"/>
      <c r="AG132" s="298"/>
      <c r="AH132" s="323"/>
      <c r="AI132" s="323"/>
      <c r="AJ132" s="298"/>
      <c r="AK132" s="323"/>
      <c r="AL132" s="323"/>
      <c r="AM132" s="298"/>
      <c r="AN132" s="323"/>
      <c r="AO132" s="323"/>
      <c r="AP132" s="298"/>
      <c r="AQ132" s="293" t="s">
        <v>7309</v>
      </c>
      <c r="AR132" s="327"/>
      <c r="AU132" s="307"/>
      <c r="AX132" s="307"/>
      <c r="BA132" s="307"/>
      <c r="BC132" s="366"/>
      <c r="BD132" s="307"/>
      <c r="BG132" s="307"/>
    </row>
    <row r="133">
      <c r="A133" s="352"/>
      <c r="B133" s="293"/>
      <c r="C133" s="327"/>
      <c r="D133" s="352"/>
      <c r="E133" s="293"/>
      <c r="F133" s="327"/>
      <c r="G133" s="352" t="s">
        <v>7310</v>
      </c>
      <c r="H133" s="293"/>
      <c r="I133" s="327"/>
      <c r="J133" s="352"/>
      <c r="K133" s="352"/>
      <c r="L133" s="327"/>
      <c r="M133" s="352"/>
      <c r="N133" s="352"/>
      <c r="O133" s="327"/>
      <c r="P133" s="352"/>
      <c r="Q133" s="352"/>
      <c r="R133" s="327"/>
      <c r="S133" s="352"/>
      <c r="T133" s="352"/>
      <c r="U133" s="327"/>
      <c r="V133" s="352"/>
      <c r="W133" s="352"/>
      <c r="X133" s="327"/>
      <c r="Y133" s="352"/>
      <c r="Z133" s="352"/>
      <c r="AA133" s="327"/>
      <c r="AB133" s="352"/>
      <c r="AC133" s="352"/>
      <c r="AD133" s="327"/>
      <c r="AE133" s="352"/>
      <c r="AF133" s="352"/>
      <c r="AG133" s="327"/>
      <c r="AH133" s="352"/>
      <c r="AI133" s="352"/>
      <c r="AJ133" s="327"/>
      <c r="AK133" s="352"/>
      <c r="AL133" s="352"/>
      <c r="AM133" s="327"/>
      <c r="AN133" s="352"/>
      <c r="AO133" s="352"/>
      <c r="AP133" s="327"/>
      <c r="AQ133" s="293" t="s">
        <v>7311</v>
      </c>
      <c r="AR133" s="327"/>
      <c r="AU133" s="307"/>
      <c r="AX133" s="307"/>
      <c r="BA133" s="307"/>
      <c r="BC133" s="366"/>
      <c r="BD133" s="307"/>
      <c r="BG133" s="307"/>
    </row>
    <row r="134">
      <c r="A134" s="352"/>
      <c r="B134" s="293"/>
      <c r="C134" s="298"/>
      <c r="D134" s="352"/>
      <c r="E134" s="293"/>
      <c r="F134" s="298"/>
      <c r="G134" s="352" t="s">
        <v>7312</v>
      </c>
      <c r="H134" s="293"/>
      <c r="I134" s="298"/>
      <c r="J134" s="323"/>
      <c r="K134" s="323"/>
      <c r="L134" s="298"/>
      <c r="M134" s="323"/>
      <c r="N134" s="323"/>
      <c r="O134" s="298"/>
      <c r="P134" s="323"/>
      <c r="Q134" s="323"/>
      <c r="R134" s="298"/>
      <c r="S134" s="323"/>
      <c r="T134" s="323"/>
      <c r="U134" s="298"/>
      <c r="V134" s="323"/>
      <c r="W134" s="323"/>
      <c r="X134" s="298"/>
      <c r="Y134" s="323"/>
      <c r="Z134" s="323"/>
      <c r="AA134" s="298"/>
      <c r="AB134" s="323"/>
      <c r="AC134" s="323"/>
      <c r="AD134" s="298"/>
      <c r="AE134" s="323"/>
      <c r="AF134" s="323"/>
      <c r="AG134" s="298"/>
      <c r="AH134" s="323"/>
      <c r="AI134" s="323"/>
      <c r="AJ134" s="298"/>
      <c r="AK134" s="323"/>
      <c r="AL134" s="323"/>
      <c r="AM134" s="298"/>
      <c r="AN134" s="323"/>
      <c r="AO134" s="323"/>
      <c r="AP134" s="298"/>
      <c r="AQ134" s="293" t="s">
        <v>7313</v>
      </c>
      <c r="AR134" s="327"/>
      <c r="AU134" s="307"/>
      <c r="AX134" s="307"/>
      <c r="BA134" s="307"/>
      <c r="BC134" s="366"/>
      <c r="BD134" s="307"/>
      <c r="BG134" s="307"/>
    </row>
    <row r="135">
      <c r="A135" s="352"/>
      <c r="B135" s="293"/>
      <c r="C135" s="327"/>
      <c r="D135" s="352"/>
      <c r="E135" s="293"/>
      <c r="F135" s="327"/>
      <c r="G135" s="352" t="s">
        <v>7314</v>
      </c>
      <c r="H135" s="293"/>
      <c r="I135" s="327"/>
      <c r="J135" s="352"/>
      <c r="K135" s="352"/>
      <c r="L135" s="327"/>
      <c r="M135" s="352"/>
      <c r="N135" s="352"/>
      <c r="O135" s="327"/>
      <c r="P135" s="352"/>
      <c r="Q135" s="352"/>
      <c r="R135" s="327"/>
      <c r="S135" s="352"/>
      <c r="T135" s="352"/>
      <c r="U135" s="327"/>
      <c r="V135" s="352"/>
      <c r="W135" s="352"/>
      <c r="X135" s="327"/>
      <c r="Y135" s="352"/>
      <c r="Z135" s="352"/>
      <c r="AA135" s="327"/>
      <c r="AB135" s="352"/>
      <c r="AC135" s="352"/>
      <c r="AD135" s="327"/>
      <c r="AE135" s="352"/>
      <c r="AF135" s="352"/>
      <c r="AG135" s="327"/>
      <c r="AH135" s="352"/>
      <c r="AI135" s="352"/>
      <c r="AJ135" s="327"/>
      <c r="AK135" s="352"/>
      <c r="AL135" s="352"/>
      <c r="AM135" s="327"/>
      <c r="AN135" s="352"/>
      <c r="AO135" s="352"/>
      <c r="AP135" s="327"/>
      <c r="AQ135" s="293" t="s">
        <v>7315</v>
      </c>
      <c r="AR135" s="327"/>
      <c r="AU135" s="307"/>
      <c r="AX135" s="307"/>
      <c r="BA135" s="307"/>
      <c r="BC135" s="366"/>
      <c r="BD135" s="307"/>
      <c r="BG135" s="307"/>
    </row>
    <row r="136">
      <c r="A136" s="352"/>
      <c r="B136" s="293"/>
      <c r="C136" s="298"/>
      <c r="D136" s="352"/>
      <c r="E136" s="293"/>
      <c r="F136" s="298"/>
      <c r="G136" s="352" t="s">
        <v>7316</v>
      </c>
      <c r="H136" s="293"/>
      <c r="I136" s="298"/>
      <c r="J136" s="323"/>
      <c r="K136" s="323"/>
      <c r="L136" s="298"/>
      <c r="M136" s="323"/>
      <c r="N136" s="323"/>
      <c r="O136" s="298"/>
      <c r="P136" s="323"/>
      <c r="Q136" s="323"/>
      <c r="R136" s="298"/>
      <c r="S136" s="323"/>
      <c r="T136" s="323"/>
      <c r="U136" s="298"/>
      <c r="V136" s="323"/>
      <c r="W136" s="323"/>
      <c r="X136" s="298"/>
      <c r="Y136" s="323"/>
      <c r="Z136" s="323"/>
      <c r="AA136" s="298"/>
      <c r="AB136" s="323"/>
      <c r="AC136" s="323"/>
      <c r="AD136" s="298"/>
      <c r="AE136" s="323"/>
      <c r="AF136" s="323"/>
      <c r="AG136" s="298"/>
      <c r="AH136" s="323"/>
      <c r="AI136" s="323"/>
      <c r="AJ136" s="298"/>
      <c r="AK136" s="323"/>
      <c r="AL136" s="323"/>
      <c r="AM136" s="298"/>
      <c r="AN136" s="323"/>
      <c r="AO136" s="323"/>
      <c r="AP136" s="298"/>
      <c r="AQ136" s="295" t="s">
        <v>7317</v>
      </c>
      <c r="AR136" s="327"/>
      <c r="AU136" s="307"/>
      <c r="AX136" s="307"/>
      <c r="BA136" s="307"/>
      <c r="BC136" s="366"/>
      <c r="BD136" s="307"/>
      <c r="BG136" s="307"/>
    </row>
    <row r="137">
      <c r="B137" s="293"/>
      <c r="C137" s="298"/>
      <c r="E137" s="293"/>
      <c r="F137" s="298"/>
      <c r="G137" s="300" t="s">
        <v>6608</v>
      </c>
      <c r="H137" s="293" t="s">
        <v>7318</v>
      </c>
      <c r="I137" s="298"/>
      <c r="J137" s="323"/>
      <c r="K137" s="323"/>
      <c r="L137" s="298"/>
      <c r="M137" s="323"/>
      <c r="N137" s="323"/>
      <c r="O137" s="298"/>
      <c r="P137" s="323"/>
      <c r="Q137" s="323"/>
      <c r="R137" s="298"/>
      <c r="S137" s="323"/>
      <c r="T137" s="323"/>
      <c r="U137" s="298"/>
      <c r="V137" s="323"/>
      <c r="W137" s="323"/>
      <c r="X137" s="298"/>
      <c r="Y137" s="323"/>
      <c r="Z137" s="323"/>
      <c r="AA137" s="298"/>
      <c r="AB137" s="323"/>
      <c r="AC137" s="323"/>
      <c r="AD137" s="298"/>
      <c r="AE137" s="323"/>
      <c r="AF137" s="323"/>
      <c r="AG137" s="298"/>
      <c r="AH137" s="323"/>
      <c r="AI137" s="323"/>
      <c r="AJ137" s="298"/>
      <c r="AK137" s="323"/>
      <c r="AL137" s="323"/>
      <c r="AM137" s="298"/>
      <c r="AN137" s="323"/>
      <c r="AO137" s="323"/>
      <c r="AP137" s="298"/>
      <c r="AQ137" s="293" t="s">
        <v>7319</v>
      </c>
      <c r="AR137" s="327"/>
      <c r="AU137" s="307"/>
      <c r="AX137" s="307"/>
      <c r="BA137" s="307"/>
      <c r="BC137" s="366"/>
      <c r="BD137" s="307"/>
      <c r="BG137" s="307"/>
    </row>
    <row r="138">
      <c r="A138" s="352"/>
      <c r="B138" s="293"/>
      <c r="C138" s="298"/>
      <c r="D138" s="352"/>
      <c r="E138" s="293"/>
      <c r="F138" s="298"/>
      <c r="G138" s="352" t="s">
        <v>2097</v>
      </c>
      <c r="H138" s="293"/>
      <c r="I138" s="298"/>
      <c r="J138" s="323"/>
      <c r="K138" s="323"/>
      <c r="L138" s="298"/>
      <c r="M138" s="323"/>
      <c r="N138" s="323"/>
      <c r="O138" s="298"/>
      <c r="P138" s="323"/>
      <c r="Q138" s="323"/>
      <c r="R138" s="298"/>
      <c r="S138" s="323"/>
      <c r="T138" s="323"/>
      <c r="U138" s="298"/>
      <c r="V138" s="323"/>
      <c r="W138" s="323"/>
      <c r="X138" s="298"/>
      <c r="Y138" s="323"/>
      <c r="Z138" s="323"/>
      <c r="AA138" s="298"/>
      <c r="AB138" s="323"/>
      <c r="AC138" s="323"/>
      <c r="AD138" s="298"/>
      <c r="AE138" s="323"/>
      <c r="AF138" s="323"/>
      <c r="AG138" s="298"/>
      <c r="AH138" s="323"/>
      <c r="AI138" s="323"/>
      <c r="AJ138" s="298"/>
      <c r="AK138" s="323"/>
      <c r="AL138" s="323"/>
      <c r="AM138" s="298"/>
      <c r="AN138" s="323"/>
      <c r="AO138" s="323"/>
      <c r="AP138" s="298"/>
      <c r="AQ138" s="293"/>
      <c r="AR138" s="327"/>
      <c r="AU138" s="307"/>
      <c r="AX138" s="307"/>
      <c r="BA138" s="307"/>
      <c r="BC138" s="366"/>
      <c r="BD138" s="307"/>
      <c r="BG138" s="307"/>
    </row>
    <row r="139">
      <c r="A139" s="352"/>
      <c r="B139" s="293"/>
      <c r="C139" s="298"/>
      <c r="D139" s="352"/>
      <c r="E139" s="293"/>
      <c r="F139" s="298"/>
      <c r="G139" s="352" t="s">
        <v>7320</v>
      </c>
      <c r="H139" s="293"/>
      <c r="I139" s="298"/>
      <c r="J139" s="323"/>
      <c r="K139" s="323"/>
      <c r="L139" s="298"/>
      <c r="M139" s="323"/>
      <c r="N139" s="323"/>
      <c r="O139" s="298"/>
      <c r="P139" s="323"/>
      <c r="Q139" s="323"/>
      <c r="R139" s="298"/>
      <c r="S139" s="323"/>
      <c r="T139" s="323"/>
      <c r="U139" s="298"/>
      <c r="V139" s="323"/>
      <c r="W139" s="323"/>
      <c r="X139" s="298"/>
      <c r="Y139" s="323"/>
      <c r="Z139" s="323"/>
      <c r="AA139" s="298"/>
      <c r="AB139" s="323"/>
      <c r="AC139" s="323"/>
      <c r="AD139" s="298"/>
      <c r="AE139" s="323"/>
      <c r="AF139" s="323"/>
      <c r="AG139" s="298"/>
      <c r="AH139" s="323"/>
      <c r="AI139" s="323"/>
      <c r="AJ139" s="298"/>
      <c r="AK139" s="323"/>
      <c r="AL139" s="323"/>
      <c r="AM139" s="298"/>
      <c r="AN139" s="323"/>
      <c r="AO139" s="323"/>
      <c r="AP139" s="298"/>
      <c r="AQ139" s="293" t="s">
        <v>7321</v>
      </c>
      <c r="AR139" s="327"/>
      <c r="AU139" s="307"/>
      <c r="AX139" s="307"/>
      <c r="BA139" s="307"/>
      <c r="BC139" s="366"/>
      <c r="BD139" s="307"/>
      <c r="BG139" s="307"/>
    </row>
    <row r="140">
      <c r="B140" s="293"/>
      <c r="C140" s="298"/>
      <c r="E140" s="293"/>
      <c r="F140" s="298"/>
      <c r="H140" s="293"/>
      <c r="I140" s="298"/>
      <c r="J140" s="323"/>
      <c r="K140" s="323"/>
      <c r="L140" s="298"/>
      <c r="M140" s="323"/>
      <c r="N140" s="323"/>
      <c r="O140" s="298"/>
      <c r="P140" s="323"/>
      <c r="Q140" s="323"/>
      <c r="R140" s="298"/>
      <c r="S140" s="323"/>
      <c r="T140" s="323"/>
      <c r="U140" s="298"/>
      <c r="V140" s="323"/>
      <c r="W140" s="323"/>
      <c r="X140" s="298"/>
      <c r="Y140" s="323"/>
      <c r="Z140" s="323"/>
      <c r="AA140" s="298"/>
      <c r="AB140" s="323"/>
      <c r="AC140" s="323"/>
      <c r="AD140" s="298"/>
      <c r="AE140" s="323"/>
      <c r="AF140" s="323"/>
      <c r="AG140" s="298"/>
      <c r="AH140" s="323"/>
      <c r="AI140" s="323"/>
      <c r="AJ140" s="298"/>
      <c r="AK140" s="323"/>
      <c r="AL140" s="323"/>
      <c r="AM140" s="298"/>
      <c r="AN140" s="323"/>
      <c r="AO140" s="323"/>
      <c r="AP140" s="298"/>
      <c r="AQ140" s="293" t="s">
        <v>7322</v>
      </c>
      <c r="AR140" s="327"/>
      <c r="AU140" s="307"/>
      <c r="AX140" s="307"/>
      <c r="BA140" s="307"/>
      <c r="BC140" s="366"/>
      <c r="BD140" s="307"/>
      <c r="BG140" s="307"/>
    </row>
    <row r="141">
      <c r="A141" s="352"/>
      <c r="B141" s="293"/>
      <c r="C141" s="327"/>
      <c r="D141" s="352"/>
      <c r="E141" s="293"/>
      <c r="F141" s="327"/>
      <c r="G141" s="352" t="s">
        <v>339</v>
      </c>
      <c r="H141" s="293"/>
      <c r="I141" s="327"/>
      <c r="J141" s="352"/>
      <c r="K141" s="352"/>
      <c r="L141" s="327"/>
      <c r="M141" s="352"/>
      <c r="N141" s="352"/>
      <c r="O141" s="327"/>
      <c r="P141" s="352"/>
      <c r="Q141" s="352"/>
      <c r="R141" s="327"/>
      <c r="S141" s="352"/>
      <c r="T141" s="352"/>
      <c r="U141" s="327"/>
      <c r="V141" s="352"/>
      <c r="W141" s="352"/>
      <c r="X141" s="327"/>
      <c r="Y141" s="352"/>
      <c r="Z141" s="352"/>
      <c r="AA141" s="327"/>
      <c r="AB141" s="352"/>
      <c r="AC141" s="352"/>
      <c r="AD141" s="327"/>
      <c r="AE141" s="352"/>
      <c r="AF141" s="352"/>
      <c r="AG141" s="327"/>
      <c r="AH141" s="352"/>
      <c r="AI141" s="352"/>
      <c r="AJ141" s="327"/>
      <c r="AK141" s="352"/>
      <c r="AL141" s="352"/>
      <c r="AM141" s="327"/>
      <c r="AN141" s="352"/>
      <c r="AO141" s="352"/>
      <c r="AP141" s="327"/>
      <c r="AQ141" s="293" t="s">
        <v>7323</v>
      </c>
      <c r="AR141" s="327"/>
      <c r="AU141" s="307"/>
      <c r="AX141" s="307"/>
      <c r="BA141" s="307"/>
      <c r="BC141" s="366"/>
      <c r="BD141" s="307"/>
      <c r="BG141" s="307"/>
    </row>
    <row r="142">
      <c r="A142" s="352"/>
      <c r="B142" s="293"/>
      <c r="C142" s="327"/>
      <c r="D142" s="352"/>
      <c r="E142" s="293"/>
      <c r="F142" s="327"/>
      <c r="G142" s="352" t="s">
        <v>7324</v>
      </c>
      <c r="H142" s="293"/>
      <c r="I142" s="327"/>
      <c r="J142" s="352"/>
      <c r="K142" s="352"/>
      <c r="L142" s="327"/>
      <c r="M142" s="352"/>
      <c r="N142" s="352"/>
      <c r="O142" s="327"/>
      <c r="P142" s="352"/>
      <c r="Q142" s="352"/>
      <c r="R142" s="327"/>
      <c r="S142" s="352"/>
      <c r="T142" s="352"/>
      <c r="U142" s="327"/>
      <c r="V142" s="352"/>
      <c r="W142" s="352"/>
      <c r="X142" s="327"/>
      <c r="Y142" s="352"/>
      <c r="Z142" s="352"/>
      <c r="AA142" s="327"/>
      <c r="AB142" s="352"/>
      <c r="AC142" s="352"/>
      <c r="AD142" s="327"/>
      <c r="AE142" s="352"/>
      <c r="AF142" s="352"/>
      <c r="AG142" s="327"/>
      <c r="AH142" s="352"/>
      <c r="AI142" s="352"/>
      <c r="AJ142" s="327"/>
      <c r="AK142" s="352"/>
      <c r="AL142" s="352"/>
      <c r="AM142" s="327"/>
      <c r="AN142" s="352"/>
      <c r="AO142" s="352"/>
      <c r="AP142" s="327"/>
      <c r="AQ142" s="293" t="s">
        <v>7325</v>
      </c>
      <c r="AR142" s="327"/>
      <c r="AU142" s="307"/>
      <c r="AX142" s="307"/>
      <c r="BA142" s="307"/>
      <c r="BC142" s="366"/>
      <c r="BD142" s="307"/>
      <c r="BG142" s="307"/>
    </row>
    <row r="143">
      <c r="A143" s="352"/>
      <c r="B143" s="293"/>
      <c r="C143" s="298"/>
      <c r="D143" s="352"/>
      <c r="E143" s="293"/>
      <c r="F143" s="298"/>
      <c r="G143" s="352" t="s">
        <v>7326</v>
      </c>
      <c r="H143" s="293"/>
      <c r="I143" s="298"/>
      <c r="J143" s="323"/>
      <c r="K143" s="323"/>
      <c r="L143" s="298"/>
      <c r="M143" s="323"/>
      <c r="N143" s="323"/>
      <c r="O143" s="298"/>
      <c r="P143" s="323"/>
      <c r="Q143" s="323"/>
      <c r="R143" s="298"/>
      <c r="S143" s="323"/>
      <c r="T143" s="323"/>
      <c r="U143" s="298"/>
      <c r="V143" s="323"/>
      <c r="W143" s="323"/>
      <c r="X143" s="298"/>
      <c r="Y143" s="323"/>
      <c r="Z143" s="323"/>
      <c r="AA143" s="298"/>
      <c r="AB143" s="323"/>
      <c r="AC143" s="323"/>
      <c r="AD143" s="298"/>
      <c r="AE143" s="323"/>
      <c r="AF143" s="323"/>
      <c r="AG143" s="298"/>
      <c r="AH143" s="323"/>
      <c r="AI143" s="323"/>
      <c r="AJ143" s="298"/>
      <c r="AK143" s="323"/>
      <c r="AL143" s="323"/>
      <c r="AM143" s="298"/>
      <c r="AN143" s="323"/>
      <c r="AO143" s="323"/>
      <c r="AP143" s="298"/>
      <c r="AQ143" s="293" t="s">
        <v>7327</v>
      </c>
      <c r="AR143" s="327"/>
      <c r="AU143" s="307"/>
      <c r="AX143" s="307"/>
      <c r="BA143" s="307"/>
      <c r="BC143" s="366"/>
      <c r="BD143" s="307"/>
      <c r="BG143" s="307"/>
    </row>
    <row r="144">
      <c r="A144" s="352"/>
      <c r="B144" s="293"/>
      <c r="C144" s="298"/>
      <c r="D144" s="352"/>
      <c r="E144" s="293"/>
      <c r="F144" s="298"/>
      <c r="G144" s="352" t="s">
        <v>7328</v>
      </c>
      <c r="H144" s="293"/>
      <c r="I144" s="298"/>
      <c r="J144" s="323"/>
      <c r="K144" s="323"/>
      <c r="L144" s="298"/>
      <c r="M144" s="323"/>
      <c r="N144" s="323"/>
      <c r="O144" s="298"/>
      <c r="P144" s="323"/>
      <c r="Q144" s="323"/>
      <c r="R144" s="298"/>
      <c r="S144" s="323"/>
      <c r="T144" s="323"/>
      <c r="U144" s="298"/>
      <c r="V144" s="323"/>
      <c r="W144" s="323"/>
      <c r="X144" s="298"/>
      <c r="Y144" s="323"/>
      <c r="Z144" s="323"/>
      <c r="AA144" s="298"/>
      <c r="AB144" s="323"/>
      <c r="AC144" s="323"/>
      <c r="AD144" s="298"/>
      <c r="AE144" s="323"/>
      <c r="AF144" s="323"/>
      <c r="AG144" s="298"/>
      <c r="AH144" s="323"/>
      <c r="AI144" s="323"/>
      <c r="AJ144" s="298"/>
      <c r="AK144" s="323"/>
      <c r="AL144" s="323"/>
      <c r="AM144" s="298"/>
      <c r="AN144" s="323"/>
      <c r="AO144" s="323"/>
      <c r="AP144" s="298"/>
      <c r="AQ144" s="293" t="s">
        <v>7329</v>
      </c>
      <c r="AR144" s="327"/>
      <c r="AU144" s="307"/>
      <c r="AX144" s="307"/>
      <c r="BA144" s="307"/>
      <c r="BC144" s="366"/>
      <c r="BD144" s="307"/>
      <c r="BG144" s="307"/>
    </row>
    <row r="145">
      <c r="A145" s="352"/>
      <c r="B145" s="293"/>
      <c r="C145" s="298"/>
      <c r="D145" s="352"/>
      <c r="E145" s="293"/>
      <c r="F145" s="298"/>
      <c r="G145" s="352" t="s">
        <v>7330</v>
      </c>
      <c r="H145" s="293"/>
      <c r="I145" s="298"/>
      <c r="J145" s="323"/>
      <c r="K145" s="323"/>
      <c r="L145" s="298"/>
      <c r="M145" s="323"/>
      <c r="N145" s="323"/>
      <c r="O145" s="298"/>
      <c r="P145" s="323"/>
      <c r="Q145" s="323"/>
      <c r="R145" s="298"/>
      <c r="S145" s="323"/>
      <c r="T145" s="323"/>
      <c r="U145" s="298"/>
      <c r="V145" s="323"/>
      <c r="W145" s="323"/>
      <c r="X145" s="298"/>
      <c r="Y145" s="323"/>
      <c r="Z145" s="323"/>
      <c r="AA145" s="298"/>
      <c r="AB145" s="323"/>
      <c r="AC145" s="323"/>
      <c r="AD145" s="298"/>
      <c r="AE145" s="323"/>
      <c r="AF145" s="323"/>
      <c r="AG145" s="298"/>
      <c r="AH145" s="323"/>
      <c r="AI145" s="323"/>
      <c r="AJ145" s="298"/>
      <c r="AK145" s="323"/>
      <c r="AL145" s="323"/>
      <c r="AM145" s="298"/>
      <c r="AN145" s="323"/>
      <c r="AO145" s="323"/>
      <c r="AP145" s="298"/>
      <c r="AQ145" s="293" t="s">
        <v>7331</v>
      </c>
      <c r="AR145" s="327"/>
      <c r="AU145" s="307"/>
      <c r="AX145" s="307"/>
      <c r="BA145" s="307"/>
      <c r="BC145" s="366"/>
      <c r="BD145" s="307"/>
      <c r="BG145" s="307"/>
    </row>
    <row r="146">
      <c r="A146" s="352"/>
      <c r="B146" s="293"/>
      <c r="C146" s="327"/>
      <c r="D146" s="352"/>
      <c r="E146" s="293"/>
      <c r="F146" s="327"/>
      <c r="G146" s="352" t="s">
        <v>7332</v>
      </c>
      <c r="H146" s="293"/>
      <c r="I146" s="327"/>
      <c r="J146" s="352"/>
      <c r="K146" s="352"/>
      <c r="L146" s="327"/>
      <c r="M146" s="352"/>
      <c r="N146" s="352"/>
      <c r="O146" s="327"/>
      <c r="P146" s="352"/>
      <c r="Q146" s="352"/>
      <c r="R146" s="327"/>
      <c r="S146" s="352"/>
      <c r="T146" s="352"/>
      <c r="U146" s="327"/>
      <c r="V146" s="352"/>
      <c r="W146" s="352"/>
      <c r="X146" s="327"/>
      <c r="Y146" s="352"/>
      <c r="Z146" s="352"/>
      <c r="AA146" s="327"/>
      <c r="AB146" s="352"/>
      <c r="AC146" s="352"/>
      <c r="AD146" s="327"/>
      <c r="AE146" s="352"/>
      <c r="AF146" s="352"/>
      <c r="AG146" s="327"/>
      <c r="AH146" s="352"/>
      <c r="AI146" s="352"/>
      <c r="AJ146" s="327"/>
      <c r="AK146" s="352"/>
      <c r="AL146" s="352"/>
      <c r="AM146" s="327"/>
      <c r="AN146" s="352"/>
      <c r="AO146" s="352"/>
      <c r="AP146" s="327"/>
      <c r="AQ146" s="293" t="s">
        <v>7333</v>
      </c>
      <c r="AR146" s="327"/>
      <c r="AU146" s="307"/>
      <c r="AX146" s="307"/>
      <c r="BA146" s="307"/>
      <c r="BC146" s="366"/>
      <c r="BD146" s="307"/>
      <c r="BG146" s="307"/>
    </row>
    <row r="147">
      <c r="A147" s="352"/>
      <c r="B147" s="293"/>
      <c r="C147" s="327"/>
      <c r="D147" s="352"/>
      <c r="E147" s="293"/>
      <c r="F147" s="327"/>
      <c r="G147" s="352" t="s">
        <v>7334</v>
      </c>
      <c r="H147" s="293"/>
      <c r="I147" s="327"/>
      <c r="J147" s="352"/>
      <c r="K147" s="352"/>
      <c r="L147" s="327"/>
      <c r="M147" s="352"/>
      <c r="N147" s="352"/>
      <c r="O147" s="327"/>
      <c r="P147" s="352"/>
      <c r="Q147" s="352"/>
      <c r="R147" s="327"/>
      <c r="S147" s="352"/>
      <c r="T147" s="352"/>
      <c r="U147" s="327"/>
      <c r="V147" s="352"/>
      <c r="W147" s="352"/>
      <c r="X147" s="327"/>
      <c r="Y147" s="352"/>
      <c r="Z147" s="352"/>
      <c r="AA147" s="327"/>
      <c r="AB147" s="352"/>
      <c r="AC147" s="352"/>
      <c r="AD147" s="327"/>
      <c r="AE147" s="352"/>
      <c r="AF147" s="352"/>
      <c r="AG147" s="327"/>
      <c r="AH147" s="352"/>
      <c r="AI147" s="352"/>
      <c r="AJ147" s="327"/>
      <c r="AK147" s="352"/>
      <c r="AL147" s="352"/>
      <c r="AM147" s="327"/>
      <c r="AN147" s="352"/>
      <c r="AO147" s="352"/>
      <c r="AP147" s="327"/>
      <c r="AQ147" s="293" t="s">
        <v>7335</v>
      </c>
      <c r="AR147" s="327"/>
      <c r="AU147" s="307"/>
      <c r="AX147" s="307"/>
      <c r="BA147" s="307"/>
      <c r="BC147" s="366"/>
      <c r="BD147" s="307"/>
      <c r="BG147" s="307"/>
    </row>
    <row r="148">
      <c r="A148" s="352"/>
      <c r="B148" s="293"/>
      <c r="C148" s="327"/>
      <c r="D148" s="352"/>
      <c r="E148" s="293"/>
      <c r="F148" s="327"/>
      <c r="G148" s="352" t="s">
        <v>7336</v>
      </c>
      <c r="H148" s="293"/>
      <c r="I148" s="327"/>
      <c r="J148" s="352"/>
      <c r="K148" s="352"/>
      <c r="L148" s="327"/>
      <c r="M148" s="352"/>
      <c r="N148" s="352"/>
      <c r="O148" s="327"/>
      <c r="P148" s="352"/>
      <c r="Q148" s="352"/>
      <c r="R148" s="327"/>
      <c r="S148" s="352"/>
      <c r="T148" s="352"/>
      <c r="U148" s="327"/>
      <c r="V148" s="352"/>
      <c r="W148" s="352"/>
      <c r="X148" s="327"/>
      <c r="Y148" s="352"/>
      <c r="Z148" s="352"/>
      <c r="AA148" s="327"/>
      <c r="AB148" s="352"/>
      <c r="AC148" s="352"/>
      <c r="AD148" s="327"/>
      <c r="AE148" s="352"/>
      <c r="AF148" s="352"/>
      <c r="AG148" s="327"/>
      <c r="AH148" s="352"/>
      <c r="AI148" s="352"/>
      <c r="AJ148" s="327"/>
      <c r="AK148" s="352"/>
      <c r="AL148" s="352"/>
      <c r="AM148" s="327"/>
      <c r="AN148" s="352"/>
      <c r="AO148" s="352"/>
      <c r="AP148" s="327"/>
      <c r="AQ148" s="293" t="s">
        <v>7337</v>
      </c>
      <c r="AR148" s="327"/>
      <c r="AU148" s="307"/>
      <c r="AX148" s="307"/>
      <c r="BA148" s="307"/>
      <c r="BC148" s="366"/>
      <c r="BD148" s="307"/>
      <c r="BG148" s="307"/>
    </row>
    <row r="149">
      <c r="B149" s="293"/>
      <c r="C149" s="298"/>
      <c r="E149" s="293"/>
      <c r="F149" s="298"/>
      <c r="H149" s="293"/>
      <c r="I149" s="298"/>
      <c r="J149" s="323"/>
      <c r="K149" s="323"/>
      <c r="L149" s="298"/>
      <c r="M149" s="323"/>
      <c r="N149" s="323"/>
      <c r="O149" s="298"/>
      <c r="P149" s="323"/>
      <c r="Q149" s="323"/>
      <c r="R149" s="298"/>
      <c r="S149" s="323"/>
      <c r="T149" s="323"/>
      <c r="U149" s="298"/>
      <c r="V149" s="323"/>
      <c r="W149" s="323"/>
      <c r="X149" s="298"/>
      <c r="Y149" s="323"/>
      <c r="Z149" s="323"/>
      <c r="AA149" s="298"/>
      <c r="AB149" s="323"/>
      <c r="AC149" s="323"/>
      <c r="AD149" s="298"/>
      <c r="AE149" s="323"/>
      <c r="AF149" s="323"/>
      <c r="AG149" s="298"/>
      <c r="AH149" s="323"/>
      <c r="AI149" s="323"/>
      <c r="AJ149" s="298"/>
      <c r="AK149" s="323"/>
      <c r="AL149" s="323"/>
      <c r="AM149" s="298"/>
      <c r="AN149" s="323"/>
      <c r="AO149" s="323"/>
      <c r="AP149" s="298"/>
      <c r="AQ149" s="293" t="s">
        <v>7029</v>
      </c>
      <c r="AR149" s="327"/>
      <c r="AU149" s="307"/>
      <c r="AX149" s="307"/>
      <c r="BA149" s="307"/>
      <c r="BC149" s="366"/>
      <c r="BD149" s="307"/>
      <c r="BG149" s="307"/>
    </row>
    <row r="150">
      <c r="A150" s="352"/>
      <c r="B150" s="293"/>
      <c r="C150" s="298"/>
      <c r="D150" s="352"/>
      <c r="E150" s="293"/>
      <c r="F150" s="298"/>
      <c r="G150" s="352" t="s">
        <v>7338</v>
      </c>
      <c r="H150" s="293"/>
      <c r="I150" s="298"/>
      <c r="J150" s="323"/>
      <c r="K150" s="323"/>
      <c r="L150" s="298"/>
      <c r="M150" s="323"/>
      <c r="N150" s="323"/>
      <c r="O150" s="298"/>
      <c r="P150" s="323"/>
      <c r="Q150" s="323"/>
      <c r="R150" s="298"/>
      <c r="S150" s="323"/>
      <c r="T150" s="323"/>
      <c r="U150" s="298"/>
      <c r="V150" s="323"/>
      <c r="W150" s="323"/>
      <c r="X150" s="298"/>
      <c r="Y150" s="323"/>
      <c r="Z150" s="323"/>
      <c r="AA150" s="298"/>
      <c r="AB150" s="323"/>
      <c r="AC150" s="323"/>
      <c r="AD150" s="298"/>
      <c r="AE150" s="323"/>
      <c r="AF150" s="323"/>
      <c r="AG150" s="298"/>
      <c r="AH150" s="323"/>
      <c r="AI150" s="323"/>
      <c r="AJ150" s="298"/>
      <c r="AK150" s="323"/>
      <c r="AL150" s="323"/>
      <c r="AM150" s="298"/>
      <c r="AN150" s="323"/>
      <c r="AO150" s="323"/>
      <c r="AP150" s="298"/>
      <c r="AQ150" s="293" t="s">
        <v>7339</v>
      </c>
      <c r="AR150" s="327"/>
      <c r="AU150" s="307"/>
      <c r="AX150" s="307"/>
      <c r="BA150" s="307"/>
      <c r="BC150" s="366"/>
      <c r="BD150" s="307"/>
      <c r="BG150" s="307"/>
    </row>
    <row r="151">
      <c r="A151" s="352"/>
      <c r="B151" s="293"/>
      <c r="C151" s="298"/>
      <c r="D151" s="352"/>
      <c r="E151" s="293"/>
      <c r="F151" s="298"/>
      <c r="G151" s="352" t="s">
        <v>7340</v>
      </c>
      <c r="H151" s="293"/>
      <c r="I151" s="298"/>
      <c r="J151" s="323"/>
      <c r="K151" s="323"/>
      <c r="L151" s="298"/>
      <c r="M151" s="323"/>
      <c r="N151" s="323"/>
      <c r="O151" s="298"/>
      <c r="P151" s="323"/>
      <c r="Q151" s="323"/>
      <c r="R151" s="298"/>
      <c r="S151" s="323"/>
      <c r="T151" s="323"/>
      <c r="U151" s="298"/>
      <c r="V151" s="323"/>
      <c r="W151" s="323"/>
      <c r="X151" s="298"/>
      <c r="Y151" s="323"/>
      <c r="Z151" s="323"/>
      <c r="AA151" s="298"/>
      <c r="AB151" s="323"/>
      <c r="AC151" s="323"/>
      <c r="AD151" s="298"/>
      <c r="AE151" s="323"/>
      <c r="AF151" s="323"/>
      <c r="AG151" s="298"/>
      <c r="AH151" s="323"/>
      <c r="AI151" s="323"/>
      <c r="AJ151" s="298"/>
      <c r="AK151" s="323"/>
      <c r="AL151" s="323"/>
      <c r="AM151" s="298"/>
      <c r="AN151" s="323"/>
      <c r="AO151" s="323"/>
      <c r="AP151" s="298"/>
      <c r="AQ151" s="293" t="s">
        <v>7341</v>
      </c>
      <c r="AR151" s="327"/>
      <c r="AU151" s="307"/>
      <c r="AX151" s="307"/>
      <c r="BA151" s="307"/>
      <c r="BC151" s="366"/>
      <c r="BD151" s="307"/>
      <c r="BG151" s="307"/>
    </row>
    <row r="152">
      <c r="A152" s="352"/>
      <c r="B152" s="293"/>
      <c r="C152" s="298"/>
      <c r="D152" s="352"/>
      <c r="E152" s="293"/>
      <c r="F152" s="298"/>
      <c r="G152" s="352" t="s">
        <v>7342</v>
      </c>
      <c r="H152" s="293"/>
      <c r="I152" s="298"/>
      <c r="J152" s="323"/>
      <c r="K152" s="323"/>
      <c r="L152" s="298"/>
      <c r="M152" s="323"/>
      <c r="N152" s="323"/>
      <c r="O152" s="298"/>
      <c r="P152" s="323"/>
      <c r="Q152" s="323"/>
      <c r="R152" s="298"/>
      <c r="S152" s="323"/>
      <c r="T152" s="323"/>
      <c r="U152" s="298"/>
      <c r="V152" s="323"/>
      <c r="W152" s="323"/>
      <c r="X152" s="298"/>
      <c r="Y152" s="323"/>
      <c r="Z152" s="323"/>
      <c r="AA152" s="298"/>
      <c r="AB152" s="323"/>
      <c r="AC152" s="323"/>
      <c r="AD152" s="298"/>
      <c r="AE152" s="323"/>
      <c r="AF152" s="323"/>
      <c r="AG152" s="298"/>
      <c r="AH152" s="323"/>
      <c r="AI152" s="323"/>
      <c r="AJ152" s="298"/>
      <c r="AK152" s="323"/>
      <c r="AL152" s="323"/>
      <c r="AM152" s="298"/>
      <c r="AN152" s="323"/>
      <c r="AO152" s="323"/>
      <c r="AP152" s="298"/>
      <c r="AQ152" s="293" t="s">
        <v>7343</v>
      </c>
      <c r="AR152" s="327"/>
      <c r="AU152" s="307"/>
      <c r="AX152" s="307"/>
      <c r="BA152" s="307"/>
      <c r="BC152" s="366"/>
      <c r="BD152" s="307"/>
      <c r="BG152" s="307"/>
    </row>
    <row r="153">
      <c r="A153" s="352"/>
      <c r="B153" s="293"/>
      <c r="C153" s="298"/>
      <c r="D153" s="352"/>
      <c r="E153" s="293"/>
      <c r="F153" s="298"/>
      <c r="G153" s="352" t="s">
        <v>4411</v>
      </c>
      <c r="H153" s="293"/>
      <c r="I153" s="298"/>
      <c r="J153" s="323"/>
      <c r="K153" s="323"/>
      <c r="L153" s="298"/>
      <c r="M153" s="323"/>
      <c r="N153" s="323"/>
      <c r="O153" s="298"/>
      <c r="P153" s="323"/>
      <c r="Q153" s="323"/>
      <c r="R153" s="298"/>
      <c r="S153" s="323"/>
      <c r="T153" s="323"/>
      <c r="U153" s="298"/>
      <c r="V153" s="323"/>
      <c r="W153" s="323"/>
      <c r="X153" s="298"/>
      <c r="Y153" s="323"/>
      <c r="Z153" s="323"/>
      <c r="AA153" s="298"/>
      <c r="AB153" s="323"/>
      <c r="AC153" s="323"/>
      <c r="AD153" s="298"/>
      <c r="AE153" s="323"/>
      <c r="AF153" s="323"/>
      <c r="AG153" s="298"/>
      <c r="AH153" s="323"/>
      <c r="AI153" s="323"/>
      <c r="AJ153" s="298"/>
      <c r="AK153" s="323"/>
      <c r="AL153" s="323"/>
      <c r="AM153" s="298"/>
      <c r="AN153" s="323"/>
      <c r="AO153" s="323"/>
      <c r="AP153" s="298"/>
      <c r="AQ153" s="317"/>
      <c r="AR153" s="327"/>
      <c r="AU153" s="307"/>
      <c r="AX153" s="307"/>
      <c r="BA153" s="307"/>
      <c r="BC153" s="366"/>
      <c r="BD153" s="307"/>
      <c r="BG153" s="307"/>
    </row>
    <row r="154">
      <c r="A154" s="352"/>
      <c r="B154" s="293"/>
      <c r="C154" s="298"/>
      <c r="D154" s="352"/>
      <c r="E154" s="293"/>
      <c r="F154" s="298"/>
      <c r="G154" s="352" t="s">
        <v>2025</v>
      </c>
      <c r="H154" s="293"/>
      <c r="I154" s="298"/>
      <c r="J154" s="323"/>
      <c r="K154" s="323"/>
      <c r="L154" s="298"/>
      <c r="M154" s="323"/>
      <c r="N154" s="323"/>
      <c r="O154" s="298"/>
      <c r="P154" s="323"/>
      <c r="Q154" s="323"/>
      <c r="R154" s="298"/>
      <c r="S154" s="323"/>
      <c r="T154" s="323"/>
      <c r="U154" s="298"/>
      <c r="V154" s="323"/>
      <c r="W154" s="323"/>
      <c r="X154" s="298"/>
      <c r="Y154" s="323"/>
      <c r="Z154" s="323"/>
      <c r="AA154" s="298"/>
      <c r="AB154" s="323"/>
      <c r="AC154" s="323"/>
      <c r="AD154" s="298"/>
      <c r="AE154" s="323"/>
      <c r="AF154" s="323"/>
      <c r="AG154" s="298"/>
      <c r="AH154" s="323"/>
      <c r="AI154" s="323"/>
      <c r="AJ154" s="298"/>
      <c r="AK154" s="323"/>
      <c r="AL154" s="323"/>
      <c r="AM154" s="298"/>
      <c r="AN154" s="323"/>
      <c r="AO154" s="323"/>
      <c r="AP154" s="298"/>
      <c r="AQ154" s="317"/>
      <c r="AR154" s="327"/>
      <c r="AU154" s="307"/>
      <c r="AX154" s="307"/>
      <c r="BA154" s="307"/>
      <c r="BC154" s="366"/>
      <c r="BD154" s="307"/>
      <c r="BG154" s="307"/>
    </row>
    <row r="155">
      <c r="A155" s="352"/>
      <c r="B155" s="293"/>
      <c r="C155" s="298"/>
      <c r="D155" s="352"/>
      <c r="E155" s="293"/>
      <c r="F155" s="298"/>
      <c r="G155" s="352" t="s">
        <v>404</v>
      </c>
      <c r="H155" s="293"/>
      <c r="I155" s="298"/>
      <c r="J155" s="323"/>
      <c r="K155" s="323"/>
      <c r="L155" s="298"/>
      <c r="M155" s="323"/>
      <c r="N155" s="323"/>
      <c r="O155" s="298"/>
      <c r="P155" s="323"/>
      <c r="Q155" s="323"/>
      <c r="R155" s="298"/>
      <c r="S155" s="323"/>
      <c r="T155" s="323"/>
      <c r="U155" s="298"/>
      <c r="V155" s="323"/>
      <c r="W155" s="323"/>
      <c r="X155" s="298"/>
      <c r="Y155" s="323"/>
      <c r="Z155" s="323"/>
      <c r="AA155" s="298"/>
      <c r="AB155" s="323"/>
      <c r="AC155" s="323"/>
      <c r="AD155" s="298"/>
      <c r="AE155" s="323"/>
      <c r="AF155" s="323"/>
      <c r="AG155" s="298"/>
      <c r="AH155" s="323"/>
      <c r="AI155" s="323"/>
      <c r="AJ155" s="298"/>
      <c r="AK155" s="323"/>
      <c r="AL155" s="323"/>
      <c r="AM155" s="298"/>
      <c r="AN155" s="323"/>
      <c r="AO155" s="323"/>
      <c r="AP155" s="298"/>
      <c r="AQ155" s="317"/>
      <c r="AR155" s="327"/>
      <c r="AU155" s="307"/>
      <c r="AX155" s="307"/>
      <c r="BA155" s="307"/>
      <c r="BC155" s="366"/>
      <c r="BD155" s="307"/>
      <c r="BG155" s="307"/>
    </row>
    <row r="156">
      <c r="A156" s="352"/>
      <c r="B156" s="293"/>
      <c r="C156" s="298"/>
      <c r="D156" s="352"/>
      <c r="E156" s="293"/>
      <c r="F156" s="298"/>
      <c r="G156" s="352" t="s">
        <v>229</v>
      </c>
      <c r="H156" s="293"/>
      <c r="I156" s="298"/>
      <c r="J156" s="323"/>
      <c r="K156" s="323"/>
      <c r="L156" s="298"/>
      <c r="M156" s="323"/>
      <c r="N156" s="323"/>
      <c r="O156" s="298"/>
      <c r="P156" s="323"/>
      <c r="Q156" s="323"/>
      <c r="R156" s="298"/>
      <c r="S156" s="323"/>
      <c r="T156" s="323"/>
      <c r="U156" s="298"/>
      <c r="V156" s="323"/>
      <c r="W156" s="323"/>
      <c r="X156" s="298"/>
      <c r="Y156" s="323"/>
      <c r="Z156" s="323"/>
      <c r="AA156" s="298"/>
      <c r="AB156" s="323"/>
      <c r="AC156" s="323"/>
      <c r="AD156" s="298"/>
      <c r="AE156" s="323"/>
      <c r="AF156" s="323"/>
      <c r="AG156" s="298"/>
      <c r="AH156" s="323"/>
      <c r="AI156" s="323"/>
      <c r="AJ156" s="298"/>
      <c r="AK156" s="323"/>
      <c r="AL156" s="323"/>
      <c r="AM156" s="298"/>
      <c r="AN156" s="323"/>
      <c r="AO156" s="323"/>
      <c r="AP156" s="298"/>
      <c r="AQ156" s="317"/>
      <c r="AR156" s="327"/>
      <c r="AU156" s="307"/>
      <c r="AX156" s="307"/>
      <c r="BA156" s="307"/>
      <c r="BC156" s="366"/>
      <c r="BD156" s="307"/>
      <c r="BG156" s="307"/>
    </row>
    <row r="157">
      <c r="A157" s="352"/>
      <c r="B157" s="293"/>
      <c r="C157" s="298"/>
      <c r="D157" s="352"/>
      <c r="E157" s="293"/>
      <c r="F157" s="298"/>
      <c r="G157" s="352" t="s">
        <v>7344</v>
      </c>
      <c r="H157" s="293"/>
      <c r="I157" s="298"/>
      <c r="J157" s="323"/>
      <c r="K157" s="323"/>
      <c r="L157" s="298"/>
      <c r="M157" s="323"/>
      <c r="N157" s="323"/>
      <c r="O157" s="298"/>
      <c r="P157" s="323"/>
      <c r="Q157" s="323"/>
      <c r="R157" s="298"/>
      <c r="S157" s="323"/>
      <c r="T157" s="323"/>
      <c r="U157" s="298"/>
      <c r="V157" s="323"/>
      <c r="W157" s="323"/>
      <c r="X157" s="298"/>
      <c r="Y157" s="323"/>
      <c r="Z157" s="323"/>
      <c r="AA157" s="298"/>
      <c r="AB157" s="323"/>
      <c r="AC157" s="323"/>
      <c r="AD157" s="298"/>
      <c r="AE157" s="323"/>
      <c r="AF157" s="323"/>
      <c r="AG157" s="298"/>
      <c r="AH157" s="323"/>
      <c r="AI157" s="323"/>
      <c r="AJ157" s="298"/>
      <c r="AK157" s="323"/>
      <c r="AL157" s="323"/>
      <c r="AM157" s="298"/>
      <c r="AN157" s="323"/>
      <c r="AO157" s="323"/>
      <c r="AP157" s="298"/>
      <c r="AQ157" s="299" t="s">
        <v>471</v>
      </c>
      <c r="AR157" s="327"/>
      <c r="AU157" s="307"/>
      <c r="AX157" s="307"/>
      <c r="BA157" s="307"/>
      <c r="BC157" s="366"/>
      <c r="BD157" s="307"/>
      <c r="BG157" s="307"/>
    </row>
    <row r="158">
      <c r="A158" s="352"/>
      <c r="B158" s="293"/>
      <c r="C158" s="298"/>
      <c r="D158" s="352"/>
      <c r="E158" s="293"/>
      <c r="F158" s="298"/>
      <c r="G158" s="352" t="s">
        <v>7345</v>
      </c>
      <c r="H158" s="293"/>
      <c r="I158" s="298"/>
      <c r="J158" s="323"/>
      <c r="K158" s="323"/>
      <c r="L158" s="298"/>
      <c r="M158" s="323"/>
      <c r="N158" s="323"/>
      <c r="O158" s="298"/>
      <c r="P158" s="323"/>
      <c r="Q158" s="323"/>
      <c r="R158" s="298"/>
      <c r="S158" s="323"/>
      <c r="T158" s="323"/>
      <c r="U158" s="298"/>
      <c r="V158" s="323"/>
      <c r="W158" s="323"/>
      <c r="X158" s="298"/>
      <c r="Y158" s="323"/>
      <c r="Z158" s="323"/>
      <c r="AA158" s="298"/>
      <c r="AB158" s="323"/>
      <c r="AC158" s="323"/>
      <c r="AD158" s="298"/>
      <c r="AE158" s="323"/>
      <c r="AF158" s="323"/>
      <c r="AG158" s="298"/>
      <c r="AH158" s="323"/>
      <c r="AI158" s="323"/>
      <c r="AJ158" s="298"/>
      <c r="AK158" s="323"/>
      <c r="AL158" s="323"/>
      <c r="AM158" s="298"/>
      <c r="AN158" s="323"/>
      <c r="AO158" s="323"/>
      <c r="AP158" s="298"/>
      <c r="AQ158" s="317" t="s">
        <v>363</v>
      </c>
      <c r="AR158" s="327"/>
      <c r="AU158" s="307"/>
      <c r="AX158" s="307"/>
      <c r="BA158" s="307"/>
      <c r="BC158" s="366"/>
      <c r="BD158" s="307"/>
      <c r="BG158" s="307"/>
    </row>
    <row r="159">
      <c r="A159" s="352"/>
      <c r="B159" s="293"/>
      <c r="C159" s="298"/>
      <c r="D159" s="352"/>
      <c r="E159" s="293"/>
      <c r="F159" s="298"/>
      <c r="G159" s="352" t="s">
        <v>4178</v>
      </c>
      <c r="H159" s="293"/>
      <c r="I159" s="298"/>
      <c r="J159" s="323"/>
      <c r="K159" s="323"/>
      <c r="L159" s="298"/>
      <c r="M159" s="323"/>
      <c r="N159" s="323"/>
      <c r="O159" s="298"/>
      <c r="P159" s="323"/>
      <c r="Q159" s="323"/>
      <c r="R159" s="298"/>
      <c r="S159" s="323"/>
      <c r="T159" s="323"/>
      <c r="U159" s="298"/>
      <c r="V159" s="323"/>
      <c r="W159" s="323"/>
      <c r="X159" s="298"/>
      <c r="Y159" s="323"/>
      <c r="Z159" s="323"/>
      <c r="AA159" s="298"/>
      <c r="AB159" s="323"/>
      <c r="AC159" s="323"/>
      <c r="AD159" s="298"/>
      <c r="AE159" s="323"/>
      <c r="AF159" s="323"/>
      <c r="AG159" s="298"/>
      <c r="AH159" s="323"/>
      <c r="AI159" s="323"/>
      <c r="AJ159" s="298"/>
      <c r="AK159" s="323"/>
      <c r="AL159" s="323"/>
      <c r="AM159" s="298"/>
      <c r="AN159" s="323"/>
      <c r="AO159" s="323"/>
      <c r="AP159" s="298"/>
      <c r="AQ159" s="317" t="s">
        <v>7346</v>
      </c>
      <c r="AR159" s="327"/>
      <c r="AU159" s="307"/>
      <c r="AX159" s="307"/>
      <c r="BA159" s="307"/>
      <c r="BC159" s="366"/>
      <c r="BD159" s="307"/>
      <c r="BG159" s="307"/>
    </row>
    <row r="160">
      <c r="B160" s="293"/>
      <c r="C160" s="298"/>
      <c r="E160" s="293"/>
      <c r="F160" s="298"/>
      <c r="H160" s="293"/>
      <c r="I160" s="298"/>
      <c r="J160" s="323"/>
      <c r="K160" s="323"/>
      <c r="L160" s="298"/>
      <c r="M160" s="323"/>
      <c r="N160" s="323"/>
      <c r="O160" s="298"/>
      <c r="P160" s="323"/>
      <c r="Q160" s="323"/>
      <c r="R160" s="298"/>
      <c r="S160" s="323"/>
      <c r="T160" s="323"/>
      <c r="U160" s="298"/>
      <c r="V160" s="323"/>
      <c r="W160" s="323"/>
      <c r="X160" s="298"/>
      <c r="Y160" s="323"/>
      <c r="Z160" s="323"/>
      <c r="AA160" s="298"/>
      <c r="AB160" s="323"/>
      <c r="AC160" s="323"/>
      <c r="AD160" s="298"/>
      <c r="AE160" s="323"/>
      <c r="AF160" s="323"/>
      <c r="AG160" s="298"/>
      <c r="AH160" s="323"/>
      <c r="AI160" s="323"/>
      <c r="AJ160" s="298"/>
      <c r="AK160" s="323"/>
      <c r="AL160" s="323"/>
      <c r="AM160" s="298"/>
      <c r="AN160" s="323"/>
      <c r="AO160" s="323"/>
      <c r="AP160" s="298"/>
      <c r="AQ160" s="317"/>
      <c r="AR160" s="327"/>
      <c r="AU160" s="307"/>
      <c r="AX160" s="307"/>
      <c r="BA160" s="307"/>
      <c r="BC160" s="366"/>
      <c r="BD160" s="307"/>
      <c r="BG160" s="307"/>
    </row>
    <row r="161">
      <c r="A161" s="352"/>
      <c r="B161" s="293"/>
      <c r="C161" s="298"/>
      <c r="D161" s="352"/>
      <c r="E161" s="293"/>
      <c r="F161" s="298"/>
      <c r="G161" s="352" t="s">
        <v>7347</v>
      </c>
      <c r="H161" s="293"/>
      <c r="I161" s="298"/>
      <c r="J161" s="323"/>
      <c r="K161" s="323"/>
      <c r="L161" s="298"/>
      <c r="M161" s="323"/>
      <c r="N161" s="323"/>
      <c r="O161" s="298"/>
      <c r="P161" s="323"/>
      <c r="Q161" s="323"/>
      <c r="R161" s="298"/>
      <c r="S161" s="323"/>
      <c r="T161" s="323"/>
      <c r="U161" s="298"/>
      <c r="V161" s="323"/>
      <c r="W161" s="323"/>
      <c r="X161" s="298"/>
      <c r="Y161" s="323"/>
      <c r="Z161" s="323"/>
      <c r="AA161" s="298"/>
      <c r="AB161" s="323"/>
      <c r="AC161" s="323"/>
      <c r="AD161" s="298"/>
      <c r="AE161" s="323"/>
      <c r="AF161" s="323"/>
      <c r="AG161" s="298"/>
      <c r="AH161" s="323"/>
      <c r="AI161" s="323"/>
      <c r="AJ161" s="298"/>
      <c r="AK161" s="323"/>
      <c r="AL161" s="323"/>
      <c r="AM161" s="298"/>
      <c r="AN161" s="323"/>
      <c r="AO161" s="323"/>
      <c r="AP161" s="298"/>
      <c r="AQ161" s="317" t="s">
        <v>1266</v>
      </c>
      <c r="AR161" s="327"/>
      <c r="AU161" s="307"/>
      <c r="AX161" s="307"/>
      <c r="BA161" s="307"/>
      <c r="BC161" s="366"/>
      <c r="BD161" s="307"/>
      <c r="BG161" s="307"/>
    </row>
    <row r="162">
      <c r="A162" s="352"/>
      <c r="B162" s="293"/>
      <c r="C162" s="298"/>
      <c r="D162" s="352"/>
      <c r="E162" s="293"/>
      <c r="F162" s="298"/>
      <c r="G162" s="352" t="s">
        <v>7348</v>
      </c>
      <c r="H162" s="293"/>
      <c r="I162" s="298"/>
      <c r="J162" s="323"/>
      <c r="K162" s="323"/>
      <c r="L162" s="298"/>
      <c r="M162" s="323"/>
      <c r="N162" s="323"/>
      <c r="O162" s="298"/>
      <c r="P162" s="323"/>
      <c r="Q162" s="323"/>
      <c r="R162" s="298"/>
      <c r="S162" s="323"/>
      <c r="T162" s="323"/>
      <c r="U162" s="298"/>
      <c r="V162" s="323"/>
      <c r="W162" s="323"/>
      <c r="X162" s="298"/>
      <c r="Y162" s="323"/>
      <c r="Z162" s="323"/>
      <c r="AA162" s="298"/>
      <c r="AB162" s="323"/>
      <c r="AC162" s="323"/>
      <c r="AD162" s="298"/>
      <c r="AE162" s="323"/>
      <c r="AF162" s="323"/>
      <c r="AG162" s="298"/>
      <c r="AH162" s="323"/>
      <c r="AI162" s="323"/>
      <c r="AJ162" s="298"/>
      <c r="AK162" s="323"/>
      <c r="AL162" s="323"/>
      <c r="AM162" s="298"/>
      <c r="AN162" s="323"/>
      <c r="AO162" s="323"/>
      <c r="AP162" s="298"/>
      <c r="AQ162" s="317"/>
      <c r="AR162" s="327"/>
      <c r="AU162" s="307"/>
      <c r="AX162" s="307"/>
      <c r="BA162" s="307"/>
      <c r="BC162" s="366"/>
      <c r="BD162" s="307"/>
      <c r="BG162" s="307"/>
    </row>
    <row r="163">
      <c r="A163" s="352"/>
      <c r="B163" s="293"/>
      <c r="C163" s="298"/>
      <c r="D163" s="352"/>
      <c r="E163" s="293"/>
      <c r="F163" s="298"/>
      <c r="G163" s="352" t="s">
        <v>7349</v>
      </c>
      <c r="H163" s="293"/>
      <c r="I163" s="298"/>
      <c r="J163" s="323"/>
      <c r="K163" s="323"/>
      <c r="L163" s="298"/>
      <c r="M163" s="323"/>
      <c r="N163" s="323"/>
      <c r="O163" s="298"/>
      <c r="P163" s="323"/>
      <c r="Q163" s="323"/>
      <c r="R163" s="298"/>
      <c r="S163" s="323"/>
      <c r="T163" s="323"/>
      <c r="U163" s="298"/>
      <c r="V163" s="323"/>
      <c r="W163" s="323"/>
      <c r="X163" s="298"/>
      <c r="Y163" s="323"/>
      <c r="Z163" s="323"/>
      <c r="AA163" s="298"/>
      <c r="AB163" s="323"/>
      <c r="AC163" s="323"/>
      <c r="AD163" s="298"/>
      <c r="AE163" s="323"/>
      <c r="AF163" s="323"/>
      <c r="AG163" s="298"/>
      <c r="AH163" s="323"/>
      <c r="AI163" s="323"/>
      <c r="AJ163" s="298"/>
      <c r="AK163" s="323"/>
      <c r="AL163" s="323"/>
      <c r="AM163" s="298"/>
      <c r="AN163" s="323"/>
      <c r="AO163" s="323"/>
      <c r="AP163" s="298"/>
      <c r="AQ163" s="293" t="s">
        <v>7350</v>
      </c>
      <c r="AR163" s="327"/>
      <c r="AU163" s="307"/>
      <c r="AX163" s="307"/>
      <c r="BA163" s="307"/>
      <c r="BC163" s="366"/>
      <c r="BD163" s="307"/>
      <c r="BG163" s="307"/>
    </row>
    <row r="164">
      <c r="A164" s="352"/>
      <c r="B164" s="293"/>
      <c r="C164" s="298"/>
      <c r="D164" s="352"/>
      <c r="E164" s="293"/>
      <c r="F164" s="298"/>
      <c r="G164" s="352" t="s">
        <v>6919</v>
      </c>
      <c r="H164" s="293"/>
      <c r="I164" s="298"/>
      <c r="J164" s="323"/>
      <c r="K164" s="323"/>
      <c r="L164" s="298"/>
      <c r="M164" s="323"/>
      <c r="N164" s="323"/>
      <c r="O164" s="298"/>
      <c r="P164" s="323"/>
      <c r="Q164" s="323"/>
      <c r="R164" s="298"/>
      <c r="S164" s="323"/>
      <c r="T164" s="323"/>
      <c r="U164" s="298"/>
      <c r="V164" s="323"/>
      <c r="W164" s="323"/>
      <c r="X164" s="298"/>
      <c r="Y164" s="323"/>
      <c r="Z164" s="323"/>
      <c r="AA164" s="298"/>
      <c r="AB164" s="323"/>
      <c r="AC164" s="323"/>
      <c r="AD164" s="298"/>
      <c r="AE164" s="323"/>
      <c r="AF164" s="323"/>
      <c r="AG164" s="298"/>
      <c r="AH164" s="323"/>
      <c r="AI164" s="323"/>
      <c r="AJ164" s="298"/>
      <c r="AK164" s="323"/>
      <c r="AL164" s="323"/>
      <c r="AM164" s="298"/>
      <c r="AN164" s="323"/>
      <c r="AO164" s="323"/>
      <c r="AP164" s="298"/>
      <c r="AQ164" s="293" t="s">
        <v>7351</v>
      </c>
      <c r="AR164" s="327"/>
      <c r="AU164" s="307"/>
      <c r="AX164" s="307"/>
      <c r="BA164" s="307"/>
      <c r="BC164" s="366"/>
      <c r="BD164" s="307"/>
      <c r="BG164" s="307"/>
    </row>
    <row r="165">
      <c r="A165" s="352"/>
      <c r="B165" s="293"/>
      <c r="C165" s="298"/>
      <c r="D165" s="352"/>
      <c r="E165" s="293"/>
      <c r="F165" s="298"/>
      <c r="G165" s="352" t="s">
        <v>7352</v>
      </c>
      <c r="H165" s="293"/>
      <c r="I165" s="298"/>
      <c r="J165" s="323"/>
      <c r="K165" s="323"/>
      <c r="L165" s="298"/>
      <c r="M165" s="323"/>
      <c r="N165" s="323"/>
      <c r="O165" s="298"/>
      <c r="P165" s="323"/>
      <c r="Q165" s="323"/>
      <c r="R165" s="298"/>
      <c r="S165" s="323"/>
      <c r="T165" s="323"/>
      <c r="U165" s="298"/>
      <c r="V165" s="323"/>
      <c r="W165" s="323"/>
      <c r="X165" s="298"/>
      <c r="Y165" s="323"/>
      <c r="Z165" s="323"/>
      <c r="AA165" s="298"/>
      <c r="AB165" s="323"/>
      <c r="AC165" s="323"/>
      <c r="AD165" s="298"/>
      <c r="AE165" s="323"/>
      <c r="AF165" s="323"/>
      <c r="AG165" s="298"/>
      <c r="AH165" s="323"/>
      <c r="AI165" s="323"/>
      <c r="AJ165" s="298"/>
      <c r="AK165" s="323"/>
      <c r="AL165" s="323"/>
      <c r="AM165" s="298"/>
      <c r="AN165" s="323"/>
      <c r="AO165" s="323"/>
      <c r="AP165" s="298"/>
      <c r="AQ165" s="293" t="s">
        <v>7353</v>
      </c>
      <c r="AR165" s="327"/>
      <c r="AU165" s="307"/>
      <c r="AX165" s="307"/>
      <c r="BA165" s="307"/>
      <c r="BC165" s="366"/>
      <c r="BD165" s="307"/>
      <c r="BG165" s="307"/>
    </row>
    <row r="166">
      <c r="A166" s="352"/>
      <c r="B166" s="293"/>
      <c r="C166" s="298"/>
      <c r="D166" s="352"/>
      <c r="E166" s="293"/>
      <c r="F166" s="298"/>
      <c r="G166" s="352" t="s">
        <v>7354</v>
      </c>
      <c r="H166" s="293"/>
      <c r="I166" s="298"/>
      <c r="J166" s="323"/>
      <c r="K166" s="323"/>
      <c r="L166" s="298"/>
      <c r="M166" s="323"/>
      <c r="N166" s="323"/>
      <c r="O166" s="298"/>
      <c r="P166" s="323"/>
      <c r="Q166" s="323"/>
      <c r="R166" s="298"/>
      <c r="S166" s="323"/>
      <c r="T166" s="323"/>
      <c r="U166" s="298"/>
      <c r="V166" s="323"/>
      <c r="W166" s="323"/>
      <c r="X166" s="298"/>
      <c r="Y166" s="323"/>
      <c r="Z166" s="323"/>
      <c r="AA166" s="298"/>
      <c r="AB166" s="323"/>
      <c r="AC166" s="323"/>
      <c r="AD166" s="298"/>
      <c r="AE166" s="323"/>
      <c r="AF166" s="323"/>
      <c r="AG166" s="298"/>
      <c r="AH166" s="323"/>
      <c r="AI166" s="323"/>
      <c r="AJ166" s="298"/>
      <c r="AK166" s="323"/>
      <c r="AL166" s="323"/>
      <c r="AM166" s="298"/>
      <c r="AN166" s="323"/>
      <c r="AO166" s="323"/>
      <c r="AP166" s="298"/>
      <c r="AQ166" s="352"/>
      <c r="AR166" s="327"/>
      <c r="AU166" s="307"/>
      <c r="AX166" s="307"/>
      <c r="BA166" s="307"/>
      <c r="BC166" s="366"/>
      <c r="BD166" s="307"/>
      <c r="BG166" s="307"/>
    </row>
    <row r="167">
      <c r="A167" s="352"/>
      <c r="B167" s="293"/>
      <c r="C167" s="298"/>
      <c r="D167" s="352"/>
      <c r="E167" s="293"/>
      <c r="F167" s="298"/>
      <c r="G167" s="352" t="s">
        <v>7355</v>
      </c>
      <c r="H167" s="293"/>
      <c r="I167" s="298"/>
      <c r="J167" s="323"/>
      <c r="K167" s="323"/>
      <c r="L167" s="298"/>
      <c r="M167" s="323"/>
      <c r="N167" s="323"/>
      <c r="O167" s="298"/>
      <c r="P167" s="323"/>
      <c r="Q167" s="323"/>
      <c r="R167" s="298"/>
      <c r="S167" s="323"/>
      <c r="T167" s="323"/>
      <c r="U167" s="298"/>
      <c r="V167" s="323"/>
      <c r="W167" s="323"/>
      <c r="X167" s="298"/>
      <c r="Y167" s="323"/>
      <c r="Z167" s="323"/>
      <c r="AA167" s="298"/>
      <c r="AB167" s="323"/>
      <c r="AC167" s="323"/>
      <c r="AD167" s="298"/>
      <c r="AE167" s="323"/>
      <c r="AF167" s="323"/>
      <c r="AG167" s="298"/>
      <c r="AH167" s="323"/>
      <c r="AI167" s="323"/>
      <c r="AJ167" s="298"/>
      <c r="AK167" s="323"/>
      <c r="AL167" s="323"/>
      <c r="AM167" s="298"/>
      <c r="AN167" s="323"/>
      <c r="AO167" s="323"/>
      <c r="AP167" s="298"/>
      <c r="AQ167" s="374" t="s">
        <v>6659</v>
      </c>
      <c r="AR167" s="327"/>
      <c r="AU167" s="307"/>
      <c r="AX167" s="307"/>
      <c r="BA167" s="307"/>
      <c r="BC167" s="366"/>
      <c r="BD167" s="307"/>
      <c r="BG167" s="307"/>
    </row>
    <row r="168">
      <c r="A168" s="293"/>
      <c r="B168" s="293"/>
      <c r="C168" s="327"/>
      <c r="D168" s="293"/>
      <c r="E168" s="293"/>
      <c r="F168" s="327"/>
      <c r="G168" s="293" t="s">
        <v>489</v>
      </c>
      <c r="H168" s="293"/>
      <c r="I168" s="327"/>
      <c r="J168" s="352"/>
      <c r="K168" s="352"/>
      <c r="L168" s="327"/>
      <c r="M168" s="352"/>
      <c r="N168" s="352"/>
      <c r="O168" s="327"/>
      <c r="P168" s="352"/>
      <c r="Q168" s="352"/>
      <c r="R168" s="327"/>
      <c r="S168" s="352"/>
      <c r="T168" s="352"/>
      <c r="U168" s="327"/>
      <c r="V168" s="352"/>
      <c r="W168" s="352"/>
      <c r="X168" s="327"/>
      <c r="Y168" s="352"/>
      <c r="Z168" s="352"/>
      <c r="AA168" s="327"/>
      <c r="AB168" s="352"/>
      <c r="AC168" s="352"/>
      <c r="AD168" s="327"/>
      <c r="AE168" s="352"/>
      <c r="AF168" s="352"/>
      <c r="AG168" s="327"/>
      <c r="AH168" s="352"/>
      <c r="AI168" s="352"/>
      <c r="AJ168" s="327"/>
      <c r="AK168" s="352"/>
      <c r="AL168" s="352"/>
      <c r="AM168" s="327"/>
      <c r="AN168" s="352"/>
      <c r="AO168" s="352"/>
      <c r="AP168" s="327"/>
      <c r="AQ168" s="352"/>
      <c r="AR168" s="327"/>
      <c r="AU168" s="307"/>
      <c r="AX168" s="307"/>
      <c r="BA168" s="307"/>
      <c r="BC168" s="366"/>
      <c r="BD168" s="307"/>
      <c r="BG168" s="307"/>
    </row>
    <row r="169">
      <c r="A169" s="293"/>
      <c r="B169" s="293"/>
      <c r="C169" s="327"/>
      <c r="D169" s="293"/>
      <c r="E169" s="293"/>
      <c r="F169" s="327"/>
      <c r="G169" s="293"/>
      <c r="H169" s="293"/>
      <c r="I169" s="327"/>
      <c r="J169" s="352"/>
      <c r="K169" s="352"/>
      <c r="L169" s="327"/>
      <c r="M169" s="352"/>
      <c r="N169" s="352"/>
      <c r="O169" s="327"/>
      <c r="P169" s="352"/>
      <c r="Q169" s="352"/>
      <c r="R169" s="327"/>
      <c r="S169" s="352"/>
      <c r="T169" s="352"/>
      <c r="U169" s="327"/>
      <c r="V169" s="352"/>
      <c r="W169" s="352"/>
      <c r="X169" s="327"/>
      <c r="Y169" s="352"/>
      <c r="Z169" s="352"/>
      <c r="AA169" s="327"/>
      <c r="AB169" s="352"/>
      <c r="AC169" s="352"/>
      <c r="AD169" s="327"/>
      <c r="AE169" s="352"/>
      <c r="AF169" s="352"/>
      <c r="AG169" s="327"/>
      <c r="AH169" s="352"/>
      <c r="AI169" s="352"/>
      <c r="AJ169" s="327"/>
      <c r="AK169" s="352"/>
      <c r="AL169" s="352"/>
      <c r="AM169" s="327"/>
      <c r="AN169" s="352"/>
      <c r="AO169" s="352"/>
      <c r="AP169" s="327"/>
      <c r="AQ169" s="352"/>
      <c r="AR169" s="327"/>
      <c r="AU169" s="307"/>
      <c r="AX169" s="307"/>
      <c r="BA169" s="307"/>
      <c r="BC169" s="366"/>
      <c r="BD169" s="307"/>
      <c r="BG169" s="307"/>
    </row>
    <row r="170">
      <c r="A170" s="293"/>
      <c r="B170" s="293"/>
      <c r="C170" s="327"/>
      <c r="D170" s="293"/>
      <c r="E170" s="293"/>
      <c r="F170" s="327"/>
      <c r="G170" s="293"/>
      <c r="H170" s="293"/>
      <c r="I170" s="327"/>
      <c r="J170" s="352"/>
      <c r="K170" s="352"/>
      <c r="L170" s="327"/>
      <c r="M170" s="352"/>
      <c r="N170" s="352"/>
      <c r="O170" s="327"/>
      <c r="P170" s="352"/>
      <c r="Q170" s="352"/>
      <c r="R170" s="327"/>
      <c r="S170" s="352"/>
      <c r="T170" s="352"/>
      <c r="U170" s="327"/>
      <c r="V170" s="352"/>
      <c r="W170" s="352"/>
      <c r="X170" s="327"/>
      <c r="Y170" s="352"/>
      <c r="Z170" s="352"/>
      <c r="AA170" s="327"/>
      <c r="AB170" s="352"/>
      <c r="AC170" s="352"/>
      <c r="AD170" s="327"/>
      <c r="AE170" s="352"/>
      <c r="AF170" s="352"/>
      <c r="AG170" s="327"/>
      <c r="AH170" s="352"/>
      <c r="AI170" s="352"/>
      <c r="AJ170" s="327"/>
      <c r="AK170" s="352"/>
      <c r="AL170" s="352"/>
      <c r="AM170" s="327"/>
      <c r="AN170" s="352"/>
      <c r="AO170" s="352"/>
      <c r="AP170" s="327"/>
      <c r="AQ170" s="352"/>
      <c r="AR170" s="327"/>
      <c r="AU170" s="307"/>
      <c r="AX170" s="307"/>
      <c r="BA170" s="307"/>
      <c r="BC170" s="366"/>
      <c r="BD170" s="307"/>
      <c r="BG170" s="307"/>
    </row>
    <row r="171">
      <c r="A171" s="293"/>
      <c r="B171" s="293"/>
      <c r="C171" s="327"/>
      <c r="D171" s="293"/>
      <c r="E171" s="293"/>
      <c r="F171" s="327"/>
      <c r="G171" s="293"/>
      <c r="H171" s="293"/>
      <c r="I171" s="327"/>
      <c r="J171" s="352"/>
      <c r="K171" s="352"/>
      <c r="L171" s="327"/>
      <c r="M171" s="352"/>
      <c r="N171" s="352"/>
      <c r="O171" s="327"/>
      <c r="P171" s="352"/>
      <c r="Q171" s="352"/>
      <c r="R171" s="327"/>
      <c r="S171" s="352"/>
      <c r="T171" s="352"/>
      <c r="U171" s="327"/>
      <c r="V171" s="352"/>
      <c r="W171" s="352"/>
      <c r="X171" s="327"/>
      <c r="Y171" s="352"/>
      <c r="Z171" s="352"/>
      <c r="AA171" s="327"/>
      <c r="AB171" s="352"/>
      <c r="AC171" s="352"/>
      <c r="AD171" s="327"/>
      <c r="AE171" s="352"/>
      <c r="AF171" s="352"/>
      <c r="AG171" s="327"/>
      <c r="AH171" s="352"/>
      <c r="AI171" s="352"/>
      <c r="AJ171" s="327"/>
      <c r="AK171" s="352"/>
      <c r="AL171" s="352"/>
      <c r="AM171" s="327"/>
      <c r="AN171" s="352"/>
      <c r="AO171" s="352"/>
      <c r="AP171" s="327"/>
      <c r="AQ171" s="352"/>
      <c r="AR171" s="327"/>
      <c r="AU171" s="307"/>
      <c r="AX171" s="307"/>
      <c r="BA171" s="307"/>
      <c r="BC171" s="366"/>
      <c r="BD171" s="307"/>
      <c r="BG171" s="307"/>
    </row>
    <row r="172">
      <c r="A172" s="293"/>
      <c r="B172" s="293"/>
      <c r="C172" s="327"/>
      <c r="D172" s="293"/>
      <c r="E172" s="293"/>
      <c r="F172" s="327"/>
      <c r="G172" s="293"/>
      <c r="H172" s="293"/>
      <c r="I172" s="327"/>
      <c r="J172" s="352"/>
      <c r="K172" s="352"/>
      <c r="L172" s="327"/>
      <c r="M172" s="352"/>
      <c r="N172" s="352"/>
      <c r="O172" s="327"/>
      <c r="P172" s="352"/>
      <c r="Q172" s="352"/>
      <c r="R172" s="327"/>
      <c r="S172" s="352"/>
      <c r="T172" s="352"/>
      <c r="U172" s="327"/>
      <c r="V172" s="352"/>
      <c r="W172" s="352"/>
      <c r="X172" s="327"/>
      <c r="Y172" s="352"/>
      <c r="Z172" s="352"/>
      <c r="AA172" s="327"/>
      <c r="AB172" s="352"/>
      <c r="AC172" s="352"/>
      <c r="AD172" s="327"/>
      <c r="AE172" s="352"/>
      <c r="AF172" s="352"/>
      <c r="AG172" s="327"/>
      <c r="AH172" s="352"/>
      <c r="AI172" s="352"/>
      <c r="AJ172" s="327"/>
      <c r="AK172" s="352"/>
      <c r="AL172" s="352"/>
      <c r="AM172" s="327"/>
      <c r="AN172" s="352"/>
      <c r="AO172" s="352"/>
      <c r="AP172" s="327"/>
      <c r="AQ172" s="352"/>
      <c r="AR172" s="327"/>
      <c r="AU172" s="307"/>
      <c r="AX172" s="307"/>
      <c r="BA172" s="307"/>
      <c r="BC172" s="366"/>
      <c r="BD172" s="307"/>
      <c r="BG172" s="307"/>
    </row>
    <row r="173">
      <c r="A173" s="293"/>
      <c r="B173" s="293"/>
      <c r="C173" s="327"/>
      <c r="D173" s="293"/>
      <c r="E173" s="293"/>
      <c r="F173" s="327"/>
      <c r="G173" s="293"/>
      <c r="H173" s="293"/>
      <c r="I173" s="327"/>
      <c r="J173" s="352"/>
      <c r="K173" s="352"/>
      <c r="L173" s="327"/>
      <c r="M173" s="352"/>
      <c r="N173" s="352"/>
      <c r="O173" s="327"/>
      <c r="P173" s="352"/>
      <c r="Q173" s="352"/>
      <c r="R173" s="327"/>
      <c r="S173" s="352"/>
      <c r="T173" s="352"/>
      <c r="U173" s="327"/>
      <c r="V173" s="352"/>
      <c r="W173" s="352"/>
      <c r="X173" s="327"/>
      <c r="Y173" s="352"/>
      <c r="Z173" s="352"/>
      <c r="AA173" s="327"/>
      <c r="AB173" s="352"/>
      <c r="AC173" s="352"/>
      <c r="AD173" s="327"/>
      <c r="AE173" s="352"/>
      <c r="AF173" s="352"/>
      <c r="AG173" s="327"/>
      <c r="AH173" s="352"/>
      <c r="AI173" s="352"/>
      <c r="AJ173" s="327"/>
      <c r="AK173" s="352"/>
      <c r="AL173" s="352"/>
      <c r="AM173" s="327"/>
      <c r="AN173" s="352"/>
      <c r="AO173" s="352"/>
      <c r="AP173" s="327"/>
      <c r="AQ173" s="352"/>
      <c r="AR173" s="327"/>
      <c r="AU173" s="307"/>
      <c r="AX173" s="307"/>
      <c r="BA173" s="307"/>
      <c r="BC173" s="366"/>
      <c r="BD173" s="307"/>
      <c r="BG173" s="307"/>
    </row>
    <row r="174">
      <c r="A174" s="293"/>
      <c r="B174" s="293"/>
      <c r="C174" s="327"/>
      <c r="D174" s="293"/>
      <c r="E174" s="293"/>
      <c r="F174" s="327"/>
      <c r="G174" s="293"/>
      <c r="H174" s="293"/>
      <c r="I174" s="327"/>
      <c r="J174" s="352"/>
      <c r="K174" s="352"/>
      <c r="L174" s="327"/>
      <c r="M174" s="352"/>
      <c r="N174" s="352"/>
      <c r="O174" s="327"/>
      <c r="P174" s="352"/>
      <c r="Q174" s="352"/>
      <c r="R174" s="327"/>
      <c r="S174" s="352"/>
      <c r="T174" s="352"/>
      <c r="U174" s="327"/>
      <c r="V174" s="352"/>
      <c r="W174" s="352"/>
      <c r="X174" s="327"/>
      <c r="Y174" s="352"/>
      <c r="Z174" s="352"/>
      <c r="AA174" s="327"/>
      <c r="AB174" s="352"/>
      <c r="AC174" s="352"/>
      <c r="AD174" s="327"/>
      <c r="AE174" s="352"/>
      <c r="AF174" s="352"/>
      <c r="AG174" s="327"/>
      <c r="AH174" s="352"/>
      <c r="AI174" s="352"/>
      <c r="AJ174" s="327"/>
      <c r="AK174" s="352"/>
      <c r="AL174" s="352"/>
      <c r="AM174" s="327"/>
      <c r="AN174" s="352"/>
      <c r="AO174" s="352"/>
      <c r="AP174" s="327"/>
      <c r="AQ174" s="352"/>
      <c r="AR174" s="327"/>
      <c r="AU174" s="307"/>
      <c r="AX174" s="307"/>
      <c r="BA174" s="307"/>
      <c r="BC174" s="366"/>
      <c r="BD174" s="307"/>
      <c r="BG174" s="307"/>
    </row>
    <row r="175">
      <c r="A175" s="293"/>
      <c r="B175" s="293"/>
      <c r="C175" s="327"/>
      <c r="D175" s="293"/>
      <c r="E175" s="293"/>
      <c r="F175" s="327"/>
      <c r="G175" s="293"/>
      <c r="H175" s="293"/>
      <c r="I175" s="327"/>
      <c r="J175" s="352"/>
      <c r="K175" s="352"/>
      <c r="L175" s="327"/>
      <c r="M175" s="352"/>
      <c r="N175" s="352"/>
      <c r="O175" s="327"/>
      <c r="P175" s="352"/>
      <c r="Q175" s="352"/>
      <c r="R175" s="327"/>
      <c r="S175" s="352"/>
      <c r="T175" s="352"/>
      <c r="U175" s="327"/>
      <c r="V175" s="352"/>
      <c r="W175" s="352"/>
      <c r="X175" s="327"/>
      <c r="Y175" s="352"/>
      <c r="Z175" s="352"/>
      <c r="AA175" s="327"/>
      <c r="AB175" s="352"/>
      <c r="AC175" s="352"/>
      <c r="AD175" s="327"/>
      <c r="AE175" s="352"/>
      <c r="AF175" s="352"/>
      <c r="AG175" s="327"/>
      <c r="AH175" s="352"/>
      <c r="AI175" s="352"/>
      <c r="AJ175" s="327"/>
      <c r="AK175" s="352"/>
      <c r="AL175" s="352"/>
      <c r="AM175" s="327"/>
      <c r="AN175" s="352"/>
      <c r="AO175" s="352"/>
      <c r="AP175" s="327"/>
      <c r="AQ175" s="352"/>
      <c r="AR175" s="327"/>
      <c r="AU175" s="307"/>
      <c r="AX175" s="307"/>
      <c r="BA175" s="307"/>
      <c r="BC175" s="366"/>
      <c r="BD175" s="307"/>
      <c r="BG175" s="307"/>
    </row>
    <row r="176">
      <c r="A176" s="293"/>
      <c r="B176" s="293"/>
      <c r="C176" s="327"/>
      <c r="D176" s="293"/>
      <c r="E176" s="293"/>
      <c r="F176" s="327"/>
      <c r="G176" s="293"/>
      <c r="H176" s="293"/>
      <c r="I176" s="327"/>
      <c r="J176" s="352"/>
      <c r="K176" s="352"/>
      <c r="L176" s="327"/>
      <c r="M176" s="352"/>
      <c r="N176" s="352"/>
      <c r="O176" s="327"/>
      <c r="P176" s="352"/>
      <c r="Q176" s="352"/>
      <c r="R176" s="327"/>
      <c r="S176" s="352"/>
      <c r="T176" s="352"/>
      <c r="U176" s="327"/>
      <c r="V176" s="352"/>
      <c r="W176" s="352"/>
      <c r="X176" s="327"/>
      <c r="Y176" s="352"/>
      <c r="Z176" s="352"/>
      <c r="AA176" s="327"/>
      <c r="AB176" s="352"/>
      <c r="AC176" s="352"/>
      <c r="AD176" s="327"/>
      <c r="AE176" s="352"/>
      <c r="AF176" s="352"/>
      <c r="AG176" s="327"/>
      <c r="AH176" s="352"/>
      <c r="AI176" s="352"/>
      <c r="AJ176" s="327"/>
      <c r="AK176" s="352"/>
      <c r="AL176" s="352"/>
      <c r="AM176" s="327"/>
      <c r="AN176" s="352"/>
      <c r="AO176" s="352"/>
      <c r="AP176" s="327"/>
      <c r="AQ176" s="352"/>
      <c r="AR176" s="327"/>
      <c r="AU176" s="307"/>
      <c r="AX176" s="307"/>
      <c r="BA176" s="307"/>
      <c r="BC176" s="366"/>
      <c r="BD176" s="307"/>
      <c r="BG176" s="307"/>
    </row>
    <row r="177">
      <c r="A177" s="293"/>
      <c r="B177" s="293"/>
      <c r="C177" s="327"/>
      <c r="D177" s="293"/>
      <c r="E177" s="293"/>
      <c r="F177" s="327"/>
      <c r="G177" s="293"/>
      <c r="H177" s="293"/>
      <c r="I177" s="327"/>
      <c r="J177" s="352"/>
      <c r="K177" s="352"/>
      <c r="L177" s="327"/>
      <c r="M177" s="352"/>
      <c r="N177" s="352"/>
      <c r="O177" s="327"/>
      <c r="P177" s="352"/>
      <c r="Q177" s="352"/>
      <c r="R177" s="327"/>
      <c r="S177" s="352"/>
      <c r="T177" s="352"/>
      <c r="U177" s="327"/>
      <c r="V177" s="352"/>
      <c r="W177" s="352"/>
      <c r="X177" s="327"/>
      <c r="Y177" s="352"/>
      <c r="Z177" s="352"/>
      <c r="AA177" s="327"/>
      <c r="AB177" s="352"/>
      <c r="AC177" s="352"/>
      <c r="AD177" s="327"/>
      <c r="AE177" s="352"/>
      <c r="AF177" s="352"/>
      <c r="AG177" s="327"/>
      <c r="AH177" s="352"/>
      <c r="AI177" s="352"/>
      <c r="AJ177" s="327"/>
      <c r="AK177" s="352"/>
      <c r="AL177" s="352"/>
      <c r="AM177" s="327"/>
      <c r="AN177" s="352"/>
      <c r="AO177" s="352"/>
      <c r="AP177" s="327"/>
      <c r="AQ177" s="352"/>
      <c r="AR177" s="327"/>
      <c r="AU177" s="307"/>
      <c r="AX177" s="307"/>
      <c r="BA177" s="307"/>
      <c r="BC177" s="366"/>
      <c r="BD177" s="307"/>
      <c r="BG177" s="307"/>
    </row>
    <row r="178">
      <c r="A178" s="293"/>
      <c r="B178" s="293"/>
      <c r="C178" s="327"/>
      <c r="D178" s="293"/>
      <c r="E178" s="293"/>
      <c r="F178" s="327"/>
      <c r="G178" s="293"/>
      <c r="H178" s="293"/>
      <c r="I178" s="327"/>
      <c r="J178" s="352"/>
      <c r="K178" s="352"/>
      <c r="L178" s="327"/>
      <c r="M178" s="352"/>
      <c r="N178" s="352"/>
      <c r="O178" s="327"/>
      <c r="P178" s="352"/>
      <c r="Q178" s="352"/>
      <c r="R178" s="327"/>
      <c r="S178" s="352"/>
      <c r="T178" s="352"/>
      <c r="U178" s="327"/>
      <c r="V178" s="352"/>
      <c r="W178" s="352"/>
      <c r="X178" s="327"/>
      <c r="Y178" s="352"/>
      <c r="Z178" s="352"/>
      <c r="AA178" s="327"/>
      <c r="AB178" s="352"/>
      <c r="AC178" s="352"/>
      <c r="AD178" s="327"/>
      <c r="AE178" s="352"/>
      <c r="AF178" s="352"/>
      <c r="AG178" s="327"/>
      <c r="AH178" s="352"/>
      <c r="AI178" s="352"/>
      <c r="AJ178" s="327"/>
      <c r="AK178" s="352"/>
      <c r="AL178" s="352"/>
      <c r="AM178" s="327"/>
      <c r="AN178" s="352"/>
      <c r="AO178" s="352"/>
      <c r="AP178" s="327"/>
      <c r="AQ178" s="352"/>
      <c r="AR178" s="327"/>
      <c r="AU178" s="307"/>
      <c r="AX178" s="307"/>
      <c r="BA178" s="307"/>
      <c r="BC178" s="366"/>
      <c r="BD178" s="307"/>
      <c r="BG178" s="307"/>
    </row>
    <row r="179">
      <c r="A179" s="293"/>
      <c r="B179" s="293"/>
      <c r="C179" s="327"/>
      <c r="D179" s="293"/>
      <c r="E179" s="293"/>
      <c r="F179" s="327"/>
      <c r="G179" s="293"/>
      <c r="H179" s="293"/>
      <c r="I179" s="327"/>
      <c r="J179" s="352"/>
      <c r="K179" s="352"/>
      <c r="L179" s="327"/>
      <c r="M179" s="352"/>
      <c r="N179" s="352"/>
      <c r="O179" s="327"/>
      <c r="P179" s="352"/>
      <c r="Q179" s="352"/>
      <c r="R179" s="327"/>
      <c r="S179" s="352"/>
      <c r="T179" s="352"/>
      <c r="U179" s="327"/>
      <c r="V179" s="352"/>
      <c r="W179" s="352"/>
      <c r="X179" s="327"/>
      <c r="Y179" s="352"/>
      <c r="Z179" s="352"/>
      <c r="AA179" s="327"/>
      <c r="AB179" s="352"/>
      <c r="AC179" s="352"/>
      <c r="AD179" s="327"/>
      <c r="AE179" s="352"/>
      <c r="AF179" s="352"/>
      <c r="AG179" s="327"/>
      <c r="AH179" s="352"/>
      <c r="AI179" s="352"/>
      <c r="AJ179" s="327"/>
      <c r="AK179" s="352"/>
      <c r="AL179" s="352"/>
      <c r="AM179" s="327"/>
      <c r="AN179" s="352"/>
      <c r="AO179" s="352"/>
      <c r="AP179" s="327"/>
      <c r="AQ179" s="352"/>
      <c r="AR179" s="327"/>
      <c r="AU179" s="307"/>
      <c r="AX179" s="307"/>
      <c r="BA179" s="307"/>
      <c r="BC179" s="366"/>
      <c r="BD179" s="307"/>
      <c r="BG179" s="307"/>
    </row>
    <row r="180">
      <c r="A180" s="293"/>
      <c r="B180" s="293"/>
      <c r="C180" s="327"/>
      <c r="D180" s="293"/>
      <c r="E180" s="293"/>
      <c r="F180" s="327"/>
      <c r="G180" s="293"/>
      <c r="H180" s="293"/>
      <c r="I180" s="327"/>
      <c r="J180" s="352"/>
      <c r="K180" s="352"/>
      <c r="L180" s="327"/>
      <c r="M180" s="352"/>
      <c r="N180" s="352"/>
      <c r="O180" s="327"/>
      <c r="P180" s="352"/>
      <c r="Q180" s="352"/>
      <c r="R180" s="327"/>
      <c r="S180" s="352"/>
      <c r="T180" s="352"/>
      <c r="U180" s="327"/>
      <c r="V180" s="352"/>
      <c r="W180" s="352"/>
      <c r="X180" s="327"/>
      <c r="Y180" s="352"/>
      <c r="Z180" s="352"/>
      <c r="AA180" s="327"/>
      <c r="AB180" s="352"/>
      <c r="AC180" s="352"/>
      <c r="AD180" s="327"/>
      <c r="AE180" s="352"/>
      <c r="AF180" s="352"/>
      <c r="AG180" s="327"/>
      <c r="AH180" s="352"/>
      <c r="AI180" s="352"/>
      <c r="AJ180" s="327"/>
      <c r="AK180" s="352"/>
      <c r="AL180" s="352"/>
      <c r="AM180" s="327"/>
      <c r="AN180" s="352"/>
      <c r="AO180" s="352"/>
      <c r="AP180" s="327"/>
      <c r="AQ180" s="352"/>
      <c r="AR180" s="327"/>
      <c r="AU180" s="307"/>
      <c r="AX180" s="307"/>
      <c r="BA180" s="307"/>
      <c r="BC180" s="366"/>
      <c r="BD180" s="307"/>
      <c r="BG180" s="307"/>
    </row>
    <row r="181">
      <c r="A181" s="293"/>
      <c r="B181" s="293"/>
      <c r="C181" s="327"/>
      <c r="D181" s="293"/>
      <c r="E181" s="293"/>
      <c r="F181" s="327"/>
      <c r="G181" s="293"/>
      <c r="H181" s="293"/>
      <c r="I181" s="327"/>
      <c r="J181" s="352"/>
      <c r="K181" s="352"/>
      <c r="L181" s="327"/>
      <c r="M181" s="352"/>
      <c r="N181" s="352"/>
      <c r="O181" s="327"/>
      <c r="P181" s="352"/>
      <c r="Q181" s="352"/>
      <c r="R181" s="327"/>
      <c r="S181" s="352"/>
      <c r="T181" s="352"/>
      <c r="U181" s="327"/>
      <c r="V181" s="352"/>
      <c r="W181" s="352"/>
      <c r="X181" s="327"/>
      <c r="Y181" s="352"/>
      <c r="Z181" s="352"/>
      <c r="AA181" s="327"/>
      <c r="AB181" s="352"/>
      <c r="AC181" s="352"/>
      <c r="AD181" s="327"/>
      <c r="AE181" s="352"/>
      <c r="AF181" s="352"/>
      <c r="AG181" s="327"/>
      <c r="AH181" s="352"/>
      <c r="AI181" s="352"/>
      <c r="AJ181" s="327"/>
      <c r="AK181" s="352"/>
      <c r="AL181" s="352"/>
      <c r="AM181" s="327"/>
      <c r="AN181" s="352"/>
      <c r="AO181" s="352"/>
      <c r="AP181" s="327"/>
      <c r="AQ181" s="352"/>
      <c r="AR181" s="327"/>
      <c r="AU181" s="307"/>
      <c r="AX181" s="307"/>
      <c r="BA181" s="307"/>
      <c r="BC181" s="366"/>
      <c r="BD181" s="307"/>
      <c r="BG181" s="307"/>
    </row>
    <row r="182">
      <c r="A182" s="293"/>
      <c r="B182" s="293"/>
      <c r="C182" s="327"/>
      <c r="D182" s="293"/>
      <c r="E182" s="293"/>
      <c r="F182" s="327"/>
      <c r="G182" s="293"/>
      <c r="H182" s="293"/>
      <c r="I182" s="327"/>
      <c r="J182" s="352"/>
      <c r="K182" s="352"/>
      <c r="L182" s="327"/>
      <c r="M182" s="352"/>
      <c r="N182" s="352"/>
      <c r="O182" s="327"/>
      <c r="P182" s="352"/>
      <c r="Q182" s="352"/>
      <c r="R182" s="327"/>
      <c r="S182" s="352"/>
      <c r="T182" s="352"/>
      <c r="U182" s="327"/>
      <c r="V182" s="352"/>
      <c r="W182" s="352"/>
      <c r="X182" s="327"/>
      <c r="Y182" s="352"/>
      <c r="Z182" s="352"/>
      <c r="AA182" s="327"/>
      <c r="AB182" s="352"/>
      <c r="AC182" s="352"/>
      <c r="AD182" s="327"/>
      <c r="AE182" s="352"/>
      <c r="AF182" s="352"/>
      <c r="AG182" s="327"/>
      <c r="AH182" s="352"/>
      <c r="AI182" s="352"/>
      <c r="AJ182" s="327"/>
      <c r="AK182" s="352"/>
      <c r="AL182" s="352"/>
      <c r="AM182" s="327"/>
      <c r="AN182" s="352"/>
      <c r="AO182" s="352"/>
      <c r="AP182" s="327"/>
      <c r="AQ182" s="352"/>
      <c r="AR182" s="327"/>
      <c r="AU182" s="307"/>
      <c r="AX182" s="307"/>
      <c r="BA182" s="307"/>
      <c r="BC182" s="366"/>
      <c r="BD182" s="307"/>
      <c r="BG182" s="307"/>
    </row>
    <row r="183">
      <c r="A183" s="293"/>
      <c r="B183" s="293"/>
      <c r="C183" s="327"/>
      <c r="D183" s="293"/>
      <c r="E183" s="293"/>
      <c r="F183" s="327"/>
      <c r="G183" s="293"/>
      <c r="H183" s="293"/>
      <c r="I183" s="327"/>
      <c r="J183" s="352"/>
      <c r="K183" s="352"/>
      <c r="L183" s="327"/>
      <c r="M183" s="352"/>
      <c r="N183" s="352"/>
      <c r="O183" s="327"/>
      <c r="P183" s="352"/>
      <c r="Q183" s="352"/>
      <c r="R183" s="327"/>
      <c r="S183" s="352"/>
      <c r="T183" s="352"/>
      <c r="U183" s="327"/>
      <c r="V183" s="352"/>
      <c r="W183" s="352"/>
      <c r="X183" s="327"/>
      <c r="Y183" s="352"/>
      <c r="Z183" s="352"/>
      <c r="AA183" s="327"/>
      <c r="AB183" s="352"/>
      <c r="AC183" s="352"/>
      <c r="AD183" s="327"/>
      <c r="AE183" s="352"/>
      <c r="AF183" s="352"/>
      <c r="AG183" s="327"/>
      <c r="AH183" s="352"/>
      <c r="AI183" s="352"/>
      <c r="AJ183" s="327"/>
      <c r="AK183" s="352"/>
      <c r="AL183" s="352"/>
      <c r="AM183" s="327"/>
      <c r="AN183" s="352"/>
      <c r="AO183" s="352"/>
      <c r="AP183" s="327"/>
      <c r="AQ183" s="352"/>
      <c r="AR183" s="327"/>
      <c r="AU183" s="307"/>
      <c r="AX183" s="307"/>
      <c r="BA183" s="307"/>
      <c r="BC183" s="366"/>
      <c r="BD183" s="307"/>
      <c r="BG183" s="307"/>
    </row>
    <row r="184">
      <c r="A184" s="293"/>
      <c r="B184" s="293"/>
      <c r="C184" s="327"/>
      <c r="D184" s="293"/>
      <c r="E184" s="293"/>
      <c r="F184" s="327"/>
      <c r="G184" s="293"/>
      <c r="H184" s="293"/>
      <c r="I184" s="327"/>
      <c r="J184" s="352"/>
      <c r="K184" s="352"/>
      <c r="L184" s="327"/>
      <c r="M184" s="352"/>
      <c r="N184" s="352"/>
      <c r="O184" s="327"/>
      <c r="P184" s="352"/>
      <c r="Q184" s="352"/>
      <c r="R184" s="327"/>
      <c r="S184" s="352"/>
      <c r="T184" s="352"/>
      <c r="U184" s="327"/>
      <c r="V184" s="352"/>
      <c r="W184" s="352"/>
      <c r="X184" s="327"/>
      <c r="Y184" s="352"/>
      <c r="Z184" s="352"/>
      <c r="AA184" s="327"/>
      <c r="AB184" s="352"/>
      <c r="AC184" s="352"/>
      <c r="AD184" s="327"/>
      <c r="AE184" s="352"/>
      <c r="AF184" s="352"/>
      <c r="AG184" s="327"/>
      <c r="AH184" s="352"/>
      <c r="AI184" s="352"/>
      <c r="AJ184" s="327"/>
      <c r="AK184" s="352"/>
      <c r="AL184" s="352"/>
      <c r="AM184" s="327"/>
      <c r="AN184" s="352"/>
      <c r="AO184" s="352"/>
      <c r="AP184" s="327"/>
      <c r="AQ184" s="352"/>
      <c r="AR184" s="327"/>
      <c r="AU184" s="307"/>
      <c r="AX184" s="307"/>
      <c r="BA184" s="307"/>
      <c r="BC184" s="366"/>
      <c r="BD184" s="307"/>
      <c r="BG184" s="307"/>
    </row>
    <row r="185">
      <c r="C185" s="327"/>
      <c r="F185" s="327"/>
      <c r="I185" s="327"/>
      <c r="J185" s="352"/>
      <c r="K185" s="352"/>
      <c r="L185" s="327"/>
      <c r="M185" s="352"/>
      <c r="N185" s="352"/>
      <c r="O185" s="327"/>
      <c r="P185" s="352"/>
      <c r="Q185" s="352"/>
      <c r="R185" s="327"/>
      <c r="S185" s="352"/>
      <c r="T185" s="352"/>
      <c r="U185" s="327"/>
      <c r="V185" s="352"/>
      <c r="W185" s="352"/>
      <c r="X185" s="327"/>
      <c r="Y185" s="352"/>
      <c r="Z185" s="352"/>
      <c r="AA185" s="327"/>
      <c r="AB185" s="352"/>
      <c r="AC185" s="352"/>
      <c r="AD185" s="327"/>
      <c r="AE185" s="352"/>
      <c r="AF185" s="352"/>
      <c r="AG185" s="327"/>
      <c r="AH185" s="352"/>
      <c r="AI185" s="352"/>
      <c r="AJ185" s="327"/>
      <c r="AK185" s="352"/>
      <c r="AL185" s="352"/>
      <c r="AM185" s="327"/>
      <c r="AN185" s="352"/>
      <c r="AO185" s="352"/>
      <c r="AP185" s="327"/>
      <c r="AQ185" s="352"/>
      <c r="AR185" s="327"/>
      <c r="AU185" s="307"/>
      <c r="AX185" s="307"/>
      <c r="BA185" s="307"/>
      <c r="BC185" s="366"/>
      <c r="BD185" s="307"/>
      <c r="BG185" s="307"/>
    </row>
    <row r="186">
      <c r="A186" s="293"/>
      <c r="B186" s="293"/>
      <c r="C186" s="327"/>
      <c r="D186" s="293"/>
      <c r="E186" s="293"/>
      <c r="F186" s="327"/>
      <c r="G186" s="293"/>
      <c r="H186" s="293"/>
      <c r="I186" s="327"/>
      <c r="J186" s="352"/>
      <c r="K186" s="352"/>
      <c r="L186" s="327"/>
      <c r="M186" s="352"/>
      <c r="N186" s="352"/>
      <c r="O186" s="327"/>
      <c r="P186" s="352"/>
      <c r="Q186" s="352"/>
      <c r="R186" s="327"/>
      <c r="S186" s="352"/>
      <c r="T186" s="352"/>
      <c r="U186" s="327"/>
      <c r="V186" s="352"/>
      <c r="W186" s="352"/>
      <c r="X186" s="327"/>
      <c r="Y186" s="352"/>
      <c r="Z186" s="352"/>
      <c r="AA186" s="327"/>
      <c r="AB186" s="352"/>
      <c r="AC186" s="352"/>
      <c r="AD186" s="327"/>
      <c r="AE186" s="352"/>
      <c r="AF186" s="352"/>
      <c r="AG186" s="327"/>
      <c r="AH186" s="352"/>
      <c r="AI186" s="352"/>
      <c r="AJ186" s="327"/>
      <c r="AK186" s="352"/>
      <c r="AL186" s="352"/>
      <c r="AM186" s="327"/>
      <c r="AN186" s="352"/>
      <c r="AO186" s="352"/>
      <c r="AP186" s="327"/>
      <c r="AQ186" s="352"/>
      <c r="AR186" s="327"/>
      <c r="AU186" s="307"/>
      <c r="AX186" s="307"/>
      <c r="BA186" s="307"/>
      <c r="BC186" s="366"/>
      <c r="BD186" s="307"/>
      <c r="BG186" s="307"/>
    </row>
    <row r="187">
      <c r="A187" s="293"/>
      <c r="B187" s="293"/>
      <c r="C187" s="327"/>
      <c r="D187" s="293"/>
      <c r="E187" s="293"/>
      <c r="F187" s="327"/>
      <c r="G187" s="293"/>
      <c r="H187" s="293"/>
      <c r="I187" s="327"/>
      <c r="J187" s="352"/>
      <c r="K187" s="352"/>
      <c r="L187" s="327"/>
      <c r="M187" s="352"/>
      <c r="N187" s="352"/>
      <c r="O187" s="327"/>
      <c r="P187" s="352"/>
      <c r="Q187" s="352"/>
      <c r="R187" s="327"/>
      <c r="S187" s="352"/>
      <c r="T187" s="352"/>
      <c r="U187" s="327"/>
      <c r="V187" s="352"/>
      <c r="W187" s="352"/>
      <c r="X187" s="327"/>
      <c r="Y187" s="352"/>
      <c r="Z187" s="352"/>
      <c r="AA187" s="327"/>
      <c r="AB187" s="352"/>
      <c r="AC187" s="352"/>
      <c r="AD187" s="327"/>
      <c r="AE187" s="352"/>
      <c r="AF187" s="352"/>
      <c r="AG187" s="327"/>
      <c r="AH187" s="352"/>
      <c r="AI187" s="352"/>
      <c r="AJ187" s="327"/>
      <c r="AK187" s="352"/>
      <c r="AL187" s="352"/>
      <c r="AM187" s="327"/>
      <c r="AN187" s="352"/>
      <c r="AO187" s="352"/>
      <c r="AP187" s="327"/>
      <c r="AQ187" s="352"/>
      <c r="AR187" s="327"/>
      <c r="AU187" s="307"/>
      <c r="AX187" s="307"/>
      <c r="BA187" s="307"/>
      <c r="BC187" s="366"/>
      <c r="BD187" s="307"/>
      <c r="BG187" s="307"/>
    </row>
    <row r="188">
      <c r="A188" s="293"/>
      <c r="B188" s="293"/>
      <c r="C188" s="327"/>
      <c r="D188" s="293"/>
      <c r="E188" s="293"/>
      <c r="F188" s="327"/>
      <c r="G188" s="293"/>
      <c r="H188" s="293"/>
      <c r="I188" s="327"/>
      <c r="J188" s="352"/>
      <c r="K188" s="352"/>
      <c r="L188" s="327"/>
      <c r="M188" s="352"/>
      <c r="N188" s="352"/>
      <c r="O188" s="327"/>
      <c r="P188" s="352"/>
      <c r="Q188" s="352"/>
      <c r="R188" s="327"/>
      <c r="S188" s="352"/>
      <c r="T188" s="352"/>
      <c r="U188" s="327"/>
      <c r="V188" s="352"/>
      <c r="W188" s="352"/>
      <c r="X188" s="327"/>
      <c r="Y188" s="352"/>
      <c r="Z188" s="352"/>
      <c r="AA188" s="327"/>
      <c r="AB188" s="352"/>
      <c r="AC188" s="352"/>
      <c r="AD188" s="327"/>
      <c r="AE188" s="352"/>
      <c r="AF188" s="352"/>
      <c r="AG188" s="327"/>
      <c r="AH188" s="352"/>
      <c r="AI188" s="352"/>
      <c r="AJ188" s="327"/>
      <c r="AK188" s="352"/>
      <c r="AL188" s="352"/>
      <c r="AM188" s="327"/>
      <c r="AN188" s="352"/>
      <c r="AO188" s="352"/>
      <c r="AP188" s="327"/>
      <c r="AQ188" s="352"/>
      <c r="AR188" s="327"/>
      <c r="AU188" s="307"/>
      <c r="AX188" s="307"/>
      <c r="BA188" s="307"/>
      <c r="BC188" s="366"/>
      <c r="BD188" s="307"/>
      <c r="BG188" s="307"/>
    </row>
    <row r="189">
      <c r="A189" s="293"/>
      <c r="B189" s="293"/>
      <c r="C189" s="327"/>
      <c r="D189" s="293"/>
      <c r="E189" s="293"/>
      <c r="F189" s="327"/>
      <c r="G189" s="293"/>
      <c r="H189" s="293"/>
      <c r="I189" s="327"/>
      <c r="J189" s="352"/>
      <c r="K189" s="352"/>
      <c r="L189" s="327"/>
      <c r="M189" s="352"/>
      <c r="N189" s="352"/>
      <c r="O189" s="327"/>
      <c r="P189" s="352"/>
      <c r="Q189" s="352"/>
      <c r="R189" s="327"/>
      <c r="S189" s="352"/>
      <c r="T189" s="352"/>
      <c r="U189" s="327"/>
      <c r="V189" s="352"/>
      <c r="W189" s="352"/>
      <c r="X189" s="327"/>
      <c r="Y189" s="352"/>
      <c r="Z189" s="352"/>
      <c r="AA189" s="327"/>
      <c r="AB189" s="352"/>
      <c r="AC189" s="352"/>
      <c r="AD189" s="327"/>
      <c r="AE189" s="352"/>
      <c r="AF189" s="352"/>
      <c r="AG189" s="327"/>
      <c r="AH189" s="352"/>
      <c r="AI189" s="352"/>
      <c r="AJ189" s="327"/>
      <c r="AK189" s="352"/>
      <c r="AL189" s="352"/>
      <c r="AM189" s="327"/>
      <c r="AN189" s="352"/>
      <c r="AO189" s="352"/>
      <c r="AP189" s="327"/>
      <c r="AQ189" s="352"/>
      <c r="AR189" s="327"/>
      <c r="AU189" s="307"/>
      <c r="AX189" s="307"/>
      <c r="BA189" s="307"/>
      <c r="BC189" s="366"/>
      <c r="BD189" s="307"/>
      <c r="BG189" s="307"/>
    </row>
    <row r="190">
      <c r="A190" s="293"/>
      <c r="B190" s="293"/>
      <c r="C190" s="327"/>
      <c r="D190" s="293"/>
      <c r="E190" s="293"/>
      <c r="F190" s="327"/>
      <c r="G190" s="293"/>
      <c r="H190" s="293"/>
      <c r="I190" s="327"/>
      <c r="J190" s="352"/>
      <c r="K190" s="352"/>
      <c r="L190" s="327"/>
      <c r="M190" s="352"/>
      <c r="N190" s="352"/>
      <c r="O190" s="327"/>
      <c r="P190" s="352"/>
      <c r="Q190" s="352"/>
      <c r="R190" s="327"/>
      <c r="S190" s="352"/>
      <c r="T190" s="352"/>
      <c r="U190" s="327"/>
      <c r="V190" s="352"/>
      <c r="W190" s="352"/>
      <c r="X190" s="327"/>
      <c r="Y190" s="352"/>
      <c r="Z190" s="352"/>
      <c r="AA190" s="327"/>
      <c r="AB190" s="352"/>
      <c r="AC190" s="352"/>
      <c r="AD190" s="327"/>
      <c r="AE190" s="352"/>
      <c r="AF190" s="352"/>
      <c r="AG190" s="327"/>
      <c r="AH190" s="352"/>
      <c r="AI190" s="352"/>
      <c r="AJ190" s="327"/>
      <c r="AK190" s="352"/>
      <c r="AL190" s="352"/>
      <c r="AM190" s="327"/>
      <c r="AN190" s="352"/>
      <c r="AO190" s="352"/>
      <c r="AP190" s="327"/>
      <c r="AQ190" s="352"/>
      <c r="AR190" s="327"/>
      <c r="AU190" s="307"/>
      <c r="AX190" s="307"/>
      <c r="BA190" s="307"/>
      <c r="BC190" s="366"/>
      <c r="BD190" s="307"/>
      <c r="BG190" s="307"/>
    </row>
    <row r="191">
      <c r="A191" s="293"/>
      <c r="B191" s="293"/>
      <c r="C191" s="327"/>
      <c r="D191" s="293"/>
      <c r="E191" s="293"/>
      <c r="F191" s="327"/>
      <c r="G191" s="293"/>
      <c r="H191" s="293"/>
      <c r="I191" s="327"/>
      <c r="J191" s="352"/>
      <c r="K191" s="352"/>
      <c r="L191" s="327"/>
      <c r="M191" s="352"/>
      <c r="N191" s="352"/>
      <c r="O191" s="327"/>
      <c r="P191" s="352"/>
      <c r="Q191" s="352"/>
      <c r="R191" s="327"/>
      <c r="S191" s="352"/>
      <c r="T191" s="352"/>
      <c r="U191" s="327"/>
      <c r="V191" s="352"/>
      <c r="W191" s="352"/>
      <c r="X191" s="327"/>
      <c r="Y191" s="352"/>
      <c r="Z191" s="352"/>
      <c r="AA191" s="327"/>
      <c r="AB191" s="352"/>
      <c r="AC191" s="352"/>
      <c r="AD191" s="327"/>
      <c r="AE191" s="352"/>
      <c r="AF191" s="352"/>
      <c r="AG191" s="327"/>
      <c r="AH191" s="352"/>
      <c r="AI191" s="352"/>
      <c r="AJ191" s="327"/>
      <c r="AK191" s="352"/>
      <c r="AL191" s="352"/>
      <c r="AM191" s="327"/>
      <c r="AN191" s="352"/>
      <c r="AO191" s="352"/>
      <c r="AP191" s="327"/>
      <c r="AQ191" s="352"/>
      <c r="AR191" s="327"/>
      <c r="AU191" s="307"/>
      <c r="AX191" s="307"/>
      <c r="BA191" s="307"/>
      <c r="BC191" s="366"/>
      <c r="BD191" s="307"/>
      <c r="BG191" s="307"/>
    </row>
    <row r="192">
      <c r="A192" s="293"/>
      <c r="B192" s="293"/>
      <c r="C192" s="327"/>
      <c r="D192" s="293"/>
      <c r="E192" s="293"/>
      <c r="F192" s="327"/>
      <c r="G192" s="293"/>
      <c r="H192" s="293"/>
      <c r="I192" s="327"/>
      <c r="J192" s="352"/>
      <c r="K192" s="352"/>
      <c r="L192" s="327"/>
      <c r="M192" s="352"/>
      <c r="N192" s="352"/>
      <c r="O192" s="327"/>
      <c r="P192" s="352"/>
      <c r="Q192" s="352"/>
      <c r="R192" s="327"/>
      <c r="S192" s="352"/>
      <c r="T192" s="352"/>
      <c r="U192" s="327"/>
      <c r="V192" s="352"/>
      <c r="W192" s="352"/>
      <c r="X192" s="327"/>
      <c r="Y192" s="352"/>
      <c r="Z192" s="352"/>
      <c r="AA192" s="327"/>
      <c r="AB192" s="352"/>
      <c r="AC192" s="352"/>
      <c r="AD192" s="327"/>
      <c r="AE192" s="352"/>
      <c r="AF192" s="352"/>
      <c r="AG192" s="327"/>
      <c r="AH192" s="352"/>
      <c r="AI192" s="352"/>
      <c r="AJ192" s="327"/>
      <c r="AK192" s="352"/>
      <c r="AL192" s="352"/>
      <c r="AM192" s="327"/>
      <c r="AN192" s="352"/>
      <c r="AO192" s="352"/>
      <c r="AP192" s="327"/>
      <c r="AQ192" s="352"/>
      <c r="AR192" s="327"/>
      <c r="AU192" s="307"/>
      <c r="AX192" s="307"/>
      <c r="BA192" s="307"/>
      <c r="BC192" s="366"/>
      <c r="BD192" s="307"/>
      <c r="BG192" s="307"/>
    </row>
    <row r="193">
      <c r="A193" s="293"/>
      <c r="B193" s="293"/>
      <c r="C193" s="327"/>
      <c r="D193" s="293"/>
      <c r="E193" s="293"/>
      <c r="F193" s="327"/>
      <c r="G193" s="293"/>
      <c r="H193" s="293"/>
      <c r="I193" s="327"/>
      <c r="J193" s="352"/>
      <c r="K193" s="352"/>
      <c r="L193" s="327"/>
      <c r="M193" s="352"/>
      <c r="N193" s="352"/>
      <c r="O193" s="327"/>
      <c r="P193" s="352"/>
      <c r="Q193" s="352"/>
      <c r="R193" s="327"/>
      <c r="S193" s="352"/>
      <c r="T193" s="352"/>
      <c r="U193" s="327"/>
      <c r="V193" s="352"/>
      <c r="W193" s="352"/>
      <c r="X193" s="327"/>
      <c r="Y193" s="352"/>
      <c r="Z193" s="352"/>
      <c r="AA193" s="327"/>
      <c r="AB193" s="352"/>
      <c r="AC193" s="352"/>
      <c r="AD193" s="327"/>
      <c r="AE193" s="352"/>
      <c r="AF193" s="352"/>
      <c r="AG193" s="327"/>
      <c r="AH193" s="352"/>
      <c r="AI193" s="352"/>
      <c r="AJ193" s="327"/>
      <c r="AK193" s="352"/>
      <c r="AL193" s="352"/>
      <c r="AM193" s="327"/>
      <c r="AN193" s="352"/>
      <c r="AO193" s="352"/>
      <c r="AP193" s="327"/>
      <c r="AQ193" s="352"/>
      <c r="AR193" s="327"/>
      <c r="AU193" s="307"/>
      <c r="AX193" s="307"/>
      <c r="BA193" s="307"/>
      <c r="BC193" s="366"/>
      <c r="BD193" s="307"/>
      <c r="BG193" s="307"/>
    </row>
    <row r="194">
      <c r="A194" s="293"/>
      <c r="B194" s="293"/>
      <c r="C194" s="327"/>
      <c r="D194" s="293"/>
      <c r="E194" s="293"/>
      <c r="F194" s="327"/>
      <c r="G194" s="293"/>
      <c r="H194" s="293"/>
      <c r="I194" s="327"/>
      <c r="J194" s="352"/>
      <c r="K194" s="352"/>
      <c r="L194" s="327"/>
      <c r="M194" s="352"/>
      <c r="N194" s="352"/>
      <c r="O194" s="327"/>
      <c r="P194" s="352"/>
      <c r="Q194" s="352"/>
      <c r="R194" s="327"/>
      <c r="S194" s="352"/>
      <c r="T194" s="352"/>
      <c r="U194" s="327"/>
      <c r="V194" s="352"/>
      <c r="W194" s="352"/>
      <c r="X194" s="327"/>
      <c r="Y194" s="352"/>
      <c r="Z194" s="352"/>
      <c r="AA194" s="327"/>
      <c r="AB194" s="352"/>
      <c r="AC194" s="352"/>
      <c r="AD194" s="327"/>
      <c r="AE194" s="352"/>
      <c r="AF194" s="352"/>
      <c r="AG194" s="327"/>
      <c r="AH194" s="352"/>
      <c r="AI194" s="352"/>
      <c r="AJ194" s="327"/>
      <c r="AK194" s="352"/>
      <c r="AL194" s="352"/>
      <c r="AM194" s="327"/>
      <c r="AN194" s="352"/>
      <c r="AO194" s="352"/>
      <c r="AP194" s="327"/>
      <c r="AQ194" s="352"/>
      <c r="AR194" s="327"/>
      <c r="AU194" s="307"/>
      <c r="AX194" s="307"/>
      <c r="BA194" s="307"/>
      <c r="BC194" s="366"/>
      <c r="BD194" s="307"/>
      <c r="BG194" s="307"/>
    </row>
    <row r="195">
      <c r="A195" s="293"/>
      <c r="B195" s="293"/>
      <c r="C195" s="327"/>
      <c r="D195" s="293"/>
      <c r="E195" s="293"/>
      <c r="F195" s="327"/>
      <c r="G195" s="293"/>
      <c r="H195" s="293"/>
      <c r="I195" s="327"/>
      <c r="J195" s="352"/>
      <c r="K195" s="352"/>
      <c r="L195" s="327"/>
      <c r="M195" s="352"/>
      <c r="N195" s="352"/>
      <c r="O195" s="327"/>
      <c r="P195" s="352"/>
      <c r="Q195" s="352"/>
      <c r="R195" s="327"/>
      <c r="S195" s="352"/>
      <c r="T195" s="352"/>
      <c r="U195" s="327"/>
      <c r="V195" s="352"/>
      <c r="W195" s="352"/>
      <c r="X195" s="327"/>
      <c r="Y195" s="352"/>
      <c r="Z195" s="352"/>
      <c r="AA195" s="327"/>
      <c r="AB195" s="352"/>
      <c r="AC195" s="352"/>
      <c r="AD195" s="327"/>
      <c r="AE195" s="352"/>
      <c r="AF195" s="352"/>
      <c r="AG195" s="327"/>
      <c r="AH195" s="352"/>
      <c r="AI195" s="352"/>
      <c r="AJ195" s="327"/>
      <c r="AK195" s="352"/>
      <c r="AL195" s="352"/>
      <c r="AM195" s="327"/>
      <c r="AN195" s="352"/>
      <c r="AO195" s="352"/>
      <c r="AP195" s="327"/>
      <c r="AQ195" s="352"/>
      <c r="AR195" s="327"/>
      <c r="AU195" s="307"/>
      <c r="AX195" s="307"/>
      <c r="BA195" s="307"/>
      <c r="BC195" s="366"/>
      <c r="BD195" s="307"/>
      <c r="BG195" s="307"/>
    </row>
    <row r="196">
      <c r="A196" s="293"/>
      <c r="B196" s="293"/>
      <c r="C196" s="327"/>
      <c r="D196" s="293"/>
      <c r="E196" s="293"/>
      <c r="F196" s="327"/>
      <c r="G196" s="293"/>
      <c r="H196" s="293"/>
      <c r="I196" s="327"/>
      <c r="J196" s="352"/>
      <c r="K196" s="352"/>
      <c r="L196" s="327"/>
      <c r="M196" s="352"/>
      <c r="N196" s="352"/>
      <c r="O196" s="327"/>
      <c r="P196" s="352"/>
      <c r="Q196" s="352"/>
      <c r="R196" s="327"/>
      <c r="S196" s="352"/>
      <c r="T196" s="352"/>
      <c r="U196" s="327"/>
      <c r="V196" s="352"/>
      <c r="W196" s="352"/>
      <c r="X196" s="327"/>
      <c r="Y196" s="352"/>
      <c r="Z196" s="352"/>
      <c r="AA196" s="327"/>
      <c r="AB196" s="352"/>
      <c r="AC196" s="352"/>
      <c r="AD196" s="327"/>
      <c r="AE196" s="352"/>
      <c r="AF196" s="352"/>
      <c r="AG196" s="327"/>
      <c r="AH196" s="352"/>
      <c r="AI196" s="352"/>
      <c r="AJ196" s="327"/>
      <c r="AK196" s="352"/>
      <c r="AL196" s="352"/>
      <c r="AM196" s="327"/>
      <c r="AN196" s="352"/>
      <c r="AO196" s="352"/>
      <c r="AP196" s="327"/>
      <c r="AQ196" s="352"/>
      <c r="AR196" s="327"/>
      <c r="AU196" s="307"/>
      <c r="AX196" s="307"/>
      <c r="BA196" s="307"/>
      <c r="BC196" s="366"/>
      <c r="BD196" s="307"/>
      <c r="BG196" s="307"/>
    </row>
    <row r="197">
      <c r="A197" s="293"/>
      <c r="B197" s="293"/>
      <c r="C197" s="327"/>
      <c r="D197" s="293"/>
      <c r="E197" s="293"/>
      <c r="F197" s="327"/>
      <c r="G197" s="293"/>
      <c r="H197" s="293"/>
      <c r="I197" s="327"/>
      <c r="J197" s="352"/>
      <c r="K197" s="352"/>
      <c r="L197" s="327"/>
      <c r="M197" s="352"/>
      <c r="N197" s="352"/>
      <c r="O197" s="327"/>
      <c r="P197" s="352"/>
      <c r="Q197" s="352"/>
      <c r="R197" s="327"/>
      <c r="S197" s="352"/>
      <c r="T197" s="352"/>
      <c r="U197" s="327"/>
      <c r="V197" s="352"/>
      <c r="W197" s="352"/>
      <c r="X197" s="327"/>
      <c r="Y197" s="352"/>
      <c r="Z197" s="352"/>
      <c r="AA197" s="327"/>
      <c r="AB197" s="352"/>
      <c r="AC197" s="352"/>
      <c r="AD197" s="327"/>
      <c r="AE197" s="352"/>
      <c r="AF197" s="352"/>
      <c r="AG197" s="327"/>
      <c r="AH197" s="352"/>
      <c r="AI197" s="352"/>
      <c r="AJ197" s="327"/>
      <c r="AK197" s="352"/>
      <c r="AL197" s="352"/>
      <c r="AM197" s="327"/>
      <c r="AN197" s="352"/>
      <c r="AO197" s="352"/>
      <c r="AP197" s="327"/>
      <c r="AQ197" s="352"/>
      <c r="AR197" s="327"/>
      <c r="AU197" s="307"/>
      <c r="AX197" s="307"/>
      <c r="BA197" s="307"/>
      <c r="BC197" s="366"/>
      <c r="BD197" s="307"/>
      <c r="BG197" s="307"/>
    </row>
    <row r="198">
      <c r="A198" s="293"/>
      <c r="B198" s="293"/>
      <c r="C198" s="327"/>
      <c r="D198" s="293"/>
      <c r="E198" s="293"/>
      <c r="F198" s="327"/>
      <c r="G198" s="293"/>
      <c r="H198" s="293"/>
      <c r="I198" s="327"/>
      <c r="J198" s="352"/>
      <c r="K198" s="352"/>
      <c r="L198" s="327"/>
      <c r="M198" s="352"/>
      <c r="N198" s="352"/>
      <c r="O198" s="327"/>
      <c r="P198" s="352"/>
      <c r="Q198" s="352"/>
      <c r="R198" s="327"/>
      <c r="S198" s="352"/>
      <c r="T198" s="352"/>
      <c r="U198" s="327"/>
      <c r="V198" s="352"/>
      <c r="W198" s="352"/>
      <c r="X198" s="327"/>
      <c r="Y198" s="352"/>
      <c r="Z198" s="352"/>
      <c r="AA198" s="327"/>
      <c r="AB198" s="352"/>
      <c r="AC198" s="352"/>
      <c r="AD198" s="327"/>
      <c r="AE198" s="352"/>
      <c r="AF198" s="352"/>
      <c r="AG198" s="327"/>
      <c r="AH198" s="352"/>
      <c r="AI198" s="352"/>
      <c r="AJ198" s="327"/>
      <c r="AK198" s="352"/>
      <c r="AL198" s="352"/>
      <c r="AM198" s="327"/>
      <c r="AN198" s="352"/>
      <c r="AO198" s="352"/>
      <c r="AP198" s="327"/>
      <c r="AQ198" s="352"/>
      <c r="AR198" s="327"/>
      <c r="AU198" s="307"/>
      <c r="AX198" s="307"/>
      <c r="BA198" s="307"/>
      <c r="BC198" s="366"/>
      <c r="BD198" s="307"/>
      <c r="BG198" s="307"/>
    </row>
    <row r="199">
      <c r="A199" s="293"/>
      <c r="B199" s="293"/>
      <c r="C199" s="327"/>
      <c r="D199" s="293"/>
      <c r="E199" s="293"/>
      <c r="F199" s="327"/>
      <c r="G199" s="293"/>
      <c r="H199" s="293"/>
      <c r="I199" s="327"/>
      <c r="J199" s="352"/>
      <c r="K199" s="352"/>
      <c r="L199" s="327"/>
      <c r="M199" s="352"/>
      <c r="N199" s="352"/>
      <c r="O199" s="327"/>
      <c r="P199" s="352"/>
      <c r="Q199" s="352"/>
      <c r="R199" s="327"/>
      <c r="S199" s="352"/>
      <c r="T199" s="352"/>
      <c r="U199" s="327"/>
      <c r="V199" s="352"/>
      <c r="W199" s="352"/>
      <c r="X199" s="327"/>
      <c r="Y199" s="352"/>
      <c r="Z199" s="352"/>
      <c r="AA199" s="327"/>
      <c r="AB199" s="352"/>
      <c r="AC199" s="352"/>
      <c r="AD199" s="327"/>
      <c r="AE199" s="352"/>
      <c r="AF199" s="352"/>
      <c r="AG199" s="327"/>
      <c r="AH199" s="352"/>
      <c r="AI199" s="352"/>
      <c r="AJ199" s="327"/>
      <c r="AK199" s="352"/>
      <c r="AL199" s="352"/>
      <c r="AM199" s="327"/>
      <c r="AN199" s="352"/>
      <c r="AO199" s="352"/>
      <c r="AP199" s="327"/>
      <c r="AQ199" s="352"/>
      <c r="AR199" s="327"/>
      <c r="AU199" s="307"/>
      <c r="AX199" s="307"/>
      <c r="BA199" s="307"/>
      <c r="BC199" s="366"/>
      <c r="BD199" s="307"/>
      <c r="BG199" s="307"/>
    </row>
    <row r="200">
      <c r="A200" s="293"/>
      <c r="B200" s="293"/>
      <c r="C200" s="327"/>
      <c r="D200" s="293"/>
      <c r="E200" s="293"/>
      <c r="F200" s="327"/>
      <c r="G200" s="293"/>
      <c r="H200" s="293"/>
      <c r="I200" s="327"/>
      <c r="J200" s="352"/>
      <c r="K200" s="352"/>
      <c r="L200" s="327"/>
      <c r="M200" s="352"/>
      <c r="N200" s="352"/>
      <c r="O200" s="327"/>
      <c r="P200" s="352"/>
      <c r="Q200" s="352"/>
      <c r="R200" s="327"/>
      <c r="S200" s="352"/>
      <c r="T200" s="352"/>
      <c r="U200" s="327"/>
      <c r="V200" s="352"/>
      <c r="W200" s="352"/>
      <c r="X200" s="327"/>
      <c r="Y200" s="352"/>
      <c r="Z200" s="352"/>
      <c r="AA200" s="327"/>
      <c r="AB200" s="352"/>
      <c r="AC200" s="352"/>
      <c r="AD200" s="327"/>
      <c r="AE200" s="352"/>
      <c r="AF200" s="352"/>
      <c r="AG200" s="327"/>
      <c r="AH200" s="352"/>
      <c r="AI200" s="352"/>
      <c r="AJ200" s="327"/>
      <c r="AK200" s="352"/>
      <c r="AL200" s="352"/>
      <c r="AM200" s="327"/>
      <c r="AN200" s="352"/>
      <c r="AO200" s="352"/>
      <c r="AP200" s="327"/>
      <c r="AQ200" s="352"/>
      <c r="AR200" s="327"/>
      <c r="AU200" s="307"/>
      <c r="AX200" s="307"/>
      <c r="BA200" s="307"/>
      <c r="BC200" s="366"/>
      <c r="BD200" s="307"/>
      <c r="BG200" s="307"/>
    </row>
    <row r="201">
      <c r="A201" s="293"/>
      <c r="B201" s="293"/>
      <c r="C201" s="327"/>
      <c r="D201" s="293"/>
      <c r="E201" s="293"/>
      <c r="F201" s="327"/>
      <c r="G201" s="293"/>
      <c r="H201" s="293"/>
      <c r="I201" s="327"/>
      <c r="J201" s="352"/>
      <c r="K201" s="352"/>
      <c r="L201" s="327"/>
      <c r="M201" s="352"/>
      <c r="N201" s="352"/>
      <c r="O201" s="327"/>
      <c r="P201" s="352"/>
      <c r="Q201" s="352"/>
      <c r="R201" s="327"/>
      <c r="S201" s="352"/>
      <c r="T201" s="352"/>
      <c r="U201" s="327"/>
      <c r="V201" s="352"/>
      <c r="W201" s="352"/>
      <c r="X201" s="327"/>
      <c r="Y201" s="352"/>
      <c r="Z201" s="352"/>
      <c r="AA201" s="327"/>
      <c r="AB201" s="352"/>
      <c r="AC201" s="352"/>
      <c r="AD201" s="327"/>
      <c r="AE201" s="352"/>
      <c r="AF201" s="352"/>
      <c r="AG201" s="327"/>
      <c r="AH201" s="352"/>
      <c r="AI201" s="352"/>
      <c r="AJ201" s="327"/>
      <c r="AK201" s="352"/>
      <c r="AL201" s="352"/>
      <c r="AM201" s="327"/>
      <c r="AN201" s="352"/>
      <c r="AO201" s="352"/>
      <c r="AP201" s="327"/>
      <c r="AQ201" s="352"/>
      <c r="AR201" s="327"/>
      <c r="AU201" s="307"/>
      <c r="AX201" s="307"/>
      <c r="BA201" s="307"/>
      <c r="BC201" s="366"/>
      <c r="BD201" s="307"/>
      <c r="BG201" s="307"/>
    </row>
    <row r="202">
      <c r="A202" s="293"/>
      <c r="B202" s="293"/>
      <c r="C202" s="327"/>
      <c r="D202" s="293"/>
      <c r="E202" s="293"/>
      <c r="F202" s="327"/>
      <c r="G202" s="293"/>
      <c r="H202" s="293"/>
      <c r="I202" s="327"/>
      <c r="J202" s="352"/>
      <c r="K202" s="352"/>
      <c r="L202" s="327"/>
      <c r="M202" s="352"/>
      <c r="N202" s="352"/>
      <c r="O202" s="327"/>
      <c r="P202" s="352"/>
      <c r="Q202" s="352"/>
      <c r="R202" s="327"/>
      <c r="S202" s="352"/>
      <c r="T202" s="352"/>
      <c r="U202" s="327"/>
      <c r="V202" s="352"/>
      <c r="W202" s="352"/>
      <c r="X202" s="327"/>
      <c r="Y202" s="352"/>
      <c r="Z202" s="352"/>
      <c r="AA202" s="327"/>
      <c r="AB202" s="352"/>
      <c r="AC202" s="352"/>
      <c r="AD202" s="327"/>
      <c r="AE202" s="352"/>
      <c r="AF202" s="352"/>
      <c r="AG202" s="327"/>
      <c r="AH202" s="352"/>
      <c r="AI202" s="352"/>
      <c r="AJ202" s="327"/>
      <c r="AK202" s="352"/>
      <c r="AL202" s="352"/>
      <c r="AM202" s="327"/>
      <c r="AN202" s="352"/>
      <c r="AO202" s="352"/>
      <c r="AP202" s="327"/>
      <c r="AQ202" s="352"/>
      <c r="AR202" s="327"/>
      <c r="AU202" s="307"/>
      <c r="AX202" s="307"/>
      <c r="BA202" s="307"/>
      <c r="BC202" s="366"/>
      <c r="BD202" s="307"/>
      <c r="BG202" s="307"/>
    </row>
    <row r="203">
      <c r="A203" s="293"/>
      <c r="B203" s="293"/>
      <c r="C203" s="327"/>
      <c r="D203" s="293"/>
      <c r="E203" s="293"/>
      <c r="F203" s="327"/>
      <c r="G203" s="293"/>
      <c r="H203" s="293"/>
      <c r="I203" s="327"/>
      <c r="J203" s="352"/>
      <c r="K203" s="352"/>
      <c r="L203" s="327"/>
      <c r="M203" s="352"/>
      <c r="N203" s="352"/>
      <c r="O203" s="327"/>
      <c r="P203" s="352"/>
      <c r="Q203" s="352"/>
      <c r="R203" s="327"/>
      <c r="S203" s="352"/>
      <c r="T203" s="352"/>
      <c r="U203" s="327"/>
      <c r="V203" s="352"/>
      <c r="W203" s="352"/>
      <c r="X203" s="327"/>
      <c r="Y203" s="352"/>
      <c r="Z203" s="352"/>
      <c r="AA203" s="327"/>
      <c r="AB203" s="352"/>
      <c r="AC203" s="352"/>
      <c r="AD203" s="327"/>
      <c r="AE203" s="352"/>
      <c r="AF203" s="352"/>
      <c r="AG203" s="327"/>
      <c r="AH203" s="352"/>
      <c r="AI203" s="352"/>
      <c r="AJ203" s="327"/>
      <c r="AK203" s="352"/>
      <c r="AL203" s="352"/>
      <c r="AM203" s="327"/>
      <c r="AN203" s="352"/>
      <c r="AO203" s="352"/>
      <c r="AP203" s="327"/>
      <c r="AQ203" s="352"/>
      <c r="AR203" s="327"/>
      <c r="AU203" s="307"/>
      <c r="AX203" s="307"/>
      <c r="BA203" s="307"/>
      <c r="BC203" s="366"/>
      <c r="BD203" s="307"/>
      <c r="BG203" s="307"/>
    </row>
    <row r="204">
      <c r="A204" s="293"/>
      <c r="B204" s="293"/>
      <c r="C204" s="327"/>
      <c r="D204" s="293"/>
      <c r="E204" s="293"/>
      <c r="F204" s="327"/>
      <c r="G204" s="293"/>
      <c r="H204" s="293"/>
      <c r="I204" s="327"/>
      <c r="J204" s="352"/>
      <c r="K204" s="352"/>
      <c r="L204" s="327"/>
      <c r="M204" s="352"/>
      <c r="N204" s="352"/>
      <c r="O204" s="327"/>
      <c r="P204" s="352"/>
      <c r="Q204" s="352"/>
      <c r="R204" s="327"/>
      <c r="S204" s="352"/>
      <c r="T204" s="352"/>
      <c r="U204" s="327"/>
      <c r="V204" s="352"/>
      <c r="W204" s="352"/>
      <c r="X204" s="327"/>
      <c r="Y204" s="352"/>
      <c r="Z204" s="352"/>
      <c r="AA204" s="327"/>
      <c r="AB204" s="352"/>
      <c r="AC204" s="352"/>
      <c r="AD204" s="327"/>
      <c r="AE204" s="352"/>
      <c r="AF204" s="352"/>
      <c r="AG204" s="327"/>
      <c r="AH204" s="352"/>
      <c r="AI204" s="352"/>
      <c r="AJ204" s="327"/>
      <c r="AK204" s="352"/>
      <c r="AL204" s="352"/>
      <c r="AM204" s="327"/>
      <c r="AN204" s="352"/>
      <c r="AO204" s="352"/>
      <c r="AP204" s="327"/>
      <c r="AQ204" s="352"/>
      <c r="AR204" s="327"/>
      <c r="AU204" s="307"/>
      <c r="AX204" s="307"/>
      <c r="BA204" s="307"/>
      <c r="BC204" s="366"/>
      <c r="BD204" s="307"/>
      <c r="BG204" s="307"/>
    </row>
    <row r="205">
      <c r="A205" s="293"/>
      <c r="B205" s="293"/>
      <c r="C205" s="327"/>
      <c r="D205" s="293"/>
      <c r="E205" s="293"/>
      <c r="F205" s="327"/>
      <c r="G205" s="293"/>
      <c r="H205" s="293"/>
      <c r="I205" s="327"/>
      <c r="J205" s="352"/>
      <c r="K205" s="352"/>
      <c r="L205" s="327"/>
      <c r="M205" s="352"/>
      <c r="N205" s="352"/>
      <c r="O205" s="327"/>
      <c r="P205" s="352"/>
      <c r="Q205" s="352"/>
      <c r="R205" s="327"/>
      <c r="S205" s="352"/>
      <c r="T205" s="352"/>
      <c r="U205" s="327"/>
      <c r="V205" s="352"/>
      <c r="W205" s="352"/>
      <c r="X205" s="327"/>
      <c r="Y205" s="352"/>
      <c r="Z205" s="352"/>
      <c r="AA205" s="327"/>
      <c r="AB205" s="352"/>
      <c r="AC205" s="352"/>
      <c r="AD205" s="327"/>
      <c r="AE205" s="352"/>
      <c r="AF205" s="352"/>
      <c r="AG205" s="327"/>
      <c r="AH205" s="352"/>
      <c r="AI205" s="352"/>
      <c r="AJ205" s="327"/>
      <c r="AK205" s="352"/>
      <c r="AL205" s="352"/>
      <c r="AM205" s="327"/>
      <c r="AN205" s="352"/>
      <c r="AO205" s="352"/>
      <c r="AP205" s="327"/>
      <c r="AQ205" s="352"/>
      <c r="AR205" s="327"/>
      <c r="AU205" s="307"/>
      <c r="AX205" s="307"/>
      <c r="BA205" s="307"/>
      <c r="BC205" s="366"/>
      <c r="BD205" s="307"/>
      <c r="BG205" s="307"/>
    </row>
    <row r="206">
      <c r="A206" s="293"/>
      <c r="B206" s="293"/>
      <c r="C206" s="327"/>
      <c r="D206" s="293"/>
      <c r="E206" s="293"/>
      <c r="F206" s="327"/>
      <c r="G206" s="293"/>
      <c r="H206" s="293"/>
      <c r="I206" s="327"/>
      <c r="J206" s="352"/>
      <c r="K206" s="352"/>
      <c r="L206" s="327"/>
      <c r="M206" s="352"/>
      <c r="N206" s="352"/>
      <c r="O206" s="327"/>
      <c r="P206" s="352"/>
      <c r="Q206" s="352"/>
      <c r="R206" s="327"/>
      <c r="S206" s="352"/>
      <c r="T206" s="352"/>
      <c r="U206" s="327"/>
      <c r="V206" s="352"/>
      <c r="W206" s="352"/>
      <c r="X206" s="327"/>
      <c r="Y206" s="352"/>
      <c r="Z206" s="352"/>
      <c r="AA206" s="327"/>
      <c r="AB206" s="352"/>
      <c r="AC206" s="352"/>
      <c r="AD206" s="327"/>
      <c r="AE206" s="352"/>
      <c r="AF206" s="352"/>
      <c r="AG206" s="327"/>
      <c r="AH206" s="352"/>
      <c r="AI206" s="352"/>
      <c r="AJ206" s="327"/>
      <c r="AK206" s="352"/>
      <c r="AL206" s="352"/>
      <c r="AM206" s="327"/>
      <c r="AN206" s="352"/>
      <c r="AO206" s="352"/>
      <c r="AP206" s="327"/>
      <c r="AQ206" s="352"/>
      <c r="AR206" s="327"/>
      <c r="AU206" s="307"/>
      <c r="AX206" s="307"/>
      <c r="BA206" s="307"/>
      <c r="BC206" s="366"/>
      <c r="BD206" s="307"/>
      <c r="BG206" s="307"/>
    </row>
    <row r="207">
      <c r="A207" s="293"/>
      <c r="B207" s="293"/>
      <c r="C207" s="327"/>
      <c r="D207" s="293"/>
      <c r="E207" s="293"/>
      <c r="F207" s="327"/>
      <c r="G207" s="293"/>
      <c r="H207" s="293"/>
      <c r="I207" s="327"/>
      <c r="J207" s="352"/>
      <c r="K207" s="352"/>
      <c r="L207" s="327"/>
      <c r="M207" s="352"/>
      <c r="N207" s="352"/>
      <c r="O207" s="327"/>
      <c r="P207" s="352"/>
      <c r="Q207" s="352"/>
      <c r="R207" s="327"/>
      <c r="S207" s="352"/>
      <c r="T207" s="352"/>
      <c r="U207" s="327"/>
      <c r="V207" s="352"/>
      <c r="W207" s="352"/>
      <c r="X207" s="327"/>
      <c r="Y207" s="352"/>
      <c r="Z207" s="352"/>
      <c r="AA207" s="327"/>
      <c r="AB207" s="352"/>
      <c r="AC207" s="352"/>
      <c r="AD207" s="327"/>
      <c r="AE207" s="352"/>
      <c r="AF207" s="352"/>
      <c r="AG207" s="327"/>
      <c r="AH207" s="352"/>
      <c r="AI207" s="352"/>
      <c r="AJ207" s="327"/>
      <c r="AK207" s="352"/>
      <c r="AL207" s="352"/>
      <c r="AM207" s="327"/>
      <c r="AN207" s="352"/>
      <c r="AO207" s="352"/>
      <c r="AP207" s="327"/>
      <c r="AQ207" s="352"/>
      <c r="AR207" s="327"/>
      <c r="AU207" s="307"/>
      <c r="AX207" s="307"/>
      <c r="BA207" s="307"/>
      <c r="BC207" s="366"/>
      <c r="BD207" s="307"/>
      <c r="BG207" s="307"/>
    </row>
    <row r="208">
      <c r="A208" s="293"/>
      <c r="B208" s="293"/>
      <c r="C208" s="327"/>
      <c r="D208" s="293"/>
      <c r="E208" s="293"/>
      <c r="F208" s="327"/>
      <c r="G208" s="293"/>
      <c r="H208" s="293"/>
      <c r="I208" s="327"/>
      <c r="J208" s="352"/>
      <c r="K208" s="352"/>
      <c r="L208" s="327"/>
      <c r="M208" s="352"/>
      <c r="N208" s="352"/>
      <c r="O208" s="327"/>
      <c r="P208" s="352"/>
      <c r="Q208" s="352"/>
      <c r="R208" s="327"/>
      <c r="S208" s="352"/>
      <c r="T208" s="352"/>
      <c r="U208" s="327"/>
      <c r="V208" s="352"/>
      <c r="W208" s="352"/>
      <c r="X208" s="327"/>
      <c r="Y208" s="352"/>
      <c r="Z208" s="352"/>
      <c r="AA208" s="327"/>
      <c r="AB208" s="352"/>
      <c r="AC208" s="352"/>
      <c r="AD208" s="327"/>
      <c r="AE208" s="352"/>
      <c r="AF208" s="352"/>
      <c r="AG208" s="327"/>
      <c r="AH208" s="352"/>
      <c r="AI208" s="352"/>
      <c r="AJ208" s="327"/>
      <c r="AK208" s="352"/>
      <c r="AL208" s="352"/>
      <c r="AM208" s="327"/>
      <c r="AN208" s="352"/>
      <c r="AO208" s="352"/>
      <c r="AP208" s="327"/>
      <c r="AQ208" s="352"/>
      <c r="AR208" s="327"/>
      <c r="AU208" s="307"/>
      <c r="AX208" s="307"/>
      <c r="BA208" s="307"/>
      <c r="BC208" s="366"/>
      <c r="BD208" s="307"/>
      <c r="BG208" s="307"/>
    </row>
    <row r="209">
      <c r="A209" s="293"/>
      <c r="B209" s="293"/>
      <c r="C209" s="327"/>
      <c r="D209" s="293"/>
      <c r="E209" s="293"/>
      <c r="F209" s="327"/>
      <c r="G209" s="293"/>
      <c r="H209" s="293"/>
      <c r="I209" s="327"/>
      <c r="J209" s="352"/>
      <c r="K209" s="352"/>
      <c r="L209" s="327"/>
      <c r="M209" s="352"/>
      <c r="N209" s="352"/>
      <c r="O209" s="327"/>
      <c r="P209" s="352"/>
      <c r="Q209" s="352"/>
      <c r="R209" s="327"/>
      <c r="S209" s="352"/>
      <c r="T209" s="352"/>
      <c r="U209" s="327"/>
      <c r="V209" s="352"/>
      <c r="W209" s="352"/>
      <c r="X209" s="327"/>
      <c r="Y209" s="352"/>
      <c r="Z209" s="352"/>
      <c r="AA209" s="327"/>
      <c r="AB209" s="352"/>
      <c r="AC209" s="352"/>
      <c r="AD209" s="327"/>
      <c r="AE209" s="352"/>
      <c r="AF209" s="352"/>
      <c r="AG209" s="327"/>
      <c r="AH209" s="352"/>
      <c r="AI209" s="352"/>
      <c r="AJ209" s="327"/>
      <c r="AK209" s="352"/>
      <c r="AL209" s="352"/>
      <c r="AM209" s="327"/>
      <c r="AN209" s="352"/>
      <c r="AO209" s="352"/>
      <c r="AP209" s="327"/>
      <c r="AQ209" s="352"/>
      <c r="AR209" s="327"/>
      <c r="AU209" s="307"/>
      <c r="AX209" s="307"/>
      <c r="BA209" s="307"/>
      <c r="BC209" s="366"/>
      <c r="BD209" s="307"/>
      <c r="BG209" s="307"/>
    </row>
    <row r="210">
      <c r="A210" s="293"/>
      <c r="B210" s="293"/>
      <c r="C210" s="327"/>
      <c r="D210" s="293"/>
      <c r="E210" s="293"/>
      <c r="F210" s="327"/>
      <c r="G210" s="293"/>
      <c r="H210" s="293"/>
      <c r="I210" s="327"/>
      <c r="J210" s="352"/>
      <c r="K210" s="352"/>
      <c r="L210" s="327"/>
      <c r="M210" s="352"/>
      <c r="N210" s="352"/>
      <c r="O210" s="327"/>
      <c r="P210" s="352"/>
      <c r="Q210" s="352"/>
      <c r="R210" s="327"/>
      <c r="S210" s="352"/>
      <c r="T210" s="352"/>
      <c r="U210" s="327"/>
      <c r="V210" s="352"/>
      <c r="W210" s="352"/>
      <c r="X210" s="327"/>
      <c r="Y210" s="352"/>
      <c r="Z210" s="352"/>
      <c r="AA210" s="327"/>
      <c r="AB210" s="352"/>
      <c r="AC210" s="352"/>
      <c r="AD210" s="327"/>
      <c r="AE210" s="352"/>
      <c r="AF210" s="352"/>
      <c r="AG210" s="327"/>
      <c r="AH210" s="352"/>
      <c r="AI210" s="352"/>
      <c r="AJ210" s="327"/>
      <c r="AK210" s="352"/>
      <c r="AL210" s="352"/>
      <c r="AM210" s="327"/>
      <c r="AN210" s="352"/>
      <c r="AO210" s="352"/>
      <c r="AP210" s="327"/>
      <c r="AQ210" s="352"/>
      <c r="AR210" s="327"/>
      <c r="AU210" s="307"/>
      <c r="AX210" s="307"/>
      <c r="BA210" s="307"/>
      <c r="BC210" s="366"/>
      <c r="BD210" s="307"/>
      <c r="BG210" s="307"/>
    </row>
    <row r="211">
      <c r="A211" s="293"/>
      <c r="B211" s="293"/>
      <c r="C211" s="327"/>
      <c r="D211" s="293"/>
      <c r="E211" s="293"/>
      <c r="F211" s="327"/>
      <c r="G211" s="293"/>
      <c r="H211" s="293"/>
      <c r="I211" s="327"/>
      <c r="J211" s="352"/>
      <c r="K211" s="352"/>
      <c r="L211" s="327"/>
      <c r="M211" s="352"/>
      <c r="N211" s="352"/>
      <c r="O211" s="327"/>
      <c r="P211" s="352"/>
      <c r="Q211" s="352"/>
      <c r="R211" s="327"/>
      <c r="S211" s="352"/>
      <c r="T211" s="352"/>
      <c r="U211" s="327"/>
      <c r="V211" s="352"/>
      <c r="W211" s="352"/>
      <c r="X211" s="327"/>
      <c r="Y211" s="352"/>
      <c r="Z211" s="352"/>
      <c r="AA211" s="327"/>
      <c r="AB211" s="352"/>
      <c r="AC211" s="352"/>
      <c r="AD211" s="327"/>
      <c r="AE211" s="352"/>
      <c r="AF211" s="352"/>
      <c r="AG211" s="327"/>
      <c r="AH211" s="352"/>
      <c r="AI211" s="352"/>
      <c r="AJ211" s="327"/>
      <c r="AK211" s="352"/>
      <c r="AL211" s="352"/>
      <c r="AM211" s="327"/>
      <c r="AN211" s="352"/>
      <c r="AO211" s="352"/>
      <c r="AP211" s="327"/>
      <c r="AQ211" s="352"/>
      <c r="AR211" s="327"/>
      <c r="AU211" s="307"/>
      <c r="AX211" s="307"/>
      <c r="BA211" s="307"/>
      <c r="BC211" s="366"/>
      <c r="BD211" s="307"/>
      <c r="BG211" s="307"/>
    </row>
    <row r="212">
      <c r="A212" s="293"/>
      <c r="B212" s="293"/>
      <c r="C212" s="327"/>
      <c r="D212" s="293"/>
      <c r="E212" s="293"/>
      <c r="F212" s="327"/>
      <c r="G212" s="293"/>
      <c r="H212" s="293"/>
      <c r="I212" s="327"/>
      <c r="J212" s="352"/>
      <c r="K212" s="352"/>
      <c r="L212" s="327"/>
      <c r="M212" s="352"/>
      <c r="N212" s="352"/>
      <c r="O212" s="327"/>
      <c r="P212" s="352"/>
      <c r="Q212" s="352"/>
      <c r="R212" s="327"/>
      <c r="S212" s="352"/>
      <c r="T212" s="352"/>
      <c r="U212" s="327"/>
      <c r="V212" s="352"/>
      <c r="W212" s="352"/>
      <c r="X212" s="327"/>
      <c r="Y212" s="352"/>
      <c r="Z212" s="352"/>
      <c r="AA212" s="327"/>
      <c r="AB212" s="352"/>
      <c r="AC212" s="352"/>
      <c r="AD212" s="327"/>
      <c r="AE212" s="352"/>
      <c r="AF212" s="352"/>
      <c r="AG212" s="327"/>
      <c r="AH212" s="352"/>
      <c r="AI212" s="352"/>
      <c r="AJ212" s="327"/>
      <c r="AK212" s="352"/>
      <c r="AL212" s="352"/>
      <c r="AM212" s="327"/>
      <c r="AN212" s="352"/>
      <c r="AO212" s="352"/>
      <c r="AP212" s="327"/>
      <c r="AQ212" s="352"/>
      <c r="AR212" s="327"/>
      <c r="AU212" s="307"/>
      <c r="AX212" s="307"/>
      <c r="BA212" s="307"/>
      <c r="BC212" s="366"/>
      <c r="BD212" s="307"/>
      <c r="BG212" s="307"/>
    </row>
    <row r="213">
      <c r="A213" s="293"/>
      <c r="B213" s="293"/>
      <c r="C213" s="327"/>
      <c r="D213" s="293"/>
      <c r="E213" s="293"/>
      <c r="F213" s="327"/>
      <c r="G213" s="293"/>
      <c r="H213" s="293"/>
      <c r="I213" s="327"/>
      <c r="J213" s="352"/>
      <c r="K213" s="352"/>
      <c r="L213" s="327"/>
      <c r="M213" s="352"/>
      <c r="N213" s="352"/>
      <c r="O213" s="327"/>
      <c r="P213" s="352"/>
      <c r="Q213" s="352"/>
      <c r="R213" s="327"/>
      <c r="S213" s="352"/>
      <c r="T213" s="352"/>
      <c r="U213" s="327"/>
      <c r="V213" s="352"/>
      <c r="W213" s="352"/>
      <c r="X213" s="327"/>
      <c r="Y213" s="352"/>
      <c r="Z213" s="352"/>
      <c r="AA213" s="327"/>
      <c r="AB213" s="352"/>
      <c r="AC213" s="352"/>
      <c r="AD213" s="327"/>
      <c r="AE213" s="352"/>
      <c r="AF213" s="352"/>
      <c r="AG213" s="327"/>
      <c r="AH213" s="352"/>
      <c r="AI213" s="352"/>
      <c r="AJ213" s="327"/>
      <c r="AK213" s="352"/>
      <c r="AL213" s="352"/>
      <c r="AM213" s="327"/>
      <c r="AN213" s="352"/>
      <c r="AO213" s="352"/>
      <c r="AP213" s="327"/>
      <c r="AQ213" s="352"/>
      <c r="AR213" s="327"/>
      <c r="AU213" s="307"/>
      <c r="AX213" s="307"/>
      <c r="BA213" s="307"/>
      <c r="BC213" s="366"/>
      <c r="BD213" s="307"/>
      <c r="BG213" s="307"/>
    </row>
    <row r="214">
      <c r="A214" s="293"/>
      <c r="B214" s="293"/>
      <c r="C214" s="327"/>
      <c r="D214" s="293"/>
      <c r="E214" s="293"/>
      <c r="F214" s="327"/>
      <c r="G214" s="293"/>
      <c r="H214" s="293"/>
      <c r="I214" s="327"/>
      <c r="J214" s="352"/>
      <c r="K214" s="352"/>
      <c r="L214" s="327"/>
      <c r="M214" s="352"/>
      <c r="N214" s="352"/>
      <c r="O214" s="327"/>
      <c r="P214" s="352"/>
      <c r="Q214" s="352"/>
      <c r="R214" s="327"/>
      <c r="S214" s="352"/>
      <c r="T214" s="352"/>
      <c r="U214" s="327"/>
      <c r="V214" s="352"/>
      <c r="W214" s="352"/>
      <c r="X214" s="327"/>
      <c r="Y214" s="352"/>
      <c r="Z214" s="352"/>
      <c r="AA214" s="327"/>
      <c r="AB214" s="352"/>
      <c r="AC214" s="352"/>
      <c r="AD214" s="327"/>
      <c r="AE214" s="352"/>
      <c r="AF214" s="352"/>
      <c r="AG214" s="327"/>
      <c r="AH214" s="352"/>
      <c r="AI214" s="352"/>
      <c r="AJ214" s="327"/>
      <c r="AK214" s="352"/>
      <c r="AL214" s="352"/>
      <c r="AM214" s="327"/>
      <c r="AN214" s="352"/>
      <c r="AO214" s="352"/>
      <c r="AP214" s="327"/>
      <c r="AQ214" s="352"/>
      <c r="AR214" s="327"/>
      <c r="AU214" s="307"/>
      <c r="AX214" s="307"/>
      <c r="BA214" s="307"/>
      <c r="BC214" s="366"/>
      <c r="BD214" s="307"/>
      <c r="BG214" s="307"/>
    </row>
    <row r="215">
      <c r="A215" s="323"/>
      <c r="B215" s="293"/>
      <c r="C215" s="327"/>
      <c r="D215" s="323"/>
      <c r="E215" s="293"/>
      <c r="F215" s="327"/>
      <c r="G215" s="323"/>
      <c r="H215" s="293"/>
      <c r="I215" s="327"/>
      <c r="J215" s="352" t="s">
        <v>6898</v>
      </c>
      <c r="K215" s="352"/>
      <c r="L215" s="327"/>
      <c r="M215" s="352"/>
      <c r="N215" s="352"/>
      <c r="O215" s="327"/>
      <c r="P215" s="352"/>
      <c r="Q215" s="352"/>
      <c r="R215" s="327"/>
      <c r="S215" s="352"/>
      <c r="T215" s="352"/>
      <c r="U215" s="327"/>
      <c r="V215" s="352"/>
      <c r="W215" s="352"/>
      <c r="X215" s="327"/>
      <c r="Y215" s="352"/>
      <c r="Z215" s="352"/>
      <c r="AA215" s="327"/>
      <c r="AB215" s="352"/>
      <c r="AC215" s="352"/>
      <c r="AD215" s="327"/>
      <c r="AE215" s="352"/>
      <c r="AF215" s="352"/>
      <c r="AG215" s="327"/>
      <c r="AH215" s="352"/>
      <c r="AI215" s="352"/>
      <c r="AJ215" s="327"/>
      <c r="AK215" s="352"/>
      <c r="AL215" s="352"/>
      <c r="AM215" s="327"/>
      <c r="AN215" s="352"/>
      <c r="AO215" s="352"/>
      <c r="AP215" s="327"/>
      <c r="AQ215" s="352"/>
      <c r="AR215" s="327"/>
      <c r="AU215" s="307"/>
      <c r="AX215" s="307"/>
      <c r="BA215" s="307"/>
      <c r="BC215" s="366"/>
      <c r="BD215" s="307"/>
      <c r="BG215" s="307"/>
    </row>
    <row r="216">
      <c r="A216" s="323"/>
      <c r="B216" s="293"/>
      <c r="C216" s="327"/>
      <c r="D216" s="323"/>
      <c r="E216" s="293"/>
      <c r="F216" s="327"/>
      <c r="G216" s="323"/>
      <c r="H216" s="293"/>
      <c r="I216" s="327"/>
      <c r="J216" s="352" t="s">
        <v>1120</v>
      </c>
      <c r="K216" s="352"/>
      <c r="L216" s="327"/>
      <c r="M216" s="352"/>
      <c r="N216" s="352"/>
      <c r="O216" s="327"/>
      <c r="P216" s="352"/>
      <c r="Q216" s="352"/>
      <c r="R216" s="327"/>
      <c r="S216" s="352"/>
      <c r="T216" s="352"/>
      <c r="U216" s="327"/>
      <c r="V216" s="352"/>
      <c r="W216" s="352"/>
      <c r="X216" s="327"/>
      <c r="Y216" s="352"/>
      <c r="Z216" s="352"/>
      <c r="AA216" s="327"/>
      <c r="AB216" s="352"/>
      <c r="AC216" s="352"/>
      <c r="AD216" s="327"/>
      <c r="AE216" s="352"/>
      <c r="AF216" s="352"/>
      <c r="AG216" s="327"/>
      <c r="AH216" s="352"/>
      <c r="AI216" s="352"/>
      <c r="AJ216" s="327"/>
      <c r="AK216" s="352"/>
      <c r="AL216" s="352"/>
      <c r="AM216" s="327"/>
      <c r="AN216" s="352"/>
      <c r="AO216" s="352"/>
      <c r="AP216" s="327"/>
      <c r="AQ216" s="352"/>
      <c r="AR216" s="327"/>
      <c r="AU216" s="307"/>
      <c r="AX216" s="307"/>
      <c r="BA216" s="307"/>
      <c r="BC216" s="366"/>
      <c r="BD216" s="307"/>
      <c r="BG216" s="307"/>
    </row>
    <row r="217">
      <c r="A217" s="323"/>
      <c r="B217" s="293"/>
      <c r="C217" s="327"/>
      <c r="D217" s="323"/>
      <c r="E217" s="293"/>
      <c r="F217" s="327"/>
      <c r="G217" s="323"/>
      <c r="H217" s="293"/>
      <c r="I217" s="327"/>
      <c r="J217" s="352" t="s">
        <v>6927</v>
      </c>
      <c r="K217" s="352"/>
      <c r="L217" s="327"/>
      <c r="M217" s="352"/>
      <c r="N217" s="352"/>
      <c r="O217" s="327"/>
      <c r="P217" s="352"/>
      <c r="Q217" s="352"/>
      <c r="R217" s="327"/>
      <c r="S217" s="352"/>
      <c r="T217" s="352"/>
      <c r="U217" s="327"/>
      <c r="V217" s="352"/>
      <c r="W217" s="352"/>
      <c r="X217" s="327"/>
      <c r="Y217" s="352"/>
      <c r="Z217" s="352"/>
      <c r="AA217" s="327"/>
      <c r="AB217" s="352"/>
      <c r="AC217" s="352"/>
      <c r="AD217" s="327"/>
      <c r="AE217" s="352"/>
      <c r="AF217" s="352"/>
      <c r="AG217" s="327"/>
      <c r="AH217" s="352"/>
      <c r="AI217" s="352"/>
      <c r="AJ217" s="327"/>
      <c r="AK217" s="352"/>
      <c r="AL217" s="352"/>
      <c r="AM217" s="327"/>
      <c r="AN217" s="352"/>
      <c r="AO217" s="352"/>
      <c r="AP217" s="327"/>
      <c r="AQ217" s="352"/>
      <c r="AR217" s="327"/>
      <c r="AU217" s="307"/>
      <c r="AX217" s="307"/>
      <c r="BA217" s="307"/>
      <c r="BC217" s="366"/>
      <c r="BD217" s="307"/>
      <c r="BG217" s="307"/>
    </row>
    <row r="218">
      <c r="A218" s="323"/>
      <c r="B218" s="293"/>
      <c r="C218" s="327"/>
      <c r="D218" s="323"/>
      <c r="E218" s="293"/>
      <c r="F218" s="327"/>
      <c r="G218" s="323"/>
      <c r="H218" s="293"/>
      <c r="I218" s="327"/>
      <c r="J218" s="352" t="s">
        <v>6943</v>
      </c>
      <c r="K218" s="352"/>
      <c r="L218" s="327"/>
      <c r="M218" s="352"/>
      <c r="N218" s="352"/>
      <c r="O218" s="327"/>
      <c r="P218" s="352"/>
      <c r="Q218" s="352"/>
      <c r="R218" s="327"/>
      <c r="S218" s="352"/>
      <c r="T218" s="352"/>
      <c r="U218" s="327"/>
      <c r="V218" s="352"/>
      <c r="W218" s="352"/>
      <c r="X218" s="327"/>
      <c r="Y218" s="352"/>
      <c r="Z218" s="352"/>
      <c r="AA218" s="327"/>
      <c r="AB218" s="352"/>
      <c r="AC218" s="352"/>
      <c r="AD218" s="327"/>
      <c r="AE218" s="352"/>
      <c r="AF218" s="352"/>
      <c r="AG218" s="327"/>
      <c r="AH218" s="352"/>
      <c r="AI218" s="352"/>
      <c r="AJ218" s="327"/>
      <c r="AK218" s="352"/>
      <c r="AL218" s="352"/>
      <c r="AM218" s="327"/>
      <c r="AN218" s="352"/>
      <c r="AO218" s="352"/>
      <c r="AP218" s="327"/>
      <c r="AQ218" s="352"/>
      <c r="AR218" s="327"/>
      <c r="AU218" s="307"/>
      <c r="AX218" s="307"/>
      <c r="BA218" s="307"/>
      <c r="BC218" s="366"/>
      <c r="BD218" s="307"/>
      <c r="BG218" s="307"/>
    </row>
    <row r="219">
      <c r="A219" s="323"/>
      <c r="B219" s="293"/>
      <c r="C219" s="327"/>
      <c r="D219" s="323"/>
      <c r="E219" s="293"/>
      <c r="F219" s="327"/>
      <c r="G219" s="323"/>
      <c r="H219" s="293"/>
      <c r="I219" s="327"/>
      <c r="J219" s="352" t="s">
        <v>6955</v>
      </c>
      <c r="K219" s="352"/>
      <c r="L219" s="327"/>
      <c r="M219" s="352"/>
      <c r="N219" s="352"/>
      <c r="O219" s="327"/>
      <c r="P219" s="352"/>
      <c r="Q219" s="352"/>
      <c r="R219" s="327"/>
      <c r="S219" s="352"/>
      <c r="T219" s="352"/>
      <c r="U219" s="327"/>
      <c r="V219" s="352"/>
      <c r="W219" s="352"/>
      <c r="X219" s="327"/>
      <c r="Y219" s="352"/>
      <c r="Z219" s="352"/>
      <c r="AA219" s="327"/>
      <c r="AB219" s="352"/>
      <c r="AC219" s="352"/>
      <c r="AD219" s="327"/>
      <c r="AE219" s="352"/>
      <c r="AF219" s="352"/>
      <c r="AG219" s="327"/>
      <c r="AH219" s="352"/>
      <c r="AI219" s="352"/>
      <c r="AJ219" s="327"/>
      <c r="AK219" s="352"/>
      <c r="AL219" s="352"/>
      <c r="AM219" s="327"/>
      <c r="AN219" s="352"/>
      <c r="AO219" s="352"/>
      <c r="AP219" s="327"/>
      <c r="AQ219" s="352"/>
      <c r="AR219" s="327"/>
      <c r="AU219" s="307"/>
      <c r="AX219" s="307"/>
      <c r="BA219" s="307"/>
      <c r="BC219" s="366"/>
      <c r="BD219" s="307"/>
      <c r="BG219" s="307"/>
    </row>
    <row r="220">
      <c r="A220" s="323"/>
      <c r="B220" s="293"/>
      <c r="C220" s="327"/>
      <c r="D220" s="323"/>
      <c r="E220" s="293"/>
      <c r="F220" s="327"/>
      <c r="G220" s="323"/>
      <c r="H220" s="293"/>
      <c r="I220" s="327"/>
      <c r="J220" s="352" t="s">
        <v>6968</v>
      </c>
      <c r="K220" s="352"/>
      <c r="L220" s="327"/>
      <c r="M220" s="352"/>
      <c r="N220" s="352"/>
      <c r="O220" s="327"/>
      <c r="P220" s="352"/>
      <c r="Q220" s="352"/>
      <c r="R220" s="327"/>
      <c r="S220" s="352"/>
      <c r="T220" s="352"/>
      <c r="U220" s="327"/>
      <c r="V220" s="352"/>
      <c r="W220" s="352"/>
      <c r="X220" s="327"/>
      <c r="Y220" s="352"/>
      <c r="Z220" s="352"/>
      <c r="AA220" s="327"/>
      <c r="AB220" s="352"/>
      <c r="AC220" s="352"/>
      <c r="AD220" s="327"/>
      <c r="AE220" s="352"/>
      <c r="AF220" s="352"/>
      <c r="AG220" s="327"/>
      <c r="AH220" s="352"/>
      <c r="AI220" s="352"/>
      <c r="AJ220" s="327"/>
      <c r="AK220" s="352"/>
      <c r="AL220" s="352"/>
      <c r="AM220" s="327"/>
      <c r="AN220" s="352"/>
      <c r="AO220" s="352"/>
      <c r="AP220" s="327"/>
      <c r="AQ220" s="352"/>
      <c r="AR220" s="327"/>
      <c r="AU220" s="307"/>
      <c r="AX220" s="307"/>
      <c r="BA220" s="307"/>
      <c r="BC220" s="366"/>
      <c r="BD220" s="307"/>
      <c r="BG220" s="307"/>
    </row>
    <row r="221">
      <c r="A221" s="323"/>
      <c r="B221" s="293"/>
      <c r="C221" s="327"/>
      <c r="D221" s="323"/>
      <c r="E221" s="293"/>
      <c r="F221" s="327"/>
      <c r="G221" s="323"/>
      <c r="H221" s="293"/>
      <c r="I221" s="327"/>
      <c r="J221" s="352" t="s">
        <v>6868</v>
      </c>
      <c r="K221" s="352"/>
      <c r="L221" s="327"/>
      <c r="M221" s="352"/>
      <c r="N221" s="352"/>
      <c r="O221" s="327"/>
      <c r="P221" s="352"/>
      <c r="Q221" s="352"/>
      <c r="R221" s="327"/>
      <c r="S221" s="352"/>
      <c r="T221" s="352"/>
      <c r="U221" s="327"/>
      <c r="V221" s="352"/>
      <c r="W221" s="352"/>
      <c r="X221" s="327"/>
      <c r="Y221" s="352"/>
      <c r="Z221" s="352"/>
      <c r="AA221" s="327"/>
      <c r="AB221" s="352"/>
      <c r="AC221" s="352"/>
      <c r="AD221" s="327"/>
      <c r="AE221" s="352"/>
      <c r="AF221" s="352"/>
      <c r="AG221" s="327"/>
      <c r="AH221" s="352"/>
      <c r="AI221" s="352"/>
      <c r="AJ221" s="327"/>
      <c r="AK221" s="352"/>
      <c r="AL221" s="352"/>
      <c r="AM221" s="327"/>
      <c r="AN221" s="352"/>
      <c r="AO221" s="352"/>
      <c r="AP221" s="327"/>
      <c r="AQ221" s="352"/>
      <c r="AR221" s="327"/>
      <c r="AU221" s="307"/>
      <c r="AX221" s="307"/>
      <c r="BA221" s="307"/>
      <c r="BC221" s="366"/>
      <c r="BD221" s="307"/>
      <c r="BG221" s="307"/>
    </row>
    <row r="222">
      <c r="A222" s="323"/>
      <c r="B222" s="293"/>
      <c r="C222" s="327"/>
      <c r="D222" s="323"/>
      <c r="E222" s="293"/>
      <c r="F222" s="327"/>
      <c r="G222" s="323"/>
      <c r="H222" s="293"/>
      <c r="I222" s="327"/>
      <c r="J222" s="352" t="s">
        <v>6974</v>
      </c>
      <c r="K222" s="352"/>
      <c r="L222" s="327"/>
      <c r="M222" s="352"/>
      <c r="N222" s="352"/>
      <c r="O222" s="327"/>
      <c r="P222" s="352"/>
      <c r="Q222" s="352"/>
      <c r="R222" s="327"/>
      <c r="S222" s="352"/>
      <c r="T222" s="352"/>
      <c r="U222" s="327"/>
      <c r="V222" s="352"/>
      <c r="W222" s="352"/>
      <c r="X222" s="327"/>
      <c r="Y222" s="352"/>
      <c r="Z222" s="352"/>
      <c r="AA222" s="327"/>
      <c r="AB222" s="352"/>
      <c r="AC222" s="352"/>
      <c r="AD222" s="327"/>
      <c r="AE222" s="352"/>
      <c r="AF222" s="352"/>
      <c r="AG222" s="327"/>
      <c r="AH222" s="352"/>
      <c r="AI222" s="352"/>
      <c r="AJ222" s="327"/>
      <c r="AK222" s="352"/>
      <c r="AL222" s="352"/>
      <c r="AM222" s="327"/>
      <c r="AN222" s="352"/>
      <c r="AO222" s="352"/>
      <c r="AP222" s="327"/>
      <c r="AQ222" s="352"/>
      <c r="AR222" s="327"/>
      <c r="AU222" s="307"/>
      <c r="AX222" s="307"/>
      <c r="BA222" s="307"/>
      <c r="BC222" s="366"/>
      <c r="BD222" s="307"/>
      <c r="BG222" s="307"/>
    </row>
    <row r="223">
      <c r="A223" s="323"/>
      <c r="B223" s="293"/>
      <c r="C223" s="327"/>
      <c r="D223" s="323"/>
      <c r="E223" s="293"/>
      <c r="F223" s="327"/>
      <c r="G223" s="323"/>
      <c r="H223" s="293"/>
      <c r="I223" s="327"/>
      <c r="J223" s="352" t="s">
        <v>6985</v>
      </c>
      <c r="K223" s="352"/>
      <c r="L223" s="327"/>
      <c r="M223" s="352"/>
      <c r="N223" s="352"/>
      <c r="O223" s="327"/>
      <c r="P223" s="352"/>
      <c r="Q223" s="352"/>
      <c r="R223" s="327"/>
      <c r="S223" s="352"/>
      <c r="T223" s="352"/>
      <c r="U223" s="327"/>
      <c r="V223" s="352"/>
      <c r="W223" s="352"/>
      <c r="X223" s="327"/>
      <c r="Y223" s="352"/>
      <c r="Z223" s="352"/>
      <c r="AA223" s="327"/>
      <c r="AB223" s="352"/>
      <c r="AC223" s="352"/>
      <c r="AD223" s="327"/>
      <c r="AE223" s="352"/>
      <c r="AF223" s="352"/>
      <c r="AG223" s="327"/>
      <c r="AH223" s="352"/>
      <c r="AI223" s="352"/>
      <c r="AJ223" s="327"/>
      <c r="AK223" s="352"/>
      <c r="AL223" s="352"/>
      <c r="AM223" s="327"/>
      <c r="AN223" s="352"/>
      <c r="AO223" s="352"/>
      <c r="AP223" s="327"/>
      <c r="AQ223" s="352"/>
      <c r="AR223" s="327"/>
      <c r="AU223" s="307"/>
      <c r="AX223" s="307"/>
      <c r="BA223" s="307"/>
      <c r="BC223" s="366"/>
      <c r="BD223" s="307"/>
      <c r="BG223" s="307"/>
    </row>
    <row r="224">
      <c r="A224" s="323"/>
      <c r="B224" s="293"/>
      <c r="C224" s="327"/>
      <c r="D224" s="323"/>
      <c r="E224" s="293"/>
      <c r="F224" s="327"/>
      <c r="G224" s="323"/>
      <c r="H224" s="293"/>
      <c r="I224" s="327"/>
      <c r="J224" s="352" t="s">
        <v>1787</v>
      </c>
      <c r="K224" s="352"/>
      <c r="L224" s="327"/>
      <c r="M224" s="352"/>
      <c r="N224" s="352"/>
      <c r="O224" s="327"/>
      <c r="P224" s="352"/>
      <c r="Q224" s="352"/>
      <c r="R224" s="327"/>
      <c r="S224" s="352"/>
      <c r="T224" s="352"/>
      <c r="U224" s="327"/>
      <c r="V224" s="352"/>
      <c r="W224" s="352"/>
      <c r="X224" s="327"/>
      <c r="Y224" s="352"/>
      <c r="Z224" s="352"/>
      <c r="AA224" s="327"/>
      <c r="AB224" s="352"/>
      <c r="AC224" s="352"/>
      <c r="AD224" s="327"/>
      <c r="AE224" s="352"/>
      <c r="AF224" s="352"/>
      <c r="AG224" s="327"/>
      <c r="AH224" s="352"/>
      <c r="AI224" s="352"/>
      <c r="AJ224" s="327"/>
      <c r="AK224" s="352"/>
      <c r="AL224" s="352"/>
      <c r="AM224" s="327"/>
      <c r="AN224" s="352"/>
      <c r="AO224" s="352"/>
      <c r="AP224" s="327"/>
      <c r="AQ224" s="352"/>
      <c r="AR224" s="327"/>
      <c r="AU224" s="307"/>
      <c r="AX224" s="307"/>
      <c r="BA224" s="307"/>
      <c r="BC224" s="366"/>
      <c r="BD224" s="307"/>
      <c r="BG224" s="307"/>
    </row>
    <row r="225">
      <c r="A225" s="323"/>
      <c r="B225" s="293"/>
      <c r="C225" s="327"/>
      <c r="D225" s="323"/>
      <c r="E225" s="293"/>
      <c r="F225" s="327"/>
      <c r="G225" s="323"/>
      <c r="H225" s="293"/>
      <c r="I225" s="327"/>
      <c r="J225" s="352" t="s">
        <v>1486</v>
      </c>
      <c r="K225" s="352"/>
      <c r="L225" s="327"/>
      <c r="M225" s="352"/>
      <c r="N225" s="352"/>
      <c r="O225" s="327"/>
      <c r="P225" s="352"/>
      <c r="Q225" s="352"/>
      <c r="R225" s="327"/>
      <c r="S225" s="352"/>
      <c r="T225" s="352"/>
      <c r="U225" s="327"/>
      <c r="V225" s="352"/>
      <c r="W225" s="352"/>
      <c r="X225" s="327"/>
      <c r="Y225" s="352"/>
      <c r="Z225" s="352"/>
      <c r="AA225" s="327"/>
      <c r="AB225" s="352"/>
      <c r="AC225" s="352"/>
      <c r="AD225" s="327"/>
      <c r="AE225" s="352"/>
      <c r="AF225" s="352"/>
      <c r="AG225" s="327"/>
      <c r="AH225" s="352"/>
      <c r="AI225" s="352"/>
      <c r="AJ225" s="327"/>
      <c r="AK225" s="352"/>
      <c r="AL225" s="352"/>
      <c r="AM225" s="327"/>
      <c r="AN225" s="352"/>
      <c r="AO225" s="352"/>
      <c r="AP225" s="327"/>
      <c r="AQ225" s="352"/>
      <c r="AR225" s="327"/>
      <c r="AU225" s="307"/>
      <c r="AX225" s="307"/>
      <c r="BA225" s="307"/>
      <c r="BC225" s="366"/>
      <c r="BD225" s="307"/>
      <c r="BG225" s="307"/>
    </row>
    <row r="226">
      <c r="A226" s="323"/>
      <c r="B226" s="293"/>
      <c r="C226" s="327"/>
      <c r="D226" s="323"/>
      <c r="E226" s="293"/>
      <c r="F226" s="327"/>
      <c r="G226" s="323"/>
      <c r="H226" s="293"/>
      <c r="I226" s="327"/>
      <c r="J226" s="352" t="s">
        <v>2464</v>
      </c>
      <c r="K226" s="352"/>
      <c r="L226" s="327"/>
      <c r="M226" s="352"/>
      <c r="N226" s="352"/>
      <c r="O226" s="327"/>
      <c r="P226" s="352"/>
      <c r="Q226" s="352"/>
      <c r="R226" s="327"/>
      <c r="S226" s="352"/>
      <c r="T226" s="352"/>
      <c r="U226" s="327"/>
      <c r="V226" s="352"/>
      <c r="W226" s="352"/>
      <c r="X226" s="327"/>
      <c r="Y226" s="352"/>
      <c r="Z226" s="352"/>
      <c r="AA226" s="327"/>
      <c r="AB226" s="352"/>
      <c r="AC226" s="352"/>
      <c r="AD226" s="327"/>
      <c r="AE226" s="352"/>
      <c r="AF226" s="352"/>
      <c r="AG226" s="327"/>
      <c r="AH226" s="352"/>
      <c r="AI226" s="352"/>
      <c r="AJ226" s="327"/>
      <c r="AK226" s="352"/>
      <c r="AL226" s="352"/>
      <c r="AM226" s="327"/>
      <c r="AN226" s="352"/>
      <c r="AO226" s="352"/>
      <c r="AP226" s="327"/>
      <c r="AQ226" s="352"/>
      <c r="AR226" s="327"/>
      <c r="AU226" s="307"/>
      <c r="AX226" s="307"/>
      <c r="BA226" s="307"/>
      <c r="BC226" s="366"/>
      <c r="BD226" s="307"/>
      <c r="BG226" s="307"/>
    </row>
    <row r="227">
      <c r="A227" s="323"/>
      <c r="B227" s="293"/>
      <c r="C227" s="327"/>
      <c r="D227" s="323"/>
      <c r="E227" s="293"/>
      <c r="F227" s="327"/>
      <c r="G227" s="323"/>
      <c r="H227" s="293"/>
      <c r="I227" s="327"/>
      <c r="J227" s="352" t="s">
        <v>1680</v>
      </c>
      <c r="K227" s="352"/>
      <c r="L227" s="327"/>
      <c r="M227" s="352"/>
      <c r="N227" s="352"/>
      <c r="O227" s="327"/>
      <c r="P227" s="352"/>
      <c r="Q227" s="352"/>
      <c r="R227" s="327"/>
      <c r="S227" s="352"/>
      <c r="T227" s="352"/>
      <c r="U227" s="327"/>
      <c r="V227" s="352"/>
      <c r="W227" s="352"/>
      <c r="X227" s="327"/>
      <c r="Y227" s="352"/>
      <c r="Z227" s="352"/>
      <c r="AA227" s="327"/>
      <c r="AB227" s="352"/>
      <c r="AC227" s="352"/>
      <c r="AD227" s="327"/>
      <c r="AE227" s="352"/>
      <c r="AF227" s="352"/>
      <c r="AG227" s="327"/>
      <c r="AH227" s="352"/>
      <c r="AI227" s="352"/>
      <c r="AJ227" s="327"/>
      <c r="AK227" s="352"/>
      <c r="AL227" s="352"/>
      <c r="AM227" s="327"/>
      <c r="AN227" s="352"/>
      <c r="AO227" s="352"/>
      <c r="AP227" s="327"/>
      <c r="AQ227" s="352"/>
      <c r="AR227" s="327"/>
      <c r="AU227" s="307"/>
      <c r="AX227" s="307"/>
      <c r="BA227" s="307"/>
      <c r="BC227" s="366"/>
      <c r="BD227" s="307"/>
      <c r="BG227" s="307"/>
    </row>
    <row r="228">
      <c r="A228" s="323"/>
      <c r="B228" s="293"/>
      <c r="C228" s="327"/>
      <c r="D228" s="323"/>
      <c r="E228" s="293"/>
      <c r="F228" s="327"/>
      <c r="G228" s="323"/>
      <c r="H228" s="293"/>
      <c r="I228" s="327"/>
      <c r="J228" s="352" t="s">
        <v>7019</v>
      </c>
      <c r="K228" s="352"/>
      <c r="L228" s="327"/>
      <c r="M228" s="352"/>
      <c r="N228" s="352"/>
      <c r="O228" s="327"/>
      <c r="P228" s="352"/>
      <c r="Q228" s="352"/>
      <c r="R228" s="327"/>
      <c r="S228" s="352"/>
      <c r="T228" s="352"/>
      <c r="U228" s="327"/>
      <c r="V228" s="352"/>
      <c r="W228" s="352"/>
      <c r="X228" s="327"/>
      <c r="Y228" s="352"/>
      <c r="Z228" s="352"/>
      <c r="AA228" s="327"/>
      <c r="AB228" s="352"/>
      <c r="AC228" s="352"/>
      <c r="AD228" s="327"/>
      <c r="AE228" s="352"/>
      <c r="AF228" s="352"/>
      <c r="AG228" s="327"/>
      <c r="AH228" s="352"/>
      <c r="AI228" s="352"/>
      <c r="AJ228" s="327"/>
      <c r="AK228" s="352"/>
      <c r="AL228" s="352"/>
      <c r="AM228" s="327"/>
      <c r="AN228" s="352"/>
      <c r="AO228" s="352"/>
      <c r="AP228" s="327"/>
      <c r="AQ228" s="352"/>
      <c r="AR228" s="327"/>
      <c r="AU228" s="307"/>
      <c r="AX228" s="307"/>
      <c r="BA228" s="307"/>
      <c r="BC228" s="366"/>
      <c r="BD228" s="307"/>
      <c r="BG228" s="307"/>
    </row>
    <row r="229">
      <c r="A229" s="323"/>
      <c r="B229" s="293"/>
      <c r="C229" s="327"/>
      <c r="D229" s="323"/>
      <c r="E229" s="293"/>
      <c r="F229" s="327"/>
      <c r="G229" s="323"/>
      <c r="H229" s="293"/>
      <c r="I229" s="327"/>
      <c r="J229" s="352" t="s">
        <v>197</v>
      </c>
      <c r="K229" s="352"/>
      <c r="L229" s="327"/>
      <c r="M229" s="352"/>
      <c r="N229" s="352"/>
      <c r="O229" s="327"/>
      <c r="P229" s="352"/>
      <c r="Q229" s="352"/>
      <c r="R229" s="327"/>
      <c r="S229" s="352"/>
      <c r="T229" s="352"/>
      <c r="U229" s="327"/>
      <c r="V229" s="352"/>
      <c r="W229" s="352"/>
      <c r="X229" s="327"/>
      <c r="Y229" s="352"/>
      <c r="Z229" s="352"/>
      <c r="AA229" s="327"/>
      <c r="AB229" s="352"/>
      <c r="AC229" s="352"/>
      <c r="AD229" s="327"/>
      <c r="AE229" s="352"/>
      <c r="AF229" s="352"/>
      <c r="AG229" s="327"/>
      <c r="AH229" s="352"/>
      <c r="AI229" s="352"/>
      <c r="AJ229" s="327"/>
      <c r="AK229" s="352"/>
      <c r="AL229" s="352"/>
      <c r="AM229" s="327"/>
      <c r="AN229" s="352"/>
      <c r="AO229" s="352"/>
      <c r="AP229" s="327"/>
      <c r="AQ229" s="352"/>
      <c r="AR229" s="327"/>
      <c r="AU229" s="307"/>
      <c r="AX229" s="307"/>
      <c r="BA229" s="307"/>
      <c r="BC229" s="366"/>
      <c r="BD229" s="307"/>
      <c r="BG229" s="307"/>
    </row>
    <row r="230">
      <c r="A230" s="323"/>
      <c r="B230" s="293"/>
      <c r="C230" s="327"/>
      <c r="D230" s="323"/>
      <c r="E230" s="293"/>
      <c r="F230" s="327"/>
      <c r="G230" s="323"/>
      <c r="H230" s="293"/>
      <c r="I230" s="327"/>
      <c r="J230" s="352" t="s">
        <v>155</v>
      </c>
      <c r="K230" s="352"/>
      <c r="L230" s="327"/>
      <c r="M230" s="352"/>
      <c r="N230" s="352"/>
      <c r="O230" s="327"/>
      <c r="P230" s="352"/>
      <c r="Q230" s="352"/>
      <c r="R230" s="327"/>
      <c r="S230" s="352"/>
      <c r="T230" s="352"/>
      <c r="U230" s="327"/>
      <c r="V230" s="352"/>
      <c r="W230" s="352"/>
      <c r="X230" s="327"/>
      <c r="Y230" s="352"/>
      <c r="Z230" s="352"/>
      <c r="AA230" s="327"/>
      <c r="AB230" s="352"/>
      <c r="AC230" s="352"/>
      <c r="AD230" s="327"/>
      <c r="AE230" s="352"/>
      <c r="AF230" s="352"/>
      <c r="AG230" s="327"/>
      <c r="AH230" s="352"/>
      <c r="AI230" s="352"/>
      <c r="AJ230" s="327"/>
      <c r="AK230" s="352"/>
      <c r="AL230" s="352"/>
      <c r="AM230" s="327"/>
      <c r="AN230" s="352"/>
      <c r="AO230" s="352"/>
      <c r="AP230" s="327"/>
      <c r="AQ230" s="352"/>
      <c r="AR230" s="327"/>
      <c r="AU230" s="307"/>
      <c r="AX230" s="307"/>
      <c r="BA230" s="307"/>
      <c r="BC230" s="366"/>
      <c r="BD230" s="307"/>
      <c r="BG230" s="307"/>
    </row>
    <row r="231">
      <c r="C231" s="327"/>
      <c r="F231" s="327"/>
      <c r="I231" s="327"/>
      <c r="J231" s="352" t="s">
        <v>7051</v>
      </c>
      <c r="K231" s="352"/>
      <c r="L231" s="327"/>
      <c r="M231" s="352"/>
      <c r="N231" s="352"/>
      <c r="O231" s="327"/>
      <c r="P231" s="352"/>
      <c r="Q231" s="352"/>
      <c r="R231" s="327"/>
      <c r="S231" s="352"/>
      <c r="T231" s="352"/>
      <c r="U231" s="327"/>
      <c r="V231" s="352"/>
      <c r="W231" s="352"/>
      <c r="X231" s="327"/>
      <c r="Y231" s="352"/>
      <c r="Z231" s="352"/>
      <c r="AA231" s="327"/>
      <c r="AB231" s="352"/>
      <c r="AC231" s="352"/>
      <c r="AD231" s="327"/>
      <c r="AE231" s="352"/>
      <c r="AF231" s="352"/>
      <c r="AG231" s="327"/>
      <c r="AH231" s="352"/>
      <c r="AI231" s="352"/>
      <c r="AJ231" s="327"/>
      <c r="AK231" s="352"/>
      <c r="AL231" s="352"/>
      <c r="AM231" s="327"/>
      <c r="AN231" s="352"/>
      <c r="AO231" s="352"/>
      <c r="AP231" s="327"/>
      <c r="AQ231" s="352"/>
      <c r="AR231" s="327"/>
      <c r="AU231" s="307"/>
      <c r="AX231" s="307"/>
      <c r="BA231" s="307"/>
      <c r="BC231" s="366"/>
      <c r="BD231" s="307"/>
      <c r="BG231" s="307"/>
    </row>
    <row r="232">
      <c r="A232" s="323"/>
      <c r="B232" s="293"/>
      <c r="C232" s="327"/>
      <c r="D232" s="323"/>
      <c r="E232" s="293"/>
      <c r="F232" s="327"/>
      <c r="G232" s="323"/>
      <c r="H232" s="293"/>
      <c r="I232" s="327"/>
      <c r="J232" s="352" t="s">
        <v>7062</v>
      </c>
      <c r="K232" s="352"/>
      <c r="L232" s="327"/>
      <c r="M232" s="352"/>
      <c r="N232" s="352"/>
      <c r="O232" s="327"/>
      <c r="P232" s="352"/>
      <c r="Q232" s="352"/>
      <c r="R232" s="327"/>
      <c r="S232" s="352"/>
      <c r="T232" s="352"/>
      <c r="U232" s="327"/>
      <c r="V232" s="352"/>
      <c r="W232" s="352"/>
      <c r="X232" s="327"/>
      <c r="Y232" s="352"/>
      <c r="Z232" s="352"/>
      <c r="AA232" s="327"/>
      <c r="AB232" s="352"/>
      <c r="AC232" s="352"/>
      <c r="AD232" s="327"/>
      <c r="AE232" s="352"/>
      <c r="AF232" s="352"/>
      <c r="AG232" s="327"/>
      <c r="AH232" s="352"/>
      <c r="AI232" s="352"/>
      <c r="AJ232" s="327"/>
      <c r="AK232" s="352"/>
      <c r="AL232" s="352"/>
      <c r="AM232" s="327"/>
      <c r="AN232" s="352"/>
      <c r="AO232" s="352"/>
      <c r="AP232" s="327"/>
      <c r="AQ232" s="352"/>
      <c r="AR232" s="327"/>
      <c r="AU232" s="307"/>
      <c r="AX232" s="307"/>
      <c r="BA232" s="307"/>
      <c r="BC232" s="366"/>
      <c r="BD232" s="307"/>
      <c r="BG232" s="307"/>
    </row>
    <row r="233">
      <c r="A233" s="323"/>
      <c r="B233" s="293"/>
      <c r="C233" s="327"/>
      <c r="D233" s="323"/>
      <c r="E233" s="293"/>
      <c r="F233" s="327"/>
      <c r="G233" s="323"/>
      <c r="H233" s="293"/>
      <c r="I233" s="327"/>
      <c r="J233" s="352" t="s">
        <v>1820</v>
      </c>
      <c r="K233" s="352"/>
      <c r="L233" s="327"/>
      <c r="M233" s="352"/>
      <c r="N233" s="352"/>
      <c r="O233" s="327"/>
      <c r="P233" s="352"/>
      <c r="Q233" s="352"/>
      <c r="R233" s="327"/>
      <c r="S233" s="352"/>
      <c r="T233" s="352"/>
      <c r="U233" s="327"/>
      <c r="V233" s="352"/>
      <c r="W233" s="352"/>
      <c r="X233" s="327"/>
      <c r="Y233" s="352"/>
      <c r="Z233" s="352"/>
      <c r="AA233" s="327"/>
      <c r="AB233" s="352"/>
      <c r="AC233" s="352"/>
      <c r="AD233" s="327"/>
      <c r="AE233" s="352"/>
      <c r="AF233" s="352"/>
      <c r="AG233" s="327"/>
      <c r="AH233" s="352"/>
      <c r="AI233" s="352"/>
      <c r="AJ233" s="327"/>
      <c r="AK233" s="352"/>
      <c r="AL233" s="352"/>
      <c r="AM233" s="327"/>
      <c r="AN233" s="352"/>
      <c r="AO233" s="352"/>
      <c r="AP233" s="327"/>
      <c r="AQ233" s="352"/>
      <c r="AR233" s="327"/>
      <c r="AU233" s="307"/>
      <c r="AX233" s="307"/>
      <c r="BA233" s="307"/>
      <c r="BC233" s="366"/>
      <c r="BD233" s="307"/>
      <c r="BG233" s="307"/>
    </row>
    <row r="234">
      <c r="A234" s="323"/>
      <c r="B234" s="293"/>
      <c r="C234" s="327"/>
      <c r="D234" s="323"/>
      <c r="E234" s="293"/>
      <c r="F234" s="327"/>
      <c r="G234" s="323"/>
      <c r="H234" s="293"/>
      <c r="I234" s="327"/>
      <c r="J234" s="352" t="s">
        <v>2170</v>
      </c>
      <c r="K234" s="352"/>
      <c r="L234" s="327"/>
      <c r="M234" s="352"/>
      <c r="N234" s="352"/>
      <c r="O234" s="327"/>
      <c r="P234" s="352"/>
      <c r="Q234" s="352"/>
      <c r="R234" s="327"/>
      <c r="S234" s="352"/>
      <c r="T234" s="352"/>
      <c r="U234" s="327"/>
      <c r="V234" s="352"/>
      <c r="W234" s="352"/>
      <c r="X234" s="327"/>
      <c r="Y234" s="352"/>
      <c r="Z234" s="352"/>
      <c r="AA234" s="327"/>
      <c r="AB234" s="352"/>
      <c r="AC234" s="352"/>
      <c r="AD234" s="327"/>
      <c r="AE234" s="352"/>
      <c r="AF234" s="352"/>
      <c r="AG234" s="327"/>
      <c r="AH234" s="352"/>
      <c r="AI234" s="352"/>
      <c r="AJ234" s="327"/>
      <c r="AK234" s="352"/>
      <c r="AL234" s="352"/>
      <c r="AM234" s="327"/>
      <c r="AN234" s="352"/>
      <c r="AO234" s="352"/>
      <c r="AP234" s="327"/>
      <c r="AQ234" s="352"/>
      <c r="AR234" s="327"/>
      <c r="AU234" s="307"/>
      <c r="AX234" s="307"/>
      <c r="BA234" s="307"/>
      <c r="BC234" s="366"/>
      <c r="BD234" s="307"/>
      <c r="BG234" s="307"/>
    </row>
    <row r="235">
      <c r="A235" s="323"/>
      <c r="B235" s="293"/>
      <c r="C235" s="327"/>
      <c r="D235" s="323"/>
      <c r="E235" s="293"/>
      <c r="F235" s="327"/>
      <c r="G235" s="323"/>
      <c r="H235" s="293"/>
      <c r="I235" s="327"/>
      <c r="J235" s="352" t="s">
        <v>7082</v>
      </c>
      <c r="K235" s="352"/>
      <c r="L235" s="327"/>
      <c r="M235" s="352"/>
      <c r="N235" s="352"/>
      <c r="O235" s="327"/>
      <c r="P235" s="352"/>
      <c r="Q235" s="352"/>
      <c r="R235" s="327"/>
      <c r="S235" s="352"/>
      <c r="T235" s="352"/>
      <c r="U235" s="327"/>
      <c r="V235" s="352"/>
      <c r="W235" s="352"/>
      <c r="X235" s="327"/>
      <c r="Y235" s="352"/>
      <c r="Z235" s="352"/>
      <c r="AA235" s="327"/>
      <c r="AB235" s="352"/>
      <c r="AC235" s="352"/>
      <c r="AD235" s="327"/>
      <c r="AE235" s="352"/>
      <c r="AF235" s="352"/>
      <c r="AG235" s="327"/>
      <c r="AH235" s="352"/>
      <c r="AI235" s="352"/>
      <c r="AJ235" s="327"/>
      <c r="AK235" s="352"/>
      <c r="AL235" s="352"/>
      <c r="AM235" s="327"/>
      <c r="AN235" s="352"/>
      <c r="AO235" s="352"/>
      <c r="AP235" s="327"/>
      <c r="AQ235" s="352"/>
      <c r="AR235" s="327"/>
      <c r="AU235" s="307"/>
      <c r="AX235" s="307"/>
      <c r="BA235" s="307"/>
      <c r="BC235" s="366"/>
      <c r="BD235" s="307"/>
      <c r="BG235" s="307"/>
    </row>
    <row r="236">
      <c r="A236" s="323"/>
      <c r="B236" s="293"/>
      <c r="C236" s="327"/>
      <c r="D236" s="323"/>
      <c r="E236" s="293"/>
      <c r="F236" s="327"/>
      <c r="G236" s="323"/>
      <c r="H236" s="293"/>
      <c r="I236" s="327"/>
      <c r="J236" s="352" t="s">
        <v>443</v>
      </c>
      <c r="K236" s="352"/>
      <c r="L236" s="327"/>
      <c r="M236" s="352"/>
      <c r="N236" s="352"/>
      <c r="O236" s="327"/>
      <c r="P236" s="352"/>
      <c r="Q236" s="352"/>
      <c r="R236" s="327"/>
      <c r="S236" s="352"/>
      <c r="T236" s="352"/>
      <c r="U236" s="327"/>
      <c r="V236" s="352"/>
      <c r="W236" s="352"/>
      <c r="X236" s="327"/>
      <c r="Y236" s="352"/>
      <c r="Z236" s="352"/>
      <c r="AA236" s="327"/>
      <c r="AB236" s="352"/>
      <c r="AC236" s="352"/>
      <c r="AD236" s="327"/>
      <c r="AE236" s="352"/>
      <c r="AF236" s="352"/>
      <c r="AG236" s="327"/>
      <c r="AH236" s="352"/>
      <c r="AI236" s="352"/>
      <c r="AJ236" s="327"/>
      <c r="AK236" s="352"/>
      <c r="AL236" s="352"/>
      <c r="AM236" s="327"/>
      <c r="AN236" s="352"/>
      <c r="AO236" s="352"/>
      <c r="AP236" s="327"/>
      <c r="AQ236" s="352"/>
      <c r="AR236" s="327"/>
      <c r="AU236" s="307"/>
      <c r="AX236" s="307"/>
      <c r="BA236" s="307"/>
      <c r="BC236" s="366"/>
      <c r="BD236" s="307"/>
      <c r="BG236" s="307"/>
    </row>
    <row r="237">
      <c r="A237" s="323"/>
      <c r="B237" s="293"/>
      <c r="C237" s="327"/>
      <c r="D237" s="323"/>
      <c r="E237" s="293"/>
      <c r="F237" s="327"/>
      <c r="G237" s="323"/>
      <c r="H237" s="293"/>
      <c r="I237" s="327"/>
      <c r="J237" s="352" t="s">
        <v>7100</v>
      </c>
      <c r="K237" s="352"/>
      <c r="L237" s="327"/>
      <c r="M237" s="352"/>
      <c r="N237" s="352"/>
      <c r="O237" s="327"/>
      <c r="P237" s="352"/>
      <c r="Q237" s="352"/>
      <c r="R237" s="327"/>
      <c r="S237" s="352"/>
      <c r="T237" s="352"/>
      <c r="U237" s="327"/>
      <c r="V237" s="352"/>
      <c r="W237" s="352"/>
      <c r="X237" s="327"/>
      <c r="Y237" s="352"/>
      <c r="Z237" s="352"/>
      <c r="AA237" s="327"/>
      <c r="AB237" s="352"/>
      <c r="AC237" s="352"/>
      <c r="AD237" s="327"/>
      <c r="AE237" s="352"/>
      <c r="AF237" s="352"/>
      <c r="AG237" s="327"/>
      <c r="AH237" s="352"/>
      <c r="AI237" s="352"/>
      <c r="AJ237" s="327"/>
      <c r="AK237" s="352"/>
      <c r="AL237" s="352"/>
      <c r="AM237" s="327"/>
      <c r="AN237" s="352"/>
      <c r="AO237" s="352"/>
      <c r="AP237" s="327"/>
      <c r="AQ237" s="352"/>
      <c r="AR237" s="327"/>
      <c r="AU237" s="307"/>
      <c r="AX237" s="307"/>
      <c r="BA237" s="307"/>
      <c r="BC237" s="366"/>
      <c r="BD237" s="307"/>
      <c r="BG237" s="307"/>
    </row>
    <row r="238">
      <c r="A238" s="323"/>
      <c r="B238" s="293"/>
      <c r="C238" s="327"/>
      <c r="D238" s="323"/>
      <c r="E238" s="293"/>
      <c r="F238" s="327"/>
      <c r="G238" s="323"/>
      <c r="H238" s="293"/>
      <c r="I238" s="327"/>
      <c r="J238" s="352" t="s">
        <v>2432</v>
      </c>
      <c r="K238" s="352"/>
      <c r="L238" s="327"/>
      <c r="M238" s="352"/>
      <c r="N238" s="352"/>
      <c r="O238" s="327"/>
      <c r="P238" s="352"/>
      <c r="Q238" s="352"/>
      <c r="R238" s="327"/>
      <c r="S238" s="352"/>
      <c r="T238" s="352"/>
      <c r="U238" s="327"/>
      <c r="V238" s="352"/>
      <c r="W238" s="352"/>
      <c r="X238" s="327"/>
      <c r="Y238" s="352"/>
      <c r="Z238" s="352"/>
      <c r="AA238" s="327"/>
      <c r="AB238" s="352"/>
      <c r="AC238" s="352"/>
      <c r="AD238" s="327"/>
      <c r="AE238" s="352"/>
      <c r="AF238" s="352"/>
      <c r="AG238" s="327"/>
      <c r="AH238" s="352"/>
      <c r="AI238" s="352"/>
      <c r="AJ238" s="327"/>
      <c r="AK238" s="352"/>
      <c r="AL238" s="352"/>
      <c r="AM238" s="327"/>
      <c r="AN238" s="352"/>
      <c r="AO238" s="352"/>
      <c r="AP238" s="327"/>
      <c r="AQ238" s="352"/>
      <c r="AR238" s="327"/>
      <c r="AU238" s="307"/>
      <c r="AX238" s="307"/>
      <c r="BA238" s="307"/>
      <c r="BC238" s="366"/>
      <c r="BD238" s="307"/>
      <c r="BG238" s="307"/>
    </row>
    <row r="239">
      <c r="A239" s="323"/>
      <c r="B239" s="293"/>
      <c r="C239" s="327"/>
      <c r="D239" s="323"/>
      <c r="E239" s="293"/>
      <c r="F239" s="327"/>
      <c r="G239" s="323"/>
      <c r="H239" s="293"/>
      <c r="I239" s="327"/>
      <c r="J239" s="352" t="s">
        <v>7114</v>
      </c>
      <c r="K239" s="352"/>
      <c r="L239" s="327"/>
      <c r="M239" s="352"/>
      <c r="N239" s="352"/>
      <c r="O239" s="327"/>
      <c r="P239" s="352"/>
      <c r="Q239" s="352"/>
      <c r="R239" s="327"/>
      <c r="S239" s="352"/>
      <c r="T239" s="352"/>
      <c r="U239" s="327"/>
      <c r="V239" s="352"/>
      <c r="W239" s="352"/>
      <c r="X239" s="327"/>
      <c r="Y239" s="352"/>
      <c r="Z239" s="352"/>
      <c r="AA239" s="327"/>
      <c r="AB239" s="352"/>
      <c r="AC239" s="352"/>
      <c r="AD239" s="327"/>
      <c r="AE239" s="352"/>
      <c r="AF239" s="352"/>
      <c r="AG239" s="327"/>
      <c r="AH239" s="352"/>
      <c r="AI239" s="352"/>
      <c r="AJ239" s="327"/>
      <c r="AK239" s="352"/>
      <c r="AL239" s="352"/>
      <c r="AM239" s="327"/>
      <c r="AN239" s="352"/>
      <c r="AO239" s="352"/>
      <c r="AP239" s="327"/>
      <c r="AQ239" s="352"/>
      <c r="AR239" s="327"/>
      <c r="AU239" s="307"/>
      <c r="AX239" s="307"/>
      <c r="BA239" s="307"/>
      <c r="BC239" s="366"/>
      <c r="BD239" s="307"/>
      <c r="BG239" s="307"/>
    </row>
    <row r="240">
      <c r="A240" s="323"/>
      <c r="B240" s="293"/>
      <c r="C240" s="327"/>
      <c r="D240" s="323"/>
      <c r="E240" s="293"/>
      <c r="F240" s="327"/>
      <c r="G240" s="323"/>
      <c r="H240" s="293"/>
      <c r="I240" s="327"/>
      <c r="J240" s="352" t="s">
        <v>7121</v>
      </c>
      <c r="K240" s="352"/>
      <c r="L240" s="327"/>
      <c r="M240" s="352"/>
      <c r="N240" s="352"/>
      <c r="O240" s="327"/>
      <c r="P240" s="352"/>
      <c r="Q240" s="352"/>
      <c r="R240" s="327"/>
      <c r="S240" s="352"/>
      <c r="T240" s="352"/>
      <c r="U240" s="327"/>
      <c r="V240" s="352"/>
      <c r="W240" s="352"/>
      <c r="X240" s="327"/>
      <c r="Y240" s="352"/>
      <c r="Z240" s="352"/>
      <c r="AA240" s="327"/>
      <c r="AB240" s="352"/>
      <c r="AC240" s="352"/>
      <c r="AD240" s="327"/>
      <c r="AE240" s="352"/>
      <c r="AF240" s="352"/>
      <c r="AG240" s="327"/>
      <c r="AH240" s="352"/>
      <c r="AI240" s="352"/>
      <c r="AJ240" s="327"/>
      <c r="AK240" s="352"/>
      <c r="AL240" s="352"/>
      <c r="AM240" s="327"/>
      <c r="AN240" s="352"/>
      <c r="AO240" s="352"/>
      <c r="AP240" s="327"/>
      <c r="AQ240" s="352"/>
      <c r="AR240" s="327"/>
      <c r="AU240" s="307"/>
      <c r="AX240" s="307"/>
      <c r="BA240" s="307"/>
      <c r="BC240" s="366"/>
      <c r="BD240" s="307"/>
      <c r="BG240" s="307"/>
    </row>
    <row r="241">
      <c r="A241" s="323"/>
      <c r="B241" s="293"/>
      <c r="C241" s="327"/>
      <c r="D241" s="323"/>
      <c r="E241" s="293"/>
      <c r="F241" s="327"/>
      <c r="G241" s="323"/>
      <c r="H241" s="293"/>
      <c r="I241" s="327"/>
      <c r="J241" s="352" t="s">
        <v>7129</v>
      </c>
      <c r="K241" s="352"/>
      <c r="L241" s="327"/>
      <c r="M241" s="352"/>
      <c r="N241" s="352"/>
      <c r="O241" s="327"/>
      <c r="P241" s="352"/>
      <c r="Q241" s="352"/>
      <c r="R241" s="327"/>
      <c r="S241" s="352"/>
      <c r="T241" s="352"/>
      <c r="U241" s="327"/>
      <c r="V241" s="352"/>
      <c r="W241" s="352"/>
      <c r="X241" s="327"/>
      <c r="Y241" s="352"/>
      <c r="Z241" s="352"/>
      <c r="AA241" s="327"/>
      <c r="AB241" s="352"/>
      <c r="AC241" s="352"/>
      <c r="AD241" s="327"/>
      <c r="AE241" s="352"/>
      <c r="AF241" s="352"/>
      <c r="AG241" s="327"/>
      <c r="AH241" s="352"/>
      <c r="AI241" s="352"/>
      <c r="AJ241" s="327"/>
      <c r="AK241" s="352"/>
      <c r="AL241" s="352"/>
      <c r="AM241" s="327"/>
      <c r="AN241" s="352"/>
      <c r="AO241" s="352"/>
      <c r="AP241" s="327"/>
      <c r="AQ241" s="352"/>
      <c r="AR241" s="327"/>
      <c r="AU241" s="307"/>
      <c r="AX241" s="307"/>
      <c r="BA241" s="307"/>
      <c r="BC241" s="366"/>
      <c r="BD241" s="307"/>
      <c r="BG241" s="307"/>
    </row>
    <row r="242">
      <c r="A242" s="323"/>
      <c r="B242" s="293"/>
      <c r="C242" s="327"/>
      <c r="D242" s="323"/>
      <c r="E242" s="293"/>
      <c r="F242" s="327"/>
      <c r="G242" s="323"/>
      <c r="H242" s="293"/>
      <c r="I242" s="327"/>
      <c r="J242" s="352" t="s">
        <v>6087</v>
      </c>
      <c r="K242" s="352"/>
      <c r="L242" s="327"/>
      <c r="M242" s="352"/>
      <c r="N242" s="352"/>
      <c r="O242" s="327"/>
      <c r="P242" s="352"/>
      <c r="Q242" s="352"/>
      <c r="R242" s="327"/>
      <c r="S242" s="352"/>
      <c r="T242" s="352"/>
      <c r="U242" s="327"/>
      <c r="V242" s="352"/>
      <c r="W242" s="352"/>
      <c r="X242" s="327"/>
      <c r="Y242" s="352"/>
      <c r="Z242" s="352"/>
      <c r="AA242" s="327"/>
      <c r="AB242" s="352"/>
      <c r="AC242" s="352"/>
      <c r="AD242" s="327"/>
      <c r="AE242" s="352"/>
      <c r="AF242" s="352"/>
      <c r="AG242" s="327"/>
      <c r="AH242" s="352"/>
      <c r="AI242" s="352"/>
      <c r="AJ242" s="327"/>
      <c r="AK242" s="352"/>
      <c r="AL242" s="352"/>
      <c r="AM242" s="327"/>
      <c r="AN242" s="352"/>
      <c r="AO242" s="352"/>
      <c r="AP242" s="327"/>
      <c r="AQ242" s="352"/>
      <c r="AR242" s="327"/>
      <c r="AU242" s="307"/>
      <c r="AX242" s="307"/>
      <c r="BA242" s="307"/>
      <c r="BC242" s="366"/>
      <c r="BD242" s="307"/>
      <c r="BG242" s="307"/>
    </row>
    <row r="243">
      <c r="A243" s="323"/>
      <c r="B243" s="293"/>
      <c r="C243" s="327"/>
      <c r="D243" s="323"/>
      <c r="E243" s="293"/>
      <c r="F243" s="327"/>
      <c r="G243" s="323"/>
      <c r="H243" s="293"/>
      <c r="I243" s="327"/>
      <c r="J243" s="352" t="s">
        <v>1753</v>
      </c>
      <c r="K243" s="352"/>
      <c r="L243" s="327"/>
      <c r="M243" s="352"/>
      <c r="N243" s="352"/>
      <c r="O243" s="327"/>
      <c r="P243" s="352"/>
      <c r="Q243" s="352"/>
      <c r="R243" s="327"/>
      <c r="S243" s="352"/>
      <c r="T243" s="352"/>
      <c r="U243" s="327"/>
      <c r="V243" s="352"/>
      <c r="W243" s="352"/>
      <c r="X243" s="327"/>
      <c r="Y243" s="352"/>
      <c r="Z243" s="352"/>
      <c r="AA243" s="327"/>
      <c r="AB243" s="352"/>
      <c r="AC243" s="352"/>
      <c r="AD243" s="327"/>
      <c r="AE243" s="352"/>
      <c r="AF243" s="352"/>
      <c r="AG243" s="327"/>
      <c r="AH243" s="352"/>
      <c r="AI243" s="352"/>
      <c r="AJ243" s="327"/>
      <c r="AK243" s="352"/>
      <c r="AL243" s="352"/>
      <c r="AM243" s="327"/>
      <c r="AN243" s="352"/>
      <c r="AO243" s="352"/>
      <c r="AP243" s="327"/>
      <c r="AQ243" s="352"/>
      <c r="AR243" s="327"/>
      <c r="AU243" s="307"/>
      <c r="AX243" s="307"/>
      <c r="BA243" s="307"/>
      <c r="BC243" s="366"/>
      <c r="BD243" s="307"/>
      <c r="BG243" s="307"/>
    </row>
    <row r="244">
      <c r="A244" s="323"/>
      <c r="B244" s="293"/>
      <c r="C244" s="327"/>
      <c r="D244" s="323"/>
      <c r="E244" s="293"/>
      <c r="F244" s="327"/>
      <c r="G244" s="323"/>
      <c r="H244" s="293"/>
      <c r="I244" s="327"/>
      <c r="J244" s="352" t="s">
        <v>7145</v>
      </c>
      <c r="K244" s="352"/>
      <c r="L244" s="327"/>
      <c r="M244" s="352"/>
      <c r="N244" s="352"/>
      <c r="O244" s="327"/>
      <c r="P244" s="352"/>
      <c r="Q244" s="352"/>
      <c r="R244" s="327"/>
      <c r="S244" s="352"/>
      <c r="T244" s="352"/>
      <c r="U244" s="327"/>
      <c r="V244" s="352"/>
      <c r="W244" s="352"/>
      <c r="X244" s="327"/>
      <c r="Y244" s="352"/>
      <c r="Z244" s="352"/>
      <c r="AA244" s="327"/>
      <c r="AB244" s="352"/>
      <c r="AC244" s="352"/>
      <c r="AD244" s="327"/>
      <c r="AE244" s="352"/>
      <c r="AF244" s="352"/>
      <c r="AG244" s="327"/>
      <c r="AH244" s="352"/>
      <c r="AI244" s="352"/>
      <c r="AJ244" s="327"/>
      <c r="AK244" s="352"/>
      <c r="AL244" s="352"/>
      <c r="AM244" s="327"/>
      <c r="AN244" s="352"/>
      <c r="AO244" s="352"/>
      <c r="AP244" s="327"/>
      <c r="AQ244" s="352"/>
      <c r="AR244" s="327"/>
      <c r="AU244" s="307"/>
      <c r="AX244" s="307"/>
      <c r="BA244" s="307"/>
      <c r="BC244" s="366"/>
      <c r="BD244" s="307"/>
      <c r="BG244" s="307"/>
    </row>
    <row r="245">
      <c r="A245" s="323"/>
      <c r="B245" s="293"/>
      <c r="C245" s="327"/>
      <c r="D245" s="323"/>
      <c r="E245" s="293"/>
      <c r="F245" s="327"/>
      <c r="G245" s="323"/>
      <c r="H245" s="293"/>
      <c r="I245" s="327"/>
      <c r="J245" s="352" t="s">
        <v>3066</v>
      </c>
      <c r="K245" s="352"/>
      <c r="L245" s="327"/>
      <c r="M245" s="352"/>
      <c r="N245" s="352"/>
      <c r="O245" s="327"/>
      <c r="P245" s="352"/>
      <c r="Q245" s="352"/>
      <c r="R245" s="327"/>
      <c r="S245" s="352"/>
      <c r="T245" s="352"/>
      <c r="U245" s="327"/>
      <c r="V245" s="352"/>
      <c r="W245" s="352"/>
      <c r="X245" s="327"/>
      <c r="Y245" s="352"/>
      <c r="Z245" s="352"/>
      <c r="AA245" s="327"/>
      <c r="AB245" s="352"/>
      <c r="AC245" s="352"/>
      <c r="AD245" s="327"/>
      <c r="AE245" s="352"/>
      <c r="AF245" s="352"/>
      <c r="AG245" s="327"/>
      <c r="AH245" s="352"/>
      <c r="AI245" s="352"/>
      <c r="AJ245" s="327"/>
      <c r="AK245" s="352"/>
      <c r="AL245" s="352"/>
      <c r="AM245" s="327"/>
      <c r="AN245" s="352"/>
      <c r="AO245" s="352"/>
      <c r="AP245" s="327"/>
      <c r="AQ245" s="352"/>
      <c r="AR245" s="327"/>
      <c r="AU245" s="307"/>
      <c r="AX245" s="307"/>
      <c r="BA245" s="307"/>
      <c r="BC245" s="366"/>
      <c r="BD245" s="307"/>
      <c r="BG245" s="307"/>
    </row>
    <row r="246">
      <c r="A246" s="323"/>
      <c r="B246" s="293"/>
      <c r="C246" s="327"/>
      <c r="D246" s="323"/>
      <c r="E246" s="293"/>
      <c r="F246" s="327"/>
      <c r="G246" s="323"/>
      <c r="H246" s="293"/>
      <c r="I246" s="327"/>
      <c r="J246" s="352" t="s">
        <v>1766</v>
      </c>
      <c r="K246" s="352"/>
      <c r="L246" s="327"/>
      <c r="M246" s="352"/>
      <c r="N246" s="352"/>
      <c r="O246" s="327"/>
      <c r="P246" s="352"/>
      <c r="Q246" s="352"/>
      <c r="R246" s="327"/>
      <c r="S246" s="352"/>
      <c r="T246" s="352"/>
      <c r="U246" s="327"/>
      <c r="V246" s="352"/>
      <c r="W246" s="352"/>
      <c r="X246" s="327"/>
      <c r="Y246" s="352"/>
      <c r="Z246" s="352"/>
      <c r="AA246" s="327"/>
      <c r="AB246" s="352"/>
      <c r="AC246" s="352"/>
      <c r="AD246" s="327"/>
      <c r="AE246" s="352"/>
      <c r="AF246" s="352"/>
      <c r="AG246" s="327"/>
      <c r="AH246" s="352"/>
      <c r="AI246" s="352"/>
      <c r="AJ246" s="327"/>
      <c r="AK246" s="352"/>
      <c r="AL246" s="352"/>
      <c r="AM246" s="327"/>
      <c r="AN246" s="352"/>
      <c r="AO246" s="352"/>
      <c r="AP246" s="327"/>
      <c r="AQ246" s="352"/>
      <c r="AR246" s="327"/>
      <c r="AU246" s="307"/>
      <c r="AX246" s="307"/>
      <c r="BA246" s="307"/>
      <c r="BC246" s="366"/>
      <c r="BD246" s="307"/>
      <c r="BG246" s="307"/>
    </row>
    <row r="247">
      <c r="A247" s="323"/>
      <c r="B247" s="293"/>
      <c r="C247" s="327"/>
      <c r="D247" s="323"/>
      <c r="E247" s="293"/>
      <c r="F247" s="327"/>
      <c r="G247" s="323"/>
      <c r="H247" s="293"/>
      <c r="I247" s="327"/>
      <c r="J247" s="352" t="s">
        <v>7157</v>
      </c>
      <c r="K247" s="352"/>
      <c r="L247" s="327"/>
      <c r="M247" s="352"/>
      <c r="N247" s="352"/>
      <c r="O247" s="327"/>
      <c r="P247" s="352"/>
      <c r="Q247" s="352"/>
      <c r="R247" s="327"/>
      <c r="S247" s="352"/>
      <c r="T247" s="352"/>
      <c r="U247" s="327"/>
      <c r="V247" s="352"/>
      <c r="W247" s="352"/>
      <c r="X247" s="327"/>
      <c r="Y247" s="352"/>
      <c r="Z247" s="352"/>
      <c r="AA247" s="327"/>
      <c r="AB247" s="352"/>
      <c r="AC247" s="352"/>
      <c r="AD247" s="327"/>
      <c r="AE247" s="352"/>
      <c r="AF247" s="352"/>
      <c r="AG247" s="327"/>
      <c r="AH247" s="352"/>
      <c r="AI247" s="352"/>
      <c r="AJ247" s="327"/>
      <c r="AK247" s="352"/>
      <c r="AL247" s="352"/>
      <c r="AM247" s="327"/>
      <c r="AN247" s="352"/>
      <c r="AO247" s="352"/>
      <c r="AP247" s="327"/>
      <c r="AQ247" s="352"/>
      <c r="AR247" s="327"/>
      <c r="AU247" s="307"/>
      <c r="AX247" s="307"/>
      <c r="BA247" s="307"/>
      <c r="BC247" s="366"/>
      <c r="BD247" s="307"/>
      <c r="BG247" s="307"/>
    </row>
    <row r="248">
      <c r="A248" s="323"/>
      <c r="B248" s="293"/>
      <c r="C248" s="327"/>
      <c r="D248" s="323"/>
      <c r="E248" s="293"/>
      <c r="F248" s="327"/>
      <c r="G248" s="323"/>
      <c r="H248" s="293"/>
      <c r="I248" s="327"/>
      <c r="J248" s="352" t="s">
        <v>3916</v>
      </c>
      <c r="K248" s="352"/>
      <c r="L248" s="327"/>
      <c r="M248" s="352"/>
      <c r="N248" s="352"/>
      <c r="O248" s="327"/>
      <c r="P248" s="352"/>
      <c r="Q248" s="352"/>
      <c r="R248" s="327"/>
      <c r="S248" s="352"/>
      <c r="T248" s="352"/>
      <c r="U248" s="327"/>
      <c r="V248" s="352"/>
      <c r="W248" s="352"/>
      <c r="X248" s="327"/>
      <c r="Y248" s="352"/>
      <c r="Z248" s="352"/>
      <c r="AA248" s="327"/>
      <c r="AB248" s="352"/>
      <c r="AC248" s="352"/>
      <c r="AD248" s="327"/>
      <c r="AE248" s="352"/>
      <c r="AF248" s="352"/>
      <c r="AG248" s="327"/>
      <c r="AH248" s="352"/>
      <c r="AI248" s="352"/>
      <c r="AJ248" s="327"/>
      <c r="AK248" s="352"/>
      <c r="AL248" s="352"/>
      <c r="AM248" s="327"/>
      <c r="AN248" s="352"/>
      <c r="AO248" s="352"/>
      <c r="AP248" s="327"/>
      <c r="AQ248" s="352"/>
      <c r="AR248" s="327"/>
      <c r="AU248" s="307"/>
      <c r="AX248" s="307"/>
      <c r="BA248" s="307"/>
      <c r="BC248" s="366"/>
      <c r="BD248" s="307"/>
      <c r="BG248" s="307"/>
    </row>
    <row r="249">
      <c r="A249" s="323"/>
      <c r="B249" s="293"/>
      <c r="C249" s="327"/>
      <c r="D249" s="323"/>
      <c r="E249" s="293"/>
      <c r="F249" s="327"/>
      <c r="G249" s="323"/>
      <c r="H249" s="293"/>
      <c r="I249" s="327"/>
      <c r="J249" s="352" t="s">
        <v>2665</v>
      </c>
      <c r="K249" s="352"/>
      <c r="L249" s="327"/>
      <c r="M249" s="352"/>
      <c r="N249" s="352"/>
      <c r="O249" s="327"/>
      <c r="P249" s="352"/>
      <c r="Q249" s="352"/>
      <c r="R249" s="327"/>
      <c r="S249" s="352"/>
      <c r="T249" s="352"/>
      <c r="U249" s="327"/>
      <c r="V249" s="352"/>
      <c r="W249" s="352"/>
      <c r="X249" s="327"/>
      <c r="Y249" s="352"/>
      <c r="Z249" s="352"/>
      <c r="AA249" s="327"/>
      <c r="AB249" s="352"/>
      <c r="AC249" s="352"/>
      <c r="AD249" s="327"/>
      <c r="AE249" s="352"/>
      <c r="AF249" s="352"/>
      <c r="AG249" s="327"/>
      <c r="AH249" s="352"/>
      <c r="AI249" s="352"/>
      <c r="AJ249" s="327"/>
      <c r="AK249" s="352"/>
      <c r="AL249" s="352"/>
      <c r="AM249" s="327"/>
      <c r="AN249" s="352"/>
      <c r="AO249" s="352"/>
      <c r="AP249" s="327"/>
      <c r="AQ249" s="352"/>
      <c r="AR249" s="327"/>
      <c r="AU249" s="307"/>
      <c r="AX249" s="307"/>
      <c r="BA249" s="307"/>
      <c r="BC249" s="366"/>
      <c r="BD249" s="307"/>
      <c r="BG249" s="307"/>
    </row>
    <row r="250">
      <c r="A250" s="323"/>
      <c r="B250" s="293"/>
      <c r="C250" s="327"/>
      <c r="D250" s="323"/>
      <c r="E250" s="293"/>
      <c r="F250" s="327"/>
      <c r="G250" s="323"/>
      <c r="H250" s="293"/>
      <c r="I250" s="327"/>
      <c r="J250" s="352" t="s">
        <v>3829</v>
      </c>
      <c r="K250" s="352"/>
      <c r="L250" s="327"/>
      <c r="M250" s="352"/>
      <c r="N250" s="352"/>
      <c r="O250" s="327"/>
      <c r="P250" s="352"/>
      <c r="Q250" s="352"/>
      <c r="R250" s="327"/>
      <c r="S250" s="352"/>
      <c r="T250" s="352"/>
      <c r="U250" s="327"/>
      <c r="V250" s="352"/>
      <c r="W250" s="352"/>
      <c r="X250" s="327"/>
      <c r="Y250" s="352"/>
      <c r="Z250" s="352"/>
      <c r="AA250" s="327"/>
      <c r="AB250" s="352"/>
      <c r="AC250" s="352"/>
      <c r="AD250" s="327"/>
      <c r="AE250" s="352"/>
      <c r="AF250" s="352"/>
      <c r="AG250" s="327"/>
      <c r="AH250" s="352"/>
      <c r="AI250" s="352"/>
      <c r="AJ250" s="327"/>
      <c r="AK250" s="352"/>
      <c r="AL250" s="352"/>
      <c r="AM250" s="327"/>
      <c r="AN250" s="352"/>
      <c r="AO250" s="352"/>
      <c r="AP250" s="327"/>
      <c r="AQ250" s="352"/>
      <c r="AR250" s="327"/>
      <c r="AU250" s="307"/>
      <c r="AX250" s="307"/>
      <c r="BA250" s="307"/>
      <c r="BC250" s="366"/>
      <c r="BD250" s="307"/>
      <c r="BG250" s="307"/>
    </row>
    <row r="251">
      <c r="A251" s="323"/>
      <c r="B251" s="293"/>
      <c r="C251" s="327"/>
      <c r="D251" s="323"/>
      <c r="E251" s="293"/>
      <c r="F251" s="327"/>
      <c r="G251" s="323"/>
      <c r="H251" s="293"/>
      <c r="I251" s="327"/>
      <c r="J251" s="352" t="s">
        <v>7168</v>
      </c>
      <c r="K251" s="352"/>
      <c r="L251" s="327"/>
      <c r="M251" s="352"/>
      <c r="N251" s="352"/>
      <c r="O251" s="327"/>
      <c r="P251" s="352"/>
      <c r="Q251" s="352"/>
      <c r="R251" s="327"/>
      <c r="S251" s="352"/>
      <c r="T251" s="352"/>
      <c r="U251" s="327"/>
      <c r="V251" s="352"/>
      <c r="W251" s="352"/>
      <c r="X251" s="327"/>
      <c r="Y251" s="352"/>
      <c r="Z251" s="352"/>
      <c r="AA251" s="327"/>
      <c r="AB251" s="352"/>
      <c r="AC251" s="352"/>
      <c r="AD251" s="327"/>
      <c r="AE251" s="352"/>
      <c r="AF251" s="352"/>
      <c r="AG251" s="327"/>
      <c r="AH251" s="352"/>
      <c r="AI251" s="352"/>
      <c r="AJ251" s="327"/>
      <c r="AK251" s="352"/>
      <c r="AL251" s="352"/>
      <c r="AM251" s="327"/>
      <c r="AN251" s="352"/>
      <c r="AO251" s="352"/>
      <c r="AP251" s="327"/>
      <c r="AQ251" s="352"/>
      <c r="AR251" s="327"/>
      <c r="AU251" s="307"/>
      <c r="AX251" s="307"/>
      <c r="BA251" s="307"/>
      <c r="BC251" s="366"/>
      <c r="BD251" s="307"/>
      <c r="BG251" s="307"/>
    </row>
    <row r="252">
      <c r="A252" s="323"/>
      <c r="B252" s="293"/>
      <c r="C252" s="327"/>
      <c r="D252" s="323"/>
      <c r="E252" s="293"/>
      <c r="F252" s="327"/>
      <c r="G252" s="323"/>
      <c r="H252" s="293"/>
      <c r="I252" s="327"/>
      <c r="J252" s="352" t="s">
        <v>2052</v>
      </c>
      <c r="K252" s="352"/>
      <c r="L252" s="327"/>
      <c r="M252" s="352"/>
      <c r="N252" s="352"/>
      <c r="O252" s="327"/>
      <c r="P252" s="352"/>
      <c r="Q252" s="352"/>
      <c r="R252" s="327"/>
      <c r="S252" s="352"/>
      <c r="T252" s="352"/>
      <c r="U252" s="327"/>
      <c r="V252" s="352"/>
      <c r="W252" s="352"/>
      <c r="X252" s="327"/>
      <c r="Y252" s="352"/>
      <c r="Z252" s="352"/>
      <c r="AA252" s="327"/>
      <c r="AB252" s="352"/>
      <c r="AC252" s="352"/>
      <c r="AD252" s="327"/>
      <c r="AE252" s="352"/>
      <c r="AF252" s="352"/>
      <c r="AG252" s="327"/>
      <c r="AH252" s="352"/>
      <c r="AI252" s="352"/>
      <c r="AJ252" s="327"/>
      <c r="AK252" s="352"/>
      <c r="AL252" s="352"/>
      <c r="AM252" s="327"/>
      <c r="AN252" s="352"/>
      <c r="AO252" s="352"/>
      <c r="AP252" s="327"/>
      <c r="AQ252" s="352"/>
      <c r="AR252" s="327"/>
      <c r="AU252" s="307"/>
      <c r="AX252" s="307"/>
      <c r="BA252" s="307"/>
      <c r="BC252" s="366"/>
      <c r="BD252" s="307"/>
      <c r="BG252" s="307"/>
    </row>
    <row r="253">
      <c r="A253" s="323"/>
      <c r="B253" s="293"/>
      <c r="C253" s="327"/>
      <c r="D253" s="323"/>
      <c r="E253" s="293"/>
      <c r="F253" s="327"/>
      <c r="G253" s="323"/>
      <c r="H253" s="293"/>
      <c r="I253" s="327"/>
      <c r="J253" s="352" t="s">
        <v>7172</v>
      </c>
      <c r="K253" s="352"/>
      <c r="L253" s="327"/>
      <c r="M253" s="352"/>
      <c r="N253" s="352"/>
      <c r="O253" s="327"/>
      <c r="P253" s="352"/>
      <c r="Q253" s="352"/>
      <c r="R253" s="327"/>
      <c r="S253" s="352"/>
      <c r="T253" s="352"/>
      <c r="U253" s="327"/>
      <c r="V253" s="352"/>
      <c r="W253" s="352"/>
      <c r="X253" s="327"/>
      <c r="Y253" s="352"/>
      <c r="Z253" s="352"/>
      <c r="AA253" s="327"/>
      <c r="AB253" s="352"/>
      <c r="AC253" s="352"/>
      <c r="AD253" s="327"/>
      <c r="AE253" s="352"/>
      <c r="AF253" s="352"/>
      <c r="AG253" s="327"/>
      <c r="AH253" s="352"/>
      <c r="AI253" s="352"/>
      <c r="AJ253" s="327"/>
      <c r="AK253" s="352"/>
      <c r="AL253" s="352"/>
      <c r="AM253" s="327"/>
      <c r="AN253" s="352"/>
      <c r="AO253" s="352"/>
      <c r="AP253" s="327"/>
      <c r="AQ253" s="352"/>
      <c r="AR253" s="327"/>
      <c r="AU253" s="307"/>
      <c r="AX253" s="307"/>
      <c r="BA253" s="307"/>
      <c r="BC253" s="366"/>
      <c r="BD253" s="307"/>
      <c r="BG253" s="307"/>
    </row>
    <row r="254">
      <c r="A254" s="323"/>
      <c r="B254" s="293"/>
      <c r="C254" s="327"/>
      <c r="D254" s="323"/>
      <c r="E254" s="293"/>
      <c r="F254" s="327"/>
      <c r="G254" s="323"/>
      <c r="H254" s="293"/>
      <c r="I254" s="327"/>
      <c r="J254" s="352" t="s">
        <v>7176</v>
      </c>
      <c r="K254" s="352"/>
      <c r="L254" s="327"/>
      <c r="M254" s="352"/>
      <c r="N254" s="352"/>
      <c r="O254" s="327"/>
      <c r="P254" s="352"/>
      <c r="Q254" s="352"/>
      <c r="R254" s="327"/>
      <c r="S254" s="352"/>
      <c r="T254" s="352"/>
      <c r="U254" s="327"/>
      <c r="V254" s="352"/>
      <c r="W254" s="352"/>
      <c r="X254" s="327"/>
      <c r="Y254" s="352"/>
      <c r="Z254" s="352"/>
      <c r="AA254" s="327"/>
      <c r="AB254" s="352"/>
      <c r="AC254" s="352"/>
      <c r="AD254" s="327"/>
      <c r="AE254" s="352"/>
      <c r="AF254" s="352"/>
      <c r="AG254" s="327"/>
      <c r="AH254" s="352"/>
      <c r="AI254" s="352"/>
      <c r="AJ254" s="327"/>
      <c r="AK254" s="352"/>
      <c r="AL254" s="352"/>
      <c r="AM254" s="327"/>
      <c r="AN254" s="352"/>
      <c r="AO254" s="352"/>
      <c r="AP254" s="327"/>
      <c r="AQ254" s="352"/>
      <c r="AR254" s="327"/>
      <c r="AU254" s="307"/>
      <c r="AX254" s="307"/>
      <c r="BA254" s="307"/>
      <c r="BC254" s="366"/>
      <c r="BD254" s="307"/>
      <c r="BG254" s="307"/>
    </row>
    <row r="255">
      <c r="A255" s="323"/>
      <c r="B255" s="293"/>
      <c r="C255" s="327"/>
      <c r="D255" s="323"/>
      <c r="E255" s="293"/>
      <c r="F255" s="327"/>
      <c r="G255" s="323"/>
      <c r="H255" s="293"/>
      <c r="I255" s="327"/>
      <c r="J255" s="352" t="s">
        <v>5723</v>
      </c>
      <c r="K255" s="352"/>
      <c r="L255" s="327"/>
      <c r="M255" s="352"/>
      <c r="N255" s="352"/>
      <c r="O255" s="327"/>
      <c r="P255" s="352"/>
      <c r="Q255" s="352"/>
      <c r="R255" s="327"/>
      <c r="S255" s="352"/>
      <c r="T255" s="352"/>
      <c r="U255" s="327"/>
      <c r="V255" s="352"/>
      <c r="W255" s="352"/>
      <c r="X255" s="327"/>
      <c r="Y255" s="352"/>
      <c r="Z255" s="352"/>
      <c r="AA255" s="327"/>
      <c r="AB255" s="352"/>
      <c r="AC255" s="352"/>
      <c r="AD255" s="327"/>
      <c r="AE255" s="352"/>
      <c r="AF255" s="352"/>
      <c r="AG255" s="327"/>
      <c r="AH255" s="352"/>
      <c r="AI255" s="352"/>
      <c r="AJ255" s="327"/>
      <c r="AK255" s="352"/>
      <c r="AL255" s="352"/>
      <c r="AM255" s="327"/>
      <c r="AN255" s="352"/>
      <c r="AO255" s="352"/>
      <c r="AP255" s="327"/>
      <c r="AQ255" s="352"/>
      <c r="AR255" s="327"/>
      <c r="AU255" s="307"/>
      <c r="AX255" s="307"/>
      <c r="BA255" s="307"/>
      <c r="BC255" s="366"/>
      <c r="BD255" s="307"/>
      <c r="BG255" s="307"/>
    </row>
    <row r="256">
      <c r="A256" s="323"/>
      <c r="B256" s="293"/>
      <c r="C256" s="327"/>
      <c r="D256" s="323"/>
      <c r="E256" s="293"/>
      <c r="F256" s="327"/>
      <c r="G256" s="323"/>
      <c r="H256" s="293"/>
      <c r="I256" s="327"/>
      <c r="J256" s="352" t="s">
        <v>2437</v>
      </c>
      <c r="K256" s="352"/>
      <c r="L256" s="327"/>
      <c r="M256" s="352"/>
      <c r="N256" s="352"/>
      <c r="O256" s="327"/>
      <c r="P256" s="352"/>
      <c r="Q256" s="352"/>
      <c r="R256" s="327"/>
      <c r="S256" s="352"/>
      <c r="T256" s="352"/>
      <c r="U256" s="327"/>
      <c r="V256" s="352"/>
      <c r="W256" s="352"/>
      <c r="X256" s="327"/>
      <c r="Y256" s="352"/>
      <c r="Z256" s="352"/>
      <c r="AA256" s="327"/>
      <c r="AB256" s="352"/>
      <c r="AC256" s="352"/>
      <c r="AD256" s="327"/>
      <c r="AE256" s="352"/>
      <c r="AF256" s="352"/>
      <c r="AG256" s="327"/>
      <c r="AH256" s="352"/>
      <c r="AI256" s="352"/>
      <c r="AJ256" s="327"/>
      <c r="AK256" s="352"/>
      <c r="AL256" s="352"/>
      <c r="AM256" s="327"/>
      <c r="AN256" s="352"/>
      <c r="AO256" s="352"/>
      <c r="AP256" s="327"/>
      <c r="AQ256" s="352"/>
      <c r="AR256" s="327"/>
      <c r="AU256" s="307"/>
      <c r="AX256" s="307"/>
      <c r="BA256" s="307"/>
      <c r="BC256" s="366"/>
      <c r="BD256" s="307"/>
      <c r="BG256" s="307"/>
    </row>
    <row r="257">
      <c r="A257" s="323"/>
      <c r="B257" s="293"/>
      <c r="C257" s="327"/>
      <c r="D257" s="323"/>
      <c r="E257" s="293"/>
      <c r="F257" s="327"/>
      <c r="G257" s="323"/>
      <c r="H257" s="293"/>
      <c r="I257" s="327"/>
      <c r="J257" s="352" t="s">
        <v>7186</v>
      </c>
      <c r="K257" s="352"/>
      <c r="L257" s="327"/>
      <c r="M257" s="352"/>
      <c r="N257" s="352"/>
      <c r="O257" s="327"/>
      <c r="P257" s="352"/>
      <c r="Q257" s="352"/>
      <c r="R257" s="327"/>
      <c r="S257" s="352"/>
      <c r="T257" s="352"/>
      <c r="U257" s="327"/>
      <c r="V257" s="352"/>
      <c r="W257" s="352"/>
      <c r="X257" s="327"/>
      <c r="Y257" s="352"/>
      <c r="Z257" s="352"/>
      <c r="AA257" s="327"/>
      <c r="AB257" s="352"/>
      <c r="AC257" s="352"/>
      <c r="AD257" s="327"/>
      <c r="AE257" s="352"/>
      <c r="AF257" s="352"/>
      <c r="AG257" s="327"/>
      <c r="AH257" s="352"/>
      <c r="AI257" s="352"/>
      <c r="AJ257" s="327"/>
      <c r="AK257" s="352"/>
      <c r="AL257" s="352"/>
      <c r="AM257" s="327"/>
      <c r="AN257" s="352"/>
      <c r="AO257" s="352"/>
      <c r="AP257" s="327"/>
      <c r="AQ257" s="352"/>
      <c r="AR257" s="327"/>
      <c r="AU257" s="307"/>
      <c r="AX257" s="307"/>
      <c r="BA257" s="307"/>
      <c r="BC257" s="366"/>
      <c r="BD257" s="307"/>
      <c r="BG257" s="307"/>
    </row>
    <row r="258">
      <c r="A258" s="323"/>
      <c r="B258" s="293"/>
      <c r="C258" s="327"/>
      <c r="D258" s="323"/>
      <c r="E258" s="293"/>
      <c r="F258" s="327"/>
      <c r="G258" s="323"/>
      <c r="H258" s="293"/>
      <c r="I258" s="327"/>
      <c r="J258" s="352" t="s">
        <v>7188</v>
      </c>
      <c r="K258" s="352"/>
      <c r="L258" s="327"/>
      <c r="M258" s="352"/>
      <c r="N258" s="352"/>
      <c r="O258" s="327"/>
      <c r="P258" s="352"/>
      <c r="Q258" s="352"/>
      <c r="R258" s="327"/>
      <c r="S258" s="352"/>
      <c r="T258" s="352"/>
      <c r="U258" s="327"/>
      <c r="V258" s="352"/>
      <c r="W258" s="352"/>
      <c r="X258" s="327"/>
      <c r="Y258" s="352"/>
      <c r="Z258" s="352"/>
      <c r="AA258" s="327"/>
      <c r="AB258" s="352"/>
      <c r="AC258" s="352"/>
      <c r="AD258" s="327"/>
      <c r="AE258" s="352"/>
      <c r="AF258" s="352"/>
      <c r="AG258" s="327"/>
      <c r="AH258" s="352"/>
      <c r="AI258" s="352"/>
      <c r="AJ258" s="327"/>
      <c r="AK258" s="352"/>
      <c r="AL258" s="352"/>
      <c r="AM258" s="327"/>
      <c r="AN258" s="352"/>
      <c r="AO258" s="352"/>
      <c r="AP258" s="327"/>
      <c r="AQ258" s="352"/>
      <c r="AR258" s="327"/>
      <c r="AU258" s="307"/>
      <c r="AX258" s="307"/>
      <c r="BA258" s="307"/>
      <c r="BC258" s="366"/>
      <c r="BD258" s="307"/>
      <c r="BG258" s="307"/>
    </row>
    <row r="259">
      <c r="A259" s="323"/>
      <c r="B259" s="293"/>
      <c r="C259" s="327"/>
      <c r="D259" s="323"/>
      <c r="E259" s="293"/>
      <c r="F259" s="327"/>
      <c r="G259" s="323"/>
      <c r="H259" s="293"/>
      <c r="I259" s="327"/>
      <c r="J259" s="352" t="s">
        <v>1703</v>
      </c>
      <c r="K259" s="352"/>
      <c r="L259" s="327"/>
      <c r="M259" s="352"/>
      <c r="N259" s="352"/>
      <c r="O259" s="327"/>
      <c r="P259" s="352"/>
      <c r="Q259" s="352"/>
      <c r="R259" s="327"/>
      <c r="S259" s="352"/>
      <c r="T259" s="352"/>
      <c r="U259" s="327"/>
      <c r="V259" s="352"/>
      <c r="W259" s="352"/>
      <c r="X259" s="327"/>
      <c r="Y259" s="352"/>
      <c r="Z259" s="352"/>
      <c r="AA259" s="327"/>
      <c r="AB259" s="352"/>
      <c r="AC259" s="352"/>
      <c r="AD259" s="327"/>
      <c r="AE259" s="352"/>
      <c r="AF259" s="352"/>
      <c r="AG259" s="327"/>
      <c r="AH259" s="352"/>
      <c r="AI259" s="352"/>
      <c r="AJ259" s="327"/>
      <c r="AK259" s="352"/>
      <c r="AL259" s="352"/>
      <c r="AM259" s="327"/>
      <c r="AN259" s="352"/>
      <c r="AO259" s="352"/>
      <c r="AP259" s="327"/>
      <c r="AQ259" s="352"/>
      <c r="AR259" s="327"/>
      <c r="AU259" s="307"/>
      <c r="AX259" s="307"/>
      <c r="BA259" s="307"/>
      <c r="BC259" s="366"/>
      <c r="BD259" s="307"/>
      <c r="BG259" s="307"/>
    </row>
    <row r="260">
      <c r="A260" s="323"/>
      <c r="B260" s="293"/>
      <c r="C260" s="327"/>
      <c r="D260" s="323"/>
      <c r="E260" s="293"/>
      <c r="F260" s="327"/>
      <c r="G260" s="323"/>
      <c r="H260" s="293"/>
      <c r="I260" s="327"/>
      <c r="J260" s="352" t="s">
        <v>7195</v>
      </c>
      <c r="K260" s="352"/>
      <c r="L260" s="327"/>
      <c r="M260" s="352"/>
      <c r="N260" s="352"/>
      <c r="O260" s="327"/>
      <c r="P260" s="352"/>
      <c r="Q260" s="352"/>
      <c r="R260" s="327"/>
      <c r="S260" s="352"/>
      <c r="T260" s="352"/>
      <c r="U260" s="327"/>
      <c r="V260" s="352"/>
      <c r="W260" s="352"/>
      <c r="X260" s="327"/>
      <c r="Y260" s="352"/>
      <c r="Z260" s="352"/>
      <c r="AA260" s="327"/>
      <c r="AB260" s="352"/>
      <c r="AC260" s="352"/>
      <c r="AD260" s="327"/>
      <c r="AE260" s="352"/>
      <c r="AF260" s="352"/>
      <c r="AG260" s="327"/>
      <c r="AH260" s="352"/>
      <c r="AI260" s="352"/>
      <c r="AJ260" s="327"/>
      <c r="AK260" s="352"/>
      <c r="AL260" s="352"/>
      <c r="AM260" s="327"/>
      <c r="AN260" s="352"/>
      <c r="AO260" s="352"/>
      <c r="AP260" s="327"/>
      <c r="AQ260" s="352"/>
      <c r="AR260" s="327"/>
      <c r="AU260" s="307"/>
      <c r="AX260" s="307"/>
      <c r="BA260" s="307"/>
      <c r="BC260" s="366"/>
      <c r="BD260" s="307"/>
      <c r="BG260" s="307"/>
    </row>
    <row r="261">
      <c r="A261" s="323"/>
      <c r="B261" s="293"/>
      <c r="C261" s="327"/>
      <c r="D261" s="323"/>
      <c r="E261" s="293"/>
      <c r="F261" s="327"/>
      <c r="G261" s="323"/>
      <c r="H261" s="293"/>
      <c r="I261" s="327"/>
      <c r="J261" s="352" t="s">
        <v>1824</v>
      </c>
      <c r="K261" s="352"/>
      <c r="L261" s="327"/>
      <c r="M261" s="352"/>
      <c r="N261" s="352"/>
      <c r="O261" s="327"/>
      <c r="P261" s="352"/>
      <c r="Q261" s="352"/>
      <c r="R261" s="327"/>
      <c r="S261" s="352"/>
      <c r="T261" s="352"/>
      <c r="U261" s="327"/>
      <c r="V261" s="352"/>
      <c r="W261" s="352"/>
      <c r="X261" s="327"/>
      <c r="Y261" s="352"/>
      <c r="Z261" s="352"/>
      <c r="AA261" s="327"/>
      <c r="AB261" s="352"/>
      <c r="AC261" s="352"/>
      <c r="AD261" s="327"/>
      <c r="AE261" s="352"/>
      <c r="AF261" s="352"/>
      <c r="AG261" s="327"/>
      <c r="AH261" s="352"/>
      <c r="AI261" s="352"/>
      <c r="AJ261" s="327"/>
      <c r="AK261" s="352"/>
      <c r="AL261" s="352"/>
      <c r="AM261" s="327"/>
      <c r="AN261" s="352"/>
      <c r="AO261" s="352"/>
      <c r="AP261" s="327"/>
      <c r="AQ261" s="352"/>
      <c r="AR261" s="327"/>
      <c r="AU261" s="307"/>
      <c r="AX261" s="307"/>
      <c r="BA261" s="307"/>
      <c r="BC261" s="366"/>
      <c r="BD261" s="307"/>
      <c r="BG261" s="307"/>
    </row>
    <row r="262">
      <c r="A262" s="323"/>
      <c r="B262" s="293"/>
      <c r="C262" s="327"/>
      <c r="D262" s="323"/>
      <c r="E262" s="293"/>
      <c r="F262" s="327"/>
      <c r="G262" s="323"/>
      <c r="H262" s="293"/>
      <c r="I262" s="327"/>
      <c r="J262" s="352" t="s">
        <v>2874</v>
      </c>
      <c r="K262" s="352"/>
      <c r="L262" s="327"/>
      <c r="M262" s="352"/>
      <c r="N262" s="352"/>
      <c r="O262" s="327"/>
      <c r="P262" s="352"/>
      <c r="Q262" s="352"/>
      <c r="R262" s="327"/>
      <c r="S262" s="352"/>
      <c r="T262" s="352"/>
      <c r="U262" s="327"/>
      <c r="V262" s="352"/>
      <c r="W262" s="352"/>
      <c r="X262" s="327"/>
      <c r="Y262" s="352"/>
      <c r="Z262" s="352"/>
      <c r="AA262" s="327"/>
      <c r="AB262" s="352"/>
      <c r="AC262" s="352"/>
      <c r="AD262" s="327"/>
      <c r="AE262" s="352"/>
      <c r="AF262" s="352"/>
      <c r="AG262" s="327"/>
      <c r="AH262" s="352"/>
      <c r="AI262" s="352"/>
      <c r="AJ262" s="327"/>
      <c r="AK262" s="352"/>
      <c r="AL262" s="352"/>
      <c r="AM262" s="327"/>
      <c r="AN262" s="352"/>
      <c r="AO262" s="352"/>
      <c r="AP262" s="327"/>
      <c r="AQ262" s="352"/>
      <c r="AR262" s="327"/>
      <c r="AU262" s="307"/>
      <c r="AX262" s="307"/>
      <c r="BA262" s="307"/>
      <c r="BC262" s="366"/>
      <c r="BD262" s="307"/>
      <c r="BG262" s="307"/>
    </row>
    <row r="263">
      <c r="A263" s="323"/>
      <c r="B263" s="293"/>
      <c r="C263" s="327"/>
      <c r="D263" s="323"/>
      <c r="E263" s="293"/>
      <c r="F263" s="327"/>
      <c r="G263" s="323"/>
      <c r="H263" s="293"/>
      <c r="I263" s="327"/>
      <c r="J263" s="352" t="s">
        <v>7203</v>
      </c>
      <c r="K263" s="352"/>
      <c r="L263" s="327"/>
      <c r="M263" s="352"/>
      <c r="N263" s="352"/>
      <c r="O263" s="327"/>
      <c r="P263" s="352"/>
      <c r="Q263" s="352"/>
      <c r="R263" s="327"/>
      <c r="S263" s="352"/>
      <c r="T263" s="352"/>
      <c r="U263" s="327"/>
      <c r="V263" s="352"/>
      <c r="W263" s="352"/>
      <c r="X263" s="327"/>
      <c r="Y263" s="352"/>
      <c r="Z263" s="352"/>
      <c r="AA263" s="327"/>
      <c r="AB263" s="352"/>
      <c r="AC263" s="352"/>
      <c r="AD263" s="327"/>
      <c r="AE263" s="352"/>
      <c r="AF263" s="352"/>
      <c r="AG263" s="327"/>
      <c r="AH263" s="352"/>
      <c r="AI263" s="352"/>
      <c r="AJ263" s="327"/>
      <c r="AK263" s="352"/>
      <c r="AL263" s="352"/>
      <c r="AM263" s="327"/>
      <c r="AN263" s="352"/>
      <c r="AO263" s="352"/>
      <c r="AP263" s="327"/>
      <c r="AQ263" s="352"/>
      <c r="AR263" s="327"/>
      <c r="AU263" s="307"/>
      <c r="AX263" s="307"/>
      <c r="BA263" s="307"/>
      <c r="BC263" s="366"/>
      <c r="BD263" s="307"/>
      <c r="BG263" s="307"/>
    </row>
    <row r="264">
      <c r="A264" s="323"/>
      <c r="B264" s="293"/>
      <c r="C264" s="327"/>
      <c r="D264" s="323"/>
      <c r="E264" s="293"/>
      <c r="F264" s="327"/>
      <c r="G264" s="323"/>
      <c r="H264" s="293"/>
      <c r="I264" s="327"/>
      <c r="J264" s="352" t="s">
        <v>1350</v>
      </c>
      <c r="K264" s="352"/>
      <c r="L264" s="327"/>
      <c r="M264" s="352"/>
      <c r="N264" s="352"/>
      <c r="O264" s="327"/>
      <c r="P264" s="352"/>
      <c r="Q264" s="352"/>
      <c r="R264" s="327"/>
      <c r="S264" s="352"/>
      <c r="T264" s="352"/>
      <c r="U264" s="327"/>
      <c r="V264" s="352"/>
      <c r="W264" s="352"/>
      <c r="X264" s="327"/>
      <c r="Y264" s="352"/>
      <c r="Z264" s="352"/>
      <c r="AA264" s="327"/>
      <c r="AB264" s="352"/>
      <c r="AC264" s="352"/>
      <c r="AD264" s="327"/>
      <c r="AE264" s="352"/>
      <c r="AF264" s="352"/>
      <c r="AG264" s="327"/>
      <c r="AH264" s="352"/>
      <c r="AI264" s="352"/>
      <c r="AJ264" s="327"/>
      <c r="AK264" s="352"/>
      <c r="AL264" s="352"/>
      <c r="AM264" s="327"/>
      <c r="AN264" s="352"/>
      <c r="AO264" s="352"/>
      <c r="AP264" s="327"/>
      <c r="AQ264" s="352"/>
      <c r="AR264" s="327"/>
      <c r="AU264" s="307"/>
      <c r="AX264" s="307"/>
      <c r="BA264" s="307"/>
      <c r="BC264" s="366"/>
      <c r="BD264" s="307"/>
      <c r="BG264" s="307"/>
    </row>
    <row r="265">
      <c r="A265" s="323"/>
      <c r="B265" s="293"/>
      <c r="C265" s="327"/>
      <c r="D265" s="323"/>
      <c r="E265" s="293"/>
      <c r="F265" s="327"/>
      <c r="G265" s="323"/>
      <c r="H265" s="293"/>
      <c r="I265" s="327"/>
      <c r="J265" s="352" t="s">
        <v>2029</v>
      </c>
      <c r="K265" s="352"/>
      <c r="L265" s="327"/>
      <c r="M265" s="352"/>
      <c r="N265" s="352"/>
      <c r="O265" s="327"/>
      <c r="P265" s="352"/>
      <c r="Q265" s="352"/>
      <c r="R265" s="327"/>
      <c r="S265" s="352"/>
      <c r="T265" s="352"/>
      <c r="U265" s="327"/>
      <c r="V265" s="352"/>
      <c r="W265" s="352"/>
      <c r="X265" s="327"/>
      <c r="Y265" s="352"/>
      <c r="Z265" s="352"/>
      <c r="AA265" s="327"/>
      <c r="AB265" s="352"/>
      <c r="AC265" s="352"/>
      <c r="AD265" s="327"/>
      <c r="AE265" s="352"/>
      <c r="AF265" s="352"/>
      <c r="AG265" s="327"/>
      <c r="AH265" s="352"/>
      <c r="AI265" s="352"/>
      <c r="AJ265" s="327"/>
      <c r="AK265" s="352"/>
      <c r="AL265" s="352"/>
      <c r="AM265" s="327"/>
      <c r="AN265" s="352"/>
      <c r="AO265" s="352"/>
      <c r="AP265" s="327"/>
      <c r="AQ265" s="352"/>
      <c r="AR265" s="327"/>
      <c r="AU265" s="307"/>
      <c r="AX265" s="307"/>
      <c r="BA265" s="307"/>
      <c r="BC265" s="366"/>
      <c r="BD265" s="307"/>
      <c r="BG265" s="307"/>
    </row>
    <row r="266">
      <c r="A266" s="323"/>
      <c r="B266" s="293"/>
      <c r="C266" s="327"/>
      <c r="D266" s="323"/>
      <c r="E266" s="293"/>
      <c r="F266" s="327"/>
      <c r="G266" s="323"/>
      <c r="H266" s="293"/>
      <c r="I266" s="327"/>
      <c r="J266" s="352" t="s">
        <v>7212</v>
      </c>
      <c r="K266" s="352"/>
      <c r="L266" s="327"/>
      <c r="M266" s="352"/>
      <c r="N266" s="352"/>
      <c r="O266" s="327"/>
      <c r="P266" s="352"/>
      <c r="Q266" s="352"/>
      <c r="R266" s="327"/>
      <c r="S266" s="352"/>
      <c r="T266" s="352"/>
      <c r="U266" s="327"/>
      <c r="V266" s="352"/>
      <c r="W266" s="352"/>
      <c r="X266" s="327"/>
      <c r="Y266" s="352"/>
      <c r="Z266" s="352"/>
      <c r="AA266" s="327"/>
      <c r="AB266" s="352"/>
      <c r="AC266" s="352"/>
      <c r="AD266" s="327"/>
      <c r="AE266" s="352"/>
      <c r="AF266" s="352"/>
      <c r="AG266" s="327"/>
      <c r="AH266" s="352"/>
      <c r="AI266" s="352"/>
      <c r="AJ266" s="327"/>
      <c r="AK266" s="352"/>
      <c r="AL266" s="352"/>
      <c r="AM266" s="327"/>
      <c r="AN266" s="352"/>
      <c r="AO266" s="352"/>
      <c r="AP266" s="327"/>
      <c r="AQ266" s="352"/>
      <c r="AR266" s="327"/>
      <c r="AU266" s="307"/>
      <c r="AX266" s="307"/>
      <c r="BA266" s="307"/>
      <c r="BC266" s="366"/>
      <c r="BD266" s="307"/>
      <c r="BG266" s="307"/>
    </row>
    <row r="267">
      <c r="C267" s="327"/>
      <c r="F267" s="327"/>
      <c r="I267" s="327"/>
      <c r="J267" s="352" t="s">
        <v>7215</v>
      </c>
      <c r="K267" s="352"/>
      <c r="L267" s="327"/>
      <c r="M267" s="352"/>
      <c r="N267" s="352"/>
      <c r="O267" s="327"/>
      <c r="P267" s="352"/>
      <c r="Q267" s="352"/>
      <c r="R267" s="327"/>
      <c r="S267" s="352"/>
      <c r="T267" s="352"/>
      <c r="U267" s="327"/>
      <c r="V267" s="352"/>
      <c r="W267" s="352"/>
      <c r="X267" s="327"/>
      <c r="Y267" s="352"/>
      <c r="Z267" s="352"/>
      <c r="AA267" s="327"/>
      <c r="AB267" s="352"/>
      <c r="AC267" s="352"/>
      <c r="AD267" s="327"/>
      <c r="AE267" s="352"/>
      <c r="AF267" s="352"/>
      <c r="AG267" s="327"/>
      <c r="AH267" s="352"/>
      <c r="AI267" s="352"/>
      <c r="AJ267" s="327"/>
      <c r="AK267" s="352"/>
      <c r="AL267" s="352"/>
      <c r="AM267" s="327"/>
      <c r="AN267" s="352"/>
      <c r="AO267" s="352"/>
      <c r="AP267" s="327"/>
      <c r="AQ267" s="352"/>
      <c r="AR267" s="327"/>
      <c r="AU267" s="307"/>
      <c r="AX267" s="307"/>
      <c r="BA267" s="307"/>
      <c r="BC267" s="366"/>
      <c r="BD267" s="307"/>
      <c r="BG267" s="307"/>
    </row>
    <row r="268">
      <c r="A268" s="323"/>
      <c r="B268" s="293"/>
      <c r="C268" s="327"/>
      <c r="D268" s="323"/>
      <c r="E268" s="293"/>
      <c r="F268" s="327"/>
      <c r="G268" s="323"/>
      <c r="H268" s="293"/>
      <c r="I268" s="327"/>
      <c r="J268" s="352" t="s">
        <v>7218</v>
      </c>
      <c r="K268" s="352"/>
      <c r="L268" s="327"/>
      <c r="M268" s="352"/>
      <c r="N268" s="352"/>
      <c r="O268" s="327"/>
      <c r="P268" s="352"/>
      <c r="Q268" s="352"/>
      <c r="R268" s="327"/>
      <c r="S268" s="352"/>
      <c r="T268" s="352"/>
      <c r="U268" s="327"/>
      <c r="V268" s="352"/>
      <c r="W268" s="352"/>
      <c r="X268" s="327"/>
      <c r="Y268" s="352"/>
      <c r="Z268" s="352"/>
      <c r="AA268" s="327"/>
      <c r="AB268" s="352"/>
      <c r="AC268" s="352"/>
      <c r="AD268" s="327"/>
      <c r="AE268" s="352"/>
      <c r="AF268" s="352"/>
      <c r="AG268" s="327"/>
      <c r="AH268" s="352"/>
      <c r="AI268" s="352"/>
      <c r="AJ268" s="327"/>
      <c r="AK268" s="352"/>
      <c r="AL268" s="352"/>
      <c r="AM268" s="327"/>
      <c r="AN268" s="352"/>
      <c r="AO268" s="352"/>
      <c r="AP268" s="327"/>
      <c r="AQ268" s="352"/>
      <c r="AR268" s="327"/>
      <c r="AU268" s="307"/>
      <c r="AX268" s="307"/>
      <c r="BA268" s="307"/>
      <c r="BC268" s="366"/>
      <c r="BD268" s="307"/>
      <c r="BG268" s="307"/>
    </row>
    <row r="269">
      <c r="A269" s="323"/>
      <c r="B269" s="293"/>
      <c r="C269" s="327"/>
      <c r="D269" s="323"/>
      <c r="E269" s="293"/>
      <c r="F269" s="327"/>
      <c r="G269" s="323"/>
      <c r="H269" s="293"/>
      <c r="I269" s="327"/>
      <c r="J269" s="352" t="s">
        <v>263</v>
      </c>
      <c r="K269" s="352"/>
      <c r="L269" s="327"/>
      <c r="M269" s="352"/>
      <c r="N269" s="352"/>
      <c r="O269" s="327"/>
      <c r="P269" s="352"/>
      <c r="Q269" s="352"/>
      <c r="R269" s="327"/>
      <c r="S269" s="352"/>
      <c r="T269" s="352"/>
      <c r="U269" s="327"/>
      <c r="V269" s="352"/>
      <c r="W269" s="352"/>
      <c r="X269" s="327"/>
      <c r="Y269" s="352"/>
      <c r="Z269" s="352"/>
      <c r="AA269" s="327"/>
      <c r="AB269" s="352"/>
      <c r="AC269" s="352"/>
      <c r="AD269" s="327"/>
      <c r="AE269" s="352"/>
      <c r="AF269" s="352"/>
      <c r="AG269" s="327"/>
      <c r="AH269" s="352"/>
      <c r="AI269" s="352"/>
      <c r="AJ269" s="327"/>
      <c r="AK269" s="352"/>
      <c r="AL269" s="352"/>
      <c r="AM269" s="327"/>
      <c r="AN269" s="352"/>
      <c r="AO269" s="352"/>
      <c r="AP269" s="327"/>
      <c r="AQ269" s="352"/>
      <c r="AR269" s="327"/>
      <c r="AU269" s="307"/>
      <c r="AX269" s="307"/>
      <c r="BA269" s="307"/>
      <c r="BC269" s="366"/>
      <c r="BD269" s="307"/>
      <c r="BG269" s="307"/>
    </row>
    <row r="270">
      <c r="A270" s="323"/>
      <c r="B270" s="293"/>
      <c r="C270" s="327"/>
      <c r="D270" s="323"/>
      <c r="E270" s="293"/>
      <c r="F270" s="327"/>
      <c r="G270" s="323"/>
      <c r="H270" s="293"/>
      <c r="I270" s="327"/>
      <c r="J270" s="352" t="s">
        <v>3547</v>
      </c>
      <c r="K270" s="352"/>
      <c r="L270" s="327"/>
      <c r="M270" s="352"/>
      <c r="N270" s="352"/>
      <c r="O270" s="327"/>
      <c r="P270" s="352"/>
      <c r="Q270" s="352"/>
      <c r="R270" s="327"/>
      <c r="S270" s="352"/>
      <c r="T270" s="352"/>
      <c r="U270" s="327"/>
      <c r="V270" s="352"/>
      <c r="W270" s="352"/>
      <c r="X270" s="327"/>
      <c r="Y270" s="352"/>
      <c r="Z270" s="352"/>
      <c r="AA270" s="327"/>
      <c r="AB270" s="352"/>
      <c r="AC270" s="352"/>
      <c r="AD270" s="327"/>
      <c r="AE270" s="352"/>
      <c r="AF270" s="352"/>
      <c r="AG270" s="327"/>
      <c r="AH270" s="352"/>
      <c r="AI270" s="352"/>
      <c r="AJ270" s="327"/>
      <c r="AK270" s="352"/>
      <c r="AL270" s="352"/>
      <c r="AM270" s="327"/>
      <c r="AN270" s="352"/>
      <c r="AO270" s="352"/>
      <c r="AP270" s="327"/>
      <c r="AQ270" s="352"/>
      <c r="AR270" s="327"/>
      <c r="AU270" s="307"/>
      <c r="AX270" s="307"/>
      <c r="BA270" s="307"/>
      <c r="BC270" s="366"/>
      <c r="BD270" s="307"/>
      <c r="BG270" s="307"/>
    </row>
    <row r="271">
      <c r="A271" s="323"/>
      <c r="B271" s="293"/>
      <c r="C271" s="327"/>
      <c r="D271" s="323"/>
      <c r="E271" s="293"/>
      <c r="F271" s="327"/>
      <c r="G271" s="323"/>
      <c r="H271" s="293"/>
      <c r="I271" s="327"/>
      <c r="J271" s="352" t="s">
        <v>1817</v>
      </c>
      <c r="K271" s="352"/>
      <c r="L271" s="327"/>
      <c r="M271" s="352"/>
      <c r="N271" s="352"/>
      <c r="O271" s="327"/>
      <c r="P271" s="352"/>
      <c r="Q271" s="352"/>
      <c r="R271" s="327"/>
      <c r="S271" s="352"/>
      <c r="T271" s="352"/>
      <c r="U271" s="327"/>
      <c r="V271" s="352"/>
      <c r="W271" s="352"/>
      <c r="X271" s="327"/>
      <c r="Y271" s="352"/>
      <c r="Z271" s="352"/>
      <c r="AA271" s="327"/>
      <c r="AB271" s="352"/>
      <c r="AC271" s="352"/>
      <c r="AD271" s="327"/>
      <c r="AE271" s="352"/>
      <c r="AF271" s="352"/>
      <c r="AG271" s="327"/>
      <c r="AH271" s="352"/>
      <c r="AI271" s="352"/>
      <c r="AJ271" s="327"/>
      <c r="AK271" s="352"/>
      <c r="AL271" s="352"/>
      <c r="AM271" s="327"/>
      <c r="AN271" s="352"/>
      <c r="AO271" s="352"/>
      <c r="AP271" s="327"/>
      <c r="AQ271" s="352"/>
      <c r="AR271" s="327"/>
      <c r="AU271" s="307"/>
      <c r="AX271" s="307"/>
      <c r="BA271" s="307"/>
      <c r="BC271" s="366"/>
      <c r="BD271" s="307"/>
      <c r="BG271" s="307"/>
    </row>
    <row r="272">
      <c r="A272" s="323"/>
      <c r="B272" s="293"/>
      <c r="C272" s="327"/>
      <c r="D272" s="323"/>
      <c r="E272" s="293"/>
      <c r="F272" s="327"/>
      <c r="G272" s="323"/>
      <c r="H272" s="293"/>
      <c r="I272" s="327"/>
      <c r="J272" s="352" t="s">
        <v>7225</v>
      </c>
      <c r="K272" s="352"/>
      <c r="L272" s="327"/>
      <c r="M272" s="352"/>
      <c r="N272" s="352"/>
      <c r="O272" s="327"/>
      <c r="P272" s="352"/>
      <c r="Q272" s="352"/>
      <c r="R272" s="327"/>
      <c r="S272" s="352"/>
      <c r="T272" s="352"/>
      <c r="U272" s="327"/>
      <c r="V272" s="352"/>
      <c r="W272" s="352"/>
      <c r="X272" s="327"/>
      <c r="Y272" s="352"/>
      <c r="Z272" s="352"/>
      <c r="AA272" s="327"/>
      <c r="AB272" s="352"/>
      <c r="AC272" s="352"/>
      <c r="AD272" s="327"/>
      <c r="AE272" s="352"/>
      <c r="AF272" s="352"/>
      <c r="AG272" s="327"/>
      <c r="AH272" s="352"/>
      <c r="AI272" s="352"/>
      <c r="AJ272" s="327"/>
      <c r="AK272" s="352"/>
      <c r="AL272" s="352"/>
      <c r="AM272" s="327"/>
      <c r="AN272" s="352"/>
      <c r="AO272" s="352"/>
      <c r="AP272" s="327"/>
      <c r="AQ272" s="352"/>
      <c r="AR272" s="327"/>
      <c r="AU272" s="307"/>
      <c r="AX272" s="307"/>
      <c r="BA272" s="307"/>
      <c r="BC272" s="366"/>
      <c r="BD272" s="307"/>
      <c r="BG272" s="307"/>
    </row>
    <row r="273">
      <c r="A273" s="323"/>
      <c r="B273" s="293"/>
      <c r="C273" s="327"/>
      <c r="D273" s="323"/>
      <c r="E273" s="293"/>
      <c r="F273" s="327"/>
      <c r="G273" s="323"/>
      <c r="H273" s="293"/>
      <c r="I273" s="327"/>
      <c r="J273" s="352" t="s">
        <v>7229</v>
      </c>
      <c r="K273" s="352"/>
      <c r="L273" s="327"/>
      <c r="M273" s="352"/>
      <c r="N273" s="352"/>
      <c r="O273" s="327"/>
      <c r="P273" s="352"/>
      <c r="Q273" s="352"/>
      <c r="R273" s="327"/>
      <c r="S273" s="352"/>
      <c r="T273" s="352"/>
      <c r="U273" s="327"/>
      <c r="V273" s="352"/>
      <c r="W273" s="352"/>
      <c r="X273" s="327"/>
      <c r="Y273" s="352"/>
      <c r="Z273" s="352"/>
      <c r="AA273" s="327"/>
      <c r="AB273" s="352"/>
      <c r="AC273" s="352"/>
      <c r="AD273" s="327"/>
      <c r="AE273" s="352"/>
      <c r="AF273" s="352"/>
      <c r="AG273" s="327"/>
      <c r="AH273" s="352"/>
      <c r="AI273" s="352"/>
      <c r="AJ273" s="327"/>
      <c r="AK273" s="352"/>
      <c r="AL273" s="352"/>
      <c r="AM273" s="327"/>
      <c r="AN273" s="352"/>
      <c r="AO273" s="352"/>
      <c r="AP273" s="327"/>
      <c r="AQ273" s="352"/>
      <c r="AR273" s="327"/>
      <c r="AU273" s="307"/>
      <c r="AX273" s="307"/>
      <c r="BA273" s="307"/>
      <c r="BC273" s="366"/>
      <c r="BD273" s="307"/>
      <c r="BG273" s="307"/>
    </row>
    <row r="274">
      <c r="A274" s="323"/>
      <c r="B274" s="293"/>
      <c r="C274" s="327"/>
      <c r="D274" s="323"/>
      <c r="E274" s="293"/>
      <c r="F274" s="327"/>
      <c r="G274" s="323"/>
      <c r="H274" s="293"/>
      <c r="I274" s="327"/>
      <c r="J274" s="352" t="s">
        <v>1603</v>
      </c>
      <c r="K274" s="352"/>
      <c r="L274" s="327"/>
      <c r="M274" s="352"/>
      <c r="N274" s="352"/>
      <c r="O274" s="327"/>
      <c r="P274" s="352"/>
      <c r="Q274" s="352"/>
      <c r="R274" s="327"/>
      <c r="S274" s="352"/>
      <c r="T274" s="352"/>
      <c r="U274" s="327"/>
      <c r="V274" s="352"/>
      <c r="W274" s="352"/>
      <c r="X274" s="327"/>
      <c r="Y274" s="352"/>
      <c r="Z274" s="352"/>
      <c r="AA274" s="327"/>
      <c r="AB274" s="352"/>
      <c r="AC274" s="352"/>
      <c r="AD274" s="327"/>
      <c r="AE274" s="352"/>
      <c r="AF274" s="352"/>
      <c r="AG274" s="327"/>
      <c r="AH274" s="352"/>
      <c r="AI274" s="352"/>
      <c r="AJ274" s="327"/>
      <c r="AK274" s="352"/>
      <c r="AL274" s="352"/>
      <c r="AM274" s="327"/>
      <c r="AN274" s="352"/>
      <c r="AO274" s="352"/>
      <c r="AP274" s="327"/>
      <c r="AQ274" s="352"/>
      <c r="AR274" s="327"/>
      <c r="AU274" s="307"/>
      <c r="AX274" s="307"/>
      <c r="BA274" s="307"/>
      <c r="BC274" s="366"/>
      <c r="BD274" s="307"/>
      <c r="BG274" s="307"/>
    </row>
    <row r="275">
      <c r="A275" s="323"/>
      <c r="B275" s="293"/>
      <c r="C275" s="327"/>
      <c r="D275" s="323"/>
      <c r="E275" s="293"/>
      <c r="F275" s="327"/>
      <c r="G275" s="323"/>
      <c r="H275" s="293"/>
      <c r="I275" s="327"/>
      <c r="J275" s="352" t="s">
        <v>632</v>
      </c>
      <c r="K275" s="352"/>
      <c r="L275" s="327"/>
      <c r="M275" s="352"/>
      <c r="N275" s="352"/>
      <c r="O275" s="327"/>
      <c r="P275" s="352"/>
      <c r="Q275" s="352"/>
      <c r="R275" s="327"/>
      <c r="S275" s="352"/>
      <c r="T275" s="352"/>
      <c r="U275" s="327"/>
      <c r="V275" s="352"/>
      <c r="W275" s="352"/>
      <c r="X275" s="327"/>
      <c r="Y275" s="352"/>
      <c r="Z275" s="352"/>
      <c r="AA275" s="327"/>
      <c r="AB275" s="352"/>
      <c r="AC275" s="352"/>
      <c r="AD275" s="327"/>
      <c r="AE275" s="352"/>
      <c r="AF275" s="352"/>
      <c r="AG275" s="327"/>
      <c r="AH275" s="352"/>
      <c r="AI275" s="352"/>
      <c r="AJ275" s="327"/>
      <c r="AK275" s="352"/>
      <c r="AL275" s="352"/>
      <c r="AM275" s="327"/>
      <c r="AN275" s="352"/>
      <c r="AO275" s="352"/>
      <c r="AP275" s="327"/>
      <c r="AQ275" s="352"/>
      <c r="AR275" s="327"/>
      <c r="AU275" s="307"/>
      <c r="AX275" s="307"/>
      <c r="BA275" s="307"/>
      <c r="BC275" s="366"/>
      <c r="BD275" s="307"/>
      <c r="BG275" s="307"/>
    </row>
    <row r="276">
      <c r="A276" s="323"/>
      <c r="B276" s="293"/>
      <c r="C276" s="327"/>
      <c r="D276" s="323"/>
      <c r="E276" s="293"/>
      <c r="F276" s="327"/>
      <c r="G276" s="323"/>
      <c r="H276" s="293"/>
      <c r="I276" s="327"/>
      <c r="J276" s="352" t="s">
        <v>332</v>
      </c>
      <c r="K276" s="352"/>
      <c r="L276" s="327"/>
      <c r="M276" s="352"/>
      <c r="N276" s="352"/>
      <c r="O276" s="327"/>
      <c r="P276" s="352"/>
      <c r="Q276" s="352"/>
      <c r="R276" s="327"/>
      <c r="S276" s="352"/>
      <c r="T276" s="352"/>
      <c r="U276" s="327"/>
      <c r="V276" s="352"/>
      <c r="W276" s="352"/>
      <c r="X276" s="327"/>
      <c r="Y276" s="352"/>
      <c r="Z276" s="352"/>
      <c r="AA276" s="327"/>
      <c r="AB276" s="352"/>
      <c r="AC276" s="352"/>
      <c r="AD276" s="327"/>
      <c r="AE276" s="352"/>
      <c r="AF276" s="352"/>
      <c r="AG276" s="327"/>
      <c r="AH276" s="352"/>
      <c r="AI276" s="352"/>
      <c r="AJ276" s="327"/>
      <c r="AK276" s="352"/>
      <c r="AL276" s="352"/>
      <c r="AM276" s="327"/>
      <c r="AN276" s="352"/>
      <c r="AO276" s="352"/>
      <c r="AP276" s="327"/>
      <c r="AQ276" s="352"/>
      <c r="AR276" s="327"/>
      <c r="AU276" s="307"/>
      <c r="AX276" s="307"/>
      <c r="BA276" s="307"/>
      <c r="BC276" s="366"/>
      <c r="BD276" s="307"/>
      <c r="BG276" s="307"/>
    </row>
    <row r="277">
      <c r="C277" s="327"/>
      <c r="F277" s="327"/>
      <c r="I277" s="327"/>
      <c r="J277" s="352" t="s">
        <v>1200</v>
      </c>
      <c r="K277" s="352"/>
      <c r="L277" s="327"/>
      <c r="M277" s="352"/>
      <c r="N277" s="352"/>
      <c r="O277" s="327"/>
      <c r="P277" s="352"/>
      <c r="Q277" s="352"/>
      <c r="R277" s="327"/>
      <c r="S277" s="352"/>
      <c r="T277" s="352"/>
      <c r="U277" s="327"/>
      <c r="V277" s="352"/>
      <c r="W277" s="352"/>
      <c r="X277" s="327"/>
      <c r="Y277" s="352"/>
      <c r="Z277" s="352"/>
      <c r="AA277" s="327"/>
      <c r="AB277" s="352"/>
      <c r="AC277" s="352"/>
      <c r="AD277" s="327"/>
      <c r="AE277" s="352"/>
      <c r="AF277" s="352"/>
      <c r="AG277" s="327"/>
      <c r="AH277" s="352"/>
      <c r="AI277" s="352"/>
      <c r="AJ277" s="327"/>
      <c r="AK277" s="352"/>
      <c r="AL277" s="352"/>
      <c r="AM277" s="327"/>
      <c r="AN277" s="352"/>
      <c r="AO277" s="352"/>
      <c r="AP277" s="327"/>
      <c r="AQ277" s="352"/>
      <c r="AR277" s="327"/>
      <c r="AU277" s="307"/>
      <c r="AX277" s="307"/>
      <c r="BA277" s="307"/>
      <c r="BC277" s="366"/>
      <c r="BD277" s="307"/>
      <c r="BG277" s="307"/>
    </row>
    <row r="278">
      <c r="A278" s="323"/>
      <c r="B278" s="293"/>
      <c r="C278" s="327"/>
      <c r="D278" s="323"/>
      <c r="E278" s="293"/>
      <c r="F278" s="327"/>
      <c r="G278" s="323"/>
      <c r="H278" s="293"/>
      <c r="I278" s="327"/>
      <c r="J278" s="352" t="s">
        <v>7240</v>
      </c>
      <c r="K278" s="352"/>
      <c r="L278" s="327"/>
      <c r="M278" s="352"/>
      <c r="N278" s="352"/>
      <c r="O278" s="327"/>
      <c r="P278" s="352"/>
      <c r="Q278" s="352"/>
      <c r="R278" s="327"/>
      <c r="S278" s="352"/>
      <c r="T278" s="352"/>
      <c r="U278" s="327"/>
      <c r="V278" s="352"/>
      <c r="W278" s="352"/>
      <c r="X278" s="327"/>
      <c r="Y278" s="352"/>
      <c r="Z278" s="352"/>
      <c r="AA278" s="327"/>
      <c r="AB278" s="352"/>
      <c r="AC278" s="352"/>
      <c r="AD278" s="327"/>
      <c r="AE278" s="352"/>
      <c r="AF278" s="352"/>
      <c r="AG278" s="327"/>
      <c r="AH278" s="352"/>
      <c r="AI278" s="352"/>
      <c r="AJ278" s="327"/>
      <c r="AK278" s="352"/>
      <c r="AL278" s="352"/>
      <c r="AM278" s="327"/>
      <c r="AN278" s="352"/>
      <c r="AO278" s="352"/>
      <c r="AP278" s="327"/>
      <c r="AQ278" s="352"/>
      <c r="AR278" s="327"/>
      <c r="AU278" s="307"/>
      <c r="AX278" s="307"/>
      <c r="BA278" s="307"/>
      <c r="BC278" s="366"/>
      <c r="BD278" s="307"/>
      <c r="BG278" s="307"/>
    </row>
    <row r="279">
      <c r="A279" s="323"/>
      <c r="B279" s="293"/>
      <c r="C279" s="327"/>
      <c r="D279" s="323"/>
      <c r="E279" s="293"/>
      <c r="F279" s="327"/>
      <c r="G279" s="323"/>
      <c r="H279" s="293"/>
      <c r="I279" s="327"/>
      <c r="J279" s="352" t="s">
        <v>2621</v>
      </c>
      <c r="K279" s="352"/>
      <c r="L279" s="327"/>
      <c r="M279" s="352"/>
      <c r="N279" s="352"/>
      <c r="O279" s="327"/>
      <c r="P279" s="352"/>
      <c r="Q279" s="352"/>
      <c r="R279" s="327"/>
      <c r="S279" s="352"/>
      <c r="T279" s="352"/>
      <c r="U279" s="327"/>
      <c r="V279" s="352"/>
      <c r="W279" s="352"/>
      <c r="X279" s="327"/>
      <c r="Y279" s="352"/>
      <c r="Z279" s="352"/>
      <c r="AA279" s="327"/>
      <c r="AB279" s="352"/>
      <c r="AC279" s="352"/>
      <c r="AD279" s="327"/>
      <c r="AE279" s="352"/>
      <c r="AF279" s="352"/>
      <c r="AG279" s="327"/>
      <c r="AH279" s="352"/>
      <c r="AI279" s="352"/>
      <c r="AJ279" s="327"/>
      <c r="AK279" s="352"/>
      <c r="AL279" s="352"/>
      <c r="AM279" s="327"/>
      <c r="AN279" s="352"/>
      <c r="AO279" s="352"/>
      <c r="AP279" s="327"/>
      <c r="AQ279" s="352"/>
      <c r="AR279" s="327"/>
      <c r="AU279" s="307"/>
      <c r="AX279" s="307"/>
      <c r="BA279" s="307"/>
      <c r="BC279" s="366"/>
      <c r="BD279" s="307"/>
      <c r="BG279" s="307"/>
    </row>
    <row r="280">
      <c r="A280" s="323"/>
      <c r="B280" s="293"/>
      <c r="C280" s="327"/>
      <c r="D280" s="323"/>
      <c r="E280" s="293"/>
      <c r="F280" s="327"/>
      <c r="G280" s="323"/>
      <c r="H280" s="293"/>
      <c r="I280" s="327"/>
      <c r="J280" s="352" t="s">
        <v>7247</v>
      </c>
      <c r="K280" s="352"/>
      <c r="L280" s="327"/>
      <c r="M280" s="352"/>
      <c r="N280" s="352"/>
      <c r="O280" s="327"/>
      <c r="P280" s="352"/>
      <c r="Q280" s="352"/>
      <c r="R280" s="327"/>
      <c r="S280" s="352"/>
      <c r="T280" s="352"/>
      <c r="U280" s="327"/>
      <c r="V280" s="352"/>
      <c r="W280" s="352"/>
      <c r="X280" s="327"/>
      <c r="Y280" s="352"/>
      <c r="Z280" s="352"/>
      <c r="AA280" s="327"/>
      <c r="AB280" s="352"/>
      <c r="AC280" s="352"/>
      <c r="AD280" s="327"/>
      <c r="AE280" s="352"/>
      <c r="AF280" s="352"/>
      <c r="AG280" s="327"/>
      <c r="AH280" s="352"/>
      <c r="AI280" s="352"/>
      <c r="AJ280" s="327"/>
      <c r="AK280" s="352"/>
      <c r="AL280" s="352"/>
      <c r="AM280" s="327"/>
      <c r="AN280" s="352"/>
      <c r="AO280" s="352"/>
      <c r="AP280" s="327"/>
      <c r="AQ280" s="352"/>
      <c r="AR280" s="327"/>
      <c r="AU280" s="307"/>
      <c r="AX280" s="307"/>
      <c r="BA280" s="307"/>
      <c r="BC280" s="366"/>
      <c r="BD280" s="307"/>
      <c r="BG280" s="307"/>
    </row>
    <row r="281">
      <c r="C281" s="327"/>
      <c r="F281" s="327"/>
      <c r="I281" s="327"/>
      <c r="J281" s="352" t="s">
        <v>7251</v>
      </c>
      <c r="K281" s="352"/>
      <c r="L281" s="327"/>
      <c r="M281" s="352"/>
      <c r="N281" s="352"/>
      <c r="O281" s="327"/>
      <c r="P281" s="352"/>
      <c r="Q281" s="352"/>
      <c r="R281" s="327"/>
      <c r="S281" s="352"/>
      <c r="T281" s="352"/>
      <c r="U281" s="327"/>
      <c r="V281" s="352"/>
      <c r="W281" s="352"/>
      <c r="X281" s="327"/>
      <c r="Y281" s="352"/>
      <c r="Z281" s="352"/>
      <c r="AA281" s="327"/>
      <c r="AB281" s="352"/>
      <c r="AC281" s="352"/>
      <c r="AD281" s="327"/>
      <c r="AE281" s="352"/>
      <c r="AF281" s="352"/>
      <c r="AG281" s="327"/>
      <c r="AH281" s="352"/>
      <c r="AI281" s="352"/>
      <c r="AJ281" s="327"/>
      <c r="AK281" s="352"/>
      <c r="AL281" s="352"/>
      <c r="AM281" s="327"/>
      <c r="AN281" s="352"/>
      <c r="AO281" s="352"/>
      <c r="AP281" s="327"/>
      <c r="AQ281" s="352"/>
      <c r="AR281" s="327"/>
      <c r="AU281" s="307"/>
      <c r="AX281" s="307"/>
      <c r="BA281" s="307"/>
      <c r="BC281" s="366"/>
      <c r="BD281" s="307"/>
      <c r="BG281" s="307"/>
    </row>
    <row r="282">
      <c r="A282" s="323"/>
      <c r="B282" s="293"/>
      <c r="C282" s="327"/>
      <c r="D282" s="323"/>
      <c r="E282" s="293"/>
      <c r="F282" s="327"/>
      <c r="G282" s="323"/>
      <c r="H282" s="293"/>
      <c r="I282" s="327"/>
      <c r="J282" s="352" t="s">
        <v>2156</v>
      </c>
      <c r="K282" s="352"/>
      <c r="L282" s="327"/>
      <c r="M282" s="352"/>
      <c r="N282" s="352"/>
      <c r="O282" s="327"/>
      <c r="P282" s="352"/>
      <c r="Q282" s="352"/>
      <c r="R282" s="327"/>
      <c r="S282" s="352"/>
      <c r="T282" s="352"/>
      <c r="U282" s="327"/>
      <c r="V282" s="352"/>
      <c r="W282" s="352"/>
      <c r="X282" s="327"/>
      <c r="Y282" s="352"/>
      <c r="Z282" s="352"/>
      <c r="AA282" s="327"/>
      <c r="AB282" s="352"/>
      <c r="AC282" s="352"/>
      <c r="AD282" s="327"/>
      <c r="AE282" s="352"/>
      <c r="AF282" s="352"/>
      <c r="AG282" s="327"/>
      <c r="AH282" s="352"/>
      <c r="AI282" s="352"/>
      <c r="AJ282" s="327"/>
      <c r="AK282" s="352"/>
      <c r="AL282" s="352"/>
      <c r="AM282" s="327"/>
      <c r="AN282" s="352"/>
      <c r="AO282" s="352"/>
      <c r="AP282" s="327"/>
      <c r="AQ282" s="352"/>
      <c r="AR282" s="327"/>
      <c r="AU282" s="307"/>
      <c r="AX282" s="307"/>
      <c r="BA282" s="307"/>
      <c r="BC282" s="366"/>
      <c r="BD282" s="307"/>
      <c r="BG282" s="307"/>
    </row>
    <row r="283">
      <c r="A283" s="323"/>
      <c r="B283" s="293"/>
      <c r="C283" s="327"/>
      <c r="D283" s="323"/>
      <c r="E283" s="293"/>
      <c r="F283" s="327"/>
      <c r="G283" s="323"/>
      <c r="H283" s="293"/>
      <c r="I283" s="327"/>
      <c r="J283" s="352" t="s">
        <v>1683</v>
      </c>
      <c r="K283" s="352"/>
      <c r="L283" s="327"/>
      <c r="M283" s="352"/>
      <c r="N283" s="352"/>
      <c r="O283" s="327"/>
      <c r="P283" s="352"/>
      <c r="Q283" s="352"/>
      <c r="R283" s="327"/>
      <c r="S283" s="352"/>
      <c r="T283" s="352"/>
      <c r="U283" s="327"/>
      <c r="V283" s="352"/>
      <c r="W283" s="352"/>
      <c r="X283" s="327"/>
      <c r="Y283" s="352"/>
      <c r="Z283" s="352"/>
      <c r="AA283" s="327"/>
      <c r="AB283" s="352"/>
      <c r="AC283" s="352"/>
      <c r="AD283" s="327"/>
      <c r="AE283" s="352"/>
      <c r="AF283" s="352"/>
      <c r="AG283" s="327"/>
      <c r="AH283" s="352"/>
      <c r="AI283" s="352"/>
      <c r="AJ283" s="327"/>
      <c r="AK283" s="352"/>
      <c r="AL283" s="352"/>
      <c r="AM283" s="327"/>
      <c r="AN283" s="352"/>
      <c r="AO283" s="352"/>
      <c r="AP283" s="327"/>
      <c r="AQ283" s="352"/>
      <c r="AR283" s="327"/>
      <c r="AU283" s="307"/>
      <c r="AX283" s="307"/>
      <c r="BA283" s="307"/>
      <c r="BC283" s="366"/>
      <c r="BD283" s="307"/>
      <c r="BG283" s="307"/>
    </row>
    <row r="284">
      <c r="A284" s="323"/>
      <c r="B284" s="293"/>
      <c r="C284" s="327"/>
      <c r="D284" s="323"/>
      <c r="E284" s="293"/>
      <c r="F284" s="327"/>
      <c r="G284" s="323"/>
      <c r="H284" s="293"/>
      <c r="I284" s="327"/>
      <c r="J284" s="352" t="s">
        <v>7257</v>
      </c>
      <c r="K284" s="352"/>
      <c r="L284" s="327"/>
      <c r="M284" s="352"/>
      <c r="N284" s="352"/>
      <c r="O284" s="327"/>
      <c r="P284" s="352"/>
      <c r="Q284" s="352"/>
      <c r="R284" s="327"/>
      <c r="S284" s="352"/>
      <c r="T284" s="352"/>
      <c r="U284" s="327"/>
      <c r="V284" s="352"/>
      <c r="W284" s="352"/>
      <c r="X284" s="327"/>
      <c r="Y284" s="352"/>
      <c r="Z284" s="352"/>
      <c r="AA284" s="327"/>
      <c r="AB284" s="352"/>
      <c r="AC284" s="352"/>
      <c r="AD284" s="327"/>
      <c r="AE284" s="352"/>
      <c r="AF284" s="352"/>
      <c r="AG284" s="327"/>
      <c r="AH284" s="352"/>
      <c r="AI284" s="352"/>
      <c r="AJ284" s="327"/>
      <c r="AK284" s="352"/>
      <c r="AL284" s="352"/>
      <c r="AM284" s="327"/>
      <c r="AN284" s="352"/>
      <c r="AO284" s="352"/>
      <c r="AP284" s="327"/>
      <c r="AQ284" s="352"/>
      <c r="AR284" s="327"/>
      <c r="AU284" s="307"/>
      <c r="AX284" s="307"/>
      <c r="BA284" s="307"/>
      <c r="BC284" s="366"/>
      <c r="BD284" s="307"/>
      <c r="BG284" s="307"/>
    </row>
    <row r="285">
      <c r="A285" s="323"/>
      <c r="B285" s="293"/>
      <c r="C285" s="327"/>
      <c r="D285" s="323"/>
      <c r="E285" s="293"/>
      <c r="F285" s="327"/>
      <c r="G285" s="323"/>
      <c r="H285" s="293"/>
      <c r="I285" s="327"/>
      <c r="J285" s="352" t="s">
        <v>7259</v>
      </c>
      <c r="K285" s="352"/>
      <c r="L285" s="327"/>
      <c r="M285" s="352"/>
      <c r="N285" s="352"/>
      <c r="O285" s="327"/>
      <c r="P285" s="352"/>
      <c r="Q285" s="352"/>
      <c r="R285" s="327"/>
      <c r="S285" s="352"/>
      <c r="T285" s="352"/>
      <c r="U285" s="327"/>
      <c r="V285" s="352"/>
      <c r="W285" s="352"/>
      <c r="X285" s="327"/>
      <c r="Y285" s="352"/>
      <c r="Z285" s="352"/>
      <c r="AA285" s="327"/>
      <c r="AB285" s="352"/>
      <c r="AC285" s="352"/>
      <c r="AD285" s="327"/>
      <c r="AE285" s="352"/>
      <c r="AF285" s="352"/>
      <c r="AG285" s="327"/>
      <c r="AH285" s="352"/>
      <c r="AI285" s="352"/>
      <c r="AJ285" s="327"/>
      <c r="AK285" s="352"/>
      <c r="AL285" s="352"/>
      <c r="AM285" s="327"/>
      <c r="AN285" s="352"/>
      <c r="AO285" s="352"/>
      <c r="AP285" s="327"/>
      <c r="AQ285" s="352"/>
      <c r="AR285" s="327"/>
      <c r="AU285" s="307"/>
      <c r="AX285" s="307"/>
      <c r="BA285" s="307"/>
      <c r="BC285" s="366"/>
      <c r="BD285" s="307"/>
      <c r="BG285" s="307"/>
    </row>
    <row r="286">
      <c r="A286" s="323"/>
      <c r="B286" s="293"/>
      <c r="C286" s="327"/>
      <c r="D286" s="323"/>
      <c r="E286" s="293"/>
      <c r="F286" s="327"/>
      <c r="G286" s="323"/>
      <c r="H286" s="293"/>
      <c r="I286" s="327"/>
      <c r="J286" s="352" t="s">
        <v>7263</v>
      </c>
      <c r="K286" s="352"/>
      <c r="L286" s="327"/>
      <c r="M286" s="352"/>
      <c r="N286" s="352"/>
      <c r="O286" s="327"/>
      <c r="P286" s="352"/>
      <c r="Q286" s="352"/>
      <c r="R286" s="327"/>
      <c r="S286" s="352"/>
      <c r="T286" s="352"/>
      <c r="U286" s="327"/>
      <c r="V286" s="352"/>
      <c r="W286" s="352"/>
      <c r="X286" s="327"/>
      <c r="Y286" s="352"/>
      <c r="Z286" s="352"/>
      <c r="AA286" s="327"/>
      <c r="AB286" s="352"/>
      <c r="AC286" s="352"/>
      <c r="AD286" s="327"/>
      <c r="AE286" s="352"/>
      <c r="AF286" s="352"/>
      <c r="AG286" s="327"/>
      <c r="AH286" s="352"/>
      <c r="AI286" s="352"/>
      <c r="AJ286" s="327"/>
      <c r="AK286" s="352"/>
      <c r="AL286" s="352"/>
      <c r="AM286" s="327"/>
      <c r="AN286" s="352"/>
      <c r="AO286" s="352"/>
      <c r="AP286" s="327"/>
      <c r="AQ286" s="352"/>
      <c r="AR286" s="327"/>
      <c r="AU286" s="307"/>
      <c r="AX286" s="307"/>
      <c r="BA286" s="307"/>
      <c r="BC286" s="366"/>
      <c r="BD286" s="307"/>
      <c r="BG286" s="307"/>
    </row>
    <row r="287">
      <c r="A287" s="323"/>
      <c r="B287" s="293"/>
      <c r="C287" s="327"/>
      <c r="D287" s="323"/>
      <c r="E287" s="293"/>
      <c r="F287" s="327"/>
      <c r="G287" s="323"/>
      <c r="H287" s="293"/>
      <c r="I287" s="327"/>
      <c r="J287" s="352" t="s">
        <v>7265</v>
      </c>
      <c r="K287" s="352"/>
      <c r="L287" s="327"/>
      <c r="M287" s="352"/>
      <c r="N287" s="352"/>
      <c r="O287" s="327"/>
      <c r="P287" s="352"/>
      <c r="Q287" s="352"/>
      <c r="R287" s="327"/>
      <c r="S287" s="352"/>
      <c r="T287" s="352"/>
      <c r="U287" s="327"/>
      <c r="V287" s="352"/>
      <c r="W287" s="352"/>
      <c r="X287" s="327"/>
      <c r="Y287" s="352"/>
      <c r="Z287" s="352"/>
      <c r="AA287" s="327"/>
      <c r="AB287" s="352"/>
      <c r="AC287" s="352"/>
      <c r="AD287" s="327"/>
      <c r="AE287" s="352"/>
      <c r="AF287" s="352"/>
      <c r="AG287" s="327"/>
      <c r="AH287" s="352"/>
      <c r="AI287" s="352"/>
      <c r="AJ287" s="327"/>
      <c r="AK287" s="352"/>
      <c r="AL287" s="352"/>
      <c r="AM287" s="327"/>
      <c r="AN287" s="352"/>
      <c r="AO287" s="352"/>
      <c r="AP287" s="327"/>
      <c r="AQ287" s="352"/>
      <c r="AR287" s="327"/>
      <c r="AU287" s="307"/>
      <c r="AX287" s="307"/>
      <c r="BA287" s="307"/>
      <c r="BC287" s="366"/>
      <c r="BD287" s="307"/>
      <c r="BG287" s="307"/>
    </row>
    <row r="288">
      <c r="A288" s="323"/>
      <c r="B288" s="293"/>
      <c r="C288" s="327"/>
      <c r="D288" s="323"/>
      <c r="E288" s="293"/>
      <c r="F288" s="327"/>
      <c r="G288" s="323"/>
      <c r="H288" s="293"/>
      <c r="I288" s="327"/>
      <c r="J288" s="352" t="s">
        <v>7267</v>
      </c>
      <c r="K288" s="352"/>
      <c r="L288" s="327"/>
      <c r="M288" s="352"/>
      <c r="N288" s="352"/>
      <c r="O288" s="327"/>
      <c r="P288" s="352"/>
      <c r="Q288" s="352"/>
      <c r="R288" s="327"/>
      <c r="S288" s="352"/>
      <c r="T288" s="352"/>
      <c r="U288" s="327"/>
      <c r="V288" s="352"/>
      <c r="W288" s="352"/>
      <c r="X288" s="327"/>
      <c r="Y288" s="352"/>
      <c r="Z288" s="352"/>
      <c r="AA288" s="327"/>
      <c r="AB288" s="352"/>
      <c r="AC288" s="352"/>
      <c r="AD288" s="327"/>
      <c r="AE288" s="352"/>
      <c r="AF288" s="352"/>
      <c r="AG288" s="327"/>
      <c r="AH288" s="352"/>
      <c r="AI288" s="352"/>
      <c r="AJ288" s="327"/>
      <c r="AK288" s="352"/>
      <c r="AL288" s="352"/>
      <c r="AM288" s="327"/>
      <c r="AN288" s="352"/>
      <c r="AO288" s="352"/>
      <c r="AP288" s="327"/>
      <c r="AQ288" s="352"/>
      <c r="AR288" s="327"/>
      <c r="AU288" s="307"/>
      <c r="AX288" s="307"/>
      <c r="BA288" s="307"/>
      <c r="BC288" s="366"/>
      <c r="BD288" s="307"/>
      <c r="BG288" s="307"/>
    </row>
    <row r="289">
      <c r="A289" s="323"/>
      <c r="B289" s="293"/>
      <c r="C289" s="327"/>
      <c r="D289" s="323"/>
      <c r="E289" s="293"/>
      <c r="F289" s="327"/>
      <c r="G289" s="323"/>
      <c r="H289" s="293"/>
      <c r="I289" s="327"/>
      <c r="J289" s="352" t="s">
        <v>7269</v>
      </c>
      <c r="K289" s="352"/>
      <c r="L289" s="327"/>
      <c r="M289" s="352"/>
      <c r="N289" s="352"/>
      <c r="O289" s="327"/>
      <c r="P289" s="352"/>
      <c r="Q289" s="352"/>
      <c r="R289" s="327"/>
      <c r="S289" s="352"/>
      <c r="T289" s="352"/>
      <c r="U289" s="327"/>
      <c r="V289" s="352"/>
      <c r="W289" s="352"/>
      <c r="X289" s="327"/>
      <c r="Y289" s="352"/>
      <c r="Z289" s="352"/>
      <c r="AA289" s="327"/>
      <c r="AB289" s="352"/>
      <c r="AC289" s="352"/>
      <c r="AD289" s="327"/>
      <c r="AE289" s="352"/>
      <c r="AF289" s="352"/>
      <c r="AG289" s="327"/>
      <c r="AH289" s="352"/>
      <c r="AI289" s="352"/>
      <c r="AJ289" s="327"/>
      <c r="AK289" s="352"/>
      <c r="AL289" s="352"/>
      <c r="AM289" s="327"/>
      <c r="AN289" s="352"/>
      <c r="AO289" s="352"/>
      <c r="AP289" s="327"/>
      <c r="AQ289" s="352"/>
      <c r="AR289" s="327"/>
      <c r="AU289" s="307"/>
      <c r="AX289" s="307"/>
      <c r="BA289" s="307"/>
      <c r="BC289" s="366"/>
      <c r="BD289" s="307"/>
      <c r="BG289" s="307"/>
    </row>
    <row r="290">
      <c r="A290" s="323"/>
      <c r="B290" s="293"/>
      <c r="C290" s="327"/>
      <c r="D290" s="323"/>
      <c r="E290" s="293"/>
      <c r="F290" s="327"/>
      <c r="G290" s="323"/>
      <c r="H290" s="293"/>
      <c r="I290" s="327"/>
      <c r="J290" s="352" t="s">
        <v>7271</v>
      </c>
      <c r="K290" s="352"/>
      <c r="L290" s="327"/>
      <c r="M290" s="352"/>
      <c r="N290" s="352"/>
      <c r="O290" s="327"/>
      <c r="P290" s="352"/>
      <c r="Q290" s="352"/>
      <c r="R290" s="327"/>
      <c r="S290" s="352"/>
      <c r="T290" s="352"/>
      <c r="U290" s="327"/>
      <c r="V290" s="352"/>
      <c r="W290" s="352"/>
      <c r="X290" s="327"/>
      <c r="Y290" s="352"/>
      <c r="Z290" s="352"/>
      <c r="AA290" s="327"/>
      <c r="AB290" s="352"/>
      <c r="AC290" s="352"/>
      <c r="AD290" s="327"/>
      <c r="AE290" s="352"/>
      <c r="AF290" s="352"/>
      <c r="AG290" s="327"/>
      <c r="AH290" s="352"/>
      <c r="AI290" s="352"/>
      <c r="AJ290" s="327"/>
      <c r="AK290" s="352"/>
      <c r="AL290" s="352"/>
      <c r="AM290" s="327"/>
      <c r="AN290" s="352"/>
      <c r="AO290" s="352"/>
      <c r="AP290" s="327"/>
      <c r="AQ290" s="352"/>
      <c r="AR290" s="327"/>
      <c r="AU290" s="307"/>
      <c r="AX290" s="307"/>
      <c r="BA290" s="307"/>
      <c r="BC290" s="366"/>
      <c r="BD290" s="307"/>
      <c r="BG290" s="307"/>
    </row>
    <row r="291">
      <c r="A291" s="323"/>
      <c r="B291" s="293"/>
      <c r="C291" s="327"/>
      <c r="D291" s="323"/>
      <c r="E291" s="293"/>
      <c r="F291" s="327"/>
      <c r="G291" s="323"/>
      <c r="H291" s="293"/>
      <c r="I291" s="327"/>
      <c r="J291" s="352" t="s">
        <v>7273</v>
      </c>
      <c r="K291" s="352"/>
      <c r="L291" s="327"/>
      <c r="M291" s="352"/>
      <c r="N291" s="352"/>
      <c r="O291" s="327"/>
      <c r="P291" s="352"/>
      <c r="Q291" s="352"/>
      <c r="R291" s="327"/>
      <c r="S291" s="352"/>
      <c r="T291" s="352"/>
      <c r="U291" s="327"/>
      <c r="V291" s="352"/>
      <c r="W291" s="352"/>
      <c r="X291" s="327"/>
      <c r="Y291" s="352"/>
      <c r="Z291" s="352"/>
      <c r="AA291" s="327"/>
      <c r="AB291" s="352"/>
      <c r="AC291" s="352"/>
      <c r="AD291" s="327"/>
      <c r="AE291" s="352"/>
      <c r="AF291" s="352"/>
      <c r="AG291" s="327"/>
      <c r="AH291" s="352"/>
      <c r="AI291" s="352"/>
      <c r="AJ291" s="327"/>
      <c r="AK291" s="352"/>
      <c r="AL291" s="352"/>
      <c r="AM291" s="327"/>
      <c r="AN291" s="352"/>
      <c r="AO291" s="352"/>
      <c r="AP291" s="327"/>
      <c r="AQ291" s="352"/>
      <c r="AR291" s="327"/>
      <c r="AU291" s="307"/>
      <c r="AX291" s="307"/>
      <c r="BA291" s="307"/>
      <c r="BC291" s="366"/>
      <c r="BD291" s="307"/>
      <c r="BG291" s="307"/>
    </row>
    <row r="292">
      <c r="A292" s="323"/>
      <c r="B292" s="293"/>
      <c r="C292" s="327"/>
      <c r="D292" s="323"/>
      <c r="E292" s="293"/>
      <c r="F292" s="327"/>
      <c r="G292" s="323"/>
      <c r="H292" s="293"/>
      <c r="I292" s="327"/>
      <c r="J292" s="352" t="s">
        <v>7275</v>
      </c>
      <c r="K292" s="352"/>
      <c r="L292" s="327"/>
      <c r="M292" s="352"/>
      <c r="N292" s="352"/>
      <c r="O292" s="327"/>
      <c r="P292" s="352"/>
      <c r="Q292" s="352"/>
      <c r="R292" s="327"/>
      <c r="S292" s="352"/>
      <c r="T292" s="352"/>
      <c r="U292" s="327"/>
      <c r="V292" s="352"/>
      <c r="W292" s="352"/>
      <c r="X292" s="327"/>
      <c r="Y292" s="352"/>
      <c r="Z292" s="352"/>
      <c r="AA292" s="327"/>
      <c r="AB292" s="352"/>
      <c r="AC292" s="352"/>
      <c r="AD292" s="327"/>
      <c r="AE292" s="352"/>
      <c r="AF292" s="352"/>
      <c r="AG292" s="327"/>
      <c r="AH292" s="352"/>
      <c r="AI292" s="352"/>
      <c r="AJ292" s="327"/>
      <c r="AK292" s="352"/>
      <c r="AL292" s="352"/>
      <c r="AM292" s="327"/>
      <c r="AN292" s="352"/>
      <c r="AO292" s="352"/>
      <c r="AP292" s="327"/>
      <c r="AQ292" s="352"/>
      <c r="AR292" s="327"/>
      <c r="AU292" s="307"/>
      <c r="AX292" s="307"/>
      <c r="BA292" s="307"/>
      <c r="BC292" s="366"/>
      <c r="BD292" s="307"/>
      <c r="BG292" s="307"/>
    </row>
    <row r="293">
      <c r="A293" s="323"/>
      <c r="B293" s="293"/>
      <c r="C293" s="327"/>
      <c r="D293" s="323"/>
      <c r="E293" s="293"/>
      <c r="F293" s="327"/>
      <c r="G293" s="323"/>
      <c r="H293" s="293"/>
      <c r="I293" s="327"/>
      <c r="J293" s="352" t="s">
        <v>3377</v>
      </c>
      <c r="K293" s="352"/>
      <c r="L293" s="327"/>
      <c r="M293" s="352"/>
      <c r="N293" s="352"/>
      <c r="O293" s="327"/>
      <c r="P293" s="352"/>
      <c r="Q293" s="352"/>
      <c r="R293" s="327"/>
      <c r="S293" s="352"/>
      <c r="T293" s="352"/>
      <c r="U293" s="327"/>
      <c r="V293" s="352"/>
      <c r="W293" s="352"/>
      <c r="X293" s="327"/>
      <c r="Y293" s="352"/>
      <c r="Z293" s="352"/>
      <c r="AA293" s="327"/>
      <c r="AB293" s="352"/>
      <c r="AC293" s="352"/>
      <c r="AD293" s="327"/>
      <c r="AE293" s="352"/>
      <c r="AF293" s="352"/>
      <c r="AG293" s="327"/>
      <c r="AH293" s="352"/>
      <c r="AI293" s="352"/>
      <c r="AJ293" s="327"/>
      <c r="AK293" s="352"/>
      <c r="AL293" s="352"/>
      <c r="AM293" s="327"/>
      <c r="AN293" s="352"/>
      <c r="AO293" s="352"/>
      <c r="AP293" s="327"/>
      <c r="AQ293" s="352"/>
      <c r="AR293" s="327"/>
      <c r="AU293" s="307"/>
      <c r="AX293" s="307"/>
      <c r="BA293" s="307"/>
      <c r="BC293" s="366"/>
      <c r="BD293" s="307"/>
      <c r="BG293" s="307"/>
    </row>
    <row r="294">
      <c r="A294" s="323"/>
      <c r="B294" s="293"/>
      <c r="C294" s="327"/>
      <c r="D294" s="323"/>
      <c r="E294" s="293"/>
      <c r="F294" s="327"/>
      <c r="G294" s="323"/>
      <c r="H294" s="293"/>
      <c r="I294" s="327"/>
      <c r="J294" s="352" t="s">
        <v>1424</v>
      </c>
      <c r="K294" s="352"/>
      <c r="L294" s="327"/>
      <c r="M294" s="352"/>
      <c r="N294" s="352"/>
      <c r="O294" s="327"/>
      <c r="P294" s="352"/>
      <c r="Q294" s="352"/>
      <c r="R294" s="327"/>
      <c r="S294" s="352"/>
      <c r="T294" s="352"/>
      <c r="U294" s="327"/>
      <c r="V294" s="352"/>
      <c r="W294" s="352"/>
      <c r="X294" s="327"/>
      <c r="Y294" s="352"/>
      <c r="Z294" s="352"/>
      <c r="AA294" s="327"/>
      <c r="AB294" s="352"/>
      <c r="AC294" s="352"/>
      <c r="AD294" s="327"/>
      <c r="AE294" s="352"/>
      <c r="AF294" s="352"/>
      <c r="AG294" s="327"/>
      <c r="AH294" s="352"/>
      <c r="AI294" s="352"/>
      <c r="AJ294" s="327"/>
      <c r="AK294" s="352"/>
      <c r="AL294" s="352"/>
      <c r="AM294" s="327"/>
      <c r="AN294" s="352"/>
      <c r="AO294" s="352"/>
      <c r="AP294" s="327"/>
      <c r="AQ294" s="352"/>
      <c r="AR294" s="327"/>
      <c r="AU294" s="307"/>
      <c r="AX294" s="307"/>
      <c r="BA294" s="307"/>
      <c r="BC294" s="366"/>
      <c r="BD294" s="307"/>
      <c r="BG294" s="307"/>
    </row>
    <row r="295">
      <c r="A295" s="323"/>
      <c r="B295" s="293"/>
      <c r="C295" s="327"/>
      <c r="D295" s="323"/>
      <c r="E295" s="293"/>
      <c r="F295" s="327"/>
      <c r="G295" s="323"/>
      <c r="H295" s="293"/>
      <c r="I295" s="327"/>
      <c r="J295" s="352" t="s">
        <v>7278</v>
      </c>
      <c r="K295" s="352"/>
      <c r="L295" s="327"/>
      <c r="M295" s="352"/>
      <c r="N295" s="352"/>
      <c r="O295" s="327"/>
      <c r="P295" s="352"/>
      <c r="Q295" s="352"/>
      <c r="R295" s="327"/>
      <c r="S295" s="352"/>
      <c r="T295" s="352"/>
      <c r="U295" s="327"/>
      <c r="V295" s="352"/>
      <c r="W295" s="352"/>
      <c r="X295" s="327"/>
      <c r="Y295" s="352"/>
      <c r="Z295" s="352"/>
      <c r="AA295" s="327"/>
      <c r="AB295" s="352"/>
      <c r="AC295" s="352"/>
      <c r="AD295" s="327"/>
      <c r="AE295" s="352"/>
      <c r="AF295" s="352"/>
      <c r="AG295" s="327"/>
      <c r="AH295" s="352"/>
      <c r="AI295" s="352"/>
      <c r="AJ295" s="327"/>
      <c r="AK295" s="352"/>
      <c r="AL295" s="352"/>
      <c r="AM295" s="327"/>
      <c r="AN295" s="352"/>
      <c r="AO295" s="352"/>
      <c r="AP295" s="327"/>
      <c r="AQ295" s="352"/>
      <c r="AR295" s="327"/>
      <c r="AU295" s="307"/>
      <c r="AX295" s="307"/>
      <c r="BA295" s="307"/>
      <c r="BC295" s="366"/>
      <c r="BD295" s="307"/>
      <c r="BG295" s="307"/>
    </row>
    <row r="296">
      <c r="A296" s="323"/>
      <c r="B296" s="293"/>
      <c r="C296" s="327"/>
      <c r="D296" s="323"/>
      <c r="E296" s="293"/>
      <c r="F296" s="327"/>
      <c r="G296" s="323"/>
      <c r="H296" s="293"/>
      <c r="I296" s="327"/>
      <c r="J296" s="352" t="s">
        <v>7280</v>
      </c>
      <c r="K296" s="352"/>
      <c r="L296" s="327"/>
      <c r="M296" s="352"/>
      <c r="N296" s="352"/>
      <c r="O296" s="327"/>
      <c r="P296" s="352"/>
      <c r="Q296" s="352"/>
      <c r="R296" s="327"/>
      <c r="S296" s="352"/>
      <c r="T296" s="352"/>
      <c r="U296" s="327"/>
      <c r="V296" s="352"/>
      <c r="W296" s="352"/>
      <c r="X296" s="327"/>
      <c r="Y296" s="352"/>
      <c r="Z296" s="352"/>
      <c r="AA296" s="327"/>
      <c r="AB296" s="352"/>
      <c r="AC296" s="352"/>
      <c r="AD296" s="327"/>
      <c r="AE296" s="352"/>
      <c r="AF296" s="352"/>
      <c r="AG296" s="327"/>
      <c r="AH296" s="352"/>
      <c r="AI296" s="352"/>
      <c r="AJ296" s="327"/>
      <c r="AK296" s="352"/>
      <c r="AL296" s="352"/>
      <c r="AM296" s="327"/>
      <c r="AN296" s="352"/>
      <c r="AO296" s="352"/>
      <c r="AP296" s="327"/>
      <c r="AQ296" s="352"/>
      <c r="AR296" s="327"/>
      <c r="AU296" s="307"/>
      <c r="AX296" s="307"/>
      <c r="BA296" s="307"/>
      <c r="BC296" s="366"/>
      <c r="BD296" s="307"/>
      <c r="BG296" s="307"/>
    </row>
    <row r="297">
      <c r="C297" s="327"/>
      <c r="F297" s="327"/>
      <c r="I297" s="327"/>
      <c r="J297" s="352" t="s">
        <v>7282</v>
      </c>
      <c r="K297" s="352"/>
      <c r="L297" s="327"/>
      <c r="M297" s="352"/>
      <c r="N297" s="352"/>
      <c r="O297" s="327"/>
      <c r="P297" s="352"/>
      <c r="Q297" s="352"/>
      <c r="R297" s="327"/>
      <c r="S297" s="352"/>
      <c r="T297" s="352"/>
      <c r="U297" s="327"/>
      <c r="V297" s="352"/>
      <c r="W297" s="352"/>
      <c r="X297" s="327"/>
      <c r="Y297" s="352"/>
      <c r="Z297" s="352"/>
      <c r="AA297" s="327"/>
      <c r="AB297" s="352"/>
      <c r="AC297" s="352"/>
      <c r="AD297" s="327"/>
      <c r="AE297" s="352"/>
      <c r="AF297" s="352"/>
      <c r="AG297" s="327"/>
      <c r="AH297" s="352"/>
      <c r="AI297" s="352"/>
      <c r="AJ297" s="327"/>
      <c r="AK297" s="352"/>
      <c r="AL297" s="352"/>
      <c r="AM297" s="327"/>
      <c r="AN297" s="352"/>
      <c r="AO297" s="352"/>
      <c r="AP297" s="327"/>
      <c r="AQ297" s="352"/>
      <c r="AR297" s="327"/>
      <c r="AU297" s="307"/>
      <c r="AX297" s="307"/>
      <c r="BA297" s="307"/>
      <c r="BC297" s="366"/>
      <c r="BD297" s="307"/>
      <c r="BG297" s="307"/>
    </row>
    <row r="298">
      <c r="A298" s="323"/>
      <c r="B298" s="293"/>
      <c r="C298" s="327"/>
      <c r="D298" s="323"/>
      <c r="E298" s="293"/>
      <c r="F298" s="327"/>
      <c r="G298" s="323"/>
      <c r="H298" s="293"/>
      <c r="I298" s="327"/>
      <c r="J298" s="352" t="s">
        <v>4094</v>
      </c>
      <c r="K298" s="352"/>
      <c r="L298" s="327"/>
      <c r="M298" s="352"/>
      <c r="N298" s="352"/>
      <c r="O298" s="327"/>
      <c r="P298" s="352"/>
      <c r="Q298" s="352"/>
      <c r="R298" s="327"/>
      <c r="S298" s="352"/>
      <c r="T298" s="352"/>
      <c r="U298" s="327"/>
      <c r="V298" s="352"/>
      <c r="W298" s="352"/>
      <c r="X298" s="327"/>
      <c r="Y298" s="352"/>
      <c r="Z298" s="352"/>
      <c r="AA298" s="327"/>
      <c r="AB298" s="352"/>
      <c r="AC298" s="352"/>
      <c r="AD298" s="327"/>
      <c r="AE298" s="352"/>
      <c r="AF298" s="352"/>
      <c r="AG298" s="327"/>
      <c r="AH298" s="352"/>
      <c r="AI298" s="352"/>
      <c r="AJ298" s="327"/>
      <c r="AK298" s="352"/>
      <c r="AL298" s="352"/>
      <c r="AM298" s="327"/>
      <c r="AN298" s="352"/>
      <c r="AO298" s="352"/>
      <c r="AP298" s="327"/>
      <c r="AQ298" s="352"/>
      <c r="AR298" s="327"/>
      <c r="AU298" s="307"/>
      <c r="AX298" s="307"/>
      <c r="BA298" s="307"/>
      <c r="BC298" s="366"/>
      <c r="BD298" s="307"/>
      <c r="BG298" s="307"/>
    </row>
    <row r="299">
      <c r="A299" s="323"/>
      <c r="B299" s="293"/>
      <c r="C299" s="327"/>
      <c r="D299" s="323"/>
      <c r="E299" s="293"/>
      <c r="F299" s="327"/>
      <c r="G299" s="323"/>
      <c r="H299" s="293"/>
      <c r="I299" s="327"/>
      <c r="J299" s="352" t="s">
        <v>7285</v>
      </c>
      <c r="K299" s="352"/>
      <c r="L299" s="327"/>
      <c r="M299" s="352"/>
      <c r="N299" s="352"/>
      <c r="O299" s="327"/>
      <c r="P299" s="352"/>
      <c r="Q299" s="352"/>
      <c r="R299" s="327"/>
      <c r="S299" s="352"/>
      <c r="T299" s="352"/>
      <c r="U299" s="327"/>
      <c r="V299" s="352"/>
      <c r="W299" s="352"/>
      <c r="X299" s="327"/>
      <c r="Y299" s="352"/>
      <c r="Z299" s="352"/>
      <c r="AA299" s="327"/>
      <c r="AB299" s="352"/>
      <c r="AC299" s="352"/>
      <c r="AD299" s="327"/>
      <c r="AE299" s="352"/>
      <c r="AF299" s="352"/>
      <c r="AG299" s="327"/>
      <c r="AH299" s="352"/>
      <c r="AI299" s="352"/>
      <c r="AJ299" s="327"/>
      <c r="AK299" s="352"/>
      <c r="AL299" s="352"/>
      <c r="AM299" s="327"/>
      <c r="AN299" s="352"/>
      <c r="AO299" s="352"/>
      <c r="AP299" s="327"/>
      <c r="AQ299" s="352"/>
      <c r="AR299" s="327"/>
      <c r="AU299" s="307"/>
      <c r="AX299" s="307"/>
      <c r="BA299" s="307"/>
      <c r="BC299" s="366"/>
      <c r="BD299" s="307"/>
      <c r="BG299" s="307"/>
    </row>
    <row r="300">
      <c r="A300" s="323"/>
      <c r="B300" s="293"/>
      <c r="C300" s="327"/>
      <c r="D300" s="323"/>
      <c r="E300" s="293"/>
      <c r="F300" s="327"/>
      <c r="G300" s="323"/>
      <c r="H300" s="293"/>
      <c r="I300" s="327"/>
      <c r="J300" s="352" t="s">
        <v>7287</v>
      </c>
      <c r="K300" s="352"/>
      <c r="L300" s="327"/>
      <c r="M300" s="352"/>
      <c r="N300" s="352"/>
      <c r="O300" s="327"/>
      <c r="P300" s="352"/>
      <c r="Q300" s="352"/>
      <c r="R300" s="327"/>
      <c r="S300" s="352"/>
      <c r="T300" s="352"/>
      <c r="U300" s="327"/>
      <c r="V300" s="352"/>
      <c r="W300" s="352"/>
      <c r="X300" s="327"/>
      <c r="Y300" s="352"/>
      <c r="Z300" s="352"/>
      <c r="AA300" s="327"/>
      <c r="AB300" s="352"/>
      <c r="AC300" s="352"/>
      <c r="AD300" s="327"/>
      <c r="AE300" s="352"/>
      <c r="AF300" s="352"/>
      <c r="AG300" s="327"/>
      <c r="AH300" s="352"/>
      <c r="AI300" s="352"/>
      <c r="AJ300" s="327"/>
      <c r="AK300" s="352"/>
      <c r="AL300" s="352"/>
      <c r="AM300" s="327"/>
      <c r="AN300" s="352"/>
      <c r="AO300" s="352"/>
      <c r="AP300" s="327"/>
      <c r="AQ300" s="352"/>
      <c r="AR300" s="327"/>
      <c r="AU300" s="307"/>
      <c r="AX300" s="307"/>
      <c r="BA300" s="307"/>
      <c r="BC300" s="366"/>
      <c r="BD300" s="307"/>
      <c r="BG300" s="307"/>
    </row>
    <row r="301">
      <c r="A301" s="323"/>
      <c r="B301" s="293"/>
      <c r="C301" s="327"/>
      <c r="D301" s="323"/>
      <c r="E301" s="293"/>
      <c r="F301" s="327"/>
      <c r="G301" s="323"/>
      <c r="H301" s="293"/>
      <c r="I301" s="327"/>
      <c r="J301" s="352" t="s">
        <v>1588</v>
      </c>
      <c r="K301" s="352"/>
      <c r="L301" s="327"/>
      <c r="M301" s="352"/>
      <c r="N301" s="352"/>
      <c r="O301" s="327"/>
      <c r="P301" s="352"/>
      <c r="Q301" s="352"/>
      <c r="R301" s="327"/>
      <c r="S301" s="352"/>
      <c r="T301" s="352"/>
      <c r="U301" s="327"/>
      <c r="V301" s="352"/>
      <c r="W301" s="352"/>
      <c r="X301" s="327"/>
      <c r="Y301" s="352"/>
      <c r="Z301" s="352"/>
      <c r="AA301" s="327"/>
      <c r="AB301" s="352"/>
      <c r="AC301" s="352"/>
      <c r="AD301" s="327"/>
      <c r="AE301" s="352"/>
      <c r="AF301" s="352"/>
      <c r="AG301" s="327"/>
      <c r="AH301" s="352"/>
      <c r="AI301" s="352"/>
      <c r="AJ301" s="327"/>
      <c r="AK301" s="352"/>
      <c r="AL301" s="352"/>
      <c r="AM301" s="327"/>
      <c r="AN301" s="352"/>
      <c r="AO301" s="352"/>
      <c r="AP301" s="327"/>
      <c r="AQ301" s="352"/>
      <c r="AR301" s="327"/>
      <c r="AU301" s="307"/>
      <c r="AX301" s="307"/>
      <c r="BA301" s="307"/>
      <c r="BC301" s="366"/>
      <c r="BD301" s="307"/>
      <c r="BG301" s="307"/>
    </row>
    <row r="302">
      <c r="A302" s="323"/>
      <c r="B302" s="293"/>
      <c r="C302" s="327"/>
      <c r="D302" s="323"/>
      <c r="E302" s="293"/>
      <c r="F302" s="327"/>
      <c r="G302" s="323"/>
      <c r="H302" s="293"/>
      <c r="I302" s="327"/>
      <c r="J302" s="352" t="s">
        <v>3822</v>
      </c>
      <c r="K302" s="352"/>
      <c r="L302" s="327"/>
      <c r="M302" s="352"/>
      <c r="N302" s="352"/>
      <c r="O302" s="327"/>
      <c r="P302" s="352"/>
      <c r="Q302" s="352"/>
      <c r="R302" s="327"/>
      <c r="S302" s="352"/>
      <c r="T302" s="352"/>
      <c r="U302" s="327"/>
      <c r="V302" s="352"/>
      <c r="W302" s="352"/>
      <c r="X302" s="327"/>
      <c r="Y302" s="352"/>
      <c r="Z302" s="352"/>
      <c r="AA302" s="327"/>
      <c r="AB302" s="352"/>
      <c r="AC302" s="352"/>
      <c r="AD302" s="327"/>
      <c r="AE302" s="352"/>
      <c r="AF302" s="352"/>
      <c r="AG302" s="327"/>
      <c r="AH302" s="352"/>
      <c r="AI302" s="352"/>
      <c r="AJ302" s="327"/>
      <c r="AK302" s="352"/>
      <c r="AL302" s="352"/>
      <c r="AM302" s="327"/>
      <c r="AN302" s="352"/>
      <c r="AO302" s="352"/>
      <c r="AP302" s="327"/>
      <c r="AQ302" s="352"/>
      <c r="AR302" s="327"/>
      <c r="AU302" s="307"/>
      <c r="AX302" s="307"/>
      <c r="BA302" s="307"/>
      <c r="BC302" s="366"/>
      <c r="BD302" s="307"/>
      <c r="BG302" s="307"/>
    </row>
    <row r="303">
      <c r="A303" s="323"/>
      <c r="B303" s="293"/>
      <c r="C303" s="327"/>
      <c r="D303" s="323"/>
      <c r="E303" s="293"/>
      <c r="F303" s="327"/>
      <c r="G303" s="323"/>
      <c r="H303" s="293"/>
      <c r="I303" s="327"/>
      <c r="J303" s="352" t="s">
        <v>3766</v>
      </c>
      <c r="K303" s="352"/>
      <c r="L303" s="327"/>
      <c r="M303" s="352"/>
      <c r="N303" s="352"/>
      <c r="O303" s="327"/>
      <c r="P303" s="352"/>
      <c r="Q303" s="352"/>
      <c r="R303" s="327"/>
      <c r="S303" s="352"/>
      <c r="T303" s="352"/>
      <c r="U303" s="327"/>
      <c r="V303" s="352"/>
      <c r="W303" s="352"/>
      <c r="X303" s="327"/>
      <c r="Y303" s="352"/>
      <c r="Z303" s="352"/>
      <c r="AA303" s="327"/>
      <c r="AB303" s="352"/>
      <c r="AC303" s="352"/>
      <c r="AD303" s="327"/>
      <c r="AE303" s="352"/>
      <c r="AF303" s="352"/>
      <c r="AG303" s="327"/>
      <c r="AH303" s="352"/>
      <c r="AI303" s="352"/>
      <c r="AJ303" s="327"/>
      <c r="AK303" s="352"/>
      <c r="AL303" s="352"/>
      <c r="AM303" s="327"/>
      <c r="AN303" s="352"/>
      <c r="AO303" s="352"/>
      <c r="AP303" s="327"/>
      <c r="AQ303" s="352"/>
      <c r="AR303" s="327"/>
      <c r="AU303" s="307"/>
      <c r="AX303" s="307"/>
      <c r="BA303" s="307"/>
      <c r="BC303" s="366"/>
      <c r="BD303" s="307"/>
      <c r="BG303" s="307"/>
    </row>
    <row r="304">
      <c r="A304" s="323"/>
      <c r="B304" s="293"/>
      <c r="C304" s="327"/>
      <c r="D304" s="323"/>
      <c r="E304" s="293"/>
      <c r="F304" s="327"/>
      <c r="G304" s="323"/>
      <c r="H304" s="293"/>
      <c r="I304" s="327"/>
      <c r="J304" s="352" t="s">
        <v>7290</v>
      </c>
      <c r="K304" s="352"/>
      <c r="L304" s="327"/>
      <c r="M304" s="352"/>
      <c r="N304" s="352"/>
      <c r="O304" s="327"/>
      <c r="P304" s="352"/>
      <c r="Q304" s="352"/>
      <c r="R304" s="327"/>
      <c r="S304" s="352"/>
      <c r="T304" s="352"/>
      <c r="U304" s="327"/>
      <c r="V304" s="352"/>
      <c r="W304" s="352"/>
      <c r="X304" s="327"/>
      <c r="Y304" s="352"/>
      <c r="Z304" s="352"/>
      <c r="AA304" s="327"/>
      <c r="AB304" s="352"/>
      <c r="AC304" s="352"/>
      <c r="AD304" s="327"/>
      <c r="AE304" s="352"/>
      <c r="AF304" s="352"/>
      <c r="AG304" s="327"/>
      <c r="AH304" s="352"/>
      <c r="AI304" s="352"/>
      <c r="AJ304" s="327"/>
      <c r="AK304" s="352"/>
      <c r="AL304" s="352"/>
      <c r="AM304" s="327"/>
      <c r="AN304" s="352"/>
      <c r="AO304" s="352"/>
      <c r="AP304" s="327"/>
      <c r="AQ304" s="352"/>
      <c r="AR304" s="327"/>
      <c r="AU304" s="307"/>
      <c r="AX304" s="307"/>
      <c r="BA304" s="307"/>
      <c r="BC304" s="366"/>
      <c r="BD304" s="307"/>
      <c r="BG304" s="307"/>
    </row>
    <row r="305">
      <c r="A305" s="323"/>
      <c r="B305" s="293"/>
      <c r="C305" s="327"/>
      <c r="D305" s="323"/>
      <c r="E305" s="293"/>
      <c r="F305" s="327"/>
      <c r="G305" s="323"/>
      <c r="H305" s="293"/>
      <c r="I305" s="327"/>
      <c r="J305" s="352" t="s">
        <v>7292</v>
      </c>
      <c r="K305" s="352"/>
      <c r="L305" s="327"/>
      <c r="M305" s="352"/>
      <c r="N305" s="352"/>
      <c r="O305" s="327"/>
      <c r="P305" s="352"/>
      <c r="Q305" s="352"/>
      <c r="R305" s="327"/>
      <c r="S305" s="352"/>
      <c r="T305" s="352"/>
      <c r="U305" s="327"/>
      <c r="V305" s="352"/>
      <c r="W305" s="352"/>
      <c r="X305" s="327"/>
      <c r="Y305" s="352"/>
      <c r="Z305" s="352"/>
      <c r="AA305" s="327"/>
      <c r="AB305" s="352"/>
      <c r="AC305" s="352"/>
      <c r="AD305" s="327"/>
      <c r="AE305" s="352"/>
      <c r="AF305" s="352"/>
      <c r="AG305" s="327"/>
      <c r="AH305" s="352"/>
      <c r="AI305" s="352"/>
      <c r="AJ305" s="327"/>
      <c r="AK305" s="352"/>
      <c r="AL305" s="352"/>
      <c r="AM305" s="327"/>
      <c r="AN305" s="352"/>
      <c r="AO305" s="352"/>
      <c r="AP305" s="327"/>
      <c r="AQ305" s="352"/>
      <c r="AR305" s="327"/>
      <c r="AU305" s="307"/>
      <c r="AX305" s="307"/>
      <c r="BA305" s="307"/>
      <c r="BC305" s="366"/>
      <c r="BD305" s="307"/>
      <c r="BG305" s="307"/>
    </row>
    <row r="306">
      <c r="A306" s="323"/>
      <c r="B306" s="293"/>
      <c r="C306" s="327"/>
      <c r="D306" s="323"/>
      <c r="E306" s="293"/>
      <c r="F306" s="327"/>
      <c r="G306" s="323"/>
      <c r="H306" s="293"/>
      <c r="I306" s="327"/>
      <c r="J306" s="352" t="s">
        <v>7294</v>
      </c>
      <c r="K306" s="352"/>
      <c r="L306" s="327"/>
      <c r="M306" s="352"/>
      <c r="N306" s="352"/>
      <c r="O306" s="327"/>
      <c r="P306" s="352"/>
      <c r="Q306" s="352"/>
      <c r="R306" s="327"/>
      <c r="S306" s="352"/>
      <c r="T306" s="352"/>
      <c r="U306" s="327"/>
      <c r="V306" s="352"/>
      <c r="W306" s="352"/>
      <c r="X306" s="327"/>
      <c r="Y306" s="352"/>
      <c r="Z306" s="352"/>
      <c r="AA306" s="327"/>
      <c r="AB306" s="352"/>
      <c r="AC306" s="352"/>
      <c r="AD306" s="327"/>
      <c r="AE306" s="352"/>
      <c r="AF306" s="352"/>
      <c r="AG306" s="327"/>
      <c r="AH306" s="352"/>
      <c r="AI306" s="352"/>
      <c r="AJ306" s="327"/>
      <c r="AK306" s="352"/>
      <c r="AL306" s="352"/>
      <c r="AM306" s="327"/>
      <c r="AN306" s="352"/>
      <c r="AO306" s="352"/>
      <c r="AP306" s="327"/>
      <c r="AQ306" s="352"/>
      <c r="AR306" s="327"/>
      <c r="AU306" s="307"/>
      <c r="AX306" s="307"/>
      <c r="BA306" s="307"/>
      <c r="BC306" s="366"/>
      <c r="BD306" s="307"/>
      <c r="BG306" s="307"/>
    </row>
    <row r="307">
      <c r="A307" s="323"/>
      <c r="B307" s="293"/>
      <c r="C307" s="327"/>
      <c r="D307" s="323"/>
      <c r="E307" s="293"/>
      <c r="F307" s="327"/>
      <c r="G307" s="323"/>
      <c r="H307" s="293"/>
      <c r="I307" s="327"/>
      <c r="J307" s="352" t="s">
        <v>1642</v>
      </c>
      <c r="K307" s="352"/>
      <c r="L307" s="327"/>
      <c r="M307" s="352"/>
      <c r="N307" s="352"/>
      <c r="O307" s="327"/>
      <c r="P307" s="352"/>
      <c r="Q307" s="352"/>
      <c r="R307" s="327"/>
      <c r="S307" s="352"/>
      <c r="T307" s="352"/>
      <c r="U307" s="327"/>
      <c r="V307" s="352"/>
      <c r="W307" s="352"/>
      <c r="X307" s="327"/>
      <c r="Y307" s="352"/>
      <c r="Z307" s="352"/>
      <c r="AA307" s="327"/>
      <c r="AB307" s="352"/>
      <c r="AC307" s="352"/>
      <c r="AD307" s="327"/>
      <c r="AE307" s="352"/>
      <c r="AF307" s="352"/>
      <c r="AG307" s="327"/>
      <c r="AH307" s="352"/>
      <c r="AI307" s="352"/>
      <c r="AJ307" s="327"/>
      <c r="AK307" s="352"/>
      <c r="AL307" s="352"/>
      <c r="AM307" s="327"/>
      <c r="AN307" s="352"/>
      <c r="AO307" s="352"/>
      <c r="AP307" s="327"/>
      <c r="AQ307" s="352"/>
      <c r="AR307" s="327"/>
      <c r="AU307" s="307"/>
      <c r="AX307" s="307"/>
      <c r="BA307" s="307"/>
      <c r="BC307" s="366"/>
      <c r="BD307" s="307"/>
      <c r="BG307" s="307"/>
    </row>
    <row r="308">
      <c r="A308" s="323"/>
      <c r="B308" s="293"/>
      <c r="C308" s="327"/>
      <c r="D308" s="323"/>
      <c r="E308" s="293"/>
      <c r="F308" s="327"/>
      <c r="G308" s="323"/>
      <c r="H308" s="293"/>
      <c r="I308" s="327"/>
      <c r="J308" s="352" t="s">
        <v>2135</v>
      </c>
      <c r="K308" s="352"/>
      <c r="L308" s="327"/>
      <c r="M308" s="352"/>
      <c r="N308" s="352"/>
      <c r="O308" s="327"/>
      <c r="P308" s="352"/>
      <c r="Q308" s="352"/>
      <c r="R308" s="327"/>
      <c r="S308" s="352"/>
      <c r="T308" s="352"/>
      <c r="U308" s="327"/>
      <c r="V308" s="352"/>
      <c r="W308" s="352"/>
      <c r="X308" s="327"/>
      <c r="Y308" s="352"/>
      <c r="Z308" s="352"/>
      <c r="AA308" s="327"/>
      <c r="AB308" s="352"/>
      <c r="AC308" s="352"/>
      <c r="AD308" s="327"/>
      <c r="AE308" s="352"/>
      <c r="AF308" s="352"/>
      <c r="AG308" s="327"/>
      <c r="AH308" s="352"/>
      <c r="AI308" s="352"/>
      <c r="AJ308" s="327"/>
      <c r="AK308" s="352"/>
      <c r="AL308" s="352"/>
      <c r="AM308" s="327"/>
      <c r="AN308" s="352"/>
      <c r="AO308" s="352"/>
      <c r="AP308" s="327"/>
      <c r="AQ308" s="352"/>
      <c r="AR308" s="327"/>
      <c r="AU308" s="307"/>
      <c r="AX308" s="307"/>
      <c r="BA308" s="307"/>
      <c r="BC308" s="366"/>
      <c r="BD308" s="307"/>
      <c r="BG308" s="307"/>
    </row>
    <row r="309">
      <c r="A309" s="323"/>
      <c r="B309" s="293"/>
      <c r="C309" s="327"/>
      <c r="D309" s="323"/>
      <c r="E309" s="293"/>
      <c r="F309" s="327"/>
      <c r="G309" s="323"/>
      <c r="H309" s="293"/>
      <c r="I309" s="327"/>
      <c r="J309" s="352" t="s">
        <v>3236</v>
      </c>
      <c r="K309" s="352"/>
      <c r="L309" s="327"/>
      <c r="M309" s="352"/>
      <c r="N309" s="352"/>
      <c r="O309" s="327"/>
      <c r="P309" s="352"/>
      <c r="Q309" s="352"/>
      <c r="R309" s="327"/>
      <c r="S309" s="352"/>
      <c r="T309" s="352"/>
      <c r="U309" s="327"/>
      <c r="V309" s="352"/>
      <c r="W309" s="352"/>
      <c r="X309" s="327"/>
      <c r="Y309" s="352"/>
      <c r="Z309" s="352"/>
      <c r="AA309" s="327"/>
      <c r="AB309" s="352"/>
      <c r="AC309" s="352"/>
      <c r="AD309" s="327"/>
      <c r="AE309" s="352"/>
      <c r="AF309" s="352"/>
      <c r="AG309" s="327"/>
      <c r="AH309" s="352"/>
      <c r="AI309" s="352"/>
      <c r="AJ309" s="327"/>
      <c r="AK309" s="352"/>
      <c r="AL309" s="352"/>
      <c r="AM309" s="327"/>
      <c r="AN309" s="352"/>
      <c r="AO309" s="352"/>
      <c r="AP309" s="327"/>
      <c r="AQ309" s="352"/>
      <c r="AR309" s="327"/>
      <c r="AU309" s="307"/>
      <c r="AX309" s="307"/>
      <c r="BA309" s="307"/>
      <c r="BC309" s="366"/>
      <c r="BD309" s="307"/>
      <c r="BG309" s="307"/>
    </row>
    <row r="310">
      <c r="A310" s="323"/>
      <c r="B310" s="293"/>
      <c r="C310" s="327"/>
      <c r="D310" s="323"/>
      <c r="E310" s="293"/>
      <c r="F310" s="327"/>
      <c r="G310" s="323"/>
      <c r="H310" s="293"/>
      <c r="I310" s="327"/>
      <c r="J310" s="352" t="s">
        <v>6004</v>
      </c>
      <c r="K310" s="352"/>
      <c r="L310" s="327"/>
      <c r="M310" s="352"/>
      <c r="N310" s="352"/>
      <c r="O310" s="327"/>
      <c r="P310" s="352"/>
      <c r="Q310" s="352"/>
      <c r="R310" s="327"/>
      <c r="S310" s="352"/>
      <c r="T310" s="352"/>
      <c r="U310" s="327"/>
      <c r="V310" s="352"/>
      <c r="W310" s="352"/>
      <c r="X310" s="327"/>
      <c r="Y310" s="352"/>
      <c r="Z310" s="352"/>
      <c r="AA310" s="327"/>
      <c r="AB310" s="352"/>
      <c r="AC310" s="352"/>
      <c r="AD310" s="327"/>
      <c r="AE310" s="352"/>
      <c r="AF310" s="352"/>
      <c r="AG310" s="327"/>
      <c r="AH310" s="352"/>
      <c r="AI310" s="352"/>
      <c r="AJ310" s="327"/>
      <c r="AK310" s="352"/>
      <c r="AL310" s="352"/>
      <c r="AM310" s="327"/>
      <c r="AN310" s="352"/>
      <c r="AO310" s="352"/>
      <c r="AP310" s="327"/>
      <c r="AQ310" s="352"/>
      <c r="AR310" s="327"/>
      <c r="AU310" s="307"/>
      <c r="AX310" s="307"/>
      <c r="BA310" s="307"/>
      <c r="BC310" s="366"/>
      <c r="BD310" s="307"/>
      <c r="BG310" s="307"/>
    </row>
    <row r="311">
      <c r="A311" s="323"/>
      <c r="B311" s="293"/>
      <c r="C311" s="327"/>
      <c r="D311" s="323"/>
      <c r="E311" s="293"/>
      <c r="F311" s="327"/>
      <c r="G311" s="323"/>
      <c r="H311" s="293"/>
      <c r="I311" s="327"/>
      <c r="J311" s="352" t="s">
        <v>7299</v>
      </c>
      <c r="K311" s="352"/>
      <c r="L311" s="327"/>
      <c r="M311" s="352"/>
      <c r="N311" s="352"/>
      <c r="O311" s="327"/>
      <c r="P311" s="352"/>
      <c r="Q311" s="352"/>
      <c r="R311" s="327"/>
      <c r="S311" s="352"/>
      <c r="T311" s="352"/>
      <c r="U311" s="327"/>
      <c r="V311" s="352"/>
      <c r="W311" s="352"/>
      <c r="X311" s="327"/>
      <c r="Y311" s="352"/>
      <c r="Z311" s="352"/>
      <c r="AA311" s="327"/>
      <c r="AB311" s="352"/>
      <c r="AC311" s="352"/>
      <c r="AD311" s="327"/>
      <c r="AE311" s="352"/>
      <c r="AF311" s="352"/>
      <c r="AG311" s="327"/>
      <c r="AH311" s="352"/>
      <c r="AI311" s="352"/>
      <c r="AJ311" s="327"/>
      <c r="AK311" s="352"/>
      <c r="AL311" s="352"/>
      <c r="AM311" s="327"/>
      <c r="AN311" s="352"/>
      <c r="AO311" s="352"/>
      <c r="AP311" s="327"/>
      <c r="AQ311" s="352"/>
      <c r="AR311" s="327"/>
      <c r="AU311" s="307"/>
      <c r="AX311" s="307"/>
      <c r="BA311" s="307"/>
      <c r="BC311" s="366"/>
      <c r="BD311" s="307"/>
      <c r="BG311" s="307"/>
    </row>
    <row r="312">
      <c r="A312" s="323"/>
      <c r="B312" s="293"/>
      <c r="C312" s="327"/>
      <c r="D312" s="323"/>
      <c r="E312" s="293"/>
      <c r="F312" s="327"/>
      <c r="G312" s="323"/>
      <c r="H312" s="293"/>
      <c r="I312" s="327"/>
      <c r="J312" s="352" t="s">
        <v>2231</v>
      </c>
      <c r="K312" s="352"/>
      <c r="L312" s="327"/>
      <c r="M312" s="352"/>
      <c r="N312" s="352"/>
      <c r="O312" s="327"/>
      <c r="P312" s="352"/>
      <c r="Q312" s="352"/>
      <c r="R312" s="327"/>
      <c r="S312" s="352"/>
      <c r="T312" s="352"/>
      <c r="U312" s="327"/>
      <c r="V312" s="352"/>
      <c r="W312" s="352"/>
      <c r="X312" s="327"/>
      <c r="Y312" s="352"/>
      <c r="Z312" s="352"/>
      <c r="AA312" s="327"/>
      <c r="AB312" s="352"/>
      <c r="AC312" s="352"/>
      <c r="AD312" s="327"/>
      <c r="AE312" s="352"/>
      <c r="AF312" s="352"/>
      <c r="AG312" s="327"/>
      <c r="AH312" s="352"/>
      <c r="AI312" s="352"/>
      <c r="AJ312" s="327"/>
      <c r="AK312" s="352"/>
      <c r="AL312" s="352"/>
      <c r="AM312" s="327"/>
      <c r="AN312" s="352"/>
      <c r="AO312" s="352"/>
      <c r="AP312" s="327"/>
      <c r="AQ312" s="352"/>
      <c r="AR312" s="327"/>
      <c r="AU312" s="307"/>
      <c r="AX312" s="307"/>
      <c r="BA312" s="307"/>
      <c r="BC312" s="366"/>
      <c r="BD312" s="307"/>
      <c r="BG312" s="307"/>
    </row>
    <row r="313">
      <c r="A313" s="323"/>
      <c r="B313" s="293"/>
      <c r="C313" s="327"/>
      <c r="D313" s="323"/>
      <c r="E313" s="293"/>
      <c r="F313" s="327"/>
      <c r="G313" s="323"/>
      <c r="H313" s="293"/>
      <c r="I313" s="327"/>
      <c r="J313" s="352" t="s">
        <v>7302</v>
      </c>
      <c r="K313" s="352"/>
      <c r="L313" s="327"/>
      <c r="M313" s="352"/>
      <c r="N313" s="352"/>
      <c r="O313" s="327"/>
      <c r="P313" s="352"/>
      <c r="Q313" s="352"/>
      <c r="R313" s="327"/>
      <c r="S313" s="352"/>
      <c r="T313" s="352"/>
      <c r="U313" s="327"/>
      <c r="V313" s="352"/>
      <c r="W313" s="352"/>
      <c r="X313" s="327"/>
      <c r="Y313" s="352"/>
      <c r="Z313" s="352"/>
      <c r="AA313" s="327"/>
      <c r="AB313" s="352"/>
      <c r="AC313" s="352"/>
      <c r="AD313" s="327"/>
      <c r="AE313" s="352"/>
      <c r="AF313" s="352"/>
      <c r="AG313" s="327"/>
      <c r="AH313" s="352"/>
      <c r="AI313" s="352"/>
      <c r="AJ313" s="327"/>
      <c r="AK313" s="352"/>
      <c r="AL313" s="352"/>
      <c r="AM313" s="327"/>
      <c r="AN313" s="352"/>
      <c r="AO313" s="352"/>
      <c r="AP313" s="327"/>
      <c r="AQ313" s="352"/>
      <c r="AR313" s="327"/>
      <c r="AU313" s="307"/>
      <c r="AX313" s="307"/>
      <c r="BA313" s="307"/>
      <c r="BC313" s="366"/>
      <c r="BD313" s="307"/>
      <c r="BG313" s="307"/>
    </row>
    <row r="314">
      <c r="A314" s="323"/>
      <c r="B314" s="293"/>
      <c r="C314" s="327"/>
      <c r="D314" s="323"/>
      <c r="E314" s="293"/>
      <c r="F314" s="327"/>
      <c r="G314" s="323"/>
      <c r="H314" s="293"/>
      <c r="I314" s="327"/>
      <c r="J314" s="352" t="s">
        <v>489</v>
      </c>
      <c r="K314" s="352"/>
      <c r="L314" s="327"/>
      <c r="M314" s="352"/>
      <c r="N314" s="352"/>
      <c r="O314" s="327"/>
      <c r="P314" s="352"/>
      <c r="Q314" s="352"/>
      <c r="R314" s="327"/>
      <c r="S314" s="352"/>
      <c r="T314" s="352"/>
      <c r="U314" s="327"/>
      <c r="V314" s="352"/>
      <c r="W314" s="352"/>
      <c r="X314" s="327"/>
      <c r="Y314" s="352"/>
      <c r="Z314" s="352"/>
      <c r="AA314" s="327"/>
      <c r="AB314" s="352"/>
      <c r="AC314" s="352"/>
      <c r="AD314" s="327"/>
      <c r="AE314" s="352"/>
      <c r="AF314" s="352"/>
      <c r="AG314" s="327"/>
      <c r="AH314" s="352"/>
      <c r="AI314" s="352"/>
      <c r="AJ314" s="327"/>
      <c r="AK314" s="352"/>
      <c r="AL314" s="352"/>
      <c r="AM314" s="327"/>
      <c r="AN314" s="352"/>
      <c r="AO314" s="352"/>
      <c r="AP314" s="327"/>
      <c r="AQ314" s="352"/>
      <c r="AR314" s="327"/>
      <c r="AU314" s="307"/>
      <c r="AX314" s="307"/>
      <c r="BA314" s="307"/>
      <c r="BC314" s="366"/>
      <c r="BD314" s="307"/>
      <c r="BG314" s="307"/>
    </row>
    <row r="315">
      <c r="A315" s="323"/>
      <c r="B315" s="293"/>
      <c r="C315" s="327"/>
      <c r="D315" s="323"/>
      <c r="E315" s="293"/>
      <c r="F315" s="327"/>
      <c r="G315" s="323"/>
      <c r="H315" s="293"/>
      <c r="I315" s="327"/>
      <c r="J315" s="352" t="s">
        <v>1593</v>
      </c>
      <c r="K315" s="352"/>
      <c r="L315" s="327"/>
      <c r="M315" s="352"/>
      <c r="N315" s="352"/>
      <c r="O315" s="327"/>
      <c r="P315" s="352"/>
      <c r="Q315" s="352"/>
      <c r="R315" s="327"/>
      <c r="S315" s="352"/>
      <c r="T315" s="352"/>
      <c r="U315" s="327"/>
      <c r="V315" s="352"/>
      <c r="W315" s="352"/>
      <c r="X315" s="327"/>
      <c r="Y315" s="352"/>
      <c r="Z315" s="352"/>
      <c r="AA315" s="327"/>
      <c r="AB315" s="352"/>
      <c r="AC315" s="352"/>
      <c r="AD315" s="327"/>
      <c r="AE315" s="352"/>
      <c r="AF315" s="352"/>
      <c r="AG315" s="327"/>
      <c r="AH315" s="352"/>
      <c r="AI315" s="352"/>
      <c r="AJ315" s="327"/>
      <c r="AK315" s="352"/>
      <c r="AL315" s="352"/>
      <c r="AM315" s="327"/>
      <c r="AN315" s="352"/>
      <c r="AO315" s="352"/>
      <c r="AP315" s="327"/>
      <c r="AQ315" s="352"/>
      <c r="AR315" s="327"/>
      <c r="AU315" s="307"/>
      <c r="AX315" s="307"/>
      <c r="BA315" s="307"/>
      <c r="BC315" s="366"/>
      <c r="BD315" s="307"/>
      <c r="BG315" s="307"/>
    </row>
    <row r="316">
      <c r="A316" s="323"/>
      <c r="B316" s="293"/>
      <c r="C316" s="327"/>
      <c r="D316" s="323"/>
      <c r="E316" s="293"/>
      <c r="F316" s="327"/>
      <c r="G316" s="323"/>
      <c r="H316" s="293"/>
      <c r="I316" s="327"/>
      <c r="J316" s="352" t="s">
        <v>2019</v>
      </c>
      <c r="K316" s="352"/>
      <c r="L316" s="327"/>
      <c r="M316" s="352"/>
      <c r="N316" s="352"/>
      <c r="O316" s="327"/>
      <c r="P316" s="352"/>
      <c r="Q316" s="352"/>
      <c r="R316" s="327"/>
      <c r="S316" s="352"/>
      <c r="T316" s="352"/>
      <c r="U316" s="327"/>
      <c r="V316" s="352"/>
      <c r="W316" s="352"/>
      <c r="X316" s="327"/>
      <c r="Y316" s="352"/>
      <c r="Z316" s="352"/>
      <c r="AA316" s="327"/>
      <c r="AB316" s="352"/>
      <c r="AC316" s="352"/>
      <c r="AD316" s="327"/>
      <c r="AE316" s="352"/>
      <c r="AF316" s="352"/>
      <c r="AG316" s="327"/>
      <c r="AH316" s="352"/>
      <c r="AI316" s="352"/>
      <c r="AJ316" s="327"/>
      <c r="AK316" s="352"/>
      <c r="AL316" s="352"/>
      <c r="AM316" s="327"/>
      <c r="AN316" s="352"/>
      <c r="AO316" s="352"/>
      <c r="AP316" s="327"/>
      <c r="AQ316" s="352"/>
      <c r="AR316" s="327"/>
      <c r="AU316" s="307"/>
      <c r="AX316" s="307"/>
      <c r="BA316" s="307"/>
      <c r="BC316" s="366"/>
      <c r="BD316" s="307"/>
      <c r="BG316" s="307"/>
    </row>
    <row r="317">
      <c r="A317" s="323"/>
      <c r="B317" s="293"/>
      <c r="C317" s="327"/>
      <c r="D317" s="323"/>
      <c r="E317" s="293"/>
      <c r="F317" s="327"/>
      <c r="G317" s="323"/>
      <c r="H317" s="293"/>
      <c r="I317" s="327"/>
      <c r="J317" s="352" t="s">
        <v>7305</v>
      </c>
      <c r="K317" s="352"/>
      <c r="L317" s="327"/>
      <c r="M317" s="352"/>
      <c r="N317" s="352"/>
      <c r="O317" s="327"/>
      <c r="P317" s="352"/>
      <c r="Q317" s="352"/>
      <c r="R317" s="327"/>
      <c r="S317" s="352"/>
      <c r="T317" s="352"/>
      <c r="U317" s="327"/>
      <c r="V317" s="352"/>
      <c r="W317" s="352"/>
      <c r="X317" s="327"/>
      <c r="Y317" s="352"/>
      <c r="Z317" s="352"/>
      <c r="AA317" s="327"/>
      <c r="AB317" s="352"/>
      <c r="AC317" s="352"/>
      <c r="AD317" s="327"/>
      <c r="AE317" s="352"/>
      <c r="AF317" s="352"/>
      <c r="AG317" s="327"/>
      <c r="AH317" s="352"/>
      <c r="AI317" s="352"/>
      <c r="AJ317" s="327"/>
      <c r="AK317" s="352"/>
      <c r="AL317" s="352"/>
      <c r="AM317" s="327"/>
      <c r="AN317" s="352"/>
      <c r="AO317" s="352"/>
      <c r="AP317" s="327"/>
      <c r="AQ317" s="352"/>
      <c r="AR317" s="327"/>
      <c r="AU317" s="307"/>
      <c r="AX317" s="307"/>
      <c r="BA317" s="307"/>
      <c r="BC317" s="366"/>
      <c r="BD317" s="307"/>
      <c r="BG317" s="307"/>
    </row>
    <row r="318">
      <c r="A318" s="323"/>
      <c r="B318" s="293"/>
      <c r="C318" s="327"/>
      <c r="D318" s="323"/>
      <c r="E318" s="293"/>
      <c r="F318" s="327"/>
      <c r="G318" s="323"/>
      <c r="H318" s="293"/>
      <c r="I318" s="327"/>
      <c r="J318" s="352" t="s">
        <v>6726</v>
      </c>
      <c r="K318" s="352"/>
      <c r="L318" s="327"/>
      <c r="M318" s="352"/>
      <c r="N318" s="352"/>
      <c r="O318" s="327"/>
      <c r="P318" s="352"/>
      <c r="Q318" s="352"/>
      <c r="R318" s="327"/>
      <c r="S318" s="352"/>
      <c r="T318" s="352"/>
      <c r="U318" s="327"/>
      <c r="V318" s="352"/>
      <c r="W318" s="352"/>
      <c r="X318" s="327"/>
      <c r="Y318" s="352"/>
      <c r="Z318" s="352"/>
      <c r="AA318" s="327"/>
      <c r="AB318" s="352"/>
      <c r="AC318" s="352"/>
      <c r="AD318" s="327"/>
      <c r="AE318" s="352"/>
      <c r="AF318" s="352"/>
      <c r="AG318" s="327"/>
      <c r="AH318" s="352"/>
      <c r="AI318" s="352"/>
      <c r="AJ318" s="327"/>
      <c r="AK318" s="352"/>
      <c r="AL318" s="352"/>
      <c r="AM318" s="327"/>
      <c r="AN318" s="352"/>
      <c r="AO318" s="352"/>
      <c r="AP318" s="327"/>
      <c r="AQ318" s="352"/>
      <c r="AR318" s="327"/>
      <c r="AU318" s="307"/>
      <c r="AX318" s="307"/>
      <c r="BA318" s="307"/>
      <c r="BC318" s="366"/>
      <c r="BD318" s="307"/>
      <c r="BG318" s="307"/>
    </row>
    <row r="319">
      <c r="A319" s="323"/>
      <c r="B319" s="293"/>
      <c r="C319" s="327"/>
      <c r="D319" s="323"/>
      <c r="E319" s="293"/>
      <c r="F319" s="327"/>
      <c r="G319" s="323"/>
      <c r="H319" s="293"/>
      <c r="I319" s="327"/>
      <c r="J319" s="352" t="s">
        <v>7308</v>
      </c>
      <c r="K319" s="352"/>
      <c r="L319" s="327"/>
      <c r="M319" s="352"/>
      <c r="N319" s="352"/>
      <c r="O319" s="327"/>
      <c r="P319" s="352"/>
      <c r="Q319" s="352"/>
      <c r="R319" s="327"/>
      <c r="S319" s="352"/>
      <c r="T319" s="352"/>
      <c r="U319" s="327"/>
      <c r="V319" s="352"/>
      <c r="W319" s="352"/>
      <c r="X319" s="327"/>
      <c r="Y319" s="352"/>
      <c r="Z319" s="352"/>
      <c r="AA319" s="327"/>
      <c r="AB319" s="352"/>
      <c r="AC319" s="352"/>
      <c r="AD319" s="327"/>
      <c r="AE319" s="352"/>
      <c r="AF319" s="352"/>
      <c r="AG319" s="327"/>
      <c r="AH319" s="352"/>
      <c r="AI319" s="352"/>
      <c r="AJ319" s="327"/>
      <c r="AK319" s="352"/>
      <c r="AL319" s="352"/>
      <c r="AM319" s="327"/>
      <c r="AN319" s="352"/>
      <c r="AO319" s="352"/>
      <c r="AP319" s="327"/>
      <c r="AQ319" s="352"/>
      <c r="AR319" s="327"/>
      <c r="AU319" s="307"/>
      <c r="AX319" s="307"/>
      <c r="BA319" s="307"/>
      <c r="BC319" s="366"/>
      <c r="BD319" s="307"/>
      <c r="BG319" s="307"/>
    </row>
    <row r="320">
      <c r="A320" s="323"/>
      <c r="B320" s="293"/>
      <c r="C320" s="327"/>
      <c r="D320" s="323"/>
      <c r="E320" s="293"/>
      <c r="F320" s="327"/>
      <c r="G320" s="323"/>
      <c r="H320" s="293"/>
      <c r="I320" s="327"/>
      <c r="J320" s="352" t="s">
        <v>7310</v>
      </c>
      <c r="K320" s="352"/>
      <c r="L320" s="327"/>
      <c r="M320" s="352"/>
      <c r="N320" s="352"/>
      <c r="O320" s="327"/>
      <c r="P320" s="352"/>
      <c r="Q320" s="352"/>
      <c r="R320" s="327"/>
      <c r="S320" s="352"/>
      <c r="T320" s="352"/>
      <c r="U320" s="327"/>
      <c r="V320" s="352"/>
      <c r="W320" s="352"/>
      <c r="X320" s="327"/>
      <c r="Y320" s="352"/>
      <c r="Z320" s="352"/>
      <c r="AA320" s="327"/>
      <c r="AB320" s="352"/>
      <c r="AC320" s="352"/>
      <c r="AD320" s="327"/>
      <c r="AE320" s="352"/>
      <c r="AF320" s="352"/>
      <c r="AG320" s="327"/>
      <c r="AH320" s="352"/>
      <c r="AI320" s="352"/>
      <c r="AJ320" s="327"/>
      <c r="AK320" s="352"/>
      <c r="AL320" s="352"/>
      <c r="AM320" s="327"/>
      <c r="AN320" s="352"/>
      <c r="AO320" s="352"/>
      <c r="AP320" s="327"/>
      <c r="AQ320" s="352"/>
      <c r="AR320" s="327"/>
      <c r="AU320" s="307"/>
      <c r="AX320" s="307"/>
      <c r="BA320" s="307"/>
      <c r="BC320" s="366"/>
      <c r="BD320" s="307"/>
      <c r="BG320" s="307"/>
    </row>
    <row r="321">
      <c r="A321" s="323"/>
      <c r="B321" s="293"/>
      <c r="C321" s="327"/>
      <c r="D321" s="323"/>
      <c r="E321" s="293"/>
      <c r="F321" s="327"/>
      <c r="G321" s="323"/>
      <c r="H321" s="293"/>
      <c r="I321" s="327"/>
      <c r="J321" s="352" t="s">
        <v>7312</v>
      </c>
      <c r="K321" s="352"/>
      <c r="L321" s="327"/>
      <c r="M321" s="352"/>
      <c r="N321" s="352"/>
      <c r="O321" s="327"/>
      <c r="P321" s="352"/>
      <c r="Q321" s="352"/>
      <c r="R321" s="327"/>
      <c r="S321" s="352"/>
      <c r="T321" s="352"/>
      <c r="U321" s="327"/>
      <c r="V321" s="352"/>
      <c r="W321" s="352"/>
      <c r="X321" s="327"/>
      <c r="Y321" s="352"/>
      <c r="Z321" s="352"/>
      <c r="AA321" s="327"/>
      <c r="AB321" s="352"/>
      <c r="AC321" s="352"/>
      <c r="AD321" s="327"/>
      <c r="AE321" s="352"/>
      <c r="AF321" s="352"/>
      <c r="AG321" s="327"/>
      <c r="AH321" s="352"/>
      <c r="AI321" s="352"/>
      <c r="AJ321" s="327"/>
      <c r="AK321" s="352"/>
      <c r="AL321" s="352"/>
      <c r="AM321" s="327"/>
      <c r="AN321" s="352"/>
      <c r="AO321" s="352"/>
      <c r="AP321" s="327"/>
      <c r="AQ321" s="352"/>
      <c r="AR321" s="327"/>
      <c r="AU321" s="307"/>
      <c r="AX321" s="307"/>
      <c r="BA321" s="307"/>
      <c r="BC321" s="366"/>
      <c r="BD321" s="307"/>
      <c r="BG321" s="307"/>
    </row>
    <row r="322">
      <c r="A322" s="323"/>
      <c r="B322" s="293"/>
      <c r="C322" s="327"/>
      <c r="D322" s="323"/>
      <c r="E322" s="293"/>
      <c r="F322" s="327"/>
      <c r="G322" s="323"/>
      <c r="H322" s="293"/>
      <c r="I322" s="327"/>
      <c r="J322" s="352" t="s">
        <v>7314</v>
      </c>
      <c r="K322" s="352"/>
      <c r="L322" s="327"/>
      <c r="M322" s="352"/>
      <c r="N322" s="352"/>
      <c r="O322" s="327"/>
      <c r="P322" s="352"/>
      <c r="Q322" s="352"/>
      <c r="R322" s="327"/>
      <c r="S322" s="352"/>
      <c r="T322" s="352"/>
      <c r="U322" s="327"/>
      <c r="V322" s="352"/>
      <c r="W322" s="352"/>
      <c r="X322" s="327"/>
      <c r="Y322" s="352"/>
      <c r="Z322" s="352"/>
      <c r="AA322" s="327"/>
      <c r="AB322" s="352"/>
      <c r="AC322" s="352"/>
      <c r="AD322" s="327"/>
      <c r="AE322" s="352"/>
      <c r="AF322" s="352"/>
      <c r="AG322" s="327"/>
      <c r="AH322" s="352"/>
      <c r="AI322" s="352"/>
      <c r="AJ322" s="327"/>
      <c r="AK322" s="352"/>
      <c r="AL322" s="352"/>
      <c r="AM322" s="327"/>
      <c r="AN322" s="352"/>
      <c r="AO322" s="352"/>
      <c r="AP322" s="327"/>
      <c r="AQ322" s="352"/>
      <c r="AR322" s="327"/>
      <c r="AU322" s="307"/>
      <c r="AX322" s="307"/>
      <c r="BA322" s="307"/>
      <c r="BC322" s="366"/>
      <c r="BD322" s="307"/>
      <c r="BG322" s="307"/>
    </row>
    <row r="323">
      <c r="A323" s="323"/>
      <c r="B323" s="293"/>
      <c r="C323" s="327"/>
      <c r="D323" s="323"/>
      <c r="E323" s="293"/>
      <c r="F323" s="327"/>
      <c r="G323" s="323"/>
      <c r="H323" s="293"/>
      <c r="I323" s="327"/>
      <c r="J323" s="352" t="s">
        <v>7316</v>
      </c>
      <c r="K323" s="352"/>
      <c r="L323" s="327"/>
      <c r="M323" s="352"/>
      <c r="N323" s="352"/>
      <c r="O323" s="327"/>
      <c r="P323" s="352"/>
      <c r="Q323" s="352"/>
      <c r="R323" s="327"/>
      <c r="S323" s="352"/>
      <c r="T323" s="352"/>
      <c r="U323" s="327"/>
      <c r="V323" s="352"/>
      <c r="W323" s="352"/>
      <c r="X323" s="327"/>
      <c r="Y323" s="352"/>
      <c r="Z323" s="352"/>
      <c r="AA323" s="327"/>
      <c r="AB323" s="352"/>
      <c r="AC323" s="352"/>
      <c r="AD323" s="327"/>
      <c r="AE323" s="352"/>
      <c r="AF323" s="352"/>
      <c r="AG323" s="327"/>
      <c r="AH323" s="352"/>
      <c r="AI323" s="352"/>
      <c r="AJ323" s="327"/>
      <c r="AK323" s="352"/>
      <c r="AL323" s="352"/>
      <c r="AM323" s="327"/>
      <c r="AN323" s="352"/>
      <c r="AO323" s="352"/>
      <c r="AP323" s="327"/>
      <c r="AQ323" s="352"/>
      <c r="AR323" s="327"/>
      <c r="AU323" s="307"/>
      <c r="AX323" s="307"/>
      <c r="BA323" s="307"/>
      <c r="BC323" s="366"/>
      <c r="BD323" s="307"/>
      <c r="BG323" s="307"/>
    </row>
    <row r="324">
      <c r="A324" s="323"/>
      <c r="B324" s="293"/>
      <c r="C324" s="327"/>
      <c r="D324" s="323"/>
      <c r="E324" s="293"/>
      <c r="F324" s="327"/>
      <c r="G324" s="323"/>
      <c r="H324" s="293"/>
      <c r="I324" s="327"/>
      <c r="J324" s="352" t="s">
        <v>412</v>
      </c>
      <c r="K324" s="352"/>
      <c r="L324" s="327"/>
      <c r="M324" s="352"/>
      <c r="N324" s="352"/>
      <c r="O324" s="327"/>
      <c r="P324" s="352"/>
      <c r="Q324" s="352"/>
      <c r="R324" s="327"/>
      <c r="S324" s="352"/>
      <c r="T324" s="352"/>
      <c r="U324" s="327"/>
      <c r="V324" s="352"/>
      <c r="W324" s="352"/>
      <c r="X324" s="327"/>
      <c r="Y324" s="352"/>
      <c r="Z324" s="352"/>
      <c r="AA324" s="327"/>
      <c r="AB324" s="352"/>
      <c r="AC324" s="352"/>
      <c r="AD324" s="327"/>
      <c r="AE324" s="352"/>
      <c r="AF324" s="352"/>
      <c r="AG324" s="327"/>
      <c r="AH324" s="352"/>
      <c r="AI324" s="352"/>
      <c r="AJ324" s="327"/>
      <c r="AK324" s="352"/>
      <c r="AL324" s="352"/>
      <c r="AM324" s="327"/>
      <c r="AN324" s="352"/>
      <c r="AO324" s="352"/>
      <c r="AP324" s="327"/>
      <c r="AQ324" s="352"/>
      <c r="AR324" s="327"/>
      <c r="AU324" s="307"/>
      <c r="AX324" s="307"/>
      <c r="BA324" s="307"/>
      <c r="BC324" s="366"/>
      <c r="BD324" s="307"/>
      <c r="BG324" s="307"/>
    </row>
    <row r="325">
      <c r="A325" s="323"/>
      <c r="B325" s="293"/>
      <c r="C325" s="327"/>
      <c r="D325" s="323"/>
      <c r="E325" s="293"/>
      <c r="F325" s="327"/>
      <c r="G325" s="323"/>
      <c r="H325" s="293"/>
      <c r="I325" s="327"/>
      <c r="J325" s="352" t="s">
        <v>2097</v>
      </c>
      <c r="K325" s="352"/>
      <c r="L325" s="327"/>
      <c r="M325" s="352"/>
      <c r="N325" s="352"/>
      <c r="O325" s="327"/>
      <c r="P325" s="352"/>
      <c r="Q325" s="352"/>
      <c r="R325" s="327"/>
      <c r="S325" s="352"/>
      <c r="T325" s="352"/>
      <c r="U325" s="327"/>
      <c r="V325" s="352"/>
      <c r="W325" s="352"/>
      <c r="X325" s="327"/>
      <c r="Y325" s="352"/>
      <c r="Z325" s="352"/>
      <c r="AA325" s="327"/>
      <c r="AB325" s="352"/>
      <c r="AC325" s="352"/>
      <c r="AD325" s="327"/>
      <c r="AE325" s="352"/>
      <c r="AF325" s="352"/>
      <c r="AG325" s="327"/>
      <c r="AH325" s="352"/>
      <c r="AI325" s="352"/>
      <c r="AJ325" s="327"/>
      <c r="AK325" s="352"/>
      <c r="AL325" s="352"/>
      <c r="AM325" s="327"/>
      <c r="AN325" s="352"/>
      <c r="AO325" s="352"/>
      <c r="AP325" s="327"/>
      <c r="AQ325" s="352"/>
      <c r="AR325" s="327"/>
      <c r="AU325" s="307"/>
      <c r="AX325" s="307"/>
      <c r="BA325" s="307"/>
      <c r="BC325" s="366"/>
      <c r="BD325" s="307"/>
      <c r="BG325" s="307"/>
    </row>
    <row r="326">
      <c r="A326" s="323"/>
      <c r="B326" s="293"/>
      <c r="C326" s="327"/>
      <c r="D326" s="323"/>
      <c r="E326" s="293"/>
      <c r="F326" s="327"/>
      <c r="G326" s="323"/>
      <c r="H326" s="293"/>
      <c r="I326" s="327"/>
      <c r="J326" s="352" t="s">
        <v>7320</v>
      </c>
      <c r="K326" s="352"/>
      <c r="L326" s="327"/>
      <c r="M326" s="352"/>
      <c r="N326" s="352"/>
      <c r="O326" s="327"/>
      <c r="P326" s="352"/>
      <c r="Q326" s="352"/>
      <c r="R326" s="327"/>
      <c r="S326" s="352"/>
      <c r="T326" s="352"/>
      <c r="U326" s="327"/>
      <c r="V326" s="352"/>
      <c r="W326" s="352"/>
      <c r="X326" s="327"/>
      <c r="Y326" s="352"/>
      <c r="Z326" s="352"/>
      <c r="AA326" s="327"/>
      <c r="AB326" s="352"/>
      <c r="AC326" s="352"/>
      <c r="AD326" s="327"/>
      <c r="AE326" s="352"/>
      <c r="AF326" s="352"/>
      <c r="AG326" s="327"/>
      <c r="AH326" s="352"/>
      <c r="AI326" s="352"/>
      <c r="AJ326" s="327"/>
      <c r="AK326" s="352"/>
      <c r="AL326" s="352"/>
      <c r="AM326" s="327"/>
      <c r="AN326" s="352"/>
      <c r="AO326" s="352"/>
      <c r="AP326" s="327"/>
      <c r="AQ326" s="352"/>
      <c r="AR326" s="327"/>
      <c r="AU326" s="307"/>
      <c r="AX326" s="307"/>
      <c r="BA326" s="307"/>
      <c r="BC326" s="366"/>
      <c r="BD326" s="307"/>
      <c r="BG326" s="307"/>
    </row>
    <row r="327">
      <c r="A327" s="323"/>
      <c r="B327" s="293"/>
      <c r="C327" s="327"/>
      <c r="D327" s="323"/>
      <c r="E327" s="293"/>
      <c r="F327" s="327"/>
      <c r="G327" s="323"/>
      <c r="H327" s="293"/>
      <c r="I327" s="327"/>
      <c r="J327" s="352" t="s">
        <v>1827</v>
      </c>
      <c r="K327" s="352"/>
      <c r="L327" s="327"/>
      <c r="M327" s="352"/>
      <c r="N327" s="352"/>
      <c r="O327" s="327"/>
      <c r="P327" s="352"/>
      <c r="Q327" s="352"/>
      <c r="R327" s="327"/>
      <c r="S327" s="352"/>
      <c r="T327" s="352"/>
      <c r="U327" s="327"/>
      <c r="V327" s="352"/>
      <c r="W327" s="352"/>
      <c r="X327" s="327"/>
      <c r="Y327" s="352"/>
      <c r="Z327" s="352"/>
      <c r="AA327" s="327"/>
      <c r="AB327" s="352"/>
      <c r="AC327" s="352"/>
      <c r="AD327" s="327"/>
      <c r="AE327" s="352"/>
      <c r="AF327" s="352"/>
      <c r="AG327" s="327"/>
      <c r="AH327" s="352"/>
      <c r="AI327" s="352"/>
      <c r="AJ327" s="327"/>
      <c r="AK327" s="352"/>
      <c r="AL327" s="352"/>
      <c r="AM327" s="327"/>
      <c r="AN327" s="352"/>
      <c r="AO327" s="352"/>
      <c r="AP327" s="327"/>
      <c r="AQ327" s="352"/>
      <c r="AR327" s="327"/>
      <c r="AU327" s="307"/>
      <c r="AX327" s="307"/>
      <c r="BA327" s="307"/>
      <c r="BC327" s="366"/>
      <c r="BD327" s="307"/>
      <c r="BG327" s="307"/>
    </row>
    <row r="328">
      <c r="A328" s="323"/>
      <c r="B328" s="293"/>
      <c r="C328" s="327"/>
      <c r="D328" s="323"/>
      <c r="E328" s="293"/>
      <c r="F328" s="327"/>
      <c r="G328" s="323"/>
      <c r="H328" s="293"/>
      <c r="I328" s="327"/>
      <c r="J328" s="352" t="s">
        <v>339</v>
      </c>
      <c r="K328" s="352"/>
      <c r="L328" s="327"/>
      <c r="M328" s="352"/>
      <c r="N328" s="352"/>
      <c r="O328" s="327"/>
      <c r="P328" s="352"/>
      <c r="Q328" s="352"/>
      <c r="R328" s="327"/>
      <c r="S328" s="352"/>
      <c r="T328" s="352"/>
      <c r="U328" s="327"/>
      <c r="V328" s="352"/>
      <c r="W328" s="352"/>
      <c r="X328" s="327"/>
      <c r="Y328" s="352"/>
      <c r="Z328" s="352"/>
      <c r="AA328" s="327"/>
      <c r="AB328" s="352"/>
      <c r="AC328" s="352"/>
      <c r="AD328" s="327"/>
      <c r="AE328" s="352"/>
      <c r="AF328" s="352"/>
      <c r="AG328" s="327"/>
      <c r="AH328" s="352"/>
      <c r="AI328" s="352"/>
      <c r="AJ328" s="327"/>
      <c r="AK328" s="352"/>
      <c r="AL328" s="352"/>
      <c r="AM328" s="327"/>
      <c r="AN328" s="352"/>
      <c r="AO328" s="352"/>
      <c r="AP328" s="327"/>
      <c r="AQ328" s="352"/>
      <c r="AR328" s="327"/>
      <c r="AU328" s="307"/>
      <c r="AX328" s="307"/>
      <c r="BA328" s="307"/>
      <c r="BC328" s="366"/>
      <c r="BD328" s="307"/>
      <c r="BG328" s="307"/>
    </row>
    <row r="329">
      <c r="A329" s="323"/>
      <c r="B329" s="293"/>
      <c r="C329" s="327"/>
      <c r="D329" s="323"/>
      <c r="E329" s="293"/>
      <c r="F329" s="327"/>
      <c r="G329" s="323"/>
      <c r="H329" s="293"/>
      <c r="I329" s="327"/>
      <c r="J329" s="352" t="s">
        <v>7324</v>
      </c>
      <c r="K329" s="352"/>
      <c r="L329" s="327"/>
      <c r="M329" s="352"/>
      <c r="N329" s="352"/>
      <c r="O329" s="327"/>
      <c r="P329" s="352"/>
      <c r="Q329" s="352"/>
      <c r="R329" s="327"/>
      <c r="S329" s="352"/>
      <c r="T329" s="352"/>
      <c r="U329" s="327"/>
      <c r="V329" s="352"/>
      <c r="W329" s="352"/>
      <c r="X329" s="327"/>
      <c r="Y329" s="352"/>
      <c r="Z329" s="352"/>
      <c r="AA329" s="327"/>
      <c r="AB329" s="352"/>
      <c r="AC329" s="352"/>
      <c r="AD329" s="327"/>
      <c r="AE329" s="352"/>
      <c r="AF329" s="352"/>
      <c r="AG329" s="327"/>
      <c r="AH329" s="352"/>
      <c r="AI329" s="352"/>
      <c r="AJ329" s="327"/>
      <c r="AK329" s="352"/>
      <c r="AL329" s="352"/>
      <c r="AM329" s="327"/>
      <c r="AN329" s="352"/>
      <c r="AO329" s="352"/>
      <c r="AP329" s="327"/>
      <c r="AQ329" s="352"/>
      <c r="AR329" s="327"/>
      <c r="AU329" s="307"/>
      <c r="AX329" s="307"/>
      <c r="BA329" s="307"/>
      <c r="BC329" s="366"/>
      <c r="BD329" s="307"/>
      <c r="BG329" s="307"/>
    </row>
    <row r="330">
      <c r="A330" s="323"/>
      <c r="B330" s="293"/>
      <c r="C330" s="327"/>
      <c r="D330" s="323"/>
      <c r="E330" s="293"/>
      <c r="F330" s="327"/>
      <c r="G330" s="323"/>
      <c r="H330" s="293"/>
      <c r="I330" s="327"/>
      <c r="J330" s="352" t="s">
        <v>7326</v>
      </c>
      <c r="K330" s="352"/>
      <c r="L330" s="327"/>
      <c r="M330" s="352"/>
      <c r="N330" s="352"/>
      <c r="O330" s="327"/>
      <c r="P330" s="352"/>
      <c r="Q330" s="352"/>
      <c r="R330" s="327"/>
      <c r="S330" s="352"/>
      <c r="T330" s="352"/>
      <c r="U330" s="327"/>
      <c r="V330" s="352"/>
      <c r="W330" s="352"/>
      <c r="X330" s="327"/>
      <c r="Y330" s="352"/>
      <c r="Z330" s="352"/>
      <c r="AA330" s="327"/>
      <c r="AB330" s="352"/>
      <c r="AC330" s="352"/>
      <c r="AD330" s="327"/>
      <c r="AE330" s="352"/>
      <c r="AF330" s="352"/>
      <c r="AG330" s="327"/>
      <c r="AH330" s="352"/>
      <c r="AI330" s="352"/>
      <c r="AJ330" s="327"/>
      <c r="AK330" s="352"/>
      <c r="AL330" s="352"/>
      <c r="AM330" s="327"/>
      <c r="AN330" s="352"/>
      <c r="AO330" s="352"/>
      <c r="AP330" s="327"/>
      <c r="AQ330" s="352"/>
      <c r="AR330" s="327"/>
      <c r="AU330" s="307"/>
      <c r="AX330" s="307"/>
      <c r="BA330" s="307"/>
      <c r="BC330" s="366"/>
      <c r="BD330" s="307"/>
      <c r="BG330" s="307"/>
    </row>
    <row r="331">
      <c r="A331" s="323"/>
      <c r="B331" s="293"/>
      <c r="C331" s="327"/>
      <c r="D331" s="323"/>
      <c r="E331" s="293"/>
      <c r="F331" s="327"/>
      <c r="G331" s="323"/>
      <c r="H331" s="293"/>
      <c r="I331" s="327"/>
      <c r="J331" s="352" t="s">
        <v>7328</v>
      </c>
      <c r="K331" s="352"/>
      <c r="L331" s="327"/>
      <c r="M331" s="352"/>
      <c r="N331" s="352"/>
      <c r="O331" s="327"/>
      <c r="P331" s="352"/>
      <c r="Q331" s="352"/>
      <c r="R331" s="327"/>
      <c r="S331" s="352"/>
      <c r="T331" s="352"/>
      <c r="U331" s="327"/>
      <c r="V331" s="352"/>
      <c r="W331" s="352"/>
      <c r="X331" s="327"/>
      <c r="Y331" s="352"/>
      <c r="Z331" s="352"/>
      <c r="AA331" s="327"/>
      <c r="AB331" s="352"/>
      <c r="AC331" s="352"/>
      <c r="AD331" s="327"/>
      <c r="AE331" s="352"/>
      <c r="AF331" s="352"/>
      <c r="AG331" s="327"/>
      <c r="AH331" s="352"/>
      <c r="AI331" s="352"/>
      <c r="AJ331" s="327"/>
      <c r="AK331" s="352"/>
      <c r="AL331" s="352"/>
      <c r="AM331" s="327"/>
      <c r="AN331" s="352"/>
      <c r="AO331" s="352"/>
      <c r="AP331" s="327"/>
      <c r="AQ331" s="352"/>
      <c r="AR331" s="327"/>
      <c r="AU331" s="307"/>
      <c r="AX331" s="307"/>
      <c r="BA331" s="307"/>
      <c r="BC331" s="366"/>
      <c r="BD331" s="307"/>
      <c r="BG331" s="307"/>
    </row>
    <row r="332">
      <c r="A332" s="323"/>
      <c r="B332" s="293"/>
      <c r="C332" s="327"/>
      <c r="D332" s="323"/>
      <c r="E332" s="293"/>
      <c r="F332" s="327"/>
      <c r="G332" s="323"/>
      <c r="H332" s="293"/>
      <c r="I332" s="327"/>
      <c r="J332" s="352" t="s">
        <v>7330</v>
      </c>
      <c r="K332" s="352"/>
      <c r="L332" s="327"/>
      <c r="M332" s="352"/>
      <c r="N332" s="352"/>
      <c r="O332" s="327"/>
      <c r="P332" s="352"/>
      <c r="Q332" s="352"/>
      <c r="R332" s="327"/>
      <c r="S332" s="352"/>
      <c r="T332" s="352"/>
      <c r="U332" s="327"/>
      <c r="V332" s="352"/>
      <c r="W332" s="352"/>
      <c r="X332" s="327"/>
      <c r="Y332" s="352"/>
      <c r="Z332" s="352"/>
      <c r="AA332" s="327"/>
      <c r="AB332" s="352"/>
      <c r="AC332" s="352"/>
      <c r="AD332" s="327"/>
      <c r="AE332" s="352"/>
      <c r="AF332" s="352"/>
      <c r="AG332" s="327"/>
      <c r="AH332" s="352"/>
      <c r="AI332" s="352"/>
      <c r="AJ332" s="327"/>
      <c r="AK332" s="352"/>
      <c r="AL332" s="352"/>
      <c r="AM332" s="327"/>
      <c r="AN332" s="352"/>
      <c r="AO332" s="352"/>
      <c r="AP332" s="327"/>
      <c r="AQ332" s="352"/>
      <c r="AR332" s="327"/>
      <c r="AU332" s="307"/>
      <c r="AX332" s="307"/>
      <c r="BA332" s="307"/>
      <c r="BC332" s="366"/>
      <c r="BD332" s="307"/>
      <c r="BG332" s="307"/>
    </row>
    <row r="333">
      <c r="A333" s="323"/>
      <c r="B333" s="293"/>
      <c r="C333" s="327"/>
      <c r="D333" s="323"/>
      <c r="E333" s="293"/>
      <c r="F333" s="327"/>
      <c r="G333" s="323"/>
      <c r="H333" s="293"/>
      <c r="I333" s="327"/>
      <c r="J333" s="352" t="s">
        <v>7332</v>
      </c>
      <c r="K333" s="352"/>
      <c r="L333" s="327"/>
      <c r="M333" s="352"/>
      <c r="N333" s="352"/>
      <c r="O333" s="327"/>
      <c r="P333" s="352"/>
      <c r="Q333" s="352"/>
      <c r="R333" s="327"/>
      <c r="S333" s="352"/>
      <c r="T333" s="352"/>
      <c r="U333" s="327"/>
      <c r="V333" s="352"/>
      <c r="W333" s="352"/>
      <c r="X333" s="327"/>
      <c r="Y333" s="352"/>
      <c r="Z333" s="352"/>
      <c r="AA333" s="327"/>
      <c r="AB333" s="352"/>
      <c r="AC333" s="352"/>
      <c r="AD333" s="327"/>
      <c r="AE333" s="352"/>
      <c r="AF333" s="352"/>
      <c r="AG333" s="327"/>
      <c r="AH333" s="352"/>
      <c r="AI333" s="352"/>
      <c r="AJ333" s="327"/>
      <c r="AK333" s="352"/>
      <c r="AL333" s="352"/>
      <c r="AM333" s="327"/>
      <c r="AN333" s="352"/>
      <c r="AO333" s="352"/>
      <c r="AP333" s="327"/>
      <c r="AQ333" s="352"/>
      <c r="AR333" s="327"/>
      <c r="AU333" s="307"/>
      <c r="AX333" s="307"/>
      <c r="BA333" s="307"/>
      <c r="BC333" s="366"/>
      <c r="BD333" s="307"/>
      <c r="BG333" s="307"/>
    </row>
    <row r="334">
      <c r="A334" s="323"/>
      <c r="B334" s="293"/>
      <c r="C334" s="327"/>
      <c r="D334" s="323"/>
      <c r="E334" s="293"/>
      <c r="F334" s="327"/>
      <c r="G334" s="323"/>
      <c r="H334" s="293"/>
      <c r="I334" s="327"/>
      <c r="J334" s="352" t="s">
        <v>7334</v>
      </c>
      <c r="K334" s="352"/>
      <c r="L334" s="327"/>
      <c r="M334" s="352"/>
      <c r="N334" s="352"/>
      <c r="O334" s="327"/>
      <c r="P334" s="352"/>
      <c r="Q334" s="352"/>
      <c r="R334" s="327"/>
      <c r="S334" s="352"/>
      <c r="T334" s="352"/>
      <c r="U334" s="327"/>
      <c r="V334" s="352"/>
      <c r="W334" s="352"/>
      <c r="X334" s="327"/>
      <c r="Y334" s="352"/>
      <c r="Z334" s="352"/>
      <c r="AA334" s="327"/>
      <c r="AB334" s="352"/>
      <c r="AC334" s="352"/>
      <c r="AD334" s="327"/>
      <c r="AE334" s="352"/>
      <c r="AF334" s="352"/>
      <c r="AG334" s="327"/>
      <c r="AH334" s="352"/>
      <c r="AI334" s="352"/>
      <c r="AJ334" s="327"/>
      <c r="AK334" s="352"/>
      <c r="AL334" s="352"/>
      <c r="AM334" s="327"/>
      <c r="AN334" s="352"/>
      <c r="AO334" s="352"/>
      <c r="AP334" s="327"/>
      <c r="AQ334" s="352"/>
      <c r="AR334" s="327"/>
      <c r="AU334" s="307"/>
      <c r="AX334" s="307"/>
      <c r="BA334" s="307"/>
      <c r="BC334" s="366"/>
      <c r="BD334" s="307"/>
      <c r="BG334" s="307"/>
    </row>
    <row r="335">
      <c r="A335" s="323"/>
      <c r="B335" s="293"/>
      <c r="C335" s="327"/>
      <c r="D335" s="323"/>
      <c r="E335" s="293"/>
      <c r="F335" s="327"/>
      <c r="G335" s="323"/>
      <c r="H335" s="293"/>
      <c r="I335" s="327"/>
      <c r="J335" s="352" t="s">
        <v>7336</v>
      </c>
      <c r="K335" s="352"/>
      <c r="L335" s="327"/>
      <c r="M335" s="352"/>
      <c r="N335" s="352"/>
      <c r="O335" s="327"/>
      <c r="P335" s="352"/>
      <c r="Q335" s="352"/>
      <c r="R335" s="327"/>
      <c r="S335" s="352"/>
      <c r="T335" s="352"/>
      <c r="U335" s="327"/>
      <c r="V335" s="352"/>
      <c r="W335" s="352"/>
      <c r="X335" s="327"/>
      <c r="Y335" s="352"/>
      <c r="Z335" s="352"/>
      <c r="AA335" s="327"/>
      <c r="AB335" s="352"/>
      <c r="AC335" s="352"/>
      <c r="AD335" s="327"/>
      <c r="AE335" s="352"/>
      <c r="AF335" s="352"/>
      <c r="AG335" s="327"/>
      <c r="AH335" s="352"/>
      <c r="AI335" s="352"/>
      <c r="AJ335" s="327"/>
      <c r="AK335" s="352"/>
      <c r="AL335" s="352"/>
      <c r="AM335" s="327"/>
      <c r="AN335" s="352"/>
      <c r="AO335" s="352"/>
      <c r="AP335" s="327"/>
      <c r="AQ335" s="352"/>
      <c r="AR335" s="327"/>
      <c r="AU335" s="307"/>
      <c r="AX335" s="307"/>
      <c r="BA335" s="307"/>
      <c r="BC335" s="366"/>
      <c r="BD335" s="307"/>
      <c r="BG335" s="307"/>
    </row>
    <row r="336">
      <c r="A336" s="323"/>
      <c r="B336" s="293"/>
      <c r="C336" s="327"/>
      <c r="D336" s="323"/>
      <c r="E336" s="293"/>
      <c r="F336" s="327"/>
      <c r="G336" s="323"/>
      <c r="H336" s="293"/>
      <c r="I336" s="327"/>
      <c r="J336" s="352" t="s">
        <v>1770</v>
      </c>
      <c r="K336" s="352"/>
      <c r="L336" s="327"/>
      <c r="M336" s="352"/>
      <c r="N336" s="352"/>
      <c r="O336" s="327"/>
      <c r="P336" s="352"/>
      <c r="Q336" s="352"/>
      <c r="R336" s="327"/>
      <c r="S336" s="352"/>
      <c r="T336" s="352"/>
      <c r="U336" s="327"/>
      <c r="V336" s="352"/>
      <c r="W336" s="352"/>
      <c r="X336" s="327"/>
      <c r="Y336" s="352"/>
      <c r="Z336" s="352"/>
      <c r="AA336" s="327"/>
      <c r="AB336" s="352"/>
      <c r="AC336" s="352"/>
      <c r="AD336" s="327"/>
      <c r="AE336" s="352"/>
      <c r="AF336" s="352"/>
      <c r="AG336" s="327"/>
      <c r="AH336" s="352"/>
      <c r="AI336" s="352"/>
      <c r="AJ336" s="327"/>
      <c r="AK336" s="352"/>
      <c r="AL336" s="352"/>
      <c r="AM336" s="327"/>
      <c r="AN336" s="352"/>
      <c r="AO336" s="352"/>
      <c r="AP336" s="327"/>
      <c r="AQ336" s="352"/>
      <c r="AR336" s="327"/>
      <c r="AU336" s="307"/>
      <c r="AX336" s="307"/>
      <c r="BA336" s="307"/>
      <c r="BC336" s="366"/>
      <c r="BD336" s="307"/>
      <c r="BG336" s="307"/>
    </row>
    <row r="337">
      <c r="C337" s="327"/>
      <c r="F337" s="327"/>
      <c r="I337" s="327"/>
      <c r="J337" s="352" t="s">
        <v>7338</v>
      </c>
      <c r="K337" s="352"/>
      <c r="L337" s="327"/>
      <c r="M337" s="352"/>
      <c r="N337" s="352"/>
      <c r="O337" s="327"/>
      <c r="P337" s="352"/>
      <c r="Q337" s="352"/>
      <c r="R337" s="327"/>
      <c r="S337" s="352"/>
      <c r="T337" s="352"/>
      <c r="U337" s="327"/>
      <c r="V337" s="352"/>
      <c r="W337" s="352"/>
      <c r="X337" s="327"/>
      <c r="Y337" s="352"/>
      <c r="Z337" s="352"/>
      <c r="AA337" s="327"/>
      <c r="AB337" s="352"/>
      <c r="AC337" s="352"/>
      <c r="AD337" s="327"/>
      <c r="AE337" s="352"/>
      <c r="AF337" s="352"/>
      <c r="AG337" s="327"/>
      <c r="AH337" s="352"/>
      <c r="AI337" s="352"/>
      <c r="AJ337" s="327"/>
      <c r="AK337" s="352"/>
      <c r="AL337" s="352"/>
      <c r="AM337" s="327"/>
      <c r="AN337" s="352"/>
      <c r="AO337" s="352"/>
      <c r="AP337" s="327"/>
      <c r="AQ337" s="352"/>
      <c r="AR337" s="327"/>
      <c r="AU337" s="307"/>
      <c r="AX337" s="307"/>
      <c r="BA337" s="307"/>
      <c r="BC337" s="366"/>
      <c r="BD337" s="307"/>
      <c r="BG337" s="307"/>
    </row>
    <row r="338">
      <c r="A338" s="323"/>
      <c r="B338" s="293"/>
      <c r="C338" s="327"/>
      <c r="D338" s="323"/>
      <c r="E338" s="293"/>
      <c r="F338" s="327"/>
      <c r="G338" s="323"/>
      <c r="H338" s="293"/>
      <c r="I338" s="327"/>
      <c r="J338" s="352" t="s">
        <v>7340</v>
      </c>
      <c r="K338" s="352"/>
      <c r="L338" s="327"/>
      <c r="M338" s="352"/>
      <c r="N338" s="352"/>
      <c r="O338" s="327"/>
      <c r="P338" s="352"/>
      <c r="Q338" s="352"/>
      <c r="R338" s="327"/>
      <c r="S338" s="352"/>
      <c r="T338" s="352"/>
      <c r="U338" s="327"/>
      <c r="V338" s="352"/>
      <c r="W338" s="352"/>
      <c r="X338" s="327"/>
      <c r="Y338" s="352"/>
      <c r="Z338" s="352"/>
      <c r="AA338" s="327"/>
      <c r="AB338" s="352"/>
      <c r="AC338" s="352"/>
      <c r="AD338" s="327"/>
      <c r="AE338" s="352"/>
      <c r="AF338" s="352"/>
      <c r="AG338" s="327"/>
      <c r="AH338" s="352"/>
      <c r="AI338" s="352"/>
      <c r="AJ338" s="327"/>
      <c r="AK338" s="352"/>
      <c r="AL338" s="352"/>
      <c r="AM338" s="327"/>
      <c r="AN338" s="352"/>
      <c r="AO338" s="352"/>
      <c r="AP338" s="327"/>
      <c r="AQ338" s="352"/>
      <c r="AR338" s="327"/>
      <c r="AU338" s="307"/>
      <c r="AX338" s="307"/>
      <c r="BA338" s="307"/>
      <c r="BC338" s="366"/>
      <c r="BD338" s="307"/>
      <c r="BG338" s="307"/>
    </row>
    <row r="339">
      <c r="A339" s="323"/>
      <c r="B339" s="293"/>
      <c r="C339" s="327"/>
      <c r="D339" s="323"/>
      <c r="E339" s="293"/>
      <c r="F339" s="327"/>
      <c r="G339" s="323"/>
      <c r="H339" s="293"/>
      <c r="I339" s="327"/>
      <c r="J339" s="352" t="s">
        <v>7342</v>
      </c>
      <c r="K339" s="352"/>
      <c r="L339" s="327"/>
      <c r="M339" s="352"/>
      <c r="N339" s="352"/>
      <c r="O339" s="327"/>
      <c r="P339" s="352"/>
      <c r="Q339" s="352"/>
      <c r="R339" s="327"/>
      <c r="S339" s="352"/>
      <c r="T339" s="352"/>
      <c r="U339" s="327"/>
      <c r="V339" s="352"/>
      <c r="W339" s="352"/>
      <c r="X339" s="327"/>
      <c r="Y339" s="352"/>
      <c r="Z339" s="352"/>
      <c r="AA339" s="327"/>
      <c r="AB339" s="352"/>
      <c r="AC339" s="352"/>
      <c r="AD339" s="327"/>
      <c r="AE339" s="352"/>
      <c r="AF339" s="352"/>
      <c r="AG339" s="327"/>
      <c r="AH339" s="352"/>
      <c r="AI339" s="352"/>
      <c r="AJ339" s="327"/>
      <c r="AK339" s="352"/>
      <c r="AL339" s="352"/>
      <c r="AM339" s="327"/>
      <c r="AN339" s="352"/>
      <c r="AO339" s="352"/>
      <c r="AP339" s="327"/>
      <c r="AQ339" s="352"/>
      <c r="AR339" s="327"/>
      <c r="AU339" s="307"/>
      <c r="AX339" s="307"/>
      <c r="BA339" s="307"/>
      <c r="BC339" s="366"/>
      <c r="BD339" s="307"/>
      <c r="BG339" s="307"/>
    </row>
    <row r="340">
      <c r="A340" s="323"/>
      <c r="B340" s="293"/>
      <c r="C340" s="327"/>
      <c r="D340" s="323"/>
      <c r="E340" s="293"/>
      <c r="F340" s="327"/>
      <c r="G340" s="323"/>
      <c r="H340" s="293"/>
      <c r="I340" s="327"/>
      <c r="J340" s="352" t="s">
        <v>4411</v>
      </c>
      <c r="K340" s="352"/>
      <c r="L340" s="327"/>
      <c r="M340" s="352"/>
      <c r="N340" s="352"/>
      <c r="O340" s="327"/>
      <c r="P340" s="352"/>
      <c r="Q340" s="352"/>
      <c r="R340" s="327"/>
      <c r="S340" s="352"/>
      <c r="T340" s="352"/>
      <c r="U340" s="327"/>
      <c r="V340" s="352"/>
      <c r="W340" s="352"/>
      <c r="X340" s="327"/>
      <c r="Y340" s="352"/>
      <c r="Z340" s="352"/>
      <c r="AA340" s="327"/>
      <c r="AB340" s="352"/>
      <c r="AC340" s="352"/>
      <c r="AD340" s="327"/>
      <c r="AE340" s="352"/>
      <c r="AF340" s="352"/>
      <c r="AG340" s="327"/>
      <c r="AH340" s="352"/>
      <c r="AI340" s="352"/>
      <c r="AJ340" s="327"/>
      <c r="AK340" s="352"/>
      <c r="AL340" s="352"/>
      <c r="AM340" s="327"/>
      <c r="AN340" s="352"/>
      <c r="AO340" s="352"/>
      <c r="AP340" s="327"/>
      <c r="AQ340" s="352"/>
      <c r="AR340" s="327"/>
      <c r="AU340" s="307"/>
      <c r="AX340" s="307"/>
      <c r="BA340" s="307"/>
      <c r="BC340" s="366"/>
      <c r="BD340" s="307"/>
      <c r="BG340" s="307"/>
    </row>
    <row r="341">
      <c r="A341" s="323"/>
      <c r="B341" s="293"/>
      <c r="C341" s="327"/>
      <c r="D341" s="323"/>
      <c r="E341" s="293"/>
      <c r="F341" s="327"/>
      <c r="G341" s="323"/>
      <c r="H341" s="293"/>
      <c r="I341" s="327"/>
      <c r="J341" s="352" t="s">
        <v>2025</v>
      </c>
      <c r="K341" s="352"/>
      <c r="L341" s="327"/>
      <c r="M341" s="352"/>
      <c r="N341" s="352"/>
      <c r="O341" s="327"/>
      <c r="P341" s="352"/>
      <c r="Q341" s="352"/>
      <c r="R341" s="327"/>
      <c r="S341" s="352"/>
      <c r="T341" s="352"/>
      <c r="U341" s="327"/>
      <c r="V341" s="352"/>
      <c r="W341" s="352"/>
      <c r="X341" s="327"/>
      <c r="Y341" s="352"/>
      <c r="Z341" s="352"/>
      <c r="AA341" s="327"/>
      <c r="AB341" s="352"/>
      <c r="AC341" s="352"/>
      <c r="AD341" s="327"/>
      <c r="AE341" s="352"/>
      <c r="AF341" s="352"/>
      <c r="AG341" s="327"/>
      <c r="AH341" s="352"/>
      <c r="AI341" s="352"/>
      <c r="AJ341" s="327"/>
      <c r="AK341" s="352"/>
      <c r="AL341" s="352"/>
      <c r="AM341" s="327"/>
      <c r="AN341" s="352"/>
      <c r="AO341" s="352"/>
      <c r="AP341" s="327"/>
      <c r="AQ341" s="352"/>
      <c r="AR341" s="327"/>
      <c r="AU341" s="307"/>
      <c r="AX341" s="307"/>
      <c r="BA341" s="307"/>
      <c r="BC341" s="366"/>
      <c r="BD341" s="307"/>
      <c r="BG341" s="307"/>
    </row>
    <row r="342">
      <c r="A342" s="323"/>
      <c r="B342" s="293"/>
      <c r="C342" s="327"/>
      <c r="D342" s="323"/>
      <c r="E342" s="293"/>
      <c r="F342" s="327"/>
      <c r="G342" s="323"/>
      <c r="H342" s="293"/>
      <c r="I342" s="327"/>
      <c r="J342" s="352" t="s">
        <v>404</v>
      </c>
      <c r="K342" s="352"/>
      <c r="L342" s="327"/>
      <c r="M342" s="352"/>
      <c r="N342" s="352"/>
      <c r="O342" s="327"/>
      <c r="P342" s="352"/>
      <c r="Q342" s="352"/>
      <c r="R342" s="327"/>
      <c r="S342" s="352"/>
      <c r="T342" s="352"/>
      <c r="U342" s="327"/>
      <c r="V342" s="352"/>
      <c r="W342" s="352"/>
      <c r="X342" s="327"/>
      <c r="Y342" s="352"/>
      <c r="Z342" s="352"/>
      <c r="AA342" s="327"/>
      <c r="AB342" s="352"/>
      <c r="AC342" s="352"/>
      <c r="AD342" s="327"/>
      <c r="AE342" s="352"/>
      <c r="AF342" s="352"/>
      <c r="AG342" s="327"/>
      <c r="AH342" s="352"/>
      <c r="AI342" s="352"/>
      <c r="AJ342" s="327"/>
      <c r="AK342" s="352"/>
      <c r="AL342" s="352"/>
      <c r="AM342" s="327"/>
      <c r="AN342" s="352"/>
      <c r="AO342" s="352"/>
      <c r="AP342" s="327"/>
      <c r="AQ342" s="352"/>
      <c r="AR342" s="327"/>
      <c r="AU342" s="307"/>
      <c r="AX342" s="307"/>
      <c r="BA342" s="307"/>
      <c r="BC342" s="366"/>
      <c r="BD342" s="307"/>
      <c r="BG342" s="307"/>
    </row>
    <row r="343">
      <c r="A343" s="323"/>
      <c r="B343" s="293"/>
      <c r="C343" s="327"/>
      <c r="D343" s="323"/>
      <c r="E343" s="293"/>
      <c r="F343" s="327"/>
      <c r="G343" s="323"/>
      <c r="H343" s="293"/>
      <c r="I343" s="327"/>
      <c r="J343" s="352" t="s">
        <v>229</v>
      </c>
      <c r="K343" s="352"/>
      <c r="L343" s="327"/>
      <c r="M343" s="352"/>
      <c r="N343" s="352"/>
      <c r="O343" s="327"/>
      <c r="P343" s="352"/>
      <c r="Q343" s="352"/>
      <c r="R343" s="327"/>
      <c r="S343" s="352"/>
      <c r="T343" s="352"/>
      <c r="U343" s="327"/>
      <c r="V343" s="352"/>
      <c r="W343" s="352"/>
      <c r="X343" s="327"/>
      <c r="Y343" s="352"/>
      <c r="Z343" s="352"/>
      <c r="AA343" s="327"/>
      <c r="AB343" s="352"/>
      <c r="AC343" s="352"/>
      <c r="AD343" s="327"/>
      <c r="AE343" s="352"/>
      <c r="AF343" s="352"/>
      <c r="AG343" s="327"/>
      <c r="AH343" s="352"/>
      <c r="AI343" s="352"/>
      <c r="AJ343" s="327"/>
      <c r="AK343" s="352"/>
      <c r="AL343" s="352"/>
      <c r="AM343" s="327"/>
      <c r="AN343" s="352"/>
      <c r="AO343" s="352"/>
      <c r="AP343" s="327"/>
      <c r="AQ343" s="352"/>
      <c r="AR343" s="327"/>
      <c r="AU343" s="307"/>
      <c r="AX343" s="307"/>
      <c r="BA343" s="307"/>
      <c r="BC343" s="366"/>
      <c r="BD343" s="307"/>
      <c r="BG343" s="307"/>
    </row>
    <row r="344">
      <c r="A344" s="323"/>
      <c r="B344" s="293"/>
      <c r="C344" s="327"/>
      <c r="D344" s="323"/>
      <c r="E344" s="293"/>
      <c r="F344" s="327"/>
      <c r="G344" s="323"/>
      <c r="H344" s="293"/>
      <c r="I344" s="327"/>
      <c r="J344" s="352" t="s">
        <v>7344</v>
      </c>
      <c r="K344" s="352"/>
      <c r="L344" s="327"/>
      <c r="M344" s="352"/>
      <c r="N344" s="352"/>
      <c r="O344" s="327"/>
      <c r="P344" s="352"/>
      <c r="Q344" s="352"/>
      <c r="R344" s="327"/>
      <c r="S344" s="352"/>
      <c r="T344" s="352"/>
      <c r="U344" s="327"/>
      <c r="V344" s="352"/>
      <c r="W344" s="352"/>
      <c r="X344" s="327"/>
      <c r="Y344" s="352"/>
      <c r="Z344" s="352"/>
      <c r="AA344" s="327"/>
      <c r="AB344" s="352"/>
      <c r="AC344" s="352"/>
      <c r="AD344" s="327"/>
      <c r="AE344" s="352"/>
      <c r="AF344" s="352"/>
      <c r="AG344" s="327"/>
      <c r="AH344" s="352"/>
      <c r="AI344" s="352"/>
      <c r="AJ344" s="327"/>
      <c r="AK344" s="352"/>
      <c r="AL344" s="352"/>
      <c r="AM344" s="327"/>
      <c r="AN344" s="352"/>
      <c r="AO344" s="352"/>
      <c r="AP344" s="327"/>
      <c r="AQ344" s="352"/>
      <c r="AR344" s="327"/>
      <c r="AU344" s="307"/>
      <c r="AX344" s="307"/>
      <c r="BA344" s="307"/>
      <c r="BC344" s="366"/>
      <c r="BD344" s="307"/>
      <c r="BG344" s="307"/>
    </row>
    <row r="345">
      <c r="A345" s="323"/>
      <c r="B345" s="293"/>
      <c r="C345" s="327"/>
      <c r="D345" s="323"/>
      <c r="E345" s="293"/>
      <c r="F345" s="327"/>
      <c r="G345" s="323"/>
      <c r="H345" s="293"/>
      <c r="I345" s="327"/>
      <c r="J345" s="352" t="s">
        <v>7345</v>
      </c>
      <c r="K345" s="352"/>
      <c r="L345" s="327"/>
      <c r="M345" s="352"/>
      <c r="N345" s="352"/>
      <c r="O345" s="327"/>
      <c r="P345" s="352"/>
      <c r="Q345" s="352"/>
      <c r="R345" s="327"/>
      <c r="S345" s="352"/>
      <c r="T345" s="352"/>
      <c r="U345" s="327"/>
      <c r="V345" s="352"/>
      <c r="W345" s="352"/>
      <c r="X345" s="327"/>
      <c r="Y345" s="352"/>
      <c r="Z345" s="352"/>
      <c r="AA345" s="327"/>
      <c r="AB345" s="352"/>
      <c r="AC345" s="352"/>
      <c r="AD345" s="327"/>
      <c r="AE345" s="352"/>
      <c r="AF345" s="352"/>
      <c r="AG345" s="327"/>
      <c r="AH345" s="352"/>
      <c r="AI345" s="352"/>
      <c r="AJ345" s="327"/>
      <c r="AK345" s="352"/>
      <c r="AL345" s="352"/>
      <c r="AM345" s="327"/>
      <c r="AN345" s="352"/>
      <c r="AO345" s="352"/>
      <c r="AP345" s="327"/>
      <c r="AQ345" s="352"/>
      <c r="AR345" s="327"/>
      <c r="AU345" s="307"/>
      <c r="AX345" s="307"/>
      <c r="BA345" s="307"/>
      <c r="BC345" s="366"/>
      <c r="BD345" s="307"/>
      <c r="BG345" s="307"/>
    </row>
    <row r="346">
      <c r="A346" s="323"/>
      <c r="B346" s="293"/>
      <c r="C346" s="327"/>
      <c r="D346" s="323"/>
      <c r="E346" s="293"/>
      <c r="F346" s="327"/>
      <c r="G346" s="323"/>
      <c r="H346" s="293"/>
      <c r="I346" s="327"/>
      <c r="J346" s="352" t="s">
        <v>4178</v>
      </c>
      <c r="K346" s="352"/>
      <c r="L346" s="327"/>
      <c r="M346" s="352"/>
      <c r="N346" s="352"/>
      <c r="O346" s="327"/>
      <c r="P346" s="352"/>
      <c r="Q346" s="352"/>
      <c r="R346" s="327"/>
      <c r="S346" s="352"/>
      <c r="T346" s="352"/>
      <c r="U346" s="327"/>
      <c r="V346" s="352"/>
      <c r="W346" s="352"/>
      <c r="X346" s="327"/>
      <c r="Y346" s="352"/>
      <c r="Z346" s="352"/>
      <c r="AA346" s="327"/>
      <c r="AB346" s="352"/>
      <c r="AC346" s="352"/>
      <c r="AD346" s="327"/>
      <c r="AE346" s="352"/>
      <c r="AF346" s="352"/>
      <c r="AG346" s="327"/>
      <c r="AH346" s="352"/>
      <c r="AI346" s="352"/>
      <c r="AJ346" s="327"/>
      <c r="AK346" s="352"/>
      <c r="AL346" s="352"/>
      <c r="AM346" s="327"/>
      <c r="AN346" s="352"/>
      <c r="AO346" s="352"/>
      <c r="AP346" s="327"/>
      <c r="AQ346" s="352"/>
      <c r="AR346" s="327"/>
      <c r="AU346" s="307"/>
      <c r="AX346" s="307"/>
      <c r="BA346" s="307"/>
      <c r="BC346" s="366"/>
      <c r="BD346" s="307"/>
      <c r="BG346" s="307"/>
    </row>
    <row r="347">
      <c r="A347" s="323"/>
      <c r="B347" s="293"/>
      <c r="C347" s="327"/>
      <c r="D347" s="323"/>
      <c r="E347" s="293"/>
      <c r="F347" s="327"/>
      <c r="G347" s="323"/>
      <c r="H347" s="293"/>
      <c r="I347" s="327"/>
      <c r="J347" s="352" t="s">
        <v>4178</v>
      </c>
      <c r="K347" s="352"/>
      <c r="L347" s="327"/>
      <c r="M347" s="352"/>
      <c r="N347" s="352"/>
      <c r="O347" s="327"/>
      <c r="P347" s="352"/>
      <c r="Q347" s="352"/>
      <c r="R347" s="327"/>
      <c r="S347" s="352"/>
      <c r="T347" s="352"/>
      <c r="U347" s="327"/>
      <c r="V347" s="352"/>
      <c r="W347" s="352"/>
      <c r="X347" s="327"/>
      <c r="Y347" s="352"/>
      <c r="Z347" s="352"/>
      <c r="AA347" s="327"/>
      <c r="AB347" s="352"/>
      <c r="AC347" s="352"/>
      <c r="AD347" s="327"/>
      <c r="AE347" s="352"/>
      <c r="AF347" s="352"/>
      <c r="AG347" s="327"/>
      <c r="AH347" s="352"/>
      <c r="AI347" s="352"/>
      <c r="AJ347" s="327"/>
      <c r="AK347" s="352"/>
      <c r="AL347" s="352"/>
      <c r="AM347" s="327"/>
      <c r="AN347" s="352"/>
      <c r="AO347" s="352"/>
      <c r="AP347" s="327"/>
      <c r="AQ347" s="352"/>
      <c r="AR347" s="327"/>
      <c r="AU347" s="307"/>
      <c r="AX347" s="307"/>
      <c r="BA347" s="307"/>
      <c r="BC347" s="366"/>
      <c r="BD347" s="307"/>
      <c r="BG347" s="307"/>
    </row>
    <row r="348">
      <c r="A348" s="352"/>
      <c r="B348" s="352"/>
      <c r="C348" s="327"/>
      <c r="D348" s="352"/>
      <c r="E348" s="352"/>
      <c r="F348" s="327"/>
      <c r="G348" s="352"/>
      <c r="H348" s="352"/>
      <c r="I348" s="327"/>
      <c r="J348" s="352" t="s">
        <v>7347</v>
      </c>
      <c r="K348" s="352"/>
      <c r="L348" s="327"/>
      <c r="M348" s="352"/>
      <c r="N348" s="352"/>
      <c r="O348" s="327"/>
      <c r="P348" s="352"/>
      <c r="Q348" s="352"/>
      <c r="R348" s="327"/>
      <c r="S348" s="352"/>
      <c r="T348" s="352"/>
      <c r="U348" s="327"/>
      <c r="V348" s="352"/>
      <c r="W348" s="352"/>
      <c r="X348" s="327"/>
      <c r="Y348" s="352"/>
      <c r="Z348" s="352"/>
      <c r="AA348" s="327"/>
      <c r="AB348" s="352"/>
      <c r="AC348" s="352"/>
      <c r="AD348" s="327"/>
      <c r="AE348" s="352"/>
      <c r="AF348" s="352"/>
      <c r="AG348" s="327"/>
      <c r="AH348" s="352"/>
      <c r="AI348" s="352"/>
      <c r="AJ348" s="327"/>
      <c r="AK348" s="352"/>
      <c r="AL348" s="352"/>
      <c r="AM348" s="327"/>
      <c r="AN348" s="352"/>
      <c r="AO348" s="352"/>
      <c r="AP348" s="327"/>
      <c r="AQ348" s="352"/>
      <c r="AR348" s="327"/>
      <c r="AU348" s="307"/>
      <c r="AX348" s="307"/>
      <c r="BA348" s="307"/>
      <c r="BC348" s="366"/>
      <c r="BD348" s="307"/>
      <c r="BG348" s="307"/>
    </row>
    <row r="349">
      <c r="A349" s="352"/>
      <c r="B349" s="352"/>
      <c r="C349" s="327"/>
      <c r="D349" s="352"/>
      <c r="E349" s="352"/>
      <c r="F349" s="327"/>
      <c r="G349" s="352"/>
      <c r="H349" s="352"/>
      <c r="I349" s="327"/>
      <c r="J349" s="352" t="s">
        <v>7348</v>
      </c>
      <c r="K349" s="352"/>
      <c r="L349" s="327"/>
      <c r="M349" s="352"/>
      <c r="N349" s="352"/>
      <c r="O349" s="327"/>
      <c r="P349" s="352"/>
      <c r="Q349" s="352"/>
      <c r="R349" s="327"/>
      <c r="S349" s="352"/>
      <c r="T349" s="352"/>
      <c r="U349" s="327"/>
      <c r="V349" s="352"/>
      <c r="W349" s="352"/>
      <c r="X349" s="327"/>
      <c r="Y349" s="352"/>
      <c r="Z349" s="352"/>
      <c r="AA349" s="327"/>
      <c r="AB349" s="352"/>
      <c r="AC349" s="352"/>
      <c r="AD349" s="327"/>
      <c r="AE349" s="352"/>
      <c r="AF349" s="352"/>
      <c r="AG349" s="327"/>
      <c r="AH349" s="352"/>
      <c r="AI349" s="352"/>
      <c r="AJ349" s="327"/>
      <c r="AK349" s="352"/>
      <c r="AL349" s="352"/>
      <c r="AM349" s="327"/>
      <c r="AN349" s="352"/>
      <c r="AO349" s="352"/>
      <c r="AP349" s="327"/>
      <c r="AQ349" s="352"/>
      <c r="AR349" s="327"/>
      <c r="AU349" s="307"/>
      <c r="AX349" s="307"/>
      <c r="BA349" s="307"/>
      <c r="BC349" s="366"/>
      <c r="BD349" s="307"/>
      <c r="BG349" s="307"/>
    </row>
    <row r="350">
      <c r="A350" s="352"/>
      <c r="B350" s="352"/>
      <c r="C350" s="327"/>
      <c r="D350" s="352"/>
      <c r="E350" s="352"/>
      <c r="F350" s="327"/>
      <c r="G350" s="352"/>
      <c r="H350" s="352"/>
      <c r="I350" s="327"/>
      <c r="J350" s="352" t="s">
        <v>7349</v>
      </c>
      <c r="K350" s="352"/>
      <c r="L350" s="327"/>
      <c r="M350" s="352"/>
      <c r="N350" s="352"/>
      <c r="O350" s="327"/>
      <c r="P350" s="352"/>
      <c r="Q350" s="352"/>
      <c r="R350" s="327"/>
      <c r="S350" s="352"/>
      <c r="T350" s="352"/>
      <c r="U350" s="327"/>
      <c r="V350" s="352"/>
      <c r="W350" s="352"/>
      <c r="X350" s="327"/>
      <c r="Y350" s="352"/>
      <c r="Z350" s="352"/>
      <c r="AA350" s="327"/>
      <c r="AB350" s="352"/>
      <c r="AC350" s="352"/>
      <c r="AD350" s="327"/>
      <c r="AE350" s="352"/>
      <c r="AF350" s="352"/>
      <c r="AG350" s="327"/>
      <c r="AH350" s="352"/>
      <c r="AI350" s="352"/>
      <c r="AJ350" s="327"/>
      <c r="AK350" s="352"/>
      <c r="AL350" s="352"/>
      <c r="AM350" s="327"/>
      <c r="AN350" s="352"/>
      <c r="AO350" s="352"/>
      <c r="AP350" s="327"/>
      <c r="AQ350" s="352"/>
      <c r="AR350" s="327"/>
      <c r="AU350" s="307"/>
      <c r="AX350" s="307"/>
      <c r="BA350" s="307"/>
      <c r="BC350" s="366"/>
      <c r="BD350" s="307"/>
      <c r="BG350" s="307"/>
    </row>
    <row r="351">
      <c r="A351" s="352"/>
      <c r="B351" s="352"/>
      <c r="C351" s="327"/>
      <c r="D351" s="352"/>
      <c r="E351" s="352"/>
      <c r="F351" s="327"/>
      <c r="G351" s="352"/>
      <c r="H351" s="352"/>
      <c r="I351" s="327"/>
      <c r="J351" s="352" t="s">
        <v>6919</v>
      </c>
      <c r="K351" s="352"/>
      <c r="L351" s="327"/>
      <c r="M351" s="352"/>
      <c r="N351" s="352"/>
      <c r="O351" s="327"/>
      <c r="P351" s="352"/>
      <c r="Q351" s="352"/>
      <c r="R351" s="327"/>
      <c r="S351" s="352"/>
      <c r="T351" s="352"/>
      <c r="U351" s="327"/>
      <c r="V351" s="352"/>
      <c r="W351" s="352"/>
      <c r="X351" s="327"/>
      <c r="Y351" s="352"/>
      <c r="Z351" s="352"/>
      <c r="AA351" s="327"/>
      <c r="AB351" s="352"/>
      <c r="AC351" s="352"/>
      <c r="AD351" s="327"/>
      <c r="AE351" s="352"/>
      <c r="AF351" s="352"/>
      <c r="AG351" s="327"/>
      <c r="AH351" s="352"/>
      <c r="AI351" s="352"/>
      <c r="AJ351" s="327"/>
      <c r="AK351" s="352"/>
      <c r="AL351" s="352"/>
      <c r="AM351" s="327"/>
      <c r="AN351" s="352"/>
      <c r="AO351" s="352"/>
      <c r="AP351" s="327"/>
      <c r="AQ351" s="352"/>
      <c r="AR351" s="327"/>
      <c r="AU351" s="307"/>
      <c r="AX351" s="307"/>
      <c r="BA351" s="307"/>
      <c r="BC351" s="366"/>
      <c r="BD351" s="307"/>
      <c r="BG351" s="307"/>
    </row>
    <row r="352">
      <c r="A352" s="352"/>
      <c r="B352" s="352"/>
      <c r="C352" s="327"/>
      <c r="D352" s="352"/>
      <c r="E352" s="352"/>
      <c r="F352" s="327"/>
      <c r="G352" s="352"/>
      <c r="H352" s="352"/>
      <c r="I352" s="327"/>
      <c r="J352" s="352" t="s">
        <v>7352</v>
      </c>
      <c r="K352" s="352"/>
      <c r="L352" s="327"/>
      <c r="M352" s="352"/>
      <c r="N352" s="352"/>
      <c r="O352" s="327"/>
      <c r="P352" s="352"/>
      <c r="Q352" s="352"/>
      <c r="R352" s="327"/>
      <c r="S352" s="352"/>
      <c r="T352" s="352"/>
      <c r="U352" s="327"/>
      <c r="V352" s="352"/>
      <c r="W352" s="352"/>
      <c r="X352" s="327"/>
      <c r="Y352" s="352"/>
      <c r="Z352" s="352"/>
      <c r="AA352" s="327"/>
      <c r="AB352" s="352"/>
      <c r="AC352" s="352"/>
      <c r="AD352" s="327"/>
      <c r="AE352" s="352"/>
      <c r="AF352" s="352"/>
      <c r="AG352" s="327"/>
      <c r="AH352" s="352"/>
      <c r="AI352" s="352"/>
      <c r="AJ352" s="327"/>
      <c r="AK352" s="352"/>
      <c r="AL352" s="352"/>
      <c r="AM352" s="327"/>
      <c r="AN352" s="352"/>
      <c r="AO352" s="352"/>
      <c r="AP352" s="327"/>
      <c r="AQ352" s="352"/>
      <c r="AR352" s="327"/>
      <c r="AU352" s="307"/>
      <c r="AX352" s="307"/>
      <c r="BA352" s="307"/>
      <c r="BC352" s="366"/>
      <c r="BD352" s="307"/>
      <c r="BG352" s="307"/>
    </row>
    <row r="353">
      <c r="A353" s="352"/>
      <c r="B353" s="352"/>
      <c r="C353" s="327"/>
      <c r="D353" s="352"/>
      <c r="E353" s="352"/>
      <c r="F353" s="327"/>
      <c r="G353" s="352"/>
      <c r="H353" s="352"/>
      <c r="I353" s="327"/>
      <c r="J353" s="352" t="s">
        <v>7354</v>
      </c>
      <c r="K353" s="352"/>
      <c r="L353" s="327"/>
      <c r="M353" s="352"/>
      <c r="N353" s="352"/>
      <c r="O353" s="327"/>
      <c r="P353" s="352"/>
      <c r="Q353" s="352"/>
      <c r="R353" s="327"/>
      <c r="S353" s="352"/>
      <c r="T353" s="352"/>
      <c r="U353" s="327"/>
      <c r="V353" s="352"/>
      <c r="W353" s="352"/>
      <c r="X353" s="327"/>
      <c r="Y353" s="352"/>
      <c r="Z353" s="352"/>
      <c r="AA353" s="327"/>
      <c r="AB353" s="352"/>
      <c r="AC353" s="352"/>
      <c r="AD353" s="327"/>
      <c r="AE353" s="352"/>
      <c r="AF353" s="352"/>
      <c r="AG353" s="327"/>
      <c r="AH353" s="352"/>
      <c r="AI353" s="352"/>
      <c r="AJ353" s="327"/>
      <c r="AK353" s="352"/>
      <c r="AL353" s="352"/>
      <c r="AM353" s="327"/>
      <c r="AN353" s="352"/>
      <c r="AO353" s="352"/>
      <c r="AP353" s="327"/>
      <c r="AQ353" s="352"/>
      <c r="AR353" s="327"/>
      <c r="AU353" s="307"/>
      <c r="AX353" s="307"/>
      <c r="BA353" s="307"/>
      <c r="BC353" s="366"/>
      <c r="BD353" s="307"/>
      <c r="BG353" s="307"/>
    </row>
    <row r="354">
      <c r="A354" s="352"/>
      <c r="B354" s="352"/>
      <c r="C354" s="327"/>
      <c r="D354" s="352"/>
      <c r="E354" s="352"/>
      <c r="F354" s="327"/>
      <c r="G354" s="352"/>
      <c r="H354" s="352"/>
      <c r="I354" s="327"/>
      <c r="J354" s="352" t="s">
        <v>7355</v>
      </c>
      <c r="K354" s="352"/>
      <c r="L354" s="327"/>
      <c r="M354" s="352"/>
      <c r="N354" s="352"/>
      <c r="O354" s="327"/>
      <c r="P354" s="352"/>
      <c r="Q354" s="352"/>
      <c r="R354" s="327"/>
      <c r="S354" s="352"/>
      <c r="T354" s="352"/>
      <c r="U354" s="327"/>
      <c r="V354" s="352"/>
      <c r="W354" s="352"/>
      <c r="X354" s="327"/>
      <c r="Y354" s="352"/>
      <c r="Z354" s="352"/>
      <c r="AA354" s="327"/>
      <c r="AB354" s="352"/>
      <c r="AC354" s="352"/>
      <c r="AD354" s="327"/>
      <c r="AE354" s="352"/>
      <c r="AF354" s="352"/>
      <c r="AG354" s="327"/>
      <c r="AH354" s="352"/>
      <c r="AI354" s="352"/>
      <c r="AJ354" s="327"/>
      <c r="AK354" s="352"/>
      <c r="AL354" s="352"/>
      <c r="AM354" s="327"/>
      <c r="AN354" s="352"/>
      <c r="AO354" s="352"/>
      <c r="AP354" s="327"/>
      <c r="AQ354" s="352"/>
      <c r="AR354" s="327"/>
      <c r="AU354" s="307"/>
      <c r="AX354" s="307"/>
      <c r="BA354" s="307"/>
      <c r="BC354" s="366"/>
      <c r="BD354" s="307"/>
      <c r="BG354" s="307"/>
    </row>
    <row r="355">
      <c r="A355" s="352"/>
      <c r="B355" s="352"/>
      <c r="C355" s="327"/>
      <c r="D355" s="352"/>
      <c r="E355" s="352"/>
      <c r="F355" s="327"/>
      <c r="G355" s="352"/>
      <c r="H355" s="352"/>
      <c r="I355" s="327"/>
      <c r="J355" s="352"/>
      <c r="K355" s="352"/>
      <c r="L355" s="327"/>
      <c r="M355" s="352"/>
      <c r="N355" s="352"/>
      <c r="O355" s="327"/>
      <c r="P355" s="352"/>
      <c r="Q355" s="352"/>
      <c r="R355" s="327"/>
      <c r="S355" s="352"/>
      <c r="T355" s="352"/>
      <c r="U355" s="327"/>
      <c r="V355" s="352"/>
      <c r="W355" s="352"/>
      <c r="X355" s="327"/>
      <c r="Y355" s="352"/>
      <c r="Z355" s="352"/>
      <c r="AA355" s="327"/>
      <c r="AB355" s="352"/>
      <c r="AC355" s="352"/>
      <c r="AD355" s="327"/>
      <c r="AE355" s="352"/>
      <c r="AF355" s="352"/>
      <c r="AG355" s="327"/>
      <c r="AH355" s="352"/>
      <c r="AI355" s="352"/>
      <c r="AJ355" s="327"/>
      <c r="AK355" s="352"/>
      <c r="AL355" s="352"/>
      <c r="AM355" s="327"/>
      <c r="AN355" s="352"/>
      <c r="AO355" s="352"/>
      <c r="AP355" s="327"/>
      <c r="AQ355" s="352"/>
      <c r="AR355" s="327"/>
      <c r="AU355" s="307"/>
      <c r="AX355" s="307"/>
      <c r="BA355" s="307"/>
      <c r="BC355" s="366"/>
      <c r="BD355" s="307"/>
      <c r="BG355" s="307"/>
    </row>
    <row r="356">
      <c r="B356" s="352"/>
      <c r="C356" s="327"/>
      <c r="E356" s="352"/>
      <c r="F356" s="327"/>
      <c r="H356" s="352"/>
      <c r="I356" s="327"/>
      <c r="J356" s="352"/>
      <c r="K356" s="352"/>
      <c r="L356" s="327"/>
      <c r="M356" s="352"/>
      <c r="N356" s="352"/>
      <c r="O356" s="327"/>
      <c r="P356" s="352"/>
      <c r="Q356" s="352"/>
      <c r="R356" s="327"/>
      <c r="S356" s="352"/>
      <c r="T356" s="352"/>
      <c r="U356" s="327"/>
      <c r="V356" s="352"/>
      <c r="W356" s="352"/>
      <c r="X356" s="327"/>
      <c r="Y356" s="352"/>
      <c r="Z356" s="352"/>
      <c r="AA356" s="327"/>
      <c r="AB356" s="352"/>
      <c r="AC356" s="352"/>
      <c r="AD356" s="327"/>
      <c r="AE356" s="352"/>
      <c r="AF356" s="352"/>
      <c r="AG356" s="327"/>
      <c r="AH356" s="352"/>
      <c r="AI356" s="352"/>
      <c r="AJ356" s="327"/>
      <c r="AK356" s="352"/>
      <c r="AL356" s="352"/>
      <c r="AM356" s="327"/>
      <c r="AN356" s="352"/>
      <c r="AO356" s="352"/>
      <c r="AP356" s="327"/>
      <c r="AQ356" s="352"/>
      <c r="AR356" s="327"/>
      <c r="AU356" s="307"/>
      <c r="AX356" s="307"/>
      <c r="BA356" s="307"/>
      <c r="BC356" s="366"/>
      <c r="BD356" s="307"/>
      <c r="BG356" s="307"/>
    </row>
    <row r="357">
      <c r="B357" s="352"/>
      <c r="C357" s="327"/>
      <c r="E357" s="352"/>
      <c r="F357" s="327"/>
      <c r="H357" s="352"/>
      <c r="I357" s="327"/>
      <c r="J357" s="352"/>
      <c r="K357" s="352"/>
      <c r="L357" s="327"/>
      <c r="M357" s="352"/>
      <c r="N357" s="352"/>
      <c r="O357" s="327"/>
      <c r="P357" s="352"/>
      <c r="Q357" s="352"/>
      <c r="R357" s="327"/>
      <c r="S357" s="352"/>
      <c r="T357" s="352"/>
      <c r="U357" s="327"/>
      <c r="V357" s="352"/>
      <c r="W357" s="352"/>
      <c r="X357" s="327"/>
      <c r="Y357" s="352"/>
      <c r="Z357" s="352"/>
      <c r="AA357" s="327"/>
      <c r="AB357" s="352"/>
      <c r="AC357" s="352"/>
      <c r="AD357" s="327"/>
      <c r="AE357" s="352"/>
      <c r="AF357" s="352"/>
      <c r="AG357" s="327"/>
      <c r="AH357" s="352"/>
      <c r="AI357" s="352"/>
      <c r="AJ357" s="327"/>
      <c r="AK357" s="352"/>
      <c r="AL357" s="352"/>
      <c r="AM357" s="327"/>
      <c r="AN357" s="352"/>
      <c r="AO357" s="352"/>
      <c r="AP357" s="327"/>
      <c r="AQ357" s="352"/>
      <c r="AR357" s="327"/>
      <c r="AU357" s="307"/>
      <c r="AX357" s="307"/>
      <c r="BA357" s="307"/>
      <c r="BC357" s="366"/>
      <c r="BD357" s="307"/>
      <c r="BG357" s="307"/>
    </row>
    <row r="358">
      <c r="B358" s="352"/>
      <c r="C358" s="327"/>
      <c r="E358" s="352"/>
      <c r="F358" s="327"/>
      <c r="H358" s="352"/>
      <c r="I358" s="327"/>
      <c r="J358" s="352"/>
      <c r="K358" s="352"/>
      <c r="L358" s="327"/>
      <c r="M358" s="352"/>
      <c r="N358" s="352"/>
      <c r="O358" s="327"/>
      <c r="P358" s="352"/>
      <c r="Q358" s="352"/>
      <c r="R358" s="327"/>
      <c r="S358" s="352"/>
      <c r="T358" s="352"/>
      <c r="U358" s="327"/>
      <c r="V358" s="352"/>
      <c r="W358" s="352"/>
      <c r="X358" s="327"/>
      <c r="Y358" s="352"/>
      <c r="Z358" s="352"/>
      <c r="AA358" s="327"/>
      <c r="AB358" s="352"/>
      <c r="AC358" s="352"/>
      <c r="AD358" s="327"/>
      <c r="AE358" s="352"/>
      <c r="AF358" s="352"/>
      <c r="AG358" s="327"/>
      <c r="AH358" s="352"/>
      <c r="AI358" s="352"/>
      <c r="AJ358" s="327"/>
      <c r="AK358" s="352"/>
      <c r="AL358" s="352"/>
      <c r="AM358" s="327"/>
      <c r="AN358" s="352"/>
      <c r="AO358" s="352"/>
      <c r="AP358" s="327"/>
      <c r="AQ358" s="352"/>
      <c r="AR358" s="327"/>
      <c r="AU358" s="307"/>
      <c r="AX358" s="307"/>
      <c r="BA358" s="307"/>
      <c r="BC358" s="366"/>
      <c r="BD358" s="307"/>
      <c r="BG358" s="307"/>
    </row>
    <row r="359">
      <c r="B359" s="352"/>
      <c r="C359" s="327"/>
      <c r="E359" s="352"/>
      <c r="F359" s="327"/>
      <c r="H359" s="352"/>
      <c r="I359" s="327"/>
      <c r="J359" s="352"/>
      <c r="K359" s="352"/>
      <c r="L359" s="327"/>
      <c r="M359" s="352"/>
      <c r="N359" s="352"/>
      <c r="O359" s="327"/>
      <c r="P359" s="352"/>
      <c r="Q359" s="352"/>
      <c r="R359" s="327"/>
      <c r="S359" s="352"/>
      <c r="T359" s="352"/>
      <c r="U359" s="327"/>
      <c r="V359" s="352"/>
      <c r="W359" s="352"/>
      <c r="X359" s="327"/>
      <c r="Y359" s="352"/>
      <c r="Z359" s="352"/>
      <c r="AA359" s="327"/>
      <c r="AB359" s="352"/>
      <c r="AC359" s="352"/>
      <c r="AD359" s="327"/>
      <c r="AE359" s="352"/>
      <c r="AF359" s="352"/>
      <c r="AG359" s="327"/>
      <c r="AH359" s="352"/>
      <c r="AI359" s="352"/>
      <c r="AJ359" s="327"/>
      <c r="AK359" s="352"/>
      <c r="AL359" s="352"/>
      <c r="AM359" s="327"/>
      <c r="AN359" s="352"/>
      <c r="AO359" s="352"/>
      <c r="AP359" s="327"/>
      <c r="AQ359" s="352"/>
      <c r="AR359" s="327"/>
      <c r="AU359" s="307"/>
      <c r="AX359" s="307"/>
      <c r="BA359" s="307"/>
      <c r="BC359" s="366"/>
      <c r="BD359" s="307"/>
      <c r="BG359" s="307"/>
    </row>
    <row r="360">
      <c r="B360" s="352"/>
      <c r="C360" s="327"/>
      <c r="E360" s="352"/>
      <c r="F360" s="327"/>
      <c r="H360" s="352"/>
      <c r="I360" s="327"/>
      <c r="J360" s="352"/>
      <c r="K360" s="352"/>
      <c r="L360" s="327"/>
      <c r="M360" s="352"/>
      <c r="N360" s="352"/>
      <c r="O360" s="327"/>
      <c r="P360" s="352"/>
      <c r="Q360" s="352"/>
      <c r="R360" s="327"/>
      <c r="S360" s="352"/>
      <c r="T360" s="352"/>
      <c r="U360" s="327"/>
      <c r="V360" s="352"/>
      <c r="W360" s="352"/>
      <c r="X360" s="327"/>
      <c r="Y360" s="352"/>
      <c r="Z360" s="352"/>
      <c r="AA360" s="327"/>
      <c r="AB360" s="352"/>
      <c r="AC360" s="352"/>
      <c r="AD360" s="327"/>
      <c r="AE360" s="352"/>
      <c r="AF360" s="352"/>
      <c r="AG360" s="327"/>
      <c r="AH360" s="352"/>
      <c r="AI360" s="352"/>
      <c r="AJ360" s="327"/>
      <c r="AK360" s="352"/>
      <c r="AL360" s="352"/>
      <c r="AM360" s="327"/>
      <c r="AN360" s="352"/>
      <c r="AO360" s="352"/>
      <c r="AP360" s="327"/>
      <c r="AQ360" s="352"/>
      <c r="AR360" s="327"/>
      <c r="AU360" s="307"/>
      <c r="AX360" s="307"/>
      <c r="BA360" s="307"/>
      <c r="BC360" s="366"/>
      <c r="BD360" s="307"/>
      <c r="BG360" s="307"/>
    </row>
    <row r="361">
      <c r="B361" s="352"/>
      <c r="C361" s="327"/>
      <c r="E361" s="352"/>
      <c r="F361" s="327"/>
      <c r="H361" s="352"/>
      <c r="I361" s="327"/>
      <c r="J361" s="352"/>
      <c r="K361" s="352"/>
      <c r="L361" s="327"/>
      <c r="M361" s="352"/>
      <c r="N361" s="352"/>
      <c r="O361" s="327"/>
      <c r="P361" s="352"/>
      <c r="Q361" s="352"/>
      <c r="R361" s="327"/>
      <c r="S361" s="352"/>
      <c r="T361" s="352"/>
      <c r="U361" s="327"/>
      <c r="V361" s="352"/>
      <c r="W361" s="352"/>
      <c r="X361" s="327"/>
      <c r="Y361" s="352"/>
      <c r="Z361" s="352"/>
      <c r="AA361" s="327"/>
      <c r="AB361" s="352"/>
      <c r="AC361" s="352"/>
      <c r="AD361" s="327"/>
      <c r="AE361" s="352"/>
      <c r="AF361" s="352"/>
      <c r="AG361" s="327"/>
      <c r="AH361" s="352"/>
      <c r="AI361" s="352"/>
      <c r="AJ361" s="327"/>
      <c r="AK361" s="352"/>
      <c r="AL361" s="352"/>
      <c r="AM361" s="327"/>
      <c r="AN361" s="352"/>
      <c r="AO361" s="352"/>
      <c r="AP361" s="327"/>
      <c r="AQ361" s="352"/>
      <c r="AR361" s="327"/>
      <c r="AU361" s="307"/>
      <c r="AX361" s="307"/>
      <c r="BA361" s="307"/>
      <c r="BC361" s="366"/>
      <c r="BD361" s="307"/>
      <c r="BG361" s="307"/>
    </row>
    <row r="362">
      <c r="B362" s="352"/>
      <c r="C362" s="327"/>
      <c r="E362" s="352"/>
      <c r="F362" s="327"/>
      <c r="H362" s="352"/>
      <c r="I362" s="327"/>
      <c r="J362" s="352"/>
      <c r="K362" s="352"/>
      <c r="L362" s="327"/>
      <c r="M362" s="352"/>
      <c r="N362" s="352"/>
      <c r="O362" s="327"/>
      <c r="P362" s="352"/>
      <c r="Q362" s="352"/>
      <c r="R362" s="327"/>
      <c r="S362" s="352"/>
      <c r="T362" s="352"/>
      <c r="U362" s="327"/>
      <c r="V362" s="352"/>
      <c r="W362" s="352"/>
      <c r="X362" s="327"/>
      <c r="Y362" s="352"/>
      <c r="Z362" s="352"/>
      <c r="AA362" s="327"/>
      <c r="AB362" s="352"/>
      <c r="AC362" s="352"/>
      <c r="AD362" s="327"/>
      <c r="AE362" s="352"/>
      <c r="AF362" s="352"/>
      <c r="AG362" s="327"/>
      <c r="AH362" s="352"/>
      <c r="AI362" s="352"/>
      <c r="AJ362" s="327"/>
      <c r="AK362" s="352"/>
      <c r="AL362" s="352"/>
      <c r="AM362" s="327"/>
      <c r="AN362" s="352"/>
      <c r="AO362" s="352"/>
      <c r="AP362" s="327"/>
      <c r="AQ362" s="352"/>
      <c r="AR362" s="327"/>
      <c r="AU362" s="307"/>
      <c r="AX362" s="307"/>
      <c r="BA362" s="307"/>
      <c r="BC362" s="366"/>
      <c r="BD362" s="307"/>
      <c r="BG362" s="307"/>
    </row>
    <row r="363">
      <c r="B363" s="352"/>
      <c r="C363" s="327"/>
      <c r="E363" s="352"/>
      <c r="F363" s="327"/>
      <c r="H363" s="352"/>
      <c r="I363" s="327"/>
      <c r="J363" s="352"/>
      <c r="K363" s="352"/>
      <c r="L363" s="327"/>
      <c r="M363" s="352"/>
      <c r="N363" s="352"/>
      <c r="O363" s="327"/>
      <c r="P363" s="352"/>
      <c r="Q363" s="352"/>
      <c r="R363" s="327"/>
      <c r="S363" s="352"/>
      <c r="T363" s="352"/>
      <c r="U363" s="327"/>
      <c r="V363" s="352"/>
      <c r="W363" s="352"/>
      <c r="X363" s="327"/>
      <c r="Y363" s="352"/>
      <c r="Z363" s="352"/>
      <c r="AA363" s="327"/>
      <c r="AB363" s="352"/>
      <c r="AC363" s="352"/>
      <c r="AD363" s="327"/>
      <c r="AE363" s="352"/>
      <c r="AF363" s="352"/>
      <c r="AG363" s="327"/>
      <c r="AH363" s="352"/>
      <c r="AI363" s="352"/>
      <c r="AJ363" s="327"/>
      <c r="AK363" s="352"/>
      <c r="AL363" s="352"/>
      <c r="AM363" s="327"/>
      <c r="AN363" s="352"/>
      <c r="AO363" s="352"/>
      <c r="AP363" s="327"/>
      <c r="AQ363" s="352"/>
      <c r="AR363" s="327"/>
      <c r="AU363" s="307"/>
      <c r="AX363" s="307"/>
      <c r="BA363" s="307"/>
      <c r="BC363" s="366"/>
      <c r="BD363" s="307"/>
      <c r="BG363" s="307"/>
    </row>
    <row r="364">
      <c r="B364" s="352"/>
      <c r="C364" s="327"/>
      <c r="E364" s="352"/>
      <c r="F364" s="327"/>
      <c r="H364" s="352"/>
      <c r="I364" s="327"/>
      <c r="J364" s="352"/>
      <c r="K364" s="352"/>
      <c r="L364" s="327"/>
      <c r="M364" s="352"/>
      <c r="N364" s="352"/>
      <c r="O364" s="327"/>
      <c r="P364" s="352"/>
      <c r="Q364" s="352"/>
      <c r="R364" s="327"/>
      <c r="S364" s="352"/>
      <c r="T364" s="352"/>
      <c r="U364" s="327"/>
      <c r="V364" s="352"/>
      <c r="W364" s="352"/>
      <c r="X364" s="327"/>
      <c r="Y364" s="352"/>
      <c r="Z364" s="352"/>
      <c r="AA364" s="327"/>
      <c r="AB364" s="352"/>
      <c r="AC364" s="352"/>
      <c r="AD364" s="327"/>
      <c r="AE364" s="352"/>
      <c r="AF364" s="352"/>
      <c r="AG364" s="327"/>
      <c r="AH364" s="352"/>
      <c r="AI364" s="352"/>
      <c r="AJ364" s="327"/>
      <c r="AK364" s="352"/>
      <c r="AL364" s="352"/>
      <c r="AM364" s="327"/>
      <c r="AN364" s="352"/>
      <c r="AO364" s="352"/>
      <c r="AP364" s="327"/>
      <c r="AQ364" s="352"/>
      <c r="AR364" s="327"/>
      <c r="AU364" s="307"/>
      <c r="AX364" s="307"/>
      <c r="BA364" s="307"/>
      <c r="BC364" s="366"/>
      <c r="BD364" s="307"/>
      <c r="BG364" s="307"/>
    </row>
    <row r="365">
      <c r="B365" s="352"/>
      <c r="C365" s="327"/>
      <c r="E365" s="352"/>
      <c r="F365" s="327"/>
      <c r="H365" s="352"/>
      <c r="I365" s="327"/>
      <c r="J365" s="352"/>
      <c r="K365" s="352"/>
      <c r="L365" s="327"/>
      <c r="M365" s="352"/>
      <c r="N365" s="352"/>
      <c r="O365" s="327"/>
      <c r="P365" s="352"/>
      <c r="Q365" s="352"/>
      <c r="R365" s="327"/>
      <c r="S365" s="352"/>
      <c r="T365" s="352"/>
      <c r="U365" s="327"/>
      <c r="V365" s="352"/>
      <c r="W365" s="352"/>
      <c r="X365" s="327"/>
      <c r="Y365" s="352"/>
      <c r="Z365" s="352"/>
      <c r="AA365" s="327"/>
      <c r="AB365" s="352"/>
      <c r="AC365" s="352"/>
      <c r="AD365" s="327"/>
      <c r="AE365" s="352"/>
      <c r="AF365" s="352"/>
      <c r="AG365" s="327"/>
      <c r="AH365" s="352"/>
      <c r="AI365" s="352"/>
      <c r="AJ365" s="327"/>
      <c r="AK365" s="352"/>
      <c r="AL365" s="352"/>
      <c r="AM365" s="327"/>
      <c r="AN365" s="352"/>
      <c r="AO365" s="352"/>
      <c r="AP365" s="327"/>
      <c r="AQ365" s="352"/>
      <c r="AR365" s="327"/>
      <c r="AU365" s="307"/>
      <c r="AX365" s="307"/>
      <c r="BA365" s="307"/>
      <c r="BC365" s="366"/>
      <c r="BD365" s="307"/>
      <c r="BG365" s="307"/>
    </row>
    <row r="366">
      <c r="B366" s="352"/>
      <c r="C366" s="327"/>
      <c r="E366" s="352"/>
      <c r="F366" s="327"/>
      <c r="H366" s="352"/>
      <c r="I366" s="327"/>
      <c r="J366" s="352"/>
      <c r="K366" s="352"/>
      <c r="L366" s="327"/>
      <c r="M366" s="352"/>
      <c r="N366" s="352"/>
      <c r="O366" s="327"/>
      <c r="P366" s="352"/>
      <c r="Q366" s="352"/>
      <c r="R366" s="327"/>
      <c r="S366" s="352"/>
      <c r="T366" s="352"/>
      <c r="U366" s="327"/>
      <c r="V366" s="352"/>
      <c r="W366" s="352"/>
      <c r="X366" s="327"/>
      <c r="Y366" s="352"/>
      <c r="Z366" s="352"/>
      <c r="AA366" s="327"/>
      <c r="AB366" s="352"/>
      <c r="AC366" s="352"/>
      <c r="AD366" s="327"/>
      <c r="AE366" s="352"/>
      <c r="AF366" s="352"/>
      <c r="AG366" s="327"/>
      <c r="AH366" s="352"/>
      <c r="AI366" s="352"/>
      <c r="AJ366" s="327"/>
      <c r="AK366" s="352"/>
      <c r="AL366" s="352"/>
      <c r="AM366" s="327"/>
      <c r="AN366" s="352"/>
      <c r="AO366" s="352"/>
      <c r="AP366" s="327"/>
      <c r="AQ366" s="352"/>
      <c r="AR366" s="327"/>
      <c r="AU366" s="307"/>
      <c r="AX366" s="307"/>
      <c r="BA366" s="307"/>
      <c r="BC366" s="366"/>
      <c r="BD366" s="307"/>
      <c r="BG366" s="307"/>
    </row>
    <row r="367">
      <c r="B367" s="352"/>
      <c r="C367" s="327"/>
      <c r="E367" s="352"/>
      <c r="F367" s="327"/>
      <c r="H367" s="352"/>
      <c r="I367" s="327"/>
      <c r="J367" s="352"/>
      <c r="K367" s="352"/>
      <c r="L367" s="327"/>
      <c r="M367" s="352"/>
      <c r="N367" s="352"/>
      <c r="O367" s="327"/>
      <c r="P367" s="352"/>
      <c r="Q367" s="352"/>
      <c r="R367" s="327"/>
      <c r="S367" s="352"/>
      <c r="T367" s="352"/>
      <c r="U367" s="327"/>
      <c r="V367" s="352"/>
      <c r="W367" s="352"/>
      <c r="X367" s="327"/>
      <c r="Y367" s="352"/>
      <c r="Z367" s="352"/>
      <c r="AA367" s="327"/>
      <c r="AB367" s="352"/>
      <c r="AC367" s="352"/>
      <c r="AD367" s="327"/>
      <c r="AE367" s="352"/>
      <c r="AF367" s="352"/>
      <c r="AG367" s="327"/>
      <c r="AH367" s="352"/>
      <c r="AI367" s="352"/>
      <c r="AJ367" s="327"/>
      <c r="AK367" s="352"/>
      <c r="AL367" s="352"/>
      <c r="AM367" s="327"/>
      <c r="AN367" s="352"/>
      <c r="AO367" s="352"/>
      <c r="AP367" s="327"/>
      <c r="AQ367" s="352"/>
      <c r="AR367" s="327"/>
      <c r="AU367" s="307"/>
      <c r="AX367" s="307"/>
      <c r="BA367" s="307"/>
      <c r="BC367" s="366"/>
      <c r="BD367" s="307"/>
      <c r="BG367" s="307"/>
    </row>
    <row r="368">
      <c r="B368" s="352"/>
      <c r="C368" s="327"/>
      <c r="E368" s="352"/>
      <c r="F368" s="327"/>
      <c r="H368" s="352"/>
      <c r="I368" s="327"/>
      <c r="J368" s="352"/>
      <c r="K368" s="352"/>
      <c r="L368" s="327"/>
      <c r="M368" s="352"/>
      <c r="N368" s="352"/>
      <c r="O368" s="327"/>
      <c r="P368" s="352"/>
      <c r="Q368" s="352"/>
      <c r="R368" s="327"/>
      <c r="S368" s="352"/>
      <c r="T368" s="352"/>
      <c r="U368" s="327"/>
      <c r="V368" s="352"/>
      <c r="W368" s="352"/>
      <c r="X368" s="327"/>
      <c r="Y368" s="352"/>
      <c r="Z368" s="352"/>
      <c r="AA368" s="327"/>
      <c r="AB368" s="352"/>
      <c r="AC368" s="352"/>
      <c r="AD368" s="327"/>
      <c r="AE368" s="352"/>
      <c r="AF368" s="352"/>
      <c r="AG368" s="327"/>
      <c r="AH368" s="352"/>
      <c r="AI368" s="352"/>
      <c r="AJ368" s="327"/>
      <c r="AK368" s="352"/>
      <c r="AL368" s="352"/>
      <c r="AM368" s="327"/>
      <c r="AN368" s="352"/>
      <c r="AO368" s="352"/>
      <c r="AP368" s="327"/>
      <c r="AQ368" s="352"/>
      <c r="AR368" s="327"/>
      <c r="AU368" s="307"/>
      <c r="AX368" s="307"/>
      <c r="BA368" s="307"/>
      <c r="BC368" s="366"/>
      <c r="BD368" s="307"/>
      <c r="BG368" s="307"/>
    </row>
    <row r="369">
      <c r="B369" s="352"/>
      <c r="C369" s="327"/>
      <c r="E369" s="352"/>
      <c r="F369" s="327"/>
      <c r="H369" s="352"/>
      <c r="I369" s="327"/>
      <c r="J369" s="352"/>
      <c r="K369" s="352"/>
      <c r="L369" s="327"/>
      <c r="M369" s="352"/>
      <c r="N369" s="352"/>
      <c r="O369" s="327"/>
      <c r="P369" s="352"/>
      <c r="Q369" s="352"/>
      <c r="R369" s="327"/>
      <c r="S369" s="352"/>
      <c r="T369" s="352"/>
      <c r="U369" s="327"/>
      <c r="V369" s="352"/>
      <c r="W369" s="352"/>
      <c r="X369" s="327"/>
      <c r="Y369" s="352"/>
      <c r="Z369" s="352"/>
      <c r="AA369" s="327"/>
      <c r="AB369" s="352"/>
      <c r="AC369" s="352"/>
      <c r="AD369" s="327"/>
      <c r="AE369" s="352"/>
      <c r="AF369" s="352"/>
      <c r="AG369" s="327"/>
      <c r="AH369" s="352"/>
      <c r="AI369" s="352"/>
      <c r="AJ369" s="327"/>
      <c r="AK369" s="352"/>
      <c r="AL369" s="352"/>
      <c r="AM369" s="327"/>
      <c r="AN369" s="352"/>
      <c r="AO369" s="352"/>
      <c r="AP369" s="327"/>
      <c r="AQ369" s="352"/>
      <c r="AR369" s="327"/>
      <c r="AU369" s="307"/>
      <c r="AX369" s="307"/>
      <c r="BA369" s="307"/>
      <c r="BC369" s="366"/>
      <c r="BD369" s="307"/>
      <c r="BG369" s="307"/>
    </row>
    <row r="370">
      <c r="B370" s="352"/>
      <c r="C370" s="327"/>
      <c r="E370" s="352"/>
      <c r="F370" s="327"/>
      <c r="H370" s="352"/>
      <c r="I370" s="327"/>
      <c r="J370" s="352"/>
      <c r="K370" s="352"/>
      <c r="L370" s="327"/>
      <c r="M370" s="352"/>
      <c r="N370" s="352"/>
      <c r="O370" s="327"/>
      <c r="P370" s="352"/>
      <c r="Q370" s="352"/>
      <c r="R370" s="327"/>
      <c r="S370" s="352"/>
      <c r="T370" s="352"/>
      <c r="U370" s="327"/>
      <c r="V370" s="352"/>
      <c r="W370" s="352"/>
      <c r="X370" s="327"/>
      <c r="Y370" s="352"/>
      <c r="Z370" s="352"/>
      <c r="AA370" s="327"/>
      <c r="AB370" s="352"/>
      <c r="AC370" s="352"/>
      <c r="AD370" s="327"/>
      <c r="AE370" s="352"/>
      <c r="AF370" s="352"/>
      <c r="AG370" s="327"/>
      <c r="AH370" s="352"/>
      <c r="AI370" s="352"/>
      <c r="AJ370" s="327"/>
      <c r="AK370" s="352"/>
      <c r="AL370" s="352"/>
      <c r="AM370" s="327"/>
      <c r="AN370" s="352"/>
      <c r="AO370" s="352"/>
      <c r="AP370" s="327"/>
      <c r="AQ370" s="352"/>
      <c r="AR370" s="327"/>
      <c r="AU370" s="307"/>
      <c r="AX370" s="307"/>
      <c r="BA370" s="307"/>
      <c r="BC370" s="366"/>
      <c r="BD370" s="307"/>
      <c r="BG370" s="307"/>
    </row>
    <row r="371">
      <c r="B371" s="352"/>
      <c r="C371" s="327"/>
      <c r="E371" s="352"/>
      <c r="F371" s="327"/>
      <c r="H371" s="352"/>
      <c r="I371" s="327"/>
      <c r="J371" s="352"/>
      <c r="K371" s="352"/>
      <c r="L371" s="327"/>
      <c r="M371" s="352"/>
      <c r="N371" s="352"/>
      <c r="O371" s="327"/>
      <c r="P371" s="352"/>
      <c r="Q371" s="352"/>
      <c r="R371" s="327"/>
      <c r="S371" s="352"/>
      <c r="T371" s="352"/>
      <c r="U371" s="327"/>
      <c r="V371" s="352"/>
      <c r="W371" s="352"/>
      <c r="X371" s="327"/>
      <c r="Y371" s="352"/>
      <c r="Z371" s="352"/>
      <c r="AA371" s="327"/>
      <c r="AB371" s="352"/>
      <c r="AC371" s="352"/>
      <c r="AD371" s="327"/>
      <c r="AE371" s="352"/>
      <c r="AF371" s="352"/>
      <c r="AG371" s="327"/>
      <c r="AH371" s="352"/>
      <c r="AI371" s="352"/>
      <c r="AJ371" s="327"/>
      <c r="AK371" s="352"/>
      <c r="AL371" s="352"/>
      <c r="AM371" s="327"/>
      <c r="AN371" s="352"/>
      <c r="AO371" s="352"/>
      <c r="AP371" s="327"/>
      <c r="AQ371" s="352"/>
      <c r="AR371" s="327"/>
      <c r="AU371" s="307"/>
      <c r="AX371" s="307"/>
      <c r="BA371" s="307"/>
      <c r="BC371" s="366"/>
      <c r="BD371" s="307"/>
      <c r="BG371" s="307"/>
    </row>
    <row r="372">
      <c r="B372" s="352"/>
      <c r="C372" s="327"/>
      <c r="E372" s="352"/>
      <c r="F372" s="327"/>
      <c r="H372" s="352"/>
      <c r="I372" s="327"/>
      <c r="J372" s="352"/>
      <c r="K372" s="352"/>
      <c r="L372" s="327"/>
      <c r="M372" s="352"/>
      <c r="N372" s="352"/>
      <c r="O372" s="327"/>
      <c r="P372" s="352"/>
      <c r="Q372" s="352"/>
      <c r="R372" s="327"/>
      <c r="S372" s="352"/>
      <c r="T372" s="352"/>
      <c r="U372" s="327"/>
      <c r="V372" s="352"/>
      <c r="W372" s="352"/>
      <c r="X372" s="327"/>
      <c r="Y372" s="352"/>
      <c r="Z372" s="352"/>
      <c r="AA372" s="327"/>
      <c r="AB372" s="352"/>
      <c r="AC372" s="352"/>
      <c r="AD372" s="327"/>
      <c r="AE372" s="352"/>
      <c r="AF372" s="352"/>
      <c r="AG372" s="327"/>
      <c r="AH372" s="352"/>
      <c r="AI372" s="352"/>
      <c r="AJ372" s="327"/>
      <c r="AK372" s="352"/>
      <c r="AL372" s="352"/>
      <c r="AM372" s="327"/>
      <c r="AN372" s="352"/>
      <c r="AO372" s="352"/>
      <c r="AP372" s="327"/>
      <c r="AQ372" s="352"/>
      <c r="AR372" s="327"/>
      <c r="AU372" s="307"/>
      <c r="AX372" s="307"/>
      <c r="BA372" s="307"/>
      <c r="BC372" s="366"/>
      <c r="BD372" s="307"/>
      <c r="BG372" s="307"/>
    </row>
    <row r="373">
      <c r="B373" s="352"/>
      <c r="C373" s="327"/>
      <c r="E373" s="352"/>
      <c r="F373" s="327"/>
      <c r="H373" s="352"/>
      <c r="I373" s="327"/>
      <c r="J373" s="352"/>
      <c r="K373" s="352"/>
      <c r="L373" s="327"/>
      <c r="M373" s="352"/>
      <c r="N373" s="352"/>
      <c r="O373" s="327"/>
      <c r="P373" s="352"/>
      <c r="Q373" s="352"/>
      <c r="R373" s="327"/>
      <c r="S373" s="352"/>
      <c r="T373" s="352"/>
      <c r="U373" s="327"/>
      <c r="V373" s="352"/>
      <c r="W373" s="352"/>
      <c r="X373" s="327"/>
      <c r="Y373" s="352"/>
      <c r="Z373" s="352"/>
      <c r="AA373" s="327"/>
      <c r="AB373" s="352"/>
      <c r="AC373" s="352"/>
      <c r="AD373" s="327"/>
      <c r="AE373" s="352"/>
      <c r="AF373" s="352"/>
      <c r="AG373" s="327"/>
      <c r="AH373" s="352"/>
      <c r="AI373" s="352"/>
      <c r="AJ373" s="327"/>
      <c r="AK373" s="352"/>
      <c r="AL373" s="352"/>
      <c r="AM373" s="327"/>
      <c r="AN373" s="352"/>
      <c r="AO373" s="352"/>
      <c r="AP373" s="327"/>
      <c r="AQ373" s="352"/>
      <c r="AR373" s="327"/>
      <c r="AU373" s="307"/>
      <c r="AX373" s="307"/>
      <c r="BA373" s="307"/>
      <c r="BC373" s="366"/>
      <c r="BD373" s="307"/>
      <c r="BG373" s="307"/>
    </row>
    <row r="374">
      <c r="B374" s="352"/>
      <c r="C374" s="327"/>
      <c r="E374" s="352"/>
      <c r="F374" s="327"/>
      <c r="H374" s="352"/>
      <c r="I374" s="327"/>
      <c r="J374" s="352"/>
      <c r="K374" s="352"/>
      <c r="L374" s="327"/>
      <c r="M374" s="352"/>
      <c r="N374" s="352"/>
      <c r="O374" s="327"/>
      <c r="P374" s="352"/>
      <c r="Q374" s="352"/>
      <c r="R374" s="327"/>
      <c r="S374" s="352"/>
      <c r="T374" s="352"/>
      <c r="U374" s="327"/>
      <c r="V374" s="352"/>
      <c r="W374" s="352"/>
      <c r="X374" s="327"/>
      <c r="Y374" s="352"/>
      <c r="Z374" s="352"/>
      <c r="AA374" s="327"/>
      <c r="AB374" s="352"/>
      <c r="AC374" s="352"/>
      <c r="AD374" s="327"/>
      <c r="AE374" s="352"/>
      <c r="AF374" s="352"/>
      <c r="AG374" s="327"/>
      <c r="AH374" s="352"/>
      <c r="AI374" s="352"/>
      <c r="AJ374" s="327"/>
      <c r="AK374" s="352"/>
      <c r="AL374" s="352"/>
      <c r="AM374" s="327"/>
      <c r="AN374" s="352"/>
      <c r="AO374" s="352"/>
      <c r="AP374" s="327"/>
      <c r="AQ374" s="352"/>
      <c r="AR374" s="327"/>
      <c r="AU374" s="307"/>
      <c r="AX374" s="307"/>
      <c r="BA374" s="307"/>
      <c r="BC374" s="366"/>
      <c r="BD374" s="307"/>
      <c r="BG374" s="307"/>
    </row>
    <row r="375">
      <c r="B375" s="352"/>
      <c r="C375" s="327"/>
      <c r="E375" s="352"/>
      <c r="F375" s="327"/>
      <c r="H375" s="352"/>
      <c r="I375" s="327"/>
      <c r="J375" s="352"/>
      <c r="K375" s="352"/>
      <c r="L375" s="327"/>
      <c r="M375" s="352"/>
      <c r="N375" s="352"/>
      <c r="O375" s="327"/>
      <c r="P375" s="352"/>
      <c r="Q375" s="352"/>
      <c r="R375" s="327"/>
      <c r="S375" s="352"/>
      <c r="T375" s="352"/>
      <c r="U375" s="327"/>
      <c r="V375" s="352"/>
      <c r="W375" s="352"/>
      <c r="X375" s="327"/>
      <c r="Y375" s="352"/>
      <c r="Z375" s="352"/>
      <c r="AA375" s="327"/>
      <c r="AB375" s="352"/>
      <c r="AC375" s="352"/>
      <c r="AD375" s="327"/>
      <c r="AE375" s="352"/>
      <c r="AF375" s="352"/>
      <c r="AG375" s="327"/>
      <c r="AH375" s="352"/>
      <c r="AI375" s="352"/>
      <c r="AJ375" s="327"/>
      <c r="AK375" s="352"/>
      <c r="AL375" s="352"/>
      <c r="AM375" s="327"/>
      <c r="AN375" s="352"/>
      <c r="AO375" s="352"/>
      <c r="AP375" s="327"/>
      <c r="AQ375" s="352"/>
      <c r="AR375" s="327"/>
      <c r="AU375" s="307"/>
      <c r="AX375" s="307"/>
      <c r="BA375" s="307"/>
      <c r="BC375" s="366"/>
      <c r="BD375" s="307"/>
      <c r="BG375" s="307"/>
    </row>
    <row r="376">
      <c r="B376" s="352"/>
      <c r="C376" s="327"/>
      <c r="E376" s="352"/>
      <c r="F376" s="327"/>
      <c r="H376" s="352"/>
      <c r="I376" s="327"/>
      <c r="J376" s="352"/>
      <c r="K376" s="352"/>
      <c r="L376" s="327"/>
      <c r="M376" s="352"/>
      <c r="N376" s="352"/>
      <c r="O376" s="327"/>
      <c r="P376" s="352"/>
      <c r="Q376" s="352"/>
      <c r="R376" s="327"/>
      <c r="S376" s="352"/>
      <c r="T376" s="352"/>
      <c r="U376" s="327"/>
      <c r="V376" s="352"/>
      <c r="W376" s="352"/>
      <c r="X376" s="327"/>
      <c r="Y376" s="352"/>
      <c r="Z376" s="352"/>
      <c r="AA376" s="327"/>
      <c r="AB376" s="352"/>
      <c r="AC376" s="352"/>
      <c r="AD376" s="327"/>
      <c r="AE376" s="352"/>
      <c r="AF376" s="352"/>
      <c r="AG376" s="327"/>
      <c r="AH376" s="352"/>
      <c r="AI376" s="352"/>
      <c r="AJ376" s="327"/>
      <c r="AK376" s="352"/>
      <c r="AL376" s="352"/>
      <c r="AM376" s="327"/>
      <c r="AN376" s="352"/>
      <c r="AO376" s="352"/>
      <c r="AP376" s="327"/>
      <c r="AQ376" s="352"/>
      <c r="AR376" s="327"/>
      <c r="AU376" s="307"/>
      <c r="AX376" s="307"/>
      <c r="BA376" s="307"/>
      <c r="BC376" s="366"/>
      <c r="BD376" s="307"/>
      <c r="BG376" s="307"/>
    </row>
    <row r="377">
      <c r="B377" s="352"/>
      <c r="C377" s="327"/>
      <c r="E377" s="352"/>
      <c r="F377" s="327"/>
      <c r="H377" s="352"/>
      <c r="I377" s="327"/>
      <c r="J377" s="352"/>
      <c r="K377" s="352"/>
      <c r="L377" s="327"/>
      <c r="M377" s="352"/>
      <c r="N377" s="352"/>
      <c r="O377" s="327"/>
      <c r="P377" s="352"/>
      <c r="Q377" s="352"/>
      <c r="R377" s="327"/>
      <c r="S377" s="352"/>
      <c r="T377" s="352"/>
      <c r="U377" s="327"/>
      <c r="V377" s="352"/>
      <c r="W377" s="352"/>
      <c r="X377" s="327"/>
      <c r="Y377" s="352"/>
      <c r="Z377" s="352"/>
      <c r="AA377" s="327"/>
      <c r="AB377" s="352"/>
      <c r="AC377" s="352"/>
      <c r="AD377" s="327"/>
      <c r="AE377" s="352"/>
      <c r="AF377" s="352"/>
      <c r="AG377" s="327"/>
      <c r="AH377" s="352"/>
      <c r="AI377" s="352"/>
      <c r="AJ377" s="327"/>
      <c r="AK377" s="352"/>
      <c r="AL377" s="352"/>
      <c r="AM377" s="327"/>
      <c r="AN377" s="352"/>
      <c r="AO377" s="352"/>
      <c r="AP377" s="327"/>
      <c r="AQ377" s="352"/>
      <c r="AR377" s="327"/>
      <c r="AU377" s="307"/>
      <c r="AX377" s="307"/>
      <c r="BA377" s="307"/>
      <c r="BC377" s="366"/>
      <c r="BD377" s="307"/>
      <c r="BG377" s="307"/>
    </row>
    <row r="378">
      <c r="B378" s="352"/>
      <c r="C378" s="327"/>
      <c r="E378" s="352"/>
      <c r="F378" s="327"/>
      <c r="H378" s="352"/>
      <c r="I378" s="327"/>
      <c r="J378" s="352"/>
      <c r="K378" s="352"/>
      <c r="L378" s="327"/>
      <c r="M378" s="352"/>
      <c r="N378" s="352"/>
      <c r="O378" s="327"/>
      <c r="P378" s="352"/>
      <c r="Q378" s="352"/>
      <c r="R378" s="327"/>
      <c r="S378" s="352"/>
      <c r="T378" s="352"/>
      <c r="U378" s="327"/>
      <c r="V378" s="352"/>
      <c r="W378" s="352"/>
      <c r="X378" s="327"/>
      <c r="Y378" s="352"/>
      <c r="Z378" s="352"/>
      <c r="AA378" s="327"/>
      <c r="AB378" s="352"/>
      <c r="AC378" s="352"/>
      <c r="AD378" s="327"/>
      <c r="AE378" s="352"/>
      <c r="AF378" s="352"/>
      <c r="AG378" s="327"/>
      <c r="AH378" s="352"/>
      <c r="AI378" s="352"/>
      <c r="AJ378" s="327"/>
      <c r="AK378" s="352"/>
      <c r="AL378" s="352"/>
      <c r="AM378" s="327"/>
      <c r="AN378" s="352"/>
      <c r="AO378" s="352"/>
      <c r="AP378" s="327"/>
      <c r="AQ378" s="352"/>
      <c r="AR378" s="327"/>
      <c r="AU378" s="307"/>
      <c r="AX378" s="307"/>
      <c r="BA378" s="307"/>
      <c r="BC378" s="366"/>
      <c r="BD378" s="307"/>
      <c r="BG378" s="307"/>
    </row>
    <row r="379">
      <c r="B379" s="352"/>
      <c r="C379" s="327"/>
      <c r="E379" s="352"/>
      <c r="F379" s="327"/>
      <c r="H379" s="352"/>
      <c r="I379" s="327"/>
      <c r="J379" s="352"/>
      <c r="K379" s="352"/>
      <c r="L379" s="327"/>
      <c r="M379" s="352"/>
      <c r="N379" s="352"/>
      <c r="O379" s="327"/>
      <c r="P379" s="352"/>
      <c r="Q379" s="352"/>
      <c r="R379" s="327"/>
      <c r="S379" s="352"/>
      <c r="T379" s="352"/>
      <c r="U379" s="327"/>
      <c r="V379" s="352"/>
      <c r="W379" s="352"/>
      <c r="X379" s="327"/>
      <c r="Y379" s="352"/>
      <c r="Z379" s="352"/>
      <c r="AA379" s="327"/>
      <c r="AB379" s="352"/>
      <c r="AC379" s="352"/>
      <c r="AD379" s="327"/>
      <c r="AE379" s="352"/>
      <c r="AF379" s="352"/>
      <c r="AG379" s="327"/>
      <c r="AH379" s="352"/>
      <c r="AI379" s="352"/>
      <c r="AJ379" s="327"/>
      <c r="AK379" s="352"/>
      <c r="AL379" s="352"/>
      <c r="AM379" s="327"/>
      <c r="AN379" s="352"/>
      <c r="AO379" s="352"/>
      <c r="AP379" s="327"/>
      <c r="AQ379" s="352"/>
      <c r="AR379" s="327"/>
      <c r="AU379" s="307"/>
      <c r="AX379" s="307"/>
      <c r="BA379" s="307"/>
      <c r="BC379" s="366"/>
      <c r="BD379" s="307"/>
      <c r="BG379" s="307"/>
    </row>
    <row r="380">
      <c r="B380" s="352"/>
      <c r="C380" s="327"/>
      <c r="E380" s="352"/>
      <c r="F380" s="327"/>
      <c r="H380" s="352"/>
      <c r="I380" s="327"/>
      <c r="J380" s="352"/>
      <c r="K380" s="352"/>
      <c r="L380" s="327"/>
      <c r="M380" s="352"/>
      <c r="N380" s="352"/>
      <c r="O380" s="327"/>
      <c r="P380" s="352"/>
      <c r="Q380" s="352"/>
      <c r="R380" s="327"/>
      <c r="S380" s="352"/>
      <c r="T380" s="352"/>
      <c r="U380" s="327"/>
      <c r="V380" s="352"/>
      <c r="W380" s="352"/>
      <c r="X380" s="327"/>
      <c r="Y380" s="352"/>
      <c r="Z380" s="352"/>
      <c r="AA380" s="327"/>
      <c r="AB380" s="352"/>
      <c r="AC380" s="352"/>
      <c r="AD380" s="327"/>
      <c r="AE380" s="352"/>
      <c r="AF380" s="352"/>
      <c r="AG380" s="327"/>
      <c r="AH380" s="352"/>
      <c r="AI380" s="352"/>
      <c r="AJ380" s="327"/>
      <c r="AK380" s="352"/>
      <c r="AL380" s="352"/>
      <c r="AM380" s="327"/>
      <c r="AN380" s="352"/>
      <c r="AO380" s="352"/>
      <c r="AP380" s="327"/>
      <c r="AQ380" s="352"/>
      <c r="AR380" s="327"/>
      <c r="AU380" s="307"/>
      <c r="AX380" s="307"/>
      <c r="BA380" s="307"/>
      <c r="BC380" s="366"/>
      <c r="BD380" s="307"/>
      <c r="BG380" s="307"/>
    </row>
    <row r="381">
      <c r="B381" s="352"/>
      <c r="C381" s="327"/>
      <c r="E381" s="352"/>
      <c r="F381" s="327"/>
      <c r="H381" s="352"/>
      <c r="I381" s="327"/>
      <c r="J381" s="352"/>
      <c r="K381" s="352"/>
      <c r="L381" s="327"/>
      <c r="M381" s="352"/>
      <c r="N381" s="352"/>
      <c r="O381" s="327"/>
      <c r="P381" s="352"/>
      <c r="Q381" s="352"/>
      <c r="R381" s="327"/>
      <c r="S381" s="352"/>
      <c r="T381" s="352"/>
      <c r="U381" s="327"/>
      <c r="V381" s="352"/>
      <c r="W381" s="352"/>
      <c r="X381" s="327"/>
      <c r="Y381" s="352"/>
      <c r="Z381" s="352"/>
      <c r="AA381" s="327"/>
      <c r="AB381" s="352"/>
      <c r="AC381" s="352"/>
      <c r="AD381" s="327"/>
      <c r="AE381" s="352"/>
      <c r="AF381" s="352"/>
      <c r="AG381" s="327"/>
      <c r="AH381" s="352"/>
      <c r="AI381" s="352"/>
      <c r="AJ381" s="327"/>
      <c r="AK381" s="352"/>
      <c r="AL381" s="352"/>
      <c r="AM381" s="327"/>
      <c r="AN381" s="352"/>
      <c r="AO381" s="352"/>
      <c r="AP381" s="327"/>
      <c r="AQ381" s="352"/>
      <c r="AR381" s="327"/>
      <c r="AU381" s="307"/>
      <c r="AX381" s="307"/>
      <c r="BA381" s="307"/>
      <c r="BC381" s="366"/>
      <c r="BD381" s="307"/>
      <c r="BG381" s="307"/>
    </row>
    <row r="382">
      <c r="B382" s="352"/>
      <c r="C382" s="327"/>
      <c r="E382" s="352"/>
      <c r="F382" s="327"/>
      <c r="H382" s="352"/>
      <c r="I382" s="327"/>
      <c r="J382" s="352"/>
      <c r="K382" s="352"/>
      <c r="L382" s="327"/>
      <c r="M382" s="352"/>
      <c r="N382" s="352"/>
      <c r="O382" s="327"/>
      <c r="P382" s="352"/>
      <c r="Q382" s="352"/>
      <c r="R382" s="327"/>
      <c r="S382" s="352"/>
      <c r="T382" s="352"/>
      <c r="U382" s="327"/>
      <c r="V382" s="352"/>
      <c r="W382" s="352"/>
      <c r="X382" s="327"/>
      <c r="Y382" s="352"/>
      <c r="Z382" s="352"/>
      <c r="AA382" s="327"/>
      <c r="AB382" s="352"/>
      <c r="AC382" s="352"/>
      <c r="AD382" s="327"/>
      <c r="AE382" s="352"/>
      <c r="AF382" s="352"/>
      <c r="AG382" s="327"/>
      <c r="AH382" s="352"/>
      <c r="AI382" s="352"/>
      <c r="AJ382" s="327"/>
      <c r="AK382" s="352"/>
      <c r="AL382" s="352"/>
      <c r="AM382" s="327"/>
      <c r="AN382" s="352"/>
      <c r="AO382" s="352"/>
      <c r="AP382" s="327"/>
      <c r="AQ382" s="352"/>
      <c r="AR382" s="327"/>
      <c r="AU382" s="307"/>
      <c r="AX382" s="307"/>
      <c r="BA382" s="307"/>
      <c r="BC382" s="366"/>
      <c r="BD382" s="307"/>
      <c r="BG382" s="307"/>
    </row>
    <row r="383">
      <c r="B383" s="352"/>
      <c r="C383" s="327"/>
      <c r="E383" s="352"/>
      <c r="F383" s="327"/>
      <c r="H383" s="352"/>
      <c r="I383" s="327"/>
      <c r="J383" s="352"/>
      <c r="K383" s="352"/>
      <c r="L383" s="327"/>
      <c r="M383" s="352"/>
      <c r="N383" s="352"/>
      <c r="O383" s="327"/>
      <c r="P383" s="352"/>
      <c r="Q383" s="352"/>
      <c r="R383" s="327"/>
      <c r="S383" s="352"/>
      <c r="T383" s="352"/>
      <c r="U383" s="327"/>
      <c r="V383" s="352"/>
      <c r="W383" s="352"/>
      <c r="X383" s="327"/>
      <c r="Y383" s="352"/>
      <c r="Z383" s="352"/>
      <c r="AA383" s="327"/>
      <c r="AB383" s="352"/>
      <c r="AC383" s="352"/>
      <c r="AD383" s="327"/>
      <c r="AE383" s="352"/>
      <c r="AF383" s="352"/>
      <c r="AG383" s="327"/>
      <c r="AH383" s="352"/>
      <c r="AI383" s="352"/>
      <c r="AJ383" s="327"/>
      <c r="AK383" s="352"/>
      <c r="AL383" s="352"/>
      <c r="AM383" s="327"/>
      <c r="AN383" s="352"/>
      <c r="AO383" s="352"/>
      <c r="AP383" s="327"/>
      <c r="AQ383" s="352"/>
      <c r="AR383" s="327"/>
      <c r="AU383" s="307"/>
      <c r="AX383" s="307"/>
      <c r="BA383" s="307"/>
      <c r="BC383" s="366"/>
      <c r="BD383" s="307"/>
      <c r="BG383" s="307"/>
    </row>
    <row r="384">
      <c r="B384" s="352"/>
      <c r="C384" s="327"/>
      <c r="E384" s="352"/>
      <c r="F384" s="327"/>
      <c r="H384" s="352"/>
      <c r="I384" s="327"/>
      <c r="J384" s="352"/>
      <c r="K384" s="352"/>
      <c r="L384" s="327"/>
      <c r="M384" s="352"/>
      <c r="N384" s="352"/>
      <c r="O384" s="327"/>
      <c r="P384" s="352"/>
      <c r="Q384" s="352"/>
      <c r="R384" s="327"/>
      <c r="S384" s="352"/>
      <c r="T384" s="352"/>
      <c r="U384" s="327"/>
      <c r="V384" s="352"/>
      <c r="W384" s="352"/>
      <c r="X384" s="327"/>
      <c r="Y384" s="352"/>
      <c r="Z384" s="352"/>
      <c r="AA384" s="327"/>
      <c r="AB384" s="352"/>
      <c r="AC384" s="352"/>
      <c r="AD384" s="327"/>
      <c r="AE384" s="352"/>
      <c r="AF384" s="352"/>
      <c r="AG384" s="327"/>
      <c r="AH384" s="352"/>
      <c r="AI384" s="352"/>
      <c r="AJ384" s="327"/>
      <c r="AK384" s="352"/>
      <c r="AL384" s="352"/>
      <c r="AM384" s="327"/>
      <c r="AN384" s="352"/>
      <c r="AO384" s="352"/>
      <c r="AP384" s="327"/>
      <c r="AQ384" s="352"/>
      <c r="AR384" s="327"/>
      <c r="AU384" s="307"/>
      <c r="AX384" s="307"/>
      <c r="BA384" s="307"/>
      <c r="BC384" s="366"/>
      <c r="BD384" s="307"/>
      <c r="BG384" s="307"/>
    </row>
    <row r="385">
      <c r="B385" s="352"/>
      <c r="C385" s="327"/>
      <c r="E385" s="352"/>
      <c r="F385" s="327"/>
      <c r="H385" s="352"/>
      <c r="I385" s="327"/>
      <c r="J385" s="352"/>
      <c r="K385" s="352"/>
      <c r="L385" s="327"/>
      <c r="M385" s="352"/>
      <c r="N385" s="352"/>
      <c r="O385" s="327"/>
      <c r="P385" s="352"/>
      <c r="Q385" s="352"/>
      <c r="R385" s="327"/>
      <c r="S385" s="352"/>
      <c r="T385" s="352"/>
      <c r="U385" s="327"/>
      <c r="V385" s="352"/>
      <c r="W385" s="352"/>
      <c r="X385" s="327"/>
      <c r="Y385" s="352"/>
      <c r="Z385" s="352"/>
      <c r="AA385" s="327"/>
      <c r="AB385" s="352"/>
      <c r="AC385" s="352"/>
      <c r="AD385" s="327"/>
      <c r="AE385" s="352"/>
      <c r="AF385" s="352"/>
      <c r="AG385" s="327"/>
      <c r="AH385" s="352"/>
      <c r="AI385" s="352"/>
      <c r="AJ385" s="327"/>
      <c r="AK385" s="352"/>
      <c r="AL385" s="352"/>
      <c r="AM385" s="327"/>
      <c r="AN385" s="352"/>
      <c r="AO385" s="352"/>
      <c r="AP385" s="327"/>
      <c r="AQ385" s="352"/>
      <c r="AR385" s="327"/>
      <c r="AU385" s="307"/>
      <c r="AX385" s="307"/>
      <c r="BA385" s="307"/>
      <c r="BC385" s="366"/>
      <c r="BD385" s="307"/>
      <c r="BG385" s="307"/>
    </row>
    <row r="386">
      <c r="B386" s="352"/>
      <c r="C386" s="327"/>
      <c r="E386" s="352"/>
      <c r="F386" s="327"/>
      <c r="H386" s="352"/>
      <c r="I386" s="327"/>
      <c r="J386" s="352"/>
      <c r="K386" s="352"/>
      <c r="L386" s="327"/>
      <c r="M386" s="352"/>
      <c r="N386" s="352"/>
      <c r="O386" s="327"/>
      <c r="P386" s="352"/>
      <c r="Q386" s="352"/>
      <c r="R386" s="327"/>
      <c r="S386" s="352"/>
      <c r="T386" s="352"/>
      <c r="U386" s="327"/>
      <c r="V386" s="352"/>
      <c r="W386" s="352"/>
      <c r="X386" s="327"/>
      <c r="Y386" s="352"/>
      <c r="Z386" s="352"/>
      <c r="AA386" s="327"/>
      <c r="AB386" s="352"/>
      <c r="AC386" s="352"/>
      <c r="AD386" s="327"/>
      <c r="AE386" s="352"/>
      <c r="AF386" s="352"/>
      <c r="AG386" s="327"/>
      <c r="AH386" s="352"/>
      <c r="AI386" s="352"/>
      <c r="AJ386" s="327"/>
      <c r="AK386" s="352"/>
      <c r="AL386" s="352"/>
      <c r="AM386" s="327"/>
      <c r="AN386" s="352"/>
      <c r="AO386" s="352"/>
      <c r="AP386" s="327"/>
      <c r="AQ386" s="352"/>
      <c r="AR386" s="327"/>
      <c r="AU386" s="307"/>
      <c r="AX386" s="307"/>
      <c r="BA386" s="307"/>
      <c r="BC386" s="366"/>
      <c r="BD386" s="307"/>
      <c r="BG386" s="307"/>
    </row>
    <row r="387">
      <c r="B387" s="352"/>
      <c r="C387" s="327"/>
      <c r="E387" s="352"/>
      <c r="F387" s="327"/>
      <c r="H387" s="352"/>
      <c r="I387" s="327"/>
      <c r="J387" s="352"/>
      <c r="K387" s="352"/>
      <c r="L387" s="327"/>
      <c r="M387" s="352"/>
      <c r="N387" s="352"/>
      <c r="O387" s="327"/>
      <c r="P387" s="352"/>
      <c r="Q387" s="352"/>
      <c r="R387" s="327"/>
      <c r="S387" s="352"/>
      <c r="T387" s="352"/>
      <c r="U387" s="327"/>
      <c r="V387" s="352"/>
      <c r="W387" s="352"/>
      <c r="X387" s="327"/>
      <c r="Y387" s="352"/>
      <c r="Z387" s="352"/>
      <c r="AA387" s="327"/>
      <c r="AB387" s="352"/>
      <c r="AC387" s="352"/>
      <c r="AD387" s="327"/>
      <c r="AE387" s="352"/>
      <c r="AF387" s="352"/>
      <c r="AG387" s="327"/>
      <c r="AH387" s="352"/>
      <c r="AI387" s="352"/>
      <c r="AJ387" s="327"/>
      <c r="AK387" s="352"/>
      <c r="AL387" s="352"/>
      <c r="AM387" s="327"/>
      <c r="AN387" s="352"/>
      <c r="AO387" s="352"/>
      <c r="AP387" s="327"/>
      <c r="AQ387" s="352"/>
      <c r="AR387" s="327"/>
      <c r="AU387" s="307"/>
      <c r="AX387" s="307"/>
      <c r="BA387" s="307"/>
      <c r="BC387" s="366"/>
      <c r="BD387" s="307"/>
      <c r="BG387" s="307"/>
    </row>
    <row r="388">
      <c r="B388" s="352"/>
      <c r="C388" s="327"/>
      <c r="E388" s="352"/>
      <c r="F388" s="327"/>
      <c r="H388" s="352"/>
      <c r="I388" s="327"/>
      <c r="J388" s="352"/>
      <c r="K388" s="352"/>
      <c r="L388" s="327"/>
      <c r="M388" s="352"/>
      <c r="N388" s="352"/>
      <c r="O388" s="327"/>
      <c r="P388" s="352"/>
      <c r="Q388" s="352"/>
      <c r="R388" s="327"/>
      <c r="S388" s="352"/>
      <c r="T388" s="352"/>
      <c r="U388" s="327"/>
      <c r="V388" s="352"/>
      <c r="W388" s="352"/>
      <c r="X388" s="327"/>
      <c r="Y388" s="352"/>
      <c r="Z388" s="352"/>
      <c r="AA388" s="327"/>
      <c r="AB388" s="352"/>
      <c r="AC388" s="352"/>
      <c r="AD388" s="327"/>
      <c r="AE388" s="352"/>
      <c r="AF388" s="352"/>
      <c r="AG388" s="327"/>
      <c r="AH388" s="352"/>
      <c r="AI388" s="352"/>
      <c r="AJ388" s="327"/>
      <c r="AK388" s="352"/>
      <c r="AL388" s="352"/>
      <c r="AM388" s="327"/>
      <c r="AN388" s="352"/>
      <c r="AO388" s="352"/>
      <c r="AP388" s="327"/>
      <c r="AQ388" s="352"/>
      <c r="AR388" s="327"/>
      <c r="AU388" s="307"/>
      <c r="AX388" s="307"/>
      <c r="BA388" s="307"/>
      <c r="BC388" s="366"/>
      <c r="BD388" s="307"/>
      <c r="BG388" s="307"/>
    </row>
    <row r="389">
      <c r="B389" s="352"/>
      <c r="C389" s="327"/>
      <c r="E389" s="352"/>
      <c r="F389" s="327"/>
      <c r="H389" s="352"/>
      <c r="I389" s="327"/>
      <c r="J389" s="352"/>
      <c r="K389" s="352"/>
      <c r="L389" s="327"/>
      <c r="M389" s="352"/>
      <c r="N389" s="352"/>
      <c r="O389" s="327"/>
      <c r="P389" s="352"/>
      <c r="Q389" s="352"/>
      <c r="R389" s="327"/>
      <c r="S389" s="352"/>
      <c r="T389" s="352"/>
      <c r="U389" s="327"/>
      <c r="V389" s="352"/>
      <c r="W389" s="352"/>
      <c r="X389" s="327"/>
      <c r="Y389" s="352"/>
      <c r="Z389" s="352"/>
      <c r="AA389" s="327"/>
      <c r="AB389" s="352"/>
      <c r="AC389" s="352"/>
      <c r="AD389" s="327"/>
      <c r="AE389" s="352"/>
      <c r="AF389" s="352"/>
      <c r="AG389" s="327"/>
      <c r="AH389" s="352"/>
      <c r="AI389" s="352"/>
      <c r="AJ389" s="327"/>
      <c r="AK389" s="352"/>
      <c r="AL389" s="352"/>
      <c r="AM389" s="327"/>
      <c r="AN389" s="352"/>
      <c r="AO389" s="352"/>
      <c r="AP389" s="327"/>
      <c r="AQ389" s="352"/>
      <c r="AR389" s="327"/>
      <c r="AU389" s="307"/>
      <c r="AX389" s="307"/>
      <c r="BA389" s="307"/>
      <c r="BC389" s="366"/>
      <c r="BD389" s="307"/>
      <c r="BG389" s="307"/>
    </row>
    <row r="390">
      <c r="B390" s="352"/>
      <c r="C390" s="327"/>
      <c r="E390" s="352"/>
      <c r="F390" s="327"/>
      <c r="H390" s="352"/>
      <c r="I390" s="327"/>
      <c r="J390" s="352"/>
      <c r="K390" s="352"/>
      <c r="L390" s="327"/>
      <c r="M390" s="352"/>
      <c r="N390" s="352"/>
      <c r="O390" s="327"/>
      <c r="P390" s="352"/>
      <c r="Q390" s="352"/>
      <c r="R390" s="327"/>
      <c r="S390" s="352"/>
      <c r="T390" s="352"/>
      <c r="U390" s="327"/>
      <c r="V390" s="352"/>
      <c r="W390" s="352"/>
      <c r="X390" s="327"/>
      <c r="Y390" s="352"/>
      <c r="Z390" s="352"/>
      <c r="AA390" s="327"/>
      <c r="AB390" s="352"/>
      <c r="AC390" s="352"/>
      <c r="AD390" s="327"/>
      <c r="AE390" s="352"/>
      <c r="AF390" s="352"/>
      <c r="AG390" s="327"/>
      <c r="AH390" s="352"/>
      <c r="AI390" s="352"/>
      <c r="AJ390" s="327"/>
      <c r="AK390" s="352"/>
      <c r="AL390" s="352"/>
      <c r="AM390" s="327"/>
      <c r="AN390" s="352"/>
      <c r="AO390" s="352"/>
      <c r="AP390" s="327"/>
      <c r="AQ390" s="352"/>
      <c r="AR390" s="327"/>
      <c r="AU390" s="307"/>
      <c r="AX390" s="307"/>
      <c r="BA390" s="307"/>
      <c r="BC390" s="366"/>
      <c r="BD390" s="307"/>
      <c r="BG390" s="307"/>
    </row>
    <row r="391">
      <c r="B391" s="352"/>
      <c r="C391" s="327"/>
      <c r="E391" s="352"/>
      <c r="F391" s="327"/>
      <c r="H391" s="352"/>
      <c r="I391" s="327"/>
      <c r="J391" s="352"/>
      <c r="K391" s="352"/>
      <c r="L391" s="327"/>
      <c r="M391" s="352"/>
      <c r="N391" s="352"/>
      <c r="O391" s="327"/>
      <c r="P391" s="352"/>
      <c r="Q391" s="352"/>
      <c r="R391" s="327"/>
      <c r="S391" s="352"/>
      <c r="T391" s="352"/>
      <c r="U391" s="327"/>
      <c r="V391" s="352"/>
      <c r="W391" s="352"/>
      <c r="X391" s="327"/>
      <c r="Y391" s="352"/>
      <c r="Z391" s="352"/>
      <c r="AA391" s="327"/>
      <c r="AB391" s="352"/>
      <c r="AC391" s="352"/>
      <c r="AD391" s="327"/>
      <c r="AE391" s="352"/>
      <c r="AF391" s="352"/>
      <c r="AG391" s="327"/>
      <c r="AH391" s="352"/>
      <c r="AI391" s="352"/>
      <c r="AJ391" s="327"/>
      <c r="AK391" s="352"/>
      <c r="AL391" s="352"/>
      <c r="AM391" s="327"/>
      <c r="AN391" s="352"/>
      <c r="AO391" s="352"/>
      <c r="AP391" s="327"/>
      <c r="AQ391" s="352"/>
      <c r="AR391" s="327"/>
      <c r="AU391" s="307"/>
      <c r="AX391" s="307"/>
      <c r="BA391" s="307"/>
      <c r="BC391" s="366"/>
      <c r="BD391" s="307"/>
      <c r="BG391" s="307"/>
    </row>
    <row r="392">
      <c r="B392" s="352"/>
      <c r="C392" s="327"/>
      <c r="E392" s="352"/>
      <c r="F392" s="327"/>
      <c r="H392" s="352"/>
      <c r="I392" s="327"/>
      <c r="J392" s="352"/>
      <c r="K392" s="352"/>
      <c r="L392" s="327"/>
      <c r="M392" s="352"/>
      <c r="N392" s="352"/>
      <c r="O392" s="327"/>
      <c r="P392" s="352"/>
      <c r="Q392" s="352"/>
      <c r="R392" s="327"/>
      <c r="S392" s="352"/>
      <c r="T392" s="352"/>
      <c r="U392" s="327"/>
      <c r="V392" s="352"/>
      <c r="W392" s="352"/>
      <c r="X392" s="327"/>
      <c r="Y392" s="352"/>
      <c r="Z392" s="352"/>
      <c r="AA392" s="327"/>
      <c r="AB392" s="352"/>
      <c r="AC392" s="352"/>
      <c r="AD392" s="327"/>
      <c r="AE392" s="352"/>
      <c r="AF392" s="352"/>
      <c r="AG392" s="327"/>
      <c r="AH392" s="352"/>
      <c r="AI392" s="352"/>
      <c r="AJ392" s="327"/>
      <c r="AK392" s="352"/>
      <c r="AL392" s="352"/>
      <c r="AM392" s="327"/>
      <c r="AN392" s="352"/>
      <c r="AO392" s="352"/>
      <c r="AP392" s="327"/>
      <c r="AQ392" s="352"/>
      <c r="AR392" s="327"/>
      <c r="AU392" s="307"/>
      <c r="AX392" s="307"/>
      <c r="BA392" s="307"/>
      <c r="BC392" s="366"/>
      <c r="BD392" s="307"/>
      <c r="BG392" s="307"/>
    </row>
    <row r="393">
      <c r="B393" s="352"/>
      <c r="C393" s="327"/>
      <c r="E393" s="352"/>
      <c r="F393" s="327"/>
      <c r="H393" s="352"/>
      <c r="I393" s="327"/>
      <c r="J393" s="352"/>
      <c r="K393" s="352"/>
      <c r="L393" s="327"/>
      <c r="M393" s="352"/>
      <c r="N393" s="352"/>
      <c r="O393" s="327"/>
      <c r="P393" s="352"/>
      <c r="Q393" s="352"/>
      <c r="R393" s="327"/>
      <c r="S393" s="352"/>
      <c r="T393" s="352"/>
      <c r="U393" s="327"/>
      <c r="V393" s="352"/>
      <c r="W393" s="352"/>
      <c r="X393" s="327"/>
      <c r="Y393" s="352"/>
      <c r="Z393" s="352"/>
      <c r="AA393" s="327"/>
      <c r="AB393" s="352"/>
      <c r="AC393" s="352"/>
      <c r="AD393" s="327"/>
      <c r="AE393" s="352"/>
      <c r="AF393" s="352"/>
      <c r="AG393" s="327"/>
      <c r="AH393" s="352"/>
      <c r="AI393" s="352"/>
      <c r="AJ393" s="327"/>
      <c r="AK393" s="352"/>
      <c r="AL393" s="352"/>
      <c r="AM393" s="327"/>
      <c r="AN393" s="352"/>
      <c r="AO393" s="352"/>
      <c r="AP393" s="327"/>
      <c r="AQ393" s="352"/>
      <c r="AR393" s="327"/>
      <c r="AU393" s="307"/>
      <c r="AX393" s="307"/>
      <c r="BA393" s="307"/>
      <c r="BC393" s="366"/>
      <c r="BD393" s="307"/>
      <c r="BG393" s="307"/>
    </row>
    <row r="394">
      <c r="B394" s="352"/>
      <c r="C394" s="327"/>
      <c r="E394" s="352"/>
      <c r="F394" s="327"/>
      <c r="H394" s="352"/>
      <c r="I394" s="327"/>
      <c r="J394" s="352"/>
      <c r="K394" s="352"/>
      <c r="L394" s="327"/>
      <c r="M394" s="352"/>
      <c r="N394" s="352"/>
      <c r="O394" s="327"/>
      <c r="P394" s="352"/>
      <c r="Q394" s="352"/>
      <c r="R394" s="327"/>
      <c r="S394" s="352"/>
      <c r="T394" s="352"/>
      <c r="U394" s="327"/>
      <c r="V394" s="352"/>
      <c r="W394" s="352"/>
      <c r="X394" s="327"/>
      <c r="Y394" s="352"/>
      <c r="Z394" s="352"/>
      <c r="AA394" s="327"/>
      <c r="AB394" s="352"/>
      <c r="AC394" s="352"/>
      <c r="AD394" s="327"/>
      <c r="AE394" s="352"/>
      <c r="AF394" s="352"/>
      <c r="AG394" s="327"/>
      <c r="AH394" s="352"/>
      <c r="AI394" s="352"/>
      <c r="AJ394" s="327"/>
      <c r="AK394" s="352"/>
      <c r="AL394" s="352"/>
      <c r="AM394" s="327"/>
      <c r="AN394" s="352"/>
      <c r="AO394" s="352"/>
      <c r="AP394" s="327"/>
      <c r="AQ394" s="352"/>
      <c r="AR394" s="327"/>
      <c r="AU394" s="307"/>
      <c r="AX394" s="307"/>
      <c r="BA394" s="307"/>
      <c r="BC394" s="366"/>
      <c r="BD394" s="307"/>
      <c r="BG394" s="307"/>
    </row>
    <row r="395">
      <c r="B395" s="352"/>
      <c r="C395" s="327"/>
      <c r="E395" s="352"/>
      <c r="F395" s="327"/>
      <c r="H395" s="352"/>
      <c r="I395" s="327"/>
      <c r="J395" s="352"/>
      <c r="K395" s="352"/>
      <c r="L395" s="327"/>
      <c r="M395" s="352"/>
      <c r="N395" s="352"/>
      <c r="O395" s="327"/>
      <c r="P395" s="352"/>
      <c r="Q395" s="352"/>
      <c r="R395" s="327"/>
      <c r="S395" s="352"/>
      <c r="T395" s="352"/>
      <c r="U395" s="327"/>
      <c r="V395" s="352"/>
      <c r="W395" s="352"/>
      <c r="X395" s="327"/>
      <c r="Y395" s="352"/>
      <c r="Z395" s="352"/>
      <c r="AA395" s="327"/>
      <c r="AB395" s="352"/>
      <c r="AC395" s="352"/>
      <c r="AD395" s="327"/>
      <c r="AE395" s="352"/>
      <c r="AF395" s="352"/>
      <c r="AG395" s="327"/>
      <c r="AH395" s="352"/>
      <c r="AI395" s="352"/>
      <c r="AJ395" s="327"/>
      <c r="AK395" s="352"/>
      <c r="AL395" s="352"/>
      <c r="AM395" s="327"/>
      <c r="AN395" s="352"/>
      <c r="AO395" s="352"/>
      <c r="AP395" s="327"/>
      <c r="AQ395" s="352"/>
      <c r="AR395" s="327"/>
      <c r="AU395" s="307"/>
      <c r="AX395" s="307"/>
      <c r="BA395" s="307"/>
      <c r="BC395" s="366"/>
      <c r="BD395" s="307"/>
      <c r="BG395" s="307"/>
    </row>
    <row r="396">
      <c r="B396" s="352"/>
      <c r="C396" s="327"/>
      <c r="E396" s="352"/>
      <c r="F396" s="327"/>
      <c r="H396" s="352"/>
      <c r="I396" s="327"/>
      <c r="J396" s="352"/>
      <c r="K396" s="352"/>
      <c r="L396" s="327"/>
      <c r="M396" s="352"/>
      <c r="N396" s="352"/>
      <c r="O396" s="327"/>
      <c r="P396" s="352"/>
      <c r="Q396" s="352"/>
      <c r="R396" s="327"/>
      <c r="S396" s="352"/>
      <c r="T396" s="352"/>
      <c r="U396" s="327"/>
      <c r="V396" s="352"/>
      <c r="W396" s="352"/>
      <c r="X396" s="327"/>
      <c r="Y396" s="352"/>
      <c r="Z396" s="352"/>
      <c r="AA396" s="327"/>
      <c r="AB396" s="352"/>
      <c r="AC396" s="352"/>
      <c r="AD396" s="327"/>
      <c r="AE396" s="352"/>
      <c r="AF396" s="352"/>
      <c r="AG396" s="327"/>
      <c r="AH396" s="352"/>
      <c r="AI396" s="352"/>
      <c r="AJ396" s="327"/>
      <c r="AK396" s="352"/>
      <c r="AL396" s="352"/>
      <c r="AM396" s="327"/>
      <c r="AN396" s="352"/>
      <c r="AO396" s="352"/>
      <c r="AP396" s="327"/>
      <c r="AQ396" s="352"/>
      <c r="AR396" s="327"/>
      <c r="AU396" s="307"/>
      <c r="AX396" s="307"/>
      <c r="BA396" s="307"/>
      <c r="BC396" s="366"/>
      <c r="BD396" s="307"/>
      <c r="BG396" s="307"/>
    </row>
    <row r="397">
      <c r="B397" s="352"/>
      <c r="C397" s="327"/>
      <c r="E397" s="352"/>
      <c r="F397" s="327"/>
      <c r="H397" s="352"/>
      <c r="I397" s="327"/>
      <c r="J397" s="352"/>
      <c r="K397" s="352"/>
      <c r="L397" s="327"/>
      <c r="M397" s="352"/>
      <c r="N397" s="352"/>
      <c r="O397" s="327"/>
      <c r="P397" s="352"/>
      <c r="Q397" s="352"/>
      <c r="R397" s="327"/>
      <c r="S397" s="352"/>
      <c r="T397" s="352"/>
      <c r="U397" s="327"/>
      <c r="V397" s="352"/>
      <c r="W397" s="352"/>
      <c r="X397" s="327"/>
      <c r="Y397" s="352"/>
      <c r="Z397" s="352"/>
      <c r="AA397" s="327"/>
      <c r="AB397" s="352"/>
      <c r="AC397" s="352"/>
      <c r="AD397" s="327"/>
      <c r="AE397" s="352"/>
      <c r="AF397" s="352"/>
      <c r="AG397" s="327"/>
      <c r="AH397" s="352"/>
      <c r="AI397" s="352"/>
      <c r="AJ397" s="327"/>
      <c r="AK397" s="352"/>
      <c r="AL397" s="352"/>
      <c r="AM397" s="327"/>
      <c r="AN397" s="352"/>
      <c r="AO397" s="352"/>
      <c r="AP397" s="327"/>
      <c r="AQ397" s="352"/>
      <c r="AR397" s="327"/>
      <c r="AU397" s="307"/>
      <c r="AX397" s="307"/>
      <c r="BA397" s="307"/>
      <c r="BC397" s="366"/>
      <c r="BD397" s="307"/>
      <c r="BG397" s="307"/>
    </row>
    <row r="398">
      <c r="B398" s="352"/>
      <c r="C398" s="327"/>
      <c r="E398" s="352"/>
      <c r="F398" s="327"/>
      <c r="H398" s="352"/>
      <c r="I398" s="327"/>
      <c r="J398" s="352"/>
      <c r="K398" s="352"/>
      <c r="L398" s="327"/>
      <c r="M398" s="352"/>
      <c r="N398" s="352"/>
      <c r="O398" s="327"/>
      <c r="P398" s="352"/>
      <c r="Q398" s="352"/>
      <c r="R398" s="327"/>
      <c r="S398" s="352"/>
      <c r="T398" s="352"/>
      <c r="U398" s="327"/>
      <c r="V398" s="352"/>
      <c r="W398" s="352"/>
      <c r="X398" s="327"/>
      <c r="Y398" s="352"/>
      <c r="Z398" s="352"/>
      <c r="AA398" s="327"/>
      <c r="AB398" s="352"/>
      <c r="AC398" s="352"/>
      <c r="AD398" s="327"/>
      <c r="AE398" s="352"/>
      <c r="AF398" s="352"/>
      <c r="AG398" s="327"/>
      <c r="AH398" s="352"/>
      <c r="AI398" s="352"/>
      <c r="AJ398" s="327"/>
      <c r="AK398" s="352"/>
      <c r="AL398" s="352"/>
      <c r="AM398" s="327"/>
      <c r="AN398" s="352"/>
      <c r="AO398" s="352"/>
      <c r="AP398" s="327"/>
      <c r="AQ398" s="352"/>
      <c r="AR398" s="327"/>
      <c r="AU398" s="307"/>
      <c r="AX398" s="307"/>
      <c r="BA398" s="307"/>
      <c r="BC398" s="366"/>
      <c r="BD398" s="307"/>
      <c r="BG398" s="307"/>
    </row>
    <row r="399">
      <c r="B399" s="352"/>
      <c r="C399" s="327"/>
      <c r="E399" s="352"/>
      <c r="F399" s="327"/>
      <c r="H399" s="352"/>
      <c r="I399" s="327"/>
      <c r="J399" s="352"/>
      <c r="K399" s="352"/>
      <c r="L399" s="327"/>
      <c r="M399" s="352"/>
      <c r="N399" s="352"/>
      <c r="O399" s="327"/>
      <c r="P399" s="352"/>
      <c r="Q399" s="352"/>
      <c r="R399" s="327"/>
      <c r="S399" s="352"/>
      <c r="T399" s="352"/>
      <c r="U399" s="327"/>
      <c r="V399" s="352"/>
      <c r="W399" s="352"/>
      <c r="X399" s="327"/>
      <c r="Y399" s="352"/>
      <c r="Z399" s="352"/>
      <c r="AA399" s="327"/>
      <c r="AB399" s="352"/>
      <c r="AC399" s="352"/>
      <c r="AD399" s="327"/>
      <c r="AE399" s="352"/>
      <c r="AF399" s="352"/>
      <c r="AG399" s="327"/>
      <c r="AH399" s="352"/>
      <c r="AI399" s="352"/>
      <c r="AJ399" s="327"/>
      <c r="AK399" s="352"/>
      <c r="AL399" s="352"/>
      <c r="AM399" s="327"/>
      <c r="AN399" s="352"/>
      <c r="AO399" s="352"/>
      <c r="AP399" s="327"/>
      <c r="AQ399" s="352"/>
      <c r="AR399" s="327"/>
      <c r="AU399" s="307"/>
      <c r="AX399" s="307"/>
      <c r="BA399" s="307"/>
      <c r="BC399" s="366"/>
      <c r="BD399" s="307"/>
      <c r="BG399" s="307"/>
    </row>
    <row r="400">
      <c r="B400" s="352"/>
      <c r="C400" s="327"/>
      <c r="E400" s="352"/>
      <c r="F400" s="327"/>
      <c r="H400" s="352"/>
      <c r="I400" s="327"/>
      <c r="J400" s="352"/>
      <c r="K400" s="352"/>
      <c r="L400" s="327"/>
      <c r="M400" s="352"/>
      <c r="N400" s="352"/>
      <c r="O400" s="327"/>
      <c r="P400" s="352"/>
      <c r="Q400" s="352"/>
      <c r="R400" s="327"/>
      <c r="S400" s="352"/>
      <c r="T400" s="352"/>
      <c r="U400" s="327"/>
      <c r="V400" s="352"/>
      <c r="W400" s="352"/>
      <c r="X400" s="327"/>
      <c r="Y400" s="352"/>
      <c r="Z400" s="352"/>
      <c r="AA400" s="327"/>
      <c r="AB400" s="352"/>
      <c r="AC400" s="352"/>
      <c r="AD400" s="327"/>
      <c r="AE400" s="352"/>
      <c r="AF400" s="352"/>
      <c r="AG400" s="327"/>
      <c r="AH400" s="352"/>
      <c r="AI400" s="352"/>
      <c r="AJ400" s="327"/>
      <c r="AK400" s="352"/>
      <c r="AL400" s="352"/>
      <c r="AM400" s="327"/>
      <c r="AN400" s="352"/>
      <c r="AO400" s="352"/>
      <c r="AP400" s="327"/>
      <c r="AQ400" s="352"/>
      <c r="AR400" s="327"/>
      <c r="AU400" s="307"/>
      <c r="AX400" s="307"/>
      <c r="BA400" s="307"/>
      <c r="BC400" s="366"/>
      <c r="BD400" s="307"/>
      <c r="BG400" s="307"/>
    </row>
    <row r="401">
      <c r="B401" s="352"/>
      <c r="C401" s="327"/>
      <c r="E401" s="352"/>
      <c r="F401" s="327"/>
      <c r="H401" s="352"/>
      <c r="I401" s="327"/>
      <c r="J401" s="352"/>
      <c r="K401" s="352"/>
      <c r="L401" s="327"/>
      <c r="M401" s="352"/>
      <c r="N401" s="352"/>
      <c r="O401" s="327"/>
      <c r="P401" s="352"/>
      <c r="Q401" s="352"/>
      <c r="R401" s="327"/>
      <c r="S401" s="352"/>
      <c r="T401" s="352"/>
      <c r="U401" s="327"/>
      <c r="V401" s="352"/>
      <c r="W401" s="352"/>
      <c r="X401" s="327"/>
      <c r="Y401" s="352"/>
      <c r="Z401" s="352"/>
      <c r="AA401" s="327"/>
      <c r="AB401" s="352"/>
      <c r="AC401" s="352"/>
      <c r="AD401" s="327"/>
      <c r="AE401" s="352"/>
      <c r="AF401" s="352"/>
      <c r="AG401" s="327"/>
      <c r="AH401" s="352"/>
      <c r="AI401" s="352"/>
      <c r="AJ401" s="327"/>
      <c r="AK401" s="352"/>
      <c r="AL401" s="352"/>
      <c r="AM401" s="327"/>
      <c r="AN401" s="352"/>
      <c r="AO401" s="352"/>
      <c r="AP401" s="327"/>
      <c r="AQ401" s="352"/>
      <c r="AR401" s="327"/>
      <c r="AU401" s="307"/>
      <c r="AX401" s="307"/>
      <c r="BA401" s="307"/>
      <c r="BC401" s="366"/>
      <c r="BD401" s="307"/>
      <c r="BG401" s="307"/>
    </row>
    <row r="402">
      <c r="B402" s="352"/>
      <c r="C402" s="327"/>
      <c r="E402" s="352"/>
      <c r="F402" s="327"/>
      <c r="H402" s="352"/>
      <c r="I402" s="327"/>
      <c r="J402" s="352"/>
      <c r="K402" s="352"/>
      <c r="L402" s="327"/>
      <c r="M402" s="352"/>
      <c r="N402" s="352"/>
      <c r="O402" s="327"/>
      <c r="P402" s="352"/>
      <c r="Q402" s="352"/>
      <c r="R402" s="327"/>
      <c r="S402" s="352"/>
      <c r="T402" s="352"/>
      <c r="U402" s="327"/>
      <c r="V402" s="352"/>
      <c r="W402" s="352"/>
      <c r="X402" s="327"/>
      <c r="Y402" s="352"/>
      <c r="Z402" s="352"/>
      <c r="AA402" s="327"/>
      <c r="AB402" s="352"/>
      <c r="AC402" s="352"/>
      <c r="AD402" s="327"/>
      <c r="AE402" s="352"/>
      <c r="AF402" s="352"/>
      <c r="AG402" s="327"/>
      <c r="AH402" s="352"/>
      <c r="AI402" s="352"/>
      <c r="AJ402" s="327"/>
      <c r="AK402" s="352"/>
      <c r="AL402" s="352"/>
      <c r="AM402" s="327"/>
      <c r="AN402" s="352"/>
      <c r="AO402" s="352"/>
      <c r="AP402" s="327"/>
      <c r="AQ402" s="352"/>
      <c r="AR402" s="327"/>
      <c r="AU402" s="307"/>
      <c r="AX402" s="307"/>
      <c r="BA402" s="307"/>
      <c r="BC402" s="366"/>
      <c r="BD402" s="307"/>
      <c r="BG402" s="307"/>
    </row>
    <row r="403">
      <c r="B403" s="352"/>
      <c r="C403" s="327"/>
      <c r="E403" s="352"/>
      <c r="F403" s="327"/>
      <c r="H403" s="352"/>
      <c r="I403" s="327"/>
      <c r="J403" s="352"/>
      <c r="K403" s="352"/>
      <c r="L403" s="327"/>
      <c r="M403" s="352"/>
      <c r="N403" s="352"/>
      <c r="O403" s="327"/>
      <c r="P403" s="352"/>
      <c r="Q403" s="352"/>
      <c r="R403" s="327"/>
      <c r="S403" s="352"/>
      <c r="T403" s="352"/>
      <c r="U403" s="327"/>
      <c r="V403" s="352"/>
      <c r="W403" s="352"/>
      <c r="X403" s="327"/>
      <c r="Y403" s="352"/>
      <c r="Z403" s="352"/>
      <c r="AA403" s="327"/>
      <c r="AB403" s="352"/>
      <c r="AC403" s="352"/>
      <c r="AD403" s="327"/>
      <c r="AE403" s="352"/>
      <c r="AF403" s="352"/>
      <c r="AG403" s="327"/>
      <c r="AH403" s="352"/>
      <c r="AI403" s="352"/>
      <c r="AJ403" s="327"/>
      <c r="AK403" s="352"/>
      <c r="AL403" s="352"/>
      <c r="AM403" s="327"/>
      <c r="AN403" s="352"/>
      <c r="AO403" s="352"/>
      <c r="AP403" s="327"/>
      <c r="AQ403" s="352"/>
      <c r="AR403" s="327"/>
      <c r="AU403" s="307"/>
      <c r="AX403" s="307"/>
      <c r="BA403" s="307"/>
      <c r="BC403" s="366"/>
      <c r="BD403" s="307"/>
      <c r="BG403" s="307"/>
    </row>
    <row r="404">
      <c r="B404" s="352"/>
      <c r="C404" s="327"/>
      <c r="E404" s="352"/>
      <c r="F404" s="327"/>
      <c r="H404" s="352"/>
      <c r="I404" s="327"/>
      <c r="J404" s="352"/>
      <c r="K404" s="352"/>
      <c r="L404" s="327"/>
      <c r="M404" s="352"/>
      <c r="N404" s="352"/>
      <c r="O404" s="327"/>
      <c r="P404" s="352"/>
      <c r="Q404" s="352"/>
      <c r="R404" s="327"/>
      <c r="S404" s="352"/>
      <c r="T404" s="352"/>
      <c r="U404" s="327"/>
      <c r="V404" s="352"/>
      <c r="W404" s="352"/>
      <c r="X404" s="327"/>
      <c r="Y404" s="352"/>
      <c r="Z404" s="352"/>
      <c r="AA404" s="327"/>
      <c r="AB404" s="352"/>
      <c r="AC404" s="352"/>
      <c r="AD404" s="327"/>
      <c r="AE404" s="352"/>
      <c r="AF404" s="352"/>
      <c r="AG404" s="327"/>
      <c r="AH404" s="352"/>
      <c r="AI404" s="352"/>
      <c r="AJ404" s="327"/>
      <c r="AK404" s="352"/>
      <c r="AL404" s="352"/>
      <c r="AM404" s="327"/>
      <c r="AN404" s="352"/>
      <c r="AO404" s="352"/>
      <c r="AP404" s="327"/>
      <c r="AQ404" s="352"/>
      <c r="AR404" s="327"/>
      <c r="AU404" s="307"/>
      <c r="AX404" s="307"/>
      <c r="BA404" s="307"/>
      <c r="BC404" s="366"/>
      <c r="BD404" s="307"/>
      <c r="BG404" s="307"/>
    </row>
    <row r="405">
      <c r="B405" s="352"/>
      <c r="C405" s="327"/>
      <c r="E405" s="352"/>
      <c r="F405" s="327"/>
      <c r="H405" s="352"/>
      <c r="I405" s="327"/>
      <c r="J405" s="352"/>
      <c r="K405" s="352"/>
      <c r="L405" s="327"/>
      <c r="M405" s="352"/>
      <c r="N405" s="352"/>
      <c r="O405" s="327"/>
      <c r="P405" s="352"/>
      <c r="Q405" s="352"/>
      <c r="R405" s="327"/>
      <c r="S405" s="352"/>
      <c r="T405" s="352"/>
      <c r="U405" s="327"/>
      <c r="V405" s="352"/>
      <c r="W405" s="352"/>
      <c r="X405" s="327"/>
      <c r="Y405" s="352"/>
      <c r="Z405" s="352"/>
      <c r="AA405" s="327"/>
      <c r="AB405" s="352"/>
      <c r="AC405" s="352"/>
      <c r="AD405" s="327"/>
      <c r="AE405" s="352"/>
      <c r="AF405" s="352"/>
      <c r="AG405" s="327"/>
      <c r="AH405" s="352"/>
      <c r="AI405" s="352"/>
      <c r="AJ405" s="327"/>
      <c r="AK405" s="352"/>
      <c r="AL405" s="352"/>
      <c r="AM405" s="327"/>
      <c r="AN405" s="352"/>
      <c r="AO405" s="352"/>
      <c r="AP405" s="327"/>
      <c r="AQ405" s="352"/>
      <c r="AR405" s="327"/>
      <c r="AU405" s="307"/>
      <c r="AX405" s="307"/>
      <c r="BA405" s="307"/>
      <c r="BC405" s="366"/>
      <c r="BD405" s="307"/>
      <c r="BG405" s="307"/>
    </row>
    <row r="406">
      <c r="B406" s="352"/>
      <c r="C406" s="327"/>
      <c r="E406" s="352"/>
      <c r="F406" s="327"/>
      <c r="H406" s="352"/>
      <c r="I406" s="327"/>
      <c r="J406" s="352"/>
      <c r="K406" s="352"/>
      <c r="L406" s="327"/>
      <c r="M406" s="352"/>
      <c r="N406" s="352"/>
      <c r="O406" s="327"/>
      <c r="P406" s="352"/>
      <c r="Q406" s="352"/>
      <c r="R406" s="327"/>
      <c r="S406" s="352"/>
      <c r="T406" s="352"/>
      <c r="U406" s="327"/>
      <c r="V406" s="352"/>
      <c r="W406" s="352"/>
      <c r="X406" s="327"/>
      <c r="Y406" s="352"/>
      <c r="Z406" s="352"/>
      <c r="AA406" s="327"/>
      <c r="AB406" s="352"/>
      <c r="AC406" s="352"/>
      <c r="AD406" s="327"/>
      <c r="AE406" s="352"/>
      <c r="AF406" s="352"/>
      <c r="AG406" s="327"/>
      <c r="AH406" s="352"/>
      <c r="AI406" s="352"/>
      <c r="AJ406" s="327"/>
      <c r="AK406" s="352"/>
      <c r="AL406" s="352"/>
      <c r="AM406" s="327"/>
      <c r="AN406" s="352"/>
      <c r="AO406" s="352"/>
      <c r="AP406" s="327"/>
      <c r="AQ406" s="352"/>
      <c r="AR406" s="327"/>
      <c r="AU406" s="307"/>
      <c r="AX406" s="307"/>
      <c r="BA406" s="307"/>
      <c r="BC406" s="366"/>
      <c r="BD406" s="307"/>
      <c r="BG406" s="307"/>
    </row>
    <row r="407">
      <c r="B407" s="352"/>
      <c r="C407" s="327"/>
      <c r="E407" s="352"/>
      <c r="F407" s="327"/>
      <c r="H407" s="352"/>
      <c r="I407" s="327"/>
      <c r="J407" s="352"/>
      <c r="K407" s="352"/>
      <c r="L407" s="327"/>
      <c r="M407" s="352"/>
      <c r="N407" s="352"/>
      <c r="O407" s="327"/>
      <c r="P407" s="352"/>
      <c r="Q407" s="352"/>
      <c r="R407" s="327"/>
      <c r="S407" s="352"/>
      <c r="T407" s="352"/>
      <c r="U407" s="327"/>
      <c r="V407" s="352"/>
      <c r="W407" s="352"/>
      <c r="X407" s="327"/>
      <c r="Y407" s="352"/>
      <c r="Z407" s="352"/>
      <c r="AA407" s="327"/>
      <c r="AB407" s="352"/>
      <c r="AC407" s="352"/>
      <c r="AD407" s="327"/>
      <c r="AE407" s="352"/>
      <c r="AF407" s="352"/>
      <c r="AG407" s="327"/>
      <c r="AH407" s="352"/>
      <c r="AI407" s="352"/>
      <c r="AJ407" s="327"/>
      <c r="AK407" s="352"/>
      <c r="AL407" s="352"/>
      <c r="AM407" s="327"/>
      <c r="AN407" s="352"/>
      <c r="AO407" s="352"/>
      <c r="AP407" s="327"/>
      <c r="AQ407" s="352"/>
      <c r="AR407" s="327"/>
      <c r="AU407" s="307"/>
      <c r="AX407" s="307"/>
      <c r="BA407" s="307"/>
      <c r="BC407" s="366"/>
      <c r="BD407" s="307"/>
      <c r="BG407" s="307"/>
    </row>
    <row r="408">
      <c r="B408" s="352"/>
      <c r="C408" s="327"/>
      <c r="E408" s="352"/>
      <c r="F408" s="327"/>
      <c r="H408" s="352"/>
      <c r="I408" s="327"/>
      <c r="J408" s="352"/>
      <c r="K408" s="352"/>
      <c r="L408" s="327"/>
      <c r="M408" s="352"/>
      <c r="N408" s="352"/>
      <c r="O408" s="327"/>
      <c r="P408" s="352"/>
      <c r="Q408" s="352"/>
      <c r="R408" s="327"/>
      <c r="S408" s="352"/>
      <c r="T408" s="352"/>
      <c r="U408" s="327"/>
      <c r="V408" s="352"/>
      <c r="W408" s="352"/>
      <c r="X408" s="327"/>
      <c r="Y408" s="352"/>
      <c r="Z408" s="352"/>
      <c r="AA408" s="327"/>
      <c r="AB408" s="352"/>
      <c r="AC408" s="352"/>
      <c r="AD408" s="327"/>
      <c r="AE408" s="352"/>
      <c r="AF408" s="352"/>
      <c r="AG408" s="327"/>
      <c r="AH408" s="352"/>
      <c r="AI408" s="352"/>
      <c r="AJ408" s="327"/>
      <c r="AK408" s="352"/>
      <c r="AL408" s="352"/>
      <c r="AM408" s="327"/>
      <c r="AN408" s="352"/>
      <c r="AO408" s="352"/>
      <c r="AP408" s="327"/>
      <c r="AQ408" s="352"/>
      <c r="AR408" s="327"/>
      <c r="AU408" s="307"/>
      <c r="AX408" s="307"/>
      <c r="BA408" s="307"/>
      <c r="BC408" s="366"/>
      <c r="BD408" s="307"/>
      <c r="BG408" s="307"/>
    </row>
    <row r="409">
      <c r="B409" s="352"/>
      <c r="C409" s="327"/>
      <c r="E409" s="352"/>
      <c r="F409" s="327"/>
      <c r="H409" s="352"/>
      <c r="I409" s="327"/>
      <c r="J409" s="352"/>
      <c r="K409" s="352"/>
      <c r="L409" s="327"/>
      <c r="M409" s="352"/>
      <c r="N409" s="352"/>
      <c r="O409" s="327"/>
      <c r="P409" s="352"/>
      <c r="Q409" s="352"/>
      <c r="R409" s="327"/>
      <c r="S409" s="352"/>
      <c r="T409" s="352"/>
      <c r="U409" s="327"/>
      <c r="V409" s="352"/>
      <c r="W409" s="352"/>
      <c r="X409" s="327"/>
      <c r="Y409" s="352"/>
      <c r="Z409" s="352"/>
      <c r="AA409" s="327"/>
      <c r="AB409" s="352"/>
      <c r="AC409" s="352"/>
      <c r="AD409" s="327"/>
      <c r="AE409" s="352"/>
      <c r="AF409" s="352"/>
      <c r="AG409" s="327"/>
      <c r="AH409" s="352"/>
      <c r="AI409" s="352"/>
      <c r="AJ409" s="327"/>
      <c r="AK409" s="352"/>
      <c r="AL409" s="352"/>
      <c r="AM409" s="327"/>
      <c r="AN409" s="352"/>
      <c r="AO409" s="352"/>
      <c r="AP409" s="327"/>
      <c r="AQ409" s="352"/>
      <c r="AR409" s="327"/>
      <c r="AU409" s="307"/>
      <c r="AX409" s="307"/>
      <c r="BA409" s="307"/>
      <c r="BC409" s="366"/>
      <c r="BD409" s="307"/>
      <c r="BG409" s="307"/>
    </row>
    <row r="410">
      <c r="B410" s="352"/>
      <c r="C410" s="327"/>
      <c r="E410" s="352"/>
      <c r="F410" s="327"/>
      <c r="H410" s="352"/>
      <c r="I410" s="327"/>
      <c r="J410" s="352"/>
      <c r="K410" s="352"/>
      <c r="L410" s="327"/>
      <c r="M410" s="352"/>
      <c r="N410" s="352"/>
      <c r="O410" s="327"/>
      <c r="P410" s="352"/>
      <c r="Q410" s="352"/>
      <c r="R410" s="327"/>
      <c r="S410" s="352"/>
      <c r="T410" s="352"/>
      <c r="U410" s="327"/>
      <c r="V410" s="352"/>
      <c r="W410" s="352"/>
      <c r="X410" s="327"/>
      <c r="Y410" s="352"/>
      <c r="Z410" s="352"/>
      <c r="AA410" s="327"/>
      <c r="AB410" s="352"/>
      <c r="AC410" s="352"/>
      <c r="AD410" s="327"/>
      <c r="AE410" s="352"/>
      <c r="AF410" s="352"/>
      <c r="AG410" s="327"/>
      <c r="AH410" s="352"/>
      <c r="AI410" s="352"/>
      <c r="AJ410" s="327"/>
      <c r="AK410" s="352"/>
      <c r="AL410" s="352"/>
      <c r="AM410" s="327"/>
      <c r="AN410" s="352"/>
      <c r="AO410" s="352"/>
      <c r="AP410" s="327"/>
      <c r="AQ410" s="352"/>
      <c r="AR410" s="327"/>
      <c r="AU410" s="307"/>
      <c r="AX410" s="307"/>
      <c r="BA410" s="307"/>
      <c r="BC410" s="366"/>
      <c r="BD410" s="307"/>
      <c r="BG410" s="307"/>
    </row>
    <row r="411">
      <c r="B411" s="352"/>
      <c r="C411" s="327"/>
      <c r="E411" s="352"/>
      <c r="F411" s="327"/>
      <c r="H411" s="352"/>
      <c r="I411" s="327"/>
      <c r="J411" s="352"/>
      <c r="K411" s="352"/>
      <c r="L411" s="327"/>
      <c r="M411" s="352"/>
      <c r="N411" s="352"/>
      <c r="O411" s="327"/>
      <c r="P411" s="352"/>
      <c r="Q411" s="352"/>
      <c r="R411" s="327"/>
      <c r="S411" s="352"/>
      <c r="T411" s="352"/>
      <c r="U411" s="327"/>
      <c r="V411" s="352"/>
      <c r="W411" s="352"/>
      <c r="X411" s="327"/>
      <c r="Y411" s="352"/>
      <c r="Z411" s="352"/>
      <c r="AA411" s="327"/>
      <c r="AB411" s="352"/>
      <c r="AC411" s="352"/>
      <c r="AD411" s="327"/>
      <c r="AE411" s="352"/>
      <c r="AF411" s="352"/>
      <c r="AG411" s="327"/>
      <c r="AH411" s="352"/>
      <c r="AI411" s="352"/>
      <c r="AJ411" s="327"/>
      <c r="AK411" s="352"/>
      <c r="AL411" s="352"/>
      <c r="AM411" s="327"/>
      <c r="AN411" s="352"/>
      <c r="AO411" s="352"/>
      <c r="AP411" s="327"/>
      <c r="AQ411" s="352"/>
      <c r="AR411" s="327"/>
      <c r="AU411" s="307"/>
      <c r="AX411" s="307"/>
      <c r="BA411" s="307"/>
      <c r="BC411" s="366"/>
      <c r="BD411" s="307"/>
      <c r="BG411" s="307"/>
    </row>
    <row r="412">
      <c r="B412" s="352"/>
      <c r="C412" s="327"/>
      <c r="E412" s="352"/>
      <c r="F412" s="327"/>
      <c r="H412" s="352"/>
      <c r="I412" s="327"/>
      <c r="J412" s="352"/>
      <c r="K412" s="352"/>
      <c r="L412" s="327"/>
      <c r="M412" s="352"/>
      <c r="N412" s="352"/>
      <c r="O412" s="327"/>
      <c r="P412" s="352"/>
      <c r="Q412" s="352"/>
      <c r="R412" s="327"/>
      <c r="S412" s="352"/>
      <c r="T412" s="352"/>
      <c r="U412" s="327"/>
      <c r="V412" s="352"/>
      <c r="W412" s="352"/>
      <c r="X412" s="327"/>
      <c r="Y412" s="352"/>
      <c r="Z412" s="352"/>
      <c r="AA412" s="327"/>
      <c r="AB412" s="352"/>
      <c r="AC412" s="352"/>
      <c r="AD412" s="327"/>
      <c r="AE412" s="352"/>
      <c r="AF412" s="352"/>
      <c r="AG412" s="327"/>
      <c r="AH412" s="352"/>
      <c r="AI412" s="352"/>
      <c r="AJ412" s="327"/>
      <c r="AK412" s="352"/>
      <c r="AL412" s="352"/>
      <c r="AM412" s="327"/>
      <c r="AN412" s="352"/>
      <c r="AO412" s="352"/>
      <c r="AP412" s="327"/>
      <c r="AQ412" s="352"/>
      <c r="AR412" s="327"/>
      <c r="AU412" s="307"/>
      <c r="AX412" s="307"/>
      <c r="BA412" s="307"/>
      <c r="BC412" s="366"/>
      <c r="BD412" s="307"/>
      <c r="BG412" s="307"/>
    </row>
    <row r="413">
      <c r="B413" s="352"/>
      <c r="C413" s="327"/>
      <c r="E413" s="352"/>
      <c r="F413" s="327"/>
      <c r="H413" s="352"/>
      <c r="I413" s="327"/>
      <c r="J413" s="352"/>
      <c r="K413" s="352"/>
      <c r="L413" s="327"/>
      <c r="M413" s="352"/>
      <c r="N413" s="352"/>
      <c r="O413" s="327"/>
      <c r="P413" s="352"/>
      <c r="Q413" s="352"/>
      <c r="R413" s="327"/>
      <c r="S413" s="352"/>
      <c r="T413" s="352"/>
      <c r="U413" s="327"/>
      <c r="V413" s="352"/>
      <c r="W413" s="352"/>
      <c r="X413" s="327"/>
      <c r="Y413" s="352"/>
      <c r="Z413" s="352"/>
      <c r="AA413" s="327"/>
      <c r="AB413" s="352"/>
      <c r="AC413" s="352"/>
      <c r="AD413" s="327"/>
      <c r="AE413" s="352"/>
      <c r="AF413" s="352"/>
      <c r="AG413" s="327"/>
      <c r="AH413" s="352"/>
      <c r="AI413" s="352"/>
      <c r="AJ413" s="327"/>
      <c r="AK413" s="352"/>
      <c r="AL413" s="352"/>
      <c r="AM413" s="327"/>
      <c r="AN413" s="352"/>
      <c r="AO413" s="352"/>
      <c r="AP413" s="327"/>
      <c r="AQ413" s="352"/>
      <c r="AR413" s="327"/>
      <c r="AU413" s="307"/>
      <c r="AX413" s="307"/>
      <c r="BA413" s="307"/>
      <c r="BC413" s="366"/>
      <c r="BD413" s="307"/>
      <c r="BG413" s="307"/>
    </row>
    <row r="414">
      <c r="B414" s="352"/>
      <c r="C414" s="327"/>
      <c r="E414" s="352"/>
      <c r="F414" s="327"/>
      <c r="H414" s="352"/>
      <c r="I414" s="327"/>
      <c r="J414" s="352"/>
      <c r="K414" s="352"/>
      <c r="L414" s="327"/>
      <c r="M414" s="352"/>
      <c r="N414" s="352"/>
      <c r="O414" s="327"/>
      <c r="P414" s="352"/>
      <c r="Q414" s="352"/>
      <c r="R414" s="327"/>
      <c r="S414" s="352"/>
      <c r="T414" s="352"/>
      <c r="U414" s="327"/>
      <c r="V414" s="352"/>
      <c r="W414" s="352"/>
      <c r="X414" s="327"/>
      <c r="Y414" s="352"/>
      <c r="Z414" s="352"/>
      <c r="AA414" s="327"/>
      <c r="AB414" s="352"/>
      <c r="AC414" s="352"/>
      <c r="AD414" s="327"/>
      <c r="AE414" s="352"/>
      <c r="AF414" s="352"/>
      <c r="AG414" s="327"/>
      <c r="AH414" s="352"/>
      <c r="AI414" s="352"/>
      <c r="AJ414" s="327"/>
      <c r="AK414" s="352"/>
      <c r="AL414" s="352"/>
      <c r="AM414" s="327"/>
      <c r="AN414" s="352"/>
      <c r="AO414" s="352"/>
      <c r="AP414" s="327"/>
      <c r="AQ414" s="352"/>
      <c r="AR414" s="327"/>
      <c r="AU414" s="307"/>
      <c r="AX414" s="307"/>
      <c r="BA414" s="307"/>
      <c r="BC414" s="366"/>
      <c r="BD414" s="307"/>
      <c r="BG414" s="307"/>
    </row>
    <row r="415">
      <c r="B415" s="352"/>
      <c r="C415" s="327"/>
      <c r="E415" s="352"/>
      <c r="F415" s="327"/>
      <c r="H415" s="352"/>
      <c r="I415" s="327"/>
      <c r="J415" s="352"/>
      <c r="K415" s="352"/>
      <c r="L415" s="327"/>
      <c r="M415" s="352"/>
      <c r="N415" s="352"/>
      <c r="O415" s="327"/>
      <c r="P415" s="352"/>
      <c r="Q415" s="352"/>
      <c r="R415" s="327"/>
      <c r="S415" s="352"/>
      <c r="T415" s="352"/>
      <c r="U415" s="327"/>
      <c r="V415" s="352"/>
      <c r="W415" s="352"/>
      <c r="X415" s="327"/>
      <c r="Y415" s="352"/>
      <c r="Z415" s="352"/>
      <c r="AA415" s="327"/>
      <c r="AB415" s="352"/>
      <c r="AC415" s="352"/>
      <c r="AD415" s="327"/>
      <c r="AE415" s="352"/>
      <c r="AF415" s="352"/>
      <c r="AG415" s="327"/>
      <c r="AH415" s="352"/>
      <c r="AI415" s="352"/>
      <c r="AJ415" s="327"/>
      <c r="AK415" s="352"/>
      <c r="AL415" s="352"/>
      <c r="AM415" s="327"/>
      <c r="AN415" s="352"/>
      <c r="AO415" s="352"/>
      <c r="AP415" s="327"/>
      <c r="AQ415" s="352"/>
      <c r="AR415" s="327"/>
      <c r="AU415" s="307"/>
      <c r="AX415" s="307"/>
      <c r="BA415" s="307"/>
      <c r="BC415" s="366"/>
      <c r="BD415" s="307"/>
      <c r="BG415" s="307"/>
    </row>
    <row r="416">
      <c r="B416" s="352"/>
      <c r="C416" s="327"/>
      <c r="E416" s="352"/>
      <c r="F416" s="327"/>
      <c r="H416" s="352"/>
      <c r="I416" s="327"/>
      <c r="J416" s="352"/>
      <c r="K416" s="352"/>
      <c r="L416" s="327"/>
      <c r="M416" s="352"/>
      <c r="N416" s="352"/>
      <c r="O416" s="327"/>
      <c r="P416" s="352"/>
      <c r="Q416" s="352"/>
      <c r="R416" s="327"/>
      <c r="S416" s="352"/>
      <c r="T416" s="352"/>
      <c r="U416" s="327"/>
      <c r="V416" s="352"/>
      <c r="W416" s="352"/>
      <c r="X416" s="327"/>
      <c r="Y416" s="352"/>
      <c r="Z416" s="352"/>
      <c r="AA416" s="327"/>
      <c r="AB416" s="352"/>
      <c r="AC416" s="352"/>
      <c r="AD416" s="327"/>
      <c r="AE416" s="352"/>
      <c r="AF416" s="352"/>
      <c r="AG416" s="327"/>
      <c r="AH416" s="352"/>
      <c r="AI416" s="352"/>
      <c r="AJ416" s="327"/>
      <c r="AK416" s="352"/>
      <c r="AL416" s="352"/>
      <c r="AM416" s="327"/>
      <c r="AN416" s="352"/>
      <c r="AO416" s="352"/>
      <c r="AP416" s="327"/>
      <c r="AQ416" s="352"/>
      <c r="AR416" s="327"/>
      <c r="AU416" s="307"/>
      <c r="AX416" s="307"/>
      <c r="BA416" s="307"/>
      <c r="BC416" s="366"/>
      <c r="BD416" s="307"/>
      <c r="BG416" s="307"/>
    </row>
    <row r="417">
      <c r="B417" s="352"/>
      <c r="C417" s="327"/>
      <c r="E417" s="352"/>
      <c r="F417" s="327"/>
      <c r="H417" s="352"/>
      <c r="I417" s="327"/>
      <c r="J417" s="352"/>
      <c r="K417" s="352"/>
      <c r="L417" s="327"/>
      <c r="M417" s="352"/>
      <c r="N417" s="352"/>
      <c r="O417" s="327"/>
      <c r="P417" s="352"/>
      <c r="Q417" s="352"/>
      <c r="R417" s="327"/>
      <c r="S417" s="352"/>
      <c r="T417" s="352"/>
      <c r="U417" s="327"/>
      <c r="V417" s="352"/>
      <c r="W417" s="352"/>
      <c r="X417" s="327"/>
      <c r="Y417" s="352"/>
      <c r="Z417" s="352"/>
      <c r="AA417" s="327"/>
      <c r="AB417" s="352"/>
      <c r="AC417" s="352"/>
      <c r="AD417" s="327"/>
      <c r="AE417" s="352"/>
      <c r="AF417" s="352"/>
      <c r="AG417" s="327"/>
      <c r="AH417" s="352"/>
      <c r="AI417" s="352"/>
      <c r="AJ417" s="327"/>
      <c r="AK417" s="352"/>
      <c r="AL417" s="352"/>
      <c r="AM417" s="327"/>
      <c r="AN417" s="352"/>
      <c r="AO417" s="352"/>
      <c r="AP417" s="327"/>
      <c r="AQ417" s="352"/>
      <c r="AR417" s="327"/>
      <c r="AU417" s="307"/>
      <c r="AX417" s="307"/>
      <c r="BA417" s="307"/>
      <c r="BC417" s="366"/>
      <c r="BD417" s="307"/>
      <c r="BG417" s="307"/>
    </row>
    <row r="418">
      <c r="B418" s="352"/>
      <c r="C418" s="327"/>
      <c r="E418" s="352"/>
      <c r="F418" s="327"/>
      <c r="H418" s="352"/>
      <c r="I418" s="327"/>
      <c r="J418" s="352"/>
      <c r="K418" s="352"/>
      <c r="L418" s="327"/>
      <c r="M418" s="352"/>
      <c r="N418" s="352"/>
      <c r="O418" s="327"/>
      <c r="P418" s="352"/>
      <c r="Q418" s="352"/>
      <c r="R418" s="327"/>
      <c r="S418" s="352"/>
      <c r="T418" s="352"/>
      <c r="U418" s="327"/>
      <c r="V418" s="352"/>
      <c r="W418" s="352"/>
      <c r="X418" s="327"/>
      <c r="Y418" s="352"/>
      <c r="Z418" s="352"/>
      <c r="AA418" s="327"/>
      <c r="AB418" s="352"/>
      <c r="AC418" s="352"/>
      <c r="AD418" s="327"/>
      <c r="AE418" s="352"/>
      <c r="AF418" s="352"/>
      <c r="AG418" s="327"/>
      <c r="AH418" s="352"/>
      <c r="AI418" s="352"/>
      <c r="AJ418" s="327"/>
      <c r="AK418" s="352"/>
      <c r="AL418" s="352"/>
      <c r="AM418" s="327"/>
      <c r="AN418" s="352"/>
      <c r="AO418" s="352"/>
      <c r="AP418" s="327"/>
      <c r="AQ418" s="352"/>
      <c r="AR418" s="327"/>
      <c r="AU418" s="307"/>
      <c r="AX418" s="307"/>
      <c r="BA418" s="307"/>
      <c r="BC418" s="366"/>
      <c r="BD418" s="307"/>
      <c r="BG418" s="307"/>
    </row>
    <row r="419">
      <c r="B419" s="352"/>
      <c r="C419" s="327"/>
      <c r="E419" s="352"/>
      <c r="F419" s="327"/>
      <c r="H419" s="352"/>
      <c r="I419" s="327"/>
      <c r="J419" s="352"/>
      <c r="K419" s="352"/>
      <c r="L419" s="327"/>
      <c r="M419" s="352"/>
      <c r="N419" s="352"/>
      <c r="O419" s="327"/>
      <c r="P419" s="352"/>
      <c r="Q419" s="352"/>
      <c r="R419" s="327"/>
      <c r="S419" s="352"/>
      <c r="T419" s="352"/>
      <c r="U419" s="327"/>
      <c r="V419" s="352"/>
      <c r="W419" s="352"/>
      <c r="X419" s="327"/>
      <c r="Y419" s="352"/>
      <c r="Z419" s="352"/>
      <c r="AA419" s="327"/>
      <c r="AB419" s="352"/>
      <c r="AC419" s="352"/>
      <c r="AD419" s="327"/>
      <c r="AE419" s="352"/>
      <c r="AF419" s="352"/>
      <c r="AG419" s="327"/>
      <c r="AH419" s="352"/>
      <c r="AI419" s="352"/>
      <c r="AJ419" s="327"/>
      <c r="AK419" s="352"/>
      <c r="AL419" s="352"/>
      <c r="AM419" s="327"/>
      <c r="AN419" s="352"/>
      <c r="AO419" s="352"/>
      <c r="AP419" s="327"/>
      <c r="AQ419" s="352"/>
      <c r="AR419" s="327"/>
      <c r="AU419" s="307"/>
      <c r="AX419" s="307"/>
      <c r="BA419" s="307"/>
      <c r="BC419" s="366"/>
      <c r="BD419" s="307"/>
      <c r="BG419" s="307"/>
    </row>
    <row r="420">
      <c r="B420" s="352"/>
      <c r="C420" s="327"/>
      <c r="E420" s="352"/>
      <c r="F420" s="327"/>
      <c r="H420" s="352"/>
      <c r="I420" s="327"/>
      <c r="J420" s="352"/>
      <c r="K420" s="352"/>
      <c r="L420" s="327"/>
      <c r="M420" s="352"/>
      <c r="N420" s="352"/>
      <c r="O420" s="327"/>
      <c r="P420" s="352"/>
      <c r="Q420" s="352"/>
      <c r="R420" s="327"/>
      <c r="S420" s="352"/>
      <c r="T420" s="352"/>
      <c r="U420" s="327"/>
      <c r="V420" s="352"/>
      <c r="W420" s="352"/>
      <c r="X420" s="327"/>
      <c r="Y420" s="352"/>
      <c r="Z420" s="352"/>
      <c r="AA420" s="327"/>
      <c r="AB420" s="352"/>
      <c r="AC420" s="352"/>
      <c r="AD420" s="327"/>
      <c r="AE420" s="352"/>
      <c r="AF420" s="352"/>
      <c r="AG420" s="327"/>
      <c r="AH420" s="352"/>
      <c r="AI420" s="352"/>
      <c r="AJ420" s="327"/>
      <c r="AK420" s="352"/>
      <c r="AL420" s="352"/>
      <c r="AM420" s="327"/>
      <c r="AN420" s="352"/>
      <c r="AO420" s="352"/>
      <c r="AP420" s="327"/>
      <c r="AQ420" s="352"/>
      <c r="AR420" s="327"/>
      <c r="AU420" s="307"/>
      <c r="AX420" s="307"/>
      <c r="BA420" s="307"/>
      <c r="BC420" s="366"/>
      <c r="BD420" s="307"/>
      <c r="BG420" s="307"/>
    </row>
    <row r="421">
      <c r="B421" s="352"/>
      <c r="C421" s="327"/>
      <c r="E421" s="352"/>
      <c r="F421" s="327"/>
      <c r="H421" s="352"/>
      <c r="I421" s="327"/>
      <c r="J421" s="352"/>
      <c r="K421" s="352"/>
      <c r="L421" s="327"/>
      <c r="M421" s="352"/>
      <c r="N421" s="352"/>
      <c r="O421" s="327"/>
      <c r="P421" s="352"/>
      <c r="Q421" s="352"/>
      <c r="R421" s="327"/>
      <c r="S421" s="352"/>
      <c r="T421" s="352"/>
      <c r="U421" s="327"/>
      <c r="V421" s="352"/>
      <c r="W421" s="352"/>
      <c r="X421" s="327"/>
      <c r="Y421" s="352"/>
      <c r="Z421" s="352"/>
      <c r="AA421" s="327"/>
      <c r="AB421" s="352"/>
      <c r="AC421" s="352"/>
      <c r="AD421" s="327"/>
      <c r="AE421" s="352"/>
      <c r="AF421" s="352"/>
      <c r="AG421" s="327"/>
      <c r="AH421" s="352"/>
      <c r="AI421" s="352"/>
      <c r="AJ421" s="327"/>
      <c r="AK421" s="352"/>
      <c r="AL421" s="352"/>
      <c r="AM421" s="327"/>
      <c r="AN421" s="352"/>
      <c r="AO421" s="352"/>
      <c r="AP421" s="327"/>
      <c r="AQ421" s="352"/>
      <c r="AR421" s="327"/>
      <c r="AU421" s="307"/>
      <c r="AX421" s="307"/>
      <c r="BA421" s="307"/>
      <c r="BC421" s="366"/>
      <c r="BD421" s="307"/>
      <c r="BG421" s="307"/>
    </row>
    <row r="422">
      <c r="B422" s="352"/>
      <c r="C422" s="327"/>
      <c r="E422" s="352"/>
      <c r="F422" s="327"/>
      <c r="H422" s="352"/>
      <c r="I422" s="327"/>
      <c r="J422" s="352"/>
      <c r="K422" s="352"/>
      <c r="L422" s="327"/>
      <c r="M422" s="352"/>
      <c r="N422" s="352"/>
      <c r="O422" s="327"/>
      <c r="P422" s="352"/>
      <c r="Q422" s="352"/>
      <c r="R422" s="327"/>
      <c r="S422" s="352"/>
      <c r="T422" s="352"/>
      <c r="U422" s="327"/>
      <c r="V422" s="352"/>
      <c r="W422" s="352"/>
      <c r="X422" s="327"/>
      <c r="Y422" s="352"/>
      <c r="Z422" s="352"/>
      <c r="AA422" s="327"/>
      <c r="AB422" s="352"/>
      <c r="AC422" s="352"/>
      <c r="AD422" s="327"/>
      <c r="AE422" s="352"/>
      <c r="AF422" s="352"/>
      <c r="AG422" s="327"/>
      <c r="AH422" s="352"/>
      <c r="AI422" s="352"/>
      <c r="AJ422" s="327"/>
      <c r="AK422" s="352"/>
      <c r="AL422" s="352"/>
      <c r="AM422" s="327"/>
      <c r="AN422" s="352"/>
      <c r="AO422" s="352"/>
      <c r="AP422" s="327"/>
      <c r="AQ422" s="352"/>
      <c r="AR422" s="327"/>
      <c r="AU422" s="307"/>
      <c r="AX422" s="307"/>
      <c r="BA422" s="307"/>
      <c r="BC422" s="366"/>
      <c r="BD422" s="307"/>
      <c r="BG422" s="307"/>
    </row>
    <row r="423">
      <c r="B423" s="352"/>
      <c r="C423" s="327"/>
      <c r="E423" s="352"/>
      <c r="F423" s="327"/>
      <c r="H423" s="352"/>
      <c r="I423" s="327"/>
      <c r="J423" s="352"/>
      <c r="K423" s="352"/>
      <c r="L423" s="327"/>
      <c r="M423" s="352"/>
      <c r="N423" s="352"/>
      <c r="O423" s="327"/>
      <c r="P423" s="352"/>
      <c r="Q423" s="352"/>
      <c r="R423" s="327"/>
      <c r="S423" s="352"/>
      <c r="T423" s="352"/>
      <c r="U423" s="327"/>
      <c r="V423" s="352"/>
      <c r="W423" s="352"/>
      <c r="X423" s="327"/>
      <c r="Y423" s="352"/>
      <c r="Z423" s="352"/>
      <c r="AA423" s="327"/>
      <c r="AB423" s="352"/>
      <c r="AC423" s="352"/>
      <c r="AD423" s="327"/>
      <c r="AE423" s="352"/>
      <c r="AF423" s="352"/>
      <c r="AG423" s="327"/>
      <c r="AH423" s="352"/>
      <c r="AI423" s="352"/>
      <c r="AJ423" s="327"/>
      <c r="AK423" s="352"/>
      <c r="AL423" s="352"/>
      <c r="AM423" s="327"/>
      <c r="AN423" s="352"/>
      <c r="AO423" s="352"/>
      <c r="AP423" s="327"/>
      <c r="AQ423" s="352"/>
      <c r="AR423" s="327"/>
      <c r="AU423" s="307"/>
      <c r="AX423" s="307"/>
      <c r="BA423" s="307"/>
      <c r="BC423" s="366"/>
      <c r="BD423" s="307"/>
      <c r="BG423" s="307"/>
    </row>
    <row r="424">
      <c r="B424" s="352"/>
      <c r="C424" s="327"/>
      <c r="E424" s="352"/>
      <c r="F424" s="327"/>
      <c r="H424" s="352"/>
      <c r="I424" s="327"/>
      <c r="J424" s="352"/>
      <c r="K424" s="352"/>
      <c r="L424" s="327"/>
      <c r="M424" s="352"/>
      <c r="N424" s="352"/>
      <c r="O424" s="327"/>
      <c r="P424" s="352"/>
      <c r="Q424" s="352"/>
      <c r="R424" s="327"/>
      <c r="S424" s="352"/>
      <c r="T424" s="352"/>
      <c r="U424" s="327"/>
      <c r="V424" s="352"/>
      <c r="W424" s="352"/>
      <c r="X424" s="327"/>
      <c r="Y424" s="352"/>
      <c r="Z424" s="352"/>
      <c r="AA424" s="327"/>
      <c r="AB424" s="352"/>
      <c r="AC424" s="352"/>
      <c r="AD424" s="327"/>
      <c r="AE424" s="352"/>
      <c r="AF424" s="352"/>
      <c r="AG424" s="327"/>
      <c r="AH424" s="352"/>
      <c r="AI424" s="352"/>
      <c r="AJ424" s="327"/>
      <c r="AK424" s="352"/>
      <c r="AL424" s="352"/>
      <c r="AM424" s="327"/>
      <c r="AN424" s="352"/>
      <c r="AO424" s="352"/>
      <c r="AP424" s="327"/>
      <c r="AQ424" s="352"/>
      <c r="AR424" s="327"/>
      <c r="AU424" s="307"/>
      <c r="AX424" s="307"/>
      <c r="BA424" s="307"/>
      <c r="BC424" s="366"/>
      <c r="BD424" s="307"/>
      <c r="BG424" s="307"/>
    </row>
    <row r="425">
      <c r="B425" s="352"/>
      <c r="C425" s="327"/>
      <c r="E425" s="352"/>
      <c r="F425" s="327"/>
      <c r="H425" s="352"/>
      <c r="I425" s="327"/>
      <c r="J425" s="352"/>
      <c r="K425" s="352"/>
      <c r="L425" s="327"/>
      <c r="M425" s="352"/>
      <c r="N425" s="352"/>
      <c r="O425" s="327"/>
      <c r="P425" s="352"/>
      <c r="Q425" s="352"/>
      <c r="R425" s="327"/>
      <c r="S425" s="352"/>
      <c r="T425" s="352"/>
      <c r="U425" s="327"/>
      <c r="V425" s="352"/>
      <c r="W425" s="352"/>
      <c r="X425" s="327"/>
      <c r="Y425" s="352"/>
      <c r="Z425" s="352"/>
      <c r="AA425" s="327"/>
      <c r="AB425" s="352"/>
      <c r="AC425" s="352"/>
      <c r="AD425" s="327"/>
      <c r="AE425" s="352"/>
      <c r="AF425" s="352"/>
      <c r="AG425" s="327"/>
      <c r="AH425" s="352"/>
      <c r="AI425" s="352"/>
      <c r="AJ425" s="327"/>
      <c r="AK425" s="352"/>
      <c r="AL425" s="352"/>
      <c r="AM425" s="327"/>
      <c r="AN425" s="352"/>
      <c r="AO425" s="352"/>
      <c r="AP425" s="327"/>
      <c r="AQ425" s="352"/>
      <c r="AR425" s="327"/>
      <c r="AU425" s="307"/>
      <c r="AX425" s="307"/>
      <c r="BA425" s="307"/>
      <c r="BC425" s="366"/>
      <c r="BD425" s="307"/>
      <c r="BG425" s="307"/>
    </row>
    <row r="426">
      <c r="B426" s="352"/>
      <c r="C426" s="327"/>
      <c r="E426" s="352"/>
      <c r="F426" s="327"/>
      <c r="H426" s="352"/>
      <c r="I426" s="327"/>
      <c r="J426" s="352"/>
      <c r="K426" s="352"/>
      <c r="L426" s="327"/>
      <c r="M426" s="352"/>
      <c r="N426" s="352"/>
      <c r="O426" s="327"/>
      <c r="P426" s="352"/>
      <c r="Q426" s="352"/>
      <c r="R426" s="327"/>
      <c r="S426" s="352"/>
      <c r="T426" s="352"/>
      <c r="U426" s="327"/>
      <c r="V426" s="352"/>
      <c r="W426" s="352"/>
      <c r="X426" s="327"/>
      <c r="Y426" s="352"/>
      <c r="Z426" s="352"/>
      <c r="AA426" s="327"/>
      <c r="AB426" s="352"/>
      <c r="AC426" s="352"/>
      <c r="AD426" s="327"/>
      <c r="AE426" s="352"/>
      <c r="AF426" s="352"/>
      <c r="AG426" s="327"/>
      <c r="AH426" s="352"/>
      <c r="AI426" s="352"/>
      <c r="AJ426" s="327"/>
      <c r="AK426" s="352"/>
      <c r="AL426" s="352"/>
      <c r="AM426" s="327"/>
      <c r="AN426" s="352"/>
      <c r="AO426" s="352"/>
      <c r="AP426" s="327"/>
      <c r="AQ426" s="352"/>
      <c r="AR426" s="327"/>
      <c r="AU426" s="307"/>
      <c r="AX426" s="307"/>
      <c r="BA426" s="307"/>
      <c r="BC426" s="366"/>
      <c r="BD426" s="307"/>
      <c r="BG426" s="307"/>
    </row>
    <row r="427">
      <c r="B427" s="352"/>
      <c r="C427" s="327"/>
      <c r="E427" s="352"/>
      <c r="F427" s="327"/>
      <c r="H427" s="352"/>
      <c r="I427" s="327"/>
      <c r="J427" s="352"/>
      <c r="K427" s="352"/>
      <c r="L427" s="327"/>
      <c r="M427" s="352"/>
      <c r="N427" s="352"/>
      <c r="O427" s="327"/>
      <c r="P427" s="352"/>
      <c r="Q427" s="352"/>
      <c r="R427" s="327"/>
      <c r="S427" s="352"/>
      <c r="T427" s="352"/>
      <c r="U427" s="327"/>
      <c r="V427" s="352"/>
      <c r="W427" s="352"/>
      <c r="X427" s="327"/>
      <c r="Y427" s="352"/>
      <c r="Z427" s="352"/>
      <c r="AA427" s="327"/>
      <c r="AB427" s="352"/>
      <c r="AC427" s="352"/>
      <c r="AD427" s="327"/>
      <c r="AE427" s="352"/>
      <c r="AF427" s="352"/>
      <c r="AG427" s="327"/>
      <c r="AH427" s="352"/>
      <c r="AI427" s="352"/>
      <c r="AJ427" s="327"/>
      <c r="AK427" s="352"/>
      <c r="AL427" s="352"/>
      <c r="AM427" s="327"/>
      <c r="AN427" s="352"/>
      <c r="AO427" s="352"/>
      <c r="AP427" s="327"/>
      <c r="AQ427" s="352"/>
      <c r="AR427" s="327"/>
      <c r="AU427" s="307"/>
      <c r="AX427" s="307"/>
      <c r="BA427" s="307"/>
      <c r="BC427" s="366"/>
      <c r="BD427" s="307"/>
      <c r="BG427" s="307"/>
    </row>
    <row r="428">
      <c r="B428" s="352"/>
      <c r="C428" s="327"/>
      <c r="E428" s="352"/>
      <c r="F428" s="327"/>
      <c r="H428" s="352"/>
      <c r="I428" s="327"/>
      <c r="J428" s="352"/>
      <c r="K428" s="352"/>
      <c r="L428" s="327"/>
      <c r="M428" s="352"/>
      <c r="N428" s="352"/>
      <c r="O428" s="327"/>
      <c r="P428" s="352"/>
      <c r="Q428" s="352"/>
      <c r="R428" s="327"/>
      <c r="S428" s="352"/>
      <c r="T428" s="352"/>
      <c r="U428" s="327"/>
      <c r="V428" s="352"/>
      <c r="W428" s="352"/>
      <c r="X428" s="327"/>
      <c r="Y428" s="352"/>
      <c r="Z428" s="352"/>
      <c r="AA428" s="327"/>
      <c r="AB428" s="352"/>
      <c r="AC428" s="352"/>
      <c r="AD428" s="327"/>
      <c r="AE428" s="352"/>
      <c r="AF428" s="352"/>
      <c r="AG428" s="327"/>
      <c r="AH428" s="352"/>
      <c r="AI428" s="352"/>
      <c r="AJ428" s="327"/>
      <c r="AK428" s="352"/>
      <c r="AL428" s="352"/>
      <c r="AM428" s="327"/>
      <c r="AN428" s="352"/>
      <c r="AO428" s="352"/>
      <c r="AP428" s="327"/>
      <c r="AQ428" s="352"/>
      <c r="AR428" s="327"/>
      <c r="AU428" s="307"/>
      <c r="AX428" s="307"/>
      <c r="BA428" s="307"/>
      <c r="BC428" s="366"/>
      <c r="BD428" s="307"/>
      <c r="BG428" s="307"/>
    </row>
    <row r="429">
      <c r="B429" s="352"/>
      <c r="C429" s="327"/>
      <c r="E429" s="352"/>
      <c r="F429" s="327"/>
      <c r="H429" s="352"/>
      <c r="I429" s="327"/>
      <c r="J429" s="352"/>
      <c r="K429" s="352"/>
      <c r="L429" s="327"/>
      <c r="M429" s="352"/>
      <c r="N429" s="352"/>
      <c r="O429" s="327"/>
      <c r="P429" s="352"/>
      <c r="Q429" s="352"/>
      <c r="R429" s="327"/>
      <c r="S429" s="352"/>
      <c r="T429" s="352"/>
      <c r="U429" s="327"/>
      <c r="V429" s="352"/>
      <c r="W429" s="352"/>
      <c r="X429" s="327"/>
      <c r="Y429" s="352"/>
      <c r="Z429" s="352"/>
      <c r="AA429" s="327"/>
      <c r="AB429" s="352"/>
      <c r="AC429" s="352"/>
      <c r="AD429" s="327"/>
      <c r="AE429" s="352"/>
      <c r="AF429" s="352"/>
      <c r="AG429" s="327"/>
      <c r="AH429" s="352"/>
      <c r="AI429" s="352"/>
      <c r="AJ429" s="327"/>
      <c r="AK429" s="352"/>
      <c r="AL429" s="352"/>
      <c r="AM429" s="327"/>
      <c r="AN429" s="352"/>
      <c r="AO429" s="352"/>
      <c r="AP429" s="327"/>
      <c r="AQ429" s="352"/>
      <c r="AR429" s="327"/>
      <c r="AU429" s="307"/>
      <c r="AX429" s="307"/>
      <c r="BA429" s="307"/>
      <c r="BC429" s="366"/>
      <c r="BD429" s="307"/>
      <c r="BG429" s="307"/>
    </row>
    <row r="430">
      <c r="B430" s="352"/>
      <c r="C430" s="327"/>
      <c r="E430" s="352"/>
      <c r="F430" s="327"/>
      <c r="H430" s="352"/>
      <c r="I430" s="327"/>
      <c r="J430" s="352"/>
      <c r="K430" s="352"/>
      <c r="L430" s="327"/>
      <c r="M430" s="352"/>
      <c r="N430" s="352"/>
      <c r="O430" s="327"/>
      <c r="P430" s="352"/>
      <c r="Q430" s="352"/>
      <c r="R430" s="327"/>
      <c r="S430" s="352"/>
      <c r="T430" s="352"/>
      <c r="U430" s="327"/>
      <c r="V430" s="352"/>
      <c r="W430" s="352"/>
      <c r="X430" s="327"/>
      <c r="Y430" s="352"/>
      <c r="Z430" s="352"/>
      <c r="AA430" s="327"/>
      <c r="AB430" s="352"/>
      <c r="AC430" s="352"/>
      <c r="AD430" s="327"/>
      <c r="AE430" s="352"/>
      <c r="AF430" s="352"/>
      <c r="AG430" s="327"/>
      <c r="AH430" s="352"/>
      <c r="AI430" s="352"/>
      <c r="AJ430" s="327"/>
      <c r="AK430" s="352"/>
      <c r="AL430" s="352"/>
      <c r="AM430" s="327"/>
      <c r="AN430" s="352"/>
      <c r="AO430" s="352"/>
      <c r="AP430" s="327"/>
      <c r="AQ430" s="352"/>
      <c r="AR430" s="327"/>
      <c r="AU430" s="307"/>
      <c r="AX430" s="307"/>
      <c r="BA430" s="307"/>
      <c r="BC430" s="366"/>
      <c r="BD430" s="307"/>
      <c r="BG430" s="307"/>
    </row>
    <row r="431">
      <c r="B431" s="352"/>
      <c r="C431" s="327"/>
      <c r="E431" s="352"/>
      <c r="F431" s="327"/>
      <c r="H431" s="352"/>
      <c r="I431" s="327"/>
      <c r="J431" s="352"/>
      <c r="K431" s="352"/>
      <c r="L431" s="327"/>
      <c r="M431" s="352"/>
      <c r="N431" s="352"/>
      <c r="O431" s="327"/>
      <c r="P431" s="352"/>
      <c r="Q431" s="352"/>
      <c r="R431" s="327"/>
      <c r="S431" s="352"/>
      <c r="T431" s="352"/>
      <c r="U431" s="327"/>
      <c r="V431" s="352"/>
      <c r="W431" s="352"/>
      <c r="X431" s="327"/>
      <c r="Y431" s="352"/>
      <c r="Z431" s="352"/>
      <c r="AA431" s="327"/>
      <c r="AB431" s="352"/>
      <c r="AC431" s="352"/>
      <c r="AD431" s="327"/>
      <c r="AE431" s="352"/>
      <c r="AF431" s="352"/>
      <c r="AG431" s="327"/>
      <c r="AH431" s="352"/>
      <c r="AI431" s="352"/>
      <c r="AJ431" s="327"/>
      <c r="AK431" s="352"/>
      <c r="AL431" s="352"/>
      <c r="AM431" s="327"/>
      <c r="AN431" s="352"/>
      <c r="AO431" s="352"/>
      <c r="AP431" s="327"/>
      <c r="AQ431" s="352"/>
      <c r="AR431" s="327"/>
      <c r="AU431" s="307"/>
      <c r="AX431" s="307"/>
      <c r="BA431" s="307"/>
      <c r="BC431" s="366"/>
      <c r="BD431" s="307"/>
      <c r="BG431" s="307"/>
    </row>
    <row r="432">
      <c r="B432" s="352"/>
      <c r="C432" s="327"/>
      <c r="E432" s="352"/>
      <c r="F432" s="327"/>
      <c r="H432" s="352"/>
      <c r="I432" s="327"/>
      <c r="J432" s="352"/>
      <c r="K432" s="352"/>
      <c r="L432" s="327"/>
      <c r="M432" s="352"/>
      <c r="N432" s="352"/>
      <c r="O432" s="327"/>
      <c r="P432" s="352"/>
      <c r="Q432" s="352"/>
      <c r="R432" s="327"/>
      <c r="S432" s="352"/>
      <c r="T432" s="352"/>
      <c r="U432" s="327"/>
      <c r="V432" s="352"/>
      <c r="W432" s="352"/>
      <c r="X432" s="327"/>
      <c r="Y432" s="352"/>
      <c r="Z432" s="352"/>
      <c r="AA432" s="327"/>
      <c r="AB432" s="352"/>
      <c r="AC432" s="352"/>
      <c r="AD432" s="327"/>
      <c r="AE432" s="352"/>
      <c r="AF432" s="352"/>
      <c r="AG432" s="327"/>
      <c r="AH432" s="352"/>
      <c r="AI432" s="352"/>
      <c r="AJ432" s="327"/>
      <c r="AK432" s="352"/>
      <c r="AL432" s="352"/>
      <c r="AM432" s="327"/>
      <c r="AN432" s="352"/>
      <c r="AO432" s="352"/>
      <c r="AP432" s="327"/>
      <c r="AQ432" s="352"/>
      <c r="AR432" s="327"/>
      <c r="AU432" s="307"/>
      <c r="AX432" s="307"/>
      <c r="BA432" s="307"/>
      <c r="BC432" s="366"/>
      <c r="BD432" s="307"/>
      <c r="BG432" s="307"/>
    </row>
    <row r="433">
      <c r="B433" s="352"/>
      <c r="C433" s="327"/>
      <c r="E433" s="352"/>
      <c r="F433" s="327"/>
      <c r="H433" s="352"/>
      <c r="I433" s="327"/>
      <c r="J433" s="352"/>
      <c r="K433" s="352"/>
      <c r="L433" s="327"/>
      <c r="M433" s="352"/>
      <c r="N433" s="352"/>
      <c r="O433" s="327"/>
      <c r="P433" s="352"/>
      <c r="Q433" s="352"/>
      <c r="R433" s="327"/>
      <c r="S433" s="352"/>
      <c r="T433" s="352"/>
      <c r="U433" s="327"/>
      <c r="V433" s="352"/>
      <c r="W433" s="352"/>
      <c r="X433" s="327"/>
      <c r="Y433" s="352"/>
      <c r="Z433" s="352"/>
      <c r="AA433" s="327"/>
      <c r="AB433" s="352"/>
      <c r="AC433" s="352"/>
      <c r="AD433" s="327"/>
      <c r="AE433" s="352"/>
      <c r="AF433" s="352"/>
      <c r="AG433" s="327"/>
      <c r="AH433" s="352"/>
      <c r="AI433" s="352"/>
      <c r="AJ433" s="327"/>
      <c r="AK433" s="352"/>
      <c r="AL433" s="352"/>
      <c r="AM433" s="327"/>
      <c r="AN433" s="352"/>
      <c r="AO433" s="352"/>
      <c r="AP433" s="327"/>
      <c r="AQ433" s="352"/>
      <c r="AR433" s="327"/>
      <c r="AU433" s="307"/>
      <c r="AX433" s="307"/>
      <c r="BA433" s="307"/>
      <c r="BC433" s="366"/>
      <c r="BD433" s="307"/>
      <c r="BG433" s="307"/>
    </row>
    <row r="434">
      <c r="B434" s="352"/>
      <c r="C434" s="327"/>
      <c r="E434" s="352"/>
      <c r="F434" s="327"/>
      <c r="H434" s="352"/>
      <c r="I434" s="327"/>
      <c r="J434" s="352"/>
      <c r="K434" s="352"/>
      <c r="L434" s="327"/>
      <c r="M434" s="352"/>
      <c r="N434" s="352"/>
      <c r="O434" s="327"/>
      <c r="P434" s="352"/>
      <c r="Q434" s="352"/>
      <c r="R434" s="327"/>
      <c r="S434" s="352"/>
      <c r="T434" s="352"/>
      <c r="U434" s="327"/>
      <c r="V434" s="352"/>
      <c r="W434" s="352"/>
      <c r="X434" s="327"/>
      <c r="Y434" s="352"/>
      <c r="Z434" s="352"/>
      <c r="AA434" s="327"/>
      <c r="AB434" s="352"/>
      <c r="AC434" s="352"/>
      <c r="AD434" s="327"/>
      <c r="AE434" s="352"/>
      <c r="AF434" s="352"/>
      <c r="AG434" s="327"/>
      <c r="AH434" s="352"/>
      <c r="AI434" s="352"/>
      <c r="AJ434" s="327"/>
      <c r="AK434" s="352"/>
      <c r="AL434" s="352"/>
      <c r="AM434" s="327"/>
      <c r="AN434" s="352"/>
      <c r="AO434" s="352"/>
      <c r="AP434" s="327"/>
      <c r="AQ434" s="352"/>
      <c r="AR434" s="327"/>
      <c r="AU434" s="307"/>
      <c r="AX434" s="307"/>
      <c r="BA434" s="307"/>
      <c r="BC434" s="366"/>
      <c r="BD434" s="307"/>
      <c r="BG434" s="307"/>
    </row>
    <row r="435">
      <c r="B435" s="352"/>
      <c r="C435" s="327"/>
      <c r="E435" s="352"/>
      <c r="F435" s="327"/>
      <c r="H435" s="352"/>
      <c r="I435" s="327"/>
      <c r="J435" s="352"/>
      <c r="K435" s="352"/>
      <c r="L435" s="327"/>
      <c r="M435" s="352"/>
      <c r="N435" s="352"/>
      <c r="O435" s="327"/>
      <c r="P435" s="352"/>
      <c r="Q435" s="352"/>
      <c r="R435" s="327"/>
      <c r="S435" s="352"/>
      <c r="T435" s="352"/>
      <c r="U435" s="327"/>
      <c r="V435" s="352"/>
      <c r="W435" s="352"/>
      <c r="X435" s="327"/>
      <c r="Y435" s="352"/>
      <c r="Z435" s="352"/>
      <c r="AA435" s="327"/>
      <c r="AB435" s="352"/>
      <c r="AC435" s="352"/>
      <c r="AD435" s="327"/>
      <c r="AE435" s="352"/>
      <c r="AF435" s="352"/>
      <c r="AG435" s="327"/>
      <c r="AH435" s="352"/>
      <c r="AI435" s="352"/>
      <c r="AJ435" s="327"/>
      <c r="AK435" s="352"/>
      <c r="AL435" s="352"/>
      <c r="AM435" s="327"/>
      <c r="AN435" s="352"/>
      <c r="AO435" s="352"/>
      <c r="AP435" s="327"/>
      <c r="AQ435" s="352"/>
      <c r="AR435" s="327"/>
      <c r="AU435" s="307"/>
      <c r="AX435" s="307"/>
      <c r="BA435" s="307"/>
      <c r="BC435" s="366"/>
      <c r="BD435" s="307"/>
      <c r="BG435" s="307"/>
    </row>
    <row r="436">
      <c r="B436" s="352"/>
      <c r="C436" s="327"/>
      <c r="E436" s="352"/>
      <c r="F436" s="327"/>
      <c r="H436" s="352"/>
      <c r="I436" s="327"/>
      <c r="J436" s="352"/>
      <c r="K436" s="352"/>
      <c r="L436" s="327"/>
      <c r="M436" s="352"/>
      <c r="N436" s="352"/>
      <c r="O436" s="327"/>
      <c r="P436" s="352"/>
      <c r="Q436" s="352"/>
      <c r="R436" s="327"/>
      <c r="S436" s="352"/>
      <c r="T436" s="352"/>
      <c r="U436" s="327"/>
      <c r="V436" s="352"/>
      <c r="W436" s="352"/>
      <c r="X436" s="327"/>
      <c r="Y436" s="352"/>
      <c r="Z436" s="352"/>
      <c r="AA436" s="327"/>
      <c r="AB436" s="352"/>
      <c r="AC436" s="352"/>
      <c r="AD436" s="327"/>
      <c r="AE436" s="352"/>
      <c r="AF436" s="352"/>
      <c r="AG436" s="327"/>
      <c r="AH436" s="352"/>
      <c r="AI436" s="352"/>
      <c r="AJ436" s="327"/>
      <c r="AK436" s="352"/>
      <c r="AL436" s="352"/>
      <c r="AM436" s="327"/>
      <c r="AN436" s="352"/>
      <c r="AO436" s="352"/>
      <c r="AP436" s="327"/>
      <c r="AQ436" s="352"/>
      <c r="AR436" s="327"/>
      <c r="AU436" s="307"/>
      <c r="AX436" s="307"/>
      <c r="BA436" s="307"/>
      <c r="BC436" s="366"/>
      <c r="BD436" s="307"/>
      <c r="BG436" s="307"/>
    </row>
    <row r="437">
      <c r="B437" s="352"/>
      <c r="C437" s="327"/>
      <c r="E437" s="352"/>
      <c r="F437" s="327"/>
      <c r="H437" s="352"/>
      <c r="I437" s="327"/>
      <c r="J437" s="352"/>
      <c r="K437" s="352"/>
      <c r="L437" s="327"/>
      <c r="M437" s="352"/>
      <c r="N437" s="352"/>
      <c r="O437" s="327"/>
      <c r="P437" s="352"/>
      <c r="Q437" s="352"/>
      <c r="R437" s="327"/>
      <c r="S437" s="352"/>
      <c r="T437" s="352"/>
      <c r="U437" s="327"/>
      <c r="V437" s="352"/>
      <c r="W437" s="352"/>
      <c r="X437" s="327"/>
      <c r="Y437" s="352"/>
      <c r="Z437" s="352"/>
      <c r="AA437" s="327"/>
      <c r="AB437" s="352"/>
      <c r="AC437" s="352"/>
      <c r="AD437" s="327"/>
      <c r="AE437" s="352"/>
      <c r="AF437" s="352"/>
      <c r="AG437" s="327"/>
      <c r="AH437" s="352"/>
      <c r="AI437" s="352"/>
      <c r="AJ437" s="327"/>
      <c r="AK437" s="352"/>
      <c r="AL437" s="352"/>
      <c r="AM437" s="327"/>
      <c r="AN437" s="352"/>
      <c r="AO437" s="352"/>
      <c r="AP437" s="327"/>
      <c r="AQ437" s="352"/>
      <c r="AR437" s="327"/>
      <c r="AU437" s="307"/>
      <c r="AX437" s="307"/>
      <c r="BA437" s="307"/>
      <c r="BC437" s="366"/>
      <c r="BD437" s="307"/>
      <c r="BG437" s="307"/>
    </row>
    <row r="438">
      <c r="B438" s="352"/>
      <c r="C438" s="327"/>
      <c r="E438" s="352"/>
      <c r="F438" s="327"/>
      <c r="H438" s="352"/>
      <c r="I438" s="327"/>
      <c r="J438" s="352"/>
      <c r="K438" s="352"/>
      <c r="L438" s="327"/>
      <c r="M438" s="352"/>
      <c r="N438" s="352"/>
      <c r="O438" s="327"/>
      <c r="P438" s="352"/>
      <c r="Q438" s="352"/>
      <c r="R438" s="327"/>
      <c r="S438" s="352"/>
      <c r="T438" s="352"/>
      <c r="U438" s="327"/>
      <c r="V438" s="352"/>
      <c r="W438" s="352"/>
      <c r="X438" s="327"/>
      <c r="Y438" s="352"/>
      <c r="Z438" s="352"/>
      <c r="AA438" s="327"/>
      <c r="AB438" s="352"/>
      <c r="AC438" s="352"/>
      <c r="AD438" s="327"/>
      <c r="AE438" s="352"/>
      <c r="AF438" s="352"/>
      <c r="AG438" s="327"/>
      <c r="AH438" s="352"/>
      <c r="AI438" s="352"/>
      <c r="AJ438" s="327"/>
      <c r="AK438" s="352"/>
      <c r="AL438" s="352"/>
      <c r="AM438" s="327"/>
      <c r="AN438" s="352"/>
      <c r="AO438" s="352"/>
      <c r="AP438" s="327"/>
      <c r="AQ438" s="352"/>
      <c r="AR438" s="327"/>
      <c r="AU438" s="307"/>
      <c r="AX438" s="307"/>
      <c r="BA438" s="307"/>
      <c r="BC438" s="366"/>
      <c r="BD438" s="307"/>
      <c r="BG438" s="307"/>
    </row>
    <row r="439">
      <c r="B439" s="352"/>
      <c r="C439" s="327"/>
      <c r="E439" s="352"/>
      <c r="F439" s="327"/>
      <c r="H439" s="352"/>
      <c r="I439" s="327"/>
      <c r="J439" s="352"/>
      <c r="K439" s="352"/>
      <c r="L439" s="327"/>
      <c r="M439" s="352"/>
      <c r="N439" s="352"/>
      <c r="O439" s="327"/>
      <c r="P439" s="352"/>
      <c r="Q439" s="352"/>
      <c r="R439" s="327"/>
      <c r="S439" s="352"/>
      <c r="T439" s="352"/>
      <c r="U439" s="327"/>
      <c r="V439" s="352"/>
      <c r="W439" s="352"/>
      <c r="X439" s="327"/>
      <c r="Y439" s="352"/>
      <c r="Z439" s="352"/>
      <c r="AA439" s="327"/>
      <c r="AB439" s="352"/>
      <c r="AC439" s="352"/>
      <c r="AD439" s="327"/>
      <c r="AE439" s="352"/>
      <c r="AF439" s="352"/>
      <c r="AG439" s="327"/>
      <c r="AH439" s="352"/>
      <c r="AI439" s="352"/>
      <c r="AJ439" s="327"/>
      <c r="AK439" s="352"/>
      <c r="AL439" s="352"/>
      <c r="AM439" s="327"/>
      <c r="AN439" s="352"/>
      <c r="AO439" s="352"/>
      <c r="AP439" s="327"/>
      <c r="AQ439" s="352"/>
      <c r="AR439" s="327"/>
      <c r="AU439" s="307"/>
      <c r="AX439" s="307"/>
      <c r="BA439" s="307"/>
      <c r="BC439" s="366"/>
      <c r="BD439" s="307"/>
      <c r="BG439" s="307"/>
    </row>
    <row r="440">
      <c r="B440" s="352"/>
      <c r="C440" s="327"/>
      <c r="E440" s="352"/>
      <c r="F440" s="327"/>
      <c r="H440" s="352"/>
      <c r="I440" s="327"/>
      <c r="J440" s="352"/>
      <c r="K440" s="352"/>
      <c r="L440" s="327"/>
      <c r="M440" s="352"/>
      <c r="N440" s="352"/>
      <c r="O440" s="327"/>
      <c r="P440" s="352"/>
      <c r="Q440" s="352"/>
      <c r="R440" s="327"/>
      <c r="S440" s="352"/>
      <c r="T440" s="352"/>
      <c r="U440" s="327"/>
      <c r="V440" s="352"/>
      <c r="W440" s="352"/>
      <c r="X440" s="327"/>
      <c r="Y440" s="352"/>
      <c r="Z440" s="352"/>
      <c r="AA440" s="327"/>
      <c r="AB440" s="352"/>
      <c r="AC440" s="352"/>
      <c r="AD440" s="327"/>
      <c r="AE440" s="352"/>
      <c r="AF440" s="352"/>
      <c r="AG440" s="327"/>
      <c r="AH440" s="352"/>
      <c r="AI440" s="352"/>
      <c r="AJ440" s="327"/>
      <c r="AK440" s="352"/>
      <c r="AL440" s="352"/>
      <c r="AM440" s="327"/>
      <c r="AN440" s="352"/>
      <c r="AO440" s="352"/>
      <c r="AP440" s="327"/>
      <c r="AQ440" s="352"/>
      <c r="AR440" s="327"/>
      <c r="AU440" s="307"/>
      <c r="AX440" s="307"/>
      <c r="BA440" s="307"/>
      <c r="BC440" s="366"/>
      <c r="BD440" s="307"/>
      <c r="BG440" s="307"/>
    </row>
    <row r="441">
      <c r="B441" s="352"/>
      <c r="C441" s="327"/>
      <c r="E441" s="352"/>
      <c r="F441" s="327"/>
      <c r="H441" s="352"/>
      <c r="I441" s="327"/>
      <c r="J441" s="352"/>
      <c r="K441" s="352"/>
      <c r="L441" s="327"/>
      <c r="M441" s="352"/>
      <c r="N441" s="352"/>
      <c r="O441" s="327"/>
      <c r="P441" s="352"/>
      <c r="Q441" s="352"/>
      <c r="R441" s="327"/>
      <c r="S441" s="352"/>
      <c r="T441" s="352"/>
      <c r="U441" s="327"/>
      <c r="V441" s="352"/>
      <c r="W441" s="352"/>
      <c r="X441" s="327"/>
      <c r="Y441" s="352"/>
      <c r="Z441" s="352"/>
      <c r="AA441" s="327"/>
      <c r="AB441" s="352"/>
      <c r="AC441" s="352"/>
      <c r="AD441" s="327"/>
      <c r="AE441" s="352"/>
      <c r="AF441" s="352"/>
      <c r="AG441" s="327"/>
      <c r="AH441" s="352"/>
      <c r="AI441" s="352"/>
      <c r="AJ441" s="327"/>
      <c r="AK441" s="352"/>
      <c r="AL441" s="352"/>
      <c r="AM441" s="327"/>
      <c r="AN441" s="352"/>
      <c r="AO441" s="352"/>
      <c r="AP441" s="327"/>
      <c r="AQ441" s="352"/>
      <c r="AR441" s="327"/>
      <c r="AU441" s="307"/>
      <c r="AX441" s="307"/>
      <c r="BA441" s="307"/>
      <c r="BC441" s="366"/>
      <c r="BD441" s="307"/>
      <c r="BG441" s="307"/>
    </row>
    <row r="442">
      <c r="B442" s="352"/>
      <c r="C442" s="327"/>
      <c r="E442" s="352"/>
      <c r="F442" s="327"/>
      <c r="H442" s="352"/>
      <c r="I442" s="327"/>
      <c r="J442" s="352"/>
      <c r="K442" s="352"/>
      <c r="L442" s="327"/>
      <c r="M442" s="352"/>
      <c r="N442" s="352"/>
      <c r="O442" s="327"/>
      <c r="P442" s="352"/>
      <c r="Q442" s="352"/>
      <c r="R442" s="327"/>
      <c r="S442" s="352"/>
      <c r="T442" s="352"/>
      <c r="U442" s="327"/>
      <c r="V442" s="352"/>
      <c r="W442" s="352"/>
      <c r="X442" s="327"/>
      <c r="Y442" s="352"/>
      <c r="Z442" s="352"/>
      <c r="AA442" s="327"/>
      <c r="AB442" s="352"/>
      <c r="AC442" s="352"/>
      <c r="AD442" s="327"/>
      <c r="AE442" s="352"/>
      <c r="AF442" s="352"/>
      <c r="AG442" s="327"/>
      <c r="AH442" s="352"/>
      <c r="AI442" s="352"/>
      <c r="AJ442" s="327"/>
      <c r="AK442" s="352"/>
      <c r="AL442" s="352"/>
      <c r="AM442" s="327"/>
      <c r="AN442" s="352"/>
      <c r="AO442" s="352"/>
      <c r="AP442" s="327"/>
      <c r="AQ442" s="352"/>
      <c r="AR442" s="327"/>
      <c r="AU442" s="307"/>
      <c r="AX442" s="307"/>
      <c r="BA442" s="307"/>
      <c r="BC442" s="366"/>
      <c r="BD442" s="307"/>
      <c r="BG442" s="307"/>
    </row>
    <row r="443">
      <c r="B443" s="352"/>
      <c r="C443" s="327"/>
      <c r="E443" s="352"/>
      <c r="F443" s="327"/>
      <c r="H443" s="352"/>
      <c r="I443" s="327"/>
      <c r="J443" s="352"/>
      <c r="K443" s="352"/>
      <c r="L443" s="327"/>
      <c r="M443" s="352"/>
      <c r="N443" s="352"/>
      <c r="O443" s="327"/>
      <c r="P443" s="352"/>
      <c r="Q443" s="352"/>
      <c r="R443" s="327"/>
      <c r="S443" s="352"/>
      <c r="T443" s="352"/>
      <c r="U443" s="327"/>
      <c r="V443" s="352"/>
      <c r="W443" s="352"/>
      <c r="X443" s="327"/>
      <c r="Y443" s="352"/>
      <c r="Z443" s="352"/>
      <c r="AA443" s="327"/>
      <c r="AB443" s="352"/>
      <c r="AC443" s="352"/>
      <c r="AD443" s="327"/>
      <c r="AE443" s="352"/>
      <c r="AF443" s="352"/>
      <c r="AG443" s="327"/>
      <c r="AH443" s="352"/>
      <c r="AI443" s="352"/>
      <c r="AJ443" s="327"/>
      <c r="AK443" s="352"/>
      <c r="AL443" s="352"/>
      <c r="AM443" s="327"/>
      <c r="AN443" s="352"/>
      <c r="AO443" s="352"/>
      <c r="AP443" s="327"/>
      <c r="AQ443" s="352"/>
      <c r="AR443" s="327"/>
      <c r="AU443" s="307"/>
      <c r="AX443" s="307"/>
      <c r="BA443" s="307"/>
      <c r="BC443" s="366"/>
      <c r="BD443" s="307"/>
      <c r="BG443" s="307"/>
    </row>
    <row r="444">
      <c r="B444" s="352"/>
      <c r="C444" s="327"/>
      <c r="E444" s="352"/>
      <c r="F444" s="327"/>
      <c r="H444" s="352"/>
      <c r="I444" s="327"/>
      <c r="J444" s="352"/>
      <c r="K444" s="352"/>
      <c r="L444" s="327"/>
      <c r="M444" s="352"/>
      <c r="N444" s="352"/>
      <c r="O444" s="327"/>
      <c r="P444" s="352"/>
      <c r="Q444" s="352"/>
      <c r="R444" s="327"/>
      <c r="S444" s="352"/>
      <c r="T444" s="352"/>
      <c r="U444" s="327"/>
      <c r="V444" s="352"/>
      <c r="W444" s="352"/>
      <c r="X444" s="327"/>
      <c r="Y444" s="352"/>
      <c r="Z444" s="352"/>
      <c r="AA444" s="327"/>
      <c r="AB444" s="352"/>
      <c r="AC444" s="352"/>
      <c r="AD444" s="327"/>
      <c r="AE444" s="352"/>
      <c r="AF444" s="352"/>
      <c r="AG444" s="327"/>
      <c r="AH444" s="352"/>
      <c r="AI444" s="352"/>
      <c r="AJ444" s="327"/>
      <c r="AK444" s="352"/>
      <c r="AL444" s="352"/>
      <c r="AM444" s="327"/>
      <c r="AN444" s="352"/>
      <c r="AO444" s="352"/>
      <c r="AP444" s="327"/>
      <c r="AQ444" s="352"/>
      <c r="AR444" s="327"/>
      <c r="AU444" s="307"/>
      <c r="AX444" s="307"/>
      <c r="BA444" s="307"/>
      <c r="BC444" s="366"/>
      <c r="BD444" s="307"/>
      <c r="BG444" s="307"/>
    </row>
    <row r="445">
      <c r="B445" s="352"/>
      <c r="C445" s="327"/>
      <c r="E445" s="352"/>
      <c r="F445" s="327"/>
      <c r="H445" s="352"/>
      <c r="I445" s="327"/>
      <c r="J445" s="352"/>
      <c r="K445" s="352"/>
      <c r="L445" s="327"/>
      <c r="M445" s="352"/>
      <c r="N445" s="352"/>
      <c r="O445" s="327"/>
      <c r="P445" s="352"/>
      <c r="Q445" s="352"/>
      <c r="R445" s="327"/>
      <c r="S445" s="352"/>
      <c r="T445" s="352"/>
      <c r="U445" s="327"/>
      <c r="V445" s="352"/>
      <c r="W445" s="352"/>
      <c r="X445" s="327"/>
      <c r="Y445" s="352"/>
      <c r="Z445" s="352"/>
      <c r="AA445" s="327"/>
      <c r="AB445" s="352"/>
      <c r="AC445" s="352"/>
      <c r="AD445" s="327"/>
      <c r="AE445" s="352"/>
      <c r="AF445" s="352"/>
      <c r="AG445" s="327"/>
      <c r="AH445" s="352"/>
      <c r="AI445" s="352"/>
      <c r="AJ445" s="327"/>
      <c r="AK445" s="352"/>
      <c r="AL445" s="352"/>
      <c r="AM445" s="327"/>
      <c r="AN445" s="352"/>
      <c r="AO445" s="352"/>
      <c r="AP445" s="327"/>
      <c r="AQ445" s="352"/>
      <c r="AR445" s="327"/>
      <c r="AU445" s="307"/>
      <c r="AX445" s="307"/>
      <c r="BA445" s="307"/>
      <c r="BC445" s="366"/>
      <c r="BD445" s="307"/>
      <c r="BG445" s="307"/>
    </row>
    <row r="446">
      <c r="B446" s="352"/>
      <c r="C446" s="327"/>
      <c r="E446" s="352"/>
      <c r="F446" s="327"/>
      <c r="H446" s="352"/>
      <c r="I446" s="327"/>
      <c r="J446" s="352"/>
      <c r="K446" s="352"/>
      <c r="L446" s="327"/>
      <c r="M446" s="352"/>
      <c r="N446" s="352"/>
      <c r="O446" s="327"/>
      <c r="P446" s="352"/>
      <c r="Q446" s="352"/>
      <c r="R446" s="327"/>
      <c r="S446" s="352"/>
      <c r="T446" s="352"/>
      <c r="U446" s="327"/>
      <c r="V446" s="352"/>
      <c r="W446" s="352"/>
      <c r="X446" s="327"/>
      <c r="Y446" s="352"/>
      <c r="Z446" s="352"/>
      <c r="AA446" s="327"/>
      <c r="AB446" s="352"/>
      <c r="AC446" s="352"/>
      <c r="AD446" s="327"/>
      <c r="AE446" s="352"/>
      <c r="AF446" s="352"/>
      <c r="AG446" s="327"/>
      <c r="AH446" s="352"/>
      <c r="AI446" s="352"/>
      <c r="AJ446" s="327"/>
      <c r="AK446" s="352"/>
      <c r="AL446" s="352"/>
      <c r="AM446" s="327"/>
      <c r="AN446" s="352"/>
      <c r="AO446" s="352"/>
      <c r="AP446" s="327"/>
      <c r="AQ446" s="352"/>
      <c r="AR446" s="327"/>
      <c r="AU446" s="307"/>
      <c r="AX446" s="307"/>
      <c r="BA446" s="307"/>
      <c r="BC446" s="366"/>
      <c r="BD446" s="307"/>
      <c r="BG446" s="307"/>
    </row>
    <row r="447">
      <c r="B447" s="352"/>
      <c r="C447" s="327"/>
      <c r="E447" s="352"/>
      <c r="F447" s="327"/>
      <c r="H447" s="352"/>
      <c r="I447" s="327"/>
      <c r="J447" s="352"/>
      <c r="K447" s="352"/>
      <c r="L447" s="327"/>
      <c r="M447" s="352"/>
      <c r="N447" s="352"/>
      <c r="O447" s="327"/>
      <c r="P447" s="352"/>
      <c r="Q447" s="352"/>
      <c r="R447" s="327"/>
      <c r="S447" s="352"/>
      <c r="T447" s="352"/>
      <c r="U447" s="327"/>
      <c r="V447" s="352"/>
      <c r="W447" s="352"/>
      <c r="X447" s="327"/>
      <c r="Y447" s="352"/>
      <c r="Z447" s="352"/>
      <c r="AA447" s="327"/>
      <c r="AB447" s="352"/>
      <c r="AC447" s="352"/>
      <c r="AD447" s="327"/>
      <c r="AE447" s="352"/>
      <c r="AF447" s="352"/>
      <c r="AG447" s="327"/>
      <c r="AH447" s="352"/>
      <c r="AI447" s="352"/>
      <c r="AJ447" s="327"/>
      <c r="AK447" s="352"/>
      <c r="AL447" s="352"/>
      <c r="AM447" s="327"/>
      <c r="AN447" s="352"/>
      <c r="AO447" s="352"/>
      <c r="AP447" s="327"/>
      <c r="AQ447" s="352"/>
      <c r="AR447" s="327"/>
      <c r="AU447" s="307"/>
      <c r="AX447" s="307"/>
      <c r="BA447" s="307"/>
      <c r="BC447" s="366"/>
      <c r="BD447" s="307"/>
      <c r="BG447" s="307"/>
    </row>
    <row r="448">
      <c r="B448" s="352"/>
      <c r="C448" s="327"/>
      <c r="E448" s="352"/>
      <c r="F448" s="327"/>
      <c r="H448" s="352"/>
      <c r="I448" s="327"/>
      <c r="J448" s="352"/>
      <c r="K448" s="352"/>
      <c r="L448" s="327"/>
      <c r="M448" s="352"/>
      <c r="N448" s="352"/>
      <c r="O448" s="327"/>
      <c r="P448" s="352"/>
      <c r="Q448" s="352"/>
      <c r="R448" s="327"/>
      <c r="S448" s="352"/>
      <c r="T448" s="352"/>
      <c r="U448" s="327"/>
      <c r="V448" s="352"/>
      <c r="W448" s="352"/>
      <c r="X448" s="327"/>
      <c r="Y448" s="352"/>
      <c r="Z448" s="352"/>
      <c r="AA448" s="327"/>
      <c r="AB448" s="352"/>
      <c r="AC448" s="352"/>
      <c r="AD448" s="327"/>
      <c r="AE448" s="352"/>
      <c r="AF448" s="352"/>
      <c r="AG448" s="327"/>
      <c r="AH448" s="352"/>
      <c r="AI448" s="352"/>
      <c r="AJ448" s="327"/>
      <c r="AK448" s="352"/>
      <c r="AL448" s="352"/>
      <c r="AM448" s="327"/>
      <c r="AN448" s="352"/>
      <c r="AO448" s="352"/>
      <c r="AP448" s="327"/>
      <c r="AQ448" s="352"/>
      <c r="AR448" s="327"/>
      <c r="AU448" s="307"/>
      <c r="AX448" s="307"/>
      <c r="BA448" s="307"/>
      <c r="BC448" s="366"/>
      <c r="BD448" s="307"/>
      <c r="BG448" s="307"/>
    </row>
    <row r="449">
      <c r="B449" s="352"/>
      <c r="C449" s="327"/>
      <c r="E449" s="352"/>
      <c r="F449" s="327"/>
      <c r="H449" s="352"/>
      <c r="I449" s="327"/>
      <c r="J449" s="352"/>
      <c r="K449" s="352"/>
      <c r="L449" s="327"/>
      <c r="M449" s="352"/>
      <c r="N449" s="352"/>
      <c r="O449" s="327"/>
      <c r="P449" s="352"/>
      <c r="Q449" s="352"/>
      <c r="R449" s="327"/>
      <c r="S449" s="352"/>
      <c r="T449" s="352"/>
      <c r="U449" s="327"/>
      <c r="V449" s="352"/>
      <c r="W449" s="352"/>
      <c r="X449" s="327"/>
      <c r="Y449" s="352"/>
      <c r="Z449" s="352"/>
      <c r="AA449" s="327"/>
      <c r="AB449" s="352"/>
      <c r="AC449" s="352"/>
      <c r="AD449" s="327"/>
      <c r="AE449" s="352"/>
      <c r="AF449" s="352"/>
      <c r="AG449" s="327"/>
      <c r="AH449" s="352"/>
      <c r="AI449" s="352"/>
      <c r="AJ449" s="327"/>
      <c r="AK449" s="352"/>
      <c r="AL449" s="352"/>
      <c r="AM449" s="327"/>
      <c r="AN449" s="352"/>
      <c r="AO449" s="352"/>
      <c r="AP449" s="327"/>
      <c r="AQ449" s="352"/>
      <c r="AR449" s="327"/>
      <c r="AU449" s="307"/>
      <c r="AX449" s="307"/>
      <c r="BA449" s="307"/>
      <c r="BC449" s="366"/>
      <c r="BD449" s="307"/>
      <c r="BG449" s="307"/>
    </row>
    <row r="450">
      <c r="B450" s="352"/>
      <c r="C450" s="327"/>
      <c r="E450" s="352"/>
      <c r="F450" s="327"/>
      <c r="H450" s="352"/>
      <c r="I450" s="327"/>
      <c r="J450" s="352"/>
      <c r="K450" s="352"/>
      <c r="L450" s="327"/>
      <c r="M450" s="352"/>
      <c r="N450" s="352"/>
      <c r="O450" s="327"/>
      <c r="P450" s="352"/>
      <c r="Q450" s="352"/>
      <c r="R450" s="327"/>
      <c r="S450" s="352"/>
      <c r="T450" s="352"/>
      <c r="U450" s="327"/>
      <c r="V450" s="352"/>
      <c r="W450" s="352"/>
      <c r="X450" s="327"/>
      <c r="Y450" s="352"/>
      <c r="Z450" s="352"/>
      <c r="AA450" s="327"/>
      <c r="AB450" s="352"/>
      <c r="AC450" s="352"/>
      <c r="AD450" s="327"/>
      <c r="AE450" s="352"/>
      <c r="AF450" s="352"/>
      <c r="AG450" s="327"/>
      <c r="AH450" s="352"/>
      <c r="AI450" s="352"/>
      <c r="AJ450" s="327"/>
      <c r="AK450" s="352"/>
      <c r="AL450" s="352"/>
      <c r="AM450" s="327"/>
      <c r="AN450" s="352"/>
      <c r="AO450" s="352"/>
      <c r="AP450" s="327"/>
      <c r="AQ450" s="352"/>
      <c r="AR450" s="327"/>
      <c r="AU450" s="307"/>
      <c r="AX450" s="307"/>
      <c r="BA450" s="307"/>
      <c r="BC450" s="366"/>
      <c r="BD450" s="307"/>
      <c r="BG450" s="307"/>
    </row>
    <row r="451">
      <c r="B451" s="352"/>
      <c r="C451" s="327"/>
      <c r="E451" s="352"/>
      <c r="F451" s="327"/>
      <c r="H451" s="352"/>
      <c r="I451" s="327"/>
      <c r="J451" s="352"/>
      <c r="K451" s="352"/>
      <c r="L451" s="327"/>
      <c r="M451" s="352"/>
      <c r="N451" s="352"/>
      <c r="O451" s="327"/>
      <c r="P451" s="352"/>
      <c r="Q451" s="352"/>
      <c r="R451" s="327"/>
      <c r="S451" s="352"/>
      <c r="T451" s="352"/>
      <c r="U451" s="327"/>
      <c r="V451" s="352"/>
      <c r="W451" s="352"/>
      <c r="X451" s="327"/>
      <c r="Y451" s="352"/>
      <c r="Z451" s="352"/>
      <c r="AA451" s="327"/>
      <c r="AB451" s="352"/>
      <c r="AC451" s="352"/>
      <c r="AD451" s="327"/>
      <c r="AE451" s="352"/>
      <c r="AF451" s="352"/>
      <c r="AG451" s="327"/>
      <c r="AH451" s="352"/>
      <c r="AI451" s="352"/>
      <c r="AJ451" s="327"/>
      <c r="AK451" s="352"/>
      <c r="AL451" s="352"/>
      <c r="AM451" s="327"/>
      <c r="AN451" s="352"/>
      <c r="AO451" s="352"/>
      <c r="AP451" s="327"/>
      <c r="AQ451" s="352"/>
      <c r="AR451" s="327"/>
      <c r="AU451" s="307"/>
      <c r="AX451" s="307"/>
      <c r="BA451" s="307"/>
      <c r="BC451" s="366"/>
      <c r="BD451" s="307"/>
      <c r="BG451" s="307"/>
    </row>
    <row r="452">
      <c r="B452" s="352"/>
      <c r="C452" s="327"/>
      <c r="E452" s="352"/>
      <c r="F452" s="327"/>
      <c r="H452" s="352"/>
      <c r="I452" s="327"/>
      <c r="J452" s="352"/>
      <c r="K452" s="352"/>
      <c r="L452" s="327"/>
      <c r="M452" s="352"/>
      <c r="N452" s="352"/>
      <c r="O452" s="327"/>
      <c r="P452" s="352"/>
      <c r="Q452" s="352"/>
      <c r="R452" s="327"/>
      <c r="S452" s="352"/>
      <c r="T452" s="352"/>
      <c r="U452" s="327"/>
      <c r="V452" s="352"/>
      <c r="W452" s="352"/>
      <c r="X452" s="327"/>
      <c r="Y452" s="352"/>
      <c r="Z452" s="352"/>
      <c r="AA452" s="327"/>
      <c r="AB452" s="352"/>
      <c r="AC452" s="352"/>
      <c r="AD452" s="327"/>
      <c r="AE452" s="352"/>
      <c r="AF452" s="352"/>
      <c r="AG452" s="327"/>
      <c r="AH452" s="352"/>
      <c r="AI452" s="352"/>
      <c r="AJ452" s="327"/>
      <c r="AK452" s="352"/>
      <c r="AL452" s="352"/>
      <c r="AM452" s="327"/>
      <c r="AN452" s="352"/>
      <c r="AO452" s="352"/>
      <c r="AP452" s="327"/>
      <c r="AQ452" s="352"/>
      <c r="AR452" s="327"/>
      <c r="AU452" s="307"/>
      <c r="AX452" s="307"/>
      <c r="BA452" s="307"/>
      <c r="BC452" s="366"/>
      <c r="BD452" s="307"/>
      <c r="BG452" s="307"/>
    </row>
    <row r="453">
      <c r="B453" s="352"/>
      <c r="C453" s="327"/>
      <c r="E453" s="352"/>
      <c r="F453" s="327"/>
      <c r="H453" s="352"/>
      <c r="I453" s="327"/>
      <c r="J453" s="352"/>
      <c r="K453" s="352"/>
      <c r="L453" s="327"/>
      <c r="M453" s="352"/>
      <c r="N453" s="352"/>
      <c r="O453" s="327"/>
      <c r="P453" s="352"/>
      <c r="Q453" s="352"/>
      <c r="R453" s="327"/>
      <c r="S453" s="352"/>
      <c r="T453" s="352"/>
      <c r="U453" s="327"/>
      <c r="V453" s="352"/>
      <c r="W453" s="352"/>
      <c r="X453" s="327"/>
      <c r="Y453" s="352"/>
      <c r="Z453" s="352"/>
      <c r="AA453" s="327"/>
      <c r="AB453" s="352"/>
      <c r="AC453" s="352"/>
      <c r="AD453" s="327"/>
      <c r="AE453" s="352"/>
      <c r="AF453" s="352"/>
      <c r="AG453" s="327"/>
      <c r="AH453" s="352"/>
      <c r="AI453" s="352"/>
      <c r="AJ453" s="327"/>
      <c r="AK453" s="352"/>
      <c r="AL453" s="352"/>
      <c r="AM453" s="327"/>
      <c r="AN453" s="352"/>
      <c r="AO453" s="352"/>
      <c r="AP453" s="327"/>
      <c r="AQ453" s="352"/>
      <c r="AR453" s="327"/>
      <c r="AU453" s="307"/>
      <c r="AX453" s="307"/>
      <c r="BA453" s="307"/>
      <c r="BC453" s="366"/>
      <c r="BD453" s="307"/>
      <c r="BG453" s="307"/>
    </row>
    <row r="454">
      <c r="B454" s="352"/>
      <c r="C454" s="327"/>
      <c r="E454" s="352"/>
      <c r="F454" s="327"/>
      <c r="H454" s="352"/>
      <c r="I454" s="327"/>
      <c r="J454" s="352"/>
      <c r="K454" s="352"/>
      <c r="L454" s="327"/>
      <c r="M454" s="352"/>
      <c r="N454" s="352"/>
      <c r="O454" s="327"/>
      <c r="P454" s="352"/>
      <c r="Q454" s="352"/>
      <c r="R454" s="327"/>
      <c r="S454" s="352"/>
      <c r="T454" s="352"/>
      <c r="U454" s="327"/>
      <c r="V454" s="352"/>
      <c r="W454" s="352"/>
      <c r="X454" s="327"/>
      <c r="Y454" s="352"/>
      <c r="Z454" s="352"/>
      <c r="AA454" s="327"/>
      <c r="AB454" s="352"/>
      <c r="AC454" s="352"/>
      <c r="AD454" s="327"/>
      <c r="AE454" s="352"/>
      <c r="AF454" s="352"/>
      <c r="AG454" s="327"/>
      <c r="AH454" s="352"/>
      <c r="AI454" s="352"/>
      <c r="AJ454" s="327"/>
      <c r="AK454" s="352"/>
      <c r="AL454" s="352"/>
      <c r="AM454" s="327"/>
      <c r="AN454" s="352"/>
      <c r="AO454" s="352"/>
      <c r="AP454" s="327"/>
      <c r="AQ454" s="352"/>
      <c r="AR454" s="327"/>
      <c r="AU454" s="307"/>
      <c r="AX454" s="307"/>
      <c r="BA454" s="307"/>
      <c r="BC454" s="366"/>
      <c r="BD454" s="307"/>
      <c r="BG454" s="307"/>
    </row>
    <row r="455">
      <c r="B455" s="352"/>
      <c r="C455" s="327"/>
      <c r="E455" s="352"/>
      <c r="F455" s="327"/>
      <c r="H455" s="352"/>
      <c r="I455" s="327"/>
      <c r="J455" s="352"/>
      <c r="K455" s="352"/>
      <c r="L455" s="327"/>
      <c r="M455" s="352"/>
      <c r="N455" s="352"/>
      <c r="O455" s="327"/>
      <c r="P455" s="352"/>
      <c r="Q455" s="352"/>
      <c r="R455" s="327"/>
      <c r="S455" s="352"/>
      <c r="T455" s="352"/>
      <c r="U455" s="327"/>
      <c r="V455" s="352"/>
      <c r="W455" s="352"/>
      <c r="X455" s="327"/>
      <c r="Y455" s="352"/>
      <c r="Z455" s="352"/>
      <c r="AA455" s="327"/>
      <c r="AB455" s="352"/>
      <c r="AC455" s="352"/>
      <c r="AD455" s="327"/>
      <c r="AE455" s="352"/>
      <c r="AF455" s="352"/>
      <c r="AG455" s="327"/>
      <c r="AH455" s="352"/>
      <c r="AI455" s="352"/>
      <c r="AJ455" s="327"/>
      <c r="AK455" s="352"/>
      <c r="AL455" s="352"/>
      <c r="AM455" s="327"/>
      <c r="AN455" s="352"/>
      <c r="AO455" s="352"/>
      <c r="AP455" s="327"/>
      <c r="AQ455" s="352"/>
      <c r="AR455" s="327"/>
      <c r="AU455" s="307"/>
      <c r="AX455" s="307"/>
      <c r="BA455" s="307"/>
      <c r="BC455" s="366"/>
      <c r="BD455" s="307"/>
      <c r="BG455" s="307"/>
    </row>
    <row r="456">
      <c r="B456" s="352"/>
      <c r="C456" s="327"/>
      <c r="E456" s="352"/>
      <c r="F456" s="327"/>
      <c r="H456" s="352"/>
      <c r="I456" s="327"/>
      <c r="J456" s="352"/>
      <c r="K456" s="352"/>
      <c r="L456" s="327"/>
      <c r="M456" s="352"/>
      <c r="N456" s="352"/>
      <c r="O456" s="327"/>
      <c r="P456" s="352"/>
      <c r="Q456" s="352"/>
      <c r="R456" s="327"/>
      <c r="S456" s="352"/>
      <c r="T456" s="352"/>
      <c r="U456" s="327"/>
      <c r="V456" s="352"/>
      <c r="W456" s="352"/>
      <c r="X456" s="327"/>
      <c r="Y456" s="352"/>
      <c r="Z456" s="352"/>
      <c r="AA456" s="327"/>
      <c r="AB456" s="352"/>
      <c r="AC456" s="352"/>
      <c r="AD456" s="327"/>
      <c r="AE456" s="352"/>
      <c r="AF456" s="352"/>
      <c r="AG456" s="327"/>
      <c r="AH456" s="352"/>
      <c r="AI456" s="352"/>
      <c r="AJ456" s="327"/>
      <c r="AK456" s="352"/>
      <c r="AL456" s="352"/>
      <c r="AM456" s="327"/>
      <c r="AN456" s="352"/>
      <c r="AO456" s="352"/>
      <c r="AP456" s="327"/>
      <c r="AQ456" s="352"/>
      <c r="AR456" s="327"/>
      <c r="AU456" s="307"/>
      <c r="AX456" s="307"/>
      <c r="BA456" s="307"/>
      <c r="BC456" s="366"/>
      <c r="BD456" s="307"/>
      <c r="BG456" s="307"/>
    </row>
    <row r="457">
      <c r="B457" s="352"/>
      <c r="C457" s="327"/>
      <c r="E457" s="352"/>
      <c r="F457" s="327"/>
      <c r="H457" s="352"/>
      <c r="I457" s="327"/>
      <c r="J457" s="352"/>
      <c r="K457" s="352"/>
      <c r="L457" s="327"/>
      <c r="M457" s="352"/>
      <c r="N457" s="352"/>
      <c r="O457" s="327"/>
      <c r="P457" s="352"/>
      <c r="Q457" s="352"/>
      <c r="R457" s="327"/>
      <c r="S457" s="352"/>
      <c r="T457" s="352"/>
      <c r="U457" s="327"/>
      <c r="V457" s="352"/>
      <c r="W457" s="352"/>
      <c r="X457" s="327"/>
      <c r="Y457" s="352"/>
      <c r="Z457" s="352"/>
      <c r="AA457" s="327"/>
      <c r="AB457" s="352"/>
      <c r="AC457" s="352"/>
      <c r="AD457" s="327"/>
      <c r="AE457" s="352"/>
      <c r="AF457" s="352"/>
      <c r="AG457" s="327"/>
      <c r="AH457" s="352"/>
      <c r="AI457" s="352"/>
      <c r="AJ457" s="327"/>
      <c r="AK457" s="352"/>
      <c r="AL457" s="352"/>
      <c r="AM457" s="327"/>
      <c r="AN457" s="352"/>
      <c r="AO457" s="352"/>
      <c r="AP457" s="327"/>
      <c r="AQ457" s="352"/>
      <c r="AR457" s="327"/>
      <c r="AU457" s="307"/>
      <c r="AX457" s="307"/>
      <c r="BA457" s="307"/>
      <c r="BC457" s="366"/>
      <c r="BD457" s="307"/>
      <c r="BG457" s="307"/>
    </row>
    <row r="458">
      <c r="B458" s="352"/>
      <c r="C458" s="327"/>
      <c r="E458" s="352"/>
      <c r="F458" s="327"/>
      <c r="H458" s="352"/>
      <c r="I458" s="327"/>
      <c r="J458" s="352"/>
      <c r="K458" s="352"/>
      <c r="L458" s="327"/>
      <c r="M458" s="352"/>
      <c r="N458" s="352"/>
      <c r="O458" s="327"/>
      <c r="P458" s="352"/>
      <c r="Q458" s="352"/>
      <c r="R458" s="327"/>
      <c r="S458" s="352"/>
      <c r="T458" s="352"/>
      <c r="U458" s="327"/>
      <c r="V458" s="352"/>
      <c r="W458" s="352"/>
      <c r="X458" s="327"/>
      <c r="Y458" s="352"/>
      <c r="Z458" s="352"/>
      <c r="AA458" s="327"/>
      <c r="AB458" s="352"/>
      <c r="AC458" s="352"/>
      <c r="AD458" s="327"/>
      <c r="AE458" s="352"/>
      <c r="AF458" s="352"/>
      <c r="AG458" s="327"/>
      <c r="AH458" s="352"/>
      <c r="AI458" s="352"/>
      <c r="AJ458" s="327"/>
      <c r="AK458" s="352"/>
      <c r="AL458" s="352"/>
      <c r="AM458" s="327"/>
      <c r="AN458" s="352"/>
      <c r="AO458" s="352"/>
      <c r="AP458" s="327"/>
      <c r="AQ458" s="352"/>
      <c r="AR458" s="327"/>
      <c r="AU458" s="307"/>
      <c r="AX458" s="307"/>
      <c r="BA458" s="307"/>
      <c r="BC458" s="366"/>
      <c r="BD458" s="307"/>
      <c r="BG458" s="307"/>
    </row>
    <row r="459">
      <c r="B459" s="352"/>
      <c r="C459" s="327"/>
      <c r="E459" s="352"/>
      <c r="F459" s="327"/>
      <c r="H459" s="352"/>
      <c r="I459" s="327"/>
      <c r="J459" s="352"/>
      <c r="K459" s="352"/>
      <c r="L459" s="327"/>
      <c r="M459" s="352"/>
      <c r="N459" s="352"/>
      <c r="O459" s="327"/>
      <c r="P459" s="352"/>
      <c r="Q459" s="352"/>
      <c r="R459" s="327"/>
      <c r="S459" s="352"/>
      <c r="T459" s="352"/>
      <c r="U459" s="327"/>
      <c r="V459" s="352"/>
      <c r="W459" s="352"/>
      <c r="X459" s="327"/>
      <c r="Y459" s="352"/>
      <c r="Z459" s="352"/>
      <c r="AA459" s="327"/>
      <c r="AB459" s="352"/>
      <c r="AC459" s="352"/>
      <c r="AD459" s="327"/>
      <c r="AE459" s="352"/>
      <c r="AF459" s="352"/>
      <c r="AG459" s="327"/>
      <c r="AH459" s="352"/>
      <c r="AI459" s="352"/>
      <c r="AJ459" s="327"/>
      <c r="AK459" s="352"/>
      <c r="AL459" s="352"/>
      <c r="AM459" s="327"/>
      <c r="AN459" s="352"/>
      <c r="AO459" s="352"/>
      <c r="AP459" s="327"/>
      <c r="AQ459" s="352"/>
      <c r="AR459" s="327"/>
      <c r="AU459" s="307"/>
      <c r="AX459" s="307"/>
      <c r="BA459" s="307"/>
      <c r="BC459" s="366"/>
      <c r="BD459" s="307"/>
      <c r="BG459" s="307"/>
    </row>
    <row r="460">
      <c r="B460" s="352"/>
      <c r="C460" s="327"/>
      <c r="E460" s="352"/>
      <c r="F460" s="327"/>
      <c r="H460" s="352"/>
      <c r="I460" s="327"/>
      <c r="J460" s="352"/>
      <c r="K460" s="352"/>
      <c r="L460" s="327"/>
      <c r="M460" s="352"/>
      <c r="N460" s="352"/>
      <c r="O460" s="327"/>
      <c r="P460" s="352"/>
      <c r="Q460" s="352"/>
      <c r="R460" s="327"/>
      <c r="S460" s="352"/>
      <c r="T460" s="352"/>
      <c r="U460" s="327"/>
      <c r="V460" s="352"/>
      <c r="W460" s="352"/>
      <c r="X460" s="327"/>
      <c r="Y460" s="352"/>
      <c r="Z460" s="352"/>
      <c r="AA460" s="327"/>
      <c r="AB460" s="352"/>
      <c r="AC460" s="352"/>
      <c r="AD460" s="327"/>
      <c r="AE460" s="352"/>
      <c r="AF460" s="352"/>
      <c r="AG460" s="327"/>
      <c r="AH460" s="352"/>
      <c r="AI460" s="352"/>
      <c r="AJ460" s="327"/>
      <c r="AK460" s="352"/>
      <c r="AL460" s="352"/>
      <c r="AM460" s="327"/>
      <c r="AN460" s="352"/>
      <c r="AO460" s="352"/>
      <c r="AP460" s="327"/>
      <c r="AQ460" s="352"/>
      <c r="AR460" s="327"/>
      <c r="AU460" s="307"/>
      <c r="AX460" s="307"/>
      <c r="BA460" s="307"/>
      <c r="BC460" s="366"/>
      <c r="BD460" s="307"/>
      <c r="BG460" s="307"/>
    </row>
    <row r="461">
      <c r="B461" s="352"/>
      <c r="C461" s="327"/>
      <c r="E461" s="352"/>
      <c r="F461" s="327"/>
      <c r="H461" s="352"/>
      <c r="I461" s="327"/>
      <c r="J461" s="352"/>
      <c r="K461" s="352"/>
      <c r="L461" s="327"/>
      <c r="M461" s="352"/>
      <c r="N461" s="352"/>
      <c r="O461" s="327"/>
      <c r="P461" s="352"/>
      <c r="Q461" s="352"/>
      <c r="R461" s="327"/>
      <c r="S461" s="352"/>
      <c r="T461" s="352"/>
      <c r="U461" s="327"/>
      <c r="V461" s="352"/>
      <c r="W461" s="352"/>
      <c r="X461" s="327"/>
      <c r="Y461" s="352"/>
      <c r="Z461" s="352"/>
      <c r="AA461" s="327"/>
      <c r="AB461" s="352"/>
      <c r="AC461" s="352"/>
      <c r="AD461" s="327"/>
      <c r="AE461" s="352"/>
      <c r="AF461" s="352"/>
      <c r="AG461" s="327"/>
      <c r="AH461" s="352"/>
      <c r="AI461" s="352"/>
      <c r="AJ461" s="327"/>
      <c r="AK461" s="352"/>
      <c r="AL461" s="352"/>
      <c r="AM461" s="327"/>
      <c r="AN461" s="352"/>
      <c r="AO461" s="352"/>
      <c r="AP461" s="327"/>
      <c r="AQ461" s="352"/>
      <c r="AR461" s="327"/>
      <c r="AU461" s="307"/>
      <c r="AX461" s="307"/>
      <c r="BA461" s="307"/>
      <c r="BC461" s="366"/>
      <c r="BD461" s="307"/>
      <c r="BG461" s="307"/>
    </row>
    <row r="462">
      <c r="B462" s="352"/>
      <c r="C462" s="327"/>
      <c r="E462" s="352"/>
      <c r="F462" s="327"/>
      <c r="H462" s="352"/>
      <c r="I462" s="327"/>
      <c r="J462" s="352"/>
      <c r="K462" s="352"/>
      <c r="L462" s="327"/>
      <c r="M462" s="352"/>
      <c r="N462" s="352"/>
      <c r="O462" s="327"/>
      <c r="P462" s="352"/>
      <c r="Q462" s="352"/>
      <c r="R462" s="327"/>
      <c r="S462" s="352"/>
      <c r="T462" s="352"/>
      <c r="U462" s="327"/>
      <c r="V462" s="352"/>
      <c r="W462" s="352"/>
      <c r="X462" s="327"/>
      <c r="Y462" s="352"/>
      <c r="Z462" s="352"/>
      <c r="AA462" s="327"/>
      <c r="AB462" s="352"/>
      <c r="AC462" s="352"/>
      <c r="AD462" s="327"/>
      <c r="AE462" s="352"/>
      <c r="AF462" s="352"/>
      <c r="AG462" s="327"/>
      <c r="AH462" s="352"/>
      <c r="AI462" s="352"/>
      <c r="AJ462" s="327"/>
      <c r="AK462" s="352"/>
      <c r="AL462" s="352"/>
      <c r="AM462" s="327"/>
      <c r="AN462" s="352"/>
      <c r="AO462" s="352"/>
      <c r="AP462" s="327"/>
      <c r="AQ462" s="352"/>
      <c r="AR462" s="327"/>
      <c r="AU462" s="307"/>
      <c r="AX462" s="307"/>
      <c r="BA462" s="307"/>
      <c r="BC462" s="366"/>
      <c r="BD462" s="307"/>
      <c r="BG462" s="307"/>
    </row>
    <row r="463">
      <c r="B463" s="352"/>
      <c r="C463" s="327"/>
      <c r="E463" s="352"/>
      <c r="F463" s="327"/>
      <c r="H463" s="352"/>
      <c r="I463" s="327"/>
      <c r="J463" s="352"/>
      <c r="K463" s="352"/>
      <c r="L463" s="327"/>
      <c r="M463" s="352"/>
      <c r="N463" s="352"/>
      <c r="O463" s="327"/>
      <c r="P463" s="352"/>
      <c r="Q463" s="352"/>
      <c r="R463" s="327"/>
      <c r="S463" s="352"/>
      <c r="T463" s="352"/>
      <c r="U463" s="327"/>
      <c r="V463" s="352"/>
      <c r="W463" s="352"/>
      <c r="X463" s="327"/>
      <c r="Y463" s="352"/>
      <c r="Z463" s="352"/>
      <c r="AA463" s="327"/>
      <c r="AB463" s="352"/>
      <c r="AC463" s="352"/>
      <c r="AD463" s="327"/>
      <c r="AE463" s="352"/>
      <c r="AF463" s="352"/>
      <c r="AG463" s="327"/>
      <c r="AH463" s="352"/>
      <c r="AI463" s="352"/>
      <c r="AJ463" s="327"/>
      <c r="AK463" s="352"/>
      <c r="AL463" s="352"/>
      <c r="AM463" s="327"/>
      <c r="AN463" s="352"/>
      <c r="AO463" s="352"/>
      <c r="AP463" s="327"/>
      <c r="AQ463" s="352"/>
      <c r="AR463" s="327"/>
      <c r="AU463" s="307"/>
      <c r="AX463" s="307"/>
      <c r="BA463" s="307"/>
      <c r="BC463" s="366"/>
      <c r="BD463" s="307"/>
      <c r="BG463" s="307"/>
    </row>
    <row r="464">
      <c r="B464" s="352"/>
      <c r="C464" s="327"/>
      <c r="E464" s="352"/>
      <c r="F464" s="327"/>
      <c r="H464" s="352"/>
      <c r="I464" s="327"/>
      <c r="J464" s="352"/>
      <c r="K464" s="352"/>
      <c r="L464" s="327"/>
      <c r="M464" s="352"/>
      <c r="N464" s="352"/>
      <c r="O464" s="327"/>
      <c r="P464" s="352"/>
      <c r="Q464" s="352"/>
      <c r="R464" s="327"/>
      <c r="S464" s="352"/>
      <c r="T464" s="352"/>
      <c r="U464" s="327"/>
      <c r="V464" s="352"/>
      <c r="W464" s="352"/>
      <c r="X464" s="327"/>
      <c r="Y464" s="352"/>
      <c r="Z464" s="352"/>
      <c r="AA464" s="327"/>
      <c r="AB464" s="352"/>
      <c r="AC464" s="352"/>
      <c r="AD464" s="327"/>
      <c r="AE464" s="352"/>
      <c r="AF464" s="352"/>
      <c r="AG464" s="327"/>
      <c r="AH464" s="352"/>
      <c r="AI464" s="352"/>
      <c r="AJ464" s="327"/>
      <c r="AK464" s="352"/>
      <c r="AL464" s="352"/>
      <c r="AM464" s="327"/>
      <c r="AN464" s="352"/>
      <c r="AO464" s="352"/>
      <c r="AP464" s="327"/>
      <c r="AQ464" s="352"/>
      <c r="AR464" s="327"/>
      <c r="AU464" s="307"/>
      <c r="AX464" s="307"/>
      <c r="BA464" s="307"/>
      <c r="BC464" s="366"/>
      <c r="BD464" s="307"/>
      <c r="BG464" s="307"/>
    </row>
    <row r="465">
      <c r="B465" s="352"/>
      <c r="C465" s="327"/>
      <c r="E465" s="352"/>
      <c r="F465" s="327"/>
      <c r="H465" s="352"/>
      <c r="I465" s="327"/>
      <c r="J465" s="352"/>
      <c r="K465" s="352"/>
      <c r="L465" s="327"/>
      <c r="M465" s="352"/>
      <c r="N465" s="352"/>
      <c r="O465" s="327"/>
      <c r="P465" s="352"/>
      <c r="Q465" s="352"/>
      <c r="R465" s="327"/>
      <c r="S465" s="352"/>
      <c r="T465" s="352"/>
      <c r="U465" s="327"/>
      <c r="V465" s="352"/>
      <c r="W465" s="352"/>
      <c r="X465" s="327"/>
      <c r="Y465" s="352"/>
      <c r="Z465" s="352"/>
      <c r="AA465" s="327"/>
      <c r="AB465" s="352"/>
      <c r="AC465" s="352"/>
      <c r="AD465" s="327"/>
      <c r="AE465" s="352"/>
      <c r="AF465" s="352"/>
      <c r="AG465" s="327"/>
      <c r="AH465" s="352"/>
      <c r="AI465" s="352"/>
      <c r="AJ465" s="327"/>
      <c r="AK465" s="352"/>
      <c r="AL465" s="352"/>
      <c r="AM465" s="327"/>
      <c r="AN465" s="352"/>
      <c r="AO465" s="352"/>
      <c r="AP465" s="327"/>
      <c r="AQ465" s="352"/>
      <c r="AR465" s="327"/>
      <c r="AU465" s="307"/>
      <c r="AX465" s="307"/>
      <c r="BA465" s="307"/>
      <c r="BC465" s="366"/>
      <c r="BD465" s="307"/>
      <c r="BG465" s="307"/>
    </row>
    <row r="466">
      <c r="B466" s="352"/>
      <c r="C466" s="327"/>
      <c r="E466" s="352"/>
      <c r="F466" s="327"/>
      <c r="H466" s="352"/>
      <c r="I466" s="327"/>
      <c r="J466" s="352"/>
      <c r="K466" s="352"/>
      <c r="L466" s="327"/>
      <c r="M466" s="352"/>
      <c r="N466" s="352"/>
      <c r="O466" s="327"/>
      <c r="P466" s="352"/>
      <c r="Q466" s="352"/>
      <c r="R466" s="327"/>
      <c r="S466" s="352"/>
      <c r="T466" s="352"/>
      <c r="U466" s="327"/>
      <c r="V466" s="352"/>
      <c r="W466" s="352"/>
      <c r="X466" s="327"/>
      <c r="Y466" s="352"/>
      <c r="Z466" s="352"/>
      <c r="AA466" s="327"/>
      <c r="AB466" s="352"/>
      <c r="AC466" s="352"/>
      <c r="AD466" s="327"/>
      <c r="AE466" s="352"/>
      <c r="AF466" s="352"/>
      <c r="AG466" s="327"/>
      <c r="AH466" s="352"/>
      <c r="AI466" s="352"/>
      <c r="AJ466" s="327"/>
      <c r="AK466" s="352"/>
      <c r="AL466" s="352"/>
      <c r="AM466" s="327"/>
      <c r="AN466" s="352"/>
      <c r="AO466" s="352"/>
      <c r="AP466" s="327"/>
      <c r="AQ466" s="352"/>
      <c r="AR466" s="327"/>
      <c r="AU466" s="307"/>
      <c r="AX466" s="307"/>
      <c r="BA466" s="307"/>
      <c r="BC466" s="366"/>
      <c r="BD466" s="307"/>
      <c r="BG466" s="307"/>
    </row>
    <row r="467">
      <c r="B467" s="352"/>
      <c r="C467" s="327"/>
      <c r="E467" s="352"/>
      <c r="F467" s="327"/>
      <c r="H467" s="352"/>
      <c r="I467" s="327"/>
      <c r="J467" s="352"/>
      <c r="K467" s="352"/>
      <c r="L467" s="327"/>
      <c r="M467" s="352"/>
      <c r="N467" s="352"/>
      <c r="O467" s="327"/>
      <c r="P467" s="352"/>
      <c r="Q467" s="352"/>
      <c r="R467" s="327"/>
      <c r="S467" s="352"/>
      <c r="T467" s="352"/>
      <c r="U467" s="327"/>
      <c r="V467" s="352"/>
      <c r="W467" s="352"/>
      <c r="X467" s="327"/>
      <c r="Y467" s="352"/>
      <c r="Z467" s="352"/>
      <c r="AA467" s="327"/>
      <c r="AB467" s="352"/>
      <c r="AC467" s="352"/>
      <c r="AD467" s="327"/>
      <c r="AE467" s="352"/>
      <c r="AF467" s="352"/>
      <c r="AG467" s="327"/>
      <c r="AH467" s="352"/>
      <c r="AI467" s="352"/>
      <c r="AJ467" s="327"/>
      <c r="AK467" s="352"/>
      <c r="AL467" s="352"/>
      <c r="AM467" s="327"/>
      <c r="AN467" s="352"/>
      <c r="AO467" s="352"/>
      <c r="AP467" s="327"/>
      <c r="AQ467" s="352"/>
      <c r="AR467" s="327"/>
      <c r="AU467" s="307"/>
      <c r="AX467" s="307"/>
      <c r="BA467" s="307"/>
      <c r="BC467" s="366"/>
      <c r="BD467" s="307"/>
      <c r="BG467" s="307"/>
    </row>
    <row r="468">
      <c r="B468" s="352"/>
      <c r="C468" s="327"/>
      <c r="E468" s="352"/>
      <c r="F468" s="327"/>
      <c r="H468" s="352"/>
      <c r="I468" s="327"/>
      <c r="J468" s="352"/>
      <c r="K468" s="352"/>
      <c r="L468" s="327"/>
      <c r="M468" s="352"/>
      <c r="N468" s="352"/>
      <c r="O468" s="327"/>
      <c r="P468" s="352"/>
      <c r="Q468" s="352"/>
      <c r="R468" s="327"/>
      <c r="S468" s="352"/>
      <c r="T468" s="352"/>
      <c r="U468" s="327"/>
      <c r="V468" s="352"/>
      <c r="W468" s="352"/>
      <c r="X468" s="327"/>
      <c r="Y468" s="352"/>
      <c r="Z468" s="352"/>
      <c r="AA468" s="327"/>
      <c r="AB468" s="352"/>
      <c r="AC468" s="352"/>
      <c r="AD468" s="327"/>
      <c r="AE468" s="352"/>
      <c r="AF468" s="352"/>
      <c r="AG468" s="327"/>
      <c r="AH468" s="352"/>
      <c r="AI468" s="352"/>
      <c r="AJ468" s="327"/>
      <c r="AK468" s="352"/>
      <c r="AL468" s="352"/>
      <c r="AM468" s="327"/>
      <c r="AN468" s="352"/>
      <c r="AO468" s="352"/>
      <c r="AP468" s="327"/>
      <c r="AQ468" s="352"/>
      <c r="AR468" s="327"/>
      <c r="AU468" s="307"/>
      <c r="AX468" s="307"/>
      <c r="BA468" s="307"/>
      <c r="BC468" s="366"/>
      <c r="BD468" s="307"/>
      <c r="BG468" s="307"/>
    </row>
    <row r="469">
      <c r="B469" s="352"/>
      <c r="C469" s="327"/>
      <c r="E469" s="352"/>
      <c r="F469" s="327"/>
      <c r="H469" s="352"/>
      <c r="I469" s="327"/>
      <c r="J469" s="352"/>
      <c r="K469" s="352"/>
      <c r="L469" s="327"/>
      <c r="M469" s="352"/>
      <c r="N469" s="352"/>
      <c r="O469" s="327"/>
      <c r="P469" s="352"/>
      <c r="Q469" s="352"/>
      <c r="R469" s="327"/>
      <c r="S469" s="352"/>
      <c r="T469" s="352"/>
      <c r="U469" s="327"/>
      <c r="V469" s="352"/>
      <c r="W469" s="352"/>
      <c r="X469" s="327"/>
      <c r="Y469" s="352"/>
      <c r="Z469" s="352"/>
      <c r="AA469" s="327"/>
      <c r="AB469" s="352"/>
      <c r="AC469" s="352"/>
      <c r="AD469" s="327"/>
      <c r="AE469" s="352"/>
      <c r="AF469" s="352"/>
      <c r="AG469" s="327"/>
      <c r="AH469" s="352"/>
      <c r="AI469" s="352"/>
      <c r="AJ469" s="327"/>
      <c r="AK469" s="352"/>
      <c r="AL469" s="352"/>
      <c r="AM469" s="327"/>
      <c r="AN469" s="352"/>
      <c r="AO469" s="352"/>
      <c r="AP469" s="327"/>
      <c r="AQ469" s="352"/>
      <c r="AR469" s="327"/>
      <c r="AU469" s="307"/>
      <c r="AX469" s="307"/>
      <c r="BA469" s="307"/>
      <c r="BC469" s="366"/>
      <c r="BD469" s="307"/>
      <c r="BG469" s="307"/>
    </row>
    <row r="470">
      <c r="B470" s="352"/>
      <c r="C470" s="327"/>
      <c r="E470" s="352"/>
      <c r="F470" s="327"/>
      <c r="H470" s="352"/>
      <c r="I470" s="327"/>
      <c r="J470" s="352"/>
      <c r="K470" s="352"/>
      <c r="L470" s="327"/>
      <c r="M470" s="352"/>
      <c r="N470" s="352"/>
      <c r="O470" s="327"/>
      <c r="P470" s="352"/>
      <c r="Q470" s="352"/>
      <c r="R470" s="327"/>
      <c r="S470" s="352"/>
      <c r="T470" s="352"/>
      <c r="U470" s="327"/>
      <c r="V470" s="352"/>
      <c r="W470" s="352"/>
      <c r="X470" s="327"/>
      <c r="Y470" s="352"/>
      <c r="Z470" s="352"/>
      <c r="AA470" s="327"/>
      <c r="AB470" s="352"/>
      <c r="AC470" s="352"/>
      <c r="AD470" s="327"/>
      <c r="AE470" s="352"/>
      <c r="AF470" s="352"/>
      <c r="AG470" s="327"/>
      <c r="AH470" s="352"/>
      <c r="AI470" s="352"/>
      <c r="AJ470" s="327"/>
      <c r="AK470" s="352"/>
      <c r="AL470" s="352"/>
      <c r="AM470" s="327"/>
      <c r="AN470" s="352"/>
      <c r="AO470" s="352"/>
      <c r="AP470" s="327"/>
      <c r="AQ470" s="352"/>
      <c r="AR470" s="327"/>
      <c r="AU470" s="307"/>
      <c r="AX470" s="307"/>
      <c r="BA470" s="307"/>
      <c r="BC470" s="366"/>
      <c r="BD470" s="307"/>
      <c r="BG470" s="307"/>
    </row>
    <row r="471">
      <c r="B471" s="352"/>
      <c r="C471" s="327"/>
      <c r="E471" s="352"/>
      <c r="F471" s="327"/>
      <c r="H471" s="352"/>
      <c r="I471" s="327"/>
      <c r="J471" s="352"/>
      <c r="K471" s="352"/>
      <c r="L471" s="327"/>
      <c r="M471" s="352"/>
      <c r="N471" s="352"/>
      <c r="O471" s="327"/>
      <c r="P471" s="352"/>
      <c r="Q471" s="352"/>
      <c r="R471" s="327"/>
      <c r="S471" s="352"/>
      <c r="T471" s="352"/>
      <c r="U471" s="327"/>
      <c r="V471" s="352"/>
      <c r="W471" s="352"/>
      <c r="X471" s="327"/>
      <c r="Y471" s="352"/>
      <c r="Z471" s="352"/>
      <c r="AA471" s="327"/>
      <c r="AB471" s="352"/>
      <c r="AC471" s="352"/>
      <c r="AD471" s="327"/>
      <c r="AE471" s="352"/>
      <c r="AF471" s="352"/>
      <c r="AG471" s="327"/>
      <c r="AH471" s="352"/>
      <c r="AI471" s="352"/>
      <c r="AJ471" s="327"/>
      <c r="AK471" s="352"/>
      <c r="AL471" s="352"/>
      <c r="AM471" s="327"/>
      <c r="AN471" s="352"/>
      <c r="AO471" s="352"/>
      <c r="AP471" s="327"/>
      <c r="AQ471" s="352"/>
      <c r="AR471" s="327"/>
      <c r="AU471" s="307"/>
      <c r="AX471" s="307"/>
      <c r="BA471" s="307"/>
      <c r="BC471" s="366"/>
      <c r="BD471" s="307"/>
      <c r="BG471" s="307"/>
    </row>
    <row r="472">
      <c r="B472" s="352"/>
      <c r="C472" s="327"/>
      <c r="E472" s="352"/>
      <c r="F472" s="327"/>
      <c r="H472" s="352"/>
      <c r="I472" s="327"/>
      <c r="J472" s="352"/>
      <c r="K472" s="352"/>
      <c r="L472" s="327"/>
      <c r="M472" s="352"/>
      <c r="N472" s="352"/>
      <c r="O472" s="327"/>
      <c r="P472" s="352"/>
      <c r="Q472" s="352"/>
      <c r="R472" s="327"/>
      <c r="S472" s="352"/>
      <c r="T472" s="352"/>
      <c r="U472" s="327"/>
      <c r="V472" s="352"/>
      <c r="W472" s="352"/>
      <c r="X472" s="327"/>
      <c r="Y472" s="352"/>
      <c r="Z472" s="352"/>
      <c r="AA472" s="327"/>
      <c r="AB472" s="352"/>
      <c r="AC472" s="352"/>
      <c r="AD472" s="327"/>
      <c r="AE472" s="352"/>
      <c r="AF472" s="352"/>
      <c r="AG472" s="327"/>
      <c r="AH472" s="352"/>
      <c r="AI472" s="352"/>
      <c r="AJ472" s="327"/>
      <c r="AK472" s="352"/>
      <c r="AL472" s="352"/>
      <c r="AM472" s="327"/>
      <c r="AN472" s="352"/>
      <c r="AO472" s="352"/>
      <c r="AP472" s="327"/>
      <c r="AQ472" s="352"/>
      <c r="AR472" s="327"/>
      <c r="AU472" s="307"/>
      <c r="AX472" s="307"/>
      <c r="BA472" s="307"/>
      <c r="BC472" s="366"/>
      <c r="BD472" s="307"/>
      <c r="BG472" s="307"/>
    </row>
    <row r="473">
      <c r="B473" s="352"/>
      <c r="C473" s="327"/>
      <c r="E473" s="352"/>
      <c r="F473" s="327"/>
      <c r="H473" s="352"/>
      <c r="I473" s="327"/>
      <c r="J473" s="352"/>
      <c r="K473" s="352"/>
      <c r="L473" s="327"/>
      <c r="M473" s="352"/>
      <c r="N473" s="352"/>
      <c r="O473" s="327"/>
      <c r="P473" s="352"/>
      <c r="Q473" s="352"/>
      <c r="R473" s="327"/>
      <c r="S473" s="352"/>
      <c r="T473" s="352"/>
      <c r="U473" s="327"/>
      <c r="V473" s="352"/>
      <c r="W473" s="352"/>
      <c r="X473" s="327"/>
      <c r="Y473" s="352"/>
      <c r="Z473" s="352"/>
      <c r="AA473" s="327"/>
      <c r="AB473" s="352"/>
      <c r="AC473" s="352"/>
      <c r="AD473" s="327"/>
      <c r="AE473" s="352"/>
      <c r="AF473" s="352"/>
      <c r="AG473" s="327"/>
      <c r="AH473" s="352"/>
      <c r="AI473" s="352"/>
      <c r="AJ473" s="327"/>
      <c r="AK473" s="352"/>
      <c r="AL473" s="352"/>
      <c r="AM473" s="327"/>
      <c r="AN473" s="352"/>
      <c r="AO473" s="352"/>
      <c r="AP473" s="327"/>
      <c r="AQ473" s="352"/>
      <c r="AR473" s="327"/>
      <c r="AU473" s="307"/>
      <c r="AX473" s="307"/>
      <c r="BA473" s="307"/>
      <c r="BC473" s="366"/>
      <c r="BD473" s="307"/>
      <c r="BG473" s="307"/>
    </row>
    <row r="474">
      <c r="B474" s="352"/>
      <c r="C474" s="327"/>
      <c r="E474" s="352"/>
      <c r="F474" s="327"/>
      <c r="H474" s="352"/>
      <c r="I474" s="327"/>
      <c r="J474" s="352"/>
      <c r="K474" s="352"/>
      <c r="L474" s="327"/>
      <c r="M474" s="352"/>
      <c r="N474" s="352"/>
      <c r="O474" s="327"/>
      <c r="P474" s="352"/>
      <c r="Q474" s="352"/>
      <c r="R474" s="327"/>
      <c r="S474" s="352"/>
      <c r="T474" s="352"/>
      <c r="U474" s="327"/>
      <c r="V474" s="352"/>
      <c r="W474" s="352"/>
      <c r="X474" s="327"/>
      <c r="Y474" s="352"/>
      <c r="Z474" s="352"/>
      <c r="AA474" s="327"/>
      <c r="AB474" s="352"/>
      <c r="AC474" s="352"/>
      <c r="AD474" s="327"/>
      <c r="AE474" s="352"/>
      <c r="AF474" s="352"/>
      <c r="AG474" s="327"/>
      <c r="AH474" s="352"/>
      <c r="AI474" s="352"/>
      <c r="AJ474" s="327"/>
      <c r="AK474" s="352"/>
      <c r="AL474" s="352"/>
      <c r="AM474" s="327"/>
      <c r="AN474" s="352"/>
      <c r="AO474" s="352"/>
      <c r="AP474" s="327"/>
      <c r="AQ474" s="352"/>
      <c r="AR474" s="327"/>
      <c r="AU474" s="307"/>
      <c r="AX474" s="307"/>
      <c r="BA474" s="307"/>
      <c r="BC474" s="366"/>
      <c r="BD474" s="307"/>
      <c r="BG474" s="307"/>
    </row>
    <row r="475">
      <c r="B475" s="352"/>
      <c r="C475" s="327"/>
      <c r="E475" s="352"/>
      <c r="F475" s="327"/>
      <c r="H475" s="352"/>
      <c r="I475" s="327"/>
      <c r="J475" s="352"/>
      <c r="K475" s="352"/>
      <c r="L475" s="327"/>
      <c r="M475" s="352"/>
      <c r="N475" s="352"/>
      <c r="O475" s="327"/>
      <c r="P475" s="352"/>
      <c r="Q475" s="352"/>
      <c r="R475" s="327"/>
      <c r="S475" s="352"/>
      <c r="T475" s="352"/>
      <c r="U475" s="327"/>
      <c r="V475" s="352"/>
      <c r="W475" s="352"/>
      <c r="X475" s="327"/>
      <c r="Y475" s="352"/>
      <c r="Z475" s="352"/>
      <c r="AA475" s="327"/>
      <c r="AB475" s="352"/>
      <c r="AC475" s="352"/>
      <c r="AD475" s="327"/>
      <c r="AE475" s="352"/>
      <c r="AF475" s="352"/>
      <c r="AG475" s="327"/>
      <c r="AH475" s="352"/>
      <c r="AI475" s="352"/>
      <c r="AJ475" s="327"/>
      <c r="AK475" s="352"/>
      <c r="AL475" s="352"/>
      <c r="AM475" s="327"/>
      <c r="AN475" s="352"/>
      <c r="AO475" s="352"/>
      <c r="AP475" s="327"/>
      <c r="AQ475" s="352"/>
      <c r="AR475" s="327"/>
      <c r="AU475" s="307"/>
      <c r="AX475" s="307"/>
      <c r="BA475" s="307"/>
      <c r="BC475" s="366"/>
      <c r="BD475" s="307"/>
      <c r="BG475" s="307"/>
    </row>
    <row r="476">
      <c r="B476" s="352"/>
      <c r="C476" s="327"/>
      <c r="E476" s="352"/>
      <c r="F476" s="327"/>
      <c r="H476" s="352"/>
      <c r="I476" s="327"/>
      <c r="J476" s="352"/>
      <c r="K476" s="352"/>
      <c r="L476" s="327"/>
      <c r="M476" s="352"/>
      <c r="N476" s="352"/>
      <c r="O476" s="327"/>
      <c r="P476" s="352"/>
      <c r="Q476" s="352"/>
      <c r="R476" s="327"/>
      <c r="S476" s="352"/>
      <c r="T476" s="352"/>
      <c r="U476" s="327"/>
      <c r="V476" s="352"/>
      <c r="W476" s="352"/>
      <c r="X476" s="327"/>
      <c r="Y476" s="352"/>
      <c r="Z476" s="352"/>
      <c r="AA476" s="327"/>
      <c r="AB476" s="352"/>
      <c r="AC476" s="352"/>
      <c r="AD476" s="327"/>
      <c r="AE476" s="352"/>
      <c r="AF476" s="352"/>
      <c r="AG476" s="327"/>
      <c r="AH476" s="352"/>
      <c r="AI476" s="352"/>
      <c r="AJ476" s="327"/>
      <c r="AK476" s="352"/>
      <c r="AL476" s="352"/>
      <c r="AM476" s="327"/>
      <c r="AN476" s="352"/>
      <c r="AO476" s="352"/>
      <c r="AP476" s="327"/>
      <c r="AQ476" s="352"/>
      <c r="AR476" s="327"/>
      <c r="AU476" s="307"/>
      <c r="AX476" s="307"/>
      <c r="BA476" s="307"/>
      <c r="BC476" s="366"/>
      <c r="BD476" s="307"/>
      <c r="BG476" s="307"/>
    </row>
    <row r="477">
      <c r="B477" s="352"/>
      <c r="C477" s="327"/>
      <c r="E477" s="352"/>
      <c r="F477" s="327"/>
      <c r="H477" s="352"/>
      <c r="I477" s="327"/>
      <c r="J477" s="352"/>
      <c r="K477" s="352"/>
      <c r="L477" s="327"/>
      <c r="M477" s="352"/>
      <c r="N477" s="352"/>
      <c r="O477" s="327"/>
      <c r="P477" s="352"/>
      <c r="Q477" s="352"/>
      <c r="R477" s="327"/>
      <c r="S477" s="352"/>
      <c r="T477" s="352"/>
      <c r="U477" s="327"/>
      <c r="V477" s="352"/>
      <c r="W477" s="352"/>
      <c r="X477" s="327"/>
      <c r="Y477" s="352"/>
      <c r="Z477" s="352"/>
      <c r="AA477" s="327"/>
      <c r="AB477" s="352"/>
      <c r="AC477" s="352"/>
      <c r="AD477" s="327"/>
      <c r="AE477" s="352"/>
      <c r="AF477" s="352"/>
      <c r="AG477" s="327"/>
      <c r="AH477" s="352"/>
      <c r="AI477" s="352"/>
      <c r="AJ477" s="327"/>
      <c r="AK477" s="352"/>
      <c r="AL477" s="352"/>
      <c r="AM477" s="327"/>
      <c r="AN477" s="352"/>
      <c r="AO477" s="352"/>
      <c r="AP477" s="327"/>
      <c r="AQ477" s="352"/>
      <c r="AR477" s="327"/>
      <c r="AU477" s="307"/>
      <c r="AX477" s="307"/>
      <c r="BA477" s="307"/>
      <c r="BC477" s="366"/>
      <c r="BD477" s="307"/>
      <c r="BG477" s="307"/>
    </row>
    <row r="478">
      <c r="B478" s="352"/>
      <c r="C478" s="327"/>
      <c r="E478" s="352"/>
      <c r="F478" s="327"/>
      <c r="H478" s="352"/>
      <c r="I478" s="327"/>
      <c r="J478" s="352"/>
      <c r="K478" s="352"/>
      <c r="L478" s="327"/>
      <c r="M478" s="352"/>
      <c r="N478" s="352"/>
      <c r="O478" s="327"/>
      <c r="P478" s="352"/>
      <c r="Q478" s="352"/>
      <c r="R478" s="327"/>
      <c r="S478" s="352"/>
      <c r="T478" s="352"/>
      <c r="U478" s="327"/>
      <c r="V478" s="352"/>
      <c r="W478" s="352"/>
      <c r="X478" s="327"/>
      <c r="Y478" s="352"/>
      <c r="Z478" s="352"/>
      <c r="AA478" s="327"/>
      <c r="AB478" s="352"/>
      <c r="AC478" s="352"/>
      <c r="AD478" s="327"/>
      <c r="AE478" s="352"/>
      <c r="AF478" s="352"/>
      <c r="AG478" s="327"/>
      <c r="AH478" s="352"/>
      <c r="AI478" s="352"/>
      <c r="AJ478" s="327"/>
      <c r="AK478" s="352"/>
      <c r="AL478" s="352"/>
      <c r="AM478" s="327"/>
      <c r="AN478" s="352"/>
      <c r="AO478" s="352"/>
      <c r="AP478" s="327"/>
      <c r="AQ478" s="352"/>
      <c r="AR478" s="327"/>
      <c r="AU478" s="307"/>
      <c r="AX478" s="307"/>
      <c r="BA478" s="307"/>
      <c r="BC478" s="366"/>
      <c r="BD478" s="307"/>
      <c r="BG478" s="307"/>
    </row>
    <row r="479">
      <c r="B479" s="352"/>
      <c r="C479" s="327"/>
      <c r="E479" s="352"/>
      <c r="F479" s="327"/>
      <c r="H479" s="352"/>
      <c r="I479" s="327"/>
      <c r="J479" s="352"/>
      <c r="K479" s="352"/>
      <c r="L479" s="327"/>
      <c r="M479" s="352"/>
      <c r="N479" s="352"/>
      <c r="O479" s="327"/>
      <c r="P479" s="352"/>
      <c r="Q479" s="352"/>
      <c r="R479" s="327"/>
      <c r="S479" s="352"/>
      <c r="T479" s="352"/>
      <c r="U479" s="327"/>
      <c r="V479" s="352"/>
      <c r="W479" s="352"/>
      <c r="X479" s="327"/>
      <c r="Y479" s="352"/>
      <c r="Z479" s="352"/>
      <c r="AA479" s="327"/>
      <c r="AB479" s="352"/>
      <c r="AC479" s="352"/>
      <c r="AD479" s="327"/>
      <c r="AE479" s="352"/>
      <c r="AF479" s="352"/>
      <c r="AG479" s="327"/>
      <c r="AH479" s="352"/>
      <c r="AI479" s="352"/>
      <c r="AJ479" s="327"/>
      <c r="AK479" s="352"/>
      <c r="AL479" s="352"/>
      <c r="AM479" s="327"/>
      <c r="AN479" s="352"/>
      <c r="AO479" s="352"/>
      <c r="AP479" s="327"/>
      <c r="AQ479" s="352"/>
      <c r="AR479" s="327"/>
      <c r="AU479" s="307"/>
      <c r="AX479" s="307"/>
      <c r="BA479" s="307"/>
      <c r="BC479" s="366"/>
      <c r="BD479" s="307"/>
      <c r="BG479" s="307"/>
    </row>
    <row r="480">
      <c r="B480" s="352"/>
      <c r="C480" s="327"/>
      <c r="E480" s="352"/>
      <c r="F480" s="327"/>
      <c r="H480" s="352"/>
      <c r="I480" s="327"/>
      <c r="J480" s="352"/>
      <c r="K480" s="352"/>
      <c r="L480" s="327"/>
      <c r="M480" s="352"/>
      <c r="N480" s="352"/>
      <c r="O480" s="327"/>
      <c r="P480" s="352"/>
      <c r="Q480" s="352"/>
      <c r="R480" s="327"/>
      <c r="S480" s="352"/>
      <c r="T480" s="352"/>
      <c r="U480" s="327"/>
      <c r="V480" s="352"/>
      <c r="W480" s="352"/>
      <c r="X480" s="327"/>
      <c r="Y480" s="352"/>
      <c r="Z480" s="352"/>
      <c r="AA480" s="327"/>
      <c r="AB480" s="352"/>
      <c r="AC480" s="352"/>
      <c r="AD480" s="327"/>
      <c r="AE480" s="352"/>
      <c r="AF480" s="352"/>
      <c r="AG480" s="327"/>
      <c r="AH480" s="352"/>
      <c r="AI480" s="352"/>
      <c r="AJ480" s="327"/>
      <c r="AK480" s="352"/>
      <c r="AL480" s="352"/>
      <c r="AM480" s="327"/>
      <c r="AN480" s="352"/>
      <c r="AO480" s="352"/>
      <c r="AP480" s="327"/>
      <c r="AQ480" s="352"/>
      <c r="AR480" s="327"/>
      <c r="AU480" s="307"/>
      <c r="AX480" s="307"/>
      <c r="BA480" s="307"/>
      <c r="BC480" s="366"/>
      <c r="BD480" s="307"/>
      <c r="BG480" s="307"/>
    </row>
    <row r="481">
      <c r="B481" s="352"/>
      <c r="C481" s="327"/>
      <c r="E481" s="352"/>
      <c r="F481" s="327"/>
      <c r="H481" s="352"/>
      <c r="I481" s="327"/>
      <c r="J481" s="352"/>
      <c r="K481" s="352"/>
      <c r="L481" s="327"/>
      <c r="M481" s="352"/>
      <c r="N481" s="352"/>
      <c r="O481" s="327"/>
      <c r="P481" s="352"/>
      <c r="Q481" s="352"/>
      <c r="R481" s="327"/>
      <c r="S481" s="352"/>
      <c r="T481" s="352"/>
      <c r="U481" s="327"/>
      <c r="V481" s="352"/>
      <c r="W481" s="352"/>
      <c r="X481" s="327"/>
      <c r="Y481" s="352"/>
      <c r="Z481" s="352"/>
      <c r="AA481" s="327"/>
      <c r="AB481" s="352"/>
      <c r="AC481" s="352"/>
      <c r="AD481" s="327"/>
      <c r="AE481" s="352"/>
      <c r="AF481" s="352"/>
      <c r="AG481" s="327"/>
      <c r="AH481" s="352"/>
      <c r="AI481" s="352"/>
      <c r="AJ481" s="327"/>
      <c r="AK481" s="352"/>
      <c r="AL481" s="352"/>
      <c r="AM481" s="327"/>
      <c r="AN481" s="352"/>
      <c r="AO481" s="352"/>
      <c r="AP481" s="327"/>
      <c r="AQ481" s="352"/>
      <c r="AR481" s="327"/>
      <c r="AU481" s="307"/>
      <c r="AX481" s="307"/>
      <c r="BA481" s="307"/>
      <c r="BC481" s="366"/>
      <c r="BD481" s="307"/>
      <c r="BG481" s="307"/>
    </row>
    <row r="482">
      <c r="B482" s="352"/>
      <c r="C482" s="327"/>
      <c r="E482" s="352"/>
      <c r="F482" s="327"/>
      <c r="H482" s="352"/>
      <c r="I482" s="327"/>
      <c r="J482" s="352"/>
      <c r="K482" s="352"/>
      <c r="L482" s="327"/>
      <c r="M482" s="352"/>
      <c r="N482" s="352"/>
      <c r="O482" s="327"/>
      <c r="P482" s="352"/>
      <c r="Q482" s="352"/>
      <c r="R482" s="327"/>
      <c r="S482" s="352"/>
      <c r="T482" s="352"/>
      <c r="U482" s="327"/>
      <c r="V482" s="352"/>
      <c r="W482" s="352"/>
      <c r="X482" s="327"/>
      <c r="Y482" s="352"/>
      <c r="Z482" s="352"/>
      <c r="AA482" s="327"/>
      <c r="AB482" s="352"/>
      <c r="AC482" s="352"/>
      <c r="AD482" s="327"/>
      <c r="AE482" s="352"/>
      <c r="AF482" s="352"/>
      <c r="AG482" s="327"/>
      <c r="AH482" s="352"/>
      <c r="AI482" s="352"/>
      <c r="AJ482" s="327"/>
      <c r="AK482" s="352"/>
      <c r="AL482" s="352"/>
      <c r="AM482" s="327"/>
      <c r="AN482" s="352"/>
      <c r="AO482" s="352"/>
      <c r="AP482" s="327"/>
      <c r="AQ482" s="352"/>
      <c r="AR482" s="327"/>
      <c r="AU482" s="307"/>
      <c r="AX482" s="307"/>
      <c r="BA482" s="307"/>
      <c r="BC482" s="366"/>
      <c r="BD482" s="307"/>
      <c r="BG482" s="307"/>
    </row>
    <row r="483">
      <c r="B483" s="352"/>
      <c r="C483" s="327"/>
      <c r="E483" s="352"/>
      <c r="F483" s="327"/>
      <c r="H483" s="352"/>
      <c r="I483" s="327"/>
      <c r="J483" s="352"/>
      <c r="K483" s="352"/>
      <c r="L483" s="327"/>
      <c r="M483" s="352"/>
      <c r="N483" s="352"/>
      <c r="O483" s="327"/>
      <c r="P483" s="352"/>
      <c r="Q483" s="352"/>
      <c r="R483" s="327"/>
      <c r="S483" s="352"/>
      <c r="T483" s="352"/>
      <c r="U483" s="327"/>
      <c r="V483" s="352"/>
      <c r="W483" s="352"/>
      <c r="X483" s="327"/>
      <c r="Y483" s="352"/>
      <c r="Z483" s="352"/>
      <c r="AA483" s="327"/>
      <c r="AB483" s="352"/>
      <c r="AC483" s="352"/>
      <c r="AD483" s="327"/>
      <c r="AE483" s="352"/>
      <c r="AF483" s="352"/>
      <c r="AG483" s="327"/>
      <c r="AH483" s="352"/>
      <c r="AI483" s="352"/>
      <c r="AJ483" s="327"/>
      <c r="AK483" s="352"/>
      <c r="AL483" s="352"/>
      <c r="AM483" s="327"/>
      <c r="AN483" s="352"/>
      <c r="AO483" s="352"/>
      <c r="AP483" s="327"/>
      <c r="AQ483" s="352"/>
      <c r="AR483" s="327"/>
      <c r="AU483" s="307"/>
      <c r="AX483" s="307"/>
      <c r="BA483" s="307"/>
      <c r="BC483" s="366"/>
      <c r="BD483" s="307"/>
      <c r="BG483" s="307"/>
    </row>
    <row r="484">
      <c r="B484" s="352"/>
      <c r="C484" s="327"/>
      <c r="E484" s="352"/>
      <c r="F484" s="327"/>
      <c r="H484" s="352"/>
      <c r="I484" s="327"/>
      <c r="J484" s="352"/>
      <c r="K484" s="352"/>
      <c r="L484" s="327"/>
      <c r="M484" s="352"/>
      <c r="N484" s="352"/>
      <c r="O484" s="327"/>
      <c r="P484" s="352"/>
      <c r="Q484" s="352"/>
      <c r="R484" s="327"/>
      <c r="S484" s="352"/>
      <c r="T484" s="352"/>
      <c r="U484" s="327"/>
      <c r="V484" s="352"/>
      <c r="W484" s="352"/>
      <c r="X484" s="327"/>
      <c r="Y484" s="352"/>
      <c r="Z484" s="352"/>
      <c r="AA484" s="327"/>
      <c r="AB484" s="352"/>
      <c r="AC484" s="352"/>
      <c r="AD484" s="327"/>
      <c r="AE484" s="352"/>
      <c r="AF484" s="352"/>
      <c r="AG484" s="327"/>
      <c r="AH484" s="352"/>
      <c r="AI484" s="352"/>
      <c r="AJ484" s="327"/>
      <c r="AK484" s="352"/>
      <c r="AL484" s="352"/>
      <c r="AM484" s="327"/>
      <c r="AN484" s="352"/>
      <c r="AO484" s="352"/>
      <c r="AP484" s="327"/>
      <c r="AQ484" s="352"/>
      <c r="AR484" s="327"/>
      <c r="AU484" s="307"/>
      <c r="AX484" s="307"/>
      <c r="BA484" s="307"/>
      <c r="BC484" s="366"/>
      <c r="BD484" s="307"/>
      <c r="BG484" s="307"/>
    </row>
    <row r="485">
      <c r="B485" s="352"/>
      <c r="C485" s="327"/>
      <c r="E485" s="352"/>
      <c r="F485" s="327"/>
      <c r="H485" s="352"/>
      <c r="I485" s="327"/>
      <c r="J485" s="352"/>
      <c r="K485" s="352"/>
      <c r="L485" s="327"/>
      <c r="M485" s="352"/>
      <c r="N485" s="352"/>
      <c r="O485" s="327"/>
      <c r="P485" s="352"/>
      <c r="Q485" s="352"/>
      <c r="R485" s="327"/>
      <c r="S485" s="352"/>
      <c r="T485" s="352"/>
      <c r="U485" s="327"/>
      <c r="V485" s="352"/>
      <c r="W485" s="352"/>
      <c r="X485" s="327"/>
      <c r="Y485" s="352"/>
      <c r="Z485" s="352"/>
      <c r="AA485" s="327"/>
      <c r="AB485" s="352"/>
      <c r="AC485" s="352"/>
      <c r="AD485" s="327"/>
      <c r="AE485" s="352"/>
      <c r="AF485" s="352"/>
      <c r="AG485" s="327"/>
      <c r="AH485" s="352"/>
      <c r="AI485" s="352"/>
      <c r="AJ485" s="327"/>
      <c r="AK485" s="352"/>
      <c r="AL485" s="352"/>
      <c r="AM485" s="327"/>
      <c r="AN485" s="352"/>
      <c r="AO485" s="352"/>
      <c r="AP485" s="327"/>
      <c r="AQ485" s="352"/>
      <c r="AR485" s="327"/>
      <c r="AU485" s="307"/>
      <c r="AX485" s="307"/>
      <c r="BA485" s="307"/>
      <c r="BC485" s="366"/>
      <c r="BD485" s="307"/>
      <c r="BG485" s="307"/>
    </row>
    <row r="486">
      <c r="B486" s="352"/>
      <c r="C486" s="327"/>
      <c r="E486" s="352"/>
      <c r="F486" s="327"/>
      <c r="H486" s="352"/>
      <c r="I486" s="327"/>
      <c r="J486" s="352"/>
      <c r="K486" s="352"/>
      <c r="L486" s="327"/>
      <c r="M486" s="352"/>
      <c r="N486" s="352"/>
      <c r="O486" s="327"/>
      <c r="P486" s="352"/>
      <c r="Q486" s="352"/>
      <c r="R486" s="327"/>
      <c r="S486" s="352"/>
      <c r="T486" s="352"/>
      <c r="U486" s="327"/>
      <c r="V486" s="352"/>
      <c r="W486" s="352"/>
      <c r="X486" s="327"/>
      <c r="Y486" s="352"/>
      <c r="Z486" s="352"/>
      <c r="AA486" s="327"/>
      <c r="AB486" s="352"/>
      <c r="AC486" s="352"/>
      <c r="AD486" s="327"/>
      <c r="AE486" s="352"/>
      <c r="AF486" s="352"/>
      <c r="AG486" s="327"/>
      <c r="AH486" s="352"/>
      <c r="AI486" s="352"/>
      <c r="AJ486" s="327"/>
      <c r="AK486" s="352"/>
      <c r="AL486" s="352"/>
      <c r="AM486" s="327"/>
      <c r="AN486" s="352"/>
      <c r="AO486" s="352"/>
      <c r="AP486" s="327"/>
      <c r="AQ486" s="352"/>
      <c r="AR486" s="327"/>
      <c r="AU486" s="307"/>
      <c r="AX486" s="307"/>
      <c r="BA486" s="307"/>
      <c r="BC486" s="366"/>
      <c r="BD486" s="307"/>
      <c r="BG486" s="307"/>
    </row>
    <row r="487">
      <c r="B487" s="352"/>
      <c r="C487" s="327"/>
      <c r="E487" s="352"/>
      <c r="F487" s="327"/>
      <c r="H487" s="352"/>
      <c r="I487" s="327"/>
      <c r="J487" s="352"/>
      <c r="K487" s="352"/>
      <c r="L487" s="327"/>
      <c r="M487" s="352"/>
      <c r="N487" s="352"/>
      <c r="O487" s="327"/>
      <c r="P487" s="352"/>
      <c r="Q487" s="352"/>
      <c r="R487" s="327"/>
      <c r="S487" s="352"/>
      <c r="T487" s="352"/>
      <c r="U487" s="327"/>
      <c r="V487" s="352"/>
      <c r="W487" s="352"/>
      <c r="X487" s="327"/>
      <c r="Y487" s="352"/>
      <c r="Z487" s="352"/>
      <c r="AA487" s="327"/>
      <c r="AB487" s="352"/>
      <c r="AC487" s="352"/>
      <c r="AD487" s="327"/>
      <c r="AE487" s="352"/>
      <c r="AF487" s="352"/>
      <c r="AG487" s="327"/>
      <c r="AH487" s="352"/>
      <c r="AI487" s="352"/>
      <c r="AJ487" s="327"/>
      <c r="AK487" s="352"/>
      <c r="AL487" s="352"/>
      <c r="AM487" s="327"/>
      <c r="AN487" s="352"/>
      <c r="AO487" s="352"/>
      <c r="AP487" s="327"/>
      <c r="AQ487" s="352"/>
      <c r="AR487" s="327"/>
      <c r="AU487" s="307"/>
      <c r="AX487" s="307"/>
      <c r="BA487" s="307"/>
      <c r="BC487" s="366"/>
      <c r="BD487" s="307"/>
      <c r="BG487" s="307"/>
    </row>
    <row r="488">
      <c r="B488" s="352"/>
      <c r="C488" s="327"/>
      <c r="E488" s="352"/>
      <c r="F488" s="327"/>
      <c r="H488" s="352"/>
      <c r="I488" s="327"/>
      <c r="J488" s="352"/>
      <c r="K488" s="352"/>
      <c r="L488" s="327"/>
      <c r="M488" s="352"/>
      <c r="N488" s="352"/>
      <c r="O488" s="327"/>
      <c r="P488" s="352"/>
      <c r="Q488" s="352"/>
      <c r="R488" s="327"/>
      <c r="S488" s="352"/>
      <c r="T488" s="352"/>
      <c r="U488" s="327"/>
      <c r="V488" s="352"/>
      <c r="W488" s="352"/>
      <c r="X488" s="327"/>
      <c r="Y488" s="352"/>
      <c r="Z488" s="352"/>
      <c r="AA488" s="327"/>
      <c r="AB488" s="352"/>
      <c r="AC488" s="352"/>
      <c r="AD488" s="327"/>
      <c r="AE488" s="352"/>
      <c r="AF488" s="352"/>
      <c r="AG488" s="327"/>
      <c r="AH488" s="352"/>
      <c r="AI488" s="352"/>
      <c r="AJ488" s="327"/>
      <c r="AK488" s="352"/>
      <c r="AL488" s="352"/>
      <c r="AM488" s="327"/>
      <c r="AN488" s="352"/>
      <c r="AO488" s="352"/>
      <c r="AP488" s="327"/>
      <c r="AQ488" s="352"/>
      <c r="AR488" s="327"/>
      <c r="AU488" s="307"/>
      <c r="AX488" s="307"/>
      <c r="BA488" s="307"/>
      <c r="BC488" s="366"/>
      <c r="BD488" s="307"/>
      <c r="BG488" s="307"/>
    </row>
    <row r="489">
      <c r="B489" s="352"/>
      <c r="C489" s="327"/>
      <c r="E489" s="352"/>
      <c r="F489" s="327"/>
      <c r="H489" s="352"/>
      <c r="I489" s="327"/>
      <c r="J489" s="352"/>
      <c r="K489" s="352"/>
      <c r="L489" s="327"/>
      <c r="M489" s="352"/>
      <c r="N489" s="352"/>
      <c r="O489" s="327"/>
      <c r="P489" s="352"/>
      <c r="Q489" s="352"/>
      <c r="R489" s="327"/>
      <c r="S489" s="352"/>
      <c r="T489" s="352"/>
      <c r="U489" s="327"/>
      <c r="V489" s="352"/>
      <c r="W489" s="352"/>
      <c r="X489" s="327"/>
      <c r="Y489" s="352"/>
      <c r="Z489" s="352"/>
      <c r="AA489" s="327"/>
      <c r="AB489" s="352"/>
      <c r="AC489" s="352"/>
      <c r="AD489" s="327"/>
      <c r="AE489" s="352"/>
      <c r="AF489" s="352"/>
      <c r="AG489" s="327"/>
      <c r="AH489" s="352"/>
      <c r="AI489" s="352"/>
      <c r="AJ489" s="327"/>
      <c r="AK489" s="352"/>
      <c r="AL489" s="352"/>
      <c r="AM489" s="327"/>
      <c r="AN489" s="352"/>
      <c r="AO489" s="352"/>
      <c r="AP489" s="327"/>
      <c r="AQ489" s="352"/>
      <c r="AR489" s="327"/>
      <c r="AU489" s="307"/>
      <c r="AX489" s="307"/>
      <c r="BA489" s="307"/>
      <c r="BC489" s="366"/>
      <c r="BD489" s="307"/>
      <c r="BG489" s="307"/>
    </row>
    <row r="490">
      <c r="B490" s="352"/>
      <c r="C490" s="327"/>
      <c r="E490" s="352"/>
      <c r="F490" s="327"/>
      <c r="H490" s="352"/>
      <c r="I490" s="327"/>
      <c r="J490" s="352"/>
      <c r="K490" s="352"/>
      <c r="L490" s="327"/>
      <c r="M490" s="352"/>
      <c r="N490" s="352"/>
      <c r="O490" s="327"/>
      <c r="P490" s="352"/>
      <c r="Q490" s="352"/>
      <c r="R490" s="327"/>
      <c r="S490" s="352"/>
      <c r="T490" s="352"/>
      <c r="U490" s="327"/>
      <c r="V490" s="352"/>
      <c r="W490" s="352"/>
      <c r="X490" s="327"/>
      <c r="Y490" s="352"/>
      <c r="Z490" s="352"/>
      <c r="AA490" s="327"/>
      <c r="AB490" s="352"/>
      <c r="AC490" s="352"/>
      <c r="AD490" s="327"/>
      <c r="AE490" s="352"/>
      <c r="AF490" s="352"/>
      <c r="AG490" s="327"/>
      <c r="AH490" s="352"/>
      <c r="AI490" s="352"/>
      <c r="AJ490" s="327"/>
      <c r="AK490" s="352"/>
      <c r="AL490" s="352"/>
      <c r="AM490" s="327"/>
      <c r="AN490" s="352"/>
      <c r="AO490" s="352"/>
      <c r="AP490" s="327"/>
      <c r="AQ490" s="352"/>
      <c r="AR490" s="327"/>
      <c r="AU490" s="307"/>
      <c r="AX490" s="307"/>
      <c r="BA490" s="307"/>
      <c r="BC490" s="366"/>
      <c r="BD490" s="307"/>
      <c r="BG490" s="307"/>
    </row>
    <row r="491">
      <c r="B491" s="352"/>
      <c r="C491" s="327"/>
      <c r="E491" s="352"/>
      <c r="F491" s="327"/>
      <c r="H491" s="352"/>
      <c r="I491" s="327"/>
      <c r="J491" s="352"/>
      <c r="K491" s="352"/>
      <c r="L491" s="327"/>
      <c r="M491" s="352"/>
      <c r="N491" s="352"/>
      <c r="O491" s="327"/>
      <c r="P491" s="352"/>
      <c r="Q491" s="352"/>
      <c r="R491" s="327"/>
      <c r="S491" s="352"/>
      <c r="T491" s="352"/>
      <c r="U491" s="327"/>
      <c r="V491" s="352"/>
      <c r="W491" s="352"/>
      <c r="X491" s="327"/>
      <c r="Y491" s="352"/>
      <c r="Z491" s="352"/>
      <c r="AA491" s="327"/>
      <c r="AB491" s="352"/>
      <c r="AC491" s="352"/>
      <c r="AD491" s="327"/>
      <c r="AE491" s="352"/>
      <c r="AF491" s="352"/>
      <c r="AG491" s="327"/>
      <c r="AH491" s="352"/>
      <c r="AI491" s="352"/>
      <c r="AJ491" s="327"/>
      <c r="AK491" s="352"/>
      <c r="AL491" s="352"/>
      <c r="AM491" s="327"/>
      <c r="AN491" s="352"/>
      <c r="AO491" s="352"/>
      <c r="AP491" s="327"/>
      <c r="AQ491" s="352"/>
      <c r="AR491" s="327"/>
      <c r="AU491" s="307"/>
      <c r="AX491" s="307"/>
      <c r="BA491" s="307"/>
      <c r="BC491" s="366"/>
      <c r="BD491" s="307"/>
      <c r="BG491" s="307"/>
    </row>
    <row r="492">
      <c r="B492" s="352"/>
      <c r="C492" s="327"/>
      <c r="E492" s="352"/>
      <c r="F492" s="327"/>
      <c r="H492" s="352"/>
      <c r="I492" s="327"/>
      <c r="J492" s="352"/>
      <c r="K492" s="352"/>
      <c r="L492" s="327"/>
      <c r="M492" s="352"/>
      <c r="N492" s="352"/>
      <c r="O492" s="327"/>
      <c r="P492" s="352"/>
      <c r="Q492" s="352"/>
      <c r="R492" s="327"/>
      <c r="S492" s="352"/>
      <c r="T492" s="352"/>
      <c r="U492" s="327"/>
      <c r="V492" s="352"/>
      <c r="W492" s="352"/>
      <c r="X492" s="327"/>
      <c r="Y492" s="352"/>
      <c r="Z492" s="352"/>
      <c r="AA492" s="327"/>
      <c r="AB492" s="352"/>
      <c r="AC492" s="352"/>
      <c r="AD492" s="327"/>
      <c r="AE492" s="352"/>
      <c r="AF492" s="352"/>
      <c r="AG492" s="327"/>
      <c r="AH492" s="352"/>
      <c r="AI492" s="352"/>
      <c r="AJ492" s="327"/>
      <c r="AK492" s="352"/>
      <c r="AL492" s="352"/>
      <c r="AM492" s="327"/>
      <c r="AN492" s="352"/>
      <c r="AO492" s="352"/>
      <c r="AP492" s="327"/>
      <c r="AQ492" s="352"/>
      <c r="AR492" s="327"/>
      <c r="AU492" s="307"/>
      <c r="AX492" s="307"/>
      <c r="BA492" s="307"/>
      <c r="BC492" s="366"/>
      <c r="BD492" s="307"/>
      <c r="BG492" s="307"/>
    </row>
    <row r="493">
      <c r="B493" s="352"/>
      <c r="C493" s="327"/>
      <c r="E493" s="352"/>
      <c r="F493" s="327"/>
      <c r="H493" s="352"/>
      <c r="I493" s="327"/>
      <c r="J493" s="352"/>
      <c r="K493" s="352"/>
      <c r="L493" s="327"/>
      <c r="M493" s="352"/>
      <c r="N493" s="352"/>
      <c r="O493" s="327"/>
      <c r="P493" s="352"/>
      <c r="Q493" s="352"/>
      <c r="R493" s="327"/>
      <c r="S493" s="352"/>
      <c r="T493" s="352"/>
      <c r="U493" s="327"/>
      <c r="V493" s="352"/>
      <c r="W493" s="352"/>
      <c r="X493" s="327"/>
      <c r="Y493" s="352"/>
      <c r="Z493" s="352"/>
      <c r="AA493" s="327"/>
      <c r="AB493" s="352"/>
      <c r="AC493" s="352"/>
      <c r="AD493" s="327"/>
      <c r="AE493" s="352"/>
      <c r="AF493" s="352"/>
      <c r="AG493" s="327"/>
      <c r="AH493" s="352"/>
      <c r="AI493" s="352"/>
      <c r="AJ493" s="327"/>
      <c r="AK493" s="352"/>
      <c r="AL493" s="352"/>
      <c r="AM493" s="327"/>
      <c r="AN493" s="352"/>
      <c r="AO493" s="352"/>
      <c r="AP493" s="327"/>
      <c r="AQ493" s="352"/>
      <c r="AR493" s="327"/>
      <c r="AU493" s="307"/>
      <c r="AX493" s="307"/>
      <c r="BA493" s="307"/>
      <c r="BC493" s="366"/>
      <c r="BD493" s="307"/>
      <c r="BG493" s="307"/>
    </row>
    <row r="494">
      <c r="B494" s="352"/>
      <c r="C494" s="327"/>
      <c r="E494" s="352"/>
      <c r="F494" s="327"/>
      <c r="H494" s="352"/>
      <c r="I494" s="327"/>
      <c r="J494" s="352"/>
      <c r="K494" s="352"/>
      <c r="L494" s="327"/>
      <c r="M494" s="352"/>
      <c r="N494" s="352"/>
      <c r="O494" s="327"/>
      <c r="P494" s="352"/>
      <c r="Q494" s="352"/>
      <c r="R494" s="327"/>
      <c r="S494" s="352"/>
      <c r="T494" s="352"/>
      <c r="U494" s="327"/>
      <c r="V494" s="352"/>
      <c r="W494" s="352"/>
      <c r="X494" s="327"/>
      <c r="Y494" s="352"/>
      <c r="Z494" s="352"/>
      <c r="AA494" s="327"/>
      <c r="AB494" s="352"/>
      <c r="AC494" s="352"/>
      <c r="AD494" s="327"/>
      <c r="AE494" s="352"/>
      <c r="AF494" s="352"/>
      <c r="AG494" s="327"/>
      <c r="AH494" s="352"/>
      <c r="AI494" s="352"/>
      <c r="AJ494" s="327"/>
      <c r="AK494" s="352"/>
      <c r="AL494" s="352"/>
      <c r="AM494" s="327"/>
      <c r="AN494" s="352"/>
      <c r="AO494" s="352"/>
      <c r="AP494" s="327"/>
      <c r="AQ494" s="352"/>
      <c r="AR494" s="327"/>
      <c r="AU494" s="307"/>
      <c r="AX494" s="307"/>
      <c r="BA494" s="307"/>
      <c r="BC494" s="366"/>
      <c r="BD494" s="307"/>
      <c r="BG494" s="307"/>
    </row>
    <row r="495">
      <c r="B495" s="352"/>
      <c r="C495" s="327"/>
      <c r="E495" s="352"/>
      <c r="F495" s="327"/>
      <c r="H495" s="352"/>
      <c r="I495" s="327"/>
      <c r="J495" s="352"/>
      <c r="K495" s="352"/>
      <c r="L495" s="327"/>
      <c r="M495" s="352"/>
      <c r="N495" s="352"/>
      <c r="O495" s="327"/>
      <c r="P495" s="352"/>
      <c r="Q495" s="352"/>
      <c r="R495" s="327"/>
      <c r="S495" s="352"/>
      <c r="T495" s="352"/>
      <c r="U495" s="327"/>
      <c r="V495" s="352"/>
      <c r="W495" s="352"/>
      <c r="X495" s="327"/>
      <c r="Y495" s="352"/>
      <c r="Z495" s="352"/>
      <c r="AA495" s="327"/>
      <c r="AB495" s="352"/>
      <c r="AC495" s="352"/>
      <c r="AD495" s="327"/>
      <c r="AE495" s="352"/>
      <c r="AF495" s="352"/>
      <c r="AG495" s="327"/>
      <c r="AH495" s="352"/>
      <c r="AI495" s="352"/>
      <c r="AJ495" s="327"/>
      <c r="AK495" s="352"/>
      <c r="AL495" s="352"/>
      <c r="AM495" s="327"/>
      <c r="AN495" s="352"/>
      <c r="AO495" s="352"/>
      <c r="AP495" s="327"/>
      <c r="AQ495" s="352"/>
      <c r="AR495" s="327"/>
      <c r="AU495" s="307"/>
      <c r="AX495" s="307"/>
      <c r="BA495" s="307"/>
      <c r="BC495" s="366"/>
      <c r="BD495" s="307"/>
      <c r="BG495" s="307"/>
    </row>
    <row r="496">
      <c r="A496" s="352"/>
      <c r="B496" s="352"/>
      <c r="C496" s="327"/>
      <c r="D496" s="352"/>
      <c r="E496" s="352"/>
      <c r="F496" s="327"/>
      <c r="G496" s="352"/>
      <c r="H496" s="352"/>
      <c r="I496" s="327"/>
      <c r="J496" s="352"/>
      <c r="K496" s="352"/>
      <c r="L496" s="327"/>
      <c r="M496" s="352"/>
      <c r="N496" s="352"/>
      <c r="O496" s="327"/>
      <c r="P496" s="352"/>
      <c r="Q496" s="352"/>
      <c r="R496" s="327"/>
      <c r="S496" s="352"/>
      <c r="T496" s="352"/>
      <c r="U496" s="327"/>
      <c r="V496" s="352"/>
      <c r="W496" s="352"/>
      <c r="X496" s="327"/>
      <c r="Y496" s="352"/>
      <c r="Z496" s="352"/>
      <c r="AA496" s="327"/>
      <c r="AB496" s="352"/>
      <c r="AC496" s="352"/>
      <c r="AD496" s="327"/>
      <c r="AE496" s="352"/>
      <c r="AF496" s="352"/>
      <c r="AG496" s="327"/>
      <c r="AH496" s="352"/>
      <c r="AI496" s="352"/>
      <c r="AJ496" s="327"/>
      <c r="AK496" s="352"/>
      <c r="AL496" s="352"/>
      <c r="AM496" s="327"/>
      <c r="AN496" s="352"/>
      <c r="AO496" s="352"/>
      <c r="AP496" s="327"/>
      <c r="AQ496" s="352"/>
      <c r="AR496" s="327"/>
      <c r="AU496" s="307"/>
      <c r="AX496" s="307"/>
      <c r="BA496" s="307"/>
      <c r="BC496" s="366"/>
      <c r="BD496" s="307"/>
      <c r="BG496" s="307"/>
    </row>
    <row r="497">
      <c r="A497" s="352"/>
      <c r="B497" s="352"/>
      <c r="C497" s="327"/>
      <c r="D497" s="352"/>
      <c r="E497" s="352"/>
      <c r="F497" s="327"/>
      <c r="G497" s="352"/>
      <c r="H497" s="352"/>
      <c r="I497" s="327"/>
      <c r="J497" s="352"/>
      <c r="K497" s="352"/>
      <c r="L497" s="327"/>
      <c r="M497" s="352"/>
      <c r="N497" s="352"/>
      <c r="O497" s="327"/>
      <c r="P497" s="352"/>
      <c r="Q497" s="352"/>
      <c r="R497" s="327"/>
      <c r="S497" s="352"/>
      <c r="T497" s="352"/>
      <c r="U497" s="327"/>
      <c r="V497" s="352"/>
      <c r="W497" s="352"/>
      <c r="X497" s="327"/>
      <c r="Y497" s="352"/>
      <c r="Z497" s="352"/>
      <c r="AA497" s="327"/>
      <c r="AB497" s="352"/>
      <c r="AC497" s="352"/>
      <c r="AD497" s="327"/>
      <c r="AE497" s="352"/>
      <c r="AF497" s="352"/>
      <c r="AG497" s="327"/>
      <c r="AH497" s="352"/>
      <c r="AI497" s="352"/>
      <c r="AJ497" s="327"/>
      <c r="AK497" s="352"/>
      <c r="AL497" s="352"/>
      <c r="AM497" s="327"/>
      <c r="AN497" s="352"/>
      <c r="AO497" s="352"/>
      <c r="AP497" s="327"/>
      <c r="AQ497" s="352"/>
      <c r="AR497" s="327"/>
      <c r="AU497" s="307"/>
      <c r="AX497" s="307"/>
      <c r="BA497" s="307"/>
      <c r="BC497" s="366"/>
      <c r="BD497" s="307"/>
      <c r="BG497" s="307"/>
    </row>
    <row r="498">
      <c r="A498" s="352"/>
      <c r="B498" s="352"/>
      <c r="C498" s="327"/>
      <c r="D498" s="352"/>
      <c r="E498" s="352"/>
      <c r="F498" s="327"/>
      <c r="G498" s="352"/>
      <c r="H498" s="352"/>
      <c r="I498" s="327"/>
      <c r="J498" s="352"/>
      <c r="K498" s="352"/>
      <c r="L498" s="327"/>
      <c r="M498" s="352"/>
      <c r="N498" s="352"/>
      <c r="O498" s="327"/>
      <c r="P498" s="352"/>
      <c r="Q498" s="352"/>
      <c r="R498" s="327"/>
      <c r="S498" s="352"/>
      <c r="T498" s="352"/>
      <c r="U498" s="327"/>
      <c r="V498" s="352"/>
      <c r="W498" s="352"/>
      <c r="X498" s="327"/>
      <c r="Y498" s="352"/>
      <c r="Z498" s="352"/>
      <c r="AA498" s="327"/>
      <c r="AB498" s="352"/>
      <c r="AC498" s="352"/>
      <c r="AD498" s="327"/>
      <c r="AE498" s="352"/>
      <c r="AF498" s="352"/>
      <c r="AG498" s="327"/>
      <c r="AH498" s="352"/>
      <c r="AI498" s="352"/>
      <c r="AJ498" s="327"/>
      <c r="AK498" s="352"/>
      <c r="AL498" s="352"/>
      <c r="AM498" s="327"/>
      <c r="AN498" s="352"/>
      <c r="AO498" s="352"/>
      <c r="AP498" s="327"/>
      <c r="AQ498" s="352"/>
      <c r="AR498" s="327"/>
      <c r="AU498" s="307"/>
      <c r="AX498" s="307"/>
      <c r="BA498" s="307"/>
      <c r="BC498" s="366"/>
      <c r="BD498" s="307"/>
      <c r="BG498" s="307"/>
    </row>
    <row r="499">
      <c r="A499" s="352"/>
      <c r="B499" s="352"/>
      <c r="C499" s="327"/>
      <c r="D499" s="352"/>
      <c r="E499" s="352"/>
      <c r="F499" s="327"/>
      <c r="G499" s="352"/>
      <c r="H499" s="352"/>
      <c r="I499" s="327"/>
      <c r="J499" s="352"/>
      <c r="K499" s="352"/>
      <c r="L499" s="327"/>
      <c r="M499" s="352"/>
      <c r="N499" s="352"/>
      <c r="O499" s="327"/>
      <c r="P499" s="352"/>
      <c r="Q499" s="352"/>
      <c r="R499" s="327"/>
      <c r="S499" s="352"/>
      <c r="T499" s="352"/>
      <c r="U499" s="327"/>
      <c r="V499" s="352"/>
      <c r="W499" s="352"/>
      <c r="X499" s="327"/>
      <c r="Y499" s="352"/>
      <c r="Z499" s="352"/>
      <c r="AA499" s="327"/>
      <c r="AB499" s="352"/>
      <c r="AC499" s="352"/>
      <c r="AD499" s="327"/>
      <c r="AE499" s="352"/>
      <c r="AF499" s="352"/>
      <c r="AG499" s="327"/>
      <c r="AH499" s="352"/>
      <c r="AI499" s="352"/>
      <c r="AJ499" s="327"/>
      <c r="AK499" s="352"/>
      <c r="AL499" s="352"/>
      <c r="AM499" s="327"/>
      <c r="AN499" s="352"/>
      <c r="AO499" s="352"/>
      <c r="AP499" s="327"/>
      <c r="AQ499" s="352"/>
      <c r="AR499" s="327"/>
      <c r="AU499" s="307"/>
      <c r="AX499" s="307"/>
      <c r="BA499" s="307"/>
      <c r="BC499" s="366"/>
      <c r="BD499" s="307"/>
      <c r="BG499" s="307"/>
    </row>
    <row r="500">
      <c r="A500" s="352"/>
      <c r="B500" s="352"/>
      <c r="C500" s="327"/>
      <c r="D500" s="352"/>
      <c r="E500" s="352"/>
      <c r="F500" s="327"/>
      <c r="G500" s="352"/>
      <c r="H500" s="352"/>
      <c r="I500" s="327"/>
      <c r="J500" s="352"/>
      <c r="K500" s="352"/>
      <c r="L500" s="327"/>
      <c r="M500" s="352"/>
      <c r="N500" s="352"/>
      <c r="O500" s="327"/>
      <c r="P500" s="352"/>
      <c r="Q500" s="352"/>
      <c r="R500" s="327"/>
      <c r="S500" s="352"/>
      <c r="T500" s="352"/>
      <c r="U500" s="327"/>
      <c r="V500" s="352"/>
      <c r="W500" s="352"/>
      <c r="X500" s="327"/>
      <c r="Y500" s="352"/>
      <c r="Z500" s="352"/>
      <c r="AA500" s="327"/>
      <c r="AB500" s="352"/>
      <c r="AC500" s="352"/>
      <c r="AD500" s="327"/>
      <c r="AE500" s="352"/>
      <c r="AF500" s="352"/>
      <c r="AG500" s="327"/>
      <c r="AH500" s="352"/>
      <c r="AI500" s="352"/>
      <c r="AJ500" s="327"/>
      <c r="AK500" s="352"/>
      <c r="AL500" s="352"/>
      <c r="AM500" s="327"/>
      <c r="AN500" s="352"/>
      <c r="AO500" s="352"/>
      <c r="AP500" s="327"/>
      <c r="AQ500" s="352"/>
      <c r="AR500" s="327"/>
      <c r="AU500" s="307"/>
      <c r="AX500" s="307"/>
      <c r="BA500" s="307"/>
      <c r="BC500" s="366"/>
      <c r="BD500" s="307"/>
      <c r="BG500" s="307"/>
    </row>
    <row r="501">
      <c r="A501" s="352"/>
      <c r="B501" s="352"/>
      <c r="C501" s="327"/>
      <c r="D501" s="352"/>
      <c r="E501" s="352"/>
      <c r="F501" s="327"/>
      <c r="G501" s="352"/>
      <c r="H501" s="352"/>
      <c r="I501" s="327"/>
      <c r="J501" s="352"/>
      <c r="K501" s="352"/>
      <c r="L501" s="327"/>
      <c r="M501" s="352"/>
      <c r="N501" s="352"/>
      <c r="O501" s="327"/>
      <c r="P501" s="352"/>
      <c r="Q501" s="352"/>
      <c r="R501" s="327"/>
      <c r="S501" s="352"/>
      <c r="T501" s="352"/>
      <c r="U501" s="327"/>
      <c r="V501" s="352"/>
      <c r="W501" s="352"/>
      <c r="X501" s="327"/>
      <c r="Y501" s="352"/>
      <c r="Z501" s="352"/>
      <c r="AA501" s="327"/>
      <c r="AB501" s="352"/>
      <c r="AC501" s="352"/>
      <c r="AD501" s="327"/>
      <c r="AE501" s="352"/>
      <c r="AF501" s="352"/>
      <c r="AG501" s="327"/>
      <c r="AH501" s="352"/>
      <c r="AI501" s="352"/>
      <c r="AJ501" s="327"/>
      <c r="AK501" s="352"/>
      <c r="AL501" s="352"/>
      <c r="AM501" s="327"/>
      <c r="AN501" s="352"/>
      <c r="AO501" s="352"/>
      <c r="AP501" s="327"/>
      <c r="AQ501" s="352"/>
      <c r="AR501" s="327"/>
      <c r="AU501" s="307"/>
      <c r="AX501" s="307"/>
      <c r="BA501" s="307"/>
      <c r="BC501" s="366"/>
      <c r="BD501" s="307"/>
      <c r="BG501" s="307"/>
    </row>
    <row r="502">
      <c r="A502" s="352"/>
      <c r="B502" s="352"/>
      <c r="C502" s="327"/>
      <c r="D502" s="352"/>
      <c r="E502" s="352"/>
      <c r="F502" s="327"/>
      <c r="G502" s="352"/>
      <c r="H502" s="352"/>
      <c r="I502" s="327"/>
      <c r="J502" s="352"/>
      <c r="K502" s="352"/>
      <c r="L502" s="327"/>
      <c r="M502" s="352"/>
      <c r="N502" s="352"/>
      <c r="O502" s="327"/>
      <c r="P502" s="352"/>
      <c r="Q502" s="352"/>
      <c r="R502" s="327"/>
      <c r="S502" s="352"/>
      <c r="T502" s="352"/>
      <c r="U502" s="327"/>
      <c r="V502" s="352"/>
      <c r="W502" s="352"/>
      <c r="X502" s="327"/>
      <c r="Y502" s="352"/>
      <c r="Z502" s="352"/>
      <c r="AA502" s="327"/>
      <c r="AB502" s="352"/>
      <c r="AC502" s="352"/>
      <c r="AD502" s="327"/>
      <c r="AE502" s="352"/>
      <c r="AF502" s="352"/>
      <c r="AG502" s="327"/>
      <c r="AH502" s="352"/>
      <c r="AI502" s="352"/>
      <c r="AJ502" s="327"/>
      <c r="AK502" s="352"/>
      <c r="AL502" s="352"/>
      <c r="AM502" s="327"/>
      <c r="AN502" s="352"/>
      <c r="AO502" s="352"/>
      <c r="AP502" s="327"/>
      <c r="AQ502" s="352"/>
      <c r="AR502" s="327"/>
      <c r="AU502" s="307"/>
      <c r="AX502" s="307"/>
      <c r="BA502" s="307"/>
      <c r="BC502" s="366"/>
      <c r="BD502" s="307"/>
      <c r="BG502" s="307"/>
    </row>
    <row r="503">
      <c r="A503" s="352"/>
      <c r="B503" s="352"/>
      <c r="C503" s="327"/>
      <c r="D503" s="352"/>
      <c r="E503" s="352"/>
      <c r="F503" s="327"/>
      <c r="G503" s="352"/>
      <c r="H503" s="352"/>
      <c r="I503" s="327"/>
      <c r="J503" s="352"/>
      <c r="K503" s="352"/>
      <c r="L503" s="327"/>
      <c r="M503" s="352"/>
      <c r="N503" s="352"/>
      <c r="O503" s="327"/>
      <c r="P503" s="352"/>
      <c r="Q503" s="352"/>
      <c r="R503" s="327"/>
      <c r="S503" s="352"/>
      <c r="T503" s="352"/>
      <c r="U503" s="327"/>
      <c r="V503" s="352"/>
      <c r="W503" s="352"/>
      <c r="X503" s="327"/>
      <c r="Y503" s="352"/>
      <c r="Z503" s="352"/>
      <c r="AA503" s="327"/>
      <c r="AB503" s="352"/>
      <c r="AC503" s="352"/>
      <c r="AD503" s="327"/>
      <c r="AE503" s="352"/>
      <c r="AF503" s="352"/>
      <c r="AG503" s="327"/>
      <c r="AH503" s="352"/>
      <c r="AI503" s="352"/>
      <c r="AJ503" s="327"/>
      <c r="AK503" s="352"/>
      <c r="AL503" s="352"/>
      <c r="AM503" s="327"/>
      <c r="AN503" s="352"/>
      <c r="AO503" s="352"/>
      <c r="AP503" s="327"/>
      <c r="AQ503" s="352"/>
      <c r="AR503" s="327"/>
      <c r="AU503" s="307"/>
      <c r="AX503" s="307"/>
      <c r="BA503" s="307"/>
      <c r="BC503" s="366"/>
      <c r="BD503" s="307"/>
      <c r="BG503" s="307"/>
    </row>
    <row r="504">
      <c r="A504" s="352"/>
      <c r="B504" s="352"/>
      <c r="C504" s="327"/>
      <c r="D504" s="352"/>
      <c r="E504" s="352"/>
      <c r="F504" s="327"/>
      <c r="G504" s="352"/>
      <c r="H504" s="352"/>
      <c r="I504" s="327"/>
      <c r="J504" s="352"/>
      <c r="K504" s="352"/>
      <c r="L504" s="327"/>
      <c r="M504" s="352"/>
      <c r="N504" s="352"/>
      <c r="O504" s="327"/>
      <c r="P504" s="352"/>
      <c r="Q504" s="352"/>
      <c r="R504" s="327"/>
      <c r="S504" s="352"/>
      <c r="T504" s="352"/>
      <c r="U504" s="327"/>
      <c r="V504" s="352"/>
      <c r="W504" s="352"/>
      <c r="X504" s="327"/>
      <c r="Y504" s="352"/>
      <c r="Z504" s="352"/>
      <c r="AA504" s="327"/>
      <c r="AB504" s="352"/>
      <c r="AC504" s="352"/>
      <c r="AD504" s="327"/>
      <c r="AE504" s="352"/>
      <c r="AF504" s="352"/>
      <c r="AG504" s="327"/>
      <c r="AH504" s="352"/>
      <c r="AI504" s="352"/>
      <c r="AJ504" s="327"/>
      <c r="AK504" s="352"/>
      <c r="AL504" s="352"/>
      <c r="AM504" s="327"/>
      <c r="AN504" s="352"/>
      <c r="AO504" s="352"/>
      <c r="AP504" s="327"/>
      <c r="AQ504" s="352"/>
      <c r="AR504" s="327"/>
      <c r="AU504" s="307"/>
      <c r="AX504" s="307"/>
      <c r="BA504" s="307"/>
      <c r="BC504" s="366"/>
      <c r="BD504" s="307"/>
      <c r="BG504" s="307"/>
    </row>
    <row r="505">
      <c r="A505" s="352"/>
      <c r="B505" s="352"/>
      <c r="C505" s="327"/>
      <c r="D505" s="352"/>
      <c r="E505" s="352"/>
      <c r="F505" s="327"/>
      <c r="G505" s="352"/>
      <c r="H505" s="352"/>
      <c r="I505" s="327"/>
      <c r="J505" s="352"/>
      <c r="K505" s="352"/>
      <c r="L505" s="327"/>
      <c r="M505" s="352"/>
      <c r="N505" s="352"/>
      <c r="O505" s="327"/>
      <c r="P505" s="352"/>
      <c r="Q505" s="352"/>
      <c r="R505" s="327"/>
      <c r="S505" s="352"/>
      <c r="T505" s="352"/>
      <c r="U505" s="327"/>
      <c r="V505" s="352"/>
      <c r="W505" s="352"/>
      <c r="X505" s="327"/>
      <c r="Y505" s="352"/>
      <c r="Z505" s="352"/>
      <c r="AA505" s="327"/>
      <c r="AB505" s="352"/>
      <c r="AC505" s="352"/>
      <c r="AD505" s="327"/>
      <c r="AE505" s="352"/>
      <c r="AF505" s="352"/>
      <c r="AG505" s="327"/>
      <c r="AH505" s="352"/>
      <c r="AI505" s="352"/>
      <c r="AJ505" s="327"/>
      <c r="AK505" s="352"/>
      <c r="AL505" s="352"/>
      <c r="AM505" s="327"/>
      <c r="AN505" s="352"/>
      <c r="AO505" s="352"/>
      <c r="AP505" s="327"/>
      <c r="AQ505" s="352"/>
      <c r="AR505" s="327"/>
      <c r="AU505" s="307"/>
      <c r="AX505" s="307"/>
      <c r="BA505" s="307"/>
      <c r="BC505" s="366"/>
      <c r="BD505" s="307"/>
      <c r="BG505" s="307"/>
    </row>
    <row r="506">
      <c r="A506" s="352"/>
      <c r="B506" s="352"/>
      <c r="C506" s="327"/>
      <c r="D506" s="352"/>
      <c r="E506" s="352"/>
      <c r="F506" s="327"/>
      <c r="G506" s="352"/>
      <c r="H506" s="352"/>
      <c r="I506" s="327"/>
      <c r="J506" s="352"/>
      <c r="K506" s="352"/>
      <c r="L506" s="327"/>
      <c r="M506" s="352"/>
      <c r="N506" s="352"/>
      <c r="O506" s="327"/>
      <c r="P506" s="352"/>
      <c r="Q506" s="352"/>
      <c r="R506" s="327"/>
      <c r="S506" s="352"/>
      <c r="T506" s="352"/>
      <c r="U506" s="327"/>
      <c r="V506" s="352"/>
      <c r="W506" s="352"/>
      <c r="X506" s="327"/>
      <c r="Y506" s="352"/>
      <c r="Z506" s="352"/>
      <c r="AA506" s="327"/>
      <c r="AB506" s="352"/>
      <c r="AC506" s="352"/>
      <c r="AD506" s="327"/>
      <c r="AE506" s="352"/>
      <c r="AF506" s="352"/>
      <c r="AG506" s="327"/>
      <c r="AH506" s="352"/>
      <c r="AI506" s="352"/>
      <c r="AJ506" s="327"/>
      <c r="AK506" s="352"/>
      <c r="AL506" s="352"/>
      <c r="AM506" s="327"/>
      <c r="AN506" s="352"/>
      <c r="AO506" s="352"/>
      <c r="AP506" s="327"/>
      <c r="AQ506" s="352"/>
      <c r="AR506" s="327"/>
      <c r="AU506" s="307"/>
      <c r="AX506" s="307"/>
      <c r="BA506" s="307"/>
      <c r="BC506" s="366"/>
      <c r="BD506" s="307"/>
      <c r="BG506" s="307"/>
    </row>
    <row r="507">
      <c r="A507" s="352"/>
      <c r="B507" s="352"/>
      <c r="C507" s="327"/>
      <c r="D507" s="352"/>
      <c r="E507" s="352"/>
      <c r="F507" s="327"/>
      <c r="G507" s="352"/>
      <c r="H507" s="352"/>
      <c r="I507" s="327"/>
      <c r="J507" s="352"/>
      <c r="K507" s="352"/>
      <c r="L507" s="327"/>
      <c r="M507" s="352"/>
      <c r="N507" s="352"/>
      <c r="O507" s="327"/>
      <c r="P507" s="352"/>
      <c r="Q507" s="352"/>
      <c r="R507" s="327"/>
      <c r="S507" s="352"/>
      <c r="T507" s="352"/>
      <c r="U507" s="327"/>
      <c r="V507" s="352"/>
      <c r="W507" s="352"/>
      <c r="X507" s="327"/>
      <c r="Y507" s="352"/>
      <c r="Z507" s="352"/>
      <c r="AA507" s="327"/>
      <c r="AB507" s="352"/>
      <c r="AC507" s="352"/>
      <c r="AD507" s="327"/>
      <c r="AE507" s="352"/>
      <c r="AF507" s="352"/>
      <c r="AG507" s="327"/>
      <c r="AH507" s="352"/>
      <c r="AI507" s="352"/>
      <c r="AJ507" s="327"/>
      <c r="AK507" s="352"/>
      <c r="AL507" s="352"/>
      <c r="AM507" s="327"/>
      <c r="AN507" s="352"/>
      <c r="AO507" s="352"/>
      <c r="AP507" s="327"/>
      <c r="AQ507" s="352"/>
      <c r="AR507" s="327"/>
      <c r="AU507" s="307"/>
      <c r="AX507" s="307"/>
      <c r="BA507" s="307"/>
      <c r="BC507" s="366"/>
      <c r="BD507" s="307"/>
      <c r="BG507" s="307"/>
    </row>
    <row r="508">
      <c r="A508" s="352"/>
      <c r="B508" s="352"/>
      <c r="C508" s="327"/>
      <c r="D508" s="352"/>
      <c r="E508" s="352"/>
      <c r="F508" s="327"/>
      <c r="G508" s="352"/>
      <c r="H508" s="352"/>
      <c r="I508" s="327"/>
      <c r="J508" s="352"/>
      <c r="K508" s="352"/>
      <c r="L508" s="327"/>
      <c r="M508" s="352"/>
      <c r="N508" s="352"/>
      <c r="O508" s="327"/>
      <c r="P508" s="352"/>
      <c r="Q508" s="352"/>
      <c r="R508" s="327"/>
      <c r="S508" s="352"/>
      <c r="T508" s="352"/>
      <c r="U508" s="327"/>
      <c r="V508" s="352"/>
      <c r="W508" s="352"/>
      <c r="X508" s="327"/>
      <c r="Y508" s="352"/>
      <c r="Z508" s="352"/>
      <c r="AA508" s="327"/>
      <c r="AB508" s="352"/>
      <c r="AC508" s="352"/>
      <c r="AD508" s="327"/>
      <c r="AE508" s="352"/>
      <c r="AF508" s="352"/>
      <c r="AG508" s="327"/>
      <c r="AH508" s="352"/>
      <c r="AI508" s="352"/>
      <c r="AJ508" s="327"/>
      <c r="AK508" s="352"/>
      <c r="AL508" s="352"/>
      <c r="AM508" s="327"/>
      <c r="AN508" s="352"/>
      <c r="AO508" s="352"/>
      <c r="AP508" s="327"/>
      <c r="AQ508" s="352"/>
      <c r="AR508" s="327"/>
      <c r="AU508" s="307"/>
      <c r="AX508" s="307"/>
      <c r="BA508" s="307"/>
      <c r="BC508" s="366"/>
      <c r="BD508" s="307"/>
      <c r="BG508" s="307"/>
    </row>
    <row r="509">
      <c r="A509" s="352"/>
      <c r="B509" s="352"/>
      <c r="C509" s="327"/>
      <c r="D509" s="352"/>
      <c r="E509" s="352"/>
      <c r="F509" s="327"/>
      <c r="G509" s="352"/>
      <c r="H509" s="352"/>
      <c r="I509" s="327"/>
      <c r="J509" s="352"/>
      <c r="K509" s="352"/>
      <c r="L509" s="327"/>
      <c r="M509" s="352"/>
      <c r="N509" s="352"/>
      <c r="O509" s="327"/>
      <c r="P509" s="352"/>
      <c r="Q509" s="352"/>
      <c r="R509" s="327"/>
      <c r="S509" s="352"/>
      <c r="T509" s="352"/>
      <c r="U509" s="327"/>
      <c r="V509" s="352"/>
      <c r="W509" s="352"/>
      <c r="X509" s="327"/>
      <c r="Y509" s="352"/>
      <c r="Z509" s="352"/>
      <c r="AA509" s="327"/>
      <c r="AB509" s="352"/>
      <c r="AC509" s="352"/>
      <c r="AD509" s="327"/>
      <c r="AE509" s="352"/>
      <c r="AF509" s="352"/>
      <c r="AG509" s="327"/>
      <c r="AH509" s="352"/>
      <c r="AI509" s="352"/>
      <c r="AJ509" s="327"/>
      <c r="AK509" s="352"/>
      <c r="AL509" s="352"/>
      <c r="AM509" s="327"/>
      <c r="AN509" s="352"/>
      <c r="AO509" s="352"/>
      <c r="AP509" s="327"/>
      <c r="AQ509" s="352"/>
      <c r="AR509" s="327"/>
      <c r="AU509" s="307"/>
      <c r="AX509" s="307"/>
      <c r="BA509" s="307"/>
      <c r="BC509" s="366"/>
      <c r="BD509" s="307"/>
      <c r="BG509" s="307"/>
    </row>
    <row r="510">
      <c r="A510" s="352"/>
      <c r="B510" s="352"/>
      <c r="C510" s="327"/>
      <c r="D510" s="352"/>
      <c r="E510" s="352"/>
      <c r="F510" s="327"/>
      <c r="G510" s="352"/>
      <c r="H510" s="352"/>
      <c r="I510" s="327"/>
      <c r="J510" s="352"/>
      <c r="K510" s="352"/>
      <c r="L510" s="327"/>
      <c r="M510" s="352"/>
      <c r="N510" s="352"/>
      <c r="O510" s="327"/>
      <c r="P510" s="352"/>
      <c r="Q510" s="352"/>
      <c r="R510" s="327"/>
      <c r="S510" s="352"/>
      <c r="T510" s="352"/>
      <c r="U510" s="327"/>
      <c r="V510" s="352"/>
      <c r="W510" s="352"/>
      <c r="X510" s="327"/>
      <c r="Y510" s="352"/>
      <c r="Z510" s="352"/>
      <c r="AA510" s="327"/>
      <c r="AB510" s="352"/>
      <c r="AC510" s="352"/>
      <c r="AD510" s="327"/>
      <c r="AE510" s="352"/>
      <c r="AF510" s="352"/>
      <c r="AG510" s="327"/>
      <c r="AH510" s="352"/>
      <c r="AI510" s="352"/>
      <c r="AJ510" s="327"/>
      <c r="AK510" s="352"/>
      <c r="AL510" s="352"/>
      <c r="AM510" s="327"/>
      <c r="AN510" s="352"/>
      <c r="AO510" s="352"/>
      <c r="AP510" s="327"/>
      <c r="AQ510" s="352"/>
      <c r="AR510" s="327"/>
      <c r="AU510" s="307"/>
      <c r="AX510" s="307"/>
      <c r="BA510" s="307"/>
      <c r="BC510" s="366"/>
      <c r="BD510" s="307"/>
      <c r="BG510" s="307"/>
    </row>
    <row r="511">
      <c r="A511" s="352"/>
      <c r="B511" s="352"/>
      <c r="C511" s="327"/>
      <c r="D511" s="352"/>
      <c r="E511" s="352"/>
      <c r="F511" s="327"/>
      <c r="G511" s="352"/>
      <c r="H511" s="352"/>
      <c r="I511" s="327"/>
      <c r="J511" s="352"/>
      <c r="K511" s="352"/>
      <c r="L511" s="327"/>
      <c r="M511" s="352"/>
      <c r="N511" s="352"/>
      <c r="O511" s="327"/>
      <c r="P511" s="352"/>
      <c r="Q511" s="352"/>
      <c r="R511" s="327"/>
      <c r="S511" s="352"/>
      <c r="T511" s="352"/>
      <c r="U511" s="327"/>
      <c r="V511" s="352"/>
      <c r="W511" s="352"/>
      <c r="X511" s="327"/>
      <c r="Y511" s="352"/>
      <c r="Z511" s="352"/>
      <c r="AA511" s="327"/>
      <c r="AB511" s="352"/>
      <c r="AC511" s="352"/>
      <c r="AD511" s="327"/>
      <c r="AE511" s="352"/>
      <c r="AF511" s="352"/>
      <c r="AG511" s="327"/>
      <c r="AH511" s="352"/>
      <c r="AI511" s="352"/>
      <c r="AJ511" s="327"/>
      <c r="AK511" s="352"/>
      <c r="AL511" s="352"/>
      <c r="AM511" s="327"/>
      <c r="AN511" s="352"/>
      <c r="AO511" s="352"/>
      <c r="AP511" s="327"/>
      <c r="AQ511" s="352"/>
      <c r="AR511" s="327"/>
      <c r="AU511" s="307"/>
      <c r="AX511" s="307"/>
      <c r="BA511" s="307"/>
      <c r="BC511" s="366"/>
      <c r="BD511" s="307"/>
      <c r="BG511" s="307"/>
    </row>
    <row r="512">
      <c r="A512" s="352"/>
      <c r="B512" s="352"/>
      <c r="C512" s="327"/>
      <c r="D512" s="352"/>
      <c r="E512" s="352"/>
      <c r="F512" s="327"/>
      <c r="G512" s="352"/>
      <c r="H512" s="352"/>
      <c r="I512" s="327"/>
      <c r="J512" s="352"/>
      <c r="K512" s="352"/>
      <c r="L512" s="327"/>
      <c r="M512" s="352"/>
      <c r="N512" s="352"/>
      <c r="O512" s="327"/>
      <c r="P512" s="352"/>
      <c r="Q512" s="352"/>
      <c r="R512" s="327"/>
      <c r="S512" s="352"/>
      <c r="T512" s="352"/>
      <c r="U512" s="327"/>
      <c r="V512" s="352"/>
      <c r="W512" s="352"/>
      <c r="X512" s="327"/>
      <c r="Y512" s="352"/>
      <c r="Z512" s="352"/>
      <c r="AA512" s="327"/>
      <c r="AB512" s="352"/>
      <c r="AC512" s="352"/>
      <c r="AD512" s="327"/>
      <c r="AE512" s="352"/>
      <c r="AF512" s="352"/>
      <c r="AG512" s="327"/>
      <c r="AH512" s="352"/>
      <c r="AI512" s="352"/>
      <c r="AJ512" s="327"/>
      <c r="AK512" s="352"/>
      <c r="AL512" s="352"/>
      <c r="AM512" s="327"/>
      <c r="AN512" s="352"/>
      <c r="AO512" s="352"/>
      <c r="AP512" s="327"/>
      <c r="AQ512" s="352"/>
      <c r="AR512" s="327"/>
      <c r="AU512" s="307"/>
      <c r="AX512" s="307"/>
      <c r="BA512" s="307"/>
      <c r="BC512" s="366"/>
      <c r="BD512" s="307"/>
      <c r="BG512" s="307"/>
    </row>
    <row r="513">
      <c r="A513" s="352"/>
      <c r="B513" s="352"/>
      <c r="C513" s="327"/>
      <c r="D513" s="352"/>
      <c r="E513" s="352"/>
      <c r="F513" s="327"/>
      <c r="G513" s="352"/>
      <c r="H513" s="352"/>
      <c r="I513" s="327"/>
      <c r="J513" s="352"/>
      <c r="K513" s="352"/>
      <c r="L513" s="327"/>
      <c r="M513" s="352"/>
      <c r="N513" s="352"/>
      <c r="O513" s="327"/>
      <c r="P513" s="352"/>
      <c r="Q513" s="352"/>
      <c r="R513" s="327"/>
      <c r="S513" s="352"/>
      <c r="T513" s="352"/>
      <c r="U513" s="327"/>
      <c r="V513" s="352"/>
      <c r="W513" s="352"/>
      <c r="X513" s="327"/>
      <c r="Y513" s="352"/>
      <c r="Z513" s="352"/>
      <c r="AA513" s="327"/>
      <c r="AB513" s="352"/>
      <c r="AC513" s="352"/>
      <c r="AD513" s="327"/>
      <c r="AE513" s="352"/>
      <c r="AF513" s="352"/>
      <c r="AG513" s="327"/>
      <c r="AH513" s="352"/>
      <c r="AI513" s="352"/>
      <c r="AJ513" s="327"/>
      <c r="AK513" s="352"/>
      <c r="AL513" s="352"/>
      <c r="AM513" s="327"/>
      <c r="AN513" s="352"/>
      <c r="AO513" s="352"/>
      <c r="AP513" s="327"/>
      <c r="AQ513" s="352"/>
      <c r="AR513" s="327"/>
      <c r="AU513" s="307"/>
      <c r="AX513" s="307"/>
      <c r="BA513" s="307"/>
      <c r="BC513" s="366"/>
      <c r="BD513" s="307"/>
      <c r="BG513" s="307"/>
    </row>
    <row r="514">
      <c r="A514" s="352"/>
      <c r="B514" s="352"/>
      <c r="C514" s="327"/>
      <c r="D514" s="352"/>
      <c r="E514" s="352"/>
      <c r="F514" s="327"/>
      <c r="G514" s="352"/>
      <c r="H514" s="352"/>
      <c r="I514" s="327"/>
      <c r="J514" s="352"/>
      <c r="K514" s="352"/>
      <c r="L514" s="327"/>
      <c r="M514" s="352"/>
      <c r="N514" s="352"/>
      <c r="O514" s="327"/>
      <c r="P514" s="352"/>
      <c r="Q514" s="352"/>
      <c r="R514" s="327"/>
      <c r="S514" s="352"/>
      <c r="T514" s="352"/>
      <c r="U514" s="327"/>
      <c r="V514" s="352"/>
      <c r="W514" s="352"/>
      <c r="X514" s="327"/>
      <c r="Y514" s="352"/>
      <c r="Z514" s="352"/>
      <c r="AA514" s="327"/>
      <c r="AB514" s="352"/>
      <c r="AC514" s="352"/>
      <c r="AD514" s="327"/>
      <c r="AE514" s="352"/>
      <c r="AF514" s="352"/>
      <c r="AG514" s="327"/>
      <c r="AH514" s="352"/>
      <c r="AI514" s="352"/>
      <c r="AJ514" s="327"/>
      <c r="AK514" s="352"/>
      <c r="AL514" s="352"/>
      <c r="AM514" s="327"/>
      <c r="AN514" s="352"/>
      <c r="AO514" s="352"/>
      <c r="AP514" s="327"/>
      <c r="AQ514" s="352"/>
      <c r="AR514" s="327"/>
      <c r="AU514" s="307"/>
      <c r="AX514" s="307"/>
      <c r="BA514" s="307"/>
      <c r="BC514" s="366"/>
      <c r="BD514" s="307"/>
      <c r="BG514" s="307"/>
    </row>
    <row r="515">
      <c r="A515" s="352"/>
      <c r="B515" s="352"/>
      <c r="C515" s="327"/>
      <c r="D515" s="352"/>
      <c r="E515" s="352"/>
      <c r="F515" s="327"/>
      <c r="G515" s="352"/>
      <c r="H515" s="352"/>
      <c r="I515" s="327"/>
      <c r="J515" s="352"/>
      <c r="K515" s="352"/>
      <c r="L515" s="327"/>
      <c r="M515" s="352"/>
      <c r="N515" s="352"/>
      <c r="O515" s="327"/>
      <c r="P515" s="352"/>
      <c r="Q515" s="352"/>
      <c r="R515" s="327"/>
      <c r="S515" s="352"/>
      <c r="T515" s="352"/>
      <c r="U515" s="327"/>
      <c r="V515" s="352"/>
      <c r="W515" s="352"/>
      <c r="X515" s="327"/>
      <c r="Y515" s="352"/>
      <c r="Z515" s="352"/>
      <c r="AA515" s="327"/>
      <c r="AB515" s="352"/>
      <c r="AC515" s="352"/>
      <c r="AD515" s="327"/>
      <c r="AE515" s="352"/>
      <c r="AF515" s="352"/>
      <c r="AG515" s="327"/>
      <c r="AH515" s="352"/>
      <c r="AI515" s="352"/>
      <c r="AJ515" s="327"/>
      <c r="AK515" s="352"/>
      <c r="AL515" s="352"/>
      <c r="AM515" s="327"/>
      <c r="AN515" s="352"/>
      <c r="AO515" s="352"/>
      <c r="AP515" s="327"/>
      <c r="AQ515" s="352"/>
      <c r="AR515" s="327"/>
      <c r="AU515" s="307"/>
      <c r="AX515" s="307"/>
      <c r="BA515" s="307"/>
      <c r="BC515" s="366"/>
      <c r="BD515" s="307"/>
      <c r="BG515" s="307"/>
    </row>
    <row r="516">
      <c r="A516" s="352"/>
      <c r="B516" s="352"/>
      <c r="C516" s="327"/>
      <c r="D516" s="352"/>
      <c r="E516" s="352"/>
      <c r="F516" s="327"/>
      <c r="G516" s="352"/>
      <c r="H516" s="352"/>
      <c r="I516" s="327"/>
      <c r="J516" s="352"/>
      <c r="K516" s="352"/>
      <c r="L516" s="327"/>
      <c r="M516" s="352"/>
      <c r="N516" s="352"/>
      <c r="O516" s="327"/>
      <c r="P516" s="352"/>
      <c r="Q516" s="352"/>
      <c r="R516" s="327"/>
      <c r="S516" s="352"/>
      <c r="T516" s="352"/>
      <c r="U516" s="327"/>
      <c r="V516" s="352"/>
      <c r="W516" s="352"/>
      <c r="X516" s="327"/>
      <c r="Y516" s="352"/>
      <c r="Z516" s="352"/>
      <c r="AA516" s="327"/>
      <c r="AB516" s="352"/>
      <c r="AC516" s="352"/>
      <c r="AD516" s="327"/>
      <c r="AE516" s="352"/>
      <c r="AF516" s="352"/>
      <c r="AG516" s="327"/>
      <c r="AH516" s="352"/>
      <c r="AI516" s="352"/>
      <c r="AJ516" s="327"/>
      <c r="AK516" s="352"/>
      <c r="AL516" s="352"/>
      <c r="AM516" s="327"/>
      <c r="AN516" s="352"/>
      <c r="AO516" s="352"/>
      <c r="AP516" s="327"/>
      <c r="AQ516" s="352"/>
      <c r="AR516" s="327"/>
      <c r="AU516" s="307"/>
      <c r="AX516" s="307"/>
      <c r="BA516" s="307"/>
      <c r="BC516" s="366"/>
      <c r="BD516" s="307"/>
      <c r="BG516" s="307"/>
    </row>
    <row r="517">
      <c r="A517" s="352"/>
      <c r="B517" s="352"/>
      <c r="C517" s="327"/>
      <c r="D517" s="352"/>
      <c r="E517" s="352"/>
      <c r="F517" s="327"/>
      <c r="G517" s="352"/>
      <c r="H517" s="352"/>
      <c r="I517" s="327"/>
      <c r="J517" s="352"/>
      <c r="K517" s="352"/>
      <c r="L517" s="327"/>
      <c r="M517" s="352"/>
      <c r="N517" s="352"/>
      <c r="O517" s="327"/>
      <c r="P517" s="352"/>
      <c r="Q517" s="352"/>
      <c r="R517" s="327"/>
      <c r="S517" s="352"/>
      <c r="T517" s="352"/>
      <c r="U517" s="327"/>
      <c r="V517" s="352"/>
      <c r="W517" s="352"/>
      <c r="X517" s="327"/>
      <c r="Y517" s="352"/>
      <c r="Z517" s="352"/>
      <c r="AA517" s="327"/>
      <c r="AB517" s="352"/>
      <c r="AC517" s="352"/>
      <c r="AD517" s="327"/>
      <c r="AE517" s="352"/>
      <c r="AF517" s="352"/>
      <c r="AG517" s="327"/>
      <c r="AH517" s="352"/>
      <c r="AI517" s="352"/>
      <c r="AJ517" s="327"/>
      <c r="AK517" s="352"/>
      <c r="AL517" s="352"/>
      <c r="AM517" s="327"/>
      <c r="AN517" s="352"/>
      <c r="AO517" s="352"/>
      <c r="AP517" s="327"/>
      <c r="AQ517" s="352"/>
      <c r="AR517" s="327"/>
      <c r="AU517" s="307"/>
      <c r="AX517" s="307"/>
      <c r="BA517" s="307"/>
      <c r="BC517" s="366"/>
      <c r="BD517" s="307"/>
      <c r="BG517" s="307"/>
    </row>
    <row r="518">
      <c r="A518" s="352"/>
      <c r="B518" s="352"/>
      <c r="C518" s="327"/>
      <c r="D518" s="352"/>
      <c r="E518" s="352"/>
      <c r="F518" s="327"/>
      <c r="G518" s="352"/>
      <c r="H518" s="352"/>
      <c r="I518" s="327"/>
      <c r="J518" s="352"/>
      <c r="K518" s="352"/>
      <c r="L518" s="327"/>
      <c r="M518" s="352"/>
      <c r="N518" s="352"/>
      <c r="O518" s="327"/>
      <c r="P518" s="352"/>
      <c r="Q518" s="352"/>
      <c r="R518" s="327"/>
      <c r="S518" s="352"/>
      <c r="T518" s="352"/>
      <c r="U518" s="327"/>
      <c r="V518" s="352"/>
      <c r="W518" s="352"/>
      <c r="X518" s="327"/>
      <c r="Y518" s="352"/>
      <c r="Z518" s="352"/>
      <c r="AA518" s="327"/>
      <c r="AB518" s="352"/>
      <c r="AC518" s="352"/>
      <c r="AD518" s="327"/>
      <c r="AE518" s="352"/>
      <c r="AF518" s="352"/>
      <c r="AG518" s="327"/>
      <c r="AH518" s="352"/>
      <c r="AI518" s="352"/>
      <c r="AJ518" s="327"/>
      <c r="AK518" s="352"/>
      <c r="AL518" s="352"/>
      <c r="AM518" s="327"/>
      <c r="AN518" s="352"/>
      <c r="AO518" s="352"/>
      <c r="AP518" s="327"/>
      <c r="AQ518" s="352"/>
      <c r="AR518" s="327"/>
      <c r="AU518" s="307"/>
      <c r="AX518" s="307"/>
      <c r="BA518" s="307"/>
      <c r="BC518" s="366"/>
      <c r="BD518" s="307"/>
      <c r="BG518" s="307"/>
    </row>
    <row r="519">
      <c r="A519" s="352"/>
      <c r="B519" s="352"/>
      <c r="C519" s="327"/>
      <c r="D519" s="352"/>
      <c r="E519" s="352"/>
      <c r="F519" s="327"/>
      <c r="G519" s="352"/>
      <c r="H519" s="352"/>
      <c r="I519" s="327"/>
      <c r="J519" s="352"/>
      <c r="K519" s="352"/>
      <c r="L519" s="327"/>
      <c r="M519" s="352"/>
      <c r="N519" s="352"/>
      <c r="O519" s="327"/>
      <c r="P519" s="352"/>
      <c r="Q519" s="352"/>
      <c r="R519" s="327"/>
      <c r="S519" s="352"/>
      <c r="T519" s="352"/>
      <c r="U519" s="327"/>
      <c r="V519" s="352"/>
      <c r="W519" s="352"/>
      <c r="X519" s="327"/>
      <c r="Y519" s="352"/>
      <c r="Z519" s="352"/>
      <c r="AA519" s="327"/>
      <c r="AB519" s="352"/>
      <c r="AC519" s="352"/>
      <c r="AD519" s="327"/>
      <c r="AE519" s="352"/>
      <c r="AF519" s="352"/>
      <c r="AG519" s="327"/>
      <c r="AH519" s="352"/>
      <c r="AI519" s="352"/>
      <c r="AJ519" s="327"/>
      <c r="AK519" s="352"/>
      <c r="AL519" s="352"/>
      <c r="AM519" s="327"/>
      <c r="AN519" s="352"/>
      <c r="AO519" s="352"/>
      <c r="AP519" s="327"/>
      <c r="AQ519" s="352"/>
      <c r="AR519" s="327"/>
      <c r="AU519" s="307"/>
      <c r="AX519" s="307"/>
      <c r="BA519" s="307"/>
      <c r="BC519" s="366"/>
      <c r="BD519" s="307"/>
      <c r="BG519" s="307"/>
    </row>
    <row r="520">
      <c r="A520" s="352"/>
      <c r="B520" s="352"/>
      <c r="C520" s="327"/>
      <c r="D520" s="352"/>
      <c r="E520" s="352"/>
      <c r="F520" s="327"/>
      <c r="G520" s="352"/>
      <c r="H520" s="352"/>
      <c r="I520" s="327"/>
      <c r="J520" s="352"/>
      <c r="K520" s="352"/>
      <c r="L520" s="327"/>
      <c r="M520" s="352"/>
      <c r="N520" s="352"/>
      <c r="O520" s="327"/>
      <c r="P520" s="352"/>
      <c r="Q520" s="352"/>
      <c r="R520" s="327"/>
      <c r="S520" s="352"/>
      <c r="T520" s="352"/>
      <c r="U520" s="327"/>
      <c r="V520" s="352"/>
      <c r="W520" s="352"/>
      <c r="X520" s="327"/>
      <c r="Y520" s="352"/>
      <c r="Z520" s="352"/>
      <c r="AA520" s="327"/>
      <c r="AB520" s="352"/>
      <c r="AC520" s="352"/>
      <c r="AD520" s="327"/>
      <c r="AE520" s="352"/>
      <c r="AF520" s="352"/>
      <c r="AG520" s="327"/>
      <c r="AH520" s="352"/>
      <c r="AI520" s="352"/>
      <c r="AJ520" s="327"/>
      <c r="AK520" s="352"/>
      <c r="AL520" s="352"/>
      <c r="AM520" s="327"/>
      <c r="AN520" s="352"/>
      <c r="AO520" s="352"/>
      <c r="AP520" s="327"/>
      <c r="AQ520" s="352"/>
      <c r="AR520" s="327"/>
      <c r="AU520" s="307"/>
      <c r="AX520" s="307"/>
      <c r="BA520" s="307"/>
      <c r="BC520" s="366"/>
      <c r="BD520" s="307"/>
      <c r="BG520" s="307"/>
    </row>
    <row r="521">
      <c r="A521" s="352"/>
      <c r="B521" s="352"/>
      <c r="C521" s="327"/>
      <c r="D521" s="352"/>
      <c r="E521" s="352"/>
      <c r="F521" s="327"/>
      <c r="G521" s="352"/>
      <c r="H521" s="352"/>
      <c r="I521" s="327"/>
      <c r="J521" s="352"/>
      <c r="K521" s="352"/>
      <c r="L521" s="327"/>
      <c r="M521" s="352"/>
      <c r="N521" s="352"/>
      <c r="O521" s="327"/>
      <c r="P521" s="352"/>
      <c r="Q521" s="352"/>
      <c r="R521" s="327"/>
      <c r="S521" s="352"/>
      <c r="T521" s="352"/>
      <c r="U521" s="327"/>
      <c r="V521" s="352"/>
      <c r="W521" s="352"/>
      <c r="X521" s="327"/>
      <c r="Y521" s="352"/>
      <c r="Z521" s="352"/>
      <c r="AA521" s="327"/>
      <c r="AB521" s="352"/>
      <c r="AC521" s="352"/>
      <c r="AD521" s="327"/>
      <c r="AE521" s="352"/>
      <c r="AF521" s="352"/>
      <c r="AG521" s="327"/>
      <c r="AH521" s="352"/>
      <c r="AI521" s="352"/>
      <c r="AJ521" s="327"/>
      <c r="AK521" s="352"/>
      <c r="AL521" s="352"/>
      <c r="AM521" s="327"/>
      <c r="AN521" s="352"/>
      <c r="AO521" s="352"/>
      <c r="AP521" s="327"/>
      <c r="AQ521" s="352"/>
      <c r="AR521" s="327"/>
      <c r="AU521" s="307"/>
      <c r="AX521" s="307"/>
      <c r="BA521" s="307"/>
      <c r="BC521" s="366"/>
      <c r="BD521" s="307"/>
      <c r="BG521" s="307"/>
    </row>
    <row r="522">
      <c r="A522" s="352"/>
      <c r="B522" s="352"/>
      <c r="C522" s="327"/>
      <c r="D522" s="352"/>
      <c r="E522" s="352"/>
      <c r="F522" s="327"/>
      <c r="G522" s="352"/>
      <c r="H522" s="352"/>
      <c r="I522" s="327"/>
      <c r="J522" s="352"/>
      <c r="K522" s="352"/>
      <c r="L522" s="327"/>
      <c r="M522" s="352"/>
      <c r="N522" s="352"/>
      <c r="O522" s="327"/>
      <c r="P522" s="352"/>
      <c r="Q522" s="352"/>
      <c r="R522" s="327"/>
      <c r="S522" s="352"/>
      <c r="T522" s="352"/>
      <c r="U522" s="327"/>
      <c r="V522" s="352"/>
      <c r="W522" s="352"/>
      <c r="X522" s="327"/>
      <c r="Y522" s="352"/>
      <c r="Z522" s="352"/>
      <c r="AA522" s="327"/>
      <c r="AB522" s="352"/>
      <c r="AC522" s="352"/>
      <c r="AD522" s="327"/>
      <c r="AE522" s="352"/>
      <c r="AF522" s="352"/>
      <c r="AG522" s="327"/>
      <c r="AH522" s="352"/>
      <c r="AI522" s="352"/>
      <c r="AJ522" s="327"/>
      <c r="AK522" s="352"/>
      <c r="AL522" s="352"/>
      <c r="AM522" s="327"/>
      <c r="AN522" s="352"/>
      <c r="AO522" s="352"/>
      <c r="AP522" s="327"/>
      <c r="AQ522" s="352"/>
      <c r="AR522" s="327"/>
      <c r="AU522" s="307"/>
      <c r="AX522" s="307"/>
      <c r="BA522" s="307"/>
      <c r="BC522" s="366"/>
      <c r="BD522" s="307"/>
      <c r="BG522" s="307"/>
    </row>
    <row r="523">
      <c r="A523" s="352"/>
      <c r="B523" s="352"/>
      <c r="C523" s="327"/>
      <c r="D523" s="352"/>
      <c r="E523" s="352"/>
      <c r="F523" s="327"/>
      <c r="G523" s="352"/>
      <c r="H523" s="352"/>
      <c r="I523" s="327"/>
      <c r="J523" s="352"/>
      <c r="K523" s="352"/>
      <c r="L523" s="327"/>
      <c r="M523" s="352"/>
      <c r="N523" s="352"/>
      <c r="O523" s="327"/>
      <c r="P523" s="352"/>
      <c r="Q523" s="352"/>
      <c r="R523" s="327"/>
      <c r="S523" s="352"/>
      <c r="T523" s="352"/>
      <c r="U523" s="327"/>
      <c r="V523" s="352"/>
      <c r="W523" s="352"/>
      <c r="X523" s="327"/>
      <c r="Y523" s="352"/>
      <c r="Z523" s="352"/>
      <c r="AA523" s="327"/>
      <c r="AB523" s="352"/>
      <c r="AC523" s="352"/>
      <c r="AD523" s="327"/>
      <c r="AE523" s="352"/>
      <c r="AF523" s="352"/>
      <c r="AG523" s="327"/>
      <c r="AH523" s="352"/>
      <c r="AI523" s="352"/>
      <c r="AJ523" s="327"/>
      <c r="AK523" s="352"/>
      <c r="AL523" s="352"/>
      <c r="AM523" s="327"/>
      <c r="AN523" s="352"/>
      <c r="AO523" s="352"/>
      <c r="AP523" s="327"/>
      <c r="AQ523" s="352"/>
      <c r="AR523" s="327"/>
      <c r="AU523" s="307"/>
      <c r="AX523" s="307"/>
      <c r="BA523" s="307"/>
      <c r="BC523" s="366"/>
      <c r="BD523" s="307"/>
      <c r="BG523" s="307"/>
    </row>
    <row r="524">
      <c r="A524" s="352"/>
      <c r="B524" s="352"/>
      <c r="C524" s="327"/>
      <c r="D524" s="352"/>
      <c r="E524" s="352"/>
      <c r="F524" s="327"/>
      <c r="G524" s="352"/>
      <c r="H524" s="352"/>
      <c r="I524" s="327"/>
      <c r="J524" s="352"/>
      <c r="K524" s="352"/>
      <c r="L524" s="327"/>
      <c r="M524" s="352"/>
      <c r="N524" s="352"/>
      <c r="O524" s="327"/>
      <c r="P524" s="352"/>
      <c r="Q524" s="352"/>
      <c r="R524" s="327"/>
      <c r="S524" s="352"/>
      <c r="T524" s="352"/>
      <c r="U524" s="327"/>
      <c r="V524" s="352"/>
      <c r="W524" s="352"/>
      <c r="X524" s="327"/>
      <c r="Y524" s="352"/>
      <c r="Z524" s="352"/>
      <c r="AA524" s="327"/>
      <c r="AB524" s="352"/>
      <c r="AC524" s="352"/>
      <c r="AD524" s="327"/>
      <c r="AE524" s="352"/>
      <c r="AF524" s="352"/>
      <c r="AG524" s="327"/>
      <c r="AH524" s="352"/>
      <c r="AI524" s="352"/>
      <c r="AJ524" s="327"/>
      <c r="AK524" s="352"/>
      <c r="AL524" s="352"/>
      <c r="AM524" s="327"/>
      <c r="AN524" s="352"/>
      <c r="AO524" s="352"/>
      <c r="AP524" s="327"/>
      <c r="AQ524" s="352"/>
      <c r="AR524" s="327"/>
      <c r="AU524" s="307"/>
      <c r="AX524" s="307"/>
      <c r="BA524" s="307"/>
      <c r="BC524" s="366"/>
      <c r="BD524" s="307"/>
      <c r="BG524" s="307"/>
    </row>
    <row r="525">
      <c r="A525" s="352"/>
      <c r="B525" s="352"/>
      <c r="C525" s="327"/>
      <c r="D525" s="352"/>
      <c r="E525" s="352"/>
      <c r="F525" s="327"/>
      <c r="G525" s="352"/>
      <c r="H525" s="352"/>
      <c r="I525" s="327"/>
      <c r="J525" s="352"/>
      <c r="K525" s="352"/>
      <c r="L525" s="327"/>
      <c r="M525" s="352"/>
      <c r="N525" s="352"/>
      <c r="O525" s="327"/>
      <c r="P525" s="352"/>
      <c r="Q525" s="352"/>
      <c r="R525" s="327"/>
      <c r="S525" s="352"/>
      <c r="T525" s="352"/>
      <c r="U525" s="327"/>
      <c r="V525" s="352"/>
      <c r="W525" s="352"/>
      <c r="X525" s="327"/>
      <c r="Y525" s="352"/>
      <c r="Z525" s="352"/>
      <c r="AA525" s="327"/>
      <c r="AB525" s="352"/>
      <c r="AC525" s="352"/>
      <c r="AD525" s="327"/>
      <c r="AE525" s="352"/>
      <c r="AF525" s="352"/>
      <c r="AG525" s="327"/>
      <c r="AH525" s="352"/>
      <c r="AI525" s="352"/>
      <c r="AJ525" s="327"/>
      <c r="AK525" s="352"/>
      <c r="AL525" s="352"/>
      <c r="AM525" s="327"/>
      <c r="AN525" s="352"/>
      <c r="AO525" s="352"/>
      <c r="AP525" s="327"/>
      <c r="AQ525" s="352"/>
      <c r="AR525" s="327"/>
      <c r="AU525" s="307"/>
      <c r="AX525" s="307"/>
      <c r="BA525" s="307"/>
      <c r="BC525" s="366"/>
      <c r="BD525" s="307"/>
      <c r="BG525" s="307"/>
    </row>
    <row r="526">
      <c r="A526" s="352"/>
      <c r="B526" s="352"/>
      <c r="C526" s="327"/>
      <c r="D526" s="352"/>
      <c r="E526" s="352"/>
      <c r="F526" s="327"/>
      <c r="G526" s="352"/>
      <c r="H526" s="352"/>
      <c r="I526" s="327"/>
      <c r="J526" s="352"/>
      <c r="K526" s="352"/>
      <c r="L526" s="327"/>
      <c r="M526" s="352"/>
      <c r="N526" s="352"/>
      <c r="O526" s="327"/>
      <c r="P526" s="352"/>
      <c r="Q526" s="352"/>
      <c r="R526" s="327"/>
      <c r="S526" s="352"/>
      <c r="T526" s="352"/>
      <c r="U526" s="327"/>
      <c r="V526" s="352"/>
      <c r="W526" s="352"/>
      <c r="X526" s="327"/>
      <c r="Y526" s="352"/>
      <c r="Z526" s="352"/>
      <c r="AA526" s="327"/>
      <c r="AB526" s="352"/>
      <c r="AC526" s="352"/>
      <c r="AD526" s="327"/>
      <c r="AE526" s="352"/>
      <c r="AF526" s="352"/>
      <c r="AG526" s="327"/>
      <c r="AH526" s="352"/>
      <c r="AI526" s="352"/>
      <c r="AJ526" s="327"/>
      <c r="AK526" s="352"/>
      <c r="AL526" s="352"/>
      <c r="AM526" s="327"/>
      <c r="AN526" s="352"/>
      <c r="AO526" s="352"/>
      <c r="AP526" s="327"/>
      <c r="AQ526" s="352"/>
      <c r="AR526" s="327"/>
      <c r="AU526" s="307"/>
      <c r="AX526" s="307"/>
      <c r="BA526" s="307"/>
      <c r="BC526" s="366"/>
      <c r="BD526" s="307"/>
      <c r="BG526" s="307"/>
    </row>
    <row r="527">
      <c r="A527" s="352"/>
      <c r="B527" s="352"/>
      <c r="C527" s="327"/>
      <c r="D527" s="352"/>
      <c r="E527" s="352"/>
      <c r="F527" s="327"/>
      <c r="G527" s="352"/>
      <c r="H527" s="352"/>
      <c r="I527" s="327"/>
      <c r="J527" s="352"/>
      <c r="K527" s="352"/>
      <c r="L527" s="327"/>
      <c r="M527" s="352"/>
      <c r="N527" s="352"/>
      <c r="O527" s="327"/>
      <c r="P527" s="352"/>
      <c r="Q527" s="352"/>
      <c r="R527" s="327"/>
      <c r="S527" s="352"/>
      <c r="T527" s="352"/>
      <c r="U527" s="327"/>
      <c r="V527" s="352"/>
      <c r="W527" s="352"/>
      <c r="X527" s="327"/>
      <c r="Y527" s="352"/>
      <c r="Z527" s="352"/>
      <c r="AA527" s="327"/>
      <c r="AB527" s="352"/>
      <c r="AC527" s="352"/>
      <c r="AD527" s="327"/>
      <c r="AE527" s="352"/>
      <c r="AF527" s="352"/>
      <c r="AG527" s="327"/>
      <c r="AH527" s="352"/>
      <c r="AI527" s="352"/>
      <c r="AJ527" s="327"/>
      <c r="AK527" s="352"/>
      <c r="AL527" s="352"/>
      <c r="AM527" s="327"/>
      <c r="AN527" s="352"/>
      <c r="AO527" s="352"/>
      <c r="AP527" s="327"/>
      <c r="AQ527" s="352"/>
      <c r="AR527" s="327"/>
      <c r="AU527" s="307"/>
      <c r="AX527" s="307"/>
      <c r="BA527" s="307"/>
      <c r="BC527" s="366"/>
      <c r="BD527" s="307"/>
      <c r="BG527" s="307"/>
    </row>
    <row r="528">
      <c r="A528" s="352"/>
      <c r="B528" s="352"/>
      <c r="C528" s="327"/>
      <c r="D528" s="352"/>
      <c r="E528" s="352"/>
      <c r="F528" s="327"/>
      <c r="G528" s="352"/>
      <c r="H528" s="352"/>
      <c r="I528" s="327"/>
      <c r="J528" s="352"/>
      <c r="K528" s="352"/>
      <c r="L528" s="327"/>
      <c r="M528" s="352"/>
      <c r="N528" s="352"/>
      <c r="O528" s="327"/>
      <c r="P528" s="352"/>
      <c r="Q528" s="352"/>
      <c r="R528" s="327"/>
      <c r="S528" s="352"/>
      <c r="T528" s="352"/>
      <c r="U528" s="327"/>
      <c r="V528" s="352"/>
      <c r="W528" s="352"/>
      <c r="X528" s="327"/>
      <c r="Y528" s="352"/>
      <c r="Z528" s="352"/>
      <c r="AA528" s="327"/>
      <c r="AB528" s="352"/>
      <c r="AC528" s="352"/>
      <c r="AD528" s="327"/>
      <c r="AE528" s="352"/>
      <c r="AF528" s="352"/>
      <c r="AG528" s="327"/>
      <c r="AH528" s="352"/>
      <c r="AI528" s="352"/>
      <c r="AJ528" s="327"/>
      <c r="AK528" s="352"/>
      <c r="AL528" s="352"/>
      <c r="AM528" s="327"/>
      <c r="AN528" s="352"/>
      <c r="AO528" s="352"/>
      <c r="AP528" s="327"/>
      <c r="AQ528" s="352"/>
      <c r="AR528" s="327"/>
      <c r="AU528" s="307"/>
      <c r="AX528" s="307"/>
      <c r="BA528" s="307"/>
      <c r="BC528" s="366"/>
      <c r="BD528" s="307"/>
      <c r="BG528" s="307"/>
    </row>
    <row r="529">
      <c r="A529" s="352"/>
      <c r="B529" s="352"/>
      <c r="C529" s="327"/>
      <c r="D529" s="352"/>
      <c r="E529" s="352"/>
      <c r="F529" s="327"/>
      <c r="G529" s="352"/>
      <c r="H529" s="352"/>
      <c r="I529" s="327"/>
      <c r="J529" s="352"/>
      <c r="K529" s="352"/>
      <c r="L529" s="327"/>
      <c r="M529" s="352"/>
      <c r="N529" s="352"/>
      <c r="O529" s="327"/>
      <c r="P529" s="352"/>
      <c r="Q529" s="352"/>
      <c r="R529" s="327"/>
      <c r="S529" s="352"/>
      <c r="T529" s="352"/>
      <c r="U529" s="327"/>
      <c r="V529" s="352"/>
      <c r="W529" s="352"/>
      <c r="X529" s="327"/>
      <c r="Y529" s="352"/>
      <c r="Z529" s="352"/>
      <c r="AA529" s="327"/>
      <c r="AB529" s="352"/>
      <c r="AC529" s="352"/>
      <c r="AD529" s="327"/>
      <c r="AE529" s="352"/>
      <c r="AF529" s="352"/>
      <c r="AG529" s="327"/>
      <c r="AH529" s="352"/>
      <c r="AI529" s="352"/>
      <c r="AJ529" s="327"/>
      <c r="AK529" s="352"/>
      <c r="AL529" s="352"/>
      <c r="AM529" s="327"/>
      <c r="AN529" s="352"/>
      <c r="AO529" s="352"/>
      <c r="AP529" s="327"/>
      <c r="AQ529" s="352"/>
      <c r="AR529" s="327"/>
      <c r="AU529" s="307"/>
      <c r="AX529" s="307"/>
      <c r="BA529" s="307"/>
      <c r="BC529" s="366"/>
      <c r="BD529" s="307"/>
      <c r="BG529" s="307"/>
    </row>
    <row r="530">
      <c r="A530" s="352"/>
      <c r="B530" s="352"/>
      <c r="C530" s="327"/>
      <c r="D530" s="352"/>
      <c r="E530" s="352"/>
      <c r="F530" s="327"/>
      <c r="G530" s="352"/>
      <c r="H530" s="352"/>
      <c r="I530" s="327"/>
      <c r="J530" s="352"/>
      <c r="K530" s="352"/>
      <c r="L530" s="327"/>
      <c r="M530" s="352"/>
      <c r="N530" s="352"/>
      <c r="O530" s="327"/>
      <c r="P530" s="352"/>
      <c r="Q530" s="352"/>
      <c r="R530" s="327"/>
      <c r="S530" s="352"/>
      <c r="T530" s="352"/>
      <c r="U530" s="327"/>
      <c r="V530" s="352"/>
      <c r="W530" s="352"/>
      <c r="X530" s="327"/>
      <c r="Y530" s="352"/>
      <c r="Z530" s="352"/>
      <c r="AA530" s="327"/>
      <c r="AB530" s="352"/>
      <c r="AC530" s="352"/>
      <c r="AD530" s="327"/>
      <c r="AE530" s="352"/>
      <c r="AF530" s="352"/>
      <c r="AG530" s="327"/>
      <c r="AH530" s="352"/>
      <c r="AI530" s="352"/>
      <c r="AJ530" s="327"/>
      <c r="AK530" s="352"/>
      <c r="AL530" s="352"/>
      <c r="AM530" s="327"/>
      <c r="AN530" s="352"/>
      <c r="AO530" s="352"/>
      <c r="AP530" s="327"/>
      <c r="AQ530" s="352"/>
      <c r="AR530" s="327"/>
      <c r="AU530" s="307"/>
      <c r="AX530" s="307"/>
      <c r="BA530" s="307"/>
      <c r="BC530" s="366"/>
      <c r="BD530" s="307"/>
      <c r="BG530" s="307"/>
    </row>
    <row r="531">
      <c r="A531" s="352"/>
      <c r="B531" s="352"/>
      <c r="C531" s="327"/>
      <c r="D531" s="352"/>
      <c r="E531" s="352"/>
      <c r="F531" s="327"/>
      <c r="G531" s="352"/>
      <c r="H531" s="352"/>
      <c r="I531" s="327"/>
      <c r="J531" s="352"/>
      <c r="K531" s="352"/>
      <c r="L531" s="327"/>
      <c r="M531" s="352"/>
      <c r="N531" s="352"/>
      <c r="O531" s="327"/>
      <c r="P531" s="352"/>
      <c r="Q531" s="352"/>
      <c r="R531" s="327"/>
      <c r="S531" s="352"/>
      <c r="T531" s="352"/>
      <c r="U531" s="327"/>
      <c r="V531" s="352"/>
      <c r="W531" s="352"/>
      <c r="X531" s="327"/>
      <c r="Y531" s="352"/>
      <c r="Z531" s="352"/>
      <c r="AA531" s="327"/>
      <c r="AB531" s="352"/>
      <c r="AC531" s="352"/>
      <c r="AD531" s="327"/>
      <c r="AE531" s="352"/>
      <c r="AF531" s="352"/>
      <c r="AG531" s="327"/>
      <c r="AH531" s="352"/>
      <c r="AI531" s="352"/>
      <c r="AJ531" s="327"/>
      <c r="AK531" s="352"/>
      <c r="AL531" s="352"/>
      <c r="AM531" s="327"/>
      <c r="AN531" s="352"/>
      <c r="AO531" s="352"/>
      <c r="AP531" s="327"/>
      <c r="AQ531" s="352"/>
      <c r="AR531" s="327"/>
      <c r="AU531" s="307"/>
      <c r="AX531" s="307"/>
      <c r="BA531" s="307"/>
      <c r="BC531" s="366"/>
      <c r="BD531" s="307"/>
      <c r="BG531" s="307"/>
    </row>
    <row r="532">
      <c r="A532" s="352"/>
      <c r="B532" s="352"/>
      <c r="C532" s="327"/>
      <c r="D532" s="352"/>
      <c r="E532" s="352"/>
      <c r="F532" s="327"/>
      <c r="G532" s="352"/>
      <c r="H532" s="352"/>
      <c r="I532" s="327"/>
      <c r="J532" s="352"/>
      <c r="K532" s="352"/>
      <c r="L532" s="327"/>
      <c r="M532" s="352"/>
      <c r="N532" s="352"/>
      <c r="O532" s="327"/>
      <c r="P532" s="352"/>
      <c r="Q532" s="352"/>
      <c r="R532" s="327"/>
      <c r="S532" s="352"/>
      <c r="T532" s="352"/>
      <c r="U532" s="327"/>
      <c r="V532" s="352"/>
      <c r="W532" s="352"/>
      <c r="X532" s="327"/>
      <c r="Y532" s="352"/>
      <c r="Z532" s="352"/>
      <c r="AA532" s="327"/>
      <c r="AB532" s="352"/>
      <c r="AC532" s="352"/>
      <c r="AD532" s="327"/>
      <c r="AE532" s="352"/>
      <c r="AF532" s="352"/>
      <c r="AG532" s="327"/>
      <c r="AH532" s="352"/>
      <c r="AI532" s="352"/>
      <c r="AJ532" s="327"/>
      <c r="AK532" s="352"/>
      <c r="AL532" s="352"/>
      <c r="AM532" s="327"/>
      <c r="AN532" s="352"/>
      <c r="AO532" s="352"/>
      <c r="AP532" s="327"/>
      <c r="AQ532" s="352"/>
      <c r="AR532" s="327"/>
      <c r="AU532" s="307"/>
      <c r="AX532" s="307"/>
      <c r="BA532" s="307"/>
      <c r="BC532" s="366"/>
      <c r="BD532" s="307"/>
      <c r="BG532" s="307"/>
    </row>
    <row r="533">
      <c r="A533" s="352"/>
      <c r="B533" s="352"/>
      <c r="C533" s="327"/>
      <c r="D533" s="352"/>
      <c r="E533" s="352"/>
      <c r="F533" s="327"/>
      <c r="G533" s="352"/>
      <c r="H533" s="352"/>
      <c r="I533" s="327"/>
      <c r="J533" s="352"/>
      <c r="K533" s="352"/>
      <c r="L533" s="327"/>
      <c r="M533" s="352"/>
      <c r="N533" s="352"/>
      <c r="O533" s="327"/>
      <c r="P533" s="352"/>
      <c r="Q533" s="352"/>
      <c r="R533" s="327"/>
      <c r="S533" s="352"/>
      <c r="T533" s="352"/>
      <c r="U533" s="327"/>
      <c r="V533" s="352"/>
      <c r="W533" s="352"/>
      <c r="X533" s="327"/>
      <c r="Y533" s="352"/>
      <c r="Z533" s="352"/>
      <c r="AA533" s="327"/>
      <c r="AB533" s="352"/>
      <c r="AC533" s="352"/>
      <c r="AD533" s="327"/>
      <c r="AE533" s="352"/>
      <c r="AF533" s="352"/>
      <c r="AG533" s="327"/>
      <c r="AH533" s="352"/>
      <c r="AI533" s="352"/>
      <c r="AJ533" s="327"/>
      <c r="AK533" s="352"/>
      <c r="AL533" s="352"/>
      <c r="AM533" s="327"/>
      <c r="AN533" s="352"/>
      <c r="AO533" s="352"/>
      <c r="AP533" s="327"/>
      <c r="AQ533" s="352"/>
      <c r="AR533" s="327"/>
      <c r="AU533" s="307"/>
      <c r="AX533" s="307"/>
      <c r="BA533" s="307"/>
      <c r="BC533" s="366"/>
      <c r="BD533" s="307"/>
      <c r="BG533" s="307"/>
    </row>
    <row r="534">
      <c r="A534" s="352"/>
      <c r="B534" s="352"/>
      <c r="C534" s="327"/>
      <c r="D534" s="352"/>
      <c r="E534" s="352"/>
      <c r="F534" s="327"/>
      <c r="G534" s="352"/>
      <c r="H534" s="352"/>
      <c r="I534" s="327"/>
      <c r="J534" s="352"/>
      <c r="K534" s="352"/>
      <c r="L534" s="327"/>
      <c r="M534" s="352"/>
      <c r="N534" s="352"/>
      <c r="O534" s="327"/>
      <c r="P534" s="352"/>
      <c r="Q534" s="352"/>
      <c r="R534" s="327"/>
      <c r="S534" s="352"/>
      <c r="T534" s="352"/>
      <c r="U534" s="327"/>
      <c r="V534" s="352"/>
      <c r="W534" s="352"/>
      <c r="X534" s="327"/>
      <c r="Y534" s="352"/>
      <c r="Z534" s="352"/>
      <c r="AA534" s="327"/>
      <c r="AB534" s="352"/>
      <c r="AC534" s="352"/>
      <c r="AD534" s="327"/>
      <c r="AE534" s="352"/>
      <c r="AF534" s="352"/>
      <c r="AG534" s="327"/>
      <c r="AH534" s="352"/>
      <c r="AI534" s="352"/>
      <c r="AJ534" s="327"/>
      <c r="AK534" s="352"/>
      <c r="AL534" s="352"/>
      <c r="AM534" s="327"/>
      <c r="AN534" s="352"/>
      <c r="AO534" s="352"/>
      <c r="AP534" s="327"/>
      <c r="AQ534" s="352"/>
      <c r="AR534" s="327"/>
      <c r="AU534" s="307"/>
      <c r="AX534" s="307"/>
      <c r="BA534" s="307"/>
      <c r="BC534" s="366"/>
      <c r="BD534" s="307"/>
      <c r="BG534" s="307"/>
    </row>
    <row r="535">
      <c r="A535" s="352"/>
      <c r="B535" s="352"/>
      <c r="C535" s="327"/>
      <c r="D535" s="352"/>
      <c r="E535" s="352"/>
      <c r="F535" s="327"/>
      <c r="G535" s="352"/>
      <c r="H535" s="352"/>
      <c r="I535" s="327"/>
      <c r="J535" s="352"/>
      <c r="K535" s="352"/>
      <c r="L535" s="327"/>
      <c r="M535" s="352"/>
      <c r="N535" s="352"/>
      <c r="O535" s="327"/>
      <c r="P535" s="352"/>
      <c r="Q535" s="352"/>
      <c r="R535" s="327"/>
      <c r="S535" s="352"/>
      <c r="T535" s="352"/>
      <c r="U535" s="327"/>
      <c r="V535" s="352"/>
      <c r="W535" s="352"/>
      <c r="X535" s="327"/>
      <c r="Y535" s="352"/>
      <c r="Z535" s="352"/>
      <c r="AA535" s="327"/>
      <c r="AB535" s="352"/>
      <c r="AC535" s="352"/>
      <c r="AD535" s="327"/>
      <c r="AE535" s="352"/>
      <c r="AF535" s="352"/>
      <c r="AG535" s="327"/>
      <c r="AH535" s="352"/>
      <c r="AI535" s="352"/>
      <c r="AJ535" s="327"/>
      <c r="AK535" s="352"/>
      <c r="AL535" s="352"/>
      <c r="AM535" s="327"/>
      <c r="AN535" s="352"/>
      <c r="AO535" s="352"/>
      <c r="AP535" s="327"/>
      <c r="AQ535" s="352"/>
      <c r="AR535" s="327"/>
      <c r="AU535" s="307"/>
      <c r="AX535" s="307"/>
      <c r="BA535" s="307"/>
      <c r="BC535" s="366"/>
      <c r="BD535" s="307"/>
      <c r="BG535" s="307"/>
    </row>
    <row r="536">
      <c r="A536" s="352"/>
      <c r="B536" s="352"/>
      <c r="C536" s="327"/>
      <c r="D536" s="352"/>
      <c r="E536" s="352"/>
      <c r="F536" s="327"/>
      <c r="G536" s="352"/>
      <c r="H536" s="352"/>
      <c r="I536" s="327"/>
      <c r="J536" s="352"/>
      <c r="K536" s="352"/>
      <c r="L536" s="327"/>
      <c r="M536" s="352"/>
      <c r="N536" s="352"/>
      <c r="O536" s="327"/>
      <c r="P536" s="352"/>
      <c r="Q536" s="352"/>
      <c r="R536" s="327"/>
      <c r="S536" s="352"/>
      <c r="T536" s="352"/>
      <c r="U536" s="327"/>
      <c r="V536" s="352"/>
      <c r="W536" s="352"/>
      <c r="X536" s="327"/>
      <c r="Y536" s="352"/>
      <c r="Z536" s="352"/>
      <c r="AA536" s="327"/>
      <c r="AB536" s="352"/>
      <c r="AC536" s="352"/>
      <c r="AD536" s="327"/>
      <c r="AE536" s="352"/>
      <c r="AF536" s="352"/>
      <c r="AG536" s="327"/>
      <c r="AH536" s="352"/>
      <c r="AI536" s="352"/>
      <c r="AJ536" s="327"/>
      <c r="AK536" s="352"/>
      <c r="AL536" s="352"/>
      <c r="AM536" s="327"/>
      <c r="AN536" s="352"/>
      <c r="AO536" s="352"/>
      <c r="AP536" s="327"/>
      <c r="AQ536" s="352"/>
      <c r="AR536" s="327"/>
      <c r="AU536" s="307"/>
      <c r="AX536" s="307"/>
      <c r="BA536" s="307"/>
      <c r="BC536" s="366"/>
      <c r="BD536" s="307"/>
      <c r="BG536" s="307"/>
    </row>
    <row r="537">
      <c r="A537" s="352"/>
      <c r="B537" s="352"/>
      <c r="C537" s="327"/>
      <c r="D537" s="352"/>
      <c r="E537" s="352"/>
      <c r="F537" s="327"/>
      <c r="G537" s="352"/>
      <c r="H537" s="352"/>
      <c r="I537" s="327"/>
      <c r="J537" s="352"/>
      <c r="K537" s="352"/>
      <c r="L537" s="327"/>
      <c r="M537" s="352"/>
      <c r="N537" s="352"/>
      <c r="O537" s="327"/>
      <c r="P537" s="352"/>
      <c r="Q537" s="352"/>
      <c r="R537" s="327"/>
      <c r="S537" s="352"/>
      <c r="T537" s="352"/>
      <c r="U537" s="327"/>
      <c r="V537" s="352"/>
      <c r="W537" s="352"/>
      <c r="X537" s="327"/>
      <c r="Y537" s="352"/>
      <c r="Z537" s="352"/>
      <c r="AA537" s="327"/>
      <c r="AB537" s="352"/>
      <c r="AC537" s="352"/>
      <c r="AD537" s="327"/>
      <c r="AE537" s="352"/>
      <c r="AF537" s="352"/>
      <c r="AG537" s="327"/>
      <c r="AH537" s="352"/>
      <c r="AI537" s="352"/>
      <c r="AJ537" s="327"/>
      <c r="AK537" s="352"/>
      <c r="AL537" s="352"/>
      <c r="AM537" s="327"/>
      <c r="AN537" s="352"/>
      <c r="AO537" s="352"/>
      <c r="AP537" s="327"/>
      <c r="AQ537" s="352"/>
      <c r="AR537" s="327"/>
      <c r="AU537" s="307"/>
      <c r="AX537" s="307"/>
      <c r="BA537" s="307"/>
      <c r="BC537" s="366"/>
      <c r="BD537" s="307"/>
      <c r="BG537" s="307"/>
    </row>
    <row r="538">
      <c r="A538" s="352"/>
      <c r="B538" s="352"/>
      <c r="C538" s="327"/>
      <c r="D538" s="352"/>
      <c r="E538" s="352"/>
      <c r="F538" s="327"/>
      <c r="G538" s="352"/>
      <c r="H538" s="352"/>
      <c r="I538" s="327"/>
      <c r="J538" s="352"/>
      <c r="K538" s="352"/>
      <c r="L538" s="327"/>
      <c r="M538" s="352"/>
      <c r="N538" s="352"/>
      <c r="O538" s="327"/>
      <c r="P538" s="352"/>
      <c r="Q538" s="352"/>
      <c r="R538" s="327"/>
      <c r="S538" s="352"/>
      <c r="T538" s="352"/>
      <c r="U538" s="327"/>
      <c r="V538" s="352"/>
      <c r="W538" s="352"/>
      <c r="X538" s="327"/>
      <c r="Y538" s="352"/>
      <c r="Z538" s="352"/>
      <c r="AA538" s="327"/>
      <c r="AB538" s="352"/>
      <c r="AC538" s="352"/>
      <c r="AD538" s="327"/>
      <c r="AE538" s="352"/>
      <c r="AF538" s="352"/>
      <c r="AG538" s="327"/>
      <c r="AH538" s="352"/>
      <c r="AI538" s="352"/>
      <c r="AJ538" s="327"/>
      <c r="AK538" s="352"/>
      <c r="AL538" s="352"/>
      <c r="AM538" s="327"/>
      <c r="AN538" s="352"/>
      <c r="AO538" s="352"/>
      <c r="AP538" s="327"/>
      <c r="AQ538" s="352"/>
      <c r="AR538" s="327"/>
      <c r="AU538" s="307"/>
      <c r="AX538" s="307"/>
      <c r="BA538" s="307"/>
      <c r="BC538" s="366"/>
      <c r="BD538" s="307"/>
      <c r="BG538" s="307"/>
    </row>
    <row r="539">
      <c r="A539" s="352"/>
      <c r="B539" s="352"/>
      <c r="C539" s="327"/>
      <c r="D539" s="352"/>
      <c r="E539" s="352"/>
      <c r="F539" s="327"/>
      <c r="G539" s="352"/>
      <c r="H539" s="352"/>
      <c r="I539" s="327"/>
      <c r="J539" s="352"/>
      <c r="K539" s="352"/>
      <c r="L539" s="327"/>
      <c r="M539" s="352"/>
      <c r="N539" s="352"/>
      <c r="O539" s="327"/>
      <c r="P539" s="352"/>
      <c r="Q539" s="352"/>
      <c r="R539" s="327"/>
      <c r="S539" s="352"/>
      <c r="T539" s="352"/>
      <c r="U539" s="327"/>
      <c r="V539" s="352"/>
      <c r="W539" s="352"/>
      <c r="X539" s="327"/>
      <c r="Y539" s="352"/>
      <c r="Z539" s="352"/>
      <c r="AA539" s="327"/>
      <c r="AB539" s="352"/>
      <c r="AC539" s="352"/>
      <c r="AD539" s="327"/>
      <c r="AE539" s="352"/>
      <c r="AF539" s="352"/>
      <c r="AG539" s="327"/>
      <c r="AH539" s="352"/>
      <c r="AI539" s="352"/>
      <c r="AJ539" s="327"/>
      <c r="AK539" s="352"/>
      <c r="AL539" s="352"/>
      <c r="AM539" s="327"/>
      <c r="AN539" s="352"/>
      <c r="AO539" s="352"/>
      <c r="AP539" s="327"/>
      <c r="AQ539" s="352"/>
      <c r="AR539" s="327"/>
      <c r="AU539" s="307"/>
      <c r="AX539" s="307"/>
      <c r="BA539" s="307"/>
      <c r="BC539" s="366"/>
      <c r="BD539" s="307"/>
      <c r="BG539" s="307"/>
    </row>
    <row r="540">
      <c r="A540" s="352"/>
      <c r="B540" s="352"/>
      <c r="C540" s="327"/>
      <c r="D540" s="352"/>
      <c r="E540" s="352"/>
      <c r="F540" s="327"/>
      <c r="G540" s="352"/>
      <c r="H540" s="352"/>
      <c r="I540" s="327"/>
      <c r="J540" s="352"/>
      <c r="K540" s="352"/>
      <c r="L540" s="327"/>
      <c r="M540" s="352"/>
      <c r="N540" s="352"/>
      <c r="O540" s="327"/>
      <c r="P540" s="352"/>
      <c r="Q540" s="352"/>
      <c r="R540" s="327"/>
      <c r="S540" s="352"/>
      <c r="T540" s="352"/>
      <c r="U540" s="327"/>
      <c r="V540" s="352"/>
      <c r="W540" s="352"/>
      <c r="X540" s="327"/>
      <c r="Y540" s="352"/>
      <c r="Z540" s="352"/>
      <c r="AA540" s="327"/>
      <c r="AB540" s="352"/>
      <c r="AC540" s="352"/>
      <c r="AD540" s="327"/>
      <c r="AE540" s="352"/>
      <c r="AF540" s="352"/>
      <c r="AG540" s="327"/>
      <c r="AH540" s="352"/>
      <c r="AI540" s="352"/>
      <c r="AJ540" s="327"/>
      <c r="AK540" s="352"/>
      <c r="AL540" s="352"/>
      <c r="AM540" s="327"/>
      <c r="AN540" s="352"/>
      <c r="AO540" s="352"/>
      <c r="AP540" s="327"/>
      <c r="AQ540" s="352"/>
      <c r="AR540" s="327"/>
      <c r="AU540" s="307"/>
      <c r="AX540" s="307"/>
      <c r="BA540" s="307"/>
      <c r="BC540" s="366"/>
      <c r="BD540" s="307"/>
      <c r="BG540" s="307"/>
    </row>
    <row r="541">
      <c r="A541" s="352"/>
      <c r="B541" s="352"/>
      <c r="C541" s="327"/>
      <c r="D541" s="352"/>
      <c r="E541" s="352"/>
      <c r="F541" s="327"/>
      <c r="G541" s="352"/>
      <c r="H541" s="352"/>
      <c r="I541" s="327"/>
      <c r="J541" s="352"/>
      <c r="K541" s="352"/>
      <c r="L541" s="327"/>
      <c r="M541" s="352"/>
      <c r="N541" s="352"/>
      <c r="O541" s="327"/>
      <c r="P541" s="352"/>
      <c r="Q541" s="352"/>
      <c r="R541" s="327"/>
      <c r="S541" s="352"/>
      <c r="T541" s="352"/>
      <c r="U541" s="327"/>
      <c r="V541" s="352"/>
      <c r="W541" s="352"/>
      <c r="X541" s="327"/>
      <c r="Y541" s="352"/>
      <c r="Z541" s="352"/>
      <c r="AA541" s="327"/>
      <c r="AB541" s="352"/>
      <c r="AC541" s="352"/>
      <c r="AD541" s="327"/>
      <c r="AE541" s="352"/>
      <c r="AF541" s="352"/>
      <c r="AG541" s="327"/>
      <c r="AH541" s="352"/>
      <c r="AI541" s="352"/>
      <c r="AJ541" s="327"/>
      <c r="AK541" s="352"/>
      <c r="AL541" s="352"/>
      <c r="AM541" s="327"/>
      <c r="AN541" s="352"/>
      <c r="AO541" s="352"/>
      <c r="AP541" s="327"/>
      <c r="AQ541" s="352"/>
      <c r="AR541" s="327"/>
      <c r="AU541" s="307"/>
      <c r="AX541" s="307"/>
      <c r="BA541" s="307"/>
      <c r="BC541" s="366"/>
      <c r="BD541" s="307"/>
      <c r="BG541" s="307"/>
    </row>
    <row r="542">
      <c r="A542" s="352"/>
      <c r="B542" s="352"/>
      <c r="C542" s="327"/>
      <c r="D542" s="352"/>
      <c r="E542" s="352"/>
      <c r="F542" s="327"/>
      <c r="G542" s="352"/>
      <c r="H542" s="352"/>
      <c r="I542" s="327"/>
      <c r="J542" s="352"/>
      <c r="K542" s="352"/>
      <c r="L542" s="327"/>
      <c r="M542" s="352"/>
      <c r="N542" s="352"/>
      <c r="O542" s="327"/>
      <c r="P542" s="352"/>
      <c r="Q542" s="352"/>
      <c r="R542" s="327"/>
      <c r="S542" s="352"/>
      <c r="T542" s="352"/>
      <c r="U542" s="327"/>
      <c r="V542" s="352"/>
      <c r="W542" s="352"/>
      <c r="X542" s="327"/>
      <c r="Y542" s="352"/>
      <c r="Z542" s="352"/>
      <c r="AA542" s="327"/>
      <c r="AB542" s="352"/>
      <c r="AC542" s="352"/>
      <c r="AD542" s="327"/>
      <c r="AE542" s="352"/>
      <c r="AF542" s="352"/>
      <c r="AG542" s="327"/>
      <c r="AH542" s="352"/>
      <c r="AI542" s="352"/>
      <c r="AJ542" s="327"/>
      <c r="AK542" s="352"/>
      <c r="AL542" s="352"/>
      <c r="AM542" s="327"/>
      <c r="AN542" s="352"/>
      <c r="AO542" s="352"/>
      <c r="AP542" s="327"/>
      <c r="AQ542" s="352"/>
      <c r="AR542" s="327"/>
      <c r="AU542" s="307"/>
      <c r="AX542" s="307"/>
      <c r="BA542" s="307"/>
      <c r="BC542" s="366"/>
      <c r="BD542" s="307"/>
      <c r="BG542" s="307"/>
    </row>
    <row r="543">
      <c r="A543" s="352"/>
      <c r="B543" s="352"/>
      <c r="C543" s="327"/>
      <c r="D543" s="352"/>
      <c r="E543" s="352"/>
      <c r="F543" s="327"/>
      <c r="G543" s="352"/>
      <c r="H543" s="352"/>
      <c r="I543" s="327"/>
      <c r="J543" s="352"/>
      <c r="K543" s="352"/>
      <c r="L543" s="327"/>
      <c r="M543" s="352"/>
      <c r="N543" s="352"/>
      <c r="O543" s="327"/>
      <c r="P543" s="352"/>
      <c r="Q543" s="352"/>
      <c r="R543" s="327"/>
      <c r="S543" s="352"/>
      <c r="T543" s="352"/>
      <c r="U543" s="327"/>
      <c r="V543" s="352"/>
      <c r="W543" s="352"/>
      <c r="X543" s="327"/>
      <c r="Y543" s="352"/>
      <c r="Z543" s="352"/>
      <c r="AA543" s="327"/>
      <c r="AB543" s="352"/>
      <c r="AC543" s="352"/>
      <c r="AD543" s="327"/>
      <c r="AE543" s="352"/>
      <c r="AF543" s="352"/>
      <c r="AG543" s="327"/>
      <c r="AH543" s="352"/>
      <c r="AI543" s="352"/>
      <c r="AJ543" s="327"/>
      <c r="AK543" s="352"/>
      <c r="AL543" s="352"/>
      <c r="AM543" s="327"/>
      <c r="AN543" s="352"/>
      <c r="AO543" s="352"/>
      <c r="AP543" s="327"/>
      <c r="AQ543" s="352"/>
      <c r="AR543" s="327"/>
      <c r="AU543" s="307"/>
      <c r="AX543" s="307"/>
      <c r="BA543" s="307"/>
      <c r="BC543" s="366"/>
      <c r="BD543" s="307"/>
      <c r="BG543" s="307"/>
    </row>
    <row r="544">
      <c r="A544" s="352"/>
      <c r="B544" s="352"/>
      <c r="C544" s="327"/>
      <c r="D544" s="352"/>
      <c r="E544" s="352"/>
      <c r="F544" s="327"/>
      <c r="G544" s="352"/>
      <c r="H544" s="352"/>
      <c r="I544" s="327"/>
      <c r="J544" s="352"/>
      <c r="K544" s="352"/>
      <c r="L544" s="327"/>
      <c r="M544" s="352"/>
      <c r="N544" s="352"/>
      <c r="O544" s="327"/>
      <c r="P544" s="352"/>
      <c r="Q544" s="352"/>
      <c r="R544" s="327"/>
      <c r="S544" s="352"/>
      <c r="T544" s="352"/>
      <c r="U544" s="327"/>
      <c r="V544" s="352"/>
      <c r="W544" s="352"/>
      <c r="X544" s="327"/>
      <c r="Y544" s="352"/>
      <c r="Z544" s="352"/>
      <c r="AA544" s="327"/>
      <c r="AB544" s="352"/>
      <c r="AC544" s="352"/>
      <c r="AD544" s="327"/>
      <c r="AE544" s="352"/>
      <c r="AF544" s="352"/>
      <c r="AG544" s="327"/>
      <c r="AH544" s="352"/>
      <c r="AI544" s="352"/>
      <c r="AJ544" s="327"/>
      <c r="AK544" s="352"/>
      <c r="AL544" s="352"/>
      <c r="AM544" s="327"/>
      <c r="AN544" s="352"/>
      <c r="AO544" s="352"/>
      <c r="AP544" s="327"/>
      <c r="AQ544" s="352"/>
      <c r="AR544" s="327"/>
      <c r="AU544" s="307"/>
      <c r="AX544" s="307"/>
      <c r="BA544" s="307"/>
      <c r="BC544" s="366"/>
      <c r="BD544" s="307"/>
      <c r="BG544" s="307"/>
    </row>
    <row r="545">
      <c r="A545" s="352"/>
      <c r="B545" s="352"/>
      <c r="C545" s="327"/>
      <c r="D545" s="352"/>
      <c r="E545" s="352"/>
      <c r="F545" s="327"/>
      <c r="G545" s="352"/>
      <c r="H545" s="352"/>
      <c r="I545" s="327"/>
      <c r="J545" s="352"/>
      <c r="K545" s="352"/>
      <c r="L545" s="327"/>
      <c r="M545" s="352"/>
      <c r="N545" s="352"/>
      <c r="O545" s="327"/>
      <c r="P545" s="352"/>
      <c r="Q545" s="352"/>
      <c r="R545" s="327"/>
      <c r="S545" s="352"/>
      <c r="T545" s="352"/>
      <c r="U545" s="327"/>
      <c r="V545" s="352"/>
      <c r="W545" s="352"/>
      <c r="X545" s="327"/>
      <c r="Y545" s="352"/>
      <c r="Z545" s="352"/>
      <c r="AA545" s="327"/>
      <c r="AB545" s="352"/>
      <c r="AC545" s="352"/>
      <c r="AD545" s="327"/>
      <c r="AE545" s="352"/>
      <c r="AF545" s="352"/>
      <c r="AG545" s="327"/>
      <c r="AH545" s="352"/>
      <c r="AI545" s="352"/>
      <c r="AJ545" s="327"/>
      <c r="AK545" s="352"/>
      <c r="AL545" s="352"/>
      <c r="AM545" s="327"/>
      <c r="AN545" s="352"/>
      <c r="AO545" s="352"/>
      <c r="AP545" s="327"/>
      <c r="AQ545" s="352"/>
      <c r="AR545" s="327"/>
      <c r="AU545" s="307"/>
      <c r="AX545" s="307"/>
      <c r="BA545" s="307"/>
      <c r="BC545" s="366"/>
      <c r="BD545" s="307"/>
      <c r="BG545" s="307"/>
    </row>
    <row r="546">
      <c r="A546" s="352"/>
      <c r="B546" s="352"/>
      <c r="C546" s="327"/>
      <c r="D546" s="352"/>
      <c r="E546" s="352"/>
      <c r="F546" s="327"/>
      <c r="G546" s="352"/>
      <c r="H546" s="352"/>
      <c r="I546" s="327"/>
      <c r="J546" s="352"/>
      <c r="K546" s="352"/>
      <c r="L546" s="327"/>
      <c r="M546" s="352"/>
      <c r="N546" s="352"/>
      <c r="O546" s="327"/>
      <c r="P546" s="352"/>
      <c r="Q546" s="352"/>
      <c r="R546" s="327"/>
      <c r="S546" s="352"/>
      <c r="T546" s="352"/>
      <c r="U546" s="327"/>
      <c r="V546" s="352"/>
      <c r="W546" s="352"/>
      <c r="X546" s="327"/>
      <c r="Y546" s="352"/>
      <c r="Z546" s="352"/>
      <c r="AA546" s="327"/>
      <c r="AB546" s="352"/>
      <c r="AC546" s="352"/>
      <c r="AD546" s="327"/>
      <c r="AE546" s="352"/>
      <c r="AF546" s="352"/>
      <c r="AG546" s="327"/>
      <c r="AH546" s="352"/>
      <c r="AI546" s="352"/>
      <c r="AJ546" s="327"/>
      <c r="AK546" s="352"/>
      <c r="AL546" s="352"/>
      <c r="AM546" s="327"/>
      <c r="AN546" s="352"/>
      <c r="AO546" s="352"/>
      <c r="AP546" s="327"/>
      <c r="AQ546" s="352"/>
      <c r="AR546" s="327"/>
      <c r="AU546" s="307"/>
      <c r="AX546" s="307"/>
      <c r="BA546" s="307"/>
      <c r="BC546" s="366"/>
      <c r="BD546" s="307"/>
      <c r="BG546" s="307"/>
    </row>
    <row r="547">
      <c r="A547" s="352"/>
      <c r="B547" s="352"/>
      <c r="C547" s="327"/>
      <c r="D547" s="352"/>
      <c r="E547" s="352"/>
      <c r="F547" s="327"/>
      <c r="G547" s="352"/>
      <c r="H547" s="352"/>
      <c r="I547" s="327"/>
      <c r="J547" s="352"/>
      <c r="K547" s="352"/>
      <c r="L547" s="327"/>
      <c r="M547" s="352"/>
      <c r="N547" s="352"/>
      <c r="O547" s="327"/>
      <c r="P547" s="352"/>
      <c r="Q547" s="352"/>
      <c r="R547" s="327"/>
      <c r="S547" s="352"/>
      <c r="T547" s="352"/>
      <c r="U547" s="327"/>
      <c r="V547" s="352"/>
      <c r="W547" s="352"/>
      <c r="X547" s="327"/>
      <c r="Y547" s="352"/>
      <c r="Z547" s="352"/>
      <c r="AA547" s="327"/>
      <c r="AB547" s="352"/>
      <c r="AC547" s="352"/>
      <c r="AD547" s="327"/>
      <c r="AE547" s="352"/>
      <c r="AF547" s="352"/>
      <c r="AG547" s="327"/>
      <c r="AH547" s="352"/>
      <c r="AI547" s="352"/>
      <c r="AJ547" s="327"/>
      <c r="AK547" s="352"/>
      <c r="AL547" s="352"/>
      <c r="AM547" s="327"/>
      <c r="AN547" s="352"/>
      <c r="AO547" s="352"/>
      <c r="AP547" s="327"/>
      <c r="AQ547" s="352"/>
      <c r="AR547" s="327"/>
      <c r="AU547" s="307"/>
      <c r="AX547" s="307"/>
      <c r="BA547" s="307"/>
      <c r="BC547" s="366"/>
      <c r="BD547" s="307"/>
      <c r="BG547" s="307"/>
    </row>
    <row r="548">
      <c r="A548" s="352"/>
      <c r="B548" s="352"/>
      <c r="C548" s="327"/>
      <c r="D548" s="352"/>
      <c r="E548" s="352"/>
      <c r="F548" s="327"/>
      <c r="G548" s="352"/>
      <c r="H548" s="352"/>
      <c r="I548" s="327"/>
      <c r="J548" s="352"/>
      <c r="K548" s="352"/>
      <c r="L548" s="327"/>
      <c r="M548" s="352"/>
      <c r="N548" s="352"/>
      <c r="O548" s="327"/>
      <c r="P548" s="352"/>
      <c r="Q548" s="352"/>
      <c r="R548" s="327"/>
      <c r="S548" s="352"/>
      <c r="T548" s="352"/>
      <c r="U548" s="327"/>
      <c r="V548" s="352"/>
      <c r="W548" s="352"/>
      <c r="X548" s="327"/>
      <c r="Y548" s="352"/>
      <c r="Z548" s="352"/>
      <c r="AA548" s="327"/>
      <c r="AB548" s="352"/>
      <c r="AC548" s="352"/>
      <c r="AD548" s="327"/>
      <c r="AE548" s="352"/>
      <c r="AF548" s="352"/>
      <c r="AG548" s="327"/>
      <c r="AH548" s="352"/>
      <c r="AI548" s="352"/>
      <c r="AJ548" s="327"/>
      <c r="AK548" s="352"/>
      <c r="AL548" s="352"/>
      <c r="AM548" s="327"/>
      <c r="AN548" s="352"/>
      <c r="AO548" s="352"/>
      <c r="AP548" s="327"/>
      <c r="AQ548" s="352"/>
      <c r="AR548" s="327"/>
      <c r="AU548" s="307"/>
      <c r="AX548" s="307"/>
      <c r="BA548" s="307"/>
      <c r="BC548" s="366"/>
      <c r="BD548" s="307"/>
      <c r="BG548" s="307"/>
    </row>
    <row r="549">
      <c r="A549" s="352"/>
      <c r="B549" s="352"/>
      <c r="C549" s="327"/>
      <c r="D549" s="352"/>
      <c r="E549" s="352"/>
      <c r="F549" s="327"/>
      <c r="G549" s="352"/>
      <c r="H549" s="352"/>
      <c r="I549" s="327"/>
      <c r="J549" s="352"/>
      <c r="K549" s="352"/>
      <c r="L549" s="327"/>
      <c r="M549" s="352"/>
      <c r="N549" s="352"/>
      <c r="O549" s="327"/>
      <c r="P549" s="352"/>
      <c r="Q549" s="352"/>
      <c r="R549" s="327"/>
      <c r="S549" s="352"/>
      <c r="T549" s="352"/>
      <c r="U549" s="327"/>
      <c r="V549" s="352"/>
      <c r="W549" s="352"/>
      <c r="X549" s="327"/>
      <c r="Y549" s="352"/>
      <c r="Z549" s="352"/>
      <c r="AA549" s="327"/>
      <c r="AB549" s="352"/>
      <c r="AC549" s="352"/>
      <c r="AD549" s="327"/>
      <c r="AE549" s="352"/>
      <c r="AF549" s="352"/>
      <c r="AG549" s="327"/>
      <c r="AH549" s="352"/>
      <c r="AI549" s="352"/>
      <c r="AJ549" s="327"/>
      <c r="AK549" s="352"/>
      <c r="AL549" s="352"/>
      <c r="AM549" s="327"/>
      <c r="AN549" s="352"/>
      <c r="AO549" s="352"/>
      <c r="AP549" s="327"/>
      <c r="AQ549" s="352"/>
      <c r="AR549" s="327"/>
      <c r="AU549" s="307"/>
      <c r="AX549" s="307"/>
      <c r="BA549" s="307"/>
      <c r="BC549" s="366"/>
      <c r="BD549" s="307"/>
      <c r="BG549" s="307"/>
    </row>
    <row r="550">
      <c r="A550" s="352"/>
      <c r="B550" s="352"/>
      <c r="C550" s="327"/>
      <c r="D550" s="352"/>
      <c r="E550" s="352"/>
      <c r="F550" s="327"/>
      <c r="G550" s="352"/>
      <c r="H550" s="352"/>
      <c r="I550" s="327"/>
      <c r="J550" s="352"/>
      <c r="K550" s="352"/>
      <c r="L550" s="327"/>
      <c r="M550" s="352"/>
      <c r="N550" s="352"/>
      <c r="O550" s="327"/>
      <c r="P550" s="352"/>
      <c r="Q550" s="352"/>
      <c r="R550" s="327"/>
      <c r="S550" s="352"/>
      <c r="T550" s="352"/>
      <c r="U550" s="327"/>
      <c r="V550" s="352"/>
      <c r="W550" s="352"/>
      <c r="X550" s="327"/>
      <c r="Y550" s="352"/>
      <c r="Z550" s="352"/>
      <c r="AA550" s="327"/>
      <c r="AB550" s="352"/>
      <c r="AC550" s="352"/>
      <c r="AD550" s="327"/>
      <c r="AE550" s="352"/>
      <c r="AF550" s="352"/>
      <c r="AG550" s="327"/>
      <c r="AH550" s="352"/>
      <c r="AI550" s="352"/>
      <c r="AJ550" s="327"/>
      <c r="AK550" s="352"/>
      <c r="AL550" s="352"/>
      <c r="AM550" s="327"/>
      <c r="AN550" s="352"/>
      <c r="AO550" s="352"/>
      <c r="AP550" s="327"/>
      <c r="AQ550" s="352"/>
      <c r="AR550" s="327"/>
      <c r="AU550" s="307"/>
      <c r="AX550" s="307"/>
      <c r="BA550" s="307"/>
      <c r="BC550" s="366"/>
      <c r="BD550" s="307"/>
      <c r="BG550" s="307"/>
    </row>
    <row r="551">
      <c r="A551" s="352"/>
      <c r="B551" s="352"/>
      <c r="C551" s="327"/>
      <c r="D551" s="352"/>
      <c r="E551" s="352"/>
      <c r="F551" s="327"/>
      <c r="G551" s="352"/>
      <c r="H551" s="352"/>
      <c r="I551" s="327"/>
      <c r="J551" s="352"/>
      <c r="K551" s="352"/>
      <c r="L551" s="327"/>
      <c r="M551" s="352"/>
      <c r="N551" s="352"/>
      <c r="O551" s="327"/>
      <c r="P551" s="352"/>
      <c r="Q551" s="352"/>
      <c r="R551" s="327"/>
      <c r="S551" s="352"/>
      <c r="T551" s="352"/>
      <c r="U551" s="327"/>
      <c r="V551" s="352"/>
      <c r="W551" s="352"/>
      <c r="X551" s="327"/>
      <c r="Y551" s="352"/>
      <c r="Z551" s="352"/>
      <c r="AA551" s="327"/>
      <c r="AB551" s="352"/>
      <c r="AC551" s="352"/>
      <c r="AD551" s="327"/>
      <c r="AE551" s="352"/>
      <c r="AF551" s="352"/>
      <c r="AG551" s="327"/>
      <c r="AH551" s="352"/>
      <c r="AI551" s="352"/>
      <c r="AJ551" s="327"/>
      <c r="AK551" s="352"/>
      <c r="AL551" s="352"/>
      <c r="AM551" s="327"/>
      <c r="AN551" s="352"/>
      <c r="AO551" s="352"/>
      <c r="AP551" s="327"/>
      <c r="AQ551" s="352"/>
      <c r="AR551" s="327"/>
      <c r="AU551" s="307"/>
      <c r="AX551" s="307"/>
      <c r="BA551" s="307"/>
      <c r="BC551" s="366"/>
      <c r="BD551" s="307"/>
      <c r="BG551" s="307"/>
    </row>
    <row r="552">
      <c r="A552" s="352"/>
      <c r="B552" s="352"/>
      <c r="C552" s="327"/>
      <c r="D552" s="352"/>
      <c r="E552" s="352"/>
      <c r="F552" s="327"/>
      <c r="G552" s="352"/>
      <c r="H552" s="352"/>
      <c r="I552" s="327"/>
      <c r="J552" s="352"/>
      <c r="K552" s="352"/>
      <c r="L552" s="327"/>
      <c r="M552" s="352"/>
      <c r="N552" s="352"/>
      <c r="O552" s="327"/>
      <c r="P552" s="352"/>
      <c r="Q552" s="352"/>
      <c r="R552" s="327"/>
      <c r="S552" s="352"/>
      <c r="T552" s="352"/>
      <c r="U552" s="327"/>
      <c r="V552" s="352"/>
      <c r="W552" s="352"/>
      <c r="X552" s="327"/>
      <c r="Y552" s="352"/>
      <c r="Z552" s="352"/>
      <c r="AA552" s="327"/>
      <c r="AB552" s="352"/>
      <c r="AC552" s="352"/>
      <c r="AD552" s="327"/>
      <c r="AE552" s="352"/>
      <c r="AF552" s="352"/>
      <c r="AG552" s="327"/>
      <c r="AH552" s="352"/>
      <c r="AI552" s="352"/>
      <c r="AJ552" s="327"/>
      <c r="AK552" s="352"/>
      <c r="AL552" s="352"/>
      <c r="AM552" s="327"/>
      <c r="AN552" s="352"/>
      <c r="AO552" s="352"/>
      <c r="AP552" s="327"/>
      <c r="AQ552" s="352"/>
      <c r="AR552" s="327"/>
      <c r="AU552" s="307"/>
      <c r="AX552" s="307"/>
      <c r="BA552" s="307"/>
      <c r="BC552" s="366"/>
      <c r="BD552" s="307"/>
      <c r="BG552" s="307"/>
    </row>
    <row r="553">
      <c r="A553" s="352"/>
      <c r="B553" s="352"/>
      <c r="C553" s="327"/>
      <c r="D553" s="352"/>
      <c r="E553" s="352"/>
      <c r="F553" s="327"/>
      <c r="G553" s="352"/>
      <c r="H553" s="352"/>
      <c r="I553" s="327"/>
      <c r="J553" s="352"/>
      <c r="K553" s="352"/>
      <c r="L553" s="327"/>
      <c r="M553" s="352"/>
      <c r="N553" s="352"/>
      <c r="O553" s="327"/>
      <c r="P553" s="352"/>
      <c r="Q553" s="352"/>
      <c r="R553" s="327"/>
      <c r="S553" s="352"/>
      <c r="T553" s="352"/>
      <c r="U553" s="327"/>
      <c r="V553" s="352"/>
      <c r="W553" s="352"/>
      <c r="X553" s="327"/>
      <c r="Y553" s="352"/>
      <c r="Z553" s="352"/>
      <c r="AA553" s="327"/>
      <c r="AB553" s="352"/>
      <c r="AC553" s="352"/>
      <c r="AD553" s="327"/>
      <c r="AE553" s="352"/>
      <c r="AF553" s="352"/>
      <c r="AG553" s="327"/>
      <c r="AH553" s="352"/>
      <c r="AI553" s="352"/>
      <c r="AJ553" s="327"/>
      <c r="AK553" s="352"/>
      <c r="AL553" s="352"/>
      <c r="AM553" s="327"/>
      <c r="AN553" s="352"/>
      <c r="AO553" s="352"/>
      <c r="AP553" s="327"/>
      <c r="AQ553" s="352"/>
      <c r="AR553" s="327"/>
      <c r="AU553" s="307"/>
      <c r="AX553" s="307"/>
      <c r="BA553" s="307"/>
      <c r="BC553" s="366"/>
      <c r="BD553" s="307"/>
      <c r="BG553" s="307"/>
    </row>
    <row r="554">
      <c r="A554" s="352"/>
      <c r="B554" s="352"/>
      <c r="C554" s="327"/>
      <c r="D554" s="352"/>
      <c r="E554" s="352"/>
      <c r="F554" s="327"/>
      <c r="G554" s="352"/>
      <c r="H554" s="352"/>
      <c r="I554" s="327"/>
      <c r="J554" s="352"/>
      <c r="K554" s="352"/>
      <c r="L554" s="327"/>
      <c r="M554" s="352"/>
      <c r="N554" s="352"/>
      <c r="O554" s="327"/>
      <c r="P554" s="352"/>
      <c r="Q554" s="352"/>
      <c r="R554" s="327"/>
      <c r="S554" s="352"/>
      <c r="T554" s="352"/>
      <c r="U554" s="327"/>
      <c r="V554" s="352"/>
      <c r="W554" s="352"/>
      <c r="X554" s="327"/>
      <c r="Y554" s="352"/>
      <c r="Z554" s="352"/>
      <c r="AA554" s="327"/>
      <c r="AB554" s="352"/>
      <c r="AC554" s="352"/>
      <c r="AD554" s="327"/>
      <c r="AE554" s="352"/>
      <c r="AF554" s="352"/>
      <c r="AG554" s="327"/>
      <c r="AH554" s="352"/>
      <c r="AI554" s="352"/>
      <c r="AJ554" s="327"/>
      <c r="AK554" s="352"/>
      <c r="AL554" s="352"/>
      <c r="AM554" s="327"/>
      <c r="AN554" s="352"/>
      <c r="AO554" s="352"/>
      <c r="AP554" s="327"/>
      <c r="AQ554" s="352"/>
      <c r="AR554" s="327"/>
      <c r="AU554" s="307"/>
      <c r="AX554" s="307"/>
      <c r="BA554" s="307"/>
      <c r="BC554" s="366"/>
      <c r="BD554" s="307"/>
      <c r="BG554" s="307"/>
    </row>
    <row r="555">
      <c r="A555" s="352"/>
      <c r="B555" s="352"/>
      <c r="C555" s="327"/>
      <c r="D555" s="352"/>
      <c r="E555" s="352"/>
      <c r="F555" s="327"/>
      <c r="G555" s="352"/>
      <c r="H555" s="352"/>
      <c r="I555" s="327"/>
      <c r="J555" s="352"/>
      <c r="K555" s="352"/>
      <c r="L555" s="327"/>
      <c r="M555" s="352"/>
      <c r="N555" s="352"/>
      <c r="O555" s="327"/>
      <c r="P555" s="352"/>
      <c r="Q555" s="352"/>
      <c r="R555" s="327"/>
      <c r="S555" s="352"/>
      <c r="T555" s="352"/>
      <c r="U555" s="327"/>
      <c r="V555" s="352"/>
      <c r="W555" s="352"/>
      <c r="X555" s="327"/>
      <c r="Y555" s="352"/>
      <c r="Z555" s="352"/>
      <c r="AA555" s="327"/>
      <c r="AB555" s="352"/>
      <c r="AC555" s="352"/>
      <c r="AD555" s="327"/>
      <c r="AE555" s="352"/>
      <c r="AF555" s="352"/>
      <c r="AG555" s="327"/>
      <c r="AH555" s="352"/>
      <c r="AI555" s="352"/>
      <c r="AJ555" s="327"/>
      <c r="AK555" s="352"/>
      <c r="AL555" s="352"/>
      <c r="AM555" s="327"/>
      <c r="AN555" s="352"/>
      <c r="AO555" s="352"/>
      <c r="AP555" s="327"/>
      <c r="AQ555" s="352"/>
      <c r="AR555" s="327"/>
      <c r="AU555" s="307"/>
      <c r="AX555" s="307"/>
      <c r="BA555" s="307"/>
      <c r="BC555" s="366"/>
      <c r="BD555" s="307"/>
      <c r="BG555" s="307"/>
    </row>
    <row r="556">
      <c r="A556" s="352"/>
      <c r="B556" s="352"/>
      <c r="C556" s="327"/>
      <c r="D556" s="352"/>
      <c r="E556" s="352"/>
      <c r="F556" s="327"/>
      <c r="G556" s="352"/>
      <c r="H556" s="352"/>
      <c r="I556" s="327"/>
      <c r="J556" s="352"/>
      <c r="K556" s="352"/>
      <c r="L556" s="327"/>
      <c r="M556" s="352"/>
      <c r="N556" s="352"/>
      <c r="O556" s="327"/>
      <c r="P556" s="352"/>
      <c r="Q556" s="352"/>
      <c r="R556" s="327"/>
      <c r="S556" s="352"/>
      <c r="T556" s="352"/>
      <c r="U556" s="327"/>
      <c r="V556" s="352"/>
      <c r="W556" s="352"/>
      <c r="X556" s="327"/>
      <c r="Y556" s="352"/>
      <c r="Z556" s="352"/>
      <c r="AA556" s="327"/>
      <c r="AB556" s="352"/>
      <c r="AC556" s="352"/>
      <c r="AD556" s="327"/>
      <c r="AE556" s="352"/>
      <c r="AF556" s="352"/>
      <c r="AG556" s="327"/>
      <c r="AH556" s="352"/>
      <c r="AI556" s="352"/>
      <c r="AJ556" s="327"/>
      <c r="AK556" s="352"/>
      <c r="AL556" s="352"/>
      <c r="AM556" s="327"/>
      <c r="AN556" s="352"/>
      <c r="AO556" s="352"/>
      <c r="AP556" s="327"/>
      <c r="AQ556" s="352"/>
      <c r="AR556" s="327"/>
      <c r="AU556" s="307"/>
      <c r="AX556" s="307"/>
      <c r="BA556" s="307"/>
      <c r="BC556" s="366"/>
      <c r="BD556" s="307"/>
      <c r="BG556" s="307"/>
    </row>
    <row r="557">
      <c r="A557" s="352"/>
      <c r="B557" s="352"/>
      <c r="C557" s="327"/>
      <c r="D557" s="352"/>
      <c r="E557" s="352"/>
      <c r="F557" s="327"/>
      <c r="G557" s="352"/>
      <c r="H557" s="352"/>
      <c r="I557" s="327"/>
      <c r="J557" s="352"/>
      <c r="K557" s="352"/>
      <c r="L557" s="327"/>
      <c r="M557" s="352"/>
      <c r="N557" s="352"/>
      <c r="O557" s="327"/>
      <c r="P557" s="352"/>
      <c r="Q557" s="352"/>
      <c r="R557" s="327"/>
      <c r="S557" s="352"/>
      <c r="T557" s="352"/>
      <c r="U557" s="327"/>
      <c r="V557" s="352"/>
      <c r="W557" s="352"/>
      <c r="X557" s="327"/>
      <c r="Y557" s="352"/>
      <c r="Z557" s="352"/>
      <c r="AA557" s="327"/>
      <c r="AB557" s="352"/>
      <c r="AC557" s="352"/>
      <c r="AD557" s="327"/>
      <c r="AE557" s="352"/>
      <c r="AF557" s="352"/>
      <c r="AG557" s="327"/>
      <c r="AH557" s="352"/>
      <c r="AI557" s="352"/>
      <c r="AJ557" s="327"/>
      <c r="AK557" s="352"/>
      <c r="AL557" s="352"/>
      <c r="AM557" s="327"/>
      <c r="AN557" s="352"/>
      <c r="AO557" s="352"/>
      <c r="AP557" s="327"/>
      <c r="AQ557" s="352"/>
      <c r="AR557" s="327"/>
      <c r="AU557" s="307"/>
      <c r="AX557" s="307"/>
      <c r="BA557" s="307"/>
      <c r="BC557" s="366"/>
      <c r="BD557" s="307"/>
      <c r="BG557" s="307"/>
    </row>
    <row r="558">
      <c r="A558" s="352"/>
      <c r="B558" s="352"/>
      <c r="C558" s="327"/>
      <c r="D558" s="352"/>
      <c r="E558" s="352"/>
      <c r="F558" s="327"/>
      <c r="G558" s="352"/>
      <c r="H558" s="352"/>
      <c r="I558" s="327"/>
      <c r="J558" s="352"/>
      <c r="K558" s="352"/>
      <c r="L558" s="327"/>
      <c r="M558" s="352"/>
      <c r="N558" s="352"/>
      <c r="O558" s="327"/>
      <c r="P558" s="352"/>
      <c r="Q558" s="352"/>
      <c r="R558" s="327"/>
      <c r="S558" s="352"/>
      <c r="T558" s="352"/>
      <c r="U558" s="327"/>
      <c r="V558" s="352"/>
      <c r="W558" s="352"/>
      <c r="X558" s="327"/>
      <c r="Y558" s="352"/>
      <c r="Z558" s="352"/>
      <c r="AA558" s="327"/>
      <c r="AB558" s="352"/>
      <c r="AC558" s="352"/>
      <c r="AD558" s="327"/>
      <c r="AE558" s="352"/>
      <c r="AF558" s="352"/>
      <c r="AG558" s="327"/>
      <c r="AH558" s="352"/>
      <c r="AI558" s="352"/>
      <c r="AJ558" s="327"/>
      <c r="AK558" s="352"/>
      <c r="AL558" s="352"/>
      <c r="AM558" s="327"/>
      <c r="AN558" s="352"/>
      <c r="AO558" s="352"/>
      <c r="AP558" s="327"/>
      <c r="AQ558" s="352"/>
      <c r="AR558" s="327"/>
      <c r="AU558" s="307"/>
      <c r="AX558" s="307"/>
      <c r="BA558" s="307"/>
      <c r="BC558" s="366"/>
      <c r="BD558" s="307"/>
      <c r="BG558" s="307"/>
    </row>
    <row r="559">
      <c r="A559" s="352"/>
      <c r="B559" s="352"/>
      <c r="C559" s="327"/>
      <c r="D559" s="352"/>
      <c r="E559" s="352"/>
      <c r="F559" s="327"/>
      <c r="G559" s="352"/>
      <c r="H559" s="352"/>
      <c r="I559" s="327"/>
      <c r="J559" s="352"/>
      <c r="K559" s="352"/>
      <c r="L559" s="327"/>
      <c r="M559" s="352"/>
      <c r="N559" s="352"/>
      <c r="O559" s="327"/>
      <c r="P559" s="352"/>
      <c r="Q559" s="352"/>
      <c r="R559" s="327"/>
      <c r="S559" s="352"/>
      <c r="T559" s="352"/>
      <c r="U559" s="327"/>
      <c r="V559" s="352"/>
      <c r="W559" s="352"/>
      <c r="X559" s="327"/>
      <c r="Y559" s="352"/>
      <c r="Z559" s="352"/>
      <c r="AA559" s="327"/>
      <c r="AB559" s="352"/>
      <c r="AC559" s="352"/>
      <c r="AD559" s="327"/>
      <c r="AE559" s="352"/>
      <c r="AF559" s="352"/>
      <c r="AG559" s="327"/>
      <c r="AH559" s="352"/>
      <c r="AI559" s="352"/>
      <c r="AJ559" s="327"/>
      <c r="AK559" s="352"/>
      <c r="AL559" s="352"/>
      <c r="AM559" s="327"/>
      <c r="AN559" s="352"/>
      <c r="AO559" s="352"/>
      <c r="AP559" s="327"/>
      <c r="AQ559" s="352"/>
      <c r="AR559" s="327"/>
      <c r="AU559" s="307"/>
      <c r="AX559" s="307"/>
      <c r="BA559" s="307"/>
      <c r="BC559" s="366"/>
      <c r="BD559" s="307"/>
      <c r="BG559" s="307"/>
    </row>
    <row r="560">
      <c r="A560" s="352"/>
      <c r="B560" s="352"/>
      <c r="C560" s="327"/>
      <c r="D560" s="352"/>
      <c r="E560" s="352"/>
      <c r="F560" s="327"/>
      <c r="G560" s="352"/>
      <c r="H560" s="352"/>
      <c r="I560" s="327"/>
      <c r="J560" s="352"/>
      <c r="K560" s="352"/>
      <c r="L560" s="327"/>
      <c r="M560" s="352"/>
      <c r="N560" s="352"/>
      <c r="O560" s="327"/>
      <c r="P560" s="352"/>
      <c r="Q560" s="352"/>
      <c r="R560" s="327"/>
      <c r="S560" s="352"/>
      <c r="T560" s="352"/>
      <c r="U560" s="327"/>
      <c r="V560" s="352"/>
      <c r="W560" s="352"/>
      <c r="X560" s="327"/>
      <c r="Y560" s="352"/>
      <c r="Z560" s="352"/>
      <c r="AA560" s="327"/>
      <c r="AB560" s="352"/>
      <c r="AC560" s="352"/>
      <c r="AD560" s="327"/>
      <c r="AE560" s="352"/>
      <c r="AF560" s="352"/>
      <c r="AG560" s="327"/>
      <c r="AH560" s="352"/>
      <c r="AI560" s="352"/>
      <c r="AJ560" s="327"/>
      <c r="AK560" s="352"/>
      <c r="AL560" s="352"/>
      <c r="AM560" s="327"/>
      <c r="AN560" s="352"/>
      <c r="AO560" s="352"/>
      <c r="AP560" s="327"/>
      <c r="AQ560" s="352"/>
      <c r="AR560" s="327"/>
      <c r="AU560" s="307"/>
      <c r="AX560" s="307"/>
      <c r="BA560" s="307"/>
      <c r="BC560" s="366"/>
      <c r="BD560" s="307"/>
      <c r="BG560" s="307"/>
    </row>
    <row r="561">
      <c r="A561" s="352"/>
      <c r="B561" s="352"/>
      <c r="C561" s="327"/>
      <c r="D561" s="352"/>
      <c r="E561" s="352"/>
      <c r="F561" s="327"/>
      <c r="G561" s="352"/>
      <c r="H561" s="352"/>
      <c r="I561" s="327"/>
      <c r="J561" s="352"/>
      <c r="K561" s="352"/>
      <c r="L561" s="327"/>
      <c r="M561" s="352"/>
      <c r="N561" s="352"/>
      <c r="O561" s="327"/>
      <c r="P561" s="352"/>
      <c r="Q561" s="352"/>
      <c r="R561" s="327"/>
      <c r="S561" s="352"/>
      <c r="T561" s="352"/>
      <c r="U561" s="327"/>
      <c r="V561" s="352"/>
      <c r="W561" s="352"/>
      <c r="X561" s="327"/>
      <c r="Y561" s="352"/>
      <c r="Z561" s="352"/>
      <c r="AA561" s="327"/>
      <c r="AB561" s="352"/>
      <c r="AC561" s="352"/>
      <c r="AD561" s="327"/>
      <c r="AE561" s="352"/>
      <c r="AF561" s="352"/>
      <c r="AG561" s="327"/>
      <c r="AH561" s="352"/>
      <c r="AI561" s="352"/>
      <c r="AJ561" s="327"/>
      <c r="AK561" s="352"/>
      <c r="AL561" s="352"/>
      <c r="AM561" s="327"/>
      <c r="AN561" s="352"/>
      <c r="AO561" s="352"/>
      <c r="AP561" s="327"/>
      <c r="AQ561" s="352"/>
      <c r="AR561" s="327"/>
      <c r="AU561" s="307"/>
      <c r="AX561" s="307"/>
      <c r="BA561" s="307"/>
      <c r="BC561" s="366"/>
      <c r="BD561" s="307"/>
      <c r="BG561" s="307"/>
    </row>
    <row r="562">
      <c r="A562" s="352"/>
      <c r="B562" s="352"/>
      <c r="C562" s="327"/>
      <c r="D562" s="352"/>
      <c r="E562" s="352"/>
      <c r="F562" s="327"/>
      <c r="G562" s="352"/>
      <c r="H562" s="352"/>
      <c r="I562" s="327"/>
      <c r="J562" s="352"/>
      <c r="K562" s="352"/>
      <c r="L562" s="327"/>
      <c r="M562" s="352"/>
      <c r="N562" s="352"/>
      <c r="O562" s="327"/>
      <c r="P562" s="352"/>
      <c r="Q562" s="352"/>
      <c r="R562" s="327"/>
      <c r="S562" s="352"/>
      <c r="T562" s="352"/>
      <c r="U562" s="327"/>
      <c r="V562" s="352"/>
      <c r="W562" s="352"/>
      <c r="X562" s="327"/>
      <c r="Y562" s="352"/>
      <c r="Z562" s="352"/>
      <c r="AA562" s="327"/>
      <c r="AB562" s="352"/>
      <c r="AC562" s="352"/>
      <c r="AD562" s="327"/>
      <c r="AE562" s="352"/>
      <c r="AF562" s="352"/>
      <c r="AG562" s="327"/>
      <c r="AH562" s="352"/>
      <c r="AI562" s="352"/>
      <c r="AJ562" s="327"/>
      <c r="AK562" s="352"/>
      <c r="AL562" s="352"/>
      <c r="AM562" s="327"/>
      <c r="AN562" s="352"/>
      <c r="AO562" s="352"/>
      <c r="AP562" s="327"/>
      <c r="AQ562" s="352"/>
      <c r="AR562" s="327"/>
      <c r="AU562" s="307"/>
      <c r="AX562" s="307"/>
      <c r="BA562" s="307"/>
      <c r="BC562" s="366"/>
      <c r="BD562" s="307"/>
      <c r="BG562" s="307"/>
    </row>
    <row r="563">
      <c r="A563" s="352"/>
      <c r="B563" s="352"/>
      <c r="C563" s="327"/>
      <c r="D563" s="352"/>
      <c r="E563" s="352"/>
      <c r="F563" s="327"/>
      <c r="G563" s="352"/>
      <c r="H563" s="352"/>
      <c r="I563" s="327"/>
      <c r="J563" s="352"/>
      <c r="K563" s="352"/>
      <c r="L563" s="327"/>
      <c r="M563" s="352"/>
      <c r="N563" s="352"/>
      <c r="O563" s="327"/>
      <c r="P563" s="352"/>
      <c r="Q563" s="352"/>
      <c r="R563" s="327"/>
      <c r="S563" s="352"/>
      <c r="T563" s="352"/>
      <c r="U563" s="327"/>
      <c r="V563" s="352"/>
      <c r="W563" s="352"/>
      <c r="X563" s="327"/>
      <c r="Y563" s="352"/>
      <c r="Z563" s="352"/>
      <c r="AA563" s="327"/>
      <c r="AB563" s="352"/>
      <c r="AC563" s="352"/>
      <c r="AD563" s="327"/>
      <c r="AE563" s="352"/>
      <c r="AF563" s="352"/>
      <c r="AG563" s="327"/>
      <c r="AH563" s="352"/>
      <c r="AI563" s="352"/>
      <c r="AJ563" s="327"/>
      <c r="AK563" s="352"/>
      <c r="AL563" s="352"/>
      <c r="AM563" s="327"/>
      <c r="AN563" s="352"/>
      <c r="AO563" s="352"/>
      <c r="AP563" s="327"/>
      <c r="AQ563" s="352"/>
      <c r="AR563" s="327"/>
      <c r="AU563" s="307"/>
      <c r="AX563" s="307"/>
      <c r="BA563" s="307"/>
      <c r="BC563" s="366"/>
      <c r="BD563" s="307"/>
      <c r="BG563" s="307"/>
    </row>
    <row r="564">
      <c r="A564" s="352"/>
      <c r="B564" s="352"/>
      <c r="C564" s="327"/>
      <c r="D564" s="352"/>
      <c r="E564" s="352"/>
      <c r="F564" s="327"/>
      <c r="G564" s="352"/>
      <c r="H564" s="352"/>
      <c r="I564" s="327"/>
      <c r="J564" s="352"/>
      <c r="K564" s="352"/>
      <c r="L564" s="327"/>
      <c r="M564" s="352"/>
      <c r="N564" s="352"/>
      <c r="O564" s="327"/>
      <c r="P564" s="352"/>
      <c r="Q564" s="352"/>
      <c r="R564" s="327"/>
      <c r="S564" s="352"/>
      <c r="T564" s="352"/>
      <c r="U564" s="327"/>
      <c r="V564" s="352"/>
      <c r="W564" s="352"/>
      <c r="X564" s="327"/>
      <c r="Y564" s="352"/>
      <c r="Z564" s="352"/>
      <c r="AA564" s="327"/>
      <c r="AB564" s="352"/>
      <c r="AC564" s="352"/>
      <c r="AD564" s="327"/>
      <c r="AE564" s="352"/>
      <c r="AF564" s="352"/>
      <c r="AG564" s="327"/>
      <c r="AH564" s="352"/>
      <c r="AI564" s="352"/>
      <c r="AJ564" s="327"/>
      <c r="AK564" s="352"/>
      <c r="AL564" s="352"/>
      <c r="AM564" s="327"/>
      <c r="AN564" s="352"/>
      <c r="AO564" s="352"/>
      <c r="AP564" s="327"/>
      <c r="AQ564" s="352"/>
      <c r="AR564" s="327"/>
      <c r="AU564" s="307"/>
      <c r="AX564" s="307"/>
      <c r="BA564" s="307"/>
      <c r="BC564" s="366"/>
      <c r="BD564" s="307"/>
      <c r="BG564" s="307"/>
    </row>
    <row r="565">
      <c r="A565" s="352"/>
      <c r="B565" s="352"/>
      <c r="C565" s="327"/>
      <c r="D565" s="352"/>
      <c r="E565" s="352"/>
      <c r="F565" s="327"/>
      <c r="G565" s="352"/>
      <c r="H565" s="352"/>
      <c r="I565" s="327"/>
      <c r="J565" s="352"/>
      <c r="K565" s="352"/>
      <c r="L565" s="327"/>
      <c r="M565" s="352"/>
      <c r="N565" s="352"/>
      <c r="O565" s="327"/>
      <c r="P565" s="352"/>
      <c r="Q565" s="352"/>
      <c r="R565" s="327"/>
      <c r="S565" s="352"/>
      <c r="T565" s="352"/>
      <c r="U565" s="327"/>
      <c r="V565" s="352"/>
      <c r="W565" s="352"/>
      <c r="X565" s="327"/>
      <c r="Y565" s="352"/>
      <c r="Z565" s="352"/>
      <c r="AA565" s="327"/>
      <c r="AB565" s="352"/>
      <c r="AC565" s="352"/>
      <c r="AD565" s="327"/>
      <c r="AE565" s="352"/>
      <c r="AF565" s="352"/>
      <c r="AG565" s="327"/>
      <c r="AH565" s="352"/>
      <c r="AI565" s="352"/>
      <c r="AJ565" s="327"/>
      <c r="AK565" s="352"/>
      <c r="AL565" s="352"/>
      <c r="AM565" s="327"/>
      <c r="AN565" s="352"/>
      <c r="AO565" s="352"/>
      <c r="AP565" s="327"/>
      <c r="AQ565" s="352"/>
      <c r="AR565" s="327"/>
      <c r="AU565" s="307"/>
      <c r="AX565" s="307"/>
      <c r="BA565" s="307"/>
      <c r="BC565" s="366"/>
      <c r="BD565" s="307"/>
      <c r="BG565" s="307"/>
    </row>
    <row r="566">
      <c r="A566" s="352"/>
      <c r="B566" s="352"/>
      <c r="C566" s="327"/>
      <c r="D566" s="352"/>
      <c r="E566" s="352"/>
      <c r="F566" s="327"/>
      <c r="G566" s="352"/>
      <c r="H566" s="352"/>
      <c r="I566" s="327"/>
      <c r="J566" s="352"/>
      <c r="K566" s="352"/>
      <c r="L566" s="327"/>
      <c r="M566" s="352"/>
      <c r="N566" s="352"/>
      <c r="O566" s="327"/>
      <c r="P566" s="352"/>
      <c r="Q566" s="352"/>
      <c r="R566" s="327"/>
      <c r="S566" s="352"/>
      <c r="T566" s="352"/>
      <c r="U566" s="327"/>
      <c r="V566" s="352"/>
      <c r="W566" s="352"/>
      <c r="X566" s="327"/>
      <c r="Y566" s="352"/>
      <c r="Z566" s="352"/>
      <c r="AA566" s="327"/>
      <c r="AB566" s="352"/>
      <c r="AC566" s="352"/>
      <c r="AD566" s="327"/>
      <c r="AE566" s="352"/>
      <c r="AF566" s="352"/>
      <c r="AG566" s="327"/>
      <c r="AH566" s="352"/>
      <c r="AI566" s="352"/>
      <c r="AJ566" s="327"/>
      <c r="AK566" s="352"/>
      <c r="AL566" s="352"/>
      <c r="AM566" s="327"/>
      <c r="AN566" s="352"/>
      <c r="AO566" s="352"/>
      <c r="AP566" s="327"/>
      <c r="AQ566" s="352"/>
      <c r="AR566" s="327"/>
      <c r="AU566" s="307"/>
      <c r="AX566" s="307"/>
      <c r="BA566" s="307"/>
      <c r="BC566" s="366"/>
      <c r="BD566" s="307"/>
      <c r="BG566" s="307"/>
    </row>
    <row r="567">
      <c r="A567" s="352"/>
      <c r="B567" s="352"/>
      <c r="C567" s="327"/>
      <c r="D567" s="352"/>
      <c r="E567" s="352"/>
      <c r="F567" s="327"/>
      <c r="G567" s="352"/>
      <c r="H567" s="352"/>
      <c r="I567" s="327"/>
      <c r="J567" s="352"/>
      <c r="K567" s="352"/>
      <c r="L567" s="327"/>
      <c r="M567" s="352"/>
      <c r="N567" s="352"/>
      <c r="O567" s="327"/>
      <c r="P567" s="352"/>
      <c r="Q567" s="352"/>
      <c r="R567" s="327"/>
      <c r="S567" s="352"/>
      <c r="T567" s="352"/>
      <c r="U567" s="327"/>
      <c r="V567" s="352"/>
      <c r="W567" s="352"/>
      <c r="X567" s="327"/>
      <c r="Y567" s="352"/>
      <c r="Z567" s="352"/>
      <c r="AA567" s="327"/>
      <c r="AB567" s="352"/>
      <c r="AC567" s="352"/>
      <c r="AD567" s="327"/>
      <c r="AE567" s="352"/>
      <c r="AF567" s="352"/>
      <c r="AG567" s="327"/>
      <c r="AH567" s="352"/>
      <c r="AI567" s="352"/>
      <c r="AJ567" s="327"/>
      <c r="AK567" s="352"/>
      <c r="AL567" s="352"/>
      <c r="AM567" s="327"/>
      <c r="AN567" s="352"/>
      <c r="AO567" s="352"/>
      <c r="AP567" s="327"/>
      <c r="AQ567" s="352"/>
      <c r="AR567" s="327"/>
      <c r="AU567" s="307"/>
      <c r="AX567" s="307"/>
      <c r="BA567" s="307"/>
      <c r="BC567" s="366"/>
      <c r="BD567" s="307"/>
      <c r="BG567" s="307"/>
    </row>
    <row r="568">
      <c r="A568" s="352"/>
      <c r="B568" s="352"/>
      <c r="C568" s="327"/>
      <c r="D568" s="352"/>
      <c r="E568" s="352"/>
      <c r="F568" s="327"/>
      <c r="G568" s="352"/>
      <c r="H568" s="352"/>
      <c r="I568" s="327"/>
      <c r="J568" s="352"/>
      <c r="K568" s="352"/>
      <c r="L568" s="327"/>
      <c r="M568" s="352"/>
      <c r="N568" s="352"/>
      <c r="O568" s="327"/>
      <c r="P568" s="352"/>
      <c r="Q568" s="352"/>
      <c r="R568" s="327"/>
      <c r="S568" s="352"/>
      <c r="T568" s="352"/>
      <c r="U568" s="327"/>
      <c r="V568" s="352"/>
      <c r="W568" s="352"/>
      <c r="X568" s="327"/>
      <c r="Y568" s="352"/>
      <c r="Z568" s="352"/>
      <c r="AA568" s="327"/>
      <c r="AB568" s="352"/>
      <c r="AC568" s="352"/>
      <c r="AD568" s="327"/>
      <c r="AE568" s="352"/>
      <c r="AF568" s="352"/>
      <c r="AG568" s="327"/>
      <c r="AH568" s="352"/>
      <c r="AI568" s="352"/>
      <c r="AJ568" s="327"/>
      <c r="AK568" s="352"/>
      <c r="AL568" s="352"/>
      <c r="AM568" s="327"/>
      <c r="AN568" s="352"/>
      <c r="AO568" s="352"/>
      <c r="AP568" s="327"/>
      <c r="AQ568" s="352"/>
      <c r="AR568" s="327"/>
      <c r="AU568" s="307"/>
      <c r="AX568" s="307"/>
      <c r="BA568" s="307"/>
      <c r="BC568" s="366"/>
      <c r="BD568" s="307"/>
      <c r="BG568" s="307"/>
    </row>
    <row r="569">
      <c r="A569" s="352"/>
      <c r="B569" s="352"/>
      <c r="C569" s="327"/>
      <c r="D569" s="352"/>
      <c r="E569" s="352"/>
      <c r="F569" s="327"/>
      <c r="G569" s="352"/>
      <c r="H569" s="352"/>
      <c r="I569" s="327"/>
      <c r="J569" s="352"/>
      <c r="K569" s="352"/>
      <c r="L569" s="327"/>
      <c r="M569" s="352"/>
      <c r="N569" s="352"/>
      <c r="O569" s="327"/>
      <c r="P569" s="352"/>
      <c r="Q569" s="352"/>
      <c r="R569" s="327"/>
      <c r="S569" s="352"/>
      <c r="T569" s="352"/>
      <c r="U569" s="327"/>
      <c r="V569" s="352"/>
      <c r="W569" s="352"/>
      <c r="X569" s="327"/>
      <c r="Y569" s="352"/>
      <c r="Z569" s="352"/>
      <c r="AA569" s="327"/>
      <c r="AB569" s="352"/>
      <c r="AC569" s="352"/>
      <c r="AD569" s="327"/>
      <c r="AE569" s="352"/>
      <c r="AF569" s="352"/>
      <c r="AG569" s="327"/>
      <c r="AH569" s="352"/>
      <c r="AI569" s="352"/>
      <c r="AJ569" s="327"/>
      <c r="AK569" s="352"/>
      <c r="AL569" s="352"/>
      <c r="AM569" s="327"/>
      <c r="AN569" s="352"/>
      <c r="AO569" s="352"/>
      <c r="AP569" s="327"/>
      <c r="AQ569" s="352"/>
      <c r="AR569" s="327"/>
      <c r="AU569" s="307"/>
      <c r="AX569" s="307"/>
      <c r="BA569" s="307"/>
      <c r="BC569" s="366"/>
      <c r="BD569" s="307"/>
      <c r="BG569" s="307"/>
    </row>
    <row r="570">
      <c r="A570" s="352"/>
      <c r="B570" s="352"/>
      <c r="C570" s="327"/>
      <c r="D570" s="352"/>
      <c r="E570" s="352"/>
      <c r="F570" s="327"/>
      <c r="G570" s="352"/>
      <c r="H570" s="352"/>
      <c r="I570" s="327"/>
      <c r="J570" s="352"/>
      <c r="K570" s="352"/>
      <c r="L570" s="327"/>
      <c r="M570" s="352"/>
      <c r="N570" s="352"/>
      <c r="O570" s="327"/>
      <c r="P570" s="352"/>
      <c r="Q570" s="352"/>
      <c r="R570" s="327"/>
      <c r="S570" s="352"/>
      <c r="T570" s="352"/>
      <c r="U570" s="327"/>
      <c r="V570" s="352"/>
      <c r="W570" s="352"/>
      <c r="X570" s="327"/>
      <c r="Y570" s="352"/>
      <c r="Z570" s="352"/>
      <c r="AA570" s="327"/>
      <c r="AB570" s="352"/>
      <c r="AC570" s="352"/>
      <c r="AD570" s="327"/>
      <c r="AE570" s="352"/>
      <c r="AF570" s="352"/>
      <c r="AG570" s="327"/>
      <c r="AH570" s="352"/>
      <c r="AI570" s="352"/>
      <c r="AJ570" s="327"/>
      <c r="AK570" s="352"/>
      <c r="AL570" s="352"/>
      <c r="AM570" s="327"/>
      <c r="AN570" s="352"/>
      <c r="AO570" s="352"/>
      <c r="AP570" s="327"/>
      <c r="AQ570" s="352"/>
      <c r="AR570" s="327"/>
      <c r="AU570" s="307"/>
      <c r="AX570" s="307"/>
      <c r="BA570" s="307"/>
      <c r="BC570" s="366"/>
      <c r="BD570" s="307"/>
      <c r="BG570" s="307"/>
    </row>
    <row r="571">
      <c r="A571" s="352"/>
      <c r="B571" s="352"/>
      <c r="C571" s="327"/>
      <c r="D571" s="352"/>
      <c r="E571" s="352"/>
      <c r="F571" s="327"/>
      <c r="G571" s="352"/>
      <c r="H571" s="352"/>
      <c r="I571" s="327"/>
      <c r="J571" s="352"/>
      <c r="K571" s="352"/>
      <c r="L571" s="327"/>
      <c r="M571" s="352"/>
      <c r="N571" s="352"/>
      <c r="O571" s="327"/>
      <c r="P571" s="352"/>
      <c r="Q571" s="352"/>
      <c r="R571" s="327"/>
      <c r="S571" s="352"/>
      <c r="T571" s="352"/>
      <c r="U571" s="327"/>
      <c r="V571" s="352"/>
      <c r="W571" s="352"/>
      <c r="X571" s="327"/>
      <c r="Y571" s="352"/>
      <c r="Z571" s="352"/>
      <c r="AA571" s="327"/>
      <c r="AB571" s="352"/>
      <c r="AC571" s="352"/>
      <c r="AD571" s="327"/>
      <c r="AE571" s="352"/>
      <c r="AF571" s="352"/>
      <c r="AG571" s="327"/>
      <c r="AH571" s="352"/>
      <c r="AI571" s="352"/>
      <c r="AJ571" s="327"/>
      <c r="AK571" s="352"/>
      <c r="AL571" s="352"/>
      <c r="AM571" s="327"/>
      <c r="AN571" s="352"/>
      <c r="AO571" s="352"/>
      <c r="AP571" s="327"/>
      <c r="AQ571" s="352"/>
      <c r="AR571" s="327"/>
      <c r="AU571" s="307"/>
      <c r="AX571" s="307"/>
      <c r="BA571" s="307"/>
      <c r="BC571" s="366"/>
      <c r="BD571" s="307"/>
      <c r="BG571" s="307"/>
    </row>
    <row r="572">
      <c r="A572" s="352"/>
      <c r="B572" s="352"/>
      <c r="C572" s="327"/>
      <c r="D572" s="352"/>
      <c r="E572" s="352"/>
      <c r="F572" s="327"/>
      <c r="G572" s="352"/>
      <c r="H572" s="352"/>
      <c r="I572" s="327"/>
      <c r="J572" s="352"/>
      <c r="K572" s="352"/>
      <c r="L572" s="327"/>
      <c r="M572" s="352"/>
      <c r="N572" s="352"/>
      <c r="O572" s="327"/>
      <c r="P572" s="352"/>
      <c r="Q572" s="352"/>
      <c r="R572" s="327"/>
      <c r="S572" s="352"/>
      <c r="T572" s="352"/>
      <c r="U572" s="327"/>
      <c r="V572" s="352"/>
      <c r="W572" s="352"/>
      <c r="X572" s="327"/>
      <c r="Y572" s="352"/>
      <c r="Z572" s="352"/>
      <c r="AA572" s="327"/>
      <c r="AB572" s="352"/>
      <c r="AC572" s="352"/>
      <c r="AD572" s="327"/>
      <c r="AE572" s="352"/>
      <c r="AF572" s="352"/>
      <c r="AG572" s="327"/>
      <c r="AH572" s="352"/>
      <c r="AI572" s="352"/>
      <c r="AJ572" s="327"/>
      <c r="AK572" s="352"/>
      <c r="AL572" s="352"/>
      <c r="AM572" s="327"/>
      <c r="AN572" s="352"/>
      <c r="AO572" s="352"/>
      <c r="AP572" s="327"/>
      <c r="AQ572" s="352"/>
      <c r="AR572" s="327"/>
      <c r="AU572" s="307"/>
      <c r="AX572" s="307"/>
      <c r="BA572" s="307"/>
      <c r="BC572" s="366"/>
      <c r="BD572" s="307"/>
      <c r="BG572" s="307"/>
    </row>
    <row r="573">
      <c r="A573" s="352"/>
      <c r="B573" s="352"/>
      <c r="C573" s="327"/>
      <c r="D573" s="352"/>
      <c r="E573" s="352"/>
      <c r="F573" s="327"/>
      <c r="G573" s="352"/>
      <c r="H573" s="352"/>
      <c r="I573" s="327"/>
      <c r="J573" s="352"/>
      <c r="K573" s="352"/>
      <c r="L573" s="327"/>
      <c r="M573" s="352"/>
      <c r="N573" s="352"/>
      <c r="O573" s="327"/>
      <c r="P573" s="352"/>
      <c r="Q573" s="352"/>
      <c r="R573" s="327"/>
      <c r="S573" s="352"/>
      <c r="T573" s="352"/>
      <c r="U573" s="327"/>
      <c r="V573" s="352"/>
      <c r="W573" s="352"/>
      <c r="X573" s="327"/>
      <c r="Y573" s="352"/>
      <c r="Z573" s="352"/>
      <c r="AA573" s="327"/>
      <c r="AB573" s="352"/>
      <c r="AC573" s="352"/>
      <c r="AD573" s="327"/>
      <c r="AE573" s="352"/>
      <c r="AF573" s="352"/>
      <c r="AG573" s="327"/>
      <c r="AH573" s="352"/>
      <c r="AI573" s="352"/>
      <c r="AJ573" s="327"/>
      <c r="AK573" s="352"/>
      <c r="AL573" s="352"/>
      <c r="AM573" s="327"/>
      <c r="AN573" s="352"/>
      <c r="AO573" s="352"/>
      <c r="AP573" s="327"/>
      <c r="AQ573" s="352"/>
      <c r="AR573" s="327"/>
      <c r="AU573" s="307"/>
      <c r="AX573" s="307"/>
      <c r="BA573" s="307"/>
      <c r="BC573" s="366"/>
      <c r="BD573" s="307"/>
      <c r="BG573" s="307"/>
    </row>
    <row r="574">
      <c r="A574" s="352"/>
      <c r="B574" s="352"/>
      <c r="C574" s="327"/>
      <c r="D574" s="352"/>
      <c r="E574" s="352"/>
      <c r="F574" s="327"/>
      <c r="G574" s="352"/>
      <c r="H574" s="352"/>
      <c r="I574" s="327"/>
      <c r="J574" s="352"/>
      <c r="K574" s="352"/>
      <c r="L574" s="327"/>
      <c r="M574" s="352"/>
      <c r="N574" s="352"/>
      <c r="O574" s="327"/>
      <c r="P574" s="352"/>
      <c r="Q574" s="352"/>
      <c r="R574" s="327"/>
      <c r="S574" s="352"/>
      <c r="T574" s="352"/>
      <c r="U574" s="327"/>
      <c r="V574" s="352"/>
      <c r="W574" s="352"/>
      <c r="X574" s="327"/>
      <c r="Y574" s="352"/>
      <c r="Z574" s="352"/>
      <c r="AA574" s="327"/>
      <c r="AB574" s="352"/>
      <c r="AC574" s="352"/>
      <c r="AD574" s="327"/>
      <c r="AE574" s="352"/>
      <c r="AF574" s="352"/>
      <c r="AG574" s="327"/>
      <c r="AH574" s="352"/>
      <c r="AI574" s="352"/>
      <c r="AJ574" s="327"/>
      <c r="AK574" s="352"/>
      <c r="AL574" s="352"/>
      <c r="AM574" s="327"/>
      <c r="AN574" s="352"/>
      <c r="AO574" s="352"/>
      <c r="AP574" s="327"/>
      <c r="AQ574" s="352"/>
      <c r="AR574" s="327"/>
      <c r="AU574" s="307"/>
      <c r="AX574" s="307"/>
      <c r="BA574" s="307"/>
      <c r="BC574" s="366"/>
      <c r="BD574" s="307"/>
      <c r="BG574" s="307"/>
    </row>
    <row r="575">
      <c r="A575" s="352"/>
      <c r="B575" s="352"/>
      <c r="C575" s="327"/>
      <c r="D575" s="352"/>
      <c r="E575" s="352"/>
      <c r="F575" s="327"/>
      <c r="G575" s="352"/>
      <c r="H575" s="352"/>
      <c r="I575" s="327"/>
      <c r="J575" s="352"/>
      <c r="K575" s="352"/>
      <c r="L575" s="327"/>
      <c r="M575" s="352"/>
      <c r="N575" s="352"/>
      <c r="O575" s="327"/>
      <c r="P575" s="352"/>
      <c r="Q575" s="352"/>
      <c r="R575" s="327"/>
      <c r="S575" s="352"/>
      <c r="T575" s="352"/>
      <c r="U575" s="327"/>
      <c r="V575" s="352"/>
      <c r="W575" s="352"/>
      <c r="X575" s="327"/>
      <c r="Y575" s="352"/>
      <c r="Z575" s="352"/>
      <c r="AA575" s="327"/>
      <c r="AB575" s="352"/>
      <c r="AC575" s="352"/>
      <c r="AD575" s="327"/>
      <c r="AE575" s="352"/>
      <c r="AF575" s="352"/>
      <c r="AG575" s="327"/>
      <c r="AH575" s="352"/>
      <c r="AI575" s="352"/>
      <c r="AJ575" s="327"/>
      <c r="AK575" s="352"/>
      <c r="AL575" s="352"/>
      <c r="AM575" s="327"/>
      <c r="AN575" s="352"/>
      <c r="AO575" s="352"/>
      <c r="AP575" s="327"/>
      <c r="AQ575" s="352"/>
      <c r="AR575" s="327"/>
      <c r="AU575" s="307"/>
      <c r="AX575" s="307"/>
      <c r="BA575" s="307"/>
      <c r="BC575" s="366"/>
      <c r="BD575" s="307"/>
      <c r="BG575" s="307"/>
    </row>
    <row r="576">
      <c r="A576" s="352"/>
      <c r="B576" s="352"/>
      <c r="C576" s="327"/>
      <c r="D576" s="352"/>
      <c r="E576" s="352"/>
      <c r="F576" s="327"/>
      <c r="G576" s="352"/>
      <c r="H576" s="352"/>
      <c r="I576" s="327"/>
      <c r="J576" s="352"/>
      <c r="K576" s="352"/>
      <c r="L576" s="327"/>
      <c r="M576" s="352"/>
      <c r="N576" s="352"/>
      <c r="O576" s="327"/>
      <c r="P576" s="352"/>
      <c r="Q576" s="352"/>
      <c r="R576" s="327"/>
      <c r="S576" s="352"/>
      <c r="T576" s="352"/>
      <c r="U576" s="327"/>
      <c r="V576" s="352"/>
      <c r="W576" s="352"/>
      <c r="X576" s="327"/>
      <c r="Y576" s="352"/>
      <c r="Z576" s="352"/>
      <c r="AA576" s="327"/>
      <c r="AB576" s="352"/>
      <c r="AC576" s="352"/>
      <c r="AD576" s="327"/>
      <c r="AE576" s="352"/>
      <c r="AF576" s="352"/>
      <c r="AG576" s="327"/>
      <c r="AH576" s="352"/>
      <c r="AI576" s="352"/>
      <c r="AJ576" s="327"/>
      <c r="AK576" s="352"/>
      <c r="AL576" s="352"/>
      <c r="AM576" s="327"/>
      <c r="AN576" s="352"/>
      <c r="AO576" s="352"/>
      <c r="AP576" s="327"/>
      <c r="AQ576" s="352"/>
      <c r="AR576" s="327"/>
      <c r="AU576" s="307"/>
      <c r="AX576" s="307"/>
      <c r="BA576" s="307"/>
      <c r="BC576" s="366"/>
      <c r="BD576" s="307"/>
      <c r="BG576" s="307"/>
    </row>
    <row r="577">
      <c r="A577" s="352"/>
      <c r="B577" s="352"/>
      <c r="C577" s="327"/>
      <c r="D577" s="352"/>
      <c r="E577" s="352"/>
      <c r="F577" s="327"/>
      <c r="G577" s="352"/>
      <c r="H577" s="352"/>
      <c r="I577" s="327"/>
      <c r="J577" s="352"/>
      <c r="K577" s="352"/>
      <c r="L577" s="327"/>
      <c r="M577" s="352"/>
      <c r="N577" s="352"/>
      <c r="O577" s="327"/>
      <c r="P577" s="352"/>
      <c r="Q577" s="352"/>
      <c r="R577" s="327"/>
      <c r="S577" s="352"/>
      <c r="T577" s="352"/>
      <c r="U577" s="327"/>
      <c r="V577" s="352"/>
      <c r="W577" s="352"/>
      <c r="X577" s="327"/>
      <c r="Y577" s="352"/>
      <c r="Z577" s="352"/>
      <c r="AA577" s="327"/>
      <c r="AB577" s="352"/>
      <c r="AC577" s="352"/>
      <c r="AD577" s="327"/>
      <c r="AE577" s="352"/>
      <c r="AF577" s="352"/>
      <c r="AG577" s="327"/>
      <c r="AH577" s="352"/>
      <c r="AI577" s="352"/>
      <c r="AJ577" s="327"/>
      <c r="AK577" s="352"/>
      <c r="AL577" s="352"/>
      <c r="AM577" s="327"/>
      <c r="AN577" s="352"/>
      <c r="AO577" s="352"/>
      <c r="AP577" s="327"/>
      <c r="AQ577" s="352"/>
      <c r="AR577" s="327"/>
      <c r="AU577" s="307"/>
      <c r="AX577" s="307"/>
      <c r="BA577" s="307"/>
      <c r="BC577" s="366"/>
      <c r="BD577" s="307"/>
      <c r="BG577" s="307"/>
    </row>
    <row r="578">
      <c r="A578" s="352"/>
      <c r="B578" s="352"/>
      <c r="C578" s="327"/>
      <c r="D578" s="352"/>
      <c r="E578" s="352"/>
      <c r="F578" s="327"/>
      <c r="G578" s="352"/>
      <c r="H578" s="352"/>
      <c r="I578" s="327"/>
      <c r="J578" s="352"/>
      <c r="K578" s="352"/>
      <c r="L578" s="327"/>
      <c r="M578" s="352"/>
      <c r="N578" s="352"/>
      <c r="O578" s="327"/>
      <c r="P578" s="352"/>
      <c r="Q578" s="352"/>
      <c r="R578" s="327"/>
      <c r="S578" s="352"/>
      <c r="T578" s="352"/>
      <c r="U578" s="327"/>
      <c r="V578" s="352"/>
      <c r="W578" s="352"/>
      <c r="X578" s="327"/>
      <c r="Y578" s="352"/>
      <c r="Z578" s="352"/>
      <c r="AA578" s="327"/>
      <c r="AB578" s="352"/>
      <c r="AC578" s="352"/>
      <c r="AD578" s="327"/>
      <c r="AE578" s="352"/>
      <c r="AF578" s="352"/>
      <c r="AG578" s="327"/>
      <c r="AH578" s="352"/>
      <c r="AI578" s="352"/>
      <c r="AJ578" s="327"/>
      <c r="AK578" s="352"/>
      <c r="AL578" s="352"/>
      <c r="AM578" s="327"/>
      <c r="AN578" s="352"/>
      <c r="AO578" s="352"/>
      <c r="AP578" s="327"/>
      <c r="AQ578" s="352"/>
      <c r="AR578" s="327"/>
      <c r="AU578" s="307"/>
      <c r="AX578" s="307"/>
      <c r="BA578" s="307"/>
      <c r="BC578" s="366"/>
      <c r="BD578" s="307"/>
      <c r="BG578" s="307"/>
    </row>
    <row r="579">
      <c r="A579" s="352"/>
      <c r="B579" s="352"/>
      <c r="C579" s="327"/>
      <c r="D579" s="352"/>
      <c r="E579" s="352"/>
      <c r="F579" s="327"/>
      <c r="G579" s="352"/>
      <c r="H579" s="352"/>
      <c r="I579" s="327"/>
      <c r="J579" s="352"/>
      <c r="K579" s="352"/>
      <c r="L579" s="327"/>
      <c r="M579" s="352"/>
      <c r="N579" s="352"/>
      <c r="O579" s="327"/>
      <c r="P579" s="352"/>
      <c r="Q579" s="352"/>
      <c r="R579" s="327"/>
      <c r="S579" s="352"/>
      <c r="T579" s="352"/>
      <c r="U579" s="327"/>
      <c r="V579" s="352"/>
      <c r="W579" s="352"/>
      <c r="X579" s="327"/>
      <c r="Y579" s="352"/>
      <c r="Z579" s="352"/>
      <c r="AA579" s="327"/>
      <c r="AB579" s="352"/>
      <c r="AC579" s="352"/>
      <c r="AD579" s="327"/>
      <c r="AE579" s="352"/>
      <c r="AF579" s="352"/>
      <c r="AG579" s="327"/>
      <c r="AH579" s="352"/>
      <c r="AI579" s="352"/>
      <c r="AJ579" s="327"/>
      <c r="AK579" s="352"/>
      <c r="AL579" s="352"/>
      <c r="AM579" s="327"/>
      <c r="AN579" s="352"/>
      <c r="AO579" s="352"/>
      <c r="AP579" s="327"/>
      <c r="AQ579" s="352"/>
      <c r="AR579" s="327"/>
      <c r="AU579" s="307"/>
      <c r="AX579" s="307"/>
      <c r="BA579" s="307"/>
      <c r="BC579" s="366"/>
      <c r="BD579" s="307"/>
      <c r="BG579" s="307"/>
    </row>
    <row r="580">
      <c r="A580" s="352"/>
      <c r="B580" s="352"/>
      <c r="C580" s="327"/>
      <c r="D580" s="352"/>
      <c r="E580" s="352"/>
      <c r="F580" s="327"/>
      <c r="G580" s="352"/>
      <c r="H580" s="352"/>
      <c r="I580" s="327"/>
      <c r="J580" s="352"/>
      <c r="K580" s="352"/>
      <c r="L580" s="327"/>
      <c r="M580" s="352"/>
      <c r="N580" s="352"/>
      <c r="O580" s="327"/>
      <c r="P580" s="352"/>
      <c r="Q580" s="352"/>
      <c r="R580" s="327"/>
      <c r="S580" s="352"/>
      <c r="T580" s="352"/>
      <c r="U580" s="327"/>
      <c r="V580" s="352"/>
      <c r="W580" s="352"/>
      <c r="X580" s="327"/>
      <c r="Y580" s="352"/>
      <c r="Z580" s="352"/>
      <c r="AA580" s="327"/>
      <c r="AB580" s="352"/>
      <c r="AC580" s="352"/>
      <c r="AD580" s="327"/>
      <c r="AE580" s="352"/>
      <c r="AF580" s="352"/>
      <c r="AG580" s="327"/>
      <c r="AH580" s="352"/>
      <c r="AI580" s="352"/>
      <c r="AJ580" s="327"/>
      <c r="AK580" s="352"/>
      <c r="AL580" s="352"/>
      <c r="AM580" s="327"/>
      <c r="AN580" s="352"/>
      <c r="AO580" s="352"/>
      <c r="AP580" s="327"/>
      <c r="AQ580" s="352"/>
      <c r="AR580" s="327"/>
      <c r="AU580" s="307"/>
      <c r="AX580" s="307"/>
      <c r="BA580" s="307"/>
      <c r="BC580" s="366"/>
      <c r="BD580" s="307"/>
      <c r="BG580" s="307"/>
    </row>
    <row r="581">
      <c r="A581" s="352"/>
      <c r="B581" s="352"/>
      <c r="C581" s="327"/>
      <c r="D581" s="352"/>
      <c r="E581" s="352"/>
      <c r="F581" s="327"/>
      <c r="G581" s="352"/>
      <c r="H581" s="352"/>
      <c r="I581" s="327"/>
      <c r="J581" s="352"/>
      <c r="K581" s="352"/>
      <c r="L581" s="327"/>
      <c r="M581" s="352"/>
      <c r="N581" s="352"/>
      <c r="O581" s="327"/>
      <c r="P581" s="352"/>
      <c r="Q581" s="352"/>
      <c r="R581" s="327"/>
      <c r="S581" s="352"/>
      <c r="T581" s="352"/>
      <c r="U581" s="327"/>
      <c r="V581" s="352"/>
      <c r="W581" s="352"/>
      <c r="X581" s="327"/>
      <c r="Y581" s="352"/>
      <c r="Z581" s="352"/>
      <c r="AA581" s="327"/>
      <c r="AB581" s="352"/>
      <c r="AC581" s="352"/>
      <c r="AD581" s="327"/>
      <c r="AE581" s="352"/>
      <c r="AF581" s="352"/>
      <c r="AG581" s="327"/>
      <c r="AH581" s="352"/>
      <c r="AI581" s="352"/>
      <c r="AJ581" s="327"/>
      <c r="AK581" s="352"/>
      <c r="AL581" s="352"/>
      <c r="AM581" s="327"/>
      <c r="AN581" s="352"/>
      <c r="AO581" s="352"/>
      <c r="AP581" s="327"/>
      <c r="AQ581" s="352"/>
      <c r="AR581" s="327"/>
      <c r="AU581" s="307"/>
      <c r="AX581" s="307"/>
      <c r="BA581" s="307"/>
      <c r="BC581" s="366"/>
      <c r="BD581" s="307"/>
      <c r="BG581" s="307"/>
    </row>
    <row r="582">
      <c r="A582" s="352"/>
      <c r="B582" s="352"/>
      <c r="C582" s="327"/>
      <c r="D582" s="352"/>
      <c r="E582" s="352"/>
      <c r="F582" s="327"/>
      <c r="G582" s="352"/>
      <c r="H582" s="352"/>
      <c r="I582" s="327"/>
      <c r="J582" s="352"/>
      <c r="K582" s="352"/>
      <c r="L582" s="327"/>
      <c r="M582" s="352"/>
      <c r="N582" s="352"/>
      <c r="O582" s="327"/>
      <c r="P582" s="352"/>
      <c r="Q582" s="352"/>
      <c r="R582" s="327"/>
      <c r="S582" s="352"/>
      <c r="T582" s="352"/>
      <c r="U582" s="327"/>
      <c r="V582" s="352"/>
      <c r="W582" s="352"/>
      <c r="X582" s="327"/>
      <c r="Y582" s="352"/>
      <c r="Z582" s="352"/>
      <c r="AA582" s="327"/>
      <c r="AB582" s="352"/>
      <c r="AC582" s="352"/>
      <c r="AD582" s="327"/>
      <c r="AE582" s="352"/>
      <c r="AF582" s="352"/>
      <c r="AG582" s="327"/>
      <c r="AH582" s="352"/>
      <c r="AI582" s="352"/>
      <c r="AJ582" s="327"/>
      <c r="AK582" s="352"/>
      <c r="AL582" s="352"/>
      <c r="AM582" s="327"/>
      <c r="AN582" s="352"/>
      <c r="AO582" s="352"/>
      <c r="AP582" s="327"/>
      <c r="AQ582" s="352"/>
      <c r="AR582" s="327"/>
      <c r="AU582" s="307"/>
      <c r="AX582" s="307"/>
      <c r="BA582" s="307"/>
      <c r="BC582" s="366"/>
      <c r="BD582" s="307"/>
      <c r="BG582" s="307"/>
    </row>
    <row r="583">
      <c r="A583" s="352"/>
      <c r="B583" s="352"/>
      <c r="C583" s="327"/>
      <c r="D583" s="352"/>
      <c r="E583" s="352"/>
      <c r="F583" s="327"/>
      <c r="G583" s="352"/>
      <c r="H583" s="352"/>
      <c r="I583" s="327"/>
      <c r="J583" s="352"/>
      <c r="K583" s="352"/>
      <c r="L583" s="327"/>
      <c r="M583" s="352"/>
      <c r="N583" s="352"/>
      <c r="O583" s="327"/>
      <c r="P583" s="352"/>
      <c r="Q583" s="352"/>
      <c r="R583" s="327"/>
      <c r="S583" s="352"/>
      <c r="T583" s="352"/>
      <c r="U583" s="327"/>
      <c r="V583" s="352"/>
      <c r="W583" s="352"/>
      <c r="X583" s="327"/>
      <c r="Y583" s="352"/>
      <c r="Z583" s="352"/>
      <c r="AA583" s="327"/>
      <c r="AB583" s="352"/>
      <c r="AC583" s="352"/>
      <c r="AD583" s="327"/>
      <c r="AE583" s="352"/>
      <c r="AF583" s="352"/>
      <c r="AG583" s="327"/>
      <c r="AH583" s="352"/>
      <c r="AI583" s="352"/>
      <c r="AJ583" s="327"/>
      <c r="AK583" s="352"/>
      <c r="AL583" s="352"/>
      <c r="AM583" s="327"/>
      <c r="AN583" s="352"/>
      <c r="AO583" s="352"/>
      <c r="AP583" s="327"/>
      <c r="AQ583" s="352"/>
      <c r="AR583" s="327"/>
      <c r="AU583" s="307"/>
      <c r="AX583" s="307"/>
      <c r="BA583" s="307"/>
      <c r="BC583" s="366"/>
      <c r="BD583" s="307"/>
      <c r="BG583" s="307"/>
    </row>
    <row r="584">
      <c r="A584" s="352"/>
      <c r="B584" s="352"/>
      <c r="C584" s="327"/>
      <c r="D584" s="352"/>
      <c r="E584" s="352"/>
      <c r="F584" s="327"/>
      <c r="G584" s="352"/>
      <c r="H584" s="352"/>
      <c r="I584" s="327"/>
      <c r="J584" s="352"/>
      <c r="K584" s="352"/>
      <c r="L584" s="327"/>
      <c r="M584" s="352"/>
      <c r="N584" s="352"/>
      <c r="O584" s="327"/>
      <c r="P584" s="352"/>
      <c r="Q584" s="352"/>
      <c r="R584" s="327"/>
      <c r="S584" s="352"/>
      <c r="T584" s="352"/>
      <c r="U584" s="327"/>
      <c r="V584" s="352"/>
      <c r="W584" s="352"/>
      <c r="X584" s="327"/>
      <c r="Y584" s="352"/>
      <c r="Z584" s="352"/>
      <c r="AA584" s="327"/>
      <c r="AB584" s="352"/>
      <c r="AC584" s="352"/>
      <c r="AD584" s="327"/>
      <c r="AE584" s="352"/>
      <c r="AF584" s="352"/>
      <c r="AG584" s="327"/>
      <c r="AH584" s="352"/>
      <c r="AI584" s="352"/>
      <c r="AJ584" s="327"/>
      <c r="AK584" s="352"/>
      <c r="AL584" s="352"/>
      <c r="AM584" s="327"/>
      <c r="AN584" s="352"/>
      <c r="AO584" s="352"/>
      <c r="AP584" s="327"/>
      <c r="AQ584" s="352"/>
      <c r="AR584" s="327"/>
      <c r="AU584" s="307"/>
      <c r="AX584" s="307"/>
      <c r="BA584" s="307"/>
      <c r="BC584" s="366"/>
      <c r="BD584" s="307"/>
      <c r="BG584" s="307"/>
    </row>
    <row r="585">
      <c r="A585" s="352"/>
      <c r="B585" s="352"/>
      <c r="C585" s="327"/>
      <c r="D585" s="352"/>
      <c r="E585" s="352"/>
      <c r="F585" s="327"/>
      <c r="G585" s="352"/>
      <c r="H585" s="352"/>
      <c r="I585" s="327"/>
      <c r="J585" s="352"/>
      <c r="K585" s="352"/>
      <c r="L585" s="327"/>
      <c r="M585" s="352"/>
      <c r="N585" s="352"/>
      <c r="O585" s="327"/>
      <c r="P585" s="352"/>
      <c r="Q585" s="352"/>
      <c r="R585" s="327"/>
      <c r="S585" s="352"/>
      <c r="T585" s="352"/>
      <c r="U585" s="327"/>
      <c r="V585" s="352"/>
      <c r="W585" s="352"/>
      <c r="X585" s="327"/>
      <c r="Y585" s="352"/>
      <c r="Z585" s="352"/>
      <c r="AA585" s="327"/>
      <c r="AB585" s="352"/>
      <c r="AC585" s="352"/>
      <c r="AD585" s="327"/>
      <c r="AE585" s="352"/>
      <c r="AF585" s="352"/>
      <c r="AG585" s="327"/>
      <c r="AH585" s="352"/>
      <c r="AI585" s="352"/>
      <c r="AJ585" s="327"/>
      <c r="AK585" s="352"/>
      <c r="AL585" s="352"/>
      <c r="AM585" s="327"/>
      <c r="AN585" s="352"/>
      <c r="AO585" s="352"/>
      <c r="AP585" s="327"/>
      <c r="AQ585" s="352"/>
      <c r="AR585" s="327"/>
      <c r="AU585" s="307"/>
      <c r="AX585" s="307"/>
      <c r="BA585" s="307"/>
      <c r="BC585" s="366"/>
      <c r="BD585" s="307"/>
      <c r="BG585" s="307"/>
    </row>
    <row r="586">
      <c r="A586" s="352"/>
      <c r="B586" s="352"/>
      <c r="C586" s="327"/>
      <c r="D586" s="352"/>
      <c r="E586" s="352"/>
      <c r="F586" s="327"/>
      <c r="G586" s="352"/>
      <c r="H586" s="352"/>
      <c r="I586" s="327"/>
      <c r="J586" s="352"/>
      <c r="K586" s="352"/>
      <c r="L586" s="327"/>
      <c r="M586" s="352"/>
      <c r="N586" s="352"/>
      <c r="O586" s="327"/>
      <c r="P586" s="352"/>
      <c r="Q586" s="352"/>
      <c r="R586" s="327"/>
      <c r="S586" s="352"/>
      <c r="T586" s="352"/>
      <c r="U586" s="327"/>
      <c r="V586" s="352"/>
      <c r="W586" s="352"/>
      <c r="X586" s="327"/>
      <c r="Y586" s="352"/>
      <c r="Z586" s="352"/>
      <c r="AA586" s="327"/>
      <c r="AB586" s="352"/>
      <c r="AC586" s="352"/>
      <c r="AD586" s="327"/>
      <c r="AE586" s="352"/>
      <c r="AF586" s="352"/>
      <c r="AG586" s="327"/>
      <c r="AH586" s="352"/>
      <c r="AI586" s="352"/>
      <c r="AJ586" s="327"/>
      <c r="AK586" s="352"/>
      <c r="AL586" s="352"/>
      <c r="AM586" s="327"/>
      <c r="AN586" s="352"/>
      <c r="AO586" s="352"/>
      <c r="AP586" s="327"/>
      <c r="AQ586" s="352"/>
      <c r="AR586" s="327"/>
      <c r="AU586" s="307"/>
      <c r="AX586" s="307"/>
      <c r="BA586" s="307"/>
      <c r="BC586" s="366"/>
      <c r="BD586" s="307"/>
      <c r="BG586" s="307"/>
    </row>
    <row r="587">
      <c r="A587" s="352"/>
      <c r="B587" s="352"/>
      <c r="C587" s="327"/>
      <c r="D587" s="352"/>
      <c r="E587" s="352"/>
      <c r="F587" s="327"/>
      <c r="G587" s="352"/>
      <c r="H587" s="352"/>
      <c r="I587" s="327"/>
      <c r="J587" s="352"/>
      <c r="K587" s="352"/>
      <c r="L587" s="327"/>
      <c r="M587" s="352"/>
      <c r="N587" s="352"/>
      <c r="O587" s="327"/>
      <c r="P587" s="352"/>
      <c r="Q587" s="352"/>
      <c r="R587" s="327"/>
      <c r="S587" s="352"/>
      <c r="T587" s="352"/>
      <c r="U587" s="327"/>
      <c r="V587" s="352"/>
      <c r="W587" s="352"/>
      <c r="X587" s="327"/>
      <c r="Y587" s="352"/>
      <c r="Z587" s="352"/>
      <c r="AA587" s="327"/>
      <c r="AB587" s="352"/>
      <c r="AC587" s="352"/>
      <c r="AD587" s="327"/>
      <c r="AE587" s="352"/>
      <c r="AF587" s="352"/>
      <c r="AG587" s="327"/>
      <c r="AH587" s="352"/>
      <c r="AI587" s="352"/>
      <c r="AJ587" s="327"/>
      <c r="AK587" s="352"/>
      <c r="AL587" s="352"/>
      <c r="AM587" s="327"/>
      <c r="AN587" s="352"/>
      <c r="AO587" s="352"/>
      <c r="AP587" s="327"/>
      <c r="AQ587" s="352"/>
      <c r="AR587" s="327"/>
      <c r="AU587" s="307"/>
      <c r="AX587" s="307"/>
      <c r="BA587" s="307"/>
      <c r="BC587" s="366"/>
      <c r="BD587" s="307"/>
      <c r="BG587" s="307"/>
    </row>
    <row r="588">
      <c r="A588" s="352"/>
      <c r="B588" s="352"/>
      <c r="C588" s="327"/>
      <c r="D588" s="352"/>
      <c r="E588" s="352"/>
      <c r="F588" s="327"/>
      <c r="G588" s="352"/>
      <c r="H588" s="352"/>
      <c r="I588" s="327"/>
      <c r="J588" s="352"/>
      <c r="K588" s="352"/>
      <c r="L588" s="327"/>
      <c r="M588" s="352"/>
      <c r="N588" s="352"/>
      <c r="O588" s="327"/>
      <c r="P588" s="352"/>
      <c r="Q588" s="352"/>
      <c r="R588" s="327"/>
      <c r="S588" s="352"/>
      <c r="T588" s="352"/>
      <c r="U588" s="327"/>
      <c r="V588" s="352"/>
      <c r="W588" s="352"/>
      <c r="X588" s="327"/>
      <c r="Y588" s="352"/>
      <c r="Z588" s="352"/>
      <c r="AA588" s="327"/>
      <c r="AB588" s="352"/>
      <c r="AC588" s="352"/>
      <c r="AD588" s="327"/>
      <c r="AE588" s="352"/>
      <c r="AF588" s="352"/>
      <c r="AG588" s="327"/>
      <c r="AH588" s="352"/>
      <c r="AI588" s="352"/>
      <c r="AJ588" s="327"/>
      <c r="AK588" s="352"/>
      <c r="AL588" s="352"/>
      <c r="AM588" s="327"/>
      <c r="AN588" s="352"/>
      <c r="AO588" s="352"/>
      <c r="AP588" s="327"/>
      <c r="AQ588" s="352"/>
      <c r="AR588" s="327"/>
      <c r="AU588" s="307"/>
      <c r="AX588" s="307"/>
      <c r="BA588" s="307"/>
      <c r="BC588" s="366"/>
      <c r="BD588" s="307"/>
      <c r="BG588" s="307"/>
    </row>
    <row r="589">
      <c r="A589" s="352"/>
      <c r="B589" s="352"/>
      <c r="C589" s="327"/>
      <c r="D589" s="352"/>
      <c r="E589" s="352"/>
      <c r="F589" s="327"/>
      <c r="G589" s="352"/>
      <c r="H589" s="352"/>
      <c r="I589" s="327"/>
      <c r="J589" s="352"/>
      <c r="K589" s="352"/>
      <c r="L589" s="327"/>
      <c r="M589" s="352"/>
      <c r="N589" s="352"/>
      <c r="O589" s="327"/>
      <c r="P589" s="352"/>
      <c r="Q589" s="352"/>
      <c r="R589" s="327"/>
      <c r="S589" s="352"/>
      <c r="T589" s="352"/>
      <c r="U589" s="327"/>
      <c r="V589" s="352"/>
      <c r="W589" s="352"/>
      <c r="X589" s="327"/>
      <c r="Y589" s="352"/>
      <c r="Z589" s="352"/>
      <c r="AA589" s="327"/>
      <c r="AB589" s="352"/>
      <c r="AC589" s="352"/>
      <c r="AD589" s="327"/>
      <c r="AE589" s="352"/>
      <c r="AF589" s="352"/>
      <c r="AG589" s="327"/>
      <c r="AH589" s="352"/>
      <c r="AI589" s="352"/>
      <c r="AJ589" s="327"/>
      <c r="AK589" s="352"/>
      <c r="AL589" s="352"/>
      <c r="AM589" s="327"/>
      <c r="AN589" s="352"/>
      <c r="AO589" s="352"/>
      <c r="AP589" s="327"/>
      <c r="AQ589" s="352"/>
      <c r="AR589" s="327"/>
      <c r="AU589" s="307"/>
      <c r="AX589" s="307"/>
      <c r="BA589" s="307"/>
      <c r="BC589" s="366"/>
      <c r="BD589" s="307"/>
      <c r="BG589" s="307"/>
    </row>
    <row r="590">
      <c r="A590" s="352"/>
      <c r="B590" s="352"/>
      <c r="C590" s="327"/>
      <c r="D590" s="352"/>
      <c r="E590" s="352"/>
      <c r="F590" s="327"/>
      <c r="G590" s="352"/>
      <c r="H590" s="352"/>
      <c r="I590" s="327"/>
      <c r="J590" s="352"/>
      <c r="K590" s="352"/>
      <c r="L590" s="327"/>
      <c r="M590" s="352"/>
      <c r="N590" s="352"/>
      <c r="O590" s="327"/>
      <c r="P590" s="352"/>
      <c r="Q590" s="352"/>
      <c r="R590" s="327"/>
      <c r="S590" s="352"/>
      <c r="T590" s="352"/>
      <c r="U590" s="327"/>
      <c r="V590" s="352"/>
      <c r="W590" s="352"/>
      <c r="X590" s="327"/>
      <c r="Y590" s="352"/>
      <c r="Z590" s="352"/>
      <c r="AA590" s="327"/>
      <c r="AB590" s="352"/>
      <c r="AC590" s="352"/>
      <c r="AD590" s="327"/>
      <c r="AE590" s="352"/>
      <c r="AF590" s="352"/>
      <c r="AG590" s="327"/>
      <c r="AH590" s="352"/>
      <c r="AI590" s="352"/>
      <c r="AJ590" s="327"/>
      <c r="AK590" s="352"/>
      <c r="AL590" s="352"/>
      <c r="AM590" s="327"/>
      <c r="AN590" s="352"/>
      <c r="AO590" s="352"/>
      <c r="AP590" s="327"/>
      <c r="AQ590" s="352"/>
      <c r="AR590" s="327"/>
      <c r="AU590" s="307"/>
      <c r="AX590" s="307"/>
      <c r="BA590" s="307"/>
      <c r="BC590" s="366"/>
      <c r="BD590" s="307"/>
      <c r="BG590" s="307"/>
    </row>
    <row r="591">
      <c r="A591" s="352"/>
      <c r="B591" s="352"/>
      <c r="C591" s="327"/>
      <c r="D591" s="352"/>
      <c r="E591" s="352"/>
      <c r="F591" s="327"/>
      <c r="G591" s="352"/>
      <c r="H591" s="352"/>
      <c r="I591" s="327"/>
      <c r="J591" s="352"/>
      <c r="K591" s="352"/>
      <c r="L591" s="327"/>
      <c r="M591" s="352"/>
      <c r="N591" s="352"/>
      <c r="O591" s="327"/>
      <c r="P591" s="352"/>
      <c r="Q591" s="352"/>
      <c r="R591" s="327"/>
      <c r="S591" s="352"/>
      <c r="T591" s="352"/>
      <c r="U591" s="327"/>
      <c r="V591" s="352"/>
      <c r="W591" s="352"/>
      <c r="X591" s="327"/>
      <c r="Y591" s="352"/>
      <c r="Z591" s="352"/>
      <c r="AA591" s="327"/>
      <c r="AB591" s="352"/>
      <c r="AC591" s="352"/>
      <c r="AD591" s="327"/>
      <c r="AE591" s="352"/>
      <c r="AF591" s="352"/>
      <c r="AG591" s="327"/>
      <c r="AH591" s="352"/>
      <c r="AI591" s="352"/>
      <c r="AJ591" s="327"/>
      <c r="AK591" s="352"/>
      <c r="AL591" s="352"/>
      <c r="AM591" s="327"/>
      <c r="AN591" s="352"/>
      <c r="AO591" s="352"/>
      <c r="AP591" s="327"/>
      <c r="AQ591" s="352"/>
      <c r="AR591" s="327"/>
      <c r="AU591" s="307"/>
      <c r="AX591" s="307"/>
      <c r="BA591" s="307"/>
      <c r="BC591" s="366"/>
      <c r="BD591" s="307"/>
      <c r="BG591" s="307"/>
    </row>
    <row r="592">
      <c r="A592" s="352"/>
      <c r="B592" s="352"/>
      <c r="C592" s="327"/>
      <c r="D592" s="352"/>
      <c r="E592" s="352"/>
      <c r="F592" s="327"/>
      <c r="G592" s="352"/>
      <c r="H592" s="352"/>
      <c r="I592" s="327"/>
      <c r="J592" s="352"/>
      <c r="K592" s="352"/>
      <c r="L592" s="327"/>
      <c r="M592" s="352"/>
      <c r="N592" s="352"/>
      <c r="O592" s="327"/>
      <c r="P592" s="352"/>
      <c r="Q592" s="352"/>
      <c r="R592" s="327"/>
      <c r="S592" s="352"/>
      <c r="T592" s="352"/>
      <c r="U592" s="327"/>
      <c r="V592" s="352"/>
      <c r="W592" s="352"/>
      <c r="X592" s="327"/>
      <c r="Y592" s="352"/>
      <c r="Z592" s="352"/>
      <c r="AA592" s="327"/>
      <c r="AB592" s="352"/>
      <c r="AC592" s="352"/>
      <c r="AD592" s="327"/>
      <c r="AE592" s="352"/>
      <c r="AF592" s="352"/>
      <c r="AG592" s="327"/>
      <c r="AH592" s="352"/>
      <c r="AI592" s="352"/>
      <c r="AJ592" s="327"/>
      <c r="AK592" s="352"/>
      <c r="AL592" s="352"/>
      <c r="AM592" s="327"/>
      <c r="AN592" s="352"/>
      <c r="AO592" s="352"/>
      <c r="AP592" s="327"/>
      <c r="AQ592" s="352"/>
      <c r="AR592" s="327"/>
      <c r="AU592" s="307"/>
      <c r="AX592" s="307"/>
      <c r="BA592" s="307"/>
      <c r="BC592" s="366"/>
      <c r="BD592" s="307"/>
      <c r="BG592" s="307"/>
    </row>
    <row r="593">
      <c r="A593" s="352"/>
      <c r="B593" s="352"/>
      <c r="C593" s="327"/>
      <c r="D593" s="352"/>
      <c r="E593" s="352"/>
      <c r="F593" s="327"/>
      <c r="G593" s="352"/>
      <c r="H593" s="352"/>
      <c r="I593" s="327"/>
      <c r="J593" s="352"/>
      <c r="K593" s="352"/>
      <c r="L593" s="327"/>
      <c r="M593" s="352"/>
      <c r="N593" s="352"/>
      <c r="O593" s="327"/>
      <c r="P593" s="352"/>
      <c r="Q593" s="352"/>
      <c r="R593" s="327"/>
      <c r="S593" s="352"/>
      <c r="T593" s="352"/>
      <c r="U593" s="327"/>
      <c r="V593" s="352"/>
      <c r="W593" s="352"/>
      <c r="X593" s="327"/>
      <c r="Y593" s="352"/>
      <c r="Z593" s="352"/>
      <c r="AA593" s="327"/>
      <c r="AB593" s="352"/>
      <c r="AC593" s="352"/>
      <c r="AD593" s="327"/>
      <c r="AE593" s="352"/>
      <c r="AF593" s="352"/>
      <c r="AG593" s="327"/>
      <c r="AH593" s="352"/>
      <c r="AI593" s="352"/>
      <c r="AJ593" s="327"/>
      <c r="AK593" s="352"/>
      <c r="AL593" s="352"/>
      <c r="AM593" s="327"/>
      <c r="AN593" s="352"/>
      <c r="AO593" s="352"/>
      <c r="AP593" s="327"/>
      <c r="AQ593" s="352"/>
      <c r="AR593" s="327"/>
      <c r="AU593" s="307"/>
      <c r="AX593" s="307"/>
      <c r="BA593" s="307"/>
      <c r="BC593" s="366"/>
      <c r="BD593" s="307"/>
      <c r="BG593" s="307"/>
    </row>
    <row r="594">
      <c r="A594" s="352"/>
      <c r="B594" s="352"/>
      <c r="C594" s="327"/>
      <c r="D594" s="352"/>
      <c r="E594" s="352"/>
      <c r="F594" s="327"/>
      <c r="G594" s="352"/>
      <c r="H594" s="352"/>
      <c r="I594" s="327"/>
      <c r="J594" s="352"/>
      <c r="K594" s="352"/>
      <c r="L594" s="327"/>
      <c r="M594" s="352"/>
      <c r="N594" s="352"/>
      <c r="O594" s="327"/>
      <c r="P594" s="352"/>
      <c r="Q594" s="352"/>
      <c r="R594" s="327"/>
      <c r="S594" s="352"/>
      <c r="T594" s="352"/>
      <c r="U594" s="327"/>
      <c r="V594" s="352"/>
      <c r="W594" s="352"/>
      <c r="X594" s="327"/>
      <c r="Y594" s="352"/>
      <c r="Z594" s="352"/>
      <c r="AA594" s="327"/>
      <c r="AB594" s="352"/>
      <c r="AC594" s="352"/>
      <c r="AD594" s="327"/>
      <c r="AE594" s="352"/>
      <c r="AF594" s="352"/>
      <c r="AG594" s="327"/>
      <c r="AH594" s="352"/>
      <c r="AI594" s="352"/>
      <c r="AJ594" s="327"/>
      <c r="AK594" s="352"/>
      <c r="AL594" s="352"/>
      <c r="AM594" s="327"/>
      <c r="AN594" s="352"/>
      <c r="AO594" s="352"/>
      <c r="AP594" s="327"/>
      <c r="AQ594" s="352"/>
      <c r="AR594" s="327"/>
      <c r="AU594" s="307"/>
      <c r="AX594" s="307"/>
      <c r="BA594" s="307"/>
      <c r="BC594" s="366"/>
      <c r="BD594" s="307"/>
      <c r="BG594" s="307"/>
    </row>
    <row r="595">
      <c r="A595" s="352"/>
      <c r="B595" s="352"/>
      <c r="C595" s="327"/>
      <c r="D595" s="352"/>
      <c r="E595" s="352"/>
      <c r="F595" s="327"/>
      <c r="G595" s="352"/>
      <c r="H595" s="352"/>
      <c r="I595" s="327"/>
      <c r="J595" s="352"/>
      <c r="K595" s="352"/>
      <c r="L595" s="327"/>
      <c r="M595" s="352"/>
      <c r="N595" s="352"/>
      <c r="O595" s="327"/>
      <c r="P595" s="352"/>
      <c r="Q595" s="352"/>
      <c r="R595" s="327"/>
      <c r="S595" s="352"/>
      <c r="T595" s="352"/>
      <c r="U595" s="327"/>
      <c r="V595" s="352"/>
      <c r="W595" s="352"/>
      <c r="X595" s="327"/>
      <c r="Y595" s="352"/>
      <c r="Z595" s="352"/>
      <c r="AA595" s="327"/>
      <c r="AB595" s="352"/>
      <c r="AC595" s="352"/>
      <c r="AD595" s="327"/>
      <c r="AE595" s="352"/>
      <c r="AF595" s="352"/>
      <c r="AG595" s="327"/>
      <c r="AH595" s="352"/>
      <c r="AI595" s="352"/>
      <c r="AJ595" s="327"/>
      <c r="AK595" s="352"/>
      <c r="AL595" s="352"/>
      <c r="AM595" s="327"/>
      <c r="AN595" s="352"/>
      <c r="AO595" s="352"/>
      <c r="AP595" s="327"/>
      <c r="AQ595" s="352"/>
      <c r="AR595" s="327"/>
      <c r="AU595" s="307"/>
      <c r="AX595" s="307"/>
      <c r="BA595" s="307"/>
      <c r="BC595" s="366"/>
      <c r="BD595" s="307"/>
      <c r="BG595" s="307"/>
    </row>
    <row r="596">
      <c r="A596" s="352"/>
      <c r="B596" s="352"/>
      <c r="C596" s="327"/>
      <c r="D596" s="352"/>
      <c r="E596" s="352"/>
      <c r="F596" s="327"/>
      <c r="G596" s="352"/>
      <c r="H596" s="352"/>
      <c r="I596" s="327"/>
      <c r="J596" s="352"/>
      <c r="K596" s="352"/>
      <c r="L596" s="327"/>
      <c r="M596" s="352"/>
      <c r="N596" s="352"/>
      <c r="O596" s="327"/>
      <c r="P596" s="352"/>
      <c r="Q596" s="352"/>
      <c r="R596" s="327"/>
      <c r="S596" s="352"/>
      <c r="T596" s="352"/>
      <c r="U596" s="327"/>
      <c r="V596" s="352"/>
      <c r="W596" s="352"/>
      <c r="X596" s="327"/>
      <c r="Y596" s="352"/>
      <c r="Z596" s="352"/>
      <c r="AA596" s="327"/>
      <c r="AB596" s="352"/>
      <c r="AC596" s="352"/>
      <c r="AD596" s="327"/>
      <c r="AE596" s="352"/>
      <c r="AF596" s="352"/>
      <c r="AG596" s="327"/>
      <c r="AH596" s="352"/>
      <c r="AI596" s="352"/>
      <c r="AJ596" s="327"/>
      <c r="AK596" s="352"/>
      <c r="AL596" s="352"/>
      <c r="AM596" s="327"/>
      <c r="AN596" s="352"/>
      <c r="AO596" s="352"/>
      <c r="AP596" s="327"/>
      <c r="AQ596" s="352"/>
      <c r="AR596" s="327"/>
      <c r="AU596" s="307"/>
      <c r="AX596" s="307"/>
      <c r="BA596" s="307"/>
      <c r="BC596" s="366"/>
      <c r="BD596" s="307"/>
      <c r="BG596" s="307"/>
    </row>
    <row r="597">
      <c r="A597" s="352"/>
      <c r="B597" s="352"/>
      <c r="C597" s="327"/>
      <c r="D597" s="352"/>
      <c r="E597" s="352"/>
      <c r="F597" s="327"/>
      <c r="G597" s="352"/>
      <c r="H597" s="352"/>
      <c r="I597" s="327"/>
      <c r="J597" s="352"/>
      <c r="K597" s="352"/>
      <c r="L597" s="327"/>
      <c r="M597" s="352"/>
      <c r="N597" s="352"/>
      <c r="O597" s="327"/>
      <c r="P597" s="352"/>
      <c r="Q597" s="352"/>
      <c r="R597" s="327"/>
      <c r="S597" s="352"/>
      <c r="T597" s="352"/>
      <c r="U597" s="327"/>
      <c r="V597" s="352"/>
      <c r="W597" s="352"/>
      <c r="X597" s="327"/>
      <c r="Y597" s="352"/>
      <c r="Z597" s="352"/>
      <c r="AA597" s="327"/>
      <c r="AB597" s="352"/>
      <c r="AC597" s="352"/>
      <c r="AD597" s="327"/>
      <c r="AE597" s="352"/>
      <c r="AF597" s="352"/>
      <c r="AG597" s="327"/>
      <c r="AH597" s="352"/>
      <c r="AI597" s="352"/>
      <c r="AJ597" s="327"/>
      <c r="AK597" s="352"/>
      <c r="AL597" s="352"/>
      <c r="AM597" s="327"/>
      <c r="AN597" s="352"/>
      <c r="AO597" s="352"/>
      <c r="AP597" s="327"/>
      <c r="AQ597" s="352"/>
      <c r="AR597" s="327"/>
      <c r="AU597" s="307"/>
      <c r="AX597" s="307"/>
      <c r="BA597" s="307"/>
      <c r="BC597" s="366"/>
      <c r="BD597" s="307"/>
      <c r="BG597" s="307"/>
    </row>
    <row r="598">
      <c r="A598" s="352"/>
      <c r="B598" s="352"/>
      <c r="C598" s="327"/>
      <c r="D598" s="352"/>
      <c r="E598" s="352"/>
      <c r="F598" s="327"/>
      <c r="G598" s="352"/>
      <c r="H598" s="352"/>
      <c r="I598" s="327"/>
      <c r="J598" s="352"/>
      <c r="K598" s="352"/>
      <c r="L598" s="327"/>
      <c r="M598" s="352"/>
      <c r="N598" s="352"/>
      <c r="O598" s="327"/>
      <c r="P598" s="352"/>
      <c r="Q598" s="352"/>
      <c r="R598" s="327"/>
      <c r="S598" s="352"/>
      <c r="T598" s="352"/>
      <c r="U598" s="327"/>
      <c r="V598" s="352"/>
      <c r="W598" s="352"/>
      <c r="X598" s="327"/>
      <c r="Y598" s="352"/>
      <c r="Z598" s="352"/>
      <c r="AA598" s="327"/>
      <c r="AB598" s="352"/>
      <c r="AC598" s="352"/>
      <c r="AD598" s="327"/>
      <c r="AE598" s="352"/>
      <c r="AF598" s="352"/>
      <c r="AG598" s="327"/>
      <c r="AH598" s="352"/>
      <c r="AI598" s="352"/>
      <c r="AJ598" s="327"/>
      <c r="AK598" s="352"/>
      <c r="AL598" s="352"/>
      <c r="AM598" s="327"/>
      <c r="AN598" s="352"/>
      <c r="AO598" s="352"/>
      <c r="AP598" s="327"/>
      <c r="AQ598" s="352"/>
      <c r="AR598" s="327"/>
      <c r="AU598" s="307"/>
      <c r="AX598" s="307"/>
      <c r="BA598" s="307"/>
      <c r="BC598" s="366"/>
      <c r="BD598" s="307"/>
      <c r="BG598" s="307"/>
    </row>
    <row r="599">
      <c r="A599" s="352"/>
      <c r="B599" s="352"/>
      <c r="C599" s="327"/>
      <c r="D599" s="352"/>
      <c r="E599" s="352"/>
      <c r="F599" s="327"/>
      <c r="G599" s="352"/>
      <c r="H599" s="352"/>
      <c r="I599" s="327"/>
      <c r="J599" s="352"/>
      <c r="K599" s="352"/>
      <c r="L599" s="327"/>
      <c r="M599" s="352"/>
      <c r="N599" s="352"/>
      <c r="O599" s="327"/>
      <c r="P599" s="352"/>
      <c r="Q599" s="352"/>
      <c r="R599" s="327"/>
      <c r="S599" s="352"/>
      <c r="T599" s="352"/>
      <c r="U599" s="327"/>
      <c r="V599" s="352"/>
      <c r="W599" s="352"/>
      <c r="X599" s="327"/>
      <c r="Y599" s="352"/>
      <c r="Z599" s="352"/>
      <c r="AA599" s="327"/>
      <c r="AB599" s="352"/>
      <c r="AC599" s="352"/>
      <c r="AD599" s="327"/>
      <c r="AE599" s="352"/>
      <c r="AF599" s="352"/>
      <c r="AG599" s="327"/>
      <c r="AH599" s="352"/>
      <c r="AI599" s="352"/>
      <c r="AJ599" s="327"/>
      <c r="AK599" s="352"/>
      <c r="AL599" s="352"/>
      <c r="AM599" s="327"/>
      <c r="AN599" s="352"/>
      <c r="AO599" s="352"/>
      <c r="AP599" s="327"/>
      <c r="AQ599" s="352"/>
      <c r="AR599" s="327"/>
      <c r="AU599" s="307"/>
      <c r="AX599" s="307"/>
      <c r="BA599" s="307"/>
      <c r="BC599" s="366"/>
      <c r="BD599" s="307"/>
      <c r="BG599" s="307"/>
    </row>
    <row r="600">
      <c r="A600" s="352"/>
      <c r="B600" s="352"/>
      <c r="C600" s="327"/>
      <c r="D600" s="352"/>
      <c r="E600" s="352"/>
      <c r="F600" s="327"/>
      <c r="G600" s="352"/>
      <c r="H600" s="352"/>
      <c r="I600" s="327"/>
      <c r="J600" s="352"/>
      <c r="K600" s="352"/>
      <c r="L600" s="327"/>
      <c r="M600" s="352"/>
      <c r="N600" s="352"/>
      <c r="O600" s="327"/>
      <c r="P600" s="352"/>
      <c r="Q600" s="352"/>
      <c r="R600" s="327"/>
      <c r="S600" s="352"/>
      <c r="T600" s="352"/>
      <c r="U600" s="327"/>
      <c r="V600" s="352"/>
      <c r="W600" s="352"/>
      <c r="X600" s="327"/>
      <c r="Y600" s="352"/>
      <c r="Z600" s="352"/>
      <c r="AA600" s="327"/>
      <c r="AB600" s="352"/>
      <c r="AC600" s="352"/>
      <c r="AD600" s="327"/>
      <c r="AE600" s="352"/>
      <c r="AF600" s="352"/>
      <c r="AG600" s="327"/>
      <c r="AH600" s="352"/>
      <c r="AI600" s="352"/>
      <c r="AJ600" s="327"/>
      <c r="AK600" s="352"/>
      <c r="AL600" s="352"/>
      <c r="AM600" s="327"/>
      <c r="AN600" s="352"/>
      <c r="AO600" s="352"/>
      <c r="AP600" s="327"/>
      <c r="AQ600" s="352"/>
      <c r="AR600" s="327"/>
      <c r="AU600" s="307"/>
      <c r="AX600" s="307"/>
      <c r="BA600" s="307"/>
      <c r="BC600" s="366"/>
      <c r="BD600" s="307"/>
      <c r="BG600" s="307"/>
    </row>
    <row r="601">
      <c r="A601" s="352"/>
      <c r="B601" s="352"/>
      <c r="C601" s="327"/>
      <c r="D601" s="352"/>
      <c r="E601" s="352"/>
      <c r="F601" s="327"/>
      <c r="G601" s="352"/>
      <c r="H601" s="352"/>
      <c r="I601" s="327"/>
      <c r="J601" s="352"/>
      <c r="K601" s="352"/>
      <c r="L601" s="327"/>
      <c r="M601" s="352"/>
      <c r="N601" s="352"/>
      <c r="O601" s="327"/>
      <c r="P601" s="352"/>
      <c r="Q601" s="352"/>
      <c r="R601" s="327"/>
      <c r="S601" s="352"/>
      <c r="T601" s="352"/>
      <c r="U601" s="327"/>
      <c r="V601" s="352"/>
      <c r="W601" s="352"/>
      <c r="X601" s="327"/>
      <c r="Y601" s="352"/>
      <c r="Z601" s="352"/>
      <c r="AA601" s="327"/>
      <c r="AB601" s="352"/>
      <c r="AC601" s="352"/>
      <c r="AD601" s="327"/>
      <c r="AE601" s="352"/>
      <c r="AF601" s="352"/>
      <c r="AG601" s="327"/>
      <c r="AH601" s="352"/>
      <c r="AI601" s="352"/>
      <c r="AJ601" s="327"/>
      <c r="AK601" s="352"/>
      <c r="AL601" s="352"/>
      <c r="AM601" s="327"/>
      <c r="AN601" s="352"/>
      <c r="AO601" s="352"/>
      <c r="AP601" s="327"/>
      <c r="AQ601" s="352"/>
      <c r="AR601" s="327"/>
      <c r="AU601" s="307"/>
      <c r="AX601" s="307"/>
      <c r="BA601" s="307"/>
      <c r="BC601" s="366"/>
      <c r="BD601" s="307"/>
      <c r="BG601" s="307"/>
    </row>
    <row r="602">
      <c r="A602" s="352"/>
      <c r="B602" s="352"/>
      <c r="C602" s="327"/>
      <c r="D602" s="352"/>
      <c r="E602" s="352"/>
      <c r="F602" s="327"/>
      <c r="G602" s="352"/>
      <c r="H602" s="352"/>
      <c r="I602" s="327"/>
      <c r="J602" s="352"/>
      <c r="K602" s="352"/>
      <c r="L602" s="327"/>
      <c r="M602" s="352"/>
      <c r="N602" s="352"/>
      <c r="O602" s="327"/>
      <c r="P602" s="352"/>
      <c r="Q602" s="352"/>
      <c r="R602" s="327"/>
      <c r="S602" s="352"/>
      <c r="T602" s="352"/>
      <c r="U602" s="327"/>
      <c r="V602" s="352"/>
      <c r="W602" s="352"/>
      <c r="X602" s="327"/>
      <c r="Y602" s="352"/>
      <c r="Z602" s="352"/>
      <c r="AA602" s="327"/>
      <c r="AB602" s="352"/>
      <c r="AC602" s="352"/>
      <c r="AD602" s="327"/>
      <c r="AE602" s="352"/>
      <c r="AF602" s="352"/>
      <c r="AG602" s="327"/>
      <c r="AH602" s="352"/>
      <c r="AI602" s="352"/>
      <c r="AJ602" s="327"/>
      <c r="AK602" s="352"/>
      <c r="AL602" s="352"/>
      <c r="AM602" s="327"/>
      <c r="AN602" s="352"/>
      <c r="AO602" s="352"/>
      <c r="AP602" s="327"/>
      <c r="AQ602" s="352"/>
      <c r="AR602" s="327"/>
      <c r="AU602" s="307"/>
      <c r="AX602" s="307"/>
      <c r="BA602" s="307"/>
      <c r="BC602" s="366"/>
      <c r="BD602" s="307"/>
      <c r="BG602" s="307"/>
    </row>
    <row r="603">
      <c r="A603" s="352"/>
      <c r="B603" s="352"/>
      <c r="C603" s="327"/>
      <c r="D603" s="352"/>
      <c r="E603" s="352"/>
      <c r="F603" s="327"/>
      <c r="G603" s="352"/>
      <c r="H603" s="352"/>
      <c r="I603" s="327"/>
      <c r="J603" s="352"/>
      <c r="K603" s="352"/>
      <c r="L603" s="327"/>
      <c r="M603" s="352"/>
      <c r="N603" s="352"/>
      <c r="O603" s="327"/>
      <c r="P603" s="352"/>
      <c r="Q603" s="352"/>
      <c r="R603" s="327"/>
      <c r="S603" s="352"/>
      <c r="T603" s="352"/>
      <c r="U603" s="327"/>
      <c r="V603" s="352"/>
      <c r="W603" s="352"/>
      <c r="X603" s="327"/>
      <c r="Y603" s="352"/>
      <c r="Z603" s="352"/>
      <c r="AA603" s="327"/>
      <c r="AB603" s="352"/>
      <c r="AC603" s="352"/>
      <c r="AD603" s="327"/>
      <c r="AE603" s="352"/>
      <c r="AF603" s="352"/>
      <c r="AG603" s="327"/>
      <c r="AH603" s="352"/>
      <c r="AI603" s="352"/>
      <c r="AJ603" s="327"/>
      <c r="AK603" s="352"/>
      <c r="AL603" s="352"/>
      <c r="AM603" s="327"/>
      <c r="AN603" s="352"/>
      <c r="AO603" s="352"/>
      <c r="AP603" s="327"/>
      <c r="AQ603" s="352"/>
      <c r="AR603" s="327"/>
      <c r="AU603" s="307"/>
      <c r="AX603" s="307"/>
      <c r="BA603" s="307"/>
      <c r="BC603" s="366"/>
      <c r="BD603" s="307"/>
      <c r="BG603" s="307"/>
    </row>
    <row r="604">
      <c r="A604" s="352"/>
      <c r="B604" s="352"/>
      <c r="C604" s="327"/>
      <c r="D604" s="352"/>
      <c r="E604" s="352"/>
      <c r="F604" s="327"/>
      <c r="G604" s="352"/>
      <c r="H604" s="352"/>
      <c r="I604" s="327"/>
      <c r="J604" s="352"/>
      <c r="K604" s="352"/>
      <c r="L604" s="327"/>
      <c r="M604" s="352"/>
      <c r="N604" s="352"/>
      <c r="O604" s="327"/>
      <c r="P604" s="352"/>
      <c r="Q604" s="352"/>
      <c r="R604" s="327"/>
      <c r="S604" s="352"/>
      <c r="T604" s="352"/>
      <c r="U604" s="327"/>
      <c r="V604" s="352"/>
      <c r="W604" s="352"/>
      <c r="X604" s="327"/>
      <c r="Y604" s="352"/>
      <c r="Z604" s="352"/>
      <c r="AA604" s="327"/>
      <c r="AB604" s="352"/>
      <c r="AC604" s="352"/>
      <c r="AD604" s="327"/>
      <c r="AE604" s="352"/>
      <c r="AF604" s="352"/>
      <c r="AG604" s="327"/>
      <c r="AH604" s="352"/>
      <c r="AI604" s="352"/>
      <c r="AJ604" s="327"/>
      <c r="AK604" s="352"/>
      <c r="AL604" s="352"/>
      <c r="AM604" s="327"/>
      <c r="AN604" s="352"/>
      <c r="AO604" s="352"/>
      <c r="AP604" s="327"/>
      <c r="AQ604" s="352"/>
      <c r="AR604" s="327"/>
      <c r="AU604" s="307"/>
      <c r="AX604" s="307"/>
      <c r="BA604" s="307"/>
      <c r="BC604" s="366"/>
      <c r="BD604" s="307"/>
      <c r="BG604" s="307"/>
    </row>
    <row r="605">
      <c r="A605" s="352"/>
      <c r="B605" s="352"/>
      <c r="C605" s="327"/>
      <c r="D605" s="352"/>
      <c r="E605" s="352"/>
      <c r="F605" s="327"/>
      <c r="G605" s="352"/>
      <c r="H605" s="352"/>
      <c r="I605" s="327"/>
      <c r="J605" s="352"/>
      <c r="K605" s="352"/>
      <c r="L605" s="327"/>
      <c r="M605" s="352"/>
      <c r="N605" s="352"/>
      <c r="O605" s="327"/>
      <c r="P605" s="352"/>
      <c r="Q605" s="352"/>
      <c r="R605" s="327"/>
      <c r="S605" s="352"/>
      <c r="T605" s="352"/>
      <c r="U605" s="327"/>
      <c r="V605" s="352"/>
      <c r="W605" s="352"/>
      <c r="X605" s="327"/>
      <c r="Y605" s="352"/>
      <c r="Z605" s="352"/>
      <c r="AA605" s="327"/>
      <c r="AB605" s="352"/>
      <c r="AC605" s="352"/>
      <c r="AD605" s="327"/>
      <c r="AE605" s="352"/>
      <c r="AF605" s="352"/>
      <c r="AG605" s="327"/>
      <c r="AH605" s="352"/>
      <c r="AI605" s="352"/>
      <c r="AJ605" s="327"/>
      <c r="AK605" s="352"/>
      <c r="AL605" s="352"/>
      <c r="AM605" s="327"/>
      <c r="AN605" s="352"/>
      <c r="AO605" s="352"/>
      <c r="AP605" s="327"/>
      <c r="AQ605" s="352"/>
      <c r="AR605" s="327"/>
      <c r="AU605" s="307"/>
      <c r="AX605" s="307"/>
      <c r="BA605" s="307"/>
      <c r="BC605" s="366"/>
      <c r="BD605" s="307"/>
      <c r="BG605" s="307"/>
    </row>
    <row r="606">
      <c r="A606" s="352"/>
      <c r="B606" s="352"/>
      <c r="C606" s="327"/>
      <c r="D606" s="352"/>
      <c r="E606" s="352"/>
      <c r="F606" s="327"/>
      <c r="G606" s="352"/>
      <c r="H606" s="352"/>
      <c r="I606" s="327"/>
      <c r="J606" s="352"/>
      <c r="K606" s="352"/>
      <c r="L606" s="327"/>
      <c r="M606" s="352"/>
      <c r="N606" s="352"/>
      <c r="O606" s="327"/>
      <c r="P606" s="352"/>
      <c r="Q606" s="352"/>
      <c r="R606" s="327"/>
      <c r="S606" s="352"/>
      <c r="T606" s="352"/>
      <c r="U606" s="327"/>
      <c r="V606" s="352"/>
      <c r="W606" s="352"/>
      <c r="X606" s="327"/>
      <c r="Y606" s="352"/>
      <c r="Z606" s="352"/>
      <c r="AA606" s="327"/>
      <c r="AB606" s="352"/>
      <c r="AC606" s="352"/>
      <c r="AD606" s="327"/>
      <c r="AE606" s="352"/>
      <c r="AF606" s="352"/>
      <c r="AG606" s="327"/>
      <c r="AH606" s="352"/>
      <c r="AI606" s="352"/>
      <c r="AJ606" s="327"/>
      <c r="AK606" s="352"/>
      <c r="AL606" s="352"/>
      <c r="AM606" s="327"/>
      <c r="AN606" s="352"/>
      <c r="AO606" s="352"/>
      <c r="AP606" s="327"/>
      <c r="AQ606" s="352"/>
      <c r="AR606" s="327"/>
      <c r="AU606" s="307"/>
      <c r="AX606" s="307"/>
      <c r="BA606" s="307"/>
      <c r="BC606" s="366"/>
      <c r="BD606" s="307"/>
      <c r="BG606" s="307"/>
    </row>
    <row r="607">
      <c r="A607" s="352"/>
      <c r="B607" s="352"/>
      <c r="C607" s="327"/>
      <c r="D607" s="352"/>
      <c r="E607" s="352"/>
      <c r="F607" s="327"/>
      <c r="G607" s="352"/>
      <c r="H607" s="352"/>
      <c r="I607" s="327"/>
      <c r="J607" s="352"/>
      <c r="K607" s="352"/>
      <c r="L607" s="327"/>
      <c r="M607" s="352"/>
      <c r="N607" s="352"/>
      <c r="O607" s="327"/>
      <c r="P607" s="352"/>
      <c r="Q607" s="352"/>
      <c r="R607" s="327"/>
      <c r="S607" s="352"/>
      <c r="T607" s="352"/>
      <c r="U607" s="327"/>
      <c r="V607" s="352"/>
      <c r="W607" s="352"/>
      <c r="X607" s="327"/>
      <c r="Y607" s="352"/>
      <c r="Z607" s="352"/>
      <c r="AA607" s="327"/>
      <c r="AB607" s="352"/>
      <c r="AC607" s="352"/>
      <c r="AD607" s="327"/>
      <c r="AE607" s="352"/>
      <c r="AF607" s="352"/>
      <c r="AG607" s="327"/>
      <c r="AH607" s="352"/>
      <c r="AI607" s="352"/>
      <c r="AJ607" s="327"/>
      <c r="AK607" s="352"/>
      <c r="AL607" s="352"/>
      <c r="AM607" s="327"/>
      <c r="AN607" s="352"/>
      <c r="AO607" s="352"/>
      <c r="AP607" s="327"/>
      <c r="AQ607" s="352"/>
      <c r="AR607" s="327"/>
      <c r="AU607" s="307"/>
      <c r="AX607" s="307"/>
      <c r="BA607" s="307"/>
      <c r="BC607" s="366"/>
      <c r="BD607" s="307"/>
      <c r="BG607" s="307"/>
    </row>
    <row r="608">
      <c r="A608" s="352"/>
      <c r="B608" s="352"/>
      <c r="C608" s="327"/>
      <c r="D608" s="352"/>
      <c r="E608" s="352"/>
      <c r="F608" s="327"/>
      <c r="G608" s="352"/>
      <c r="H608" s="352"/>
      <c r="I608" s="327"/>
      <c r="J608" s="352"/>
      <c r="K608" s="352"/>
      <c r="L608" s="327"/>
      <c r="M608" s="352"/>
      <c r="N608" s="352"/>
      <c r="O608" s="327"/>
      <c r="P608" s="352"/>
      <c r="Q608" s="352"/>
      <c r="R608" s="327"/>
      <c r="S608" s="352"/>
      <c r="T608" s="352"/>
      <c r="U608" s="327"/>
      <c r="V608" s="352"/>
      <c r="W608" s="352"/>
      <c r="X608" s="327"/>
      <c r="Y608" s="352"/>
      <c r="Z608" s="352"/>
      <c r="AA608" s="327"/>
      <c r="AB608" s="352"/>
      <c r="AC608" s="352"/>
      <c r="AD608" s="327"/>
      <c r="AE608" s="352"/>
      <c r="AF608" s="352"/>
      <c r="AG608" s="327"/>
      <c r="AH608" s="352"/>
      <c r="AI608" s="352"/>
      <c r="AJ608" s="327"/>
      <c r="AK608" s="352"/>
      <c r="AL608" s="352"/>
      <c r="AM608" s="327"/>
      <c r="AN608" s="352"/>
      <c r="AO608" s="352"/>
      <c r="AP608" s="327"/>
      <c r="AQ608" s="352"/>
      <c r="AR608" s="327"/>
      <c r="AU608" s="307"/>
      <c r="AX608" s="307"/>
      <c r="BA608" s="307"/>
      <c r="BC608" s="366"/>
      <c r="BD608" s="307"/>
      <c r="BG608" s="307"/>
    </row>
    <row r="609">
      <c r="A609" s="352"/>
      <c r="B609" s="352"/>
      <c r="C609" s="327"/>
      <c r="D609" s="352"/>
      <c r="E609" s="352"/>
      <c r="F609" s="327"/>
      <c r="G609" s="352"/>
      <c r="H609" s="352"/>
      <c r="I609" s="327"/>
      <c r="J609" s="352"/>
      <c r="K609" s="352"/>
      <c r="L609" s="327"/>
      <c r="M609" s="352"/>
      <c r="N609" s="352"/>
      <c r="O609" s="327"/>
      <c r="P609" s="352"/>
      <c r="Q609" s="352"/>
      <c r="R609" s="327"/>
      <c r="S609" s="352"/>
      <c r="T609" s="352"/>
      <c r="U609" s="327"/>
      <c r="V609" s="352"/>
      <c r="W609" s="352"/>
      <c r="X609" s="327"/>
      <c r="Y609" s="352"/>
      <c r="Z609" s="352"/>
      <c r="AA609" s="327"/>
      <c r="AB609" s="352"/>
      <c r="AC609" s="352"/>
      <c r="AD609" s="327"/>
      <c r="AE609" s="352"/>
      <c r="AF609" s="352"/>
      <c r="AG609" s="327"/>
      <c r="AH609" s="352"/>
      <c r="AI609" s="352"/>
      <c r="AJ609" s="327"/>
      <c r="AK609" s="352"/>
      <c r="AL609" s="352"/>
      <c r="AM609" s="327"/>
      <c r="AN609" s="352"/>
      <c r="AO609" s="352"/>
      <c r="AP609" s="327"/>
      <c r="AQ609" s="352"/>
      <c r="AR609" s="327"/>
      <c r="AU609" s="307"/>
      <c r="AX609" s="307"/>
      <c r="BA609" s="307"/>
      <c r="BC609" s="366"/>
      <c r="BD609" s="307"/>
      <c r="BG609" s="307"/>
    </row>
    <row r="610">
      <c r="A610" s="352"/>
      <c r="B610" s="352"/>
      <c r="C610" s="327"/>
      <c r="D610" s="352"/>
      <c r="E610" s="352"/>
      <c r="F610" s="327"/>
      <c r="G610" s="352"/>
      <c r="H610" s="352"/>
      <c r="I610" s="327"/>
      <c r="J610" s="352"/>
      <c r="K610" s="352"/>
      <c r="L610" s="327"/>
      <c r="M610" s="352"/>
      <c r="N610" s="352"/>
      <c r="O610" s="327"/>
      <c r="P610" s="352"/>
      <c r="Q610" s="352"/>
      <c r="R610" s="327"/>
      <c r="S610" s="352"/>
      <c r="T610" s="352"/>
      <c r="U610" s="327"/>
      <c r="V610" s="352"/>
      <c r="W610" s="352"/>
      <c r="X610" s="327"/>
      <c r="Y610" s="352"/>
      <c r="Z610" s="352"/>
      <c r="AA610" s="327"/>
      <c r="AB610" s="352"/>
      <c r="AC610" s="352"/>
      <c r="AD610" s="327"/>
      <c r="AE610" s="352"/>
      <c r="AF610" s="352"/>
      <c r="AG610" s="327"/>
      <c r="AH610" s="352"/>
      <c r="AI610" s="352"/>
      <c r="AJ610" s="327"/>
      <c r="AK610" s="352"/>
      <c r="AL610" s="352"/>
      <c r="AM610" s="327"/>
      <c r="AN610" s="352"/>
      <c r="AO610" s="352"/>
      <c r="AP610" s="327"/>
      <c r="AQ610" s="352"/>
      <c r="AR610" s="327"/>
      <c r="AU610" s="307"/>
      <c r="AX610" s="307"/>
      <c r="BA610" s="307"/>
      <c r="BC610" s="366"/>
      <c r="BD610" s="307"/>
      <c r="BG610" s="307"/>
    </row>
    <row r="611">
      <c r="A611" s="352"/>
      <c r="B611" s="352"/>
      <c r="C611" s="327"/>
      <c r="D611" s="352"/>
      <c r="E611" s="352"/>
      <c r="F611" s="327"/>
      <c r="G611" s="352"/>
      <c r="H611" s="352"/>
      <c r="I611" s="327"/>
      <c r="J611" s="352"/>
      <c r="K611" s="352"/>
      <c r="L611" s="327"/>
      <c r="M611" s="352"/>
      <c r="N611" s="352"/>
      <c r="O611" s="327"/>
      <c r="P611" s="352"/>
      <c r="Q611" s="352"/>
      <c r="R611" s="327"/>
      <c r="S611" s="352"/>
      <c r="T611" s="352"/>
      <c r="U611" s="327"/>
      <c r="V611" s="352"/>
      <c r="W611" s="352"/>
      <c r="X611" s="327"/>
      <c r="Y611" s="352"/>
      <c r="Z611" s="352"/>
      <c r="AA611" s="327"/>
      <c r="AB611" s="352"/>
      <c r="AC611" s="352"/>
      <c r="AD611" s="327"/>
      <c r="AE611" s="352"/>
      <c r="AF611" s="352"/>
      <c r="AG611" s="327"/>
      <c r="AH611" s="352"/>
      <c r="AI611" s="352"/>
      <c r="AJ611" s="327"/>
      <c r="AK611" s="352"/>
      <c r="AL611" s="352"/>
      <c r="AM611" s="327"/>
      <c r="AN611" s="352"/>
      <c r="AO611" s="352"/>
      <c r="AP611" s="327"/>
      <c r="AQ611" s="352"/>
      <c r="AR611" s="327"/>
      <c r="AU611" s="307"/>
      <c r="AX611" s="307"/>
      <c r="BA611" s="307"/>
      <c r="BC611" s="366"/>
      <c r="BD611" s="307"/>
      <c r="BG611" s="307"/>
    </row>
    <row r="612">
      <c r="A612" s="352"/>
      <c r="B612" s="352"/>
      <c r="C612" s="327"/>
      <c r="D612" s="352"/>
      <c r="E612" s="352"/>
      <c r="F612" s="327"/>
      <c r="G612" s="352"/>
      <c r="H612" s="352"/>
      <c r="I612" s="327"/>
      <c r="J612" s="352"/>
      <c r="K612" s="352"/>
      <c r="L612" s="327"/>
      <c r="M612" s="352"/>
      <c r="N612" s="352"/>
      <c r="O612" s="327"/>
      <c r="P612" s="352"/>
      <c r="Q612" s="352"/>
      <c r="R612" s="327"/>
      <c r="S612" s="352"/>
      <c r="T612" s="352"/>
      <c r="U612" s="327"/>
      <c r="V612" s="352"/>
      <c r="W612" s="352"/>
      <c r="X612" s="327"/>
      <c r="Y612" s="352"/>
      <c r="Z612" s="352"/>
      <c r="AA612" s="327"/>
      <c r="AB612" s="352"/>
      <c r="AC612" s="352"/>
      <c r="AD612" s="327"/>
      <c r="AE612" s="352"/>
      <c r="AF612" s="352"/>
      <c r="AG612" s="327"/>
      <c r="AH612" s="352"/>
      <c r="AI612" s="352"/>
      <c r="AJ612" s="327"/>
      <c r="AK612" s="352"/>
      <c r="AL612" s="352"/>
      <c r="AM612" s="327"/>
      <c r="AN612" s="352"/>
      <c r="AO612" s="352"/>
      <c r="AP612" s="327"/>
      <c r="AQ612" s="352"/>
      <c r="AR612" s="327"/>
      <c r="AU612" s="307"/>
      <c r="AX612" s="307"/>
      <c r="BA612" s="307"/>
      <c r="BC612" s="366"/>
      <c r="BD612" s="307"/>
      <c r="BG612" s="307"/>
    </row>
    <row r="613">
      <c r="A613" s="352"/>
      <c r="B613" s="352"/>
      <c r="C613" s="327"/>
      <c r="D613" s="352"/>
      <c r="E613" s="352"/>
      <c r="F613" s="327"/>
      <c r="G613" s="352"/>
      <c r="H613" s="352"/>
      <c r="I613" s="327"/>
      <c r="J613" s="352"/>
      <c r="K613" s="352"/>
      <c r="L613" s="327"/>
      <c r="M613" s="352"/>
      <c r="N613" s="352"/>
      <c r="O613" s="327"/>
      <c r="P613" s="352"/>
      <c r="Q613" s="352"/>
      <c r="R613" s="327"/>
      <c r="S613" s="352"/>
      <c r="T613" s="352"/>
      <c r="U613" s="327"/>
      <c r="V613" s="352"/>
      <c r="W613" s="352"/>
      <c r="X613" s="327"/>
      <c r="Y613" s="352"/>
      <c r="Z613" s="352"/>
      <c r="AA613" s="327"/>
      <c r="AB613" s="352"/>
      <c r="AC613" s="352"/>
      <c r="AD613" s="327"/>
      <c r="AE613" s="352"/>
      <c r="AF613" s="352"/>
      <c r="AG613" s="327"/>
      <c r="AH613" s="352"/>
      <c r="AI613" s="352"/>
      <c r="AJ613" s="327"/>
      <c r="AK613" s="352"/>
      <c r="AL613" s="352"/>
      <c r="AM613" s="327"/>
      <c r="AN613" s="352"/>
      <c r="AO613" s="352"/>
      <c r="AP613" s="327"/>
      <c r="AQ613" s="352"/>
      <c r="AR613" s="327"/>
      <c r="AU613" s="307"/>
      <c r="AX613" s="307"/>
      <c r="BA613" s="307"/>
      <c r="BC613" s="366"/>
      <c r="BD613" s="307"/>
      <c r="BG613" s="307"/>
    </row>
    <row r="614">
      <c r="A614" s="352"/>
      <c r="B614" s="352"/>
      <c r="C614" s="327"/>
      <c r="D614" s="352"/>
      <c r="E614" s="352"/>
      <c r="F614" s="327"/>
      <c r="G614" s="352"/>
      <c r="H614" s="352"/>
      <c r="I614" s="327"/>
      <c r="J614" s="352"/>
      <c r="K614" s="352"/>
      <c r="L614" s="327"/>
      <c r="M614" s="352"/>
      <c r="N614" s="352"/>
      <c r="O614" s="327"/>
      <c r="P614" s="352"/>
      <c r="Q614" s="352"/>
      <c r="R614" s="327"/>
      <c r="S614" s="352"/>
      <c r="T614" s="352"/>
      <c r="U614" s="327"/>
      <c r="V614" s="352"/>
      <c r="W614" s="352"/>
      <c r="X614" s="327"/>
      <c r="Y614" s="352"/>
      <c r="Z614" s="352"/>
      <c r="AA614" s="327"/>
      <c r="AB614" s="352"/>
      <c r="AC614" s="352"/>
      <c r="AD614" s="327"/>
      <c r="AE614" s="352"/>
      <c r="AF614" s="352"/>
      <c r="AG614" s="327"/>
      <c r="AH614" s="352"/>
      <c r="AI614" s="352"/>
      <c r="AJ614" s="327"/>
      <c r="AK614" s="352"/>
      <c r="AL614" s="352"/>
      <c r="AM614" s="327"/>
      <c r="AN614" s="352"/>
      <c r="AO614" s="352"/>
      <c r="AP614" s="327"/>
      <c r="AQ614" s="352"/>
      <c r="AR614" s="327"/>
      <c r="AU614" s="307"/>
      <c r="AX614" s="307"/>
      <c r="BA614" s="307"/>
      <c r="BC614" s="366"/>
      <c r="BD614" s="307"/>
      <c r="BG614" s="307"/>
    </row>
    <row r="615">
      <c r="A615" s="352"/>
      <c r="B615" s="352"/>
      <c r="C615" s="327"/>
      <c r="D615" s="352"/>
      <c r="E615" s="352"/>
      <c r="F615" s="327"/>
      <c r="G615" s="352"/>
      <c r="H615" s="352"/>
      <c r="I615" s="327"/>
      <c r="J615" s="352"/>
      <c r="K615" s="352"/>
      <c r="L615" s="327"/>
      <c r="M615" s="352"/>
      <c r="N615" s="352"/>
      <c r="O615" s="327"/>
      <c r="P615" s="352"/>
      <c r="Q615" s="352"/>
      <c r="R615" s="327"/>
      <c r="S615" s="352"/>
      <c r="T615" s="352"/>
      <c r="U615" s="327"/>
      <c r="V615" s="352"/>
      <c r="W615" s="352"/>
      <c r="X615" s="327"/>
      <c r="Y615" s="352"/>
      <c r="Z615" s="352"/>
      <c r="AA615" s="327"/>
      <c r="AB615" s="352"/>
      <c r="AC615" s="352"/>
      <c r="AD615" s="327"/>
      <c r="AE615" s="352"/>
      <c r="AF615" s="352"/>
      <c r="AG615" s="327"/>
      <c r="AH615" s="352"/>
      <c r="AI615" s="352"/>
      <c r="AJ615" s="327"/>
      <c r="AK615" s="352"/>
      <c r="AL615" s="352"/>
      <c r="AM615" s="327"/>
      <c r="AN615" s="352"/>
      <c r="AO615" s="352"/>
      <c r="AP615" s="327"/>
      <c r="AQ615" s="352"/>
      <c r="AR615" s="327"/>
      <c r="AU615" s="307"/>
      <c r="AX615" s="307"/>
      <c r="BA615" s="307"/>
      <c r="BC615" s="366"/>
      <c r="BD615" s="307"/>
      <c r="BG615" s="307"/>
    </row>
    <row r="616">
      <c r="A616" s="352"/>
      <c r="B616" s="352"/>
      <c r="C616" s="327"/>
      <c r="D616" s="352"/>
      <c r="E616" s="352"/>
      <c r="F616" s="327"/>
      <c r="G616" s="352"/>
      <c r="H616" s="352"/>
      <c r="I616" s="327"/>
      <c r="J616" s="352"/>
      <c r="K616" s="352"/>
      <c r="L616" s="327"/>
      <c r="M616" s="352"/>
      <c r="N616" s="352"/>
      <c r="O616" s="327"/>
      <c r="P616" s="352"/>
      <c r="Q616" s="352"/>
      <c r="R616" s="327"/>
      <c r="S616" s="352"/>
      <c r="T616" s="352"/>
      <c r="U616" s="327"/>
      <c r="V616" s="352"/>
      <c r="W616" s="352"/>
      <c r="X616" s="327"/>
      <c r="Y616" s="352"/>
      <c r="Z616" s="352"/>
      <c r="AA616" s="327"/>
      <c r="AB616" s="352"/>
      <c r="AC616" s="352"/>
      <c r="AD616" s="327"/>
      <c r="AE616" s="352"/>
      <c r="AF616" s="352"/>
      <c r="AG616" s="327"/>
      <c r="AH616" s="352"/>
      <c r="AI616" s="352"/>
      <c r="AJ616" s="327"/>
      <c r="AK616" s="352"/>
      <c r="AL616" s="352"/>
      <c r="AM616" s="327"/>
      <c r="AN616" s="352"/>
      <c r="AO616" s="352"/>
      <c r="AP616" s="327"/>
      <c r="AQ616" s="352"/>
      <c r="AR616" s="327"/>
      <c r="AU616" s="307"/>
      <c r="AX616" s="307"/>
      <c r="BA616" s="307"/>
      <c r="BC616" s="366"/>
      <c r="BD616" s="307"/>
      <c r="BG616" s="307"/>
    </row>
    <row r="617">
      <c r="A617" s="352"/>
      <c r="B617" s="352"/>
      <c r="C617" s="327"/>
      <c r="D617" s="352"/>
      <c r="E617" s="352"/>
      <c r="F617" s="327"/>
      <c r="G617" s="352"/>
      <c r="H617" s="352"/>
      <c r="I617" s="327"/>
      <c r="J617" s="352"/>
      <c r="K617" s="352"/>
      <c r="L617" s="327"/>
      <c r="M617" s="352"/>
      <c r="N617" s="352"/>
      <c r="O617" s="327"/>
      <c r="P617" s="352"/>
      <c r="Q617" s="352"/>
      <c r="R617" s="327"/>
      <c r="S617" s="352"/>
      <c r="T617" s="352"/>
      <c r="U617" s="327"/>
      <c r="V617" s="352"/>
      <c r="W617" s="352"/>
      <c r="X617" s="327"/>
      <c r="Y617" s="352"/>
      <c r="Z617" s="352"/>
      <c r="AA617" s="327"/>
      <c r="AB617" s="352"/>
      <c r="AC617" s="352"/>
      <c r="AD617" s="327"/>
      <c r="AE617" s="352"/>
      <c r="AF617" s="352"/>
      <c r="AG617" s="327"/>
      <c r="AH617" s="352"/>
      <c r="AI617" s="352"/>
      <c r="AJ617" s="327"/>
      <c r="AK617" s="352"/>
      <c r="AL617" s="352"/>
      <c r="AM617" s="327"/>
      <c r="AN617" s="352"/>
      <c r="AO617" s="352"/>
      <c r="AP617" s="327"/>
      <c r="AQ617" s="352"/>
      <c r="AR617" s="327"/>
      <c r="AU617" s="307"/>
      <c r="AX617" s="307"/>
      <c r="BA617" s="307"/>
      <c r="BC617" s="366"/>
      <c r="BD617" s="307"/>
      <c r="BG617" s="307"/>
    </row>
    <row r="618">
      <c r="A618" s="352"/>
      <c r="B618" s="352"/>
      <c r="C618" s="327"/>
      <c r="D618" s="352"/>
      <c r="E618" s="352"/>
      <c r="F618" s="327"/>
      <c r="G618" s="352"/>
      <c r="H618" s="352"/>
      <c r="I618" s="327"/>
      <c r="J618" s="352"/>
      <c r="K618" s="352"/>
      <c r="L618" s="327"/>
      <c r="M618" s="352"/>
      <c r="N618" s="352"/>
      <c r="O618" s="327"/>
      <c r="P618" s="352"/>
      <c r="Q618" s="352"/>
      <c r="R618" s="327"/>
      <c r="S618" s="352"/>
      <c r="T618" s="352"/>
      <c r="U618" s="327"/>
      <c r="V618" s="352"/>
      <c r="W618" s="352"/>
      <c r="X618" s="327"/>
      <c r="Y618" s="352"/>
      <c r="Z618" s="352"/>
      <c r="AA618" s="327"/>
      <c r="AB618" s="352"/>
      <c r="AC618" s="352"/>
      <c r="AD618" s="327"/>
      <c r="AE618" s="352"/>
      <c r="AF618" s="352"/>
      <c r="AG618" s="327"/>
      <c r="AH618" s="352"/>
      <c r="AI618" s="352"/>
      <c r="AJ618" s="327"/>
      <c r="AK618" s="352"/>
      <c r="AL618" s="352"/>
      <c r="AM618" s="327"/>
      <c r="AN618" s="352"/>
      <c r="AO618" s="352"/>
      <c r="AP618" s="327"/>
      <c r="AQ618" s="352"/>
      <c r="AR618" s="327"/>
      <c r="AU618" s="307"/>
      <c r="AX618" s="307"/>
      <c r="BA618" s="307"/>
      <c r="BC618" s="366"/>
      <c r="BD618" s="307"/>
      <c r="BG618" s="307"/>
    </row>
    <row r="619">
      <c r="A619" s="352"/>
      <c r="B619" s="352"/>
      <c r="C619" s="327"/>
      <c r="D619" s="352"/>
      <c r="E619" s="352"/>
      <c r="F619" s="327"/>
      <c r="G619" s="352"/>
      <c r="H619" s="352"/>
      <c r="I619" s="327"/>
      <c r="J619" s="352"/>
      <c r="K619" s="352"/>
      <c r="L619" s="327"/>
      <c r="M619" s="352"/>
      <c r="N619" s="352"/>
      <c r="O619" s="327"/>
      <c r="P619" s="352"/>
      <c r="Q619" s="352"/>
      <c r="R619" s="327"/>
      <c r="S619" s="352"/>
      <c r="T619" s="352"/>
      <c r="U619" s="327"/>
      <c r="V619" s="352"/>
      <c r="W619" s="352"/>
      <c r="X619" s="327"/>
      <c r="Y619" s="352"/>
      <c r="Z619" s="352"/>
      <c r="AA619" s="327"/>
      <c r="AB619" s="352"/>
      <c r="AC619" s="352"/>
      <c r="AD619" s="327"/>
      <c r="AE619" s="352"/>
      <c r="AF619" s="352"/>
      <c r="AG619" s="327"/>
      <c r="AH619" s="352"/>
      <c r="AI619" s="352"/>
      <c r="AJ619" s="327"/>
      <c r="AK619" s="352"/>
      <c r="AL619" s="352"/>
      <c r="AM619" s="327"/>
      <c r="AN619" s="352"/>
      <c r="AO619" s="352"/>
      <c r="AP619" s="327"/>
      <c r="AQ619" s="352"/>
      <c r="AR619" s="327"/>
      <c r="AU619" s="307"/>
      <c r="AX619" s="307"/>
      <c r="BA619" s="307"/>
      <c r="BC619" s="366"/>
      <c r="BD619" s="307"/>
      <c r="BG619" s="307"/>
    </row>
    <row r="620">
      <c r="A620" s="352"/>
      <c r="B620" s="352"/>
      <c r="C620" s="327"/>
      <c r="D620" s="352"/>
      <c r="E620" s="352"/>
      <c r="F620" s="327"/>
      <c r="G620" s="352"/>
      <c r="H620" s="352"/>
      <c r="I620" s="327"/>
      <c r="J620" s="352"/>
      <c r="K620" s="352"/>
      <c r="L620" s="327"/>
      <c r="M620" s="352"/>
      <c r="N620" s="352"/>
      <c r="O620" s="327"/>
      <c r="P620" s="352"/>
      <c r="Q620" s="352"/>
      <c r="R620" s="327"/>
      <c r="S620" s="352"/>
      <c r="T620" s="352"/>
      <c r="U620" s="327"/>
      <c r="V620" s="352"/>
      <c r="W620" s="352"/>
      <c r="X620" s="327"/>
      <c r="Y620" s="352"/>
      <c r="Z620" s="352"/>
      <c r="AA620" s="327"/>
      <c r="AB620" s="352"/>
      <c r="AC620" s="352"/>
      <c r="AD620" s="327"/>
      <c r="AE620" s="352"/>
      <c r="AF620" s="352"/>
      <c r="AG620" s="327"/>
      <c r="AH620" s="352"/>
      <c r="AI620" s="352"/>
      <c r="AJ620" s="327"/>
      <c r="AK620" s="352"/>
      <c r="AL620" s="352"/>
      <c r="AM620" s="327"/>
      <c r="AN620" s="352"/>
      <c r="AO620" s="352"/>
      <c r="AP620" s="327"/>
      <c r="AQ620" s="352"/>
      <c r="AR620" s="327"/>
      <c r="AU620" s="307"/>
      <c r="AX620" s="307"/>
      <c r="BA620" s="307"/>
      <c r="BC620" s="366"/>
      <c r="BD620" s="307"/>
      <c r="BG620" s="307"/>
    </row>
    <row r="621">
      <c r="A621" s="352"/>
      <c r="B621" s="352"/>
      <c r="C621" s="327"/>
      <c r="D621" s="352"/>
      <c r="E621" s="352"/>
      <c r="F621" s="327"/>
      <c r="G621" s="352"/>
      <c r="H621" s="352"/>
      <c r="I621" s="327"/>
      <c r="J621" s="352"/>
      <c r="K621" s="352"/>
      <c r="L621" s="327"/>
      <c r="M621" s="352"/>
      <c r="N621" s="352"/>
      <c r="O621" s="327"/>
      <c r="P621" s="352"/>
      <c r="Q621" s="352"/>
      <c r="R621" s="327"/>
      <c r="S621" s="352"/>
      <c r="T621" s="352"/>
      <c r="U621" s="327"/>
      <c r="V621" s="352"/>
      <c r="W621" s="352"/>
      <c r="X621" s="327"/>
      <c r="Y621" s="352"/>
      <c r="Z621" s="352"/>
      <c r="AA621" s="327"/>
      <c r="AB621" s="352"/>
      <c r="AC621" s="352"/>
      <c r="AD621" s="327"/>
      <c r="AE621" s="352"/>
      <c r="AF621" s="352"/>
      <c r="AG621" s="327"/>
      <c r="AH621" s="352"/>
      <c r="AI621" s="352"/>
      <c r="AJ621" s="327"/>
      <c r="AK621" s="352"/>
      <c r="AL621" s="352"/>
      <c r="AM621" s="327"/>
      <c r="AN621" s="352"/>
      <c r="AO621" s="352"/>
      <c r="AP621" s="327"/>
      <c r="AQ621" s="352"/>
      <c r="AR621" s="327"/>
      <c r="AU621" s="307"/>
      <c r="AX621" s="307"/>
      <c r="BA621" s="307"/>
      <c r="BC621" s="366"/>
      <c r="BD621" s="307"/>
      <c r="BG621" s="307"/>
    </row>
    <row r="622">
      <c r="A622" s="352"/>
      <c r="B622" s="352"/>
      <c r="C622" s="327"/>
      <c r="D622" s="352"/>
      <c r="E622" s="352"/>
      <c r="F622" s="327"/>
      <c r="G622" s="352"/>
      <c r="H622" s="352"/>
      <c r="I622" s="327"/>
      <c r="J622" s="352"/>
      <c r="K622" s="352"/>
      <c r="L622" s="327"/>
      <c r="M622" s="352"/>
      <c r="N622" s="352"/>
      <c r="O622" s="327"/>
      <c r="P622" s="352"/>
      <c r="Q622" s="352"/>
      <c r="R622" s="327"/>
      <c r="S622" s="352"/>
      <c r="T622" s="352"/>
      <c r="U622" s="327"/>
      <c r="V622" s="352"/>
      <c r="W622" s="352"/>
      <c r="X622" s="327"/>
      <c r="Y622" s="352"/>
      <c r="Z622" s="352"/>
      <c r="AA622" s="327"/>
      <c r="AB622" s="352"/>
      <c r="AC622" s="352"/>
      <c r="AD622" s="327"/>
      <c r="AE622" s="352"/>
      <c r="AF622" s="352"/>
      <c r="AG622" s="327"/>
      <c r="AH622" s="352"/>
      <c r="AI622" s="352"/>
      <c r="AJ622" s="327"/>
      <c r="AK622" s="352"/>
      <c r="AL622" s="352"/>
      <c r="AM622" s="327"/>
      <c r="AN622" s="352"/>
      <c r="AO622" s="352"/>
      <c r="AP622" s="327"/>
      <c r="AQ622" s="352"/>
      <c r="AR622" s="327"/>
      <c r="AU622" s="307"/>
      <c r="AX622" s="307"/>
      <c r="BA622" s="307"/>
      <c r="BC622" s="366"/>
      <c r="BD622" s="307"/>
      <c r="BG622" s="307"/>
    </row>
    <row r="623">
      <c r="A623" s="352"/>
      <c r="B623" s="352"/>
      <c r="C623" s="327"/>
      <c r="D623" s="352"/>
      <c r="E623" s="352"/>
      <c r="F623" s="327"/>
      <c r="G623" s="352"/>
      <c r="H623" s="352"/>
      <c r="I623" s="327"/>
      <c r="J623" s="352"/>
      <c r="K623" s="352"/>
      <c r="L623" s="327"/>
      <c r="M623" s="352"/>
      <c r="N623" s="352"/>
      <c r="O623" s="327"/>
      <c r="P623" s="352"/>
      <c r="Q623" s="352"/>
      <c r="R623" s="327"/>
      <c r="S623" s="352"/>
      <c r="T623" s="352"/>
      <c r="U623" s="327"/>
      <c r="V623" s="352"/>
      <c r="W623" s="352"/>
      <c r="X623" s="327"/>
      <c r="Y623" s="352"/>
      <c r="Z623" s="352"/>
      <c r="AA623" s="327"/>
      <c r="AB623" s="352"/>
      <c r="AC623" s="352"/>
      <c r="AD623" s="327"/>
      <c r="AE623" s="352"/>
      <c r="AF623" s="352"/>
      <c r="AG623" s="327"/>
      <c r="AH623" s="352"/>
      <c r="AI623" s="352"/>
      <c r="AJ623" s="327"/>
      <c r="AK623" s="352"/>
      <c r="AL623" s="352"/>
      <c r="AM623" s="327"/>
      <c r="AN623" s="352"/>
      <c r="AO623" s="352"/>
      <c r="AP623" s="327"/>
      <c r="AQ623" s="352"/>
      <c r="AR623" s="327"/>
      <c r="AU623" s="307"/>
      <c r="AX623" s="307"/>
      <c r="BA623" s="307"/>
      <c r="BC623" s="366"/>
      <c r="BD623" s="307"/>
      <c r="BG623" s="307"/>
    </row>
    <row r="624">
      <c r="A624" s="352"/>
      <c r="B624" s="352"/>
      <c r="C624" s="327"/>
      <c r="D624" s="352"/>
      <c r="E624" s="352"/>
      <c r="F624" s="327"/>
      <c r="G624" s="352"/>
      <c r="H624" s="352"/>
      <c r="I624" s="327"/>
      <c r="J624" s="352"/>
      <c r="K624" s="352"/>
      <c r="L624" s="327"/>
      <c r="M624" s="352"/>
      <c r="N624" s="352"/>
      <c r="O624" s="327"/>
      <c r="P624" s="352"/>
      <c r="Q624" s="352"/>
      <c r="R624" s="327"/>
      <c r="S624" s="352"/>
      <c r="T624" s="352"/>
      <c r="U624" s="327"/>
      <c r="V624" s="352"/>
      <c r="W624" s="352"/>
      <c r="X624" s="327"/>
      <c r="Y624" s="352"/>
      <c r="Z624" s="352"/>
      <c r="AA624" s="327"/>
      <c r="AB624" s="352"/>
      <c r="AC624" s="352"/>
      <c r="AD624" s="327"/>
      <c r="AE624" s="352"/>
      <c r="AF624" s="352"/>
      <c r="AG624" s="327"/>
      <c r="AH624" s="352"/>
      <c r="AI624" s="352"/>
      <c r="AJ624" s="327"/>
      <c r="AK624" s="352"/>
      <c r="AL624" s="352"/>
      <c r="AM624" s="327"/>
      <c r="AN624" s="352"/>
      <c r="AO624" s="352"/>
      <c r="AP624" s="327"/>
      <c r="AQ624" s="352"/>
      <c r="AR624" s="327"/>
      <c r="AU624" s="307"/>
      <c r="AX624" s="307"/>
      <c r="BA624" s="307"/>
      <c r="BC624" s="366"/>
      <c r="BD624" s="307"/>
      <c r="BG624" s="307"/>
    </row>
    <row r="625">
      <c r="A625" s="352"/>
      <c r="B625" s="352"/>
      <c r="C625" s="327"/>
      <c r="D625" s="352"/>
      <c r="E625" s="352"/>
      <c r="F625" s="327"/>
      <c r="G625" s="352"/>
      <c r="H625" s="352"/>
      <c r="I625" s="327"/>
      <c r="J625" s="352"/>
      <c r="K625" s="352"/>
      <c r="L625" s="327"/>
      <c r="M625" s="352"/>
      <c r="N625" s="352"/>
      <c r="O625" s="327"/>
      <c r="P625" s="352"/>
      <c r="Q625" s="352"/>
      <c r="R625" s="327"/>
      <c r="S625" s="352"/>
      <c r="T625" s="352"/>
      <c r="U625" s="327"/>
      <c r="V625" s="352"/>
      <c r="W625" s="352"/>
      <c r="X625" s="327"/>
      <c r="Y625" s="352"/>
      <c r="Z625" s="352"/>
      <c r="AA625" s="327"/>
      <c r="AB625" s="352"/>
      <c r="AC625" s="352"/>
      <c r="AD625" s="327"/>
      <c r="AE625" s="352"/>
      <c r="AF625" s="352"/>
      <c r="AG625" s="327"/>
      <c r="AH625" s="352"/>
      <c r="AI625" s="352"/>
      <c r="AJ625" s="327"/>
      <c r="AK625" s="352"/>
      <c r="AL625" s="352"/>
      <c r="AM625" s="327"/>
      <c r="AN625" s="352"/>
      <c r="AO625" s="352"/>
      <c r="AP625" s="327"/>
      <c r="AQ625" s="352"/>
      <c r="AR625" s="327"/>
      <c r="AU625" s="307"/>
      <c r="AX625" s="307"/>
      <c r="BA625" s="307"/>
      <c r="BC625" s="366"/>
      <c r="BD625" s="307"/>
      <c r="BG625" s="307"/>
    </row>
    <row r="626">
      <c r="A626" s="352"/>
      <c r="B626" s="352"/>
      <c r="C626" s="327"/>
      <c r="D626" s="352"/>
      <c r="E626" s="352"/>
      <c r="F626" s="327"/>
      <c r="G626" s="352"/>
      <c r="H626" s="352"/>
      <c r="I626" s="327"/>
      <c r="J626" s="352"/>
      <c r="K626" s="352"/>
      <c r="L626" s="327"/>
      <c r="M626" s="352"/>
      <c r="N626" s="352"/>
      <c r="O626" s="327"/>
      <c r="P626" s="352"/>
      <c r="Q626" s="352"/>
      <c r="R626" s="327"/>
      <c r="S626" s="352"/>
      <c r="T626" s="352"/>
      <c r="U626" s="327"/>
      <c r="V626" s="352"/>
      <c r="W626" s="352"/>
      <c r="X626" s="327"/>
      <c r="Y626" s="352"/>
      <c r="Z626" s="352"/>
      <c r="AA626" s="327"/>
      <c r="AB626" s="352"/>
      <c r="AC626" s="352"/>
      <c r="AD626" s="327"/>
      <c r="AE626" s="352"/>
      <c r="AF626" s="352"/>
      <c r="AG626" s="327"/>
      <c r="AH626" s="352"/>
      <c r="AI626" s="352"/>
      <c r="AJ626" s="327"/>
      <c r="AK626" s="352"/>
      <c r="AL626" s="352"/>
      <c r="AM626" s="327"/>
      <c r="AN626" s="352"/>
      <c r="AO626" s="352"/>
      <c r="AP626" s="327"/>
      <c r="AQ626" s="352"/>
      <c r="AR626" s="327"/>
      <c r="AU626" s="307"/>
      <c r="AX626" s="307"/>
      <c r="BA626" s="307"/>
      <c r="BC626" s="366"/>
      <c r="BD626" s="307"/>
      <c r="BG626" s="307"/>
    </row>
    <row r="627">
      <c r="A627" s="352"/>
      <c r="B627" s="352"/>
      <c r="C627" s="327"/>
      <c r="D627" s="352"/>
      <c r="E627" s="352"/>
      <c r="F627" s="327"/>
      <c r="G627" s="352"/>
      <c r="H627" s="352"/>
      <c r="I627" s="327"/>
      <c r="J627" s="352"/>
      <c r="K627" s="352"/>
      <c r="L627" s="327"/>
      <c r="M627" s="352"/>
      <c r="N627" s="352"/>
      <c r="O627" s="327"/>
      <c r="P627" s="352"/>
      <c r="Q627" s="352"/>
      <c r="R627" s="327"/>
      <c r="S627" s="352"/>
      <c r="T627" s="352"/>
      <c r="U627" s="327"/>
      <c r="V627" s="352"/>
      <c r="W627" s="352"/>
      <c r="X627" s="327"/>
      <c r="Y627" s="352"/>
      <c r="Z627" s="352"/>
      <c r="AA627" s="327"/>
      <c r="AB627" s="352"/>
      <c r="AC627" s="352"/>
      <c r="AD627" s="327"/>
      <c r="AE627" s="352"/>
      <c r="AF627" s="352"/>
      <c r="AG627" s="327"/>
      <c r="AH627" s="352"/>
      <c r="AI627" s="352"/>
      <c r="AJ627" s="327"/>
      <c r="AK627" s="352"/>
      <c r="AL627" s="352"/>
      <c r="AM627" s="327"/>
      <c r="AN627" s="352"/>
      <c r="AO627" s="352"/>
      <c r="AP627" s="327"/>
      <c r="AQ627" s="352"/>
      <c r="AR627" s="327"/>
      <c r="AU627" s="307"/>
      <c r="AX627" s="307"/>
      <c r="BA627" s="307"/>
      <c r="BC627" s="366"/>
      <c r="BD627" s="307"/>
      <c r="BG627" s="307"/>
    </row>
    <row r="628">
      <c r="A628" s="352"/>
      <c r="B628" s="352"/>
      <c r="C628" s="327"/>
      <c r="D628" s="352"/>
      <c r="E628" s="352"/>
      <c r="F628" s="327"/>
      <c r="G628" s="352"/>
      <c r="H628" s="352"/>
      <c r="I628" s="327"/>
      <c r="J628" s="352"/>
      <c r="K628" s="352"/>
      <c r="L628" s="327"/>
      <c r="M628" s="352"/>
      <c r="N628" s="352"/>
      <c r="O628" s="327"/>
      <c r="P628" s="352"/>
      <c r="Q628" s="352"/>
      <c r="R628" s="327"/>
      <c r="S628" s="352"/>
      <c r="T628" s="352"/>
      <c r="U628" s="327"/>
      <c r="V628" s="352"/>
      <c r="W628" s="352"/>
      <c r="X628" s="327"/>
      <c r="Y628" s="352"/>
      <c r="Z628" s="352"/>
      <c r="AA628" s="327"/>
      <c r="AB628" s="352"/>
      <c r="AC628" s="352"/>
      <c r="AD628" s="327"/>
      <c r="AE628" s="352"/>
      <c r="AF628" s="352"/>
      <c r="AG628" s="327"/>
      <c r="AH628" s="352"/>
      <c r="AI628" s="352"/>
      <c r="AJ628" s="327"/>
      <c r="AK628" s="352"/>
      <c r="AL628" s="352"/>
      <c r="AM628" s="327"/>
      <c r="AN628" s="352"/>
      <c r="AO628" s="352"/>
      <c r="AP628" s="327"/>
      <c r="AQ628" s="352"/>
      <c r="AR628" s="327"/>
      <c r="AU628" s="307"/>
      <c r="AX628" s="307"/>
      <c r="BA628" s="307"/>
      <c r="BC628" s="366"/>
      <c r="BD628" s="307"/>
      <c r="BG628" s="307"/>
    </row>
    <row r="629">
      <c r="A629" s="352"/>
      <c r="B629" s="352"/>
      <c r="C629" s="327"/>
      <c r="D629" s="352"/>
      <c r="E629" s="352"/>
      <c r="F629" s="327"/>
      <c r="G629" s="352"/>
      <c r="H629" s="352"/>
      <c r="I629" s="327"/>
      <c r="J629" s="352"/>
      <c r="K629" s="352"/>
      <c r="L629" s="327"/>
      <c r="M629" s="352"/>
      <c r="N629" s="352"/>
      <c r="O629" s="327"/>
      <c r="P629" s="352"/>
      <c r="Q629" s="352"/>
      <c r="R629" s="327"/>
      <c r="S629" s="352"/>
      <c r="T629" s="352"/>
      <c r="U629" s="327"/>
      <c r="V629" s="352"/>
      <c r="W629" s="352"/>
      <c r="X629" s="327"/>
      <c r="Y629" s="352"/>
      <c r="Z629" s="352"/>
      <c r="AA629" s="327"/>
      <c r="AB629" s="352"/>
      <c r="AC629" s="352"/>
      <c r="AD629" s="327"/>
      <c r="AE629" s="352"/>
      <c r="AF629" s="352"/>
      <c r="AG629" s="327"/>
      <c r="AH629" s="352"/>
      <c r="AI629" s="352"/>
      <c r="AJ629" s="327"/>
      <c r="AK629" s="352"/>
      <c r="AL629" s="352"/>
      <c r="AM629" s="327"/>
      <c r="AN629" s="352"/>
      <c r="AO629" s="352"/>
      <c r="AP629" s="327"/>
      <c r="AQ629" s="352"/>
      <c r="AR629" s="327"/>
      <c r="AU629" s="307"/>
      <c r="AX629" s="307"/>
      <c r="BA629" s="307"/>
      <c r="BC629" s="366"/>
      <c r="BD629" s="307"/>
      <c r="BG629" s="307"/>
    </row>
    <row r="630">
      <c r="A630" s="352"/>
      <c r="B630" s="352"/>
      <c r="C630" s="327"/>
      <c r="D630" s="352"/>
      <c r="E630" s="352"/>
      <c r="F630" s="327"/>
      <c r="G630" s="352"/>
      <c r="H630" s="352"/>
      <c r="I630" s="327"/>
      <c r="J630" s="352"/>
      <c r="K630" s="352"/>
      <c r="L630" s="327"/>
      <c r="M630" s="352"/>
      <c r="N630" s="352"/>
      <c r="O630" s="327"/>
      <c r="P630" s="352"/>
      <c r="Q630" s="352"/>
      <c r="R630" s="327"/>
      <c r="S630" s="352"/>
      <c r="T630" s="352"/>
      <c r="U630" s="327"/>
      <c r="V630" s="352"/>
      <c r="W630" s="352"/>
      <c r="X630" s="327"/>
      <c r="Y630" s="352"/>
      <c r="Z630" s="352"/>
      <c r="AA630" s="327"/>
      <c r="AB630" s="352"/>
      <c r="AC630" s="352"/>
      <c r="AD630" s="327"/>
      <c r="AE630" s="352"/>
      <c r="AF630" s="352"/>
      <c r="AG630" s="327"/>
      <c r="AH630" s="352"/>
      <c r="AI630" s="352"/>
      <c r="AJ630" s="327"/>
      <c r="AK630" s="352"/>
      <c r="AL630" s="352"/>
      <c r="AM630" s="327"/>
      <c r="AN630" s="352"/>
      <c r="AO630" s="352"/>
      <c r="AP630" s="327"/>
      <c r="AQ630" s="352"/>
      <c r="AR630" s="327"/>
      <c r="AU630" s="307"/>
      <c r="AX630" s="307"/>
      <c r="BA630" s="307"/>
      <c r="BC630" s="366"/>
      <c r="BD630" s="307"/>
      <c r="BG630" s="307"/>
    </row>
    <row r="631">
      <c r="A631" s="352"/>
      <c r="B631" s="352"/>
      <c r="C631" s="327"/>
      <c r="D631" s="352"/>
      <c r="E631" s="352"/>
      <c r="F631" s="327"/>
      <c r="G631" s="352"/>
      <c r="H631" s="352"/>
      <c r="I631" s="327"/>
      <c r="J631" s="352"/>
      <c r="K631" s="352"/>
      <c r="L631" s="327"/>
      <c r="M631" s="352"/>
      <c r="N631" s="352"/>
      <c r="O631" s="327"/>
      <c r="P631" s="352"/>
      <c r="Q631" s="352"/>
      <c r="R631" s="327"/>
      <c r="S631" s="352"/>
      <c r="T631" s="352"/>
      <c r="U631" s="327"/>
      <c r="V631" s="352"/>
      <c r="W631" s="352"/>
      <c r="X631" s="327"/>
      <c r="Y631" s="352"/>
      <c r="Z631" s="352"/>
      <c r="AA631" s="327"/>
      <c r="AB631" s="352"/>
      <c r="AC631" s="352"/>
      <c r="AD631" s="327"/>
      <c r="AE631" s="352"/>
      <c r="AF631" s="352"/>
      <c r="AG631" s="327"/>
      <c r="AH631" s="352"/>
      <c r="AI631" s="352"/>
      <c r="AJ631" s="327"/>
      <c r="AK631" s="352"/>
      <c r="AL631" s="352"/>
      <c r="AM631" s="327"/>
      <c r="AN631" s="352"/>
      <c r="AO631" s="352"/>
      <c r="AP631" s="327"/>
      <c r="AQ631" s="352"/>
      <c r="AR631" s="327"/>
      <c r="AU631" s="307"/>
      <c r="AX631" s="307"/>
      <c r="BA631" s="307"/>
      <c r="BC631" s="366"/>
      <c r="BD631" s="307"/>
      <c r="BG631" s="307"/>
    </row>
    <row r="632">
      <c r="A632" s="352"/>
      <c r="B632" s="352"/>
      <c r="C632" s="327"/>
      <c r="D632" s="352"/>
      <c r="E632" s="352"/>
      <c r="F632" s="327"/>
      <c r="G632" s="352"/>
      <c r="H632" s="352"/>
      <c r="I632" s="327"/>
      <c r="J632" s="352"/>
      <c r="K632" s="352"/>
      <c r="L632" s="327"/>
      <c r="M632" s="352"/>
      <c r="N632" s="352"/>
      <c r="O632" s="327"/>
      <c r="P632" s="352"/>
      <c r="Q632" s="352"/>
      <c r="R632" s="327"/>
      <c r="S632" s="352"/>
      <c r="T632" s="352"/>
      <c r="U632" s="327"/>
      <c r="V632" s="352"/>
      <c r="W632" s="352"/>
      <c r="X632" s="327"/>
      <c r="Y632" s="352"/>
      <c r="Z632" s="352"/>
      <c r="AA632" s="327"/>
      <c r="AB632" s="352"/>
      <c r="AC632" s="352"/>
      <c r="AD632" s="327"/>
      <c r="AE632" s="352"/>
      <c r="AF632" s="352"/>
      <c r="AG632" s="327"/>
      <c r="AH632" s="352"/>
      <c r="AI632" s="352"/>
      <c r="AJ632" s="327"/>
      <c r="AK632" s="352"/>
      <c r="AL632" s="352"/>
      <c r="AM632" s="327"/>
      <c r="AN632" s="352"/>
      <c r="AO632" s="352"/>
      <c r="AP632" s="327"/>
      <c r="AQ632" s="352"/>
      <c r="AR632" s="327"/>
      <c r="AU632" s="307"/>
      <c r="AX632" s="307"/>
      <c r="BA632" s="307"/>
      <c r="BC632" s="366"/>
      <c r="BD632" s="307"/>
      <c r="BG632" s="307"/>
    </row>
    <row r="633">
      <c r="A633" s="352"/>
      <c r="B633" s="352"/>
      <c r="C633" s="327"/>
      <c r="D633" s="352"/>
      <c r="E633" s="352"/>
      <c r="F633" s="327"/>
      <c r="G633" s="352"/>
      <c r="H633" s="352"/>
      <c r="I633" s="327"/>
      <c r="J633" s="352"/>
      <c r="K633" s="352"/>
      <c r="L633" s="327"/>
      <c r="M633" s="352"/>
      <c r="N633" s="352"/>
      <c r="O633" s="327"/>
      <c r="P633" s="352"/>
      <c r="Q633" s="352"/>
      <c r="R633" s="327"/>
      <c r="S633" s="352"/>
      <c r="T633" s="352"/>
      <c r="U633" s="327"/>
      <c r="V633" s="352"/>
      <c r="W633" s="352"/>
      <c r="X633" s="327"/>
      <c r="Y633" s="352"/>
      <c r="Z633" s="352"/>
      <c r="AA633" s="327"/>
      <c r="AB633" s="352"/>
      <c r="AC633" s="352"/>
      <c r="AD633" s="327"/>
      <c r="AE633" s="352"/>
      <c r="AF633" s="352"/>
      <c r="AG633" s="327"/>
      <c r="AH633" s="352"/>
      <c r="AI633" s="352"/>
      <c r="AJ633" s="327"/>
      <c r="AK633" s="352"/>
      <c r="AL633" s="352"/>
      <c r="AM633" s="327"/>
      <c r="AN633" s="352"/>
      <c r="AO633" s="352"/>
      <c r="AP633" s="327"/>
      <c r="AQ633" s="352"/>
      <c r="AR633" s="327"/>
      <c r="AU633" s="307"/>
      <c r="AX633" s="307"/>
      <c r="BA633" s="307"/>
      <c r="BC633" s="366"/>
      <c r="BD633" s="307"/>
      <c r="BG633" s="307"/>
    </row>
    <row r="634">
      <c r="A634" s="352"/>
      <c r="B634" s="352"/>
      <c r="C634" s="327"/>
      <c r="D634" s="352"/>
      <c r="E634" s="352"/>
      <c r="F634" s="327"/>
      <c r="G634" s="352"/>
      <c r="H634" s="352"/>
      <c r="I634" s="327"/>
      <c r="J634" s="352"/>
      <c r="K634" s="352"/>
      <c r="L634" s="327"/>
      <c r="M634" s="352"/>
      <c r="N634" s="352"/>
      <c r="O634" s="327"/>
      <c r="P634" s="352"/>
      <c r="Q634" s="352"/>
      <c r="R634" s="327"/>
      <c r="S634" s="352"/>
      <c r="T634" s="352"/>
      <c r="U634" s="327"/>
      <c r="V634" s="352"/>
      <c r="W634" s="352"/>
      <c r="X634" s="327"/>
      <c r="Y634" s="352"/>
      <c r="Z634" s="352"/>
      <c r="AA634" s="327"/>
      <c r="AB634" s="352"/>
      <c r="AC634" s="352"/>
      <c r="AD634" s="327"/>
      <c r="AE634" s="352"/>
      <c r="AF634" s="352"/>
      <c r="AG634" s="327"/>
      <c r="AH634" s="352"/>
      <c r="AI634" s="352"/>
      <c r="AJ634" s="327"/>
      <c r="AK634" s="352"/>
      <c r="AL634" s="352"/>
      <c r="AM634" s="327"/>
      <c r="AN634" s="352"/>
      <c r="AO634" s="352"/>
      <c r="AP634" s="327"/>
      <c r="AQ634" s="352"/>
      <c r="AR634" s="327"/>
      <c r="AU634" s="307"/>
      <c r="AX634" s="307"/>
      <c r="BA634" s="307"/>
      <c r="BC634" s="366"/>
      <c r="BD634" s="307"/>
      <c r="BG634" s="307"/>
    </row>
    <row r="635">
      <c r="A635" s="352"/>
      <c r="B635" s="352"/>
      <c r="C635" s="327"/>
      <c r="D635" s="352"/>
      <c r="E635" s="352"/>
      <c r="F635" s="327"/>
      <c r="G635" s="352"/>
      <c r="H635" s="352"/>
      <c r="I635" s="327"/>
      <c r="J635" s="352"/>
      <c r="K635" s="352"/>
      <c r="L635" s="327"/>
      <c r="M635" s="352"/>
      <c r="N635" s="352"/>
      <c r="O635" s="327"/>
      <c r="P635" s="352"/>
      <c r="Q635" s="352"/>
      <c r="R635" s="327"/>
      <c r="S635" s="352"/>
      <c r="T635" s="352"/>
      <c r="U635" s="327"/>
      <c r="V635" s="352"/>
      <c r="W635" s="352"/>
      <c r="X635" s="327"/>
      <c r="Y635" s="352"/>
      <c r="Z635" s="352"/>
      <c r="AA635" s="327"/>
      <c r="AB635" s="352"/>
      <c r="AC635" s="352"/>
      <c r="AD635" s="327"/>
      <c r="AE635" s="352"/>
      <c r="AF635" s="352"/>
      <c r="AG635" s="327"/>
      <c r="AH635" s="352"/>
      <c r="AI635" s="352"/>
      <c r="AJ635" s="327"/>
      <c r="AK635" s="352"/>
      <c r="AL635" s="352"/>
      <c r="AM635" s="327"/>
      <c r="AN635" s="352"/>
      <c r="AO635" s="352"/>
      <c r="AP635" s="327"/>
      <c r="AQ635" s="352"/>
      <c r="AR635" s="327"/>
      <c r="AU635" s="307"/>
      <c r="AX635" s="307"/>
      <c r="BA635" s="307"/>
      <c r="BC635" s="366"/>
      <c r="BD635" s="307"/>
      <c r="BG635" s="307"/>
    </row>
    <row r="636">
      <c r="A636" s="352"/>
      <c r="B636" s="352"/>
      <c r="C636" s="327"/>
      <c r="D636" s="352"/>
      <c r="E636" s="352"/>
      <c r="F636" s="327"/>
      <c r="G636" s="352"/>
      <c r="H636" s="352"/>
      <c r="I636" s="327"/>
      <c r="J636" s="352"/>
      <c r="K636" s="352"/>
      <c r="L636" s="327"/>
      <c r="M636" s="352"/>
      <c r="N636" s="352"/>
      <c r="O636" s="327"/>
      <c r="P636" s="352"/>
      <c r="Q636" s="352"/>
      <c r="R636" s="327"/>
      <c r="S636" s="352"/>
      <c r="T636" s="352"/>
      <c r="U636" s="327"/>
      <c r="V636" s="352"/>
      <c r="W636" s="352"/>
      <c r="X636" s="327"/>
      <c r="Y636" s="352"/>
      <c r="Z636" s="352"/>
      <c r="AA636" s="327"/>
      <c r="AB636" s="352"/>
      <c r="AC636" s="352"/>
      <c r="AD636" s="327"/>
      <c r="AE636" s="352"/>
      <c r="AF636" s="352"/>
      <c r="AG636" s="327"/>
      <c r="AH636" s="352"/>
      <c r="AI636" s="352"/>
      <c r="AJ636" s="327"/>
      <c r="AK636" s="352"/>
      <c r="AL636" s="352"/>
      <c r="AM636" s="327"/>
      <c r="AN636" s="352"/>
      <c r="AO636" s="352"/>
      <c r="AP636" s="327"/>
      <c r="AQ636" s="352"/>
      <c r="AR636" s="327"/>
      <c r="AU636" s="307"/>
      <c r="AX636" s="307"/>
      <c r="BA636" s="307"/>
      <c r="BC636" s="366"/>
      <c r="BD636" s="307"/>
      <c r="BG636" s="307"/>
    </row>
    <row r="637">
      <c r="A637" s="352"/>
      <c r="B637" s="352"/>
      <c r="C637" s="327"/>
      <c r="D637" s="352"/>
      <c r="E637" s="352"/>
      <c r="F637" s="327"/>
      <c r="G637" s="352"/>
      <c r="H637" s="352"/>
      <c r="I637" s="327"/>
      <c r="J637" s="352"/>
      <c r="K637" s="352"/>
      <c r="L637" s="327"/>
      <c r="M637" s="352"/>
      <c r="N637" s="352"/>
      <c r="O637" s="327"/>
      <c r="P637" s="352"/>
      <c r="Q637" s="352"/>
      <c r="R637" s="327"/>
      <c r="S637" s="352"/>
      <c r="T637" s="352"/>
      <c r="U637" s="327"/>
      <c r="V637" s="352"/>
      <c r="W637" s="352"/>
      <c r="X637" s="327"/>
      <c r="Y637" s="352"/>
      <c r="Z637" s="352"/>
      <c r="AA637" s="327"/>
      <c r="AB637" s="352"/>
      <c r="AC637" s="352"/>
      <c r="AD637" s="327"/>
      <c r="AE637" s="352"/>
      <c r="AF637" s="352"/>
      <c r="AG637" s="327"/>
      <c r="AH637" s="352"/>
      <c r="AI637" s="352"/>
      <c r="AJ637" s="327"/>
      <c r="AK637" s="352"/>
      <c r="AL637" s="352"/>
      <c r="AM637" s="327"/>
      <c r="AN637" s="352"/>
      <c r="AO637" s="352"/>
      <c r="AP637" s="327"/>
      <c r="AQ637" s="352"/>
      <c r="AR637" s="327"/>
      <c r="AU637" s="307"/>
      <c r="AX637" s="307"/>
      <c r="BA637" s="307"/>
      <c r="BC637" s="366"/>
      <c r="BD637" s="307"/>
      <c r="BG637" s="307"/>
    </row>
    <row r="638">
      <c r="A638" s="352"/>
      <c r="B638" s="352"/>
      <c r="C638" s="327"/>
      <c r="D638" s="352"/>
      <c r="E638" s="352"/>
      <c r="F638" s="327"/>
      <c r="G638" s="352"/>
      <c r="H638" s="352"/>
      <c r="I638" s="327"/>
      <c r="J638" s="352"/>
      <c r="K638" s="352"/>
      <c r="L638" s="327"/>
      <c r="M638" s="352"/>
      <c r="N638" s="352"/>
      <c r="O638" s="327"/>
      <c r="P638" s="352"/>
      <c r="Q638" s="352"/>
      <c r="R638" s="327"/>
      <c r="S638" s="352"/>
      <c r="T638" s="352"/>
      <c r="U638" s="327"/>
      <c r="V638" s="352"/>
      <c r="W638" s="352"/>
      <c r="X638" s="327"/>
      <c r="Y638" s="352"/>
      <c r="Z638" s="352"/>
      <c r="AA638" s="327"/>
      <c r="AB638" s="352"/>
      <c r="AC638" s="352"/>
      <c r="AD638" s="327"/>
      <c r="AE638" s="352"/>
      <c r="AF638" s="352"/>
      <c r="AG638" s="327"/>
      <c r="AH638" s="352"/>
      <c r="AI638" s="352"/>
      <c r="AJ638" s="327"/>
      <c r="AK638" s="352"/>
      <c r="AL638" s="352"/>
      <c r="AM638" s="327"/>
      <c r="AN638" s="352"/>
      <c r="AO638" s="352"/>
      <c r="AP638" s="327"/>
      <c r="AQ638" s="352"/>
      <c r="AR638" s="327"/>
      <c r="AU638" s="307"/>
      <c r="AX638" s="307"/>
      <c r="BA638" s="307"/>
      <c r="BC638" s="366"/>
      <c r="BD638" s="307"/>
      <c r="BG638" s="307"/>
    </row>
    <row r="639">
      <c r="A639" s="352"/>
      <c r="B639" s="352"/>
      <c r="C639" s="327"/>
      <c r="D639" s="352"/>
      <c r="E639" s="352"/>
      <c r="F639" s="327"/>
      <c r="G639" s="352"/>
      <c r="H639" s="352"/>
      <c r="I639" s="327"/>
      <c r="J639" s="352"/>
      <c r="K639" s="352"/>
      <c r="L639" s="327"/>
      <c r="M639" s="352"/>
      <c r="N639" s="352"/>
      <c r="O639" s="327"/>
      <c r="P639" s="352"/>
      <c r="Q639" s="352"/>
      <c r="R639" s="327"/>
      <c r="S639" s="352"/>
      <c r="T639" s="352"/>
      <c r="U639" s="327"/>
      <c r="V639" s="352"/>
      <c r="W639" s="352"/>
      <c r="X639" s="327"/>
      <c r="Y639" s="352"/>
      <c r="Z639" s="352"/>
      <c r="AA639" s="327"/>
      <c r="AB639" s="352"/>
      <c r="AC639" s="352"/>
      <c r="AD639" s="327"/>
      <c r="AE639" s="352"/>
      <c r="AF639" s="352"/>
      <c r="AG639" s="327"/>
      <c r="AH639" s="352"/>
      <c r="AI639" s="352"/>
      <c r="AJ639" s="327"/>
      <c r="AK639" s="352"/>
      <c r="AL639" s="352"/>
      <c r="AM639" s="327"/>
      <c r="AN639" s="352"/>
      <c r="AO639" s="352"/>
      <c r="AP639" s="327"/>
      <c r="AQ639" s="352"/>
      <c r="AR639" s="327"/>
      <c r="AU639" s="307"/>
      <c r="AX639" s="307"/>
      <c r="BA639" s="307"/>
      <c r="BC639" s="366"/>
      <c r="BD639" s="307"/>
      <c r="BG639" s="307"/>
    </row>
    <row r="640">
      <c r="A640" s="352"/>
      <c r="B640" s="352"/>
      <c r="C640" s="327"/>
      <c r="D640" s="352"/>
      <c r="E640" s="352"/>
      <c r="F640" s="327"/>
      <c r="G640" s="352"/>
      <c r="H640" s="352"/>
      <c r="I640" s="327"/>
      <c r="J640" s="352"/>
      <c r="K640" s="352"/>
      <c r="L640" s="327"/>
      <c r="M640" s="352"/>
      <c r="N640" s="352"/>
      <c r="O640" s="327"/>
      <c r="P640" s="352"/>
      <c r="Q640" s="352"/>
      <c r="R640" s="327"/>
      <c r="S640" s="352"/>
      <c r="T640" s="352"/>
      <c r="U640" s="327"/>
      <c r="V640" s="352"/>
      <c r="W640" s="352"/>
      <c r="X640" s="327"/>
      <c r="Y640" s="352"/>
      <c r="Z640" s="352"/>
      <c r="AA640" s="327"/>
      <c r="AB640" s="352"/>
      <c r="AC640" s="352"/>
      <c r="AD640" s="327"/>
      <c r="AE640" s="352"/>
      <c r="AF640" s="352"/>
      <c r="AG640" s="327"/>
      <c r="AH640" s="352"/>
      <c r="AI640" s="352"/>
      <c r="AJ640" s="327"/>
      <c r="AK640" s="352"/>
      <c r="AL640" s="352"/>
      <c r="AM640" s="327"/>
      <c r="AN640" s="352"/>
      <c r="AO640" s="352"/>
      <c r="AP640" s="327"/>
      <c r="AQ640" s="352"/>
      <c r="AR640" s="327"/>
      <c r="AU640" s="307"/>
      <c r="AX640" s="307"/>
      <c r="BA640" s="307"/>
      <c r="BC640" s="366"/>
      <c r="BD640" s="307"/>
      <c r="BG640" s="307"/>
    </row>
    <row r="641">
      <c r="A641" s="352"/>
      <c r="B641" s="352"/>
      <c r="C641" s="327"/>
      <c r="D641" s="352"/>
      <c r="E641" s="352"/>
      <c r="F641" s="327"/>
      <c r="G641" s="352"/>
      <c r="H641" s="352"/>
      <c r="I641" s="327"/>
      <c r="J641" s="352"/>
      <c r="K641" s="352"/>
      <c r="L641" s="327"/>
      <c r="M641" s="352"/>
      <c r="N641" s="352"/>
      <c r="O641" s="327"/>
      <c r="P641" s="352"/>
      <c r="Q641" s="352"/>
      <c r="R641" s="327"/>
      <c r="S641" s="352"/>
      <c r="T641" s="352"/>
      <c r="U641" s="327"/>
      <c r="V641" s="352"/>
      <c r="W641" s="352"/>
      <c r="X641" s="327"/>
      <c r="Y641" s="352"/>
      <c r="Z641" s="352"/>
      <c r="AA641" s="327"/>
      <c r="AB641" s="352"/>
      <c r="AC641" s="352"/>
      <c r="AD641" s="327"/>
      <c r="AE641" s="352"/>
      <c r="AF641" s="352"/>
      <c r="AG641" s="327"/>
      <c r="AH641" s="352"/>
      <c r="AI641" s="352"/>
      <c r="AJ641" s="327"/>
      <c r="AK641" s="352"/>
      <c r="AL641" s="352"/>
      <c r="AM641" s="327"/>
      <c r="AN641" s="352"/>
      <c r="AO641" s="352"/>
      <c r="AP641" s="327"/>
      <c r="AQ641" s="352"/>
      <c r="AR641" s="327"/>
      <c r="AU641" s="307"/>
      <c r="AX641" s="307"/>
      <c r="BA641" s="307"/>
      <c r="BC641" s="366"/>
      <c r="BD641" s="307"/>
      <c r="BG641" s="307"/>
    </row>
    <row r="642">
      <c r="A642" s="352"/>
      <c r="B642" s="352"/>
      <c r="C642" s="327"/>
      <c r="D642" s="352"/>
      <c r="E642" s="352"/>
      <c r="F642" s="327"/>
      <c r="G642" s="352"/>
      <c r="H642" s="352"/>
      <c r="I642" s="327"/>
      <c r="J642" s="352"/>
      <c r="K642" s="352"/>
      <c r="L642" s="327"/>
      <c r="M642" s="352"/>
      <c r="N642" s="352"/>
      <c r="O642" s="327"/>
      <c r="P642" s="352"/>
      <c r="Q642" s="352"/>
      <c r="R642" s="327"/>
      <c r="S642" s="352"/>
      <c r="T642" s="352"/>
      <c r="U642" s="327"/>
      <c r="V642" s="352"/>
      <c r="W642" s="352"/>
      <c r="X642" s="327"/>
      <c r="Y642" s="352"/>
      <c r="Z642" s="352"/>
      <c r="AA642" s="327"/>
      <c r="AB642" s="352"/>
      <c r="AC642" s="352"/>
      <c r="AD642" s="327"/>
      <c r="AE642" s="352"/>
      <c r="AF642" s="352"/>
      <c r="AG642" s="327"/>
      <c r="AH642" s="352"/>
      <c r="AI642" s="352"/>
      <c r="AJ642" s="327"/>
      <c r="AK642" s="352"/>
      <c r="AL642" s="352"/>
      <c r="AM642" s="327"/>
      <c r="AN642" s="352"/>
      <c r="AO642" s="352"/>
      <c r="AP642" s="327"/>
      <c r="AQ642" s="352"/>
      <c r="AR642" s="327"/>
      <c r="AU642" s="307"/>
      <c r="AX642" s="307"/>
      <c r="BA642" s="307"/>
      <c r="BC642" s="366"/>
      <c r="BD642" s="307"/>
      <c r="BG642" s="307"/>
    </row>
    <row r="643">
      <c r="A643" s="352"/>
      <c r="B643" s="352"/>
      <c r="C643" s="327"/>
      <c r="D643" s="352"/>
      <c r="E643" s="352"/>
      <c r="F643" s="327"/>
      <c r="G643" s="352"/>
      <c r="H643" s="352"/>
      <c r="I643" s="327"/>
      <c r="J643" s="352"/>
      <c r="K643" s="352"/>
      <c r="L643" s="327"/>
      <c r="M643" s="352"/>
      <c r="N643" s="352"/>
      <c r="O643" s="327"/>
      <c r="P643" s="352"/>
      <c r="Q643" s="352"/>
      <c r="R643" s="327"/>
      <c r="S643" s="352"/>
      <c r="T643" s="352"/>
      <c r="U643" s="327"/>
      <c r="V643" s="352"/>
      <c r="W643" s="352"/>
      <c r="X643" s="327"/>
      <c r="Y643" s="352"/>
      <c r="Z643" s="352"/>
      <c r="AA643" s="327"/>
      <c r="AB643" s="352"/>
      <c r="AC643" s="352"/>
      <c r="AD643" s="327"/>
      <c r="AE643" s="352"/>
      <c r="AF643" s="352"/>
      <c r="AG643" s="327"/>
      <c r="AH643" s="352"/>
      <c r="AI643" s="352"/>
      <c r="AJ643" s="327"/>
      <c r="AK643" s="352"/>
      <c r="AL643" s="352"/>
      <c r="AM643" s="327"/>
      <c r="AN643" s="352"/>
      <c r="AO643" s="352"/>
      <c r="AP643" s="327"/>
      <c r="AQ643" s="352"/>
      <c r="AR643" s="327"/>
      <c r="AU643" s="307"/>
      <c r="AX643" s="307"/>
      <c r="BA643" s="307"/>
      <c r="BC643" s="366"/>
      <c r="BD643" s="307"/>
      <c r="BG643" s="307"/>
    </row>
    <row r="644">
      <c r="A644" s="352"/>
      <c r="B644" s="352"/>
      <c r="C644" s="327"/>
      <c r="D644" s="352"/>
      <c r="E644" s="352"/>
      <c r="F644" s="327"/>
      <c r="G644" s="352"/>
      <c r="H644" s="352"/>
      <c r="I644" s="327"/>
      <c r="J644" s="352"/>
      <c r="K644" s="352"/>
      <c r="L644" s="327"/>
      <c r="M644" s="352"/>
      <c r="N644" s="352"/>
      <c r="O644" s="327"/>
      <c r="P644" s="352"/>
      <c r="Q644" s="352"/>
      <c r="R644" s="327"/>
      <c r="S644" s="352"/>
      <c r="T644" s="352"/>
      <c r="U644" s="327"/>
      <c r="V644" s="352"/>
      <c r="W644" s="352"/>
      <c r="X644" s="327"/>
      <c r="Y644" s="352"/>
      <c r="Z644" s="352"/>
      <c r="AA644" s="327"/>
      <c r="AB644" s="352"/>
      <c r="AC644" s="352"/>
      <c r="AD644" s="327"/>
      <c r="AE644" s="352"/>
      <c r="AF644" s="352"/>
      <c r="AG644" s="327"/>
      <c r="AH644" s="352"/>
      <c r="AI644" s="352"/>
      <c r="AJ644" s="327"/>
      <c r="AK644" s="352"/>
      <c r="AL644" s="352"/>
      <c r="AM644" s="327"/>
      <c r="AN644" s="352"/>
      <c r="AO644" s="352"/>
      <c r="AP644" s="327"/>
      <c r="AQ644" s="352"/>
      <c r="AR644" s="327"/>
      <c r="AU644" s="307"/>
      <c r="AX644" s="307"/>
      <c r="BA644" s="307"/>
      <c r="BC644" s="366"/>
      <c r="BD644" s="307"/>
      <c r="BG644" s="307"/>
    </row>
    <row r="645">
      <c r="A645" s="352"/>
      <c r="B645" s="352"/>
      <c r="C645" s="327"/>
      <c r="D645" s="352"/>
      <c r="E645" s="352"/>
      <c r="F645" s="327"/>
      <c r="G645" s="352"/>
      <c r="H645" s="352"/>
      <c r="I645" s="327"/>
      <c r="J645" s="352"/>
      <c r="K645" s="352"/>
      <c r="L645" s="327"/>
      <c r="M645" s="352"/>
      <c r="N645" s="352"/>
      <c r="O645" s="327"/>
      <c r="P645" s="352"/>
      <c r="Q645" s="352"/>
      <c r="R645" s="327"/>
      <c r="S645" s="352"/>
      <c r="T645" s="352"/>
      <c r="U645" s="327"/>
      <c r="V645" s="352"/>
      <c r="W645" s="352"/>
      <c r="X645" s="327"/>
      <c r="Y645" s="352"/>
      <c r="Z645" s="352"/>
      <c r="AA645" s="327"/>
      <c r="AB645" s="352"/>
      <c r="AC645" s="352"/>
      <c r="AD645" s="327"/>
      <c r="AE645" s="352"/>
      <c r="AF645" s="352"/>
      <c r="AG645" s="327"/>
      <c r="AH645" s="352"/>
      <c r="AI645" s="352"/>
      <c r="AJ645" s="327"/>
      <c r="AK645" s="352"/>
      <c r="AL645" s="352"/>
      <c r="AM645" s="327"/>
      <c r="AN645" s="352"/>
      <c r="AO645" s="352"/>
      <c r="AP645" s="327"/>
      <c r="AQ645" s="352"/>
      <c r="AR645" s="327"/>
      <c r="AU645" s="307"/>
      <c r="AX645" s="307"/>
      <c r="BA645" s="307"/>
      <c r="BC645" s="366"/>
      <c r="BD645" s="307"/>
      <c r="BG645" s="307"/>
    </row>
    <row r="646">
      <c r="A646" s="352"/>
      <c r="B646" s="352"/>
      <c r="C646" s="327"/>
      <c r="D646" s="352"/>
      <c r="E646" s="352"/>
      <c r="F646" s="327"/>
      <c r="G646" s="352"/>
      <c r="H646" s="352"/>
      <c r="I646" s="327"/>
      <c r="J646" s="352"/>
      <c r="K646" s="352"/>
      <c r="L646" s="327"/>
      <c r="M646" s="352"/>
      <c r="N646" s="352"/>
      <c r="O646" s="327"/>
      <c r="P646" s="352"/>
      <c r="Q646" s="352"/>
      <c r="R646" s="327"/>
      <c r="S646" s="352"/>
      <c r="T646" s="352"/>
      <c r="U646" s="327"/>
      <c r="V646" s="352"/>
      <c r="W646" s="352"/>
      <c r="X646" s="327"/>
      <c r="Y646" s="352"/>
      <c r="Z646" s="352"/>
      <c r="AA646" s="327"/>
      <c r="AB646" s="352"/>
      <c r="AC646" s="352"/>
      <c r="AD646" s="327"/>
      <c r="AE646" s="352"/>
      <c r="AF646" s="352"/>
      <c r="AG646" s="327"/>
      <c r="AH646" s="352"/>
      <c r="AI646" s="352"/>
      <c r="AJ646" s="327"/>
      <c r="AK646" s="352"/>
      <c r="AL646" s="352"/>
      <c r="AM646" s="327"/>
      <c r="AN646" s="352"/>
      <c r="AO646" s="352"/>
      <c r="AP646" s="327"/>
      <c r="AQ646" s="352"/>
      <c r="AR646" s="327"/>
      <c r="AU646" s="307"/>
      <c r="AX646" s="307"/>
      <c r="BA646" s="307"/>
      <c r="BC646" s="366"/>
      <c r="BD646" s="307"/>
      <c r="BG646" s="307"/>
    </row>
    <row r="647">
      <c r="A647" s="352"/>
      <c r="B647" s="352"/>
      <c r="C647" s="327"/>
      <c r="D647" s="352"/>
      <c r="E647" s="352"/>
      <c r="F647" s="327"/>
      <c r="G647" s="352"/>
      <c r="H647" s="352"/>
      <c r="I647" s="327"/>
      <c r="J647" s="352"/>
      <c r="K647" s="352"/>
      <c r="L647" s="327"/>
      <c r="M647" s="352"/>
      <c r="N647" s="352"/>
      <c r="O647" s="327"/>
      <c r="P647" s="352"/>
      <c r="Q647" s="352"/>
      <c r="R647" s="327"/>
      <c r="S647" s="352"/>
      <c r="T647" s="352"/>
      <c r="U647" s="327"/>
      <c r="V647" s="352"/>
      <c r="W647" s="352"/>
      <c r="X647" s="327"/>
      <c r="Y647" s="352"/>
      <c r="Z647" s="352"/>
      <c r="AA647" s="327"/>
      <c r="AB647" s="352"/>
      <c r="AC647" s="352"/>
      <c r="AD647" s="327"/>
      <c r="AE647" s="352"/>
      <c r="AF647" s="352"/>
      <c r="AG647" s="327"/>
      <c r="AH647" s="352"/>
      <c r="AI647" s="352"/>
      <c r="AJ647" s="327"/>
      <c r="AK647" s="352"/>
      <c r="AL647" s="352"/>
      <c r="AM647" s="327"/>
      <c r="AN647" s="352"/>
      <c r="AO647" s="352"/>
      <c r="AP647" s="327"/>
      <c r="AQ647" s="352"/>
      <c r="AR647" s="327"/>
      <c r="AU647" s="307"/>
      <c r="AX647" s="307"/>
      <c r="BA647" s="307"/>
      <c r="BC647" s="366"/>
      <c r="BD647" s="307"/>
      <c r="BG647" s="307"/>
    </row>
    <row r="648">
      <c r="A648" s="352"/>
      <c r="B648" s="352"/>
      <c r="C648" s="327"/>
      <c r="D648" s="352"/>
      <c r="E648" s="352"/>
      <c r="F648" s="327"/>
      <c r="G648" s="352"/>
      <c r="H648" s="352"/>
      <c r="I648" s="327"/>
      <c r="J648" s="352"/>
      <c r="K648" s="352"/>
      <c r="L648" s="327"/>
      <c r="M648" s="352"/>
      <c r="N648" s="352"/>
      <c r="O648" s="327"/>
      <c r="P648" s="352"/>
      <c r="Q648" s="352"/>
      <c r="R648" s="327"/>
      <c r="S648" s="352"/>
      <c r="T648" s="352"/>
      <c r="U648" s="327"/>
      <c r="V648" s="352"/>
      <c r="W648" s="352"/>
      <c r="X648" s="327"/>
      <c r="Y648" s="352"/>
      <c r="Z648" s="352"/>
      <c r="AA648" s="327"/>
      <c r="AB648" s="352"/>
      <c r="AC648" s="352"/>
      <c r="AD648" s="327"/>
      <c r="AE648" s="352"/>
      <c r="AF648" s="352"/>
      <c r="AG648" s="327"/>
      <c r="AH648" s="352"/>
      <c r="AI648" s="352"/>
      <c r="AJ648" s="327"/>
      <c r="AK648" s="352"/>
      <c r="AL648" s="352"/>
      <c r="AM648" s="327"/>
      <c r="AN648" s="352"/>
      <c r="AO648" s="352"/>
      <c r="AP648" s="327"/>
      <c r="AQ648" s="352"/>
      <c r="AR648" s="327"/>
      <c r="AU648" s="307"/>
      <c r="AX648" s="307"/>
      <c r="BA648" s="307"/>
      <c r="BC648" s="366"/>
      <c r="BD648" s="307"/>
      <c r="BG648" s="307"/>
    </row>
    <row r="649">
      <c r="A649" s="352"/>
      <c r="B649" s="352"/>
      <c r="C649" s="327"/>
      <c r="D649" s="352"/>
      <c r="E649" s="352"/>
      <c r="F649" s="327"/>
      <c r="G649" s="352"/>
      <c r="H649" s="352"/>
      <c r="I649" s="327"/>
      <c r="J649" s="352"/>
      <c r="K649" s="352"/>
      <c r="L649" s="327"/>
      <c r="M649" s="352"/>
      <c r="N649" s="352"/>
      <c r="O649" s="327"/>
      <c r="P649" s="352"/>
      <c r="Q649" s="352"/>
      <c r="R649" s="327"/>
      <c r="S649" s="352"/>
      <c r="T649" s="352"/>
      <c r="U649" s="327"/>
      <c r="V649" s="352"/>
      <c r="W649" s="352"/>
      <c r="X649" s="327"/>
      <c r="Y649" s="352"/>
      <c r="Z649" s="352"/>
      <c r="AA649" s="327"/>
      <c r="AB649" s="352"/>
      <c r="AC649" s="352"/>
      <c r="AD649" s="327"/>
      <c r="AE649" s="352"/>
      <c r="AF649" s="352"/>
      <c r="AG649" s="327"/>
      <c r="AH649" s="352"/>
      <c r="AI649" s="352"/>
      <c r="AJ649" s="327"/>
      <c r="AK649" s="352"/>
      <c r="AL649" s="352"/>
      <c r="AM649" s="327"/>
      <c r="AN649" s="352"/>
      <c r="AO649" s="352"/>
      <c r="AP649" s="327"/>
      <c r="AQ649" s="352"/>
      <c r="AR649" s="327"/>
      <c r="AU649" s="307"/>
      <c r="AX649" s="307"/>
      <c r="BA649" s="307"/>
      <c r="BC649" s="366"/>
      <c r="BD649" s="307"/>
      <c r="BG649" s="307"/>
    </row>
    <row r="650">
      <c r="A650" s="352"/>
      <c r="B650" s="352"/>
      <c r="C650" s="327"/>
      <c r="D650" s="352"/>
      <c r="E650" s="352"/>
      <c r="F650" s="327"/>
      <c r="G650" s="352"/>
      <c r="H650" s="352"/>
      <c r="I650" s="327"/>
      <c r="J650" s="352"/>
      <c r="K650" s="352"/>
      <c r="L650" s="327"/>
      <c r="M650" s="352"/>
      <c r="N650" s="352"/>
      <c r="O650" s="327"/>
      <c r="P650" s="352"/>
      <c r="Q650" s="352"/>
      <c r="R650" s="327"/>
      <c r="S650" s="352"/>
      <c r="T650" s="352"/>
      <c r="U650" s="327"/>
      <c r="V650" s="352"/>
      <c r="W650" s="352"/>
      <c r="X650" s="327"/>
      <c r="Y650" s="352"/>
      <c r="Z650" s="352"/>
      <c r="AA650" s="327"/>
      <c r="AB650" s="352"/>
      <c r="AC650" s="352"/>
      <c r="AD650" s="327"/>
      <c r="AE650" s="352"/>
      <c r="AF650" s="352"/>
      <c r="AG650" s="327"/>
      <c r="AH650" s="352"/>
      <c r="AI650" s="352"/>
      <c r="AJ650" s="327"/>
      <c r="AK650" s="352"/>
      <c r="AL650" s="352"/>
      <c r="AM650" s="327"/>
      <c r="AN650" s="352"/>
      <c r="AO650" s="352"/>
      <c r="AP650" s="327"/>
      <c r="AQ650" s="352"/>
      <c r="AR650" s="327"/>
      <c r="AU650" s="307"/>
      <c r="AX650" s="307"/>
      <c r="BA650" s="307"/>
      <c r="BC650" s="366"/>
      <c r="BD650" s="307"/>
      <c r="BG650" s="307"/>
    </row>
    <row r="651">
      <c r="A651" s="352"/>
      <c r="B651" s="352"/>
      <c r="C651" s="327"/>
      <c r="D651" s="352"/>
      <c r="E651" s="352"/>
      <c r="F651" s="327"/>
      <c r="G651" s="352"/>
      <c r="H651" s="352"/>
      <c r="I651" s="327"/>
      <c r="J651" s="352"/>
      <c r="K651" s="352"/>
      <c r="L651" s="327"/>
      <c r="M651" s="352"/>
      <c r="N651" s="352"/>
      <c r="O651" s="327"/>
      <c r="P651" s="352"/>
      <c r="Q651" s="352"/>
      <c r="R651" s="327"/>
      <c r="S651" s="352"/>
      <c r="T651" s="352"/>
      <c r="U651" s="327"/>
      <c r="V651" s="352"/>
      <c r="W651" s="352"/>
      <c r="X651" s="327"/>
      <c r="Y651" s="352"/>
      <c r="Z651" s="352"/>
      <c r="AA651" s="327"/>
      <c r="AB651" s="352"/>
      <c r="AC651" s="352"/>
      <c r="AD651" s="327"/>
      <c r="AE651" s="352"/>
      <c r="AF651" s="352"/>
      <c r="AG651" s="327"/>
      <c r="AH651" s="352"/>
      <c r="AI651" s="352"/>
      <c r="AJ651" s="327"/>
      <c r="AK651" s="352"/>
      <c r="AL651" s="352"/>
      <c r="AM651" s="327"/>
      <c r="AN651" s="352"/>
      <c r="AO651" s="352"/>
      <c r="AP651" s="327"/>
      <c r="AQ651" s="352"/>
      <c r="AR651" s="327"/>
      <c r="AU651" s="307"/>
      <c r="AX651" s="307"/>
      <c r="BA651" s="307"/>
      <c r="BC651" s="366"/>
      <c r="BD651" s="307"/>
      <c r="BG651" s="307"/>
    </row>
    <row r="652">
      <c r="A652" s="352"/>
      <c r="B652" s="352"/>
      <c r="C652" s="327"/>
      <c r="D652" s="352"/>
      <c r="E652" s="352"/>
      <c r="F652" s="327"/>
      <c r="G652" s="352"/>
      <c r="H652" s="352"/>
      <c r="I652" s="327"/>
      <c r="J652" s="352"/>
      <c r="K652" s="352"/>
      <c r="L652" s="327"/>
      <c r="M652" s="352"/>
      <c r="N652" s="352"/>
      <c r="O652" s="327"/>
      <c r="P652" s="352"/>
      <c r="Q652" s="352"/>
      <c r="R652" s="327"/>
      <c r="S652" s="352"/>
      <c r="T652" s="352"/>
      <c r="U652" s="327"/>
      <c r="V652" s="352"/>
      <c r="W652" s="352"/>
      <c r="X652" s="327"/>
      <c r="Y652" s="352"/>
      <c r="Z652" s="352"/>
      <c r="AA652" s="327"/>
      <c r="AB652" s="352"/>
      <c r="AC652" s="352"/>
      <c r="AD652" s="327"/>
      <c r="AE652" s="352"/>
      <c r="AF652" s="352"/>
      <c r="AG652" s="327"/>
      <c r="AH652" s="352"/>
      <c r="AI652" s="352"/>
      <c r="AJ652" s="327"/>
      <c r="AK652" s="352"/>
      <c r="AL652" s="352"/>
      <c r="AM652" s="327"/>
      <c r="AN652" s="352"/>
      <c r="AO652" s="352"/>
      <c r="AP652" s="327"/>
      <c r="AQ652" s="352"/>
      <c r="AR652" s="327"/>
      <c r="AU652" s="307"/>
      <c r="AX652" s="307"/>
      <c r="BA652" s="307"/>
      <c r="BC652" s="366"/>
      <c r="BD652" s="307"/>
      <c r="BG652" s="307"/>
    </row>
    <row r="653">
      <c r="A653" s="352"/>
      <c r="B653" s="352"/>
      <c r="C653" s="327"/>
      <c r="D653" s="352"/>
      <c r="E653" s="352"/>
      <c r="F653" s="327"/>
      <c r="G653" s="352"/>
      <c r="H653" s="352"/>
      <c r="I653" s="327"/>
      <c r="J653" s="352"/>
      <c r="K653" s="352"/>
      <c r="L653" s="327"/>
      <c r="M653" s="352"/>
      <c r="N653" s="352"/>
      <c r="O653" s="327"/>
      <c r="P653" s="352"/>
      <c r="Q653" s="352"/>
      <c r="R653" s="327"/>
      <c r="S653" s="352"/>
      <c r="T653" s="352"/>
      <c r="U653" s="327"/>
      <c r="V653" s="352"/>
      <c r="W653" s="352"/>
      <c r="X653" s="327"/>
      <c r="Y653" s="352"/>
      <c r="Z653" s="352"/>
      <c r="AA653" s="327"/>
      <c r="AB653" s="352"/>
      <c r="AC653" s="352"/>
      <c r="AD653" s="327"/>
      <c r="AE653" s="352"/>
      <c r="AF653" s="352"/>
      <c r="AG653" s="327"/>
      <c r="AH653" s="352"/>
      <c r="AI653" s="352"/>
      <c r="AJ653" s="327"/>
      <c r="AK653" s="352"/>
      <c r="AL653" s="352"/>
      <c r="AM653" s="327"/>
      <c r="AN653" s="352"/>
      <c r="AO653" s="352"/>
      <c r="AP653" s="327"/>
      <c r="AQ653" s="352"/>
      <c r="AR653" s="327"/>
      <c r="AU653" s="307"/>
      <c r="AX653" s="307"/>
      <c r="BA653" s="307"/>
      <c r="BC653" s="366"/>
      <c r="BD653" s="307"/>
      <c r="BG653" s="307"/>
    </row>
    <row r="654">
      <c r="A654" s="352"/>
      <c r="B654" s="352"/>
      <c r="C654" s="327"/>
      <c r="D654" s="352"/>
      <c r="E654" s="352"/>
      <c r="F654" s="327"/>
      <c r="G654" s="352"/>
      <c r="H654" s="352"/>
      <c r="I654" s="327"/>
      <c r="J654" s="352"/>
      <c r="K654" s="352"/>
      <c r="L654" s="327"/>
      <c r="M654" s="352"/>
      <c r="N654" s="352"/>
      <c r="O654" s="327"/>
      <c r="P654" s="352"/>
      <c r="Q654" s="352"/>
      <c r="R654" s="327"/>
      <c r="S654" s="352"/>
      <c r="T654" s="352"/>
      <c r="U654" s="327"/>
      <c r="V654" s="352"/>
      <c r="W654" s="352"/>
      <c r="X654" s="327"/>
      <c r="Y654" s="352"/>
      <c r="Z654" s="352"/>
      <c r="AA654" s="327"/>
      <c r="AB654" s="352"/>
      <c r="AC654" s="352"/>
      <c r="AD654" s="327"/>
      <c r="AE654" s="352"/>
      <c r="AF654" s="352"/>
      <c r="AG654" s="327"/>
      <c r="AH654" s="352"/>
      <c r="AI654" s="352"/>
      <c r="AJ654" s="327"/>
      <c r="AK654" s="352"/>
      <c r="AL654" s="352"/>
      <c r="AM654" s="327"/>
      <c r="AN654" s="352"/>
      <c r="AO654" s="352"/>
      <c r="AP654" s="327"/>
      <c r="AQ654" s="352"/>
      <c r="AR654" s="327"/>
      <c r="AU654" s="307"/>
      <c r="AX654" s="307"/>
      <c r="BA654" s="307"/>
      <c r="BC654" s="366"/>
      <c r="BD654" s="307"/>
      <c r="BG654" s="307"/>
    </row>
    <row r="655">
      <c r="A655" s="352"/>
      <c r="B655" s="352"/>
      <c r="C655" s="327"/>
      <c r="D655" s="352"/>
      <c r="E655" s="352"/>
      <c r="F655" s="327"/>
      <c r="G655" s="352"/>
      <c r="H655" s="352"/>
      <c r="I655" s="327"/>
      <c r="J655" s="352"/>
      <c r="K655" s="352"/>
      <c r="L655" s="327"/>
      <c r="M655" s="352"/>
      <c r="N655" s="352"/>
      <c r="O655" s="327"/>
      <c r="P655" s="352"/>
      <c r="Q655" s="352"/>
      <c r="R655" s="327"/>
      <c r="S655" s="352"/>
      <c r="T655" s="352"/>
      <c r="U655" s="327"/>
      <c r="V655" s="352"/>
      <c r="W655" s="352"/>
      <c r="X655" s="327"/>
      <c r="Y655" s="352"/>
      <c r="Z655" s="352"/>
      <c r="AA655" s="327"/>
      <c r="AB655" s="352"/>
      <c r="AC655" s="352"/>
      <c r="AD655" s="327"/>
      <c r="AE655" s="352"/>
      <c r="AF655" s="352"/>
      <c r="AG655" s="327"/>
      <c r="AH655" s="352"/>
      <c r="AI655" s="352"/>
      <c r="AJ655" s="327"/>
      <c r="AK655" s="352"/>
      <c r="AL655" s="352"/>
      <c r="AM655" s="327"/>
      <c r="AN655" s="352"/>
      <c r="AO655" s="352"/>
      <c r="AP655" s="327"/>
      <c r="AQ655" s="352"/>
      <c r="AR655" s="327"/>
      <c r="AU655" s="307"/>
      <c r="AX655" s="307"/>
      <c r="BA655" s="307"/>
      <c r="BC655" s="366"/>
      <c r="BD655" s="307"/>
      <c r="BG655" s="307"/>
    </row>
    <row r="656">
      <c r="A656" s="352"/>
      <c r="B656" s="352"/>
      <c r="C656" s="327"/>
      <c r="D656" s="352"/>
      <c r="E656" s="352"/>
      <c r="F656" s="327"/>
      <c r="G656" s="352"/>
      <c r="H656" s="352"/>
      <c r="I656" s="327"/>
      <c r="J656" s="352"/>
      <c r="K656" s="352"/>
      <c r="L656" s="327"/>
      <c r="M656" s="352"/>
      <c r="N656" s="352"/>
      <c r="O656" s="327"/>
      <c r="P656" s="352"/>
      <c r="Q656" s="352"/>
      <c r="R656" s="327"/>
      <c r="S656" s="352"/>
      <c r="T656" s="352"/>
      <c r="U656" s="327"/>
      <c r="V656" s="352"/>
      <c r="W656" s="352"/>
      <c r="X656" s="327"/>
      <c r="Y656" s="352"/>
      <c r="Z656" s="352"/>
      <c r="AA656" s="327"/>
      <c r="AB656" s="352"/>
      <c r="AC656" s="352"/>
      <c r="AD656" s="327"/>
      <c r="AE656" s="352"/>
      <c r="AF656" s="352"/>
      <c r="AG656" s="327"/>
      <c r="AH656" s="352"/>
      <c r="AI656" s="352"/>
      <c r="AJ656" s="327"/>
      <c r="AK656" s="352"/>
      <c r="AL656" s="352"/>
      <c r="AM656" s="327"/>
      <c r="AN656" s="352"/>
      <c r="AO656" s="352"/>
      <c r="AP656" s="327"/>
      <c r="AQ656" s="352"/>
      <c r="AR656" s="327"/>
      <c r="AU656" s="307"/>
      <c r="AX656" s="307"/>
      <c r="BA656" s="307"/>
      <c r="BC656" s="366"/>
      <c r="BD656" s="307"/>
      <c r="BG656" s="307"/>
    </row>
    <row r="657">
      <c r="A657" s="352"/>
      <c r="B657" s="352"/>
      <c r="C657" s="327"/>
      <c r="D657" s="352"/>
      <c r="E657" s="352"/>
      <c r="F657" s="327"/>
      <c r="G657" s="352"/>
      <c r="H657" s="352"/>
      <c r="I657" s="327"/>
      <c r="J657" s="352"/>
      <c r="K657" s="352"/>
      <c r="L657" s="327"/>
      <c r="M657" s="352"/>
      <c r="N657" s="352"/>
      <c r="O657" s="327"/>
      <c r="P657" s="352"/>
      <c r="Q657" s="352"/>
      <c r="R657" s="327"/>
      <c r="S657" s="352"/>
      <c r="T657" s="352"/>
      <c r="U657" s="327"/>
      <c r="V657" s="352"/>
      <c r="W657" s="352"/>
      <c r="X657" s="327"/>
      <c r="Y657" s="352"/>
      <c r="Z657" s="352"/>
      <c r="AA657" s="327"/>
      <c r="AB657" s="352"/>
      <c r="AC657" s="352"/>
      <c r="AD657" s="327"/>
      <c r="AE657" s="352"/>
      <c r="AF657" s="352"/>
      <c r="AG657" s="327"/>
      <c r="AH657" s="352"/>
      <c r="AI657" s="352"/>
      <c r="AJ657" s="327"/>
      <c r="AK657" s="352"/>
      <c r="AL657" s="352"/>
      <c r="AM657" s="327"/>
      <c r="AN657" s="352"/>
      <c r="AO657" s="352"/>
      <c r="AP657" s="327"/>
      <c r="AQ657" s="352"/>
      <c r="AR657" s="327"/>
      <c r="AU657" s="307"/>
      <c r="AX657" s="307"/>
      <c r="BA657" s="307"/>
      <c r="BC657" s="366"/>
      <c r="BD657" s="307"/>
      <c r="BG657" s="307"/>
    </row>
    <row r="658">
      <c r="A658" s="352"/>
      <c r="B658" s="352"/>
      <c r="C658" s="327"/>
      <c r="D658" s="352"/>
      <c r="E658" s="352"/>
      <c r="F658" s="327"/>
      <c r="G658" s="352"/>
      <c r="H658" s="352"/>
      <c r="I658" s="327"/>
      <c r="J658" s="352"/>
      <c r="K658" s="352"/>
      <c r="L658" s="327"/>
      <c r="M658" s="352"/>
      <c r="N658" s="352"/>
      <c r="O658" s="327"/>
      <c r="P658" s="352"/>
      <c r="Q658" s="352"/>
      <c r="R658" s="327"/>
      <c r="S658" s="352"/>
      <c r="T658" s="352"/>
      <c r="U658" s="327"/>
      <c r="V658" s="352"/>
      <c r="W658" s="352"/>
      <c r="X658" s="327"/>
      <c r="Y658" s="352"/>
      <c r="Z658" s="352"/>
      <c r="AA658" s="327"/>
      <c r="AB658" s="352"/>
      <c r="AC658" s="352"/>
      <c r="AD658" s="327"/>
      <c r="AE658" s="352"/>
      <c r="AF658" s="352"/>
      <c r="AG658" s="327"/>
      <c r="AH658" s="352"/>
      <c r="AI658" s="352"/>
      <c r="AJ658" s="327"/>
      <c r="AK658" s="352"/>
      <c r="AL658" s="352"/>
      <c r="AM658" s="327"/>
      <c r="AN658" s="352"/>
      <c r="AO658" s="352"/>
      <c r="AP658" s="327"/>
      <c r="AQ658" s="352"/>
      <c r="AR658" s="327"/>
      <c r="AU658" s="307"/>
      <c r="AX658" s="307"/>
      <c r="BA658" s="307"/>
      <c r="BC658" s="366"/>
      <c r="BD658" s="307"/>
      <c r="BG658" s="307"/>
    </row>
    <row r="659">
      <c r="A659" s="352"/>
      <c r="B659" s="352"/>
      <c r="C659" s="327"/>
      <c r="D659" s="352"/>
      <c r="E659" s="352"/>
      <c r="F659" s="327"/>
      <c r="G659" s="352"/>
      <c r="H659" s="352"/>
      <c r="I659" s="327"/>
      <c r="J659" s="352"/>
      <c r="K659" s="352"/>
      <c r="L659" s="327"/>
      <c r="M659" s="352"/>
      <c r="N659" s="352"/>
      <c r="O659" s="327"/>
      <c r="P659" s="352"/>
      <c r="Q659" s="352"/>
      <c r="R659" s="327"/>
      <c r="S659" s="352"/>
      <c r="T659" s="352"/>
      <c r="U659" s="327"/>
      <c r="V659" s="352"/>
      <c r="W659" s="352"/>
      <c r="X659" s="327"/>
      <c r="Y659" s="352"/>
      <c r="Z659" s="352"/>
      <c r="AA659" s="327"/>
      <c r="AB659" s="352"/>
      <c r="AC659" s="352"/>
      <c r="AD659" s="327"/>
      <c r="AE659" s="352"/>
      <c r="AF659" s="352"/>
      <c r="AG659" s="327"/>
      <c r="AH659" s="352"/>
      <c r="AI659" s="352"/>
      <c r="AJ659" s="327"/>
      <c r="AK659" s="352"/>
      <c r="AL659" s="352"/>
      <c r="AM659" s="327"/>
      <c r="AN659" s="352"/>
      <c r="AO659" s="352"/>
      <c r="AP659" s="327"/>
      <c r="AQ659" s="352"/>
      <c r="AR659" s="327"/>
      <c r="AU659" s="307"/>
      <c r="AX659" s="307"/>
      <c r="BA659" s="307"/>
      <c r="BC659" s="366"/>
      <c r="BD659" s="307"/>
      <c r="BG659" s="307"/>
    </row>
    <row r="660">
      <c r="A660" s="352"/>
      <c r="B660" s="352"/>
      <c r="C660" s="327"/>
      <c r="D660" s="352"/>
      <c r="E660" s="352"/>
      <c r="F660" s="327"/>
      <c r="G660" s="352"/>
      <c r="H660" s="352"/>
      <c r="I660" s="327"/>
      <c r="J660" s="352"/>
      <c r="K660" s="352"/>
      <c r="L660" s="327"/>
      <c r="M660" s="352"/>
      <c r="N660" s="352"/>
      <c r="O660" s="327"/>
      <c r="P660" s="352"/>
      <c r="Q660" s="352"/>
      <c r="R660" s="327"/>
      <c r="S660" s="352"/>
      <c r="T660" s="352"/>
      <c r="U660" s="327"/>
      <c r="V660" s="352"/>
      <c r="W660" s="352"/>
      <c r="X660" s="327"/>
      <c r="Y660" s="352"/>
      <c r="Z660" s="352"/>
      <c r="AA660" s="327"/>
      <c r="AB660" s="352"/>
      <c r="AC660" s="352"/>
      <c r="AD660" s="327"/>
      <c r="AE660" s="352"/>
      <c r="AF660" s="352"/>
      <c r="AG660" s="327"/>
      <c r="AH660" s="352"/>
      <c r="AI660" s="352"/>
      <c r="AJ660" s="327"/>
      <c r="AK660" s="352"/>
      <c r="AL660" s="352"/>
      <c r="AM660" s="327"/>
      <c r="AN660" s="352"/>
      <c r="AO660" s="352"/>
      <c r="AP660" s="327"/>
      <c r="AQ660" s="352"/>
      <c r="AR660" s="327"/>
      <c r="AU660" s="307"/>
      <c r="AX660" s="307"/>
      <c r="BA660" s="307"/>
      <c r="BC660" s="366"/>
      <c r="BD660" s="307"/>
      <c r="BG660" s="307"/>
    </row>
    <row r="661">
      <c r="A661" s="352"/>
      <c r="B661" s="352"/>
      <c r="C661" s="327"/>
      <c r="D661" s="352"/>
      <c r="E661" s="352"/>
      <c r="F661" s="327"/>
      <c r="G661" s="352"/>
      <c r="H661" s="352"/>
      <c r="I661" s="327"/>
      <c r="J661" s="352"/>
      <c r="K661" s="352"/>
      <c r="L661" s="327"/>
      <c r="M661" s="352"/>
      <c r="N661" s="352"/>
      <c r="O661" s="327"/>
      <c r="P661" s="352"/>
      <c r="Q661" s="352"/>
      <c r="R661" s="327"/>
      <c r="S661" s="352"/>
      <c r="T661" s="352"/>
      <c r="U661" s="327"/>
      <c r="V661" s="352"/>
      <c r="W661" s="352"/>
      <c r="X661" s="327"/>
      <c r="Y661" s="352"/>
      <c r="Z661" s="352"/>
      <c r="AA661" s="327"/>
      <c r="AB661" s="352"/>
      <c r="AC661" s="352"/>
      <c r="AD661" s="327"/>
      <c r="AE661" s="352"/>
      <c r="AF661" s="352"/>
      <c r="AG661" s="327"/>
      <c r="AH661" s="352"/>
      <c r="AI661" s="352"/>
      <c r="AJ661" s="327"/>
      <c r="AK661" s="352"/>
      <c r="AL661" s="352"/>
      <c r="AM661" s="327"/>
      <c r="AN661" s="352"/>
      <c r="AO661" s="352"/>
      <c r="AP661" s="327"/>
      <c r="AQ661" s="352"/>
      <c r="AR661" s="327"/>
      <c r="AU661" s="307"/>
      <c r="AX661" s="307"/>
      <c r="BA661" s="307"/>
      <c r="BC661" s="366"/>
      <c r="BD661" s="307"/>
      <c r="BG661" s="307"/>
    </row>
    <row r="662">
      <c r="A662" s="352"/>
      <c r="B662" s="352"/>
      <c r="C662" s="327"/>
      <c r="D662" s="352"/>
      <c r="E662" s="352"/>
      <c r="F662" s="327"/>
      <c r="G662" s="352"/>
      <c r="H662" s="352"/>
      <c r="I662" s="327"/>
      <c r="J662" s="352"/>
      <c r="K662" s="352"/>
      <c r="L662" s="327"/>
      <c r="M662" s="352"/>
      <c r="N662" s="352"/>
      <c r="O662" s="327"/>
      <c r="P662" s="352"/>
      <c r="Q662" s="352"/>
      <c r="R662" s="327"/>
      <c r="S662" s="352"/>
      <c r="T662" s="352"/>
      <c r="U662" s="327"/>
      <c r="V662" s="352"/>
      <c r="W662" s="352"/>
      <c r="X662" s="327"/>
      <c r="Y662" s="352"/>
      <c r="Z662" s="352"/>
      <c r="AA662" s="327"/>
      <c r="AB662" s="352"/>
      <c r="AC662" s="352"/>
      <c r="AD662" s="327"/>
      <c r="AE662" s="352"/>
      <c r="AF662" s="352"/>
      <c r="AG662" s="327"/>
      <c r="AH662" s="352"/>
      <c r="AI662" s="352"/>
      <c r="AJ662" s="327"/>
      <c r="AK662" s="352"/>
      <c r="AL662" s="352"/>
      <c r="AM662" s="327"/>
      <c r="AN662" s="352"/>
      <c r="AO662" s="352"/>
      <c r="AP662" s="327"/>
      <c r="AQ662" s="352"/>
      <c r="AR662" s="327"/>
      <c r="AU662" s="307"/>
      <c r="AX662" s="307"/>
      <c r="BA662" s="307"/>
      <c r="BC662" s="366"/>
      <c r="BD662" s="307"/>
      <c r="BG662" s="307"/>
    </row>
    <row r="663">
      <c r="A663" s="352"/>
      <c r="B663" s="352"/>
      <c r="C663" s="327"/>
      <c r="D663" s="352"/>
      <c r="E663" s="352"/>
      <c r="F663" s="327"/>
      <c r="G663" s="352"/>
      <c r="H663" s="352"/>
      <c r="I663" s="327"/>
      <c r="J663" s="352"/>
      <c r="K663" s="352"/>
      <c r="L663" s="327"/>
      <c r="M663" s="352"/>
      <c r="N663" s="352"/>
      <c r="O663" s="327"/>
      <c r="P663" s="352"/>
      <c r="Q663" s="352"/>
      <c r="R663" s="327"/>
      <c r="S663" s="352"/>
      <c r="T663" s="352"/>
      <c r="U663" s="327"/>
      <c r="V663" s="352"/>
      <c r="W663" s="352"/>
      <c r="X663" s="327"/>
      <c r="Y663" s="352"/>
      <c r="Z663" s="352"/>
      <c r="AA663" s="327"/>
      <c r="AB663" s="352"/>
      <c r="AC663" s="352"/>
      <c r="AD663" s="327"/>
      <c r="AE663" s="352"/>
      <c r="AF663" s="352"/>
      <c r="AG663" s="327"/>
      <c r="AH663" s="352"/>
      <c r="AI663" s="352"/>
      <c r="AJ663" s="327"/>
      <c r="AK663" s="352"/>
      <c r="AL663" s="352"/>
      <c r="AM663" s="327"/>
      <c r="AN663" s="352"/>
      <c r="AO663" s="352"/>
      <c r="AP663" s="327"/>
      <c r="AQ663" s="352"/>
      <c r="AR663" s="327"/>
      <c r="AU663" s="307"/>
      <c r="AX663" s="307"/>
      <c r="BA663" s="307"/>
      <c r="BC663" s="366"/>
      <c r="BD663" s="307"/>
      <c r="BG663" s="307"/>
    </row>
    <row r="664">
      <c r="A664" s="352"/>
      <c r="B664" s="352"/>
      <c r="C664" s="327"/>
      <c r="D664" s="352"/>
      <c r="E664" s="352"/>
      <c r="F664" s="327"/>
      <c r="G664" s="352"/>
      <c r="H664" s="352"/>
      <c r="I664" s="327"/>
      <c r="J664" s="352"/>
      <c r="K664" s="352"/>
      <c r="L664" s="327"/>
      <c r="M664" s="352"/>
      <c r="N664" s="352"/>
      <c r="O664" s="327"/>
      <c r="P664" s="352"/>
      <c r="Q664" s="352"/>
      <c r="R664" s="327"/>
      <c r="S664" s="352"/>
      <c r="T664" s="352"/>
      <c r="U664" s="327"/>
      <c r="V664" s="352"/>
      <c r="W664" s="352"/>
      <c r="X664" s="327"/>
      <c r="Y664" s="352"/>
      <c r="Z664" s="352"/>
      <c r="AA664" s="327"/>
      <c r="AB664" s="352"/>
      <c r="AC664" s="352"/>
      <c r="AD664" s="327"/>
      <c r="AE664" s="352"/>
      <c r="AF664" s="352"/>
      <c r="AG664" s="327"/>
      <c r="AH664" s="352"/>
      <c r="AI664" s="352"/>
      <c r="AJ664" s="327"/>
      <c r="AK664" s="352"/>
      <c r="AL664" s="352"/>
      <c r="AM664" s="327"/>
      <c r="AN664" s="352"/>
      <c r="AO664" s="352"/>
      <c r="AP664" s="327"/>
      <c r="AQ664" s="352"/>
      <c r="AR664" s="327"/>
      <c r="AU664" s="307"/>
      <c r="AX664" s="307"/>
      <c r="BA664" s="307"/>
      <c r="BC664" s="366"/>
      <c r="BD664" s="307"/>
      <c r="BG664" s="307"/>
    </row>
    <row r="665">
      <c r="A665" s="352"/>
      <c r="B665" s="352"/>
      <c r="C665" s="327"/>
      <c r="D665" s="352"/>
      <c r="E665" s="352"/>
      <c r="F665" s="327"/>
      <c r="G665" s="352"/>
      <c r="H665" s="352"/>
      <c r="I665" s="327"/>
      <c r="J665" s="352"/>
      <c r="K665" s="352"/>
      <c r="L665" s="327"/>
      <c r="M665" s="352"/>
      <c r="N665" s="352"/>
      <c r="O665" s="327"/>
      <c r="P665" s="352"/>
      <c r="Q665" s="352"/>
      <c r="R665" s="327"/>
      <c r="S665" s="352"/>
      <c r="T665" s="352"/>
      <c r="U665" s="327"/>
      <c r="V665" s="352"/>
      <c r="W665" s="352"/>
      <c r="X665" s="327"/>
      <c r="Y665" s="352"/>
      <c r="Z665" s="352"/>
      <c r="AA665" s="327"/>
      <c r="AB665" s="352"/>
      <c r="AC665" s="352"/>
      <c r="AD665" s="327"/>
      <c r="AE665" s="352"/>
      <c r="AF665" s="352"/>
      <c r="AG665" s="327"/>
      <c r="AH665" s="352"/>
      <c r="AI665" s="352"/>
      <c r="AJ665" s="327"/>
      <c r="AK665" s="352"/>
      <c r="AL665" s="352"/>
      <c r="AM665" s="327"/>
      <c r="AN665" s="352"/>
      <c r="AO665" s="352"/>
      <c r="AP665" s="327"/>
      <c r="AQ665" s="352"/>
      <c r="AR665" s="327"/>
      <c r="AU665" s="307"/>
      <c r="AX665" s="307"/>
      <c r="BA665" s="307"/>
      <c r="BC665" s="366"/>
      <c r="BD665" s="307"/>
      <c r="BG665" s="307"/>
    </row>
    <row r="666">
      <c r="A666" s="352"/>
      <c r="B666" s="352"/>
      <c r="C666" s="327"/>
      <c r="D666" s="352"/>
      <c r="E666" s="352"/>
      <c r="F666" s="327"/>
      <c r="G666" s="352"/>
      <c r="H666" s="352"/>
      <c r="I666" s="327"/>
      <c r="J666" s="352"/>
      <c r="K666" s="352"/>
      <c r="L666" s="327"/>
      <c r="M666" s="352"/>
      <c r="N666" s="352"/>
      <c r="O666" s="327"/>
      <c r="P666" s="352"/>
      <c r="Q666" s="352"/>
      <c r="R666" s="327"/>
      <c r="S666" s="352"/>
      <c r="T666" s="352"/>
      <c r="U666" s="327"/>
      <c r="V666" s="352"/>
      <c r="W666" s="352"/>
      <c r="X666" s="327"/>
      <c r="Y666" s="352"/>
      <c r="Z666" s="352"/>
      <c r="AA666" s="327"/>
      <c r="AB666" s="352"/>
      <c r="AC666" s="352"/>
      <c r="AD666" s="327"/>
      <c r="AE666" s="352"/>
      <c r="AF666" s="352"/>
      <c r="AG666" s="327"/>
      <c r="AH666" s="352"/>
      <c r="AI666" s="352"/>
      <c r="AJ666" s="327"/>
      <c r="AK666" s="352"/>
      <c r="AL666" s="352"/>
      <c r="AM666" s="327"/>
      <c r="AN666" s="352"/>
      <c r="AO666" s="352"/>
      <c r="AP666" s="327"/>
      <c r="AQ666" s="352"/>
      <c r="AR666" s="327"/>
      <c r="AU666" s="307"/>
      <c r="AX666" s="307"/>
      <c r="BA666" s="307"/>
      <c r="BC666" s="366"/>
      <c r="BD666" s="307"/>
      <c r="BG666" s="307"/>
    </row>
    <row r="667">
      <c r="A667" s="352"/>
      <c r="B667" s="352"/>
      <c r="C667" s="327"/>
      <c r="D667" s="352"/>
      <c r="E667" s="352"/>
      <c r="F667" s="327"/>
      <c r="G667" s="352"/>
      <c r="H667" s="352"/>
      <c r="I667" s="327"/>
      <c r="J667" s="352"/>
      <c r="K667" s="352"/>
      <c r="L667" s="327"/>
      <c r="M667" s="352"/>
      <c r="N667" s="352"/>
      <c r="O667" s="327"/>
      <c r="P667" s="352"/>
      <c r="Q667" s="352"/>
      <c r="R667" s="327"/>
      <c r="S667" s="352"/>
      <c r="T667" s="352"/>
      <c r="U667" s="327"/>
      <c r="V667" s="352"/>
      <c r="W667" s="352"/>
      <c r="X667" s="327"/>
      <c r="Y667" s="352"/>
      <c r="Z667" s="352"/>
      <c r="AA667" s="327"/>
      <c r="AB667" s="352"/>
      <c r="AC667" s="352"/>
      <c r="AD667" s="327"/>
      <c r="AE667" s="352"/>
      <c r="AF667" s="352"/>
      <c r="AG667" s="327"/>
      <c r="AH667" s="352"/>
      <c r="AI667" s="352"/>
      <c r="AJ667" s="327"/>
      <c r="AK667" s="352"/>
      <c r="AL667" s="352"/>
      <c r="AM667" s="327"/>
      <c r="AN667" s="352"/>
      <c r="AO667" s="352"/>
      <c r="AP667" s="327"/>
      <c r="AQ667" s="352"/>
      <c r="AR667" s="327"/>
      <c r="AU667" s="307"/>
      <c r="AX667" s="307"/>
      <c r="BA667" s="307"/>
      <c r="BC667" s="366"/>
      <c r="BD667" s="307"/>
      <c r="BG667" s="307"/>
    </row>
    <row r="668">
      <c r="A668" s="352"/>
      <c r="B668" s="352"/>
      <c r="C668" s="327"/>
      <c r="D668" s="352"/>
      <c r="E668" s="352"/>
      <c r="F668" s="327"/>
      <c r="G668" s="352"/>
      <c r="H668" s="352"/>
      <c r="I668" s="327"/>
      <c r="J668" s="352"/>
      <c r="K668" s="352"/>
      <c r="L668" s="327"/>
      <c r="M668" s="352"/>
      <c r="N668" s="352"/>
      <c r="O668" s="327"/>
      <c r="P668" s="352"/>
      <c r="Q668" s="352"/>
      <c r="R668" s="327"/>
      <c r="S668" s="352"/>
      <c r="T668" s="352"/>
      <c r="U668" s="327"/>
      <c r="V668" s="352"/>
      <c r="W668" s="352"/>
      <c r="X668" s="327"/>
      <c r="Y668" s="352"/>
      <c r="Z668" s="352"/>
      <c r="AA668" s="327"/>
      <c r="AB668" s="352"/>
      <c r="AC668" s="352"/>
      <c r="AD668" s="327"/>
      <c r="AE668" s="352"/>
      <c r="AF668" s="352"/>
      <c r="AG668" s="327"/>
      <c r="AH668" s="352"/>
      <c r="AI668" s="352"/>
      <c r="AJ668" s="327"/>
      <c r="AK668" s="352"/>
      <c r="AL668" s="352"/>
      <c r="AM668" s="327"/>
      <c r="AN668" s="352"/>
      <c r="AO668" s="352"/>
      <c r="AP668" s="327"/>
      <c r="AQ668" s="352"/>
      <c r="AR668" s="327"/>
      <c r="AU668" s="307"/>
      <c r="AX668" s="307"/>
      <c r="BA668" s="307"/>
      <c r="BC668" s="366"/>
      <c r="BD668" s="307"/>
      <c r="BG668" s="307"/>
    </row>
    <row r="669">
      <c r="A669" s="352"/>
      <c r="B669" s="352"/>
      <c r="C669" s="327"/>
      <c r="D669" s="352"/>
      <c r="E669" s="352"/>
      <c r="F669" s="327"/>
      <c r="G669" s="352"/>
      <c r="H669" s="352"/>
      <c r="I669" s="327"/>
      <c r="J669" s="352"/>
      <c r="K669" s="352"/>
      <c r="L669" s="327"/>
      <c r="M669" s="352"/>
      <c r="N669" s="352"/>
      <c r="O669" s="327"/>
      <c r="P669" s="352"/>
      <c r="Q669" s="352"/>
      <c r="R669" s="327"/>
      <c r="S669" s="352"/>
      <c r="T669" s="352"/>
      <c r="U669" s="327"/>
      <c r="V669" s="352"/>
      <c r="W669" s="352"/>
      <c r="X669" s="327"/>
      <c r="Y669" s="352"/>
      <c r="Z669" s="352"/>
      <c r="AA669" s="327"/>
      <c r="AB669" s="352"/>
      <c r="AC669" s="352"/>
      <c r="AD669" s="327"/>
      <c r="AE669" s="352"/>
      <c r="AF669" s="352"/>
      <c r="AG669" s="327"/>
      <c r="AH669" s="352"/>
      <c r="AI669" s="352"/>
      <c r="AJ669" s="327"/>
      <c r="AK669" s="352"/>
      <c r="AL669" s="352"/>
      <c r="AM669" s="327"/>
      <c r="AN669" s="352"/>
      <c r="AO669" s="352"/>
      <c r="AP669" s="327"/>
      <c r="AQ669" s="352"/>
      <c r="AR669" s="327"/>
      <c r="AU669" s="307"/>
      <c r="AX669" s="307"/>
      <c r="BA669" s="307"/>
      <c r="BC669" s="366"/>
      <c r="BD669" s="307"/>
      <c r="BG669" s="307"/>
    </row>
    <row r="670">
      <c r="A670" s="352"/>
      <c r="B670" s="352"/>
      <c r="C670" s="327"/>
      <c r="D670" s="352"/>
      <c r="E670" s="352"/>
      <c r="F670" s="327"/>
      <c r="G670" s="352"/>
      <c r="H670" s="352"/>
      <c r="I670" s="327"/>
      <c r="J670" s="352"/>
      <c r="K670" s="352"/>
      <c r="L670" s="327"/>
      <c r="M670" s="352"/>
      <c r="N670" s="352"/>
      <c r="O670" s="327"/>
      <c r="P670" s="352"/>
      <c r="Q670" s="352"/>
      <c r="R670" s="327"/>
      <c r="S670" s="352"/>
      <c r="T670" s="352"/>
      <c r="U670" s="327"/>
      <c r="V670" s="352"/>
      <c r="W670" s="352"/>
      <c r="X670" s="327"/>
      <c r="Y670" s="352"/>
      <c r="Z670" s="352"/>
      <c r="AA670" s="327"/>
      <c r="AB670" s="352"/>
      <c r="AC670" s="352"/>
      <c r="AD670" s="327"/>
      <c r="AE670" s="352"/>
      <c r="AF670" s="352"/>
      <c r="AG670" s="327"/>
      <c r="AH670" s="352"/>
      <c r="AI670" s="352"/>
      <c r="AJ670" s="327"/>
      <c r="AK670" s="352"/>
      <c r="AL670" s="352"/>
      <c r="AM670" s="327"/>
      <c r="AN670" s="352"/>
      <c r="AO670" s="352"/>
      <c r="AP670" s="327"/>
      <c r="AQ670" s="352"/>
      <c r="AR670" s="327"/>
      <c r="AU670" s="307"/>
      <c r="AX670" s="307"/>
      <c r="BA670" s="307"/>
      <c r="BC670" s="366"/>
      <c r="BD670" s="307"/>
      <c r="BG670" s="307"/>
    </row>
    <row r="671">
      <c r="A671" s="352"/>
      <c r="B671" s="352"/>
      <c r="C671" s="327"/>
      <c r="D671" s="352"/>
      <c r="E671" s="352"/>
      <c r="F671" s="327"/>
      <c r="G671" s="352"/>
      <c r="H671" s="352"/>
      <c r="I671" s="327"/>
      <c r="J671" s="352"/>
      <c r="K671" s="352"/>
      <c r="L671" s="327"/>
      <c r="M671" s="352"/>
      <c r="N671" s="352"/>
      <c r="O671" s="327"/>
      <c r="P671" s="352"/>
      <c r="Q671" s="352"/>
      <c r="R671" s="327"/>
      <c r="S671" s="352"/>
      <c r="T671" s="352"/>
      <c r="U671" s="327"/>
      <c r="V671" s="352"/>
      <c r="W671" s="352"/>
      <c r="X671" s="327"/>
      <c r="Y671" s="352"/>
      <c r="Z671" s="352"/>
      <c r="AA671" s="327"/>
      <c r="AB671" s="352"/>
      <c r="AC671" s="352"/>
      <c r="AD671" s="327"/>
      <c r="AE671" s="352"/>
      <c r="AF671" s="352"/>
      <c r="AG671" s="327"/>
      <c r="AH671" s="352"/>
      <c r="AI671" s="352"/>
      <c r="AJ671" s="327"/>
      <c r="AK671" s="352"/>
      <c r="AL671" s="352"/>
      <c r="AM671" s="327"/>
      <c r="AN671" s="352"/>
      <c r="AO671" s="352"/>
      <c r="AP671" s="327"/>
      <c r="AQ671" s="352"/>
      <c r="AR671" s="327"/>
      <c r="AU671" s="307"/>
      <c r="AX671" s="307"/>
      <c r="BA671" s="307"/>
      <c r="BC671" s="366"/>
      <c r="BD671" s="307"/>
      <c r="BG671" s="307"/>
    </row>
    <row r="672">
      <c r="A672" s="352"/>
      <c r="B672" s="352"/>
      <c r="C672" s="327"/>
      <c r="D672" s="352"/>
      <c r="E672" s="352"/>
      <c r="F672" s="327"/>
      <c r="G672" s="352"/>
      <c r="H672" s="352"/>
      <c r="I672" s="327"/>
      <c r="J672" s="352"/>
      <c r="K672" s="352"/>
      <c r="L672" s="327"/>
      <c r="M672" s="352"/>
      <c r="N672" s="352"/>
      <c r="O672" s="327"/>
      <c r="P672" s="352"/>
      <c r="Q672" s="352"/>
      <c r="R672" s="327"/>
      <c r="S672" s="352"/>
      <c r="T672" s="352"/>
      <c r="U672" s="327"/>
      <c r="V672" s="352"/>
      <c r="W672" s="352"/>
      <c r="X672" s="327"/>
      <c r="Y672" s="352"/>
      <c r="Z672" s="352"/>
      <c r="AA672" s="327"/>
      <c r="AB672" s="352"/>
      <c r="AC672" s="352"/>
      <c r="AD672" s="327"/>
      <c r="AE672" s="352"/>
      <c r="AF672" s="352"/>
      <c r="AG672" s="327"/>
      <c r="AH672" s="352"/>
      <c r="AI672" s="352"/>
      <c r="AJ672" s="327"/>
      <c r="AK672" s="352"/>
      <c r="AL672" s="352"/>
      <c r="AM672" s="327"/>
      <c r="AN672" s="352"/>
      <c r="AO672" s="352"/>
      <c r="AP672" s="327"/>
      <c r="AQ672" s="352"/>
      <c r="AR672" s="327"/>
      <c r="AU672" s="307"/>
      <c r="AX672" s="307"/>
      <c r="BA672" s="307"/>
      <c r="BC672" s="366"/>
      <c r="BD672" s="307"/>
      <c r="BG672" s="307"/>
    </row>
    <row r="673">
      <c r="A673" s="352"/>
      <c r="B673" s="352"/>
      <c r="C673" s="327"/>
      <c r="D673" s="352"/>
      <c r="E673" s="352"/>
      <c r="F673" s="327"/>
      <c r="G673" s="352"/>
      <c r="H673" s="352"/>
      <c r="I673" s="327"/>
      <c r="J673" s="352"/>
      <c r="K673" s="352"/>
      <c r="L673" s="327"/>
      <c r="M673" s="352"/>
      <c r="N673" s="352"/>
      <c r="O673" s="327"/>
      <c r="P673" s="352"/>
      <c r="Q673" s="352"/>
      <c r="R673" s="327"/>
      <c r="S673" s="352"/>
      <c r="T673" s="352"/>
      <c r="U673" s="327"/>
      <c r="V673" s="352"/>
      <c r="W673" s="352"/>
      <c r="X673" s="327"/>
      <c r="Y673" s="352"/>
      <c r="Z673" s="352"/>
      <c r="AA673" s="327"/>
      <c r="AB673" s="352"/>
      <c r="AC673" s="352"/>
      <c r="AD673" s="327"/>
      <c r="AE673" s="352"/>
      <c r="AF673" s="352"/>
      <c r="AG673" s="327"/>
      <c r="AH673" s="352"/>
      <c r="AI673" s="352"/>
      <c r="AJ673" s="327"/>
      <c r="AK673" s="352"/>
      <c r="AL673" s="352"/>
      <c r="AM673" s="327"/>
      <c r="AN673" s="352"/>
      <c r="AO673" s="352"/>
      <c r="AP673" s="327"/>
      <c r="AQ673" s="352"/>
      <c r="AR673" s="327"/>
      <c r="AU673" s="307"/>
      <c r="AX673" s="307"/>
      <c r="BA673" s="307"/>
      <c r="BC673" s="366"/>
      <c r="BD673" s="307"/>
      <c r="BG673" s="307"/>
    </row>
    <row r="674">
      <c r="A674" s="352"/>
      <c r="B674" s="352"/>
      <c r="C674" s="327"/>
      <c r="D674" s="352"/>
      <c r="E674" s="352"/>
      <c r="F674" s="327"/>
      <c r="G674" s="352"/>
      <c r="H674" s="352"/>
      <c r="I674" s="327"/>
      <c r="J674" s="352"/>
      <c r="K674" s="352"/>
      <c r="L674" s="327"/>
      <c r="M674" s="352"/>
      <c r="N674" s="352"/>
      <c r="O674" s="327"/>
      <c r="P674" s="352"/>
      <c r="Q674" s="352"/>
      <c r="R674" s="327"/>
      <c r="S674" s="352"/>
      <c r="T674" s="352"/>
      <c r="U674" s="327"/>
      <c r="V674" s="352"/>
      <c r="W674" s="352"/>
      <c r="X674" s="327"/>
      <c r="Y674" s="352"/>
      <c r="Z674" s="352"/>
      <c r="AA674" s="327"/>
      <c r="AB674" s="352"/>
      <c r="AC674" s="352"/>
      <c r="AD674" s="327"/>
      <c r="AE674" s="352"/>
      <c r="AF674" s="352"/>
      <c r="AG674" s="327"/>
      <c r="AH674" s="352"/>
      <c r="AI674" s="352"/>
      <c r="AJ674" s="327"/>
      <c r="AK674" s="352"/>
      <c r="AL674" s="352"/>
      <c r="AM674" s="327"/>
      <c r="AN674" s="352"/>
      <c r="AO674" s="352"/>
      <c r="AP674" s="327"/>
      <c r="AQ674" s="352"/>
      <c r="AR674" s="327"/>
      <c r="AU674" s="307"/>
      <c r="AX674" s="307"/>
      <c r="BA674" s="307"/>
      <c r="BC674" s="366"/>
      <c r="BD674" s="307"/>
      <c r="BG674" s="307"/>
    </row>
    <row r="675">
      <c r="A675" s="352"/>
      <c r="B675" s="352"/>
      <c r="C675" s="327"/>
      <c r="D675" s="352"/>
      <c r="E675" s="352"/>
      <c r="F675" s="327"/>
      <c r="G675" s="352"/>
      <c r="H675" s="352"/>
      <c r="I675" s="327"/>
      <c r="J675" s="352"/>
      <c r="K675" s="352"/>
      <c r="L675" s="327"/>
      <c r="M675" s="352"/>
      <c r="N675" s="352"/>
      <c r="O675" s="327"/>
      <c r="P675" s="352"/>
      <c r="Q675" s="352"/>
      <c r="R675" s="327"/>
      <c r="S675" s="352"/>
      <c r="T675" s="352"/>
      <c r="U675" s="327"/>
      <c r="V675" s="352"/>
      <c r="W675" s="352"/>
      <c r="X675" s="327"/>
      <c r="Y675" s="352"/>
      <c r="Z675" s="352"/>
      <c r="AA675" s="327"/>
      <c r="AB675" s="352"/>
      <c r="AC675" s="352"/>
      <c r="AD675" s="327"/>
      <c r="AE675" s="352"/>
      <c r="AF675" s="352"/>
      <c r="AG675" s="327"/>
      <c r="AH675" s="352"/>
      <c r="AI675" s="352"/>
      <c r="AJ675" s="327"/>
      <c r="AK675" s="352"/>
      <c r="AL675" s="352"/>
      <c r="AM675" s="327"/>
      <c r="AN675" s="352"/>
      <c r="AO675" s="352"/>
      <c r="AP675" s="327"/>
      <c r="AQ675" s="352"/>
      <c r="AR675" s="327"/>
      <c r="AU675" s="307"/>
      <c r="AX675" s="307"/>
      <c r="BA675" s="307"/>
      <c r="BC675" s="366"/>
      <c r="BD675" s="307"/>
      <c r="BG675" s="307"/>
    </row>
    <row r="676">
      <c r="A676" s="352"/>
      <c r="B676" s="352"/>
      <c r="C676" s="327"/>
      <c r="D676" s="352"/>
      <c r="E676" s="352"/>
      <c r="F676" s="327"/>
      <c r="G676" s="352"/>
      <c r="H676" s="352"/>
      <c r="I676" s="327"/>
      <c r="J676" s="352"/>
      <c r="K676" s="352"/>
      <c r="L676" s="327"/>
      <c r="M676" s="352"/>
      <c r="N676" s="352"/>
      <c r="O676" s="327"/>
      <c r="P676" s="352"/>
      <c r="Q676" s="352"/>
      <c r="R676" s="327"/>
      <c r="S676" s="352"/>
      <c r="T676" s="352"/>
      <c r="U676" s="327"/>
      <c r="V676" s="352"/>
      <c r="W676" s="352"/>
      <c r="X676" s="327"/>
      <c r="Y676" s="352"/>
      <c r="Z676" s="352"/>
      <c r="AA676" s="327"/>
      <c r="AB676" s="352"/>
      <c r="AC676" s="352"/>
      <c r="AD676" s="327"/>
      <c r="AE676" s="352"/>
      <c r="AF676" s="352"/>
      <c r="AG676" s="327"/>
      <c r="AH676" s="352"/>
      <c r="AI676" s="352"/>
      <c r="AJ676" s="327"/>
      <c r="AK676" s="352"/>
      <c r="AL676" s="352"/>
      <c r="AM676" s="327"/>
      <c r="AN676" s="352"/>
      <c r="AO676" s="352"/>
      <c r="AP676" s="327"/>
      <c r="AQ676" s="352"/>
      <c r="AR676" s="327"/>
      <c r="AU676" s="307"/>
      <c r="AX676" s="307"/>
      <c r="BA676" s="307"/>
      <c r="BC676" s="366"/>
      <c r="BD676" s="307"/>
      <c r="BG676" s="307"/>
    </row>
    <row r="677">
      <c r="A677" s="352"/>
      <c r="B677" s="352"/>
      <c r="C677" s="327"/>
      <c r="D677" s="352"/>
      <c r="E677" s="352"/>
      <c r="F677" s="327"/>
      <c r="G677" s="352"/>
      <c r="H677" s="352"/>
      <c r="I677" s="327"/>
      <c r="J677" s="352"/>
      <c r="K677" s="352"/>
      <c r="L677" s="327"/>
      <c r="M677" s="352"/>
      <c r="N677" s="352"/>
      <c r="O677" s="327"/>
      <c r="P677" s="352"/>
      <c r="Q677" s="352"/>
      <c r="R677" s="327"/>
      <c r="S677" s="352"/>
      <c r="T677" s="352"/>
      <c r="U677" s="327"/>
      <c r="V677" s="352"/>
      <c r="W677" s="352"/>
      <c r="X677" s="327"/>
      <c r="Y677" s="352"/>
      <c r="Z677" s="352"/>
      <c r="AA677" s="327"/>
      <c r="AB677" s="352"/>
      <c r="AC677" s="352"/>
      <c r="AD677" s="327"/>
      <c r="AE677" s="352"/>
      <c r="AF677" s="352"/>
      <c r="AG677" s="327"/>
      <c r="AH677" s="352"/>
      <c r="AI677" s="352"/>
      <c r="AJ677" s="327"/>
      <c r="AK677" s="352"/>
      <c r="AL677" s="352"/>
      <c r="AM677" s="327"/>
      <c r="AN677" s="352"/>
      <c r="AO677" s="352"/>
      <c r="AP677" s="327"/>
      <c r="AQ677" s="352"/>
      <c r="AR677" s="327"/>
      <c r="AU677" s="307"/>
      <c r="AX677" s="307"/>
      <c r="BA677" s="307"/>
      <c r="BC677" s="366"/>
      <c r="BD677" s="307"/>
      <c r="BG677" s="307"/>
    </row>
    <row r="678">
      <c r="A678" s="352"/>
      <c r="B678" s="352"/>
      <c r="C678" s="327"/>
      <c r="D678" s="352"/>
      <c r="E678" s="352"/>
      <c r="F678" s="327"/>
      <c r="G678" s="352"/>
      <c r="H678" s="352"/>
      <c r="I678" s="327"/>
      <c r="J678" s="352"/>
      <c r="K678" s="352"/>
      <c r="L678" s="327"/>
      <c r="M678" s="352"/>
      <c r="N678" s="352"/>
      <c r="O678" s="327"/>
      <c r="P678" s="352"/>
      <c r="Q678" s="352"/>
      <c r="R678" s="327"/>
      <c r="S678" s="352"/>
      <c r="T678" s="352"/>
      <c r="U678" s="327"/>
      <c r="V678" s="352"/>
      <c r="W678" s="352"/>
      <c r="X678" s="327"/>
      <c r="Y678" s="352"/>
      <c r="Z678" s="352"/>
      <c r="AA678" s="327"/>
      <c r="AB678" s="352"/>
      <c r="AC678" s="352"/>
      <c r="AD678" s="327"/>
      <c r="AE678" s="352"/>
      <c r="AF678" s="352"/>
      <c r="AG678" s="327"/>
      <c r="AH678" s="352"/>
      <c r="AI678" s="352"/>
      <c r="AJ678" s="327"/>
      <c r="AK678" s="352"/>
      <c r="AL678" s="352"/>
      <c r="AM678" s="327"/>
      <c r="AN678" s="352"/>
      <c r="AO678" s="352"/>
      <c r="AP678" s="327"/>
      <c r="AQ678" s="352"/>
      <c r="AR678" s="327"/>
      <c r="AU678" s="307"/>
      <c r="AX678" s="307"/>
      <c r="BA678" s="307"/>
      <c r="BC678" s="366"/>
      <c r="BD678" s="307"/>
      <c r="BG678" s="307"/>
    </row>
    <row r="679">
      <c r="A679" s="352"/>
      <c r="B679" s="352"/>
      <c r="C679" s="327"/>
      <c r="D679" s="352"/>
      <c r="E679" s="352"/>
      <c r="F679" s="327"/>
      <c r="G679" s="352"/>
      <c r="H679" s="352"/>
      <c r="I679" s="327"/>
      <c r="J679" s="352"/>
      <c r="K679" s="352"/>
      <c r="L679" s="327"/>
      <c r="M679" s="352"/>
      <c r="N679" s="352"/>
      <c r="O679" s="327"/>
      <c r="P679" s="352"/>
      <c r="Q679" s="352"/>
      <c r="R679" s="327"/>
      <c r="S679" s="352"/>
      <c r="T679" s="352"/>
      <c r="U679" s="327"/>
      <c r="V679" s="352"/>
      <c r="W679" s="352"/>
      <c r="X679" s="327"/>
      <c r="Y679" s="352"/>
      <c r="Z679" s="352"/>
      <c r="AA679" s="327"/>
      <c r="AB679" s="352"/>
      <c r="AC679" s="352"/>
      <c r="AD679" s="327"/>
      <c r="AE679" s="352"/>
      <c r="AF679" s="352"/>
      <c r="AG679" s="327"/>
      <c r="AH679" s="352"/>
      <c r="AI679" s="352"/>
      <c r="AJ679" s="327"/>
      <c r="AK679" s="352"/>
      <c r="AL679" s="352"/>
      <c r="AM679" s="327"/>
      <c r="AN679" s="352"/>
      <c r="AO679" s="352"/>
      <c r="AP679" s="327"/>
      <c r="AQ679" s="352"/>
      <c r="AR679" s="327"/>
      <c r="AU679" s="307"/>
      <c r="AX679" s="307"/>
      <c r="BA679" s="307"/>
      <c r="BC679" s="366"/>
      <c r="BD679" s="307"/>
      <c r="BG679" s="307"/>
    </row>
    <row r="680">
      <c r="A680" s="352"/>
      <c r="B680" s="352"/>
      <c r="C680" s="327"/>
      <c r="D680" s="352"/>
      <c r="E680" s="352"/>
      <c r="F680" s="327"/>
      <c r="G680" s="352"/>
      <c r="H680" s="352"/>
      <c r="I680" s="327"/>
      <c r="J680" s="352"/>
      <c r="K680" s="352"/>
      <c r="L680" s="327"/>
      <c r="M680" s="352"/>
      <c r="N680" s="352"/>
      <c r="O680" s="327"/>
      <c r="P680" s="352"/>
      <c r="Q680" s="352"/>
      <c r="R680" s="327"/>
      <c r="S680" s="352"/>
      <c r="T680" s="352"/>
      <c r="U680" s="327"/>
      <c r="V680" s="352"/>
      <c r="W680" s="352"/>
      <c r="X680" s="327"/>
      <c r="Y680" s="352"/>
      <c r="Z680" s="352"/>
      <c r="AA680" s="327"/>
      <c r="AB680" s="352"/>
      <c r="AC680" s="352"/>
      <c r="AD680" s="327"/>
      <c r="AE680" s="352"/>
      <c r="AF680" s="352"/>
      <c r="AG680" s="327"/>
      <c r="AH680" s="352"/>
      <c r="AI680" s="352"/>
      <c r="AJ680" s="327"/>
      <c r="AK680" s="352"/>
      <c r="AL680" s="352"/>
      <c r="AM680" s="327"/>
      <c r="AN680" s="352"/>
      <c r="AO680" s="352"/>
      <c r="AP680" s="327"/>
      <c r="AQ680" s="352"/>
      <c r="AR680" s="327"/>
      <c r="AU680" s="307"/>
      <c r="AX680" s="307"/>
      <c r="BA680" s="307"/>
      <c r="BC680" s="366"/>
      <c r="BD680" s="307"/>
      <c r="BG680" s="307"/>
    </row>
    <row r="681">
      <c r="A681" s="352"/>
      <c r="B681" s="352"/>
      <c r="C681" s="327"/>
      <c r="D681" s="352"/>
      <c r="E681" s="352"/>
      <c r="F681" s="327"/>
      <c r="G681" s="352"/>
      <c r="H681" s="352"/>
      <c r="I681" s="327"/>
      <c r="J681" s="352"/>
      <c r="K681" s="352"/>
      <c r="L681" s="327"/>
      <c r="M681" s="352"/>
      <c r="N681" s="352"/>
      <c r="O681" s="327"/>
      <c r="P681" s="352"/>
      <c r="Q681" s="352"/>
      <c r="R681" s="327"/>
      <c r="S681" s="352"/>
      <c r="T681" s="352"/>
      <c r="U681" s="327"/>
      <c r="V681" s="352"/>
      <c r="W681" s="352"/>
      <c r="X681" s="327"/>
      <c r="Y681" s="352"/>
      <c r="Z681" s="352"/>
      <c r="AA681" s="327"/>
      <c r="AB681" s="352"/>
      <c r="AC681" s="352"/>
      <c r="AD681" s="327"/>
      <c r="AE681" s="352"/>
      <c r="AF681" s="352"/>
      <c r="AG681" s="327"/>
      <c r="AH681" s="352"/>
      <c r="AI681" s="352"/>
      <c r="AJ681" s="327"/>
      <c r="AK681" s="352"/>
      <c r="AL681" s="352"/>
      <c r="AM681" s="327"/>
      <c r="AN681" s="352"/>
      <c r="AO681" s="352"/>
      <c r="AP681" s="327"/>
      <c r="AQ681" s="352"/>
      <c r="AR681" s="327"/>
      <c r="AU681" s="307"/>
      <c r="AX681" s="307"/>
      <c r="BA681" s="307"/>
      <c r="BC681" s="366"/>
      <c r="BD681" s="307"/>
      <c r="BG681" s="307"/>
    </row>
    <row r="682">
      <c r="A682" s="352"/>
      <c r="B682" s="352"/>
      <c r="C682" s="327"/>
      <c r="D682" s="352"/>
      <c r="E682" s="352"/>
      <c r="F682" s="327"/>
      <c r="G682" s="352"/>
      <c r="H682" s="352"/>
      <c r="I682" s="327"/>
      <c r="J682" s="352"/>
      <c r="K682" s="352"/>
      <c r="L682" s="327"/>
      <c r="M682" s="352"/>
      <c r="N682" s="352"/>
      <c r="O682" s="327"/>
      <c r="P682" s="352"/>
      <c r="Q682" s="352"/>
      <c r="R682" s="327"/>
      <c r="S682" s="352"/>
      <c r="T682" s="352"/>
      <c r="U682" s="327"/>
      <c r="V682" s="352"/>
      <c r="W682" s="352"/>
      <c r="X682" s="327"/>
      <c r="Y682" s="352"/>
      <c r="Z682" s="352"/>
      <c r="AA682" s="327"/>
      <c r="AB682" s="352"/>
      <c r="AC682" s="352"/>
      <c r="AD682" s="327"/>
      <c r="AE682" s="352"/>
      <c r="AF682" s="352"/>
      <c r="AG682" s="327"/>
      <c r="AH682" s="352"/>
      <c r="AI682" s="352"/>
      <c r="AJ682" s="327"/>
      <c r="AK682" s="352"/>
      <c r="AL682" s="352"/>
      <c r="AM682" s="327"/>
      <c r="AN682" s="352"/>
      <c r="AO682" s="352"/>
      <c r="AP682" s="327"/>
      <c r="AQ682" s="352"/>
      <c r="AR682" s="327"/>
      <c r="AU682" s="307"/>
      <c r="AX682" s="307"/>
      <c r="BA682" s="307"/>
      <c r="BC682" s="366"/>
      <c r="BD682" s="307"/>
      <c r="BG682" s="307"/>
    </row>
    <row r="683">
      <c r="A683" s="352"/>
      <c r="B683" s="352"/>
      <c r="C683" s="327"/>
      <c r="D683" s="352"/>
      <c r="E683" s="352"/>
      <c r="F683" s="327"/>
      <c r="G683" s="352"/>
      <c r="H683" s="352"/>
      <c r="I683" s="327"/>
      <c r="J683" s="352"/>
      <c r="K683" s="352"/>
      <c r="L683" s="327"/>
      <c r="M683" s="352"/>
      <c r="N683" s="352"/>
      <c r="O683" s="327"/>
      <c r="P683" s="352"/>
      <c r="Q683" s="352"/>
      <c r="R683" s="327"/>
      <c r="S683" s="352"/>
      <c r="T683" s="352"/>
      <c r="U683" s="327"/>
      <c r="V683" s="352"/>
      <c r="W683" s="352"/>
      <c r="X683" s="327"/>
      <c r="Y683" s="352"/>
      <c r="Z683" s="352"/>
      <c r="AA683" s="327"/>
      <c r="AB683" s="352"/>
      <c r="AC683" s="352"/>
      <c r="AD683" s="327"/>
      <c r="AE683" s="352"/>
      <c r="AF683" s="352"/>
      <c r="AG683" s="327"/>
      <c r="AH683" s="352"/>
      <c r="AI683" s="352"/>
      <c r="AJ683" s="327"/>
      <c r="AK683" s="352"/>
      <c r="AL683" s="352"/>
      <c r="AM683" s="327"/>
      <c r="AN683" s="352"/>
      <c r="AO683" s="352"/>
      <c r="AP683" s="327"/>
      <c r="AQ683" s="352"/>
      <c r="AR683" s="327"/>
      <c r="AU683" s="307"/>
      <c r="AX683" s="307"/>
      <c r="BA683" s="307"/>
      <c r="BC683" s="366"/>
      <c r="BD683" s="307"/>
      <c r="BG683" s="307"/>
    </row>
    <row r="684">
      <c r="A684" s="352"/>
      <c r="B684" s="352"/>
      <c r="C684" s="327"/>
      <c r="D684" s="352"/>
      <c r="E684" s="352"/>
      <c r="F684" s="327"/>
      <c r="G684" s="352"/>
      <c r="H684" s="352"/>
      <c r="I684" s="327"/>
      <c r="J684" s="352"/>
      <c r="K684" s="352"/>
      <c r="L684" s="327"/>
      <c r="M684" s="352"/>
      <c r="N684" s="352"/>
      <c r="O684" s="327"/>
      <c r="P684" s="352"/>
      <c r="Q684" s="352"/>
      <c r="R684" s="327"/>
      <c r="S684" s="352"/>
      <c r="T684" s="352"/>
      <c r="U684" s="327"/>
      <c r="V684" s="352"/>
      <c r="W684" s="352"/>
      <c r="X684" s="327"/>
      <c r="Y684" s="352"/>
      <c r="Z684" s="352"/>
      <c r="AA684" s="327"/>
      <c r="AB684" s="352"/>
      <c r="AC684" s="352"/>
      <c r="AD684" s="327"/>
      <c r="AE684" s="352"/>
      <c r="AF684" s="352"/>
      <c r="AG684" s="327"/>
      <c r="AH684" s="352"/>
      <c r="AI684" s="352"/>
      <c r="AJ684" s="327"/>
      <c r="AK684" s="352"/>
      <c r="AL684" s="352"/>
      <c r="AM684" s="327"/>
      <c r="AN684" s="352"/>
      <c r="AO684" s="352"/>
      <c r="AP684" s="327"/>
      <c r="AQ684" s="352"/>
      <c r="AR684" s="327"/>
      <c r="AU684" s="307"/>
      <c r="AX684" s="307"/>
      <c r="BA684" s="307"/>
      <c r="BC684" s="366"/>
      <c r="BD684" s="307"/>
      <c r="BG684" s="307"/>
    </row>
    <row r="685">
      <c r="A685" s="352"/>
      <c r="B685" s="352"/>
      <c r="C685" s="327"/>
      <c r="D685" s="352"/>
      <c r="E685" s="352"/>
      <c r="F685" s="327"/>
      <c r="G685" s="352"/>
      <c r="H685" s="352"/>
      <c r="I685" s="327"/>
      <c r="J685" s="352"/>
      <c r="K685" s="352"/>
      <c r="L685" s="327"/>
      <c r="M685" s="352"/>
      <c r="N685" s="352"/>
      <c r="O685" s="327"/>
      <c r="P685" s="352"/>
      <c r="Q685" s="352"/>
      <c r="R685" s="327"/>
      <c r="S685" s="352"/>
      <c r="T685" s="352"/>
      <c r="U685" s="327"/>
      <c r="V685" s="352"/>
      <c r="W685" s="352"/>
      <c r="X685" s="327"/>
      <c r="Y685" s="352"/>
      <c r="Z685" s="352"/>
      <c r="AA685" s="327"/>
      <c r="AB685" s="352"/>
      <c r="AC685" s="352"/>
      <c r="AD685" s="327"/>
      <c r="AE685" s="352"/>
      <c r="AF685" s="352"/>
      <c r="AG685" s="327"/>
      <c r="AH685" s="352"/>
      <c r="AI685" s="352"/>
      <c r="AJ685" s="327"/>
      <c r="AK685" s="352"/>
      <c r="AL685" s="352"/>
      <c r="AM685" s="327"/>
      <c r="AN685" s="352"/>
      <c r="AO685" s="352"/>
      <c r="AP685" s="327"/>
      <c r="AQ685" s="352"/>
      <c r="AR685" s="327"/>
      <c r="AU685" s="307"/>
      <c r="AX685" s="307"/>
      <c r="BA685" s="307"/>
      <c r="BC685" s="366"/>
      <c r="BD685" s="307"/>
      <c r="BG685" s="307"/>
    </row>
    <row r="686">
      <c r="A686" s="352"/>
      <c r="B686" s="352"/>
      <c r="C686" s="327"/>
      <c r="D686" s="352"/>
      <c r="E686" s="352"/>
      <c r="F686" s="327"/>
      <c r="G686" s="352"/>
      <c r="H686" s="352"/>
      <c r="I686" s="327"/>
      <c r="J686" s="352"/>
      <c r="K686" s="352"/>
      <c r="L686" s="327"/>
      <c r="M686" s="352"/>
      <c r="N686" s="352"/>
      <c r="O686" s="327"/>
      <c r="P686" s="352"/>
      <c r="Q686" s="352"/>
      <c r="R686" s="327"/>
      <c r="S686" s="352"/>
      <c r="T686" s="352"/>
      <c r="U686" s="327"/>
      <c r="V686" s="352"/>
      <c r="W686" s="352"/>
      <c r="X686" s="327"/>
      <c r="Y686" s="352"/>
      <c r="Z686" s="352"/>
      <c r="AA686" s="327"/>
      <c r="AB686" s="352"/>
      <c r="AC686" s="352"/>
      <c r="AD686" s="327"/>
      <c r="AE686" s="352"/>
      <c r="AF686" s="352"/>
      <c r="AG686" s="327"/>
      <c r="AH686" s="352"/>
      <c r="AI686" s="352"/>
      <c r="AJ686" s="327"/>
      <c r="AK686" s="352"/>
      <c r="AL686" s="352"/>
      <c r="AM686" s="327"/>
      <c r="AN686" s="352"/>
      <c r="AO686" s="352"/>
      <c r="AP686" s="327"/>
      <c r="AQ686" s="352"/>
      <c r="AR686" s="327"/>
      <c r="AU686" s="307"/>
      <c r="AX686" s="307"/>
      <c r="BA686" s="307"/>
      <c r="BC686" s="366"/>
      <c r="BD686" s="307"/>
      <c r="BG686" s="307"/>
    </row>
    <row r="687">
      <c r="A687" s="352"/>
      <c r="B687" s="352"/>
      <c r="C687" s="327"/>
      <c r="D687" s="352"/>
      <c r="E687" s="352"/>
      <c r="F687" s="327"/>
      <c r="G687" s="352"/>
      <c r="H687" s="352"/>
      <c r="I687" s="327"/>
      <c r="J687" s="352"/>
      <c r="K687" s="352"/>
      <c r="L687" s="327"/>
      <c r="M687" s="352"/>
      <c r="N687" s="352"/>
      <c r="O687" s="327"/>
      <c r="P687" s="352"/>
      <c r="Q687" s="352"/>
      <c r="R687" s="327"/>
      <c r="S687" s="352"/>
      <c r="T687" s="352"/>
      <c r="U687" s="327"/>
      <c r="V687" s="352"/>
      <c r="W687" s="352"/>
      <c r="X687" s="327"/>
      <c r="Y687" s="352"/>
      <c r="Z687" s="352"/>
      <c r="AA687" s="327"/>
      <c r="AB687" s="352"/>
      <c r="AC687" s="352"/>
      <c r="AD687" s="327"/>
      <c r="AE687" s="352"/>
      <c r="AF687" s="352"/>
      <c r="AG687" s="327"/>
      <c r="AH687" s="352"/>
      <c r="AI687" s="352"/>
      <c r="AJ687" s="327"/>
      <c r="AK687" s="352"/>
      <c r="AL687" s="352"/>
      <c r="AM687" s="327"/>
      <c r="AN687" s="352"/>
      <c r="AO687" s="352"/>
      <c r="AP687" s="327"/>
      <c r="AQ687" s="352"/>
      <c r="AR687" s="327"/>
      <c r="AU687" s="307"/>
      <c r="AX687" s="307"/>
      <c r="BA687" s="307"/>
      <c r="BC687" s="366"/>
      <c r="BD687" s="307"/>
      <c r="BG687" s="307"/>
    </row>
    <row r="688">
      <c r="A688" s="352"/>
      <c r="B688" s="352"/>
      <c r="C688" s="327"/>
      <c r="D688" s="352"/>
      <c r="E688" s="352"/>
      <c r="F688" s="327"/>
      <c r="G688" s="352"/>
      <c r="H688" s="352"/>
      <c r="I688" s="327"/>
      <c r="J688" s="352"/>
      <c r="K688" s="352"/>
      <c r="L688" s="327"/>
      <c r="M688" s="352"/>
      <c r="N688" s="352"/>
      <c r="O688" s="327"/>
      <c r="P688" s="352"/>
      <c r="Q688" s="352"/>
      <c r="R688" s="327"/>
      <c r="S688" s="352"/>
      <c r="T688" s="352"/>
      <c r="U688" s="327"/>
      <c r="V688" s="352"/>
      <c r="W688" s="352"/>
      <c r="X688" s="327"/>
      <c r="Y688" s="352"/>
      <c r="Z688" s="352"/>
      <c r="AA688" s="327"/>
      <c r="AB688" s="352"/>
      <c r="AC688" s="352"/>
      <c r="AD688" s="327"/>
      <c r="AE688" s="352"/>
      <c r="AF688" s="352"/>
      <c r="AG688" s="327"/>
      <c r="AH688" s="352"/>
      <c r="AI688" s="352"/>
      <c r="AJ688" s="327"/>
      <c r="AK688" s="352"/>
      <c r="AL688" s="352"/>
      <c r="AM688" s="327"/>
      <c r="AN688" s="352"/>
      <c r="AO688" s="352"/>
      <c r="AP688" s="327"/>
      <c r="AQ688" s="352"/>
      <c r="AR688" s="327"/>
      <c r="AU688" s="307"/>
      <c r="AX688" s="307"/>
      <c r="BA688" s="307"/>
      <c r="BC688" s="366"/>
      <c r="BD688" s="307"/>
      <c r="BG688" s="307"/>
    </row>
    <row r="689">
      <c r="A689" s="352"/>
      <c r="B689" s="352"/>
      <c r="C689" s="327"/>
      <c r="D689" s="352"/>
      <c r="E689" s="352"/>
      <c r="F689" s="327"/>
      <c r="G689" s="352"/>
      <c r="H689" s="352"/>
      <c r="I689" s="327"/>
      <c r="J689" s="352"/>
      <c r="K689" s="352"/>
      <c r="L689" s="327"/>
      <c r="M689" s="352"/>
      <c r="N689" s="352"/>
      <c r="O689" s="327"/>
      <c r="P689" s="352"/>
      <c r="Q689" s="352"/>
      <c r="R689" s="327"/>
      <c r="S689" s="352"/>
      <c r="T689" s="352"/>
      <c r="U689" s="327"/>
      <c r="V689" s="352"/>
      <c r="W689" s="352"/>
      <c r="X689" s="327"/>
      <c r="Y689" s="352"/>
      <c r="Z689" s="352"/>
      <c r="AA689" s="327"/>
      <c r="AB689" s="352"/>
      <c r="AC689" s="352"/>
      <c r="AD689" s="327"/>
      <c r="AE689" s="352"/>
      <c r="AF689" s="352"/>
      <c r="AG689" s="327"/>
      <c r="AH689" s="352"/>
      <c r="AI689" s="352"/>
      <c r="AJ689" s="327"/>
      <c r="AK689" s="352"/>
      <c r="AL689" s="352"/>
      <c r="AM689" s="327"/>
      <c r="AN689" s="352"/>
      <c r="AO689" s="352"/>
      <c r="AP689" s="327"/>
      <c r="AQ689" s="352"/>
      <c r="AR689" s="327"/>
      <c r="AU689" s="307"/>
      <c r="AX689" s="307"/>
      <c r="BA689" s="307"/>
      <c r="BC689" s="366"/>
      <c r="BD689" s="307"/>
      <c r="BG689" s="307"/>
    </row>
    <row r="690">
      <c r="A690" s="352"/>
      <c r="B690" s="352"/>
      <c r="C690" s="327"/>
      <c r="D690" s="352"/>
      <c r="E690" s="352"/>
      <c r="F690" s="327"/>
      <c r="G690" s="352"/>
      <c r="H690" s="352"/>
      <c r="I690" s="327"/>
      <c r="J690" s="352"/>
      <c r="K690" s="352"/>
      <c r="L690" s="327"/>
      <c r="M690" s="352"/>
      <c r="N690" s="352"/>
      <c r="O690" s="327"/>
      <c r="P690" s="352"/>
      <c r="Q690" s="352"/>
      <c r="R690" s="327"/>
      <c r="S690" s="352"/>
      <c r="T690" s="352"/>
      <c r="U690" s="327"/>
      <c r="V690" s="352"/>
      <c r="W690" s="352"/>
      <c r="X690" s="327"/>
      <c r="Y690" s="352"/>
      <c r="Z690" s="352"/>
      <c r="AA690" s="327"/>
      <c r="AB690" s="352"/>
      <c r="AC690" s="352"/>
      <c r="AD690" s="327"/>
      <c r="AE690" s="352"/>
      <c r="AF690" s="352"/>
      <c r="AG690" s="327"/>
      <c r="AH690" s="352"/>
      <c r="AI690" s="352"/>
      <c r="AJ690" s="327"/>
      <c r="AK690" s="352"/>
      <c r="AL690" s="352"/>
      <c r="AM690" s="327"/>
      <c r="AN690" s="352"/>
      <c r="AO690" s="352"/>
      <c r="AP690" s="327"/>
      <c r="AQ690" s="352"/>
      <c r="AR690" s="327"/>
      <c r="AU690" s="307"/>
      <c r="AX690" s="307"/>
      <c r="BA690" s="307"/>
      <c r="BC690" s="366"/>
      <c r="BD690" s="307"/>
      <c r="BG690" s="307"/>
    </row>
    <row r="691">
      <c r="A691" s="352"/>
      <c r="B691" s="352"/>
      <c r="C691" s="327"/>
      <c r="D691" s="352"/>
      <c r="E691" s="352"/>
      <c r="F691" s="327"/>
      <c r="G691" s="352"/>
      <c r="H691" s="352"/>
      <c r="I691" s="327"/>
      <c r="J691" s="352"/>
      <c r="K691" s="352"/>
      <c r="L691" s="327"/>
      <c r="M691" s="352"/>
      <c r="N691" s="352"/>
      <c r="O691" s="327"/>
      <c r="P691" s="352"/>
      <c r="Q691" s="352"/>
      <c r="R691" s="327"/>
      <c r="S691" s="352"/>
      <c r="T691" s="352"/>
      <c r="U691" s="327"/>
      <c r="V691" s="352"/>
      <c r="W691" s="352"/>
      <c r="X691" s="327"/>
      <c r="Y691" s="352"/>
      <c r="Z691" s="352"/>
      <c r="AA691" s="327"/>
      <c r="AB691" s="352"/>
      <c r="AC691" s="352"/>
      <c r="AD691" s="327"/>
      <c r="AE691" s="352"/>
      <c r="AF691" s="352"/>
      <c r="AG691" s="327"/>
      <c r="AH691" s="352"/>
      <c r="AI691" s="352"/>
      <c r="AJ691" s="327"/>
      <c r="AK691" s="352"/>
      <c r="AL691" s="352"/>
      <c r="AM691" s="327"/>
      <c r="AN691" s="352"/>
      <c r="AO691" s="352"/>
      <c r="AP691" s="327"/>
      <c r="AQ691" s="352"/>
      <c r="AR691" s="327"/>
      <c r="AU691" s="307"/>
      <c r="AX691" s="307"/>
      <c r="BA691" s="307"/>
      <c r="BC691" s="366"/>
      <c r="BD691" s="307"/>
      <c r="BG691" s="307"/>
    </row>
    <row r="692">
      <c r="A692" s="352"/>
      <c r="B692" s="352"/>
      <c r="C692" s="327"/>
      <c r="D692" s="352"/>
      <c r="E692" s="352"/>
      <c r="F692" s="327"/>
      <c r="G692" s="352"/>
      <c r="H692" s="352"/>
      <c r="I692" s="327"/>
      <c r="J692" s="352"/>
      <c r="K692" s="352"/>
      <c r="L692" s="327"/>
      <c r="M692" s="352"/>
      <c r="N692" s="352"/>
      <c r="O692" s="327"/>
      <c r="P692" s="352"/>
      <c r="Q692" s="352"/>
      <c r="R692" s="327"/>
      <c r="S692" s="352"/>
      <c r="T692" s="352"/>
      <c r="U692" s="327"/>
      <c r="V692" s="352"/>
      <c r="W692" s="352"/>
      <c r="X692" s="327"/>
      <c r="Y692" s="352"/>
      <c r="Z692" s="352"/>
      <c r="AA692" s="327"/>
      <c r="AB692" s="352"/>
      <c r="AC692" s="352"/>
      <c r="AD692" s="327"/>
      <c r="AE692" s="352"/>
      <c r="AF692" s="352"/>
      <c r="AG692" s="327"/>
      <c r="AH692" s="352"/>
      <c r="AI692" s="352"/>
      <c r="AJ692" s="327"/>
      <c r="AK692" s="352"/>
      <c r="AL692" s="352"/>
      <c r="AM692" s="327"/>
      <c r="AN692" s="352"/>
      <c r="AO692" s="352"/>
      <c r="AP692" s="327"/>
      <c r="AQ692" s="352"/>
      <c r="AR692" s="327"/>
      <c r="AU692" s="307"/>
      <c r="AX692" s="307"/>
      <c r="BA692" s="307"/>
      <c r="BC692" s="366"/>
      <c r="BD692" s="307"/>
      <c r="BG692" s="307"/>
    </row>
    <row r="693">
      <c r="A693" s="352"/>
      <c r="B693" s="352"/>
      <c r="C693" s="327"/>
      <c r="D693" s="352"/>
      <c r="E693" s="352"/>
      <c r="F693" s="327"/>
      <c r="G693" s="352"/>
      <c r="H693" s="352"/>
      <c r="I693" s="327"/>
      <c r="J693" s="352"/>
      <c r="K693" s="352"/>
      <c r="L693" s="327"/>
      <c r="M693" s="352"/>
      <c r="N693" s="352"/>
      <c r="O693" s="327"/>
      <c r="P693" s="352"/>
      <c r="Q693" s="352"/>
      <c r="R693" s="327"/>
      <c r="S693" s="352"/>
      <c r="T693" s="352"/>
      <c r="U693" s="327"/>
      <c r="V693" s="352"/>
      <c r="W693" s="352"/>
      <c r="X693" s="327"/>
      <c r="Y693" s="352"/>
      <c r="Z693" s="352"/>
      <c r="AA693" s="327"/>
      <c r="AB693" s="352"/>
      <c r="AC693" s="352"/>
      <c r="AD693" s="327"/>
      <c r="AE693" s="352"/>
      <c r="AF693" s="352"/>
      <c r="AG693" s="327"/>
      <c r="AH693" s="352"/>
      <c r="AI693" s="352"/>
      <c r="AJ693" s="327"/>
      <c r="AK693" s="352"/>
      <c r="AL693" s="352"/>
      <c r="AM693" s="327"/>
      <c r="AN693" s="352"/>
      <c r="AO693" s="352"/>
      <c r="AP693" s="327"/>
      <c r="AQ693" s="352"/>
      <c r="AR693" s="327"/>
      <c r="AU693" s="307"/>
      <c r="AX693" s="307"/>
      <c r="BA693" s="307"/>
      <c r="BC693" s="366"/>
      <c r="BD693" s="307"/>
      <c r="BG693" s="307"/>
    </row>
    <row r="694">
      <c r="A694" s="352"/>
      <c r="B694" s="352"/>
      <c r="C694" s="327"/>
      <c r="D694" s="352"/>
      <c r="E694" s="352"/>
      <c r="F694" s="327"/>
      <c r="G694" s="352"/>
      <c r="H694" s="352"/>
      <c r="I694" s="327"/>
      <c r="J694" s="352"/>
      <c r="K694" s="352"/>
      <c r="L694" s="327"/>
      <c r="M694" s="352"/>
      <c r="N694" s="352"/>
      <c r="O694" s="327"/>
      <c r="P694" s="352"/>
      <c r="Q694" s="352"/>
      <c r="R694" s="327"/>
      <c r="S694" s="352"/>
      <c r="T694" s="352"/>
      <c r="U694" s="327"/>
      <c r="V694" s="352"/>
      <c r="W694" s="352"/>
      <c r="X694" s="327"/>
      <c r="Y694" s="352"/>
      <c r="Z694" s="352"/>
      <c r="AA694" s="327"/>
      <c r="AB694" s="352"/>
      <c r="AC694" s="352"/>
      <c r="AD694" s="327"/>
      <c r="AE694" s="352"/>
      <c r="AF694" s="352"/>
      <c r="AG694" s="327"/>
      <c r="AH694" s="352"/>
      <c r="AI694" s="352"/>
      <c r="AJ694" s="327"/>
      <c r="AK694" s="352"/>
      <c r="AL694" s="352"/>
      <c r="AM694" s="327"/>
      <c r="AN694" s="352"/>
      <c r="AO694" s="352"/>
      <c r="AP694" s="327"/>
      <c r="AQ694" s="352"/>
      <c r="AR694" s="327"/>
      <c r="AU694" s="307"/>
      <c r="AX694" s="307"/>
      <c r="BA694" s="307"/>
      <c r="BC694" s="366"/>
      <c r="BD694" s="307"/>
      <c r="BG694" s="307"/>
    </row>
    <row r="695">
      <c r="A695" s="352"/>
      <c r="B695" s="352"/>
      <c r="C695" s="327"/>
      <c r="D695" s="352"/>
      <c r="E695" s="352"/>
      <c r="F695" s="327"/>
      <c r="G695" s="352"/>
      <c r="H695" s="352"/>
      <c r="I695" s="327"/>
      <c r="J695" s="352"/>
      <c r="K695" s="352"/>
      <c r="L695" s="327"/>
      <c r="M695" s="352"/>
      <c r="N695" s="352"/>
      <c r="O695" s="327"/>
      <c r="P695" s="352"/>
      <c r="Q695" s="352"/>
      <c r="R695" s="327"/>
      <c r="S695" s="352"/>
      <c r="T695" s="352"/>
      <c r="U695" s="327"/>
      <c r="V695" s="352"/>
      <c r="W695" s="352"/>
      <c r="X695" s="327"/>
      <c r="Y695" s="352"/>
      <c r="Z695" s="352"/>
      <c r="AA695" s="327"/>
      <c r="AB695" s="352"/>
      <c r="AC695" s="352"/>
      <c r="AD695" s="327"/>
      <c r="AE695" s="352"/>
      <c r="AF695" s="352"/>
      <c r="AG695" s="327"/>
      <c r="AH695" s="352"/>
      <c r="AI695" s="352"/>
      <c r="AJ695" s="327"/>
      <c r="AK695" s="352"/>
      <c r="AL695" s="352"/>
      <c r="AM695" s="327"/>
      <c r="AN695" s="352"/>
      <c r="AO695" s="352"/>
      <c r="AP695" s="327"/>
      <c r="AQ695" s="352"/>
      <c r="AR695" s="327"/>
      <c r="AU695" s="307"/>
      <c r="AX695" s="307"/>
      <c r="BA695" s="307"/>
      <c r="BC695" s="366"/>
      <c r="BD695" s="307"/>
      <c r="BG695" s="307"/>
    </row>
    <row r="696">
      <c r="A696" s="352"/>
      <c r="B696" s="352"/>
      <c r="C696" s="327"/>
      <c r="D696" s="352"/>
      <c r="E696" s="352"/>
      <c r="F696" s="327"/>
      <c r="G696" s="352"/>
      <c r="H696" s="352"/>
      <c r="I696" s="327"/>
      <c r="J696" s="352"/>
      <c r="K696" s="352"/>
      <c r="L696" s="327"/>
      <c r="M696" s="352"/>
      <c r="N696" s="352"/>
      <c r="O696" s="327"/>
      <c r="P696" s="352"/>
      <c r="Q696" s="352"/>
      <c r="R696" s="327"/>
      <c r="S696" s="352"/>
      <c r="T696" s="352"/>
      <c r="U696" s="327"/>
      <c r="V696" s="352"/>
      <c r="W696" s="352"/>
      <c r="X696" s="327"/>
      <c r="Y696" s="352"/>
      <c r="Z696" s="352"/>
      <c r="AA696" s="327"/>
      <c r="AB696" s="352"/>
      <c r="AC696" s="352"/>
      <c r="AD696" s="327"/>
      <c r="AE696" s="352"/>
      <c r="AF696" s="352"/>
      <c r="AG696" s="327"/>
      <c r="AH696" s="352"/>
      <c r="AI696" s="352"/>
      <c r="AJ696" s="327"/>
      <c r="AK696" s="352"/>
      <c r="AL696" s="352"/>
      <c r="AM696" s="327"/>
      <c r="AN696" s="352"/>
      <c r="AO696" s="352"/>
      <c r="AP696" s="327"/>
      <c r="AQ696" s="352"/>
      <c r="AR696" s="327"/>
      <c r="AU696" s="307"/>
      <c r="AX696" s="307"/>
      <c r="BA696" s="307"/>
      <c r="BC696" s="366"/>
      <c r="BD696" s="307"/>
      <c r="BG696" s="307"/>
    </row>
    <row r="697">
      <c r="A697" s="352"/>
      <c r="B697" s="352"/>
      <c r="C697" s="327"/>
      <c r="D697" s="352"/>
      <c r="E697" s="352"/>
      <c r="F697" s="327"/>
      <c r="G697" s="352"/>
      <c r="H697" s="352"/>
      <c r="I697" s="327"/>
      <c r="J697" s="352"/>
      <c r="K697" s="352"/>
      <c r="L697" s="327"/>
      <c r="M697" s="352"/>
      <c r="N697" s="352"/>
      <c r="O697" s="327"/>
      <c r="P697" s="352"/>
      <c r="Q697" s="352"/>
      <c r="R697" s="327"/>
      <c r="S697" s="352"/>
      <c r="T697" s="352"/>
      <c r="U697" s="327"/>
      <c r="V697" s="352"/>
      <c r="W697" s="352"/>
      <c r="X697" s="327"/>
      <c r="Y697" s="352"/>
      <c r="Z697" s="352"/>
      <c r="AA697" s="327"/>
      <c r="AB697" s="352"/>
      <c r="AC697" s="352"/>
      <c r="AD697" s="327"/>
      <c r="AE697" s="352"/>
      <c r="AF697" s="352"/>
      <c r="AG697" s="327"/>
      <c r="AH697" s="352"/>
      <c r="AI697" s="352"/>
      <c r="AJ697" s="327"/>
      <c r="AK697" s="352"/>
      <c r="AL697" s="352"/>
      <c r="AM697" s="327"/>
      <c r="AN697" s="352"/>
      <c r="AO697" s="352"/>
      <c r="AP697" s="327"/>
      <c r="AQ697" s="352"/>
      <c r="AR697" s="327"/>
      <c r="AU697" s="307"/>
      <c r="AX697" s="307"/>
      <c r="BA697" s="307"/>
      <c r="BC697" s="366"/>
      <c r="BD697" s="307"/>
      <c r="BG697" s="307"/>
    </row>
    <row r="698">
      <c r="A698" s="352"/>
      <c r="B698" s="352"/>
      <c r="C698" s="327"/>
      <c r="D698" s="352"/>
      <c r="E698" s="352"/>
      <c r="F698" s="327"/>
      <c r="G698" s="352"/>
      <c r="H698" s="352"/>
      <c r="I698" s="327"/>
      <c r="J698" s="352"/>
      <c r="K698" s="352"/>
      <c r="L698" s="327"/>
      <c r="M698" s="352"/>
      <c r="N698" s="352"/>
      <c r="O698" s="327"/>
      <c r="P698" s="352"/>
      <c r="Q698" s="352"/>
      <c r="R698" s="327"/>
      <c r="S698" s="352"/>
      <c r="T698" s="352"/>
      <c r="U698" s="327"/>
      <c r="V698" s="352"/>
      <c r="W698" s="352"/>
      <c r="X698" s="327"/>
      <c r="Y698" s="352"/>
      <c r="Z698" s="352"/>
      <c r="AA698" s="327"/>
      <c r="AB698" s="352"/>
      <c r="AC698" s="352"/>
      <c r="AD698" s="327"/>
      <c r="AE698" s="352"/>
      <c r="AF698" s="352"/>
      <c r="AG698" s="327"/>
      <c r="AH698" s="352"/>
      <c r="AI698" s="352"/>
      <c r="AJ698" s="327"/>
      <c r="AK698" s="352"/>
      <c r="AL698" s="352"/>
      <c r="AM698" s="327"/>
      <c r="AN698" s="352"/>
      <c r="AO698" s="352"/>
      <c r="AP698" s="327"/>
      <c r="AQ698" s="352"/>
      <c r="AR698" s="327"/>
      <c r="AU698" s="307"/>
      <c r="AX698" s="307"/>
      <c r="BA698" s="307"/>
      <c r="BC698" s="366"/>
      <c r="BD698" s="307"/>
      <c r="BG698" s="307"/>
    </row>
    <row r="699">
      <c r="A699" s="352"/>
      <c r="B699" s="352"/>
      <c r="C699" s="327"/>
      <c r="D699" s="352"/>
      <c r="E699" s="352"/>
      <c r="F699" s="327"/>
      <c r="G699" s="352"/>
      <c r="H699" s="352"/>
      <c r="I699" s="327"/>
      <c r="J699" s="352"/>
      <c r="K699" s="352"/>
      <c r="L699" s="327"/>
      <c r="M699" s="352"/>
      <c r="N699" s="352"/>
      <c r="O699" s="327"/>
      <c r="P699" s="352"/>
      <c r="Q699" s="352"/>
      <c r="R699" s="327"/>
      <c r="S699" s="352"/>
      <c r="T699" s="352"/>
      <c r="U699" s="327"/>
      <c r="V699" s="352"/>
      <c r="W699" s="352"/>
      <c r="X699" s="327"/>
      <c r="Y699" s="352"/>
      <c r="Z699" s="352"/>
      <c r="AA699" s="327"/>
      <c r="AB699" s="352"/>
      <c r="AC699" s="352"/>
      <c r="AD699" s="327"/>
      <c r="AE699" s="352"/>
      <c r="AF699" s="352"/>
      <c r="AG699" s="327"/>
      <c r="AH699" s="352"/>
      <c r="AI699" s="352"/>
      <c r="AJ699" s="327"/>
      <c r="AK699" s="352"/>
      <c r="AL699" s="352"/>
      <c r="AM699" s="327"/>
      <c r="AN699" s="352"/>
      <c r="AO699" s="352"/>
      <c r="AP699" s="327"/>
      <c r="AQ699" s="352"/>
      <c r="AR699" s="327"/>
      <c r="AU699" s="307"/>
      <c r="AX699" s="307"/>
      <c r="BA699" s="307"/>
      <c r="BC699" s="366"/>
      <c r="BD699" s="307"/>
      <c r="BG699" s="307"/>
    </row>
    <row r="700">
      <c r="A700" s="352"/>
      <c r="B700" s="352"/>
      <c r="C700" s="327"/>
      <c r="D700" s="352"/>
      <c r="E700" s="352"/>
      <c r="F700" s="327"/>
      <c r="G700" s="352"/>
      <c r="H700" s="352"/>
      <c r="I700" s="327"/>
      <c r="J700" s="352"/>
      <c r="K700" s="352"/>
      <c r="L700" s="327"/>
      <c r="M700" s="352"/>
      <c r="N700" s="352"/>
      <c r="O700" s="327"/>
      <c r="P700" s="352"/>
      <c r="Q700" s="352"/>
      <c r="R700" s="327"/>
      <c r="S700" s="352"/>
      <c r="T700" s="352"/>
      <c r="U700" s="327"/>
      <c r="V700" s="352"/>
      <c r="W700" s="352"/>
      <c r="X700" s="327"/>
      <c r="Y700" s="352"/>
      <c r="Z700" s="352"/>
      <c r="AA700" s="327"/>
      <c r="AB700" s="352"/>
      <c r="AC700" s="352"/>
      <c r="AD700" s="327"/>
      <c r="AE700" s="352"/>
      <c r="AF700" s="352"/>
      <c r="AG700" s="327"/>
      <c r="AH700" s="352"/>
      <c r="AI700" s="352"/>
      <c r="AJ700" s="327"/>
      <c r="AK700" s="352"/>
      <c r="AL700" s="352"/>
      <c r="AM700" s="327"/>
      <c r="AN700" s="352"/>
      <c r="AO700" s="352"/>
      <c r="AP700" s="327"/>
      <c r="AQ700" s="352"/>
      <c r="AR700" s="327"/>
      <c r="AU700" s="307"/>
      <c r="AX700" s="307"/>
      <c r="BA700" s="307"/>
      <c r="BC700" s="366"/>
      <c r="BD700" s="307"/>
      <c r="BG700" s="307"/>
    </row>
    <row r="701">
      <c r="A701" s="352"/>
      <c r="B701" s="352"/>
      <c r="C701" s="327"/>
      <c r="D701" s="352"/>
      <c r="E701" s="352"/>
      <c r="F701" s="327"/>
      <c r="G701" s="352"/>
      <c r="H701" s="352"/>
      <c r="I701" s="327"/>
      <c r="J701" s="352"/>
      <c r="K701" s="352"/>
      <c r="L701" s="327"/>
      <c r="M701" s="352"/>
      <c r="N701" s="352"/>
      <c r="O701" s="327"/>
      <c r="P701" s="352"/>
      <c r="Q701" s="352"/>
      <c r="R701" s="327"/>
      <c r="S701" s="352"/>
      <c r="T701" s="352"/>
      <c r="U701" s="327"/>
      <c r="V701" s="352"/>
      <c r="W701" s="352"/>
      <c r="X701" s="327"/>
      <c r="Y701" s="352"/>
      <c r="Z701" s="352"/>
      <c r="AA701" s="327"/>
      <c r="AB701" s="352"/>
      <c r="AC701" s="352"/>
      <c r="AD701" s="327"/>
      <c r="AE701" s="352"/>
      <c r="AF701" s="352"/>
      <c r="AG701" s="327"/>
      <c r="AH701" s="352"/>
      <c r="AI701" s="352"/>
      <c r="AJ701" s="327"/>
      <c r="AK701" s="352"/>
      <c r="AL701" s="352"/>
      <c r="AM701" s="327"/>
      <c r="AN701" s="352"/>
      <c r="AO701" s="352"/>
      <c r="AP701" s="327"/>
      <c r="AQ701" s="352"/>
      <c r="AR701" s="327"/>
      <c r="AU701" s="307"/>
      <c r="AX701" s="307"/>
      <c r="BA701" s="307"/>
      <c r="BC701" s="366"/>
      <c r="BD701" s="307"/>
      <c r="BG701" s="307"/>
    </row>
    <row r="702">
      <c r="A702" s="352"/>
      <c r="B702" s="352"/>
      <c r="C702" s="327"/>
      <c r="D702" s="352"/>
      <c r="E702" s="352"/>
      <c r="F702" s="327"/>
      <c r="G702" s="352"/>
      <c r="H702" s="352"/>
      <c r="I702" s="327"/>
      <c r="J702" s="352"/>
      <c r="K702" s="352"/>
      <c r="L702" s="327"/>
      <c r="M702" s="352"/>
      <c r="N702" s="352"/>
      <c r="O702" s="327"/>
      <c r="P702" s="352"/>
      <c r="Q702" s="352"/>
      <c r="R702" s="327"/>
      <c r="S702" s="352"/>
      <c r="T702" s="352"/>
      <c r="U702" s="327"/>
      <c r="V702" s="352"/>
      <c r="W702" s="352"/>
      <c r="X702" s="327"/>
      <c r="Y702" s="352"/>
      <c r="Z702" s="352"/>
      <c r="AA702" s="327"/>
      <c r="AB702" s="352"/>
      <c r="AC702" s="352"/>
      <c r="AD702" s="327"/>
      <c r="AE702" s="352"/>
      <c r="AF702" s="352"/>
      <c r="AG702" s="327"/>
      <c r="AH702" s="352"/>
      <c r="AI702" s="352"/>
      <c r="AJ702" s="327"/>
      <c r="AK702" s="352"/>
      <c r="AL702" s="352"/>
      <c r="AM702" s="327"/>
      <c r="AN702" s="352"/>
      <c r="AO702" s="352"/>
      <c r="AP702" s="327"/>
      <c r="AQ702" s="352"/>
      <c r="AR702" s="327"/>
      <c r="AU702" s="307"/>
      <c r="AX702" s="307"/>
      <c r="BA702" s="307"/>
      <c r="BC702" s="366"/>
      <c r="BD702" s="307"/>
      <c r="BG702" s="307"/>
    </row>
    <row r="703">
      <c r="A703" s="352"/>
      <c r="B703" s="352"/>
      <c r="C703" s="327"/>
      <c r="D703" s="352"/>
      <c r="E703" s="352"/>
      <c r="F703" s="327"/>
      <c r="G703" s="352"/>
      <c r="H703" s="352"/>
      <c r="I703" s="327"/>
      <c r="J703" s="352"/>
      <c r="K703" s="352"/>
      <c r="L703" s="327"/>
      <c r="M703" s="352"/>
      <c r="N703" s="352"/>
      <c r="O703" s="327"/>
      <c r="P703" s="352"/>
      <c r="Q703" s="352"/>
      <c r="R703" s="327"/>
      <c r="S703" s="352"/>
      <c r="T703" s="352"/>
      <c r="U703" s="327"/>
      <c r="V703" s="352"/>
      <c r="W703" s="352"/>
      <c r="X703" s="327"/>
      <c r="Y703" s="352"/>
      <c r="Z703" s="352"/>
      <c r="AA703" s="327"/>
      <c r="AB703" s="352"/>
      <c r="AC703" s="352"/>
      <c r="AD703" s="327"/>
      <c r="AE703" s="352"/>
      <c r="AF703" s="352"/>
      <c r="AG703" s="327"/>
      <c r="AH703" s="352"/>
      <c r="AI703" s="352"/>
      <c r="AJ703" s="327"/>
      <c r="AK703" s="352"/>
      <c r="AL703" s="352"/>
      <c r="AM703" s="327"/>
      <c r="AN703" s="352"/>
      <c r="AO703" s="352"/>
      <c r="AP703" s="327"/>
      <c r="AQ703" s="352"/>
      <c r="AR703" s="327"/>
      <c r="AU703" s="307"/>
      <c r="AX703" s="307"/>
      <c r="BA703" s="307"/>
      <c r="BC703" s="366"/>
      <c r="BD703" s="307"/>
      <c r="BG703" s="307"/>
    </row>
    <row r="704">
      <c r="A704" s="352"/>
      <c r="B704" s="352"/>
      <c r="C704" s="327"/>
      <c r="D704" s="352"/>
      <c r="E704" s="352"/>
      <c r="F704" s="327"/>
      <c r="G704" s="352"/>
      <c r="H704" s="352"/>
      <c r="I704" s="327"/>
      <c r="J704" s="352"/>
      <c r="K704" s="352"/>
      <c r="L704" s="327"/>
      <c r="M704" s="352"/>
      <c r="N704" s="352"/>
      <c r="O704" s="327"/>
      <c r="P704" s="352"/>
      <c r="Q704" s="352"/>
      <c r="R704" s="327"/>
      <c r="S704" s="352"/>
      <c r="T704" s="352"/>
      <c r="U704" s="327"/>
      <c r="V704" s="352"/>
      <c r="W704" s="352"/>
      <c r="X704" s="327"/>
      <c r="Y704" s="352"/>
      <c r="Z704" s="352"/>
      <c r="AA704" s="327"/>
      <c r="AB704" s="352"/>
      <c r="AC704" s="352"/>
      <c r="AD704" s="327"/>
      <c r="AE704" s="352"/>
      <c r="AF704" s="352"/>
      <c r="AG704" s="327"/>
      <c r="AH704" s="352"/>
      <c r="AI704" s="352"/>
      <c r="AJ704" s="327"/>
      <c r="AK704" s="352"/>
      <c r="AL704" s="352"/>
      <c r="AM704" s="327"/>
      <c r="AN704" s="352"/>
      <c r="AO704" s="352"/>
      <c r="AP704" s="327"/>
      <c r="AQ704" s="352"/>
      <c r="AR704" s="327"/>
      <c r="AU704" s="307"/>
      <c r="AX704" s="307"/>
      <c r="BA704" s="307"/>
      <c r="BC704" s="366"/>
      <c r="BD704" s="307"/>
      <c r="BG704" s="307"/>
    </row>
    <row r="705">
      <c r="A705" s="352"/>
      <c r="B705" s="352"/>
      <c r="C705" s="327"/>
      <c r="D705" s="352"/>
      <c r="E705" s="352"/>
      <c r="F705" s="327"/>
      <c r="G705" s="352"/>
      <c r="H705" s="352"/>
      <c r="I705" s="327"/>
      <c r="J705" s="352"/>
      <c r="K705" s="352"/>
      <c r="L705" s="327"/>
      <c r="M705" s="352"/>
      <c r="N705" s="352"/>
      <c r="O705" s="327"/>
      <c r="P705" s="352"/>
      <c r="Q705" s="352"/>
      <c r="R705" s="327"/>
      <c r="S705" s="352"/>
      <c r="T705" s="352"/>
      <c r="U705" s="327"/>
      <c r="V705" s="352"/>
      <c r="W705" s="352"/>
      <c r="X705" s="327"/>
      <c r="Y705" s="352"/>
      <c r="Z705" s="352"/>
      <c r="AA705" s="327"/>
      <c r="AB705" s="352"/>
      <c r="AC705" s="352"/>
      <c r="AD705" s="327"/>
      <c r="AE705" s="352"/>
      <c r="AF705" s="352"/>
      <c r="AG705" s="327"/>
      <c r="AH705" s="352"/>
      <c r="AI705" s="352"/>
      <c r="AJ705" s="327"/>
      <c r="AK705" s="352"/>
      <c r="AL705" s="352"/>
      <c r="AM705" s="327"/>
      <c r="AN705" s="352"/>
      <c r="AO705" s="352"/>
      <c r="AP705" s="327"/>
      <c r="AQ705" s="352"/>
      <c r="AR705" s="327"/>
      <c r="AU705" s="307"/>
      <c r="AX705" s="307"/>
      <c r="BA705" s="307"/>
      <c r="BC705" s="366"/>
      <c r="BD705" s="307"/>
      <c r="BG705" s="307"/>
    </row>
    <row r="706">
      <c r="A706" s="352"/>
      <c r="B706" s="352"/>
      <c r="C706" s="327"/>
      <c r="D706" s="352"/>
      <c r="E706" s="352"/>
      <c r="F706" s="327"/>
      <c r="G706" s="352"/>
      <c r="H706" s="352"/>
      <c r="I706" s="327"/>
      <c r="J706" s="352"/>
      <c r="K706" s="352"/>
      <c r="L706" s="327"/>
      <c r="M706" s="352"/>
      <c r="N706" s="352"/>
      <c r="O706" s="327"/>
      <c r="P706" s="352"/>
      <c r="Q706" s="352"/>
      <c r="R706" s="327"/>
      <c r="S706" s="352"/>
      <c r="T706" s="352"/>
      <c r="U706" s="327"/>
      <c r="V706" s="352"/>
      <c r="W706" s="352"/>
      <c r="X706" s="327"/>
      <c r="Y706" s="352"/>
      <c r="Z706" s="352"/>
      <c r="AA706" s="327"/>
      <c r="AB706" s="352"/>
      <c r="AC706" s="352"/>
      <c r="AD706" s="327"/>
      <c r="AE706" s="352"/>
      <c r="AF706" s="352"/>
      <c r="AG706" s="327"/>
      <c r="AH706" s="352"/>
      <c r="AI706" s="352"/>
      <c r="AJ706" s="327"/>
      <c r="AK706" s="352"/>
      <c r="AL706" s="352"/>
      <c r="AM706" s="327"/>
      <c r="AN706" s="352"/>
      <c r="AO706" s="352"/>
      <c r="AP706" s="327"/>
      <c r="AQ706" s="352"/>
      <c r="AR706" s="327"/>
      <c r="AU706" s="307"/>
      <c r="AX706" s="307"/>
      <c r="BA706" s="307"/>
      <c r="BC706" s="366"/>
      <c r="BD706" s="307"/>
      <c r="BG706" s="307"/>
    </row>
    <row r="707">
      <c r="A707" s="352"/>
      <c r="B707" s="352"/>
      <c r="C707" s="327"/>
      <c r="D707" s="352"/>
      <c r="E707" s="352"/>
      <c r="F707" s="327"/>
      <c r="G707" s="352"/>
      <c r="H707" s="352"/>
      <c r="I707" s="327"/>
      <c r="J707" s="352"/>
      <c r="K707" s="352"/>
      <c r="L707" s="327"/>
      <c r="M707" s="352"/>
      <c r="N707" s="352"/>
      <c r="O707" s="327"/>
      <c r="P707" s="352"/>
      <c r="Q707" s="352"/>
      <c r="R707" s="327"/>
      <c r="S707" s="352"/>
      <c r="T707" s="352"/>
      <c r="U707" s="327"/>
      <c r="V707" s="352"/>
      <c r="W707" s="352"/>
      <c r="X707" s="327"/>
      <c r="Y707" s="352"/>
      <c r="Z707" s="352"/>
      <c r="AA707" s="327"/>
      <c r="AB707" s="352"/>
      <c r="AC707" s="352"/>
      <c r="AD707" s="327"/>
      <c r="AE707" s="352"/>
      <c r="AF707" s="352"/>
      <c r="AG707" s="327"/>
      <c r="AH707" s="352"/>
      <c r="AI707" s="352"/>
      <c r="AJ707" s="327"/>
      <c r="AK707" s="352"/>
      <c r="AL707" s="352"/>
      <c r="AM707" s="327"/>
      <c r="AN707" s="352"/>
      <c r="AO707" s="352"/>
      <c r="AP707" s="327"/>
      <c r="AQ707" s="352"/>
      <c r="AR707" s="327"/>
      <c r="AU707" s="307"/>
      <c r="AX707" s="307"/>
      <c r="BA707" s="307"/>
      <c r="BC707" s="366"/>
      <c r="BD707" s="307"/>
      <c r="BG707" s="307"/>
    </row>
    <row r="708">
      <c r="A708" s="352"/>
      <c r="B708" s="352"/>
      <c r="C708" s="327"/>
      <c r="D708" s="352"/>
      <c r="E708" s="352"/>
      <c r="F708" s="327"/>
      <c r="G708" s="352"/>
      <c r="H708" s="352"/>
      <c r="I708" s="327"/>
      <c r="J708" s="352"/>
      <c r="K708" s="352"/>
      <c r="L708" s="327"/>
      <c r="M708" s="352"/>
      <c r="N708" s="352"/>
      <c r="O708" s="327"/>
      <c r="P708" s="352"/>
      <c r="Q708" s="352"/>
      <c r="R708" s="327"/>
      <c r="S708" s="352"/>
      <c r="T708" s="352"/>
      <c r="U708" s="327"/>
      <c r="V708" s="352"/>
      <c r="W708" s="352"/>
      <c r="X708" s="327"/>
      <c r="Y708" s="352"/>
      <c r="Z708" s="352"/>
      <c r="AA708" s="327"/>
      <c r="AB708" s="352"/>
      <c r="AC708" s="352"/>
      <c r="AD708" s="327"/>
      <c r="AE708" s="352"/>
      <c r="AF708" s="352"/>
      <c r="AG708" s="327"/>
      <c r="AH708" s="352"/>
      <c r="AI708" s="352"/>
      <c r="AJ708" s="327"/>
      <c r="AK708" s="352"/>
      <c r="AL708" s="352"/>
      <c r="AM708" s="327"/>
      <c r="AN708" s="352"/>
      <c r="AO708" s="352"/>
      <c r="AP708" s="327"/>
      <c r="AQ708" s="352"/>
      <c r="AR708" s="327"/>
      <c r="AU708" s="307"/>
      <c r="AX708" s="307"/>
      <c r="BA708" s="307"/>
      <c r="BC708" s="366"/>
      <c r="BD708" s="307"/>
      <c r="BG708" s="307"/>
    </row>
    <row r="709">
      <c r="A709" s="352"/>
      <c r="B709" s="352"/>
      <c r="C709" s="327"/>
      <c r="D709" s="352"/>
      <c r="E709" s="352"/>
      <c r="F709" s="327"/>
      <c r="G709" s="352"/>
      <c r="H709" s="352"/>
      <c r="I709" s="327"/>
      <c r="J709" s="352"/>
      <c r="K709" s="352"/>
      <c r="L709" s="327"/>
      <c r="M709" s="352"/>
      <c r="N709" s="352"/>
      <c r="O709" s="327"/>
      <c r="P709" s="352"/>
      <c r="Q709" s="352"/>
      <c r="R709" s="327"/>
      <c r="S709" s="352"/>
      <c r="T709" s="352"/>
      <c r="U709" s="327"/>
      <c r="V709" s="352"/>
      <c r="W709" s="352"/>
      <c r="X709" s="327"/>
      <c r="Y709" s="352"/>
      <c r="Z709" s="352"/>
      <c r="AA709" s="327"/>
      <c r="AB709" s="352"/>
      <c r="AC709" s="352"/>
      <c r="AD709" s="327"/>
      <c r="AE709" s="352"/>
      <c r="AF709" s="352"/>
      <c r="AG709" s="327"/>
      <c r="AH709" s="352"/>
      <c r="AI709" s="352"/>
      <c r="AJ709" s="327"/>
      <c r="AK709" s="352"/>
      <c r="AL709" s="352"/>
      <c r="AM709" s="327"/>
      <c r="AN709" s="352"/>
      <c r="AO709" s="352"/>
      <c r="AP709" s="327"/>
      <c r="AQ709" s="352"/>
      <c r="AR709" s="327"/>
      <c r="AU709" s="307"/>
      <c r="AX709" s="307"/>
      <c r="BA709" s="307"/>
      <c r="BC709" s="366"/>
      <c r="BD709" s="307"/>
      <c r="BG709" s="307"/>
    </row>
    <row r="710">
      <c r="A710" s="352"/>
      <c r="B710" s="352"/>
      <c r="C710" s="327"/>
      <c r="D710" s="352"/>
      <c r="E710" s="352"/>
      <c r="F710" s="327"/>
      <c r="G710" s="352"/>
      <c r="H710" s="352"/>
      <c r="I710" s="327"/>
      <c r="J710" s="352"/>
      <c r="K710" s="352"/>
      <c r="L710" s="327"/>
      <c r="M710" s="352"/>
      <c r="N710" s="352"/>
      <c r="O710" s="327"/>
      <c r="P710" s="352"/>
      <c r="Q710" s="352"/>
      <c r="R710" s="327"/>
      <c r="S710" s="352"/>
      <c r="T710" s="352"/>
      <c r="U710" s="327"/>
      <c r="V710" s="352"/>
      <c r="W710" s="352"/>
      <c r="X710" s="327"/>
      <c r="Y710" s="352"/>
      <c r="Z710" s="352"/>
      <c r="AA710" s="327"/>
      <c r="AB710" s="352"/>
      <c r="AC710" s="352"/>
      <c r="AD710" s="327"/>
      <c r="AE710" s="352"/>
      <c r="AF710" s="352"/>
      <c r="AG710" s="327"/>
      <c r="AH710" s="352"/>
      <c r="AI710" s="352"/>
      <c r="AJ710" s="327"/>
      <c r="AK710" s="352"/>
      <c r="AL710" s="352"/>
      <c r="AM710" s="327"/>
      <c r="AN710" s="352"/>
      <c r="AO710" s="352"/>
      <c r="AP710" s="327"/>
      <c r="AQ710" s="352"/>
      <c r="AR710" s="327"/>
      <c r="AU710" s="307"/>
      <c r="AX710" s="307"/>
      <c r="BA710" s="307"/>
      <c r="BC710" s="366"/>
      <c r="BD710" s="307"/>
      <c r="BG710" s="307"/>
    </row>
    <row r="711">
      <c r="A711" s="352"/>
      <c r="B711" s="352"/>
      <c r="C711" s="327"/>
      <c r="D711" s="352"/>
      <c r="E711" s="352"/>
      <c r="F711" s="327"/>
      <c r="G711" s="352"/>
      <c r="H711" s="352"/>
      <c r="I711" s="327"/>
      <c r="J711" s="352"/>
      <c r="K711" s="352"/>
      <c r="L711" s="327"/>
      <c r="M711" s="352"/>
      <c r="N711" s="352"/>
      <c r="O711" s="327"/>
      <c r="P711" s="352"/>
      <c r="Q711" s="352"/>
      <c r="R711" s="327"/>
      <c r="S711" s="352"/>
      <c r="T711" s="352"/>
      <c r="U711" s="327"/>
      <c r="V711" s="352"/>
      <c r="W711" s="352"/>
      <c r="X711" s="327"/>
      <c r="Y711" s="352"/>
      <c r="Z711" s="352"/>
      <c r="AA711" s="327"/>
      <c r="AB711" s="352"/>
      <c r="AC711" s="352"/>
      <c r="AD711" s="327"/>
      <c r="AE711" s="352"/>
      <c r="AF711" s="352"/>
      <c r="AG711" s="327"/>
      <c r="AH711" s="352"/>
      <c r="AI711" s="352"/>
      <c r="AJ711" s="327"/>
      <c r="AK711" s="352"/>
      <c r="AL711" s="352"/>
      <c r="AM711" s="327"/>
      <c r="AN711" s="352"/>
      <c r="AO711" s="352"/>
      <c r="AP711" s="327"/>
      <c r="AQ711" s="352"/>
      <c r="AR711" s="327"/>
      <c r="AU711" s="307"/>
      <c r="AX711" s="307"/>
      <c r="BA711" s="307"/>
      <c r="BC711" s="366"/>
      <c r="BD711" s="307"/>
      <c r="BG711" s="307"/>
    </row>
    <row r="712">
      <c r="A712" s="352"/>
      <c r="B712" s="352"/>
      <c r="C712" s="327"/>
      <c r="D712" s="352"/>
      <c r="E712" s="352"/>
      <c r="F712" s="327"/>
      <c r="G712" s="352"/>
      <c r="H712" s="352"/>
      <c r="I712" s="327"/>
      <c r="J712" s="352"/>
      <c r="K712" s="352"/>
      <c r="L712" s="327"/>
      <c r="M712" s="352"/>
      <c r="N712" s="352"/>
      <c r="O712" s="327"/>
      <c r="P712" s="352"/>
      <c r="Q712" s="352"/>
      <c r="R712" s="327"/>
      <c r="S712" s="352"/>
      <c r="T712" s="352"/>
      <c r="U712" s="327"/>
      <c r="V712" s="352"/>
      <c r="W712" s="352"/>
      <c r="X712" s="327"/>
      <c r="Y712" s="352"/>
      <c r="Z712" s="352"/>
      <c r="AA712" s="327"/>
      <c r="AB712" s="352"/>
      <c r="AC712" s="352"/>
      <c r="AD712" s="327"/>
      <c r="AE712" s="352"/>
      <c r="AF712" s="352"/>
      <c r="AG712" s="327"/>
      <c r="AH712" s="352"/>
      <c r="AI712" s="352"/>
      <c r="AJ712" s="327"/>
      <c r="AK712" s="352"/>
      <c r="AL712" s="352"/>
      <c r="AM712" s="327"/>
      <c r="AN712" s="352"/>
      <c r="AO712" s="352"/>
      <c r="AP712" s="327"/>
      <c r="AQ712" s="352"/>
      <c r="AR712" s="327"/>
      <c r="AU712" s="307"/>
      <c r="AX712" s="307"/>
      <c r="BA712" s="307"/>
      <c r="BC712" s="366"/>
      <c r="BD712" s="307"/>
      <c r="BG712" s="307"/>
    </row>
    <row r="713">
      <c r="A713" s="352"/>
      <c r="B713" s="352"/>
      <c r="C713" s="327"/>
      <c r="D713" s="352"/>
      <c r="E713" s="352"/>
      <c r="F713" s="327"/>
      <c r="G713" s="352"/>
      <c r="H713" s="352"/>
      <c r="I713" s="327"/>
      <c r="J713" s="352"/>
      <c r="K713" s="352"/>
      <c r="L713" s="327"/>
      <c r="M713" s="352"/>
      <c r="N713" s="352"/>
      <c r="O713" s="327"/>
      <c r="P713" s="352"/>
      <c r="Q713" s="352"/>
      <c r="R713" s="327"/>
      <c r="S713" s="352"/>
      <c r="T713" s="352"/>
      <c r="U713" s="327"/>
      <c r="V713" s="352"/>
      <c r="W713" s="352"/>
      <c r="X713" s="327"/>
      <c r="Y713" s="352"/>
      <c r="Z713" s="352"/>
      <c r="AA713" s="327"/>
      <c r="AB713" s="352"/>
      <c r="AC713" s="352"/>
      <c r="AD713" s="327"/>
      <c r="AE713" s="352"/>
      <c r="AF713" s="352"/>
      <c r="AG713" s="327"/>
      <c r="AH713" s="352"/>
      <c r="AI713" s="352"/>
      <c r="AJ713" s="327"/>
      <c r="AK713" s="352"/>
      <c r="AL713" s="352"/>
      <c r="AM713" s="327"/>
      <c r="AN713" s="352"/>
      <c r="AO713" s="352"/>
      <c r="AP713" s="327"/>
      <c r="AQ713" s="352"/>
      <c r="AR713" s="327"/>
      <c r="AU713" s="307"/>
      <c r="AX713" s="307"/>
      <c r="BA713" s="307"/>
      <c r="BC713" s="366"/>
      <c r="BD713" s="307"/>
      <c r="BG713" s="307"/>
    </row>
    <row r="714">
      <c r="A714" s="352"/>
      <c r="B714" s="352"/>
      <c r="C714" s="327"/>
      <c r="D714" s="352"/>
      <c r="E714" s="352"/>
      <c r="F714" s="327"/>
      <c r="G714" s="352"/>
      <c r="H714" s="352"/>
      <c r="I714" s="327"/>
      <c r="J714" s="352"/>
      <c r="K714" s="352"/>
      <c r="L714" s="327"/>
      <c r="M714" s="352"/>
      <c r="N714" s="352"/>
      <c r="O714" s="327"/>
      <c r="P714" s="352"/>
      <c r="Q714" s="352"/>
      <c r="R714" s="327"/>
      <c r="S714" s="352"/>
      <c r="T714" s="352"/>
      <c r="U714" s="327"/>
      <c r="V714" s="352"/>
      <c r="W714" s="352"/>
      <c r="X714" s="327"/>
      <c r="Y714" s="352"/>
      <c r="Z714" s="352"/>
      <c r="AA714" s="327"/>
      <c r="AB714" s="352"/>
      <c r="AC714" s="352"/>
      <c r="AD714" s="327"/>
      <c r="AE714" s="352"/>
      <c r="AF714" s="352"/>
      <c r="AG714" s="327"/>
      <c r="AH714" s="352"/>
      <c r="AI714" s="352"/>
      <c r="AJ714" s="327"/>
      <c r="AK714" s="352"/>
      <c r="AL714" s="352"/>
      <c r="AM714" s="327"/>
      <c r="AN714" s="352"/>
      <c r="AO714" s="352"/>
      <c r="AP714" s="327"/>
      <c r="AQ714" s="352"/>
      <c r="AR714" s="327"/>
      <c r="AU714" s="307"/>
      <c r="AX714" s="307"/>
      <c r="BA714" s="307"/>
      <c r="BC714" s="366"/>
      <c r="BD714" s="307"/>
      <c r="BG714" s="307"/>
    </row>
    <row r="715">
      <c r="A715" s="352"/>
      <c r="B715" s="352"/>
      <c r="C715" s="327"/>
      <c r="D715" s="352"/>
      <c r="E715" s="352"/>
      <c r="F715" s="327"/>
      <c r="G715" s="352"/>
      <c r="H715" s="352"/>
      <c r="I715" s="327"/>
      <c r="J715" s="352"/>
      <c r="K715" s="352"/>
      <c r="L715" s="327"/>
      <c r="M715" s="352"/>
      <c r="N715" s="352"/>
      <c r="O715" s="327"/>
      <c r="P715" s="352"/>
      <c r="Q715" s="352"/>
      <c r="R715" s="327"/>
      <c r="S715" s="352"/>
      <c r="T715" s="352"/>
      <c r="U715" s="327"/>
      <c r="V715" s="352"/>
      <c r="W715" s="352"/>
      <c r="X715" s="327"/>
      <c r="Y715" s="352"/>
      <c r="Z715" s="352"/>
      <c r="AA715" s="327"/>
      <c r="AB715" s="352"/>
      <c r="AC715" s="352"/>
      <c r="AD715" s="327"/>
      <c r="AE715" s="352"/>
      <c r="AF715" s="352"/>
      <c r="AG715" s="327"/>
      <c r="AH715" s="352"/>
      <c r="AI715" s="352"/>
      <c r="AJ715" s="327"/>
      <c r="AK715" s="352"/>
      <c r="AL715" s="352"/>
      <c r="AM715" s="327"/>
      <c r="AN715" s="352"/>
      <c r="AO715" s="352"/>
      <c r="AP715" s="327"/>
      <c r="AQ715" s="352"/>
      <c r="AR715" s="327"/>
      <c r="AU715" s="307"/>
      <c r="AX715" s="307"/>
      <c r="BA715" s="307"/>
      <c r="BC715" s="366"/>
      <c r="BD715" s="307"/>
      <c r="BG715" s="307"/>
    </row>
    <row r="716">
      <c r="A716" s="352"/>
      <c r="B716" s="352"/>
      <c r="C716" s="327"/>
      <c r="D716" s="352"/>
      <c r="E716" s="352"/>
      <c r="F716" s="327"/>
      <c r="G716" s="352"/>
      <c r="H716" s="352"/>
      <c r="I716" s="327"/>
      <c r="J716" s="352"/>
      <c r="K716" s="352"/>
      <c r="L716" s="327"/>
      <c r="M716" s="352"/>
      <c r="N716" s="352"/>
      <c r="O716" s="327"/>
      <c r="P716" s="352"/>
      <c r="Q716" s="352"/>
      <c r="R716" s="327"/>
      <c r="S716" s="352"/>
      <c r="T716" s="352"/>
      <c r="U716" s="327"/>
      <c r="V716" s="352"/>
      <c r="W716" s="352"/>
      <c r="X716" s="327"/>
      <c r="Y716" s="352"/>
      <c r="Z716" s="352"/>
      <c r="AA716" s="327"/>
      <c r="AB716" s="352"/>
      <c r="AC716" s="352"/>
      <c r="AD716" s="327"/>
      <c r="AE716" s="352"/>
      <c r="AF716" s="352"/>
      <c r="AG716" s="327"/>
      <c r="AH716" s="352"/>
      <c r="AI716" s="352"/>
      <c r="AJ716" s="327"/>
      <c r="AK716" s="352"/>
      <c r="AL716" s="352"/>
      <c r="AM716" s="327"/>
      <c r="AN716" s="352"/>
      <c r="AO716" s="352"/>
      <c r="AP716" s="327"/>
      <c r="AQ716" s="352"/>
      <c r="AR716" s="327"/>
      <c r="AU716" s="307"/>
      <c r="AX716" s="307"/>
      <c r="BA716" s="307"/>
      <c r="BC716" s="366"/>
      <c r="BD716" s="307"/>
      <c r="BG716" s="307"/>
    </row>
    <row r="717">
      <c r="A717" s="352"/>
      <c r="B717" s="352"/>
      <c r="C717" s="327"/>
      <c r="D717" s="352"/>
      <c r="E717" s="352"/>
      <c r="F717" s="327"/>
      <c r="G717" s="352"/>
      <c r="H717" s="352"/>
      <c r="I717" s="327"/>
      <c r="J717" s="352"/>
      <c r="K717" s="352"/>
      <c r="L717" s="327"/>
      <c r="M717" s="352"/>
      <c r="N717" s="352"/>
      <c r="O717" s="327"/>
      <c r="P717" s="352"/>
      <c r="Q717" s="352"/>
      <c r="R717" s="327"/>
      <c r="S717" s="352"/>
      <c r="T717" s="352"/>
      <c r="U717" s="327"/>
      <c r="V717" s="352"/>
      <c r="W717" s="352"/>
      <c r="X717" s="327"/>
      <c r="Y717" s="352"/>
      <c r="Z717" s="352"/>
      <c r="AA717" s="327"/>
      <c r="AB717" s="352"/>
      <c r="AC717" s="352"/>
      <c r="AD717" s="327"/>
      <c r="AE717" s="352"/>
      <c r="AF717" s="352"/>
      <c r="AG717" s="327"/>
      <c r="AH717" s="352"/>
      <c r="AI717" s="352"/>
      <c r="AJ717" s="327"/>
      <c r="AK717" s="352"/>
      <c r="AL717" s="352"/>
      <c r="AM717" s="327"/>
      <c r="AN717" s="352"/>
      <c r="AO717" s="352"/>
      <c r="AP717" s="327"/>
      <c r="AQ717" s="352"/>
      <c r="AR717" s="327"/>
      <c r="AU717" s="307"/>
      <c r="AX717" s="307"/>
      <c r="BA717" s="307"/>
      <c r="BC717" s="366"/>
      <c r="BD717" s="307"/>
      <c r="BG717" s="307"/>
    </row>
    <row r="718">
      <c r="A718" s="352"/>
      <c r="B718" s="352"/>
      <c r="C718" s="327"/>
      <c r="D718" s="352"/>
      <c r="E718" s="352"/>
      <c r="F718" s="327"/>
      <c r="G718" s="352"/>
      <c r="H718" s="352"/>
      <c r="I718" s="327"/>
      <c r="J718" s="352"/>
      <c r="K718" s="352"/>
      <c r="L718" s="327"/>
      <c r="M718" s="352"/>
      <c r="N718" s="352"/>
      <c r="O718" s="327"/>
      <c r="P718" s="352"/>
      <c r="Q718" s="352"/>
      <c r="R718" s="327"/>
      <c r="S718" s="352"/>
      <c r="T718" s="352"/>
      <c r="U718" s="327"/>
      <c r="V718" s="352"/>
      <c r="W718" s="352"/>
      <c r="X718" s="327"/>
      <c r="Y718" s="352"/>
      <c r="Z718" s="352"/>
      <c r="AA718" s="327"/>
      <c r="AB718" s="352"/>
      <c r="AC718" s="352"/>
      <c r="AD718" s="327"/>
      <c r="AE718" s="352"/>
      <c r="AF718" s="352"/>
      <c r="AG718" s="327"/>
      <c r="AH718" s="352"/>
      <c r="AI718" s="352"/>
      <c r="AJ718" s="327"/>
      <c r="AK718" s="352"/>
      <c r="AL718" s="352"/>
      <c r="AM718" s="327"/>
      <c r="AN718" s="352"/>
      <c r="AO718" s="352"/>
      <c r="AP718" s="327"/>
      <c r="AQ718" s="352"/>
      <c r="AR718" s="327"/>
      <c r="AU718" s="307"/>
      <c r="AX718" s="307"/>
      <c r="BA718" s="307"/>
      <c r="BC718" s="366"/>
      <c r="BD718" s="307"/>
      <c r="BG718" s="307"/>
    </row>
    <row r="719">
      <c r="A719" s="352"/>
      <c r="B719" s="352"/>
      <c r="C719" s="327"/>
      <c r="D719" s="352"/>
      <c r="E719" s="352"/>
      <c r="F719" s="327"/>
      <c r="G719" s="352"/>
      <c r="H719" s="352"/>
      <c r="I719" s="327"/>
      <c r="J719" s="352"/>
      <c r="K719" s="352"/>
      <c r="L719" s="327"/>
      <c r="M719" s="352"/>
      <c r="N719" s="352"/>
      <c r="O719" s="327"/>
      <c r="P719" s="352"/>
      <c r="Q719" s="352"/>
      <c r="R719" s="327"/>
      <c r="S719" s="352"/>
      <c r="T719" s="352"/>
      <c r="U719" s="327"/>
      <c r="V719" s="352"/>
      <c r="W719" s="352"/>
      <c r="X719" s="327"/>
      <c r="Y719" s="352"/>
      <c r="Z719" s="352"/>
      <c r="AA719" s="327"/>
      <c r="AB719" s="352"/>
      <c r="AC719" s="352"/>
      <c r="AD719" s="327"/>
      <c r="AE719" s="352"/>
      <c r="AF719" s="352"/>
      <c r="AG719" s="327"/>
      <c r="AH719" s="352"/>
      <c r="AI719" s="352"/>
      <c r="AJ719" s="327"/>
      <c r="AK719" s="352"/>
      <c r="AL719" s="352"/>
      <c r="AM719" s="327"/>
      <c r="AN719" s="352"/>
      <c r="AO719" s="352"/>
      <c r="AP719" s="327"/>
      <c r="AQ719" s="352"/>
      <c r="AR719" s="327"/>
      <c r="AU719" s="307"/>
      <c r="AX719" s="307"/>
      <c r="BA719" s="307"/>
      <c r="BC719" s="366"/>
      <c r="BD719" s="307"/>
      <c r="BG719" s="307"/>
    </row>
    <row r="720">
      <c r="A720" s="352"/>
      <c r="B720" s="352"/>
      <c r="C720" s="327"/>
      <c r="D720" s="352"/>
      <c r="E720" s="352"/>
      <c r="F720" s="327"/>
      <c r="G720" s="352"/>
      <c r="H720" s="352"/>
      <c r="I720" s="327"/>
      <c r="J720" s="352"/>
      <c r="K720" s="352"/>
      <c r="L720" s="327"/>
      <c r="M720" s="352"/>
      <c r="N720" s="352"/>
      <c r="O720" s="327"/>
      <c r="P720" s="352"/>
      <c r="Q720" s="352"/>
      <c r="R720" s="327"/>
      <c r="S720" s="352"/>
      <c r="T720" s="352"/>
      <c r="U720" s="327"/>
      <c r="V720" s="352"/>
      <c r="W720" s="352"/>
      <c r="X720" s="327"/>
      <c r="Y720" s="352"/>
      <c r="Z720" s="352"/>
      <c r="AA720" s="327"/>
      <c r="AB720" s="352"/>
      <c r="AC720" s="352"/>
      <c r="AD720" s="327"/>
      <c r="AE720" s="352"/>
      <c r="AF720" s="352"/>
      <c r="AG720" s="327"/>
      <c r="AH720" s="352"/>
      <c r="AI720" s="352"/>
      <c r="AJ720" s="327"/>
      <c r="AK720" s="352"/>
      <c r="AL720" s="352"/>
      <c r="AM720" s="327"/>
      <c r="AN720" s="352"/>
      <c r="AO720" s="352"/>
      <c r="AP720" s="327"/>
      <c r="AQ720" s="352"/>
      <c r="AR720" s="327"/>
      <c r="AU720" s="307"/>
      <c r="AX720" s="307"/>
      <c r="BA720" s="307"/>
      <c r="BC720" s="366"/>
      <c r="BD720" s="307"/>
      <c r="BG720" s="307"/>
    </row>
    <row r="721">
      <c r="A721" s="352"/>
      <c r="B721" s="352"/>
      <c r="C721" s="327"/>
      <c r="D721" s="352"/>
      <c r="E721" s="352"/>
      <c r="F721" s="327"/>
      <c r="G721" s="352"/>
      <c r="H721" s="352"/>
      <c r="I721" s="327"/>
      <c r="J721" s="352"/>
      <c r="K721" s="352"/>
      <c r="L721" s="327"/>
      <c r="M721" s="352"/>
      <c r="N721" s="352"/>
      <c r="O721" s="327"/>
      <c r="P721" s="352"/>
      <c r="Q721" s="352"/>
      <c r="R721" s="327"/>
      <c r="S721" s="352"/>
      <c r="T721" s="352"/>
      <c r="U721" s="327"/>
      <c r="V721" s="352"/>
      <c r="W721" s="352"/>
      <c r="X721" s="327"/>
      <c r="Y721" s="352"/>
      <c r="Z721" s="352"/>
      <c r="AA721" s="327"/>
      <c r="AB721" s="352"/>
      <c r="AC721" s="352"/>
      <c r="AD721" s="327"/>
      <c r="AE721" s="352"/>
      <c r="AF721" s="352"/>
      <c r="AG721" s="327"/>
      <c r="AH721" s="352"/>
      <c r="AI721" s="352"/>
      <c r="AJ721" s="327"/>
      <c r="AK721" s="352"/>
      <c r="AL721" s="352"/>
      <c r="AM721" s="327"/>
      <c r="AN721" s="352"/>
      <c r="AO721" s="352"/>
      <c r="AP721" s="327"/>
      <c r="AQ721" s="352"/>
      <c r="AR721" s="327"/>
      <c r="AU721" s="307"/>
      <c r="AX721" s="307"/>
      <c r="BA721" s="307"/>
      <c r="BC721" s="366"/>
      <c r="BD721" s="307"/>
      <c r="BG721" s="307"/>
    </row>
    <row r="722">
      <c r="A722" s="352"/>
      <c r="B722" s="352"/>
      <c r="C722" s="327"/>
      <c r="D722" s="352"/>
      <c r="E722" s="352"/>
      <c r="F722" s="327"/>
      <c r="G722" s="352"/>
      <c r="H722" s="352"/>
      <c r="I722" s="327"/>
      <c r="J722" s="352"/>
      <c r="K722" s="352"/>
      <c r="L722" s="327"/>
      <c r="M722" s="352"/>
      <c r="N722" s="352"/>
      <c r="O722" s="327"/>
      <c r="P722" s="352"/>
      <c r="Q722" s="352"/>
      <c r="R722" s="327"/>
      <c r="S722" s="352"/>
      <c r="T722" s="352"/>
      <c r="U722" s="327"/>
      <c r="V722" s="352"/>
      <c r="W722" s="352"/>
      <c r="X722" s="327"/>
      <c r="Y722" s="352"/>
      <c r="Z722" s="352"/>
      <c r="AA722" s="327"/>
      <c r="AB722" s="352"/>
      <c r="AC722" s="352"/>
      <c r="AD722" s="327"/>
      <c r="AE722" s="352"/>
      <c r="AF722" s="352"/>
      <c r="AG722" s="327"/>
      <c r="AH722" s="352"/>
      <c r="AI722" s="352"/>
      <c r="AJ722" s="327"/>
      <c r="AK722" s="352"/>
      <c r="AL722" s="352"/>
      <c r="AM722" s="327"/>
      <c r="AN722" s="352"/>
      <c r="AO722" s="352"/>
      <c r="AP722" s="327"/>
      <c r="AQ722" s="352"/>
      <c r="AR722" s="327"/>
      <c r="AU722" s="307"/>
      <c r="AX722" s="307"/>
      <c r="BA722" s="307"/>
      <c r="BC722" s="366"/>
      <c r="BD722" s="307"/>
      <c r="BG722" s="307"/>
    </row>
    <row r="723">
      <c r="A723" s="352"/>
      <c r="B723" s="352"/>
      <c r="C723" s="327"/>
      <c r="D723" s="352"/>
      <c r="E723" s="352"/>
      <c r="F723" s="327"/>
      <c r="G723" s="352"/>
      <c r="H723" s="352"/>
      <c r="I723" s="327"/>
      <c r="J723" s="352"/>
      <c r="K723" s="352"/>
      <c r="L723" s="327"/>
      <c r="M723" s="352"/>
      <c r="N723" s="352"/>
      <c r="O723" s="327"/>
      <c r="P723" s="352"/>
      <c r="Q723" s="352"/>
      <c r="R723" s="327"/>
      <c r="S723" s="352"/>
      <c r="T723" s="352"/>
      <c r="U723" s="327"/>
      <c r="V723" s="352"/>
      <c r="W723" s="352"/>
      <c r="X723" s="327"/>
      <c r="Y723" s="352"/>
      <c r="Z723" s="352"/>
      <c r="AA723" s="327"/>
      <c r="AB723" s="352"/>
      <c r="AC723" s="352"/>
      <c r="AD723" s="327"/>
      <c r="AE723" s="352"/>
      <c r="AF723" s="352"/>
      <c r="AG723" s="327"/>
      <c r="AH723" s="352"/>
      <c r="AI723" s="352"/>
      <c r="AJ723" s="327"/>
      <c r="AK723" s="352"/>
      <c r="AL723" s="352"/>
      <c r="AM723" s="327"/>
      <c r="AN723" s="352"/>
      <c r="AO723" s="352"/>
      <c r="AP723" s="327"/>
      <c r="AQ723" s="352"/>
      <c r="AR723" s="327"/>
      <c r="AU723" s="307"/>
      <c r="AX723" s="307"/>
      <c r="BA723" s="307"/>
      <c r="BC723" s="366"/>
      <c r="BD723" s="307"/>
      <c r="BG723" s="307"/>
    </row>
    <row r="724">
      <c r="A724" s="352"/>
      <c r="B724" s="352"/>
      <c r="C724" s="327"/>
      <c r="D724" s="352"/>
      <c r="E724" s="352"/>
      <c r="F724" s="327"/>
      <c r="G724" s="352"/>
      <c r="H724" s="352"/>
      <c r="I724" s="327"/>
      <c r="J724" s="352"/>
      <c r="K724" s="352"/>
      <c r="L724" s="327"/>
      <c r="M724" s="352"/>
      <c r="N724" s="352"/>
      <c r="O724" s="327"/>
      <c r="P724" s="352"/>
      <c r="Q724" s="352"/>
      <c r="R724" s="327"/>
      <c r="S724" s="352"/>
      <c r="T724" s="352"/>
      <c r="U724" s="327"/>
      <c r="V724" s="352"/>
      <c r="W724" s="352"/>
      <c r="X724" s="327"/>
      <c r="Y724" s="352"/>
      <c r="Z724" s="352"/>
      <c r="AA724" s="327"/>
      <c r="AB724" s="352"/>
      <c r="AC724" s="352"/>
      <c r="AD724" s="327"/>
      <c r="AE724" s="352"/>
      <c r="AF724" s="352"/>
      <c r="AG724" s="327"/>
      <c r="AH724" s="352"/>
      <c r="AI724" s="352"/>
      <c r="AJ724" s="327"/>
      <c r="AK724" s="352"/>
      <c r="AL724" s="352"/>
      <c r="AM724" s="327"/>
      <c r="AN724" s="352"/>
      <c r="AO724" s="352"/>
      <c r="AP724" s="327"/>
      <c r="AQ724" s="352"/>
      <c r="AR724" s="327"/>
      <c r="AU724" s="307"/>
      <c r="AX724" s="307"/>
      <c r="BA724" s="307"/>
      <c r="BC724" s="366"/>
      <c r="BD724" s="307"/>
      <c r="BG724" s="307"/>
    </row>
    <row r="725">
      <c r="A725" s="352"/>
      <c r="B725" s="352"/>
      <c r="C725" s="327"/>
      <c r="D725" s="352"/>
      <c r="E725" s="352"/>
      <c r="F725" s="327"/>
      <c r="G725" s="352"/>
      <c r="H725" s="352"/>
      <c r="I725" s="327"/>
      <c r="J725" s="352"/>
      <c r="K725" s="352"/>
      <c r="L725" s="327"/>
      <c r="M725" s="352"/>
      <c r="N725" s="352"/>
      <c r="O725" s="327"/>
      <c r="P725" s="352"/>
      <c r="Q725" s="352"/>
      <c r="R725" s="327"/>
      <c r="S725" s="352"/>
      <c r="T725" s="352"/>
      <c r="U725" s="327"/>
      <c r="V725" s="352"/>
      <c r="W725" s="352"/>
      <c r="X725" s="327"/>
      <c r="Y725" s="352"/>
      <c r="Z725" s="352"/>
      <c r="AA725" s="327"/>
      <c r="AB725" s="352"/>
      <c r="AC725" s="352"/>
      <c r="AD725" s="327"/>
      <c r="AE725" s="352"/>
      <c r="AF725" s="352"/>
      <c r="AG725" s="327"/>
      <c r="AH725" s="352"/>
      <c r="AI725" s="352"/>
      <c r="AJ725" s="327"/>
      <c r="AK725" s="352"/>
      <c r="AL725" s="352"/>
      <c r="AM725" s="327"/>
      <c r="AN725" s="352"/>
      <c r="AO725" s="352"/>
      <c r="AP725" s="327"/>
      <c r="AQ725" s="352"/>
      <c r="AR725" s="327"/>
      <c r="AU725" s="307"/>
      <c r="AX725" s="307"/>
      <c r="BA725" s="307"/>
      <c r="BC725" s="366"/>
      <c r="BD725" s="307"/>
      <c r="BG725" s="307"/>
    </row>
    <row r="726">
      <c r="A726" s="352"/>
      <c r="B726" s="352"/>
      <c r="C726" s="327"/>
      <c r="D726" s="352"/>
      <c r="E726" s="352"/>
      <c r="F726" s="327"/>
      <c r="G726" s="352"/>
      <c r="H726" s="352"/>
      <c r="I726" s="327"/>
      <c r="J726" s="352"/>
      <c r="K726" s="352"/>
      <c r="L726" s="327"/>
      <c r="M726" s="352"/>
      <c r="N726" s="352"/>
      <c r="O726" s="327"/>
      <c r="P726" s="352"/>
      <c r="Q726" s="352"/>
      <c r="R726" s="327"/>
      <c r="S726" s="352"/>
      <c r="T726" s="352"/>
      <c r="U726" s="327"/>
      <c r="V726" s="352"/>
      <c r="W726" s="352"/>
      <c r="X726" s="327"/>
      <c r="Y726" s="352"/>
      <c r="Z726" s="352"/>
      <c r="AA726" s="327"/>
      <c r="AB726" s="352"/>
      <c r="AC726" s="352"/>
      <c r="AD726" s="327"/>
      <c r="AE726" s="352"/>
      <c r="AF726" s="352"/>
      <c r="AG726" s="327"/>
      <c r="AH726" s="352"/>
      <c r="AI726" s="352"/>
      <c r="AJ726" s="327"/>
      <c r="AK726" s="352"/>
      <c r="AL726" s="352"/>
      <c r="AM726" s="327"/>
      <c r="AN726" s="352"/>
      <c r="AO726" s="352"/>
      <c r="AP726" s="327"/>
      <c r="AQ726" s="352"/>
      <c r="AR726" s="327"/>
      <c r="AU726" s="307"/>
      <c r="AX726" s="307"/>
      <c r="BA726" s="307"/>
      <c r="BC726" s="366"/>
      <c r="BD726" s="307"/>
      <c r="BG726" s="307"/>
    </row>
    <row r="727">
      <c r="A727" s="352"/>
      <c r="B727" s="352"/>
      <c r="C727" s="327"/>
      <c r="D727" s="352"/>
      <c r="E727" s="352"/>
      <c r="F727" s="327"/>
      <c r="G727" s="352"/>
      <c r="H727" s="352"/>
      <c r="I727" s="327"/>
      <c r="J727" s="352"/>
      <c r="K727" s="352"/>
      <c r="L727" s="327"/>
      <c r="M727" s="352"/>
      <c r="N727" s="352"/>
      <c r="O727" s="327"/>
      <c r="P727" s="352"/>
      <c r="Q727" s="352"/>
      <c r="R727" s="327"/>
      <c r="S727" s="352"/>
      <c r="T727" s="352"/>
      <c r="U727" s="327"/>
      <c r="V727" s="352"/>
      <c r="W727" s="352"/>
      <c r="X727" s="327"/>
      <c r="Y727" s="352"/>
      <c r="Z727" s="352"/>
      <c r="AA727" s="327"/>
      <c r="AB727" s="352"/>
      <c r="AC727" s="352"/>
      <c r="AD727" s="327"/>
      <c r="AE727" s="352"/>
      <c r="AF727" s="352"/>
      <c r="AG727" s="327"/>
      <c r="AH727" s="352"/>
      <c r="AI727" s="352"/>
      <c r="AJ727" s="327"/>
      <c r="AK727" s="352"/>
      <c r="AL727" s="352"/>
      <c r="AM727" s="327"/>
      <c r="AN727" s="352"/>
      <c r="AO727" s="352"/>
      <c r="AP727" s="327"/>
      <c r="AQ727" s="352"/>
      <c r="AR727" s="327"/>
      <c r="AU727" s="307"/>
      <c r="AX727" s="307"/>
      <c r="BA727" s="307"/>
      <c r="BC727" s="366"/>
      <c r="BD727" s="307"/>
      <c r="BG727" s="307"/>
    </row>
    <row r="728">
      <c r="A728" s="352"/>
      <c r="B728" s="352"/>
      <c r="C728" s="327"/>
      <c r="D728" s="352"/>
      <c r="E728" s="352"/>
      <c r="F728" s="327"/>
      <c r="G728" s="352"/>
      <c r="H728" s="352"/>
      <c r="I728" s="327"/>
      <c r="J728" s="352"/>
      <c r="K728" s="352"/>
      <c r="L728" s="327"/>
      <c r="M728" s="352"/>
      <c r="N728" s="352"/>
      <c r="O728" s="327"/>
      <c r="P728" s="352"/>
      <c r="Q728" s="352"/>
      <c r="R728" s="327"/>
      <c r="S728" s="352"/>
      <c r="T728" s="352"/>
      <c r="U728" s="327"/>
      <c r="V728" s="352"/>
      <c r="W728" s="352"/>
      <c r="X728" s="327"/>
      <c r="Y728" s="352"/>
      <c r="Z728" s="352"/>
      <c r="AA728" s="327"/>
      <c r="AB728" s="352"/>
      <c r="AC728" s="352"/>
      <c r="AD728" s="327"/>
      <c r="AE728" s="352"/>
      <c r="AF728" s="352"/>
      <c r="AG728" s="327"/>
      <c r="AH728" s="352"/>
      <c r="AI728" s="352"/>
      <c r="AJ728" s="327"/>
      <c r="AK728" s="352"/>
      <c r="AL728" s="352"/>
      <c r="AM728" s="327"/>
      <c r="AN728" s="352"/>
      <c r="AO728" s="352"/>
      <c r="AP728" s="327"/>
      <c r="AQ728" s="352"/>
      <c r="AR728" s="327"/>
      <c r="AU728" s="307"/>
      <c r="AX728" s="307"/>
      <c r="BA728" s="307"/>
      <c r="BC728" s="366"/>
      <c r="BD728" s="307"/>
      <c r="BG728" s="307"/>
    </row>
    <row r="729">
      <c r="A729" s="352"/>
      <c r="B729" s="352"/>
      <c r="C729" s="327"/>
      <c r="D729" s="352"/>
      <c r="E729" s="352"/>
      <c r="F729" s="327"/>
      <c r="G729" s="352"/>
      <c r="H729" s="352"/>
      <c r="I729" s="327"/>
      <c r="J729" s="352"/>
      <c r="K729" s="352"/>
      <c r="L729" s="327"/>
      <c r="M729" s="352"/>
      <c r="N729" s="352"/>
      <c r="O729" s="327"/>
      <c r="P729" s="352"/>
      <c r="Q729" s="352"/>
      <c r="R729" s="327"/>
      <c r="S729" s="352"/>
      <c r="T729" s="352"/>
      <c r="U729" s="327"/>
      <c r="V729" s="352"/>
      <c r="W729" s="352"/>
      <c r="X729" s="327"/>
      <c r="Y729" s="352"/>
      <c r="Z729" s="352"/>
      <c r="AA729" s="327"/>
      <c r="AB729" s="352"/>
      <c r="AC729" s="352"/>
      <c r="AD729" s="327"/>
      <c r="AE729" s="352"/>
      <c r="AF729" s="352"/>
      <c r="AG729" s="327"/>
      <c r="AH729" s="352"/>
      <c r="AI729" s="352"/>
      <c r="AJ729" s="327"/>
      <c r="AK729" s="352"/>
      <c r="AL729" s="352"/>
      <c r="AM729" s="327"/>
      <c r="AN729" s="352"/>
      <c r="AO729" s="352"/>
      <c r="AP729" s="327"/>
      <c r="AQ729" s="352"/>
      <c r="AR729" s="327"/>
      <c r="AU729" s="307"/>
      <c r="AX729" s="307"/>
      <c r="BA729" s="307"/>
      <c r="BC729" s="366"/>
      <c r="BD729" s="307"/>
      <c r="BG729" s="307"/>
    </row>
    <row r="730">
      <c r="A730" s="352"/>
      <c r="B730" s="352"/>
      <c r="C730" s="327"/>
      <c r="D730" s="352"/>
      <c r="E730" s="352"/>
      <c r="F730" s="327"/>
      <c r="G730" s="352"/>
      <c r="H730" s="352"/>
      <c r="I730" s="327"/>
      <c r="J730" s="352"/>
      <c r="K730" s="352"/>
      <c r="L730" s="327"/>
      <c r="M730" s="352"/>
      <c r="N730" s="352"/>
      <c r="O730" s="327"/>
      <c r="P730" s="352"/>
      <c r="Q730" s="352"/>
      <c r="R730" s="327"/>
      <c r="S730" s="352"/>
      <c r="T730" s="352"/>
      <c r="U730" s="327"/>
      <c r="V730" s="352"/>
      <c r="W730" s="352"/>
      <c r="X730" s="327"/>
      <c r="Y730" s="352"/>
      <c r="Z730" s="352"/>
      <c r="AA730" s="327"/>
      <c r="AB730" s="352"/>
      <c r="AC730" s="352"/>
      <c r="AD730" s="327"/>
      <c r="AE730" s="352"/>
      <c r="AF730" s="352"/>
      <c r="AG730" s="327"/>
      <c r="AH730" s="352"/>
      <c r="AI730" s="352"/>
      <c r="AJ730" s="327"/>
      <c r="AK730" s="352"/>
      <c r="AL730" s="352"/>
      <c r="AM730" s="327"/>
      <c r="AN730" s="352"/>
      <c r="AO730" s="352"/>
      <c r="AP730" s="327"/>
      <c r="AQ730" s="352"/>
      <c r="AR730" s="327"/>
      <c r="AU730" s="307"/>
      <c r="AX730" s="307"/>
      <c r="BA730" s="307"/>
      <c r="BC730" s="366"/>
      <c r="BD730" s="307"/>
      <c r="BG730" s="307"/>
    </row>
    <row r="731">
      <c r="A731" s="352"/>
      <c r="B731" s="352"/>
      <c r="C731" s="327"/>
      <c r="D731" s="352"/>
      <c r="E731" s="352"/>
      <c r="F731" s="327"/>
      <c r="G731" s="352"/>
      <c r="H731" s="352"/>
      <c r="I731" s="327"/>
      <c r="J731" s="352"/>
      <c r="K731" s="352"/>
      <c r="L731" s="327"/>
      <c r="M731" s="352"/>
      <c r="N731" s="352"/>
      <c r="O731" s="327"/>
      <c r="P731" s="352"/>
      <c r="Q731" s="352"/>
      <c r="R731" s="327"/>
      <c r="S731" s="352"/>
      <c r="T731" s="352"/>
      <c r="U731" s="327"/>
      <c r="V731" s="352"/>
      <c r="W731" s="352"/>
      <c r="X731" s="327"/>
      <c r="Y731" s="352"/>
      <c r="Z731" s="352"/>
      <c r="AA731" s="327"/>
      <c r="AB731" s="352"/>
      <c r="AC731" s="352"/>
      <c r="AD731" s="327"/>
      <c r="AE731" s="352"/>
      <c r="AF731" s="352"/>
      <c r="AG731" s="327"/>
      <c r="AH731" s="352"/>
      <c r="AI731" s="352"/>
      <c r="AJ731" s="327"/>
      <c r="AK731" s="352"/>
      <c r="AL731" s="352"/>
      <c r="AM731" s="327"/>
      <c r="AN731" s="352"/>
      <c r="AO731" s="352"/>
      <c r="AP731" s="327"/>
      <c r="AQ731" s="352"/>
      <c r="AR731" s="327"/>
      <c r="AU731" s="307"/>
      <c r="AX731" s="307"/>
      <c r="BA731" s="307"/>
      <c r="BC731" s="366"/>
      <c r="BD731" s="307"/>
      <c r="BG731" s="307"/>
    </row>
    <row r="732">
      <c r="A732" s="352"/>
      <c r="B732" s="352"/>
      <c r="C732" s="327"/>
      <c r="D732" s="352"/>
      <c r="E732" s="352"/>
      <c r="F732" s="327"/>
      <c r="G732" s="352"/>
      <c r="H732" s="352"/>
      <c r="I732" s="327"/>
      <c r="J732" s="352"/>
      <c r="K732" s="352"/>
      <c r="L732" s="327"/>
      <c r="M732" s="352"/>
      <c r="N732" s="352"/>
      <c r="O732" s="327"/>
      <c r="P732" s="352"/>
      <c r="Q732" s="352"/>
      <c r="R732" s="327"/>
      <c r="S732" s="352"/>
      <c r="T732" s="352"/>
      <c r="U732" s="327"/>
      <c r="V732" s="352"/>
      <c r="W732" s="352"/>
      <c r="X732" s="327"/>
      <c r="Y732" s="352"/>
      <c r="Z732" s="352"/>
      <c r="AA732" s="327"/>
      <c r="AB732" s="352"/>
      <c r="AC732" s="352"/>
      <c r="AD732" s="327"/>
      <c r="AE732" s="352"/>
      <c r="AF732" s="352"/>
      <c r="AG732" s="327"/>
      <c r="AH732" s="352"/>
      <c r="AI732" s="352"/>
      <c r="AJ732" s="327"/>
      <c r="AK732" s="352"/>
      <c r="AL732" s="352"/>
      <c r="AM732" s="327"/>
      <c r="AN732" s="352"/>
      <c r="AO732" s="352"/>
      <c r="AP732" s="327"/>
      <c r="AQ732" s="352"/>
      <c r="AR732" s="327"/>
      <c r="AU732" s="307"/>
      <c r="AX732" s="307"/>
      <c r="BA732" s="307"/>
      <c r="BC732" s="366"/>
      <c r="BD732" s="307"/>
      <c r="BG732" s="307"/>
    </row>
    <row r="733">
      <c r="A733" s="352"/>
      <c r="B733" s="352"/>
      <c r="C733" s="327"/>
      <c r="D733" s="352"/>
      <c r="E733" s="352"/>
      <c r="F733" s="327"/>
      <c r="G733" s="352"/>
      <c r="H733" s="352"/>
      <c r="I733" s="327"/>
      <c r="J733" s="352"/>
      <c r="K733" s="352"/>
      <c r="L733" s="327"/>
      <c r="M733" s="352"/>
      <c r="N733" s="352"/>
      <c r="O733" s="327"/>
      <c r="P733" s="352"/>
      <c r="Q733" s="352"/>
      <c r="R733" s="327"/>
      <c r="S733" s="352"/>
      <c r="T733" s="352"/>
      <c r="U733" s="327"/>
      <c r="V733" s="352"/>
      <c r="W733" s="352"/>
      <c r="X733" s="327"/>
      <c r="Y733" s="352"/>
      <c r="Z733" s="352"/>
      <c r="AA733" s="327"/>
      <c r="AB733" s="352"/>
      <c r="AC733" s="352"/>
      <c r="AD733" s="327"/>
      <c r="AE733" s="352"/>
      <c r="AF733" s="352"/>
      <c r="AG733" s="327"/>
      <c r="AH733" s="352"/>
      <c r="AI733" s="352"/>
      <c r="AJ733" s="327"/>
      <c r="AK733" s="352"/>
      <c r="AL733" s="352"/>
      <c r="AM733" s="327"/>
      <c r="AN733" s="352"/>
      <c r="AO733" s="352"/>
      <c r="AP733" s="327"/>
      <c r="AQ733" s="352"/>
      <c r="AR733" s="327"/>
      <c r="AU733" s="307"/>
      <c r="AX733" s="307"/>
      <c r="BA733" s="307"/>
      <c r="BC733" s="366"/>
      <c r="BD733" s="307"/>
      <c r="BG733" s="307"/>
    </row>
    <row r="734">
      <c r="A734" s="352"/>
      <c r="B734" s="352"/>
      <c r="C734" s="327"/>
      <c r="D734" s="352"/>
      <c r="E734" s="352"/>
      <c r="F734" s="327"/>
      <c r="G734" s="352"/>
      <c r="H734" s="352"/>
      <c r="I734" s="327"/>
      <c r="J734" s="352"/>
      <c r="K734" s="352"/>
      <c r="L734" s="327"/>
      <c r="M734" s="352"/>
      <c r="N734" s="352"/>
      <c r="O734" s="327"/>
      <c r="P734" s="352"/>
      <c r="Q734" s="352"/>
      <c r="R734" s="327"/>
      <c r="S734" s="352"/>
      <c r="T734" s="352"/>
      <c r="U734" s="327"/>
      <c r="V734" s="352"/>
      <c r="W734" s="352"/>
      <c r="X734" s="327"/>
      <c r="Y734" s="352"/>
      <c r="Z734" s="352"/>
      <c r="AA734" s="327"/>
      <c r="AB734" s="352"/>
      <c r="AC734" s="352"/>
      <c r="AD734" s="327"/>
      <c r="AE734" s="352"/>
      <c r="AF734" s="352"/>
      <c r="AG734" s="327"/>
      <c r="AH734" s="352"/>
      <c r="AI734" s="352"/>
      <c r="AJ734" s="327"/>
      <c r="AK734" s="352"/>
      <c r="AL734" s="352"/>
      <c r="AM734" s="327"/>
      <c r="AN734" s="352"/>
      <c r="AO734" s="352"/>
      <c r="AP734" s="327"/>
      <c r="AQ734" s="352"/>
      <c r="AR734" s="327"/>
      <c r="AU734" s="307"/>
      <c r="AX734" s="307"/>
      <c r="BA734" s="307"/>
      <c r="BC734" s="366"/>
      <c r="BD734" s="307"/>
      <c r="BG734" s="307"/>
    </row>
    <row r="735">
      <c r="A735" s="352"/>
      <c r="B735" s="352"/>
      <c r="C735" s="327"/>
      <c r="D735" s="352"/>
      <c r="E735" s="352"/>
      <c r="F735" s="327"/>
      <c r="G735" s="352"/>
      <c r="H735" s="352"/>
      <c r="I735" s="327"/>
      <c r="J735" s="352"/>
      <c r="K735" s="352"/>
      <c r="L735" s="327"/>
      <c r="M735" s="352"/>
      <c r="N735" s="352"/>
      <c r="O735" s="327"/>
      <c r="P735" s="352"/>
      <c r="Q735" s="352"/>
      <c r="R735" s="327"/>
      <c r="S735" s="352"/>
      <c r="T735" s="352"/>
      <c r="U735" s="327"/>
      <c r="V735" s="352"/>
      <c r="W735" s="352"/>
      <c r="X735" s="327"/>
      <c r="Y735" s="352"/>
      <c r="Z735" s="352"/>
      <c r="AA735" s="327"/>
      <c r="AB735" s="352"/>
      <c r="AC735" s="352"/>
      <c r="AD735" s="327"/>
      <c r="AE735" s="352"/>
      <c r="AF735" s="352"/>
      <c r="AG735" s="327"/>
      <c r="AH735" s="352"/>
      <c r="AI735" s="352"/>
      <c r="AJ735" s="327"/>
      <c r="AK735" s="352"/>
      <c r="AL735" s="352"/>
      <c r="AM735" s="327"/>
      <c r="AN735" s="352"/>
      <c r="AO735" s="352"/>
      <c r="AP735" s="327"/>
      <c r="AQ735" s="352"/>
      <c r="AR735" s="327"/>
      <c r="AU735" s="307"/>
      <c r="AX735" s="307"/>
      <c r="BA735" s="307"/>
      <c r="BC735" s="366"/>
      <c r="BD735" s="307"/>
      <c r="BG735" s="307"/>
    </row>
    <row r="736">
      <c r="A736" s="352"/>
      <c r="B736" s="352"/>
      <c r="C736" s="327"/>
      <c r="D736" s="352"/>
      <c r="E736" s="352"/>
      <c r="F736" s="327"/>
      <c r="G736" s="352"/>
      <c r="H736" s="352"/>
      <c r="I736" s="327"/>
      <c r="J736" s="352"/>
      <c r="K736" s="352"/>
      <c r="L736" s="327"/>
      <c r="M736" s="352"/>
      <c r="N736" s="352"/>
      <c r="O736" s="327"/>
      <c r="P736" s="352"/>
      <c r="Q736" s="352"/>
      <c r="R736" s="327"/>
      <c r="S736" s="352"/>
      <c r="T736" s="352"/>
      <c r="U736" s="327"/>
      <c r="V736" s="352"/>
      <c r="W736" s="352"/>
      <c r="X736" s="327"/>
      <c r="Y736" s="352"/>
      <c r="Z736" s="352"/>
      <c r="AA736" s="327"/>
      <c r="AB736" s="352"/>
      <c r="AC736" s="352"/>
      <c r="AD736" s="327"/>
      <c r="AE736" s="352"/>
      <c r="AF736" s="352"/>
      <c r="AG736" s="327"/>
      <c r="AH736" s="352"/>
      <c r="AI736" s="352"/>
      <c r="AJ736" s="327"/>
      <c r="AK736" s="352"/>
      <c r="AL736" s="352"/>
      <c r="AM736" s="327"/>
      <c r="AN736" s="352"/>
      <c r="AO736" s="352"/>
      <c r="AP736" s="327"/>
      <c r="AQ736" s="352"/>
      <c r="AR736" s="327"/>
      <c r="AU736" s="307"/>
      <c r="AX736" s="307"/>
      <c r="BA736" s="307"/>
      <c r="BC736" s="366"/>
      <c r="BD736" s="307"/>
      <c r="BG736" s="307"/>
    </row>
    <row r="737">
      <c r="A737" s="352"/>
      <c r="B737" s="352"/>
      <c r="C737" s="327"/>
      <c r="D737" s="352"/>
      <c r="E737" s="352"/>
      <c r="F737" s="327"/>
      <c r="G737" s="352"/>
      <c r="H737" s="352"/>
      <c r="I737" s="327"/>
      <c r="J737" s="352"/>
      <c r="K737" s="352"/>
      <c r="L737" s="327"/>
      <c r="M737" s="352"/>
      <c r="N737" s="352"/>
      <c r="O737" s="327"/>
      <c r="P737" s="352"/>
      <c r="Q737" s="352"/>
      <c r="R737" s="327"/>
      <c r="S737" s="352"/>
      <c r="T737" s="352"/>
      <c r="U737" s="327"/>
      <c r="V737" s="352"/>
      <c r="W737" s="352"/>
      <c r="X737" s="327"/>
      <c r="Y737" s="352"/>
      <c r="Z737" s="352"/>
      <c r="AA737" s="327"/>
      <c r="AB737" s="352"/>
      <c r="AC737" s="352"/>
      <c r="AD737" s="327"/>
      <c r="AE737" s="352"/>
      <c r="AF737" s="352"/>
      <c r="AG737" s="327"/>
      <c r="AH737" s="352"/>
      <c r="AI737" s="352"/>
      <c r="AJ737" s="327"/>
      <c r="AK737" s="352"/>
      <c r="AL737" s="352"/>
      <c r="AM737" s="327"/>
      <c r="AN737" s="352"/>
      <c r="AO737" s="352"/>
      <c r="AP737" s="327"/>
      <c r="AQ737" s="352"/>
      <c r="AR737" s="327"/>
      <c r="AU737" s="307"/>
      <c r="AX737" s="307"/>
      <c r="BA737" s="307"/>
      <c r="BC737" s="366"/>
      <c r="BD737" s="307"/>
      <c r="BG737" s="307"/>
    </row>
    <row r="738">
      <c r="A738" s="352"/>
      <c r="B738" s="352"/>
      <c r="C738" s="327"/>
      <c r="D738" s="352"/>
      <c r="E738" s="352"/>
      <c r="F738" s="327"/>
      <c r="G738" s="352"/>
      <c r="H738" s="352"/>
      <c r="I738" s="327"/>
      <c r="J738" s="352"/>
      <c r="K738" s="352"/>
      <c r="L738" s="327"/>
      <c r="M738" s="352"/>
      <c r="N738" s="352"/>
      <c r="O738" s="327"/>
      <c r="P738" s="352"/>
      <c r="Q738" s="352"/>
      <c r="R738" s="327"/>
      <c r="S738" s="352"/>
      <c r="T738" s="352"/>
      <c r="U738" s="327"/>
      <c r="V738" s="352"/>
      <c r="W738" s="352"/>
      <c r="X738" s="327"/>
      <c r="Y738" s="352"/>
      <c r="Z738" s="352"/>
      <c r="AA738" s="327"/>
      <c r="AB738" s="352"/>
      <c r="AC738" s="352"/>
      <c r="AD738" s="327"/>
      <c r="AE738" s="352"/>
      <c r="AF738" s="352"/>
      <c r="AG738" s="327"/>
      <c r="AH738" s="352"/>
      <c r="AI738" s="352"/>
      <c r="AJ738" s="327"/>
      <c r="AK738" s="352"/>
      <c r="AL738" s="352"/>
      <c r="AM738" s="327"/>
      <c r="AN738" s="352"/>
      <c r="AO738" s="352"/>
      <c r="AP738" s="327"/>
      <c r="AQ738" s="352"/>
      <c r="AR738" s="327"/>
      <c r="AU738" s="307"/>
      <c r="AX738" s="307"/>
      <c r="BA738" s="307"/>
      <c r="BC738" s="366"/>
      <c r="BD738" s="307"/>
      <c r="BG738" s="307"/>
    </row>
    <row r="739">
      <c r="A739" s="352"/>
      <c r="B739" s="352"/>
      <c r="C739" s="327"/>
      <c r="D739" s="352"/>
      <c r="E739" s="352"/>
      <c r="F739" s="327"/>
      <c r="G739" s="352"/>
      <c r="H739" s="352"/>
      <c r="I739" s="327"/>
      <c r="J739" s="352"/>
      <c r="K739" s="352"/>
      <c r="L739" s="327"/>
      <c r="M739" s="352"/>
      <c r="N739" s="352"/>
      <c r="O739" s="327"/>
      <c r="P739" s="352"/>
      <c r="Q739" s="352"/>
      <c r="R739" s="327"/>
      <c r="S739" s="352"/>
      <c r="T739" s="352"/>
      <c r="U739" s="327"/>
      <c r="V739" s="352"/>
      <c r="W739" s="352"/>
      <c r="X739" s="327"/>
      <c r="Y739" s="352"/>
      <c r="Z739" s="352"/>
      <c r="AA739" s="327"/>
      <c r="AB739" s="352"/>
      <c r="AC739" s="352"/>
      <c r="AD739" s="327"/>
      <c r="AE739" s="352"/>
      <c r="AF739" s="352"/>
      <c r="AG739" s="327"/>
      <c r="AH739" s="352"/>
      <c r="AI739" s="352"/>
      <c r="AJ739" s="327"/>
      <c r="AK739" s="352"/>
      <c r="AL739" s="352"/>
      <c r="AM739" s="327"/>
      <c r="AN739" s="352"/>
      <c r="AO739" s="352"/>
      <c r="AP739" s="327"/>
      <c r="AQ739" s="352"/>
      <c r="AR739" s="327"/>
      <c r="AU739" s="307"/>
      <c r="AX739" s="307"/>
      <c r="BA739" s="307"/>
      <c r="BC739" s="366"/>
      <c r="BD739" s="307"/>
      <c r="BG739" s="307"/>
    </row>
    <row r="740">
      <c r="A740" s="352"/>
      <c r="B740" s="352"/>
      <c r="C740" s="327"/>
      <c r="D740" s="352"/>
      <c r="E740" s="352"/>
      <c r="F740" s="327"/>
      <c r="G740" s="352"/>
      <c r="H740" s="352"/>
      <c r="I740" s="327"/>
      <c r="J740" s="352"/>
      <c r="K740" s="352"/>
      <c r="L740" s="327"/>
      <c r="M740" s="352"/>
      <c r="N740" s="352"/>
      <c r="O740" s="327"/>
      <c r="P740" s="352"/>
      <c r="Q740" s="352"/>
      <c r="R740" s="327"/>
      <c r="S740" s="352"/>
      <c r="T740" s="352"/>
      <c r="U740" s="327"/>
      <c r="V740" s="352"/>
      <c r="W740" s="352"/>
      <c r="X740" s="327"/>
      <c r="Y740" s="352"/>
      <c r="Z740" s="352"/>
      <c r="AA740" s="327"/>
      <c r="AB740" s="352"/>
      <c r="AC740" s="352"/>
      <c r="AD740" s="327"/>
      <c r="AE740" s="352"/>
      <c r="AF740" s="352"/>
      <c r="AG740" s="327"/>
      <c r="AH740" s="352"/>
      <c r="AI740" s="352"/>
      <c r="AJ740" s="327"/>
      <c r="AK740" s="352"/>
      <c r="AL740" s="352"/>
      <c r="AM740" s="327"/>
      <c r="AN740" s="352"/>
      <c r="AO740" s="352"/>
      <c r="AP740" s="327"/>
      <c r="AQ740" s="352"/>
      <c r="AR740" s="327"/>
      <c r="AU740" s="307"/>
      <c r="AX740" s="307"/>
      <c r="BA740" s="307"/>
      <c r="BC740" s="366"/>
      <c r="BD740" s="307"/>
      <c r="BG740" s="307"/>
    </row>
    <row r="741">
      <c r="A741" s="352"/>
      <c r="B741" s="352"/>
      <c r="C741" s="327"/>
      <c r="D741" s="352"/>
      <c r="E741" s="352"/>
      <c r="F741" s="327"/>
      <c r="G741" s="352"/>
      <c r="H741" s="352"/>
      <c r="I741" s="327"/>
      <c r="J741" s="352"/>
      <c r="K741" s="352"/>
      <c r="L741" s="327"/>
      <c r="M741" s="352"/>
      <c r="N741" s="352"/>
      <c r="O741" s="327"/>
      <c r="P741" s="352"/>
      <c r="Q741" s="352"/>
      <c r="R741" s="327"/>
      <c r="S741" s="352"/>
      <c r="T741" s="352"/>
      <c r="U741" s="327"/>
      <c r="V741" s="352"/>
      <c r="W741" s="352"/>
      <c r="X741" s="327"/>
      <c r="Y741" s="352"/>
      <c r="Z741" s="352"/>
      <c r="AA741" s="327"/>
      <c r="AB741" s="352"/>
      <c r="AC741" s="352"/>
      <c r="AD741" s="327"/>
      <c r="AE741" s="352"/>
      <c r="AF741" s="352"/>
      <c r="AG741" s="327"/>
      <c r="AH741" s="352"/>
      <c r="AI741" s="352"/>
      <c r="AJ741" s="327"/>
      <c r="AK741" s="352"/>
      <c r="AL741" s="352"/>
      <c r="AM741" s="327"/>
      <c r="AN741" s="352"/>
      <c r="AO741" s="352"/>
      <c r="AP741" s="327"/>
      <c r="AQ741" s="352"/>
      <c r="AR741" s="327"/>
      <c r="AU741" s="307"/>
      <c r="AX741" s="307"/>
      <c r="BA741" s="307"/>
      <c r="BC741" s="366"/>
      <c r="BD741" s="307"/>
      <c r="BG741" s="307"/>
    </row>
    <row r="742">
      <c r="A742" s="352"/>
      <c r="B742" s="352"/>
      <c r="C742" s="327"/>
      <c r="D742" s="352"/>
      <c r="E742" s="352"/>
      <c r="F742" s="327"/>
      <c r="G742" s="352"/>
      <c r="H742" s="352"/>
      <c r="I742" s="327"/>
      <c r="J742" s="352"/>
      <c r="K742" s="352"/>
      <c r="L742" s="327"/>
      <c r="M742" s="352"/>
      <c r="N742" s="352"/>
      <c r="O742" s="327"/>
      <c r="P742" s="352"/>
      <c r="Q742" s="352"/>
      <c r="R742" s="327"/>
      <c r="S742" s="352"/>
      <c r="T742" s="352"/>
      <c r="U742" s="327"/>
      <c r="V742" s="352"/>
      <c r="W742" s="352"/>
      <c r="X742" s="327"/>
      <c r="Y742" s="352"/>
      <c r="Z742" s="352"/>
      <c r="AA742" s="327"/>
      <c r="AB742" s="352"/>
      <c r="AC742" s="352"/>
      <c r="AD742" s="327"/>
      <c r="AE742" s="352"/>
      <c r="AF742" s="352"/>
      <c r="AG742" s="327"/>
      <c r="AH742" s="352"/>
      <c r="AI742" s="352"/>
      <c r="AJ742" s="327"/>
      <c r="AK742" s="352"/>
      <c r="AL742" s="352"/>
      <c r="AM742" s="327"/>
      <c r="AN742" s="352"/>
      <c r="AO742" s="352"/>
      <c r="AP742" s="327"/>
      <c r="AQ742" s="352"/>
      <c r="AR742" s="327"/>
      <c r="AU742" s="307"/>
      <c r="AX742" s="307"/>
      <c r="BA742" s="307"/>
      <c r="BC742" s="366"/>
      <c r="BD742" s="307"/>
      <c r="BG742" s="307"/>
    </row>
    <row r="743">
      <c r="A743" s="352"/>
      <c r="B743" s="352"/>
      <c r="C743" s="327"/>
      <c r="D743" s="352"/>
      <c r="E743" s="352"/>
      <c r="F743" s="327"/>
      <c r="G743" s="352"/>
      <c r="H743" s="352"/>
      <c r="I743" s="327"/>
      <c r="J743" s="352"/>
      <c r="K743" s="352"/>
      <c r="L743" s="327"/>
      <c r="M743" s="352"/>
      <c r="N743" s="352"/>
      <c r="O743" s="327"/>
      <c r="P743" s="352"/>
      <c r="Q743" s="352"/>
      <c r="R743" s="327"/>
      <c r="S743" s="352"/>
      <c r="T743" s="352"/>
      <c r="U743" s="327"/>
      <c r="V743" s="352"/>
      <c r="W743" s="352"/>
      <c r="X743" s="327"/>
      <c r="Y743" s="352"/>
      <c r="Z743" s="352"/>
      <c r="AA743" s="327"/>
      <c r="AB743" s="352"/>
      <c r="AC743" s="352"/>
      <c r="AD743" s="327"/>
      <c r="AE743" s="352"/>
      <c r="AF743" s="352"/>
      <c r="AG743" s="327"/>
      <c r="AH743" s="352"/>
      <c r="AI743" s="352"/>
      <c r="AJ743" s="327"/>
      <c r="AK743" s="352"/>
      <c r="AL743" s="352"/>
      <c r="AM743" s="327"/>
      <c r="AN743" s="352"/>
      <c r="AO743" s="352"/>
      <c r="AP743" s="327"/>
      <c r="AQ743" s="352"/>
      <c r="AR743" s="327"/>
      <c r="AU743" s="307"/>
      <c r="AX743" s="307"/>
      <c r="BA743" s="307"/>
      <c r="BC743" s="366"/>
      <c r="BD743" s="307"/>
      <c r="BG743" s="307"/>
    </row>
    <row r="744">
      <c r="A744" s="352"/>
      <c r="B744" s="352"/>
      <c r="C744" s="327"/>
      <c r="D744" s="352"/>
      <c r="E744" s="352"/>
      <c r="F744" s="327"/>
      <c r="G744" s="352"/>
      <c r="H744" s="352"/>
      <c r="I744" s="327"/>
      <c r="J744" s="352"/>
      <c r="K744" s="352"/>
      <c r="L744" s="327"/>
      <c r="M744" s="352"/>
      <c r="N744" s="352"/>
      <c r="O744" s="327"/>
      <c r="P744" s="352"/>
      <c r="Q744" s="352"/>
      <c r="R744" s="327"/>
      <c r="S744" s="352"/>
      <c r="T744" s="352"/>
      <c r="U744" s="327"/>
      <c r="V744" s="352"/>
      <c r="W744" s="352"/>
      <c r="X744" s="327"/>
      <c r="Y744" s="352"/>
      <c r="Z744" s="352"/>
      <c r="AA744" s="327"/>
      <c r="AB744" s="352"/>
      <c r="AC744" s="352"/>
      <c r="AD744" s="327"/>
      <c r="AE744" s="352"/>
      <c r="AF744" s="352"/>
      <c r="AG744" s="327"/>
      <c r="AH744" s="352"/>
      <c r="AI744" s="352"/>
      <c r="AJ744" s="327"/>
      <c r="AK744" s="352"/>
      <c r="AL744" s="352"/>
      <c r="AM744" s="327"/>
      <c r="AN744" s="352"/>
      <c r="AO744" s="352"/>
      <c r="AP744" s="327"/>
      <c r="AQ744" s="352"/>
      <c r="AR744" s="327"/>
      <c r="AU744" s="307"/>
      <c r="AX744" s="307"/>
      <c r="BA744" s="307"/>
      <c r="BC744" s="366"/>
      <c r="BD744" s="307"/>
      <c r="BG744" s="307"/>
    </row>
    <row r="745">
      <c r="A745" s="352"/>
      <c r="B745" s="352"/>
      <c r="C745" s="327"/>
      <c r="D745" s="352"/>
      <c r="E745" s="352"/>
      <c r="F745" s="327"/>
      <c r="G745" s="352"/>
      <c r="H745" s="352"/>
      <c r="I745" s="327"/>
      <c r="J745" s="352"/>
      <c r="K745" s="352"/>
      <c r="L745" s="327"/>
      <c r="M745" s="352"/>
      <c r="N745" s="352"/>
      <c r="O745" s="327"/>
      <c r="P745" s="352"/>
      <c r="Q745" s="352"/>
      <c r="R745" s="327"/>
      <c r="S745" s="352"/>
      <c r="T745" s="352"/>
      <c r="U745" s="327"/>
      <c r="V745" s="352"/>
      <c r="W745" s="352"/>
      <c r="X745" s="327"/>
      <c r="Y745" s="352"/>
      <c r="Z745" s="352"/>
      <c r="AA745" s="327"/>
      <c r="AB745" s="352"/>
      <c r="AC745" s="352"/>
      <c r="AD745" s="327"/>
      <c r="AE745" s="352"/>
      <c r="AF745" s="352"/>
      <c r="AG745" s="327"/>
      <c r="AH745" s="352"/>
      <c r="AI745" s="352"/>
      <c r="AJ745" s="327"/>
      <c r="AK745" s="352"/>
      <c r="AL745" s="352"/>
      <c r="AM745" s="327"/>
      <c r="AN745" s="352"/>
      <c r="AO745" s="352"/>
      <c r="AP745" s="327"/>
      <c r="AQ745" s="352"/>
      <c r="AR745" s="327"/>
      <c r="AU745" s="307"/>
      <c r="AX745" s="307"/>
      <c r="BA745" s="307"/>
      <c r="BC745" s="366"/>
      <c r="BD745" s="307"/>
      <c r="BG745" s="307"/>
    </row>
    <row r="746">
      <c r="A746" s="352"/>
      <c r="B746" s="352"/>
      <c r="C746" s="327"/>
      <c r="D746" s="352"/>
      <c r="E746" s="352"/>
      <c r="F746" s="327"/>
      <c r="G746" s="352"/>
      <c r="H746" s="352"/>
      <c r="I746" s="327"/>
      <c r="J746" s="352"/>
      <c r="K746" s="352"/>
      <c r="L746" s="327"/>
      <c r="M746" s="352"/>
      <c r="N746" s="352"/>
      <c r="O746" s="327"/>
      <c r="P746" s="352"/>
      <c r="Q746" s="352"/>
      <c r="R746" s="327"/>
      <c r="S746" s="352"/>
      <c r="T746" s="352"/>
      <c r="U746" s="327"/>
      <c r="V746" s="352"/>
      <c r="W746" s="352"/>
      <c r="X746" s="327"/>
      <c r="Y746" s="352"/>
      <c r="Z746" s="352"/>
      <c r="AA746" s="327"/>
      <c r="AB746" s="352"/>
      <c r="AC746" s="352"/>
      <c r="AD746" s="327"/>
      <c r="AE746" s="352"/>
      <c r="AF746" s="352"/>
      <c r="AG746" s="327"/>
      <c r="AH746" s="352"/>
      <c r="AI746" s="352"/>
      <c r="AJ746" s="327"/>
      <c r="AK746" s="352"/>
      <c r="AL746" s="352"/>
      <c r="AM746" s="327"/>
      <c r="AN746" s="352"/>
      <c r="AO746" s="352"/>
      <c r="AP746" s="327"/>
      <c r="AQ746" s="352"/>
      <c r="AR746" s="327"/>
      <c r="AU746" s="307"/>
      <c r="AX746" s="307"/>
      <c r="BA746" s="307"/>
      <c r="BC746" s="366"/>
      <c r="BD746" s="307"/>
      <c r="BG746" s="307"/>
    </row>
    <row r="747">
      <c r="A747" s="352"/>
      <c r="B747" s="352"/>
      <c r="C747" s="327"/>
      <c r="D747" s="352"/>
      <c r="E747" s="352"/>
      <c r="F747" s="327"/>
      <c r="G747" s="352"/>
      <c r="H747" s="352"/>
      <c r="I747" s="327"/>
      <c r="J747" s="352"/>
      <c r="K747" s="352"/>
      <c r="L747" s="327"/>
      <c r="M747" s="352"/>
      <c r="N747" s="352"/>
      <c r="O747" s="327"/>
      <c r="P747" s="352"/>
      <c r="Q747" s="352"/>
      <c r="R747" s="327"/>
      <c r="S747" s="352"/>
      <c r="T747" s="352"/>
      <c r="U747" s="327"/>
      <c r="V747" s="352"/>
      <c r="W747" s="352"/>
      <c r="X747" s="327"/>
      <c r="Y747" s="352"/>
      <c r="Z747" s="352"/>
      <c r="AA747" s="327"/>
      <c r="AB747" s="352"/>
      <c r="AC747" s="352"/>
      <c r="AD747" s="327"/>
      <c r="AE747" s="352"/>
      <c r="AF747" s="352"/>
      <c r="AG747" s="327"/>
      <c r="AH747" s="352"/>
      <c r="AI747" s="352"/>
      <c r="AJ747" s="327"/>
      <c r="AK747" s="352"/>
      <c r="AL747" s="352"/>
      <c r="AM747" s="327"/>
      <c r="AN747" s="352"/>
      <c r="AO747" s="352"/>
      <c r="AP747" s="327"/>
      <c r="AQ747" s="352"/>
      <c r="AR747" s="327"/>
      <c r="AU747" s="307"/>
      <c r="AX747" s="307"/>
      <c r="BA747" s="307"/>
      <c r="BC747" s="366"/>
      <c r="BD747" s="307"/>
      <c r="BG747" s="307"/>
    </row>
    <row r="748">
      <c r="A748" s="352"/>
      <c r="B748" s="352"/>
      <c r="C748" s="327"/>
      <c r="D748" s="352"/>
      <c r="E748" s="352"/>
      <c r="F748" s="327"/>
      <c r="G748" s="352"/>
      <c r="H748" s="352"/>
      <c r="I748" s="327"/>
      <c r="J748" s="352"/>
      <c r="K748" s="352"/>
      <c r="L748" s="327"/>
      <c r="M748" s="352"/>
      <c r="N748" s="352"/>
      <c r="O748" s="327"/>
      <c r="P748" s="352"/>
      <c r="Q748" s="352"/>
      <c r="R748" s="327"/>
      <c r="S748" s="352"/>
      <c r="T748" s="352"/>
      <c r="U748" s="327"/>
      <c r="V748" s="352"/>
      <c r="W748" s="352"/>
      <c r="X748" s="327"/>
      <c r="Y748" s="352"/>
      <c r="Z748" s="352"/>
      <c r="AA748" s="327"/>
      <c r="AB748" s="352"/>
      <c r="AC748" s="352"/>
      <c r="AD748" s="327"/>
      <c r="AE748" s="352"/>
      <c r="AF748" s="352"/>
      <c r="AG748" s="327"/>
      <c r="AH748" s="352"/>
      <c r="AI748" s="352"/>
      <c r="AJ748" s="327"/>
      <c r="AK748" s="352"/>
      <c r="AL748" s="352"/>
      <c r="AM748" s="327"/>
      <c r="AN748" s="352"/>
      <c r="AO748" s="352"/>
      <c r="AP748" s="327"/>
      <c r="AQ748" s="352"/>
      <c r="AR748" s="327"/>
      <c r="AU748" s="307"/>
      <c r="AX748" s="307"/>
      <c r="BA748" s="307"/>
      <c r="BC748" s="366"/>
      <c r="BD748" s="307"/>
      <c r="BG748" s="307"/>
    </row>
    <row r="749">
      <c r="A749" s="352"/>
      <c r="B749" s="352"/>
      <c r="C749" s="327"/>
      <c r="D749" s="352"/>
      <c r="E749" s="352"/>
      <c r="F749" s="327"/>
      <c r="G749" s="352"/>
      <c r="H749" s="352"/>
      <c r="I749" s="327"/>
      <c r="J749" s="352"/>
      <c r="K749" s="352"/>
      <c r="L749" s="327"/>
      <c r="M749" s="352"/>
      <c r="N749" s="352"/>
      <c r="O749" s="327"/>
      <c r="P749" s="352"/>
      <c r="Q749" s="352"/>
      <c r="R749" s="327"/>
      <c r="S749" s="352"/>
      <c r="T749" s="352"/>
      <c r="U749" s="327"/>
      <c r="V749" s="352"/>
      <c r="W749" s="352"/>
      <c r="X749" s="327"/>
      <c r="Y749" s="352"/>
      <c r="Z749" s="352"/>
      <c r="AA749" s="327"/>
      <c r="AB749" s="352"/>
      <c r="AC749" s="352"/>
      <c r="AD749" s="327"/>
      <c r="AE749" s="352"/>
      <c r="AF749" s="352"/>
      <c r="AG749" s="327"/>
      <c r="AH749" s="352"/>
      <c r="AI749" s="352"/>
      <c r="AJ749" s="327"/>
      <c r="AK749" s="352"/>
      <c r="AL749" s="352"/>
      <c r="AM749" s="327"/>
      <c r="AN749" s="352"/>
      <c r="AO749" s="352"/>
      <c r="AP749" s="327"/>
      <c r="AQ749" s="352"/>
      <c r="AR749" s="327"/>
      <c r="AU749" s="307"/>
      <c r="AX749" s="307"/>
      <c r="BA749" s="307"/>
      <c r="BC749" s="366"/>
      <c r="BD749" s="307"/>
      <c r="BG749" s="307"/>
    </row>
    <row r="750">
      <c r="A750" s="352"/>
      <c r="B750" s="352"/>
      <c r="C750" s="327"/>
      <c r="D750" s="352"/>
      <c r="E750" s="352"/>
      <c r="F750" s="327"/>
      <c r="G750" s="352"/>
      <c r="H750" s="352"/>
      <c r="I750" s="327"/>
      <c r="J750" s="352"/>
      <c r="K750" s="352"/>
      <c r="L750" s="327"/>
      <c r="M750" s="352"/>
      <c r="N750" s="352"/>
      <c r="O750" s="327"/>
      <c r="P750" s="352"/>
      <c r="Q750" s="352"/>
      <c r="R750" s="327"/>
      <c r="S750" s="352"/>
      <c r="T750" s="352"/>
      <c r="U750" s="327"/>
      <c r="V750" s="352"/>
      <c r="W750" s="352"/>
      <c r="X750" s="327"/>
      <c r="Y750" s="352"/>
      <c r="Z750" s="352"/>
      <c r="AA750" s="327"/>
      <c r="AB750" s="352"/>
      <c r="AC750" s="352"/>
      <c r="AD750" s="327"/>
      <c r="AE750" s="352"/>
      <c r="AF750" s="352"/>
      <c r="AG750" s="327"/>
      <c r="AH750" s="352"/>
      <c r="AI750" s="352"/>
      <c r="AJ750" s="327"/>
      <c r="AK750" s="352"/>
      <c r="AL750" s="352"/>
      <c r="AM750" s="327"/>
      <c r="AN750" s="352"/>
      <c r="AO750" s="352"/>
      <c r="AP750" s="327"/>
      <c r="AQ750" s="352"/>
      <c r="AR750" s="327"/>
      <c r="AU750" s="307"/>
      <c r="AX750" s="307"/>
      <c r="BA750" s="307"/>
      <c r="BC750" s="366"/>
      <c r="BD750" s="307"/>
      <c r="BG750" s="307"/>
    </row>
    <row r="751">
      <c r="A751" s="352"/>
      <c r="B751" s="352"/>
      <c r="C751" s="327"/>
      <c r="D751" s="352"/>
      <c r="E751" s="352"/>
      <c r="F751" s="327"/>
      <c r="G751" s="352"/>
      <c r="H751" s="352"/>
      <c r="I751" s="327"/>
      <c r="J751" s="352"/>
      <c r="K751" s="352"/>
      <c r="L751" s="327"/>
      <c r="M751" s="352"/>
      <c r="N751" s="352"/>
      <c r="O751" s="327"/>
      <c r="P751" s="352"/>
      <c r="Q751" s="352"/>
      <c r="R751" s="327"/>
      <c r="S751" s="352"/>
      <c r="T751" s="352"/>
      <c r="U751" s="327"/>
      <c r="V751" s="352"/>
      <c r="W751" s="352"/>
      <c r="X751" s="327"/>
      <c r="Y751" s="352"/>
      <c r="Z751" s="352"/>
      <c r="AA751" s="327"/>
      <c r="AB751" s="352"/>
      <c r="AC751" s="352"/>
      <c r="AD751" s="327"/>
      <c r="AE751" s="352"/>
      <c r="AF751" s="352"/>
      <c r="AG751" s="327"/>
      <c r="AH751" s="352"/>
      <c r="AI751" s="352"/>
      <c r="AJ751" s="327"/>
      <c r="AK751" s="352"/>
      <c r="AL751" s="352"/>
      <c r="AM751" s="327"/>
      <c r="AN751" s="352"/>
      <c r="AO751" s="352"/>
      <c r="AP751" s="327"/>
      <c r="AQ751" s="352"/>
      <c r="AR751" s="327"/>
      <c r="AU751" s="307"/>
      <c r="AX751" s="307"/>
      <c r="BA751" s="307"/>
      <c r="BC751" s="366"/>
      <c r="BD751" s="307"/>
      <c r="BG751" s="307"/>
    </row>
    <row r="752">
      <c r="A752" s="352"/>
      <c r="B752" s="352"/>
      <c r="C752" s="327"/>
      <c r="D752" s="352"/>
      <c r="E752" s="352"/>
      <c r="F752" s="327"/>
      <c r="G752" s="352"/>
      <c r="H752" s="352"/>
      <c r="I752" s="327"/>
      <c r="J752" s="352"/>
      <c r="K752" s="352"/>
      <c r="L752" s="327"/>
      <c r="M752" s="352"/>
      <c r="N752" s="352"/>
      <c r="O752" s="327"/>
      <c r="P752" s="352"/>
      <c r="Q752" s="352"/>
      <c r="R752" s="327"/>
      <c r="S752" s="352"/>
      <c r="T752" s="352"/>
      <c r="U752" s="327"/>
      <c r="V752" s="352"/>
      <c r="W752" s="352"/>
      <c r="X752" s="327"/>
      <c r="Y752" s="352"/>
      <c r="Z752" s="352"/>
      <c r="AA752" s="327"/>
      <c r="AB752" s="352"/>
      <c r="AC752" s="352"/>
      <c r="AD752" s="327"/>
      <c r="AE752" s="352"/>
      <c r="AF752" s="352"/>
      <c r="AG752" s="327"/>
      <c r="AH752" s="352"/>
      <c r="AI752" s="352"/>
      <c r="AJ752" s="327"/>
      <c r="AK752" s="352"/>
      <c r="AL752" s="352"/>
      <c r="AM752" s="327"/>
      <c r="AN752" s="352"/>
      <c r="AO752" s="352"/>
      <c r="AP752" s="327"/>
      <c r="AQ752" s="352"/>
      <c r="AR752" s="327"/>
      <c r="AU752" s="307"/>
      <c r="AX752" s="307"/>
      <c r="BA752" s="307"/>
      <c r="BC752" s="366"/>
      <c r="BD752" s="307"/>
      <c r="BG752" s="307"/>
    </row>
    <row r="753">
      <c r="A753" s="352"/>
      <c r="B753" s="352"/>
      <c r="C753" s="327"/>
      <c r="D753" s="352"/>
      <c r="E753" s="352"/>
      <c r="F753" s="327"/>
      <c r="G753" s="352"/>
      <c r="H753" s="352"/>
      <c r="I753" s="327"/>
      <c r="J753" s="352"/>
      <c r="K753" s="352"/>
      <c r="L753" s="327"/>
      <c r="M753" s="352"/>
      <c r="N753" s="352"/>
      <c r="O753" s="327"/>
      <c r="P753" s="352"/>
      <c r="Q753" s="352"/>
      <c r="R753" s="327"/>
      <c r="S753" s="352"/>
      <c r="T753" s="352"/>
      <c r="U753" s="327"/>
      <c r="V753" s="352"/>
      <c r="W753" s="352"/>
      <c r="X753" s="327"/>
      <c r="Y753" s="352"/>
      <c r="Z753" s="352"/>
      <c r="AA753" s="327"/>
      <c r="AB753" s="352"/>
      <c r="AC753" s="352"/>
      <c r="AD753" s="327"/>
      <c r="AE753" s="352"/>
      <c r="AF753" s="352"/>
      <c r="AG753" s="327"/>
      <c r="AH753" s="352"/>
      <c r="AI753" s="352"/>
      <c r="AJ753" s="327"/>
      <c r="AK753" s="352"/>
      <c r="AL753" s="352"/>
      <c r="AM753" s="327"/>
      <c r="AN753" s="352"/>
      <c r="AO753" s="352"/>
      <c r="AP753" s="327"/>
      <c r="AQ753" s="352"/>
      <c r="AR753" s="327"/>
      <c r="AU753" s="307"/>
      <c r="AX753" s="307"/>
      <c r="BA753" s="307"/>
      <c r="BC753" s="366"/>
      <c r="BD753" s="307"/>
      <c r="BG753" s="307"/>
    </row>
    <row r="754">
      <c r="A754" s="352"/>
      <c r="B754" s="352"/>
      <c r="C754" s="327"/>
      <c r="D754" s="352"/>
      <c r="E754" s="352"/>
      <c r="F754" s="327"/>
      <c r="G754" s="352"/>
      <c r="H754" s="352"/>
      <c r="I754" s="327"/>
      <c r="J754" s="352"/>
      <c r="K754" s="352"/>
      <c r="L754" s="327"/>
      <c r="M754" s="352"/>
      <c r="N754" s="352"/>
      <c r="O754" s="327"/>
      <c r="P754" s="352"/>
      <c r="Q754" s="352"/>
      <c r="R754" s="327"/>
      <c r="S754" s="352"/>
      <c r="T754" s="352"/>
      <c r="U754" s="327"/>
      <c r="V754" s="352"/>
      <c r="W754" s="352"/>
      <c r="X754" s="327"/>
      <c r="Y754" s="352"/>
      <c r="Z754" s="352"/>
      <c r="AA754" s="327"/>
      <c r="AB754" s="352"/>
      <c r="AC754" s="352"/>
      <c r="AD754" s="327"/>
      <c r="AE754" s="352"/>
      <c r="AF754" s="352"/>
      <c r="AG754" s="327"/>
      <c r="AH754" s="352"/>
      <c r="AI754" s="352"/>
      <c r="AJ754" s="327"/>
      <c r="AK754" s="352"/>
      <c r="AL754" s="352"/>
      <c r="AM754" s="327"/>
      <c r="AN754" s="352"/>
      <c r="AO754" s="352"/>
      <c r="AP754" s="327"/>
      <c r="AQ754" s="352"/>
      <c r="AR754" s="327"/>
      <c r="AU754" s="307"/>
      <c r="AX754" s="307"/>
      <c r="BA754" s="307"/>
      <c r="BC754" s="366"/>
      <c r="BD754" s="307"/>
      <c r="BG754" s="307"/>
    </row>
    <row r="755">
      <c r="A755" s="352"/>
      <c r="B755" s="352"/>
      <c r="C755" s="327"/>
      <c r="D755" s="352"/>
      <c r="E755" s="352"/>
      <c r="F755" s="327"/>
      <c r="G755" s="352"/>
      <c r="H755" s="352"/>
      <c r="I755" s="327"/>
      <c r="J755" s="352"/>
      <c r="K755" s="352"/>
      <c r="L755" s="327"/>
      <c r="M755" s="352"/>
      <c r="N755" s="352"/>
      <c r="O755" s="327"/>
      <c r="P755" s="352"/>
      <c r="Q755" s="352"/>
      <c r="R755" s="327"/>
      <c r="S755" s="352"/>
      <c r="T755" s="352"/>
      <c r="U755" s="327"/>
      <c r="V755" s="352"/>
      <c r="W755" s="352"/>
      <c r="X755" s="327"/>
      <c r="Y755" s="352"/>
      <c r="Z755" s="352"/>
      <c r="AA755" s="327"/>
      <c r="AB755" s="352"/>
      <c r="AC755" s="352"/>
      <c r="AD755" s="327"/>
      <c r="AE755" s="352"/>
      <c r="AF755" s="352"/>
      <c r="AG755" s="327"/>
      <c r="AH755" s="352"/>
      <c r="AI755" s="352"/>
      <c r="AJ755" s="327"/>
      <c r="AK755" s="352"/>
      <c r="AL755" s="352"/>
      <c r="AM755" s="327"/>
      <c r="AN755" s="352"/>
      <c r="AO755" s="352"/>
      <c r="AP755" s="327"/>
      <c r="AQ755" s="352"/>
      <c r="AR755" s="327"/>
      <c r="AU755" s="307"/>
      <c r="AX755" s="307"/>
      <c r="BA755" s="307"/>
      <c r="BC755" s="366"/>
      <c r="BD755" s="307"/>
      <c r="BG755" s="307"/>
    </row>
    <row r="756">
      <c r="A756" s="352"/>
      <c r="B756" s="352"/>
      <c r="C756" s="327"/>
      <c r="D756" s="352"/>
      <c r="E756" s="352"/>
      <c r="F756" s="327"/>
      <c r="G756" s="352"/>
      <c r="H756" s="352"/>
      <c r="I756" s="327"/>
      <c r="J756" s="352"/>
      <c r="K756" s="352"/>
      <c r="L756" s="327"/>
      <c r="M756" s="352"/>
      <c r="N756" s="352"/>
      <c r="O756" s="327"/>
      <c r="P756" s="352"/>
      <c r="Q756" s="352"/>
      <c r="R756" s="327"/>
      <c r="S756" s="352"/>
      <c r="T756" s="352"/>
      <c r="U756" s="327"/>
      <c r="V756" s="352"/>
      <c r="W756" s="352"/>
      <c r="X756" s="327"/>
      <c r="Y756" s="352"/>
      <c r="Z756" s="352"/>
      <c r="AA756" s="327"/>
      <c r="AB756" s="352"/>
      <c r="AC756" s="352"/>
      <c r="AD756" s="327"/>
      <c r="AE756" s="352"/>
      <c r="AF756" s="352"/>
      <c r="AG756" s="327"/>
      <c r="AH756" s="352"/>
      <c r="AI756" s="352"/>
      <c r="AJ756" s="327"/>
      <c r="AK756" s="352"/>
      <c r="AL756" s="352"/>
      <c r="AM756" s="327"/>
      <c r="AN756" s="352"/>
      <c r="AO756" s="352"/>
      <c r="AP756" s="327"/>
      <c r="AQ756" s="352"/>
      <c r="AR756" s="327"/>
      <c r="AU756" s="307"/>
      <c r="AX756" s="307"/>
      <c r="BA756" s="307"/>
      <c r="BC756" s="366"/>
      <c r="BD756" s="307"/>
      <c r="BG756" s="307"/>
    </row>
    <row r="757">
      <c r="A757" s="352"/>
      <c r="B757" s="352"/>
      <c r="C757" s="327"/>
      <c r="D757" s="352"/>
      <c r="E757" s="352"/>
      <c r="F757" s="327"/>
      <c r="G757" s="352"/>
      <c r="H757" s="352"/>
      <c r="I757" s="327"/>
      <c r="J757" s="352"/>
      <c r="K757" s="352"/>
      <c r="L757" s="327"/>
      <c r="M757" s="352"/>
      <c r="N757" s="352"/>
      <c r="O757" s="327"/>
      <c r="P757" s="352"/>
      <c r="Q757" s="352"/>
      <c r="R757" s="327"/>
      <c r="S757" s="352"/>
      <c r="T757" s="352"/>
      <c r="U757" s="327"/>
      <c r="V757" s="352"/>
      <c r="W757" s="352"/>
      <c r="X757" s="327"/>
      <c r="Y757" s="352"/>
      <c r="Z757" s="352"/>
      <c r="AA757" s="327"/>
      <c r="AB757" s="352"/>
      <c r="AC757" s="352"/>
      <c r="AD757" s="327"/>
      <c r="AE757" s="352"/>
      <c r="AF757" s="352"/>
      <c r="AG757" s="327"/>
      <c r="AH757" s="352"/>
      <c r="AI757" s="352"/>
      <c r="AJ757" s="327"/>
      <c r="AK757" s="352"/>
      <c r="AL757" s="352"/>
      <c r="AM757" s="327"/>
      <c r="AN757" s="352"/>
      <c r="AO757" s="352"/>
      <c r="AP757" s="327"/>
      <c r="AQ757" s="352"/>
      <c r="AR757" s="327"/>
      <c r="AU757" s="307"/>
      <c r="AX757" s="307"/>
      <c r="BA757" s="307"/>
      <c r="BC757" s="366"/>
      <c r="BD757" s="307"/>
      <c r="BG757" s="307"/>
    </row>
    <row r="758">
      <c r="A758" s="352"/>
      <c r="B758" s="352"/>
      <c r="C758" s="327"/>
      <c r="D758" s="352"/>
      <c r="E758" s="352"/>
      <c r="F758" s="327"/>
      <c r="G758" s="352"/>
      <c r="H758" s="352"/>
      <c r="I758" s="327"/>
      <c r="J758" s="352"/>
      <c r="K758" s="352"/>
      <c r="L758" s="327"/>
      <c r="M758" s="352"/>
      <c r="N758" s="352"/>
      <c r="O758" s="327"/>
      <c r="P758" s="352"/>
      <c r="Q758" s="352"/>
      <c r="R758" s="327"/>
      <c r="S758" s="352"/>
      <c r="T758" s="352"/>
      <c r="U758" s="327"/>
      <c r="V758" s="352"/>
      <c r="W758" s="352"/>
      <c r="X758" s="327"/>
      <c r="Y758" s="352"/>
      <c r="Z758" s="352"/>
      <c r="AA758" s="327"/>
      <c r="AB758" s="352"/>
      <c r="AC758" s="352"/>
      <c r="AD758" s="327"/>
      <c r="AE758" s="352"/>
      <c r="AF758" s="352"/>
      <c r="AG758" s="327"/>
      <c r="AH758" s="352"/>
      <c r="AI758" s="352"/>
      <c r="AJ758" s="327"/>
      <c r="AK758" s="352"/>
      <c r="AL758" s="352"/>
      <c r="AM758" s="327"/>
      <c r="AN758" s="352"/>
      <c r="AO758" s="352"/>
      <c r="AP758" s="327"/>
      <c r="AQ758" s="352"/>
      <c r="AR758" s="327"/>
      <c r="AU758" s="307"/>
      <c r="AX758" s="307"/>
      <c r="BA758" s="307"/>
      <c r="BC758" s="366"/>
      <c r="BD758" s="307"/>
      <c r="BG758" s="307"/>
    </row>
    <row r="759">
      <c r="A759" s="352"/>
      <c r="B759" s="352"/>
      <c r="C759" s="327"/>
      <c r="D759" s="352"/>
      <c r="E759" s="352"/>
      <c r="F759" s="327"/>
      <c r="G759" s="352"/>
      <c r="H759" s="352"/>
      <c r="I759" s="327"/>
      <c r="J759" s="352"/>
      <c r="K759" s="352"/>
      <c r="L759" s="327"/>
      <c r="M759" s="352"/>
      <c r="N759" s="352"/>
      <c r="O759" s="327"/>
      <c r="P759" s="352"/>
      <c r="Q759" s="352"/>
      <c r="R759" s="327"/>
      <c r="S759" s="352"/>
      <c r="T759" s="352"/>
      <c r="U759" s="327"/>
      <c r="V759" s="352"/>
      <c r="W759" s="352"/>
      <c r="X759" s="327"/>
      <c r="Y759" s="352"/>
      <c r="Z759" s="352"/>
      <c r="AA759" s="327"/>
      <c r="AB759" s="352"/>
      <c r="AC759" s="352"/>
      <c r="AD759" s="327"/>
      <c r="AE759" s="352"/>
      <c r="AF759" s="352"/>
      <c r="AG759" s="327"/>
      <c r="AH759" s="352"/>
      <c r="AI759" s="352"/>
      <c r="AJ759" s="327"/>
      <c r="AK759" s="352"/>
      <c r="AL759" s="352"/>
      <c r="AM759" s="327"/>
      <c r="AN759" s="352"/>
      <c r="AO759" s="352"/>
      <c r="AP759" s="327"/>
      <c r="AQ759" s="352"/>
      <c r="AR759" s="327"/>
      <c r="AU759" s="307"/>
      <c r="AX759" s="307"/>
      <c r="BA759" s="307"/>
      <c r="BC759" s="366"/>
      <c r="BD759" s="307"/>
      <c r="BG759" s="307"/>
    </row>
    <row r="760">
      <c r="A760" s="352"/>
      <c r="B760" s="352"/>
      <c r="C760" s="327"/>
      <c r="D760" s="352"/>
      <c r="E760" s="352"/>
      <c r="F760" s="327"/>
      <c r="G760" s="352"/>
      <c r="H760" s="352"/>
      <c r="I760" s="327"/>
      <c r="J760" s="352"/>
      <c r="K760" s="352"/>
      <c r="L760" s="327"/>
      <c r="M760" s="352"/>
      <c r="N760" s="352"/>
      <c r="O760" s="327"/>
      <c r="P760" s="352"/>
      <c r="Q760" s="352"/>
      <c r="R760" s="327"/>
      <c r="S760" s="352"/>
      <c r="T760" s="352"/>
      <c r="U760" s="327"/>
      <c r="V760" s="352"/>
      <c r="W760" s="352"/>
      <c r="X760" s="327"/>
      <c r="Y760" s="352"/>
      <c r="Z760" s="352"/>
      <c r="AA760" s="327"/>
      <c r="AB760" s="352"/>
      <c r="AC760" s="352"/>
      <c r="AD760" s="327"/>
      <c r="AE760" s="352"/>
      <c r="AF760" s="352"/>
      <c r="AG760" s="327"/>
      <c r="AH760" s="352"/>
      <c r="AI760" s="352"/>
      <c r="AJ760" s="327"/>
      <c r="AK760" s="352"/>
      <c r="AL760" s="352"/>
      <c r="AM760" s="327"/>
      <c r="AN760" s="352"/>
      <c r="AO760" s="352"/>
      <c r="AP760" s="327"/>
      <c r="AQ760" s="352"/>
      <c r="AR760" s="327"/>
      <c r="AU760" s="307"/>
      <c r="AX760" s="307"/>
      <c r="BA760" s="307"/>
      <c r="BC760" s="366"/>
      <c r="BD760" s="307"/>
      <c r="BG760" s="307"/>
    </row>
    <row r="761">
      <c r="A761" s="352"/>
      <c r="B761" s="352"/>
      <c r="C761" s="327"/>
      <c r="D761" s="352"/>
      <c r="E761" s="352"/>
      <c r="F761" s="327"/>
      <c r="G761" s="352"/>
      <c r="H761" s="352"/>
      <c r="I761" s="327"/>
      <c r="J761" s="352"/>
      <c r="K761" s="352"/>
      <c r="L761" s="327"/>
      <c r="M761" s="352"/>
      <c r="N761" s="352"/>
      <c r="O761" s="327"/>
      <c r="P761" s="352"/>
      <c r="Q761" s="352"/>
      <c r="R761" s="327"/>
      <c r="S761" s="352"/>
      <c r="T761" s="352"/>
      <c r="U761" s="327"/>
      <c r="V761" s="352"/>
      <c r="W761" s="352"/>
      <c r="X761" s="327"/>
      <c r="Y761" s="352"/>
      <c r="Z761" s="352"/>
      <c r="AA761" s="327"/>
      <c r="AB761" s="352"/>
      <c r="AC761" s="352"/>
      <c r="AD761" s="327"/>
      <c r="AE761" s="352"/>
      <c r="AF761" s="352"/>
      <c r="AG761" s="327"/>
      <c r="AH761" s="352"/>
      <c r="AI761" s="352"/>
      <c r="AJ761" s="327"/>
      <c r="AK761" s="352"/>
      <c r="AL761" s="352"/>
      <c r="AM761" s="327"/>
      <c r="AN761" s="352"/>
      <c r="AO761" s="352"/>
      <c r="AP761" s="327"/>
      <c r="AQ761" s="352"/>
      <c r="AR761" s="327"/>
      <c r="AU761" s="307"/>
      <c r="AX761" s="307"/>
      <c r="BA761" s="307"/>
      <c r="BC761" s="366"/>
      <c r="BD761" s="307"/>
      <c r="BG761" s="307"/>
    </row>
    <row r="762">
      <c r="A762" s="352"/>
      <c r="B762" s="352"/>
      <c r="C762" s="327"/>
      <c r="D762" s="352"/>
      <c r="E762" s="352"/>
      <c r="F762" s="327"/>
      <c r="G762" s="352"/>
      <c r="H762" s="352"/>
      <c r="I762" s="327"/>
      <c r="J762" s="352"/>
      <c r="K762" s="352"/>
      <c r="L762" s="327"/>
      <c r="M762" s="352"/>
      <c r="N762" s="352"/>
      <c r="O762" s="327"/>
      <c r="P762" s="352"/>
      <c r="Q762" s="352"/>
      <c r="R762" s="327"/>
      <c r="S762" s="352"/>
      <c r="T762" s="352"/>
      <c r="U762" s="327"/>
      <c r="V762" s="352"/>
      <c r="W762" s="352"/>
      <c r="X762" s="327"/>
      <c r="Y762" s="352"/>
      <c r="Z762" s="352"/>
      <c r="AA762" s="327"/>
      <c r="AB762" s="352"/>
      <c r="AC762" s="352"/>
      <c r="AD762" s="327"/>
      <c r="AE762" s="352"/>
      <c r="AF762" s="352"/>
      <c r="AG762" s="327"/>
      <c r="AH762" s="352"/>
      <c r="AI762" s="352"/>
      <c r="AJ762" s="327"/>
      <c r="AK762" s="352"/>
      <c r="AL762" s="352"/>
      <c r="AM762" s="327"/>
      <c r="AN762" s="352"/>
      <c r="AO762" s="352"/>
      <c r="AP762" s="327"/>
      <c r="AQ762" s="352"/>
      <c r="AR762" s="327"/>
      <c r="AU762" s="307"/>
      <c r="AX762" s="307"/>
      <c r="BA762" s="307"/>
      <c r="BC762" s="366"/>
      <c r="BD762" s="307"/>
      <c r="BG762" s="307"/>
    </row>
    <row r="763">
      <c r="A763" s="352"/>
      <c r="B763" s="352"/>
      <c r="C763" s="327"/>
      <c r="D763" s="352"/>
      <c r="E763" s="352"/>
      <c r="F763" s="327"/>
      <c r="G763" s="352"/>
      <c r="H763" s="352"/>
      <c r="I763" s="327"/>
      <c r="J763" s="352"/>
      <c r="K763" s="352"/>
      <c r="L763" s="327"/>
      <c r="M763" s="352"/>
      <c r="N763" s="352"/>
      <c r="O763" s="327"/>
      <c r="P763" s="352"/>
      <c r="Q763" s="352"/>
      <c r="R763" s="327"/>
      <c r="S763" s="352"/>
      <c r="T763" s="352"/>
      <c r="U763" s="327"/>
      <c r="V763" s="352"/>
      <c r="W763" s="352"/>
      <c r="X763" s="327"/>
      <c r="Y763" s="352"/>
      <c r="Z763" s="352"/>
      <c r="AA763" s="327"/>
      <c r="AB763" s="352"/>
      <c r="AC763" s="352"/>
      <c r="AD763" s="327"/>
      <c r="AE763" s="352"/>
      <c r="AF763" s="352"/>
      <c r="AG763" s="327"/>
      <c r="AH763" s="352"/>
      <c r="AI763" s="352"/>
      <c r="AJ763" s="327"/>
      <c r="AK763" s="352"/>
      <c r="AL763" s="352"/>
      <c r="AM763" s="327"/>
      <c r="AN763" s="352"/>
      <c r="AO763" s="352"/>
      <c r="AP763" s="327"/>
      <c r="AQ763" s="352"/>
      <c r="AR763" s="327"/>
      <c r="AU763" s="307"/>
      <c r="AX763" s="307"/>
      <c r="BA763" s="307"/>
      <c r="BC763" s="366"/>
      <c r="BD763" s="307"/>
      <c r="BG763" s="307"/>
    </row>
    <row r="764">
      <c r="A764" s="352"/>
      <c r="B764" s="352"/>
      <c r="C764" s="327"/>
      <c r="D764" s="352"/>
      <c r="E764" s="352"/>
      <c r="F764" s="327"/>
      <c r="G764" s="352"/>
      <c r="H764" s="352"/>
      <c r="I764" s="327"/>
      <c r="J764" s="352"/>
      <c r="K764" s="352"/>
      <c r="L764" s="327"/>
      <c r="M764" s="352"/>
      <c r="N764" s="352"/>
      <c r="O764" s="327"/>
      <c r="P764" s="352"/>
      <c r="Q764" s="352"/>
      <c r="R764" s="327"/>
      <c r="S764" s="352"/>
      <c r="T764" s="352"/>
      <c r="U764" s="327"/>
      <c r="V764" s="352"/>
      <c r="W764" s="352"/>
      <c r="X764" s="327"/>
      <c r="Y764" s="352"/>
      <c r="Z764" s="352"/>
      <c r="AA764" s="327"/>
      <c r="AB764" s="352"/>
      <c r="AC764" s="352"/>
      <c r="AD764" s="327"/>
      <c r="AE764" s="352"/>
      <c r="AF764" s="352"/>
      <c r="AG764" s="327"/>
      <c r="AH764" s="352"/>
      <c r="AI764" s="352"/>
      <c r="AJ764" s="327"/>
      <c r="AK764" s="352"/>
      <c r="AL764" s="352"/>
      <c r="AM764" s="327"/>
      <c r="AN764" s="352"/>
      <c r="AO764" s="352"/>
      <c r="AP764" s="327"/>
      <c r="AQ764" s="352"/>
      <c r="AR764" s="327"/>
      <c r="AU764" s="307"/>
      <c r="AX764" s="307"/>
      <c r="BA764" s="307"/>
      <c r="BC764" s="366"/>
      <c r="BD764" s="307"/>
      <c r="BG764" s="307"/>
    </row>
    <row r="765">
      <c r="A765" s="352"/>
      <c r="B765" s="352"/>
      <c r="C765" s="327"/>
      <c r="D765" s="352"/>
      <c r="E765" s="352"/>
      <c r="F765" s="327"/>
      <c r="G765" s="352"/>
      <c r="H765" s="352"/>
      <c r="I765" s="327"/>
      <c r="J765" s="352"/>
      <c r="K765" s="352"/>
      <c r="L765" s="327"/>
      <c r="M765" s="352"/>
      <c r="N765" s="352"/>
      <c r="O765" s="327"/>
      <c r="P765" s="352"/>
      <c r="Q765" s="352"/>
      <c r="R765" s="327"/>
      <c r="S765" s="352"/>
      <c r="T765" s="352"/>
      <c r="U765" s="327"/>
      <c r="V765" s="352"/>
      <c r="W765" s="352"/>
      <c r="X765" s="327"/>
      <c r="Y765" s="352"/>
      <c r="Z765" s="352"/>
      <c r="AA765" s="327"/>
      <c r="AB765" s="352"/>
      <c r="AC765" s="352"/>
      <c r="AD765" s="327"/>
      <c r="AE765" s="352"/>
      <c r="AF765" s="352"/>
      <c r="AG765" s="327"/>
      <c r="AH765" s="352"/>
      <c r="AI765" s="352"/>
      <c r="AJ765" s="327"/>
      <c r="AK765" s="352"/>
      <c r="AL765" s="352"/>
      <c r="AM765" s="327"/>
      <c r="AN765" s="352"/>
      <c r="AO765" s="352"/>
      <c r="AP765" s="327"/>
      <c r="AQ765" s="352"/>
      <c r="AR765" s="327"/>
      <c r="AU765" s="307"/>
      <c r="AX765" s="307"/>
      <c r="BA765" s="307"/>
      <c r="BC765" s="366"/>
      <c r="BD765" s="307"/>
      <c r="BG765" s="307"/>
    </row>
    <row r="766">
      <c r="A766" s="352"/>
      <c r="B766" s="352"/>
      <c r="C766" s="327"/>
      <c r="D766" s="352"/>
      <c r="E766" s="352"/>
      <c r="F766" s="327"/>
      <c r="G766" s="352"/>
      <c r="H766" s="352"/>
      <c r="I766" s="327"/>
      <c r="J766" s="352"/>
      <c r="K766" s="352"/>
      <c r="L766" s="327"/>
      <c r="M766" s="352"/>
      <c r="N766" s="352"/>
      <c r="O766" s="327"/>
      <c r="P766" s="352"/>
      <c r="Q766" s="352"/>
      <c r="R766" s="327"/>
      <c r="S766" s="352"/>
      <c r="T766" s="352"/>
      <c r="U766" s="327"/>
      <c r="V766" s="352"/>
      <c r="W766" s="352"/>
      <c r="X766" s="327"/>
      <c r="Y766" s="352"/>
      <c r="Z766" s="352"/>
      <c r="AA766" s="327"/>
      <c r="AB766" s="352"/>
      <c r="AC766" s="352"/>
      <c r="AD766" s="327"/>
      <c r="AE766" s="352"/>
      <c r="AF766" s="352"/>
      <c r="AG766" s="327"/>
      <c r="AH766" s="352"/>
      <c r="AI766" s="352"/>
      <c r="AJ766" s="327"/>
      <c r="AK766" s="352"/>
      <c r="AL766" s="352"/>
      <c r="AM766" s="327"/>
      <c r="AN766" s="352"/>
      <c r="AO766" s="352"/>
      <c r="AP766" s="327"/>
      <c r="AQ766" s="352"/>
      <c r="AR766" s="327"/>
      <c r="AU766" s="307"/>
      <c r="AX766" s="307"/>
      <c r="BA766" s="307"/>
      <c r="BC766" s="366"/>
      <c r="BD766" s="307"/>
      <c r="BG766" s="307"/>
    </row>
    <row r="767">
      <c r="A767" s="352"/>
      <c r="B767" s="352"/>
      <c r="C767" s="327"/>
      <c r="D767" s="352"/>
      <c r="E767" s="352"/>
      <c r="F767" s="327"/>
      <c r="G767" s="352"/>
      <c r="H767" s="352"/>
      <c r="I767" s="327"/>
      <c r="J767" s="352"/>
      <c r="K767" s="352"/>
      <c r="L767" s="327"/>
      <c r="M767" s="352"/>
      <c r="N767" s="352"/>
      <c r="O767" s="327"/>
      <c r="P767" s="352"/>
      <c r="Q767" s="352"/>
      <c r="R767" s="327"/>
      <c r="S767" s="352"/>
      <c r="T767" s="352"/>
      <c r="U767" s="327"/>
      <c r="V767" s="352"/>
      <c r="W767" s="352"/>
      <c r="X767" s="327"/>
      <c r="Y767" s="352"/>
      <c r="Z767" s="352"/>
      <c r="AA767" s="327"/>
      <c r="AB767" s="352"/>
      <c r="AC767" s="352"/>
      <c r="AD767" s="327"/>
      <c r="AE767" s="352"/>
      <c r="AF767" s="352"/>
      <c r="AG767" s="327"/>
      <c r="AH767" s="352"/>
      <c r="AI767" s="352"/>
      <c r="AJ767" s="327"/>
      <c r="AK767" s="352"/>
      <c r="AL767" s="352"/>
      <c r="AM767" s="327"/>
      <c r="AN767" s="352"/>
      <c r="AO767" s="352"/>
      <c r="AP767" s="327"/>
      <c r="AQ767" s="352"/>
      <c r="AR767" s="327"/>
      <c r="AU767" s="307"/>
      <c r="AX767" s="307"/>
      <c r="BA767" s="307"/>
      <c r="BC767" s="366"/>
      <c r="BD767" s="307"/>
      <c r="BG767" s="307"/>
    </row>
    <row r="768">
      <c r="A768" s="352"/>
      <c r="B768" s="352"/>
      <c r="C768" s="327"/>
      <c r="D768" s="352"/>
      <c r="E768" s="352"/>
      <c r="F768" s="327"/>
      <c r="G768" s="352"/>
      <c r="H768" s="352"/>
      <c r="I768" s="327"/>
      <c r="J768" s="352"/>
      <c r="K768" s="352"/>
      <c r="L768" s="327"/>
      <c r="M768" s="352"/>
      <c r="N768" s="352"/>
      <c r="O768" s="327"/>
      <c r="P768" s="352"/>
      <c r="Q768" s="352"/>
      <c r="R768" s="327"/>
      <c r="S768" s="352"/>
      <c r="T768" s="352"/>
      <c r="U768" s="327"/>
      <c r="V768" s="352"/>
      <c r="W768" s="352"/>
      <c r="X768" s="327"/>
      <c r="Y768" s="352"/>
      <c r="Z768" s="352"/>
      <c r="AA768" s="327"/>
      <c r="AB768" s="352"/>
      <c r="AC768" s="352"/>
      <c r="AD768" s="327"/>
      <c r="AE768" s="352"/>
      <c r="AF768" s="352"/>
      <c r="AG768" s="327"/>
      <c r="AH768" s="352"/>
      <c r="AI768" s="352"/>
      <c r="AJ768" s="327"/>
      <c r="AK768" s="352"/>
      <c r="AL768" s="352"/>
      <c r="AM768" s="327"/>
      <c r="AN768" s="352"/>
      <c r="AO768" s="352"/>
      <c r="AP768" s="327"/>
      <c r="AQ768" s="352"/>
      <c r="AR768" s="327"/>
      <c r="AU768" s="307"/>
      <c r="AX768" s="307"/>
      <c r="BA768" s="307"/>
      <c r="BC768" s="366"/>
      <c r="BD768" s="307"/>
      <c r="BG768" s="307"/>
    </row>
    <row r="769">
      <c r="A769" s="352"/>
      <c r="B769" s="352"/>
      <c r="C769" s="327"/>
      <c r="D769" s="352"/>
      <c r="E769" s="352"/>
      <c r="F769" s="327"/>
      <c r="G769" s="352"/>
      <c r="H769" s="352"/>
      <c r="I769" s="327"/>
      <c r="J769" s="352"/>
      <c r="K769" s="352"/>
      <c r="L769" s="327"/>
      <c r="M769" s="352"/>
      <c r="N769" s="352"/>
      <c r="O769" s="327"/>
      <c r="P769" s="352"/>
      <c r="Q769" s="352"/>
      <c r="R769" s="327"/>
      <c r="S769" s="352"/>
      <c r="T769" s="352"/>
      <c r="U769" s="327"/>
      <c r="V769" s="352"/>
      <c r="W769" s="352"/>
      <c r="X769" s="327"/>
      <c r="Y769" s="352"/>
      <c r="Z769" s="352"/>
      <c r="AA769" s="327"/>
      <c r="AB769" s="352"/>
      <c r="AC769" s="352"/>
      <c r="AD769" s="327"/>
      <c r="AE769" s="352"/>
      <c r="AF769" s="352"/>
      <c r="AG769" s="327"/>
      <c r="AH769" s="352"/>
      <c r="AI769" s="352"/>
      <c r="AJ769" s="327"/>
      <c r="AK769" s="352"/>
      <c r="AL769" s="352"/>
      <c r="AM769" s="327"/>
      <c r="AN769" s="352"/>
      <c r="AO769" s="352"/>
      <c r="AP769" s="327"/>
      <c r="AQ769" s="352"/>
      <c r="AR769" s="327"/>
      <c r="AU769" s="307"/>
      <c r="AX769" s="307"/>
      <c r="BA769" s="307"/>
      <c r="BC769" s="366"/>
      <c r="BD769" s="307"/>
      <c r="BG769" s="307"/>
    </row>
    <row r="770">
      <c r="A770" s="352"/>
      <c r="B770" s="352"/>
      <c r="C770" s="327"/>
      <c r="D770" s="352"/>
      <c r="E770" s="352"/>
      <c r="F770" s="327"/>
      <c r="G770" s="352"/>
      <c r="H770" s="352"/>
      <c r="I770" s="327"/>
      <c r="J770" s="352"/>
      <c r="K770" s="352"/>
      <c r="L770" s="327"/>
      <c r="M770" s="352"/>
      <c r="N770" s="352"/>
      <c r="O770" s="327"/>
      <c r="P770" s="352"/>
      <c r="Q770" s="352"/>
      <c r="R770" s="327"/>
      <c r="S770" s="352"/>
      <c r="T770" s="352"/>
      <c r="U770" s="327"/>
      <c r="V770" s="352"/>
      <c r="W770" s="352"/>
      <c r="X770" s="327"/>
      <c r="Y770" s="352"/>
      <c r="Z770" s="352"/>
      <c r="AA770" s="327"/>
      <c r="AB770" s="352"/>
      <c r="AC770" s="352"/>
      <c r="AD770" s="327"/>
      <c r="AE770" s="352"/>
      <c r="AF770" s="352"/>
      <c r="AG770" s="327"/>
      <c r="AH770" s="352"/>
      <c r="AI770" s="352"/>
      <c r="AJ770" s="327"/>
      <c r="AK770" s="352"/>
      <c r="AL770" s="352"/>
      <c r="AM770" s="327"/>
      <c r="AN770" s="352"/>
      <c r="AO770" s="352"/>
      <c r="AP770" s="327"/>
      <c r="AQ770" s="352"/>
      <c r="AR770" s="327"/>
      <c r="AU770" s="307"/>
      <c r="AX770" s="307"/>
      <c r="BA770" s="307"/>
      <c r="BC770" s="366"/>
      <c r="BD770" s="307"/>
      <c r="BG770" s="307"/>
    </row>
    <row r="771">
      <c r="A771" s="352"/>
      <c r="B771" s="352"/>
      <c r="C771" s="327"/>
      <c r="D771" s="352"/>
      <c r="E771" s="352"/>
      <c r="F771" s="327"/>
      <c r="G771" s="352"/>
      <c r="H771" s="352"/>
      <c r="I771" s="327"/>
      <c r="J771" s="352"/>
      <c r="K771" s="352"/>
      <c r="L771" s="327"/>
      <c r="M771" s="352"/>
      <c r="N771" s="352"/>
      <c r="O771" s="327"/>
      <c r="P771" s="352"/>
      <c r="Q771" s="352"/>
      <c r="R771" s="327"/>
      <c r="S771" s="352"/>
      <c r="T771" s="352"/>
      <c r="U771" s="327"/>
      <c r="V771" s="352"/>
      <c r="W771" s="352"/>
      <c r="X771" s="327"/>
      <c r="Y771" s="352"/>
      <c r="Z771" s="352"/>
      <c r="AA771" s="327"/>
      <c r="AB771" s="352"/>
      <c r="AC771" s="352"/>
      <c r="AD771" s="327"/>
      <c r="AE771" s="352"/>
      <c r="AF771" s="352"/>
      <c r="AG771" s="327"/>
      <c r="AH771" s="352"/>
      <c r="AI771" s="352"/>
      <c r="AJ771" s="327"/>
      <c r="AK771" s="352"/>
      <c r="AL771" s="352"/>
      <c r="AM771" s="327"/>
      <c r="AN771" s="352"/>
      <c r="AO771" s="352"/>
      <c r="AP771" s="327"/>
      <c r="AQ771" s="352"/>
      <c r="AR771" s="327"/>
      <c r="AU771" s="307"/>
      <c r="AX771" s="307"/>
      <c r="BA771" s="307"/>
      <c r="BC771" s="366"/>
      <c r="BD771" s="307"/>
      <c r="BG771" s="307"/>
    </row>
    <row r="772">
      <c r="A772" s="352"/>
      <c r="B772" s="352"/>
      <c r="C772" s="327"/>
      <c r="D772" s="352"/>
      <c r="E772" s="352"/>
      <c r="F772" s="327"/>
      <c r="G772" s="352"/>
      <c r="H772" s="352"/>
      <c r="I772" s="327"/>
      <c r="J772" s="352"/>
      <c r="K772" s="352"/>
      <c r="L772" s="327"/>
      <c r="M772" s="352"/>
      <c r="N772" s="352"/>
      <c r="O772" s="327"/>
      <c r="P772" s="352"/>
      <c r="Q772" s="352"/>
      <c r="R772" s="327"/>
      <c r="S772" s="352"/>
      <c r="T772" s="352"/>
      <c r="U772" s="327"/>
      <c r="V772" s="352"/>
      <c r="W772" s="352"/>
      <c r="X772" s="327"/>
      <c r="Y772" s="352"/>
      <c r="Z772" s="352"/>
      <c r="AA772" s="327"/>
      <c r="AB772" s="352"/>
      <c r="AC772" s="352"/>
      <c r="AD772" s="327"/>
      <c r="AE772" s="352"/>
      <c r="AF772" s="352"/>
      <c r="AG772" s="327"/>
      <c r="AH772" s="352"/>
      <c r="AI772" s="352"/>
      <c r="AJ772" s="327"/>
      <c r="AK772" s="352"/>
      <c r="AL772" s="352"/>
      <c r="AM772" s="327"/>
      <c r="AN772" s="352"/>
      <c r="AO772" s="352"/>
      <c r="AP772" s="327"/>
      <c r="AQ772" s="352"/>
      <c r="AR772" s="327"/>
      <c r="AU772" s="307"/>
      <c r="AX772" s="307"/>
      <c r="BA772" s="307"/>
      <c r="BC772" s="366"/>
      <c r="BD772" s="307"/>
      <c r="BG772" s="307"/>
    </row>
    <row r="773">
      <c r="A773" s="352"/>
      <c r="B773" s="352"/>
      <c r="C773" s="327"/>
      <c r="D773" s="352"/>
      <c r="E773" s="352"/>
      <c r="F773" s="327"/>
      <c r="G773" s="352"/>
      <c r="H773" s="352"/>
      <c r="I773" s="327"/>
      <c r="J773" s="352"/>
      <c r="K773" s="352"/>
      <c r="L773" s="327"/>
      <c r="M773" s="352"/>
      <c r="N773" s="352"/>
      <c r="O773" s="327"/>
      <c r="P773" s="352"/>
      <c r="Q773" s="352"/>
      <c r="R773" s="327"/>
      <c r="S773" s="352"/>
      <c r="T773" s="352"/>
      <c r="U773" s="327"/>
      <c r="V773" s="352"/>
      <c r="W773" s="352"/>
      <c r="X773" s="327"/>
      <c r="Y773" s="352"/>
      <c r="Z773" s="352"/>
      <c r="AA773" s="327"/>
      <c r="AB773" s="352"/>
      <c r="AC773" s="352"/>
      <c r="AD773" s="327"/>
      <c r="AE773" s="352"/>
      <c r="AF773" s="352"/>
      <c r="AG773" s="327"/>
      <c r="AH773" s="352"/>
      <c r="AI773" s="352"/>
      <c r="AJ773" s="327"/>
      <c r="AK773" s="352"/>
      <c r="AL773" s="352"/>
      <c r="AM773" s="327"/>
      <c r="AN773" s="352"/>
      <c r="AO773" s="352"/>
      <c r="AP773" s="327"/>
      <c r="AQ773" s="352"/>
      <c r="AR773" s="327"/>
      <c r="AU773" s="307"/>
      <c r="AX773" s="307"/>
      <c r="BA773" s="307"/>
      <c r="BC773" s="366"/>
      <c r="BD773" s="307"/>
      <c r="BG773" s="307"/>
    </row>
    <row r="774">
      <c r="A774" s="352"/>
      <c r="B774" s="352"/>
      <c r="C774" s="327"/>
      <c r="D774" s="352"/>
      <c r="E774" s="352"/>
      <c r="F774" s="327"/>
      <c r="G774" s="352"/>
      <c r="H774" s="352"/>
      <c r="I774" s="327"/>
      <c r="J774" s="352"/>
      <c r="K774" s="352"/>
      <c r="L774" s="327"/>
      <c r="M774" s="352"/>
      <c r="N774" s="352"/>
      <c r="O774" s="327"/>
      <c r="P774" s="352"/>
      <c r="Q774" s="352"/>
      <c r="R774" s="327"/>
      <c r="S774" s="352"/>
      <c r="T774" s="352"/>
      <c r="U774" s="327"/>
      <c r="V774" s="352"/>
      <c r="W774" s="352"/>
      <c r="X774" s="327"/>
      <c r="Y774" s="352"/>
      <c r="Z774" s="352"/>
      <c r="AA774" s="327"/>
      <c r="AB774" s="352"/>
      <c r="AC774" s="352"/>
      <c r="AD774" s="327"/>
      <c r="AE774" s="352"/>
      <c r="AF774" s="352"/>
      <c r="AG774" s="327"/>
      <c r="AH774" s="352"/>
      <c r="AI774" s="352"/>
      <c r="AJ774" s="327"/>
      <c r="AK774" s="352"/>
      <c r="AL774" s="352"/>
      <c r="AM774" s="327"/>
      <c r="AN774" s="352"/>
      <c r="AO774" s="352"/>
      <c r="AP774" s="327"/>
      <c r="AQ774" s="352"/>
      <c r="AR774" s="327"/>
      <c r="AU774" s="307"/>
      <c r="AX774" s="307"/>
      <c r="BA774" s="307"/>
      <c r="BC774" s="366"/>
      <c r="BD774" s="307"/>
      <c r="BG774" s="307"/>
    </row>
    <row r="775">
      <c r="A775" s="352"/>
      <c r="B775" s="352"/>
      <c r="C775" s="327"/>
      <c r="D775" s="352"/>
      <c r="E775" s="352"/>
      <c r="F775" s="327"/>
      <c r="G775" s="352"/>
      <c r="H775" s="352"/>
      <c r="I775" s="327"/>
      <c r="J775" s="352"/>
      <c r="K775" s="352"/>
      <c r="L775" s="327"/>
      <c r="M775" s="352"/>
      <c r="N775" s="352"/>
      <c r="O775" s="327"/>
      <c r="P775" s="352"/>
      <c r="Q775" s="352"/>
      <c r="R775" s="327"/>
      <c r="S775" s="352"/>
      <c r="T775" s="352"/>
      <c r="U775" s="327"/>
      <c r="V775" s="352"/>
      <c r="W775" s="352"/>
      <c r="X775" s="327"/>
      <c r="Y775" s="352"/>
      <c r="Z775" s="352"/>
      <c r="AA775" s="327"/>
      <c r="AB775" s="352"/>
      <c r="AC775" s="352"/>
      <c r="AD775" s="327"/>
      <c r="AE775" s="352"/>
      <c r="AF775" s="352"/>
      <c r="AG775" s="327"/>
      <c r="AH775" s="352"/>
      <c r="AI775" s="352"/>
      <c r="AJ775" s="327"/>
      <c r="AK775" s="352"/>
      <c r="AL775" s="352"/>
      <c r="AM775" s="327"/>
      <c r="AN775" s="352"/>
      <c r="AO775" s="352"/>
      <c r="AP775" s="327"/>
      <c r="AQ775" s="352"/>
      <c r="AR775" s="327"/>
      <c r="AU775" s="307"/>
      <c r="AX775" s="307"/>
      <c r="BA775" s="307"/>
      <c r="BC775" s="366"/>
      <c r="BD775" s="307"/>
      <c r="BG775" s="307"/>
    </row>
    <row r="776">
      <c r="A776" s="352"/>
      <c r="B776" s="352"/>
      <c r="C776" s="327"/>
      <c r="D776" s="352"/>
      <c r="E776" s="352"/>
      <c r="F776" s="327"/>
      <c r="G776" s="352"/>
      <c r="H776" s="352"/>
      <c r="I776" s="327"/>
      <c r="J776" s="352"/>
      <c r="K776" s="352"/>
      <c r="L776" s="327"/>
      <c r="M776" s="352"/>
      <c r="N776" s="352"/>
      <c r="O776" s="327"/>
      <c r="P776" s="352"/>
      <c r="Q776" s="352"/>
      <c r="R776" s="327"/>
      <c r="S776" s="352"/>
      <c r="T776" s="352"/>
      <c r="U776" s="327"/>
      <c r="V776" s="352"/>
      <c r="W776" s="352"/>
      <c r="X776" s="327"/>
      <c r="Y776" s="352"/>
      <c r="Z776" s="352"/>
      <c r="AA776" s="327"/>
      <c r="AB776" s="352"/>
      <c r="AC776" s="352"/>
      <c r="AD776" s="327"/>
      <c r="AE776" s="352"/>
      <c r="AF776" s="352"/>
      <c r="AG776" s="327"/>
      <c r="AH776" s="352"/>
      <c r="AI776" s="352"/>
      <c r="AJ776" s="327"/>
      <c r="AK776" s="352"/>
      <c r="AL776" s="352"/>
      <c r="AM776" s="327"/>
      <c r="AN776" s="352"/>
      <c r="AO776" s="352"/>
      <c r="AP776" s="327"/>
      <c r="AQ776" s="352"/>
      <c r="AR776" s="327"/>
      <c r="AU776" s="307"/>
      <c r="AX776" s="307"/>
      <c r="BA776" s="307"/>
      <c r="BC776" s="366"/>
      <c r="BD776" s="307"/>
      <c r="BG776" s="307"/>
    </row>
    <row r="777">
      <c r="A777" s="352"/>
      <c r="B777" s="352"/>
      <c r="C777" s="327"/>
      <c r="D777" s="352"/>
      <c r="E777" s="352"/>
      <c r="F777" s="327"/>
      <c r="G777" s="352"/>
      <c r="H777" s="352"/>
      <c r="I777" s="327"/>
      <c r="J777" s="352"/>
      <c r="K777" s="352"/>
      <c r="L777" s="327"/>
      <c r="M777" s="352"/>
      <c r="N777" s="352"/>
      <c r="O777" s="327"/>
      <c r="P777" s="352"/>
      <c r="Q777" s="352"/>
      <c r="R777" s="327"/>
      <c r="S777" s="352"/>
      <c r="T777" s="352"/>
      <c r="U777" s="327"/>
      <c r="V777" s="352"/>
      <c r="W777" s="352"/>
      <c r="X777" s="327"/>
      <c r="Y777" s="352"/>
      <c r="Z777" s="352"/>
      <c r="AA777" s="327"/>
      <c r="AB777" s="352"/>
      <c r="AC777" s="352"/>
      <c r="AD777" s="327"/>
      <c r="AE777" s="352"/>
      <c r="AF777" s="352"/>
      <c r="AG777" s="327"/>
      <c r="AH777" s="352"/>
      <c r="AI777" s="352"/>
      <c r="AJ777" s="327"/>
      <c r="AK777" s="352"/>
      <c r="AL777" s="352"/>
      <c r="AM777" s="327"/>
      <c r="AN777" s="352"/>
      <c r="AO777" s="352"/>
      <c r="AP777" s="327"/>
      <c r="AQ777" s="352"/>
      <c r="AR777" s="327"/>
      <c r="AU777" s="307"/>
      <c r="AX777" s="307"/>
      <c r="BA777" s="307"/>
      <c r="BC777" s="366"/>
      <c r="BD777" s="307"/>
      <c r="BG777" s="307"/>
    </row>
    <row r="778">
      <c r="A778" s="352"/>
      <c r="B778" s="352"/>
      <c r="C778" s="327"/>
      <c r="D778" s="352"/>
      <c r="E778" s="352"/>
      <c r="F778" s="327"/>
      <c r="G778" s="352"/>
      <c r="H778" s="352"/>
      <c r="I778" s="327"/>
      <c r="J778" s="352"/>
      <c r="K778" s="352"/>
      <c r="L778" s="327"/>
      <c r="M778" s="352"/>
      <c r="N778" s="352"/>
      <c r="O778" s="327"/>
      <c r="P778" s="352"/>
      <c r="Q778" s="352"/>
      <c r="R778" s="327"/>
      <c r="S778" s="352"/>
      <c r="T778" s="352"/>
      <c r="U778" s="327"/>
      <c r="V778" s="352"/>
      <c r="W778" s="352"/>
      <c r="X778" s="327"/>
      <c r="Y778" s="352"/>
      <c r="Z778" s="352"/>
      <c r="AA778" s="327"/>
      <c r="AB778" s="352"/>
      <c r="AC778" s="352"/>
      <c r="AD778" s="327"/>
      <c r="AE778" s="352"/>
      <c r="AF778" s="352"/>
      <c r="AG778" s="327"/>
      <c r="AH778" s="352"/>
      <c r="AI778" s="352"/>
      <c r="AJ778" s="327"/>
      <c r="AK778" s="352"/>
      <c r="AL778" s="352"/>
      <c r="AM778" s="327"/>
      <c r="AN778" s="352"/>
      <c r="AO778" s="352"/>
      <c r="AP778" s="327"/>
      <c r="AQ778" s="352"/>
      <c r="AR778" s="327"/>
      <c r="AU778" s="307"/>
      <c r="AX778" s="307"/>
      <c r="BA778" s="307"/>
      <c r="BC778" s="366"/>
      <c r="BD778" s="307"/>
      <c r="BG778" s="307"/>
    </row>
    <row r="779">
      <c r="A779" s="352"/>
      <c r="B779" s="352"/>
      <c r="C779" s="327"/>
      <c r="D779" s="352"/>
      <c r="E779" s="352"/>
      <c r="F779" s="327"/>
      <c r="G779" s="352"/>
      <c r="H779" s="352"/>
      <c r="I779" s="327"/>
      <c r="J779" s="352"/>
      <c r="K779" s="352"/>
      <c r="L779" s="327"/>
      <c r="M779" s="352"/>
      <c r="N779" s="352"/>
      <c r="O779" s="327"/>
      <c r="P779" s="352"/>
      <c r="Q779" s="352"/>
      <c r="R779" s="327"/>
      <c r="S779" s="352"/>
      <c r="T779" s="352"/>
      <c r="U779" s="327"/>
      <c r="V779" s="352"/>
      <c r="W779" s="352"/>
      <c r="X779" s="327"/>
      <c r="Y779" s="352"/>
      <c r="Z779" s="352"/>
      <c r="AA779" s="327"/>
      <c r="AB779" s="352"/>
      <c r="AC779" s="352"/>
      <c r="AD779" s="327"/>
      <c r="AE779" s="352"/>
      <c r="AF779" s="352"/>
      <c r="AG779" s="327"/>
      <c r="AH779" s="352"/>
      <c r="AI779" s="352"/>
      <c r="AJ779" s="327"/>
      <c r="AK779" s="352"/>
      <c r="AL779" s="352"/>
      <c r="AM779" s="327"/>
      <c r="AN779" s="352"/>
      <c r="AO779" s="352"/>
      <c r="AP779" s="327"/>
      <c r="AQ779" s="352"/>
      <c r="AR779" s="327"/>
      <c r="AU779" s="307"/>
      <c r="AX779" s="307"/>
      <c r="BA779" s="307"/>
      <c r="BC779" s="366"/>
      <c r="BD779" s="307"/>
      <c r="BG779" s="307"/>
    </row>
    <row r="780">
      <c r="A780" s="352"/>
      <c r="B780" s="352"/>
      <c r="C780" s="327"/>
      <c r="D780" s="352"/>
      <c r="E780" s="352"/>
      <c r="F780" s="327"/>
      <c r="G780" s="352"/>
      <c r="H780" s="352"/>
      <c r="I780" s="327"/>
      <c r="J780" s="352"/>
      <c r="K780" s="352"/>
      <c r="L780" s="327"/>
      <c r="M780" s="352"/>
      <c r="N780" s="352"/>
      <c r="O780" s="327"/>
      <c r="P780" s="352"/>
      <c r="Q780" s="352"/>
      <c r="R780" s="327"/>
      <c r="S780" s="352"/>
      <c r="T780" s="352"/>
      <c r="U780" s="327"/>
      <c r="V780" s="352"/>
      <c r="W780" s="352"/>
      <c r="X780" s="327"/>
      <c r="Y780" s="352"/>
      <c r="Z780" s="352"/>
      <c r="AA780" s="327"/>
      <c r="AB780" s="352"/>
      <c r="AC780" s="352"/>
      <c r="AD780" s="327"/>
      <c r="AE780" s="352"/>
      <c r="AF780" s="352"/>
      <c r="AG780" s="327"/>
      <c r="AH780" s="352"/>
      <c r="AI780" s="352"/>
      <c r="AJ780" s="327"/>
      <c r="AK780" s="352"/>
      <c r="AL780" s="352"/>
      <c r="AM780" s="327"/>
      <c r="AN780" s="352"/>
      <c r="AO780" s="352"/>
      <c r="AP780" s="327"/>
      <c r="AQ780" s="352"/>
      <c r="AR780" s="327"/>
      <c r="AU780" s="307"/>
      <c r="AX780" s="307"/>
      <c r="BA780" s="307"/>
      <c r="BC780" s="366"/>
      <c r="BD780" s="307"/>
      <c r="BG780" s="307"/>
    </row>
    <row r="781">
      <c r="A781" s="352"/>
      <c r="B781" s="352"/>
      <c r="C781" s="327"/>
      <c r="D781" s="352"/>
      <c r="E781" s="352"/>
      <c r="F781" s="327"/>
      <c r="G781" s="352"/>
      <c r="H781" s="352"/>
      <c r="I781" s="327"/>
      <c r="J781" s="352"/>
      <c r="K781" s="352"/>
      <c r="L781" s="327"/>
      <c r="M781" s="352"/>
      <c r="N781" s="352"/>
      <c r="O781" s="327"/>
      <c r="P781" s="352"/>
      <c r="Q781" s="352"/>
      <c r="R781" s="327"/>
      <c r="S781" s="352"/>
      <c r="T781" s="352"/>
      <c r="U781" s="327"/>
      <c r="V781" s="352"/>
      <c r="W781" s="352"/>
      <c r="X781" s="327"/>
      <c r="Y781" s="352"/>
      <c r="Z781" s="352"/>
      <c r="AA781" s="327"/>
      <c r="AB781" s="352"/>
      <c r="AC781" s="352"/>
      <c r="AD781" s="327"/>
      <c r="AE781" s="352"/>
      <c r="AF781" s="352"/>
      <c r="AG781" s="327"/>
      <c r="AH781" s="352"/>
      <c r="AI781" s="352"/>
      <c r="AJ781" s="327"/>
      <c r="AK781" s="352"/>
      <c r="AL781" s="352"/>
      <c r="AM781" s="327"/>
      <c r="AN781" s="352"/>
      <c r="AO781" s="352"/>
      <c r="AP781" s="327"/>
      <c r="AQ781" s="352"/>
      <c r="AR781" s="327"/>
      <c r="AU781" s="307"/>
      <c r="AX781" s="307"/>
      <c r="BA781" s="307"/>
      <c r="BC781" s="366"/>
      <c r="BD781" s="307"/>
      <c r="BG781" s="307"/>
    </row>
    <row r="782">
      <c r="A782" s="352"/>
      <c r="B782" s="352"/>
      <c r="C782" s="327"/>
      <c r="D782" s="352"/>
      <c r="E782" s="352"/>
      <c r="F782" s="327"/>
      <c r="G782" s="352"/>
      <c r="H782" s="352"/>
      <c r="I782" s="327"/>
      <c r="J782" s="352"/>
      <c r="K782" s="352"/>
      <c r="L782" s="327"/>
      <c r="M782" s="352"/>
      <c r="N782" s="352"/>
      <c r="O782" s="327"/>
      <c r="P782" s="352"/>
      <c r="Q782" s="352"/>
      <c r="R782" s="327"/>
      <c r="S782" s="352"/>
      <c r="T782" s="352"/>
      <c r="U782" s="327"/>
      <c r="V782" s="352"/>
      <c r="W782" s="352"/>
      <c r="X782" s="327"/>
      <c r="Y782" s="352"/>
      <c r="Z782" s="352"/>
      <c r="AA782" s="327"/>
      <c r="AB782" s="352"/>
      <c r="AC782" s="352"/>
      <c r="AD782" s="327"/>
      <c r="AE782" s="352"/>
      <c r="AF782" s="352"/>
      <c r="AG782" s="327"/>
      <c r="AH782" s="352"/>
      <c r="AI782" s="352"/>
      <c r="AJ782" s="327"/>
      <c r="AK782" s="352"/>
      <c r="AL782" s="352"/>
      <c r="AM782" s="327"/>
      <c r="AN782" s="352"/>
      <c r="AO782" s="352"/>
      <c r="AP782" s="327"/>
      <c r="AQ782" s="352"/>
      <c r="AR782" s="327"/>
      <c r="AU782" s="307"/>
      <c r="AX782" s="307"/>
      <c r="BA782" s="307"/>
      <c r="BC782" s="366"/>
      <c r="BD782" s="307"/>
      <c r="BG782" s="307"/>
    </row>
    <row r="783">
      <c r="A783" s="352"/>
      <c r="B783" s="352"/>
      <c r="C783" s="327"/>
      <c r="D783" s="352"/>
      <c r="E783" s="352"/>
      <c r="F783" s="327"/>
      <c r="G783" s="352"/>
      <c r="H783" s="352"/>
      <c r="I783" s="327"/>
      <c r="J783" s="352"/>
      <c r="K783" s="352"/>
      <c r="L783" s="327"/>
      <c r="M783" s="352"/>
      <c r="N783" s="352"/>
      <c r="O783" s="327"/>
      <c r="P783" s="352"/>
      <c r="Q783" s="352"/>
      <c r="R783" s="327"/>
      <c r="S783" s="352"/>
      <c r="T783" s="352"/>
      <c r="U783" s="327"/>
      <c r="V783" s="352"/>
      <c r="W783" s="352"/>
      <c r="X783" s="327"/>
      <c r="Y783" s="352"/>
      <c r="Z783" s="352"/>
      <c r="AA783" s="327"/>
      <c r="AB783" s="352"/>
      <c r="AC783" s="352"/>
      <c r="AD783" s="327"/>
      <c r="AE783" s="352"/>
      <c r="AF783" s="352"/>
      <c r="AG783" s="327"/>
      <c r="AH783" s="352"/>
      <c r="AI783" s="352"/>
      <c r="AJ783" s="327"/>
      <c r="AK783" s="352"/>
      <c r="AL783" s="352"/>
      <c r="AM783" s="327"/>
      <c r="AN783" s="352"/>
      <c r="AO783" s="352"/>
      <c r="AP783" s="327"/>
      <c r="AQ783" s="352"/>
      <c r="AR783" s="327"/>
      <c r="AU783" s="307"/>
      <c r="AX783" s="307"/>
      <c r="BA783" s="307"/>
      <c r="BC783" s="366"/>
      <c r="BD783" s="307"/>
      <c r="BG783" s="307"/>
    </row>
    <row r="784">
      <c r="A784" s="352"/>
      <c r="B784" s="352"/>
      <c r="C784" s="327"/>
      <c r="D784" s="352"/>
      <c r="E784" s="352"/>
      <c r="F784" s="327"/>
      <c r="G784" s="352"/>
      <c r="H784" s="352"/>
      <c r="I784" s="327"/>
      <c r="J784" s="352"/>
      <c r="K784" s="352"/>
      <c r="L784" s="327"/>
      <c r="M784" s="352"/>
      <c r="N784" s="352"/>
      <c r="O784" s="327"/>
      <c r="P784" s="352"/>
      <c r="Q784" s="352"/>
      <c r="R784" s="327"/>
      <c r="S784" s="352"/>
      <c r="T784" s="352"/>
      <c r="U784" s="327"/>
      <c r="V784" s="352"/>
      <c r="W784" s="352"/>
      <c r="X784" s="327"/>
      <c r="Y784" s="352"/>
      <c r="Z784" s="352"/>
      <c r="AA784" s="327"/>
      <c r="AB784" s="352"/>
      <c r="AC784" s="352"/>
      <c r="AD784" s="327"/>
      <c r="AE784" s="352"/>
      <c r="AF784" s="352"/>
      <c r="AG784" s="327"/>
      <c r="AH784" s="352"/>
      <c r="AI784" s="352"/>
      <c r="AJ784" s="327"/>
      <c r="AK784" s="352"/>
      <c r="AL784" s="352"/>
      <c r="AM784" s="327"/>
      <c r="AN784" s="352"/>
      <c r="AO784" s="352"/>
      <c r="AP784" s="327"/>
      <c r="AQ784" s="352"/>
      <c r="AR784" s="327"/>
      <c r="AU784" s="307"/>
      <c r="AX784" s="307"/>
      <c r="BA784" s="307"/>
      <c r="BC784" s="366"/>
      <c r="BD784" s="307"/>
      <c r="BG784" s="307"/>
    </row>
    <row r="785">
      <c r="A785" s="352"/>
      <c r="B785" s="352"/>
      <c r="C785" s="327"/>
      <c r="D785" s="352"/>
      <c r="E785" s="352"/>
      <c r="F785" s="327"/>
      <c r="G785" s="352"/>
      <c r="H785" s="352"/>
      <c r="I785" s="327"/>
      <c r="J785" s="352"/>
      <c r="K785" s="352"/>
      <c r="L785" s="327"/>
      <c r="M785" s="352"/>
      <c r="N785" s="352"/>
      <c r="O785" s="327"/>
      <c r="P785" s="352"/>
      <c r="Q785" s="352"/>
      <c r="R785" s="327"/>
      <c r="S785" s="352"/>
      <c r="T785" s="352"/>
      <c r="U785" s="327"/>
      <c r="V785" s="352"/>
      <c r="W785" s="352"/>
      <c r="X785" s="327"/>
      <c r="Y785" s="352"/>
      <c r="Z785" s="352"/>
      <c r="AA785" s="327"/>
      <c r="AB785" s="352"/>
      <c r="AC785" s="352"/>
      <c r="AD785" s="327"/>
      <c r="AE785" s="352"/>
      <c r="AF785" s="352"/>
      <c r="AG785" s="327"/>
      <c r="AH785" s="352"/>
      <c r="AI785" s="352"/>
      <c r="AJ785" s="327"/>
      <c r="AK785" s="352"/>
      <c r="AL785" s="352"/>
      <c r="AM785" s="327"/>
      <c r="AN785" s="352"/>
      <c r="AO785" s="352"/>
      <c r="AP785" s="327"/>
      <c r="AQ785" s="352"/>
      <c r="AR785" s="327"/>
      <c r="AU785" s="307"/>
      <c r="AX785" s="307"/>
      <c r="BA785" s="307"/>
      <c r="BC785" s="366"/>
      <c r="BD785" s="307"/>
      <c r="BG785" s="307"/>
    </row>
    <row r="786">
      <c r="A786" s="352"/>
      <c r="B786" s="352"/>
      <c r="C786" s="327"/>
      <c r="D786" s="352"/>
      <c r="E786" s="352"/>
      <c r="F786" s="327"/>
      <c r="G786" s="352"/>
      <c r="H786" s="352"/>
      <c r="I786" s="327"/>
      <c r="J786" s="352"/>
      <c r="K786" s="352"/>
      <c r="L786" s="327"/>
      <c r="M786" s="352"/>
      <c r="N786" s="352"/>
      <c r="O786" s="327"/>
      <c r="P786" s="352"/>
      <c r="Q786" s="352"/>
      <c r="R786" s="327"/>
      <c r="S786" s="352"/>
      <c r="T786" s="352"/>
      <c r="U786" s="327"/>
      <c r="V786" s="352"/>
      <c r="W786" s="352"/>
      <c r="X786" s="327"/>
      <c r="Y786" s="352"/>
      <c r="Z786" s="352"/>
      <c r="AA786" s="327"/>
      <c r="AB786" s="352"/>
      <c r="AC786" s="352"/>
      <c r="AD786" s="327"/>
      <c r="AE786" s="352"/>
      <c r="AF786" s="352"/>
      <c r="AG786" s="327"/>
      <c r="AH786" s="352"/>
      <c r="AI786" s="352"/>
      <c r="AJ786" s="327"/>
      <c r="AK786" s="352"/>
      <c r="AL786" s="352"/>
      <c r="AM786" s="327"/>
      <c r="AN786" s="352"/>
      <c r="AO786" s="352"/>
      <c r="AP786" s="327"/>
      <c r="AQ786" s="352"/>
      <c r="AR786" s="327"/>
      <c r="AU786" s="307"/>
      <c r="AX786" s="307"/>
      <c r="BA786" s="307"/>
      <c r="BC786" s="366"/>
      <c r="BD786" s="307"/>
      <c r="BG786" s="307"/>
    </row>
    <row r="787">
      <c r="A787" s="352"/>
      <c r="B787" s="352"/>
      <c r="C787" s="327"/>
      <c r="D787" s="352"/>
      <c r="E787" s="352"/>
      <c r="F787" s="327"/>
      <c r="G787" s="352"/>
      <c r="H787" s="352"/>
      <c r="I787" s="327"/>
      <c r="J787" s="352"/>
      <c r="K787" s="352"/>
      <c r="L787" s="327"/>
      <c r="M787" s="352"/>
      <c r="N787" s="352"/>
      <c r="O787" s="327"/>
      <c r="P787" s="352"/>
      <c r="Q787" s="352"/>
      <c r="R787" s="327"/>
      <c r="S787" s="352"/>
      <c r="T787" s="352"/>
      <c r="U787" s="327"/>
      <c r="V787" s="352"/>
      <c r="W787" s="352"/>
      <c r="X787" s="327"/>
      <c r="Y787" s="352"/>
      <c r="Z787" s="352"/>
      <c r="AA787" s="327"/>
      <c r="AB787" s="352"/>
      <c r="AC787" s="352"/>
      <c r="AD787" s="327"/>
      <c r="AE787" s="352"/>
      <c r="AF787" s="352"/>
      <c r="AG787" s="327"/>
      <c r="AH787" s="352"/>
      <c r="AI787" s="352"/>
      <c r="AJ787" s="327"/>
      <c r="AK787" s="352"/>
      <c r="AL787" s="352"/>
      <c r="AM787" s="327"/>
      <c r="AN787" s="352"/>
      <c r="AO787" s="352"/>
      <c r="AP787" s="327"/>
      <c r="AQ787" s="352"/>
      <c r="AR787" s="327"/>
      <c r="AU787" s="307"/>
      <c r="AX787" s="307"/>
      <c r="BA787" s="307"/>
      <c r="BC787" s="366"/>
      <c r="BD787" s="307"/>
      <c r="BG787" s="307"/>
    </row>
    <row r="788">
      <c r="A788" s="352"/>
      <c r="B788" s="352"/>
      <c r="C788" s="327"/>
      <c r="D788" s="352"/>
      <c r="E788" s="352"/>
      <c r="F788" s="327"/>
      <c r="G788" s="352"/>
      <c r="H788" s="352"/>
      <c r="I788" s="327"/>
      <c r="J788" s="352"/>
      <c r="K788" s="352"/>
      <c r="L788" s="327"/>
      <c r="M788" s="352"/>
      <c r="N788" s="352"/>
      <c r="O788" s="327"/>
      <c r="P788" s="352"/>
      <c r="Q788" s="352"/>
      <c r="R788" s="327"/>
      <c r="S788" s="352"/>
      <c r="T788" s="352"/>
      <c r="U788" s="327"/>
      <c r="V788" s="352"/>
      <c r="W788" s="352"/>
      <c r="X788" s="327"/>
      <c r="Y788" s="352"/>
      <c r="Z788" s="352"/>
      <c r="AA788" s="327"/>
      <c r="AB788" s="352"/>
      <c r="AC788" s="352"/>
      <c r="AD788" s="327"/>
      <c r="AE788" s="352"/>
      <c r="AF788" s="352"/>
      <c r="AG788" s="327"/>
      <c r="AH788" s="352"/>
      <c r="AI788" s="352"/>
      <c r="AJ788" s="327"/>
      <c r="AK788" s="352"/>
      <c r="AL788" s="352"/>
      <c r="AM788" s="327"/>
      <c r="AN788" s="352"/>
      <c r="AO788" s="352"/>
      <c r="AP788" s="327"/>
      <c r="AQ788" s="352"/>
      <c r="AR788" s="327"/>
      <c r="AU788" s="307"/>
      <c r="AX788" s="307"/>
      <c r="BA788" s="307"/>
      <c r="BC788" s="366"/>
      <c r="BD788" s="307"/>
      <c r="BG788" s="307"/>
    </row>
    <row r="789">
      <c r="A789" s="352"/>
      <c r="B789" s="352"/>
      <c r="C789" s="327"/>
      <c r="D789" s="352"/>
      <c r="E789" s="352"/>
      <c r="F789" s="327"/>
      <c r="G789" s="352"/>
      <c r="H789" s="352"/>
      <c r="I789" s="327"/>
      <c r="J789" s="352"/>
      <c r="K789" s="352"/>
      <c r="L789" s="327"/>
      <c r="M789" s="352"/>
      <c r="N789" s="352"/>
      <c r="O789" s="327"/>
      <c r="P789" s="352"/>
      <c r="Q789" s="352"/>
      <c r="R789" s="327"/>
      <c r="S789" s="352"/>
      <c r="T789" s="352"/>
      <c r="U789" s="327"/>
      <c r="V789" s="352"/>
      <c r="W789" s="352"/>
      <c r="X789" s="327"/>
      <c r="Y789" s="352"/>
      <c r="Z789" s="352"/>
      <c r="AA789" s="327"/>
      <c r="AB789" s="352"/>
      <c r="AC789" s="352"/>
      <c r="AD789" s="327"/>
      <c r="AE789" s="352"/>
      <c r="AF789" s="352"/>
      <c r="AG789" s="327"/>
      <c r="AH789" s="352"/>
      <c r="AI789" s="352"/>
      <c r="AJ789" s="327"/>
      <c r="AK789" s="352"/>
      <c r="AL789" s="352"/>
      <c r="AM789" s="327"/>
      <c r="AN789" s="352"/>
      <c r="AO789" s="352"/>
      <c r="AP789" s="327"/>
      <c r="AQ789" s="352"/>
      <c r="AR789" s="327"/>
      <c r="AU789" s="307"/>
      <c r="AX789" s="307"/>
      <c r="BA789" s="307"/>
      <c r="BC789" s="366"/>
      <c r="BD789" s="307"/>
      <c r="BG789" s="307"/>
    </row>
    <row r="790">
      <c r="A790" s="352"/>
      <c r="B790" s="352"/>
      <c r="C790" s="327"/>
      <c r="D790" s="352"/>
      <c r="E790" s="352"/>
      <c r="F790" s="327"/>
      <c r="G790" s="352"/>
      <c r="H790" s="352"/>
      <c r="I790" s="327"/>
      <c r="J790" s="352"/>
      <c r="K790" s="352"/>
      <c r="L790" s="327"/>
      <c r="M790" s="352"/>
      <c r="N790" s="352"/>
      <c r="O790" s="327"/>
      <c r="P790" s="352"/>
      <c r="Q790" s="352"/>
      <c r="R790" s="327"/>
      <c r="S790" s="352"/>
      <c r="T790" s="352"/>
      <c r="U790" s="327"/>
      <c r="V790" s="352"/>
      <c r="W790" s="352"/>
      <c r="X790" s="327"/>
      <c r="Y790" s="352"/>
      <c r="Z790" s="352"/>
      <c r="AA790" s="327"/>
      <c r="AB790" s="352"/>
      <c r="AC790" s="352"/>
      <c r="AD790" s="327"/>
      <c r="AE790" s="352"/>
      <c r="AF790" s="352"/>
      <c r="AG790" s="327"/>
      <c r="AH790" s="352"/>
      <c r="AI790" s="352"/>
      <c r="AJ790" s="327"/>
      <c r="AK790" s="352"/>
      <c r="AL790" s="352"/>
      <c r="AM790" s="327"/>
      <c r="AN790" s="352"/>
      <c r="AO790" s="352"/>
      <c r="AP790" s="327"/>
      <c r="AQ790" s="352"/>
      <c r="AR790" s="327"/>
      <c r="AU790" s="307"/>
      <c r="AX790" s="307"/>
      <c r="BA790" s="307"/>
      <c r="BC790" s="366"/>
      <c r="BD790" s="307"/>
      <c r="BG790" s="307"/>
    </row>
    <row r="791">
      <c r="A791" s="352"/>
      <c r="B791" s="352"/>
      <c r="C791" s="327"/>
      <c r="D791" s="352"/>
      <c r="E791" s="352"/>
      <c r="F791" s="327"/>
      <c r="G791" s="352"/>
      <c r="H791" s="352"/>
      <c r="I791" s="327"/>
      <c r="J791" s="352"/>
      <c r="K791" s="352"/>
      <c r="L791" s="327"/>
      <c r="M791" s="352"/>
      <c r="N791" s="352"/>
      <c r="O791" s="327"/>
      <c r="P791" s="352"/>
      <c r="Q791" s="352"/>
      <c r="R791" s="327"/>
      <c r="S791" s="352"/>
      <c r="T791" s="352"/>
      <c r="U791" s="327"/>
      <c r="V791" s="352"/>
      <c r="W791" s="352"/>
      <c r="X791" s="327"/>
      <c r="Y791" s="352"/>
      <c r="Z791" s="352"/>
      <c r="AA791" s="327"/>
      <c r="AB791" s="352"/>
      <c r="AC791" s="352"/>
      <c r="AD791" s="327"/>
      <c r="AE791" s="352"/>
      <c r="AF791" s="352"/>
      <c r="AG791" s="327"/>
      <c r="AH791" s="352"/>
      <c r="AI791" s="352"/>
      <c r="AJ791" s="327"/>
      <c r="AK791" s="352"/>
      <c r="AL791" s="352"/>
      <c r="AM791" s="327"/>
      <c r="AN791" s="352"/>
      <c r="AO791" s="352"/>
      <c r="AP791" s="327"/>
      <c r="AQ791" s="352"/>
      <c r="AR791" s="327"/>
      <c r="AU791" s="307"/>
      <c r="AX791" s="307"/>
      <c r="BA791" s="307"/>
      <c r="BC791" s="366"/>
      <c r="BD791" s="307"/>
      <c r="BG791" s="307"/>
    </row>
    <row r="792">
      <c r="A792" s="352"/>
      <c r="B792" s="352"/>
      <c r="C792" s="327"/>
      <c r="D792" s="352"/>
      <c r="E792" s="352"/>
      <c r="F792" s="327"/>
      <c r="G792" s="352"/>
      <c r="H792" s="352"/>
      <c r="I792" s="327"/>
      <c r="J792" s="352"/>
      <c r="K792" s="352"/>
      <c r="L792" s="327"/>
      <c r="M792" s="352"/>
      <c r="N792" s="352"/>
      <c r="O792" s="327"/>
      <c r="P792" s="352"/>
      <c r="Q792" s="352"/>
      <c r="R792" s="327"/>
      <c r="S792" s="352"/>
      <c r="T792" s="352"/>
      <c r="U792" s="327"/>
      <c r="V792" s="352"/>
      <c r="W792" s="352"/>
      <c r="X792" s="327"/>
      <c r="Y792" s="352"/>
      <c r="Z792" s="352"/>
      <c r="AA792" s="327"/>
      <c r="AB792" s="352"/>
      <c r="AC792" s="352"/>
      <c r="AD792" s="327"/>
      <c r="AE792" s="352"/>
      <c r="AF792" s="352"/>
      <c r="AG792" s="327"/>
      <c r="AH792" s="352"/>
      <c r="AI792" s="352"/>
      <c r="AJ792" s="327"/>
      <c r="AK792" s="352"/>
      <c r="AL792" s="352"/>
      <c r="AM792" s="327"/>
      <c r="AN792" s="352"/>
      <c r="AO792" s="352"/>
      <c r="AP792" s="327"/>
      <c r="AQ792" s="352"/>
      <c r="AR792" s="327"/>
      <c r="AU792" s="307"/>
      <c r="AX792" s="307"/>
      <c r="BA792" s="307"/>
      <c r="BC792" s="366"/>
      <c r="BD792" s="307"/>
      <c r="BG792" s="307"/>
    </row>
    <row r="793">
      <c r="A793" s="352"/>
      <c r="B793" s="352"/>
      <c r="C793" s="327"/>
      <c r="D793" s="352"/>
      <c r="E793" s="352"/>
      <c r="F793" s="327"/>
      <c r="G793" s="352"/>
      <c r="H793" s="352"/>
      <c r="I793" s="327"/>
      <c r="J793" s="352"/>
      <c r="K793" s="352"/>
      <c r="L793" s="327"/>
      <c r="M793" s="352"/>
      <c r="N793" s="352"/>
      <c r="O793" s="327"/>
      <c r="P793" s="352"/>
      <c r="Q793" s="352"/>
      <c r="R793" s="327"/>
      <c r="S793" s="352"/>
      <c r="T793" s="352"/>
      <c r="U793" s="327"/>
      <c r="V793" s="352"/>
      <c r="W793" s="352"/>
      <c r="X793" s="327"/>
      <c r="Y793" s="352"/>
      <c r="Z793" s="352"/>
      <c r="AA793" s="327"/>
      <c r="AB793" s="352"/>
      <c r="AC793" s="352"/>
      <c r="AD793" s="327"/>
      <c r="AE793" s="352"/>
      <c r="AF793" s="352"/>
      <c r="AG793" s="327"/>
      <c r="AH793" s="352"/>
      <c r="AI793" s="352"/>
      <c r="AJ793" s="327"/>
      <c r="AK793" s="352"/>
      <c r="AL793" s="352"/>
      <c r="AM793" s="327"/>
      <c r="AN793" s="352"/>
      <c r="AO793" s="352"/>
      <c r="AP793" s="327"/>
      <c r="AQ793" s="352"/>
      <c r="AR793" s="327"/>
      <c r="AU793" s="307"/>
      <c r="AX793" s="307"/>
      <c r="BA793" s="307"/>
      <c r="BC793" s="366"/>
      <c r="BD793" s="307"/>
      <c r="BG793" s="307"/>
    </row>
    <row r="794">
      <c r="A794" s="352"/>
      <c r="B794" s="352"/>
      <c r="C794" s="327"/>
      <c r="D794" s="352"/>
      <c r="E794" s="352"/>
      <c r="F794" s="327"/>
      <c r="G794" s="352"/>
      <c r="H794" s="352"/>
      <c r="I794" s="327"/>
      <c r="J794" s="352"/>
      <c r="K794" s="352"/>
      <c r="L794" s="327"/>
      <c r="M794" s="352"/>
      <c r="N794" s="352"/>
      <c r="O794" s="327"/>
      <c r="P794" s="352"/>
      <c r="Q794" s="352"/>
      <c r="R794" s="327"/>
      <c r="S794" s="352"/>
      <c r="T794" s="352"/>
      <c r="U794" s="327"/>
      <c r="V794" s="352"/>
      <c r="W794" s="352"/>
      <c r="X794" s="327"/>
      <c r="Y794" s="352"/>
      <c r="Z794" s="352"/>
      <c r="AA794" s="327"/>
      <c r="AB794" s="352"/>
      <c r="AC794" s="352"/>
      <c r="AD794" s="327"/>
      <c r="AE794" s="352"/>
      <c r="AF794" s="352"/>
      <c r="AG794" s="327"/>
      <c r="AH794" s="352"/>
      <c r="AI794" s="352"/>
      <c r="AJ794" s="327"/>
      <c r="AK794" s="352"/>
      <c r="AL794" s="352"/>
      <c r="AM794" s="327"/>
      <c r="AN794" s="352"/>
      <c r="AO794" s="352"/>
      <c r="AP794" s="327"/>
      <c r="AQ794" s="352"/>
      <c r="AR794" s="327"/>
      <c r="AU794" s="307"/>
      <c r="AX794" s="307"/>
      <c r="BA794" s="307"/>
      <c r="BC794" s="366"/>
      <c r="BD794" s="307"/>
      <c r="BG794" s="307"/>
    </row>
    <row r="795">
      <c r="A795" s="352"/>
      <c r="B795" s="352"/>
      <c r="C795" s="327"/>
      <c r="D795" s="352"/>
      <c r="E795" s="352"/>
      <c r="F795" s="327"/>
      <c r="G795" s="352"/>
      <c r="H795" s="352"/>
      <c r="I795" s="327"/>
      <c r="J795" s="352"/>
      <c r="K795" s="352"/>
      <c r="L795" s="327"/>
      <c r="M795" s="352"/>
      <c r="N795" s="352"/>
      <c r="O795" s="327"/>
      <c r="P795" s="352"/>
      <c r="Q795" s="352"/>
      <c r="R795" s="327"/>
      <c r="S795" s="352"/>
      <c r="T795" s="352"/>
      <c r="U795" s="327"/>
      <c r="V795" s="352"/>
      <c r="W795" s="352"/>
      <c r="X795" s="327"/>
      <c r="Y795" s="352"/>
      <c r="Z795" s="352"/>
      <c r="AA795" s="327"/>
      <c r="AB795" s="352"/>
      <c r="AC795" s="352"/>
      <c r="AD795" s="327"/>
      <c r="AE795" s="352"/>
      <c r="AF795" s="352"/>
      <c r="AG795" s="327"/>
      <c r="AH795" s="352"/>
      <c r="AI795" s="352"/>
      <c r="AJ795" s="327"/>
      <c r="AK795" s="352"/>
      <c r="AL795" s="352"/>
      <c r="AM795" s="327"/>
      <c r="AN795" s="352"/>
      <c r="AO795" s="352"/>
      <c r="AP795" s="327"/>
      <c r="AQ795" s="352"/>
      <c r="AR795" s="327"/>
      <c r="AU795" s="307"/>
      <c r="AX795" s="307"/>
      <c r="BA795" s="307"/>
      <c r="BC795" s="366"/>
      <c r="BD795" s="307"/>
      <c r="BG795" s="307"/>
    </row>
    <row r="796">
      <c r="A796" s="352"/>
      <c r="B796" s="352"/>
      <c r="C796" s="327"/>
      <c r="D796" s="352"/>
      <c r="E796" s="352"/>
      <c r="F796" s="327"/>
      <c r="G796" s="352"/>
      <c r="H796" s="352"/>
      <c r="I796" s="327"/>
      <c r="J796" s="352"/>
      <c r="K796" s="352"/>
      <c r="L796" s="327"/>
      <c r="M796" s="352"/>
      <c r="N796" s="352"/>
      <c r="O796" s="327"/>
      <c r="P796" s="352"/>
      <c r="Q796" s="352"/>
      <c r="R796" s="327"/>
      <c r="S796" s="352"/>
      <c r="T796" s="352"/>
      <c r="U796" s="327"/>
      <c r="V796" s="352"/>
      <c r="W796" s="352"/>
      <c r="X796" s="327"/>
      <c r="Y796" s="352"/>
      <c r="Z796" s="352"/>
      <c r="AA796" s="327"/>
      <c r="AB796" s="352"/>
      <c r="AC796" s="352"/>
      <c r="AD796" s="327"/>
      <c r="AE796" s="352"/>
      <c r="AF796" s="352"/>
      <c r="AG796" s="327"/>
      <c r="AH796" s="352"/>
      <c r="AI796" s="352"/>
      <c r="AJ796" s="327"/>
      <c r="AK796" s="352"/>
      <c r="AL796" s="352"/>
      <c r="AM796" s="327"/>
      <c r="AN796" s="352"/>
      <c r="AO796" s="352"/>
      <c r="AP796" s="327"/>
      <c r="AQ796" s="352"/>
      <c r="AR796" s="327"/>
      <c r="AU796" s="307"/>
      <c r="AX796" s="307"/>
      <c r="BA796" s="307"/>
      <c r="BC796" s="366"/>
      <c r="BD796" s="307"/>
      <c r="BG796" s="307"/>
    </row>
    <row r="797">
      <c r="A797" s="352"/>
      <c r="B797" s="352"/>
      <c r="C797" s="327"/>
      <c r="D797" s="352"/>
      <c r="E797" s="352"/>
      <c r="F797" s="327"/>
      <c r="G797" s="352"/>
      <c r="H797" s="352"/>
      <c r="I797" s="327"/>
      <c r="J797" s="352"/>
      <c r="K797" s="352"/>
      <c r="L797" s="327"/>
      <c r="M797" s="352"/>
      <c r="N797" s="352"/>
      <c r="O797" s="327"/>
      <c r="P797" s="352"/>
      <c r="Q797" s="352"/>
      <c r="R797" s="327"/>
      <c r="S797" s="352"/>
      <c r="T797" s="352"/>
      <c r="U797" s="327"/>
      <c r="V797" s="352"/>
      <c r="W797" s="352"/>
      <c r="X797" s="327"/>
      <c r="Y797" s="352"/>
      <c r="Z797" s="352"/>
      <c r="AA797" s="327"/>
      <c r="AB797" s="352"/>
      <c r="AC797" s="352"/>
      <c r="AD797" s="327"/>
      <c r="AE797" s="352"/>
      <c r="AF797" s="352"/>
      <c r="AG797" s="327"/>
      <c r="AH797" s="352"/>
      <c r="AI797" s="352"/>
      <c r="AJ797" s="327"/>
      <c r="AK797" s="352"/>
      <c r="AL797" s="352"/>
      <c r="AM797" s="327"/>
      <c r="AN797" s="352"/>
      <c r="AO797" s="352"/>
      <c r="AP797" s="327"/>
      <c r="AQ797" s="352"/>
      <c r="AR797" s="327"/>
      <c r="AU797" s="307"/>
      <c r="AX797" s="307"/>
      <c r="BA797" s="307"/>
      <c r="BC797" s="366"/>
      <c r="BD797" s="307"/>
      <c r="BG797" s="307"/>
    </row>
    <row r="798">
      <c r="A798" s="352"/>
      <c r="B798" s="352"/>
      <c r="C798" s="327"/>
      <c r="D798" s="352"/>
      <c r="E798" s="352"/>
      <c r="F798" s="327"/>
      <c r="G798" s="352"/>
      <c r="H798" s="352"/>
      <c r="I798" s="327"/>
      <c r="J798" s="352"/>
      <c r="K798" s="352"/>
      <c r="L798" s="327"/>
      <c r="M798" s="352"/>
      <c r="N798" s="352"/>
      <c r="O798" s="327"/>
      <c r="P798" s="352"/>
      <c r="Q798" s="352"/>
      <c r="R798" s="327"/>
      <c r="S798" s="352"/>
      <c r="T798" s="352"/>
      <c r="U798" s="327"/>
      <c r="V798" s="352"/>
      <c r="W798" s="352"/>
      <c r="X798" s="327"/>
      <c r="Y798" s="352"/>
      <c r="Z798" s="352"/>
      <c r="AA798" s="327"/>
      <c r="AB798" s="352"/>
      <c r="AC798" s="352"/>
      <c r="AD798" s="327"/>
      <c r="AE798" s="352"/>
      <c r="AF798" s="352"/>
      <c r="AG798" s="327"/>
      <c r="AH798" s="352"/>
      <c r="AI798" s="352"/>
      <c r="AJ798" s="327"/>
      <c r="AK798" s="352"/>
      <c r="AL798" s="352"/>
      <c r="AM798" s="327"/>
      <c r="AN798" s="352"/>
      <c r="AO798" s="352"/>
      <c r="AP798" s="327"/>
      <c r="AQ798" s="352"/>
      <c r="AR798" s="327"/>
      <c r="AU798" s="307"/>
      <c r="AX798" s="307"/>
      <c r="BA798" s="307"/>
      <c r="BC798" s="366"/>
      <c r="BD798" s="307"/>
      <c r="BG798" s="307"/>
    </row>
    <row r="799">
      <c r="A799" s="352"/>
      <c r="B799" s="352"/>
      <c r="C799" s="327"/>
      <c r="D799" s="352"/>
      <c r="E799" s="352"/>
      <c r="F799" s="327"/>
      <c r="G799" s="352"/>
      <c r="H799" s="352"/>
      <c r="I799" s="327"/>
      <c r="J799" s="352"/>
      <c r="K799" s="352"/>
      <c r="L799" s="327"/>
      <c r="M799" s="352"/>
      <c r="N799" s="352"/>
      <c r="O799" s="327"/>
      <c r="P799" s="352"/>
      <c r="Q799" s="352"/>
      <c r="R799" s="327"/>
      <c r="S799" s="352"/>
      <c r="T799" s="352"/>
      <c r="U799" s="327"/>
      <c r="V799" s="352"/>
      <c r="W799" s="352"/>
      <c r="X799" s="327"/>
      <c r="Y799" s="352"/>
      <c r="Z799" s="352"/>
      <c r="AA799" s="327"/>
      <c r="AB799" s="352"/>
      <c r="AC799" s="352"/>
      <c r="AD799" s="327"/>
      <c r="AE799" s="352"/>
      <c r="AF799" s="352"/>
      <c r="AG799" s="327"/>
      <c r="AH799" s="352"/>
      <c r="AI799" s="352"/>
      <c r="AJ799" s="327"/>
      <c r="AK799" s="352"/>
      <c r="AL799" s="352"/>
      <c r="AM799" s="327"/>
      <c r="AN799" s="352"/>
      <c r="AO799" s="352"/>
      <c r="AP799" s="327"/>
      <c r="AQ799" s="352"/>
      <c r="AR799" s="327"/>
      <c r="AU799" s="307"/>
      <c r="AX799" s="307"/>
      <c r="BA799" s="307"/>
      <c r="BC799" s="366"/>
      <c r="BD799" s="307"/>
      <c r="BG799" s="307"/>
    </row>
    <row r="800">
      <c r="A800" s="352"/>
      <c r="B800" s="352"/>
      <c r="C800" s="327"/>
      <c r="D800" s="352"/>
      <c r="E800" s="352"/>
      <c r="F800" s="327"/>
      <c r="G800" s="352"/>
      <c r="H800" s="352"/>
      <c r="I800" s="327"/>
      <c r="J800" s="352"/>
      <c r="K800" s="352"/>
      <c r="L800" s="327"/>
      <c r="M800" s="352"/>
      <c r="N800" s="352"/>
      <c r="O800" s="327"/>
      <c r="P800" s="352"/>
      <c r="Q800" s="352"/>
      <c r="R800" s="327"/>
      <c r="S800" s="352"/>
      <c r="T800" s="352"/>
      <c r="U800" s="327"/>
      <c r="V800" s="352"/>
      <c r="W800" s="352"/>
      <c r="X800" s="327"/>
      <c r="Y800" s="352"/>
      <c r="Z800" s="352"/>
      <c r="AA800" s="327"/>
      <c r="AB800" s="352"/>
      <c r="AC800" s="352"/>
      <c r="AD800" s="327"/>
      <c r="AE800" s="352"/>
      <c r="AF800" s="352"/>
      <c r="AG800" s="327"/>
      <c r="AH800" s="352"/>
      <c r="AI800" s="352"/>
      <c r="AJ800" s="327"/>
      <c r="AK800" s="352"/>
      <c r="AL800" s="352"/>
      <c r="AM800" s="327"/>
      <c r="AN800" s="352"/>
      <c r="AO800" s="352"/>
      <c r="AP800" s="327"/>
      <c r="AQ800" s="352"/>
      <c r="AR800" s="327"/>
      <c r="AU800" s="307"/>
      <c r="AX800" s="307"/>
      <c r="BA800" s="307"/>
      <c r="BC800" s="366"/>
      <c r="BD800" s="307"/>
      <c r="BG800" s="307"/>
    </row>
    <row r="801">
      <c r="A801" s="352"/>
      <c r="B801" s="352"/>
      <c r="C801" s="327"/>
      <c r="D801" s="352"/>
      <c r="E801" s="352"/>
      <c r="F801" s="327"/>
      <c r="G801" s="352"/>
      <c r="H801" s="352"/>
      <c r="I801" s="327"/>
      <c r="J801" s="352"/>
      <c r="K801" s="352"/>
      <c r="L801" s="327"/>
      <c r="M801" s="352"/>
      <c r="N801" s="352"/>
      <c r="O801" s="327"/>
      <c r="P801" s="352"/>
      <c r="Q801" s="352"/>
      <c r="R801" s="327"/>
      <c r="S801" s="352"/>
      <c r="T801" s="352"/>
      <c r="U801" s="327"/>
      <c r="V801" s="352"/>
      <c r="W801" s="352"/>
      <c r="X801" s="327"/>
      <c r="Y801" s="352"/>
      <c r="Z801" s="352"/>
      <c r="AA801" s="327"/>
      <c r="AB801" s="352"/>
      <c r="AC801" s="352"/>
      <c r="AD801" s="327"/>
      <c r="AE801" s="352"/>
      <c r="AF801" s="352"/>
      <c r="AG801" s="327"/>
      <c r="AH801" s="352"/>
      <c r="AI801" s="352"/>
      <c r="AJ801" s="327"/>
      <c r="AK801" s="352"/>
      <c r="AL801" s="352"/>
      <c r="AM801" s="327"/>
      <c r="AN801" s="352"/>
      <c r="AO801" s="352"/>
      <c r="AP801" s="327"/>
      <c r="AQ801" s="352"/>
      <c r="AR801" s="327"/>
      <c r="AU801" s="307"/>
      <c r="AX801" s="307"/>
      <c r="BA801" s="307"/>
      <c r="BC801" s="366"/>
      <c r="BD801" s="307"/>
      <c r="BG801" s="307"/>
    </row>
    <row r="802">
      <c r="A802" s="352"/>
      <c r="B802" s="352"/>
      <c r="C802" s="327"/>
      <c r="D802" s="352"/>
      <c r="E802" s="352"/>
      <c r="F802" s="327"/>
      <c r="G802" s="352"/>
      <c r="H802" s="352"/>
      <c r="I802" s="327"/>
      <c r="J802" s="352"/>
      <c r="K802" s="352"/>
      <c r="L802" s="327"/>
      <c r="M802" s="352"/>
      <c r="N802" s="352"/>
      <c r="O802" s="327"/>
      <c r="P802" s="352"/>
      <c r="Q802" s="352"/>
      <c r="R802" s="327"/>
      <c r="S802" s="352"/>
      <c r="T802" s="352"/>
      <c r="U802" s="327"/>
      <c r="V802" s="352"/>
      <c r="W802" s="352"/>
      <c r="X802" s="327"/>
      <c r="Y802" s="352"/>
      <c r="Z802" s="352"/>
      <c r="AA802" s="327"/>
      <c r="AB802" s="352"/>
      <c r="AC802" s="352"/>
      <c r="AD802" s="327"/>
      <c r="AE802" s="352"/>
      <c r="AF802" s="352"/>
      <c r="AG802" s="327"/>
      <c r="AH802" s="352"/>
      <c r="AI802" s="352"/>
      <c r="AJ802" s="327"/>
      <c r="AK802" s="352"/>
      <c r="AL802" s="352"/>
      <c r="AM802" s="327"/>
      <c r="AN802" s="352"/>
      <c r="AO802" s="352"/>
      <c r="AP802" s="327"/>
      <c r="AQ802" s="352"/>
      <c r="AR802" s="327"/>
      <c r="AU802" s="307"/>
      <c r="AX802" s="307"/>
      <c r="BA802" s="307"/>
      <c r="BC802" s="366"/>
      <c r="BD802" s="307"/>
      <c r="BG802" s="307"/>
    </row>
    <row r="803">
      <c r="A803" s="352"/>
      <c r="B803" s="352"/>
      <c r="C803" s="327"/>
      <c r="D803" s="352"/>
      <c r="E803" s="352"/>
      <c r="F803" s="327"/>
      <c r="G803" s="352"/>
      <c r="H803" s="352"/>
      <c r="I803" s="327"/>
      <c r="J803" s="352"/>
      <c r="K803" s="352"/>
      <c r="L803" s="327"/>
      <c r="M803" s="352"/>
      <c r="N803" s="352"/>
      <c r="O803" s="327"/>
      <c r="P803" s="352"/>
      <c r="Q803" s="352"/>
      <c r="R803" s="327"/>
      <c r="S803" s="352"/>
      <c r="T803" s="352"/>
      <c r="U803" s="327"/>
      <c r="V803" s="352"/>
      <c r="W803" s="352"/>
      <c r="X803" s="327"/>
      <c r="Y803" s="352"/>
      <c r="Z803" s="352"/>
      <c r="AA803" s="327"/>
      <c r="AB803" s="352"/>
      <c r="AC803" s="352"/>
      <c r="AD803" s="327"/>
      <c r="AE803" s="352"/>
      <c r="AF803" s="352"/>
      <c r="AG803" s="327"/>
      <c r="AH803" s="352"/>
      <c r="AI803" s="352"/>
      <c r="AJ803" s="327"/>
      <c r="AK803" s="352"/>
      <c r="AL803" s="352"/>
      <c r="AM803" s="327"/>
      <c r="AN803" s="352"/>
      <c r="AO803" s="352"/>
      <c r="AP803" s="327"/>
      <c r="AQ803" s="352"/>
      <c r="AR803" s="327"/>
      <c r="AU803" s="307"/>
      <c r="AX803" s="307"/>
      <c r="BA803" s="307"/>
      <c r="BC803" s="366"/>
      <c r="BD803" s="307"/>
      <c r="BG803" s="307"/>
    </row>
    <row r="804">
      <c r="A804" s="352"/>
      <c r="B804" s="352"/>
      <c r="C804" s="327"/>
      <c r="D804" s="352"/>
      <c r="E804" s="352"/>
      <c r="F804" s="327"/>
      <c r="G804" s="352"/>
      <c r="H804" s="352"/>
      <c r="I804" s="327"/>
      <c r="J804" s="352"/>
      <c r="K804" s="352"/>
      <c r="L804" s="327"/>
      <c r="M804" s="352"/>
      <c r="N804" s="352"/>
      <c r="O804" s="327"/>
      <c r="P804" s="352"/>
      <c r="Q804" s="352"/>
      <c r="R804" s="327"/>
      <c r="S804" s="352"/>
      <c r="T804" s="352"/>
      <c r="U804" s="327"/>
      <c r="V804" s="352"/>
      <c r="W804" s="352"/>
      <c r="X804" s="327"/>
      <c r="Y804" s="352"/>
      <c r="Z804" s="352"/>
      <c r="AA804" s="327"/>
      <c r="AB804" s="352"/>
      <c r="AC804" s="352"/>
      <c r="AD804" s="327"/>
      <c r="AE804" s="352"/>
      <c r="AF804" s="352"/>
      <c r="AG804" s="327"/>
      <c r="AH804" s="352"/>
      <c r="AI804" s="352"/>
      <c r="AJ804" s="327"/>
      <c r="AK804" s="352"/>
      <c r="AL804" s="352"/>
      <c r="AM804" s="327"/>
      <c r="AN804" s="352"/>
      <c r="AO804" s="352"/>
      <c r="AP804" s="327"/>
      <c r="AQ804" s="352"/>
      <c r="AR804" s="327"/>
      <c r="AU804" s="307"/>
      <c r="AX804" s="307"/>
      <c r="BA804" s="307"/>
      <c r="BC804" s="366"/>
      <c r="BD804" s="307"/>
      <c r="BG804" s="307"/>
    </row>
    <row r="805">
      <c r="A805" s="352"/>
      <c r="B805" s="352"/>
      <c r="C805" s="327"/>
      <c r="D805" s="352"/>
      <c r="E805" s="352"/>
      <c r="F805" s="327"/>
      <c r="G805" s="352"/>
      <c r="H805" s="352"/>
      <c r="I805" s="327"/>
      <c r="J805" s="352"/>
      <c r="K805" s="352"/>
      <c r="L805" s="327"/>
      <c r="M805" s="352"/>
      <c r="N805" s="352"/>
      <c r="O805" s="327"/>
      <c r="P805" s="352"/>
      <c r="Q805" s="352"/>
      <c r="R805" s="327"/>
      <c r="S805" s="352"/>
      <c r="T805" s="352"/>
      <c r="U805" s="327"/>
      <c r="V805" s="352"/>
      <c r="W805" s="352"/>
      <c r="X805" s="327"/>
      <c r="Y805" s="352"/>
      <c r="Z805" s="352"/>
      <c r="AA805" s="327"/>
      <c r="AB805" s="352"/>
      <c r="AC805" s="352"/>
      <c r="AD805" s="327"/>
      <c r="AE805" s="352"/>
      <c r="AF805" s="352"/>
      <c r="AG805" s="327"/>
      <c r="AH805" s="352"/>
      <c r="AI805" s="352"/>
      <c r="AJ805" s="327"/>
      <c r="AK805" s="352"/>
      <c r="AL805" s="352"/>
      <c r="AM805" s="327"/>
      <c r="AN805" s="352"/>
      <c r="AO805" s="352"/>
      <c r="AP805" s="327"/>
      <c r="AQ805" s="352"/>
      <c r="AR805" s="327"/>
      <c r="AU805" s="307"/>
      <c r="AX805" s="307"/>
      <c r="BA805" s="307"/>
      <c r="BC805" s="366"/>
      <c r="BD805" s="307"/>
      <c r="BG805" s="307"/>
    </row>
    <row r="806">
      <c r="A806" s="352"/>
      <c r="B806" s="352"/>
      <c r="C806" s="327"/>
      <c r="D806" s="352"/>
      <c r="E806" s="352"/>
      <c r="F806" s="327"/>
      <c r="G806" s="352"/>
      <c r="H806" s="352"/>
      <c r="I806" s="327"/>
      <c r="J806" s="352"/>
      <c r="K806" s="352"/>
      <c r="L806" s="327"/>
      <c r="M806" s="352"/>
      <c r="N806" s="352"/>
      <c r="O806" s="327"/>
      <c r="P806" s="352"/>
      <c r="Q806" s="352"/>
      <c r="R806" s="327"/>
      <c r="S806" s="352"/>
      <c r="T806" s="352"/>
      <c r="U806" s="327"/>
      <c r="V806" s="352"/>
      <c r="W806" s="352"/>
      <c r="X806" s="327"/>
      <c r="Y806" s="352"/>
      <c r="Z806" s="352"/>
      <c r="AA806" s="327"/>
      <c r="AB806" s="352"/>
      <c r="AC806" s="352"/>
      <c r="AD806" s="327"/>
      <c r="AE806" s="352"/>
      <c r="AF806" s="352"/>
      <c r="AG806" s="327"/>
      <c r="AH806" s="352"/>
      <c r="AI806" s="352"/>
      <c r="AJ806" s="327"/>
      <c r="AK806" s="352"/>
      <c r="AL806" s="352"/>
      <c r="AM806" s="327"/>
      <c r="AN806" s="352"/>
      <c r="AO806" s="352"/>
      <c r="AP806" s="327"/>
      <c r="AQ806" s="352"/>
      <c r="AR806" s="327"/>
      <c r="AU806" s="307"/>
      <c r="AX806" s="307"/>
      <c r="BA806" s="307"/>
      <c r="BC806" s="366"/>
      <c r="BD806" s="307"/>
      <c r="BG806" s="307"/>
    </row>
    <row r="807">
      <c r="A807" s="352"/>
      <c r="B807" s="352"/>
      <c r="C807" s="327"/>
      <c r="D807" s="352"/>
      <c r="E807" s="352"/>
      <c r="F807" s="327"/>
      <c r="G807" s="352"/>
      <c r="H807" s="352"/>
      <c r="I807" s="327"/>
      <c r="J807" s="352"/>
      <c r="K807" s="352"/>
      <c r="L807" s="327"/>
      <c r="M807" s="352"/>
      <c r="N807" s="352"/>
      <c r="O807" s="327"/>
      <c r="P807" s="352"/>
      <c r="Q807" s="352"/>
      <c r="R807" s="327"/>
      <c r="S807" s="352"/>
      <c r="T807" s="352"/>
      <c r="U807" s="327"/>
      <c r="V807" s="352"/>
      <c r="W807" s="352"/>
      <c r="X807" s="327"/>
      <c r="Y807" s="352"/>
      <c r="Z807" s="352"/>
      <c r="AA807" s="327"/>
      <c r="AB807" s="352"/>
      <c r="AC807" s="352"/>
      <c r="AD807" s="327"/>
      <c r="AE807" s="352"/>
      <c r="AF807" s="352"/>
      <c r="AG807" s="327"/>
      <c r="AH807" s="352"/>
      <c r="AI807" s="352"/>
      <c r="AJ807" s="327"/>
      <c r="AK807" s="352"/>
      <c r="AL807" s="352"/>
      <c r="AM807" s="327"/>
      <c r="AN807" s="352"/>
      <c r="AO807" s="352"/>
      <c r="AP807" s="327"/>
      <c r="AQ807" s="352"/>
      <c r="AR807" s="327"/>
      <c r="AU807" s="307"/>
      <c r="AX807" s="307"/>
      <c r="BA807" s="307"/>
      <c r="BC807" s="366"/>
      <c r="BD807" s="307"/>
      <c r="BG807" s="307"/>
    </row>
    <row r="808">
      <c r="A808" s="352"/>
      <c r="B808" s="352"/>
      <c r="C808" s="327"/>
      <c r="D808" s="352"/>
      <c r="E808" s="352"/>
      <c r="F808" s="327"/>
      <c r="G808" s="352"/>
      <c r="H808" s="352"/>
      <c r="I808" s="327"/>
      <c r="J808" s="352"/>
      <c r="K808" s="352"/>
      <c r="L808" s="327"/>
      <c r="M808" s="352"/>
      <c r="N808" s="352"/>
      <c r="O808" s="327"/>
      <c r="P808" s="352"/>
      <c r="Q808" s="352"/>
      <c r="R808" s="327"/>
      <c r="S808" s="352"/>
      <c r="T808" s="352"/>
      <c r="U808" s="327"/>
      <c r="V808" s="352"/>
      <c r="W808" s="352"/>
      <c r="X808" s="327"/>
      <c r="Y808" s="352"/>
      <c r="Z808" s="352"/>
      <c r="AA808" s="327"/>
      <c r="AB808" s="352"/>
      <c r="AC808" s="352"/>
      <c r="AD808" s="327"/>
      <c r="AE808" s="352"/>
      <c r="AF808" s="352"/>
      <c r="AG808" s="327"/>
      <c r="AH808" s="352"/>
      <c r="AI808" s="352"/>
      <c r="AJ808" s="327"/>
      <c r="AK808" s="352"/>
      <c r="AL808" s="352"/>
      <c r="AM808" s="327"/>
      <c r="AN808" s="352"/>
      <c r="AO808" s="352"/>
      <c r="AP808" s="327"/>
      <c r="AQ808" s="352"/>
      <c r="AR808" s="327"/>
      <c r="AU808" s="307"/>
      <c r="AX808" s="307"/>
      <c r="BA808" s="307"/>
      <c r="BC808" s="366"/>
      <c r="BD808" s="307"/>
      <c r="BG808" s="307"/>
    </row>
    <row r="809">
      <c r="A809" s="352"/>
      <c r="B809" s="352"/>
      <c r="C809" s="327"/>
      <c r="D809" s="352"/>
      <c r="E809" s="352"/>
      <c r="F809" s="327"/>
      <c r="G809" s="352"/>
      <c r="H809" s="352"/>
      <c r="I809" s="327"/>
      <c r="J809" s="352"/>
      <c r="K809" s="352"/>
      <c r="L809" s="327"/>
      <c r="M809" s="352"/>
      <c r="N809" s="352"/>
      <c r="O809" s="327"/>
      <c r="P809" s="352"/>
      <c r="Q809" s="352"/>
      <c r="R809" s="327"/>
      <c r="S809" s="352"/>
      <c r="T809" s="352"/>
      <c r="U809" s="327"/>
      <c r="V809" s="352"/>
      <c r="W809" s="352"/>
      <c r="X809" s="327"/>
      <c r="Y809" s="352"/>
      <c r="Z809" s="352"/>
      <c r="AA809" s="327"/>
      <c r="AB809" s="352"/>
      <c r="AC809" s="352"/>
      <c r="AD809" s="327"/>
      <c r="AE809" s="352"/>
      <c r="AF809" s="352"/>
      <c r="AG809" s="327"/>
      <c r="AH809" s="352"/>
      <c r="AI809" s="352"/>
      <c r="AJ809" s="327"/>
      <c r="AK809" s="352"/>
      <c r="AL809" s="352"/>
      <c r="AM809" s="327"/>
      <c r="AN809" s="352"/>
      <c r="AO809" s="352"/>
      <c r="AP809" s="327"/>
      <c r="AQ809" s="352"/>
      <c r="AR809" s="327"/>
      <c r="AU809" s="307"/>
      <c r="AX809" s="307"/>
      <c r="BA809" s="307"/>
      <c r="BC809" s="366"/>
      <c r="BD809" s="307"/>
      <c r="BG809" s="307"/>
    </row>
    <row r="810">
      <c r="A810" s="352"/>
      <c r="B810" s="352"/>
      <c r="C810" s="327"/>
      <c r="D810" s="352"/>
      <c r="E810" s="352"/>
      <c r="F810" s="327"/>
      <c r="G810" s="352"/>
      <c r="H810" s="352"/>
      <c r="I810" s="327"/>
      <c r="J810" s="352"/>
      <c r="K810" s="352"/>
      <c r="L810" s="327"/>
      <c r="M810" s="352"/>
      <c r="N810" s="352"/>
      <c r="O810" s="327"/>
      <c r="P810" s="352"/>
      <c r="Q810" s="352"/>
      <c r="R810" s="327"/>
      <c r="S810" s="352"/>
      <c r="T810" s="352"/>
      <c r="U810" s="327"/>
      <c r="V810" s="352"/>
      <c r="W810" s="352"/>
      <c r="X810" s="327"/>
      <c r="Y810" s="352"/>
      <c r="Z810" s="352"/>
      <c r="AA810" s="327"/>
      <c r="AB810" s="352"/>
      <c r="AC810" s="352"/>
      <c r="AD810" s="327"/>
      <c r="AE810" s="352"/>
      <c r="AF810" s="352"/>
      <c r="AG810" s="327"/>
      <c r="AH810" s="352"/>
      <c r="AI810" s="352"/>
      <c r="AJ810" s="327"/>
      <c r="AK810" s="352"/>
      <c r="AL810" s="352"/>
      <c r="AM810" s="327"/>
      <c r="AN810" s="352"/>
      <c r="AO810" s="352"/>
      <c r="AP810" s="327"/>
      <c r="AQ810" s="352"/>
      <c r="AR810" s="327"/>
      <c r="AU810" s="307"/>
      <c r="AX810" s="307"/>
      <c r="BA810" s="307"/>
      <c r="BC810" s="366"/>
      <c r="BD810" s="307"/>
      <c r="BG810" s="307"/>
    </row>
    <row r="811">
      <c r="A811" s="352"/>
      <c r="B811" s="352"/>
      <c r="C811" s="327"/>
      <c r="D811" s="352"/>
      <c r="E811" s="352"/>
      <c r="F811" s="327"/>
      <c r="G811" s="352"/>
      <c r="H811" s="352"/>
      <c r="I811" s="327"/>
      <c r="J811" s="352"/>
      <c r="K811" s="352"/>
      <c r="L811" s="327"/>
      <c r="M811" s="352"/>
      <c r="N811" s="352"/>
      <c r="O811" s="327"/>
      <c r="P811" s="352"/>
      <c r="Q811" s="352"/>
      <c r="R811" s="327"/>
      <c r="S811" s="352"/>
      <c r="T811" s="352"/>
      <c r="U811" s="327"/>
      <c r="V811" s="352"/>
      <c r="W811" s="352"/>
      <c r="X811" s="327"/>
      <c r="Y811" s="352"/>
      <c r="Z811" s="352"/>
      <c r="AA811" s="327"/>
      <c r="AB811" s="352"/>
      <c r="AC811" s="352"/>
      <c r="AD811" s="327"/>
      <c r="AE811" s="352"/>
      <c r="AF811" s="352"/>
      <c r="AG811" s="327"/>
      <c r="AH811" s="352"/>
      <c r="AI811" s="352"/>
      <c r="AJ811" s="327"/>
      <c r="AK811" s="352"/>
      <c r="AL811" s="352"/>
      <c r="AM811" s="327"/>
      <c r="AN811" s="352"/>
      <c r="AO811" s="352"/>
      <c r="AP811" s="327"/>
      <c r="AQ811" s="352"/>
      <c r="AR811" s="327"/>
      <c r="AU811" s="307"/>
      <c r="AX811" s="307"/>
      <c r="BA811" s="307"/>
      <c r="BC811" s="366"/>
      <c r="BD811" s="307"/>
      <c r="BG811" s="307"/>
    </row>
    <row r="812">
      <c r="A812" s="352"/>
      <c r="B812" s="352"/>
      <c r="C812" s="327"/>
      <c r="D812" s="352"/>
      <c r="E812" s="352"/>
      <c r="F812" s="327"/>
      <c r="G812" s="352"/>
      <c r="H812" s="352"/>
      <c r="I812" s="327"/>
      <c r="J812" s="352"/>
      <c r="K812" s="352"/>
      <c r="L812" s="327"/>
      <c r="M812" s="352"/>
      <c r="N812" s="352"/>
      <c r="O812" s="327"/>
      <c r="P812" s="352"/>
      <c r="Q812" s="352"/>
      <c r="R812" s="327"/>
      <c r="S812" s="352"/>
      <c r="T812" s="352"/>
      <c r="U812" s="327"/>
      <c r="V812" s="352"/>
      <c r="W812" s="352"/>
      <c r="X812" s="327"/>
      <c r="Y812" s="352"/>
      <c r="Z812" s="352"/>
      <c r="AA812" s="327"/>
      <c r="AB812" s="352"/>
      <c r="AC812" s="352"/>
      <c r="AD812" s="327"/>
      <c r="AE812" s="352"/>
      <c r="AF812" s="352"/>
      <c r="AG812" s="327"/>
      <c r="AH812" s="352"/>
      <c r="AI812" s="352"/>
      <c r="AJ812" s="327"/>
      <c r="AK812" s="352"/>
      <c r="AL812" s="352"/>
      <c r="AM812" s="327"/>
      <c r="AN812" s="352"/>
      <c r="AO812" s="352"/>
      <c r="AP812" s="327"/>
      <c r="AQ812" s="352"/>
      <c r="AR812" s="327"/>
      <c r="AU812" s="307"/>
      <c r="AX812" s="307"/>
      <c r="BA812" s="307"/>
      <c r="BC812" s="366"/>
      <c r="BD812" s="307"/>
      <c r="BG812" s="307"/>
    </row>
    <row r="813">
      <c r="A813" s="352"/>
      <c r="B813" s="352"/>
      <c r="C813" s="327"/>
      <c r="D813" s="352"/>
      <c r="E813" s="352"/>
      <c r="F813" s="327"/>
      <c r="G813" s="352"/>
      <c r="H813" s="352"/>
      <c r="I813" s="327"/>
      <c r="J813" s="352"/>
      <c r="K813" s="352"/>
      <c r="L813" s="327"/>
      <c r="M813" s="352"/>
      <c r="N813" s="352"/>
      <c r="O813" s="327"/>
      <c r="P813" s="352"/>
      <c r="Q813" s="352"/>
      <c r="R813" s="327"/>
      <c r="S813" s="352"/>
      <c r="T813" s="352"/>
      <c r="U813" s="327"/>
      <c r="V813" s="352"/>
      <c r="W813" s="352"/>
      <c r="X813" s="327"/>
      <c r="Y813" s="352"/>
      <c r="Z813" s="352"/>
      <c r="AA813" s="327"/>
      <c r="AB813" s="352"/>
      <c r="AC813" s="352"/>
      <c r="AD813" s="327"/>
      <c r="AE813" s="352"/>
      <c r="AF813" s="352"/>
      <c r="AG813" s="327"/>
      <c r="AH813" s="352"/>
      <c r="AI813" s="352"/>
      <c r="AJ813" s="327"/>
      <c r="AK813" s="352"/>
      <c r="AL813" s="352"/>
      <c r="AM813" s="327"/>
      <c r="AN813" s="352"/>
      <c r="AO813" s="352"/>
      <c r="AP813" s="327"/>
      <c r="AQ813" s="352"/>
      <c r="AR813" s="327"/>
      <c r="AU813" s="307"/>
      <c r="AX813" s="307"/>
      <c r="BA813" s="307"/>
      <c r="BC813" s="366"/>
      <c r="BD813" s="307"/>
      <c r="BG813" s="307"/>
    </row>
    <row r="814">
      <c r="A814" s="352"/>
      <c r="B814" s="352"/>
      <c r="C814" s="327"/>
      <c r="D814" s="352"/>
      <c r="E814" s="352"/>
      <c r="F814" s="327"/>
      <c r="G814" s="352"/>
      <c r="H814" s="352"/>
      <c r="I814" s="327"/>
      <c r="J814" s="352"/>
      <c r="K814" s="352"/>
      <c r="L814" s="327"/>
      <c r="M814" s="352"/>
      <c r="N814" s="352"/>
      <c r="O814" s="327"/>
      <c r="P814" s="352"/>
      <c r="Q814" s="352"/>
      <c r="R814" s="327"/>
      <c r="S814" s="352"/>
      <c r="T814" s="352"/>
      <c r="U814" s="327"/>
      <c r="V814" s="352"/>
      <c r="W814" s="352"/>
      <c r="X814" s="327"/>
      <c r="Y814" s="352"/>
      <c r="Z814" s="352"/>
      <c r="AA814" s="327"/>
      <c r="AB814" s="352"/>
      <c r="AC814" s="352"/>
      <c r="AD814" s="327"/>
      <c r="AE814" s="352"/>
      <c r="AF814" s="352"/>
      <c r="AG814" s="327"/>
      <c r="AH814" s="352"/>
      <c r="AI814" s="352"/>
      <c r="AJ814" s="327"/>
      <c r="AK814" s="352"/>
      <c r="AL814" s="352"/>
      <c r="AM814" s="327"/>
      <c r="AN814" s="352"/>
      <c r="AO814" s="352"/>
      <c r="AP814" s="327"/>
      <c r="AQ814" s="352"/>
      <c r="AR814" s="327"/>
      <c r="AU814" s="307"/>
      <c r="AX814" s="307"/>
      <c r="BA814" s="307"/>
      <c r="BC814" s="366"/>
      <c r="BD814" s="307"/>
      <c r="BG814" s="307"/>
    </row>
    <row r="815">
      <c r="A815" s="352"/>
      <c r="B815" s="352"/>
      <c r="C815" s="327"/>
      <c r="D815" s="352"/>
      <c r="E815" s="352"/>
      <c r="F815" s="327"/>
      <c r="G815" s="352"/>
      <c r="H815" s="352"/>
      <c r="I815" s="327"/>
      <c r="J815" s="352"/>
      <c r="K815" s="352"/>
      <c r="L815" s="327"/>
      <c r="M815" s="352"/>
      <c r="N815" s="352"/>
      <c r="O815" s="327"/>
      <c r="P815" s="352"/>
      <c r="Q815" s="352"/>
      <c r="R815" s="327"/>
      <c r="S815" s="352"/>
      <c r="T815" s="352"/>
      <c r="U815" s="327"/>
      <c r="V815" s="352"/>
      <c r="W815" s="352"/>
      <c r="X815" s="327"/>
      <c r="Y815" s="352"/>
      <c r="Z815" s="352"/>
      <c r="AA815" s="327"/>
      <c r="AB815" s="352"/>
      <c r="AC815" s="352"/>
      <c r="AD815" s="327"/>
      <c r="AE815" s="352"/>
      <c r="AF815" s="352"/>
      <c r="AG815" s="327"/>
      <c r="AH815" s="352"/>
      <c r="AI815" s="352"/>
      <c r="AJ815" s="327"/>
      <c r="AK815" s="352"/>
      <c r="AL815" s="352"/>
      <c r="AM815" s="327"/>
      <c r="AN815" s="352"/>
      <c r="AO815" s="352"/>
      <c r="AP815" s="327"/>
      <c r="AQ815" s="352"/>
      <c r="AR815" s="327"/>
      <c r="AU815" s="307"/>
      <c r="AX815" s="307"/>
      <c r="BA815" s="307"/>
      <c r="BC815" s="366"/>
      <c r="BD815" s="307"/>
      <c r="BG815" s="307"/>
    </row>
    <row r="816">
      <c r="A816" s="352"/>
      <c r="B816" s="352"/>
      <c r="C816" s="327"/>
      <c r="D816" s="352"/>
      <c r="E816" s="352"/>
      <c r="F816" s="327"/>
      <c r="G816" s="352"/>
      <c r="H816" s="352"/>
      <c r="I816" s="327"/>
      <c r="J816" s="352"/>
      <c r="K816" s="352"/>
      <c r="L816" s="327"/>
      <c r="M816" s="352"/>
      <c r="N816" s="352"/>
      <c r="O816" s="327"/>
      <c r="P816" s="352"/>
      <c r="Q816" s="352"/>
      <c r="R816" s="327"/>
      <c r="S816" s="352"/>
      <c r="T816" s="352"/>
      <c r="U816" s="327"/>
      <c r="V816" s="352"/>
      <c r="W816" s="352"/>
      <c r="X816" s="327"/>
      <c r="Y816" s="352"/>
      <c r="Z816" s="352"/>
      <c r="AA816" s="327"/>
      <c r="AB816" s="352"/>
      <c r="AC816" s="352"/>
      <c r="AD816" s="327"/>
      <c r="AE816" s="352"/>
      <c r="AF816" s="352"/>
      <c r="AG816" s="327"/>
      <c r="AH816" s="352"/>
      <c r="AI816" s="352"/>
      <c r="AJ816" s="327"/>
      <c r="AK816" s="352"/>
      <c r="AL816" s="352"/>
      <c r="AM816" s="327"/>
      <c r="AN816" s="352"/>
      <c r="AO816" s="352"/>
      <c r="AP816" s="327"/>
      <c r="AQ816" s="352"/>
      <c r="AR816" s="327"/>
      <c r="AU816" s="307"/>
      <c r="AX816" s="307"/>
      <c r="BA816" s="307"/>
      <c r="BC816" s="366"/>
      <c r="BD816" s="307"/>
      <c r="BG816" s="307"/>
    </row>
    <row r="817">
      <c r="A817" s="352"/>
      <c r="B817" s="352"/>
      <c r="C817" s="327"/>
      <c r="D817" s="352"/>
      <c r="E817" s="352"/>
      <c r="F817" s="327"/>
      <c r="G817" s="352"/>
      <c r="H817" s="352"/>
      <c r="I817" s="327"/>
      <c r="J817" s="352"/>
      <c r="K817" s="352"/>
      <c r="L817" s="327"/>
      <c r="M817" s="352"/>
      <c r="N817" s="352"/>
      <c r="O817" s="327"/>
      <c r="P817" s="352"/>
      <c r="Q817" s="352"/>
      <c r="R817" s="327"/>
      <c r="S817" s="352"/>
      <c r="T817" s="352"/>
      <c r="U817" s="327"/>
      <c r="V817" s="352"/>
      <c r="W817" s="352"/>
      <c r="X817" s="327"/>
      <c r="Y817" s="352"/>
      <c r="Z817" s="352"/>
      <c r="AA817" s="327"/>
      <c r="AB817" s="352"/>
      <c r="AC817" s="352"/>
      <c r="AD817" s="327"/>
      <c r="AE817" s="352"/>
      <c r="AF817" s="352"/>
      <c r="AG817" s="327"/>
      <c r="AH817" s="352"/>
      <c r="AI817" s="352"/>
      <c r="AJ817" s="327"/>
      <c r="AK817" s="352"/>
      <c r="AL817" s="352"/>
      <c r="AM817" s="327"/>
      <c r="AN817" s="352"/>
      <c r="AO817" s="352"/>
      <c r="AP817" s="327"/>
      <c r="AQ817" s="352"/>
      <c r="AR817" s="327"/>
      <c r="AU817" s="307"/>
      <c r="AX817" s="307"/>
      <c r="BA817" s="307"/>
      <c r="BC817" s="366"/>
      <c r="BD817" s="307"/>
      <c r="BG817" s="307"/>
    </row>
    <row r="818">
      <c r="A818" s="352"/>
      <c r="B818" s="352"/>
      <c r="C818" s="327"/>
      <c r="D818" s="352"/>
      <c r="E818" s="352"/>
      <c r="F818" s="327"/>
      <c r="G818" s="352"/>
      <c r="H818" s="352"/>
      <c r="I818" s="327"/>
      <c r="J818" s="352"/>
      <c r="K818" s="352"/>
      <c r="L818" s="327"/>
      <c r="M818" s="352"/>
      <c r="N818" s="352"/>
      <c r="O818" s="327"/>
      <c r="P818" s="352"/>
      <c r="Q818" s="352"/>
      <c r="R818" s="327"/>
      <c r="S818" s="352"/>
      <c r="T818" s="352"/>
      <c r="U818" s="327"/>
      <c r="V818" s="352"/>
      <c r="W818" s="352"/>
      <c r="X818" s="327"/>
      <c r="Y818" s="352"/>
      <c r="Z818" s="352"/>
      <c r="AA818" s="327"/>
      <c r="AB818" s="352"/>
      <c r="AC818" s="352"/>
      <c r="AD818" s="327"/>
      <c r="AE818" s="352"/>
      <c r="AF818" s="352"/>
      <c r="AG818" s="327"/>
      <c r="AH818" s="352"/>
      <c r="AI818" s="352"/>
      <c r="AJ818" s="327"/>
      <c r="AK818" s="352"/>
      <c r="AL818" s="352"/>
      <c r="AM818" s="327"/>
      <c r="AN818" s="352"/>
      <c r="AO818" s="352"/>
      <c r="AP818" s="327"/>
      <c r="AQ818" s="352"/>
      <c r="AR818" s="327"/>
      <c r="AU818" s="307"/>
      <c r="AX818" s="307"/>
      <c r="BA818" s="307"/>
      <c r="BC818" s="366"/>
      <c r="BD818" s="307"/>
      <c r="BG818" s="307"/>
    </row>
    <row r="819">
      <c r="A819" s="352"/>
      <c r="B819" s="352"/>
      <c r="C819" s="327"/>
      <c r="D819" s="352"/>
      <c r="E819" s="352"/>
      <c r="F819" s="327"/>
      <c r="G819" s="352"/>
      <c r="H819" s="352"/>
      <c r="I819" s="327"/>
      <c r="J819" s="352"/>
      <c r="K819" s="352"/>
      <c r="L819" s="327"/>
      <c r="M819" s="352"/>
      <c r="N819" s="352"/>
      <c r="O819" s="327"/>
      <c r="P819" s="352"/>
      <c r="Q819" s="352"/>
      <c r="R819" s="327"/>
      <c r="S819" s="352"/>
      <c r="T819" s="352"/>
      <c r="U819" s="327"/>
      <c r="V819" s="352"/>
      <c r="W819" s="352"/>
      <c r="X819" s="327"/>
      <c r="Y819" s="352"/>
      <c r="Z819" s="352"/>
      <c r="AA819" s="327"/>
      <c r="AB819" s="352"/>
      <c r="AC819" s="352"/>
      <c r="AD819" s="327"/>
      <c r="AE819" s="352"/>
      <c r="AF819" s="352"/>
      <c r="AG819" s="327"/>
      <c r="AH819" s="352"/>
      <c r="AI819" s="352"/>
      <c r="AJ819" s="327"/>
      <c r="AK819" s="352"/>
      <c r="AL819" s="352"/>
      <c r="AM819" s="327"/>
      <c r="AN819" s="352"/>
      <c r="AO819" s="352"/>
      <c r="AP819" s="327"/>
      <c r="AQ819" s="352"/>
      <c r="AR819" s="327"/>
      <c r="AU819" s="307"/>
      <c r="AX819" s="307"/>
      <c r="BA819" s="307"/>
      <c r="BC819" s="366"/>
      <c r="BD819" s="307"/>
      <c r="BG819" s="307"/>
    </row>
    <row r="820">
      <c r="A820" s="352"/>
      <c r="B820" s="352"/>
      <c r="C820" s="327"/>
      <c r="D820" s="352"/>
      <c r="E820" s="352"/>
      <c r="F820" s="327"/>
      <c r="G820" s="352"/>
      <c r="H820" s="352"/>
      <c r="I820" s="327"/>
      <c r="J820" s="352"/>
      <c r="K820" s="352"/>
      <c r="L820" s="327"/>
      <c r="M820" s="352"/>
      <c r="N820" s="352"/>
      <c r="O820" s="327"/>
      <c r="P820" s="352"/>
      <c r="Q820" s="352"/>
      <c r="R820" s="327"/>
      <c r="S820" s="352"/>
      <c r="T820" s="352"/>
      <c r="U820" s="327"/>
      <c r="V820" s="352"/>
      <c r="W820" s="352"/>
      <c r="X820" s="327"/>
      <c r="Y820" s="352"/>
      <c r="Z820" s="352"/>
      <c r="AA820" s="327"/>
      <c r="AB820" s="352"/>
      <c r="AC820" s="352"/>
      <c r="AD820" s="327"/>
      <c r="AE820" s="352"/>
      <c r="AF820" s="352"/>
      <c r="AG820" s="327"/>
      <c r="AH820" s="352"/>
      <c r="AI820" s="352"/>
      <c r="AJ820" s="327"/>
      <c r="AK820" s="352"/>
      <c r="AL820" s="352"/>
      <c r="AM820" s="327"/>
      <c r="AN820" s="352"/>
      <c r="AO820" s="352"/>
      <c r="AP820" s="327"/>
      <c r="AQ820" s="352"/>
      <c r="AR820" s="327"/>
      <c r="AU820" s="307"/>
      <c r="AX820" s="307"/>
      <c r="BA820" s="307"/>
      <c r="BC820" s="366"/>
      <c r="BD820" s="307"/>
      <c r="BG820" s="307"/>
    </row>
    <row r="821">
      <c r="A821" s="352"/>
      <c r="B821" s="352"/>
      <c r="C821" s="327"/>
      <c r="D821" s="352"/>
      <c r="E821" s="352"/>
      <c r="F821" s="327"/>
      <c r="G821" s="352"/>
      <c r="H821" s="352"/>
      <c r="I821" s="327"/>
      <c r="J821" s="352"/>
      <c r="K821" s="352"/>
      <c r="L821" s="327"/>
      <c r="M821" s="352"/>
      <c r="N821" s="352"/>
      <c r="O821" s="327"/>
      <c r="P821" s="352"/>
      <c r="Q821" s="352"/>
      <c r="R821" s="327"/>
      <c r="S821" s="352"/>
      <c r="T821" s="352"/>
      <c r="U821" s="327"/>
      <c r="V821" s="352"/>
      <c r="W821" s="352"/>
      <c r="X821" s="327"/>
      <c r="Y821" s="352"/>
      <c r="Z821" s="352"/>
      <c r="AA821" s="327"/>
      <c r="AB821" s="352"/>
      <c r="AC821" s="352"/>
      <c r="AD821" s="327"/>
      <c r="AE821" s="352"/>
      <c r="AF821" s="352"/>
      <c r="AG821" s="327"/>
      <c r="AH821" s="352"/>
      <c r="AI821" s="352"/>
      <c r="AJ821" s="327"/>
      <c r="AK821" s="352"/>
      <c r="AL821" s="352"/>
      <c r="AM821" s="327"/>
      <c r="AN821" s="352"/>
      <c r="AO821" s="352"/>
      <c r="AP821" s="327"/>
      <c r="AQ821" s="352"/>
      <c r="AR821" s="327"/>
      <c r="AU821" s="307"/>
      <c r="AX821" s="307"/>
      <c r="BA821" s="307"/>
      <c r="BC821" s="366"/>
      <c r="BD821" s="307"/>
      <c r="BG821" s="307"/>
    </row>
    <row r="822">
      <c r="A822" s="352"/>
      <c r="B822" s="352"/>
      <c r="C822" s="327"/>
      <c r="D822" s="352"/>
      <c r="E822" s="352"/>
      <c r="F822" s="327"/>
      <c r="G822" s="352"/>
      <c r="H822" s="352"/>
      <c r="I822" s="327"/>
      <c r="J822" s="352"/>
      <c r="K822" s="352"/>
      <c r="L822" s="327"/>
      <c r="M822" s="352"/>
      <c r="N822" s="352"/>
      <c r="O822" s="327"/>
      <c r="P822" s="352"/>
      <c r="Q822" s="352"/>
      <c r="R822" s="327"/>
      <c r="S822" s="352"/>
      <c r="T822" s="352"/>
      <c r="U822" s="327"/>
      <c r="V822" s="352"/>
      <c r="W822" s="352"/>
      <c r="X822" s="327"/>
      <c r="Y822" s="352"/>
      <c r="Z822" s="352"/>
      <c r="AA822" s="327"/>
      <c r="AB822" s="352"/>
      <c r="AC822" s="352"/>
      <c r="AD822" s="327"/>
      <c r="AE822" s="352"/>
      <c r="AF822" s="352"/>
      <c r="AG822" s="327"/>
      <c r="AH822" s="352"/>
      <c r="AI822" s="352"/>
      <c r="AJ822" s="327"/>
      <c r="AK822" s="352"/>
      <c r="AL822" s="352"/>
      <c r="AM822" s="327"/>
      <c r="AN822" s="352"/>
      <c r="AO822" s="352"/>
      <c r="AP822" s="327"/>
      <c r="AQ822" s="352"/>
      <c r="AR822" s="327"/>
      <c r="AU822" s="307"/>
      <c r="AX822" s="307"/>
      <c r="BA822" s="307"/>
      <c r="BC822" s="366"/>
      <c r="BD822" s="307"/>
      <c r="BG822" s="307"/>
    </row>
    <row r="823">
      <c r="A823" s="352"/>
      <c r="B823" s="352"/>
      <c r="C823" s="327"/>
      <c r="D823" s="352"/>
      <c r="E823" s="352"/>
      <c r="F823" s="327"/>
      <c r="G823" s="352"/>
      <c r="H823" s="352"/>
      <c r="I823" s="327"/>
      <c r="J823" s="352"/>
      <c r="K823" s="352"/>
      <c r="L823" s="327"/>
      <c r="M823" s="352"/>
      <c r="N823" s="352"/>
      <c r="O823" s="327"/>
      <c r="P823" s="352"/>
      <c r="Q823" s="352"/>
      <c r="R823" s="327"/>
      <c r="S823" s="352"/>
      <c r="T823" s="352"/>
      <c r="U823" s="327"/>
      <c r="V823" s="352"/>
      <c r="W823" s="352"/>
      <c r="X823" s="327"/>
      <c r="Y823" s="352"/>
      <c r="Z823" s="352"/>
      <c r="AA823" s="327"/>
      <c r="AB823" s="352"/>
      <c r="AC823" s="352"/>
      <c r="AD823" s="327"/>
      <c r="AE823" s="352"/>
      <c r="AF823" s="352"/>
      <c r="AG823" s="327"/>
      <c r="AH823" s="352"/>
      <c r="AI823" s="352"/>
      <c r="AJ823" s="327"/>
      <c r="AK823" s="352"/>
      <c r="AL823" s="352"/>
      <c r="AM823" s="327"/>
      <c r="AN823" s="352"/>
      <c r="AO823" s="352"/>
      <c r="AP823" s="327"/>
      <c r="AQ823" s="352"/>
      <c r="AR823" s="327"/>
      <c r="AU823" s="307"/>
      <c r="AX823" s="307"/>
      <c r="BA823" s="307"/>
      <c r="BC823" s="366"/>
      <c r="BD823" s="307"/>
      <c r="BG823" s="307"/>
    </row>
    <row r="824">
      <c r="A824" s="352"/>
      <c r="B824" s="352"/>
      <c r="C824" s="327"/>
      <c r="D824" s="352"/>
      <c r="E824" s="352"/>
      <c r="F824" s="327"/>
      <c r="G824" s="352"/>
      <c r="H824" s="352"/>
      <c r="I824" s="327"/>
      <c r="J824" s="352"/>
      <c r="K824" s="352"/>
      <c r="L824" s="327"/>
      <c r="M824" s="352"/>
      <c r="N824" s="352"/>
      <c r="O824" s="327"/>
      <c r="P824" s="352"/>
      <c r="Q824" s="352"/>
      <c r="R824" s="327"/>
      <c r="S824" s="352"/>
      <c r="T824" s="352"/>
      <c r="U824" s="327"/>
      <c r="V824" s="352"/>
      <c r="W824" s="352"/>
      <c r="X824" s="327"/>
      <c r="Y824" s="352"/>
      <c r="Z824" s="352"/>
      <c r="AA824" s="327"/>
      <c r="AB824" s="352"/>
      <c r="AC824" s="352"/>
      <c r="AD824" s="327"/>
      <c r="AE824" s="352"/>
      <c r="AF824" s="352"/>
      <c r="AG824" s="327"/>
      <c r="AH824" s="352"/>
      <c r="AI824" s="352"/>
      <c r="AJ824" s="327"/>
      <c r="AK824" s="352"/>
      <c r="AL824" s="352"/>
      <c r="AM824" s="327"/>
      <c r="AN824" s="352"/>
      <c r="AO824" s="352"/>
      <c r="AP824" s="327"/>
      <c r="AQ824" s="352"/>
      <c r="AR824" s="327"/>
      <c r="AU824" s="307"/>
      <c r="AX824" s="307"/>
      <c r="BA824" s="307"/>
      <c r="BC824" s="366"/>
      <c r="BD824" s="307"/>
      <c r="BG824" s="307"/>
    </row>
    <row r="825">
      <c r="A825" s="352"/>
      <c r="B825" s="352"/>
      <c r="C825" s="327"/>
      <c r="D825" s="352"/>
      <c r="E825" s="352"/>
      <c r="F825" s="327"/>
      <c r="G825" s="352"/>
      <c r="H825" s="352"/>
      <c r="I825" s="327"/>
      <c r="J825" s="352"/>
      <c r="K825" s="352"/>
      <c r="L825" s="327"/>
      <c r="M825" s="352"/>
      <c r="N825" s="352"/>
      <c r="O825" s="327"/>
      <c r="P825" s="352"/>
      <c r="Q825" s="352"/>
      <c r="R825" s="327"/>
      <c r="S825" s="352"/>
      <c r="T825" s="352"/>
      <c r="U825" s="327"/>
      <c r="V825" s="352"/>
      <c r="W825" s="352"/>
      <c r="X825" s="327"/>
      <c r="Y825" s="352"/>
      <c r="Z825" s="352"/>
      <c r="AA825" s="327"/>
      <c r="AB825" s="352"/>
      <c r="AC825" s="352"/>
      <c r="AD825" s="327"/>
      <c r="AE825" s="352"/>
      <c r="AF825" s="352"/>
      <c r="AG825" s="327"/>
      <c r="AH825" s="352"/>
      <c r="AI825" s="352"/>
      <c r="AJ825" s="327"/>
      <c r="AK825" s="352"/>
      <c r="AL825" s="352"/>
      <c r="AM825" s="327"/>
      <c r="AN825" s="352"/>
      <c r="AO825" s="352"/>
      <c r="AP825" s="327"/>
      <c r="AQ825" s="352"/>
      <c r="AR825" s="327"/>
      <c r="AU825" s="307"/>
      <c r="AX825" s="307"/>
      <c r="BA825" s="307"/>
      <c r="BC825" s="366"/>
      <c r="BD825" s="307"/>
      <c r="BG825" s="307"/>
    </row>
    <row r="826">
      <c r="A826" s="352"/>
      <c r="B826" s="352"/>
      <c r="C826" s="327"/>
      <c r="D826" s="352"/>
      <c r="E826" s="352"/>
      <c r="F826" s="327"/>
      <c r="G826" s="352"/>
      <c r="H826" s="352"/>
      <c r="I826" s="327"/>
      <c r="J826" s="352"/>
      <c r="K826" s="352"/>
      <c r="L826" s="327"/>
      <c r="M826" s="352"/>
      <c r="N826" s="352"/>
      <c r="O826" s="327"/>
      <c r="P826" s="352"/>
      <c r="Q826" s="352"/>
      <c r="R826" s="327"/>
      <c r="S826" s="352"/>
      <c r="T826" s="352"/>
      <c r="U826" s="327"/>
      <c r="V826" s="352"/>
      <c r="W826" s="352"/>
      <c r="X826" s="327"/>
      <c r="Y826" s="352"/>
      <c r="Z826" s="352"/>
      <c r="AA826" s="327"/>
      <c r="AB826" s="352"/>
      <c r="AC826" s="352"/>
      <c r="AD826" s="327"/>
      <c r="AE826" s="352"/>
      <c r="AF826" s="352"/>
      <c r="AG826" s="327"/>
      <c r="AH826" s="352"/>
      <c r="AI826" s="352"/>
      <c r="AJ826" s="327"/>
      <c r="AK826" s="352"/>
      <c r="AL826" s="352"/>
      <c r="AM826" s="327"/>
      <c r="AN826" s="352"/>
      <c r="AO826" s="352"/>
      <c r="AP826" s="327"/>
      <c r="AQ826" s="352"/>
      <c r="AR826" s="327"/>
      <c r="AU826" s="307"/>
      <c r="AX826" s="307"/>
      <c r="BA826" s="307"/>
      <c r="BC826" s="366"/>
      <c r="BD826" s="307"/>
      <c r="BG826" s="307"/>
    </row>
    <row r="827">
      <c r="A827" s="352"/>
      <c r="B827" s="352"/>
      <c r="C827" s="327"/>
      <c r="D827" s="352"/>
      <c r="E827" s="352"/>
      <c r="F827" s="327"/>
      <c r="G827" s="352"/>
      <c r="H827" s="352"/>
      <c r="I827" s="327"/>
      <c r="J827" s="352"/>
      <c r="K827" s="352"/>
      <c r="L827" s="327"/>
      <c r="M827" s="352"/>
      <c r="N827" s="352"/>
      <c r="O827" s="327"/>
      <c r="P827" s="352"/>
      <c r="Q827" s="352"/>
      <c r="R827" s="327"/>
      <c r="S827" s="352"/>
      <c r="T827" s="352"/>
      <c r="U827" s="327"/>
      <c r="V827" s="352"/>
      <c r="W827" s="352"/>
      <c r="X827" s="327"/>
      <c r="Y827" s="352"/>
      <c r="Z827" s="352"/>
      <c r="AA827" s="327"/>
      <c r="AB827" s="352"/>
      <c r="AC827" s="352"/>
      <c r="AD827" s="327"/>
      <c r="AE827" s="352"/>
      <c r="AF827" s="352"/>
      <c r="AG827" s="327"/>
      <c r="AH827" s="352"/>
      <c r="AI827" s="352"/>
      <c r="AJ827" s="327"/>
      <c r="AK827" s="352"/>
      <c r="AL827" s="352"/>
      <c r="AM827" s="327"/>
      <c r="AN827" s="352"/>
      <c r="AO827" s="352"/>
      <c r="AP827" s="327"/>
      <c r="AQ827" s="352"/>
      <c r="AR827" s="327"/>
      <c r="AU827" s="307"/>
      <c r="AX827" s="307"/>
      <c r="BA827" s="307"/>
      <c r="BC827" s="366"/>
      <c r="BD827" s="307"/>
      <c r="BG827" s="307"/>
    </row>
    <row r="828">
      <c r="A828" s="352"/>
      <c r="B828" s="352"/>
      <c r="C828" s="327"/>
      <c r="D828" s="352"/>
      <c r="E828" s="352"/>
      <c r="F828" s="327"/>
      <c r="G828" s="352"/>
      <c r="H828" s="352"/>
      <c r="I828" s="327"/>
      <c r="J828" s="352"/>
      <c r="K828" s="352"/>
      <c r="L828" s="327"/>
      <c r="M828" s="352"/>
      <c r="N828" s="352"/>
      <c r="O828" s="327"/>
      <c r="P828" s="352"/>
      <c r="Q828" s="352"/>
      <c r="R828" s="327"/>
      <c r="S828" s="352"/>
      <c r="T828" s="352"/>
      <c r="U828" s="327"/>
      <c r="V828" s="352"/>
      <c r="W828" s="352"/>
      <c r="X828" s="327"/>
      <c r="Y828" s="352"/>
      <c r="Z828" s="352"/>
      <c r="AA828" s="327"/>
      <c r="AB828" s="352"/>
      <c r="AC828" s="352"/>
      <c r="AD828" s="327"/>
      <c r="AE828" s="352"/>
      <c r="AF828" s="352"/>
      <c r="AG828" s="327"/>
      <c r="AH828" s="352"/>
      <c r="AI828" s="352"/>
      <c r="AJ828" s="327"/>
      <c r="AK828" s="352"/>
      <c r="AL828" s="352"/>
      <c r="AM828" s="327"/>
      <c r="AN828" s="352"/>
      <c r="AO828" s="352"/>
      <c r="AP828" s="327"/>
      <c r="AQ828" s="352"/>
      <c r="AR828" s="327"/>
      <c r="AU828" s="307"/>
      <c r="AX828" s="307"/>
      <c r="BA828" s="307"/>
      <c r="BC828" s="366"/>
      <c r="BD828" s="307"/>
      <c r="BG828" s="307"/>
    </row>
    <row r="829">
      <c r="A829" s="352"/>
      <c r="B829" s="352"/>
      <c r="C829" s="327"/>
      <c r="D829" s="352"/>
      <c r="E829" s="352"/>
      <c r="F829" s="327"/>
      <c r="G829" s="352"/>
      <c r="H829" s="352"/>
      <c r="I829" s="327"/>
      <c r="J829" s="352"/>
      <c r="K829" s="352"/>
      <c r="L829" s="327"/>
      <c r="M829" s="352"/>
      <c r="N829" s="352"/>
      <c r="O829" s="327"/>
      <c r="P829" s="352"/>
      <c r="Q829" s="352"/>
      <c r="R829" s="327"/>
      <c r="S829" s="352"/>
      <c r="T829" s="352"/>
      <c r="U829" s="327"/>
      <c r="V829" s="352"/>
      <c r="W829" s="352"/>
      <c r="X829" s="327"/>
      <c r="Y829" s="352"/>
      <c r="Z829" s="352"/>
      <c r="AA829" s="327"/>
      <c r="AB829" s="352"/>
      <c r="AC829" s="352"/>
      <c r="AD829" s="327"/>
      <c r="AE829" s="352"/>
      <c r="AF829" s="352"/>
      <c r="AG829" s="327"/>
      <c r="AH829" s="352"/>
      <c r="AI829" s="352"/>
      <c r="AJ829" s="327"/>
      <c r="AK829" s="352"/>
      <c r="AL829" s="352"/>
      <c r="AM829" s="327"/>
      <c r="AN829" s="352"/>
      <c r="AO829" s="352"/>
      <c r="AP829" s="327"/>
      <c r="AQ829" s="352"/>
      <c r="AR829" s="327"/>
      <c r="AU829" s="307"/>
      <c r="AX829" s="307"/>
      <c r="BA829" s="307"/>
      <c r="BC829" s="366"/>
      <c r="BD829" s="307"/>
      <c r="BG829" s="307"/>
    </row>
    <row r="830">
      <c r="A830" s="352"/>
      <c r="B830" s="352"/>
      <c r="C830" s="327"/>
      <c r="D830" s="352"/>
      <c r="E830" s="352"/>
      <c r="F830" s="327"/>
      <c r="G830" s="352"/>
      <c r="H830" s="352"/>
      <c r="I830" s="327"/>
      <c r="J830" s="352"/>
      <c r="K830" s="352"/>
      <c r="L830" s="327"/>
      <c r="M830" s="352"/>
      <c r="N830" s="352"/>
      <c r="O830" s="327"/>
      <c r="P830" s="352"/>
      <c r="Q830" s="352"/>
      <c r="R830" s="327"/>
      <c r="S830" s="352"/>
      <c r="T830" s="352"/>
      <c r="U830" s="327"/>
      <c r="V830" s="352"/>
      <c r="W830" s="352"/>
      <c r="X830" s="327"/>
      <c r="Y830" s="352"/>
      <c r="Z830" s="352"/>
      <c r="AA830" s="327"/>
      <c r="AB830" s="352"/>
      <c r="AC830" s="352"/>
      <c r="AD830" s="327"/>
      <c r="AE830" s="352"/>
      <c r="AF830" s="352"/>
      <c r="AG830" s="327"/>
      <c r="AH830" s="352"/>
      <c r="AI830" s="352"/>
      <c r="AJ830" s="327"/>
      <c r="AK830" s="352"/>
      <c r="AL830" s="352"/>
      <c r="AM830" s="327"/>
      <c r="AN830" s="352"/>
      <c r="AO830" s="352"/>
      <c r="AP830" s="327"/>
      <c r="AQ830" s="352"/>
      <c r="AR830" s="327"/>
      <c r="AU830" s="307"/>
      <c r="AX830" s="307"/>
      <c r="BA830" s="307"/>
      <c r="BC830" s="366"/>
      <c r="BD830" s="307"/>
      <c r="BG830" s="307"/>
    </row>
    <row r="831">
      <c r="A831" s="352"/>
      <c r="B831" s="352"/>
      <c r="C831" s="327"/>
      <c r="D831" s="352"/>
      <c r="E831" s="352"/>
      <c r="F831" s="327"/>
      <c r="G831" s="352"/>
      <c r="H831" s="352"/>
      <c r="I831" s="327"/>
      <c r="J831" s="352"/>
      <c r="K831" s="352"/>
      <c r="L831" s="327"/>
      <c r="M831" s="352"/>
      <c r="N831" s="352"/>
      <c r="O831" s="327"/>
      <c r="P831" s="352"/>
      <c r="Q831" s="352"/>
      <c r="R831" s="327"/>
      <c r="S831" s="352"/>
      <c r="T831" s="352"/>
      <c r="U831" s="327"/>
      <c r="V831" s="352"/>
      <c r="W831" s="352"/>
      <c r="X831" s="327"/>
      <c r="Y831" s="352"/>
      <c r="Z831" s="352"/>
      <c r="AA831" s="327"/>
      <c r="AB831" s="352"/>
      <c r="AC831" s="352"/>
      <c r="AD831" s="327"/>
      <c r="AE831" s="352"/>
      <c r="AF831" s="352"/>
      <c r="AG831" s="327"/>
      <c r="AH831" s="352"/>
      <c r="AI831" s="352"/>
      <c r="AJ831" s="327"/>
      <c r="AK831" s="352"/>
      <c r="AL831" s="352"/>
      <c r="AM831" s="327"/>
      <c r="AN831" s="352"/>
      <c r="AO831" s="352"/>
      <c r="AP831" s="327"/>
      <c r="AQ831" s="352"/>
      <c r="AR831" s="327"/>
      <c r="AU831" s="307"/>
      <c r="AX831" s="307"/>
      <c r="BA831" s="307"/>
      <c r="BC831" s="366"/>
      <c r="BD831" s="307"/>
      <c r="BG831" s="307"/>
    </row>
    <row r="832">
      <c r="A832" s="352"/>
      <c r="B832" s="352"/>
      <c r="C832" s="327"/>
      <c r="D832" s="352"/>
      <c r="E832" s="352"/>
      <c r="F832" s="327"/>
      <c r="G832" s="352"/>
      <c r="H832" s="352"/>
      <c r="I832" s="327"/>
      <c r="J832" s="352"/>
      <c r="K832" s="352"/>
      <c r="L832" s="327"/>
      <c r="M832" s="352"/>
      <c r="N832" s="352"/>
      <c r="O832" s="327"/>
      <c r="P832" s="352"/>
      <c r="Q832" s="352"/>
      <c r="R832" s="327"/>
      <c r="S832" s="352"/>
      <c r="T832" s="352"/>
      <c r="U832" s="327"/>
      <c r="V832" s="352"/>
      <c r="W832" s="352"/>
      <c r="X832" s="327"/>
      <c r="Y832" s="352"/>
      <c r="Z832" s="352"/>
      <c r="AA832" s="327"/>
      <c r="AB832" s="352"/>
      <c r="AC832" s="352"/>
      <c r="AD832" s="327"/>
      <c r="AE832" s="352"/>
      <c r="AF832" s="352"/>
      <c r="AG832" s="327"/>
      <c r="AH832" s="352"/>
      <c r="AI832" s="352"/>
      <c r="AJ832" s="327"/>
      <c r="AK832" s="352"/>
      <c r="AL832" s="352"/>
      <c r="AM832" s="327"/>
      <c r="AN832" s="352"/>
      <c r="AO832" s="352"/>
      <c r="AP832" s="327"/>
      <c r="AQ832" s="352"/>
      <c r="AR832" s="327"/>
      <c r="AU832" s="307"/>
      <c r="AX832" s="307"/>
      <c r="BA832" s="307"/>
      <c r="BC832" s="366"/>
      <c r="BD832" s="307"/>
      <c r="BG832" s="307"/>
    </row>
    <row r="833">
      <c r="A833" s="352"/>
      <c r="B833" s="352"/>
      <c r="C833" s="327"/>
      <c r="D833" s="352"/>
      <c r="E833" s="352"/>
      <c r="F833" s="327"/>
      <c r="G833" s="352"/>
      <c r="H833" s="352"/>
      <c r="I833" s="327"/>
      <c r="J833" s="352"/>
      <c r="K833" s="352"/>
      <c r="L833" s="327"/>
      <c r="M833" s="352"/>
      <c r="N833" s="352"/>
      <c r="O833" s="327"/>
      <c r="P833" s="352"/>
      <c r="Q833" s="352"/>
      <c r="R833" s="327"/>
      <c r="S833" s="352"/>
      <c r="T833" s="352"/>
      <c r="U833" s="327"/>
      <c r="V833" s="352"/>
      <c r="W833" s="352"/>
      <c r="X833" s="327"/>
      <c r="Y833" s="352"/>
      <c r="Z833" s="352"/>
      <c r="AA833" s="327"/>
      <c r="AB833" s="352"/>
      <c r="AC833" s="352"/>
      <c r="AD833" s="327"/>
      <c r="AE833" s="352"/>
      <c r="AF833" s="352"/>
      <c r="AG833" s="327"/>
      <c r="AH833" s="352"/>
      <c r="AI833" s="352"/>
      <c r="AJ833" s="327"/>
      <c r="AK833" s="352"/>
      <c r="AL833" s="352"/>
      <c r="AM833" s="327"/>
      <c r="AN833" s="352"/>
      <c r="AO833" s="352"/>
      <c r="AP833" s="327"/>
      <c r="AQ833" s="352"/>
      <c r="AR833" s="327"/>
      <c r="AU833" s="307"/>
      <c r="AX833" s="307"/>
      <c r="BA833" s="307"/>
      <c r="BC833" s="366"/>
      <c r="BD833" s="307"/>
      <c r="BG833" s="307"/>
    </row>
    <row r="834">
      <c r="A834" s="352"/>
      <c r="B834" s="352"/>
      <c r="C834" s="327"/>
      <c r="D834" s="352"/>
      <c r="E834" s="352"/>
      <c r="F834" s="327"/>
      <c r="G834" s="352"/>
      <c r="H834" s="352"/>
      <c r="I834" s="327"/>
      <c r="J834" s="352"/>
      <c r="K834" s="352"/>
      <c r="L834" s="327"/>
      <c r="M834" s="352"/>
      <c r="N834" s="352"/>
      <c r="O834" s="327"/>
      <c r="P834" s="352"/>
      <c r="Q834" s="352"/>
      <c r="R834" s="327"/>
      <c r="S834" s="352"/>
      <c r="T834" s="352"/>
      <c r="U834" s="327"/>
      <c r="V834" s="352"/>
      <c r="W834" s="352"/>
      <c r="X834" s="327"/>
      <c r="Y834" s="352"/>
      <c r="Z834" s="352"/>
      <c r="AA834" s="327"/>
      <c r="AB834" s="352"/>
      <c r="AC834" s="352"/>
      <c r="AD834" s="327"/>
      <c r="AE834" s="352"/>
      <c r="AF834" s="352"/>
      <c r="AG834" s="327"/>
      <c r="AH834" s="352"/>
      <c r="AI834" s="352"/>
      <c r="AJ834" s="327"/>
      <c r="AK834" s="352"/>
      <c r="AL834" s="352"/>
      <c r="AM834" s="327"/>
      <c r="AN834" s="352"/>
      <c r="AO834" s="352"/>
      <c r="AP834" s="327"/>
      <c r="AQ834" s="352"/>
      <c r="AR834" s="327"/>
      <c r="AU834" s="307"/>
      <c r="AX834" s="307"/>
      <c r="BA834" s="307"/>
      <c r="BC834" s="366"/>
      <c r="BD834" s="307"/>
      <c r="BG834" s="307"/>
    </row>
    <row r="835">
      <c r="A835" s="352"/>
      <c r="B835" s="352"/>
      <c r="C835" s="327"/>
      <c r="D835" s="352"/>
      <c r="E835" s="352"/>
      <c r="F835" s="327"/>
      <c r="G835" s="352"/>
      <c r="H835" s="352"/>
      <c r="I835" s="327"/>
      <c r="J835" s="352"/>
      <c r="K835" s="352"/>
      <c r="L835" s="327"/>
      <c r="M835" s="352"/>
      <c r="N835" s="352"/>
      <c r="O835" s="327"/>
      <c r="P835" s="352"/>
      <c r="Q835" s="352"/>
      <c r="R835" s="327"/>
      <c r="S835" s="352"/>
      <c r="T835" s="352"/>
      <c r="U835" s="327"/>
      <c r="V835" s="352"/>
      <c r="W835" s="352"/>
      <c r="X835" s="327"/>
      <c r="Y835" s="352"/>
      <c r="Z835" s="352"/>
      <c r="AA835" s="327"/>
      <c r="AB835" s="352"/>
      <c r="AC835" s="352"/>
      <c r="AD835" s="327"/>
      <c r="AE835" s="352"/>
      <c r="AF835" s="352"/>
      <c r="AG835" s="327"/>
      <c r="AH835" s="352"/>
      <c r="AI835" s="352"/>
      <c r="AJ835" s="327"/>
      <c r="AK835" s="352"/>
      <c r="AL835" s="352"/>
      <c r="AM835" s="327"/>
      <c r="AN835" s="352"/>
      <c r="AO835" s="352"/>
      <c r="AP835" s="327"/>
      <c r="AQ835" s="352"/>
      <c r="AR835" s="327"/>
      <c r="AU835" s="307"/>
      <c r="AX835" s="307"/>
      <c r="BA835" s="307"/>
      <c r="BC835" s="366"/>
      <c r="BD835" s="307"/>
      <c r="BG835" s="307"/>
    </row>
    <row r="836">
      <c r="A836" s="352"/>
      <c r="B836" s="352"/>
      <c r="C836" s="327"/>
      <c r="D836" s="352"/>
      <c r="E836" s="352"/>
      <c r="F836" s="327"/>
      <c r="G836" s="352"/>
      <c r="H836" s="352"/>
      <c r="I836" s="327"/>
      <c r="J836" s="352"/>
      <c r="K836" s="352"/>
      <c r="L836" s="327"/>
      <c r="M836" s="352"/>
      <c r="N836" s="352"/>
      <c r="O836" s="327"/>
      <c r="P836" s="352"/>
      <c r="Q836" s="352"/>
      <c r="R836" s="327"/>
      <c r="S836" s="352"/>
      <c r="T836" s="352"/>
      <c r="U836" s="327"/>
      <c r="V836" s="352"/>
      <c r="W836" s="352"/>
      <c r="X836" s="327"/>
      <c r="Y836" s="352"/>
      <c r="Z836" s="352"/>
      <c r="AA836" s="327"/>
      <c r="AB836" s="352"/>
      <c r="AC836" s="352"/>
      <c r="AD836" s="327"/>
      <c r="AE836" s="352"/>
      <c r="AF836" s="352"/>
      <c r="AG836" s="327"/>
      <c r="AH836" s="352"/>
      <c r="AI836" s="352"/>
      <c r="AJ836" s="327"/>
      <c r="AK836" s="352"/>
      <c r="AL836" s="352"/>
      <c r="AM836" s="327"/>
      <c r="AN836" s="352"/>
      <c r="AO836" s="352"/>
      <c r="AP836" s="327"/>
      <c r="AQ836" s="352"/>
      <c r="AR836" s="327"/>
      <c r="AU836" s="307"/>
      <c r="AX836" s="307"/>
      <c r="BA836" s="307"/>
      <c r="BC836" s="366"/>
      <c r="BD836" s="307"/>
      <c r="BG836" s="307"/>
    </row>
    <row r="837">
      <c r="A837" s="352"/>
      <c r="B837" s="352"/>
      <c r="C837" s="327"/>
      <c r="D837" s="352"/>
      <c r="E837" s="352"/>
      <c r="F837" s="327"/>
      <c r="G837" s="352"/>
      <c r="H837" s="352"/>
      <c r="I837" s="327"/>
      <c r="J837" s="352"/>
      <c r="K837" s="352"/>
      <c r="L837" s="327"/>
      <c r="M837" s="352"/>
      <c r="N837" s="352"/>
      <c r="O837" s="327"/>
      <c r="P837" s="352"/>
      <c r="Q837" s="352"/>
      <c r="R837" s="327"/>
      <c r="S837" s="352"/>
      <c r="T837" s="352"/>
      <c r="U837" s="327"/>
      <c r="V837" s="352"/>
      <c r="W837" s="352"/>
      <c r="X837" s="327"/>
      <c r="Y837" s="352"/>
      <c r="Z837" s="352"/>
      <c r="AA837" s="327"/>
      <c r="AB837" s="352"/>
      <c r="AC837" s="352"/>
      <c r="AD837" s="327"/>
      <c r="AE837" s="352"/>
      <c r="AF837" s="352"/>
      <c r="AG837" s="327"/>
      <c r="AH837" s="352"/>
      <c r="AI837" s="352"/>
      <c r="AJ837" s="327"/>
      <c r="AK837" s="352"/>
      <c r="AL837" s="352"/>
      <c r="AM837" s="327"/>
      <c r="AN837" s="352"/>
      <c r="AO837" s="352"/>
      <c r="AP837" s="327"/>
      <c r="AQ837" s="352"/>
      <c r="AR837" s="327"/>
      <c r="AU837" s="307"/>
      <c r="AX837" s="307"/>
      <c r="BA837" s="307"/>
      <c r="BC837" s="366"/>
      <c r="BD837" s="307"/>
      <c r="BG837" s="307"/>
    </row>
    <row r="838">
      <c r="A838" s="352"/>
      <c r="B838" s="352"/>
      <c r="C838" s="327"/>
      <c r="D838" s="352"/>
      <c r="E838" s="352"/>
      <c r="F838" s="327"/>
      <c r="G838" s="352"/>
      <c r="H838" s="352"/>
      <c r="I838" s="327"/>
      <c r="J838" s="352"/>
      <c r="K838" s="352"/>
      <c r="L838" s="327"/>
      <c r="M838" s="352"/>
      <c r="N838" s="352"/>
      <c r="O838" s="327"/>
      <c r="P838" s="352"/>
      <c r="Q838" s="352"/>
      <c r="R838" s="327"/>
      <c r="S838" s="352"/>
      <c r="T838" s="352"/>
      <c r="U838" s="327"/>
      <c r="V838" s="352"/>
      <c r="W838" s="352"/>
      <c r="X838" s="327"/>
      <c r="Y838" s="352"/>
      <c r="Z838" s="352"/>
      <c r="AA838" s="327"/>
      <c r="AB838" s="352"/>
      <c r="AC838" s="352"/>
      <c r="AD838" s="327"/>
      <c r="AE838" s="352"/>
      <c r="AF838" s="352"/>
      <c r="AG838" s="327"/>
      <c r="AH838" s="352"/>
      <c r="AI838" s="352"/>
      <c r="AJ838" s="327"/>
      <c r="AK838" s="352"/>
      <c r="AL838" s="352"/>
      <c r="AM838" s="327"/>
      <c r="AN838" s="352"/>
      <c r="AO838" s="352"/>
      <c r="AP838" s="327"/>
      <c r="AQ838" s="352"/>
      <c r="AR838" s="327"/>
      <c r="AU838" s="307"/>
      <c r="AX838" s="307"/>
      <c r="BA838" s="307"/>
      <c r="BC838" s="366"/>
      <c r="BD838" s="307"/>
      <c r="BG838" s="307"/>
    </row>
    <row r="839">
      <c r="A839" s="352"/>
      <c r="B839" s="352"/>
      <c r="C839" s="327"/>
      <c r="D839" s="352"/>
      <c r="E839" s="352"/>
      <c r="F839" s="327"/>
      <c r="G839" s="352"/>
      <c r="H839" s="352"/>
      <c r="I839" s="327"/>
      <c r="J839" s="352"/>
      <c r="K839" s="352"/>
      <c r="L839" s="327"/>
      <c r="M839" s="352"/>
      <c r="N839" s="352"/>
      <c r="O839" s="327"/>
      <c r="P839" s="352"/>
      <c r="Q839" s="352"/>
      <c r="R839" s="327"/>
      <c r="S839" s="352"/>
      <c r="T839" s="352"/>
      <c r="U839" s="327"/>
      <c r="V839" s="352"/>
      <c r="W839" s="352"/>
      <c r="X839" s="327"/>
      <c r="Y839" s="352"/>
      <c r="Z839" s="352"/>
      <c r="AA839" s="327"/>
      <c r="AB839" s="352"/>
      <c r="AC839" s="352"/>
      <c r="AD839" s="327"/>
      <c r="AE839" s="352"/>
      <c r="AF839" s="352"/>
      <c r="AG839" s="327"/>
      <c r="AH839" s="352"/>
      <c r="AI839" s="352"/>
      <c r="AJ839" s="327"/>
      <c r="AK839" s="352"/>
      <c r="AL839" s="352"/>
      <c r="AM839" s="327"/>
      <c r="AN839" s="352"/>
      <c r="AO839" s="352"/>
      <c r="AP839" s="327"/>
      <c r="AQ839" s="352"/>
      <c r="AR839" s="327"/>
      <c r="AU839" s="307"/>
      <c r="AX839" s="307"/>
      <c r="BA839" s="307"/>
      <c r="BC839" s="366"/>
      <c r="BD839" s="307"/>
      <c r="BG839" s="307"/>
    </row>
    <row r="840">
      <c r="A840" s="352"/>
      <c r="B840" s="352"/>
      <c r="C840" s="327"/>
      <c r="D840" s="352"/>
      <c r="E840" s="352"/>
      <c r="F840" s="327"/>
      <c r="G840" s="352"/>
      <c r="H840" s="352"/>
      <c r="I840" s="327"/>
      <c r="J840" s="352"/>
      <c r="K840" s="352"/>
      <c r="L840" s="327"/>
      <c r="M840" s="352"/>
      <c r="N840" s="352"/>
      <c r="O840" s="327"/>
      <c r="P840" s="352"/>
      <c r="Q840" s="352"/>
      <c r="R840" s="327"/>
      <c r="S840" s="352"/>
      <c r="T840" s="352"/>
      <c r="U840" s="327"/>
      <c r="V840" s="352"/>
      <c r="W840" s="352"/>
      <c r="X840" s="327"/>
      <c r="Y840" s="352"/>
      <c r="Z840" s="352"/>
      <c r="AA840" s="327"/>
      <c r="AB840" s="352"/>
      <c r="AC840" s="352"/>
      <c r="AD840" s="327"/>
      <c r="AE840" s="352"/>
      <c r="AF840" s="352"/>
      <c r="AG840" s="327"/>
      <c r="AH840" s="352"/>
      <c r="AI840" s="352"/>
      <c r="AJ840" s="327"/>
      <c r="AK840" s="352"/>
      <c r="AL840" s="352"/>
      <c r="AM840" s="327"/>
      <c r="AN840" s="352"/>
      <c r="AO840" s="352"/>
      <c r="AP840" s="327"/>
      <c r="AQ840" s="352"/>
      <c r="AR840" s="327"/>
      <c r="AU840" s="307"/>
      <c r="AX840" s="307"/>
      <c r="BA840" s="307"/>
      <c r="BC840" s="366"/>
      <c r="BD840" s="307"/>
      <c r="BG840" s="307"/>
    </row>
    <row r="841">
      <c r="A841" s="352"/>
      <c r="B841" s="352"/>
      <c r="C841" s="327"/>
      <c r="D841" s="352"/>
      <c r="E841" s="352"/>
      <c r="F841" s="327"/>
      <c r="G841" s="352"/>
      <c r="H841" s="352"/>
      <c r="I841" s="327"/>
      <c r="J841" s="352"/>
      <c r="K841" s="352"/>
      <c r="L841" s="327"/>
      <c r="M841" s="352"/>
      <c r="N841" s="352"/>
      <c r="O841" s="327"/>
      <c r="P841" s="352"/>
      <c r="Q841" s="352"/>
      <c r="R841" s="327"/>
      <c r="S841" s="352"/>
      <c r="T841" s="352"/>
      <c r="U841" s="327"/>
      <c r="V841" s="352"/>
      <c r="W841" s="352"/>
      <c r="X841" s="327"/>
      <c r="Y841" s="352"/>
      <c r="Z841" s="352"/>
      <c r="AA841" s="327"/>
      <c r="AB841" s="352"/>
      <c r="AC841" s="352"/>
      <c r="AD841" s="327"/>
      <c r="AE841" s="352"/>
      <c r="AF841" s="352"/>
      <c r="AG841" s="327"/>
      <c r="AH841" s="352"/>
      <c r="AI841" s="352"/>
      <c r="AJ841" s="327"/>
      <c r="AK841" s="352"/>
      <c r="AL841" s="352"/>
      <c r="AM841" s="327"/>
      <c r="AN841" s="352"/>
      <c r="AO841" s="352"/>
      <c r="AP841" s="327"/>
      <c r="AQ841" s="352"/>
      <c r="AR841" s="327"/>
      <c r="AU841" s="307"/>
      <c r="AX841" s="307"/>
      <c r="BA841" s="307"/>
      <c r="BC841" s="366"/>
      <c r="BD841" s="307"/>
      <c r="BG841" s="307"/>
    </row>
    <row r="842">
      <c r="A842" s="352"/>
      <c r="B842" s="352"/>
      <c r="C842" s="327"/>
      <c r="D842" s="352"/>
      <c r="E842" s="352"/>
      <c r="F842" s="327"/>
      <c r="G842" s="352"/>
      <c r="H842" s="352"/>
      <c r="I842" s="327"/>
      <c r="J842" s="352"/>
      <c r="K842" s="352"/>
      <c r="L842" s="327"/>
      <c r="M842" s="352"/>
      <c r="N842" s="352"/>
      <c r="O842" s="327"/>
      <c r="P842" s="352"/>
      <c r="Q842" s="352"/>
      <c r="R842" s="327"/>
      <c r="S842" s="352"/>
      <c r="T842" s="352"/>
      <c r="U842" s="327"/>
      <c r="V842" s="352"/>
      <c r="W842" s="352"/>
      <c r="X842" s="327"/>
      <c r="Y842" s="352"/>
      <c r="Z842" s="352"/>
      <c r="AA842" s="327"/>
      <c r="AB842" s="352"/>
      <c r="AC842" s="352"/>
      <c r="AD842" s="327"/>
      <c r="AE842" s="352"/>
      <c r="AF842" s="352"/>
      <c r="AG842" s="327"/>
      <c r="AH842" s="352"/>
      <c r="AI842" s="352"/>
      <c r="AJ842" s="327"/>
      <c r="AK842" s="352"/>
      <c r="AL842" s="352"/>
      <c r="AM842" s="327"/>
      <c r="AN842" s="352"/>
      <c r="AO842" s="352"/>
      <c r="AP842" s="327"/>
      <c r="AQ842" s="352"/>
      <c r="AR842" s="327"/>
      <c r="AU842" s="307"/>
      <c r="AX842" s="307"/>
      <c r="BA842" s="307"/>
      <c r="BC842" s="366"/>
      <c r="BD842" s="307"/>
      <c r="BG842" s="307"/>
    </row>
    <row r="843">
      <c r="A843" s="352"/>
      <c r="B843" s="352"/>
      <c r="C843" s="327"/>
      <c r="D843" s="352"/>
      <c r="E843" s="352"/>
      <c r="F843" s="327"/>
      <c r="G843" s="352"/>
      <c r="H843" s="352"/>
      <c r="I843" s="327"/>
      <c r="J843" s="352"/>
      <c r="K843" s="352"/>
      <c r="L843" s="327"/>
      <c r="M843" s="352"/>
      <c r="N843" s="352"/>
      <c r="O843" s="327"/>
      <c r="P843" s="352"/>
      <c r="Q843" s="352"/>
      <c r="R843" s="327"/>
      <c r="S843" s="352"/>
      <c r="T843" s="352"/>
      <c r="U843" s="327"/>
      <c r="V843" s="352"/>
      <c r="W843" s="352"/>
      <c r="X843" s="327"/>
      <c r="Y843" s="352"/>
      <c r="Z843" s="352"/>
      <c r="AA843" s="327"/>
      <c r="AB843" s="352"/>
      <c r="AC843" s="352"/>
      <c r="AD843" s="327"/>
      <c r="AE843" s="352"/>
      <c r="AF843" s="352"/>
      <c r="AG843" s="327"/>
      <c r="AH843" s="352"/>
      <c r="AI843" s="352"/>
      <c r="AJ843" s="327"/>
      <c r="AK843" s="352"/>
      <c r="AL843" s="352"/>
      <c r="AM843" s="327"/>
      <c r="AN843" s="352"/>
      <c r="AO843" s="352"/>
      <c r="AP843" s="327"/>
      <c r="AQ843" s="352"/>
      <c r="AR843" s="327"/>
      <c r="AU843" s="307"/>
      <c r="AX843" s="307"/>
      <c r="BA843" s="307"/>
      <c r="BC843" s="366"/>
      <c r="BD843" s="307"/>
      <c r="BG843" s="307"/>
    </row>
    <row r="844">
      <c r="A844" s="352"/>
      <c r="B844" s="352"/>
      <c r="C844" s="327"/>
      <c r="D844" s="352"/>
      <c r="E844" s="352"/>
      <c r="F844" s="327"/>
      <c r="G844" s="352"/>
      <c r="H844" s="352"/>
      <c r="I844" s="327"/>
      <c r="J844" s="352"/>
      <c r="K844" s="352"/>
      <c r="L844" s="327"/>
      <c r="M844" s="352"/>
      <c r="N844" s="352"/>
      <c r="O844" s="327"/>
      <c r="P844" s="352"/>
      <c r="Q844" s="352"/>
      <c r="R844" s="327"/>
      <c r="S844" s="352"/>
      <c r="T844" s="352"/>
      <c r="U844" s="327"/>
      <c r="V844" s="352"/>
      <c r="W844" s="352"/>
      <c r="X844" s="327"/>
      <c r="Y844" s="352"/>
      <c r="Z844" s="352"/>
      <c r="AA844" s="327"/>
      <c r="AB844" s="352"/>
      <c r="AC844" s="352"/>
      <c r="AD844" s="327"/>
      <c r="AE844" s="352"/>
      <c r="AF844" s="352"/>
      <c r="AG844" s="327"/>
      <c r="AH844" s="352"/>
      <c r="AI844" s="352"/>
      <c r="AJ844" s="327"/>
      <c r="AK844" s="352"/>
      <c r="AL844" s="352"/>
      <c r="AM844" s="327"/>
      <c r="AN844" s="352"/>
      <c r="AO844" s="352"/>
      <c r="AP844" s="327"/>
      <c r="AQ844" s="352"/>
      <c r="AR844" s="327"/>
      <c r="AU844" s="307"/>
      <c r="AX844" s="307"/>
      <c r="BA844" s="307"/>
      <c r="BC844" s="366"/>
      <c r="BD844" s="307"/>
      <c r="BG844" s="307"/>
    </row>
    <row r="845">
      <c r="A845" s="352"/>
      <c r="B845" s="352"/>
      <c r="C845" s="327"/>
      <c r="D845" s="352"/>
      <c r="E845" s="352"/>
      <c r="F845" s="327"/>
      <c r="G845" s="352"/>
      <c r="H845" s="352"/>
      <c r="I845" s="327"/>
      <c r="J845" s="352"/>
      <c r="K845" s="352"/>
      <c r="L845" s="327"/>
      <c r="M845" s="352"/>
      <c r="N845" s="352"/>
      <c r="O845" s="327"/>
      <c r="P845" s="352"/>
      <c r="Q845" s="352"/>
      <c r="R845" s="327"/>
      <c r="S845" s="352"/>
      <c r="T845" s="352"/>
      <c r="U845" s="327"/>
      <c r="V845" s="352"/>
      <c r="W845" s="352"/>
      <c r="X845" s="327"/>
      <c r="Y845" s="352"/>
      <c r="Z845" s="352"/>
      <c r="AA845" s="327"/>
      <c r="AB845" s="352"/>
      <c r="AC845" s="352"/>
      <c r="AD845" s="327"/>
      <c r="AE845" s="352"/>
      <c r="AF845" s="352"/>
      <c r="AG845" s="327"/>
      <c r="AH845" s="352"/>
      <c r="AI845" s="352"/>
      <c r="AJ845" s="327"/>
      <c r="AK845" s="352"/>
      <c r="AL845" s="352"/>
      <c r="AM845" s="327"/>
      <c r="AN845" s="352"/>
      <c r="AO845" s="352"/>
      <c r="AP845" s="327"/>
      <c r="AQ845" s="352"/>
      <c r="AR845" s="327"/>
      <c r="AU845" s="307"/>
      <c r="AX845" s="307"/>
      <c r="BA845" s="307"/>
      <c r="BC845" s="366"/>
      <c r="BD845" s="307"/>
      <c r="BG845" s="307"/>
    </row>
    <row r="846">
      <c r="A846" s="352"/>
      <c r="B846" s="352"/>
      <c r="C846" s="327"/>
      <c r="D846" s="352"/>
      <c r="E846" s="352"/>
      <c r="F846" s="327"/>
      <c r="G846" s="352"/>
      <c r="H846" s="352"/>
      <c r="I846" s="327"/>
      <c r="J846" s="352"/>
      <c r="K846" s="352"/>
      <c r="L846" s="327"/>
      <c r="M846" s="352"/>
      <c r="N846" s="352"/>
      <c r="O846" s="327"/>
      <c r="P846" s="352"/>
      <c r="Q846" s="352"/>
      <c r="R846" s="327"/>
      <c r="S846" s="352"/>
      <c r="T846" s="352"/>
      <c r="U846" s="327"/>
      <c r="V846" s="352"/>
      <c r="W846" s="352"/>
      <c r="X846" s="327"/>
      <c r="Y846" s="352"/>
      <c r="Z846" s="352"/>
      <c r="AA846" s="327"/>
      <c r="AB846" s="352"/>
      <c r="AC846" s="352"/>
      <c r="AD846" s="327"/>
      <c r="AE846" s="352"/>
      <c r="AF846" s="352"/>
      <c r="AG846" s="327"/>
      <c r="AH846" s="352"/>
      <c r="AI846" s="352"/>
      <c r="AJ846" s="327"/>
      <c r="AK846" s="352"/>
      <c r="AL846" s="352"/>
      <c r="AM846" s="327"/>
      <c r="AN846" s="352"/>
      <c r="AO846" s="352"/>
      <c r="AP846" s="327"/>
      <c r="AQ846" s="352"/>
      <c r="AR846" s="327"/>
      <c r="AU846" s="307"/>
      <c r="AX846" s="307"/>
      <c r="BA846" s="307"/>
      <c r="BC846" s="366"/>
      <c r="BD846" s="307"/>
      <c r="BG846" s="307"/>
    </row>
    <row r="847">
      <c r="A847" s="352"/>
      <c r="B847" s="352"/>
      <c r="C847" s="327"/>
      <c r="D847" s="352"/>
      <c r="E847" s="352"/>
      <c r="F847" s="327"/>
      <c r="G847" s="352"/>
      <c r="H847" s="352"/>
      <c r="I847" s="327"/>
      <c r="J847" s="352"/>
      <c r="K847" s="352"/>
      <c r="L847" s="327"/>
      <c r="M847" s="352"/>
      <c r="N847" s="352"/>
      <c r="O847" s="327"/>
      <c r="P847" s="352"/>
      <c r="Q847" s="352"/>
      <c r="R847" s="327"/>
      <c r="S847" s="352"/>
      <c r="T847" s="352"/>
      <c r="U847" s="327"/>
      <c r="V847" s="352"/>
      <c r="W847" s="352"/>
      <c r="X847" s="327"/>
      <c r="Y847" s="352"/>
      <c r="Z847" s="352"/>
      <c r="AA847" s="327"/>
      <c r="AB847" s="352"/>
      <c r="AC847" s="352"/>
      <c r="AD847" s="327"/>
      <c r="AE847" s="352"/>
      <c r="AF847" s="352"/>
      <c r="AG847" s="327"/>
      <c r="AH847" s="352"/>
      <c r="AI847" s="352"/>
      <c r="AJ847" s="327"/>
      <c r="AK847" s="352"/>
      <c r="AL847" s="352"/>
      <c r="AM847" s="327"/>
      <c r="AN847" s="352"/>
      <c r="AO847" s="352"/>
      <c r="AP847" s="327"/>
      <c r="AQ847" s="352"/>
      <c r="AR847" s="327"/>
      <c r="AU847" s="307"/>
      <c r="AX847" s="307"/>
      <c r="BA847" s="307"/>
      <c r="BC847" s="366"/>
      <c r="BD847" s="307"/>
      <c r="BG847" s="307"/>
    </row>
    <row r="848">
      <c r="A848" s="352"/>
      <c r="B848" s="352"/>
      <c r="C848" s="327"/>
      <c r="D848" s="352"/>
      <c r="E848" s="352"/>
      <c r="F848" s="327"/>
      <c r="G848" s="352"/>
      <c r="H848" s="352"/>
      <c r="I848" s="327"/>
      <c r="J848" s="352"/>
      <c r="K848" s="352"/>
      <c r="L848" s="327"/>
      <c r="M848" s="352"/>
      <c r="N848" s="352"/>
      <c r="O848" s="327"/>
      <c r="P848" s="352"/>
      <c r="Q848" s="352"/>
      <c r="R848" s="327"/>
      <c r="S848" s="352"/>
      <c r="T848" s="352"/>
      <c r="U848" s="327"/>
      <c r="V848" s="352"/>
      <c r="W848" s="352"/>
      <c r="X848" s="327"/>
      <c r="Y848" s="352"/>
      <c r="Z848" s="352"/>
      <c r="AA848" s="327"/>
      <c r="AB848" s="352"/>
      <c r="AC848" s="352"/>
      <c r="AD848" s="327"/>
      <c r="AE848" s="352"/>
      <c r="AF848" s="352"/>
      <c r="AG848" s="327"/>
      <c r="AH848" s="352"/>
      <c r="AI848" s="352"/>
      <c r="AJ848" s="327"/>
      <c r="AK848" s="352"/>
      <c r="AL848" s="352"/>
      <c r="AM848" s="327"/>
      <c r="AN848" s="352"/>
      <c r="AO848" s="352"/>
      <c r="AP848" s="327"/>
      <c r="AQ848" s="352"/>
      <c r="AR848" s="327"/>
      <c r="AU848" s="307"/>
      <c r="AX848" s="307"/>
      <c r="BA848" s="307"/>
      <c r="BC848" s="366"/>
      <c r="BD848" s="307"/>
      <c r="BG848" s="307"/>
    </row>
    <row r="849">
      <c r="A849" s="352"/>
      <c r="B849" s="352"/>
      <c r="C849" s="327"/>
      <c r="D849" s="352"/>
      <c r="E849" s="352"/>
      <c r="F849" s="327"/>
      <c r="G849" s="352"/>
      <c r="H849" s="352"/>
      <c r="I849" s="327"/>
      <c r="J849" s="352"/>
      <c r="K849" s="352"/>
      <c r="L849" s="327"/>
      <c r="M849" s="352"/>
      <c r="N849" s="352"/>
      <c r="O849" s="327"/>
      <c r="P849" s="352"/>
      <c r="Q849" s="352"/>
      <c r="R849" s="327"/>
      <c r="S849" s="352"/>
      <c r="T849" s="352"/>
      <c r="U849" s="327"/>
      <c r="V849" s="352"/>
      <c r="W849" s="352"/>
      <c r="X849" s="327"/>
      <c r="Y849" s="352"/>
      <c r="Z849" s="352"/>
      <c r="AA849" s="327"/>
      <c r="AB849" s="352"/>
      <c r="AC849" s="352"/>
      <c r="AD849" s="327"/>
      <c r="AE849" s="352"/>
      <c r="AF849" s="352"/>
      <c r="AG849" s="327"/>
      <c r="AH849" s="352"/>
      <c r="AI849" s="352"/>
      <c r="AJ849" s="327"/>
      <c r="AK849" s="352"/>
      <c r="AL849" s="352"/>
      <c r="AM849" s="327"/>
      <c r="AN849" s="352"/>
      <c r="AO849" s="352"/>
      <c r="AP849" s="327"/>
      <c r="AQ849" s="352"/>
      <c r="AR849" s="327"/>
      <c r="AU849" s="307"/>
      <c r="AX849" s="307"/>
      <c r="BA849" s="307"/>
      <c r="BC849" s="366"/>
      <c r="BD849" s="307"/>
      <c r="BG849" s="307"/>
    </row>
    <row r="850">
      <c r="A850" s="352"/>
      <c r="B850" s="352"/>
      <c r="C850" s="327"/>
      <c r="D850" s="352"/>
      <c r="E850" s="352"/>
      <c r="F850" s="327"/>
      <c r="G850" s="352"/>
      <c r="H850" s="352"/>
      <c r="I850" s="327"/>
      <c r="J850" s="352"/>
      <c r="K850" s="352"/>
      <c r="L850" s="327"/>
      <c r="M850" s="352"/>
      <c r="N850" s="352"/>
      <c r="O850" s="327"/>
      <c r="P850" s="352"/>
      <c r="Q850" s="352"/>
      <c r="R850" s="327"/>
      <c r="S850" s="352"/>
      <c r="T850" s="352"/>
      <c r="U850" s="327"/>
      <c r="V850" s="352"/>
      <c r="W850" s="352"/>
      <c r="X850" s="327"/>
      <c r="Y850" s="352"/>
      <c r="Z850" s="352"/>
      <c r="AA850" s="327"/>
      <c r="AB850" s="352"/>
      <c r="AC850" s="352"/>
      <c r="AD850" s="327"/>
      <c r="AE850" s="352"/>
      <c r="AF850" s="352"/>
      <c r="AG850" s="327"/>
      <c r="AH850" s="352"/>
      <c r="AI850" s="352"/>
      <c r="AJ850" s="327"/>
      <c r="AK850" s="352"/>
      <c r="AL850" s="352"/>
      <c r="AM850" s="327"/>
      <c r="AN850" s="352"/>
      <c r="AO850" s="352"/>
      <c r="AP850" s="327"/>
      <c r="AQ850" s="352"/>
      <c r="AR850" s="327"/>
      <c r="AU850" s="307"/>
      <c r="AX850" s="307"/>
      <c r="BA850" s="307"/>
      <c r="BC850" s="366"/>
      <c r="BD850" s="307"/>
      <c r="BG850" s="307"/>
    </row>
    <row r="851">
      <c r="A851" s="352"/>
      <c r="B851" s="352"/>
      <c r="C851" s="327"/>
      <c r="D851" s="352"/>
      <c r="E851" s="352"/>
      <c r="F851" s="327"/>
      <c r="G851" s="352"/>
      <c r="H851" s="352"/>
      <c r="I851" s="327"/>
      <c r="J851" s="352"/>
      <c r="K851" s="352"/>
      <c r="L851" s="327"/>
      <c r="M851" s="352"/>
      <c r="N851" s="352"/>
      <c r="O851" s="327"/>
      <c r="P851" s="352"/>
      <c r="Q851" s="352"/>
      <c r="R851" s="327"/>
      <c r="S851" s="352"/>
      <c r="T851" s="352"/>
      <c r="U851" s="327"/>
      <c r="V851" s="352"/>
      <c r="W851" s="352"/>
      <c r="X851" s="327"/>
      <c r="Y851" s="352"/>
      <c r="Z851" s="352"/>
      <c r="AA851" s="327"/>
      <c r="AB851" s="352"/>
      <c r="AC851" s="352"/>
      <c r="AD851" s="327"/>
      <c r="AE851" s="352"/>
      <c r="AF851" s="352"/>
      <c r="AG851" s="327"/>
      <c r="AH851" s="352"/>
      <c r="AI851" s="352"/>
      <c r="AJ851" s="327"/>
      <c r="AK851" s="352"/>
      <c r="AL851" s="352"/>
      <c r="AM851" s="327"/>
      <c r="AN851" s="352"/>
      <c r="AO851" s="352"/>
      <c r="AP851" s="327"/>
      <c r="AQ851" s="352"/>
      <c r="AR851" s="327"/>
      <c r="AU851" s="307"/>
      <c r="AX851" s="307"/>
      <c r="BA851" s="307"/>
      <c r="BC851" s="366"/>
      <c r="BD851" s="307"/>
      <c r="BG851" s="307"/>
    </row>
    <row r="852">
      <c r="A852" s="352"/>
      <c r="B852" s="352"/>
      <c r="C852" s="327"/>
      <c r="D852" s="352"/>
      <c r="E852" s="352"/>
      <c r="F852" s="327"/>
      <c r="G852" s="352"/>
      <c r="H852" s="352"/>
      <c r="I852" s="327"/>
      <c r="J852" s="352"/>
      <c r="K852" s="352"/>
      <c r="L852" s="327"/>
      <c r="M852" s="352"/>
      <c r="N852" s="352"/>
      <c r="O852" s="327"/>
      <c r="P852" s="352"/>
      <c r="Q852" s="352"/>
      <c r="R852" s="327"/>
      <c r="S852" s="352"/>
      <c r="T852" s="352"/>
      <c r="U852" s="327"/>
      <c r="V852" s="352"/>
      <c r="W852" s="352"/>
      <c r="X852" s="327"/>
      <c r="Y852" s="352"/>
      <c r="Z852" s="352"/>
      <c r="AA852" s="327"/>
      <c r="AB852" s="352"/>
      <c r="AC852" s="352"/>
      <c r="AD852" s="327"/>
      <c r="AE852" s="352"/>
      <c r="AF852" s="352"/>
      <c r="AG852" s="327"/>
      <c r="AH852" s="352"/>
      <c r="AI852" s="352"/>
      <c r="AJ852" s="327"/>
      <c r="AK852" s="352"/>
      <c r="AL852" s="352"/>
      <c r="AM852" s="327"/>
      <c r="AN852" s="352"/>
      <c r="AO852" s="352"/>
      <c r="AP852" s="327"/>
      <c r="AQ852" s="352"/>
      <c r="AR852" s="327"/>
      <c r="AU852" s="307"/>
      <c r="AX852" s="307"/>
      <c r="BA852" s="307"/>
      <c r="BC852" s="366"/>
      <c r="BD852" s="307"/>
      <c r="BG852" s="307"/>
    </row>
    <row r="853">
      <c r="A853" s="352"/>
      <c r="B853" s="352"/>
      <c r="C853" s="327"/>
      <c r="D853" s="352"/>
      <c r="E853" s="352"/>
      <c r="F853" s="327"/>
      <c r="G853" s="352"/>
      <c r="H853" s="352"/>
      <c r="I853" s="327"/>
      <c r="J853" s="352"/>
      <c r="K853" s="352"/>
      <c r="L853" s="327"/>
      <c r="M853" s="352"/>
      <c r="N853" s="352"/>
      <c r="O853" s="327"/>
      <c r="P853" s="352"/>
      <c r="Q853" s="352"/>
      <c r="R853" s="327"/>
      <c r="S853" s="352"/>
      <c r="T853" s="352"/>
      <c r="U853" s="327"/>
      <c r="V853" s="352"/>
      <c r="W853" s="352"/>
      <c r="X853" s="327"/>
      <c r="Y853" s="352"/>
      <c r="Z853" s="352"/>
      <c r="AA853" s="327"/>
      <c r="AB853" s="352"/>
      <c r="AC853" s="352"/>
      <c r="AD853" s="327"/>
      <c r="AE853" s="352"/>
      <c r="AF853" s="352"/>
      <c r="AG853" s="327"/>
      <c r="AH853" s="352"/>
      <c r="AI853" s="352"/>
      <c r="AJ853" s="327"/>
      <c r="AK853" s="352"/>
      <c r="AL853" s="352"/>
      <c r="AM853" s="327"/>
      <c r="AN853" s="352"/>
      <c r="AO853" s="352"/>
      <c r="AP853" s="327"/>
      <c r="AQ853" s="352"/>
      <c r="AR853" s="327"/>
      <c r="AU853" s="307"/>
      <c r="AX853" s="307"/>
      <c r="BA853" s="307"/>
      <c r="BC853" s="366"/>
      <c r="BD853" s="307"/>
      <c r="BG853" s="307"/>
    </row>
    <row r="854">
      <c r="A854" s="352"/>
      <c r="B854" s="352"/>
      <c r="C854" s="327"/>
      <c r="D854" s="352"/>
      <c r="E854" s="352"/>
      <c r="F854" s="327"/>
      <c r="G854" s="352"/>
      <c r="H854" s="352"/>
      <c r="I854" s="327"/>
      <c r="J854" s="352"/>
      <c r="K854" s="352"/>
      <c r="L854" s="327"/>
      <c r="M854" s="352"/>
      <c r="N854" s="352"/>
      <c r="O854" s="327"/>
      <c r="P854" s="352"/>
      <c r="Q854" s="352"/>
      <c r="R854" s="327"/>
      <c r="S854" s="352"/>
      <c r="T854" s="352"/>
      <c r="U854" s="327"/>
      <c r="V854" s="352"/>
      <c r="W854" s="352"/>
      <c r="X854" s="327"/>
      <c r="Y854" s="352"/>
      <c r="Z854" s="352"/>
      <c r="AA854" s="327"/>
      <c r="AB854" s="352"/>
      <c r="AC854" s="352"/>
      <c r="AD854" s="327"/>
      <c r="AE854" s="352"/>
      <c r="AF854" s="352"/>
      <c r="AG854" s="327"/>
      <c r="AH854" s="352"/>
      <c r="AI854" s="352"/>
      <c r="AJ854" s="327"/>
      <c r="AK854" s="352"/>
      <c r="AL854" s="352"/>
      <c r="AM854" s="327"/>
      <c r="AN854" s="352"/>
      <c r="AO854" s="352"/>
      <c r="AP854" s="327"/>
      <c r="AQ854" s="352"/>
      <c r="AR854" s="327"/>
      <c r="AU854" s="307"/>
      <c r="AX854" s="307"/>
      <c r="BA854" s="307"/>
      <c r="BC854" s="366"/>
      <c r="BD854" s="307"/>
      <c r="BG854" s="307"/>
    </row>
    <row r="855">
      <c r="A855" s="352"/>
      <c r="B855" s="352"/>
      <c r="C855" s="327"/>
      <c r="D855" s="352"/>
      <c r="E855" s="352"/>
      <c r="F855" s="327"/>
      <c r="G855" s="352"/>
      <c r="H855" s="352"/>
      <c r="I855" s="327"/>
      <c r="J855" s="352"/>
      <c r="K855" s="352"/>
      <c r="L855" s="327"/>
      <c r="M855" s="352"/>
      <c r="N855" s="352"/>
      <c r="O855" s="327"/>
      <c r="P855" s="352"/>
      <c r="Q855" s="352"/>
      <c r="R855" s="327"/>
      <c r="S855" s="352"/>
      <c r="T855" s="352"/>
      <c r="U855" s="327"/>
      <c r="V855" s="352"/>
      <c r="W855" s="352"/>
      <c r="X855" s="327"/>
      <c r="Y855" s="352"/>
      <c r="Z855" s="352"/>
      <c r="AA855" s="327"/>
      <c r="AB855" s="352"/>
      <c r="AC855" s="352"/>
      <c r="AD855" s="327"/>
      <c r="AE855" s="352"/>
      <c r="AF855" s="352"/>
      <c r="AG855" s="327"/>
      <c r="AH855" s="352"/>
      <c r="AI855" s="352"/>
      <c r="AJ855" s="327"/>
      <c r="AK855" s="352"/>
      <c r="AL855" s="352"/>
      <c r="AM855" s="327"/>
      <c r="AN855" s="352"/>
      <c r="AO855" s="352"/>
      <c r="AP855" s="327"/>
      <c r="AQ855" s="352"/>
      <c r="AR855" s="327"/>
      <c r="AU855" s="307"/>
      <c r="AX855" s="307"/>
      <c r="BA855" s="307"/>
      <c r="BC855" s="366"/>
      <c r="BD855" s="307"/>
      <c r="BG855" s="307"/>
    </row>
    <row r="856">
      <c r="A856" s="352"/>
      <c r="B856" s="352"/>
      <c r="C856" s="327"/>
      <c r="D856" s="352"/>
      <c r="E856" s="352"/>
      <c r="F856" s="327"/>
      <c r="G856" s="352"/>
      <c r="H856" s="352"/>
      <c r="I856" s="327"/>
      <c r="J856" s="352"/>
      <c r="K856" s="352"/>
      <c r="L856" s="327"/>
      <c r="M856" s="352"/>
      <c r="N856" s="352"/>
      <c r="O856" s="327"/>
      <c r="P856" s="352"/>
      <c r="Q856" s="352"/>
      <c r="R856" s="327"/>
      <c r="S856" s="352"/>
      <c r="T856" s="352"/>
      <c r="U856" s="327"/>
      <c r="V856" s="352"/>
      <c r="W856" s="352"/>
      <c r="X856" s="327"/>
      <c r="Y856" s="352"/>
      <c r="Z856" s="352"/>
      <c r="AA856" s="327"/>
      <c r="AB856" s="352"/>
      <c r="AC856" s="352"/>
      <c r="AD856" s="327"/>
      <c r="AE856" s="352"/>
      <c r="AF856" s="352"/>
      <c r="AG856" s="327"/>
      <c r="AH856" s="352"/>
      <c r="AI856" s="352"/>
      <c r="AJ856" s="327"/>
      <c r="AK856" s="352"/>
      <c r="AL856" s="352"/>
      <c r="AM856" s="327"/>
      <c r="AN856" s="352"/>
      <c r="AO856" s="352"/>
      <c r="AP856" s="327"/>
      <c r="AQ856" s="352"/>
      <c r="AR856" s="327"/>
      <c r="AU856" s="307"/>
      <c r="AX856" s="307"/>
      <c r="BA856" s="307"/>
      <c r="BC856" s="366"/>
      <c r="BD856" s="307"/>
      <c r="BG856" s="307"/>
    </row>
    <row r="857">
      <c r="A857" s="352"/>
      <c r="B857" s="352"/>
      <c r="C857" s="327"/>
      <c r="D857" s="352"/>
      <c r="E857" s="352"/>
      <c r="F857" s="327"/>
      <c r="G857" s="352"/>
      <c r="H857" s="352"/>
      <c r="I857" s="327"/>
      <c r="J857" s="352"/>
      <c r="K857" s="352"/>
      <c r="L857" s="327"/>
      <c r="M857" s="352"/>
      <c r="N857" s="352"/>
      <c r="O857" s="327"/>
      <c r="P857" s="352"/>
      <c r="Q857" s="352"/>
      <c r="R857" s="327"/>
      <c r="S857" s="352"/>
      <c r="T857" s="352"/>
      <c r="U857" s="327"/>
      <c r="V857" s="352"/>
      <c r="W857" s="352"/>
      <c r="X857" s="327"/>
      <c r="Y857" s="352"/>
      <c r="Z857" s="352"/>
      <c r="AA857" s="327"/>
      <c r="AB857" s="352"/>
      <c r="AC857" s="352"/>
      <c r="AD857" s="327"/>
      <c r="AE857" s="352"/>
      <c r="AF857" s="352"/>
      <c r="AG857" s="327"/>
      <c r="AH857" s="352"/>
      <c r="AI857" s="352"/>
      <c r="AJ857" s="327"/>
      <c r="AK857" s="352"/>
      <c r="AL857" s="352"/>
      <c r="AM857" s="327"/>
      <c r="AN857" s="352"/>
      <c r="AO857" s="352"/>
      <c r="AP857" s="327"/>
      <c r="AQ857" s="352"/>
      <c r="AR857" s="327"/>
      <c r="AU857" s="307"/>
      <c r="AX857" s="307"/>
      <c r="BA857" s="307"/>
      <c r="BC857" s="366"/>
      <c r="BD857" s="307"/>
      <c r="BG857" s="307"/>
    </row>
    <row r="858">
      <c r="A858" s="352"/>
      <c r="B858" s="352"/>
      <c r="C858" s="327"/>
      <c r="D858" s="352"/>
      <c r="E858" s="352"/>
      <c r="F858" s="327"/>
      <c r="G858" s="352"/>
      <c r="H858" s="352"/>
      <c r="I858" s="327"/>
      <c r="J858" s="352"/>
      <c r="K858" s="352"/>
      <c r="L858" s="327"/>
      <c r="M858" s="352"/>
      <c r="N858" s="352"/>
      <c r="O858" s="327"/>
      <c r="P858" s="352"/>
      <c r="Q858" s="352"/>
      <c r="R858" s="327"/>
      <c r="S858" s="352"/>
      <c r="T858" s="352"/>
      <c r="U858" s="327"/>
      <c r="V858" s="352"/>
      <c r="W858" s="352"/>
      <c r="X858" s="327"/>
      <c r="Y858" s="352"/>
      <c r="Z858" s="352"/>
      <c r="AA858" s="327"/>
      <c r="AB858" s="352"/>
      <c r="AC858" s="352"/>
      <c r="AD858" s="327"/>
      <c r="AE858" s="352"/>
      <c r="AF858" s="352"/>
      <c r="AG858" s="327"/>
      <c r="AH858" s="352"/>
      <c r="AI858" s="352"/>
      <c r="AJ858" s="327"/>
      <c r="AK858" s="352"/>
      <c r="AL858" s="352"/>
      <c r="AM858" s="327"/>
      <c r="AN858" s="352"/>
      <c r="AO858" s="352"/>
      <c r="AP858" s="327"/>
      <c r="AQ858" s="352"/>
      <c r="AR858" s="327"/>
      <c r="AU858" s="307"/>
      <c r="AX858" s="307"/>
      <c r="BA858" s="307"/>
      <c r="BC858" s="366"/>
      <c r="BD858" s="307"/>
      <c r="BG858" s="307"/>
    </row>
    <row r="859">
      <c r="A859" s="352"/>
      <c r="B859" s="352"/>
      <c r="C859" s="327"/>
      <c r="D859" s="352"/>
      <c r="E859" s="352"/>
      <c r="F859" s="327"/>
      <c r="G859" s="352"/>
      <c r="H859" s="352"/>
      <c r="I859" s="327"/>
      <c r="J859" s="352"/>
      <c r="K859" s="352"/>
      <c r="L859" s="327"/>
      <c r="M859" s="352"/>
      <c r="N859" s="352"/>
      <c r="O859" s="327"/>
      <c r="P859" s="352"/>
      <c r="Q859" s="352"/>
      <c r="R859" s="327"/>
      <c r="S859" s="352"/>
      <c r="T859" s="352"/>
      <c r="U859" s="327"/>
      <c r="V859" s="352"/>
      <c r="W859" s="352"/>
      <c r="X859" s="327"/>
      <c r="Y859" s="352"/>
      <c r="Z859" s="352"/>
      <c r="AA859" s="327"/>
      <c r="AB859" s="352"/>
      <c r="AC859" s="352"/>
      <c r="AD859" s="327"/>
      <c r="AE859" s="352"/>
      <c r="AF859" s="352"/>
      <c r="AG859" s="327"/>
      <c r="AH859" s="352"/>
      <c r="AI859" s="352"/>
      <c r="AJ859" s="327"/>
      <c r="AK859" s="352"/>
      <c r="AL859" s="352"/>
      <c r="AM859" s="327"/>
      <c r="AN859" s="352"/>
      <c r="AO859" s="352"/>
      <c r="AP859" s="327"/>
      <c r="AQ859" s="352"/>
      <c r="AR859" s="327"/>
      <c r="AU859" s="307"/>
      <c r="AX859" s="307"/>
      <c r="BA859" s="307"/>
      <c r="BC859" s="366"/>
      <c r="BD859" s="307"/>
      <c r="BG859" s="307"/>
    </row>
    <row r="860">
      <c r="A860" s="352"/>
      <c r="B860" s="352"/>
      <c r="C860" s="327"/>
      <c r="D860" s="352"/>
      <c r="E860" s="352"/>
      <c r="F860" s="327"/>
      <c r="G860" s="352"/>
      <c r="H860" s="352"/>
      <c r="I860" s="327"/>
      <c r="J860" s="352"/>
      <c r="K860" s="352"/>
      <c r="L860" s="327"/>
      <c r="M860" s="352"/>
      <c r="N860" s="352"/>
      <c r="O860" s="327"/>
      <c r="P860" s="352"/>
      <c r="Q860" s="352"/>
      <c r="R860" s="327"/>
      <c r="S860" s="352"/>
      <c r="T860" s="352"/>
      <c r="U860" s="327"/>
      <c r="V860" s="352"/>
      <c r="W860" s="352"/>
      <c r="X860" s="327"/>
      <c r="Y860" s="352"/>
      <c r="Z860" s="352"/>
      <c r="AA860" s="327"/>
      <c r="AB860" s="352"/>
      <c r="AC860" s="352"/>
      <c r="AD860" s="327"/>
      <c r="AE860" s="352"/>
      <c r="AF860" s="352"/>
      <c r="AG860" s="327"/>
      <c r="AH860" s="352"/>
      <c r="AI860" s="352"/>
      <c r="AJ860" s="327"/>
      <c r="AK860" s="352"/>
      <c r="AL860" s="352"/>
      <c r="AM860" s="327"/>
      <c r="AN860" s="352"/>
      <c r="AO860" s="352"/>
      <c r="AP860" s="327"/>
      <c r="AQ860" s="352"/>
      <c r="AR860" s="327"/>
      <c r="AU860" s="307"/>
      <c r="AX860" s="307"/>
      <c r="BA860" s="307"/>
      <c r="BC860" s="366"/>
      <c r="BD860" s="307"/>
      <c r="BG860" s="307"/>
    </row>
    <row r="861">
      <c r="A861" s="352"/>
      <c r="B861" s="352"/>
      <c r="C861" s="327"/>
      <c r="D861" s="352"/>
      <c r="E861" s="352"/>
      <c r="F861" s="327"/>
      <c r="G861" s="352"/>
      <c r="H861" s="352"/>
      <c r="I861" s="327"/>
      <c r="J861" s="352"/>
      <c r="K861" s="352"/>
      <c r="L861" s="327"/>
      <c r="M861" s="352"/>
      <c r="N861" s="352"/>
      <c r="O861" s="327"/>
      <c r="P861" s="352"/>
      <c r="Q861" s="352"/>
      <c r="R861" s="327"/>
      <c r="S861" s="352"/>
      <c r="T861" s="352"/>
      <c r="U861" s="327"/>
      <c r="V861" s="352"/>
      <c r="W861" s="352"/>
      <c r="X861" s="327"/>
      <c r="Y861" s="352"/>
      <c r="Z861" s="352"/>
      <c r="AA861" s="327"/>
      <c r="AB861" s="352"/>
      <c r="AC861" s="352"/>
      <c r="AD861" s="327"/>
      <c r="AE861" s="352"/>
      <c r="AF861" s="352"/>
      <c r="AG861" s="327"/>
      <c r="AH861" s="352"/>
      <c r="AI861" s="352"/>
      <c r="AJ861" s="327"/>
      <c r="AK861" s="352"/>
      <c r="AL861" s="352"/>
      <c r="AM861" s="327"/>
      <c r="AN861" s="352"/>
      <c r="AO861" s="352"/>
      <c r="AP861" s="327"/>
      <c r="AQ861" s="352"/>
      <c r="AR861" s="327"/>
      <c r="AU861" s="307"/>
      <c r="AX861" s="307"/>
      <c r="BA861" s="307"/>
      <c r="BC861" s="366"/>
      <c r="BD861" s="307"/>
      <c r="BG861" s="307"/>
    </row>
    <row r="862">
      <c r="A862" s="352"/>
      <c r="B862" s="352"/>
      <c r="C862" s="327"/>
      <c r="D862" s="352"/>
      <c r="E862" s="352"/>
      <c r="F862" s="327"/>
      <c r="G862" s="352"/>
      <c r="H862" s="352"/>
      <c r="I862" s="327"/>
      <c r="J862" s="352"/>
      <c r="K862" s="352"/>
      <c r="L862" s="327"/>
      <c r="M862" s="352"/>
      <c r="N862" s="352"/>
      <c r="O862" s="327"/>
      <c r="P862" s="352"/>
      <c r="Q862" s="352"/>
      <c r="R862" s="327"/>
      <c r="S862" s="352"/>
      <c r="T862" s="352"/>
      <c r="U862" s="327"/>
      <c r="V862" s="352"/>
      <c r="W862" s="352"/>
      <c r="X862" s="327"/>
      <c r="Y862" s="352"/>
      <c r="Z862" s="352"/>
      <c r="AA862" s="327"/>
      <c r="AB862" s="352"/>
      <c r="AC862" s="352"/>
      <c r="AD862" s="327"/>
      <c r="AE862" s="352"/>
      <c r="AF862" s="352"/>
      <c r="AG862" s="327"/>
      <c r="AH862" s="352"/>
      <c r="AI862" s="352"/>
      <c r="AJ862" s="327"/>
      <c r="AK862" s="352"/>
      <c r="AL862" s="352"/>
      <c r="AM862" s="327"/>
      <c r="AN862" s="352"/>
      <c r="AO862" s="352"/>
      <c r="AP862" s="327"/>
      <c r="AQ862" s="352"/>
      <c r="AR862" s="327"/>
      <c r="AU862" s="307"/>
      <c r="AX862" s="307"/>
      <c r="BA862" s="307"/>
      <c r="BC862" s="366"/>
      <c r="BD862" s="307"/>
      <c r="BG862" s="307"/>
    </row>
    <row r="863">
      <c r="A863" s="352"/>
      <c r="B863" s="352"/>
      <c r="C863" s="327"/>
      <c r="D863" s="352"/>
      <c r="E863" s="352"/>
      <c r="F863" s="327"/>
      <c r="G863" s="352"/>
      <c r="H863" s="352"/>
      <c r="I863" s="327"/>
      <c r="J863" s="352"/>
      <c r="K863" s="352"/>
      <c r="L863" s="327"/>
      <c r="M863" s="352"/>
      <c r="N863" s="352"/>
      <c r="O863" s="327"/>
      <c r="P863" s="352"/>
      <c r="Q863" s="352"/>
      <c r="R863" s="327"/>
      <c r="S863" s="352"/>
      <c r="T863" s="352"/>
      <c r="U863" s="327"/>
      <c r="V863" s="352"/>
      <c r="W863" s="352"/>
      <c r="X863" s="327"/>
      <c r="Y863" s="352"/>
      <c r="Z863" s="352"/>
      <c r="AA863" s="327"/>
      <c r="AB863" s="352"/>
      <c r="AC863" s="352"/>
      <c r="AD863" s="327"/>
      <c r="AE863" s="352"/>
      <c r="AF863" s="352"/>
      <c r="AG863" s="327"/>
      <c r="AH863" s="352"/>
      <c r="AI863" s="352"/>
      <c r="AJ863" s="327"/>
      <c r="AK863" s="352"/>
      <c r="AL863" s="352"/>
      <c r="AM863" s="327"/>
      <c r="AN863" s="352"/>
      <c r="AO863" s="352"/>
      <c r="AP863" s="327"/>
      <c r="AQ863" s="352"/>
      <c r="AR863" s="327"/>
      <c r="AU863" s="307"/>
      <c r="AX863" s="307"/>
      <c r="BA863" s="307"/>
      <c r="BC863" s="366"/>
      <c r="BD863" s="307"/>
      <c r="BG863" s="307"/>
    </row>
    <row r="864">
      <c r="A864" s="352"/>
      <c r="B864" s="352"/>
      <c r="C864" s="327"/>
      <c r="D864" s="352"/>
      <c r="E864" s="352"/>
      <c r="F864" s="327"/>
      <c r="G864" s="352"/>
      <c r="H864" s="352"/>
      <c r="I864" s="327"/>
      <c r="J864" s="352"/>
      <c r="K864" s="352"/>
      <c r="L864" s="327"/>
      <c r="M864" s="352"/>
      <c r="N864" s="352"/>
      <c r="O864" s="327"/>
      <c r="P864" s="352"/>
      <c r="Q864" s="352"/>
      <c r="R864" s="327"/>
      <c r="S864" s="352"/>
      <c r="T864" s="352"/>
      <c r="U864" s="327"/>
      <c r="V864" s="352"/>
      <c r="W864" s="352"/>
      <c r="X864" s="327"/>
      <c r="Y864" s="352"/>
      <c r="Z864" s="352"/>
      <c r="AA864" s="327"/>
      <c r="AB864" s="352"/>
      <c r="AC864" s="352"/>
      <c r="AD864" s="327"/>
      <c r="AE864" s="352"/>
      <c r="AF864" s="352"/>
      <c r="AG864" s="327"/>
      <c r="AH864" s="352"/>
      <c r="AI864" s="352"/>
      <c r="AJ864" s="327"/>
      <c r="AK864" s="352"/>
      <c r="AL864" s="352"/>
      <c r="AM864" s="327"/>
      <c r="AN864" s="352"/>
      <c r="AO864" s="352"/>
      <c r="AP864" s="327"/>
      <c r="AQ864" s="352"/>
      <c r="AR864" s="327"/>
      <c r="AU864" s="307"/>
      <c r="AX864" s="307"/>
      <c r="BA864" s="307"/>
      <c r="BC864" s="366"/>
      <c r="BD864" s="307"/>
      <c r="BG864" s="307"/>
    </row>
    <row r="865">
      <c r="A865" s="352"/>
      <c r="B865" s="352"/>
      <c r="C865" s="327"/>
      <c r="D865" s="352"/>
      <c r="E865" s="352"/>
      <c r="F865" s="327"/>
      <c r="G865" s="352"/>
      <c r="H865" s="352"/>
      <c r="I865" s="327"/>
      <c r="J865" s="352"/>
      <c r="K865" s="352"/>
      <c r="L865" s="327"/>
      <c r="M865" s="352"/>
      <c r="N865" s="352"/>
      <c r="O865" s="327"/>
      <c r="P865" s="352"/>
      <c r="Q865" s="352"/>
      <c r="R865" s="327"/>
      <c r="S865" s="352"/>
      <c r="T865" s="352"/>
      <c r="U865" s="327"/>
      <c r="V865" s="352"/>
      <c r="W865" s="352"/>
      <c r="X865" s="327"/>
      <c r="Y865" s="352"/>
      <c r="Z865" s="352"/>
      <c r="AA865" s="327"/>
      <c r="AB865" s="352"/>
      <c r="AC865" s="352"/>
      <c r="AD865" s="327"/>
      <c r="AE865" s="352"/>
      <c r="AF865" s="352"/>
      <c r="AG865" s="327"/>
      <c r="AH865" s="352"/>
      <c r="AI865" s="352"/>
      <c r="AJ865" s="327"/>
      <c r="AK865" s="352"/>
      <c r="AL865" s="352"/>
      <c r="AM865" s="327"/>
      <c r="AN865" s="352"/>
      <c r="AO865" s="352"/>
      <c r="AP865" s="327"/>
      <c r="AQ865" s="352"/>
      <c r="AR865" s="327"/>
      <c r="AU865" s="307"/>
      <c r="AX865" s="307"/>
      <c r="BA865" s="307"/>
      <c r="BC865" s="366"/>
      <c r="BD865" s="307"/>
      <c r="BG865" s="307"/>
    </row>
    <row r="866">
      <c r="A866" s="352"/>
      <c r="B866" s="352"/>
      <c r="C866" s="327"/>
      <c r="D866" s="352"/>
      <c r="E866" s="352"/>
      <c r="F866" s="327"/>
      <c r="G866" s="352"/>
      <c r="H866" s="352"/>
      <c r="I866" s="327"/>
      <c r="J866" s="352"/>
      <c r="K866" s="352"/>
      <c r="L866" s="327"/>
      <c r="M866" s="352"/>
      <c r="N866" s="352"/>
      <c r="O866" s="327"/>
      <c r="P866" s="352"/>
      <c r="Q866" s="352"/>
      <c r="R866" s="327"/>
      <c r="S866" s="352"/>
      <c r="T866" s="352"/>
      <c r="U866" s="327"/>
      <c r="V866" s="352"/>
      <c r="W866" s="352"/>
      <c r="X866" s="327"/>
      <c r="Y866" s="352"/>
      <c r="Z866" s="352"/>
      <c r="AA866" s="327"/>
      <c r="AB866" s="352"/>
      <c r="AC866" s="352"/>
      <c r="AD866" s="327"/>
      <c r="AE866" s="352"/>
      <c r="AF866" s="352"/>
      <c r="AG866" s="327"/>
      <c r="AH866" s="352"/>
      <c r="AI866" s="352"/>
      <c r="AJ866" s="327"/>
      <c r="AK866" s="352"/>
      <c r="AL866" s="352"/>
      <c r="AM866" s="327"/>
      <c r="AN866" s="352"/>
      <c r="AO866" s="352"/>
      <c r="AP866" s="327"/>
      <c r="AQ866" s="352"/>
      <c r="AR866" s="327"/>
      <c r="AU866" s="307"/>
      <c r="AX866" s="307"/>
      <c r="BA866" s="307"/>
      <c r="BC866" s="366"/>
      <c r="BD866" s="307"/>
      <c r="BG866" s="307"/>
    </row>
    <row r="867">
      <c r="A867" s="352"/>
      <c r="B867" s="352"/>
      <c r="C867" s="327"/>
      <c r="D867" s="352"/>
      <c r="E867" s="352"/>
      <c r="F867" s="327"/>
      <c r="G867" s="352"/>
      <c r="H867" s="352"/>
      <c r="I867" s="327"/>
      <c r="J867" s="352"/>
      <c r="K867" s="352"/>
      <c r="L867" s="327"/>
      <c r="M867" s="352"/>
      <c r="N867" s="352"/>
      <c r="O867" s="327"/>
      <c r="P867" s="352"/>
      <c r="Q867" s="352"/>
      <c r="R867" s="327"/>
      <c r="S867" s="352"/>
      <c r="T867" s="352"/>
      <c r="U867" s="327"/>
      <c r="V867" s="352"/>
      <c r="W867" s="352"/>
      <c r="X867" s="327"/>
      <c r="Y867" s="352"/>
      <c r="Z867" s="352"/>
      <c r="AA867" s="327"/>
      <c r="AB867" s="352"/>
      <c r="AC867" s="352"/>
      <c r="AD867" s="327"/>
      <c r="AE867" s="352"/>
      <c r="AF867" s="352"/>
      <c r="AG867" s="327"/>
      <c r="AH867" s="352"/>
      <c r="AI867" s="352"/>
      <c r="AJ867" s="327"/>
      <c r="AK867" s="352"/>
      <c r="AL867" s="352"/>
      <c r="AM867" s="327"/>
      <c r="AN867" s="352"/>
      <c r="AO867" s="352"/>
      <c r="AP867" s="327"/>
      <c r="AQ867" s="352"/>
      <c r="AR867" s="327"/>
      <c r="AU867" s="307"/>
      <c r="AX867" s="307"/>
      <c r="BA867" s="307"/>
      <c r="BC867" s="366"/>
      <c r="BD867" s="307"/>
      <c r="BG867" s="307"/>
    </row>
    <row r="868">
      <c r="A868" s="352"/>
      <c r="B868" s="352"/>
      <c r="C868" s="327"/>
      <c r="D868" s="352"/>
      <c r="E868" s="352"/>
      <c r="F868" s="327"/>
      <c r="G868" s="352"/>
      <c r="H868" s="352"/>
      <c r="I868" s="327"/>
      <c r="J868" s="352"/>
      <c r="K868" s="352"/>
      <c r="L868" s="327"/>
      <c r="M868" s="352"/>
      <c r="N868" s="352"/>
      <c r="O868" s="327"/>
      <c r="P868" s="352"/>
      <c r="Q868" s="352"/>
      <c r="R868" s="327"/>
      <c r="S868" s="352"/>
      <c r="T868" s="352"/>
      <c r="U868" s="327"/>
      <c r="V868" s="352"/>
      <c r="W868" s="352"/>
      <c r="X868" s="327"/>
      <c r="Y868" s="352"/>
      <c r="Z868" s="352"/>
      <c r="AA868" s="327"/>
      <c r="AB868" s="352"/>
      <c r="AC868" s="352"/>
      <c r="AD868" s="327"/>
      <c r="AE868" s="352"/>
      <c r="AF868" s="352"/>
      <c r="AG868" s="327"/>
      <c r="AH868" s="352"/>
      <c r="AI868" s="352"/>
      <c r="AJ868" s="327"/>
      <c r="AK868" s="352"/>
      <c r="AL868" s="352"/>
      <c r="AM868" s="327"/>
      <c r="AN868" s="352"/>
      <c r="AO868" s="352"/>
      <c r="AP868" s="327"/>
      <c r="AQ868" s="352"/>
      <c r="AR868" s="327"/>
      <c r="AU868" s="307"/>
      <c r="AX868" s="307"/>
      <c r="BA868" s="307"/>
      <c r="BC868" s="366"/>
      <c r="BD868" s="307"/>
      <c r="BG868" s="307"/>
    </row>
    <row r="869">
      <c r="A869" s="352"/>
      <c r="B869" s="352"/>
      <c r="C869" s="327"/>
      <c r="D869" s="352"/>
      <c r="E869" s="352"/>
      <c r="F869" s="327"/>
      <c r="G869" s="352"/>
      <c r="H869" s="352"/>
      <c r="I869" s="327"/>
      <c r="J869" s="352"/>
      <c r="K869" s="352"/>
      <c r="L869" s="327"/>
      <c r="M869" s="352"/>
      <c r="N869" s="352"/>
      <c r="O869" s="327"/>
      <c r="P869" s="352"/>
      <c r="Q869" s="352"/>
      <c r="R869" s="327"/>
      <c r="S869" s="352"/>
      <c r="T869" s="352"/>
      <c r="U869" s="327"/>
      <c r="V869" s="352"/>
      <c r="W869" s="352"/>
      <c r="X869" s="327"/>
      <c r="Y869" s="352"/>
      <c r="Z869" s="352"/>
      <c r="AA869" s="327"/>
      <c r="AB869" s="352"/>
      <c r="AC869" s="352"/>
      <c r="AD869" s="327"/>
      <c r="AE869" s="352"/>
      <c r="AF869" s="352"/>
      <c r="AG869" s="327"/>
      <c r="AH869" s="352"/>
      <c r="AI869" s="352"/>
      <c r="AJ869" s="327"/>
      <c r="AK869" s="352"/>
      <c r="AL869" s="352"/>
      <c r="AM869" s="327"/>
      <c r="AN869" s="352"/>
      <c r="AO869" s="352"/>
      <c r="AP869" s="327"/>
      <c r="AQ869" s="352"/>
      <c r="AR869" s="327"/>
      <c r="AU869" s="307"/>
      <c r="AX869" s="307"/>
      <c r="BA869" s="307"/>
      <c r="BC869" s="366"/>
      <c r="BD869" s="307"/>
      <c r="BG869" s="307"/>
    </row>
    <row r="870">
      <c r="A870" s="352"/>
      <c r="B870" s="352"/>
      <c r="C870" s="327"/>
      <c r="D870" s="352"/>
      <c r="E870" s="352"/>
      <c r="F870" s="327"/>
      <c r="G870" s="352"/>
      <c r="H870" s="352"/>
      <c r="I870" s="327"/>
      <c r="J870" s="352"/>
      <c r="K870" s="352"/>
      <c r="L870" s="327"/>
      <c r="M870" s="352"/>
      <c r="N870" s="352"/>
      <c r="O870" s="327"/>
      <c r="P870" s="352"/>
      <c r="Q870" s="352"/>
      <c r="R870" s="327"/>
      <c r="S870" s="352"/>
      <c r="T870" s="352"/>
      <c r="U870" s="327"/>
      <c r="V870" s="352"/>
      <c r="W870" s="352"/>
      <c r="X870" s="327"/>
      <c r="Y870" s="352"/>
      <c r="Z870" s="352"/>
      <c r="AA870" s="327"/>
      <c r="AB870" s="352"/>
      <c r="AC870" s="352"/>
      <c r="AD870" s="327"/>
      <c r="AE870" s="352"/>
      <c r="AF870" s="352"/>
      <c r="AG870" s="327"/>
      <c r="AH870" s="352"/>
      <c r="AI870" s="352"/>
      <c r="AJ870" s="327"/>
      <c r="AK870" s="352"/>
      <c r="AL870" s="352"/>
      <c r="AM870" s="327"/>
      <c r="AN870" s="352"/>
      <c r="AO870" s="352"/>
      <c r="AP870" s="327"/>
      <c r="AQ870" s="352"/>
      <c r="AR870" s="327"/>
      <c r="AU870" s="307"/>
      <c r="AX870" s="307"/>
      <c r="BA870" s="307"/>
      <c r="BC870" s="366"/>
      <c r="BD870" s="307"/>
      <c r="BG870" s="307"/>
    </row>
    <row r="871">
      <c r="A871" s="352"/>
      <c r="B871" s="352"/>
      <c r="C871" s="327"/>
      <c r="D871" s="352"/>
      <c r="E871" s="352"/>
      <c r="F871" s="327"/>
      <c r="G871" s="352"/>
      <c r="H871" s="352"/>
      <c r="I871" s="327"/>
      <c r="J871" s="352"/>
      <c r="K871" s="352"/>
      <c r="L871" s="327"/>
      <c r="M871" s="352"/>
      <c r="N871" s="352"/>
      <c r="O871" s="327"/>
      <c r="P871" s="352"/>
      <c r="Q871" s="352"/>
      <c r="R871" s="327"/>
      <c r="S871" s="352"/>
      <c r="T871" s="352"/>
      <c r="U871" s="327"/>
      <c r="V871" s="352"/>
      <c r="W871" s="352"/>
      <c r="X871" s="327"/>
      <c r="Y871" s="352"/>
      <c r="Z871" s="352"/>
      <c r="AA871" s="327"/>
      <c r="AB871" s="352"/>
      <c r="AC871" s="352"/>
      <c r="AD871" s="327"/>
      <c r="AE871" s="352"/>
      <c r="AF871" s="352"/>
      <c r="AG871" s="327"/>
      <c r="AH871" s="352"/>
      <c r="AI871" s="352"/>
      <c r="AJ871" s="327"/>
      <c r="AK871" s="352"/>
      <c r="AL871" s="352"/>
      <c r="AM871" s="327"/>
      <c r="AN871" s="352"/>
      <c r="AO871" s="352"/>
      <c r="AP871" s="327"/>
      <c r="AQ871" s="352"/>
      <c r="AR871" s="327"/>
      <c r="AU871" s="307"/>
      <c r="AX871" s="307"/>
      <c r="BA871" s="307"/>
      <c r="BC871" s="366"/>
      <c r="BD871" s="307"/>
      <c r="BG871" s="307"/>
    </row>
    <row r="872">
      <c r="A872" s="352"/>
      <c r="B872" s="352"/>
      <c r="C872" s="327"/>
      <c r="D872" s="352"/>
      <c r="E872" s="352"/>
      <c r="F872" s="327"/>
      <c r="G872" s="352"/>
      <c r="H872" s="352"/>
      <c r="I872" s="327"/>
      <c r="J872" s="352"/>
      <c r="K872" s="352"/>
      <c r="L872" s="327"/>
      <c r="M872" s="352"/>
      <c r="N872" s="352"/>
      <c r="O872" s="327"/>
      <c r="P872" s="352"/>
      <c r="Q872" s="352"/>
      <c r="R872" s="327"/>
      <c r="S872" s="352"/>
      <c r="T872" s="352"/>
      <c r="U872" s="327"/>
      <c r="V872" s="352"/>
      <c r="W872" s="352"/>
      <c r="X872" s="327"/>
      <c r="Y872" s="352"/>
      <c r="Z872" s="352"/>
      <c r="AA872" s="327"/>
      <c r="AB872" s="352"/>
      <c r="AC872" s="352"/>
      <c r="AD872" s="327"/>
      <c r="AE872" s="352"/>
      <c r="AF872" s="352"/>
      <c r="AG872" s="327"/>
      <c r="AH872" s="352"/>
      <c r="AI872" s="352"/>
      <c r="AJ872" s="327"/>
      <c r="AK872" s="352"/>
      <c r="AL872" s="352"/>
      <c r="AM872" s="327"/>
      <c r="AN872" s="352"/>
      <c r="AO872" s="352"/>
      <c r="AP872" s="327"/>
      <c r="AQ872" s="352"/>
      <c r="AR872" s="327"/>
      <c r="AU872" s="307"/>
      <c r="AX872" s="307"/>
      <c r="BA872" s="307"/>
      <c r="BC872" s="366"/>
      <c r="BD872" s="307"/>
      <c r="BG872" s="307"/>
    </row>
    <row r="873">
      <c r="A873" s="352"/>
      <c r="B873" s="352"/>
      <c r="C873" s="327"/>
      <c r="D873" s="352"/>
      <c r="E873" s="352"/>
      <c r="F873" s="327"/>
      <c r="G873" s="352"/>
      <c r="H873" s="352"/>
      <c r="I873" s="327"/>
      <c r="J873" s="352"/>
      <c r="K873" s="352"/>
      <c r="L873" s="327"/>
      <c r="M873" s="352"/>
      <c r="N873" s="352"/>
      <c r="O873" s="327"/>
      <c r="P873" s="352"/>
      <c r="Q873" s="352"/>
      <c r="R873" s="327"/>
      <c r="S873" s="352"/>
      <c r="T873" s="352"/>
      <c r="U873" s="327"/>
      <c r="V873" s="352"/>
      <c r="W873" s="352"/>
      <c r="X873" s="327"/>
      <c r="Y873" s="352"/>
      <c r="Z873" s="352"/>
      <c r="AA873" s="327"/>
      <c r="AB873" s="352"/>
      <c r="AC873" s="352"/>
      <c r="AD873" s="327"/>
      <c r="AE873" s="352"/>
      <c r="AF873" s="352"/>
      <c r="AG873" s="327"/>
      <c r="AH873" s="352"/>
      <c r="AI873" s="352"/>
      <c r="AJ873" s="327"/>
      <c r="AK873" s="352"/>
      <c r="AL873" s="352"/>
      <c r="AM873" s="327"/>
      <c r="AN873" s="352"/>
      <c r="AO873" s="352"/>
      <c r="AP873" s="327"/>
      <c r="AQ873" s="352"/>
      <c r="AR873" s="327"/>
      <c r="AU873" s="307"/>
      <c r="AX873" s="307"/>
      <c r="BA873" s="307"/>
      <c r="BC873" s="366"/>
      <c r="BD873" s="307"/>
      <c r="BG873" s="307"/>
    </row>
    <row r="874">
      <c r="A874" s="352"/>
      <c r="B874" s="352"/>
      <c r="C874" s="327"/>
      <c r="D874" s="352"/>
      <c r="E874" s="352"/>
      <c r="F874" s="327"/>
      <c r="G874" s="352"/>
      <c r="H874" s="352"/>
      <c r="I874" s="327"/>
      <c r="J874" s="352"/>
      <c r="K874" s="352"/>
      <c r="L874" s="327"/>
      <c r="M874" s="352"/>
      <c r="N874" s="352"/>
      <c r="O874" s="327"/>
      <c r="P874" s="352"/>
      <c r="Q874" s="352"/>
      <c r="R874" s="327"/>
      <c r="S874" s="352"/>
      <c r="T874" s="352"/>
      <c r="U874" s="327"/>
      <c r="V874" s="352"/>
      <c r="W874" s="352"/>
      <c r="X874" s="327"/>
      <c r="Y874" s="352"/>
      <c r="Z874" s="352"/>
      <c r="AA874" s="327"/>
      <c r="AB874" s="352"/>
      <c r="AC874" s="352"/>
      <c r="AD874" s="327"/>
      <c r="AE874" s="352"/>
      <c r="AF874" s="352"/>
      <c r="AG874" s="327"/>
      <c r="AH874" s="352"/>
      <c r="AI874" s="352"/>
      <c r="AJ874" s="327"/>
      <c r="AK874" s="352"/>
      <c r="AL874" s="352"/>
      <c r="AM874" s="327"/>
      <c r="AN874" s="352"/>
      <c r="AO874" s="352"/>
      <c r="AP874" s="327"/>
      <c r="AQ874" s="352"/>
      <c r="AR874" s="327"/>
      <c r="AU874" s="307"/>
      <c r="AX874" s="307"/>
      <c r="BA874" s="307"/>
      <c r="BC874" s="366"/>
      <c r="BD874" s="307"/>
      <c r="BG874" s="307"/>
    </row>
    <row r="875">
      <c r="A875" s="352"/>
      <c r="B875" s="352"/>
      <c r="C875" s="327"/>
      <c r="D875" s="352"/>
      <c r="E875" s="352"/>
      <c r="F875" s="327"/>
      <c r="G875" s="352"/>
      <c r="H875" s="352"/>
      <c r="I875" s="327"/>
      <c r="J875" s="352"/>
      <c r="K875" s="352"/>
      <c r="L875" s="327"/>
      <c r="M875" s="352"/>
      <c r="N875" s="352"/>
      <c r="O875" s="327"/>
      <c r="P875" s="352"/>
      <c r="Q875" s="352"/>
      <c r="R875" s="327"/>
      <c r="S875" s="352"/>
      <c r="T875" s="352"/>
      <c r="U875" s="327"/>
      <c r="V875" s="352"/>
      <c r="W875" s="352"/>
      <c r="X875" s="327"/>
      <c r="Y875" s="352"/>
      <c r="Z875" s="352"/>
      <c r="AA875" s="327"/>
      <c r="AB875" s="352"/>
      <c r="AC875" s="352"/>
      <c r="AD875" s="327"/>
      <c r="AE875" s="352"/>
      <c r="AF875" s="352"/>
      <c r="AG875" s="327"/>
      <c r="AH875" s="352"/>
      <c r="AI875" s="352"/>
      <c r="AJ875" s="327"/>
      <c r="AK875" s="352"/>
      <c r="AL875" s="352"/>
      <c r="AM875" s="327"/>
      <c r="AN875" s="352"/>
      <c r="AO875" s="352"/>
      <c r="AP875" s="327"/>
      <c r="AQ875" s="352"/>
      <c r="AR875" s="327"/>
      <c r="AU875" s="307"/>
      <c r="AX875" s="307"/>
      <c r="BA875" s="307"/>
      <c r="BC875" s="366"/>
      <c r="BD875" s="307"/>
      <c r="BG875" s="307"/>
    </row>
    <row r="876">
      <c r="A876" s="352"/>
      <c r="B876" s="352"/>
      <c r="C876" s="327"/>
      <c r="D876" s="352"/>
      <c r="E876" s="352"/>
      <c r="F876" s="327"/>
      <c r="G876" s="352"/>
      <c r="H876" s="352"/>
      <c r="I876" s="327"/>
      <c r="J876" s="352"/>
      <c r="K876" s="352"/>
      <c r="L876" s="327"/>
      <c r="M876" s="352"/>
      <c r="N876" s="352"/>
      <c r="O876" s="327"/>
      <c r="P876" s="352"/>
      <c r="Q876" s="352"/>
      <c r="R876" s="327"/>
      <c r="S876" s="352"/>
      <c r="T876" s="352"/>
      <c r="U876" s="327"/>
      <c r="V876" s="352"/>
      <c r="W876" s="352"/>
      <c r="X876" s="327"/>
      <c r="Y876" s="352"/>
      <c r="Z876" s="352"/>
      <c r="AA876" s="327"/>
      <c r="AB876" s="352"/>
      <c r="AC876" s="352"/>
      <c r="AD876" s="327"/>
      <c r="AE876" s="352"/>
      <c r="AF876" s="352"/>
      <c r="AG876" s="327"/>
      <c r="AH876" s="352"/>
      <c r="AI876" s="352"/>
      <c r="AJ876" s="327"/>
      <c r="AK876" s="352"/>
      <c r="AL876" s="352"/>
      <c r="AM876" s="327"/>
      <c r="AN876" s="352"/>
      <c r="AO876" s="352"/>
      <c r="AP876" s="327"/>
      <c r="AQ876" s="352"/>
      <c r="AR876" s="327"/>
      <c r="AU876" s="307"/>
      <c r="AX876" s="307"/>
      <c r="BA876" s="307"/>
      <c r="BC876" s="366"/>
      <c r="BD876" s="307"/>
      <c r="BG876" s="307"/>
    </row>
    <row r="877">
      <c r="A877" s="352"/>
      <c r="B877" s="352"/>
      <c r="C877" s="327"/>
      <c r="D877" s="352"/>
      <c r="E877" s="352"/>
      <c r="F877" s="327"/>
      <c r="G877" s="352"/>
      <c r="H877" s="352"/>
      <c r="I877" s="327"/>
      <c r="J877" s="352"/>
      <c r="K877" s="352"/>
      <c r="L877" s="327"/>
      <c r="M877" s="352"/>
      <c r="N877" s="352"/>
      <c r="O877" s="327"/>
      <c r="P877" s="352"/>
      <c r="Q877" s="352"/>
      <c r="R877" s="327"/>
      <c r="S877" s="352"/>
      <c r="T877" s="352"/>
      <c r="U877" s="327"/>
      <c r="V877" s="352"/>
      <c r="W877" s="352"/>
      <c r="X877" s="327"/>
      <c r="Y877" s="352"/>
      <c r="Z877" s="352"/>
      <c r="AA877" s="327"/>
      <c r="AB877" s="352"/>
      <c r="AC877" s="352"/>
      <c r="AD877" s="327"/>
      <c r="AE877" s="352"/>
      <c r="AF877" s="352"/>
      <c r="AG877" s="327"/>
      <c r="AH877" s="352"/>
      <c r="AI877" s="352"/>
      <c r="AJ877" s="327"/>
      <c r="AK877" s="352"/>
      <c r="AL877" s="352"/>
      <c r="AM877" s="327"/>
      <c r="AN877" s="352"/>
      <c r="AO877" s="352"/>
      <c r="AP877" s="327"/>
      <c r="AQ877" s="352"/>
      <c r="AR877" s="327"/>
      <c r="AU877" s="307"/>
      <c r="AX877" s="307"/>
      <c r="BA877" s="307"/>
      <c r="BC877" s="366"/>
      <c r="BD877" s="307"/>
      <c r="BG877" s="307"/>
    </row>
    <row r="878">
      <c r="A878" s="352"/>
      <c r="B878" s="352"/>
      <c r="C878" s="327"/>
      <c r="D878" s="352"/>
      <c r="E878" s="352"/>
      <c r="F878" s="327"/>
      <c r="G878" s="352"/>
      <c r="H878" s="352"/>
      <c r="I878" s="327"/>
      <c r="J878" s="352"/>
      <c r="K878" s="352"/>
      <c r="L878" s="327"/>
      <c r="M878" s="352"/>
      <c r="N878" s="352"/>
      <c r="O878" s="327"/>
      <c r="P878" s="352"/>
      <c r="Q878" s="352"/>
      <c r="R878" s="327"/>
      <c r="S878" s="352"/>
      <c r="T878" s="352"/>
      <c r="U878" s="327"/>
      <c r="V878" s="352"/>
      <c r="W878" s="352"/>
      <c r="X878" s="327"/>
      <c r="Y878" s="352"/>
      <c r="Z878" s="352"/>
      <c r="AA878" s="327"/>
      <c r="AB878" s="352"/>
      <c r="AC878" s="352"/>
      <c r="AD878" s="327"/>
      <c r="AE878" s="352"/>
      <c r="AF878" s="352"/>
      <c r="AG878" s="327"/>
      <c r="AH878" s="352"/>
      <c r="AI878" s="352"/>
      <c r="AJ878" s="327"/>
      <c r="AK878" s="352"/>
      <c r="AL878" s="352"/>
      <c r="AM878" s="327"/>
      <c r="AN878" s="352"/>
      <c r="AO878" s="352"/>
      <c r="AP878" s="327"/>
      <c r="AQ878" s="352"/>
      <c r="AR878" s="327"/>
      <c r="AU878" s="307"/>
      <c r="AX878" s="307"/>
      <c r="BA878" s="307"/>
      <c r="BC878" s="366"/>
      <c r="BD878" s="307"/>
      <c r="BG878" s="307"/>
    </row>
    <row r="879">
      <c r="A879" s="352"/>
      <c r="B879" s="352"/>
      <c r="C879" s="327"/>
      <c r="D879" s="352"/>
      <c r="E879" s="352"/>
      <c r="F879" s="327"/>
      <c r="G879" s="352"/>
      <c r="H879" s="352"/>
      <c r="I879" s="327"/>
      <c r="J879" s="352"/>
      <c r="K879" s="352"/>
      <c r="L879" s="327"/>
      <c r="M879" s="352"/>
      <c r="N879" s="352"/>
      <c r="O879" s="327"/>
      <c r="P879" s="352"/>
      <c r="Q879" s="352"/>
      <c r="R879" s="327"/>
      <c r="S879" s="352"/>
      <c r="T879" s="352"/>
      <c r="U879" s="327"/>
      <c r="V879" s="352"/>
      <c r="W879" s="352"/>
      <c r="X879" s="327"/>
      <c r="Y879" s="352"/>
      <c r="Z879" s="352"/>
      <c r="AA879" s="327"/>
      <c r="AB879" s="352"/>
      <c r="AC879" s="352"/>
      <c r="AD879" s="327"/>
      <c r="AE879" s="352"/>
      <c r="AF879" s="352"/>
      <c r="AG879" s="327"/>
      <c r="AH879" s="352"/>
      <c r="AI879" s="352"/>
      <c r="AJ879" s="327"/>
      <c r="AK879" s="352"/>
      <c r="AL879" s="352"/>
      <c r="AM879" s="327"/>
      <c r="AN879" s="352"/>
      <c r="AO879" s="352"/>
      <c r="AP879" s="327"/>
      <c r="AQ879" s="352"/>
      <c r="AR879" s="327"/>
      <c r="AU879" s="307"/>
      <c r="AX879" s="307"/>
      <c r="BA879" s="307"/>
      <c r="BC879" s="366"/>
      <c r="BD879" s="307"/>
      <c r="BG879" s="307"/>
    </row>
    <row r="880">
      <c r="A880" s="352"/>
      <c r="B880" s="352"/>
      <c r="C880" s="327"/>
      <c r="D880" s="352"/>
      <c r="E880" s="352"/>
      <c r="F880" s="327"/>
      <c r="G880" s="352"/>
      <c r="H880" s="352"/>
      <c r="I880" s="327"/>
      <c r="J880" s="352"/>
      <c r="K880" s="352"/>
      <c r="L880" s="327"/>
      <c r="M880" s="352"/>
      <c r="N880" s="352"/>
      <c r="O880" s="327"/>
      <c r="P880" s="352"/>
      <c r="Q880" s="352"/>
      <c r="R880" s="327"/>
      <c r="S880" s="352"/>
      <c r="T880" s="352"/>
      <c r="U880" s="327"/>
      <c r="V880" s="352"/>
      <c r="W880" s="352"/>
      <c r="X880" s="327"/>
      <c r="Y880" s="352"/>
      <c r="Z880" s="352"/>
      <c r="AA880" s="327"/>
      <c r="AB880" s="352"/>
      <c r="AC880" s="352"/>
      <c r="AD880" s="327"/>
      <c r="AE880" s="352"/>
      <c r="AF880" s="352"/>
      <c r="AG880" s="327"/>
      <c r="AH880" s="352"/>
      <c r="AI880" s="352"/>
      <c r="AJ880" s="327"/>
      <c r="AK880" s="352"/>
      <c r="AL880" s="352"/>
      <c r="AM880" s="327"/>
      <c r="AN880" s="352"/>
      <c r="AO880" s="352"/>
      <c r="AP880" s="327"/>
      <c r="AQ880" s="352"/>
      <c r="AR880" s="327"/>
      <c r="AU880" s="307"/>
      <c r="AX880" s="307"/>
      <c r="BA880" s="307"/>
      <c r="BC880" s="366"/>
      <c r="BD880" s="307"/>
      <c r="BG880" s="307"/>
    </row>
    <row r="881">
      <c r="A881" s="352"/>
      <c r="B881" s="352"/>
      <c r="C881" s="327"/>
      <c r="D881" s="352"/>
      <c r="E881" s="352"/>
      <c r="F881" s="327"/>
      <c r="G881" s="352"/>
      <c r="H881" s="352"/>
      <c r="I881" s="327"/>
      <c r="J881" s="352"/>
      <c r="K881" s="352"/>
      <c r="L881" s="327"/>
      <c r="M881" s="352"/>
      <c r="N881" s="352"/>
      <c r="O881" s="327"/>
      <c r="P881" s="352"/>
      <c r="Q881" s="352"/>
      <c r="R881" s="327"/>
      <c r="S881" s="352"/>
      <c r="T881" s="352"/>
      <c r="U881" s="327"/>
      <c r="V881" s="352"/>
      <c r="W881" s="352"/>
      <c r="X881" s="327"/>
      <c r="Y881" s="352"/>
      <c r="Z881" s="352"/>
      <c r="AA881" s="327"/>
      <c r="AB881" s="352"/>
      <c r="AC881" s="352"/>
      <c r="AD881" s="327"/>
      <c r="AE881" s="352"/>
      <c r="AF881" s="352"/>
      <c r="AG881" s="327"/>
      <c r="AH881" s="352"/>
      <c r="AI881" s="352"/>
      <c r="AJ881" s="327"/>
      <c r="AK881" s="352"/>
      <c r="AL881" s="352"/>
      <c r="AM881" s="327"/>
      <c r="AN881" s="352"/>
      <c r="AO881" s="352"/>
      <c r="AP881" s="327"/>
      <c r="AQ881" s="352"/>
      <c r="AR881" s="327"/>
      <c r="AU881" s="307"/>
      <c r="AX881" s="307"/>
      <c r="BA881" s="307"/>
      <c r="BC881" s="366"/>
      <c r="BD881" s="307"/>
      <c r="BG881" s="307"/>
    </row>
    <row r="882">
      <c r="A882" s="352"/>
      <c r="B882" s="352"/>
      <c r="C882" s="327"/>
      <c r="D882" s="352"/>
      <c r="E882" s="352"/>
      <c r="F882" s="327"/>
      <c r="G882" s="352"/>
      <c r="H882" s="352"/>
      <c r="I882" s="327"/>
      <c r="J882" s="352"/>
      <c r="K882" s="352"/>
      <c r="L882" s="327"/>
      <c r="M882" s="352"/>
      <c r="N882" s="352"/>
      <c r="O882" s="327"/>
      <c r="P882" s="352"/>
      <c r="Q882" s="352"/>
      <c r="R882" s="327"/>
      <c r="S882" s="352"/>
      <c r="T882" s="352"/>
      <c r="U882" s="327"/>
      <c r="V882" s="352"/>
      <c r="W882" s="352"/>
      <c r="X882" s="327"/>
      <c r="Y882" s="352"/>
      <c r="Z882" s="352"/>
      <c r="AA882" s="327"/>
      <c r="AB882" s="352"/>
      <c r="AC882" s="352"/>
      <c r="AD882" s="327"/>
      <c r="AE882" s="352"/>
      <c r="AF882" s="352"/>
      <c r="AG882" s="327"/>
      <c r="AH882" s="352"/>
      <c r="AI882" s="352"/>
      <c r="AJ882" s="327"/>
      <c r="AK882" s="352"/>
      <c r="AL882" s="352"/>
      <c r="AM882" s="327"/>
      <c r="AN882" s="352"/>
      <c r="AO882" s="352"/>
      <c r="AP882" s="327"/>
      <c r="AQ882" s="352"/>
      <c r="AR882" s="327"/>
      <c r="AU882" s="307"/>
      <c r="AX882" s="307"/>
      <c r="BA882" s="307"/>
      <c r="BC882" s="366"/>
      <c r="BD882" s="307"/>
      <c r="BG882" s="307"/>
    </row>
    <row r="883">
      <c r="A883" s="352"/>
      <c r="B883" s="352"/>
      <c r="C883" s="327"/>
      <c r="D883" s="352"/>
      <c r="E883" s="352"/>
      <c r="F883" s="327"/>
      <c r="G883" s="352"/>
      <c r="H883" s="352"/>
      <c r="I883" s="327"/>
      <c r="J883" s="352"/>
      <c r="K883" s="352"/>
      <c r="L883" s="327"/>
      <c r="M883" s="352"/>
      <c r="N883" s="352"/>
      <c r="O883" s="327"/>
      <c r="P883" s="352"/>
      <c r="Q883" s="352"/>
      <c r="R883" s="327"/>
      <c r="S883" s="352"/>
      <c r="T883" s="352"/>
      <c r="U883" s="327"/>
      <c r="V883" s="352"/>
      <c r="W883" s="352"/>
      <c r="X883" s="327"/>
      <c r="Y883" s="352"/>
      <c r="Z883" s="352"/>
      <c r="AA883" s="327"/>
      <c r="AB883" s="352"/>
      <c r="AC883" s="352"/>
      <c r="AD883" s="327"/>
      <c r="AE883" s="352"/>
      <c r="AF883" s="352"/>
      <c r="AG883" s="327"/>
      <c r="AH883" s="352"/>
      <c r="AI883" s="352"/>
      <c r="AJ883" s="327"/>
      <c r="AK883" s="352"/>
      <c r="AL883" s="352"/>
      <c r="AM883" s="327"/>
      <c r="AN883" s="352"/>
      <c r="AO883" s="352"/>
      <c r="AP883" s="327"/>
      <c r="AQ883" s="352"/>
      <c r="AR883" s="327"/>
      <c r="AU883" s="307"/>
      <c r="AX883" s="307"/>
      <c r="BA883" s="307"/>
      <c r="BC883" s="366"/>
      <c r="BD883" s="307"/>
      <c r="BG883" s="307"/>
    </row>
    <row r="884">
      <c r="A884" s="352"/>
      <c r="B884" s="352"/>
      <c r="C884" s="327"/>
      <c r="D884" s="352"/>
      <c r="E884" s="352"/>
      <c r="F884" s="327"/>
      <c r="G884" s="352"/>
      <c r="H884" s="352"/>
      <c r="I884" s="327"/>
      <c r="J884" s="352"/>
      <c r="K884" s="352"/>
      <c r="L884" s="327"/>
      <c r="M884" s="352"/>
      <c r="N884" s="352"/>
      <c r="O884" s="327"/>
      <c r="P884" s="352"/>
      <c r="Q884" s="352"/>
      <c r="R884" s="327"/>
      <c r="S884" s="352"/>
      <c r="T884" s="352"/>
      <c r="U884" s="327"/>
      <c r="V884" s="352"/>
      <c r="W884" s="352"/>
      <c r="X884" s="327"/>
      <c r="Y884" s="352"/>
      <c r="Z884" s="352"/>
      <c r="AA884" s="327"/>
      <c r="AB884" s="352"/>
      <c r="AC884" s="352"/>
      <c r="AD884" s="327"/>
      <c r="AE884" s="352"/>
      <c r="AF884" s="352"/>
      <c r="AG884" s="327"/>
      <c r="AH884" s="352"/>
      <c r="AI884" s="352"/>
      <c r="AJ884" s="327"/>
      <c r="AK884" s="352"/>
      <c r="AL884" s="352"/>
      <c r="AM884" s="327"/>
      <c r="AN884" s="352"/>
      <c r="AO884" s="352"/>
      <c r="AP884" s="327"/>
      <c r="AQ884" s="352"/>
      <c r="AR884" s="327"/>
      <c r="AU884" s="307"/>
      <c r="AX884" s="307"/>
      <c r="BA884" s="307"/>
      <c r="BC884" s="366"/>
      <c r="BD884" s="307"/>
      <c r="BG884" s="307"/>
    </row>
    <row r="885">
      <c r="A885" s="352"/>
      <c r="B885" s="352"/>
      <c r="C885" s="327"/>
      <c r="D885" s="352"/>
      <c r="E885" s="352"/>
      <c r="F885" s="327"/>
      <c r="G885" s="352"/>
      <c r="H885" s="352"/>
      <c r="I885" s="327"/>
      <c r="J885" s="352"/>
      <c r="K885" s="352"/>
      <c r="L885" s="327"/>
      <c r="M885" s="352"/>
      <c r="N885" s="352"/>
      <c r="O885" s="327"/>
      <c r="P885" s="352"/>
      <c r="Q885" s="352"/>
      <c r="R885" s="327"/>
      <c r="S885" s="352"/>
      <c r="T885" s="352"/>
      <c r="U885" s="327"/>
      <c r="V885" s="352"/>
      <c r="W885" s="352"/>
      <c r="X885" s="327"/>
      <c r="Y885" s="352"/>
      <c r="Z885" s="352"/>
      <c r="AA885" s="327"/>
      <c r="AB885" s="352"/>
      <c r="AC885" s="352"/>
      <c r="AD885" s="327"/>
      <c r="AE885" s="352"/>
      <c r="AF885" s="352"/>
      <c r="AG885" s="327"/>
      <c r="AH885" s="352"/>
      <c r="AI885" s="352"/>
      <c r="AJ885" s="327"/>
      <c r="AK885" s="352"/>
      <c r="AL885" s="352"/>
      <c r="AM885" s="327"/>
      <c r="AN885" s="352"/>
      <c r="AO885" s="352"/>
      <c r="AP885" s="327"/>
      <c r="AQ885" s="352"/>
      <c r="AR885" s="327"/>
      <c r="AU885" s="307"/>
      <c r="AX885" s="307"/>
      <c r="BA885" s="307"/>
      <c r="BC885" s="366"/>
      <c r="BD885" s="307"/>
      <c r="BG885" s="307"/>
    </row>
    <row r="886">
      <c r="A886" s="352"/>
      <c r="B886" s="352"/>
      <c r="C886" s="327"/>
      <c r="D886" s="352"/>
      <c r="E886" s="352"/>
      <c r="F886" s="327"/>
      <c r="G886" s="352"/>
      <c r="H886" s="352"/>
      <c r="I886" s="327"/>
      <c r="J886" s="352"/>
      <c r="K886" s="352"/>
      <c r="L886" s="327"/>
      <c r="M886" s="352"/>
      <c r="N886" s="352"/>
      <c r="O886" s="327"/>
      <c r="P886" s="352"/>
      <c r="Q886" s="352"/>
      <c r="R886" s="327"/>
      <c r="S886" s="352"/>
      <c r="T886" s="352"/>
      <c r="U886" s="327"/>
      <c r="V886" s="352"/>
      <c r="W886" s="352"/>
      <c r="X886" s="327"/>
      <c r="Y886" s="352"/>
      <c r="Z886" s="352"/>
      <c r="AA886" s="327"/>
      <c r="AB886" s="352"/>
      <c r="AC886" s="352"/>
      <c r="AD886" s="327"/>
      <c r="AE886" s="352"/>
      <c r="AF886" s="352"/>
      <c r="AG886" s="327"/>
      <c r="AH886" s="352"/>
      <c r="AI886" s="352"/>
      <c r="AJ886" s="327"/>
      <c r="AK886" s="352"/>
      <c r="AL886" s="352"/>
      <c r="AM886" s="327"/>
      <c r="AN886" s="352"/>
      <c r="AO886" s="352"/>
      <c r="AP886" s="327"/>
      <c r="AQ886" s="352"/>
      <c r="AR886" s="327"/>
      <c r="AU886" s="307"/>
      <c r="AX886" s="307"/>
      <c r="BA886" s="307"/>
      <c r="BC886" s="366"/>
      <c r="BD886" s="307"/>
      <c r="BG886" s="307"/>
    </row>
    <row r="887">
      <c r="A887" s="352"/>
      <c r="B887" s="352"/>
      <c r="C887" s="327"/>
      <c r="D887" s="352"/>
      <c r="E887" s="352"/>
      <c r="F887" s="327"/>
      <c r="G887" s="352"/>
      <c r="H887" s="352"/>
      <c r="I887" s="327"/>
      <c r="J887" s="352"/>
      <c r="K887" s="352"/>
      <c r="L887" s="327"/>
      <c r="M887" s="352"/>
      <c r="N887" s="352"/>
      <c r="O887" s="327"/>
      <c r="P887" s="352"/>
      <c r="Q887" s="352"/>
      <c r="R887" s="327"/>
      <c r="S887" s="352"/>
      <c r="T887" s="352"/>
      <c r="U887" s="327"/>
      <c r="V887" s="352"/>
      <c r="W887" s="352"/>
      <c r="X887" s="327"/>
      <c r="Y887" s="352"/>
      <c r="Z887" s="352"/>
      <c r="AA887" s="327"/>
      <c r="AB887" s="352"/>
      <c r="AC887" s="352"/>
      <c r="AD887" s="327"/>
      <c r="AE887" s="352"/>
      <c r="AF887" s="352"/>
      <c r="AG887" s="327"/>
      <c r="AH887" s="352"/>
      <c r="AI887" s="352"/>
      <c r="AJ887" s="327"/>
      <c r="AK887" s="352"/>
      <c r="AL887" s="352"/>
      <c r="AM887" s="327"/>
      <c r="AN887" s="352"/>
      <c r="AO887" s="352"/>
      <c r="AP887" s="327"/>
      <c r="AQ887" s="352"/>
      <c r="AR887" s="327"/>
      <c r="AU887" s="307"/>
      <c r="AX887" s="307"/>
      <c r="BA887" s="307"/>
      <c r="BC887" s="366"/>
      <c r="BD887" s="307"/>
      <c r="BG887" s="307"/>
    </row>
    <row r="888">
      <c r="A888" s="352"/>
      <c r="B888" s="352"/>
      <c r="C888" s="327"/>
      <c r="D888" s="352"/>
      <c r="E888" s="352"/>
      <c r="F888" s="327"/>
      <c r="G888" s="352"/>
      <c r="H888" s="352"/>
      <c r="I888" s="327"/>
      <c r="J888" s="352"/>
      <c r="K888" s="352"/>
      <c r="L888" s="327"/>
      <c r="M888" s="352"/>
      <c r="N888" s="352"/>
      <c r="O888" s="327"/>
      <c r="P888" s="352"/>
      <c r="Q888" s="352"/>
      <c r="R888" s="327"/>
      <c r="S888" s="352"/>
      <c r="T888" s="352"/>
      <c r="U888" s="327"/>
      <c r="V888" s="352"/>
      <c r="W888" s="352"/>
      <c r="X888" s="327"/>
      <c r="Y888" s="352"/>
      <c r="Z888" s="352"/>
      <c r="AA888" s="327"/>
      <c r="AB888" s="352"/>
      <c r="AC888" s="352"/>
      <c r="AD888" s="327"/>
      <c r="AE888" s="352"/>
      <c r="AF888" s="352"/>
      <c r="AG888" s="327"/>
      <c r="AH888" s="352"/>
      <c r="AI888" s="352"/>
      <c r="AJ888" s="327"/>
      <c r="AK888" s="352"/>
      <c r="AL888" s="352"/>
      <c r="AM888" s="327"/>
      <c r="AN888" s="352"/>
      <c r="AO888" s="352"/>
      <c r="AP888" s="327"/>
      <c r="AQ888" s="352"/>
      <c r="AR888" s="327"/>
      <c r="AU888" s="307"/>
      <c r="AX888" s="307"/>
      <c r="BA888" s="307"/>
      <c r="BC888" s="366"/>
      <c r="BD888" s="307"/>
      <c r="BG888" s="307"/>
    </row>
    <row r="889">
      <c r="A889" s="352"/>
      <c r="B889" s="352"/>
      <c r="C889" s="327"/>
      <c r="D889" s="352"/>
      <c r="E889" s="352"/>
      <c r="F889" s="327"/>
      <c r="G889" s="352"/>
      <c r="H889" s="352"/>
      <c r="I889" s="327"/>
      <c r="J889" s="352"/>
      <c r="K889" s="352"/>
      <c r="L889" s="327"/>
      <c r="M889" s="352"/>
      <c r="N889" s="352"/>
      <c r="O889" s="327"/>
      <c r="P889" s="352"/>
      <c r="Q889" s="352"/>
      <c r="R889" s="327"/>
      <c r="S889" s="352"/>
      <c r="T889" s="352"/>
      <c r="U889" s="327"/>
      <c r="V889" s="352"/>
      <c r="W889" s="352"/>
      <c r="X889" s="327"/>
      <c r="Y889" s="352"/>
      <c r="Z889" s="352"/>
      <c r="AA889" s="327"/>
      <c r="AB889" s="352"/>
      <c r="AC889" s="352"/>
      <c r="AD889" s="327"/>
      <c r="AE889" s="352"/>
      <c r="AF889" s="352"/>
      <c r="AG889" s="327"/>
      <c r="AH889" s="352"/>
      <c r="AI889" s="352"/>
      <c r="AJ889" s="327"/>
      <c r="AK889" s="352"/>
      <c r="AL889" s="352"/>
      <c r="AM889" s="327"/>
      <c r="AN889" s="352"/>
      <c r="AO889" s="352"/>
      <c r="AP889" s="327"/>
      <c r="AQ889" s="352"/>
      <c r="AR889" s="327"/>
      <c r="AU889" s="307"/>
      <c r="AX889" s="307"/>
      <c r="BA889" s="307"/>
      <c r="BC889" s="366"/>
      <c r="BD889" s="307"/>
      <c r="BG889" s="307"/>
    </row>
    <row r="890">
      <c r="A890" s="352"/>
      <c r="B890" s="352"/>
      <c r="C890" s="327"/>
      <c r="D890" s="352"/>
      <c r="E890" s="352"/>
      <c r="F890" s="327"/>
      <c r="G890" s="352"/>
      <c r="H890" s="352"/>
      <c r="I890" s="327"/>
      <c r="J890" s="352"/>
      <c r="K890" s="352"/>
      <c r="L890" s="327"/>
      <c r="M890" s="352"/>
      <c r="N890" s="352"/>
      <c r="O890" s="327"/>
      <c r="P890" s="352"/>
      <c r="Q890" s="352"/>
      <c r="R890" s="327"/>
      <c r="S890" s="352"/>
      <c r="T890" s="352"/>
      <c r="U890" s="327"/>
      <c r="V890" s="352"/>
      <c r="W890" s="352"/>
      <c r="X890" s="327"/>
      <c r="Y890" s="352"/>
      <c r="Z890" s="352"/>
      <c r="AA890" s="327"/>
      <c r="AB890" s="352"/>
      <c r="AC890" s="352"/>
      <c r="AD890" s="327"/>
      <c r="AE890" s="352"/>
      <c r="AF890" s="352"/>
      <c r="AG890" s="327"/>
      <c r="AH890" s="352"/>
      <c r="AI890" s="352"/>
      <c r="AJ890" s="327"/>
      <c r="AK890" s="352"/>
      <c r="AL890" s="352"/>
      <c r="AM890" s="327"/>
      <c r="AN890" s="352"/>
      <c r="AO890" s="352"/>
      <c r="AP890" s="327"/>
      <c r="AQ890" s="352"/>
      <c r="AR890" s="327"/>
      <c r="AU890" s="307"/>
      <c r="AX890" s="307"/>
      <c r="BA890" s="307"/>
      <c r="BC890" s="366"/>
      <c r="BD890" s="307"/>
      <c r="BG890" s="307"/>
    </row>
    <row r="891">
      <c r="A891" s="352"/>
      <c r="B891" s="352"/>
      <c r="C891" s="327"/>
      <c r="D891" s="352"/>
      <c r="E891" s="352"/>
      <c r="F891" s="327"/>
      <c r="G891" s="352"/>
      <c r="H891" s="352"/>
      <c r="I891" s="327"/>
      <c r="J891" s="352"/>
      <c r="K891" s="352"/>
      <c r="L891" s="327"/>
      <c r="M891" s="352"/>
      <c r="N891" s="352"/>
      <c r="O891" s="327"/>
      <c r="P891" s="352"/>
      <c r="Q891" s="352"/>
      <c r="R891" s="327"/>
      <c r="S891" s="352"/>
      <c r="T891" s="352"/>
      <c r="U891" s="327"/>
      <c r="V891" s="352"/>
      <c r="W891" s="352"/>
      <c r="X891" s="327"/>
      <c r="Y891" s="352"/>
      <c r="Z891" s="352"/>
      <c r="AA891" s="327"/>
      <c r="AB891" s="352"/>
      <c r="AC891" s="352"/>
      <c r="AD891" s="327"/>
      <c r="AE891" s="352"/>
      <c r="AF891" s="352"/>
      <c r="AG891" s="327"/>
      <c r="AH891" s="352"/>
      <c r="AI891" s="352"/>
      <c r="AJ891" s="327"/>
      <c r="AK891" s="352"/>
      <c r="AL891" s="352"/>
      <c r="AM891" s="327"/>
      <c r="AN891" s="352"/>
      <c r="AO891" s="352"/>
      <c r="AP891" s="327"/>
      <c r="AQ891" s="352"/>
      <c r="AR891" s="327"/>
      <c r="AU891" s="307"/>
      <c r="AX891" s="307"/>
      <c r="BA891" s="307"/>
      <c r="BC891" s="366"/>
      <c r="BD891" s="307"/>
      <c r="BG891" s="307"/>
    </row>
    <row r="892">
      <c r="A892" s="352"/>
      <c r="B892" s="352"/>
      <c r="C892" s="327"/>
      <c r="D892" s="352"/>
      <c r="E892" s="352"/>
      <c r="F892" s="327"/>
      <c r="G892" s="352"/>
      <c r="H892" s="352"/>
      <c r="I892" s="327"/>
      <c r="J892" s="352"/>
      <c r="K892" s="352"/>
      <c r="L892" s="327"/>
      <c r="M892" s="352"/>
      <c r="N892" s="352"/>
      <c r="O892" s="327"/>
      <c r="P892" s="352"/>
      <c r="Q892" s="352"/>
      <c r="R892" s="327"/>
      <c r="S892" s="352"/>
      <c r="T892" s="352"/>
      <c r="U892" s="327"/>
      <c r="V892" s="352"/>
      <c r="W892" s="352"/>
      <c r="X892" s="327"/>
      <c r="Y892" s="352"/>
      <c r="Z892" s="352"/>
      <c r="AA892" s="327"/>
      <c r="AB892" s="352"/>
      <c r="AC892" s="352"/>
      <c r="AD892" s="327"/>
      <c r="AE892" s="352"/>
      <c r="AF892" s="352"/>
      <c r="AG892" s="327"/>
      <c r="AH892" s="352"/>
      <c r="AI892" s="352"/>
      <c r="AJ892" s="327"/>
      <c r="AK892" s="352"/>
      <c r="AL892" s="352"/>
      <c r="AM892" s="327"/>
      <c r="AN892" s="352"/>
      <c r="AO892" s="352"/>
      <c r="AP892" s="327"/>
      <c r="AQ892" s="352"/>
      <c r="AR892" s="327"/>
      <c r="AU892" s="307"/>
      <c r="AX892" s="307"/>
      <c r="BA892" s="307"/>
      <c r="BC892" s="366"/>
      <c r="BD892" s="307"/>
      <c r="BG892" s="307"/>
    </row>
    <row r="893">
      <c r="A893" s="352"/>
      <c r="B893" s="352"/>
      <c r="C893" s="327"/>
      <c r="D893" s="352"/>
      <c r="E893" s="352"/>
      <c r="F893" s="327"/>
      <c r="G893" s="352"/>
      <c r="H893" s="352"/>
      <c r="I893" s="327"/>
      <c r="J893" s="352"/>
      <c r="K893" s="352"/>
      <c r="L893" s="327"/>
      <c r="M893" s="352"/>
      <c r="N893" s="352"/>
      <c r="O893" s="327"/>
      <c r="P893" s="352"/>
      <c r="Q893" s="352"/>
      <c r="R893" s="327"/>
      <c r="S893" s="352"/>
      <c r="T893" s="352"/>
      <c r="U893" s="327"/>
      <c r="V893" s="352"/>
      <c r="W893" s="352"/>
      <c r="X893" s="327"/>
      <c r="Y893" s="352"/>
      <c r="Z893" s="352"/>
      <c r="AA893" s="327"/>
      <c r="AB893" s="352"/>
      <c r="AC893" s="352"/>
      <c r="AD893" s="327"/>
      <c r="AE893" s="352"/>
      <c r="AF893" s="352"/>
      <c r="AG893" s="327"/>
      <c r="AH893" s="352"/>
      <c r="AI893" s="352"/>
      <c r="AJ893" s="327"/>
      <c r="AK893" s="352"/>
      <c r="AL893" s="352"/>
      <c r="AM893" s="327"/>
      <c r="AN893" s="352"/>
      <c r="AO893" s="352"/>
      <c r="AP893" s="327"/>
      <c r="AQ893" s="352"/>
      <c r="AR893" s="327"/>
      <c r="AU893" s="307"/>
      <c r="AX893" s="307"/>
      <c r="BA893" s="307"/>
      <c r="BC893" s="366"/>
      <c r="BD893" s="307"/>
      <c r="BG893" s="307"/>
    </row>
    <row r="894">
      <c r="A894" s="352"/>
      <c r="B894" s="352"/>
      <c r="C894" s="327"/>
      <c r="D894" s="352"/>
      <c r="E894" s="352"/>
      <c r="F894" s="327"/>
      <c r="G894" s="352"/>
      <c r="H894" s="352"/>
      <c r="I894" s="327"/>
      <c r="J894" s="352"/>
      <c r="K894" s="352"/>
      <c r="L894" s="327"/>
      <c r="M894" s="352"/>
      <c r="N894" s="352"/>
      <c r="O894" s="327"/>
      <c r="P894" s="352"/>
      <c r="Q894" s="352"/>
      <c r="R894" s="327"/>
      <c r="S894" s="352"/>
      <c r="T894" s="352"/>
      <c r="U894" s="327"/>
      <c r="V894" s="352"/>
      <c r="W894" s="352"/>
      <c r="X894" s="327"/>
      <c r="Y894" s="352"/>
      <c r="Z894" s="352"/>
      <c r="AA894" s="327"/>
      <c r="AB894" s="352"/>
      <c r="AC894" s="352"/>
      <c r="AD894" s="327"/>
      <c r="AE894" s="352"/>
      <c r="AF894" s="352"/>
      <c r="AG894" s="327"/>
      <c r="AH894" s="352"/>
      <c r="AI894" s="352"/>
      <c r="AJ894" s="327"/>
      <c r="AK894" s="352"/>
      <c r="AL894" s="352"/>
      <c r="AM894" s="327"/>
      <c r="AN894" s="352"/>
      <c r="AO894" s="352"/>
      <c r="AP894" s="327"/>
      <c r="AQ894" s="352"/>
      <c r="AR894" s="327"/>
      <c r="AU894" s="307"/>
      <c r="AX894" s="307"/>
      <c r="BA894" s="307"/>
      <c r="BC894" s="366"/>
      <c r="BD894" s="307"/>
      <c r="BG894" s="307"/>
    </row>
    <row r="895">
      <c r="A895" s="352"/>
      <c r="B895" s="352"/>
      <c r="C895" s="327"/>
      <c r="D895" s="352"/>
      <c r="E895" s="352"/>
      <c r="F895" s="327"/>
      <c r="G895" s="352"/>
      <c r="H895" s="352"/>
      <c r="I895" s="327"/>
      <c r="J895" s="352"/>
      <c r="K895" s="352"/>
      <c r="L895" s="327"/>
      <c r="M895" s="352"/>
      <c r="N895" s="352"/>
      <c r="O895" s="327"/>
      <c r="P895" s="352"/>
      <c r="Q895" s="352"/>
      <c r="R895" s="327"/>
      <c r="S895" s="352"/>
      <c r="T895" s="352"/>
      <c r="U895" s="327"/>
      <c r="V895" s="352"/>
      <c r="W895" s="352"/>
      <c r="X895" s="327"/>
      <c r="Y895" s="352"/>
      <c r="Z895" s="352"/>
      <c r="AA895" s="327"/>
      <c r="AB895" s="352"/>
      <c r="AC895" s="352"/>
      <c r="AD895" s="327"/>
      <c r="AE895" s="352"/>
      <c r="AF895" s="352"/>
      <c r="AG895" s="327"/>
      <c r="AH895" s="352"/>
      <c r="AI895" s="352"/>
      <c r="AJ895" s="327"/>
      <c r="AK895" s="352"/>
      <c r="AL895" s="352"/>
      <c r="AM895" s="327"/>
      <c r="AN895" s="352"/>
      <c r="AO895" s="352"/>
      <c r="AP895" s="327"/>
      <c r="AQ895" s="352"/>
      <c r="AR895" s="327"/>
      <c r="AU895" s="307"/>
      <c r="AX895" s="307"/>
      <c r="BA895" s="307"/>
      <c r="BC895" s="366"/>
      <c r="BD895" s="307"/>
      <c r="BG895" s="307"/>
    </row>
    <row r="896">
      <c r="A896" s="352"/>
      <c r="B896" s="352"/>
      <c r="C896" s="327"/>
      <c r="D896" s="352"/>
      <c r="E896" s="352"/>
      <c r="F896" s="327"/>
      <c r="G896" s="352"/>
      <c r="H896" s="352"/>
      <c r="I896" s="327"/>
      <c r="J896" s="352"/>
      <c r="K896" s="352"/>
      <c r="L896" s="327"/>
      <c r="M896" s="352"/>
      <c r="N896" s="352"/>
      <c r="O896" s="327"/>
      <c r="P896" s="352"/>
      <c r="Q896" s="352"/>
      <c r="R896" s="327"/>
      <c r="S896" s="352"/>
      <c r="T896" s="352"/>
      <c r="U896" s="327"/>
      <c r="V896" s="352"/>
      <c r="W896" s="352"/>
      <c r="X896" s="327"/>
      <c r="Y896" s="352"/>
      <c r="Z896" s="352"/>
      <c r="AA896" s="327"/>
      <c r="AB896" s="352"/>
      <c r="AC896" s="352"/>
      <c r="AD896" s="327"/>
      <c r="AE896" s="352"/>
      <c r="AF896" s="352"/>
      <c r="AG896" s="327"/>
      <c r="AH896" s="352"/>
      <c r="AI896" s="352"/>
      <c r="AJ896" s="327"/>
      <c r="AK896" s="352"/>
      <c r="AL896" s="352"/>
      <c r="AM896" s="327"/>
      <c r="AN896" s="352"/>
      <c r="AO896" s="352"/>
      <c r="AP896" s="327"/>
      <c r="AQ896" s="352"/>
      <c r="AR896" s="327"/>
      <c r="AU896" s="307"/>
      <c r="AX896" s="307"/>
      <c r="BA896" s="307"/>
      <c r="BC896" s="366"/>
      <c r="BD896" s="307"/>
      <c r="BG896" s="307"/>
    </row>
    <row r="897">
      <c r="A897" s="352"/>
      <c r="B897" s="352"/>
      <c r="C897" s="327"/>
      <c r="D897" s="352"/>
      <c r="E897" s="352"/>
      <c r="F897" s="327"/>
      <c r="G897" s="352"/>
      <c r="H897" s="352"/>
      <c r="I897" s="327"/>
      <c r="J897" s="352"/>
      <c r="K897" s="352"/>
      <c r="L897" s="327"/>
      <c r="M897" s="352"/>
      <c r="N897" s="352"/>
      <c r="O897" s="327"/>
      <c r="P897" s="352"/>
      <c r="Q897" s="352"/>
      <c r="R897" s="327"/>
      <c r="S897" s="352"/>
      <c r="T897" s="352"/>
      <c r="U897" s="327"/>
      <c r="V897" s="352"/>
      <c r="W897" s="352"/>
      <c r="X897" s="327"/>
      <c r="Y897" s="352"/>
      <c r="Z897" s="352"/>
      <c r="AA897" s="327"/>
      <c r="AB897" s="352"/>
      <c r="AC897" s="352"/>
      <c r="AD897" s="327"/>
      <c r="AE897" s="352"/>
      <c r="AF897" s="352"/>
      <c r="AG897" s="327"/>
      <c r="AH897" s="352"/>
      <c r="AI897" s="352"/>
      <c r="AJ897" s="327"/>
      <c r="AK897" s="352"/>
      <c r="AL897" s="352"/>
      <c r="AM897" s="327"/>
      <c r="AN897" s="352"/>
      <c r="AO897" s="352"/>
      <c r="AP897" s="327"/>
      <c r="AQ897" s="352"/>
      <c r="AR897" s="327"/>
      <c r="AU897" s="307"/>
      <c r="AX897" s="307"/>
      <c r="BA897" s="307"/>
      <c r="BC897" s="366"/>
      <c r="BD897" s="307"/>
      <c r="BG897" s="307"/>
    </row>
    <row r="898">
      <c r="A898" s="352"/>
      <c r="B898" s="352"/>
      <c r="C898" s="327"/>
      <c r="D898" s="352"/>
      <c r="E898" s="352"/>
      <c r="F898" s="327"/>
      <c r="G898" s="352"/>
      <c r="H898" s="352"/>
      <c r="I898" s="327"/>
      <c r="J898" s="352"/>
      <c r="K898" s="352"/>
      <c r="L898" s="327"/>
      <c r="M898" s="352"/>
      <c r="N898" s="352"/>
      <c r="O898" s="327"/>
      <c r="P898" s="352"/>
      <c r="Q898" s="352"/>
      <c r="R898" s="327"/>
      <c r="S898" s="352"/>
      <c r="T898" s="352"/>
      <c r="U898" s="327"/>
      <c r="V898" s="352"/>
      <c r="W898" s="352"/>
      <c r="X898" s="327"/>
      <c r="Y898" s="352"/>
      <c r="Z898" s="352"/>
      <c r="AA898" s="327"/>
      <c r="AB898" s="352"/>
      <c r="AC898" s="352"/>
      <c r="AD898" s="327"/>
      <c r="AE898" s="352"/>
      <c r="AF898" s="352"/>
      <c r="AG898" s="327"/>
      <c r="AH898" s="352"/>
      <c r="AI898" s="352"/>
      <c r="AJ898" s="327"/>
      <c r="AK898" s="352"/>
      <c r="AL898" s="352"/>
      <c r="AM898" s="327"/>
      <c r="AN898" s="352"/>
      <c r="AO898" s="352"/>
      <c r="AP898" s="327"/>
      <c r="AQ898" s="352"/>
      <c r="AR898" s="327"/>
      <c r="AU898" s="307"/>
      <c r="AX898" s="307"/>
      <c r="BA898" s="307"/>
      <c r="BC898" s="366"/>
      <c r="BD898" s="307"/>
      <c r="BG898" s="307"/>
    </row>
    <row r="899">
      <c r="A899" s="352"/>
      <c r="B899" s="352"/>
      <c r="C899" s="327"/>
      <c r="D899" s="352"/>
      <c r="E899" s="352"/>
      <c r="F899" s="327"/>
      <c r="G899" s="352"/>
      <c r="H899" s="352"/>
      <c r="I899" s="327"/>
      <c r="J899" s="352"/>
      <c r="K899" s="352"/>
      <c r="L899" s="327"/>
      <c r="M899" s="352"/>
      <c r="N899" s="352"/>
      <c r="O899" s="327"/>
      <c r="P899" s="352"/>
      <c r="Q899" s="352"/>
      <c r="R899" s="327"/>
      <c r="S899" s="352"/>
      <c r="T899" s="352"/>
      <c r="U899" s="327"/>
      <c r="V899" s="352"/>
      <c r="W899" s="352"/>
      <c r="X899" s="327"/>
      <c r="Y899" s="352"/>
      <c r="Z899" s="352"/>
      <c r="AA899" s="327"/>
      <c r="AB899" s="352"/>
      <c r="AC899" s="352"/>
      <c r="AD899" s="327"/>
      <c r="AE899" s="352"/>
      <c r="AF899" s="352"/>
      <c r="AG899" s="327"/>
      <c r="AH899" s="352"/>
      <c r="AI899" s="352"/>
      <c r="AJ899" s="327"/>
      <c r="AK899" s="352"/>
      <c r="AL899" s="352"/>
      <c r="AM899" s="327"/>
      <c r="AN899" s="352"/>
      <c r="AO899" s="352"/>
      <c r="AP899" s="327"/>
      <c r="AQ899" s="352"/>
      <c r="AR899" s="327"/>
      <c r="AU899" s="307"/>
      <c r="AX899" s="307"/>
      <c r="BA899" s="307"/>
      <c r="BC899" s="366"/>
      <c r="BD899" s="307"/>
      <c r="BG899" s="307"/>
    </row>
    <row r="900">
      <c r="A900" s="352"/>
      <c r="B900" s="352"/>
      <c r="C900" s="327"/>
      <c r="D900" s="352"/>
      <c r="E900" s="352"/>
      <c r="F900" s="327"/>
      <c r="G900" s="352"/>
      <c r="H900" s="352"/>
      <c r="I900" s="327"/>
      <c r="J900" s="352"/>
      <c r="K900" s="352"/>
      <c r="L900" s="327"/>
      <c r="M900" s="352"/>
      <c r="N900" s="352"/>
      <c r="O900" s="327"/>
      <c r="P900" s="352"/>
      <c r="Q900" s="352"/>
      <c r="R900" s="327"/>
      <c r="S900" s="352"/>
      <c r="T900" s="352"/>
      <c r="U900" s="327"/>
      <c r="V900" s="352"/>
      <c r="W900" s="352"/>
      <c r="X900" s="327"/>
      <c r="Y900" s="352"/>
      <c r="Z900" s="352"/>
      <c r="AA900" s="327"/>
      <c r="AB900" s="352"/>
      <c r="AC900" s="352"/>
      <c r="AD900" s="327"/>
      <c r="AE900" s="352"/>
      <c r="AF900" s="352"/>
      <c r="AG900" s="327"/>
      <c r="AH900" s="352"/>
      <c r="AI900" s="352"/>
      <c r="AJ900" s="327"/>
      <c r="AK900" s="352"/>
      <c r="AL900" s="352"/>
      <c r="AM900" s="327"/>
      <c r="AN900" s="352"/>
      <c r="AO900" s="352"/>
      <c r="AP900" s="327"/>
      <c r="AQ900" s="352"/>
      <c r="AR900" s="327"/>
      <c r="AU900" s="307"/>
      <c r="AX900" s="307"/>
      <c r="BA900" s="307"/>
      <c r="BC900" s="366"/>
      <c r="BD900" s="307"/>
      <c r="BG900" s="307"/>
    </row>
    <row r="901">
      <c r="A901" s="352"/>
      <c r="B901" s="352"/>
      <c r="C901" s="327"/>
      <c r="D901" s="352"/>
      <c r="E901" s="352"/>
      <c r="F901" s="327"/>
      <c r="G901" s="352"/>
      <c r="H901" s="352"/>
      <c r="I901" s="327"/>
      <c r="J901" s="352"/>
      <c r="K901" s="352"/>
      <c r="L901" s="327"/>
      <c r="M901" s="352"/>
      <c r="N901" s="352"/>
      <c r="O901" s="327"/>
      <c r="P901" s="352"/>
      <c r="Q901" s="352"/>
      <c r="R901" s="327"/>
      <c r="S901" s="352"/>
      <c r="T901" s="352"/>
      <c r="U901" s="327"/>
      <c r="V901" s="352"/>
      <c r="W901" s="352"/>
      <c r="X901" s="327"/>
      <c r="Y901" s="352"/>
      <c r="Z901" s="352"/>
      <c r="AA901" s="327"/>
      <c r="AB901" s="352"/>
      <c r="AC901" s="352"/>
      <c r="AD901" s="327"/>
      <c r="AE901" s="352"/>
      <c r="AF901" s="352"/>
      <c r="AG901" s="327"/>
      <c r="AH901" s="352"/>
      <c r="AI901" s="352"/>
      <c r="AJ901" s="327"/>
      <c r="AK901" s="352"/>
      <c r="AL901" s="352"/>
      <c r="AM901" s="327"/>
      <c r="AN901" s="352"/>
      <c r="AO901" s="352"/>
      <c r="AP901" s="327"/>
      <c r="AQ901" s="352"/>
      <c r="AR901" s="327"/>
      <c r="AU901" s="307"/>
      <c r="AX901" s="307"/>
      <c r="BA901" s="307"/>
      <c r="BC901" s="366"/>
      <c r="BD901" s="307"/>
      <c r="BG901" s="307"/>
    </row>
    <row r="902">
      <c r="A902" s="352"/>
      <c r="B902" s="352"/>
      <c r="C902" s="327"/>
      <c r="D902" s="352"/>
      <c r="E902" s="352"/>
      <c r="F902" s="327"/>
      <c r="G902" s="352"/>
      <c r="H902" s="352"/>
      <c r="I902" s="327"/>
      <c r="J902" s="352"/>
      <c r="K902" s="352"/>
      <c r="L902" s="327"/>
      <c r="M902" s="352"/>
      <c r="N902" s="352"/>
      <c r="O902" s="327"/>
      <c r="P902" s="352"/>
      <c r="Q902" s="352"/>
      <c r="R902" s="327"/>
      <c r="S902" s="352"/>
      <c r="T902" s="352"/>
      <c r="U902" s="327"/>
      <c r="V902" s="352"/>
      <c r="W902" s="352"/>
      <c r="X902" s="327"/>
      <c r="Y902" s="352"/>
      <c r="Z902" s="352"/>
      <c r="AA902" s="327"/>
      <c r="AB902" s="352"/>
      <c r="AC902" s="352"/>
      <c r="AD902" s="327"/>
      <c r="AE902" s="352"/>
      <c r="AF902" s="352"/>
      <c r="AG902" s="327"/>
      <c r="AH902" s="352"/>
      <c r="AI902" s="352"/>
      <c r="AJ902" s="327"/>
      <c r="AK902" s="352"/>
      <c r="AL902" s="352"/>
      <c r="AM902" s="327"/>
      <c r="AN902" s="352"/>
      <c r="AO902" s="352"/>
      <c r="AP902" s="327"/>
      <c r="AQ902" s="352"/>
      <c r="AR902" s="327"/>
      <c r="AU902" s="307"/>
      <c r="AX902" s="307"/>
      <c r="BA902" s="307"/>
      <c r="BC902" s="366"/>
      <c r="BD902" s="307"/>
      <c r="BG902" s="307"/>
    </row>
    <row r="903">
      <c r="A903" s="352"/>
      <c r="B903" s="352"/>
      <c r="C903" s="327"/>
      <c r="D903" s="352"/>
      <c r="E903" s="352"/>
      <c r="F903" s="327"/>
      <c r="G903" s="352"/>
      <c r="H903" s="352"/>
      <c r="I903" s="327"/>
      <c r="J903" s="352"/>
      <c r="K903" s="352"/>
      <c r="L903" s="327"/>
      <c r="M903" s="352"/>
      <c r="N903" s="352"/>
      <c r="O903" s="327"/>
      <c r="P903" s="352"/>
      <c r="Q903" s="352"/>
      <c r="R903" s="327"/>
      <c r="S903" s="352"/>
      <c r="T903" s="352"/>
      <c r="U903" s="327"/>
      <c r="V903" s="352"/>
      <c r="W903" s="352"/>
      <c r="X903" s="327"/>
      <c r="Y903" s="352"/>
      <c r="Z903" s="352"/>
      <c r="AA903" s="327"/>
      <c r="AB903" s="352"/>
      <c r="AC903" s="352"/>
      <c r="AD903" s="327"/>
      <c r="AE903" s="352"/>
      <c r="AF903" s="352"/>
      <c r="AG903" s="327"/>
      <c r="AH903" s="352"/>
      <c r="AI903" s="352"/>
      <c r="AJ903" s="327"/>
      <c r="AK903" s="352"/>
      <c r="AL903" s="352"/>
      <c r="AM903" s="327"/>
      <c r="AN903" s="352"/>
      <c r="AO903" s="352"/>
      <c r="AP903" s="327"/>
      <c r="AQ903" s="352"/>
      <c r="AR903" s="327"/>
      <c r="AU903" s="307"/>
      <c r="AX903" s="307"/>
      <c r="BA903" s="307"/>
      <c r="BC903" s="366"/>
      <c r="BD903" s="307"/>
      <c r="BG903" s="307"/>
    </row>
    <row r="904">
      <c r="A904" s="352"/>
      <c r="B904" s="352"/>
      <c r="C904" s="327"/>
      <c r="D904" s="352"/>
      <c r="E904" s="352"/>
      <c r="F904" s="327"/>
      <c r="G904" s="352"/>
      <c r="H904" s="352"/>
      <c r="I904" s="327"/>
      <c r="J904" s="352"/>
      <c r="K904" s="352"/>
      <c r="L904" s="327"/>
      <c r="M904" s="352"/>
      <c r="N904" s="352"/>
      <c r="O904" s="327"/>
      <c r="P904" s="352"/>
      <c r="Q904" s="352"/>
      <c r="R904" s="327"/>
      <c r="S904" s="352"/>
      <c r="T904" s="352"/>
      <c r="U904" s="327"/>
      <c r="V904" s="352"/>
      <c r="W904" s="352"/>
      <c r="X904" s="327"/>
      <c r="Y904" s="352"/>
      <c r="Z904" s="352"/>
      <c r="AA904" s="327"/>
      <c r="AB904" s="352"/>
      <c r="AC904" s="352"/>
      <c r="AD904" s="327"/>
      <c r="AE904" s="352"/>
      <c r="AF904" s="352"/>
      <c r="AG904" s="327"/>
      <c r="AH904" s="352"/>
      <c r="AI904" s="352"/>
      <c r="AJ904" s="327"/>
      <c r="AK904" s="352"/>
      <c r="AL904" s="352"/>
      <c r="AM904" s="327"/>
      <c r="AN904" s="352"/>
      <c r="AO904" s="352"/>
      <c r="AP904" s="327"/>
      <c r="AQ904" s="352"/>
      <c r="AR904" s="327"/>
      <c r="AU904" s="307"/>
      <c r="AX904" s="307"/>
      <c r="BA904" s="307"/>
      <c r="BC904" s="366"/>
      <c r="BD904" s="307"/>
      <c r="BG904" s="307"/>
    </row>
    <row r="905">
      <c r="A905" s="352"/>
      <c r="B905" s="352"/>
      <c r="C905" s="327"/>
      <c r="D905" s="352"/>
      <c r="E905" s="352"/>
      <c r="F905" s="327"/>
      <c r="G905" s="352"/>
      <c r="H905" s="352"/>
      <c r="I905" s="327"/>
      <c r="J905" s="352"/>
      <c r="K905" s="352"/>
      <c r="L905" s="327"/>
      <c r="M905" s="352"/>
      <c r="N905" s="352"/>
      <c r="O905" s="327"/>
      <c r="P905" s="352"/>
      <c r="Q905" s="352"/>
      <c r="R905" s="327"/>
      <c r="S905" s="352"/>
      <c r="T905" s="352"/>
      <c r="U905" s="327"/>
      <c r="V905" s="352"/>
      <c r="W905" s="352"/>
      <c r="X905" s="327"/>
      <c r="Y905" s="352"/>
      <c r="Z905" s="352"/>
      <c r="AA905" s="327"/>
      <c r="AB905" s="352"/>
      <c r="AC905" s="352"/>
      <c r="AD905" s="327"/>
      <c r="AE905" s="352"/>
      <c r="AF905" s="352"/>
      <c r="AG905" s="327"/>
      <c r="AH905" s="352"/>
      <c r="AI905" s="352"/>
      <c r="AJ905" s="327"/>
      <c r="AK905" s="352"/>
      <c r="AL905" s="352"/>
      <c r="AM905" s="327"/>
      <c r="AN905" s="352"/>
      <c r="AO905" s="352"/>
      <c r="AP905" s="327"/>
      <c r="AQ905" s="352"/>
      <c r="AR905" s="327"/>
      <c r="AU905" s="307"/>
      <c r="AX905" s="307"/>
      <c r="BA905" s="307"/>
      <c r="BC905" s="366"/>
      <c r="BD905" s="307"/>
      <c r="BG905" s="307"/>
    </row>
    <row r="906">
      <c r="A906" s="352"/>
      <c r="B906" s="352"/>
      <c r="C906" s="327"/>
      <c r="D906" s="352"/>
      <c r="E906" s="352"/>
      <c r="F906" s="327"/>
      <c r="G906" s="352"/>
      <c r="H906" s="352"/>
      <c r="I906" s="327"/>
      <c r="J906" s="352"/>
      <c r="K906" s="352"/>
      <c r="L906" s="327"/>
      <c r="M906" s="352"/>
      <c r="N906" s="352"/>
      <c r="O906" s="327"/>
      <c r="P906" s="352"/>
      <c r="Q906" s="352"/>
      <c r="R906" s="327"/>
      <c r="S906" s="352"/>
      <c r="T906" s="352"/>
      <c r="U906" s="327"/>
      <c r="V906" s="352"/>
      <c r="W906" s="352"/>
      <c r="X906" s="327"/>
      <c r="Y906" s="352"/>
      <c r="Z906" s="352"/>
      <c r="AA906" s="327"/>
      <c r="AB906" s="352"/>
      <c r="AC906" s="352"/>
      <c r="AD906" s="327"/>
      <c r="AE906" s="352"/>
      <c r="AF906" s="352"/>
      <c r="AG906" s="327"/>
      <c r="AH906" s="352"/>
      <c r="AI906" s="352"/>
      <c r="AJ906" s="327"/>
      <c r="AK906" s="352"/>
      <c r="AL906" s="352"/>
      <c r="AM906" s="327"/>
      <c r="AN906" s="352"/>
      <c r="AO906" s="352"/>
      <c r="AP906" s="327"/>
      <c r="AQ906" s="352"/>
      <c r="AR906" s="327"/>
      <c r="AU906" s="307"/>
      <c r="AX906" s="307"/>
      <c r="BA906" s="307"/>
      <c r="BC906" s="366"/>
      <c r="BD906" s="307"/>
      <c r="BG906" s="307"/>
    </row>
    <row r="907">
      <c r="A907" s="352"/>
      <c r="B907" s="352"/>
      <c r="C907" s="327"/>
      <c r="D907" s="352"/>
      <c r="E907" s="352"/>
      <c r="F907" s="327"/>
      <c r="G907" s="352"/>
      <c r="H907" s="352"/>
      <c r="I907" s="327"/>
      <c r="J907" s="352"/>
      <c r="K907" s="352"/>
      <c r="L907" s="327"/>
      <c r="M907" s="352"/>
      <c r="N907" s="352"/>
      <c r="O907" s="327"/>
      <c r="P907" s="352"/>
      <c r="Q907" s="352"/>
      <c r="R907" s="327"/>
      <c r="S907" s="352"/>
      <c r="T907" s="352"/>
      <c r="U907" s="327"/>
      <c r="V907" s="352"/>
      <c r="W907" s="352"/>
      <c r="X907" s="327"/>
      <c r="Y907" s="352"/>
      <c r="Z907" s="352"/>
      <c r="AA907" s="327"/>
      <c r="AB907" s="352"/>
      <c r="AC907" s="352"/>
      <c r="AD907" s="327"/>
      <c r="AE907" s="352"/>
      <c r="AF907" s="352"/>
      <c r="AG907" s="327"/>
      <c r="AH907" s="352"/>
      <c r="AI907" s="352"/>
      <c r="AJ907" s="327"/>
      <c r="AK907" s="352"/>
      <c r="AL907" s="352"/>
      <c r="AM907" s="327"/>
      <c r="AN907" s="352"/>
      <c r="AO907" s="352"/>
      <c r="AP907" s="327"/>
      <c r="AQ907" s="352"/>
      <c r="AR907" s="327"/>
      <c r="AU907" s="307"/>
      <c r="AX907" s="307"/>
      <c r="BA907" s="307"/>
      <c r="BC907" s="366"/>
      <c r="BD907" s="307"/>
      <c r="BG907" s="307"/>
    </row>
    <row r="908">
      <c r="A908" s="352"/>
      <c r="B908" s="352"/>
      <c r="C908" s="327"/>
      <c r="D908" s="352"/>
      <c r="E908" s="352"/>
      <c r="F908" s="327"/>
      <c r="G908" s="352"/>
      <c r="H908" s="352"/>
      <c r="I908" s="327"/>
      <c r="J908" s="352"/>
      <c r="K908" s="352"/>
      <c r="L908" s="327"/>
      <c r="M908" s="352"/>
      <c r="N908" s="352"/>
      <c r="O908" s="327"/>
      <c r="P908" s="352"/>
      <c r="Q908" s="352"/>
      <c r="R908" s="327"/>
      <c r="S908" s="352"/>
      <c r="T908" s="352"/>
      <c r="U908" s="327"/>
      <c r="V908" s="352"/>
      <c r="W908" s="352"/>
      <c r="X908" s="327"/>
      <c r="Y908" s="352"/>
      <c r="Z908" s="352"/>
      <c r="AA908" s="327"/>
      <c r="AB908" s="352"/>
      <c r="AC908" s="352"/>
      <c r="AD908" s="327"/>
      <c r="AE908" s="352"/>
      <c r="AF908" s="352"/>
      <c r="AG908" s="327"/>
      <c r="AH908" s="352"/>
      <c r="AI908" s="352"/>
      <c r="AJ908" s="327"/>
      <c r="AK908" s="352"/>
      <c r="AL908" s="352"/>
      <c r="AM908" s="327"/>
      <c r="AN908" s="352"/>
      <c r="AO908" s="352"/>
      <c r="AP908" s="327"/>
      <c r="AQ908" s="352"/>
      <c r="AR908" s="327"/>
      <c r="AU908" s="307"/>
      <c r="AX908" s="307"/>
      <c r="BA908" s="307"/>
      <c r="BC908" s="366"/>
      <c r="BD908" s="307"/>
      <c r="BG908" s="307"/>
    </row>
    <row r="909">
      <c r="A909" s="352"/>
      <c r="B909" s="352"/>
      <c r="C909" s="327"/>
      <c r="D909" s="352"/>
      <c r="E909" s="352"/>
      <c r="F909" s="327"/>
      <c r="G909" s="352"/>
      <c r="H909" s="352"/>
      <c r="I909" s="327"/>
      <c r="J909" s="352"/>
      <c r="K909" s="352"/>
      <c r="L909" s="327"/>
      <c r="M909" s="352"/>
      <c r="N909" s="352"/>
      <c r="O909" s="327"/>
      <c r="P909" s="352"/>
      <c r="Q909" s="352"/>
      <c r="R909" s="327"/>
      <c r="S909" s="352"/>
      <c r="T909" s="352"/>
      <c r="U909" s="327"/>
      <c r="V909" s="352"/>
      <c r="W909" s="352"/>
      <c r="X909" s="327"/>
      <c r="Y909" s="352"/>
      <c r="Z909" s="352"/>
      <c r="AA909" s="327"/>
      <c r="AB909" s="352"/>
      <c r="AC909" s="352"/>
      <c r="AD909" s="327"/>
      <c r="AE909" s="352"/>
      <c r="AF909" s="352"/>
      <c r="AG909" s="327"/>
      <c r="AH909" s="352"/>
      <c r="AI909" s="352"/>
      <c r="AJ909" s="327"/>
      <c r="AK909" s="352"/>
      <c r="AL909" s="352"/>
      <c r="AM909" s="327"/>
      <c r="AN909" s="352"/>
      <c r="AO909" s="352"/>
      <c r="AP909" s="327"/>
      <c r="AQ909" s="352"/>
      <c r="AR909" s="327"/>
      <c r="AU909" s="307"/>
      <c r="AX909" s="307"/>
      <c r="BA909" s="307"/>
      <c r="BC909" s="366"/>
      <c r="BD909" s="307"/>
      <c r="BG909" s="307"/>
    </row>
    <row r="910">
      <c r="A910" s="352"/>
      <c r="B910" s="352"/>
      <c r="C910" s="327"/>
      <c r="D910" s="352"/>
      <c r="E910" s="352"/>
      <c r="F910" s="327"/>
      <c r="G910" s="352"/>
      <c r="H910" s="352"/>
      <c r="I910" s="327"/>
      <c r="J910" s="352"/>
      <c r="K910" s="352"/>
      <c r="L910" s="327"/>
      <c r="M910" s="352"/>
      <c r="N910" s="352"/>
      <c r="O910" s="327"/>
      <c r="P910" s="352"/>
      <c r="Q910" s="352"/>
      <c r="R910" s="327"/>
      <c r="S910" s="352"/>
      <c r="T910" s="352"/>
      <c r="U910" s="327"/>
      <c r="V910" s="352"/>
      <c r="W910" s="352"/>
      <c r="X910" s="327"/>
      <c r="Y910" s="352"/>
      <c r="Z910" s="352"/>
      <c r="AA910" s="327"/>
      <c r="AB910" s="352"/>
      <c r="AC910" s="352"/>
      <c r="AD910" s="327"/>
      <c r="AE910" s="352"/>
      <c r="AF910" s="352"/>
      <c r="AG910" s="327"/>
      <c r="AH910" s="352"/>
      <c r="AI910" s="352"/>
      <c r="AJ910" s="327"/>
      <c r="AK910" s="352"/>
      <c r="AL910" s="352"/>
      <c r="AM910" s="327"/>
      <c r="AN910" s="352"/>
      <c r="AO910" s="352"/>
      <c r="AP910" s="327"/>
      <c r="AQ910" s="352"/>
      <c r="AR910" s="327"/>
      <c r="AU910" s="307"/>
      <c r="AX910" s="307"/>
      <c r="BA910" s="307"/>
      <c r="BC910" s="366"/>
      <c r="BD910" s="307"/>
      <c r="BG910" s="307"/>
    </row>
    <row r="911">
      <c r="A911" s="352"/>
      <c r="B911" s="352"/>
      <c r="C911" s="327"/>
      <c r="D911" s="352"/>
      <c r="E911" s="352"/>
      <c r="F911" s="327"/>
      <c r="G911" s="352"/>
      <c r="H911" s="352"/>
      <c r="I911" s="327"/>
      <c r="J911" s="352"/>
      <c r="K911" s="352"/>
      <c r="L911" s="327"/>
      <c r="M911" s="352"/>
      <c r="N911" s="352"/>
      <c r="O911" s="327"/>
      <c r="P911" s="352"/>
      <c r="Q911" s="352"/>
      <c r="R911" s="327"/>
      <c r="S911" s="352"/>
      <c r="T911" s="352"/>
      <c r="U911" s="327"/>
      <c r="V911" s="352"/>
      <c r="W911" s="352"/>
      <c r="X911" s="327"/>
      <c r="Y911" s="352"/>
      <c r="Z911" s="352"/>
      <c r="AA911" s="327"/>
      <c r="AB911" s="352"/>
      <c r="AC911" s="352"/>
      <c r="AD911" s="327"/>
      <c r="AE911" s="352"/>
      <c r="AF911" s="352"/>
      <c r="AG911" s="327"/>
      <c r="AH911" s="352"/>
      <c r="AI911" s="352"/>
      <c r="AJ911" s="327"/>
      <c r="AK911" s="352"/>
      <c r="AL911" s="352"/>
      <c r="AM911" s="327"/>
      <c r="AN911" s="352"/>
      <c r="AO911" s="352"/>
      <c r="AP911" s="327"/>
      <c r="AQ911" s="352"/>
      <c r="AR911" s="327"/>
      <c r="AU911" s="307"/>
      <c r="AX911" s="307"/>
      <c r="BA911" s="307"/>
      <c r="BC911" s="366"/>
      <c r="BD911" s="307"/>
      <c r="BG911" s="307"/>
    </row>
    <row r="912">
      <c r="A912" s="352"/>
      <c r="B912" s="352"/>
      <c r="C912" s="327"/>
      <c r="D912" s="352"/>
      <c r="E912" s="352"/>
      <c r="F912" s="327"/>
      <c r="G912" s="352"/>
      <c r="H912" s="352"/>
      <c r="I912" s="327"/>
      <c r="J912" s="352"/>
      <c r="K912" s="352"/>
      <c r="L912" s="327"/>
      <c r="M912" s="352"/>
      <c r="N912" s="352"/>
      <c r="O912" s="327"/>
      <c r="P912" s="352"/>
      <c r="Q912" s="352"/>
      <c r="R912" s="327"/>
      <c r="S912" s="352"/>
      <c r="T912" s="352"/>
      <c r="U912" s="327"/>
      <c r="V912" s="352"/>
      <c r="W912" s="352"/>
      <c r="X912" s="327"/>
      <c r="Y912" s="352"/>
      <c r="Z912" s="352"/>
      <c r="AA912" s="327"/>
      <c r="AB912" s="352"/>
      <c r="AC912" s="352"/>
      <c r="AD912" s="327"/>
      <c r="AE912" s="352"/>
      <c r="AF912" s="352"/>
      <c r="AG912" s="327"/>
      <c r="AH912" s="352"/>
      <c r="AI912" s="352"/>
      <c r="AJ912" s="327"/>
      <c r="AK912" s="352"/>
      <c r="AL912" s="352"/>
      <c r="AM912" s="327"/>
      <c r="AN912" s="352"/>
      <c r="AO912" s="352"/>
      <c r="AP912" s="327"/>
      <c r="AQ912" s="352"/>
      <c r="AR912" s="327"/>
      <c r="AU912" s="307"/>
      <c r="AX912" s="307"/>
      <c r="BA912" s="307"/>
      <c r="BC912" s="366"/>
      <c r="BD912" s="307"/>
      <c r="BG912" s="307"/>
    </row>
    <row r="913">
      <c r="A913" s="352"/>
      <c r="B913" s="352"/>
      <c r="C913" s="327"/>
      <c r="D913" s="352"/>
      <c r="E913" s="352"/>
      <c r="F913" s="327"/>
      <c r="G913" s="352"/>
      <c r="H913" s="352"/>
      <c r="I913" s="327"/>
      <c r="J913" s="352"/>
      <c r="K913" s="352"/>
      <c r="L913" s="327"/>
      <c r="M913" s="352"/>
      <c r="N913" s="352"/>
      <c r="O913" s="327"/>
      <c r="P913" s="352"/>
      <c r="Q913" s="352"/>
      <c r="R913" s="327"/>
      <c r="S913" s="352"/>
      <c r="T913" s="352"/>
      <c r="U913" s="327"/>
      <c r="V913" s="352"/>
      <c r="W913" s="352"/>
      <c r="X913" s="327"/>
      <c r="Y913" s="352"/>
      <c r="Z913" s="352"/>
      <c r="AA913" s="327"/>
      <c r="AB913" s="352"/>
      <c r="AC913" s="352"/>
      <c r="AD913" s="327"/>
      <c r="AE913" s="352"/>
      <c r="AF913" s="352"/>
      <c r="AG913" s="327"/>
      <c r="AH913" s="352"/>
      <c r="AI913" s="352"/>
      <c r="AJ913" s="327"/>
      <c r="AK913" s="352"/>
      <c r="AL913" s="352"/>
      <c r="AM913" s="327"/>
      <c r="AN913" s="352"/>
      <c r="AO913" s="352"/>
      <c r="AP913" s="327"/>
      <c r="AQ913" s="352"/>
      <c r="AR913" s="327"/>
      <c r="AU913" s="307"/>
      <c r="AX913" s="307"/>
      <c r="BA913" s="307"/>
      <c r="BC913" s="366"/>
      <c r="BD913" s="307"/>
      <c r="BG913" s="307"/>
    </row>
    <row r="914">
      <c r="A914" s="352"/>
      <c r="B914" s="352"/>
      <c r="C914" s="327"/>
      <c r="D914" s="352"/>
      <c r="E914" s="352"/>
      <c r="F914" s="327"/>
      <c r="G914" s="352"/>
      <c r="H914" s="352"/>
      <c r="I914" s="327"/>
      <c r="J914" s="352"/>
      <c r="K914" s="352"/>
      <c r="L914" s="327"/>
      <c r="M914" s="352"/>
      <c r="N914" s="352"/>
      <c r="O914" s="327"/>
      <c r="P914" s="352"/>
      <c r="Q914" s="352"/>
      <c r="R914" s="327"/>
      <c r="S914" s="352"/>
      <c r="T914" s="352"/>
      <c r="U914" s="327"/>
      <c r="V914" s="352"/>
      <c r="W914" s="352"/>
      <c r="X914" s="327"/>
      <c r="Y914" s="352"/>
      <c r="Z914" s="352"/>
      <c r="AA914" s="327"/>
      <c r="AB914" s="352"/>
      <c r="AC914" s="352"/>
      <c r="AD914" s="327"/>
      <c r="AE914" s="352"/>
      <c r="AF914" s="352"/>
      <c r="AG914" s="327"/>
      <c r="AH914" s="352"/>
      <c r="AI914" s="352"/>
      <c r="AJ914" s="327"/>
      <c r="AK914" s="352"/>
      <c r="AL914" s="352"/>
      <c r="AM914" s="327"/>
      <c r="AN914" s="352"/>
      <c r="AO914" s="352"/>
      <c r="AP914" s="327"/>
      <c r="AQ914" s="352"/>
      <c r="AR914" s="327"/>
      <c r="AU914" s="307"/>
      <c r="AX914" s="307"/>
      <c r="BA914" s="307"/>
      <c r="BC914" s="366"/>
      <c r="BD914" s="307"/>
      <c r="BG914" s="307"/>
    </row>
    <row r="915">
      <c r="A915" s="352"/>
      <c r="B915" s="352"/>
      <c r="C915" s="327"/>
      <c r="D915" s="352"/>
      <c r="E915" s="352"/>
      <c r="F915" s="327"/>
      <c r="G915" s="352"/>
      <c r="H915" s="352"/>
      <c r="I915" s="327"/>
      <c r="J915" s="352"/>
      <c r="K915" s="352"/>
      <c r="L915" s="327"/>
      <c r="M915" s="352"/>
      <c r="N915" s="352"/>
      <c r="O915" s="327"/>
      <c r="P915" s="352"/>
      <c r="Q915" s="352"/>
      <c r="R915" s="327"/>
      <c r="S915" s="352"/>
      <c r="T915" s="352"/>
      <c r="U915" s="327"/>
      <c r="V915" s="352"/>
      <c r="W915" s="352"/>
      <c r="X915" s="327"/>
      <c r="Y915" s="352"/>
      <c r="Z915" s="352"/>
      <c r="AA915" s="327"/>
      <c r="AB915" s="352"/>
      <c r="AC915" s="352"/>
      <c r="AD915" s="327"/>
      <c r="AE915" s="352"/>
      <c r="AF915" s="352"/>
      <c r="AG915" s="327"/>
      <c r="AH915" s="352"/>
      <c r="AI915" s="352"/>
      <c r="AJ915" s="327"/>
      <c r="AK915" s="352"/>
      <c r="AL915" s="352"/>
      <c r="AM915" s="327"/>
      <c r="AN915" s="352"/>
      <c r="AO915" s="352"/>
      <c r="AP915" s="327"/>
      <c r="AQ915" s="352"/>
      <c r="AR915" s="327"/>
      <c r="AU915" s="307"/>
      <c r="AX915" s="307"/>
      <c r="BA915" s="307"/>
      <c r="BC915" s="366"/>
      <c r="BD915" s="307"/>
      <c r="BG915" s="307"/>
    </row>
    <row r="916">
      <c r="A916" s="352"/>
      <c r="B916" s="352"/>
      <c r="C916" s="327"/>
      <c r="D916" s="352"/>
      <c r="E916" s="352"/>
      <c r="F916" s="327"/>
      <c r="G916" s="352"/>
      <c r="H916" s="352"/>
      <c r="I916" s="327"/>
      <c r="J916" s="352"/>
      <c r="K916" s="352"/>
      <c r="L916" s="327"/>
      <c r="M916" s="352"/>
      <c r="N916" s="352"/>
      <c r="O916" s="327"/>
      <c r="P916" s="352"/>
      <c r="Q916" s="352"/>
      <c r="R916" s="327"/>
      <c r="S916" s="352"/>
      <c r="T916" s="352"/>
      <c r="U916" s="327"/>
      <c r="V916" s="352"/>
      <c r="W916" s="352"/>
      <c r="X916" s="327"/>
      <c r="Y916" s="352"/>
      <c r="Z916" s="352"/>
      <c r="AA916" s="327"/>
      <c r="AB916" s="352"/>
      <c r="AC916" s="352"/>
      <c r="AD916" s="327"/>
      <c r="AE916" s="352"/>
      <c r="AF916" s="352"/>
      <c r="AG916" s="327"/>
      <c r="AH916" s="352"/>
      <c r="AI916" s="352"/>
      <c r="AJ916" s="327"/>
      <c r="AK916" s="352"/>
      <c r="AL916" s="352"/>
      <c r="AM916" s="327"/>
      <c r="AN916" s="352"/>
      <c r="AO916" s="352"/>
      <c r="AP916" s="327"/>
      <c r="AQ916" s="352"/>
      <c r="AR916" s="327"/>
      <c r="AU916" s="307"/>
      <c r="AX916" s="307"/>
      <c r="BA916" s="307"/>
      <c r="BC916" s="366"/>
      <c r="BD916" s="307"/>
      <c r="BG916" s="307"/>
    </row>
    <row r="917">
      <c r="A917" s="352"/>
      <c r="B917" s="352"/>
      <c r="C917" s="327"/>
      <c r="D917" s="352"/>
      <c r="E917" s="352"/>
      <c r="F917" s="327"/>
      <c r="G917" s="352"/>
      <c r="H917" s="352"/>
      <c r="I917" s="327"/>
      <c r="J917" s="352"/>
      <c r="K917" s="352"/>
      <c r="L917" s="327"/>
      <c r="M917" s="352"/>
      <c r="N917" s="352"/>
      <c r="O917" s="327"/>
      <c r="P917" s="352"/>
      <c r="Q917" s="352"/>
      <c r="R917" s="327"/>
      <c r="S917" s="352"/>
      <c r="T917" s="352"/>
      <c r="U917" s="327"/>
      <c r="V917" s="352"/>
      <c r="W917" s="352"/>
      <c r="X917" s="327"/>
      <c r="Y917" s="352"/>
      <c r="Z917" s="352"/>
      <c r="AA917" s="327"/>
      <c r="AB917" s="352"/>
      <c r="AC917" s="352"/>
      <c r="AD917" s="327"/>
      <c r="AE917" s="352"/>
      <c r="AF917" s="352"/>
      <c r="AG917" s="327"/>
      <c r="AH917" s="352"/>
      <c r="AI917" s="352"/>
      <c r="AJ917" s="327"/>
      <c r="AK917" s="352"/>
      <c r="AL917" s="352"/>
      <c r="AM917" s="327"/>
      <c r="AN917" s="352"/>
      <c r="AO917" s="352"/>
      <c r="AP917" s="327"/>
      <c r="AQ917" s="352"/>
      <c r="AR917" s="327"/>
      <c r="AU917" s="307"/>
      <c r="AX917" s="307"/>
      <c r="BA917" s="307"/>
      <c r="BC917" s="366"/>
      <c r="BD917" s="307"/>
      <c r="BG917" s="307"/>
    </row>
    <row r="918">
      <c r="A918" s="352"/>
      <c r="B918" s="352"/>
      <c r="C918" s="327"/>
      <c r="D918" s="352"/>
      <c r="E918" s="352"/>
      <c r="F918" s="327"/>
      <c r="G918" s="352"/>
      <c r="H918" s="352"/>
      <c r="I918" s="327"/>
      <c r="J918" s="352"/>
      <c r="K918" s="352"/>
      <c r="L918" s="327"/>
      <c r="M918" s="352"/>
      <c r="N918" s="352"/>
      <c r="O918" s="327"/>
      <c r="P918" s="352"/>
      <c r="Q918" s="352"/>
      <c r="R918" s="327"/>
      <c r="S918" s="352"/>
      <c r="T918" s="352"/>
      <c r="U918" s="327"/>
      <c r="V918" s="352"/>
      <c r="W918" s="352"/>
      <c r="X918" s="327"/>
      <c r="Y918" s="352"/>
      <c r="Z918" s="352"/>
      <c r="AA918" s="327"/>
      <c r="AB918" s="352"/>
      <c r="AC918" s="352"/>
      <c r="AD918" s="327"/>
      <c r="AE918" s="352"/>
      <c r="AF918" s="352"/>
      <c r="AG918" s="327"/>
      <c r="AH918" s="352"/>
      <c r="AI918" s="352"/>
      <c r="AJ918" s="327"/>
      <c r="AK918" s="352"/>
      <c r="AL918" s="352"/>
      <c r="AM918" s="327"/>
      <c r="AN918" s="352"/>
      <c r="AO918" s="352"/>
      <c r="AP918" s="327"/>
      <c r="AQ918" s="352"/>
      <c r="AR918" s="327"/>
      <c r="AU918" s="307"/>
      <c r="AX918" s="307"/>
      <c r="BA918" s="307"/>
      <c r="BC918" s="366"/>
      <c r="BD918" s="307"/>
      <c r="BG918" s="307"/>
    </row>
    <row r="919">
      <c r="A919" s="352"/>
      <c r="B919" s="352"/>
      <c r="C919" s="327"/>
      <c r="D919" s="352"/>
      <c r="E919" s="352"/>
      <c r="F919" s="327"/>
      <c r="G919" s="352"/>
      <c r="H919" s="352"/>
      <c r="I919" s="327"/>
      <c r="J919" s="352"/>
      <c r="K919" s="352"/>
      <c r="L919" s="327"/>
      <c r="M919" s="352"/>
      <c r="N919" s="352"/>
      <c r="O919" s="327"/>
      <c r="P919" s="352"/>
      <c r="Q919" s="352"/>
      <c r="R919" s="327"/>
      <c r="S919" s="352"/>
      <c r="T919" s="352"/>
      <c r="U919" s="327"/>
      <c r="V919" s="352"/>
      <c r="W919" s="352"/>
      <c r="X919" s="327"/>
      <c r="Y919" s="352"/>
      <c r="Z919" s="352"/>
      <c r="AA919" s="327"/>
      <c r="AB919" s="352"/>
      <c r="AC919" s="352"/>
      <c r="AD919" s="327"/>
      <c r="AE919" s="352"/>
      <c r="AF919" s="352"/>
      <c r="AG919" s="327"/>
      <c r="AH919" s="352"/>
      <c r="AI919" s="352"/>
      <c r="AJ919" s="327"/>
      <c r="AK919" s="352"/>
      <c r="AL919" s="352"/>
      <c r="AM919" s="327"/>
      <c r="AN919" s="352"/>
      <c r="AO919" s="352"/>
      <c r="AP919" s="327"/>
      <c r="AQ919" s="352"/>
      <c r="AR919" s="327"/>
      <c r="AU919" s="307"/>
      <c r="AX919" s="307"/>
      <c r="BA919" s="307"/>
      <c r="BC919" s="366"/>
      <c r="BD919" s="307"/>
      <c r="BG919" s="307"/>
    </row>
    <row r="920">
      <c r="A920" s="352"/>
      <c r="B920" s="352"/>
      <c r="C920" s="327"/>
      <c r="D920" s="352"/>
      <c r="E920" s="352"/>
      <c r="F920" s="327"/>
      <c r="G920" s="352"/>
      <c r="H920" s="352"/>
      <c r="I920" s="327"/>
      <c r="J920" s="352"/>
      <c r="K920" s="352"/>
      <c r="L920" s="327"/>
      <c r="M920" s="352"/>
      <c r="N920" s="352"/>
      <c r="O920" s="327"/>
      <c r="P920" s="352"/>
      <c r="Q920" s="352"/>
      <c r="R920" s="327"/>
      <c r="S920" s="352"/>
      <c r="T920" s="352"/>
      <c r="U920" s="327"/>
      <c r="V920" s="352"/>
      <c r="W920" s="352"/>
      <c r="X920" s="327"/>
      <c r="Y920" s="352"/>
      <c r="Z920" s="352"/>
      <c r="AA920" s="327"/>
      <c r="AB920" s="352"/>
      <c r="AC920" s="352"/>
      <c r="AD920" s="327"/>
      <c r="AE920" s="352"/>
      <c r="AF920" s="352"/>
      <c r="AG920" s="327"/>
      <c r="AH920" s="352"/>
      <c r="AI920" s="352"/>
      <c r="AJ920" s="327"/>
      <c r="AK920" s="352"/>
      <c r="AL920" s="352"/>
      <c r="AM920" s="327"/>
      <c r="AN920" s="352"/>
      <c r="AO920" s="352"/>
      <c r="AP920" s="327"/>
      <c r="AQ920" s="352"/>
      <c r="AR920" s="327"/>
      <c r="AU920" s="307"/>
      <c r="AX920" s="307"/>
      <c r="BA920" s="307"/>
      <c r="BC920" s="366"/>
      <c r="BD920" s="307"/>
      <c r="BG920" s="307"/>
    </row>
    <row r="921">
      <c r="A921" s="352"/>
      <c r="B921" s="352"/>
      <c r="C921" s="327"/>
      <c r="D921" s="352"/>
      <c r="E921" s="352"/>
      <c r="F921" s="327"/>
      <c r="G921" s="352"/>
      <c r="H921" s="352"/>
      <c r="I921" s="327"/>
      <c r="J921" s="352"/>
      <c r="K921" s="352"/>
      <c r="L921" s="327"/>
      <c r="M921" s="352"/>
      <c r="N921" s="352"/>
      <c r="O921" s="327"/>
      <c r="P921" s="352"/>
      <c r="Q921" s="352"/>
      <c r="R921" s="327"/>
      <c r="S921" s="352"/>
      <c r="T921" s="352"/>
      <c r="U921" s="327"/>
      <c r="V921" s="352"/>
      <c r="W921" s="352"/>
      <c r="X921" s="327"/>
      <c r="Y921" s="352"/>
      <c r="Z921" s="352"/>
      <c r="AA921" s="327"/>
      <c r="AB921" s="352"/>
      <c r="AC921" s="352"/>
      <c r="AD921" s="327"/>
      <c r="AE921" s="352"/>
      <c r="AF921" s="352"/>
      <c r="AG921" s="327"/>
      <c r="AH921" s="352"/>
      <c r="AI921" s="352"/>
      <c r="AJ921" s="327"/>
      <c r="AK921" s="352"/>
      <c r="AL921" s="352"/>
      <c r="AM921" s="327"/>
      <c r="AN921" s="352"/>
      <c r="AO921" s="352"/>
      <c r="AP921" s="327"/>
      <c r="AQ921" s="352"/>
      <c r="AR921" s="327"/>
      <c r="AU921" s="307"/>
      <c r="AX921" s="307"/>
      <c r="BA921" s="307"/>
      <c r="BC921" s="366"/>
      <c r="BD921" s="307"/>
      <c r="BG921" s="307"/>
    </row>
    <row r="922">
      <c r="A922" s="352"/>
      <c r="B922" s="352"/>
      <c r="C922" s="327"/>
      <c r="D922" s="352"/>
      <c r="E922" s="352"/>
      <c r="F922" s="327"/>
      <c r="G922" s="352"/>
      <c r="H922" s="352"/>
      <c r="I922" s="327"/>
      <c r="J922" s="352"/>
      <c r="K922" s="352"/>
      <c r="L922" s="327"/>
      <c r="M922" s="352"/>
      <c r="N922" s="352"/>
      <c r="O922" s="327"/>
      <c r="P922" s="352"/>
      <c r="Q922" s="352"/>
      <c r="R922" s="327"/>
      <c r="S922" s="352"/>
      <c r="T922" s="352"/>
      <c r="U922" s="327"/>
      <c r="V922" s="352"/>
      <c r="W922" s="352"/>
      <c r="X922" s="327"/>
      <c r="Y922" s="352"/>
      <c r="Z922" s="352"/>
      <c r="AA922" s="327"/>
      <c r="AB922" s="352"/>
      <c r="AC922" s="352"/>
      <c r="AD922" s="327"/>
      <c r="AE922" s="352"/>
      <c r="AF922" s="352"/>
      <c r="AG922" s="327"/>
      <c r="AH922" s="352"/>
      <c r="AI922" s="352"/>
      <c r="AJ922" s="327"/>
      <c r="AK922" s="352"/>
      <c r="AL922" s="352"/>
      <c r="AM922" s="327"/>
      <c r="AN922" s="352"/>
      <c r="AO922" s="352"/>
      <c r="AP922" s="327"/>
      <c r="AQ922" s="352"/>
      <c r="AR922" s="327"/>
      <c r="AU922" s="307"/>
      <c r="AX922" s="307"/>
      <c r="BA922" s="307"/>
      <c r="BC922" s="366"/>
      <c r="BD922" s="307"/>
      <c r="BG922" s="307"/>
    </row>
    <row r="923">
      <c r="A923" s="352"/>
      <c r="B923" s="352"/>
      <c r="C923" s="327"/>
      <c r="D923" s="352"/>
      <c r="E923" s="352"/>
      <c r="F923" s="327"/>
      <c r="G923" s="352"/>
      <c r="H923" s="352"/>
      <c r="I923" s="327"/>
      <c r="J923" s="352"/>
      <c r="K923" s="352"/>
      <c r="L923" s="327"/>
      <c r="M923" s="352"/>
      <c r="N923" s="352"/>
      <c r="O923" s="327"/>
      <c r="P923" s="352"/>
      <c r="Q923" s="352"/>
      <c r="R923" s="327"/>
      <c r="S923" s="352"/>
      <c r="T923" s="352"/>
      <c r="U923" s="327"/>
      <c r="V923" s="352"/>
      <c r="W923" s="352"/>
      <c r="X923" s="327"/>
      <c r="Y923" s="352"/>
      <c r="Z923" s="352"/>
      <c r="AA923" s="327"/>
      <c r="AB923" s="352"/>
      <c r="AC923" s="352"/>
      <c r="AD923" s="327"/>
      <c r="AE923" s="352"/>
      <c r="AF923" s="352"/>
      <c r="AG923" s="327"/>
      <c r="AH923" s="352"/>
      <c r="AI923" s="352"/>
      <c r="AJ923" s="327"/>
      <c r="AK923" s="352"/>
      <c r="AL923" s="352"/>
      <c r="AM923" s="327"/>
      <c r="AN923" s="352"/>
      <c r="AO923" s="352"/>
      <c r="AP923" s="327"/>
      <c r="AQ923" s="352"/>
      <c r="AR923" s="327"/>
      <c r="AU923" s="307"/>
      <c r="AX923" s="307"/>
      <c r="BA923" s="307"/>
      <c r="BC923" s="366"/>
      <c r="BD923" s="307"/>
      <c r="BG923" s="307"/>
    </row>
    <row r="924">
      <c r="A924" s="352"/>
      <c r="B924" s="352"/>
      <c r="C924" s="327"/>
      <c r="D924" s="352"/>
      <c r="E924" s="352"/>
      <c r="F924" s="327"/>
      <c r="G924" s="352"/>
      <c r="H924" s="352"/>
      <c r="I924" s="327"/>
      <c r="J924" s="352"/>
      <c r="K924" s="352"/>
      <c r="L924" s="327"/>
      <c r="M924" s="352"/>
      <c r="N924" s="352"/>
      <c r="O924" s="327"/>
      <c r="P924" s="352"/>
      <c r="Q924" s="352"/>
      <c r="R924" s="327"/>
      <c r="S924" s="352"/>
      <c r="T924" s="352"/>
      <c r="U924" s="327"/>
      <c r="V924" s="352"/>
      <c r="W924" s="352"/>
      <c r="X924" s="327"/>
      <c r="Y924" s="352"/>
      <c r="Z924" s="352"/>
      <c r="AA924" s="327"/>
      <c r="AB924" s="352"/>
      <c r="AC924" s="352"/>
      <c r="AD924" s="327"/>
      <c r="AE924" s="352"/>
      <c r="AF924" s="352"/>
      <c r="AG924" s="327"/>
      <c r="AH924" s="352"/>
      <c r="AI924" s="352"/>
      <c r="AJ924" s="327"/>
      <c r="AK924" s="352"/>
      <c r="AL924" s="352"/>
      <c r="AM924" s="327"/>
      <c r="AN924" s="352"/>
      <c r="AO924" s="352"/>
      <c r="AP924" s="327"/>
      <c r="AQ924" s="352"/>
      <c r="AR924" s="327"/>
      <c r="AU924" s="307"/>
      <c r="AX924" s="307"/>
      <c r="BA924" s="307"/>
      <c r="BC924" s="366"/>
      <c r="BD924" s="307"/>
      <c r="BG924" s="307"/>
    </row>
    <row r="925">
      <c r="A925" s="352"/>
      <c r="B925" s="352"/>
      <c r="C925" s="327"/>
      <c r="D925" s="352"/>
      <c r="E925" s="352"/>
      <c r="F925" s="327"/>
      <c r="G925" s="352"/>
      <c r="H925" s="352"/>
      <c r="I925" s="327"/>
      <c r="J925" s="352"/>
      <c r="K925" s="352"/>
      <c r="L925" s="327"/>
      <c r="M925" s="352"/>
      <c r="N925" s="352"/>
      <c r="O925" s="327"/>
      <c r="P925" s="352"/>
      <c r="Q925" s="352"/>
      <c r="R925" s="327"/>
      <c r="S925" s="352"/>
      <c r="T925" s="352"/>
      <c r="U925" s="327"/>
      <c r="V925" s="352"/>
      <c r="W925" s="352"/>
      <c r="X925" s="327"/>
      <c r="Y925" s="352"/>
      <c r="Z925" s="352"/>
      <c r="AA925" s="327"/>
      <c r="AB925" s="352"/>
      <c r="AC925" s="352"/>
      <c r="AD925" s="327"/>
      <c r="AE925" s="352"/>
      <c r="AF925" s="352"/>
      <c r="AG925" s="327"/>
      <c r="AH925" s="352"/>
      <c r="AI925" s="352"/>
      <c r="AJ925" s="327"/>
      <c r="AK925" s="352"/>
      <c r="AL925" s="352"/>
      <c r="AM925" s="327"/>
      <c r="AN925" s="352"/>
      <c r="AO925" s="352"/>
      <c r="AP925" s="327"/>
      <c r="AQ925" s="352"/>
      <c r="AR925" s="327"/>
      <c r="AU925" s="307"/>
      <c r="AX925" s="307"/>
      <c r="BA925" s="307"/>
      <c r="BC925" s="366"/>
      <c r="BD925" s="307"/>
      <c r="BG925" s="307"/>
    </row>
    <row r="926">
      <c r="A926" s="352"/>
      <c r="B926" s="352"/>
      <c r="C926" s="327"/>
      <c r="D926" s="352"/>
      <c r="E926" s="352"/>
      <c r="F926" s="327"/>
      <c r="G926" s="352"/>
      <c r="H926" s="352"/>
      <c r="I926" s="327"/>
      <c r="J926" s="352"/>
      <c r="K926" s="352"/>
      <c r="L926" s="327"/>
      <c r="M926" s="352"/>
      <c r="N926" s="352"/>
      <c r="O926" s="327"/>
      <c r="P926" s="352"/>
      <c r="Q926" s="352"/>
      <c r="R926" s="327"/>
      <c r="S926" s="352"/>
      <c r="T926" s="352"/>
      <c r="U926" s="327"/>
      <c r="V926" s="352"/>
      <c r="W926" s="352"/>
      <c r="X926" s="327"/>
      <c r="Y926" s="352"/>
      <c r="Z926" s="352"/>
      <c r="AA926" s="327"/>
      <c r="AB926" s="352"/>
      <c r="AC926" s="352"/>
      <c r="AD926" s="327"/>
      <c r="AE926" s="352"/>
      <c r="AF926" s="352"/>
      <c r="AG926" s="327"/>
      <c r="AH926" s="352"/>
      <c r="AI926" s="352"/>
      <c r="AJ926" s="327"/>
      <c r="AK926" s="352"/>
      <c r="AL926" s="352"/>
      <c r="AM926" s="327"/>
      <c r="AN926" s="352"/>
      <c r="AO926" s="352"/>
      <c r="AP926" s="327"/>
      <c r="AQ926" s="352"/>
      <c r="AR926" s="327"/>
      <c r="AU926" s="307"/>
      <c r="AX926" s="307"/>
      <c r="BA926" s="307"/>
      <c r="BC926" s="366"/>
      <c r="BD926" s="307"/>
      <c r="BG926" s="307"/>
    </row>
    <row r="927">
      <c r="A927" s="352"/>
      <c r="B927" s="352"/>
      <c r="C927" s="327"/>
      <c r="D927" s="352"/>
      <c r="E927" s="352"/>
      <c r="F927" s="327"/>
      <c r="G927" s="352"/>
      <c r="H927" s="352"/>
      <c r="I927" s="327"/>
      <c r="J927" s="352"/>
      <c r="K927" s="352"/>
      <c r="L927" s="327"/>
      <c r="M927" s="352"/>
      <c r="N927" s="352"/>
      <c r="O927" s="327"/>
      <c r="P927" s="352"/>
      <c r="Q927" s="352"/>
      <c r="R927" s="327"/>
      <c r="S927" s="352"/>
      <c r="T927" s="352"/>
      <c r="U927" s="327"/>
      <c r="V927" s="352"/>
      <c r="W927" s="352"/>
      <c r="X927" s="327"/>
      <c r="Y927" s="352"/>
      <c r="Z927" s="352"/>
      <c r="AA927" s="327"/>
      <c r="AB927" s="352"/>
      <c r="AC927" s="352"/>
      <c r="AD927" s="327"/>
      <c r="AE927" s="352"/>
      <c r="AF927" s="352"/>
      <c r="AG927" s="327"/>
      <c r="AH927" s="352"/>
      <c r="AI927" s="352"/>
      <c r="AJ927" s="327"/>
      <c r="AK927" s="352"/>
      <c r="AL927" s="352"/>
      <c r="AM927" s="327"/>
      <c r="AN927" s="352"/>
      <c r="AO927" s="352"/>
      <c r="AP927" s="327"/>
      <c r="AQ927" s="352"/>
      <c r="AR927" s="327"/>
      <c r="AU927" s="307"/>
      <c r="AX927" s="307"/>
      <c r="BA927" s="307"/>
      <c r="BC927" s="366"/>
      <c r="BD927" s="307"/>
      <c r="BG927" s="307"/>
    </row>
    <row r="928">
      <c r="A928" s="352"/>
      <c r="B928" s="352"/>
      <c r="C928" s="327"/>
      <c r="D928" s="352"/>
      <c r="E928" s="352"/>
      <c r="F928" s="327"/>
      <c r="G928" s="352"/>
      <c r="H928" s="352"/>
      <c r="I928" s="327"/>
      <c r="J928" s="352"/>
      <c r="K928" s="352"/>
      <c r="L928" s="327"/>
      <c r="M928" s="352"/>
      <c r="N928" s="352"/>
      <c r="O928" s="327"/>
      <c r="P928" s="352"/>
      <c r="Q928" s="352"/>
      <c r="R928" s="327"/>
      <c r="S928" s="352"/>
      <c r="T928" s="352"/>
      <c r="U928" s="327"/>
      <c r="V928" s="352"/>
      <c r="W928" s="352"/>
      <c r="X928" s="327"/>
      <c r="Y928" s="352"/>
      <c r="Z928" s="352"/>
      <c r="AA928" s="327"/>
      <c r="AB928" s="352"/>
      <c r="AC928" s="352"/>
      <c r="AD928" s="327"/>
      <c r="AE928" s="352"/>
      <c r="AF928" s="352"/>
      <c r="AG928" s="327"/>
      <c r="AH928" s="352"/>
      <c r="AI928" s="352"/>
      <c r="AJ928" s="327"/>
      <c r="AK928" s="352"/>
      <c r="AL928" s="352"/>
      <c r="AM928" s="327"/>
      <c r="AN928" s="352"/>
      <c r="AO928" s="352"/>
      <c r="AP928" s="327"/>
      <c r="AQ928" s="352"/>
      <c r="AR928" s="327"/>
      <c r="AU928" s="307"/>
      <c r="AX928" s="307"/>
      <c r="BA928" s="307"/>
      <c r="BC928" s="366"/>
      <c r="BD928" s="307"/>
      <c r="BG928" s="307"/>
    </row>
    <row r="929">
      <c r="A929" s="352"/>
      <c r="B929" s="352"/>
      <c r="C929" s="327"/>
      <c r="D929" s="352"/>
      <c r="E929" s="352"/>
      <c r="F929" s="327"/>
      <c r="G929" s="352"/>
      <c r="H929" s="352"/>
      <c r="I929" s="327"/>
      <c r="J929" s="352"/>
      <c r="K929" s="352"/>
      <c r="L929" s="327"/>
      <c r="M929" s="352"/>
      <c r="N929" s="352"/>
      <c r="O929" s="327"/>
      <c r="P929" s="352"/>
      <c r="Q929" s="352"/>
      <c r="R929" s="327"/>
      <c r="S929" s="352"/>
      <c r="T929" s="352"/>
      <c r="U929" s="327"/>
      <c r="V929" s="352"/>
      <c r="W929" s="352"/>
      <c r="X929" s="327"/>
      <c r="Y929" s="352"/>
      <c r="Z929" s="352"/>
      <c r="AA929" s="327"/>
      <c r="AB929" s="352"/>
      <c r="AC929" s="352"/>
      <c r="AD929" s="327"/>
      <c r="AE929" s="352"/>
      <c r="AF929" s="352"/>
      <c r="AG929" s="327"/>
      <c r="AH929" s="352"/>
      <c r="AI929" s="352"/>
      <c r="AJ929" s="327"/>
      <c r="AK929" s="352"/>
      <c r="AL929" s="352"/>
      <c r="AM929" s="327"/>
      <c r="AN929" s="352"/>
      <c r="AO929" s="352"/>
      <c r="AP929" s="327"/>
      <c r="AQ929" s="352"/>
      <c r="AR929" s="327"/>
      <c r="AU929" s="307"/>
      <c r="AX929" s="307"/>
      <c r="BA929" s="307"/>
      <c r="BC929" s="366"/>
      <c r="BD929" s="307"/>
      <c r="BG929" s="307"/>
    </row>
    <row r="930">
      <c r="A930" s="352"/>
      <c r="B930" s="352"/>
      <c r="C930" s="327"/>
      <c r="D930" s="352"/>
      <c r="E930" s="352"/>
      <c r="F930" s="327"/>
      <c r="G930" s="352"/>
      <c r="H930" s="352"/>
      <c r="I930" s="327"/>
      <c r="J930" s="352"/>
      <c r="K930" s="352"/>
      <c r="L930" s="327"/>
      <c r="M930" s="352"/>
      <c r="N930" s="352"/>
      <c r="O930" s="327"/>
      <c r="P930" s="352"/>
      <c r="Q930" s="352"/>
      <c r="R930" s="327"/>
      <c r="S930" s="352"/>
      <c r="T930" s="352"/>
      <c r="U930" s="327"/>
      <c r="V930" s="352"/>
      <c r="W930" s="352"/>
      <c r="X930" s="327"/>
      <c r="Y930" s="352"/>
      <c r="Z930" s="352"/>
      <c r="AA930" s="327"/>
      <c r="AB930" s="352"/>
      <c r="AC930" s="352"/>
      <c r="AD930" s="327"/>
      <c r="AE930" s="352"/>
      <c r="AF930" s="352"/>
      <c r="AG930" s="327"/>
      <c r="AH930" s="352"/>
      <c r="AI930" s="352"/>
      <c r="AJ930" s="327"/>
      <c r="AK930" s="352"/>
      <c r="AL930" s="352"/>
      <c r="AM930" s="327"/>
      <c r="AN930" s="352"/>
      <c r="AO930" s="352"/>
      <c r="AP930" s="327"/>
      <c r="AQ930" s="352"/>
      <c r="AR930" s="327"/>
      <c r="AU930" s="307"/>
      <c r="AX930" s="307"/>
      <c r="BA930" s="307"/>
      <c r="BC930" s="366"/>
      <c r="BD930" s="307"/>
      <c r="BG930" s="307"/>
    </row>
    <row r="931">
      <c r="A931" s="352"/>
      <c r="B931" s="352"/>
      <c r="C931" s="327"/>
      <c r="D931" s="352"/>
      <c r="E931" s="352"/>
      <c r="F931" s="327"/>
      <c r="G931" s="352"/>
      <c r="H931" s="352"/>
      <c r="I931" s="327"/>
      <c r="J931" s="352"/>
      <c r="K931" s="352"/>
      <c r="L931" s="327"/>
      <c r="M931" s="352"/>
      <c r="N931" s="352"/>
      <c r="O931" s="327"/>
      <c r="P931" s="352"/>
      <c r="Q931" s="352"/>
      <c r="R931" s="327"/>
      <c r="S931" s="352"/>
      <c r="T931" s="352"/>
      <c r="U931" s="327"/>
      <c r="V931" s="352"/>
      <c r="W931" s="352"/>
      <c r="X931" s="327"/>
      <c r="Y931" s="352"/>
      <c r="Z931" s="352"/>
      <c r="AA931" s="327"/>
      <c r="AB931" s="352"/>
      <c r="AC931" s="352"/>
      <c r="AD931" s="327"/>
      <c r="AE931" s="352"/>
      <c r="AF931" s="352"/>
      <c r="AG931" s="327"/>
      <c r="AH931" s="352"/>
      <c r="AI931" s="352"/>
      <c r="AJ931" s="327"/>
      <c r="AK931" s="352"/>
      <c r="AL931" s="352"/>
      <c r="AM931" s="327"/>
      <c r="AN931" s="352"/>
      <c r="AO931" s="352"/>
      <c r="AP931" s="327"/>
      <c r="AQ931" s="352"/>
      <c r="AR931" s="327"/>
      <c r="AU931" s="307"/>
      <c r="AX931" s="307"/>
      <c r="BA931" s="307"/>
      <c r="BC931" s="366"/>
      <c r="BD931" s="307"/>
      <c r="BG931" s="307"/>
    </row>
    <row r="932">
      <c r="A932" s="352"/>
      <c r="B932" s="352"/>
      <c r="C932" s="327"/>
      <c r="D932" s="352"/>
      <c r="E932" s="352"/>
      <c r="F932" s="327"/>
      <c r="G932" s="352"/>
      <c r="H932" s="352"/>
      <c r="I932" s="327"/>
      <c r="J932" s="352"/>
      <c r="K932" s="352"/>
      <c r="L932" s="327"/>
      <c r="M932" s="352"/>
      <c r="N932" s="352"/>
      <c r="O932" s="327"/>
      <c r="P932" s="352"/>
      <c r="Q932" s="352"/>
      <c r="R932" s="327"/>
      <c r="S932" s="352"/>
      <c r="T932" s="352"/>
      <c r="U932" s="327"/>
      <c r="V932" s="352"/>
      <c r="W932" s="352"/>
      <c r="X932" s="327"/>
      <c r="Y932" s="352"/>
      <c r="Z932" s="352"/>
      <c r="AA932" s="327"/>
      <c r="AB932" s="352"/>
      <c r="AC932" s="352"/>
      <c r="AD932" s="327"/>
      <c r="AE932" s="352"/>
      <c r="AF932" s="352"/>
      <c r="AG932" s="327"/>
      <c r="AH932" s="352"/>
      <c r="AI932" s="352"/>
      <c r="AJ932" s="327"/>
      <c r="AK932" s="352"/>
      <c r="AL932" s="352"/>
      <c r="AM932" s="327"/>
      <c r="AN932" s="352"/>
      <c r="AO932" s="352"/>
      <c r="AP932" s="327"/>
      <c r="AQ932" s="352"/>
      <c r="AR932" s="327"/>
      <c r="AU932" s="307"/>
      <c r="AX932" s="307"/>
      <c r="BA932" s="307"/>
      <c r="BC932" s="366"/>
      <c r="BD932" s="307"/>
      <c r="BG932" s="307"/>
    </row>
    <row r="933">
      <c r="A933" s="352"/>
      <c r="B933" s="352"/>
      <c r="C933" s="327"/>
      <c r="D933" s="352"/>
      <c r="E933" s="352"/>
      <c r="F933" s="327"/>
      <c r="G933" s="352"/>
      <c r="H933" s="352"/>
      <c r="I933" s="327"/>
      <c r="J933" s="352"/>
      <c r="K933" s="352"/>
      <c r="L933" s="327"/>
      <c r="M933" s="352"/>
      <c r="N933" s="352"/>
      <c r="O933" s="327"/>
      <c r="P933" s="352"/>
      <c r="Q933" s="352"/>
      <c r="R933" s="327"/>
      <c r="S933" s="352"/>
      <c r="T933" s="352"/>
      <c r="U933" s="327"/>
      <c r="V933" s="352"/>
      <c r="W933" s="352"/>
      <c r="X933" s="327"/>
      <c r="Y933" s="352"/>
      <c r="Z933" s="352"/>
      <c r="AA933" s="327"/>
      <c r="AB933" s="352"/>
      <c r="AC933" s="352"/>
      <c r="AD933" s="327"/>
      <c r="AE933" s="352"/>
      <c r="AF933" s="352"/>
      <c r="AG933" s="327"/>
      <c r="AH933" s="352"/>
      <c r="AI933" s="352"/>
      <c r="AJ933" s="327"/>
      <c r="AK933" s="352"/>
      <c r="AL933" s="352"/>
      <c r="AM933" s="327"/>
      <c r="AN933" s="352"/>
      <c r="AO933" s="352"/>
      <c r="AP933" s="327"/>
      <c r="AQ933" s="352"/>
      <c r="AR933" s="327"/>
      <c r="AU933" s="307"/>
      <c r="AX933" s="307"/>
      <c r="BA933" s="307"/>
      <c r="BC933" s="366"/>
      <c r="BD933" s="307"/>
      <c r="BG933" s="307"/>
    </row>
    <row r="934">
      <c r="A934" s="352"/>
      <c r="B934" s="352"/>
      <c r="C934" s="327"/>
      <c r="D934" s="352"/>
      <c r="E934" s="352"/>
      <c r="F934" s="327"/>
      <c r="G934" s="352"/>
      <c r="H934" s="352"/>
      <c r="I934" s="327"/>
      <c r="J934" s="352"/>
      <c r="K934" s="352"/>
      <c r="L934" s="327"/>
      <c r="M934" s="352"/>
      <c r="N934" s="352"/>
      <c r="O934" s="327"/>
      <c r="P934" s="352"/>
      <c r="Q934" s="352"/>
      <c r="R934" s="327"/>
      <c r="S934" s="352"/>
      <c r="T934" s="352"/>
      <c r="U934" s="327"/>
      <c r="V934" s="352"/>
      <c r="W934" s="352"/>
      <c r="X934" s="327"/>
      <c r="Y934" s="352"/>
      <c r="Z934" s="352"/>
      <c r="AA934" s="327"/>
      <c r="AB934" s="352"/>
      <c r="AC934" s="352"/>
      <c r="AD934" s="327"/>
      <c r="AE934" s="352"/>
      <c r="AF934" s="352"/>
      <c r="AG934" s="327"/>
      <c r="AH934" s="352"/>
      <c r="AI934" s="352"/>
      <c r="AJ934" s="327"/>
      <c r="AK934" s="352"/>
      <c r="AL934" s="352"/>
      <c r="AM934" s="327"/>
      <c r="AN934" s="352"/>
      <c r="AO934" s="352"/>
      <c r="AP934" s="327"/>
      <c r="AQ934" s="352"/>
      <c r="AR934" s="327"/>
      <c r="AU934" s="307"/>
      <c r="AX934" s="307"/>
      <c r="BA934" s="307"/>
      <c r="BC934" s="366"/>
      <c r="BD934" s="307"/>
      <c r="BG934" s="307"/>
    </row>
    <row r="935">
      <c r="A935" s="352"/>
      <c r="B935" s="352"/>
      <c r="C935" s="327"/>
      <c r="D935" s="352"/>
      <c r="E935" s="352"/>
      <c r="F935" s="327"/>
      <c r="G935" s="352"/>
      <c r="H935" s="352"/>
      <c r="I935" s="327"/>
      <c r="J935" s="352"/>
      <c r="K935" s="352"/>
      <c r="L935" s="327"/>
      <c r="M935" s="352"/>
      <c r="N935" s="352"/>
      <c r="O935" s="327"/>
      <c r="P935" s="352"/>
      <c r="Q935" s="352"/>
      <c r="R935" s="327"/>
      <c r="S935" s="352"/>
      <c r="T935" s="352"/>
      <c r="U935" s="327"/>
      <c r="V935" s="352"/>
      <c r="W935" s="352"/>
      <c r="X935" s="327"/>
      <c r="Y935" s="352"/>
      <c r="Z935" s="352"/>
      <c r="AA935" s="327"/>
      <c r="AB935" s="352"/>
      <c r="AC935" s="352"/>
      <c r="AD935" s="327"/>
      <c r="AE935" s="352"/>
      <c r="AF935" s="352"/>
      <c r="AG935" s="327"/>
      <c r="AH935" s="352"/>
      <c r="AI935" s="352"/>
      <c r="AJ935" s="327"/>
      <c r="AK935" s="352"/>
      <c r="AL935" s="352"/>
      <c r="AM935" s="327"/>
      <c r="AN935" s="352"/>
      <c r="AO935" s="352"/>
      <c r="AP935" s="327"/>
      <c r="AQ935" s="352"/>
      <c r="AR935" s="327"/>
      <c r="AU935" s="307"/>
      <c r="AX935" s="307"/>
      <c r="BA935" s="307"/>
      <c r="BC935" s="366"/>
      <c r="BD935" s="307"/>
      <c r="BG935" s="307"/>
    </row>
    <row r="936">
      <c r="A936" s="352"/>
      <c r="B936" s="352"/>
      <c r="C936" s="327"/>
      <c r="D936" s="352"/>
      <c r="E936" s="352"/>
      <c r="F936" s="327"/>
      <c r="G936" s="352"/>
      <c r="H936" s="352"/>
      <c r="I936" s="327"/>
      <c r="J936" s="352"/>
      <c r="K936" s="352"/>
      <c r="L936" s="327"/>
      <c r="M936" s="352"/>
      <c r="N936" s="352"/>
      <c r="O936" s="327"/>
      <c r="P936" s="352"/>
      <c r="Q936" s="352"/>
      <c r="R936" s="327"/>
      <c r="S936" s="352"/>
      <c r="T936" s="352"/>
      <c r="U936" s="327"/>
      <c r="V936" s="352"/>
      <c r="W936" s="352"/>
      <c r="X936" s="327"/>
      <c r="Y936" s="352"/>
      <c r="Z936" s="352"/>
      <c r="AA936" s="327"/>
      <c r="AB936" s="352"/>
      <c r="AC936" s="352"/>
      <c r="AD936" s="327"/>
      <c r="AE936" s="352"/>
      <c r="AF936" s="352"/>
      <c r="AG936" s="327"/>
      <c r="AH936" s="352"/>
      <c r="AI936" s="352"/>
      <c r="AJ936" s="327"/>
      <c r="AK936" s="352"/>
      <c r="AL936" s="352"/>
      <c r="AM936" s="327"/>
      <c r="AN936" s="352"/>
      <c r="AO936" s="352"/>
      <c r="AP936" s="327"/>
      <c r="AQ936" s="352"/>
      <c r="AR936" s="327"/>
      <c r="AU936" s="307"/>
      <c r="AX936" s="307"/>
      <c r="BA936" s="307"/>
      <c r="BC936" s="366"/>
      <c r="BD936" s="307"/>
      <c r="BG936" s="307"/>
    </row>
    <row r="937">
      <c r="A937" s="352"/>
      <c r="B937" s="352"/>
      <c r="C937" s="327"/>
      <c r="D937" s="352"/>
      <c r="E937" s="352"/>
      <c r="F937" s="327"/>
      <c r="G937" s="352"/>
      <c r="H937" s="352"/>
      <c r="I937" s="327"/>
      <c r="J937" s="352"/>
      <c r="K937" s="352"/>
      <c r="L937" s="327"/>
      <c r="M937" s="352"/>
      <c r="N937" s="352"/>
      <c r="O937" s="327"/>
      <c r="P937" s="352"/>
      <c r="Q937" s="352"/>
      <c r="R937" s="327"/>
      <c r="S937" s="352"/>
      <c r="T937" s="352"/>
      <c r="U937" s="327"/>
      <c r="V937" s="352"/>
      <c r="W937" s="352"/>
      <c r="X937" s="327"/>
      <c r="Y937" s="352"/>
      <c r="Z937" s="352"/>
      <c r="AA937" s="327"/>
      <c r="AB937" s="352"/>
      <c r="AC937" s="352"/>
      <c r="AD937" s="327"/>
      <c r="AE937" s="352"/>
      <c r="AF937" s="352"/>
      <c r="AG937" s="327"/>
      <c r="AH937" s="352"/>
      <c r="AI937" s="352"/>
      <c r="AJ937" s="327"/>
      <c r="AK937" s="352"/>
      <c r="AL937" s="352"/>
      <c r="AM937" s="327"/>
      <c r="AN937" s="352"/>
      <c r="AO937" s="352"/>
      <c r="AP937" s="327"/>
      <c r="AQ937" s="352"/>
      <c r="AR937" s="327"/>
      <c r="AU937" s="307"/>
      <c r="AX937" s="307"/>
      <c r="BA937" s="307"/>
      <c r="BC937" s="366"/>
      <c r="BD937" s="307"/>
      <c r="BG937" s="307"/>
    </row>
    <row r="938">
      <c r="A938" s="352"/>
      <c r="B938" s="352"/>
      <c r="C938" s="327"/>
      <c r="D938" s="352"/>
      <c r="E938" s="352"/>
      <c r="F938" s="327"/>
      <c r="G938" s="352"/>
      <c r="H938" s="352"/>
      <c r="I938" s="327"/>
      <c r="J938" s="352"/>
      <c r="K938" s="352"/>
      <c r="L938" s="327"/>
      <c r="M938" s="352"/>
      <c r="N938" s="352"/>
      <c r="O938" s="327"/>
      <c r="P938" s="352"/>
      <c r="Q938" s="352"/>
      <c r="R938" s="327"/>
      <c r="S938" s="352"/>
      <c r="T938" s="352"/>
      <c r="U938" s="327"/>
      <c r="V938" s="352"/>
      <c r="W938" s="352"/>
      <c r="X938" s="327"/>
      <c r="Y938" s="352"/>
      <c r="Z938" s="352"/>
      <c r="AA938" s="327"/>
      <c r="AB938" s="352"/>
      <c r="AC938" s="352"/>
      <c r="AD938" s="327"/>
      <c r="AE938" s="352"/>
      <c r="AF938" s="352"/>
      <c r="AG938" s="327"/>
      <c r="AH938" s="352"/>
      <c r="AI938" s="352"/>
      <c r="AJ938" s="327"/>
      <c r="AK938" s="352"/>
      <c r="AL938" s="352"/>
      <c r="AM938" s="327"/>
      <c r="AN938" s="352"/>
      <c r="AO938" s="352"/>
      <c r="AP938" s="327"/>
      <c r="AQ938" s="352"/>
      <c r="AR938" s="327"/>
      <c r="AU938" s="307"/>
      <c r="AX938" s="307"/>
      <c r="BA938" s="307"/>
      <c r="BC938" s="366"/>
      <c r="BD938" s="307"/>
      <c r="BG938" s="307"/>
    </row>
    <row r="939">
      <c r="A939" s="352"/>
      <c r="B939" s="352"/>
      <c r="C939" s="327"/>
      <c r="D939" s="352"/>
      <c r="E939" s="352"/>
      <c r="F939" s="327"/>
      <c r="G939" s="352"/>
      <c r="H939" s="352"/>
      <c r="I939" s="327"/>
      <c r="J939" s="352"/>
      <c r="K939" s="352"/>
      <c r="L939" s="327"/>
      <c r="M939" s="352"/>
      <c r="N939" s="352"/>
      <c r="O939" s="327"/>
      <c r="P939" s="352"/>
      <c r="Q939" s="352"/>
      <c r="R939" s="327"/>
      <c r="S939" s="352"/>
      <c r="T939" s="352"/>
      <c r="U939" s="327"/>
      <c r="V939" s="352"/>
      <c r="W939" s="352"/>
      <c r="X939" s="327"/>
      <c r="Y939" s="352"/>
      <c r="Z939" s="352"/>
      <c r="AA939" s="327"/>
      <c r="AB939" s="352"/>
      <c r="AC939" s="352"/>
      <c r="AD939" s="327"/>
      <c r="AE939" s="352"/>
      <c r="AF939" s="352"/>
      <c r="AG939" s="327"/>
      <c r="AH939" s="352"/>
      <c r="AI939" s="352"/>
      <c r="AJ939" s="327"/>
      <c r="AK939" s="352"/>
      <c r="AL939" s="352"/>
      <c r="AM939" s="327"/>
      <c r="AN939" s="352"/>
      <c r="AO939" s="352"/>
      <c r="AP939" s="327"/>
      <c r="AQ939" s="352"/>
      <c r="AR939" s="327"/>
      <c r="AU939" s="307"/>
      <c r="AX939" s="307"/>
      <c r="BA939" s="307"/>
      <c r="BC939" s="366"/>
      <c r="BD939" s="307"/>
      <c r="BG939" s="307"/>
    </row>
    <row r="940">
      <c r="A940" s="352"/>
      <c r="B940" s="352"/>
      <c r="C940" s="327"/>
      <c r="D940" s="352"/>
      <c r="E940" s="352"/>
      <c r="F940" s="327"/>
      <c r="G940" s="352"/>
      <c r="H940" s="352"/>
      <c r="I940" s="327"/>
      <c r="J940" s="352"/>
      <c r="K940" s="352"/>
      <c r="L940" s="327"/>
      <c r="M940" s="352"/>
      <c r="N940" s="352"/>
      <c r="O940" s="327"/>
      <c r="P940" s="352"/>
      <c r="Q940" s="352"/>
      <c r="R940" s="327"/>
      <c r="S940" s="352"/>
      <c r="T940" s="352"/>
      <c r="U940" s="327"/>
      <c r="V940" s="352"/>
      <c r="W940" s="352"/>
      <c r="X940" s="327"/>
      <c r="Y940" s="352"/>
      <c r="Z940" s="352"/>
      <c r="AA940" s="327"/>
      <c r="AB940" s="352"/>
      <c r="AC940" s="352"/>
      <c r="AD940" s="327"/>
      <c r="AE940" s="352"/>
      <c r="AF940" s="352"/>
      <c r="AG940" s="327"/>
      <c r="AH940" s="352"/>
      <c r="AI940" s="352"/>
      <c r="AJ940" s="327"/>
      <c r="AK940" s="352"/>
      <c r="AL940" s="352"/>
      <c r="AM940" s="327"/>
      <c r="AN940" s="352"/>
      <c r="AO940" s="352"/>
      <c r="AP940" s="327"/>
      <c r="AQ940" s="352"/>
      <c r="AR940" s="327"/>
      <c r="AU940" s="307"/>
      <c r="AX940" s="307"/>
      <c r="BA940" s="307"/>
      <c r="BC940" s="366"/>
      <c r="BD940" s="307"/>
      <c r="BG940" s="307"/>
    </row>
    <row r="941">
      <c r="A941" s="352"/>
      <c r="B941" s="352"/>
      <c r="C941" s="327"/>
      <c r="D941" s="352"/>
      <c r="E941" s="352"/>
      <c r="F941" s="327"/>
      <c r="G941" s="352"/>
      <c r="H941" s="352"/>
      <c r="I941" s="327"/>
      <c r="J941" s="352"/>
      <c r="K941" s="352"/>
      <c r="L941" s="327"/>
      <c r="M941" s="352"/>
      <c r="N941" s="352"/>
      <c r="O941" s="327"/>
      <c r="P941" s="352"/>
      <c r="Q941" s="352"/>
      <c r="R941" s="327"/>
      <c r="S941" s="352"/>
      <c r="T941" s="352"/>
      <c r="U941" s="327"/>
      <c r="V941" s="352"/>
      <c r="W941" s="352"/>
      <c r="X941" s="327"/>
      <c r="Y941" s="352"/>
      <c r="Z941" s="352"/>
      <c r="AA941" s="327"/>
      <c r="AB941" s="352"/>
      <c r="AC941" s="352"/>
      <c r="AD941" s="327"/>
      <c r="AE941" s="352"/>
      <c r="AF941" s="352"/>
      <c r="AG941" s="327"/>
      <c r="AH941" s="352"/>
      <c r="AI941" s="352"/>
      <c r="AJ941" s="327"/>
      <c r="AK941" s="352"/>
      <c r="AL941" s="352"/>
      <c r="AM941" s="327"/>
      <c r="AN941" s="352"/>
      <c r="AO941" s="352"/>
      <c r="AP941" s="327"/>
      <c r="AQ941" s="352"/>
      <c r="AR941" s="327"/>
      <c r="AU941" s="307"/>
      <c r="AX941" s="307"/>
      <c r="BA941" s="307"/>
      <c r="BC941" s="366"/>
      <c r="BD941" s="307"/>
      <c r="BG941" s="307"/>
    </row>
    <row r="942">
      <c r="A942" s="352"/>
      <c r="B942" s="352"/>
      <c r="C942" s="327"/>
      <c r="D942" s="352"/>
      <c r="E942" s="352"/>
      <c r="F942" s="327"/>
      <c r="G942" s="352"/>
      <c r="H942" s="352"/>
      <c r="I942" s="327"/>
      <c r="J942" s="352"/>
      <c r="K942" s="352"/>
      <c r="L942" s="327"/>
      <c r="M942" s="352"/>
      <c r="N942" s="352"/>
      <c r="O942" s="327"/>
      <c r="P942" s="352"/>
      <c r="Q942" s="352"/>
      <c r="R942" s="327"/>
      <c r="S942" s="352"/>
      <c r="T942" s="352"/>
      <c r="U942" s="327"/>
      <c r="V942" s="352"/>
      <c r="W942" s="352"/>
      <c r="X942" s="327"/>
      <c r="Y942" s="352"/>
      <c r="Z942" s="352"/>
      <c r="AA942" s="327"/>
      <c r="AB942" s="352"/>
      <c r="AC942" s="352"/>
      <c r="AD942" s="327"/>
      <c r="AE942" s="352"/>
      <c r="AF942" s="352"/>
      <c r="AG942" s="327"/>
      <c r="AH942" s="352"/>
      <c r="AI942" s="352"/>
      <c r="AJ942" s="327"/>
      <c r="AK942" s="352"/>
      <c r="AL942" s="352"/>
      <c r="AM942" s="327"/>
      <c r="AN942" s="352"/>
      <c r="AO942" s="352"/>
      <c r="AP942" s="327"/>
      <c r="AQ942" s="352"/>
      <c r="AR942" s="327"/>
      <c r="AU942" s="307"/>
      <c r="AX942" s="307"/>
      <c r="BA942" s="307"/>
      <c r="BC942" s="366"/>
      <c r="BD942" s="307"/>
      <c r="BG942" s="307"/>
    </row>
    <row r="943">
      <c r="A943" s="352"/>
      <c r="B943" s="352"/>
      <c r="C943" s="327"/>
      <c r="D943" s="352"/>
      <c r="E943" s="352"/>
      <c r="F943" s="327"/>
      <c r="G943" s="352"/>
      <c r="H943" s="352"/>
      <c r="I943" s="327"/>
      <c r="J943" s="352"/>
      <c r="K943" s="352"/>
      <c r="L943" s="327"/>
      <c r="M943" s="352"/>
      <c r="N943" s="352"/>
      <c r="O943" s="327"/>
      <c r="P943" s="352"/>
      <c r="Q943" s="352"/>
      <c r="R943" s="327"/>
      <c r="S943" s="352"/>
      <c r="T943" s="352"/>
      <c r="U943" s="327"/>
      <c r="V943" s="352"/>
      <c r="W943" s="352"/>
      <c r="X943" s="327"/>
      <c r="Y943" s="352"/>
      <c r="Z943" s="352"/>
      <c r="AA943" s="327"/>
      <c r="AB943" s="352"/>
      <c r="AC943" s="352"/>
      <c r="AD943" s="327"/>
      <c r="AE943" s="352"/>
      <c r="AF943" s="352"/>
      <c r="AG943" s="327"/>
      <c r="AH943" s="352"/>
      <c r="AI943" s="352"/>
      <c r="AJ943" s="327"/>
      <c r="AK943" s="352"/>
      <c r="AL943" s="352"/>
      <c r="AM943" s="327"/>
      <c r="AN943" s="352"/>
      <c r="AO943" s="352"/>
      <c r="AP943" s="327"/>
      <c r="AQ943" s="352"/>
      <c r="AR943" s="327"/>
      <c r="AU943" s="307"/>
      <c r="AX943" s="307"/>
      <c r="BA943" s="307"/>
      <c r="BC943" s="366"/>
      <c r="BD943" s="307"/>
      <c r="BG943" s="307"/>
    </row>
    <row r="944">
      <c r="A944" s="352"/>
      <c r="B944" s="352"/>
      <c r="C944" s="327"/>
      <c r="D944" s="352"/>
      <c r="E944" s="352"/>
      <c r="F944" s="327"/>
      <c r="G944" s="352"/>
      <c r="H944" s="352"/>
      <c r="I944" s="327"/>
      <c r="J944" s="352"/>
      <c r="K944" s="352"/>
      <c r="L944" s="327"/>
      <c r="M944" s="352"/>
      <c r="N944" s="352"/>
      <c r="O944" s="327"/>
      <c r="P944" s="352"/>
      <c r="Q944" s="352"/>
      <c r="R944" s="327"/>
      <c r="S944" s="352"/>
      <c r="T944" s="352"/>
      <c r="U944" s="327"/>
      <c r="V944" s="352"/>
      <c r="W944" s="352"/>
      <c r="X944" s="327"/>
      <c r="Y944" s="352"/>
      <c r="Z944" s="352"/>
      <c r="AA944" s="327"/>
      <c r="AB944" s="352"/>
      <c r="AC944" s="352"/>
      <c r="AD944" s="327"/>
      <c r="AE944" s="352"/>
      <c r="AF944" s="352"/>
      <c r="AG944" s="327"/>
      <c r="AH944" s="352"/>
      <c r="AI944" s="352"/>
      <c r="AJ944" s="327"/>
      <c r="AK944" s="352"/>
      <c r="AL944" s="352"/>
      <c r="AM944" s="327"/>
      <c r="AN944" s="352"/>
      <c r="AO944" s="352"/>
      <c r="AP944" s="327"/>
      <c r="AQ944" s="352"/>
      <c r="AR944" s="327"/>
      <c r="AU944" s="307"/>
      <c r="AX944" s="307"/>
      <c r="BA944" s="307"/>
      <c r="BC944" s="366"/>
      <c r="BD944" s="307"/>
      <c r="BG944" s="307"/>
    </row>
    <row r="945">
      <c r="A945" s="352"/>
      <c r="B945" s="352"/>
      <c r="C945" s="327"/>
      <c r="D945" s="352"/>
      <c r="E945" s="352"/>
      <c r="F945" s="327"/>
      <c r="G945" s="352"/>
      <c r="H945" s="352"/>
      <c r="I945" s="327"/>
      <c r="J945" s="352"/>
      <c r="K945" s="352"/>
      <c r="L945" s="327"/>
      <c r="M945" s="352"/>
      <c r="N945" s="352"/>
      <c r="O945" s="327"/>
      <c r="P945" s="352"/>
      <c r="Q945" s="352"/>
      <c r="R945" s="327"/>
      <c r="S945" s="352"/>
      <c r="T945" s="352"/>
      <c r="U945" s="327"/>
      <c r="V945" s="352"/>
      <c r="W945" s="352"/>
      <c r="X945" s="327"/>
      <c r="Y945" s="352"/>
      <c r="Z945" s="352"/>
      <c r="AA945" s="327"/>
      <c r="AB945" s="352"/>
      <c r="AC945" s="352"/>
      <c r="AD945" s="327"/>
      <c r="AE945" s="352"/>
      <c r="AF945" s="352"/>
      <c r="AG945" s="327"/>
      <c r="AH945" s="352"/>
      <c r="AI945" s="352"/>
      <c r="AJ945" s="327"/>
      <c r="AK945" s="352"/>
      <c r="AL945" s="352"/>
      <c r="AM945" s="327"/>
      <c r="AN945" s="352"/>
      <c r="AO945" s="352"/>
      <c r="AP945" s="327"/>
      <c r="AQ945" s="352"/>
      <c r="AR945" s="327"/>
      <c r="AU945" s="307"/>
      <c r="AX945" s="307"/>
      <c r="BA945" s="307"/>
      <c r="BC945" s="366"/>
      <c r="BD945" s="307"/>
      <c r="BG945" s="307"/>
    </row>
    <row r="946">
      <c r="A946" s="352"/>
      <c r="B946" s="352"/>
      <c r="C946" s="327"/>
      <c r="D946" s="352"/>
      <c r="E946" s="352"/>
      <c r="F946" s="327"/>
      <c r="G946" s="352"/>
      <c r="H946" s="352"/>
      <c r="I946" s="327"/>
      <c r="J946" s="352"/>
      <c r="K946" s="352"/>
      <c r="L946" s="327"/>
      <c r="M946" s="352"/>
      <c r="N946" s="352"/>
      <c r="O946" s="327"/>
      <c r="P946" s="352"/>
      <c r="Q946" s="352"/>
      <c r="R946" s="327"/>
      <c r="S946" s="352"/>
      <c r="T946" s="352"/>
      <c r="U946" s="327"/>
      <c r="V946" s="352"/>
      <c r="W946" s="352"/>
      <c r="X946" s="327"/>
      <c r="Y946" s="352"/>
      <c r="Z946" s="352"/>
      <c r="AA946" s="327"/>
      <c r="AB946" s="352"/>
      <c r="AC946" s="352"/>
      <c r="AD946" s="327"/>
      <c r="AE946" s="352"/>
      <c r="AF946" s="352"/>
      <c r="AG946" s="327"/>
      <c r="AH946" s="352"/>
      <c r="AI946" s="352"/>
      <c r="AJ946" s="327"/>
      <c r="AK946" s="352"/>
      <c r="AL946" s="352"/>
      <c r="AM946" s="327"/>
      <c r="AN946" s="352"/>
      <c r="AO946" s="352"/>
      <c r="AP946" s="327"/>
      <c r="AQ946" s="352"/>
      <c r="AR946" s="327"/>
      <c r="AU946" s="307"/>
      <c r="AX946" s="307"/>
      <c r="BA946" s="307"/>
      <c r="BC946" s="366"/>
      <c r="BD946" s="307"/>
      <c r="BG946" s="307"/>
    </row>
    <row r="947">
      <c r="A947" s="352"/>
      <c r="B947" s="352"/>
      <c r="C947" s="327"/>
      <c r="D947" s="352"/>
      <c r="E947" s="352"/>
      <c r="F947" s="327"/>
      <c r="G947" s="352"/>
      <c r="H947" s="352"/>
      <c r="I947" s="327"/>
      <c r="J947" s="352"/>
      <c r="K947" s="352"/>
      <c r="L947" s="327"/>
      <c r="M947" s="352"/>
      <c r="N947" s="352"/>
      <c r="O947" s="327"/>
      <c r="P947" s="352"/>
      <c r="Q947" s="352"/>
      <c r="R947" s="327"/>
      <c r="S947" s="352"/>
      <c r="T947" s="352"/>
      <c r="U947" s="327"/>
      <c r="V947" s="352"/>
      <c r="W947" s="352"/>
      <c r="X947" s="327"/>
      <c r="Y947" s="352"/>
      <c r="Z947" s="352"/>
      <c r="AA947" s="327"/>
      <c r="AB947" s="352"/>
      <c r="AC947" s="352"/>
      <c r="AD947" s="327"/>
      <c r="AE947" s="352"/>
      <c r="AF947" s="352"/>
      <c r="AG947" s="327"/>
      <c r="AH947" s="352"/>
      <c r="AI947" s="352"/>
      <c r="AJ947" s="327"/>
      <c r="AK947" s="352"/>
      <c r="AL947" s="352"/>
      <c r="AM947" s="327"/>
      <c r="AN947" s="352"/>
      <c r="AO947" s="352"/>
      <c r="AP947" s="327"/>
      <c r="AQ947" s="352"/>
      <c r="AR947" s="327"/>
      <c r="AU947" s="307"/>
      <c r="AX947" s="307"/>
      <c r="BA947" s="307"/>
      <c r="BC947" s="366"/>
      <c r="BD947" s="307"/>
      <c r="BG947" s="307"/>
    </row>
    <row r="948">
      <c r="A948" s="352"/>
      <c r="B948" s="352"/>
      <c r="C948" s="327"/>
      <c r="D948" s="352"/>
      <c r="E948" s="352"/>
      <c r="F948" s="327"/>
      <c r="G948" s="352"/>
      <c r="H948" s="352"/>
      <c r="I948" s="327"/>
      <c r="J948" s="352"/>
      <c r="K948" s="352"/>
      <c r="L948" s="327"/>
      <c r="M948" s="352"/>
      <c r="N948" s="352"/>
      <c r="O948" s="327"/>
      <c r="P948" s="352"/>
      <c r="Q948" s="352"/>
      <c r="R948" s="327"/>
      <c r="S948" s="352"/>
      <c r="T948" s="352"/>
      <c r="U948" s="327"/>
      <c r="V948" s="352"/>
      <c r="W948" s="352"/>
      <c r="X948" s="327"/>
      <c r="Y948" s="352"/>
      <c r="Z948" s="352"/>
      <c r="AA948" s="327"/>
      <c r="AB948" s="352"/>
      <c r="AC948" s="352"/>
      <c r="AD948" s="327"/>
      <c r="AE948" s="352"/>
      <c r="AF948" s="352"/>
      <c r="AG948" s="327"/>
      <c r="AH948" s="352"/>
      <c r="AI948" s="352"/>
      <c r="AJ948" s="327"/>
      <c r="AK948" s="352"/>
      <c r="AL948" s="352"/>
      <c r="AM948" s="327"/>
      <c r="AN948" s="352"/>
      <c r="AO948" s="352"/>
      <c r="AP948" s="327"/>
      <c r="AQ948" s="352"/>
      <c r="AR948" s="327"/>
      <c r="AU948" s="307"/>
      <c r="AX948" s="307"/>
      <c r="BA948" s="307"/>
      <c r="BC948" s="366"/>
      <c r="BD948" s="307"/>
      <c r="BG948" s="307"/>
    </row>
    <row r="949">
      <c r="A949" s="352"/>
      <c r="B949" s="352"/>
      <c r="C949" s="327"/>
      <c r="D949" s="352"/>
      <c r="E949" s="352"/>
      <c r="F949" s="327"/>
      <c r="G949" s="352"/>
      <c r="H949" s="352"/>
      <c r="I949" s="327"/>
      <c r="J949" s="352"/>
      <c r="K949" s="352"/>
      <c r="L949" s="327"/>
      <c r="M949" s="352"/>
      <c r="N949" s="352"/>
      <c r="O949" s="327"/>
      <c r="P949" s="352"/>
      <c r="Q949" s="352"/>
      <c r="R949" s="327"/>
      <c r="S949" s="352"/>
      <c r="T949" s="352"/>
      <c r="U949" s="327"/>
      <c r="V949" s="352"/>
      <c r="W949" s="352"/>
      <c r="X949" s="327"/>
      <c r="Y949" s="352"/>
      <c r="Z949" s="352"/>
      <c r="AA949" s="327"/>
      <c r="AB949" s="352"/>
      <c r="AC949" s="352"/>
      <c r="AD949" s="327"/>
      <c r="AE949" s="352"/>
      <c r="AF949" s="352"/>
      <c r="AG949" s="327"/>
      <c r="AH949" s="352"/>
      <c r="AI949" s="352"/>
      <c r="AJ949" s="327"/>
      <c r="AK949" s="352"/>
      <c r="AL949" s="352"/>
      <c r="AM949" s="327"/>
      <c r="AN949" s="352"/>
      <c r="AO949" s="352"/>
      <c r="AP949" s="327"/>
      <c r="AQ949" s="352"/>
      <c r="AR949" s="327"/>
      <c r="AU949" s="307"/>
      <c r="AX949" s="307"/>
      <c r="BA949" s="307"/>
      <c r="BC949" s="366"/>
      <c r="BD949" s="307"/>
      <c r="BG949" s="307"/>
    </row>
    <row r="950">
      <c r="A950" s="352"/>
      <c r="B950" s="352"/>
      <c r="C950" s="327"/>
      <c r="D950" s="352"/>
      <c r="E950" s="352"/>
      <c r="F950" s="327"/>
      <c r="G950" s="352"/>
      <c r="H950" s="352"/>
      <c r="I950" s="327"/>
      <c r="J950" s="352"/>
      <c r="K950" s="352"/>
      <c r="L950" s="327"/>
      <c r="M950" s="352"/>
      <c r="N950" s="352"/>
      <c r="O950" s="327"/>
      <c r="P950" s="352"/>
      <c r="Q950" s="352"/>
      <c r="R950" s="327"/>
      <c r="S950" s="352"/>
      <c r="T950" s="352"/>
      <c r="U950" s="327"/>
      <c r="V950" s="352"/>
      <c r="W950" s="352"/>
      <c r="X950" s="327"/>
      <c r="Y950" s="352"/>
      <c r="Z950" s="352"/>
      <c r="AA950" s="327"/>
      <c r="AB950" s="352"/>
      <c r="AC950" s="352"/>
      <c r="AD950" s="327"/>
      <c r="AE950" s="352"/>
      <c r="AF950" s="352"/>
      <c r="AG950" s="327"/>
      <c r="AH950" s="352"/>
      <c r="AI950" s="352"/>
      <c r="AJ950" s="327"/>
      <c r="AK950" s="352"/>
      <c r="AL950" s="352"/>
      <c r="AM950" s="327"/>
      <c r="AN950" s="352"/>
      <c r="AO950" s="352"/>
      <c r="AP950" s="327"/>
      <c r="AQ950" s="352"/>
      <c r="AR950" s="327"/>
      <c r="AU950" s="307"/>
      <c r="AX950" s="307"/>
      <c r="BA950" s="307"/>
      <c r="BC950" s="366"/>
      <c r="BD950" s="307"/>
      <c r="BG950" s="307"/>
    </row>
    <row r="951">
      <c r="A951" s="352"/>
      <c r="B951" s="352"/>
      <c r="C951" s="327"/>
      <c r="D951" s="352"/>
      <c r="E951" s="352"/>
      <c r="F951" s="327"/>
      <c r="G951" s="352"/>
      <c r="H951" s="352"/>
      <c r="I951" s="327"/>
      <c r="J951" s="352"/>
      <c r="K951" s="352"/>
      <c r="L951" s="327"/>
      <c r="M951" s="352"/>
      <c r="N951" s="352"/>
      <c r="O951" s="327"/>
      <c r="P951" s="352"/>
      <c r="Q951" s="352"/>
      <c r="R951" s="327"/>
      <c r="S951" s="352"/>
      <c r="T951" s="352"/>
      <c r="U951" s="327"/>
      <c r="V951" s="352"/>
      <c r="W951" s="352"/>
      <c r="X951" s="327"/>
      <c r="Y951" s="352"/>
      <c r="Z951" s="352"/>
      <c r="AA951" s="327"/>
      <c r="AB951" s="352"/>
      <c r="AC951" s="352"/>
      <c r="AD951" s="327"/>
      <c r="AE951" s="352"/>
      <c r="AF951" s="352"/>
      <c r="AG951" s="327"/>
      <c r="AH951" s="352"/>
      <c r="AI951" s="352"/>
      <c r="AJ951" s="327"/>
      <c r="AK951" s="352"/>
      <c r="AL951" s="352"/>
      <c r="AM951" s="327"/>
      <c r="AN951" s="352"/>
      <c r="AO951" s="352"/>
      <c r="AP951" s="327"/>
      <c r="AQ951" s="352"/>
      <c r="AR951" s="327"/>
      <c r="AU951" s="307"/>
      <c r="AX951" s="307"/>
      <c r="BA951" s="307"/>
      <c r="BC951" s="366"/>
      <c r="BD951" s="307"/>
      <c r="BG951" s="307"/>
    </row>
    <row r="952">
      <c r="A952" s="352"/>
      <c r="B952" s="352"/>
      <c r="C952" s="327"/>
      <c r="D952" s="352"/>
      <c r="E952" s="352"/>
      <c r="F952" s="327"/>
      <c r="G952" s="352"/>
      <c r="H952" s="352"/>
      <c r="I952" s="327"/>
      <c r="J952" s="352"/>
      <c r="K952" s="352"/>
      <c r="L952" s="327"/>
      <c r="M952" s="352"/>
      <c r="N952" s="352"/>
      <c r="O952" s="327"/>
      <c r="P952" s="352"/>
      <c r="Q952" s="352"/>
      <c r="R952" s="327"/>
      <c r="S952" s="352"/>
      <c r="T952" s="352"/>
      <c r="U952" s="327"/>
      <c r="V952" s="352"/>
      <c r="W952" s="352"/>
      <c r="X952" s="327"/>
      <c r="Y952" s="352"/>
      <c r="Z952" s="352"/>
      <c r="AA952" s="327"/>
      <c r="AB952" s="352"/>
      <c r="AC952" s="352"/>
      <c r="AD952" s="327"/>
      <c r="AE952" s="352"/>
      <c r="AF952" s="352"/>
      <c r="AG952" s="327"/>
      <c r="AH952" s="352"/>
      <c r="AI952" s="352"/>
      <c r="AJ952" s="327"/>
      <c r="AK952" s="352"/>
      <c r="AL952" s="352"/>
      <c r="AM952" s="327"/>
      <c r="AN952" s="352"/>
      <c r="AO952" s="352"/>
      <c r="AP952" s="327"/>
      <c r="AQ952" s="352"/>
      <c r="AR952" s="327"/>
      <c r="AU952" s="307"/>
      <c r="AX952" s="307"/>
      <c r="BA952" s="307"/>
      <c r="BC952" s="366"/>
      <c r="BD952" s="307"/>
      <c r="BG952" s="307"/>
    </row>
    <row r="953">
      <c r="A953" s="352"/>
      <c r="B953" s="352"/>
      <c r="C953" s="327"/>
      <c r="D953" s="352"/>
      <c r="E953" s="352"/>
      <c r="F953" s="327"/>
      <c r="G953" s="352"/>
      <c r="H953" s="352"/>
      <c r="I953" s="327"/>
      <c r="J953" s="352"/>
      <c r="K953" s="352"/>
      <c r="L953" s="327"/>
      <c r="M953" s="352"/>
      <c r="N953" s="352"/>
      <c r="O953" s="327"/>
      <c r="P953" s="352"/>
      <c r="Q953" s="352"/>
      <c r="R953" s="327"/>
      <c r="S953" s="352"/>
      <c r="T953" s="352"/>
      <c r="U953" s="327"/>
      <c r="V953" s="352"/>
      <c r="W953" s="352"/>
      <c r="X953" s="327"/>
      <c r="Y953" s="352"/>
      <c r="Z953" s="352"/>
      <c r="AA953" s="327"/>
      <c r="AB953" s="352"/>
      <c r="AC953" s="352"/>
      <c r="AD953" s="327"/>
      <c r="AE953" s="352"/>
      <c r="AF953" s="352"/>
      <c r="AG953" s="327"/>
      <c r="AH953" s="352"/>
      <c r="AI953" s="352"/>
      <c r="AJ953" s="327"/>
      <c r="AK953" s="352"/>
      <c r="AL953" s="352"/>
      <c r="AM953" s="327"/>
      <c r="AN953" s="352"/>
      <c r="AO953" s="352"/>
      <c r="AP953" s="327"/>
      <c r="AQ953" s="352"/>
      <c r="AR953" s="327"/>
      <c r="AU953" s="307"/>
      <c r="AX953" s="307"/>
      <c r="BA953" s="307"/>
      <c r="BC953" s="366"/>
      <c r="BD953" s="307"/>
      <c r="BG953" s="307"/>
    </row>
    <row r="954">
      <c r="A954" s="352"/>
      <c r="B954" s="352"/>
      <c r="C954" s="327"/>
      <c r="D954" s="352"/>
      <c r="E954" s="352"/>
      <c r="F954" s="327"/>
      <c r="G954" s="352"/>
      <c r="H954" s="352"/>
      <c r="I954" s="327"/>
      <c r="J954" s="352"/>
      <c r="K954" s="352"/>
      <c r="L954" s="327"/>
      <c r="M954" s="352"/>
      <c r="N954" s="352"/>
      <c r="O954" s="327"/>
      <c r="P954" s="352"/>
      <c r="Q954" s="352"/>
      <c r="R954" s="327"/>
      <c r="S954" s="352"/>
      <c r="T954" s="352"/>
      <c r="U954" s="327"/>
      <c r="V954" s="352"/>
      <c r="W954" s="352"/>
      <c r="X954" s="327"/>
      <c r="Y954" s="352"/>
      <c r="Z954" s="352"/>
      <c r="AA954" s="327"/>
      <c r="AB954" s="352"/>
      <c r="AC954" s="352"/>
      <c r="AD954" s="327"/>
      <c r="AE954" s="352"/>
      <c r="AF954" s="352"/>
      <c r="AG954" s="327"/>
      <c r="AH954" s="352"/>
      <c r="AI954" s="352"/>
      <c r="AJ954" s="327"/>
      <c r="AK954" s="352"/>
      <c r="AL954" s="352"/>
      <c r="AM954" s="327"/>
      <c r="AN954" s="352"/>
      <c r="AO954" s="352"/>
      <c r="AP954" s="327"/>
      <c r="AQ954" s="352"/>
      <c r="AR954" s="327"/>
      <c r="AU954" s="307"/>
      <c r="AX954" s="307"/>
      <c r="BA954" s="307"/>
      <c r="BC954" s="366"/>
      <c r="BD954" s="307"/>
      <c r="BG954" s="307"/>
    </row>
    <row r="955">
      <c r="A955" s="352"/>
      <c r="B955" s="352"/>
      <c r="C955" s="327"/>
      <c r="D955" s="352"/>
      <c r="E955" s="352"/>
      <c r="F955" s="327"/>
      <c r="G955" s="352"/>
      <c r="H955" s="352"/>
      <c r="I955" s="327"/>
      <c r="J955" s="352"/>
      <c r="K955" s="352"/>
      <c r="L955" s="327"/>
      <c r="M955" s="352"/>
      <c r="N955" s="352"/>
      <c r="O955" s="327"/>
      <c r="P955" s="352"/>
      <c r="Q955" s="352"/>
      <c r="R955" s="327"/>
      <c r="S955" s="352"/>
      <c r="T955" s="352"/>
      <c r="U955" s="327"/>
      <c r="V955" s="352"/>
      <c r="W955" s="352"/>
      <c r="X955" s="327"/>
      <c r="Y955" s="352"/>
      <c r="Z955" s="352"/>
      <c r="AA955" s="327"/>
      <c r="AB955" s="352"/>
      <c r="AC955" s="352"/>
      <c r="AD955" s="327"/>
      <c r="AE955" s="352"/>
      <c r="AF955" s="352"/>
      <c r="AG955" s="327"/>
      <c r="AH955" s="352"/>
      <c r="AI955" s="352"/>
      <c r="AJ955" s="327"/>
      <c r="AK955" s="352"/>
      <c r="AL955" s="352"/>
      <c r="AM955" s="327"/>
      <c r="AN955" s="352"/>
      <c r="AO955" s="352"/>
      <c r="AP955" s="327"/>
      <c r="AQ955" s="352"/>
      <c r="AR955" s="327"/>
      <c r="AU955" s="307"/>
      <c r="AX955" s="307"/>
      <c r="BA955" s="307"/>
      <c r="BC955" s="366"/>
      <c r="BD955" s="307"/>
      <c r="BG955" s="307"/>
    </row>
    <row r="956">
      <c r="A956" s="352"/>
      <c r="B956" s="352"/>
      <c r="C956" s="327"/>
      <c r="D956" s="352"/>
      <c r="E956" s="352"/>
      <c r="F956" s="327"/>
      <c r="G956" s="352"/>
      <c r="H956" s="352"/>
      <c r="I956" s="327"/>
      <c r="J956" s="352"/>
      <c r="K956" s="352"/>
      <c r="L956" s="327"/>
      <c r="M956" s="352"/>
      <c r="N956" s="352"/>
      <c r="O956" s="327"/>
      <c r="P956" s="352"/>
      <c r="Q956" s="352"/>
      <c r="R956" s="327"/>
      <c r="S956" s="352"/>
      <c r="T956" s="352"/>
      <c r="U956" s="327"/>
      <c r="V956" s="352"/>
      <c r="W956" s="352"/>
      <c r="X956" s="327"/>
      <c r="Y956" s="352"/>
      <c r="Z956" s="352"/>
      <c r="AA956" s="327"/>
      <c r="AB956" s="352"/>
      <c r="AC956" s="352"/>
      <c r="AD956" s="327"/>
      <c r="AE956" s="352"/>
      <c r="AF956" s="352"/>
      <c r="AG956" s="327"/>
      <c r="AH956" s="352"/>
      <c r="AI956" s="352"/>
      <c r="AJ956" s="327"/>
      <c r="AK956" s="352"/>
      <c r="AL956" s="352"/>
      <c r="AM956" s="327"/>
      <c r="AN956" s="352"/>
      <c r="AO956" s="352"/>
      <c r="AP956" s="327"/>
      <c r="AQ956" s="352"/>
      <c r="AR956" s="327"/>
      <c r="AU956" s="307"/>
      <c r="AX956" s="307"/>
      <c r="BA956" s="307"/>
      <c r="BC956" s="366"/>
      <c r="BD956" s="307"/>
      <c r="BG956" s="307"/>
    </row>
    <row r="957">
      <c r="A957" s="352"/>
      <c r="B957" s="352"/>
      <c r="C957" s="327"/>
      <c r="D957" s="352"/>
      <c r="E957" s="352"/>
      <c r="F957" s="327"/>
      <c r="G957" s="352"/>
      <c r="H957" s="352"/>
      <c r="I957" s="327"/>
      <c r="J957" s="352"/>
      <c r="K957" s="352"/>
      <c r="L957" s="327"/>
      <c r="M957" s="352"/>
      <c r="N957" s="352"/>
      <c r="O957" s="327"/>
      <c r="P957" s="352"/>
      <c r="Q957" s="352"/>
      <c r="R957" s="327"/>
      <c r="S957" s="352"/>
      <c r="T957" s="352"/>
      <c r="U957" s="327"/>
      <c r="V957" s="352"/>
      <c r="W957" s="352"/>
      <c r="X957" s="327"/>
      <c r="Y957" s="352"/>
      <c r="Z957" s="352"/>
      <c r="AA957" s="327"/>
      <c r="AB957" s="352"/>
      <c r="AC957" s="352"/>
      <c r="AD957" s="327"/>
      <c r="AE957" s="352"/>
      <c r="AF957" s="352"/>
      <c r="AG957" s="327"/>
      <c r="AH957" s="352"/>
      <c r="AI957" s="352"/>
      <c r="AJ957" s="327"/>
      <c r="AK957" s="352"/>
      <c r="AL957" s="352"/>
      <c r="AM957" s="327"/>
      <c r="AN957" s="352"/>
      <c r="AO957" s="352"/>
      <c r="AP957" s="327"/>
      <c r="AQ957" s="352"/>
      <c r="AR957" s="327"/>
      <c r="AU957" s="307"/>
      <c r="AX957" s="307"/>
      <c r="BA957" s="307"/>
      <c r="BC957" s="366"/>
      <c r="BD957" s="307"/>
      <c r="BG957" s="307"/>
    </row>
    <row r="958">
      <c r="A958" s="352"/>
      <c r="B958" s="352"/>
      <c r="C958" s="327"/>
      <c r="D958" s="352"/>
      <c r="E958" s="352"/>
      <c r="F958" s="327"/>
      <c r="G958" s="352"/>
      <c r="H958" s="352"/>
      <c r="I958" s="327"/>
      <c r="J958" s="352"/>
      <c r="K958" s="352"/>
      <c r="L958" s="327"/>
      <c r="M958" s="352"/>
      <c r="N958" s="352"/>
      <c r="O958" s="327"/>
      <c r="P958" s="352"/>
      <c r="Q958" s="352"/>
      <c r="R958" s="327"/>
      <c r="S958" s="352"/>
      <c r="T958" s="352"/>
      <c r="U958" s="327"/>
      <c r="V958" s="352"/>
      <c r="W958" s="352"/>
      <c r="X958" s="327"/>
      <c r="Y958" s="352"/>
      <c r="Z958" s="352"/>
      <c r="AA958" s="327"/>
      <c r="AB958" s="352"/>
      <c r="AC958" s="352"/>
      <c r="AD958" s="327"/>
      <c r="AE958" s="352"/>
      <c r="AF958" s="352"/>
      <c r="AG958" s="327"/>
      <c r="AH958" s="352"/>
      <c r="AI958" s="352"/>
      <c r="AJ958" s="327"/>
      <c r="AK958" s="352"/>
      <c r="AL958" s="352"/>
      <c r="AM958" s="327"/>
      <c r="AN958" s="352"/>
      <c r="AO958" s="352"/>
      <c r="AP958" s="327"/>
      <c r="AQ958" s="352"/>
      <c r="AR958" s="327"/>
      <c r="AU958" s="307"/>
      <c r="AX958" s="307"/>
      <c r="BA958" s="307"/>
      <c r="BC958" s="366"/>
      <c r="BD958" s="307"/>
      <c r="BG958" s="307"/>
    </row>
    <row r="959">
      <c r="A959" s="352"/>
      <c r="B959" s="352"/>
      <c r="C959" s="327"/>
      <c r="D959" s="352"/>
      <c r="E959" s="352"/>
      <c r="F959" s="327"/>
      <c r="G959" s="352"/>
      <c r="H959" s="352"/>
      <c r="I959" s="327"/>
      <c r="J959" s="352"/>
      <c r="K959" s="352"/>
      <c r="L959" s="327"/>
      <c r="M959" s="352"/>
      <c r="N959" s="352"/>
      <c r="O959" s="327"/>
      <c r="P959" s="352"/>
      <c r="Q959" s="352"/>
      <c r="R959" s="327"/>
      <c r="S959" s="352"/>
      <c r="T959" s="352"/>
      <c r="U959" s="327"/>
      <c r="V959" s="352"/>
      <c r="W959" s="352"/>
      <c r="X959" s="327"/>
      <c r="Y959" s="352"/>
      <c r="Z959" s="352"/>
      <c r="AA959" s="327"/>
      <c r="AB959" s="352"/>
      <c r="AC959" s="352"/>
      <c r="AD959" s="327"/>
      <c r="AE959" s="352"/>
      <c r="AF959" s="352"/>
      <c r="AG959" s="327"/>
      <c r="AH959" s="352"/>
      <c r="AI959" s="352"/>
      <c r="AJ959" s="327"/>
      <c r="AK959" s="352"/>
      <c r="AL959" s="352"/>
      <c r="AM959" s="327"/>
      <c r="AN959" s="352"/>
      <c r="AO959" s="352"/>
      <c r="AP959" s="327"/>
      <c r="AQ959" s="352"/>
      <c r="AR959" s="327"/>
      <c r="AU959" s="307"/>
      <c r="AX959" s="307"/>
      <c r="BA959" s="307"/>
      <c r="BC959" s="366"/>
      <c r="BD959" s="307"/>
      <c r="BG959" s="307"/>
    </row>
    <row r="960">
      <c r="A960" s="352"/>
      <c r="B960" s="352"/>
      <c r="C960" s="327"/>
      <c r="D960" s="352"/>
      <c r="E960" s="352"/>
      <c r="F960" s="327"/>
      <c r="G960" s="352"/>
      <c r="H960" s="352"/>
      <c r="I960" s="327"/>
      <c r="J960" s="352"/>
      <c r="K960" s="352"/>
      <c r="L960" s="327"/>
      <c r="M960" s="352"/>
      <c r="N960" s="352"/>
      <c r="O960" s="327"/>
      <c r="P960" s="352"/>
      <c r="Q960" s="352"/>
      <c r="R960" s="327"/>
      <c r="S960" s="352"/>
      <c r="T960" s="352"/>
      <c r="U960" s="327"/>
      <c r="V960" s="352"/>
      <c r="W960" s="352"/>
      <c r="X960" s="327"/>
      <c r="Y960" s="352"/>
      <c r="Z960" s="352"/>
      <c r="AA960" s="327"/>
      <c r="AB960" s="352"/>
      <c r="AC960" s="352"/>
      <c r="AD960" s="327"/>
      <c r="AE960" s="352"/>
      <c r="AF960" s="352"/>
      <c r="AG960" s="327"/>
      <c r="AH960" s="352"/>
      <c r="AI960" s="352"/>
      <c r="AJ960" s="327"/>
      <c r="AK960" s="352"/>
      <c r="AL960" s="352"/>
      <c r="AM960" s="327"/>
      <c r="AN960" s="352"/>
      <c r="AO960" s="352"/>
      <c r="AP960" s="327"/>
      <c r="AQ960" s="352"/>
      <c r="AR960" s="327"/>
      <c r="AU960" s="307"/>
      <c r="AX960" s="307"/>
      <c r="BA960" s="307"/>
      <c r="BC960" s="366"/>
      <c r="BD960" s="307"/>
      <c r="BG960" s="307"/>
    </row>
    <row r="961">
      <c r="A961" s="352"/>
      <c r="B961" s="352"/>
      <c r="C961" s="327"/>
      <c r="D961" s="352"/>
      <c r="E961" s="352"/>
      <c r="F961" s="327"/>
      <c r="G961" s="352"/>
      <c r="H961" s="352"/>
      <c r="I961" s="327"/>
      <c r="J961" s="352"/>
      <c r="K961" s="352"/>
      <c r="L961" s="327"/>
      <c r="M961" s="352"/>
      <c r="N961" s="352"/>
      <c r="O961" s="327"/>
      <c r="P961" s="352"/>
      <c r="Q961" s="352"/>
      <c r="R961" s="327"/>
      <c r="S961" s="352"/>
      <c r="T961" s="352"/>
      <c r="U961" s="327"/>
      <c r="V961" s="352"/>
      <c r="W961" s="352"/>
      <c r="X961" s="327"/>
      <c r="Y961" s="352"/>
      <c r="Z961" s="352"/>
      <c r="AA961" s="327"/>
      <c r="AB961" s="352"/>
      <c r="AC961" s="352"/>
      <c r="AD961" s="327"/>
      <c r="AE961" s="352"/>
      <c r="AF961" s="352"/>
      <c r="AG961" s="327"/>
      <c r="AH961" s="352"/>
      <c r="AI961" s="352"/>
      <c r="AJ961" s="327"/>
      <c r="AK961" s="352"/>
      <c r="AL961" s="352"/>
      <c r="AM961" s="327"/>
      <c r="AN961" s="352"/>
      <c r="AO961" s="352"/>
      <c r="AP961" s="327"/>
      <c r="AQ961" s="352"/>
      <c r="AR961" s="327"/>
      <c r="AU961" s="307"/>
      <c r="AX961" s="307"/>
      <c r="BA961" s="307"/>
      <c r="BC961" s="366"/>
      <c r="BD961" s="307"/>
      <c r="BG961" s="307"/>
    </row>
    <row r="962">
      <c r="A962" s="352"/>
      <c r="B962" s="352"/>
      <c r="C962" s="327"/>
      <c r="D962" s="352"/>
      <c r="E962" s="352"/>
      <c r="F962" s="327"/>
      <c r="G962" s="352"/>
      <c r="H962" s="352"/>
      <c r="I962" s="327"/>
      <c r="J962" s="352"/>
      <c r="K962" s="352"/>
      <c r="L962" s="327"/>
      <c r="M962" s="352"/>
      <c r="N962" s="352"/>
      <c r="O962" s="327"/>
      <c r="P962" s="352"/>
      <c r="Q962" s="352"/>
      <c r="R962" s="327"/>
      <c r="S962" s="352"/>
      <c r="T962" s="352"/>
      <c r="U962" s="327"/>
      <c r="V962" s="352"/>
      <c r="W962" s="352"/>
      <c r="X962" s="327"/>
      <c r="Y962" s="352"/>
      <c r="Z962" s="352"/>
      <c r="AA962" s="327"/>
      <c r="AB962" s="352"/>
      <c r="AC962" s="352"/>
      <c r="AD962" s="327"/>
      <c r="AE962" s="352"/>
      <c r="AF962" s="352"/>
      <c r="AG962" s="327"/>
      <c r="AH962" s="352"/>
      <c r="AI962" s="352"/>
      <c r="AJ962" s="327"/>
      <c r="AK962" s="352"/>
      <c r="AL962" s="352"/>
      <c r="AM962" s="327"/>
      <c r="AN962" s="352"/>
      <c r="AO962" s="352"/>
      <c r="AP962" s="327"/>
      <c r="AQ962" s="352"/>
      <c r="AR962" s="327"/>
      <c r="AU962" s="307"/>
      <c r="AX962" s="307"/>
      <c r="BA962" s="307"/>
      <c r="BC962" s="366"/>
      <c r="BD962" s="307"/>
      <c r="BG962" s="307"/>
    </row>
    <row r="963">
      <c r="A963" s="352"/>
      <c r="B963" s="352"/>
      <c r="C963" s="327"/>
      <c r="D963" s="352"/>
      <c r="E963" s="352"/>
      <c r="F963" s="327"/>
      <c r="G963" s="352"/>
      <c r="H963" s="352"/>
      <c r="I963" s="327"/>
      <c r="J963" s="352"/>
      <c r="K963" s="352"/>
      <c r="L963" s="327"/>
      <c r="M963" s="352"/>
      <c r="N963" s="352"/>
      <c r="O963" s="327"/>
      <c r="P963" s="352"/>
      <c r="Q963" s="352"/>
      <c r="R963" s="327"/>
      <c r="S963" s="352"/>
      <c r="T963" s="352"/>
      <c r="U963" s="327"/>
      <c r="V963" s="352"/>
      <c r="W963" s="352"/>
      <c r="X963" s="327"/>
      <c r="Y963" s="352"/>
      <c r="Z963" s="352"/>
      <c r="AA963" s="327"/>
      <c r="AB963" s="352"/>
      <c r="AC963" s="352"/>
      <c r="AD963" s="327"/>
      <c r="AE963" s="352"/>
      <c r="AF963" s="352"/>
      <c r="AG963" s="327"/>
      <c r="AH963" s="352"/>
      <c r="AI963" s="352"/>
      <c r="AJ963" s="327"/>
      <c r="AK963" s="352"/>
      <c r="AL963" s="352"/>
      <c r="AM963" s="327"/>
      <c r="AN963" s="352"/>
      <c r="AO963" s="352"/>
      <c r="AP963" s="327"/>
      <c r="AQ963" s="352"/>
      <c r="AR963" s="327"/>
      <c r="AU963" s="307"/>
      <c r="AX963" s="307"/>
      <c r="BA963" s="307"/>
      <c r="BC963" s="366"/>
      <c r="BD963" s="307"/>
      <c r="BG963" s="307"/>
    </row>
    <row r="964">
      <c r="A964" s="352"/>
      <c r="B964" s="352"/>
      <c r="C964" s="327"/>
      <c r="D964" s="352"/>
      <c r="E964" s="352"/>
      <c r="F964" s="327"/>
      <c r="G964" s="352"/>
      <c r="H964" s="352"/>
      <c r="I964" s="327"/>
      <c r="J964" s="352"/>
      <c r="K964" s="352"/>
      <c r="L964" s="327"/>
      <c r="M964" s="352"/>
      <c r="N964" s="352"/>
      <c r="O964" s="327"/>
      <c r="P964" s="352"/>
      <c r="Q964" s="352"/>
      <c r="R964" s="327"/>
      <c r="S964" s="352"/>
      <c r="T964" s="352"/>
      <c r="U964" s="327"/>
      <c r="V964" s="352"/>
      <c r="W964" s="352"/>
      <c r="X964" s="327"/>
      <c r="Y964" s="352"/>
      <c r="Z964" s="352"/>
      <c r="AA964" s="327"/>
      <c r="AB964" s="352"/>
      <c r="AC964" s="352"/>
      <c r="AD964" s="327"/>
      <c r="AE964" s="352"/>
      <c r="AF964" s="352"/>
      <c r="AG964" s="327"/>
      <c r="AH964" s="352"/>
      <c r="AI964" s="352"/>
      <c r="AJ964" s="327"/>
      <c r="AK964" s="352"/>
      <c r="AL964" s="352"/>
      <c r="AM964" s="327"/>
      <c r="AN964" s="352"/>
      <c r="AO964" s="352"/>
      <c r="AP964" s="327"/>
      <c r="AQ964" s="352"/>
      <c r="AR964" s="327"/>
      <c r="AU964" s="307"/>
      <c r="AX964" s="307"/>
      <c r="BA964" s="307"/>
      <c r="BC964" s="366"/>
      <c r="BD964" s="307"/>
      <c r="BG964" s="307"/>
    </row>
    <row r="965">
      <c r="A965" s="352"/>
      <c r="B965" s="352"/>
      <c r="C965" s="327"/>
      <c r="D965" s="352"/>
      <c r="E965" s="352"/>
      <c r="F965" s="327"/>
      <c r="G965" s="352"/>
      <c r="H965" s="352"/>
      <c r="I965" s="327"/>
      <c r="J965" s="352"/>
      <c r="K965" s="352"/>
      <c r="L965" s="327"/>
      <c r="M965" s="352"/>
      <c r="N965" s="352"/>
      <c r="O965" s="327"/>
      <c r="P965" s="352"/>
      <c r="Q965" s="352"/>
      <c r="R965" s="327"/>
      <c r="S965" s="352"/>
      <c r="T965" s="352"/>
      <c r="U965" s="327"/>
      <c r="V965" s="352"/>
      <c r="W965" s="352"/>
      <c r="X965" s="327"/>
      <c r="Y965" s="352"/>
      <c r="Z965" s="352"/>
      <c r="AA965" s="327"/>
      <c r="AB965" s="352"/>
      <c r="AC965" s="352"/>
      <c r="AD965" s="327"/>
      <c r="AE965" s="352"/>
      <c r="AF965" s="352"/>
      <c r="AG965" s="327"/>
      <c r="AH965" s="352"/>
      <c r="AI965" s="352"/>
      <c r="AJ965" s="327"/>
      <c r="AK965" s="352"/>
      <c r="AL965" s="352"/>
      <c r="AM965" s="327"/>
      <c r="AN965" s="352"/>
      <c r="AO965" s="352"/>
      <c r="AP965" s="327"/>
      <c r="AQ965" s="352"/>
      <c r="AR965" s="327"/>
      <c r="AU965" s="307"/>
      <c r="AX965" s="307"/>
      <c r="BA965" s="307"/>
      <c r="BC965" s="366"/>
      <c r="BD965" s="307"/>
      <c r="BG965" s="307"/>
    </row>
    <row r="966">
      <c r="A966" s="352"/>
      <c r="B966" s="352"/>
      <c r="C966" s="327"/>
      <c r="D966" s="352"/>
      <c r="E966" s="352"/>
      <c r="F966" s="327"/>
      <c r="G966" s="352"/>
      <c r="H966" s="352"/>
      <c r="I966" s="327"/>
      <c r="J966" s="352"/>
      <c r="K966" s="352"/>
      <c r="L966" s="327"/>
      <c r="M966" s="352"/>
      <c r="N966" s="352"/>
      <c r="O966" s="327"/>
      <c r="P966" s="352"/>
      <c r="Q966" s="352"/>
      <c r="R966" s="327"/>
      <c r="S966" s="352"/>
      <c r="T966" s="352"/>
      <c r="U966" s="327"/>
      <c r="V966" s="352"/>
      <c r="W966" s="352"/>
      <c r="X966" s="327"/>
      <c r="Y966" s="352"/>
      <c r="Z966" s="352"/>
      <c r="AA966" s="327"/>
      <c r="AB966" s="352"/>
      <c r="AC966" s="352"/>
      <c r="AD966" s="327"/>
      <c r="AE966" s="352"/>
      <c r="AF966" s="352"/>
      <c r="AG966" s="327"/>
      <c r="AH966" s="352"/>
      <c r="AI966" s="352"/>
      <c r="AJ966" s="327"/>
      <c r="AK966" s="352"/>
      <c r="AL966" s="352"/>
      <c r="AM966" s="327"/>
      <c r="AN966" s="352"/>
      <c r="AO966" s="352"/>
      <c r="AP966" s="327"/>
      <c r="AQ966" s="352"/>
      <c r="AR966" s="327"/>
      <c r="AU966" s="307"/>
      <c r="AX966" s="307"/>
      <c r="BA966" s="307"/>
      <c r="BC966" s="366"/>
      <c r="BD966" s="307"/>
      <c r="BG966" s="307"/>
    </row>
    <row r="967">
      <c r="A967" s="352"/>
      <c r="B967" s="352"/>
      <c r="C967" s="327"/>
      <c r="D967" s="352"/>
      <c r="E967" s="352"/>
      <c r="F967" s="327"/>
      <c r="G967" s="352"/>
      <c r="H967" s="352"/>
      <c r="I967" s="327"/>
      <c r="J967" s="352"/>
      <c r="K967" s="352"/>
      <c r="L967" s="327"/>
      <c r="M967" s="352"/>
      <c r="N967" s="352"/>
      <c r="O967" s="327"/>
      <c r="P967" s="352"/>
      <c r="Q967" s="352"/>
      <c r="R967" s="327"/>
      <c r="S967" s="352"/>
      <c r="T967" s="352"/>
      <c r="U967" s="327"/>
      <c r="V967" s="352"/>
      <c r="W967" s="352"/>
      <c r="X967" s="327"/>
      <c r="Y967" s="352"/>
      <c r="Z967" s="352"/>
      <c r="AA967" s="327"/>
      <c r="AB967" s="352"/>
      <c r="AC967" s="352"/>
      <c r="AD967" s="327"/>
      <c r="AE967" s="352"/>
      <c r="AF967" s="352"/>
      <c r="AG967" s="327"/>
      <c r="AH967" s="352"/>
      <c r="AI967" s="352"/>
      <c r="AJ967" s="327"/>
      <c r="AK967" s="352"/>
      <c r="AL967" s="352"/>
      <c r="AM967" s="327"/>
      <c r="AN967" s="352"/>
      <c r="AO967" s="352"/>
      <c r="AP967" s="327"/>
      <c r="AQ967" s="352"/>
      <c r="AR967" s="327"/>
      <c r="AU967" s="307"/>
      <c r="AX967" s="307"/>
      <c r="BA967" s="307"/>
      <c r="BC967" s="366"/>
      <c r="BD967" s="307"/>
      <c r="BG967" s="307"/>
    </row>
    <row r="968">
      <c r="A968" s="352"/>
      <c r="B968" s="352"/>
      <c r="C968" s="327"/>
      <c r="D968" s="352"/>
      <c r="E968" s="352"/>
      <c r="F968" s="327"/>
      <c r="G968" s="352"/>
      <c r="H968" s="352"/>
      <c r="I968" s="327"/>
      <c r="J968" s="352"/>
      <c r="K968" s="352"/>
      <c r="L968" s="327"/>
      <c r="M968" s="352"/>
      <c r="N968" s="352"/>
      <c r="O968" s="327"/>
      <c r="P968" s="352"/>
      <c r="Q968" s="352"/>
      <c r="R968" s="327"/>
      <c r="S968" s="352"/>
      <c r="T968" s="352"/>
      <c r="U968" s="327"/>
      <c r="V968" s="352"/>
      <c r="W968" s="352"/>
      <c r="X968" s="327"/>
      <c r="Y968" s="352"/>
      <c r="Z968" s="352"/>
      <c r="AA968" s="327"/>
      <c r="AB968" s="352"/>
      <c r="AC968" s="352"/>
      <c r="AD968" s="327"/>
      <c r="AE968" s="352"/>
      <c r="AF968" s="352"/>
      <c r="AG968" s="327"/>
      <c r="AH968" s="352"/>
      <c r="AI968" s="352"/>
      <c r="AJ968" s="327"/>
      <c r="AK968" s="352"/>
      <c r="AL968" s="352"/>
      <c r="AM968" s="327"/>
      <c r="AN968" s="352"/>
      <c r="AO968" s="352"/>
      <c r="AP968" s="327"/>
      <c r="AQ968" s="352"/>
      <c r="AR968" s="327"/>
      <c r="AU968" s="307"/>
      <c r="AX968" s="307"/>
      <c r="BA968" s="307"/>
      <c r="BC968" s="366"/>
      <c r="BD968" s="307"/>
      <c r="BG968" s="307"/>
    </row>
    <row r="969">
      <c r="A969" s="352"/>
      <c r="B969" s="352"/>
      <c r="C969" s="327"/>
      <c r="D969" s="352"/>
      <c r="E969" s="352"/>
      <c r="F969" s="327"/>
      <c r="G969" s="352"/>
      <c r="H969" s="352"/>
      <c r="I969" s="327"/>
      <c r="J969" s="352"/>
      <c r="K969" s="352"/>
      <c r="L969" s="327"/>
      <c r="M969" s="352"/>
      <c r="N969" s="352"/>
      <c r="O969" s="327"/>
      <c r="P969" s="352"/>
      <c r="Q969" s="352"/>
      <c r="R969" s="327"/>
      <c r="S969" s="352"/>
      <c r="T969" s="352"/>
      <c r="U969" s="327"/>
      <c r="V969" s="352"/>
      <c r="W969" s="352"/>
      <c r="X969" s="327"/>
      <c r="Y969" s="352"/>
      <c r="Z969" s="352"/>
      <c r="AA969" s="327"/>
      <c r="AB969" s="352"/>
      <c r="AC969" s="352"/>
      <c r="AD969" s="327"/>
      <c r="AE969" s="352"/>
      <c r="AF969" s="352"/>
      <c r="AG969" s="327"/>
      <c r="AH969" s="352"/>
      <c r="AI969" s="352"/>
      <c r="AJ969" s="327"/>
      <c r="AK969" s="352"/>
      <c r="AL969" s="352"/>
      <c r="AM969" s="327"/>
      <c r="AN969" s="352"/>
      <c r="AO969" s="352"/>
      <c r="AP969" s="327"/>
      <c r="AQ969" s="352"/>
      <c r="AR969" s="327"/>
      <c r="AU969" s="307"/>
      <c r="AX969" s="307"/>
      <c r="BA969" s="307"/>
      <c r="BC969" s="366"/>
      <c r="BD969" s="307"/>
      <c r="BG969" s="307"/>
    </row>
    <row r="970">
      <c r="A970" s="352"/>
      <c r="B970" s="352"/>
      <c r="C970" s="327"/>
      <c r="D970" s="352"/>
      <c r="E970" s="352"/>
      <c r="F970" s="327"/>
      <c r="G970" s="352"/>
      <c r="H970" s="352"/>
      <c r="I970" s="327"/>
      <c r="J970" s="352"/>
      <c r="K970" s="352"/>
      <c r="L970" s="327"/>
      <c r="M970" s="352"/>
      <c r="N970" s="352"/>
      <c r="O970" s="327"/>
      <c r="P970" s="352"/>
      <c r="Q970" s="352"/>
      <c r="R970" s="327"/>
      <c r="S970" s="352"/>
      <c r="T970" s="352"/>
      <c r="U970" s="327"/>
      <c r="V970" s="352"/>
      <c r="W970" s="352"/>
      <c r="X970" s="327"/>
      <c r="Y970" s="352"/>
      <c r="Z970" s="352"/>
      <c r="AA970" s="327"/>
      <c r="AB970" s="352"/>
      <c r="AC970" s="352"/>
      <c r="AD970" s="327"/>
      <c r="AE970" s="352"/>
      <c r="AF970" s="352"/>
      <c r="AG970" s="327"/>
      <c r="AH970" s="352"/>
      <c r="AI970" s="352"/>
      <c r="AJ970" s="327"/>
      <c r="AK970" s="352"/>
      <c r="AL970" s="352"/>
      <c r="AM970" s="327"/>
      <c r="AN970" s="352"/>
      <c r="AO970" s="352"/>
      <c r="AP970" s="327"/>
      <c r="AQ970" s="352"/>
      <c r="AR970" s="327"/>
      <c r="AU970" s="307"/>
      <c r="AX970" s="307"/>
      <c r="BA970" s="307"/>
      <c r="BC970" s="366"/>
      <c r="BD970" s="307"/>
      <c r="BG970" s="307"/>
    </row>
    <row r="971">
      <c r="A971" s="352"/>
      <c r="B971" s="352"/>
      <c r="C971" s="327"/>
      <c r="D971" s="352"/>
      <c r="E971" s="352"/>
      <c r="F971" s="327"/>
      <c r="G971" s="352"/>
      <c r="H971" s="352"/>
      <c r="I971" s="327"/>
      <c r="J971" s="352"/>
      <c r="K971" s="352"/>
      <c r="L971" s="327"/>
      <c r="M971" s="352"/>
      <c r="N971" s="352"/>
      <c r="O971" s="327"/>
      <c r="P971" s="352"/>
      <c r="Q971" s="352"/>
      <c r="R971" s="327"/>
      <c r="S971" s="352"/>
      <c r="T971" s="352"/>
      <c r="U971" s="327"/>
      <c r="V971" s="352"/>
      <c r="W971" s="352"/>
      <c r="X971" s="327"/>
      <c r="Y971" s="352"/>
      <c r="Z971" s="352"/>
      <c r="AA971" s="327"/>
      <c r="AB971" s="352"/>
      <c r="AC971" s="352"/>
      <c r="AD971" s="327"/>
      <c r="AE971" s="352"/>
      <c r="AF971" s="352"/>
      <c r="AG971" s="327"/>
      <c r="AH971" s="352"/>
      <c r="AI971" s="352"/>
      <c r="AJ971" s="327"/>
      <c r="AK971" s="352"/>
      <c r="AL971" s="352"/>
      <c r="AM971" s="327"/>
      <c r="AN971" s="352"/>
      <c r="AO971" s="352"/>
      <c r="AP971" s="327"/>
      <c r="AQ971" s="352"/>
      <c r="AR971" s="327"/>
      <c r="AU971" s="307"/>
      <c r="AX971" s="307"/>
      <c r="BA971" s="307"/>
      <c r="BC971" s="366"/>
      <c r="BD971" s="307"/>
      <c r="BG971" s="307"/>
    </row>
    <row r="972">
      <c r="A972" s="352"/>
      <c r="B972" s="352"/>
      <c r="C972" s="327"/>
      <c r="D972" s="352"/>
      <c r="E972" s="352"/>
      <c r="F972" s="327"/>
      <c r="G972" s="352"/>
      <c r="H972" s="352"/>
      <c r="I972" s="327"/>
      <c r="J972" s="352"/>
      <c r="K972" s="352"/>
      <c r="L972" s="327"/>
      <c r="M972" s="352"/>
      <c r="N972" s="352"/>
      <c r="O972" s="327"/>
      <c r="P972" s="352"/>
      <c r="Q972" s="352"/>
      <c r="R972" s="327"/>
      <c r="S972" s="352"/>
      <c r="T972" s="352"/>
      <c r="U972" s="327"/>
      <c r="V972" s="352"/>
      <c r="W972" s="352"/>
      <c r="X972" s="327"/>
      <c r="Y972" s="352"/>
      <c r="Z972" s="352"/>
      <c r="AA972" s="327"/>
      <c r="AB972" s="352"/>
      <c r="AC972" s="352"/>
      <c r="AD972" s="327"/>
      <c r="AE972" s="352"/>
      <c r="AF972" s="352"/>
      <c r="AG972" s="327"/>
      <c r="AH972" s="352"/>
      <c r="AI972" s="352"/>
      <c r="AJ972" s="327"/>
      <c r="AK972" s="352"/>
      <c r="AL972" s="352"/>
      <c r="AM972" s="327"/>
      <c r="AN972" s="352"/>
      <c r="AO972" s="352"/>
      <c r="AP972" s="327"/>
      <c r="AQ972" s="352"/>
      <c r="AR972" s="327"/>
      <c r="AU972" s="307"/>
      <c r="AX972" s="307"/>
      <c r="BA972" s="307"/>
      <c r="BC972" s="366"/>
      <c r="BD972" s="307"/>
      <c r="BG972" s="307"/>
    </row>
    <row r="973">
      <c r="A973" s="352"/>
      <c r="B973" s="352"/>
      <c r="C973" s="327"/>
      <c r="D973" s="352"/>
      <c r="E973" s="352"/>
      <c r="F973" s="327"/>
      <c r="G973" s="352"/>
      <c r="H973" s="352"/>
      <c r="I973" s="327"/>
      <c r="J973" s="352"/>
      <c r="K973" s="352"/>
      <c r="L973" s="327"/>
      <c r="M973" s="352"/>
      <c r="N973" s="352"/>
      <c r="O973" s="327"/>
      <c r="P973" s="352"/>
      <c r="Q973" s="352"/>
      <c r="R973" s="327"/>
      <c r="S973" s="352"/>
      <c r="T973" s="352"/>
      <c r="U973" s="327"/>
      <c r="V973" s="352"/>
      <c r="W973" s="352"/>
      <c r="X973" s="327"/>
      <c r="Y973" s="352"/>
      <c r="Z973" s="352"/>
      <c r="AA973" s="327"/>
      <c r="AB973" s="352"/>
      <c r="AC973" s="352"/>
      <c r="AD973" s="327"/>
      <c r="AE973" s="352"/>
      <c r="AF973" s="352"/>
      <c r="AG973" s="327"/>
      <c r="AH973" s="352"/>
      <c r="AI973" s="352"/>
      <c r="AJ973" s="327"/>
      <c r="AK973" s="352"/>
      <c r="AL973" s="352"/>
      <c r="AM973" s="327"/>
      <c r="AN973" s="352"/>
      <c r="AO973" s="352"/>
      <c r="AP973" s="327"/>
      <c r="AQ973" s="352"/>
      <c r="AR973" s="327"/>
      <c r="AU973" s="307"/>
      <c r="AX973" s="307"/>
      <c r="BA973" s="307"/>
      <c r="BC973" s="366"/>
      <c r="BD973" s="307"/>
      <c r="BG973" s="307"/>
    </row>
    <row r="974">
      <c r="A974" s="352"/>
      <c r="B974" s="352"/>
      <c r="C974" s="327"/>
      <c r="D974" s="352"/>
      <c r="E974" s="352"/>
      <c r="F974" s="327"/>
      <c r="G974" s="352"/>
      <c r="H974" s="352"/>
      <c r="I974" s="327"/>
      <c r="J974" s="352"/>
      <c r="K974" s="352"/>
      <c r="L974" s="327"/>
      <c r="M974" s="352"/>
      <c r="N974" s="352"/>
      <c r="O974" s="327"/>
      <c r="P974" s="352"/>
      <c r="Q974" s="352"/>
      <c r="R974" s="327"/>
      <c r="S974" s="352"/>
      <c r="T974" s="352"/>
      <c r="U974" s="327"/>
      <c r="V974" s="352"/>
      <c r="W974" s="352"/>
      <c r="X974" s="327"/>
      <c r="Y974" s="352"/>
      <c r="Z974" s="352"/>
      <c r="AA974" s="327"/>
      <c r="AB974" s="352"/>
      <c r="AC974" s="352"/>
      <c r="AD974" s="327"/>
      <c r="AE974" s="352"/>
      <c r="AF974" s="352"/>
      <c r="AG974" s="327"/>
      <c r="AH974" s="352"/>
      <c r="AI974" s="352"/>
      <c r="AJ974" s="327"/>
      <c r="AK974" s="352"/>
      <c r="AL974" s="352"/>
      <c r="AM974" s="327"/>
      <c r="AN974" s="352"/>
      <c r="AO974" s="352"/>
      <c r="AP974" s="327"/>
      <c r="AQ974" s="352"/>
      <c r="AR974" s="327"/>
      <c r="AU974" s="307"/>
      <c r="AX974" s="307"/>
      <c r="BA974" s="307"/>
      <c r="BC974" s="366"/>
      <c r="BD974" s="307"/>
      <c r="BG974" s="307"/>
    </row>
    <row r="975">
      <c r="A975" s="352"/>
      <c r="B975" s="352"/>
      <c r="C975" s="327"/>
      <c r="D975" s="352"/>
      <c r="E975" s="352"/>
      <c r="F975" s="327"/>
      <c r="G975" s="352"/>
      <c r="H975" s="352"/>
      <c r="I975" s="327"/>
      <c r="J975" s="352"/>
      <c r="K975" s="352"/>
      <c r="L975" s="327"/>
      <c r="M975" s="352"/>
      <c r="N975" s="352"/>
      <c r="O975" s="327"/>
      <c r="P975" s="352"/>
      <c r="Q975" s="352"/>
      <c r="R975" s="327"/>
      <c r="S975" s="352"/>
      <c r="T975" s="352"/>
      <c r="U975" s="327"/>
      <c r="V975" s="352"/>
      <c r="W975" s="352"/>
      <c r="X975" s="327"/>
      <c r="Y975" s="352"/>
      <c r="Z975" s="352"/>
      <c r="AA975" s="327"/>
      <c r="AB975" s="352"/>
      <c r="AC975" s="352"/>
      <c r="AD975" s="327"/>
      <c r="AE975" s="352"/>
      <c r="AF975" s="352"/>
      <c r="AG975" s="327"/>
      <c r="AH975" s="352"/>
      <c r="AI975" s="352"/>
      <c r="AJ975" s="327"/>
      <c r="AK975" s="352"/>
      <c r="AL975" s="352"/>
      <c r="AM975" s="327"/>
      <c r="AN975" s="352"/>
      <c r="AO975" s="352"/>
      <c r="AP975" s="327"/>
      <c r="AQ975" s="352"/>
      <c r="AR975" s="327"/>
      <c r="AU975" s="307"/>
      <c r="AX975" s="307"/>
      <c r="BA975" s="307"/>
      <c r="BC975" s="366"/>
      <c r="BD975" s="307"/>
      <c r="BG975" s="307"/>
    </row>
    <row r="976">
      <c r="A976" s="352"/>
      <c r="B976" s="352"/>
      <c r="C976" s="327"/>
      <c r="D976" s="352"/>
      <c r="E976" s="352"/>
      <c r="F976" s="327"/>
      <c r="G976" s="352"/>
      <c r="H976" s="352"/>
      <c r="I976" s="327"/>
      <c r="J976" s="352"/>
      <c r="K976" s="352"/>
      <c r="L976" s="327"/>
      <c r="M976" s="352"/>
      <c r="N976" s="352"/>
      <c r="O976" s="327"/>
      <c r="P976" s="352"/>
      <c r="Q976" s="352"/>
      <c r="R976" s="327"/>
      <c r="S976" s="352"/>
      <c r="T976" s="352"/>
      <c r="U976" s="327"/>
      <c r="V976" s="352"/>
      <c r="W976" s="352"/>
      <c r="X976" s="327"/>
      <c r="Y976" s="352"/>
      <c r="Z976" s="352"/>
      <c r="AA976" s="327"/>
      <c r="AB976" s="352"/>
      <c r="AC976" s="352"/>
      <c r="AD976" s="327"/>
      <c r="AE976" s="352"/>
      <c r="AF976" s="352"/>
      <c r="AG976" s="327"/>
      <c r="AH976" s="352"/>
      <c r="AI976" s="352"/>
      <c r="AJ976" s="327"/>
      <c r="AK976" s="352"/>
      <c r="AL976" s="352"/>
      <c r="AM976" s="327"/>
      <c r="AN976" s="352"/>
      <c r="AO976" s="352"/>
      <c r="AP976" s="327"/>
      <c r="AQ976" s="352"/>
      <c r="AR976" s="327"/>
      <c r="AU976" s="307"/>
      <c r="AX976" s="307"/>
      <c r="BA976" s="307"/>
      <c r="BC976" s="366"/>
      <c r="BD976" s="307"/>
      <c r="BG976" s="307"/>
    </row>
    <row r="977">
      <c r="A977" s="352"/>
      <c r="B977" s="352"/>
      <c r="C977" s="327"/>
      <c r="D977" s="352"/>
      <c r="E977" s="352"/>
      <c r="F977" s="327"/>
      <c r="G977" s="352"/>
      <c r="H977" s="352"/>
      <c r="I977" s="327"/>
      <c r="J977" s="352"/>
      <c r="K977" s="352"/>
      <c r="L977" s="327"/>
      <c r="M977" s="352"/>
      <c r="N977" s="352"/>
      <c r="O977" s="327"/>
      <c r="P977" s="352"/>
      <c r="Q977" s="352"/>
      <c r="R977" s="327"/>
      <c r="S977" s="352"/>
      <c r="T977" s="352"/>
      <c r="U977" s="327"/>
      <c r="V977" s="352"/>
      <c r="W977" s="352"/>
      <c r="X977" s="327"/>
      <c r="Y977" s="352"/>
      <c r="Z977" s="352"/>
      <c r="AA977" s="327"/>
      <c r="AB977" s="352"/>
      <c r="AC977" s="352"/>
      <c r="AD977" s="327"/>
      <c r="AE977" s="352"/>
      <c r="AF977" s="352"/>
      <c r="AG977" s="327"/>
      <c r="AH977" s="352"/>
      <c r="AI977" s="352"/>
      <c r="AJ977" s="327"/>
      <c r="AK977" s="352"/>
      <c r="AL977" s="352"/>
      <c r="AM977" s="327"/>
      <c r="AN977" s="352"/>
      <c r="AO977" s="352"/>
      <c r="AP977" s="327"/>
      <c r="AQ977" s="352"/>
      <c r="AR977" s="327"/>
      <c r="AU977" s="307"/>
      <c r="AX977" s="307"/>
      <c r="BA977" s="307"/>
      <c r="BC977" s="366"/>
      <c r="BD977" s="307"/>
      <c r="BG977" s="307"/>
    </row>
    <row r="978">
      <c r="A978" s="352"/>
      <c r="B978" s="352"/>
      <c r="C978" s="327"/>
      <c r="D978" s="352"/>
      <c r="E978" s="352"/>
      <c r="F978" s="327"/>
      <c r="G978" s="352"/>
      <c r="H978" s="352"/>
      <c r="I978" s="327"/>
      <c r="J978" s="352"/>
      <c r="K978" s="352"/>
      <c r="L978" s="327"/>
      <c r="M978" s="352"/>
      <c r="N978" s="352"/>
      <c r="O978" s="327"/>
      <c r="P978" s="352"/>
      <c r="Q978" s="352"/>
      <c r="R978" s="327"/>
      <c r="S978" s="352"/>
      <c r="T978" s="352"/>
      <c r="U978" s="327"/>
      <c r="V978" s="352"/>
      <c r="W978" s="352"/>
      <c r="X978" s="327"/>
      <c r="Y978" s="352"/>
      <c r="Z978" s="352"/>
      <c r="AA978" s="327"/>
      <c r="AB978" s="352"/>
      <c r="AC978" s="352"/>
      <c r="AD978" s="327"/>
      <c r="AE978" s="352"/>
      <c r="AF978" s="352"/>
      <c r="AG978" s="327"/>
      <c r="AH978" s="352"/>
      <c r="AI978" s="352"/>
      <c r="AJ978" s="327"/>
      <c r="AK978" s="352"/>
      <c r="AL978" s="352"/>
      <c r="AM978" s="327"/>
      <c r="AN978" s="352"/>
      <c r="AO978" s="352"/>
      <c r="AP978" s="327"/>
      <c r="AQ978" s="352"/>
      <c r="AR978" s="327"/>
      <c r="AU978" s="307"/>
      <c r="AX978" s="307"/>
      <c r="BA978" s="307"/>
      <c r="BC978" s="366"/>
      <c r="BD978" s="307"/>
      <c r="BG978" s="307"/>
    </row>
    <row r="979">
      <c r="A979" s="352"/>
      <c r="B979" s="352"/>
      <c r="C979" s="327"/>
      <c r="D979" s="352"/>
      <c r="E979" s="352"/>
      <c r="F979" s="327"/>
      <c r="G979" s="352"/>
      <c r="H979" s="352"/>
      <c r="I979" s="327"/>
      <c r="J979" s="352"/>
      <c r="K979" s="352"/>
      <c r="L979" s="327"/>
      <c r="M979" s="352"/>
      <c r="N979" s="352"/>
      <c r="O979" s="327"/>
      <c r="P979" s="352"/>
      <c r="Q979" s="352"/>
      <c r="R979" s="327"/>
      <c r="S979" s="352"/>
      <c r="T979" s="352"/>
      <c r="U979" s="327"/>
      <c r="V979" s="352"/>
      <c r="W979" s="352"/>
      <c r="X979" s="327"/>
      <c r="Y979" s="352"/>
      <c r="Z979" s="352"/>
      <c r="AA979" s="327"/>
      <c r="AB979" s="352"/>
      <c r="AC979" s="352"/>
      <c r="AD979" s="327"/>
      <c r="AE979" s="352"/>
      <c r="AF979" s="352"/>
      <c r="AG979" s="327"/>
      <c r="AH979" s="352"/>
      <c r="AI979" s="352"/>
      <c r="AJ979" s="327"/>
      <c r="AK979" s="352"/>
      <c r="AL979" s="352"/>
      <c r="AM979" s="327"/>
      <c r="AN979" s="352"/>
      <c r="AO979" s="352"/>
      <c r="AP979" s="327"/>
      <c r="AQ979" s="352"/>
      <c r="AR979" s="327"/>
      <c r="AU979" s="307"/>
      <c r="AX979" s="307"/>
      <c r="BA979" s="307"/>
      <c r="BC979" s="366"/>
      <c r="BD979" s="307"/>
      <c r="BG979" s="307"/>
    </row>
    <row r="980">
      <c r="A980" s="352"/>
      <c r="B980" s="352"/>
      <c r="C980" s="327"/>
      <c r="D980" s="352"/>
      <c r="E980" s="352"/>
      <c r="F980" s="327"/>
      <c r="G980" s="352"/>
      <c r="H980" s="352"/>
      <c r="I980" s="327"/>
      <c r="J980" s="352"/>
      <c r="K980" s="352"/>
      <c r="L980" s="327"/>
      <c r="M980" s="352"/>
      <c r="N980" s="352"/>
      <c r="O980" s="327"/>
      <c r="P980" s="352"/>
      <c r="Q980" s="352"/>
      <c r="R980" s="327"/>
      <c r="S980" s="352"/>
      <c r="T980" s="352"/>
      <c r="U980" s="327"/>
      <c r="V980" s="352"/>
      <c r="W980" s="352"/>
      <c r="X980" s="327"/>
      <c r="Y980" s="352"/>
      <c r="Z980" s="352"/>
      <c r="AA980" s="327"/>
      <c r="AB980" s="352"/>
      <c r="AC980" s="352"/>
      <c r="AD980" s="327"/>
      <c r="AE980" s="352"/>
      <c r="AF980" s="352"/>
      <c r="AG980" s="327"/>
      <c r="AH980" s="352"/>
      <c r="AI980" s="352"/>
      <c r="AJ980" s="327"/>
      <c r="AK980" s="352"/>
      <c r="AL980" s="352"/>
      <c r="AM980" s="327"/>
      <c r="AN980" s="352"/>
      <c r="AO980" s="352"/>
      <c r="AP980" s="327"/>
      <c r="AQ980" s="352"/>
      <c r="AR980" s="327"/>
      <c r="AU980" s="307"/>
      <c r="AX980" s="307"/>
      <c r="BA980" s="307"/>
      <c r="BC980" s="366"/>
      <c r="BD980" s="307"/>
      <c r="BG980" s="307"/>
    </row>
    <row r="981">
      <c r="A981" s="352"/>
      <c r="B981" s="352"/>
      <c r="C981" s="327"/>
      <c r="D981" s="352"/>
      <c r="E981" s="352"/>
      <c r="F981" s="327"/>
      <c r="G981" s="352"/>
      <c r="H981" s="352"/>
      <c r="I981" s="327"/>
      <c r="J981" s="352"/>
      <c r="K981" s="352"/>
      <c r="L981" s="327"/>
      <c r="M981" s="352"/>
      <c r="N981" s="352"/>
      <c r="O981" s="327"/>
      <c r="P981" s="352"/>
      <c r="Q981" s="352"/>
      <c r="R981" s="327"/>
      <c r="S981" s="352"/>
      <c r="T981" s="352"/>
      <c r="U981" s="327"/>
      <c r="V981" s="352"/>
      <c r="W981" s="352"/>
      <c r="X981" s="327"/>
      <c r="Y981" s="352"/>
      <c r="Z981" s="352"/>
      <c r="AA981" s="327"/>
      <c r="AB981" s="352"/>
      <c r="AC981" s="352"/>
      <c r="AD981" s="327"/>
      <c r="AE981" s="352"/>
      <c r="AF981" s="352"/>
      <c r="AG981" s="327"/>
      <c r="AH981" s="352"/>
      <c r="AI981" s="352"/>
      <c r="AJ981" s="327"/>
      <c r="AK981" s="352"/>
      <c r="AL981" s="352"/>
      <c r="AM981" s="327"/>
      <c r="AN981" s="352"/>
      <c r="AO981" s="352"/>
      <c r="AP981" s="327"/>
      <c r="AQ981" s="352"/>
      <c r="AR981" s="327"/>
      <c r="AU981" s="307"/>
      <c r="AX981" s="307"/>
      <c r="BA981" s="307"/>
      <c r="BC981" s="366"/>
      <c r="BD981" s="307"/>
      <c r="BG981" s="307"/>
    </row>
    <row r="982">
      <c r="A982" s="352"/>
      <c r="B982" s="352"/>
      <c r="C982" s="327"/>
      <c r="D982" s="352"/>
      <c r="E982" s="352"/>
      <c r="F982" s="327"/>
      <c r="G982" s="352"/>
      <c r="H982" s="352"/>
      <c r="I982" s="327"/>
      <c r="J982" s="352"/>
      <c r="K982" s="352"/>
      <c r="L982" s="327"/>
      <c r="M982" s="352"/>
      <c r="N982" s="352"/>
      <c r="O982" s="327"/>
      <c r="P982" s="352"/>
      <c r="Q982" s="352"/>
      <c r="R982" s="327"/>
      <c r="S982" s="352"/>
      <c r="T982" s="352"/>
      <c r="U982" s="327"/>
      <c r="V982" s="352"/>
      <c r="W982" s="352"/>
      <c r="X982" s="327"/>
      <c r="Y982" s="352"/>
      <c r="Z982" s="352"/>
      <c r="AA982" s="327"/>
      <c r="AB982" s="352"/>
      <c r="AC982" s="352"/>
      <c r="AD982" s="327"/>
      <c r="AE982" s="352"/>
      <c r="AF982" s="352"/>
      <c r="AG982" s="327"/>
      <c r="AH982" s="352"/>
      <c r="AI982" s="352"/>
      <c r="AJ982" s="327"/>
      <c r="AK982" s="352"/>
      <c r="AL982" s="352"/>
      <c r="AM982" s="327"/>
      <c r="AN982" s="352"/>
      <c r="AO982" s="352"/>
      <c r="AP982" s="327"/>
      <c r="AQ982" s="352"/>
      <c r="AR982" s="327"/>
      <c r="AU982" s="307"/>
      <c r="AX982" s="307"/>
      <c r="BA982" s="307"/>
      <c r="BC982" s="366"/>
      <c r="BD982" s="307"/>
      <c r="BG982" s="307"/>
    </row>
    <row r="983">
      <c r="A983" s="352"/>
      <c r="B983" s="352"/>
      <c r="C983" s="327"/>
      <c r="D983" s="352"/>
      <c r="E983" s="352"/>
      <c r="F983" s="327"/>
      <c r="G983" s="352"/>
      <c r="H983" s="352"/>
      <c r="I983" s="327"/>
      <c r="J983" s="352"/>
      <c r="K983" s="352"/>
      <c r="L983" s="327"/>
      <c r="M983" s="352"/>
      <c r="N983" s="352"/>
      <c r="O983" s="327"/>
      <c r="P983" s="352"/>
      <c r="Q983" s="352"/>
      <c r="R983" s="327"/>
      <c r="S983" s="352"/>
      <c r="T983" s="352"/>
      <c r="U983" s="327"/>
      <c r="V983" s="352"/>
      <c r="W983" s="352"/>
      <c r="X983" s="327"/>
      <c r="Y983" s="352"/>
      <c r="Z983" s="352"/>
      <c r="AA983" s="327"/>
      <c r="AB983" s="352"/>
      <c r="AC983" s="352"/>
      <c r="AD983" s="327"/>
      <c r="AE983" s="352"/>
      <c r="AF983" s="352"/>
      <c r="AG983" s="327"/>
      <c r="AH983" s="352"/>
      <c r="AI983" s="352"/>
      <c r="AJ983" s="327"/>
      <c r="AK983" s="352"/>
      <c r="AL983" s="352"/>
      <c r="AM983" s="327"/>
      <c r="AN983" s="352"/>
      <c r="AO983" s="352"/>
      <c r="AP983" s="327"/>
      <c r="AQ983" s="352"/>
      <c r="AR983" s="327"/>
      <c r="AU983" s="307"/>
      <c r="AX983" s="307"/>
      <c r="BA983" s="307"/>
      <c r="BC983" s="366"/>
      <c r="BD983" s="307"/>
      <c r="BG983" s="307"/>
    </row>
    <row r="984">
      <c r="A984" s="352"/>
      <c r="B984" s="352"/>
      <c r="C984" s="327"/>
      <c r="D984" s="352"/>
      <c r="E984" s="352"/>
      <c r="F984" s="327"/>
      <c r="G984" s="352"/>
      <c r="H984" s="352"/>
      <c r="I984" s="327"/>
      <c r="J984" s="352"/>
      <c r="K984" s="352"/>
      <c r="L984" s="327"/>
      <c r="M984" s="352"/>
      <c r="N984" s="352"/>
      <c r="O984" s="327"/>
      <c r="P984" s="352"/>
      <c r="Q984" s="352"/>
      <c r="R984" s="327"/>
      <c r="S984" s="352"/>
      <c r="T984" s="352"/>
      <c r="U984" s="327"/>
      <c r="V984" s="352"/>
      <c r="W984" s="352"/>
      <c r="X984" s="327"/>
      <c r="Y984" s="352"/>
      <c r="Z984" s="352"/>
      <c r="AA984" s="327"/>
      <c r="AB984" s="352"/>
      <c r="AC984" s="352"/>
      <c r="AD984" s="327"/>
      <c r="AE984" s="352"/>
      <c r="AF984" s="352"/>
      <c r="AG984" s="327"/>
      <c r="AH984" s="352"/>
      <c r="AI984" s="352"/>
      <c r="AJ984" s="327"/>
      <c r="AK984" s="352"/>
      <c r="AL984" s="352"/>
      <c r="AM984" s="327"/>
      <c r="AN984" s="352"/>
      <c r="AO984" s="352"/>
      <c r="AP984" s="327"/>
      <c r="AQ984" s="352"/>
      <c r="AR984" s="327"/>
      <c r="AU984" s="307"/>
      <c r="AX984" s="307"/>
      <c r="BA984" s="307"/>
      <c r="BC984" s="366"/>
      <c r="BD984" s="307"/>
      <c r="BG984" s="307"/>
    </row>
    <row r="985">
      <c r="A985" s="352"/>
      <c r="B985" s="352"/>
      <c r="C985" s="327"/>
      <c r="D985" s="352"/>
      <c r="E985" s="352"/>
      <c r="F985" s="327"/>
      <c r="G985" s="352"/>
      <c r="H985" s="352"/>
      <c r="I985" s="327"/>
      <c r="J985" s="352"/>
      <c r="K985" s="352"/>
      <c r="L985" s="327"/>
      <c r="M985" s="352"/>
      <c r="N985" s="352"/>
      <c r="O985" s="327"/>
      <c r="P985" s="352"/>
      <c r="Q985" s="352"/>
      <c r="R985" s="327"/>
      <c r="S985" s="352"/>
      <c r="T985" s="352"/>
      <c r="U985" s="327"/>
      <c r="V985" s="352"/>
      <c r="W985" s="352"/>
      <c r="X985" s="327"/>
      <c r="Y985" s="352"/>
      <c r="Z985" s="352"/>
      <c r="AA985" s="327"/>
      <c r="AB985" s="352"/>
      <c r="AC985" s="352"/>
      <c r="AD985" s="327"/>
      <c r="AE985" s="352"/>
      <c r="AF985" s="352"/>
      <c r="AG985" s="327"/>
      <c r="AH985" s="352"/>
      <c r="AI985" s="352"/>
      <c r="AJ985" s="327"/>
      <c r="AK985" s="352"/>
      <c r="AL985" s="352"/>
      <c r="AM985" s="327"/>
      <c r="AN985" s="352"/>
      <c r="AO985" s="352"/>
      <c r="AP985" s="327"/>
      <c r="AQ985" s="352"/>
      <c r="AR985" s="327"/>
      <c r="AU985" s="307"/>
      <c r="AX985" s="307"/>
      <c r="BA985" s="307"/>
      <c r="BC985" s="366"/>
      <c r="BD985" s="307"/>
      <c r="BG985" s="307"/>
    </row>
    <row r="986">
      <c r="A986" s="352"/>
      <c r="B986" s="352"/>
      <c r="C986" s="327"/>
      <c r="D986" s="352"/>
      <c r="E986" s="352"/>
      <c r="F986" s="327"/>
      <c r="G986" s="352"/>
      <c r="H986" s="352"/>
      <c r="I986" s="327"/>
      <c r="J986" s="352"/>
      <c r="K986" s="352"/>
      <c r="L986" s="327"/>
      <c r="M986" s="352"/>
      <c r="N986" s="352"/>
      <c r="O986" s="327"/>
      <c r="P986" s="352"/>
      <c r="Q986" s="352"/>
      <c r="R986" s="327"/>
      <c r="S986" s="352"/>
      <c r="T986" s="352"/>
      <c r="U986" s="327"/>
      <c r="V986" s="352"/>
      <c r="W986" s="352"/>
      <c r="X986" s="327"/>
      <c r="Y986" s="352"/>
      <c r="Z986" s="352"/>
      <c r="AA986" s="327"/>
      <c r="AB986" s="352"/>
      <c r="AC986" s="352"/>
      <c r="AD986" s="327"/>
      <c r="AE986" s="352"/>
      <c r="AF986" s="352"/>
      <c r="AG986" s="327"/>
      <c r="AH986" s="352"/>
      <c r="AI986" s="352"/>
      <c r="AJ986" s="327"/>
      <c r="AK986" s="352"/>
      <c r="AL986" s="352"/>
      <c r="AM986" s="327"/>
      <c r="AN986" s="352"/>
      <c r="AO986" s="352"/>
      <c r="AP986" s="327"/>
      <c r="AQ986" s="352"/>
      <c r="AR986" s="327"/>
      <c r="AU986" s="307"/>
      <c r="AX986" s="307"/>
      <c r="BA986" s="307"/>
      <c r="BC986" s="366"/>
      <c r="BD986" s="307"/>
      <c r="BG986" s="307"/>
    </row>
    <row r="987">
      <c r="A987" s="352"/>
      <c r="B987" s="352"/>
      <c r="C987" s="327"/>
      <c r="D987" s="352"/>
      <c r="E987" s="352"/>
      <c r="F987" s="327"/>
      <c r="G987" s="352"/>
      <c r="H987" s="352"/>
      <c r="I987" s="327"/>
      <c r="J987" s="352"/>
      <c r="K987" s="352"/>
      <c r="L987" s="327"/>
      <c r="M987" s="352"/>
      <c r="N987" s="352"/>
      <c r="O987" s="327"/>
      <c r="P987" s="352"/>
      <c r="Q987" s="352"/>
      <c r="R987" s="327"/>
      <c r="S987" s="352"/>
      <c r="T987" s="352"/>
      <c r="U987" s="327"/>
      <c r="V987" s="352"/>
      <c r="W987" s="352"/>
      <c r="X987" s="327"/>
      <c r="Y987" s="352"/>
      <c r="Z987" s="352"/>
      <c r="AA987" s="327"/>
      <c r="AB987" s="352"/>
      <c r="AC987" s="352"/>
      <c r="AD987" s="327"/>
      <c r="AE987" s="352"/>
      <c r="AF987" s="352"/>
      <c r="AG987" s="327"/>
      <c r="AH987" s="352"/>
      <c r="AI987" s="352"/>
      <c r="AJ987" s="327"/>
      <c r="AK987" s="352"/>
      <c r="AL987" s="352"/>
      <c r="AM987" s="327"/>
      <c r="AN987" s="352"/>
      <c r="AO987" s="352"/>
      <c r="AP987" s="327"/>
      <c r="AQ987" s="352"/>
      <c r="AR987" s="327"/>
      <c r="AU987" s="307"/>
      <c r="AX987" s="307"/>
      <c r="BA987" s="307"/>
      <c r="BC987" s="366"/>
      <c r="BD987" s="307"/>
      <c r="BG987" s="307"/>
    </row>
    <row r="988">
      <c r="A988" s="352"/>
      <c r="B988" s="352"/>
      <c r="C988" s="327"/>
      <c r="D988" s="352"/>
      <c r="E988" s="352"/>
      <c r="F988" s="327"/>
      <c r="G988" s="352"/>
      <c r="H988" s="352"/>
      <c r="I988" s="327"/>
      <c r="J988" s="352"/>
      <c r="K988" s="352"/>
      <c r="L988" s="327"/>
      <c r="M988" s="352"/>
      <c r="N988" s="352"/>
      <c r="O988" s="327"/>
      <c r="P988" s="352"/>
      <c r="Q988" s="352"/>
      <c r="R988" s="327"/>
      <c r="S988" s="352"/>
      <c r="T988" s="352"/>
      <c r="U988" s="327"/>
      <c r="V988" s="352"/>
      <c r="W988" s="352"/>
      <c r="X988" s="327"/>
      <c r="Y988" s="352"/>
      <c r="Z988" s="352"/>
      <c r="AA988" s="327"/>
      <c r="AB988" s="352"/>
      <c r="AC988" s="352"/>
      <c r="AD988" s="327"/>
      <c r="AE988" s="352"/>
      <c r="AF988" s="352"/>
      <c r="AG988" s="327"/>
      <c r="AH988" s="352"/>
      <c r="AI988" s="352"/>
      <c r="AJ988" s="327"/>
      <c r="AK988" s="352"/>
      <c r="AL988" s="352"/>
      <c r="AM988" s="327"/>
      <c r="AN988" s="352"/>
      <c r="AO988" s="352"/>
      <c r="AP988" s="327"/>
      <c r="AQ988" s="352"/>
      <c r="AR988" s="327"/>
      <c r="AU988" s="307"/>
      <c r="AX988" s="307"/>
      <c r="BA988" s="307"/>
      <c r="BC988" s="366"/>
      <c r="BD988" s="307"/>
      <c r="BG988" s="307"/>
    </row>
    <row r="989">
      <c r="A989" s="352"/>
      <c r="B989" s="352"/>
      <c r="C989" s="327"/>
      <c r="D989" s="352"/>
      <c r="E989" s="352"/>
      <c r="F989" s="327"/>
      <c r="G989" s="352"/>
      <c r="H989" s="352"/>
      <c r="I989" s="327"/>
      <c r="J989" s="352"/>
      <c r="K989" s="352"/>
      <c r="L989" s="327"/>
      <c r="M989" s="352"/>
      <c r="N989" s="352"/>
      <c r="O989" s="327"/>
      <c r="P989" s="352"/>
      <c r="Q989" s="352"/>
      <c r="R989" s="327"/>
      <c r="S989" s="352"/>
      <c r="T989" s="352"/>
      <c r="U989" s="327"/>
      <c r="V989" s="352"/>
      <c r="W989" s="352"/>
      <c r="X989" s="327"/>
      <c r="Y989" s="352"/>
      <c r="Z989" s="352"/>
      <c r="AA989" s="327"/>
      <c r="AB989" s="352"/>
      <c r="AC989" s="352"/>
      <c r="AD989" s="327"/>
      <c r="AE989" s="352"/>
      <c r="AF989" s="352"/>
      <c r="AG989" s="327"/>
      <c r="AH989" s="352"/>
      <c r="AI989" s="352"/>
      <c r="AJ989" s="327"/>
      <c r="AK989" s="352"/>
      <c r="AL989" s="352"/>
      <c r="AM989" s="327"/>
      <c r="AN989" s="352"/>
      <c r="AO989" s="352"/>
      <c r="AP989" s="327"/>
      <c r="AQ989" s="352"/>
      <c r="AR989" s="327"/>
      <c r="AU989" s="307"/>
      <c r="AX989" s="307"/>
      <c r="BA989" s="307"/>
      <c r="BC989" s="366"/>
      <c r="BD989" s="307"/>
      <c r="BG989" s="307"/>
    </row>
    <row r="990">
      <c r="A990" s="352"/>
      <c r="B990" s="352"/>
      <c r="C990" s="327"/>
      <c r="D990" s="352"/>
      <c r="E990" s="352"/>
      <c r="F990" s="327"/>
      <c r="G990" s="352"/>
      <c r="H990" s="352"/>
      <c r="I990" s="327"/>
      <c r="J990" s="352"/>
      <c r="K990" s="352"/>
      <c r="L990" s="327"/>
      <c r="M990" s="352"/>
      <c r="N990" s="352"/>
      <c r="O990" s="327"/>
      <c r="P990" s="352"/>
      <c r="Q990" s="352"/>
      <c r="R990" s="327"/>
      <c r="S990" s="352"/>
      <c r="T990" s="352"/>
      <c r="U990" s="327"/>
      <c r="V990" s="352"/>
      <c r="W990" s="352"/>
      <c r="X990" s="327"/>
      <c r="Y990" s="352"/>
      <c r="Z990" s="352"/>
      <c r="AA990" s="327"/>
      <c r="AB990" s="352"/>
      <c r="AC990" s="352"/>
      <c r="AD990" s="327"/>
      <c r="AE990" s="352"/>
      <c r="AF990" s="352"/>
      <c r="AG990" s="327"/>
      <c r="AH990" s="352"/>
      <c r="AI990" s="352"/>
      <c r="AJ990" s="327"/>
      <c r="AK990" s="352"/>
      <c r="AL990" s="352"/>
      <c r="AM990" s="327"/>
      <c r="AN990" s="352"/>
      <c r="AO990" s="352"/>
      <c r="AP990" s="327"/>
      <c r="AQ990" s="352"/>
      <c r="AR990" s="327"/>
      <c r="AU990" s="307"/>
      <c r="AX990" s="307"/>
      <c r="BA990" s="307"/>
      <c r="BC990" s="366"/>
      <c r="BD990" s="307"/>
      <c r="BG990" s="307"/>
    </row>
    <row r="991">
      <c r="A991" s="352"/>
      <c r="B991" s="352"/>
      <c r="C991" s="327"/>
      <c r="D991" s="352"/>
      <c r="E991" s="352"/>
      <c r="F991" s="327"/>
      <c r="G991" s="352"/>
      <c r="H991" s="352"/>
      <c r="I991" s="327"/>
      <c r="J991" s="352"/>
      <c r="K991" s="352"/>
      <c r="L991" s="327"/>
      <c r="M991" s="352"/>
      <c r="N991" s="352"/>
      <c r="O991" s="327"/>
      <c r="P991" s="352"/>
      <c r="Q991" s="352"/>
      <c r="R991" s="327"/>
      <c r="S991" s="352"/>
      <c r="T991" s="352"/>
      <c r="U991" s="327"/>
      <c r="V991" s="352"/>
      <c r="W991" s="352"/>
      <c r="X991" s="327"/>
      <c r="Y991" s="352"/>
      <c r="Z991" s="352"/>
      <c r="AA991" s="327"/>
      <c r="AB991" s="352"/>
      <c r="AC991" s="352"/>
      <c r="AD991" s="327"/>
      <c r="AE991" s="352"/>
      <c r="AF991" s="352"/>
      <c r="AG991" s="327"/>
      <c r="AH991" s="352"/>
      <c r="AI991" s="352"/>
      <c r="AJ991" s="327"/>
      <c r="AK991" s="352"/>
      <c r="AL991" s="352"/>
      <c r="AM991" s="327"/>
      <c r="AN991" s="352"/>
      <c r="AO991" s="352"/>
      <c r="AP991" s="327"/>
      <c r="AQ991" s="352"/>
      <c r="AR991" s="327"/>
      <c r="AU991" s="307"/>
      <c r="AX991" s="307"/>
      <c r="BA991" s="307"/>
      <c r="BC991" s="366"/>
      <c r="BD991" s="307"/>
      <c r="BG991" s="307"/>
    </row>
    <row r="992">
      <c r="A992" s="352"/>
      <c r="B992" s="352"/>
      <c r="C992" s="327"/>
      <c r="D992" s="352"/>
      <c r="E992" s="352"/>
      <c r="F992" s="327"/>
      <c r="G992" s="352"/>
      <c r="H992" s="352"/>
      <c r="I992" s="327"/>
      <c r="J992" s="352"/>
      <c r="K992" s="352"/>
      <c r="L992" s="327"/>
      <c r="M992" s="352"/>
      <c r="N992" s="352"/>
      <c r="O992" s="327"/>
      <c r="P992" s="352"/>
      <c r="Q992" s="352"/>
      <c r="R992" s="327"/>
      <c r="S992" s="352"/>
      <c r="T992" s="352"/>
      <c r="U992" s="327"/>
      <c r="V992" s="352"/>
      <c r="W992" s="352"/>
      <c r="X992" s="327"/>
      <c r="Y992" s="352"/>
      <c r="Z992" s="352"/>
      <c r="AA992" s="327"/>
      <c r="AB992" s="352"/>
      <c r="AC992" s="352"/>
      <c r="AD992" s="327"/>
      <c r="AE992" s="352"/>
      <c r="AF992" s="352"/>
      <c r="AG992" s="327"/>
      <c r="AH992" s="352"/>
      <c r="AI992" s="352"/>
      <c r="AJ992" s="327"/>
      <c r="AK992" s="352"/>
      <c r="AL992" s="352"/>
      <c r="AM992" s="327"/>
      <c r="AN992" s="352"/>
      <c r="AO992" s="352"/>
      <c r="AP992" s="327"/>
      <c r="AQ992" s="352"/>
      <c r="AR992" s="327"/>
      <c r="AU992" s="307"/>
      <c r="AX992" s="307"/>
      <c r="BA992" s="307"/>
      <c r="BC992" s="366"/>
      <c r="BD992" s="307"/>
      <c r="BG992" s="307"/>
    </row>
    <row r="993">
      <c r="A993" s="352"/>
      <c r="B993" s="352"/>
      <c r="C993" s="327"/>
      <c r="D993" s="352"/>
      <c r="E993" s="352"/>
      <c r="F993" s="327"/>
      <c r="G993" s="352"/>
      <c r="H993" s="352"/>
      <c r="I993" s="327"/>
      <c r="J993" s="352"/>
      <c r="K993" s="352"/>
      <c r="L993" s="327"/>
      <c r="M993" s="352"/>
      <c r="N993" s="352"/>
      <c r="O993" s="327"/>
      <c r="P993" s="352"/>
      <c r="Q993" s="352"/>
      <c r="R993" s="327"/>
      <c r="S993" s="352"/>
      <c r="T993" s="352"/>
      <c r="U993" s="327"/>
      <c r="V993" s="352"/>
      <c r="W993" s="352"/>
      <c r="X993" s="327"/>
      <c r="Y993" s="352"/>
      <c r="Z993" s="352"/>
      <c r="AA993" s="327"/>
      <c r="AB993" s="352"/>
      <c r="AC993" s="352"/>
      <c r="AD993" s="327"/>
      <c r="AE993" s="352"/>
      <c r="AF993" s="352"/>
      <c r="AG993" s="327"/>
      <c r="AH993" s="352"/>
      <c r="AI993" s="352"/>
      <c r="AJ993" s="327"/>
      <c r="AK993" s="352"/>
      <c r="AL993" s="352"/>
      <c r="AM993" s="327"/>
      <c r="AN993" s="352"/>
      <c r="AO993" s="352"/>
      <c r="AP993" s="327"/>
      <c r="AQ993" s="352"/>
      <c r="AR993" s="327"/>
      <c r="AU993" s="307"/>
      <c r="AX993" s="307"/>
      <c r="BA993" s="307"/>
      <c r="BC993" s="366"/>
      <c r="BD993" s="307"/>
      <c r="BG993" s="307"/>
    </row>
    <row r="994">
      <c r="A994" s="352"/>
      <c r="B994" s="352"/>
      <c r="C994" s="327"/>
      <c r="D994" s="352"/>
      <c r="E994" s="352"/>
      <c r="F994" s="327"/>
      <c r="G994" s="352"/>
      <c r="H994" s="352"/>
      <c r="I994" s="327"/>
      <c r="J994" s="352"/>
      <c r="K994" s="352"/>
      <c r="L994" s="327"/>
      <c r="M994" s="352"/>
      <c r="N994" s="352"/>
      <c r="O994" s="327"/>
      <c r="P994" s="352"/>
      <c r="Q994" s="352"/>
      <c r="R994" s="327"/>
      <c r="S994" s="352"/>
      <c r="T994" s="352"/>
      <c r="U994" s="327"/>
      <c r="V994" s="352"/>
      <c r="W994" s="352"/>
      <c r="X994" s="327"/>
      <c r="Y994" s="352"/>
      <c r="Z994" s="352"/>
      <c r="AA994" s="327"/>
      <c r="AB994" s="352"/>
      <c r="AC994" s="352"/>
      <c r="AD994" s="327"/>
      <c r="AE994" s="352"/>
      <c r="AF994" s="352"/>
      <c r="AG994" s="327"/>
      <c r="AH994" s="352"/>
      <c r="AI994" s="352"/>
      <c r="AJ994" s="327"/>
      <c r="AK994" s="352"/>
      <c r="AL994" s="352"/>
      <c r="AM994" s="327"/>
      <c r="AN994" s="352"/>
      <c r="AO994" s="352"/>
      <c r="AP994" s="327"/>
      <c r="AQ994" s="352"/>
      <c r="AR994" s="327"/>
      <c r="AU994" s="307"/>
      <c r="AX994" s="307"/>
      <c r="BA994" s="307"/>
      <c r="BC994" s="366"/>
      <c r="BD994" s="307"/>
      <c r="BG994" s="307"/>
    </row>
    <row r="995">
      <c r="A995" s="352"/>
      <c r="B995" s="352"/>
      <c r="C995" s="327"/>
      <c r="D995" s="352"/>
      <c r="E995" s="352"/>
      <c r="F995" s="327"/>
      <c r="G995" s="352"/>
      <c r="H995" s="352"/>
      <c r="I995" s="327"/>
      <c r="J995" s="352"/>
      <c r="K995" s="352"/>
      <c r="L995" s="327"/>
      <c r="M995" s="352"/>
      <c r="N995" s="352"/>
      <c r="O995" s="327"/>
      <c r="P995" s="352"/>
      <c r="Q995" s="352"/>
      <c r="R995" s="327"/>
      <c r="S995" s="352"/>
      <c r="T995" s="352"/>
      <c r="U995" s="327"/>
      <c r="V995" s="352"/>
      <c r="W995" s="352"/>
      <c r="X995" s="327"/>
      <c r="Y995" s="352"/>
      <c r="Z995" s="352"/>
      <c r="AA995" s="327"/>
      <c r="AB995" s="352"/>
      <c r="AC995" s="352"/>
      <c r="AD995" s="327"/>
      <c r="AE995" s="352"/>
      <c r="AF995" s="352"/>
      <c r="AG995" s="327"/>
      <c r="AH995" s="352"/>
      <c r="AI995" s="352"/>
      <c r="AJ995" s="327"/>
      <c r="AK995" s="352"/>
      <c r="AL995" s="352"/>
      <c r="AM995" s="327"/>
      <c r="AN995" s="352"/>
      <c r="AO995" s="352"/>
      <c r="AP995" s="327"/>
      <c r="AQ995" s="352"/>
      <c r="AR995" s="327"/>
      <c r="AU995" s="307"/>
      <c r="AX995" s="307"/>
      <c r="BA995" s="307"/>
      <c r="BC995" s="366"/>
      <c r="BD995" s="307"/>
      <c r="BG995" s="307"/>
    </row>
    <row r="996">
      <c r="A996" s="352"/>
      <c r="B996" s="352"/>
      <c r="C996" s="327"/>
      <c r="D996" s="352"/>
      <c r="E996" s="352"/>
      <c r="F996" s="327"/>
      <c r="G996" s="352"/>
      <c r="H996" s="352"/>
      <c r="I996" s="327"/>
      <c r="J996" s="352"/>
      <c r="K996" s="352"/>
      <c r="L996" s="327"/>
      <c r="M996" s="352"/>
      <c r="N996" s="352"/>
      <c r="O996" s="327"/>
      <c r="P996" s="352"/>
      <c r="Q996" s="352"/>
      <c r="R996" s="327"/>
      <c r="S996" s="352"/>
      <c r="T996" s="352"/>
      <c r="U996" s="327"/>
      <c r="V996" s="352"/>
      <c r="W996" s="352"/>
      <c r="X996" s="327"/>
      <c r="Y996" s="352"/>
      <c r="Z996" s="352"/>
      <c r="AA996" s="327"/>
      <c r="AB996" s="352"/>
      <c r="AC996" s="352"/>
      <c r="AD996" s="327"/>
      <c r="AE996" s="352"/>
      <c r="AF996" s="352"/>
      <c r="AG996" s="327"/>
      <c r="AH996" s="352"/>
      <c r="AI996" s="352"/>
      <c r="AJ996" s="327"/>
      <c r="AK996" s="352"/>
      <c r="AL996" s="352"/>
      <c r="AM996" s="327"/>
      <c r="AN996" s="352"/>
      <c r="AO996" s="352"/>
      <c r="AP996" s="327"/>
      <c r="AQ996" s="352"/>
      <c r="AR996" s="327"/>
      <c r="AU996" s="307"/>
      <c r="AX996" s="307"/>
      <c r="BA996" s="307"/>
      <c r="BC996" s="366"/>
      <c r="BD996" s="307"/>
      <c r="BG996" s="307"/>
    </row>
    <row r="997">
      <c r="A997" s="352"/>
      <c r="B997" s="352"/>
      <c r="C997" s="327"/>
      <c r="D997" s="352"/>
      <c r="E997" s="352"/>
      <c r="F997" s="327"/>
      <c r="G997" s="352"/>
      <c r="H997" s="352"/>
      <c r="I997" s="327"/>
      <c r="J997" s="352"/>
      <c r="K997" s="352"/>
      <c r="L997" s="327"/>
      <c r="M997" s="352"/>
      <c r="N997" s="352"/>
      <c r="O997" s="327"/>
      <c r="P997" s="352"/>
      <c r="Q997" s="352"/>
      <c r="R997" s="327"/>
      <c r="S997" s="352"/>
      <c r="T997" s="352"/>
      <c r="U997" s="327"/>
      <c r="V997" s="352"/>
      <c r="W997" s="352"/>
      <c r="X997" s="327"/>
      <c r="Y997" s="352"/>
      <c r="Z997" s="352"/>
      <c r="AA997" s="327"/>
      <c r="AB997" s="352"/>
      <c r="AC997" s="352"/>
      <c r="AD997" s="327"/>
      <c r="AE997" s="352"/>
      <c r="AF997" s="352"/>
      <c r="AG997" s="327"/>
      <c r="AH997" s="352"/>
      <c r="AI997" s="352"/>
      <c r="AJ997" s="327"/>
      <c r="AK997" s="352"/>
      <c r="AL997" s="352"/>
      <c r="AM997" s="327"/>
      <c r="AN997" s="352"/>
      <c r="AO997" s="352"/>
      <c r="AP997" s="327"/>
      <c r="AQ997" s="352"/>
      <c r="AR997" s="327"/>
      <c r="AU997" s="307"/>
      <c r="AX997" s="307"/>
      <c r="BA997" s="307"/>
      <c r="BC997" s="366"/>
      <c r="BD997" s="307"/>
      <c r="BG997" s="307"/>
    </row>
    <row r="998">
      <c r="A998" s="352"/>
      <c r="B998" s="352"/>
      <c r="C998" s="327"/>
      <c r="D998" s="352"/>
      <c r="E998" s="352"/>
      <c r="F998" s="327"/>
      <c r="G998" s="352"/>
      <c r="H998" s="352"/>
      <c r="I998" s="327"/>
      <c r="J998" s="352"/>
      <c r="K998" s="352"/>
      <c r="L998" s="327"/>
      <c r="M998" s="352"/>
      <c r="N998" s="352"/>
      <c r="O998" s="327"/>
      <c r="P998" s="352"/>
      <c r="Q998" s="352"/>
      <c r="R998" s="327"/>
      <c r="S998" s="352"/>
      <c r="T998" s="352"/>
      <c r="U998" s="327"/>
      <c r="V998" s="352"/>
      <c r="W998" s="352"/>
      <c r="X998" s="327"/>
      <c r="Y998" s="352"/>
      <c r="Z998" s="352"/>
      <c r="AA998" s="327"/>
      <c r="AB998" s="352"/>
      <c r="AC998" s="352"/>
      <c r="AD998" s="327"/>
      <c r="AE998" s="352"/>
      <c r="AF998" s="352"/>
      <c r="AG998" s="327"/>
      <c r="AH998" s="352"/>
      <c r="AI998" s="352"/>
      <c r="AJ998" s="327"/>
      <c r="AK998" s="352"/>
      <c r="AL998" s="352"/>
      <c r="AM998" s="327"/>
      <c r="AN998" s="352"/>
      <c r="AO998" s="352"/>
      <c r="AP998" s="327"/>
      <c r="AQ998" s="352"/>
      <c r="AR998" s="327"/>
      <c r="AU998" s="307"/>
      <c r="AX998" s="307"/>
      <c r="BA998" s="307"/>
      <c r="BC998" s="366"/>
      <c r="BD998" s="307"/>
      <c r="BG998" s="307"/>
    </row>
    <row r="999">
      <c r="A999" s="352"/>
      <c r="B999" s="352"/>
      <c r="C999" s="327"/>
      <c r="D999" s="352"/>
      <c r="E999" s="352"/>
      <c r="F999" s="327"/>
      <c r="G999" s="352"/>
      <c r="H999" s="352"/>
      <c r="I999" s="327"/>
      <c r="J999" s="352"/>
      <c r="K999" s="352"/>
      <c r="L999" s="327"/>
      <c r="M999" s="352"/>
      <c r="N999" s="352"/>
      <c r="O999" s="327"/>
      <c r="P999" s="352"/>
      <c r="Q999" s="352"/>
      <c r="R999" s="327"/>
      <c r="S999" s="352"/>
      <c r="T999" s="352"/>
      <c r="U999" s="327"/>
      <c r="V999" s="352"/>
      <c r="W999" s="352"/>
      <c r="X999" s="327"/>
      <c r="Y999" s="352"/>
      <c r="Z999" s="352"/>
      <c r="AA999" s="327"/>
      <c r="AB999" s="352"/>
      <c r="AC999" s="352"/>
      <c r="AD999" s="327"/>
      <c r="AE999" s="352"/>
      <c r="AF999" s="352"/>
      <c r="AG999" s="327"/>
      <c r="AH999" s="352"/>
      <c r="AI999" s="352"/>
      <c r="AJ999" s="327"/>
      <c r="AK999" s="352"/>
      <c r="AL999" s="352"/>
      <c r="AM999" s="327"/>
      <c r="AN999" s="352"/>
      <c r="AO999" s="352"/>
      <c r="AP999" s="327"/>
      <c r="AQ999" s="352"/>
      <c r="AR999" s="327"/>
      <c r="AU999" s="307"/>
      <c r="AX999" s="307"/>
      <c r="BA999" s="307"/>
      <c r="BC999" s="366"/>
      <c r="BD999" s="307"/>
      <c r="BG999" s="307"/>
    </row>
    <row r="1000">
      <c r="A1000" s="352"/>
      <c r="B1000" s="352"/>
      <c r="C1000" s="327"/>
      <c r="D1000" s="352"/>
      <c r="E1000" s="352"/>
      <c r="F1000" s="327"/>
      <c r="G1000" s="352"/>
      <c r="H1000" s="352"/>
      <c r="I1000" s="327"/>
      <c r="J1000" s="352"/>
      <c r="K1000" s="352"/>
      <c r="L1000" s="327"/>
      <c r="M1000" s="352"/>
      <c r="N1000" s="352"/>
      <c r="O1000" s="327"/>
      <c r="P1000" s="352"/>
      <c r="Q1000" s="352"/>
      <c r="R1000" s="327"/>
      <c r="S1000" s="352"/>
      <c r="T1000" s="352"/>
      <c r="U1000" s="327"/>
      <c r="V1000" s="352"/>
      <c r="W1000" s="352"/>
      <c r="X1000" s="327"/>
      <c r="Y1000" s="352"/>
      <c r="Z1000" s="352"/>
      <c r="AA1000" s="327"/>
      <c r="AB1000" s="352"/>
      <c r="AC1000" s="352"/>
      <c r="AD1000" s="327"/>
      <c r="AE1000" s="352"/>
      <c r="AF1000" s="352"/>
      <c r="AG1000" s="327"/>
      <c r="AH1000" s="352"/>
      <c r="AI1000" s="352"/>
      <c r="AJ1000" s="327"/>
      <c r="AK1000" s="352"/>
      <c r="AL1000" s="352"/>
      <c r="AM1000" s="327"/>
      <c r="AN1000" s="352"/>
      <c r="AO1000" s="352"/>
      <c r="AP1000" s="327"/>
      <c r="AQ1000" s="352"/>
      <c r="AR1000" s="327"/>
      <c r="AU1000" s="307"/>
      <c r="AX1000" s="307"/>
      <c r="BA1000" s="307"/>
      <c r="BC1000" s="366"/>
      <c r="BD1000" s="307"/>
      <c r="BG1000" s="307"/>
    </row>
    <row r="1001">
      <c r="A1001" s="352"/>
      <c r="B1001" s="352"/>
      <c r="C1001" s="327"/>
      <c r="D1001" s="352"/>
      <c r="E1001" s="352"/>
      <c r="F1001" s="327"/>
      <c r="G1001" s="352"/>
      <c r="H1001" s="352"/>
      <c r="I1001" s="327"/>
      <c r="J1001" s="352"/>
      <c r="K1001" s="352"/>
      <c r="L1001" s="327"/>
      <c r="M1001" s="352"/>
      <c r="N1001" s="352"/>
      <c r="O1001" s="327"/>
      <c r="P1001" s="352"/>
      <c r="Q1001" s="352"/>
      <c r="R1001" s="327"/>
      <c r="S1001" s="352"/>
      <c r="T1001" s="352"/>
      <c r="U1001" s="327"/>
      <c r="V1001" s="352"/>
      <c r="W1001" s="352"/>
      <c r="X1001" s="327"/>
      <c r="Y1001" s="352"/>
      <c r="Z1001" s="352"/>
      <c r="AA1001" s="327"/>
      <c r="AB1001" s="352"/>
      <c r="AC1001" s="352"/>
      <c r="AD1001" s="327"/>
      <c r="AE1001" s="352"/>
      <c r="AF1001" s="352"/>
      <c r="AG1001" s="327"/>
      <c r="AH1001" s="352"/>
      <c r="AI1001" s="352"/>
      <c r="AJ1001" s="327"/>
      <c r="AK1001" s="352"/>
      <c r="AL1001" s="352"/>
      <c r="AM1001" s="327"/>
      <c r="AN1001" s="352"/>
      <c r="AO1001" s="352"/>
      <c r="AP1001" s="327"/>
      <c r="AQ1001" s="352"/>
      <c r="AR1001" s="327"/>
      <c r="AU1001" s="307"/>
      <c r="AX1001" s="307"/>
      <c r="BA1001" s="307"/>
      <c r="BC1001" s="366"/>
      <c r="BD1001" s="307"/>
      <c r="BG1001" s="307"/>
    </row>
    <row r="1002">
      <c r="A1002" s="352"/>
      <c r="B1002" s="352"/>
      <c r="C1002" s="327"/>
      <c r="D1002" s="352"/>
      <c r="E1002" s="352"/>
      <c r="F1002" s="327"/>
      <c r="G1002" s="352"/>
      <c r="H1002" s="352"/>
      <c r="I1002" s="327"/>
      <c r="J1002" s="352"/>
      <c r="K1002" s="352"/>
      <c r="L1002" s="327"/>
      <c r="M1002" s="352"/>
      <c r="N1002" s="352"/>
      <c r="O1002" s="327"/>
      <c r="P1002" s="352"/>
      <c r="Q1002" s="352"/>
      <c r="R1002" s="327"/>
      <c r="S1002" s="352"/>
      <c r="T1002" s="352"/>
      <c r="U1002" s="327"/>
      <c r="V1002" s="352"/>
      <c r="W1002" s="352"/>
      <c r="X1002" s="327"/>
      <c r="Y1002" s="352"/>
      <c r="Z1002" s="352"/>
      <c r="AA1002" s="327"/>
      <c r="AB1002" s="352"/>
      <c r="AC1002" s="352"/>
      <c r="AD1002" s="327"/>
      <c r="AE1002" s="352"/>
      <c r="AF1002" s="352"/>
      <c r="AG1002" s="327"/>
      <c r="AH1002" s="352"/>
      <c r="AI1002" s="352"/>
      <c r="AJ1002" s="327"/>
      <c r="AK1002" s="352"/>
      <c r="AL1002" s="352"/>
      <c r="AM1002" s="327"/>
      <c r="AN1002" s="352"/>
      <c r="AO1002" s="352"/>
      <c r="AP1002" s="327"/>
      <c r="AQ1002" s="352"/>
      <c r="AR1002" s="327"/>
      <c r="AU1002" s="307"/>
      <c r="AX1002" s="307"/>
      <c r="BA1002" s="307"/>
      <c r="BC1002" s="366"/>
      <c r="BD1002" s="307"/>
      <c r="BG1002" s="307"/>
    </row>
    <row r="1003">
      <c r="A1003" s="352"/>
      <c r="B1003" s="352"/>
      <c r="C1003" s="327"/>
      <c r="D1003" s="352"/>
      <c r="E1003" s="352"/>
      <c r="F1003" s="327"/>
      <c r="G1003" s="352"/>
      <c r="H1003" s="352"/>
      <c r="I1003" s="327"/>
      <c r="J1003" s="352"/>
      <c r="K1003" s="352"/>
      <c r="L1003" s="327"/>
      <c r="M1003" s="352"/>
      <c r="N1003" s="352"/>
      <c r="O1003" s="327"/>
      <c r="P1003" s="352"/>
      <c r="Q1003" s="352"/>
      <c r="R1003" s="327"/>
      <c r="S1003" s="352"/>
      <c r="T1003" s="352"/>
      <c r="U1003" s="327"/>
      <c r="V1003" s="352"/>
      <c r="W1003" s="352"/>
      <c r="X1003" s="327"/>
      <c r="Y1003" s="352"/>
      <c r="Z1003" s="352"/>
      <c r="AA1003" s="327"/>
      <c r="AB1003" s="352"/>
      <c r="AC1003" s="352"/>
      <c r="AD1003" s="327"/>
      <c r="AE1003" s="352"/>
      <c r="AF1003" s="352"/>
      <c r="AG1003" s="327"/>
      <c r="AH1003" s="352"/>
      <c r="AI1003" s="352"/>
      <c r="AJ1003" s="327"/>
      <c r="AK1003" s="352"/>
      <c r="AL1003" s="352"/>
      <c r="AM1003" s="327"/>
      <c r="AN1003" s="352"/>
      <c r="AO1003" s="352"/>
      <c r="AP1003" s="327"/>
      <c r="AQ1003" s="352"/>
      <c r="AR1003" s="327"/>
      <c r="AU1003" s="307"/>
      <c r="AX1003" s="307"/>
      <c r="BA1003" s="307"/>
      <c r="BC1003" s="366"/>
      <c r="BD1003" s="307"/>
      <c r="BG1003" s="307"/>
    </row>
    <row r="1004">
      <c r="A1004" s="352"/>
      <c r="B1004" s="352"/>
      <c r="C1004" s="327"/>
      <c r="D1004" s="352"/>
      <c r="E1004" s="352"/>
      <c r="F1004" s="327"/>
      <c r="G1004" s="352"/>
      <c r="H1004" s="352"/>
      <c r="I1004" s="327"/>
      <c r="J1004" s="352"/>
      <c r="K1004" s="352"/>
      <c r="L1004" s="327"/>
      <c r="M1004" s="352"/>
      <c r="N1004" s="352"/>
      <c r="O1004" s="327"/>
      <c r="P1004" s="352"/>
      <c r="Q1004" s="352"/>
      <c r="R1004" s="327"/>
      <c r="S1004" s="352"/>
      <c r="T1004" s="352"/>
      <c r="U1004" s="327"/>
      <c r="V1004" s="352"/>
      <c r="W1004" s="352"/>
      <c r="X1004" s="327"/>
      <c r="Y1004" s="352"/>
      <c r="Z1004" s="352"/>
      <c r="AA1004" s="327"/>
      <c r="AB1004" s="352"/>
      <c r="AC1004" s="352"/>
      <c r="AD1004" s="327"/>
      <c r="AE1004" s="352"/>
      <c r="AF1004" s="352"/>
      <c r="AG1004" s="327"/>
      <c r="AH1004" s="352"/>
      <c r="AI1004" s="352"/>
      <c r="AJ1004" s="327"/>
      <c r="AK1004" s="352"/>
      <c r="AL1004" s="352"/>
      <c r="AM1004" s="327"/>
      <c r="AN1004" s="352"/>
      <c r="AO1004" s="352"/>
      <c r="AP1004" s="327"/>
      <c r="AQ1004" s="352"/>
      <c r="AR1004" s="327"/>
      <c r="AU1004" s="307"/>
      <c r="AX1004" s="307"/>
      <c r="BA1004" s="307"/>
      <c r="BC1004" s="366"/>
      <c r="BD1004" s="307"/>
      <c r="BG1004" s="307"/>
    </row>
    <row r="1005">
      <c r="A1005" s="352"/>
      <c r="B1005" s="352"/>
      <c r="C1005" s="327"/>
      <c r="D1005" s="352"/>
      <c r="E1005" s="352"/>
      <c r="F1005" s="327"/>
      <c r="G1005" s="352"/>
      <c r="H1005" s="352"/>
      <c r="I1005" s="327"/>
      <c r="J1005" s="352"/>
      <c r="K1005" s="352"/>
      <c r="L1005" s="327"/>
      <c r="M1005" s="352"/>
      <c r="N1005" s="352"/>
      <c r="O1005" s="327"/>
      <c r="P1005" s="352"/>
      <c r="Q1005" s="352"/>
      <c r="R1005" s="327"/>
      <c r="S1005" s="352"/>
      <c r="T1005" s="352"/>
      <c r="U1005" s="327"/>
      <c r="V1005" s="352"/>
      <c r="W1005" s="352"/>
      <c r="X1005" s="327"/>
      <c r="Y1005" s="352"/>
      <c r="Z1005" s="352"/>
      <c r="AA1005" s="327"/>
      <c r="AB1005" s="352"/>
      <c r="AC1005" s="352"/>
      <c r="AD1005" s="327"/>
      <c r="AE1005" s="352"/>
      <c r="AF1005" s="352"/>
      <c r="AG1005" s="327"/>
      <c r="AH1005" s="352"/>
      <c r="AI1005" s="352"/>
      <c r="AJ1005" s="327"/>
      <c r="AK1005" s="352"/>
      <c r="AL1005" s="352"/>
      <c r="AM1005" s="327"/>
      <c r="AN1005" s="352"/>
      <c r="AO1005" s="352"/>
      <c r="AP1005" s="327"/>
      <c r="AQ1005" s="352"/>
      <c r="AR1005" s="327"/>
      <c r="AU1005" s="307"/>
      <c r="AX1005" s="307"/>
      <c r="BA1005" s="307"/>
      <c r="BC1005" s="366"/>
      <c r="BD1005" s="307"/>
      <c r="BG1005" s="307"/>
    </row>
    <row r="1006">
      <c r="A1006" s="352"/>
      <c r="B1006" s="352"/>
      <c r="C1006" s="327"/>
      <c r="D1006" s="352"/>
      <c r="E1006" s="352"/>
      <c r="F1006" s="327"/>
      <c r="G1006" s="352"/>
      <c r="H1006" s="352"/>
      <c r="I1006" s="327"/>
      <c r="J1006" s="352"/>
      <c r="K1006" s="352"/>
      <c r="L1006" s="327"/>
      <c r="M1006" s="352"/>
      <c r="N1006" s="352"/>
      <c r="O1006" s="327"/>
      <c r="P1006" s="352"/>
      <c r="Q1006" s="352"/>
      <c r="R1006" s="327"/>
      <c r="S1006" s="352"/>
      <c r="T1006" s="352"/>
      <c r="U1006" s="327"/>
      <c r="V1006" s="352"/>
      <c r="W1006" s="352"/>
      <c r="X1006" s="327"/>
      <c r="Y1006" s="352"/>
      <c r="Z1006" s="352"/>
      <c r="AA1006" s="327"/>
      <c r="AB1006" s="352"/>
      <c r="AC1006" s="352"/>
      <c r="AD1006" s="327"/>
      <c r="AE1006" s="352"/>
      <c r="AF1006" s="352"/>
      <c r="AG1006" s="327"/>
      <c r="AH1006" s="352"/>
      <c r="AI1006" s="352"/>
      <c r="AJ1006" s="327"/>
      <c r="AK1006" s="352"/>
      <c r="AL1006" s="352"/>
      <c r="AM1006" s="327"/>
      <c r="AN1006" s="352"/>
      <c r="AO1006" s="352"/>
      <c r="AP1006" s="327"/>
      <c r="AQ1006" s="352"/>
      <c r="AR1006" s="327"/>
      <c r="AU1006" s="307"/>
      <c r="AX1006" s="307"/>
      <c r="BA1006" s="307"/>
      <c r="BC1006" s="366"/>
      <c r="BD1006" s="307"/>
      <c r="BG1006" s="307"/>
    </row>
    <row r="1007">
      <c r="A1007" s="352"/>
      <c r="B1007" s="352"/>
      <c r="C1007" s="327"/>
      <c r="D1007" s="352"/>
      <c r="E1007" s="352"/>
      <c r="F1007" s="327"/>
      <c r="G1007" s="352"/>
      <c r="H1007" s="352"/>
      <c r="I1007" s="327"/>
      <c r="J1007" s="352"/>
      <c r="K1007" s="352"/>
      <c r="L1007" s="327"/>
      <c r="M1007" s="352"/>
      <c r="N1007" s="352"/>
      <c r="O1007" s="327"/>
      <c r="P1007" s="352"/>
      <c r="Q1007" s="352"/>
      <c r="R1007" s="327"/>
      <c r="S1007" s="352"/>
      <c r="T1007" s="352"/>
      <c r="U1007" s="327"/>
      <c r="V1007" s="352"/>
      <c r="W1007" s="352"/>
      <c r="X1007" s="327"/>
      <c r="Y1007" s="352"/>
      <c r="Z1007" s="352"/>
      <c r="AA1007" s="327"/>
      <c r="AB1007" s="352"/>
      <c r="AC1007" s="352"/>
      <c r="AD1007" s="327"/>
      <c r="AE1007" s="352"/>
      <c r="AF1007" s="352"/>
      <c r="AG1007" s="327"/>
      <c r="AH1007" s="352"/>
      <c r="AI1007" s="352"/>
      <c r="AJ1007" s="327"/>
      <c r="AK1007" s="352"/>
      <c r="AL1007" s="352"/>
      <c r="AM1007" s="327"/>
      <c r="AN1007" s="352"/>
      <c r="AO1007" s="352"/>
      <c r="AP1007" s="327"/>
      <c r="AQ1007" s="352"/>
      <c r="AR1007" s="327"/>
      <c r="AU1007" s="307"/>
      <c r="AX1007" s="307"/>
      <c r="BA1007" s="307"/>
      <c r="BC1007" s="366"/>
      <c r="BD1007" s="307"/>
      <c r="BG1007" s="307"/>
    </row>
    <row r="1008">
      <c r="A1008" s="352"/>
      <c r="B1008" s="352"/>
      <c r="C1008" s="327"/>
      <c r="D1008" s="352"/>
      <c r="E1008" s="352"/>
      <c r="F1008" s="327"/>
      <c r="G1008" s="352"/>
      <c r="H1008" s="352"/>
      <c r="I1008" s="327"/>
      <c r="J1008" s="352"/>
      <c r="K1008" s="352"/>
      <c r="L1008" s="327"/>
      <c r="M1008" s="352"/>
      <c r="N1008" s="352"/>
      <c r="O1008" s="327"/>
      <c r="P1008" s="352"/>
      <c r="Q1008" s="352"/>
      <c r="R1008" s="327"/>
      <c r="S1008" s="352"/>
      <c r="T1008" s="352"/>
      <c r="U1008" s="327"/>
      <c r="V1008" s="352"/>
      <c r="W1008" s="352"/>
      <c r="X1008" s="327"/>
      <c r="Y1008" s="352"/>
      <c r="Z1008" s="352"/>
      <c r="AA1008" s="327"/>
      <c r="AB1008" s="352"/>
      <c r="AC1008" s="352"/>
      <c r="AD1008" s="327"/>
      <c r="AE1008" s="352"/>
      <c r="AF1008" s="352"/>
      <c r="AG1008" s="327"/>
      <c r="AH1008" s="352"/>
      <c r="AI1008" s="352"/>
      <c r="AJ1008" s="327"/>
      <c r="AK1008" s="352"/>
      <c r="AL1008" s="352"/>
      <c r="AM1008" s="327"/>
      <c r="AN1008" s="352"/>
      <c r="AO1008" s="352"/>
      <c r="AP1008" s="327"/>
      <c r="AQ1008" s="352"/>
      <c r="AR1008" s="327"/>
      <c r="AU1008" s="307"/>
      <c r="AX1008" s="307"/>
      <c r="BA1008" s="307"/>
      <c r="BC1008" s="366"/>
      <c r="BD1008" s="307"/>
      <c r="BG1008" s="307"/>
    </row>
    <row r="1009">
      <c r="A1009" s="352"/>
      <c r="B1009" s="352"/>
      <c r="C1009" s="327"/>
      <c r="D1009" s="352"/>
      <c r="E1009" s="352"/>
      <c r="F1009" s="327"/>
      <c r="G1009" s="352"/>
      <c r="H1009" s="352"/>
      <c r="I1009" s="327"/>
      <c r="J1009" s="352"/>
      <c r="K1009" s="352"/>
      <c r="L1009" s="327"/>
      <c r="M1009" s="352"/>
      <c r="N1009" s="352"/>
      <c r="O1009" s="327"/>
      <c r="P1009" s="352"/>
      <c r="Q1009" s="352"/>
      <c r="R1009" s="327"/>
      <c r="S1009" s="352"/>
      <c r="T1009" s="352"/>
      <c r="U1009" s="327"/>
      <c r="V1009" s="352"/>
      <c r="W1009" s="352"/>
      <c r="X1009" s="327"/>
      <c r="Y1009" s="352"/>
      <c r="Z1009" s="352"/>
      <c r="AA1009" s="327"/>
      <c r="AB1009" s="352"/>
      <c r="AC1009" s="352"/>
      <c r="AD1009" s="327"/>
      <c r="AE1009" s="352"/>
      <c r="AF1009" s="352"/>
      <c r="AG1009" s="327"/>
      <c r="AH1009" s="352"/>
      <c r="AI1009" s="352"/>
      <c r="AJ1009" s="327"/>
      <c r="AK1009" s="352"/>
      <c r="AL1009" s="352"/>
      <c r="AM1009" s="327"/>
      <c r="AN1009" s="352"/>
      <c r="AO1009" s="352"/>
      <c r="AP1009" s="327"/>
      <c r="AQ1009" s="352"/>
      <c r="AR1009" s="327"/>
      <c r="AU1009" s="307"/>
      <c r="AX1009" s="307"/>
      <c r="BA1009" s="307"/>
      <c r="BC1009" s="366"/>
      <c r="BD1009" s="307"/>
      <c r="BG1009" s="307"/>
    </row>
    <row r="1010">
      <c r="A1010" s="352"/>
      <c r="B1010" s="352"/>
      <c r="C1010" s="327"/>
      <c r="D1010" s="352"/>
      <c r="E1010" s="352"/>
      <c r="F1010" s="327"/>
      <c r="G1010" s="352"/>
      <c r="H1010" s="352"/>
      <c r="I1010" s="327"/>
      <c r="J1010" s="352"/>
      <c r="K1010" s="352"/>
      <c r="L1010" s="327"/>
      <c r="M1010" s="352"/>
      <c r="N1010" s="352"/>
      <c r="O1010" s="327"/>
      <c r="P1010" s="352"/>
      <c r="Q1010" s="352"/>
      <c r="R1010" s="327"/>
      <c r="S1010" s="352"/>
      <c r="T1010" s="352"/>
      <c r="U1010" s="327"/>
      <c r="V1010" s="352"/>
      <c r="W1010" s="352"/>
      <c r="X1010" s="327"/>
      <c r="Y1010" s="352"/>
      <c r="Z1010" s="352"/>
      <c r="AA1010" s="327"/>
      <c r="AB1010" s="352"/>
      <c r="AC1010" s="352"/>
      <c r="AD1010" s="327"/>
      <c r="AE1010" s="352"/>
      <c r="AF1010" s="352"/>
      <c r="AG1010" s="327"/>
      <c r="AH1010" s="352"/>
      <c r="AI1010" s="352"/>
      <c r="AJ1010" s="327"/>
      <c r="AK1010" s="352"/>
      <c r="AL1010" s="352"/>
      <c r="AM1010" s="327"/>
      <c r="AN1010" s="352"/>
      <c r="AO1010" s="352"/>
      <c r="AP1010" s="327"/>
      <c r="AQ1010" s="352"/>
      <c r="AR1010" s="327"/>
      <c r="AU1010" s="307"/>
      <c r="AX1010" s="307"/>
      <c r="BA1010" s="307"/>
      <c r="BC1010" s="366"/>
      <c r="BD1010" s="307"/>
      <c r="BG1010" s="307"/>
    </row>
    <row r="1011">
      <c r="A1011" s="352"/>
      <c r="B1011" s="352"/>
      <c r="C1011" s="327"/>
      <c r="D1011" s="352"/>
      <c r="E1011" s="352"/>
      <c r="F1011" s="327"/>
      <c r="G1011" s="352"/>
      <c r="H1011" s="352"/>
      <c r="I1011" s="327"/>
      <c r="J1011" s="352"/>
      <c r="K1011" s="352"/>
      <c r="L1011" s="327"/>
      <c r="M1011" s="352"/>
      <c r="N1011" s="352"/>
      <c r="O1011" s="327"/>
      <c r="P1011" s="352"/>
      <c r="Q1011" s="352"/>
      <c r="R1011" s="327"/>
      <c r="S1011" s="352"/>
      <c r="T1011" s="352"/>
      <c r="U1011" s="327"/>
      <c r="V1011" s="352"/>
      <c r="W1011" s="352"/>
      <c r="X1011" s="327"/>
      <c r="Y1011" s="352"/>
      <c r="Z1011" s="352"/>
      <c r="AA1011" s="327"/>
      <c r="AB1011" s="352"/>
      <c r="AC1011" s="352"/>
      <c r="AD1011" s="327"/>
      <c r="AE1011" s="352"/>
      <c r="AF1011" s="352"/>
      <c r="AG1011" s="327"/>
      <c r="AH1011" s="352"/>
      <c r="AI1011" s="352"/>
      <c r="AJ1011" s="327"/>
      <c r="AK1011" s="352"/>
      <c r="AL1011" s="352"/>
      <c r="AM1011" s="327"/>
      <c r="AN1011" s="352"/>
      <c r="AO1011" s="352"/>
      <c r="AP1011" s="327"/>
      <c r="AQ1011" s="352"/>
      <c r="AR1011" s="327"/>
      <c r="AU1011" s="307"/>
      <c r="AX1011" s="307"/>
      <c r="BA1011" s="307"/>
      <c r="BC1011" s="366"/>
      <c r="BD1011" s="307"/>
      <c r="BG1011" s="307"/>
    </row>
    <row r="1012">
      <c r="A1012" s="352"/>
      <c r="B1012" s="352"/>
      <c r="C1012" s="327"/>
      <c r="D1012" s="352"/>
      <c r="E1012" s="352"/>
      <c r="F1012" s="327"/>
      <c r="G1012" s="352"/>
      <c r="H1012" s="352"/>
      <c r="I1012" s="327"/>
      <c r="J1012" s="352"/>
      <c r="K1012" s="352"/>
      <c r="L1012" s="327"/>
      <c r="M1012" s="352"/>
      <c r="N1012" s="352"/>
      <c r="O1012" s="327"/>
      <c r="P1012" s="352"/>
      <c r="Q1012" s="352"/>
      <c r="R1012" s="327"/>
      <c r="S1012" s="352"/>
      <c r="T1012" s="352"/>
      <c r="U1012" s="327"/>
      <c r="V1012" s="352"/>
      <c r="W1012" s="352"/>
      <c r="X1012" s="327"/>
      <c r="Y1012" s="352"/>
      <c r="Z1012" s="352"/>
      <c r="AA1012" s="327"/>
      <c r="AB1012" s="352"/>
      <c r="AC1012" s="352"/>
      <c r="AD1012" s="327"/>
      <c r="AE1012" s="352"/>
      <c r="AF1012" s="352"/>
      <c r="AG1012" s="327"/>
      <c r="AH1012" s="352"/>
      <c r="AI1012" s="352"/>
      <c r="AJ1012" s="327"/>
      <c r="AK1012" s="352"/>
      <c r="AL1012" s="352"/>
      <c r="AM1012" s="327"/>
      <c r="AN1012" s="352"/>
      <c r="AO1012" s="352"/>
      <c r="AP1012" s="327"/>
      <c r="AQ1012" s="352"/>
      <c r="AR1012" s="327"/>
      <c r="AU1012" s="307"/>
      <c r="AX1012" s="307"/>
      <c r="BA1012" s="307"/>
      <c r="BC1012" s="366"/>
      <c r="BD1012" s="307"/>
      <c r="BG1012" s="307"/>
    </row>
    <row r="1013">
      <c r="A1013" s="352"/>
      <c r="B1013" s="352"/>
      <c r="C1013" s="327"/>
      <c r="D1013" s="352"/>
      <c r="E1013" s="352"/>
      <c r="F1013" s="327"/>
      <c r="G1013" s="352"/>
      <c r="H1013" s="352"/>
      <c r="I1013" s="327"/>
      <c r="J1013" s="352"/>
      <c r="K1013" s="352"/>
      <c r="L1013" s="327"/>
      <c r="M1013" s="352"/>
      <c r="N1013" s="352"/>
      <c r="O1013" s="327"/>
      <c r="P1013" s="352"/>
      <c r="Q1013" s="352"/>
      <c r="R1013" s="327"/>
      <c r="S1013" s="352"/>
      <c r="T1013" s="352"/>
      <c r="U1013" s="327"/>
      <c r="V1013" s="352"/>
      <c r="W1013" s="352"/>
      <c r="X1013" s="327"/>
      <c r="Y1013" s="352"/>
      <c r="Z1013" s="352"/>
      <c r="AA1013" s="327"/>
      <c r="AB1013" s="352"/>
      <c r="AC1013" s="352"/>
      <c r="AD1013" s="327"/>
      <c r="AE1013" s="352"/>
      <c r="AF1013" s="352"/>
      <c r="AG1013" s="327"/>
      <c r="AH1013" s="352"/>
      <c r="AI1013" s="352"/>
      <c r="AJ1013" s="327"/>
      <c r="AK1013" s="352"/>
      <c r="AL1013" s="352"/>
      <c r="AM1013" s="327"/>
      <c r="AN1013" s="352"/>
      <c r="AO1013" s="352"/>
      <c r="AP1013" s="327"/>
      <c r="AQ1013" s="352"/>
      <c r="AR1013" s="327"/>
      <c r="AU1013" s="307"/>
      <c r="AX1013" s="307"/>
      <c r="BA1013" s="307"/>
      <c r="BC1013" s="366"/>
      <c r="BD1013" s="307"/>
      <c r="BG1013" s="307"/>
    </row>
    <row r="1014">
      <c r="A1014" s="352"/>
      <c r="B1014" s="352"/>
      <c r="C1014" s="327"/>
      <c r="D1014" s="352"/>
      <c r="E1014" s="352"/>
      <c r="F1014" s="327"/>
      <c r="G1014" s="352"/>
      <c r="H1014" s="352"/>
      <c r="I1014" s="327"/>
      <c r="J1014" s="352"/>
      <c r="K1014" s="352"/>
      <c r="L1014" s="327"/>
      <c r="M1014" s="352"/>
      <c r="N1014" s="352"/>
      <c r="O1014" s="327"/>
      <c r="P1014" s="352"/>
      <c r="Q1014" s="352"/>
      <c r="R1014" s="327"/>
      <c r="S1014" s="352"/>
      <c r="T1014" s="352"/>
      <c r="U1014" s="327"/>
      <c r="V1014" s="352"/>
      <c r="W1014" s="352"/>
      <c r="X1014" s="327"/>
      <c r="Y1014" s="352"/>
      <c r="Z1014" s="352"/>
      <c r="AA1014" s="327"/>
      <c r="AB1014" s="352"/>
      <c r="AC1014" s="352"/>
      <c r="AD1014" s="327"/>
      <c r="AE1014" s="352"/>
      <c r="AF1014" s="352"/>
      <c r="AG1014" s="327"/>
      <c r="AH1014" s="352"/>
      <c r="AI1014" s="352"/>
      <c r="AJ1014" s="327"/>
      <c r="AK1014" s="352"/>
      <c r="AL1014" s="352"/>
      <c r="AM1014" s="327"/>
      <c r="AN1014" s="352"/>
      <c r="AO1014" s="352"/>
      <c r="AP1014" s="327"/>
      <c r="AQ1014" s="352"/>
      <c r="AR1014" s="327"/>
      <c r="AU1014" s="307"/>
      <c r="AX1014" s="307"/>
      <c r="BA1014" s="307"/>
      <c r="BC1014" s="366"/>
      <c r="BD1014" s="307"/>
      <c r="BG1014" s="307"/>
    </row>
    <row r="1015">
      <c r="A1015" s="352"/>
      <c r="B1015" s="352"/>
      <c r="C1015" s="327"/>
      <c r="D1015" s="352"/>
      <c r="E1015" s="352"/>
      <c r="F1015" s="327"/>
      <c r="G1015" s="352"/>
      <c r="H1015" s="352"/>
      <c r="I1015" s="327"/>
      <c r="J1015" s="352"/>
      <c r="K1015" s="352"/>
      <c r="L1015" s="327"/>
      <c r="M1015" s="352"/>
      <c r="N1015" s="352"/>
      <c r="O1015" s="327"/>
      <c r="P1015" s="352"/>
      <c r="Q1015" s="352"/>
      <c r="R1015" s="327"/>
      <c r="S1015" s="352"/>
      <c r="T1015" s="352"/>
      <c r="U1015" s="327"/>
      <c r="V1015" s="352"/>
      <c r="W1015" s="352"/>
      <c r="X1015" s="327"/>
      <c r="Y1015" s="352"/>
      <c r="Z1015" s="352"/>
      <c r="AA1015" s="327"/>
      <c r="AB1015" s="352"/>
      <c r="AC1015" s="352"/>
      <c r="AD1015" s="327"/>
      <c r="AE1015" s="352"/>
      <c r="AF1015" s="352"/>
      <c r="AG1015" s="327"/>
      <c r="AH1015" s="352"/>
      <c r="AI1015" s="352"/>
      <c r="AJ1015" s="327"/>
      <c r="AK1015" s="352"/>
      <c r="AL1015" s="352"/>
      <c r="AM1015" s="327"/>
      <c r="AN1015" s="352"/>
      <c r="AO1015" s="352"/>
      <c r="AP1015" s="327"/>
      <c r="AQ1015" s="352"/>
      <c r="AR1015" s="327"/>
      <c r="AU1015" s="307"/>
      <c r="AX1015" s="307"/>
      <c r="BA1015" s="307"/>
      <c r="BC1015" s="366"/>
      <c r="BD1015" s="307"/>
      <c r="BG1015" s="307"/>
    </row>
    <row r="1016">
      <c r="A1016" s="352"/>
      <c r="B1016" s="352"/>
      <c r="C1016" s="327"/>
      <c r="D1016" s="352"/>
      <c r="E1016" s="352"/>
      <c r="F1016" s="327"/>
      <c r="G1016" s="352"/>
      <c r="H1016" s="352"/>
      <c r="I1016" s="327"/>
      <c r="J1016" s="352"/>
      <c r="K1016" s="352"/>
      <c r="L1016" s="327"/>
      <c r="M1016" s="352"/>
      <c r="N1016" s="352"/>
      <c r="O1016" s="327"/>
      <c r="P1016" s="352"/>
      <c r="Q1016" s="352"/>
      <c r="R1016" s="327"/>
      <c r="S1016" s="352"/>
      <c r="T1016" s="352"/>
      <c r="U1016" s="327"/>
      <c r="V1016" s="352"/>
      <c r="W1016" s="352"/>
      <c r="X1016" s="327"/>
      <c r="Y1016" s="352"/>
      <c r="Z1016" s="352"/>
      <c r="AA1016" s="327"/>
      <c r="AB1016" s="352"/>
      <c r="AC1016" s="352"/>
      <c r="AD1016" s="327"/>
      <c r="AE1016" s="352"/>
      <c r="AF1016" s="352"/>
      <c r="AG1016" s="327"/>
      <c r="AH1016" s="352"/>
      <c r="AI1016" s="352"/>
      <c r="AJ1016" s="327"/>
      <c r="AK1016" s="352"/>
      <c r="AL1016" s="352"/>
      <c r="AM1016" s="327"/>
      <c r="AN1016" s="352"/>
      <c r="AO1016" s="352"/>
      <c r="AP1016" s="327"/>
      <c r="AQ1016" s="352"/>
      <c r="AR1016" s="327"/>
      <c r="AU1016" s="307"/>
      <c r="AX1016" s="307"/>
      <c r="BA1016" s="307"/>
      <c r="BC1016" s="366"/>
      <c r="BD1016" s="307"/>
      <c r="BG1016" s="307"/>
    </row>
    <row r="1017">
      <c r="A1017" s="352"/>
      <c r="B1017" s="352"/>
      <c r="C1017" s="327"/>
      <c r="D1017" s="352"/>
      <c r="E1017" s="352"/>
      <c r="F1017" s="327"/>
      <c r="G1017" s="352"/>
      <c r="H1017" s="352"/>
      <c r="I1017" s="327"/>
      <c r="J1017" s="352"/>
      <c r="K1017" s="352"/>
      <c r="L1017" s="327"/>
      <c r="M1017" s="352"/>
      <c r="N1017" s="352"/>
      <c r="O1017" s="327"/>
      <c r="P1017" s="352"/>
      <c r="Q1017" s="352"/>
      <c r="R1017" s="327"/>
      <c r="S1017" s="352"/>
      <c r="T1017" s="352"/>
      <c r="U1017" s="327"/>
      <c r="V1017" s="352"/>
      <c r="W1017" s="352"/>
      <c r="X1017" s="327"/>
      <c r="Y1017" s="352"/>
      <c r="Z1017" s="352"/>
      <c r="AA1017" s="327"/>
      <c r="AB1017" s="352"/>
      <c r="AC1017" s="352"/>
      <c r="AD1017" s="327"/>
      <c r="AE1017" s="352"/>
      <c r="AF1017" s="352"/>
      <c r="AG1017" s="327"/>
      <c r="AH1017" s="352"/>
      <c r="AI1017" s="352"/>
      <c r="AJ1017" s="327"/>
      <c r="AK1017" s="352"/>
      <c r="AL1017" s="352"/>
      <c r="AM1017" s="327"/>
      <c r="AN1017" s="352"/>
      <c r="AO1017" s="352"/>
      <c r="AP1017" s="327"/>
      <c r="AQ1017" s="352"/>
      <c r="AR1017" s="327"/>
      <c r="AU1017" s="307"/>
      <c r="AX1017" s="307"/>
      <c r="BA1017" s="307"/>
      <c r="BC1017" s="366"/>
      <c r="BD1017" s="307"/>
      <c r="BG1017" s="307"/>
    </row>
    <row r="1018">
      <c r="A1018" s="352"/>
      <c r="B1018" s="352"/>
      <c r="C1018" s="327"/>
      <c r="D1018" s="352"/>
      <c r="E1018" s="352"/>
      <c r="F1018" s="327"/>
      <c r="G1018" s="352"/>
      <c r="H1018" s="352"/>
      <c r="I1018" s="327"/>
      <c r="J1018" s="352"/>
      <c r="K1018" s="352"/>
      <c r="L1018" s="327"/>
      <c r="M1018" s="352"/>
      <c r="N1018" s="352"/>
      <c r="O1018" s="327"/>
      <c r="P1018" s="352"/>
      <c r="Q1018" s="352"/>
      <c r="R1018" s="327"/>
      <c r="S1018" s="352"/>
      <c r="T1018" s="352"/>
      <c r="U1018" s="327"/>
      <c r="V1018" s="352"/>
      <c r="W1018" s="352"/>
      <c r="X1018" s="327"/>
      <c r="Y1018" s="352"/>
      <c r="Z1018" s="352"/>
      <c r="AA1018" s="327"/>
      <c r="AB1018" s="352"/>
      <c r="AC1018" s="352"/>
      <c r="AD1018" s="327"/>
      <c r="AE1018" s="352"/>
      <c r="AF1018" s="352"/>
      <c r="AG1018" s="327"/>
      <c r="AH1018" s="352"/>
      <c r="AI1018" s="352"/>
      <c r="AJ1018" s="327"/>
      <c r="AK1018" s="352"/>
      <c r="AL1018" s="352"/>
      <c r="AM1018" s="327"/>
      <c r="AN1018" s="352"/>
      <c r="AO1018" s="352"/>
      <c r="AP1018" s="327"/>
      <c r="AQ1018" s="352"/>
      <c r="AR1018" s="327"/>
      <c r="AU1018" s="307"/>
      <c r="AX1018" s="307"/>
      <c r="BA1018" s="307"/>
      <c r="BC1018" s="366"/>
      <c r="BD1018" s="307"/>
      <c r="BG1018" s="307"/>
    </row>
    <row r="1019">
      <c r="A1019" s="352"/>
      <c r="B1019" s="352"/>
      <c r="C1019" s="327"/>
      <c r="D1019" s="352"/>
      <c r="E1019" s="352"/>
      <c r="F1019" s="327"/>
      <c r="G1019" s="352"/>
      <c r="H1019" s="352"/>
      <c r="I1019" s="327"/>
      <c r="J1019" s="352"/>
      <c r="K1019" s="352"/>
      <c r="L1019" s="327"/>
      <c r="M1019" s="352"/>
      <c r="N1019" s="352"/>
      <c r="O1019" s="327"/>
      <c r="P1019" s="352"/>
      <c r="Q1019" s="352"/>
      <c r="R1019" s="327"/>
      <c r="S1019" s="352"/>
      <c r="T1019" s="352"/>
      <c r="U1019" s="327"/>
      <c r="V1019" s="352"/>
      <c r="W1019" s="352"/>
      <c r="X1019" s="327"/>
      <c r="Y1019" s="352"/>
      <c r="Z1019" s="352"/>
      <c r="AA1019" s="327"/>
      <c r="AB1019" s="352"/>
      <c r="AC1019" s="352"/>
      <c r="AD1019" s="327"/>
      <c r="AE1019" s="352"/>
      <c r="AF1019" s="352"/>
      <c r="AG1019" s="327"/>
      <c r="AH1019" s="352"/>
      <c r="AI1019" s="352"/>
      <c r="AJ1019" s="327"/>
      <c r="AK1019" s="352"/>
      <c r="AL1019" s="352"/>
      <c r="AM1019" s="327"/>
      <c r="AN1019" s="352"/>
      <c r="AO1019" s="352"/>
      <c r="AP1019" s="327"/>
      <c r="AQ1019" s="352"/>
      <c r="AR1019" s="327"/>
      <c r="AU1019" s="307"/>
      <c r="AX1019" s="307"/>
      <c r="BA1019" s="307"/>
      <c r="BC1019" s="366"/>
      <c r="BD1019" s="307"/>
      <c r="BG1019" s="307"/>
    </row>
    <row r="1020">
      <c r="A1020" s="352"/>
      <c r="B1020" s="352"/>
      <c r="C1020" s="327"/>
      <c r="D1020" s="352"/>
      <c r="E1020" s="352"/>
      <c r="F1020" s="327"/>
      <c r="G1020" s="352"/>
      <c r="H1020" s="352"/>
      <c r="I1020" s="327"/>
      <c r="J1020" s="352"/>
      <c r="K1020" s="352"/>
      <c r="L1020" s="327"/>
      <c r="M1020" s="352"/>
      <c r="N1020" s="352"/>
      <c r="O1020" s="327"/>
      <c r="P1020" s="352"/>
      <c r="Q1020" s="352"/>
      <c r="R1020" s="327"/>
      <c r="S1020" s="352"/>
      <c r="T1020" s="352"/>
      <c r="U1020" s="327"/>
      <c r="V1020" s="352"/>
      <c r="W1020" s="352"/>
      <c r="X1020" s="327"/>
      <c r="Y1020" s="352"/>
      <c r="Z1020" s="352"/>
      <c r="AA1020" s="327"/>
      <c r="AB1020" s="352"/>
      <c r="AC1020" s="352"/>
      <c r="AD1020" s="327"/>
      <c r="AE1020" s="352"/>
      <c r="AF1020" s="352"/>
      <c r="AG1020" s="327"/>
      <c r="AH1020" s="352"/>
      <c r="AI1020" s="352"/>
      <c r="AJ1020" s="327"/>
      <c r="AK1020" s="352"/>
      <c r="AL1020" s="352"/>
      <c r="AM1020" s="327"/>
      <c r="AN1020" s="352"/>
      <c r="AO1020" s="352"/>
      <c r="AP1020" s="327"/>
      <c r="AQ1020" s="352"/>
      <c r="AR1020" s="327"/>
      <c r="AU1020" s="307"/>
      <c r="AX1020" s="307"/>
      <c r="BA1020" s="307"/>
      <c r="BC1020" s="366"/>
      <c r="BD1020" s="307"/>
      <c r="BG1020" s="307"/>
    </row>
    <row r="1021">
      <c r="A1021" s="352"/>
      <c r="B1021" s="352"/>
      <c r="C1021" s="327"/>
      <c r="D1021" s="352"/>
      <c r="E1021" s="352"/>
      <c r="F1021" s="327"/>
      <c r="G1021" s="352"/>
      <c r="H1021" s="352"/>
      <c r="I1021" s="327"/>
      <c r="J1021" s="352"/>
      <c r="K1021" s="352"/>
      <c r="L1021" s="327"/>
      <c r="M1021" s="352"/>
      <c r="N1021" s="352"/>
      <c r="O1021" s="327"/>
      <c r="P1021" s="352"/>
      <c r="Q1021" s="352"/>
      <c r="R1021" s="327"/>
      <c r="S1021" s="352"/>
      <c r="T1021" s="352"/>
      <c r="U1021" s="327"/>
      <c r="V1021" s="352"/>
      <c r="W1021" s="352"/>
      <c r="X1021" s="327"/>
      <c r="Y1021" s="352"/>
      <c r="Z1021" s="352"/>
      <c r="AA1021" s="327"/>
      <c r="AB1021" s="352"/>
      <c r="AC1021" s="352"/>
      <c r="AD1021" s="327"/>
      <c r="AE1021" s="352"/>
      <c r="AF1021" s="352"/>
      <c r="AG1021" s="327"/>
      <c r="AH1021" s="352"/>
      <c r="AI1021" s="352"/>
      <c r="AJ1021" s="327"/>
      <c r="AK1021" s="352"/>
      <c r="AL1021" s="352"/>
      <c r="AM1021" s="327"/>
      <c r="AN1021" s="352"/>
      <c r="AO1021" s="352"/>
      <c r="AP1021" s="327"/>
      <c r="AQ1021" s="352"/>
      <c r="AR1021" s="327"/>
      <c r="AU1021" s="307"/>
      <c r="AX1021" s="307"/>
      <c r="BA1021" s="307"/>
      <c r="BC1021" s="366"/>
      <c r="BD1021" s="307"/>
      <c r="BG1021" s="307"/>
    </row>
    <row r="1022">
      <c r="A1022" s="352"/>
      <c r="B1022" s="352"/>
      <c r="C1022" s="327"/>
      <c r="D1022" s="352"/>
      <c r="E1022" s="352"/>
      <c r="F1022" s="327"/>
      <c r="G1022" s="352"/>
      <c r="H1022" s="352"/>
      <c r="I1022" s="327"/>
      <c r="J1022" s="352"/>
      <c r="K1022" s="352"/>
      <c r="L1022" s="327"/>
      <c r="M1022" s="352"/>
      <c r="N1022" s="352"/>
      <c r="O1022" s="327"/>
      <c r="P1022" s="352"/>
      <c r="Q1022" s="352"/>
      <c r="R1022" s="327"/>
      <c r="S1022" s="352"/>
      <c r="T1022" s="352"/>
      <c r="U1022" s="327"/>
      <c r="V1022" s="352"/>
      <c r="W1022" s="352"/>
      <c r="X1022" s="327"/>
      <c r="Y1022" s="352"/>
      <c r="Z1022" s="352"/>
      <c r="AA1022" s="327"/>
      <c r="AB1022" s="352"/>
      <c r="AC1022" s="352"/>
      <c r="AD1022" s="327"/>
      <c r="AE1022" s="352"/>
      <c r="AF1022" s="352"/>
      <c r="AG1022" s="327"/>
      <c r="AH1022" s="352"/>
      <c r="AI1022" s="352"/>
      <c r="AJ1022" s="327"/>
      <c r="AK1022" s="352"/>
      <c r="AL1022" s="352"/>
      <c r="AM1022" s="327"/>
      <c r="AN1022" s="352"/>
      <c r="AO1022" s="352"/>
      <c r="AP1022" s="327"/>
      <c r="AQ1022" s="352"/>
      <c r="AR1022" s="327"/>
      <c r="AU1022" s="307"/>
      <c r="AX1022" s="307"/>
      <c r="BA1022" s="307"/>
      <c r="BC1022" s="366"/>
      <c r="BD1022" s="307"/>
      <c r="BG1022" s="307"/>
    </row>
    <row r="1023">
      <c r="A1023" s="352"/>
      <c r="B1023" s="352"/>
      <c r="C1023" s="327"/>
      <c r="D1023" s="352"/>
      <c r="E1023" s="352"/>
      <c r="F1023" s="327"/>
      <c r="G1023" s="352"/>
      <c r="H1023" s="352"/>
      <c r="I1023" s="327"/>
      <c r="J1023" s="352"/>
      <c r="K1023" s="352"/>
      <c r="L1023" s="327"/>
      <c r="M1023" s="352"/>
      <c r="N1023" s="352"/>
      <c r="O1023" s="327"/>
      <c r="P1023" s="352"/>
      <c r="Q1023" s="352"/>
      <c r="R1023" s="327"/>
      <c r="S1023" s="352"/>
      <c r="T1023" s="352"/>
      <c r="U1023" s="327"/>
      <c r="V1023" s="352"/>
      <c r="W1023" s="352"/>
      <c r="X1023" s="327"/>
      <c r="Y1023" s="352"/>
      <c r="Z1023" s="352"/>
      <c r="AA1023" s="327"/>
      <c r="AB1023" s="352"/>
      <c r="AC1023" s="352"/>
      <c r="AD1023" s="327"/>
      <c r="AE1023" s="352"/>
      <c r="AF1023" s="352"/>
      <c r="AG1023" s="327"/>
      <c r="AH1023" s="352"/>
      <c r="AI1023" s="352"/>
      <c r="AJ1023" s="327"/>
      <c r="AK1023" s="352"/>
      <c r="AL1023" s="352"/>
      <c r="AM1023" s="327"/>
      <c r="AN1023" s="352"/>
      <c r="AO1023" s="352"/>
      <c r="AP1023" s="327"/>
      <c r="AQ1023" s="352"/>
      <c r="AR1023" s="327"/>
      <c r="AU1023" s="307"/>
      <c r="AX1023" s="307"/>
      <c r="BA1023" s="307"/>
      <c r="BC1023" s="366"/>
      <c r="BD1023" s="307"/>
      <c r="BG1023" s="307"/>
    </row>
    <row r="1024">
      <c r="A1024" s="352"/>
      <c r="B1024" s="352"/>
      <c r="C1024" s="327"/>
      <c r="D1024" s="352"/>
      <c r="E1024" s="352"/>
      <c r="F1024" s="327"/>
      <c r="G1024" s="352"/>
      <c r="H1024" s="352"/>
      <c r="I1024" s="327"/>
      <c r="J1024" s="352"/>
      <c r="K1024" s="352"/>
      <c r="L1024" s="327"/>
      <c r="M1024" s="352"/>
      <c r="N1024" s="352"/>
      <c r="O1024" s="327"/>
      <c r="P1024" s="352"/>
      <c r="Q1024" s="352"/>
      <c r="R1024" s="327"/>
      <c r="S1024" s="352"/>
      <c r="T1024" s="352"/>
      <c r="U1024" s="327"/>
      <c r="V1024" s="352"/>
      <c r="W1024" s="352"/>
      <c r="X1024" s="327"/>
      <c r="Y1024" s="352"/>
      <c r="Z1024" s="352"/>
      <c r="AA1024" s="327"/>
      <c r="AB1024" s="352"/>
      <c r="AC1024" s="352"/>
      <c r="AD1024" s="327"/>
      <c r="AE1024" s="352"/>
      <c r="AF1024" s="352"/>
      <c r="AG1024" s="327"/>
      <c r="AH1024" s="352"/>
      <c r="AI1024" s="352"/>
      <c r="AJ1024" s="327"/>
      <c r="AK1024" s="352"/>
      <c r="AL1024" s="352"/>
      <c r="AM1024" s="327"/>
      <c r="AN1024" s="352"/>
      <c r="AO1024" s="352"/>
      <c r="AP1024" s="327"/>
      <c r="AQ1024" s="352"/>
      <c r="AR1024" s="327"/>
      <c r="AU1024" s="307"/>
      <c r="AX1024" s="307"/>
      <c r="BA1024" s="307"/>
      <c r="BC1024" s="366"/>
      <c r="BD1024" s="307"/>
      <c r="BG1024" s="307"/>
    </row>
    <row r="1025">
      <c r="A1025" s="352"/>
      <c r="B1025" s="352"/>
      <c r="C1025" s="327"/>
      <c r="D1025" s="352"/>
      <c r="E1025" s="352"/>
      <c r="F1025" s="327"/>
      <c r="G1025" s="352"/>
      <c r="H1025" s="352"/>
      <c r="I1025" s="327"/>
      <c r="J1025" s="352"/>
      <c r="K1025" s="352"/>
      <c r="L1025" s="327"/>
      <c r="M1025" s="352"/>
      <c r="N1025" s="352"/>
      <c r="O1025" s="327"/>
      <c r="P1025" s="352"/>
      <c r="Q1025" s="352"/>
      <c r="R1025" s="327"/>
      <c r="S1025" s="352"/>
      <c r="T1025" s="352"/>
      <c r="U1025" s="327"/>
      <c r="V1025" s="352"/>
      <c r="W1025" s="352"/>
      <c r="X1025" s="327"/>
      <c r="Y1025" s="352"/>
      <c r="Z1025" s="352"/>
      <c r="AA1025" s="327"/>
      <c r="AB1025" s="352"/>
      <c r="AC1025" s="352"/>
      <c r="AD1025" s="327"/>
      <c r="AE1025" s="352"/>
      <c r="AF1025" s="352"/>
      <c r="AG1025" s="327"/>
      <c r="AH1025" s="352"/>
      <c r="AI1025" s="352"/>
      <c r="AJ1025" s="327"/>
      <c r="AK1025" s="352"/>
      <c r="AL1025" s="352"/>
      <c r="AM1025" s="327"/>
      <c r="AN1025" s="352"/>
      <c r="AO1025" s="352"/>
      <c r="AP1025" s="327"/>
      <c r="AQ1025" s="352"/>
      <c r="AR1025" s="327"/>
      <c r="AU1025" s="307"/>
      <c r="AX1025" s="307"/>
      <c r="BA1025" s="307"/>
      <c r="BC1025" s="366"/>
      <c r="BD1025" s="307"/>
      <c r="BG1025" s="307"/>
    </row>
    <row r="1026">
      <c r="A1026" s="352"/>
      <c r="B1026" s="352"/>
      <c r="C1026" s="327"/>
      <c r="D1026" s="352"/>
      <c r="E1026" s="352"/>
      <c r="F1026" s="327"/>
      <c r="G1026" s="352"/>
      <c r="H1026" s="352"/>
      <c r="I1026" s="327"/>
      <c r="J1026" s="352"/>
      <c r="K1026" s="352"/>
      <c r="L1026" s="327"/>
      <c r="M1026" s="352"/>
      <c r="N1026" s="352"/>
      <c r="O1026" s="327"/>
      <c r="P1026" s="352"/>
      <c r="Q1026" s="352"/>
      <c r="R1026" s="327"/>
      <c r="S1026" s="352"/>
      <c r="T1026" s="352"/>
      <c r="U1026" s="327"/>
      <c r="V1026" s="352"/>
      <c r="W1026" s="352"/>
      <c r="X1026" s="327"/>
      <c r="Y1026" s="352"/>
      <c r="Z1026" s="352"/>
      <c r="AA1026" s="327"/>
      <c r="AB1026" s="352"/>
      <c r="AC1026" s="352"/>
      <c r="AD1026" s="327"/>
      <c r="AE1026" s="352"/>
      <c r="AF1026" s="352"/>
      <c r="AG1026" s="327"/>
      <c r="AH1026" s="352"/>
      <c r="AI1026" s="352"/>
      <c r="AJ1026" s="327"/>
      <c r="AK1026" s="352"/>
      <c r="AL1026" s="352"/>
      <c r="AM1026" s="327"/>
      <c r="AN1026" s="352"/>
      <c r="AO1026" s="352"/>
      <c r="AP1026" s="327"/>
      <c r="AQ1026" s="352"/>
      <c r="AR1026" s="327"/>
      <c r="AU1026" s="307"/>
      <c r="AX1026" s="307"/>
      <c r="BA1026" s="307"/>
      <c r="BC1026" s="366"/>
      <c r="BD1026" s="307"/>
      <c r="BG1026" s="307"/>
    </row>
    <row r="1027">
      <c r="A1027" s="352"/>
      <c r="B1027" s="352"/>
      <c r="C1027" s="327"/>
      <c r="D1027" s="352"/>
      <c r="E1027" s="352"/>
      <c r="F1027" s="327"/>
      <c r="G1027" s="352"/>
      <c r="H1027" s="352"/>
      <c r="I1027" s="327"/>
      <c r="J1027" s="352"/>
      <c r="K1027" s="352"/>
      <c r="L1027" s="327"/>
      <c r="M1027" s="352"/>
      <c r="N1027" s="352"/>
      <c r="O1027" s="327"/>
      <c r="P1027" s="352"/>
      <c r="Q1027" s="352"/>
      <c r="R1027" s="327"/>
      <c r="S1027" s="352"/>
      <c r="T1027" s="352"/>
      <c r="U1027" s="327"/>
      <c r="V1027" s="352"/>
      <c r="W1027" s="352"/>
      <c r="X1027" s="327"/>
      <c r="Y1027" s="352"/>
      <c r="Z1027" s="352"/>
      <c r="AA1027" s="327"/>
      <c r="AB1027" s="352"/>
      <c r="AC1027" s="352"/>
      <c r="AD1027" s="327"/>
      <c r="AE1027" s="352"/>
      <c r="AF1027" s="352"/>
      <c r="AG1027" s="327"/>
      <c r="AH1027" s="352"/>
      <c r="AI1027" s="352"/>
      <c r="AJ1027" s="327"/>
      <c r="AK1027" s="352"/>
      <c r="AL1027" s="352"/>
      <c r="AM1027" s="327"/>
      <c r="AN1027" s="352"/>
      <c r="AO1027" s="352"/>
      <c r="AP1027" s="327"/>
      <c r="AQ1027" s="352"/>
      <c r="AR1027" s="327"/>
      <c r="AU1027" s="307"/>
      <c r="AX1027" s="307"/>
      <c r="BA1027" s="307"/>
      <c r="BC1027" s="366"/>
      <c r="BD1027" s="307"/>
      <c r="BG1027" s="307"/>
    </row>
    <row r="1028">
      <c r="A1028" s="352"/>
      <c r="B1028" s="352"/>
      <c r="C1028" s="327"/>
      <c r="D1028" s="352"/>
      <c r="E1028" s="352"/>
      <c r="F1028" s="327"/>
      <c r="G1028" s="352"/>
      <c r="H1028" s="352"/>
      <c r="I1028" s="327"/>
      <c r="J1028" s="352"/>
      <c r="K1028" s="352"/>
      <c r="L1028" s="327"/>
      <c r="M1028" s="352"/>
      <c r="N1028" s="352"/>
      <c r="O1028" s="327"/>
      <c r="P1028" s="352"/>
      <c r="Q1028" s="352"/>
      <c r="R1028" s="327"/>
      <c r="S1028" s="352"/>
      <c r="T1028" s="352"/>
      <c r="U1028" s="327"/>
      <c r="V1028" s="352"/>
      <c r="W1028" s="352"/>
      <c r="X1028" s="327"/>
      <c r="Y1028" s="352"/>
      <c r="Z1028" s="352"/>
      <c r="AA1028" s="327"/>
      <c r="AB1028" s="352"/>
      <c r="AC1028" s="352"/>
      <c r="AD1028" s="327"/>
      <c r="AE1028" s="352"/>
      <c r="AF1028" s="352"/>
      <c r="AG1028" s="327"/>
      <c r="AH1028" s="352"/>
      <c r="AI1028" s="352"/>
      <c r="AJ1028" s="327"/>
      <c r="AK1028" s="352"/>
      <c r="AL1028" s="352"/>
      <c r="AM1028" s="327"/>
      <c r="AN1028" s="352"/>
      <c r="AO1028" s="352"/>
      <c r="AP1028" s="327"/>
      <c r="AQ1028" s="352"/>
      <c r="AR1028" s="327"/>
      <c r="AU1028" s="307"/>
      <c r="AX1028" s="307"/>
      <c r="BA1028" s="307"/>
      <c r="BC1028" s="366"/>
      <c r="BD1028" s="307"/>
      <c r="BG1028" s="307"/>
    </row>
    <row r="1029">
      <c r="A1029" s="352"/>
      <c r="B1029" s="352"/>
      <c r="C1029" s="327"/>
      <c r="D1029" s="352"/>
      <c r="E1029" s="352"/>
      <c r="F1029" s="327"/>
      <c r="G1029" s="352"/>
      <c r="H1029" s="352"/>
      <c r="I1029" s="327"/>
      <c r="J1029" s="352"/>
      <c r="K1029" s="352"/>
      <c r="L1029" s="327"/>
      <c r="M1029" s="352"/>
      <c r="N1029" s="352"/>
      <c r="O1029" s="327"/>
      <c r="P1029" s="352"/>
      <c r="Q1029" s="352"/>
      <c r="R1029" s="327"/>
      <c r="S1029" s="352"/>
      <c r="T1029" s="352"/>
      <c r="U1029" s="327"/>
      <c r="V1029" s="352"/>
      <c r="W1029" s="352"/>
      <c r="X1029" s="327"/>
      <c r="Y1029" s="352"/>
      <c r="Z1029" s="352"/>
      <c r="AA1029" s="327"/>
      <c r="AB1029" s="352"/>
      <c r="AC1029" s="352"/>
      <c r="AD1029" s="327"/>
      <c r="AE1029" s="352"/>
      <c r="AF1029" s="352"/>
      <c r="AG1029" s="327"/>
      <c r="AH1029" s="352"/>
      <c r="AI1029" s="352"/>
      <c r="AJ1029" s="327"/>
      <c r="AK1029" s="352"/>
      <c r="AL1029" s="352"/>
      <c r="AM1029" s="327"/>
      <c r="AN1029" s="352"/>
      <c r="AO1029" s="352"/>
      <c r="AP1029" s="327"/>
      <c r="AQ1029" s="352"/>
      <c r="AR1029" s="327"/>
      <c r="AU1029" s="307"/>
      <c r="AX1029" s="307"/>
      <c r="BA1029" s="307"/>
      <c r="BC1029" s="366"/>
      <c r="BD1029" s="307"/>
      <c r="BG1029" s="307"/>
    </row>
    <row r="1030">
      <c r="A1030" s="352"/>
      <c r="B1030" s="352"/>
      <c r="C1030" s="327"/>
      <c r="D1030" s="352"/>
      <c r="E1030" s="352"/>
      <c r="F1030" s="327"/>
      <c r="G1030" s="352"/>
      <c r="H1030" s="352"/>
      <c r="I1030" s="327"/>
      <c r="J1030" s="352"/>
      <c r="K1030" s="352"/>
      <c r="L1030" s="327"/>
      <c r="M1030" s="352"/>
      <c r="N1030" s="352"/>
      <c r="O1030" s="327"/>
      <c r="P1030" s="352"/>
      <c r="Q1030" s="352"/>
      <c r="R1030" s="327"/>
      <c r="S1030" s="352"/>
      <c r="T1030" s="352"/>
      <c r="U1030" s="327"/>
      <c r="V1030" s="352"/>
      <c r="W1030" s="352"/>
      <c r="X1030" s="327"/>
      <c r="Y1030" s="352"/>
      <c r="Z1030" s="352"/>
      <c r="AA1030" s="327"/>
      <c r="AB1030" s="352"/>
      <c r="AC1030" s="352"/>
      <c r="AD1030" s="327"/>
      <c r="AE1030" s="352"/>
      <c r="AF1030" s="352"/>
      <c r="AG1030" s="327"/>
      <c r="AH1030" s="352"/>
      <c r="AI1030" s="352"/>
      <c r="AJ1030" s="327"/>
      <c r="AK1030" s="352"/>
      <c r="AL1030" s="352"/>
      <c r="AM1030" s="327"/>
      <c r="AN1030" s="352"/>
      <c r="AO1030" s="352"/>
      <c r="AP1030" s="327"/>
      <c r="AQ1030" s="352"/>
      <c r="AR1030" s="327"/>
      <c r="AU1030" s="307"/>
      <c r="AX1030" s="307"/>
      <c r="BA1030" s="307"/>
      <c r="BC1030" s="366"/>
      <c r="BD1030" s="307"/>
      <c r="BG1030" s="307"/>
    </row>
    <row r="1031">
      <c r="A1031" s="352"/>
      <c r="B1031" s="352"/>
      <c r="C1031" s="327"/>
      <c r="D1031" s="352"/>
      <c r="E1031" s="352"/>
      <c r="F1031" s="327"/>
      <c r="G1031" s="352"/>
      <c r="H1031" s="352"/>
      <c r="I1031" s="327"/>
      <c r="J1031" s="352"/>
      <c r="K1031" s="352"/>
      <c r="L1031" s="327"/>
      <c r="M1031" s="352"/>
      <c r="N1031" s="352"/>
      <c r="O1031" s="327"/>
      <c r="P1031" s="352"/>
      <c r="Q1031" s="352"/>
      <c r="R1031" s="327"/>
      <c r="S1031" s="352"/>
      <c r="T1031" s="352"/>
      <c r="U1031" s="327"/>
      <c r="V1031" s="352"/>
      <c r="W1031" s="352"/>
      <c r="X1031" s="327"/>
      <c r="Y1031" s="352"/>
      <c r="Z1031" s="352"/>
      <c r="AA1031" s="327"/>
      <c r="AB1031" s="352"/>
      <c r="AC1031" s="352"/>
      <c r="AD1031" s="327"/>
      <c r="AE1031" s="352"/>
      <c r="AF1031" s="352"/>
      <c r="AG1031" s="327"/>
      <c r="AH1031" s="352"/>
      <c r="AI1031" s="352"/>
      <c r="AJ1031" s="327"/>
      <c r="AK1031" s="352"/>
      <c r="AL1031" s="352"/>
      <c r="AM1031" s="327"/>
      <c r="AN1031" s="352"/>
      <c r="AO1031" s="352"/>
      <c r="AP1031" s="327"/>
      <c r="AQ1031" s="352"/>
      <c r="AR1031" s="327"/>
      <c r="AU1031" s="307"/>
      <c r="AX1031" s="307"/>
      <c r="BA1031" s="307"/>
      <c r="BC1031" s="366"/>
      <c r="BD1031" s="307"/>
      <c r="BG1031" s="307"/>
    </row>
    <row r="1032">
      <c r="A1032" s="352"/>
      <c r="B1032" s="352"/>
      <c r="C1032" s="327"/>
      <c r="D1032" s="352"/>
      <c r="E1032" s="352"/>
      <c r="F1032" s="327"/>
      <c r="G1032" s="352"/>
      <c r="H1032" s="352"/>
      <c r="I1032" s="327"/>
      <c r="J1032" s="352"/>
      <c r="K1032" s="352"/>
      <c r="L1032" s="327"/>
      <c r="M1032" s="352"/>
      <c r="N1032" s="352"/>
      <c r="O1032" s="327"/>
      <c r="P1032" s="352"/>
      <c r="Q1032" s="352"/>
      <c r="R1032" s="327"/>
      <c r="S1032" s="352"/>
      <c r="T1032" s="352"/>
      <c r="U1032" s="327"/>
      <c r="V1032" s="352"/>
      <c r="W1032" s="352"/>
      <c r="X1032" s="327"/>
      <c r="Y1032" s="352"/>
      <c r="Z1032" s="352"/>
      <c r="AA1032" s="327"/>
      <c r="AB1032" s="352"/>
      <c r="AC1032" s="352"/>
      <c r="AD1032" s="327"/>
      <c r="AE1032" s="352"/>
      <c r="AF1032" s="352"/>
      <c r="AG1032" s="327"/>
      <c r="AH1032" s="352"/>
      <c r="AI1032" s="352"/>
      <c r="AJ1032" s="327"/>
      <c r="AK1032" s="352"/>
      <c r="AL1032" s="352"/>
      <c r="AM1032" s="327"/>
      <c r="AN1032" s="352"/>
      <c r="AO1032" s="352"/>
      <c r="AP1032" s="327"/>
      <c r="AQ1032" s="352"/>
      <c r="AR1032" s="327"/>
      <c r="AU1032" s="307"/>
      <c r="AX1032" s="307"/>
      <c r="BA1032" s="307"/>
      <c r="BC1032" s="366"/>
      <c r="BD1032" s="307"/>
      <c r="BG1032" s="307"/>
    </row>
    <row r="1033">
      <c r="A1033" s="352"/>
      <c r="B1033" s="352"/>
      <c r="C1033" s="327"/>
      <c r="D1033" s="352"/>
      <c r="E1033" s="352"/>
      <c r="F1033" s="327"/>
      <c r="G1033" s="352"/>
      <c r="H1033" s="352"/>
      <c r="I1033" s="327"/>
      <c r="J1033" s="352"/>
      <c r="K1033" s="352"/>
      <c r="L1033" s="327"/>
      <c r="M1033" s="352"/>
      <c r="N1033" s="352"/>
      <c r="O1033" s="327"/>
      <c r="P1033" s="352"/>
      <c r="Q1033" s="352"/>
      <c r="R1033" s="327"/>
      <c r="S1033" s="352"/>
      <c r="T1033" s="352"/>
      <c r="U1033" s="327"/>
      <c r="V1033" s="352"/>
      <c r="W1033" s="352"/>
      <c r="X1033" s="327"/>
      <c r="Y1033" s="352"/>
      <c r="Z1033" s="352"/>
      <c r="AA1033" s="327"/>
      <c r="AB1033" s="352"/>
      <c r="AC1033" s="352"/>
      <c r="AD1033" s="327"/>
      <c r="AE1033" s="352"/>
      <c r="AF1033" s="352"/>
      <c r="AG1033" s="327"/>
      <c r="AH1033" s="352"/>
      <c r="AI1033" s="352"/>
      <c r="AJ1033" s="327"/>
      <c r="AK1033" s="352"/>
      <c r="AL1033" s="352"/>
      <c r="AM1033" s="327"/>
      <c r="AN1033" s="352"/>
      <c r="AO1033" s="352"/>
      <c r="AP1033" s="327"/>
      <c r="AQ1033" s="352"/>
      <c r="AR1033" s="327"/>
      <c r="AU1033" s="307"/>
      <c r="AX1033" s="307"/>
      <c r="BA1033" s="307"/>
      <c r="BC1033" s="366"/>
      <c r="BD1033" s="307"/>
      <c r="BG1033" s="307"/>
    </row>
    <row r="1034">
      <c r="A1034" s="352"/>
      <c r="B1034" s="352"/>
      <c r="C1034" s="327"/>
      <c r="D1034" s="352"/>
      <c r="E1034" s="352"/>
      <c r="F1034" s="327"/>
      <c r="G1034" s="352"/>
      <c r="H1034" s="352"/>
      <c r="I1034" s="327"/>
      <c r="J1034" s="352"/>
      <c r="K1034" s="352"/>
      <c r="L1034" s="327"/>
      <c r="M1034" s="352"/>
      <c r="N1034" s="352"/>
      <c r="O1034" s="327"/>
      <c r="P1034" s="352"/>
      <c r="Q1034" s="352"/>
      <c r="R1034" s="327"/>
      <c r="S1034" s="352"/>
      <c r="T1034" s="352"/>
      <c r="U1034" s="327"/>
      <c r="V1034" s="352"/>
      <c r="W1034" s="352"/>
      <c r="X1034" s="327"/>
      <c r="Y1034" s="352"/>
      <c r="Z1034" s="352"/>
      <c r="AA1034" s="327"/>
      <c r="AB1034" s="352"/>
      <c r="AC1034" s="352"/>
      <c r="AD1034" s="327"/>
      <c r="AE1034" s="352"/>
      <c r="AF1034" s="352"/>
      <c r="AG1034" s="327"/>
      <c r="AH1034" s="352"/>
      <c r="AI1034" s="352"/>
      <c r="AJ1034" s="327"/>
      <c r="AK1034" s="352"/>
      <c r="AL1034" s="352"/>
      <c r="AM1034" s="327"/>
      <c r="AN1034" s="352"/>
      <c r="AO1034" s="352"/>
      <c r="AP1034" s="327"/>
      <c r="AQ1034" s="352"/>
      <c r="AR1034" s="327"/>
      <c r="AU1034" s="307"/>
      <c r="AX1034" s="307"/>
      <c r="BA1034" s="307"/>
      <c r="BC1034" s="366"/>
      <c r="BD1034" s="307"/>
      <c r="BG1034" s="307"/>
    </row>
    <row r="1035">
      <c r="A1035" s="352"/>
      <c r="B1035" s="352"/>
      <c r="C1035" s="327"/>
      <c r="D1035" s="352"/>
      <c r="E1035" s="352"/>
      <c r="F1035" s="327"/>
      <c r="G1035" s="352"/>
      <c r="H1035" s="352"/>
      <c r="I1035" s="327"/>
      <c r="J1035" s="352"/>
      <c r="K1035" s="352"/>
      <c r="L1035" s="327"/>
      <c r="M1035" s="352"/>
      <c r="N1035" s="352"/>
      <c r="O1035" s="327"/>
      <c r="P1035" s="352"/>
      <c r="Q1035" s="352"/>
      <c r="R1035" s="327"/>
      <c r="S1035" s="352"/>
      <c r="T1035" s="352"/>
      <c r="U1035" s="327"/>
      <c r="V1035" s="352"/>
      <c r="W1035" s="352"/>
      <c r="X1035" s="327"/>
      <c r="Y1035" s="352"/>
      <c r="Z1035" s="352"/>
      <c r="AA1035" s="327"/>
      <c r="AB1035" s="352"/>
      <c r="AC1035" s="352"/>
      <c r="AD1035" s="327"/>
      <c r="AE1035" s="352"/>
      <c r="AF1035" s="352"/>
      <c r="AG1035" s="327"/>
      <c r="AH1035" s="352"/>
      <c r="AI1035" s="352"/>
      <c r="AJ1035" s="327"/>
      <c r="AK1035" s="352"/>
      <c r="AL1035" s="352"/>
      <c r="AM1035" s="327"/>
      <c r="AN1035" s="352"/>
      <c r="AO1035" s="352"/>
      <c r="AP1035" s="327"/>
      <c r="AQ1035" s="352"/>
      <c r="AR1035" s="327"/>
      <c r="AU1035" s="307"/>
      <c r="AX1035" s="307"/>
      <c r="BA1035" s="307"/>
      <c r="BC1035" s="366"/>
      <c r="BD1035" s="307"/>
      <c r="BG1035" s="307"/>
    </row>
    <row r="1036">
      <c r="A1036" s="352"/>
      <c r="B1036" s="352"/>
      <c r="C1036" s="327"/>
      <c r="D1036" s="352"/>
      <c r="E1036" s="352"/>
      <c r="F1036" s="327"/>
      <c r="G1036" s="352"/>
      <c r="H1036" s="352"/>
      <c r="I1036" s="327"/>
      <c r="J1036" s="352"/>
      <c r="K1036" s="352"/>
      <c r="L1036" s="327"/>
      <c r="M1036" s="352"/>
      <c r="N1036" s="352"/>
      <c r="O1036" s="327"/>
      <c r="P1036" s="352"/>
      <c r="Q1036" s="352"/>
      <c r="R1036" s="327"/>
      <c r="S1036" s="352"/>
      <c r="T1036" s="352"/>
      <c r="U1036" s="327"/>
      <c r="V1036" s="352"/>
      <c r="W1036" s="352"/>
      <c r="X1036" s="327"/>
      <c r="Y1036" s="352"/>
      <c r="Z1036" s="352"/>
      <c r="AA1036" s="327"/>
      <c r="AB1036" s="352"/>
      <c r="AC1036" s="352"/>
      <c r="AD1036" s="327"/>
      <c r="AE1036" s="352"/>
      <c r="AF1036" s="352"/>
      <c r="AG1036" s="327"/>
      <c r="AH1036" s="352"/>
      <c r="AI1036" s="352"/>
      <c r="AJ1036" s="327"/>
      <c r="AK1036" s="352"/>
      <c r="AL1036" s="352"/>
      <c r="AM1036" s="327"/>
      <c r="AN1036" s="352"/>
      <c r="AO1036" s="352"/>
      <c r="AP1036" s="327"/>
      <c r="AQ1036" s="352"/>
      <c r="AR1036" s="327"/>
      <c r="AU1036" s="307"/>
      <c r="AX1036" s="307"/>
      <c r="BA1036" s="307"/>
      <c r="BC1036" s="366"/>
      <c r="BD1036" s="307"/>
      <c r="BG1036" s="307"/>
    </row>
    <row r="1037">
      <c r="A1037" s="352"/>
      <c r="B1037" s="352"/>
      <c r="C1037" s="327"/>
      <c r="D1037" s="352"/>
      <c r="E1037" s="352"/>
      <c r="F1037" s="327"/>
      <c r="G1037" s="352"/>
      <c r="H1037" s="352"/>
      <c r="I1037" s="327"/>
      <c r="J1037" s="352"/>
      <c r="K1037" s="352"/>
      <c r="L1037" s="327"/>
      <c r="M1037" s="352"/>
      <c r="N1037" s="352"/>
      <c r="O1037" s="327"/>
      <c r="P1037" s="352"/>
      <c r="Q1037" s="352"/>
      <c r="R1037" s="327"/>
      <c r="S1037" s="352"/>
      <c r="T1037" s="352"/>
      <c r="U1037" s="327"/>
      <c r="V1037" s="352"/>
      <c r="W1037" s="352"/>
      <c r="X1037" s="327"/>
      <c r="Y1037" s="352"/>
      <c r="Z1037" s="352"/>
      <c r="AA1037" s="327"/>
      <c r="AB1037" s="352"/>
      <c r="AC1037" s="352"/>
      <c r="AD1037" s="327"/>
      <c r="AE1037" s="352"/>
      <c r="AF1037" s="352"/>
      <c r="AG1037" s="327"/>
      <c r="AH1037" s="352"/>
      <c r="AI1037" s="352"/>
      <c r="AJ1037" s="327"/>
      <c r="AK1037" s="352"/>
      <c r="AL1037" s="352"/>
      <c r="AM1037" s="327"/>
      <c r="AN1037" s="352"/>
      <c r="AO1037" s="352"/>
      <c r="AP1037" s="327"/>
      <c r="AQ1037" s="352"/>
      <c r="AR1037" s="327"/>
      <c r="AU1037" s="307"/>
      <c r="AX1037" s="307"/>
      <c r="BA1037" s="307"/>
      <c r="BC1037" s="366"/>
      <c r="BD1037" s="307"/>
      <c r="BG1037" s="307"/>
    </row>
    <row r="1038">
      <c r="A1038" s="352"/>
      <c r="B1038" s="352"/>
      <c r="C1038" s="327"/>
      <c r="D1038" s="352"/>
      <c r="E1038" s="352"/>
      <c r="F1038" s="327"/>
      <c r="G1038" s="352"/>
      <c r="H1038" s="352"/>
      <c r="I1038" s="327"/>
      <c r="J1038" s="352"/>
      <c r="K1038" s="352"/>
      <c r="L1038" s="327"/>
      <c r="M1038" s="352"/>
      <c r="N1038" s="352"/>
      <c r="O1038" s="327"/>
      <c r="P1038" s="352"/>
      <c r="Q1038" s="352"/>
      <c r="R1038" s="327"/>
      <c r="S1038" s="352"/>
      <c r="T1038" s="352"/>
      <c r="U1038" s="327"/>
      <c r="V1038" s="352"/>
      <c r="W1038" s="352"/>
      <c r="X1038" s="327"/>
      <c r="Y1038" s="352"/>
      <c r="Z1038" s="352"/>
      <c r="AA1038" s="327"/>
      <c r="AB1038" s="352"/>
      <c r="AC1038" s="352"/>
      <c r="AD1038" s="327"/>
      <c r="AE1038" s="352"/>
      <c r="AF1038" s="352"/>
      <c r="AG1038" s="327"/>
      <c r="AH1038" s="352"/>
      <c r="AI1038" s="352"/>
      <c r="AJ1038" s="327"/>
      <c r="AK1038" s="352"/>
      <c r="AL1038" s="352"/>
      <c r="AM1038" s="327"/>
      <c r="AN1038" s="352"/>
      <c r="AO1038" s="352"/>
      <c r="AP1038" s="327"/>
      <c r="AQ1038" s="352"/>
      <c r="AR1038" s="327"/>
      <c r="AU1038" s="307"/>
      <c r="AX1038" s="307"/>
      <c r="BA1038" s="307"/>
      <c r="BC1038" s="366"/>
      <c r="BD1038" s="307"/>
      <c r="BG1038" s="307"/>
    </row>
    <row r="1039">
      <c r="A1039" s="352"/>
      <c r="B1039" s="352"/>
      <c r="C1039" s="327"/>
      <c r="D1039" s="352"/>
      <c r="E1039" s="352"/>
      <c r="F1039" s="327"/>
      <c r="G1039" s="352"/>
      <c r="H1039" s="352"/>
      <c r="I1039" s="327"/>
      <c r="J1039" s="352"/>
      <c r="K1039" s="352"/>
      <c r="L1039" s="327"/>
      <c r="M1039" s="352"/>
      <c r="N1039" s="352"/>
      <c r="O1039" s="327"/>
      <c r="P1039" s="352"/>
      <c r="Q1039" s="352"/>
      <c r="R1039" s="327"/>
      <c r="S1039" s="352"/>
      <c r="T1039" s="352"/>
      <c r="U1039" s="327"/>
      <c r="V1039" s="352"/>
      <c r="W1039" s="352"/>
      <c r="X1039" s="327"/>
      <c r="Y1039" s="352"/>
      <c r="Z1039" s="352"/>
      <c r="AA1039" s="327"/>
      <c r="AB1039" s="352"/>
      <c r="AC1039" s="352"/>
      <c r="AD1039" s="327"/>
      <c r="AE1039" s="352"/>
      <c r="AF1039" s="352"/>
      <c r="AG1039" s="327"/>
      <c r="AH1039" s="352"/>
      <c r="AI1039" s="352"/>
      <c r="AJ1039" s="327"/>
      <c r="AK1039" s="352"/>
      <c r="AL1039" s="352"/>
      <c r="AM1039" s="327"/>
      <c r="AN1039" s="352"/>
      <c r="AO1039" s="352"/>
      <c r="AP1039" s="327"/>
      <c r="AQ1039" s="352"/>
      <c r="AR1039" s="327"/>
      <c r="AU1039" s="307"/>
      <c r="AX1039" s="307"/>
      <c r="BA1039" s="307"/>
      <c r="BC1039" s="366"/>
      <c r="BD1039" s="307"/>
      <c r="BG1039" s="307"/>
    </row>
    <row r="1040">
      <c r="A1040" s="352"/>
      <c r="B1040" s="352"/>
      <c r="C1040" s="327"/>
      <c r="D1040" s="352"/>
      <c r="E1040" s="352"/>
      <c r="F1040" s="327"/>
      <c r="G1040" s="352"/>
      <c r="H1040" s="352"/>
      <c r="I1040" s="327"/>
      <c r="J1040" s="352"/>
      <c r="K1040" s="352"/>
      <c r="L1040" s="327"/>
      <c r="M1040" s="352"/>
      <c r="N1040" s="352"/>
      <c r="O1040" s="327"/>
      <c r="P1040" s="352"/>
      <c r="Q1040" s="352"/>
      <c r="R1040" s="327"/>
      <c r="S1040" s="352"/>
      <c r="T1040" s="352"/>
      <c r="U1040" s="327"/>
      <c r="V1040" s="352"/>
      <c r="W1040" s="352"/>
      <c r="X1040" s="327"/>
      <c r="Y1040" s="352"/>
      <c r="Z1040" s="352"/>
      <c r="AA1040" s="327"/>
      <c r="AB1040" s="352"/>
      <c r="AC1040" s="352"/>
      <c r="AD1040" s="327"/>
      <c r="AE1040" s="352"/>
      <c r="AF1040" s="352"/>
      <c r="AG1040" s="327"/>
      <c r="AH1040" s="352"/>
      <c r="AI1040" s="352"/>
      <c r="AJ1040" s="327"/>
      <c r="AK1040" s="352"/>
      <c r="AL1040" s="352"/>
      <c r="AM1040" s="327"/>
      <c r="AN1040" s="352"/>
      <c r="AO1040" s="352"/>
      <c r="AP1040" s="327"/>
      <c r="AQ1040" s="352"/>
      <c r="AR1040" s="327"/>
      <c r="AU1040" s="307"/>
      <c r="AX1040" s="307"/>
      <c r="BA1040" s="307"/>
      <c r="BC1040" s="366"/>
      <c r="BD1040" s="307"/>
      <c r="BG1040" s="307"/>
    </row>
    <row r="1041">
      <c r="A1041" s="352"/>
      <c r="B1041" s="352"/>
      <c r="C1041" s="327"/>
      <c r="D1041" s="352"/>
      <c r="E1041" s="352"/>
      <c r="F1041" s="327"/>
      <c r="G1041" s="352"/>
      <c r="H1041" s="352"/>
      <c r="I1041" s="327"/>
      <c r="J1041" s="352"/>
      <c r="K1041" s="352"/>
      <c r="L1041" s="327"/>
      <c r="M1041" s="352"/>
      <c r="N1041" s="352"/>
      <c r="O1041" s="327"/>
      <c r="P1041" s="352"/>
      <c r="Q1041" s="352"/>
      <c r="R1041" s="327"/>
      <c r="S1041" s="352"/>
      <c r="T1041" s="352"/>
      <c r="U1041" s="327"/>
      <c r="V1041" s="352"/>
      <c r="W1041" s="352"/>
      <c r="X1041" s="327"/>
      <c r="Y1041" s="352"/>
      <c r="Z1041" s="352"/>
      <c r="AA1041" s="327"/>
      <c r="AB1041" s="352"/>
      <c r="AC1041" s="352"/>
      <c r="AD1041" s="327"/>
      <c r="AE1041" s="352"/>
      <c r="AF1041" s="352"/>
      <c r="AG1041" s="327"/>
      <c r="AH1041" s="352"/>
      <c r="AI1041" s="352"/>
      <c r="AJ1041" s="327"/>
      <c r="AK1041" s="352"/>
      <c r="AL1041" s="352"/>
      <c r="AM1041" s="327"/>
      <c r="AN1041" s="352"/>
      <c r="AO1041" s="352"/>
      <c r="AP1041" s="327"/>
      <c r="AQ1041" s="352"/>
      <c r="AR1041" s="327"/>
      <c r="AU1041" s="307"/>
      <c r="AX1041" s="307"/>
      <c r="BA1041" s="307"/>
      <c r="BC1041" s="366"/>
      <c r="BD1041" s="307"/>
      <c r="BG1041" s="307"/>
    </row>
    <row r="1042">
      <c r="A1042" s="352"/>
      <c r="B1042" s="352"/>
      <c r="C1042" s="327"/>
      <c r="D1042" s="352"/>
      <c r="E1042" s="352"/>
      <c r="F1042" s="327"/>
      <c r="G1042" s="352"/>
      <c r="H1042" s="352"/>
      <c r="I1042" s="327"/>
      <c r="J1042" s="352"/>
      <c r="K1042" s="352"/>
      <c r="L1042" s="327"/>
      <c r="M1042" s="352"/>
      <c r="N1042" s="352"/>
      <c r="O1042" s="327"/>
      <c r="P1042" s="352"/>
      <c r="Q1042" s="352"/>
      <c r="R1042" s="327"/>
      <c r="S1042" s="352"/>
      <c r="T1042" s="352"/>
      <c r="U1042" s="327"/>
      <c r="V1042" s="352"/>
      <c r="W1042" s="352"/>
      <c r="X1042" s="327"/>
      <c r="Y1042" s="352"/>
      <c r="Z1042" s="352"/>
      <c r="AA1042" s="327"/>
      <c r="AB1042" s="352"/>
      <c r="AC1042" s="352"/>
      <c r="AD1042" s="327"/>
      <c r="AE1042" s="352"/>
      <c r="AF1042" s="352"/>
      <c r="AG1042" s="327"/>
      <c r="AH1042" s="352"/>
      <c r="AI1042" s="352"/>
      <c r="AJ1042" s="327"/>
      <c r="AK1042" s="352"/>
      <c r="AL1042" s="352"/>
      <c r="AM1042" s="327"/>
      <c r="AN1042" s="352"/>
      <c r="AO1042" s="352"/>
      <c r="AP1042" s="327"/>
      <c r="AQ1042" s="352"/>
      <c r="AR1042" s="327"/>
      <c r="AU1042" s="307"/>
      <c r="AX1042" s="307"/>
      <c r="BA1042" s="307"/>
      <c r="BC1042" s="366"/>
      <c r="BD1042" s="307"/>
      <c r="BG1042" s="307"/>
    </row>
    <row r="1043">
      <c r="A1043" s="352"/>
      <c r="B1043" s="352"/>
      <c r="C1043" s="327"/>
      <c r="D1043" s="352"/>
      <c r="E1043" s="352"/>
      <c r="F1043" s="327"/>
      <c r="G1043" s="352"/>
      <c r="H1043" s="352"/>
      <c r="I1043" s="327"/>
      <c r="J1043" s="352"/>
      <c r="K1043" s="352"/>
      <c r="L1043" s="327"/>
      <c r="M1043" s="352"/>
      <c r="N1043" s="352"/>
      <c r="O1043" s="327"/>
      <c r="P1043" s="352"/>
      <c r="Q1043" s="352"/>
      <c r="R1043" s="327"/>
      <c r="S1043" s="352"/>
      <c r="T1043" s="352"/>
      <c r="U1043" s="327"/>
      <c r="V1043" s="352"/>
      <c r="W1043" s="352"/>
      <c r="X1043" s="327"/>
      <c r="Y1043" s="352"/>
      <c r="Z1043" s="352"/>
      <c r="AA1043" s="327"/>
      <c r="AB1043" s="352"/>
      <c r="AC1043" s="352"/>
      <c r="AD1043" s="327"/>
      <c r="AE1043" s="352"/>
      <c r="AF1043" s="352"/>
      <c r="AG1043" s="327"/>
      <c r="AH1043" s="352"/>
      <c r="AI1043" s="352"/>
      <c r="AJ1043" s="327"/>
      <c r="AK1043" s="352"/>
      <c r="AL1043" s="352"/>
      <c r="AM1043" s="327"/>
      <c r="AN1043" s="352"/>
      <c r="AO1043" s="352"/>
      <c r="AP1043" s="327"/>
      <c r="AQ1043" s="352"/>
      <c r="AR1043" s="327"/>
      <c r="AU1043" s="307"/>
      <c r="AX1043" s="307"/>
      <c r="BA1043" s="307"/>
      <c r="BC1043" s="366"/>
      <c r="BD1043" s="307"/>
      <c r="BG1043" s="307"/>
    </row>
    <row r="1044">
      <c r="A1044" s="352"/>
      <c r="B1044" s="352"/>
      <c r="C1044" s="327"/>
      <c r="D1044" s="352"/>
      <c r="E1044" s="352"/>
      <c r="F1044" s="327"/>
      <c r="G1044" s="352"/>
      <c r="H1044" s="352"/>
      <c r="I1044" s="327"/>
      <c r="J1044" s="352"/>
      <c r="K1044" s="352"/>
      <c r="L1044" s="327"/>
      <c r="M1044" s="352"/>
      <c r="N1044" s="352"/>
      <c r="O1044" s="327"/>
      <c r="P1044" s="352"/>
      <c r="Q1044" s="352"/>
      <c r="R1044" s="327"/>
      <c r="S1044" s="352"/>
      <c r="T1044" s="352"/>
      <c r="U1044" s="327"/>
      <c r="V1044" s="352"/>
      <c r="W1044" s="352"/>
      <c r="X1044" s="327"/>
      <c r="Y1044" s="352"/>
      <c r="Z1044" s="352"/>
      <c r="AA1044" s="327"/>
      <c r="AB1044" s="352"/>
      <c r="AC1044" s="352"/>
      <c r="AD1044" s="327"/>
      <c r="AE1044" s="352"/>
      <c r="AF1044" s="352"/>
      <c r="AG1044" s="327"/>
      <c r="AH1044" s="352"/>
      <c r="AI1044" s="352"/>
      <c r="AJ1044" s="327"/>
      <c r="AK1044" s="352"/>
      <c r="AL1044" s="352"/>
      <c r="AM1044" s="327"/>
      <c r="AN1044" s="352"/>
      <c r="AO1044" s="352"/>
      <c r="AP1044" s="327"/>
      <c r="AQ1044" s="352"/>
      <c r="AR1044" s="327"/>
      <c r="AU1044" s="307"/>
      <c r="AX1044" s="307"/>
      <c r="BA1044" s="307"/>
      <c r="BC1044" s="366"/>
      <c r="BD1044" s="307"/>
      <c r="BG1044" s="307"/>
    </row>
    <row r="1045">
      <c r="A1045" s="352"/>
      <c r="B1045" s="352"/>
      <c r="C1045" s="327"/>
      <c r="D1045" s="352"/>
      <c r="E1045" s="352"/>
      <c r="F1045" s="327"/>
      <c r="G1045" s="352"/>
      <c r="H1045" s="352"/>
      <c r="I1045" s="327"/>
      <c r="J1045" s="352"/>
      <c r="K1045" s="352"/>
      <c r="L1045" s="327"/>
      <c r="M1045" s="352"/>
      <c r="N1045" s="352"/>
      <c r="O1045" s="327"/>
      <c r="P1045" s="352"/>
      <c r="Q1045" s="352"/>
      <c r="R1045" s="327"/>
      <c r="S1045" s="352"/>
      <c r="T1045" s="352"/>
      <c r="U1045" s="327"/>
      <c r="V1045" s="352"/>
      <c r="W1045" s="352"/>
      <c r="X1045" s="327"/>
      <c r="Y1045" s="352"/>
      <c r="Z1045" s="352"/>
      <c r="AA1045" s="327"/>
      <c r="AB1045" s="352"/>
      <c r="AC1045" s="352"/>
      <c r="AD1045" s="327"/>
      <c r="AE1045" s="352"/>
      <c r="AF1045" s="352"/>
      <c r="AG1045" s="327"/>
      <c r="AH1045" s="352"/>
      <c r="AI1045" s="352"/>
      <c r="AJ1045" s="327"/>
      <c r="AK1045" s="352"/>
      <c r="AL1045" s="352"/>
      <c r="AM1045" s="327"/>
      <c r="AN1045" s="352"/>
      <c r="AO1045" s="352"/>
      <c r="AP1045" s="327"/>
      <c r="AQ1045" s="352"/>
      <c r="AR1045" s="327"/>
      <c r="AU1045" s="307"/>
      <c r="AX1045" s="307"/>
      <c r="BA1045" s="307"/>
      <c r="BC1045" s="366"/>
      <c r="BD1045" s="307"/>
      <c r="BG1045" s="307"/>
    </row>
    <row r="1046">
      <c r="A1046" s="352"/>
      <c r="B1046" s="352"/>
      <c r="C1046" s="327"/>
      <c r="D1046" s="352"/>
      <c r="E1046" s="352"/>
      <c r="F1046" s="327"/>
      <c r="G1046" s="352"/>
      <c r="H1046" s="352"/>
      <c r="I1046" s="327"/>
      <c r="J1046" s="352"/>
      <c r="K1046" s="352"/>
      <c r="L1046" s="327"/>
      <c r="M1046" s="352"/>
      <c r="N1046" s="352"/>
      <c r="O1046" s="327"/>
      <c r="P1046" s="352"/>
      <c r="Q1046" s="352"/>
      <c r="R1046" s="327"/>
      <c r="S1046" s="352"/>
      <c r="T1046" s="352"/>
      <c r="U1046" s="327"/>
      <c r="V1046" s="352"/>
      <c r="W1046" s="352"/>
      <c r="X1046" s="327"/>
      <c r="Y1046" s="352"/>
      <c r="Z1046" s="352"/>
      <c r="AA1046" s="327"/>
      <c r="AB1046" s="352"/>
      <c r="AC1046" s="352"/>
      <c r="AD1046" s="327"/>
      <c r="AE1046" s="352"/>
      <c r="AF1046" s="352"/>
      <c r="AG1046" s="327"/>
      <c r="AH1046" s="352"/>
      <c r="AI1046" s="352"/>
      <c r="AJ1046" s="327"/>
      <c r="AK1046" s="352"/>
      <c r="AL1046" s="352"/>
      <c r="AM1046" s="327"/>
      <c r="AN1046" s="352"/>
      <c r="AO1046" s="352"/>
      <c r="AP1046" s="327"/>
      <c r="AQ1046" s="352"/>
      <c r="AR1046" s="327"/>
      <c r="AU1046" s="307"/>
      <c r="AX1046" s="307"/>
      <c r="BA1046" s="307"/>
      <c r="BC1046" s="366"/>
      <c r="BD1046" s="307"/>
      <c r="BG1046" s="307"/>
    </row>
    <row r="1047">
      <c r="A1047" s="352"/>
      <c r="B1047" s="352"/>
      <c r="C1047" s="327"/>
      <c r="D1047" s="352"/>
      <c r="E1047" s="352"/>
      <c r="F1047" s="327"/>
      <c r="G1047" s="352"/>
      <c r="H1047" s="352"/>
      <c r="I1047" s="327"/>
      <c r="J1047" s="352"/>
      <c r="K1047" s="352"/>
      <c r="L1047" s="327"/>
      <c r="M1047" s="352"/>
      <c r="N1047" s="352"/>
      <c r="O1047" s="327"/>
      <c r="P1047" s="352"/>
      <c r="Q1047" s="352"/>
      <c r="R1047" s="327"/>
      <c r="S1047" s="352"/>
      <c r="T1047" s="352"/>
      <c r="U1047" s="327"/>
      <c r="V1047" s="352"/>
      <c r="W1047" s="352"/>
      <c r="X1047" s="327"/>
      <c r="Y1047" s="352"/>
      <c r="Z1047" s="352"/>
      <c r="AA1047" s="327"/>
      <c r="AB1047" s="352"/>
      <c r="AC1047" s="352"/>
      <c r="AD1047" s="327"/>
      <c r="AE1047" s="352"/>
      <c r="AF1047" s="352"/>
      <c r="AG1047" s="327"/>
      <c r="AH1047" s="352"/>
      <c r="AI1047" s="352"/>
      <c r="AJ1047" s="327"/>
      <c r="AK1047" s="352"/>
      <c r="AL1047" s="352"/>
      <c r="AM1047" s="327"/>
      <c r="AN1047" s="352"/>
      <c r="AO1047" s="352"/>
      <c r="AP1047" s="327"/>
      <c r="AQ1047" s="352"/>
      <c r="AR1047" s="327"/>
      <c r="AU1047" s="307"/>
      <c r="AX1047" s="307"/>
      <c r="BA1047" s="307"/>
      <c r="BC1047" s="366"/>
      <c r="BD1047" s="307"/>
      <c r="BG1047" s="307"/>
    </row>
    <row r="1048">
      <c r="A1048" s="352"/>
      <c r="B1048" s="352"/>
      <c r="C1048" s="327"/>
      <c r="D1048" s="352"/>
      <c r="E1048" s="352"/>
      <c r="F1048" s="327"/>
      <c r="G1048" s="352"/>
      <c r="H1048" s="352"/>
      <c r="I1048" s="327"/>
      <c r="J1048" s="352"/>
      <c r="K1048" s="352"/>
      <c r="L1048" s="327"/>
      <c r="M1048" s="352"/>
      <c r="N1048" s="352"/>
      <c r="O1048" s="327"/>
      <c r="P1048" s="352"/>
      <c r="Q1048" s="352"/>
      <c r="R1048" s="327"/>
      <c r="S1048" s="352"/>
      <c r="T1048" s="352"/>
      <c r="U1048" s="327"/>
      <c r="V1048" s="352"/>
      <c r="W1048" s="352"/>
      <c r="X1048" s="327"/>
      <c r="Y1048" s="352"/>
      <c r="Z1048" s="352"/>
      <c r="AA1048" s="327"/>
      <c r="AB1048" s="352"/>
      <c r="AC1048" s="352"/>
      <c r="AD1048" s="327"/>
      <c r="AE1048" s="352"/>
      <c r="AF1048" s="352"/>
      <c r="AG1048" s="327"/>
      <c r="AH1048" s="352"/>
      <c r="AI1048" s="352"/>
      <c r="AJ1048" s="327"/>
      <c r="AK1048" s="352"/>
      <c r="AL1048" s="352"/>
      <c r="AM1048" s="327"/>
      <c r="AN1048" s="352"/>
      <c r="AO1048" s="352"/>
      <c r="AP1048" s="327"/>
      <c r="AQ1048" s="352"/>
      <c r="AR1048" s="327"/>
      <c r="AU1048" s="307"/>
      <c r="AX1048" s="307"/>
      <c r="BA1048" s="307"/>
      <c r="BC1048" s="366"/>
      <c r="BD1048" s="307"/>
      <c r="BG1048" s="307"/>
    </row>
    <row r="1049">
      <c r="A1049" s="352"/>
      <c r="B1049" s="352"/>
      <c r="C1049" s="327"/>
      <c r="D1049" s="352"/>
      <c r="E1049" s="352"/>
      <c r="F1049" s="327"/>
      <c r="G1049" s="352"/>
      <c r="H1049" s="352"/>
      <c r="I1049" s="327"/>
      <c r="J1049" s="352"/>
      <c r="K1049" s="352"/>
      <c r="L1049" s="327"/>
      <c r="M1049" s="352"/>
      <c r="N1049" s="352"/>
      <c r="O1049" s="327"/>
      <c r="P1049" s="352"/>
      <c r="Q1049" s="352"/>
      <c r="R1049" s="327"/>
      <c r="S1049" s="352"/>
      <c r="T1049" s="352"/>
      <c r="U1049" s="327"/>
      <c r="V1049" s="352"/>
      <c r="W1049" s="352"/>
      <c r="X1049" s="327"/>
      <c r="Y1049" s="352"/>
      <c r="Z1049" s="352"/>
      <c r="AA1049" s="327"/>
      <c r="AB1049" s="352"/>
      <c r="AC1049" s="352"/>
      <c r="AD1049" s="327"/>
      <c r="AE1049" s="352"/>
      <c r="AF1049" s="352"/>
      <c r="AG1049" s="327"/>
      <c r="AH1049" s="352"/>
      <c r="AI1049" s="352"/>
      <c r="AJ1049" s="327"/>
      <c r="AK1049" s="352"/>
      <c r="AL1049" s="352"/>
      <c r="AM1049" s="327"/>
      <c r="AN1049" s="352"/>
      <c r="AO1049" s="352"/>
      <c r="AP1049" s="327"/>
      <c r="AQ1049" s="352"/>
      <c r="AR1049" s="327"/>
      <c r="AU1049" s="307"/>
      <c r="AX1049" s="307"/>
      <c r="BA1049" s="307"/>
      <c r="BC1049" s="366"/>
      <c r="BD1049" s="307"/>
      <c r="BG1049" s="307"/>
    </row>
    <row r="1050">
      <c r="A1050" s="352"/>
      <c r="B1050" s="352"/>
      <c r="C1050" s="327"/>
      <c r="D1050" s="352"/>
      <c r="E1050" s="352"/>
      <c r="F1050" s="327"/>
      <c r="G1050" s="352"/>
      <c r="H1050" s="352"/>
      <c r="I1050" s="327"/>
      <c r="J1050" s="352"/>
      <c r="K1050" s="352"/>
      <c r="L1050" s="327"/>
      <c r="M1050" s="352"/>
      <c r="N1050" s="352"/>
      <c r="O1050" s="327"/>
      <c r="P1050" s="352"/>
      <c r="Q1050" s="352"/>
      <c r="R1050" s="327"/>
      <c r="S1050" s="352"/>
      <c r="T1050" s="352"/>
      <c r="U1050" s="327"/>
      <c r="V1050" s="352"/>
      <c r="W1050" s="352"/>
      <c r="X1050" s="327"/>
      <c r="Y1050" s="352"/>
      <c r="Z1050" s="352"/>
      <c r="AA1050" s="327"/>
      <c r="AB1050" s="352"/>
      <c r="AC1050" s="352"/>
      <c r="AD1050" s="327"/>
      <c r="AE1050" s="352"/>
      <c r="AF1050" s="352"/>
      <c r="AG1050" s="327"/>
      <c r="AH1050" s="352"/>
      <c r="AI1050" s="352"/>
      <c r="AJ1050" s="327"/>
      <c r="AK1050" s="352"/>
      <c r="AL1050" s="352"/>
      <c r="AM1050" s="327"/>
      <c r="AN1050" s="352"/>
      <c r="AO1050" s="352"/>
      <c r="AP1050" s="327"/>
      <c r="AQ1050" s="352"/>
      <c r="AR1050" s="327"/>
      <c r="AU1050" s="307"/>
      <c r="AX1050" s="307"/>
      <c r="BA1050" s="307"/>
      <c r="BC1050" s="366"/>
      <c r="BD1050" s="307"/>
      <c r="BG1050" s="307"/>
    </row>
    <row r="1051">
      <c r="A1051" s="352"/>
      <c r="B1051" s="352"/>
      <c r="C1051" s="327"/>
      <c r="D1051" s="352"/>
      <c r="E1051" s="352"/>
      <c r="F1051" s="327"/>
      <c r="G1051" s="352"/>
      <c r="H1051" s="352"/>
      <c r="I1051" s="327"/>
      <c r="J1051" s="352"/>
      <c r="K1051" s="352"/>
      <c r="L1051" s="327"/>
      <c r="M1051" s="352"/>
      <c r="N1051" s="352"/>
      <c r="O1051" s="327"/>
      <c r="P1051" s="352"/>
      <c r="Q1051" s="352"/>
      <c r="R1051" s="327"/>
      <c r="S1051" s="352"/>
      <c r="T1051" s="352"/>
      <c r="U1051" s="327"/>
      <c r="V1051" s="352"/>
      <c r="W1051" s="352"/>
      <c r="X1051" s="327"/>
      <c r="Y1051" s="352"/>
      <c r="Z1051" s="352"/>
      <c r="AA1051" s="327"/>
      <c r="AB1051" s="352"/>
      <c r="AC1051" s="352"/>
      <c r="AD1051" s="327"/>
      <c r="AE1051" s="352"/>
      <c r="AF1051" s="352"/>
      <c r="AG1051" s="327"/>
      <c r="AH1051" s="352"/>
      <c r="AI1051" s="352"/>
      <c r="AJ1051" s="327"/>
      <c r="AK1051" s="352"/>
      <c r="AL1051" s="352"/>
      <c r="AM1051" s="327"/>
      <c r="AN1051" s="352"/>
      <c r="AO1051" s="352"/>
      <c r="AP1051" s="327"/>
      <c r="AQ1051" s="352"/>
      <c r="AR1051" s="327"/>
      <c r="AU1051" s="307"/>
      <c r="AX1051" s="307"/>
      <c r="BA1051" s="307"/>
      <c r="BC1051" s="366"/>
      <c r="BD1051" s="307"/>
      <c r="BG1051" s="307"/>
    </row>
    <row r="1052">
      <c r="A1052" s="352"/>
      <c r="B1052" s="352"/>
      <c r="C1052" s="327"/>
      <c r="D1052" s="352"/>
      <c r="E1052" s="352"/>
      <c r="F1052" s="327"/>
      <c r="G1052" s="352"/>
      <c r="H1052" s="352"/>
      <c r="I1052" s="327"/>
      <c r="J1052" s="352"/>
      <c r="K1052" s="352"/>
      <c r="L1052" s="327"/>
      <c r="M1052" s="352"/>
      <c r="N1052" s="352"/>
      <c r="O1052" s="327"/>
      <c r="P1052" s="352"/>
      <c r="Q1052" s="352"/>
      <c r="R1052" s="327"/>
      <c r="S1052" s="352"/>
      <c r="T1052" s="352"/>
      <c r="U1052" s="327"/>
      <c r="V1052" s="352"/>
      <c r="W1052" s="352"/>
      <c r="X1052" s="327"/>
      <c r="Y1052" s="352"/>
      <c r="Z1052" s="352"/>
      <c r="AA1052" s="327"/>
      <c r="AB1052" s="352"/>
      <c r="AC1052" s="352"/>
      <c r="AD1052" s="327"/>
      <c r="AE1052" s="352"/>
      <c r="AF1052" s="352"/>
      <c r="AG1052" s="327"/>
      <c r="AH1052" s="352"/>
      <c r="AI1052" s="352"/>
      <c r="AJ1052" s="327"/>
      <c r="AK1052" s="352"/>
      <c r="AL1052" s="352"/>
      <c r="AM1052" s="327"/>
      <c r="AN1052" s="352"/>
      <c r="AO1052" s="352"/>
      <c r="AP1052" s="327"/>
      <c r="AQ1052" s="352"/>
      <c r="AR1052" s="327"/>
      <c r="AU1052" s="307"/>
      <c r="AX1052" s="307"/>
      <c r="BA1052" s="307"/>
      <c r="BC1052" s="366"/>
      <c r="BD1052" s="307"/>
      <c r="BG1052" s="307"/>
    </row>
    <row r="1053">
      <c r="A1053" s="352"/>
      <c r="B1053" s="352"/>
      <c r="C1053" s="327"/>
      <c r="D1053" s="352"/>
      <c r="E1053" s="352"/>
      <c r="F1053" s="327"/>
      <c r="G1053" s="352"/>
      <c r="H1053" s="352"/>
      <c r="I1053" s="327"/>
      <c r="J1053" s="352"/>
      <c r="K1053" s="352"/>
      <c r="L1053" s="327"/>
      <c r="M1053" s="352"/>
      <c r="N1053" s="352"/>
      <c r="O1053" s="327"/>
      <c r="P1053" s="352"/>
      <c r="Q1053" s="352"/>
      <c r="R1053" s="327"/>
      <c r="S1053" s="352"/>
      <c r="T1053" s="352"/>
      <c r="U1053" s="327"/>
      <c r="V1053" s="352"/>
      <c r="W1053" s="352"/>
      <c r="X1053" s="327"/>
      <c r="Y1053" s="352"/>
      <c r="Z1053" s="352"/>
      <c r="AA1053" s="327"/>
      <c r="AB1053" s="352"/>
      <c r="AC1053" s="352"/>
      <c r="AD1053" s="327"/>
      <c r="AE1053" s="352"/>
      <c r="AF1053" s="352"/>
      <c r="AG1053" s="327"/>
      <c r="AH1053" s="352"/>
      <c r="AI1053" s="352"/>
      <c r="AJ1053" s="327"/>
      <c r="AK1053" s="352"/>
      <c r="AL1053" s="352"/>
      <c r="AM1053" s="327"/>
      <c r="AN1053" s="352"/>
      <c r="AO1053" s="352"/>
      <c r="AP1053" s="327"/>
      <c r="AQ1053" s="352"/>
      <c r="AR1053" s="327"/>
      <c r="AU1053" s="307"/>
      <c r="AX1053" s="307"/>
      <c r="BA1053" s="307"/>
      <c r="BC1053" s="366"/>
      <c r="BD1053" s="307"/>
      <c r="BG1053" s="307"/>
    </row>
    <row r="1054">
      <c r="A1054" s="352"/>
      <c r="B1054" s="352"/>
      <c r="C1054" s="327"/>
      <c r="D1054" s="352"/>
      <c r="E1054" s="352"/>
      <c r="F1054" s="327"/>
      <c r="G1054" s="352"/>
      <c r="H1054" s="352"/>
      <c r="I1054" s="327"/>
      <c r="J1054" s="352"/>
      <c r="K1054" s="352"/>
      <c r="L1054" s="327"/>
      <c r="M1054" s="352"/>
      <c r="N1054" s="352"/>
      <c r="O1054" s="327"/>
      <c r="P1054" s="352"/>
      <c r="Q1054" s="352"/>
      <c r="R1054" s="327"/>
      <c r="S1054" s="352"/>
      <c r="T1054" s="352"/>
      <c r="U1054" s="327"/>
      <c r="V1054" s="352"/>
      <c r="W1054" s="352"/>
      <c r="X1054" s="327"/>
      <c r="Y1054" s="352"/>
      <c r="Z1054" s="352"/>
      <c r="AA1054" s="327"/>
      <c r="AB1054" s="352"/>
      <c r="AC1054" s="352"/>
      <c r="AD1054" s="327"/>
      <c r="AE1054" s="352"/>
      <c r="AF1054" s="352"/>
      <c r="AG1054" s="327"/>
      <c r="AH1054" s="352"/>
      <c r="AI1054" s="352"/>
      <c r="AJ1054" s="327"/>
      <c r="AK1054" s="352"/>
      <c r="AL1054" s="352"/>
      <c r="AM1054" s="327"/>
      <c r="AN1054" s="352"/>
      <c r="AO1054" s="352"/>
      <c r="AP1054" s="327"/>
      <c r="AQ1054" s="352"/>
      <c r="AR1054" s="327"/>
      <c r="AU1054" s="307"/>
      <c r="AX1054" s="307"/>
      <c r="BA1054" s="307"/>
      <c r="BC1054" s="366"/>
      <c r="BD1054" s="307"/>
      <c r="BG1054" s="307"/>
    </row>
    <row r="1055">
      <c r="A1055" s="352"/>
      <c r="B1055" s="352"/>
      <c r="C1055" s="327"/>
      <c r="D1055" s="352"/>
      <c r="E1055" s="352"/>
      <c r="F1055" s="327"/>
      <c r="G1055" s="352"/>
      <c r="H1055" s="352"/>
      <c r="I1055" s="327"/>
      <c r="J1055" s="352"/>
      <c r="K1055" s="352"/>
      <c r="L1055" s="327"/>
      <c r="M1055" s="352"/>
      <c r="N1055" s="352"/>
      <c r="O1055" s="327"/>
      <c r="P1055" s="352"/>
      <c r="Q1055" s="352"/>
      <c r="R1055" s="327"/>
      <c r="S1055" s="352"/>
      <c r="T1055" s="352"/>
      <c r="U1055" s="327"/>
      <c r="V1055" s="352"/>
      <c r="W1055" s="352"/>
      <c r="X1055" s="327"/>
      <c r="Y1055" s="352"/>
      <c r="Z1055" s="352"/>
      <c r="AA1055" s="327"/>
      <c r="AB1055" s="352"/>
      <c r="AC1055" s="352"/>
      <c r="AD1055" s="327"/>
      <c r="AE1055" s="352"/>
      <c r="AF1055" s="352"/>
      <c r="AG1055" s="327"/>
      <c r="AH1055" s="352"/>
      <c r="AI1055" s="352"/>
      <c r="AJ1055" s="327"/>
      <c r="AK1055" s="352"/>
      <c r="AL1055" s="352"/>
      <c r="AM1055" s="327"/>
      <c r="AN1055" s="352"/>
      <c r="AO1055" s="352"/>
      <c r="AP1055" s="327"/>
      <c r="AQ1055" s="352"/>
      <c r="AR1055" s="327"/>
      <c r="AU1055" s="307"/>
      <c r="AX1055" s="307"/>
      <c r="BA1055" s="307"/>
      <c r="BC1055" s="366"/>
      <c r="BD1055" s="307"/>
      <c r="BG1055" s="307"/>
    </row>
    <row r="1056">
      <c r="A1056" s="352"/>
      <c r="B1056" s="352"/>
      <c r="C1056" s="327"/>
      <c r="D1056" s="352"/>
      <c r="E1056" s="352"/>
      <c r="F1056" s="327"/>
      <c r="G1056" s="352"/>
      <c r="H1056" s="352"/>
      <c r="I1056" s="327"/>
      <c r="J1056" s="352"/>
      <c r="K1056" s="352"/>
      <c r="L1056" s="327"/>
      <c r="M1056" s="352"/>
      <c r="N1056" s="352"/>
      <c r="O1056" s="327"/>
      <c r="P1056" s="352"/>
      <c r="Q1056" s="352"/>
      <c r="R1056" s="327"/>
      <c r="S1056" s="352"/>
      <c r="T1056" s="352"/>
      <c r="U1056" s="327"/>
      <c r="V1056" s="352"/>
      <c r="W1056" s="352"/>
      <c r="X1056" s="327"/>
      <c r="Y1056" s="352"/>
      <c r="Z1056" s="352"/>
      <c r="AA1056" s="327"/>
      <c r="AB1056" s="352"/>
      <c r="AC1056" s="352"/>
      <c r="AD1056" s="327"/>
      <c r="AE1056" s="352"/>
      <c r="AF1056" s="352"/>
      <c r="AG1056" s="327"/>
      <c r="AH1056" s="352"/>
      <c r="AI1056" s="352"/>
      <c r="AJ1056" s="327"/>
      <c r="AK1056" s="352"/>
      <c r="AL1056" s="352"/>
      <c r="AM1056" s="327"/>
      <c r="AN1056" s="352"/>
      <c r="AO1056" s="352"/>
      <c r="AP1056" s="327"/>
      <c r="AQ1056" s="352"/>
      <c r="AR1056" s="327"/>
      <c r="AU1056" s="307"/>
      <c r="AX1056" s="307"/>
      <c r="BA1056" s="307"/>
      <c r="BC1056" s="366"/>
      <c r="BD1056" s="307"/>
      <c r="BG1056" s="307"/>
    </row>
    <row r="1057">
      <c r="A1057" s="352"/>
      <c r="B1057" s="352"/>
      <c r="C1057" s="327"/>
      <c r="D1057" s="352"/>
      <c r="E1057" s="352"/>
      <c r="F1057" s="327"/>
      <c r="G1057" s="352"/>
      <c r="H1057" s="352"/>
      <c r="I1057" s="327"/>
      <c r="J1057" s="352"/>
      <c r="K1057" s="352"/>
      <c r="L1057" s="327"/>
      <c r="M1057" s="352"/>
      <c r="N1057" s="352"/>
      <c r="O1057" s="327"/>
      <c r="P1057" s="352"/>
      <c r="Q1057" s="352"/>
      <c r="R1057" s="327"/>
      <c r="S1057" s="352"/>
      <c r="T1057" s="352"/>
      <c r="U1057" s="327"/>
      <c r="V1057" s="352"/>
      <c r="W1057" s="352"/>
      <c r="X1057" s="327"/>
      <c r="Y1057" s="352"/>
      <c r="Z1057" s="352"/>
      <c r="AA1057" s="327"/>
      <c r="AB1057" s="352"/>
      <c r="AC1057" s="352"/>
      <c r="AD1057" s="327"/>
      <c r="AE1057" s="352"/>
      <c r="AF1057" s="352"/>
      <c r="AG1057" s="327"/>
      <c r="AH1057" s="352"/>
      <c r="AI1057" s="352"/>
      <c r="AJ1057" s="327"/>
      <c r="AK1057" s="352"/>
      <c r="AL1057" s="352"/>
      <c r="AM1057" s="327"/>
      <c r="AN1057" s="352"/>
      <c r="AO1057" s="352"/>
      <c r="AP1057" s="327"/>
      <c r="AQ1057" s="352"/>
      <c r="AR1057" s="327"/>
      <c r="AU1057" s="307"/>
      <c r="AX1057" s="307"/>
      <c r="BA1057" s="307"/>
      <c r="BC1057" s="366"/>
      <c r="BD1057" s="307"/>
      <c r="BG1057" s="307"/>
    </row>
    <row r="1058">
      <c r="A1058" s="352"/>
      <c r="B1058" s="352"/>
      <c r="C1058" s="327"/>
      <c r="D1058" s="352"/>
      <c r="E1058" s="352"/>
      <c r="F1058" s="327"/>
      <c r="G1058" s="352"/>
      <c r="H1058" s="352"/>
      <c r="I1058" s="327"/>
      <c r="J1058" s="352"/>
      <c r="K1058" s="352"/>
      <c r="L1058" s="327"/>
      <c r="M1058" s="352"/>
      <c r="N1058" s="352"/>
      <c r="O1058" s="327"/>
      <c r="P1058" s="352"/>
      <c r="Q1058" s="352"/>
      <c r="R1058" s="327"/>
      <c r="S1058" s="352"/>
      <c r="T1058" s="352"/>
      <c r="U1058" s="327"/>
      <c r="V1058" s="352"/>
      <c r="W1058" s="352"/>
      <c r="X1058" s="327"/>
      <c r="Y1058" s="352"/>
      <c r="Z1058" s="352"/>
      <c r="AA1058" s="327"/>
      <c r="AB1058" s="352"/>
      <c r="AC1058" s="352"/>
      <c r="AD1058" s="327"/>
      <c r="AE1058" s="352"/>
      <c r="AF1058" s="352"/>
      <c r="AG1058" s="327"/>
      <c r="AH1058" s="352"/>
      <c r="AI1058" s="352"/>
      <c r="AJ1058" s="327"/>
      <c r="AK1058" s="352"/>
      <c r="AL1058" s="352"/>
      <c r="AM1058" s="327"/>
      <c r="AN1058" s="352"/>
      <c r="AO1058" s="352"/>
      <c r="AP1058" s="327"/>
      <c r="AQ1058" s="352"/>
      <c r="AR1058" s="327"/>
      <c r="AU1058" s="307"/>
      <c r="AX1058" s="307"/>
      <c r="BA1058" s="307"/>
      <c r="BC1058" s="366"/>
      <c r="BD1058" s="307"/>
      <c r="BG1058" s="307"/>
    </row>
    <row r="1059">
      <c r="A1059" s="352"/>
      <c r="B1059" s="352"/>
      <c r="C1059" s="327"/>
      <c r="D1059" s="352"/>
      <c r="E1059" s="352"/>
      <c r="F1059" s="327"/>
      <c r="G1059" s="352"/>
      <c r="H1059" s="352"/>
      <c r="I1059" s="327"/>
      <c r="J1059" s="352"/>
      <c r="K1059" s="352"/>
      <c r="L1059" s="327"/>
      <c r="M1059" s="352"/>
      <c r="N1059" s="352"/>
      <c r="O1059" s="327"/>
      <c r="P1059" s="352"/>
      <c r="Q1059" s="352"/>
      <c r="R1059" s="327"/>
      <c r="S1059" s="352"/>
      <c r="T1059" s="352"/>
      <c r="U1059" s="327"/>
      <c r="V1059" s="352"/>
      <c r="W1059" s="352"/>
      <c r="X1059" s="327"/>
      <c r="Y1059" s="352"/>
      <c r="Z1059" s="352"/>
      <c r="AA1059" s="327"/>
      <c r="AB1059" s="352"/>
      <c r="AC1059" s="352"/>
      <c r="AD1059" s="327"/>
      <c r="AE1059" s="352"/>
      <c r="AF1059" s="352"/>
      <c r="AG1059" s="327"/>
      <c r="AH1059" s="352"/>
      <c r="AI1059" s="352"/>
      <c r="AJ1059" s="327"/>
      <c r="AK1059" s="352"/>
      <c r="AL1059" s="352"/>
      <c r="AM1059" s="327"/>
      <c r="AN1059" s="352"/>
      <c r="AO1059" s="352"/>
      <c r="AP1059" s="327"/>
      <c r="AQ1059" s="352"/>
      <c r="AR1059" s="327"/>
      <c r="AU1059" s="307"/>
      <c r="AX1059" s="307"/>
      <c r="BA1059" s="307"/>
      <c r="BC1059" s="366"/>
      <c r="BD1059" s="307"/>
      <c r="BG1059" s="307"/>
    </row>
    <row r="1060">
      <c r="A1060" s="352"/>
      <c r="B1060" s="352"/>
      <c r="C1060" s="327"/>
      <c r="D1060" s="352"/>
      <c r="E1060" s="352"/>
      <c r="F1060" s="327"/>
      <c r="G1060" s="352"/>
      <c r="H1060" s="352"/>
      <c r="I1060" s="327"/>
      <c r="J1060" s="352"/>
      <c r="K1060" s="352"/>
      <c r="L1060" s="327"/>
      <c r="M1060" s="352"/>
      <c r="N1060" s="352"/>
      <c r="O1060" s="327"/>
      <c r="P1060" s="352"/>
      <c r="Q1060" s="352"/>
      <c r="R1060" s="327"/>
      <c r="S1060" s="352"/>
      <c r="T1060" s="352"/>
      <c r="U1060" s="327"/>
      <c r="V1060" s="352"/>
      <c r="W1060" s="352"/>
      <c r="X1060" s="327"/>
      <c r="Y1060" s="352"/>
      <c r="Z1060" s="352"/>
      <c r="AA1060" s="327"/>
      <c r="AB1060" s="352"/>
      <c r="AC1060" s="352"/>
      <c r="AD1060" s="327"/>
      <c r="AE1060" s="352"/>
      <c r="AF1060" s="352"/>
      <c r="AG1060" s="327"/>
      <c r="AH1060" s="352"/>
      <c r="AI1060" s="352"/>
      <c r="AJ1060" s="327"/>
      <c r="AK1060" s="352"/>
      <c r="AL1060" s="352"/>
      <c r="AM1060" s="327"/>
      <c r="AN1060" s="352"/>
      <c r="AO1060" s="352"/>
      <c r="AP1060" s="327"/>
      <c r="AQ1060" s="352"/>
      <c r="AR1060" s="327"/>
      <c r="AU1060" s="307"/>
      <c r="AX1060" s="307"/>
      <c r="BA1060" s="307"/>
      <c r="BC1060" s="366"/>
      <c r="BD1060" s="307"/>
      <c r="BG1060" s="307"/>
    </row>
  </sheetData>
  <autoFilter ref="$G$2:$H$354">
    <sortState ref="G2:H354">
      <sortCondition ref="G2:G354"/>
    </sortState>
  </autoFilter>
  <mergeCells count="20">
    <mergeCell ref="A1:B1"/>
    <mergeCell ref="D1:E1"/>
    <mergeCell ref="G1:H1"/>
    <mergeCell ref="J1:K1"/>
    <mergeCell ref="M1:N1"/>
    <mergeCell ref="P1:Q1"/>
    <mergeCell ref="S1:T1"/>
    <mergeCell ref="AS1:AT1"/>
    <mergeCell ref="AV1:AW1"/>
    <mergeCell ref="AY1:AZ1"/>
    <mergeCell ref="BB1:BC1"/>
    <mergeCell ref="BE1:BF1"/>
    <mergeCell ref="BH1:BI1"/>
    <mergeCell ref="V1:W1"/>
    <mergeCell ref="Y1:Z1"/>
    <mergeCell ref="AB1:AC1"/>
    <mergeCell ref="AE1:AF1"/>
    <mergeCell ref="AH1:AI1"/>
    <mergeCell ref="AK1:AL1"/>
    <mergeCell ref="AN1:A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0.0"/>
    <col customWidth="1" min="2" max="2" width="15.63"/>
    <col customWidth="1" min="3" max="3" width="8.5"/>
    <col customWidth="1" min="4" max="5" width="11.5"/>
    <col customWidth="1" min="6" max="6" width="11.75"/>
    <col customWidth="1" min="7" max="7" width="5.25"/>
    <col customWidth="1" min="8" max="12" width="10.0"/>
    <col customWidth="1" min="13" max="14" width="16.25"/>
    <col customWidth="1" hidden="1" min="15" max="15" width="10.0"/>
    <col customWidth="1" min="16" max="16" width="18.13"/>
    <col customWidth="1" min="17" max="17" width="10.0"/>
    <col customWidth="1" hidden="1" min="18" max="18" width="10.0"/>
    <col customWidth="1" min="19" max="19" width="11.75"/>
    <col customWidth="1" min="20" max="20" width="65.63"/>
    <col customWidth="1" hidden="1" min="21" max="24" width="10.0"/>
    <col customWidth="1" min="25" max="25" width="10.0"/>
  </cols>
  <sheetData>
    <row r="1">
      <c r="A1" s="375" t="s">
        <v>9</v>
      </c>
      <c r="B1" s="375" t="s">
        <v>7356</v>
      </c>
      <c r="C1" s="375" t="s">
        <v>7357</v>
      </c>
      <c r="D1" s="375" t="s">
        <v>11</v>
      </c>
      <c r="E1" s="375" t="s">
        <v>12</v>
      </c>
      <c r="F1" s="375" t="s">
        <v>7358</v>
      </c>
      <c r="G1" s="376" t="s">
        <v>14</v>
      </c>
      <c r="H1" s="375" t="s">
        <v>19</v>
      </c>
      <c r="I1" s="375" t="s">
        <v>20</v>
      </c>
      <c r="J1" s="375" t="s">
        <v>21</v>
      </c>
      <c r="K1" s="375" t="s">
        <v>22</v>
      </c>
      <c r="L1" s="375" t="s">
        <v>23</v>
      </c>
      <c r="M1" s="375"/>
      <c r="N1" s="375" t="s">
        <v>25</v>
      </c>
      <c r="O1" s="375" t="s">
        <v>7359</v>
      </c>
      <c r="P1" s="375" t="s">
        <v>7360</v>
      </c>
      <c r="Q1" s="375" t="s">
        <v>7361</v>
      </c>
      <c r="R1" s="375"/>
      <c r="S1" s="375" t="s">
        <v>7362</v>
      </c>
      <c r="T1" s="375" t="s">
        <v>7363</v>
      </c>
      <c r="U1" s="375" t="s">
        <v>26</v>
      </c>
      <c r="V1" s="283"/>
      <c r="W1" s="375"/>
      <c r="X1" s="375"/>
      <c r="Y1" s="375"/>
    </row>
    <row r="2">
      <c r="A2" s="377">
        <v>45865.0</v>
      </c>
      <c r="B2" s="375" t="s">
        <v>7364</v>
      </c>
      <c r="C2" s="375" t="s">
        <v>1470</v>
      </c>
      <c r="D2" s="375" t="s">
        <v>419</v>
      </c>
      <c r="E2" s="375" t="s">
        <v>518</v>
      </c>
      <c r="F2" s="375" t="s">
        <v>7365</v>
      </c>
      <c r="G2" s="375">
        <v>1.0</v>
      </c>
      <c r="H2" s="375" t="s">
        <v>5078</v>
      </c>
      <c r="I2" s="375" t="s">
        <v>180</v>
      </c>
      <c r="J2" s="375" t="s">
        <v>5078</v>
      </c>
      <c r="K2" s="283"/>
      <c r="L2" s="283"/>
      <c r="M2" s="375" t="str">
        <f t="shared" ref="M2:M163" si="1">D2&amp;" "&amp;E2</f>
        <v>George Ferguson</v>
      </c>
      <c r="N2" s="375" t="s">
        <v>5079</v>
      </c>
      <c r="O2" s="375" t="str">
        <f t="array" ref="O2">XLOOKUP(M2,'Recruiting Form Responses'!C:C,'Recruiting Form Responses'!A:A,"",0,1)</f>
        <v/>
      </c>
      <c r="P2" s="378"/>
      <c r="Q2" s="375" t="s">
        <v>7366</v>
      </c>
      <c r="R2" s="375"/>
      <c r="S2" s="375"/>
      <c r="T2" s="375"/>
      <c r="U2" s="375" t="s">
        <v>2821</v>
      </c>
      <c r="V2" s="283"/>
      <c r="W2" s="375"/>
      <c r="X2" s="375"/>
      <c r="Y2" s="375"/>
    </row>
    <row r="3">
      <c r="A3" s="377">
        <v>45865.0</v>
      </c>
      <c r="B3" s="375" t="s">
        <v>7364</v>
      </c>
      <c r="C3" s="375" t="s">
        <v>1430</v>
      </c>
      <c r="D3" s="375" t="s">
        <v>5195</v>
      </c>
      <c r="E3" s="375" t="s">
        <v>5196</v>
      </c>
      <c r="F3" s="375" t="s">
        <v>7367</v>
      </c>
      <c r="G3" s="375">
        <v>1.0</v>
      </c>
      <c r="H3" s="375" t="s">
        <v>5197</v>
      </c>
      <c r="I3" s="375" t="s">
        <v>448</v>
      </c>
      <c r="J3" s="375" t="s">
        <v>5198</v>
      </c>
      <c r="K3" s="375"/>
      <c r="L3" s="375">
        <v>3.8</v>
      </c>
      <c r="M3" s="375" t="str">
        <f t="shared" si="1"/>
        <v>Gerad Hanle</v>
      </c>
      <c r="N3" s="375"/>
      <c r="O3" s="375" t="str">
        <f t="array" ref="O3">XLOOKUP(M3,'Recruiting Form Responses'!C:C,'Recruiting Form Responses'!A:A,"",0,1)</f>
        <v/>
      </c>
      <c r="P3" s="378"/>
      <c r="Q3" s="375" t="s">
        <v>7366</v>
      </c>
      <c r="R3" s="375"/>
      <c r="S3" s="375"/>
      <c r="T3" s="375"/>
      <c r="U3" s="375" t="s">
        <v>2821</v>
      </c>
      <c r="V3" s="283"/>
      <c r="W3" s="375"/>
      <c r="X3" s="375"/>
      <c r="Y3" s="375"/>
    </row>
    <row r="4">
      <c r="A4" s="377">
        <v>45865.0</v>
      </c>
      <c r="B4" s="375" t="s">
        <v>7364</v>
      </c>
      <c r="C4" s="375" t="s">
        <v>1395</v>
      </c>
      <c r="D4" s="375" t="s">
        <v>3732</v>
      </c>
      <c r="E4" s="375" t="s">
        <v>5131</v>
      </c>
      <c r="F4" s="375" t="s">
        <v>7368</v>
      </c>
      <c r="G4" s="375">
        <v>1.0</v>
      </c>
      <c r="H4" s="375" t="s">
        <v>3506</v>
      </c>
      <c r="I4" s="375" t="s">
        <v>66</v>
      </c>
      <c r="J4" s="375" t="s">
        <v>5133</v>
      </c>
      <c r="K4" s="375"/>
      <c r="L4" s="375">
        <v>3.8</v>
      </c>
      <c r="M4" s="375" t="str">
        <f t="shared" si="1"/>
        <v>Angelo Geraldo</v>
      </c>
      <c r="N4" s="375" t="s">
        <v>5134</v>
      </c>
      <c r="O4" s="375" t="str">
        <f t="array" ref="O4">XLOOKUP(M4,'Recruiting Form Responses'!C:C,'Recruiting Form Responses'!A:A,"",0,1)</f>
        <v/>
      </c>
      <c r="P4" s="378"/>
      <c r="Q4" s="375"/>
      <c r="R4" s="375"/>
      <c r="S4" s="375"/>
      <c r="T4" s="375"/>
      <c r="U4" s="375" t="s">
        <v>2821</v>
      </c>
      <c r="V4" s="283"/>
      <c r="W4" s="375"/>
      <c r="X4" s="375"/>
      <c r="Y4" s="375"/>
    </row>
    <row r="5">
      <c r="A5" s="377">
        <v>45865.0</v>
      </c>
      <c r="B5" s="375" t="s">
        <v>7364</v>
      </c>
      <c r="C5" s="375" t="s">
        <v>1430</v>
      </c>
      <c r="D5" s="375" t="s">
        <v>822</v>
      </c>
      <c r="E5" s="375" t="s">
        <v>5546</v>
      </c>
      <c r="F5" s="375" t="s">
        <v>7369</v>
      </c>
      <c r="G5" s="375">
        <v>1.0</v>
      </c>
      <c r="H5" s="375" t="s">
        <v>5547</v>
      </c>
      <c r="I5" s="375" t="s">
        <v>360</v>
      </c>
      <c r="J5" s="375" t="s">
        <v>5548</v>
      </c>
      <c r="K5" s="375"/>
      <c r="L5" s="375">
        <v>4.0</v>
      </c>
      <c r="M5" s="375" t="str">
        <f t="shared" si="1"/>
        <v>Hunter Minner</v>
      </c>
      <c r="N5" s="375" t="s">
        <v>5549</v>
      </c>
      <c r="O5" s="375" t="str">
        <f t="array" ref="O5">XLOOKUP(M5,'Recruiting Form Responses'!C:C,'Recruiting Form Responses'!A:A,"",0,1)</f>
        <v/>
      </c>
      <c r="P5" s="378"/>
      <c r="Q5" s="375"/>
      <c r="R5" s="375"/>
      <c r="S5" s="375"/>
      <c r="T5" s="375"/>
      <c r="U5" s="375" t="s">
        <v>2821</v>
      </c>
      <c r="V5" s="375"/>
      <c r="W5" s="375"/>
      <c r="X5" s="375"/>
      <c r="Y5" s="375"/>
    </row>
    <row r="6">
      <c r="A6" s="377">
        <v>45865.0</v>
      </c>
      <c r="B6" s="375" t="s">
        <v>7364</v>
      </c>
      <c r="C6" s="375" t="s">
        <v>1470</v>
      </c>
      <c r="D6" s="375" t="s">
        <v>971</v>
      </c>
      <c r="E6" s="375" t="s">
        <v>250</v>
      </c>
      <c r="F6" s="375" t="s">
        <v>7370</v>
      </c>
      <c r="G6" s="375">
        <v>1.0</v>
      </c>
      <c r="H6" s="375" t="s">
        <v>1765</v>
      </c>
      <c r="I6" s="375" t="s">
        <v>52</v>
      </c>
      <c r="J6" s="375" t="s">
        <v>3234</v>
      </c>
      <c r="K6" s="375"/>
      <c r="L6" s="375">
        <v>4.2</v>
      </c>
      <c r="M6" s="375" t="str">
        <f t="shared" si="1"/>
        <v>Joseph Flores</v>
      </c>
      <c r="N6" s="375" t="s">
        <v>5086</v>
      </c>
      <c r="O6" s="375" t="str">
        <f t="array" ref="O6">XLOOKUP(M6,'Recruiting Form Responses'!C:C,'Recruiting Form Responses'!A:A,"",0,1)</f>
        <v/>
      </c>
      <c r="P6" s="378"/>
      <c r="Q6" s="375"/>
      <c r="R6" s="375"/>
      <c r="S6" s="375"/>
      <c r="T6" s="375"/>
      <c r="U6" s="375" t="s">
        <v>2821</v>
      </c>
      <c r="V6" s="283"/>
      <c r="W6" s="375"/>
      <c r="X6" s="375"/>
      <c r="Y6" s="375"/>
    </row>
    <row r="7">
      <c r="A7" s="377">
        <v>45865.0</v>
      </c>
      <c r="B7" s="375" t="s">
        <v>7364</v>
      </c>
      <c r="C7" s="375" t="s">
        <v>1395</v>
      </c>
      <c r="D7" s="375" t="s">
        <v>517</v>
      </c>
      <c r="E7" s="375" t="s">
        <v>5740</v>
      </c>
      <c r="F7" s="375" t="s">
        <v>7371</v>
      </c>
      <c r="G7" s="375">
        <v>1.0</v>
      </c>
      <c r="H7" s="375" t="s">
        <v>4822</v>
      </c>
      <c r="I7" s="375" t="s">
        <v>731</v>
      </c>
      <c r="J7" s="375" t="s">
        <v>4822</v>
      </c>
      <c r="K7" s="375"/>
      <c r="L7" s="375">
        <v>3.87</v>
      </c>
      <c r="M7" s="375" t="str">
        <f t="shared" si="1"/>
        <v>Brady Sack</v>
      </c>
      <c r="N7" s="375" t="s">
        <v>5741</v>
      </c>
      <c r="O7" s="375" t="str">
        <f t="array" ref="O7">XLOOKUP(M7,'Recruiting Form Responses'!C:C,'Recruiting Form Responses'!A:A,"",0,1)</f>
        <v/>
      </c>
      <c r="P7" s="378"/>
      <c r="Q7" s="375"/>
      <c r="R7" s="375"/>
      <c r="S7" s="375"/>
      <c r="T7" s="375"/>
      <c r="U7" s="375" t="s">
        <v>2821</v>
      </c>
      <c r="V7" s="283"/>
      <c r="W7" s="375"/>
      <c r="X7" s="375"/>
      <c r="Y7" s="375"/>
    </row>
    <row r="8">
      <c r="A8" s="377">
        <v>45855.0</v>
      </c>
      <c r="B8" s="375" t="s">
        <v>7372</v>
      </c>
      <c r="C8" s="375" t="s">
        <v>1395</v>
      </c>
      <c r="D8" s="375" t="s">
        <v>2773</v>
      </c>
      <c r="E8" s="375" t="s">
        <v>2779</v>
      </c>
      <c r="F8" s="375" t="s">
        <v>7373</v>
      </c>
      <c r="G8" s="375">
        <v>1.0</v>
      </c>
      <c r="H8" s="375"/>
      <c r="I8" s="375" t="s">
        <v>85</v>
      </c>
      <c r="J8" s="375" t="s">
        <v>2801</v>
      </c>
      <c r="K8" s="375" t="s">
        <v>5089</v>
      </c>
      <c r="L8" s="375"/>
      <c r="M8" s="375" t="str">
        <f t="shared" si="1"/>
        <v>Zach Floyd</v>
      </c>
      <c r="N8" s="375" t="s">
        <v>7374</v>
      </c>
      <c r="O8" s="375" t="str">
        <f t="array" ref="O8">XLOOKUP(M8,'Recruiting Form Responses'!C:C,'Recruiting Form Responses'!A:A,"",0,1)</f>
        <v>XX</v>
      </c>
      <c r="P8" s="378"/>
      <c r="Q8" s="375" t="s">
        <v>7366</v>
      </c>
      <c r="R8" s="375"/>
      <c r="S8" s="375"/>
      <c r="T8" s="375"/>
      <c r="U8" s="375"/>
      <c r="V8" s="283"/>
      <c r="W8" s="375"/>
      <c r="X8" s="375"/>
      <c r="Y8" s="375"/>
    </row>
    <row r="9">
      <c r="A9" s="375"/>
      <c r="B9" s="375" t="s">
        <v>7375</v>
      </c>
      <c r="C9" s="375" t="s">
        <v>1395</v>
      </c>
      <c r="D9" s="375" t="s">
        <v>151</v>
      </c>
      <c r="E9" s="375" t="s">
        <v>5763</v>
      </c>
      <c r="F9" s="375" t="s">
        <v>7376</v>
      </c>
      <c r="G9" s="375">
        <v>1.0</v>
      </c>
      <c r="H9" s="283"/>
      <c r="I9" s="375" t="s">
        <v>85</v>
      </c>
      <c r="J9" s="375" t="s">
        <v>2801</v>
      </c>
      <c r="K9" s="375" t="s">
        <v>2983</v>
      </c>
      <c r="L9" s="375"/>
      <c r="M9" s="375" t="str">
        <f t="shared" si="1"/>
        <v>Lucas Sarno</v>
      </c>
      <c r="N9" s="375"/>
      <c r="O9" s="375" t="str">
        <f t="array" ref="O9">XLOOKUP(M9,'Recruiting Form Responses'!C:C,'Recruiting Form Responses'!A:A,"",0,1)</f>
        <v>XX</v>
      </c>
      <c r="P9" s="378"/>
      <c r="Q9" s="375" t="s">
        <v>7377</v>
      </c>
      <c r="R9" s="375"/>
      <c r="S9" s="375" t="s">
        <v>7378</v>
      </c>
      <c r="T9" s="375" t="s">
        <v>7379</v>
      </c>
      <c r="U9" s="375"/>
      <c r="V9" s="283"/>
      <c r="W9" s="375"/>
      <c r="X9" s="375"/>
      <c r="Y9" s="375"/>
    </row>
    <row r="10">
      <c r="A10" s="377">
        <v>45865.0</v>
      </c>
      <c r="B10" s="375" t="s">
        <v>7372</v>
      </c>
      <c r="C10" s="375" t="s">
        <v>1430</v>
      </c>
      <c r="D10" s="375" t="s">
        <v>1123</v>
      </c>
      <c r="E10" s="375" t="s">
        <v>5431</v>
      </c>
      <c r="F10" s="375" t="s">
        <v>7380</v>
      </c>
      <c r="G10" s="375">
        <v>1.0</v>
      </c>
      <c r="H10" s="375"/>
      <c r="I10" s="375" t="s">
        <v>502</v>
      </c>
      <c r="J10" s="375" t="s">
        <v>5433</v>
      </c>
      <c r="K10" s="375" t="s">
        <v>5434</v>
      </c>
      <c r="L10" s="375">
        <v>4.24</v>
      </c>
      <c r="M10" s="375" t="str">
        <f t="shared" si="1"/>
        <v>Nick Malinowski</v>
      </c>
      <c r="N10" s="375" t="s">
        <v>7381</v>
      </c>
      <c r="O10" s="375" t="str">
        <f t="array" ref="O10">XLOOKUP(M10,'Recruiting Form Responses'!C:C,'Recruiting Form Responses'!A:A,"",0,1)</f>
        <v>XX</v>
      </c>
      <c r="P10" s="378" t="s">
        <v>7382</v>
      </c>
      <c r="Q10" s="375" t="s">
        <v>7377</v>
      </c>
      <c r="R10" s="375"/>
      <c r="S10" s="377">
        <v>45883.0</v>
      </c>
      <c r="T10" s="375" t="s">
        <v>7383</v>
      </c>
      <c r="U10" s="375"/>
      <c r="V10" s="375"/>
      <c r="W10" s="375"/>
      <c r="X10" s="375"/>
      <c r="Y10" s="375"/>
    </row>
    <row r="11">
      <c r="A11" s="377">
        <v>45865.0</v>
      </c>
      <c r="B11" s="375" t="s">
        <v>7364</v>
      </c>
      <c r="C11" s="375" t="s">
        <v>1470</v>
      </c>
      <c r="D11" s="375" t="s">
        <v>673</v>
      </c>
      <c r="E11" s="375" t="s">
        <v>6052</v>
      </c>
      <c r="F11" s="375" t="s">
        <v>7384</v>
      </c>
      <c r="G11" s="375">
        <v>2.0</v>
      </c>
      <c r="H11" s="375" t="s">
        <v>6054</v>
      </c>
      <c r="I11" s="375" t="s">
        <v>112</v>
      </c>
      <c r="J11" s="375" t="s">
        <v>6055</v>
      </c>
      <c r="K11" s="375"/>
      <c r="L11" s="375">
        <v>4.0</v>
      </c>
      <c r="M11" s="375" t="str">
        <f t="shared" si="1"/>
        <v>Colin Zimbelman</v>
      </c>
      <c r="N11" s="375" t="s">
        <v>6056</v>
      </c>
      <c r="O11" s="375" t="str">
        <f t="array" ref="O11">XLOOKUP(M11,'Recruiting Form Responses'!C:C,'Recruiting Form Responses'!A:A,"",0,1)</f>
        <v>XX</v>
      </c>
      <c r="P11" s="378" t="s">
        <v>6053</v>
      </c>
      <c r="Q11" s="375" t="s">
        <v>7377</v>
      </c>
      <c r="R11" s="375"/>
      <c r="S11" s="375"/>
      <c r="T11" s="375"/>
      <c r="U11" s="375" t="s">
        <v>2821</v>
      </c>
      <c r="V11" s="283"/>
      <c r="W11" s="375"/>
      <c r="X11" s="375"/>
      <c r="Y11" s="375"/>
    </row>
    <row r="12">
      <c r="A12" s="377">
        <v>45865.0</v>
      </c>
      <c r="B12" s="375" t="s">
        <v>7364</v>
      </c>
      <c r="C12" s="375" t="s">
        <v>1395</v>
      </c>
      <c r="D12" s="375" t="s">
        <v>696</v>
      </c>
      <c r="E12" s="375" t="s">
        <v>5509</v>
      </c>
      <c r="F12" s="375" t="s">
        <v>7385</v>
      </c>
      <c r="G12" s="375">
        <v>1.0</v>
      </c>
      <c r="H12" s="375" t="s">
        <v>5511</v>
      </c>
      <c r="I12" s="375" t="s">
        <v>1575</v>
      </c>
      <c r="J12" s="375" t="s">
        <v>5512</v>
      </c>
      <c r="K12" s="375"/>
      <c r="L12" s="375">
        <v>3.8</v>
      </c>
      <c r="M12" s="375" t="str">
        <f t="shared" si="1"/>
        <v>Cooper McGowan</v>
      </c>
      <c r="N12" s="375" t="s">
        <v>5513</v>
      </c>
      <c r="O12" s="375" t="str">
        <f t="array" ref="O12">XLOOKUP(M12,'Recruiting Form Responses'!C:C,'Recruiting Form Responses'!A:A,"",0,1)</f>
        <v/>
      </c>
      <c r="P12" s="378"/>
      <c r="Q12" s="375"/>
      <c r="R12" s="375"/>
      <c r="S12" s="375"/>
      <c r="T12" s="375"/>
      <c r="U12" s="375" t="s">
        <v>2821</v>
      </c>
      <c r="V12" s="283"/>
      <c r="W12" s="375"/>
      <c r="X12" s="375"/>
      <c r="Y12" s="375"/>
    </row>
    <row r="13">
      <c r="A13" s="377">
        <v>45865.0</v>
      </c>
      <c r="B13" s="375" t="s">
        <v>7364</v>
      </c>
      <c r="C13" s="375" t="s">
        <v>1470</v>
      </c>
      <c r="D13" s="375" t="s">
        <v>1051</v>
      </c>
      <c r="E13" s="375" t="s">
        <v>2958</v>
      </c>
      <c r="F13" s="375" t="s">
        <v>7386</v>
      </c>
      <c r="G13" s="375">
        <v>1.0</v>
      </c>
      <c r="H13" s="375" t="s">
        <v>5596</v>
      </c>
      <c r="I13" s="375" t="s">
        <v>286</v>
      </c>
      <c r="J13" s="375" t="s">
        <v>482</v>
      </c>
      <c r="K13" s="283"/>
      <c r="L13" s="283"/>
      <c r="M13" s="375" t="str">
        <f t="shared" si="1"/>
        <v>Mac Morris</v>
      </c>
      <c r="N13" s="375" t="s">
        <v>5597</v>
      </c>
      <c r="O13" s="375" t="str">
        <f t="array" ref="O13">XLOOKUP(M13,'Recruiting Form Responses'!C:C,'Recruiting Form Responses'!A:A,"",0,1)</f>
        <v/>
      </c>
      <c r="P13" s="378"/>
      <c r="Q13" s="375"/>
      <c r="R13" s="375"/>
      <c r="S13" s="375"/>
      <c r="T13" s="375"/>
      <c r="U13" s="375" t="s">
        <v>2821</v>
      </c>
      <c r="V13" s="375"/>
      <c r="W13" s="375"/>
      <c r="X13" s="375"/>
      <c r="Y13" s="375"/>
    </row>
    <row r="14">
      <c r="A14" s="375"/>
      <c r="B14" s="375" t="s">
        <v>7375</v>
      </c>
      <c r="C14" s="375" t="s">
        <v>1395</v>
      </c>
      <c r="D14" s="375" t="s">
        <v>424</v>
      </c>
      <c r="E14" s="375" t="s">
        <v>5878</v>
      </c>
      <c r="F14" s="375" t="s">
        <v>7387</v>
      </c>
      <c r="G14" s="375">
        <v>2.0</v>
      </c>
      <c r="H14" s="283"/>
      <c r="I14" s="375" t="s">
        <v>160</v>
      </c>
      <c r="J14" s="375" t="s">
        <v>5880</v>
      </c>
      <c r="K14" s="375" t="s">
        <v>5881</v>
      </c>
      <c r="L14" s="375"/>
      <c r="M14" s="375" t="str">
        <f t="shared" si="1"/>
        <v>Jack Swanson</v>
      </c>
      <c r="N14" s="375"/>
      <c r="O14" s="375" t="str">
        <f t="array" ref="O14">XLOOKUP(M14,'Recruiting Form Responses'!C:C,'Recruiting Form Responses'!A:A,"",0,1)</f>
        <v>XX</v>
      </c>
      <c r="P14" s="378"/>
      <c r="Q14" s="375" t="s">
        <v>7377</v>
      </c>
      <c r="R14" s="375"/>
      <c r="S14" s="375" t="s">
        <v>7388</v>
      </c>
      <c r="T14" s="375" t="s">
        <v>7389</v>
      </c>
      <c r="U14" s="375"/>
      <c r="V14" s="283"/>
      <c r="W14" s="375"/>
      <c r="X14" s="375"/>
      <c r="Y14" s="375"/>
    </row>
    <row r="15">
      <c r="A15" s="377">
        <v>45865.0</v>
      </c>
      <c r="B15" s="375" t="s">
        <v>7364</v>
      </c>
      <c r="C15" s="375" t="s">
        <v>1395</v>
      </c>
      <c r="D15" s="375" t="s">
        <v>988</v>
      </c>
      <c r="E15" s="375" t="s">
        <v>5706</v>
      </c>
      <c r="F15" s="375" t="s">
        <v>7390</v>
      </c>
      <c r="G15" s="375">
        <v>1.0</v>
      </c>
      <c r="H15" s="375" t="s">
        <v>5708</v>
      </c>
      <c r="I15" s="375" t="s">
        <v>1968</v>
      </c>
      <c r="J15" s="375" t="s">
        <v>5709</v>
      </c>
      <c r="K15" s="375"/>
      <c r="L15" s="375">
        <v>4.0</v>
      </c>
      <c r="M15" s="375" t="str">
        <f t="shared" si="1"/>
        <v>Justin Rodrigues</v>
      </c>
      <c r="N15" s="375" t="s">
        <v>5710</v>
      </c>
      <c r="O15" s="375" t="str">
        <f t="array" ref="O15">XLOOKUP(M15,'Recruiting Form Responses'!C:C,'Recruiting Form Responses'!A:A,"",0,1)</f>
        <v/>
      </c>
      <c r="P15" s="378"/>
      <c r="Q15" s="375"/>
      <c r="R15" s="375"/>
      <c r="S15" s="375"/>
      <c r="T15" s="375"/>
      <c r="U15" s="375" t="s">
        <v>2821</v>
      </c>
      <c r="V15" s="283"/>
      <c r="W15" s="375"/>
      <c r="X15" s="375"/>
      <c r="Y15" s="375"/>
    </row>
    <row r="16">
      <c r="A16" s="377">
        <v>45865.0</v>
      </c>
      <c r="B16" s="375" t="s">
        <v>7364</v>
      </c>
      <c r="C16" s="375" t="s">
        <v>1395</v>
      </c>
      <c r="D16" s="375" t="s">
        <v>556</v>
      </c>
      <c r="E16" s="375" t="s">
        <v>4739</v>
      </c>
      <c r="F16" s="375" t="s">
        <v>7391</v>
      </c>
      <c r="G16" s="375">
        <v>1.0</v>
      </c>
      <c r="H16" s="375" t="s">
        <v>4741</v>
      </c>
      <c r="I16" s="375" t="s">
        <v>66</v>
      </c>
      <c r="J16" s="375" t="s">
        <v>4742</v>
      </c>
      <c r="K16" s="375"/>
      <c r="L16" s="375">
        <v>3.9</v>
      </c>
      <c r="M16" s="375" t="str">
        <f t="shared" si="1"/>
        <v>Brody Baxmann</v>
      </c>
      <c r="N16" s="375" t="s">
        <v>4743</v>
      </c>
      <c r="O16" s="375" t="str">
        <f t="array" ref="O16">XLOOKUP(M16,'Recruiting Form Responses'!C:C,'Recruiting Form Responses'!A:A,"",0,1)</f>
        <v/>
      </c>
      <c r="P16" s="378"/>
      <c r="Q16" s="375"/>
      <c r="R16" s="375"/>
      <c r="S16" s="375"/>
      <c r="T16" s="375"/>
      <c r="U16" s="375" t="s">
        <v>2821</v>
      </c>
      <c r="V16" s="283"/>
      <c r="W16" s="375"/>
      <c r="X16" s="375"/>
      <c r="Y16" s="375"/>
    </row>
    <row r="17">
      <c r="A17" s="375"/>
      <c r="B17" s="375" t="s">
        <v>7372</v>
      </c>
      <c r="C17" s="375" t="s">
        <v>1430</v>
      </c>
      <c r="D17" s="375" t="s">
        <v>1302</v>
      </c>
      <c r="E17" s="375" t="s">
        <v>3267</v>
      </c>
      <c r="F17" s="375" t="s">
        <v>7392</v>
      </c>
      <c r="G17" s="375">
        <v>2.0</v>
      </c>
      <c r="H17" s="375"/>
      <c r="I17" s="375" t="s">
        <v>585</v>
      </c>
      <c r="J17" s="375" t="s">
        <v>3268</v>
      </c>
      <c r="K17" s="375" t="s">
        <v>113</v>
      </c>
      <c r="L17" s="375" t="s">
        <v>3269</v>
      </c>
      <c r="M17" s="375" t="str">
        <f t="shared" si="1"/>
        <v>Wyatt Libbert</v>
      </c>
      <c r="N17" s="375" t="s">
        <v>7393</v>
      </c>
      <c r="O17" s="375" t="str">
        <f t="array" ref="O17">XLOOKUP(M17,'Recruiting Form Responses'!C:C,'Recruiting Form Responses'!A:A,"",0,1)</f>
        <v/>
      </c>
      <c r="P17" s="378"/>
      <c r="Q17" s="375"/>
      <c r="R17" s="375"/>
      <c r="S17" s="375"/>
      <c r="T17" s="375"/>
      <c r="U17" s="375"/>
      <c r="V17" s="283"/>
      <c r="W17" s="375"/>
      <c r="X17" s="375"/>
      <c r="Y17" s="375"/>
    </row>
    <row r="18">
      <c r="A18" s="377">
        <v>45865.0</v>
      </c>
      <c r="B18" s="375" t="s">
        <v>7364</v>
      </c>
      <c r="C18" s="375" t="s">
        <v>1395</v>
      </c>
      <c r="D18" s="375" t="s">
        <v>249</v>
      </c>
      <c r="E18" s="375" t="s">
        <v>3312</v>
      </c>
      <c r="F18" s="375" t="s">
        <v>7394</v>
      </c>
      <c r="G18" s="375">
        <v>2.0</v>
      </c>
      <c r="H18" s="375" t="s">
        <v>3286</v>
      </c>
      <c r="I18" s="375" t="s">
        <v>112</v>
      </c>
      <c r="J18" s="375" t="s">
        <v>3313</v>
      </c>
      <c r="K18" s="283"/>
      <c r="L18" s="283"/>
      <c r="M18" s="375" t="str">
        <f t="shared" si="1"/>
        <v>Drew Pittman</v>
      </c>
      <c r="N18" s="375" t="s">
        <v>3314</v>
      </c>
      <c r="O18" s="375" t="str">
        <f t="array" ref="O18">XLOOKUP(M18,'Recruiting Form Responses'!C:C,'Recruiting Form Responses'!A:A,"",0,1)</f>
        <v/>
      </c>
      <c r="P18" s="378"/>
      <c r="Q18" s="375"/>
      <c r="R18" s="375"/>
      <c r="S18" s="375"/>
      <c r="T18" s="375"/>
      <c r="U18" s="375" t="s">
        <v>2821</v>
      </c>
      <c r="V18" s="283"/>
      <c r="W18" s="375"/>
      <c r="X18" s="375"/>
      <c r="Y18" s="375"/>
    </row>
    <row r="19">
      <c r="A19" s="377">
        <v>45865.0</v>
      </c>
      <c r="B19" s="375" t="s">
        <v>7364</v>
      </c>
      <c r="C19" s="375" t="s">
        <v>1430</v>
      </c>
      <c r="D19" s="375" t="s">
        <v>805</v>
      </c>
      <c r="E19" s="375" t="s">
        <v>816</v>
      </c>
      <c r="F19" s="375" t="s">
        <v>7395</v>
      </c>
      <c r="G19" s="375">
        <v>1.0</v>
      </c>
      <c r="H19" s="375" t="s">
        <v>5231</v>
      </c>
      <c r="I19" s="375" t="s">
        <v>543</v>
      </c>
      <c r="J19" s="375" t="s">
        <v>5232</v>
      </c>
      <c r="K19" s="375"/>
      <c r="L19" s="375">
        <v>4.0</v>
      </c>
      <c r="M19" s="375" t="str">
        <f t="shared" si="1"/>
        <v>Hayden Henry</v>
      </c>
      <c r="N19" s="375" t="s">
        <v>5233</v>
      </c>
      <c r="O19" s="375" t="str">
        <f t="array" ref="O19">XLOOKUP(M19,'Recruiting Form Responses'!C:C,'Recruiting Form Responses'!A:A,"",0,1)</f>
        <v/>
      </c>
      <c r="P19" s="378"/>
      <c r="Q19" s="375"/>
      <c r="R19" s="375"/>
      <c r="S19" s="375"/>
      <c r="T19" s="375" t="s">
        <v>7396</v>
      </c>
      <c r="U19" s="375" t="s">
        <v>2821</v>
      </c>
      <c r="V19" s="283"/>
      <c r="W19" s="375"/>
      <c r="X19" s="375"/>
      <c r="Y19" s="375"/>
    </row>
    <row r="20">
      <c r="A20" s="377">
        <v>45865.0</v>
      </c>
      <c r="B20" s="375" t="s">
        <v>7364</v>
      </c>
      <c r="C20" s="375" t="s">
        <v>1470</v>
      </c>
      <c r="D20" s="375" t="s">
        <v>3135</v>
      </c>
      <c r="E20" s="375" t="s">
        <v>3136</v>
      </c>
      <c r="F20" s="375" t="s">
        <v>7397</v>
      </c>
      <c r="G20" s="375">
        <v>2.0</v>
      </c>
      <c r="H20" s="375" t="s">
        <v>2859</v>
      </c>
      <c r="I20" s="375" t="s">
        <v>52</v>
      </c>
      <c r="J20" s="375" t="s">
        <v>3137</v>
      </c>
      <c r="K20" s="375"/>
      <c r="L20" s="375">
        <v>3.7</v>
      </c>
      <c r="M20" s="375" t="str">
        <f t="shared" si="1"/>
        <v>Cruz Garcia</v>
      </c>
      <c r="N20" s="379" t="s">
        <v>3138</v>
      </c>
      <c r="O20" s="375" t="str">
        <f t="array" ref="O20">XLOOKUP(M20,'Recruiting Form Responses'!C:C,'Recruiting Form Responses'!A:A,"",0,1)</f>
        <v/>
      </c>
      <c r="P20" s="378"/>
      <c r="Q20" s="375"/>
      <c r="R20" s="375"/>
      <c r="S20" s="375"/>
      <c r="T20" s="375"/>
      <c r="U20" s="375" t="s">
        <v>2821</v>
      </c>
      <c r="V20" s="283"/>
      <c r="W20" s="375"/>
      <c r="X20" s="375"/>
      <c r="Y20" s="375"/>
    </row>
    <row r="21">
      <c r="A21" s="377">
        <v>45865.0</v>
      </c>
      <c r="B21" s="375" t="s">
        <v>7364</v>
      </c>
      <c r="C21" s="375" t="s">
        <v>1470</v>
      </c>
      <c r="D21" s="375" t="s">
        <v>5751</v>
      </c>
      <c r="E21" s="375" t="s">
        <v>5752</v>
      </c>
      <c r="F21" s="375" t="s">
        <v>7398</v>
      </c>
      <c r="G21" s="375">
        <v>1.0</v>
      </c>
      <c r="H21" s="375" t="s">
        <v>5753</v>
      </c>
      <c r="I21" s="375" t="s">
        <v>125</v>
      </c>
      <c r="J21" s="375" t="s">
        <v>5754</v>
      </c>
      <c r="K21" s="375"/>
      <c r="L21" s="375">
        <v>4.0</v>
      </c>
      <c r="M21" s="375" t="str">
        <f t="shared" si="1"/>
        <v>Daniel Sanchez</v>
      </c>
      <c r="N21" s="375" t="s">
        <v>5755</v>
      </c>
      <c r="O21" s="375" t="str">
        <f t="array" ref="O21">XLOOKUP(M21,'Recruiting Form Responses'!C:C,'Recruiting Form Responses'!A:A,"",0,1)</f>
        <v/>
      </c>
      <c r="P21" s="378"/>
      <c r="Q21" s="375"/>
      <c r="R21" s="375"/>
      <c r="S21" s="375"/>
      <c r="T21" s="375"/>
      <c r="U21" s="375" t="s">
        <v>2821</v>
      </c>
      <c r="V21" s="283"/>
      <c r="W21" s="375"/>
      <c r="X21" s="375"/>
      <c r="Y21" s="375"/>
    </row>
    <row r="22">
      <c r="A22" s="377">
        <v>45865.0</v>
      </c>
      <c r="B22" s="375" t="s">
        <v>7364</v>
      </c>
      <c r="C22" s="375" t="s">
        <v>1395</v>
      </c>
      <c r="D22" s="375" t="s">
        <v>136</v>
      </c>
      <c r="E22" s="375" t="s">
        <v>951</v>
      </c>
      <c r="F22" s="375" t="s">
        <v>7399</v>
      </c>
      <c r="G22" s="375">
        <v>1.0</v>
      </c>
      <c r="H22" s="375" t="s">
        <v>5381</v>
      </c>
      <c r="I22" s="375" t="s">
        <v>698</v>
      </c>
      <c r="J22" s="375" t="s">
        <v>5382</v>
      </c>
      <c r="K22" s="375"/>
      <c r="L22" s="375">
        <v>3.6</v>
      </c>
      <c r="M22" s="375" t="str">
        <f t="shared" si="1"/>
        <v>Jake Lopez</v>
      </c>
      <c r="N22" s="375" t="s">
        <v>5383</v>
      </c>
      <c r="O22" s="375" t="str">
        <f t="array" ref="O22">XLOOKUP(M22,'Recruiting Form Responses'!C:C,'Recruiting Form Responses'!A:A,"",0,1)</f>
        <v>XX</v>
      </c>
      <c r="P22" s="378" t="s">
        <v>2904</v>
      </c>
      <c r="Q22" s="375" t="s">
        <v>7366</v>
      </c>
      <c r="R22" s="375"/>
      <c r="S22" s="380">
        <v>45869.416666666664</v>
      </c>
      <c r="T22" s="375" t="s">
        <v>7400</v>
      </c>
      <c r="U22" s="375" t="s">
        <v>2821</v>
      </c>
      <c r="V22" s="283"/>
      <c r="W22" s="375"/>
      <c r="X22" s="375"/>
      <c r="Y22" s="375"/>
    </row>
    <row r="23">
      <c r="A23" s="377">
        <v>45865.0</v>
      </c>
      <c r="B23" s="375" t="s">
        <v>7364</v>
      </c>
      <c r="C23" s="375" t="s">
        <v>1470</v>
      </c>
      <c r="D23" s="375" t="s">
        <v>432</v>
      </c>
      <c r="E23" s="375" t="s">
        <v>1782</v>
      </c>
      <c r="F23" s="375" t="s">
        <v>7401</v>
      </c>
      <c r="G23" s="375">
        <v>1.0</v>
      </c>
      <c r="H23" s="375" t="s">
        <v>5788</v>
      </c>
      <c r="I23" s="375" t="s">
        <v>174</v>
      </c>
      <c r="J23" s="375" t="s">
        <v>579</v>
      </c>
      <c r="K23" s="283"/>
      <c r="L23" s="283"/>
      <c r="M23" s="375" t="str">
        <f t="shared" si="1"/>
        <v>Jackson Shepherd</v>
      </c>
      <c r="N23" s="375" t="s">
        <v>5789</v>
      </c>
      <c r="O23" s="375" t="str">
        <f t="array" ref="O23">XLOOKUP(M23,'Recruiting Form Responses'!C:C,'Recruiting Form Responses'!A:A,"",0,1)</f>
        <v/>
      </c>
      <c r="P23" s="378" t="s">
        <v>7402</v>
      </c>
      <c r="Q23" s="375" t="s">
        <v>7377</v>
      </c>
      <c r="R23" s="375"/>
      <c r="S23" s="375"/>
      <c r="T23" s="375"/>
      <c r="U23" s="375" t="s">
        <v>2821</v>
      </c>
      <c r="V23" s="283"/>
      <c r="W23" s="375"/>
      <c r="X23" s="375"/>
      <c r="Y23" s="375"/>
    </row>
    <row r="24">
      <c r="A24" s="377">
        <v>45865.0</v>
      </c>
      <c r="B24" s="375" t="s">
        <v>7364</v>
      </c>
      <c r="C24" s="375" t="s">
        <v>1395</v>
      </c>
      <c r="D24" s="375" t="s">
        <v>2995</v>
      </c>
      <c r="E24" s="375" t="s">
        <v>5651</v>
      </c>
      <c r="F24" s="375" t="s">
        <v>7403</v>
      </c>
      <c r="G24" s="375">
        <v>1.0</v>
      </c>
      <c r="H24" s="375" t="s">
        <v>3630</v>
      </c>
      <c r="I24" s="375" t="s">
        <v>319</v>
      </c>
      <c r="J24" s="375" t="s">
        <v>5653</v>
      </c>
      <c r="K24" s="375"/>
      <c r="L24" s="375">
        <v>3.77</v>
      </c>
      <c r="M24" s="375" t="str">
        <f t="shared" si="1"/>
        <v>Grady Openden</v>
      </c>
      <c r="N24" s="375" t="s">
        <v>5654</v>
      </c>
      <c r="O24" s="375" t="str">
        <f t="array" ref="O24">XLOOKUP(M24,'Recruiting Form Responses'!C:C,'Recruiting Form Responses'!A:A,"",0,1)</f>
        <v>XX</v>
      </c>
      <c r="P24" s="378" t="s">
        <v>1994</v>
      </c>
      <c r="Q24" s="375" t="s">
        <v>7377</v>
      </c>
      <c r="R24" s="375"/>
      <c r="S24" s="375" t="s">
        <v>7404</v>
      </c>
      <c r="T24" s="375" t="s">
        <v>7405</v>
      </c>
      <c r="U24" s="375" t="s">
        <v>2821</v>
      </c>
      <c r="V24" s="283"/>
      <c r="W24" s="375"/>
      <c r="X24" s="375"/>
      <c r="Y24" s="375"/>
    </row>
    <row r="25">
      <c r="A25" s="377">
        <v>45865.0</v>
      </c>
      <c r="B25" s="375" t="s">
        <v>7364</v>
      </c>
      <c r="C25" s="375" t="s">
        <v>1470</v>
      </c>
      <c r="D25" s="375" t="s">
        <v>5113</v>
      </c>
      <c r="E25" s="375" t="s">
        <v>781</v>
      </c>
      <c r="F25" s="375" t="s">
        <v>7406</v>
      </c>
      <c r="G25" s="375">
        <v>2.0</v>
      </c>
      <c r="H25" s="375" t="s">
        <v>3842</v>
      </c>
      <c r="I25" s="375" t="s">
        <v>180</v>
      </c>
      <c r="J25" s="375" t="s">
        <v>5114</v>
      </c>
      <c r="K25" s="283"/>
      <c r="L25" s="283"/>
      <c r="M25" s="375" t="str">
        <f t="shared" si="1"/>
        <v>Selvin Garrett</v>
      </c>
      <c r="N25" s="375" t="s">
        <v>5115</v>
      </c>
      <c r="O25" s="375" t="str">
        <f t="array" ref="O25">XLOOKUP(M25,'Recruiting Form Responses'!C:C,'Recruiting Form Responses'!A:A,"",0,1)</f>
        <v/>
      </c>
      <c r="P25" s="378"/>
      <c r="Q25" s="375"/>
      <c r="R25" s="375"/>
      <c r="S25" s="375"/>
      <c r="T25" s="375"/>
      <c r="U25" s="375" t="s">
        <v>2821</v>
      </c>
      <c r="V25" s="283"/>
      <c r="W25" s="375"/>
      <c r="X25" s="375"/>
      <c r="Y25" s="375"/>
    </row>
    <row r="26">
      <c r="A26" s="377">
        <v>45865.0</v>
      </c>
      <c r="B26" s="375" t="s">
        <v>7364</v>
      </c>
      <c r="C26" s="375" t="s">
        <v>1470</v>
      </c>
      <c r="D26" s="375" t="s">
        <v>432</v>
      </c>
      <c r="E26" s="375" t="s">
        <v>5782</v>
      </c>
      <c r="F26" s="375" t="s">
        <v>7407</v>
      </c>
      <c r="G26" s="375">
        <v>1.0</v>
      </c>
      <c r="H26" s="375" t="s">
        <v>5784</v>
      </c>
      <c r="I26" s="375" t="s">
        <v>529</v>
      </c>
      <c r="J26" s="375" t="s">
        <v>5785</v>
      </c>
      <c r="K26" s="375"/>
      <c r="L26" s="375">
        <v>3.8</v>
      </c>
      <c r="M26" s="375" t="str">
        <f t="shared" si="1"/>
        <v>Jackson Schilling</v>
      </c>
      <c r="N26" s="375" t="s">
        <v>5786</v>
      </c>
      <c r="O26" s="375" t="str">
        <f t="array" ref="O26">XLOOKUP(M26,'Recruiting Form Responses'!C:C,'Recruiting Form Responses'!A:A,"",0,1)</f>
        <v/>
      </c>
      <c r="P26" s="378"/>
      <c r="Q26" s="375"/>
      <c r="R26" s="375"/>
      <c r="S26" s="375"/>
      <c r="T26" s="375"/>
      <c r="U26" s="375" t="s">
        <v>2821</v>
      </c>
      <c r="V26" s="283"/>
      <c r="W26" s="375"/>
      <c r="X26" s="375"/>
      <c r="Y26" s="375"/>
    </row>
    <row r="27">
      <c r="A27" s="377">
        <v>45865.0</v>
      </c>
      <c r="B27" s="375" t="s">
        <v>7364</v>
      </c>
      <c r="C27" s="375" t="s">
        <v>1395</v>
      </c>
      <c r="D27" s="375" t="s">
        <v>457</v>
      </c>
      <c r="E27" s="375" t="s">
        <v>5886</v>
      </c>
      <c r="F27" s="375" t="s">
        <v>7408</v>
      </c>
      <c r="G27" s="375">
        <v>1.0</v>
      </c>
      <c r="H27" s="375" t="s">
        <v>5888</v>
      </c>
      <c r="I27" s="375" t="s">
        <v>307</v>
      </c>
      <c r="J27" s="375" t="s">
        <v>5888</v>
      </c>
      <c r="K27" s="375"/>
      <c r="L27" s="375">
        <v>4.5</v>
      </c>
      <c r="M27" s="375" t="str">
        <f t="shared" si="1"/>
        <v>Andrew Talbert</v>
      </c>
      <c r="N27" s="375" t="s">
        <v>5889</v>
      </c>
      <c r="O27" s="375" t="str">
        <f t="array" ref="O27">XLOOKUP(M27,'Recruiting Form Responses'!C:C,'Recruiting Form Responses'!A:A,"",0,1)</f>
        <v/>
      </c>
      <c r="P27" s="378"/>
      <c r="Q27" s="375"/>
      <c r="R27" s="375"/>
      <c r="S27" s="375"/>
      <c r="T27" s="375"/>
      <c r="U27" s="375" t="s">
        <v>2821</v>
      </c>
      <c r="V27" s="283"/>
      <c r="W27" s="375"/>
      <c r="X27" s="375"/>
      <c r="Y27" s="375"/>
    </row>
    <row r="28">
      <c r="A28" s="377">
        <v>45865.0</v>
      </c>
      <c r="B28" s="375" t="s">
        <v>7364</v>
      </c>
      <c r="C28" s="375" t="s">
        <v>1470</v>
      </c>
      <c r="D28" s="375" t="s">
        <v>4879</v>
      </c>
      <c r="E28" s="375" t="s">
        <v>4880</v>
      </c>
      <c r="F28" s="375" t="s">
        <v>7406</v>
      </c>
      <c r="G28" s="375">
        <v>1.0</v>
      </c>
      <c r="H28" s="375" t="s">
        <v>4881</v>
      </c>
      <c r="I28" s="375" t="s">
        <v>180</v>
      </c>
      <c r="J28" s="375" t="s">
        <v>3751</v>
      </c>
      <c r="K28" s="375"/>
      <c r="L28" s="375">
        <v>4.0</v>
      </c>
      <c r="M28" s="375" t="str">
        <f t="shared" si="1"/>
        <v>Kenson Buth</v>
      </c>
      <c r="N28" s="375" t="s">
        <v>4882</v>
      </c>
      <c r="O28" s="375" t="str">
        <f t="array" ref="O28">XLOOKUP(M28,'Recruiting Form Responses'!C:C,'Recruiting Form Responses'!A:A,"",0,1)</f>
        <v/>
      </c>
      <c r="P28" s="378" t="s">
        <v>7409</v>
      </c>
      <c r="Q28" s="375" t="s">
        <v>7377</v>
      </c>
      <c r="R28" s="375"/>
      <c r="S28" s="375"/>
      <c r="T28" s="375" t="s">
        <v>7410</v>
      </c>
      <c r="U28" s="375" t="s">
        <v>2821</v>
      </c>
      <c r="V28" s="283"/>
      <c r="W28" s="375"/>
      <c r="X28" s="375"/>
      <c r="Y28" s="375"/>
    </row>
    <row r="29">
      <c r="A29" s="377">
        <v>45865.0</v>
      </c>
      <c r="B29" s="375" t="s">
        <v>7364</v>
      </c>
      <c r="C29" s="375" t="s">
        <v>1430</v>
      </c>
      <c r="D29" s="375" t="s">
        <v>3439</v>
      </c>
      <c r="E29" s="375" t="s">
        <v>409</v>
      </c>
      <c r="F29" s="375" t="s">
        <v>7411</v>
      </c>
      <c r="G29" s="375">
        <v>1.0</v>
      </c>
      <c r="H29" s="375" t="s">
        <v>3440</v>
      </c>
      <c r="I29" s="375" t="s">
        <v>543</v>
      </c>
      <c r="J29" s="375" t="s">
        <v>3441</v>
      </c>
      <c r="K29" s="375"/>
      <c r="L29" s="375">
        <v>4.3</v>
      </c>
      <c r="M29" s="375" t="str">
        <f t="shared" si="1"/>
        <v>Ari Wells</v>
      </c>
      <c r="N29" s="375" t="s">
        <v>3443</v>
      </c>
      <c r="O29" s="375" t="str">
        <f t="array" ref="O29">XLOOKUP(M29,'Recruiting Form Responses'!C:C,'Recruiting Form Responses'!A:A,"",0,1)</f>
        <v/>
      </c>
      <c r="P29" s="378"/>
      <c r="Q29" s="375"/>
      <c r="R29" s="375"/>
      <c r="S29" s="375"/>
      <c r="T29" s="375"/>
      <c r="U29" s="375" t="s">
        <v>2821</v>
      </c>
      <c r="V29" s="375"/>
      <c r="W29" s="375"/>
      <c r="X29" s="375"/>
      <c r="Y29" s="375"/>
    </row>
    <row r="30">
      <c r="A30" s="375"/>
      <c r="B30" s="375" t="s">
        <v>7375</v>
      </c>
      <c r="C30" s="375" t="s">
        <v>1430</v>
      </c>
      <c r="D30" s="375" t="s">
        <v>284</v>
      </c>
      <c r="E30" s="375" t="s">
        <v>5215</v>
      </c>
      <c r="F30" s="375"/>
      <c r="G30" s="375">
        <v>2.0</v>
      </c>
      <c r="H30" s="375"/>
      <c r="I30" s="375" t="s">
        <v>66</v>
      </c>
      <c r="J30" s="375" t="s">
        <v>4663</v>
      </c>
      <c r="K30" s="375" t="s">
        <v>1539</v>
      </c>
      <c r="L30" s="375" t="s">
        <v>5216</v>
      </c>
      <c r="M30" s="375" t="str">
        <f t="shared" si="1"/>
        <v>Jacob Henderson</v>
      </c>
      <c r="N30" s="375"/>
      <c r="O30" s="375" t="str">
        <f t="array" ref="O30">XLOOKUP(M30,'Recruiting Form Responses'!C:C,'Recruiting Form Responses'!A:A,"",0,1)</f>
        <v>XX</v>
      </c>
      <c r="P30" s="378"/>
      <c r="Q30" s="375" t="s">
        <v>7377</v>
      </c>
      <c r="R30" s="375"/>
      <c r="S30" s="375" t="s">
        <v>1541</v>
      </c>
      <c r="T30" s="375" t="s">
        <v>7412</v>
      </c>
      <c r="U30" s="375"/>
      <c r="V30" s="375"/>
      <c r="W30" s="375"/>
      <c r="X30" s="375"/>
      <c r="Y30" s="375"/>
    </row>
    <row r="31">
      <c r="A31" s="377">
        <v>45865.0</v>
      </c>
      <c r="B31" s="375" t="s">
        <v>7364</v>
      </c>
      <c r="C31" s="375" t="s">
        <v>1430</v>
      </c>
      <c r="D31" s="375" t="s">
        <v>1281</v>
      </c>
      <c r="E31" s="375" t="s">
        <v>5843</v>
      </c>
      <c r="F31" s="375" t="s">
        <v>7413</v>
      </c>
      <c r="G31" s="375">
        <v>1.0</v>
      </c>
      <c r="H31" s="375" t="s">
        <v>5845</v>
      </c>
      <c r="I31" s="375" t="s">
        <v>240</v>
      </c>
      <c r="J31" s="375" t="s">
        <v>5846</v>
      </c>
      <c r="K31" s="375"/>
      <c r="L31" s="375">
        <v>4.3</v>
      </c>
      <c r="M31" s="375" t="str">
        <f t="shared" si="1"/>
        <v>Troy Stimpson</v>
      </c>
      <c r="N31" s="375" t="s">
        <v>5847</v>
      </c>
      <c r="O31" s="375" t="str">
        <f t="array" ref="O31">XLOOKUP(M31,'Recruiting Form Responses'!C:C,'Recruiting Form Responses'!A:A,"",0,1)</f>
        <v/>
      </c>
      <c r="P31" s="378"/>
      <c r="Q31" s="375" t="s">
        <v>7366</v>
      </c>
      <c r="R31" s="375"/>
      <c r="S31" s="375"/>
      <c r="T31" s="375"/>
      <c r="U31" s="375" t="s">
        <v>2821</v>
      </c>
      <c r="V31" s="283"/>
      <c r="W31" s="375"/>
      <c r="X31" s="375"/>
      <c r="Y31" s="375"/>
    </row>
    <row r="32">
      <c r="A32" s="375"/>
      <c r="B32" s="375" t="s">
        <v>7372</v>
      </c>
      <c r="C32" s="375" t="s">
        <v>1430</v>
      </c>
      <c r="D32" s="375" t="s">
        <v>233</v>
      </c>
      <c r="E32" s="375" t="s">
        <v>5279</v>
      </c>
      <c r="F32" s="375" t="s">
        <v>7414</v>
      </c>
      <c r="G32" s="375">
        <v>2.0</v>
      </c>
      <c r="H32" s="375"/>
      <c r="I32" s="375" t="s">
        <v>66</v>
      </c>
      <c r="J32" s="375" t="s">
        <v>5280</v>
      </c>
      <c r="K32" s="375" t="s">
        <v>1450</v>
      </c>
      <c r="L32" s="375" t="s">
        <v>5281</v>
      </c>
      <c r="M32" s="375" t="str">
        <f t="shared" si="1"/>
        <v>Colton Hyde</v>
      </c>
      <c r="N32" s="375" t="s">
        <v>7415</v>
      </c>
      <c r="O32" s="375" t="str">
        <f t="array" ref="O32">XLOOKUP(M32,'Recruiting Form Responses'!C:C,'Recruiting Form Responses'!A:A,"",0,1)</f>
        <v>XX</v>
      </c>
      <c r="P32" s="378"/>
      <c r="Q32" s="375" t="s">
        <v>7377</v>
      </c>
      <c r="R32" s="375"/>
      <c r="S32" s="375"/>
      <c r="T32" s="375" t="s">
        <v>7416</v>
      </c>
      <c r="U32" s="375"/>
      <c r="V32" s="283"/>
      <c r="W32" s="375"/>
      <c r="X32" s="375"/>
      <c r="Y32" s="375"/>
    </row>
    <row r="33">
      <c r="A33" s="377">
        <v>45865.0</v>
      </c>
      <c r="B33" s="375" t="s">
        <v>7364</v>
      </c>
      <c r="C33" s="375" t="s">
        <v>1470</v>
      </c>
      <c r="D33" s="375" t="s">
        <v>1678</v>
      </c>
      <c r="E33" s="375" t="s">
        <v>4976</v>
      </c>
      <c r="F33" s="375" t="s">
        <v>7406</v>
      </c>
      <c r="G33" s="375">
        <v>1.0</v>
      </c>
      <c r="H33" s="375" t="s">
        <v>3620</v>
      </c>
      <c r="I33" s="375" t="s">
        <v>180</v>
      </c>
      <c r="J33" s="375" t="s">
        <v>3620</v>
      </c>
      <c r="K33" s="375"/>
      <c r="L33" s="375">
        <v>5.3</v>
      </c>
      <c r="M33" s="375" t="str">
        <f t="shared" si="1"/>
        <v>Hudson Cuevas</v>
      </c>
      <c r="N33" s="375" t="s">
        <v>4977</v>
      </c>
      <c r="O33" s="375" t="str">
        <f t="array" ref="O33">XLOOKUP(M33,'Recruiting Form Responses'!C:C,'Recruiting Form Responses'!A:A,"",0,1)</f>
        <v/>
      </c>
      <c r="P33" s="378"/>
      <c r="Q33" s="375" t="s">
        <v>7366</v>
      </c>
      <c r="R33" s="375"/>
      <c r="S33" s="375"/>
      <c r="T33" s="375"/>
      <c r="U33" s="375" t="s">
        <v>2821</v>
      </c>
      <c r="V33" s="283"/>
      <c r="W33" s="375"/>
      <c r="X33" s="375"/>
      <c r="Y33" s="375"/>
    </row>
    <row r="34">
      <c r="A34" s="377">
        <v>45865.0</v>
      </c>
      <c r="B34" s="375" t="s">
        <v>7364</v>
      </c>
      <c r="C34" s="375" t="s">
        <v>1395</v>
      </c>
      <c r="D34" s="375" t="s">
        <v>1020</v>
      </c>
      <c r="E34" s="375" t="s">
        <v>4993</v>
      </c>
      <c r="F34" s="375" t="s">
        <v>7417</v>
      </c>
      <c r="G34" s="375">
        <v>1.0</v>
      </c>
      <c r="H34" s="375" t="s">
        <v>4994</v>
      </c>
      <c r="I34" s="375" t="s">
        <v>153</v>
      </c>
      <c r="J34" s="375" t="s">
        <v>2314</v>
      </c>
      <c r="K34" s="375"/>
      <c r="L34" s="375">
        <v>3.7</v>
      </c>
      <c r="M34" s="375" t="str">
        <f t="shared" si="1"/>
        <v>Liam Delp</v>
      </c>
      <c r="N34" s="375" t="s">
        <v>4995</v>
      </c>
      <c r="O34" s="375" t="str">
        <f t="array" ref="O34">XLOOKUP(M34,'Recruiting Form Responses'!C:C,'Recruiting Form Responses'!A:A,"",0,1)</f>
        <v>XX</v>
      </c>
      <c r="P34" s="381"/>
      <c r="Q34" s="375"/>
      <c r="R34" s="375"/>
      <c r="S34" s="375"/>
      <c r="T34" s="375"/>
      <c r="U34" s="375" t="s">
        <v>2821</v>
      </c>
      <c r="V34" s="283"/>
      <c r="W34" s="375"/>
      <c r="X34" s="375"/>
      <c r="Y34" s="375"/>
    </row>
    <row r="35">
      <c r="A35" s="377">
        <v>45865.0</v>
      </c>
      <c r="B35" s="375" t="s">
        <v>7364</v>
      </c>
      <c r="C35" s="375" t="s">
        <v>1395</v>
      </c>
      <c r="D35" s="375" t="s">
        <v>629</v>
      </c>
      <c r="E35" s="375" t="s">
        <v>4745</v>
      </c>
      <c r="F35" s="375" t="s">
        <v>7418</v>
      </c>
      <c r="G35" s="375">
        <v>2.0</v>
      </c>
      <c r="H35" s="375" t="s">
        <v>4746</v>
      </c>
      <c r="I35" s="375" t="s">
        <v>73</v>
      </c>
      <c r="J35" s="375" t="s">
        <v>4747</v>
      </c>
      <c r="K35" s="375"/>
      <c r="L35" s="375">
        <v>3.87</v>
      </c>
      <c r="M35" s="375" t="str">
        <f t="shared" si="1"/>
        <v>Charlie Beck</v>
      </c>
      <c r="N35" s="375" t="s">
        <v>7419</v>
      </c>
      <c r="O35" s="375" t="str">
        <f t="array" ref="O35">XLOOKUP(M35,'Recruiting Form Responses'!C:C,'Recruiting Form Responses'!A:A,"",0,1)</f>
        <v/>
      </c>
      <c r="P35" s="378"/>
      <c r="Q35" s="375"/>
      <c r="R35" s="375"/>
      <c r="S35" s="375"/>
      <c r="T35" s="375"/>
      <c r="U35" s="375" t="s">
        <v>2821</v>
      </c>
      <c r="V35" s="283"/>
      <c r="W35" s="375"/>
      <c r="X35" s="375"/>
      <c r="Y35" s="375"/>
    </row>
    <row r="36">
      <c r="A36" s="375"/>
      <c r="B36" s="375" t="s">
        <v>7372</v>
      </c>
      <c r="C36" s="375" t="s">
        <v>1430</v>
      </c>
      <c r="D36" s="375" t="s">
        <v>3469</v>
      </c>
      <c r="E36" s="375" t="s">
        <v>3470</v>
      </c>
      <c r="F36" s="375" t="s">
        <v>7420</v>
      </c>
      <c r="G36" s="375">
        <v>2.0</v>
      </c>
      <c r="H36" s="375"/>
      <c r="I36" s="375" t="s">
        <v>286</v>
      </c>
      <c r="J36" s="375" t="s">
        <v>3471</v>
      </c>
      <c r="K36" s="375" t="s">
        <v>1766</v>
      </c>
      <c r="L36" s="375">
        <v>4.69</v>
      </c>
      <c r="M36" s="375" t="str">
        <f t="shared" si="1"/>
        <v>Cody Branham</v>
      </c>
      <c r="N36" s="375" t="s">
        <v>7421</v>
      </c>
      <c r="O36" s="375">
        <f t="array" ref="O36">XLOOKUP(M36,'Recruiting Form Responses'!C:C,'Recruiting Form Responses'!A:A,"",0,1)</f>
        <v>3</v>
      </c>
      <c r="P36" s="378"/>
      <c r="Q36" s="375" t="s">
        <v>7377</v>
      </c>
      <c r="R36" s="375"/>
      <c r="S36" s="375" t="s">
        <v>7422</v>
      </c>
      <c r="T36" s="375" t="s">
        <v>7423</v>
      </c>
      <c r="U36" s="375"/>
      <c r="V36" s="375"/>
      <c r="W36" s="375"/>
      <c r="X36" s="375"/>
      <c r="Y36" s="375"/>
    </row>
    <row r="37">
      <c r="A37" s="377">
        <v>45865.0</v>
      </c>
      <c r="B37" s="375" t="s">
        <v>7364</v>
      </c>
      <c r="C37" s="375" t="s">
        <v>1470</v>
      </c>
      <c r="D37" s="375" t="s">
        <v>4776</v>
      </c>
      <c r="E37" s="375" t="s">
        <v>4777</v>
      </c>
      <c r="F37" s="375" t="s">
        <v>7424</v>
      </c>
      <c r="G37" s="375">
        <v>1.0</v>
      </c>
      <c r="H37" s="375" t="s">
        <v>4778</v>
      </c>
      <c r="I37" s="375" t="s">
        <v>52</v>
      </c>
      <c r="J37" s="375" t="s">
        <v>4778</v>
      </c>
      <c r="K37" s="283"/>
      <c r="L37" s="283"/>
      <c r="M37" s="375" t="str">
        <f t="shared" si="1"/>
        <v>Vinny Boatwright</v>
      </c>
      <c r="N37" s="375" t="s">
        <v>7425</v>
      </c>
      <c r="O37" s="375" t="str">
        <f t="array" ref="O37">XLOOKUP(M37,'Recruiting Form Responses'!C:C,'Recruiting Form Responses'!A:A,"",0,1)</f>
        <v/>
      </c>
      <c r="P37" s="378"/>
      <c r="Q37" s="375"/>
      <c r="R37" s="375"/>
      <c r="S37" s="375"/>
      <c r="T37" s="375"/>
      <c r="U37" s="375" t="s">
        <v>2821</v>
      </c>
      <c r="V37" s="283"/>
      <c r="W37" s="375"/>
      <c r="X37" s="375"/>
      <c r="Y37" s="375"/>
    </row>
    <row r="38">
      <c r="A38" s="377">
        <v>45865.0</v>
      </c>
      <c r="B38" s="375" t="s">
        <v>7364</v>
      </c>
      <c r="C38" s="375" t="s">
        <v>1470</v>
      </c>
      <c r="D38" s="375" t="s">
        <v>284</v>
      </c>
      <c r="E38" s="375" t="s">
        <v>5367</v>
      </c>
      <c r="F38" s="375" t="s">
        <v>7365</v>
      </c>
      <c r="G38" s="375">
        <v>1.0</v>
      </c>
      <c r="H38" s="375" t="s">
        <v>5369</v>
      </c>
      <c r="I38" s="375" t="s">
        <v>180</v>
      </c>
      <c r="J38" s="375" t="s">
        <v>5370</v>
      </c>
      <c r="K38" s="375"/>
      <c r="L38" s="375">
        <v>3.7</v>
      </c>
      <c r="M38" s="375" t="str">
        <f t="shared" si="1"/>
        <v>Jacob Lessman</v>
      </c>
      <c r="N38" s="375" t="s">
        <v>5371</v>
      </c>
      <c r="O38" s="375" t="str">
        <f t="array" ref="O38">XLOOKUP(M38,'Recruiting Form Responses'!C:C,'Recruiting Form Responses'!A:A,"",0,1)</f>
        <v/>
      </c>
      <c r="P38" s="378"/>
      <c r="Q38" s="375"/>
      <c r="R38" s="375"/>
      <c r="S38" s="375"/>
      <c r="T38" s="375"/>
      <c r="U38" s="375" t="s">
        <v>2821</v>
      </c>
      <c r="V38" s="283"/>
      <c r="W38" s="375"/>
      <c r="X38" s="375"/>
      <c r="Y38" s="375"/>
    </row>
    <row r="39">
      <c r="A39" s="377">
        <v>45865.0</v>
      </c>
      <c r="B39" s="375" t="s">
        <v>7364</v>
      </c>
      <c r="C39" s="375" t="s">
        <v>1395</v>
      </c>
      <c r="D39" s="375" t="s">
        <v>589</v>
      </c>
      <c r="E39" s="375" t="s">
        <v>5392</v>
      </c>
      <c r="F39" s="375" t="s">
        <v>7426</v>
      </c>
      <c r="G39" s="375">
        <v>1.0</v>
      </c>
      <c r="H39" s="375" t="s">
        <v>5393</v>
      </c>
      <c r="I39" s="375" t="s">
        <v>73</v>
      </c>
      <c r="J39" s="375" t="s">
        <v>5394</v>
      </c>
      <c r="K39" s="375"/>
      <c r="L39" s="375">
        <v>3.6</v>
      </c>
      <c r="M39" s="375" t="str">
        <f t="shared" si="1"/>
        <v>Caleb Lynn</v>
      </c>
      <c r="N39" s="375" t="s">
        <v>5395</v>
      </c>
      <c r="O39" s="375" t="str">
        <f t="array" ref="O39">XLOOKUP(M39,'Recruiting Form Responses'!C:C,'Recruiting Form Responses'!A:A,"",0,1)</f>
        <v/>
      </c>
      <c r="P39" s="378"/>
      <c r="Q39" s="375"/>
      <c r="R39" s="375"/>
      <c r="S39" s="375"/>
      <c r="T39" s="375"/>
      <c r="U39" s="375" t="s">
        <v>2821</v>
      </c>
      <c r="V39" s="375"/>
      <c r="W39" s="375"/>
      <c r="X39" s="375"/>
      <c r="Y39" s="375"/>
    </row>
    <row r="40">
      <c r="A40" s="377">
        <v>45865.0</v>
      </c>
      <c r="B40" s="375" t="s">
        <v>7364</v>
      </c>
      <c r="C40" s="375" t="s">
        <v>1395</v>
      </c>
      <c r="D40" s="375" t="s">
        <v>881</v>
      </c>
      <c r="E40" s="375" t="s">
        <v>5051</v>
      </c>
      <c r="F40" s="375" t="s">
        <v>7427</v>
      </c>
      <c r="G40" s="375">
        <v>1.0</v>
      </c>
      <c r="H40" s="375" t="s">
        <v>5052</v>
      </c>
      <c r="I40" s="375" t="s">
        <v>636</v>
      </c>
      <c r="J40" s="375" t="s">
        <v>5053</v>
      </c>
      <c r="K40" s="375"/>
      <c r="L40" s="375">
        <v>3.98</v>
      </c>
      <c r="M40" s="375" t="str">
        <f t="shared" si="1"/>
        <v>Lincoln Eure</v>
      </c>
      <c r="N40" s="375" t="s">
        <v>5054</v>
      </c>
      <c r="O40" s="375" t="str">
        <f t="array" ref="O40">XLOOKUP(M40,'Recruiting Form Responses'!C:C,'Recruiting Form Responses'!A:A,"",0,1)</f>
        <v>XX</v>
      </c>
      <c r="P40" s="378"/>
      <c r="Q40" s="375" t="s">
        <v>7377</v>
      </c>
      <c r="R40" s="375"/>
      <c r="S40" s="375" t="s">
        <v>7404</v>
      </c>
      <c r="T40" s="375" t="s">
        <v>7428</v>
      </c>
      <c r="U40" s="375" t="s">
        <v>2821</v>
      </c>
      <c r="V40" s="283"/>
      <c r="W40" s="375"/>
      <c r="X40" s="375"/>
      <c r="Y40" s="375"/>
    </row>
    <row r="41">
      <c r="A41" s="377">
        <v>45865.0</v>
      </c>
      <c r="B41" s="375" t="s">
        <v>7364</v>
      </c>
      <c r="C41" s="375" t="s">
        <v>1395</v>
      </c>
      <c r="D41" s="375" t="s">
        <v>424</v>
      </c>
      <c r="E41" s="375" t="s">
        <v>5604</v>
      </c>
      <c r="F41" s="375" t="s">
        <v>7429</v>
      </c>
      <c r="G41" s="375">
        <v>2.0</v>
      </c>
      <c r="H41" s="375" t="s">
        <v>5052</v>
      </c>
      <c r="I41" s="375" t="s">
        <v>636</v>
      </c>
      <c r="J41" s="375" t="s">
        <v>5053</v>
      </c>
      <c r="K41" s="375"/>
      <c r="L41" s="375">
        <v>3.87</v>
      </c>
      <c r="M41" s="375" t="str">
        <f t="shared" si="1"/>
        <v>Jack Munson</v>
      </c>
      <c r="N41" s="375" t="s">
        <v>5606</v>
      </c>
      <c r="O41" s="375" t="str">
        <f t="array" ref="O41">XLOOKUP(M41,'Recruiting Form Responses'!C:C,'Recruiting Form Responses'!A:A,"",0,1)</f>
        <v>XX</v>
      </c>
      <c r="P41" s="378"/>
      <c r="Q41" s="375" t="s">
        <v>7377</v>
      </c>
      <c r="R41" s="375"/>
      <c r="S41" s="380">
        <v>45868.6875</v>
      </c>
      <c r="T41" s="375" t="s">
        <v>7430</v>
      </c>
      <c r="U41" s="375" t="s">
        <v>2821</v>
      </c>
      <c r="V41" s="283"/>
      <c r="W41" s="375"/>
      <c r="X41" s="375"/>
      <c r="Y41" s="375"/>
    </row>
    <row r="42">
      <c r="A42" s="377">
        <v>45865.0</v>
      </c>
      <c r="B42" s="375" t="s">
        <v>7364</v>
      </c>
      <c r="C42" s="375" t="s">
        <v>1470</v>
      </c>
      <c r="D42" s="375" t="s">
        <v>4965</v>
      </c>
      <c r="E42" s="375" t="s">
        <v>4966</v>
      </c>
      <c r="F42" s="375" t="s">
        <v>7431</v>
      </c>
      <c r="G42" s="375">
        <v>1.0</v>
      </c>
      <c r="H42" s="375" t="s">
        <v>4967</v>
      </c>
      <c r="I42" s="375" t="s">
        <v>448</v>
      </c>
      <c r="J42" s="375" t="s">
        <v>4968</v>
      </c>
      <c r="K42" s="375"/>
      <c r="L42" s="375">
        <v>4.09</v>
      </c>
      <c r="M42" s="375" t="str">
        <f t="shared" si="1"/>
        <v>Ike Crouser</v>
      </c>
      <c r="N42" s="375" t="s">
        <v>4969</v>
      </c>
      <c r="O42" s="375" t="str">
        <f t="array" ref="O42">XLOOKUP(M42,'Recruiting Form Responses'!C:C,'Recruiting Form Responses'!A:A,"",0,1)</f>
        <v/>
      </c>
      <c r="P42" s="378" t="s">
        <v>7432</v>
      </c>
      <c r="Q42" s="375" t="s">
        <v>7377</v>
      </c>
      <c r="R42" s="375"/>
      <c r="S42" s="375"/>
      <c r="T42" s="375"/>
      <c r="U42" s="375" t="s">
        <v>2821</v>
      </c>
      <c r="V42" s="283"/>
      <c r="W42" s="375"/>
      <c r="X42" s="375"/>
      <c r="Y42" s="375"/>
    </row>
    <row r="43">
      <c r="A43" s="377">
        <v>45865.0</v>
      </c>
      <c r="B43" s="375" t="s">
        <v>7364</v>
      </c>
      <c r="C43" s="375" t="s">
        <v>1430</v>
      </c>
      <c r="D43" s="375" t="s">
        <v>517</v>
      </c>
      <c r="E43" s="375" t="s">
        <v>1338</v>
      </c>
      <c r="F43" s="375" t="s">
        <v>7369</v>
      </c>
      <c r="G43" s="375">
        <v>2.0</v>
      </c>
      <c r="H43" s="375" t="s">
        <v>5813</v>
      </c>
      <c r="I43" s="375" t="s">
        <v>360</v>
      </c>
      <c r="J43" s="375" t="s">
        <v>5814</v>
      </c>
      <c r="K43" s="375"/>
      <c r="L43" s="375">
        <v>3.9</v>
      </c>
      <c r="M43" s="375" t="str">
        <f t="shared" si="1"/>
        <v>Brady Smith</v>
      </c>
      <c r="N43" s="375" t="s">
        <v>5815</v>
      </c>
      <c r="O43" s="375" t="str">
        <f t="array" ref="O43">XLOOKUP(M43,'Recruiting Form Responses'!C:C,'Recruiting Form Responses'!A:A,"",0,1)</f>
        <v/>
      </c>
      <c r="P43" s="378"/>
      <c r="Q43" s="375"/>
      <c r="R43" s="375"/>
      <c r="S43" s="375"/>
      <c r="T43" s="375"/>
      <c r="U43" s="375" t="s">
        <v>2821</v>
      </c>
      <c r="V43" s="283"/>
      <c r="W43" s="375"/>
      <c r="X43" s="375"/>
      <c r="Y43" s="375"/>
    </row>
    <row r="44">
      <c r="A44" s="377">
        <v>45865.0</v>
      </c>
      <c r="B44" s="375" t="s">
        <v>7364</v>
      </c>
      <c r="C44" s="375" t="s">
        <v>1470</v>
      </c>
      <c r="D44" s="375" t="s">
        <v>1042</v>
      </c>
      <c r="E44" s="375" t="s">
        <v>2312</v>
      </c>
      <c r="F44" s="375" t="s">
        <v>7433</v>
      </c>
      <c r="G44" s="375">
        <v>2.0</v>
      </c>
      <c r="H44" s="375" t="s">
        <v>5480</v>
      </c>
      <c r="I44" s="375" t="s">
        <v>585</v>
      </c>
      <c r="J44" s="375" t="s">
        <v>5481</v>
      </c>
      <c r="K44" s="375"/>
      <c r="L44" s="375">
        <v>3.7</v>
      </c>
      <c r="M44" s="375" t="str">
        <f t="shared" si="1"/>
        <v>Luke McAtee</v>
      </c>
      <c r="N44" s="375" t="s">
        <v>5482</v>
      </c>
      <c r="O44" s="375" t="str">
        <f t="array" ref="O44">XLOOKUP(M44,'Recruiting Form Responses'!C:C,'Recruiting Form Responses'!A:A,"",0,1)</f>
        <v>XX</v>
      </c>
      <c r="P44" s="378"/>
      <c r="Q44" s="375" t="s">
        <v>7377</v>
      </c>
      <c r="R44" s="375"/>
      <c r="S44" s="375"/>
      <c r="T44" s="375"/>
      <c r="U44" s="375" t="s">
        <v>2821</v>
      </c>
      <c r="V44" s="283"/>
      <c r="W44" s="375"/>
      <c r="X44" s="375"/>
      <c r="Y44" s="375"/>
    </row>
    <row r="45">
      <c r="A45" s="375"/>
      <c r="B45" s="375" t="s">
        <v>7372</v>
      </c>
      <c r="C45" s="375" t="s">
        <v>1395</v>
      </c>
      <c r="D45" s="375" t="s">
        <v>3666</v>
      </c>
      <c r="E45" s="375" t="s">
        <v>5488</v>
      </c>
      <c r="F45" s="375" t="s">
        <v>7380</v>
      </c>
      <c r="G45" s="375">
        <v>1.0</v>
      </c>
      <c r="H45" s="375"/>
      <c r="I45" s="375" t="s">
        <v>502</v>
      </c>
      <c r="J45" s="375" t="s">
        <v>3065</v>
      </c>
      <c r="K45" s="375" t="s">
        <v>2815</v>
      </c>
      <c r="L45" s="375">
        <v>4.1</v>
      </c>
      <c r="M45" s="375" t="str">
        <f t="shared" si="1"/>
        <v>Kyle McBride</v>
      </c>
      <c r="N45" s="375" t="s">
        <v>7434</v>
      </c>
      <c r="O45" s="375" t="str">
        <f t="array" ref="O45">XLOOKUP(M45,'Recruiting Form Responses'!C:C,'Recruiting Form Responses'!A:A,"",0,1)</f>
        <v/>
      </c>
      <c r="P45" s="378"/>
      <c r="Q45" s="375" t="s">
        <v>410</v>
      </c>
      <c r="R45" s="375"/>
      <c r="S45" s="375" t="s">
        <v>4365</v>
      </c>
      <c r="T45" s="375"/>
      <c r="U45" s="375"/>
      <c r="V45" s="283"/>
      <c r="W45" s="375"/>
      <c r="X45" s="375"/>
      <c r="Y45" s="375"/>
    </row>
    <row r="46">
      <c r="A46" s="377">
        <v>45865.0</v>
      </c>
      <c r="B46" s="375" t="s">
        <v>7364</v>
      </c>
      <c r="C46" s="375" t="s">
        <v>1470</v>
      </c>
      <c r="D46" s="375" t="s">
        <v>5673</v>
      </c>
      <c r="E46" s="375" t="s">
        <v>5674</v>
      </c>
      <c r="F46" s="375" t="s">
        <v>7380</v>
      </c>
      <c r="G46" s="375">
        <v>1.0</v>
      </c>
      <c r="H46" s="375" t="s">
        <v>5675</v>
      </c>
      <c r="I46" s="375" t="s">
        <v>502</v>
      </c>
      <c r="J46" s="375" t="s">
        <v>3065</v>
      </c>
      <c r="K46" s="375"/>
      <c r="L46" s="375">
        <v>3.6</v>
      </c>
      <c r="M46" s="375" t="str">
        <f t="shared" si="1"/>
        <v>Steven Pannullo</v>
      </c>
      <c r="N46" s="375" t="s">
        <v>5676</v>
      </c>
      <c r="O46" s="375" t="str">
        <f t="array" ref="O46">XLOOKUP(M46,'Recruiting Form Responses'!C:C,'Recruiting Form Responses'!A:A,"",0,1)</f>
        <v/>
      </c>
      <c r="P46" s="378" t="s">
        <v>7435</v>
      </c>
      <c r="Q46" s="375" t="s">
        <v>7377</v>
      </c>
      <c r="R46" s="375"/>
      <c r="S46" s="375"/>
      <c r="T46" s="375"/>
      <c r="U46" s="375" t="s">
        <v>2821</v>
      </c>
      <c r="V46" s="283"/>
      <c r="W46" s="375"/>
      <c r="X46" s="375"/>
      <c r="Y46" s="375"/>
    </row>
    <row r="47">
      <c r="A47" s="377">
        <v>45865.0</v>
      </c>
      <c r="B47" s="375" t="s">
        <v>7364</v>
      </c>
      <c r="C47" s="375" t="s">
        <v>1470</v>
      </c>
      <c r="D47" s="375" t="s">
        <v>5106</v>
      </c>
      <c r="E47" s="375" t="s">
        <v>5107</v>
      </c>
      <c r="F47" s="375" t="s">
        <v>7436</v>
      </c>
      <c r="G47" s="375">
        <v>1.0</v>
      </c>
      <c r="H47" s="375" t="s">
        <v>1249</v>
      </c>
      <c r="I47" s="375" t="s">
        <v>502</v>
      </c>
      <c r="J47" s="375" t="s">
        <v>3065</v>
      </c>
      <c r="K47" s="375"/>
      <c r="L47" s="375">
        <v>3.9</v>
      </c>
      <c r="M47" s="375" t="str">
        <f t="shared" si="1"/>
        <v>Curt Friedrich</v>
      </c>
      <c r="N47" s="375" t="s">
        <v>5109</v>
      </c>
      <c r="O47" s="375" t="str">
        <f t="array" ref="O47">XLOOKUP(M47,'Recruiting Form Responses'!C:C,'Recruiting Form Responses'!A:A,"",0,1)</f>
        <v/>
      </c>
      <c r="P47" s="378"/>
      <c r="Q47" s="375"/>
      <c r="R47" s="375"/>
      <c r="S47" s="375"/>
      <c r="T47" s="375"/>
      <c r="U47" s="375" t="s">
        <v>2821</v>
      </c>
      <c r="V47" s="283"/>
      <c r="W47" s="375"/>
      <c r="X47" s="375"/>
      <c r="Y47" s="375"/>
    </row>
    <row r="48">
      <c r="A48" s="377">
        <v>45865.0</v>
      </c>
      <c r="B48" s="375" t="s">
        <v>7364</v>
      </c>
      <c r="C48" s="375" t="s">
        <v>1470</v>
      </c>
      <c r="D48" s="375" t="s">
        <v>5464</v>
      </c>
      <c r="E48" s="375" t="s">
        <v>5465</v>
      </c>
      <c r="F48" s="375" t="s">
        <v>7380</v>
      </c>
      <c r="G48" s="375">
        <v>1.0</v>
      </c>
      <c r="H48" s="375" t="s">
        <v>5466</v>
      </c>
      <c r="I48" s="375" t="s">
        <v>502</v>
      </c>
      <c r="J48" s="375" t="s">
        <v>3065</v>
      </c>
      <c r="K48" s="375"/>
      <c r="L48" s="375">
        <v>4.1</v>
      </c>
      <c r="M48" s="375" t="str">
        <f t="shared" si="1"/>
        <v>Ted Masino</v>
      </c>
      <c r="N48" s="375" t="s">
        <v>5467</v>
      </c>
      <c r="O48" s="375" t="str">
        <f t="array" ref="O48">XLOOKUP(M48,'Recruiting Form Responses'!C:C,'Recruiting Form Responses'!A:A,"",0,1)</f>
        <v/>
      </c>
      <c r="P48" s="378"/>
      <c r="Q48" s="375"/>
      <c r="R48" s="375"/>
      <c r="S48" s="375"/>
      <c r="T48" s="375"/>
      <c r="U48" s="375" t="s">
        <v>2821</v>
      </c>
      <c r="V48" s="375"/>
      <c r="W48" s="375"/>
      <c r="X48" s="375"/>
      <c r="Y48" s="375"/>
    </row>
    <row r="49">
      <c r="A49" s="375"/>
      <c r="B49" s="375" t="s">
        <v>7375</v>
      </c>
      <c r="C49" s="375" t="s">
        <v>1395</v>
      </c>
      <c r="D49" s="375" t="s">
        <v>70</v>
      </c>
      <c r="E49" s="375" t="s">
        <v>4852</v>
      </c>
      <c r="F49" s="375" t="s">
        <v>7387</v>
      </c>
      <c r="G49" s="375">
        <v>1.0</v>
      </c>
      <c r="H49" s="283"/>
      <c r="I49" s="375" t="s">
        <v>85</v>
      </c>
      <c r="J49" s="375" t="s">
        <v>86</v>
      </c>
      <c r="K49" s="375" t="s">
        <v>2486</v>
      </c>
      <c r="L49" s="375"/>
      <c r="M49" s="375" t="str">
        <f t="shared" si="1"/>
        <v>Patrick Bryan</v>
      </c>
      <c r="N49" s="375"/>
      <c r="O49" s="375" t="str">
        <f t="array" ref="O49">XLOOKUP(M49,'Recruiting Form Responses'!C:C,'Recruiting Form Responses'!A:A,"",0,1)</f>
        <v/>
      </c>
      <c r="P49" s="378" t="s">
        <v>1994</v>
      </c>
      <c r="Q49" s="375" t="s">
        <v>410</v>
      </c>
      <c r="R49" s="375"/>
      <c r="S49" s="375" t="s">
        <v>4853</v>
      </c>
      <c r="T49" s="375" t="s">
        <v>7437</v>
      </c>
      <c r="U49" s="375"/>
      <c r="V49" s="375"/>
      <c r="W49" s="375"/>
      <c r="X49" s="375"/>
      <c r="Y49" s="375"/>
    </row>
    <row r="50">
      <c r="A50" s="377">
        <v>45865.0</v>
      </c>
      <c r="B50" s="375" t="s">
        <v>7364</v>
      </c>
      <c r="C50" s="375" t="s">
        <v>1470</v>
      </c>
      <c r="D50" s="375" t="s">
        <v>682</v>
      </c>
      <c r="E50" s="375" t="s">
        <v>409</v>
      </c>
      <c r="F50" s="375" t="s">
        <v>7438</v>
      </c>
      <c r="G50" s="375">
        <v>1.0</v>
      </c>
      <c r="H50" s="375" t="s">
        <v>5961</v>
      </c>
      <c r="I50" s="375" t="s">
        <v>286</v>
      </c>
      <c r="J50" s="375" t="s">
        <v>5962</v>
      </c>
      <c r="K50" s="283"/>
      <c r="L50" s="283"/>
      <c r="M50" s="375" t="str">
        <f t="shared" si="1"/>
        <v>Connor Wells</v>
      </c>
      <c r="N50" s="375" t="s">
        <v>5963</v>
      </c>
      <c r="O50" s="375" t="str">
        <f t="array" ref="O50">XLOOKUP(M50,'Recruiting Form Responses'!C:C,'Recruiting Form Responses'!A:A,"",0,1)</f>
        <v/>
      </c>
      <c r="P50" s="378"/>
      <c r="Q50" s="375"/>
      <c r="R50" s="375"/>
      <c r="S50" s="375"/>
      <c r="T50" s="375"/>
      <c r="U50" s="375" t="s">
        <v>2821</v>
      </c>
      <c r="V50" s="283"/>
      <c r="W50" s="375"/>
      <c r="X50" s="375"/>
      <c r="Y50" s="375"/>
    </row>
    <row r="51">
      <c r="A51" s="377">
        <v>45865.0</v>
      </c>
      <c r="B51" s="375" t="s">
        <v>7364</v>
      </c>
      <c r="C51" s="375" t="s">
        <v>1470</v>
      </c>
      <c r="D51" s="375" t="s">
        <v>1997</v>
      </c>
      <c r="E51" s="375" t="s">
        <v>5451</v>
      </c>
      <c r="F51" s="375" t="s">
        <v>7365</v>
      </c>
      <c r="G51" s="375">
        <v>1.0</v>
      </c>
      <c r="H51" s="375" t="s">
        <v>5452</v>
      </c>
      <c r="I51" s="375" t="s">
        <v>180</v>
      </c>
      <c r="J51" s="375" t="s">
        <v>5452</v>
      </c>
      <c r="K51" s="375"/>
      <c r="L51" s="375">
        <v>3.8</v>
      </c>
      <c r="M51" s="375" t="str">
        <f t="shared" si="1"/>
        <v>Max Mangum</v>
      </c>
      <c r="N51" s="375" t="s">
        <v>5453</v>
      </c>
      <c r="O51" s="375" t="str">
        <f t="array" ref="O51">XLOOKUP(M51,'Recruiting Form Responses'!C:C,'Recruiting Form Responses'!A:A,"",0,1)</f>
        <v/>
      </c>
      <c r="P51" s="378"/>
      <c r="Q51" s="375"/>
      <c r="R51" s="375"/>
      <c r="S51" s="375"/>
      <c r="T51" s="375"/>
      <c r="U51" s="375" t="s">
        <v>2821</v>
      </c>
      <c r="V51" s="283"/>
      <c r="W51" s="375"/>
      <c r="X51" s="375"/>
      <c r="Y51" s="375"/>
    </row>
    <row r="52">
      <c r="A52" s="377">
        <v>45865.0</v>
      </c>
      <c r="B52" s="375" t="s">
        <v>7364</v>
      </c>
      <c r="C52" s="375" t="s">
        <v>1430</v>
      </c>
      <c r="D52" s="375" t="s">
        <v>1536</v>
      </c>
      <c r="E52" s="375" t="s">
        <v>5505</v>
      </c>
      <c r="F52" s="375" t="s">
        <v>7371</v>
      </c>
      <c r="G52" s="375">
        <v>1.0</v>
      </c>
      <c r="H52" s="375" t="s">
        <v>5506</v>
      </c>
      <c r="I52" s="375" t="s">
        <v>731</v>
      </c>
      <c r="J52" s="375" t="s">
        <v>5506</v>
      </c>
      <c r="K52" s="375"/>
      <c r="L52" s="375">
        <v>3.8</v>
      </c>
      <c r="M52" s="375" t="str">
        <f t="shared" si="1"/>
        <v>Ty McGinley</v>
      </c>
      <c r="N52" s="375" t="s">
        <v>5507</v>
      </c>
      <c r="O52" s="375" t="str">
        <f t="array" ref="O52">XLOOKUP(M52,'Recruiting Form Responses'!C:C,'Recruiting Form Responses'!A:A,"",0,1)</f>
        <v/>
      </c>
      <c r="P52" s="378"/>
      <c r="Q52" s="375"/>
      <c r="R52" s="375"/>
      <c r="S52" s="375"/>
      <c r="T52" s="375"/>
      <c r="U52" s="375" t="s">
        <v>2821</v>
      </c>
      <c r="V52" s="375"/>
      <c r="W52" s="375"/>
      <c r="X52" s="375"/>
      <c r="Y52" s="375"/>
    </row>
    <row r="53">
      <c r="A53" s="377">
        <v>45865.0</v>
      </c>
      <c r="B53" s="375" t="s">
        <v>7364</v>
      </c>
      <c r="C53" s="375" t="s">
        <v>1430</v>
      </c>
      <c r="D53" s="375" t="s">
        <v>747</v>
      </c>
      <c r="E53" s="375" t="s">
        <v>3327</v>
      </c>
      <c r="F53" s="375" t="s">
        <v>7439</v>
      </c>
      <c r="G53" s="375">
        <v>1.0</v>
      </c>
      <c r="H53" s="375" t="s">
        <v>3328</v>
      </c>
      <c r="I53" s="375" t="s">
        <v>731</v>
      </c>
      <c r="J53" s="375" t="s">
        <v>3329</v>
      </c>
      <c r="K53" s="375"/>
      <c r="L53" s="375">
        <v>4.57</v>
      </c>
      <c r="M53" s="375" t="str">
        <f t="shared" si="1"/>
        <v>Eli Quinley</v>
      </c>
      <c r="N53" s="375" t="s">
        <v>3330</v>
      </c>
      <c r="O53" s="375" t="str">
        <f t="array" ref="O53">XLOOKUP(M53,'Recruiting Form Responses'!C:C,'Recruiting Form Responses'!A:A,"",0,1)</f>
        <v/>
      </c>
      <c r="P53" s="378"/>
      <c r="Q53" s="375"/>
      <c r="R53" s="375"/>
      <c r="S53" s="375"/>
      <c r="T53" s="375"/>
      <c r="U53" s="375" t="s">
        <v>2821</v>
      </c>
      <c r="V53" s="283"/>
      <c r="W53" s="375"/>
      <c r="X53" s="375"/>
      <c r="Y53" s="375"/>
    </row>
    <row r="54">
      <c r="A54" s="377">
        <v>45865.0</v>
      </c>
      <c r="B54" s="375" t="s">
        <v>7364</v>
      </c>
      <c r="C54" s="375" t="s">
        <v>1395</v>
      </c>
      <c r="D54" s="375" t="s">
        <v>3447</v>
      </c>
      <c r="E54" s="375" t="s">
        <v>7440</v>
      </c>
      <c r="F54" s="375" t="s">
        <v>7408</v>
      </c>
      <c r="G54" s="375">
        <v>2.0</v>
      </c>
      <c r="H54" s="375" t="s">
        <v>3449</v>
      </c>
      <c r="I54" s="375" t="s">
        <v>307</v>
      </c>
      <c r="J54" s="375" t="s">
        <v>3450</v>
      </c>
      <c r="K54" s="375"/>
      <c r="L54" s="375">
        <v>3.75</v>
      </c>
      <c r="M54" s="375" t="str">
        <f t="shared" si="1"/>
        <v>Omar Avalos</v>
      </c>
      <c r="N54" s="375" t="s">
        <v>3451</v>
      </c>
      <c r="O54" s="375" t="str">
        <f t="array" ref="O54">XLOOKUP(M54,'Recruiting Form Responses'!C:C,'Recruiting Form Responses'!A:A,"",0,1)</f>
        <v/>
      </c>
      <c r="P54" s="378"/>
      <c r="Q54" s="375"/>
      <c r="R54" s="375"/>
      <c r="S54" s="375"/>
      <c r="T54" s="375"/>
      <c r="U54" s="375" t="s">
        <v>2821</v>
      </c>
      <c r="V54" s="283"/>
      <c r="W54" s="375"/>
      <c r="X54" s="375"/>
      <c r="Y54" s="375"/>
    </row>
    <row r="55">
      <c r="A55" s="377">
        <v>45865.0</v>
      </c>
      <c r="B55" s="375" t="s">
        <v>7364</v>
      </c>
      <c r="C55" s="375" t="s">
        <v>1395</v>
      </c>
      <c r="D55" s="375" t="s">
        <v>604</v>
      </c>
      <c r="E55" s="375" t="s">
        <v>5309</v>
      </c>
      <c r="F55" s="375" t="s">
        <v>7386</v>
      </c>
      <c r="G55" s="375">
        <v>2.0</v>
      </c>
      <c r="H55" s="375" t="s">
        <v>5311</v>
      </c>
      <c r="I55" s="375" t="s">
        <v>286</v>
      </c>
      <c r="J55" s="375" t="s">
        <v>5312</v>
      </c>
      <c r="K55" s="375"/>
      <c r="L55" s="375">
        <v>4.0</v>
      </c>
      <c r="M55" s="375" t="str">
        <f t="shared" si="1"/>
        <v>Carter Kelly</v>
      </c>
      <c r="N55" s="375" t="s">
        <v>5313</v>
      </c>
      <c r="O55" s="375" t="str">
        <f t="array" ref="O55">XLOOKUP(M55,'Recruiting Form Responses'!C:C,'Recruiting Form Responses'!A:A,"",0,1)</f>
        <v/>
      </c>
      <c r="P55" s="378"/>
      <c r="Q55" s="375"/>
      <c r="R55" s="375"/>
      <c r="S55" s="375"/>
      <c r="T55" s="375"/>
      <c r="U55" s="375" t="s">
        <v>2821</v>
      </c>
      <c r="V55" s="283"/>
      <c r="W55" s="375"/>
      <c r="X55" s="375"/>
      <c r="Y55" s="375"/>
    </row>
    <row r="56">
      <c r="A56" s="382">
        <v>45865.0</v>
      </c>
      <c r="B56" s="382" t="s">
        <v>7364</v>
      </c>
      <c r="C56" s="383" t="s">
        <v>1430</v>
      </c>
      <c r="D56" s="383" t="s">
        <v>3058</v>
      </c>
      <c r="E56" s="383" t="s">
        <v>222</v>
      </c>
      <c r="F56" s="383" t="s">
        <v>7441</v>
      </c>
      <c r="G56" s="383">
        <v>1.0</v>
      </c>
      <c r="H56" s="383" t="s">
        <v>3059</v>
      </c>
      <c r="I56" s="383" t="s">
        <v>125</v>
      </c>
      <c r="J56" s="383" t="s">
        <v>3060</v>
      </c>
      <c r="K56" s="383"/>
      <c r="L56" s="383">
        <v>4.1</v>
      </c>
      <c r="M56" s="383" t="str">
        <f t="shared" si="1"/>
        <v>Colt Bradshaw</v>
      </c>
      <c r="N56" s="383" t="s">
        <v>7442</v>
      </c>
      <c r="O56" s="383" t="str">
        <f t="array" ref="O56">XLOOKUP(M56,'Recruiting Form Responses'!C:C,'Recruiting Form Responses'!A:A,"",0,1)</f>
        <v/>
      </c>
      <c r="P56" s="383"/>
      <c r="Q56" s="383" t="s">
        <v>7377</v>
      </c>
      <c r="R56" s="383"/>
      <c r="S56" s="382">
        <v>45909.0</v>
      </c>
      <c r="T56" s="383" t="s">
        <v>7443</v>
      </c>
      <c r="U56" s="383" t="s">
        <v>2821</v>
      </c>
      <c r="V56" s="283"/>
      <c r="W56" s="375"/>
      <c r="X56" s="375"/>
      <c r="Y56" s="375"/>
    </row>
    <row r="57">
      <c r="A57" s="377">
        <v>45865.0</v>
      </c>
      <c r="B57" s="375" t="s">
        <v>7364</v>
      </c>
      <c r="C57" s="375" t="s">
        <v>1470</v>
      </c>
      <c r="D57" s="375" t="s">
        <v>1042</v>
      </c>
      <c r="E57" s="375" t="s">
        <v>4950</v>
      </c>
      <c r="F57" s="375" t="s">
        <v>7444</v>
      </c>
      <c r="G57" s="375">
        <v>2.0</v>
      </c>
      <c r="H57" s="375" t="s">
        <v>4953</v>
      </c>
      <c r="I57" s="375" t="s">
        <v>195</v>
      </c>
      <c r="J57" s="375" t="s">
        <v>4954</v>
      </c>
      <c r="K57" s="375"/>
      <c r="L57" s="375">
        <v>4.0</v>
      </c>
      <c r="M57" s="375" t="str">
        <f t="shared" si="1"/>
        <v>Luke Crawford</v>
      </c>
      <c r="N57" s="375" t="s">
        <v>4955</v>
      </c>
      <c r="O57" s="375" t="str">
        <f t="array" ref="O57">XLOOKUP(M57,'Recruiting Form Responses'!C:C,'Recruiting Form Responses'!A:A,"",0,1)</f>
        <v>XX</v>
      </c>
      <c r="P57" s="378"/>
      <c r="Q57" s="375" t="s">
        <v>7377</v>
      </c>
      <c r="R57" s="375"/>
      <c r="S57" s="375"/>
      <c r="T57" s="375"/>
      <c r="U57" s="375" t="s">
        <v>2821</v>
      </c>
      <c r="V57" s="283"/>
      <c r="W57" s="375"/>
      <c r="X57" s="375"/>
      <c r="Y57" s="375"/>
    </row>
    <row r="58">
      <c r="A58" s="377">
        <v>45865.0</v>
      </c>
      <c r="B58" s="375" t="s">
        <v>7364</v>
      </c>
      <c r="C58" s="375" t="s">
        <v>1395</v>
      </c>
      <c r="D58" s="375" t="s">
        <v>517</v>
      </c>
      <c r="E58" s="375" t="s">
        <v>6038</v>
      </c>
      <c r="F58" s="375" t="s">
        <v>7445</v>
      </c>
      <c r="G58" s="375">
        <v>1.0</v>
      </c>
      <c r="H58" s="375" t="s">
        <v>2839</v>
      </c>
      <c r="I58" s="375" t="s">
        <v>585</v>
      </c>
      <c r="J58" s="375" t="s">
        <v>6040</v>
      </c>
      <c r="K58" s="375"/>
      <c r="L58" s="375">
        <v>4.25</v>
      </c>
      <c r="M58" s="375" t="str">
        <f t="shared" si="1"/>
        <v>Brady Yates</v>
      </c>
      <c r="N58" s="375" t="s">
        <v>6041</v>
      </c>
      <c r="O58" s="375" t="str">
        <f t="array" ref="O58">XLOOKUP(M58,'Recruiting Form Responses'!C:C,'Recruiting Form Responses'!A:A,"",0,1)</f>
        <v/>
      </c>
      <c r="P58" s="378"/>
      <c r="Q58" s="375"/>
      <c r="R58" s="375"/>
      <c r="S58" s="375"/>
      <c r="T58" s="375"/>
      <c r="U58" s="375" t="s">
        <v>2821</v>
      </c>
      <c r="V58" s="283"/>
      <c r="W58" s="283"/>
      <c r="X58" s="283"/>
      <c r="Y58" s="283"/>
    </row>
    <row r="59">
      <c r="A59" s="377">
        <v>45865.0</v>
      </c>
      <c r="B59" s="375" t="s">
        <v>7364</v>
      </c>
      <c r="C59" s="375" t="s">
        <v>1395</v>
      </c>
      <c r="D59" s="375" t="s">
        <v>284</v>
      </c>
      <c r="E59" s="375" t="s">
        <v>4720</v>
      </c>
      <c r="F59" s="375" t="s">
        <v>7446</v>
      </c>
      <c r="G59" s="375">
        <v>2.0</v>
      </c>
      <c r="H59" s="375" t="s">
        <v>3297</v>
      </c>
      <c r="I59" s="375" t="s">
        <v>125</v>
      </c>
      <c r="J59" s="375" t="s">
        <v>126</v>
      </c>
      <c r="K59" s="375"/>
      <c r="L59" s="375">
        <v>4.0</v>
      </c>
      <c r="M59" s="375" t="str">
        <f t="shared" si="1"/>
        <v>Jacob Babcock</v>
      </c>
      <c r="N59" s="375" t="s">
        <v>4722</v>
      </c>
      <c r="O59" s="375" t="str">
        <f t="array" ref="O59">XLOOKUP(M59,'Recruiting Form Responses'!C:C,'Recruiting Form Responses'!A:A,"",0,1)</f>
        <v>XX</v>
      </c>
      <c r="P59" s="378"/>
      <c r="Q59" s="375" t="s">
        <v>7377</v>
      </c>
      <c r="R59" s="375"/>
      <c r="S59" s="380">
        <v>45870.395833333336</v>
      </c>
      <c r="T59" s="375" t="s">
        <v>7447</v>
      </c>
      <c r="U59" s="375" t="s">
        <v>2821</v>
      </c>
      <c r="V59" s="283"/>
      <c r="W59" s="375"/>
      <c r="X59" s="375"/>
      <c r="Y59" s="375"/>
    </row>
    <row r="60">
      <c r="A60" s="377">
        <v>45865.0</v>
      </c>
      <c r="B60" s="375" t="s">
        <v>7364</v>
      </c>
      <c r="C60" s="375" t="s">
        <v>1395</v>
      </c>
      <c r="D60" s="375" t="s">
        <v>151</v>
      </c>
      <c r="E60" s="375" t="s">
        <v>3076</v>
      </c>
      <c r="F60" s="375" t="s">
        <v>7448</v>
      </c>
      <c r="G60" s="375">
        <v>2.0</v>
      </c>
      <c r="H60" s="375" t="s">
        <v>3077</v>
      </c>
      <c r="I60" s="375" t="s">
        <v>255</v>
      </c>
      <c r="J60" s="375" t="s">
        <v>3077</v>
      </c>
      <c r="K60" s="283"/>
      <c r="L60" s="283"/>
      <c r="M60" s="375" t="str">
        <f t="shared" si="1"/>
        <v>Lucas Collure</v>
      </c>
      <c r="N60" s="375" t="s">
        <v>3078</v>
      </c>
      <c r="O60" s="375" t="str">
        <f t="array" ref="O60">XLOOKUP(M60,'Recruiting Form Responses'!C:C,'Recruiting Form Responses'!A:A,"",0,1)</f>
        <v/>
      </c>
      <c r="P60" s="378"/>
      <c r="Q60" s="375" t="s">
        <v>7377</v>
      </c>
      <c r="R60" s="375"/>
      <c r="S60" s="380">
        <v>45869.645833333336</v>
      </c>
      <c r="T60" s="375" t="s">
        <v>7449</v>
      </c>
      <c r="U60" s="375" t="s">
        <v>2821</v>
      </c>
      <c r="V60" s="375"/>
      <c r="W60" s="375"/>
      <c r="X60" s="375"/>
      <c r="Y60" s="375"/>
    </row>
    <row r="61">
      <c r="A61" s="375"/>
      <c r="B61" s="375" t="s">
        <v>7372</v>
      </c>
      <c r="C61" s="375" t="s">
        <v>1430</v>
      </c>
      <c r="D61" s="375" t="s">
        <v>5320</v>
      </c>
      <c r="E61" s="375" t="s">
        <v>5321</v>
      </c>
      <c r="F61" s="375" t="s">
        <v>7450</v>
      </c>
      <c r="G61" s="375">
        <v>2.0</v>
      </c>
      <c r="H61" s="375"/>
      <c r="I61" s="375" t="s">
        <v>52</v>
      </c>
      <c r="J61" s="375" t="s">
        <v>5322</v>
      </c>
      <c r="K61" s="375" t="s">
        <v>5323</v>
      </c>
      <c r="L61" s="375">
        <v>4.3</v>
      </c>
      <c r="M61" s="375" t="str">
        <f t="shared" si="1"/>
        <v>Roy Kim</v>
      </c>
      <c r="N61" s="375" t="s">
        <v>7451</v>
      </c>
      <c r="O61" s="375" t="str">
        <f t="array" ref="O61">XLOOKUP(M61,'Recruiting Form Responses'!C:C,'Recruiting Form Responses'!A:A,"",0,1)</f>
        <v/>
      </c>
      <c r="P61" s="378"/>
      <c r="Q61" s="375" t="s">
        <v>410</v>
      </c>
      <c r="R61" s="375"/>
      <c r="S61" s="375" t="s">
        <v>4853</v>
      </c>
      <c r="T61" s="375"/>
      <c r="U61" s="375"/>
      <c r="V61" s="283"/>
      <c r="W61" s="375"/>
      <c r="X61" s="375"/>
      <c r="Y61" s="375"/>
    </row>
    <row r="62">
      <c r="A62" s="377">
        <v>45865.0</v>
      </c>
      <c r="B62" s="375" t="s">
        <v>7364</v>
      </c>
      <c r="C62" s="375" t="s">
        <v>1470</v>
      </c>
      <c r="D62" s="375" t="s">
        <v>136</v>
      </c>
      <c r="E62" s="375" t="s">
        <v>5286</v>
      </c>
      <c r="F62" s="375" t="s">
        <v>7452</v>
      </c>
      <c r="G62" s="375">
        <v>1.0</v>
      </c>
      <c r="H62" s="375" t="s">
        <v>5287</v>
      </c>
      <c r="I62" s="375" t="s">
        <v>180</v>
      </c>
      <c r="J62" s="375" t="s">
        <v>5287</v>
      </c>
      <c r="K62" s="283"/>
      <c r="L62" s="283"/>
      <c r="M62" s="375" t="str">
        <f t="shared" si="1"/>
        <v>Jake Ivey</v>
      </c>
      <c r="N62" s="375" t="s">
        <v>5288</v>
      </c>
      <c r="O62" s="375" t="str">
        <f t="array" ref="O62">XLOOKUP(M62,'Recruiting Form Responses'!C:C,'Recruiting Form Responses'!A:A,"",0,1)</f>
        <v/>
      </c>
      <c r="P62" s="378"/>
      <c r="Q62" s="375"/>
      <c r="R62" s="375"/>
      <c r="S62" s="375"/>
      <c r="T62" s="375"/>
      <c r="U62" s="375" t="s">
        <v>2821</v>
      </c>
      <c r="V62" s="283"/>
      <c r="W62" s="375"/>
      <c r="X62" s="375"/>
      <c r="Y62" s="375"/>
    </row>
    <row r="63">
      <c r="A63" s="377">
        <v>45865.0</v>
      </c>
      <c r="B63" s="375" t="s">
        <v>7364</v>
      </c>
      <c r="C63" s="375" t="s">
        <v>1470</v>
      </c>
      <c r="D63" s="375" t="s">
        <v>1187</v>
      </c>
      <c r="E63" s="375" t="s">
        <v>432</v>
      </c>
      <c r="F63" s="375" t="s">
        <v>7453</v>
      </c>
      <c r="G63" s="375">
        <v>2.0</v>
      </c>
      <c r="H63" s="375" t="s">
        <v>5291</v>
      </c>
      <c r="I63" s="375" t="s">
        <v>52</v>
      </c>
      <c r="J63" s="375" t="s">
        <v>5292</v>
      </c>
      <c r="K63" s="375"/>
      <c r="L63" s="375">
        <v>4.0</v>
      </c>
      <c r="M63" s="375" t="str">
        <f t="shared" si="1"/>
        <v>Riley Jackson</v>
      </c>
      <c r="N63" s="375" t="s">
        <v>5293</v>
      </c>
      <c r="O63" s="375" t="str">
        <f t="array" ref="O63">XLOOKUP(M63,'Recruiting Form Responses'!C:C,'Recruiting Form Responses'!A:A,"",0,1)</f>
        <v>XX</v>
      </c>
      <c r="P63" s="378"/>
      <c r="Q63" s="375" t="s">
        <v>7377</v>
      </c>
      <c r="R63" s="375"/>
      <c r="S63" s="375"/>
      <c r="T63" s="375"/>
      <c r="U63" s="375" t="s">
        <v>2821</v>
      </c>
      <c r="V63" s="283"/>
      <c r="W63" s="375"/>
      <c r="X63" s="375"/>
      <c r="Y63" s="375"/>
    </row>
    <row r="64">
      <c r="A64" s="377">
        <v>45865.0</v>
      </c>
      <c r="B64" s="375" t="s">
        <v>7364</v>
      </c>
      <c r="C64" s="375" t="s">
        <v>1470</v>
      </c>
      <c r="D64" s="375" t="s">
        <v>3058</v>
      </c>
      <c r="E64" s="375" t="s">
        <v>4728</v>
      </c>
      <c r="F64" s="375" t="s">
        <v>7386</v>
      </c>
      <c r="G64" s="375">
        <v>2.0</v>
      </c>
      <c r="H64" s="375" t="s">
        <v>1654</v>
      </c>
      <c r="I64" s="375" t="s">
        <v>286</v>
      </c>
      <c r="J64" s="375" t="s">
        <v>4729</v>
      </c>
      <c r="K64" s="283"/>
      <c r="L64" s="283"/>
      <c r="M64" s="375" t="str">
        <f t="shared" si="1"/>
        <v>Colt Babic</v>
      </c>
      <c r="N64" s="379" t="s">
        <v>4730</v>
      </c>
      <c r="O64" s="375" t="str">
        <f t="array" ref="O64">XLOOKUP(M64,'Recruiting Form Responses'!C:C,'Recruiting Form Responses'!A:A,"",0,1)</f>
        <v/>
      </c>
      <c r="P64" s="378"/>
      <c r="Q64" s="375"/>
      <c r="R64" s="375"/>
      <c r="S64" s="375"/>
      <c r="T64" s="375"/>
      <c r="U64" s="375" t="s">
        <v>2821</v>
      </c>
      <c r="V64" s="283"/>
      <c r="W64" s="375"/>
      <c r="X64" s="375"/>
      <c r="Y64" s="375"/>
    </row>
    <row r="65">
      <c r="A65" s="377">
        <v>45865.0</v>
      </c>
      <c r="B65" s="375" t="s">
        <v>7364</v>
      </c>
      <c r="C65" s="375" t="s">
        <v>1395</v>
      </c>
      <c r="D65" s="375" t="s">
        <v>2294</v>
      </c>
      <c r="E65" s="375" t="s">
        <v>4971</v>
      </c>
      <c r="F65" s="375" t="s">
        <v>7454</v>
      </c>
      <c r="G65" s="375">
        <v>1.0</v>
      </c>
      <c r="H65" s="375" t="s">
        <v>4972</v>
      </c>
      <c r="I65" s="375" t="s">
        <v>614</v>
      </c>
      <c r="J65" s="375" t="s">
        <v>4973</v>
      </c>
      <c r="K65" s="375"/>
      <c r="L65" s="375">
        <v>3.96</v>
      </c>
      <c r="M65" s="375" t="str">
        <f t="shared" si="1"/>
        <v>Dylan Crowe</v>
      </c>
      <c r="N65" s="375" t="s">
        <v>4974</v>
      </c>
      <c r="O65" s="375" t="str">
        <f t="array" ref="O65">XLOOKUP(M65,'Recruiting Form Responses'!C:C,'Recruiting Form Responses'!A:A,"",0,1)</f>
        <v/>
      </c>
      <c r="P65" s="378"/>
      <c r="Q65" s="375"/>
      <c r="R65" s="375"/>
      <c r="S65" s="375"/>
      <c r="T65" s="375"/>
      <c r="U65" s="375" t="s">
        <v>2821</v>
      </c>
      <c r="V65" s="283"/>
      <c r="W65" s="375"/>
      <c r="X65" s="375"/>
      <c r="Y65" s="375"/>
    </row>
    <row r="66">
      <c r="A66" s="377">
        <v>45865.0</v>
      </c>
      <c r="B66" s="375" t="s">
        <v>7364</v>
      </c>
      <c r="C66" s="375" t="s">
        <v>1470</v>
      </c>
      <c r="D66" s="375" t="s">
        <v>4939</v>
      </c>
      <c r="E66" s="375" t="s">
        <v>4940</v>
      </c>
      <c r="F66" s="375" t="s">
        <v>7455</v>
      </c>
      <c r="G66" s="375">
        <v>1.0</v>
      </c>
      <c r="H66" s="375" t="s">
        <v>4941</v>
      </c>
      <c r="I66" s="375" t="s">
        <v>240</v>
      </c>
      <c r="J66" s="375" t="s">
        <v>4942</v>
      </c>
      <c r="K66" s="375"/>
      <c r="L66" s="375">
        <v>4.0</v>
      </c>
      <c r="M66" s="375" t="str">
        <f t="shared" si="1"/>
        <v>Freddy Corrado</v>
      </c>
      <c r="N66" s="375" t="s">
        <v>4943</v>
      </c>
      <c r="O66" s="375" t="str">
        <f t="array" ref="O66">XLOOKUP(M66,'Recruiting Form Responses'!C:C,'Recruiting Form Responses'!A:A,"",0,1)</f>
        <v/>
      </c>
      <c r="P66" s="378"/>
      <c r="Q66" s="375"/>
      <c r="R66" s="375"/>
      <c r="S66" s="375"/>
      <c r="T66" s="375"/>
      <c r="U66" s="375" t="s">
        <v>2821</v>
      </c>
      <c r="V66" s="283"/>
      <c r="W66" s="375"/>
      <c r="X66" s="375"/>
      <c r="Y66" s="375"/>
    </row>
    <row r="67">
      <c r="A67" s="377">
        <v>45865.0</v>
      </c>
      <c r="B67" s="375" t="s">
        <v>7364</v>
      </c>
      <c r="C67" s="375" t="s">
        <v>1395</v>
      </c>
      <c r="D67" s="375" t="s">
        <v>629</v>
      </c>
      <c r="E67" s="375" t="s">
        <v>5235</v>
      </c>
      <c r="F67" s="375" t="s">
        <v>7456</v>
      </c>
      <c r="G67" s="375">
        <v>2.0</v>
      </c>
      <c r="H67" s="375" t="s">
        <v>7457</v>
      </c>
      <c r="I67" s="375" t="s">
        <v>153</v>
      </c>
      <c r="J67" s="375" t="s">
        <v>7458</v>
      </c>
      <c r="K67" s="375"/>
      <c r="L67" s="375">
        <v>4.0</v>
      </c>
      <c r="M67" s="375" t="str">
        <f t="shared" si="1"/>
        <v>Charlie Herr</v>
      </c>
      <c r="N67" s="375" t="s">
        <v>7459</v>
      </c>
      <c r="O67" s="375" t="str">
        <f t="array" ref="O67">XLOOKUP(M67,'Recruiting Form Responses'!C:C,'Recruiting Form Responses'!A:A,"",0,1)</f>
        <v>XX</v>
      </c>
      <c r="P67" s="378"/>
      <c r="Q67" s="375" t="s">
        <v>7377</v>
      </c>
      <c r="R67" s="375"/>
      <c r="S67" s="375"/>
      <c r="T67" s="375"/>
      <c r="U67" s="375" t="s">
        <v>2821</v>
      </c>
      <c r="V67" s="283"/>
      <c r="W67" s="375"/>
      <c r="X67" s="375"/>
      <c r="Y67" s="375"/>
    </row>
    <row r="68">
      <c r="A68" s="377">
        <v>45865.0</v>
      </c>
      <c r="B68" s="375" t="s">
        <v>7364</v>
      </c>
      <c r="C68" s="375" t="s">
        <v>1470</v>
      </c>
      <c r="D68" s="375" t="s">
        <v>4788</v>
      </c>
      <c r="E68" s="375" t="s">
        <v>4789</v>
      </c>
      <c r="F68" s="375" t="s">
        <v>7460</v>
      </c>
      <c r="G68" s="375">
        <v>1.0</v>
      </c>
      <c r="H68" s="375" t="s">
        <v>4790</v>
      </c>
      <c r="I68" s="375" t="s">
        <v>4791</v>
      </c>
      <c r="J68" s="375" t="s">
        <v>4792</v>
      </c>
      <c r="K68" s="375"/>
      <c r="L68" s="375">
        <v>3.8</v>
      </c>
      <c r="M68" s="375" t="str">
        <f t="shared" si="1"/>
        <v>Cason Borchardt</v>
      </c>
      <c r="N68" s="375" t="s">
        <v>4793</v>
      </c>
      <c r="O68" s="375" t="str">
        <f t="array" ref="O68">XLOOKUP(M68,'Recruiting Form Responses'!C:C,'Recruiting Form Responses'!A:A,"",0,1)</f>
        <v/>
      </c>
      <c r="P68" s="378"/>
      <c r="Q68" s="375"/>
      <c r="R68" s="375"/>
      <c r="S68" s="375"/>
      <c r="T68" s="375"/>
      <c r="U68" s="375" t="s">
        <v>2821</v>
      </c>
      <c r="V68" s="283"/>
      <c r="W68" s="375"/>
      <c r="X68" s="375"/>
      <c r="Y68" s="375"/>
    </row>
    <row r="69">
      <c r="A69" s="377">
        <v>45865.0</v>
      </c>
      <c r="B69" s="375" t="s">
        <v>7364</v>
      </c>
      <c r="C69" s="375" t="s">
        <v>1470</v>
      </c>
      <c r="D69" s="375" t="s">
        <v>1595</v>
      </c>
      <c r="E69" s="375" t="s">
        <v>5361</v>
      </c>
      <c r="F69" s="375" t="s">
        <v>7370</v>
      </c>
      <c r="G69" s="375">
        <v>1.0</v>
      </c>
      <c r="H69" s="375" t="s">
        <v>5363</v>
      </c>
      <c r="I69" s="375" t="s">
        <v>52</v>
      </c>
      <c r="J69" s="375" t="s">
        <v>1370</v>
      </c>
      <c r="K69" s="283"/>
      <c r="L69" s="283"/>
      <c r="M69" s="375" t="str">
        <f t="shared" si="1"/>
        <v>Parker Leoff</v>
      </c>
      <c r="N69" s="375" t="s">
        <v>5364</v>
      </c>
      <c r="O69" s="375" t="str">
        <f t="array" ref="O69">XLOOKUP(M69,'Recruiting Form Responses'!C:C,'Recruiting Form Responses'!A:A,"",0,1)</f>
        <v/>
      </c>
      <c r="P69" s="378"/>
      <c r="Q69" s="375"/>
      <c r="R69" s="375"/>
      <c r="S69" s="375"/>
      <c r="T69" s="375"/>
      <c r="U69" s="375" t="s">
        <v>2821</v>
      </c>
      <c r="V69" s="283"/>
      <c r="W69" s="375"/>
      <c r="X69" s="375"/>
      <c r="Y69" s="375"/>
    </row>
    <row r="70">
      <c r="A70" s="377">
        <v>45865.0</v>
      </c>
      <c r="B70" s="375" t="s">
        <v>7364</v>
      </c>
      <c r="C70" s="375" t="s">
        <v>1395</v>
      </c>
      <c r="D70" s="375" t="s">
        <v>3359</v>
      </c>
      <c r="E70" s="375" t="s">
        <v>3360</v>
      </c>
      <c r="F70" s="375" t="s">
        <v>7461</v>
      </c>
      <c r="G70" s="375">
        <v>2.0</v>
      </c>
      <c r="H70" s="375" t="s">
        <v>3361</v>
      </c>
      <c r="I70" s="375" t="s">
        <v>585</v>
      </c>
      <c r="J70" s="375" t="s">
        <v>3362</v>
      </c>
      <c r="K70" s="375"/>
      <c r="L70" s="375">
        <v>3.6</v>
      </c>
      <c r="M70" s="375" t="str">
        <f t="shared" si="1"/>
        <v>Bode Schenewerk</v>
      </c>
      <c r="N70" s="379" t="s">
        <v>3363</v>
      </c>
      <c r="O70" s="375" t="str">
        <f t="array" ref="O70">XLOOKUP(M70,'Recruiting Form Responses'!C:C,'Recruiting Form Responses'!A:A,"",0,1)</f>
        <v>XX</v>
      </c>
      <c r="P70" s="378" t="s">
        <v>1994</v>
      </c>
      <c r="Q70" s="375" t="s">
        <v>7377</v>
      </c>
      <c r="R70" s="375"/>
      <c r="S70" s="375"/>
      <c r="T70" s="375"/>
      <c r="U70" s="375" t="s">
        <v>2821</v>
      </c>
      <c r="V70" s="283"/>
      <c r="W70" s="375"/>
      <c r="X70" s="375"/>
      <c r="Y70" s="375"/>
    </row>
    <row r="71">
      <c r="A71" s="375"/>
      <c r="B71" s="375" t="s">
        <v>7372</v>
      </c>
      <c r="C71" s="375" t="s">
        <v>1430</v>
      </c>
      <c r="D71" s="375" t="s">
        <v>3417</v>
      </c>
      <c r="E71" s="375" t="s">
        <v>941</v>
      </c>
      <c r="F71" s="375" t="s">
        <v>7462</v>
      </c>
      <c r="G71" s="375">
        <v>2.0</v>
      </c>
      <c r="H71" s="375"/>
      <c r="I71" s="375" t="s">
        <v>66</v>
      </c>
      <c r="J71" s="375" t="s">
        <v>621</v>
      </c>
      <c r="K71" s="375" t="s">
        <v>68</v>
      </c>
      <c r="L71" s="375">
        <v>3.75</v>
      </c>
      <c r="M71" s="375" t="str">
        <f t="shared" si="1"/>
        <v>Brennan Jones</v>
      </c>
      <c r="N71" s="375" t="s">
        <v>7463</v>
      </c>
      <c r="O71" s="375">
        <f t="array" ref="O71">XLOOKUP(M71,'Recruiting Form Responses'!C:C,'Recruiting Form Responses'!A:A,"",0,1)</f>
        <v>3</v>
      </c>
      <c r="P71" s="378"/>
      <c r="Q71" s="375" t="s">
        <v>7377</v>
      </c>
      <c r="R71" s="375"/>
      <c r="S71" s="377">
        <v>45882.0</v>
      </c>
      <c r="T71" s="375" t="s">
        <v>7464</v>
      </c>
      <c r="U71" s="375"/>
      <c r="V71" s="283"/>
      <c r="W71" s="375"/>
      <c r="X71" s="375"/>
      <c r="Y71" s="375"/>
    </row>
    <row r="72">
      <c r="A72" s="375"/>
      <c r="B72" s="375" t="s">
        <v>7372</v>
      </c>
      <c r="C72" s="375" t="s">
        <v>1430</v>
      </c>
      <c r="D72" s="375" t="s">
        <v>385</v>
      </c>
      <c r="E72" s="375" t="s">
        <v>4800</v>
      </c>
      <c r="F72" s="375" t="s">
        <v>7465</v>
      </c>
      <c r="G72" s="375">
        <v>1.0</v>
      </c>
      <c r="H72" s="375"/>
      <c r="I72" s="375" t="s">
        <v>43</v>
      </c>
      <c r="J72" s="375" t="s">
        <v>4802</v>
      </c>
      <c r="K72" s="375" t="s">
        <v>1120</v>
      </c>
      <c r="L72" s="375">
        <v>4.0</v>
      </c>
      <c r="M72" s="375" t="str">
        <f t="shared" si="1"/>
        <v>Evan Brand</v>
      </c>
      <c r="N72" s="375" t="s">
        <v>7466</v>
      </c>
      <c r="O72" s="375" t="str">
        <f t="array" ref="O72">XLOOKUP(M72,'Recruiting Form Responses'!C:C,'Recruiting Form Responses'!A:A,"",0,1)</f>
        <v/>
      </c>
      <c r="P72" s="378"/>
      <c r="Q72" s="375"/>
      <c r="R72" s="375"/>
      <c r="S72" s="375"/>
      <c r="T72" s="375"/>
      <c r="U72" s="375"/>
      <c r="V72" s="283"/>
      <c r="W72" s="375"/>
      <c r="X72" s="375"/>
      <c r="Y72" s="375"/>
    </row>
    <row r="73">
      <c r="A73" s="377">
        <v>45865.0</v>
      </c>
      <c r="B73" s="375" t="s">
        <v>7364</v>
      </c>
      <c r="C73" s="375" t="s">
        <v>1470</v>
      </c>
      <c r="D73" s="375" t="s">
        <v>1206</v>
      </c>
      <c r="E73" s="375" t="s">
        <v>6047</v>
      </c>
      <c r="F73" s="375" t="s">
        <v>7467</v>
      </c>
      <c r="G73" s="375">
        <v>1.0</v>
      </c>
      <c r="H73" s="375" t="s">
        <v>6048</v>
      </c>
      <c r="I73" s="375" t="s">
        <v>529</v>
      </c>
      <c r="J73" s="375" t="s">
        <v>6049</v>
      </c>
      <c r="K73" s="283"/>
      <c r="L73" s="283"/>
      <c r="M73" s="375" t="str">
        <f t="shared" si="1"/>
        <v>Ryan Younglas</v>
      </c>
      <c r="N73" s="375" t="s">
        <v>6050</v>
      </c>
      <c r="O73" s="375" t="str">
        <f t="array" ref="O73">XLOOKUP(M73,'Recruiting Form Responses'!C:C,'Recruiting Form Responses'!A:A,"",0,1)</f>
        <v/>
      </c>
      <c r="P73" s="378"/>
      <c r="Q73" s="375"/>
      <c r="R73" s="375"/>
      <c r="S73" s="375"/>
      <c r="T73" s="375"/>
      <c r="U73" s="375" t="s">
        <v>2821</v>
      </c>
      <c r="V73" s="283"/>
      <c r="W73" s="375"/>
      <c r="X73" s="375"/>
      <c r="Y73" s="375"/>
    </row>
    <row r="74">
      <c r="A74" s="377">
        <v>45865.0</v>
      </c>
      <c r="B74" s="375" t="s">
        <v>7364</v>
      </c>
      <c r="C74" s="375" t="s">
        <v>1395</v>
      </c>
      <c r="D74" s="375" t="s">
        <v>881</v>
      </c>
      <c r="E74" s="375" t="s">
        <v>5643</v>
      </c>
      <c r="F74" s="375" t="s">
        <v>7468</v>
      </c>
      <c r="G74" s="375">
        <v>1.0</v>
      </c>
      <c r="H74" s="375" t="s">
        <v>5644</v>
      </c>
      <c r="I74" s="375" t="s">
        <v>360</v>
      </c>
      <c r="J74" s="375" t="s">
        <v>5645</v>
      </c>
      <c r="K74" s="375"/>
      <c r="L74" s="375">
        <v>4.0</v>
      </c>
      <c r="M74" s="375" t="str">
        <f t="shared" si="1"/>
        <v>Lincoln Norris</v>
      </c>
      <c r="N74" s="375" t="s">
        <v>5646</v>
      </c>
      <c r="O74" s="375" t="str">
        <f t="array" ref="O74">XLOOKUP(M74,'Recruiting Form Responses'!C:C,'Recruiting Form Responses'!A:A,"",0,1)</f>
        <v/>
      </c>
      <c r="P74" s="378"/>
      <c r="Q74" s="375" t="s">
        <v>7377</v>
      </c>
      <c r="R74" s="375"/>
      <c r="S74" s="375" t="s">
        <v>7469</v>
      </c>
      <c r="T74" s="375" t="s">
        <v>7470</v>
      </c>
      <c r="U74" s="375" t="s">
        <v>2821</v>
      </c>
      <c r="V74" s="375"/>
      <c r="W74" s="375"/>
      <c r="X74" s="375"/>
      <c r="Y74" s="375"/>
    </row>
    <row r="75">
      <c r="A75" s="377">
        <v>45865.0</v>
      </c>
      <c r="B75" s="375" t="s">
        <v>7364</v>
      </c>
      <c r="C75" s="375" t="s">
        <v>1430</v>
      </c>
      <c r="D75" s="375" t="s">
        <v>4456</v>
      </c>
      <c r="E75" s="375" t="s">
        <v>605</v>
      </c>
      <c r="F75" s="375" t="s">
        <v>7371</v>
      </c>
      <c r="G75" s="375">
        <v>1.0</v>
      </c>
      <c r="H75" s="375" t="s">
        <v>4823</v>
      </c>
      <c r="I75" s="375" t="s">
        <v>731</v>
      </c>
      <c r="J75" s="375" t="s">
        <v>2516</v>
      </c>
      <c r="K75" s="375"/>
      <c r="L75" s="375">
        <v>4.2</v>
      </c>
      <c r="M75" s="375" t="str">
        <f t="shared" si="1"/>
        <v>Boston Brown</v>
      </c>
      <c r="N75" s="379"/>
      <c r="O75" s="375" t="str">
        <f t="array" ref="O75">XLOOKUP(M75,'Recruiting Form Responses'!C:C,'Recruiting Form Responses'!A:A,"",0,1)</f>
        <v>XX</v>
      </c>
      <c r="P75" s="378"/>
      <c r="Q75" s="375" t="s">
        <v>410</v>
      </c>
      <c r="R75" s="375"/>
      <c r="S75" s="375" t="s">
        <v>4822</v>
      </c>
      <c r="T75" s="375"/>
      <c r="U75" s="375" t="s">
        <v>2821</v>
      </c>
      <c r="V75" s="283"/>
      <c r="W75" s="375"/>
      <c r="X75" s="375"/>
      <c r="Y75" s="375"/>
    </row>
    <row r="76">
      <c r="A76" s="384">
        <v>45865.0</v>
      </c>
      <c r="B76" s="385" t="s">
        <v>7364</v>
      </c>
      <c r="C76" s="385" t="s">
        <v>1470</v>
      </c>
      <c r="D76" s="385" t="s">
        <v>696</v>
      </c>
      <c r="E76" s="385" t="s">
        <v>5242</v>
      </c>
      <c r="F76" s="385" t="s">
        <v>7471</v>
      </c>
      <c r="G76" s="385">
        <v>2.0</v>
      </c>
      <c r="H76" s="385" t="s">
        <v>3249</v>
      </c>
      <c r="I76" s="385" t="s">
        <v>240</v>
      </c>
      <c r="J76" s="385" t="s">
        <v>5243</v>
      </c>
      <c r="K76" s="386"/>
      <c r="L76" s="386">
        <v>4.1</v>
      </c>
      <c r="M76" s="385" t="str">
        <f t="shared" si="1"/>
        <v>Cooper Hillen</v>
      </c>
      <c r="N76" s="385" t="s">
        <v>5244</v>
      </c>
      <c r="O76" s="385" t="str">
        <f t="array" ref="O76">XLOOKUP(M76,'Recruiting Form Responses'!C:C,'Recruiting Form Responses'!A:A,"",0,1)</f>
        <v>XX</v>
      </c>
      <c r="P76" s="387"/>
      <c r="Q76" s="385" t="s">
        <v>7377</v>
      </c>
      <c r="R76" s="385"/>
      <c r="S76" s="385"/>
      <c r="T76" s="385"/>
      <c r="U76" s="385" t="s">
        <v>2821</v>
      </c>
      <c r="V76" s="283"/>
      <c r="W76" s="375"/>
      <c r="X76" s="375"/>
      <c r="Y76" s="375"/>
    </row>
    <row r="77">
      <c r="A77" s="375"/>
      <c r="B77" s="375" t="s">
        <v>7372</v>
      </c>
      <c r="C77" s="375" t="s">
        <v>1430</v>
      </c>
      <c r="D77" s="375" t="s">
        <v>5422</v>
      </c>
      <c r="E77" s="375" t="s">
        <v>5423</v>
      </c>
      <c r="F77" s="375" t="s">
        <v>7472</v>
      </c>
      <c r="G77" s="375">
        <v>1.0</v>
      </c>
      <c r="H77" s="375"/>
      <c r="I77" s="375" t="s">
        <v>112</v>
      </c>
      <c r="J77" s="375" t="s">
        <v>5425</v>
      </c>
      <c r="K77" s="375" t="s">
        <v>113</v>
      </c>
      <c r="L77" s="375" t="s">
        <v>5426</v>
      </c>
      <c r="M77" s="375" t="str">
        <f t="shared" si="1"/>
        <v>Ryker Mahnke</v>
      </c>
      <c r="N77" s="375" t="s">
        <v>7473</v>
      </c>
      <c r="O77" s="375" t="str">
        <f t="array" ref="O77">XLOOKUP(M77,'Recruiting Form Responses'!C:C,'Recruiting Form Responses'!A:A,"",0,1)</f>
        <v>XX</v>
      </c>
      <c r="P77" s="381"/>
      <c r="Q77" s="375" t="s">
        <v>7377</v>
      </c>
      <c r="R77" s="375"/>
      <c r="S77" s="377">
        <v>45882.0</v>
      </c>
      <c r="T77" s="375" t="s">
        <v>7474</v>
      </c>
      <c r="U77" s="375"/>
      <c r="V77" s="283"/>
      <c r="W77" s="375"/>
      <c r="X77" s="375"/>
      <c r="Y77" s="375"/>
    </row>
    <row r="78">
      <c r="A78" s="377">
        <v>45865.0</v>
      </c>
      <c r="B78" s="375" t="s">
        <v>7364</v>
      </c>
      <c r="C78" s="375" t="s">
        <v>1470</v>
      </c>
      <c r="D78" s="375" t="s">
        <v>2088</v>
      </c>
      <c r="E78" s="375" t="s">
        <v>6043</v>
      </c>
      <c r="F78" s="375" t="s">
        <v>7475</v>
      </c>
      <c r="G78" s="375">
        <v>2.0</v>
      </c>
      <c r="H78" s="375" t="s">
        <v>4465</v>
      </c>
      <c r="I78" s="375" t="s">
        <v>585</v>
      </c>
      <c r="J78" s="375" t="s">
        <v>6044</v>
      </c>
      <c r="K78" s="375"/>
      <c r="L78" s="375">
        <v>3.8</v>
      </c>
      <c r="M78" s="375" t="str">
        <f t="shared" si="1"/>
        <v>Beckett York</v>
      </c>
      <c r="N78" s="375" t="s">
        <v>6045</v>
      </c>
      <c r="O78" s="375" t="str">
        <f t="array" ref="O78">XLOOKUP(M78,'Recruiting Form Responses'!C:C,'Recruiting Form Responses'!A:A,"",0,1)</f>
        <v/>
      </c>
      <c r="P78" s="378"/>
      <c r="Q78" s="375"/>
      <c r="R78" s="375"/>
      <c r="S78" s="375"/>
      <c r="T78" s="375"/>
      <c r="U78" s="375" t="s">
        <v>2821</v>
      </c>
      <c r="V78" s="283"/>
      <c r="W78" s="375"/>
      <c r="X78" s="375"/>
      <c r="Y78" s="375"/>
    </row>
    <row r="79">
      <c r="A79" s="377">
        <v>45865.0</v>
      </c>
      <c r="B79" s="375" t="s">
        <v>7364</v>
      </c>
      <c r="C79" s="375" t="s">
        <v>1430</v>
      </c>
      <c r="D79" s="375" t="s">
        <v>172</v>
      </c>
      <c r="E79" s="375" t="s">
        <v>452</v>
      </c>
      <c r="F79" s="375" t="s">
        <v>7476</v>
      </c>
      <c r="G79" s="375">
        <v>1.0</v>
      </c>
      <c r="H79" s="375" t="s">
        <v>3539</v>
      </c>
      <c r="I79" s="375" t="s">
        <v>543</v>
      </c>
      <c r="J79" s="375" t="s">
        <v>5679</v>
      </c>
      <c r="K79" s="375"/>
      <c r="L79" s="375">
        <v>4.0</v>
      </c>
      <c r="M79" s="375" t="str">
        <f t="shared" si="1"/>
        <v>Sam Pearson</v>
      </c>
      <c r="N79" s="375" t="s">
        <v>5680</v>
      </c>
      <c r="O79" s="375" t="str">
        <f t="array" ref="O79">XLOOKUP(M79,'Recruiting Form Responses'!C:C,'Recruiting Form Responses'!A:A,"",0,1)</f>
        <v>XX</v>
      </c>
      <c r="P79" s="378"/>
      <c r="Q79" s="375" t="s">
        <v>7377</v>
      </c>
      <c r="R79" s="375"/>
      <c r="S79" s="377">
        <v>45881.0</v>
      </c>
      <c r="T79" s="375" t="s">
        <v>7477</v>
      </c>
      <c r="U79" s="375" t="s">
        <v>2821</v>
      </c>
      <c r="V79" s="283"/>
      <c r="W79" s="375"/>
      <c r="X79" s="375"/>
      <c r="Y79" s="375"/>
    </row>
    <row r="80">
      <c r="A80" s="377">
        <v>45865.0</v>
      </c>
      <c r="B80" s="375" t="s">
        <v>7364</v>
      </c>
      <c r="C80" s="375" t="s">
        <v>1470</v>
      </c>
      <c r="D80" s="375" t="s">
        <v>2857</v>
      </c>
      <c r="E80" s="375" t="s">
        <v>2858</v>
      </c>
      <c r="F80" s="375" t="s">
        <v>7478</v>
      </c>
      <c r="G80" s="375">
        <v>1.0</v>
      </c>
      <c r="H80" s="375" t="s">
        <v>2859</v>
      </c>
      <c r="I80" s="375" t="s">
        <v>52</v>
      </c>
      <c r="J80" s="375" t="s">
        <v>2860</v>
      </c>
      <c r="K80" s="375"/>
      <c r="L80" s="375">
        <v>4.0</v>
      </c>
      <c r="M80" s="375" t="str">
        <f t="shared" si="1"/>
        <v>Stevie Wellens</v>
      </c>
      <c r="N80" s="375" t="s">
        <v>2861</v>
      </c>
      <c r="O80" s="375" t="str">
        <f t="array" ref="O80">XLOOKUP(M80,'Recruiting Form Responses'!C:C,'Recruiting Form Responses'!A:A,"",0,1)</f>
        <v/>
      </c>
      <c r="P80" s="378"/>
      <c r="Q80" s="375" t="s">
        <v>7377</v>
      </c>
      <c r="R80" s="375"/>
      <c r="S80" s="375"/>
      <c r="T80" s="375" t="s">
        <v>7479</v>
      </c>
      <c r="U80" s="375" t="s">
        <v>2821</v>
      </c>
      <c r="V80" s="283"/>
      <c r="W80" s="375"/>
      <c r="X80" s="375"/>
      <c r="Y80" s="375"/>
    </row>
    <row r="81">
      <c r="A81" s="377">
        <v>45865.0</v>
      </c>
      <c r="B81" s="375" t="s">
        <v>7364</v>
      </c>
      <c r="C81" s="375" t="s">
        <v>1470</v>
      </c>
      <c r="D81" s="375" t="s">
        <v>278</v>
      </c>
      <c r="E81" s="375" t="s">
        <v>5817</v>
      </c>
      <c r="F81" s="375" t="s">
        <v>7406</v>
      </c>
      <c r="G81" s="375">
        <v>1.0</v>
      </c>
      <c r="H81" s="375" t="s">
        <v>5818</v>
      </c>
      <c r="I81" s="375" t="s">
        <v>180</v>
      </c>
      <c r="J81" s="375" t="s">
        <v>5818</v>
      </c>
      <c r="K81" s="283"/>
      <c r="L81" s="283"/>
      <c r="M81" s="375" t="str">
        <f t="shared" si="1"/>
        <v>Grant Stafford</v>
      </c>
      <c r="N81" s="375" t="s">
        <v>5819</v>
      </c>
      <c r="O81" s="375" t="str">
        <f t="array" ref="O81">XLOOKUP(M81,'Recruiting Form Responses'!C:C,'Recruiting Form Responses'!A:A,"",0,1)</f>
        <v>XX</v>
      </c>
      <c r="P81" s="378" t="s">
        <v>6053</v>
      </c>
      <c r="Q81" s="375" t="s">
        <v>7377</v>
      </c>
      <c r="R81" s="375"/>
      <c r="S81" s="375"/>
      <c r="T81" s="375"/>
      <c r="U81" s="375" t="s">
        <v>2821</v>
      </c>
      <c r="V81" s="283"/>
      <c r="W81" s="375"/>
      <c r="X81" s="375"/>
      <c r="Y81" s="375"/>
    </row>
    <row r="82">
      <c r="A82" s="375"/>
      <c r="B82" s="375" t="s">
        <v>7372</v>
      </c>
      <c r="C82" s="375" t="s">
        <v>1430</v>
      </c>
      <c r="D82" s="375" t="s">
        <v>1206</v>
      </c>
      <c r="E82" s="375" t="s">
        <v>3183</v>
      </c>
      <c r="F82" s="375" t="s">
        <v>7436</v>
      </c>
      <c r="G82" s="375">
        <v>2.0</v>
      </c>
      <c r="H82" s="375"/>
      <c r="I82" s="375" t="s">
        <v>502</v>
      </c>
      <c r="J82" s="375" t="s">
        <v>3184</v>
      </c>
      <c r="K82" s="375" t="s">
        <v>2029</v>
      </c>
      <c r="L82" s="375" t="s">
        <v>1836</v>
      </c>
      <c r="M82" s="375" t="str">
        <f t="shared" si="1"/>
        <v>Ryan Hawken</v>
      </c>
      <c r="N82" s="375" t="s">
        <v>7480</v>
      </c>
      <c r="O82" s="375">
        <f t="array" ref="O82">XLOOKUP(M82,'Recruiting Form Responses'!C:C,'Recruiting Form Responses'!A:A,"",0,1)</f>
        <v>2</v>
      </c>
      <c r="P82" s="378"/>
      <c r="Q82" s="375" t="s">
        <v>7377</v>
      </c>
      <c r="R82" s="375"/>
      <c r="S82" s="377">
        <v>45881.0</v>
      </c>
      <c r="T82" s="375" t="s">
        <v>7481</v>
      </c>
      <c r="U82" s="375"/>
      <c r="V82" s="283"/>
      <c r="W82" s="375"/>
      <c r="X82" s="375"/>
      <c r="Y82" s="375"/>
    </row>
    <row r="83">
      <c r="A83" s="377">
        <v>45865.0</v>
      </c>
      <c r="B83" s="375" t="s">
        <v>7364</v>
      </c>
      <c r="C83" s="375" t="s">
        <v>1430</v>
      </c>
      <c r="D83" s="375" t="s">
        <v>5178</v>
      </c>
      <c r="E83" s="375" t="s">
        <v>5179</v>
      </c>
      <c r="F83" s="375" t="s">
        <v>7482</v>
      </c>
      <c r="G83" s="375">
        <v>2.0</v>
      </c>
      <c r="H83" s="375" t="s">
        <v>5181</v>
      </c>
      <c r="I83" s="375" t="s">
        <v>614</v>
      </c>
      <c r="J83" s="375" t="s">
        <v>5181</v>
      </c>
      <c r="K83" s="375"/>
      <c r="L83" s="375">
        <v>3.95</v>
      </c>
      <c r="M83" s="375" t="str">
        <f t="shared" si="1"/>
        <v>Cale Hackenberg</v>
      </c>
      <c r="N83" s="375" t="s">
        <v>5182</v>
      </c>
      <c r="O83" s="375" t="str">
        <f t="array" ref="O83">XLOOKUP(M83,'Recruiting Form Responses'!C:C,'Recruiting Form Responses'!A:A,"",0,1)</f>
        <v/>
      </c>
      <c r="P83" s="378"/>
      <c r="Q83" s="375"/>
      <c r="R83" s="375"/>
      <c r="S83" s="375"/>
      <c r="T83" s="375"/>
      <c r="U83" s="375" t="s">
        <v>2821</v>
      </c>
      <c r="V83" s="375"/>
      <c r="W83" s="375"/>
      <c r="X83" s="375"/>
      <c r="Y83" s="375"/>
    </row>
    <row r="84">
      <c r="A84" s="377">
        <v>45865.0</v>
      </c>
      <c r="B84" s="375" t="s">
        <v>7364</v>
      </c>
      <c r="C84" s="375" t="s">
        <v>1470</v>
      </c>
      <c r="D84" s="375" t="s">
        <v>850</v>
      </c>
      <c r="E84" s="375" t="s">
        <v>4625</v>
      </c>
      <c r="F84" s="375" t="s">
        <v>7483</v>
      </c>
      <c r="G84" s="375">
        <v>1.0</v>
      </c>
      <c r="H84" s="375" t="s">
        <v>5376</v>
      </c>
      <c r="I84" s="375" t="s">
        <v>174</v>
      </c>
      <c r="J84" s="375" t="s">
        <v>5376</v>
      </c>
      <c r="K84" s="283"/>
      <c r="L84" s="283"/>
      <c r="M84" s="375" t="str">
        <f t="shared" si="1"/>
        <v>Isaac Lockwood</v>
      </c>
      <c r="N84" s="375" t="s">
        <v>5377</v>
      </c>
      <c r="O84" s="375" t="str">
        <f t="array" ref="O84">XLOOKUP(M84,'Recruiting Form Responses'!C:C,'Recruiting Form Responses'!A:A,"",0,1)</f>
        <v/>
      </c>
      <c r="P84" s="378"/>
      <c r="Q84" s="375"/>
      <c r="R84" s="375"/>
      <c r="S84" s="375"/>
      <c r="T84" s="375"/>
      <c r="U84" s="375" t="s">
        <v>2821</v>
      </c>
      <c r="V84" s="283"/>
      <c r="W84" s="375"/>
      <c r="X84" s="375"/>
      <c r="Y84" s="375"/>
    </row>
    <row r="85">
      <c r="A85" s="377">
        <v>45865.0</v>
      </c>
      <c r="B85" s="375" t="s">
        <v>7364</v>
      </c>
      <c r="C85" s="375" t="s">
        <v>1395</v>
      </c>
      <c r="D85" s="375" t="s">
        <v>512</v>
      </c>
      <c r="E85" s="375" t="s">
        <v>5872</v>
      </c>
      <c r="F85" s="375" t="s">
        <v>7484</v>
      </c>
      <c r="G85" s="375">
        <v>2.0</v>
      </c>
      <c r="H85" s="375" t="s">
        <v>5874</v>
      </c>
      <c r="I85" s="375" t="s">
        <v>519</v>
      </c>
      <c r="J85" s="375" t="s">
        <v>5875</v>
      </c>
      <c r="K85" s="375"/>
      <c r="L85" s="375">
        <v>3.7</v>
      </c>
      <c r="M85" s="375" t="str">
        <f t="shared" si="1"/>
        <v>Braden Swaney</v>
      </c>
      <c r="N85" s="375" t="s">
        <v>5876</v>
      </c>
      <c r="O85" s="375" t="str">
        <f t="array" ref="O85">XLOOKUP(M85,'Recruiting Form Responses'!C:C,'Recruiting Form Responses'!A:A,"",0,1)</f>
        <v/>
      </c>
      <c r="P85" s="378"/>
      <c r="Q85" s="375"/>
      <c r="R85" s="375"/>
      <c r="S85" s="375"/>
      <c r="T85" s="375"/>
      <c r="U85" s="375" t="s">
        <v>2821</v>
      </c>
      <c r="V85" s="375"/>
      <c r="W85" s="375"/>
      <c r="X85" s="375"/>
      <c r="Y85" s="375"/>
    </row>
    <row r="86">
      <c r="A86" s="377">
        <v>45865.0</v>
      </c>
      <c r="B86" s="375" t="s">
        <v>7364</v>
      </c>
      <c r="C86" s="375" t="s">
        <v>1470</v>
      </c>
      <c r="D86" s="375" t="s">
        <v>5685</v>
      </c>
      <c r="E86" s="375" t="s">
        <v>5686</v>
      </c>
      <c r="F86" s="375" t="s">
        <v>7455</v>
      </c>
      <c r="G86" s="375">
        <v>2.0</v>
      </c>
      <c r="H86" s="375" t="s">
        <v>5687</v>
      </c>
      <c r="I86" s="375" t="s">
        <v>240</v>
      </c>
      <c r="J86" s="375" t="s">
        <v>5687</v>
      </c>
      <c r="K86" s="283"/>
      <c r="L86" s="283"/>
      <c r="M86" s="375" t="str">
        <f t="shared" si="1"/>
        <v>Briar Persing</v>
      </c>
      <c r="N86" s="375" t="s">
        <v>5688</v>
      </c>
      <c r="O86" s="375" t="str">
        <f t="array" ref="O86">XLOOKUP(M86,'Recruiting Form Responses'!C:C,'Recruiting Form Responses'!A:A,"",0,1)</f>
        <v/>
      </c>
      <c r="P86" s="378"/>
      <c r="Q86" s="375"/>
      <c r="R86" s="375"/>
      <c r="S86" s="375"/>
      <c r="T86" s="375"/>
      <c r="U86" s="375" t="s">
        <v>2821</v>
      </c>
      <c r="V86" s="283"/>
      <c r="W86" s="375"/>
      <c r="X86" s="375"/>
      <c r="Y86" s="375"/>
    </row>
    <row r="87">
      <c r="A87" s="375"/>
      <c r="B87" s="375" t="s">
        <v>7372</v>
      </c>
      <c r="C87" s="375" t="s">
        <v>1430</v>
      </c>
      <c r="D87" s="375" t="s">
        <v>1206</v>
      </c>
      <c r="E87" s="375" t="s">
        <v>5201</v>
      </c>
      <c r="F87" s="375" t="s">
        <v>7391</v>
      </c>
      <c r="G87" s="375">
        <v>2.0</v>
      </c>
      <c r="H87" s="375"/>
      <c r="I87" s="375" t="s">
        <v>66</v>
      </c>
      <c r="J87" s="375" t="s">
        <v>5202</v>
      </c>
      <c r="K87" s="375" t="s">
        <v>5203</v>
      </c>
      <c r="L87" s="375">
        <v>4.0</v>
      </c>
      <c r="M87" s="375" t="str">
        <f t="shared" si="1"/>
        <v>Ryan Harless</v>
      </c>
      <c r="N87" s="388" t="s">
        <v>7485</v>
      </c>
      <c r="O87" s="375" t="str">
        <f t="array" ref="O87">XLOOKUP(M87,'Recruiting Form Responses'!C:C,'Recruiting Form Responses'!A:A,"",0,1)</f>
        <v>XX</v>
      </c>
      <c r="P87" s="378"/>
      <c r="Q87" s="375" t="s">
        <v>7377</v>
      </c>
      <c r="R87" s="375"/>
      <c r="S87" s="375" t="s">
        <v>7422</v>
      </c>
      <c r="T87" s="375" t="s">
        <v>7423</v>
      </c>
      <c r="U87" s="375"/>
      <c r="V87" s="283"/>
      <c r="W87" s="375"/>
      <c r="X87" s="375"/>
      <c r="Y87" s="375"/>
    </row>
    <row r="88">
      <c r="A88" s="377">
        <v>45865.0</v>
      </c>
      <c r="B88" s="375" t="s">
        <v>7364</v>
      </c>
      <c r="C88" s="375" t="s">
        <v>1470</v>
      </c>
      <c r="D88" s="375" t="s">
        <v>249</v>
      </c>
      <c r="E88" s="375" t="s">
        <v>4960</v>
      </c>
      <c r="F88" s="375" t="s">
        <v>7486</v>
      </c>
      <c r="G88" s="375">
        <v>1.0</v>
      </c>
      <c r="H88" s="375" t="s">
        <v>4962</v>
      </c>
      <c r="I88" s="375" t="s">
        <v>180</v>
      </c>
      <c r="J88" s="375" t="s">
        <v>4962</v>
      </c>
      <c r="K88" s="375"/>
      <c r="L88" s="375">
        <v>4.0</v>
      </c>
      <c r="M88" s="375" t="str">
        <f t="shared" si="1"/>
        <v>Drew Cross</v>
      </c>
      <c r="N88" s="375" t="s">
        <v>4963</v>
      </c>
      <c r="O88" s="375" t="str">
        <f t="array" ref="O88">XLOOKUP(M88,'Recruiting Form Responses'!C:C,'Recruiting Form Responses'!A:A,"",0,1)</f>
        <v/>
      </c>
      <c r="P88" s="378" t="s">
        <v>7487</v>
      </c>
      <c r="Q88" s="375" t="s">
        <v>7377</v>
      </c>
      <c r="R88" s="375"/>
      <c r="S88" s="375"/>
      <c r="T88" s="375" t="s">
        <v>7488</v>
      </c>
      <c r="U88" s="375" t="s">
        <v>2821</v>
      </c>
      <c r="V88" s="375"/>
      <c r="W88" s="375"/>
      <c r="X88" s="375"/>
      <c r="Y88" s="375"/>
    </row>
    <row r="89">
      <c r="A89" s="377">
        <v>45865.0</v>
      </c>
      <c r="B89" s="375" t="s">
        <v>7364</v>
      </c>
      <c r="C89" s="375" t="s">
        <v>1395</v>
      </c>
      <c r="D89" s="375" t="s">
        <v>2513</v>
      </c>
      <c r="E89" s="375" t="s">
        <v>228</v>
      </c>
      <c r="F89" s="375" t="s">
        <v>7371</v>
      </c>
      <c r="G89" s="375">
        <v>1.0</v>
      </c>
      <c r="H89" s="375" t="s">
        <v>2819</v>
      </c>
      <c r="I89" s="375" t="s">
        <v>731</v>
      </c>
      <c r="J89" s="375" t="s">
        <v>2819</v>
      </c>
      <c r="K89" s="375"/>
      <c r="L89" s="375">
        <v>4.6</v>
      </c>
      <c r="M89" s="375" t="str">
        <f t="shared" si="1"/>
        <v>Jude Davidson</v>
      </c>
      <c r="N89" s="375" t="s">
        <v>2820</v>
      </c>
      <c r="O89" s="375">
        <f t="array" ref="O89">XLOOKUP(M89,'Recruiting Form Responses'!C:C,'Recruiting Form Responses'!A:A,"",0,1)</f>
        <v>0.1</v>
      </c>
      <c r="P89" s="378"/>
      <c r="Q89" s="375"/>
      <c r="R89" s="375"/>
      <c r="S89" s="375"/>
      <c r="T89" s="375"/>
      <c r="U89" s="375" t="s">
        <v>2821</v>
      </c>
      <c r="V89" s="283"/>
      <c r="W89" s="375"/>
      <c r="X89" s="375"/>
      <c r="Y89" s="375"/>
    </row>
    <row r="90">
      <c r="A90" s="377">
        <v>45865.0</v>
      </c>
      <c r="B90" s="375" t="s">
        <v>7364</v>
      </c>
      <c r="C90" s="375" t="s">
        <v>1395</v>
      </c>
      <c r="D90" s="375" t="s">
        <v>432</v>
      </c>
      <c r="E90" s="375" t="s">
        <v>4950</v>
      </c>
      <c r="F90" s="375" t="s">
        <v>7489</v>
      </c>
      <c r="G90" s="375">
        <v>1.0</v>
      </c>
      <c r="H90" s="375" t="s">
        <v>3191</v>
      </c>
      <c r="I90" s="375" t="s">
        <v>174</v>
      </c>
      <c r="J90" s="375" t="s">
        <v>3073</v>
      </c>
      <c r="K90" s="375"/>
      <c r="L90" s="375">
        <v>3.8</v>
      </c>
      <c r="M90" s="375" t="str">
        <f t="shared" si="1"/>
        <v>Jackson Crawford</v>
      </c>
      <c r="N90" s="375" t="s">
        <v>4951</v>
      </c>
      <c r="O90" s="375" t="str">
        <f t="array" ref="O90">XLOOKUP(M90,'Recruiting Form Responses'!C:C,'Recruiting Form Responses'!A:A,"",0,1)</f>
        <v/>
      </c>
      <c r="P90" s="378"/>
      <c r="Q90" s="375" t="s">
        <v>7377</v>
      </c>
      <c r="R90" s="375"/>
      <c r="S90" s="375" t="s">
        <v>7404</v>
      </c>
      <c r="T90" s="375" t="s">
        <v>7490</v>
      </c>
      <c r="U90" s="375" t="s">
        <v>2821</v>
      </c>
      <c r="V90" s="283"/>
      <c r="W90" s="375"/>
      <c r="X90" s="375"/>
      <c r="Y90" s="375"/>
    </row>
    <row r="91">
      <c r="A91" s="377">
        <v>45865.0</v>
      </c>
      <c r="B91" s="375" t="s">
        <v>7364</v>
      </c>
      <c r="C91" s="375" t="s">
        <v>1470</v>
      </c>
      <c r="D91" s="375" t="s">
        <v>227</v>
      </c>
      <c r="E91" s="375" t="s">
        <v>3071</v>
      </c>
      <c r="F91" s="375" t="s">
        <v>7483</v>
      </c>
      <c r="G91" s="375">
        <v>2.0</v>
      </c>
      <c r="H91" s="375" t="s">
        <v>3072</v>
      </c>
      <c r="I91" s="375" t="s">
        <v>174</v>
      </c>
      <c r="J91" s="375" t="s">
        <v>3073</v>
      </c>
      <c r="K91" s="283"/>
      <c r="L91" s="283"/>
      <c r="M91" s="375" t="str">
        <f t="shared" si="1"/>
        <v>Caden Christianson</v>
      </c>
      <c r="N91" s="375" t="s">
        <v>7491</v>
      </c>
      <c r="O91" s="375" t="str">
        <f t="array" ref="O91">XLOOKUP(M91,'Recruiting Form Responses'!C:C,'Recruiting Form Responses'!A:A,"",0,1)</f>
        <v/>
      </c>
      <c r="P91" s="378"/>
      <c r="Q91" s="375"/>
      <c r="R91" s="375"/>
      <c r="S91" s="375"/>
      <c r="T91" s="375"/>
      <c r="U91" s="375" t="s">
        <v>2821</v>
      </c>
      <c r="V91" s="283"/>
      <c r="W91" s="375"/>
      <c r="X91" s="375"/>
      <c r="Y91" s="375"/>
    </row>
    <row r="92">
      <c r="A92" s="377">
        <v>45865.0</v>
      </c>
      <c r="B92" s="375" t="s">
        <v>7364</v>
      </c>
      <c r="C92" s="375" t="s">
        <v>1395</v>
      </c>
      <c r="D92" s="375" t="s">
        <v>1057</v>
      </c>
      <c r="E92" s="375" t="s">
        <v>5525</v>
      </c>
      <c r="F92" s="375" t="s">
        <v>7492</v>
      </c>
      <c r="G92" s="375">
        <v>1.0</v>
      </c>
      <c r="H92" s="375" t="s">
        <v>3069</v>
      </c>
      <c r="I92" s="375" t="s">
        <v>153</v>
      </c>
      <c r="J92" s="375" t="s">
        <v>5526</v>
      </c>
      <c r="K92" s="375"/>
      <c r="L92" s="375">
        <v>4.0</v>
      </c>
      <c r="M92" s="375" t="str">
        <f t="shared" si="1"/>
        <v>Mason Meyer</v>
      </c>
      <c r="N92" s="375" t="s">
        <v>5527</v>
      </c>
      <c r="O92" s="375" t="str">
        <f t="array" ref="O92">XLOOKUP(M92,'Recruiting Form Responses'!C:C,'Recruiting Form Responses'!A:A,"",0,1)</f>
        <v/>
      </c>
      <c r="P92" s="378"/>
      <c r="Q92" s="375"/>
      <c r="R92" s="375"/>
      <c r="S92" s="375"/>
      <c r="T92" s="375"/>
      <c r="U92" s="375" t="s">
        <v>2821</v>
      </c>
      <c r="V92" s="283"/>
      <c r="W92" s="375"/>
      <c r="X92" s="375"/>
      <c r="Y92" s="375"/>
    </row>
    <row r="93">
      <c r="A93" s="377">
        <v>45865.0</v>
      </c>
      <c r="B93" s="375" t="s">
        <v>7364</v>
      </c>
      <c r="C93" s="375" t="s">
        <v>1470</v>
      </c>
      <c r="D93" s="375" t="s">
        <v>599</v>
      </c>
      <c r="E93" s="375" t="s">
        <v>5697</v>
      </c>
      <c r="F93" s="375" t="s">
        <v>7493</v>
      </c>
      <c r="G93" s="375">
        <v>1.0</v>
      </c>
      <c r="H93" s="375" t="s">
        <v>5698</v>
      </c>
      <c r="I93" s="375" t="s">
        <v>52</v>
      </c>
      <c r="J93" s="375" t="s">
        <v>5698</v>
      </c>
      <c r="K93" s="283"/>
      <c r="L93" s="283"/>
      <c r="M93" s="375" t="str">
        <f t="shared" si="1"/>
        <v>Carson Richter</v>
      </c>
      <c r="N93" s="375" t="s">
        <v>5699</v>
      </c>
      <c r="O93" s="375" t="str">
        <f t="array" ref="O93">XLOOKUP(M93,'Recruiting Form Responses'!C:C,'Recruiting Form Responses'!A:A,"",0,1)</f>
        <v/>
      </c>
      <c r="P93" s="378"/>
      <c r="Q93" s="375"/>
      <c r="R93" s="375"/>
      <c r="S93" s="375"/>
      <c r="T93" s="375"/>
      <c r="U93" s="375" t="s">
        <v>2821</v>
      </c>
      <c r="V93" s="283"/>
      <c r="W93" s="375"/>
      <c r="X93" s="375"/>
      <c r="Y93" s="375"/>
    </row>
    <row r="94">
      <c r="A94" s="377">
        <v>45865.0</v>
      </c>
      <c r="B94" s="375" t="s">
        <v>7364</v>
      </c>
      <c r="C94" s="375" t="s">
        <v>1395</v>
      </c>
      <c r="D94" s="375" t="s">
        <v>1595</v>
      </c>
      <c r="E94" s="375" t="s">
        <v>5911</v>
      </c>
      <c r="F94" s="375" t="s">
        <v>7494</v>
      </c>
      <c r="G94" s="375">
        <v>1.0</v>
      </c>
      <c r="H94" s="375" t="s">
        <v>3430</v>
      </c>
      <c r="I94" s="375" t="s">
        <v>330</v>
      </c>
      <c r="J94" s="375" t="s">
        <v>3430</v>
      </c>
      <c r="K94" s="283"/>
      <c r="L94" s="283"/>
      <c r="M94" s="375" t="str">
        <f t="shared" si="1"/>
        <v>Parker Vandercook</v>
      </c>
      <c r="N94" s="375" t="s">
        <v>5913</v>
      </c>
      <c r="O94" s="375" t="str">
        <f t="array" ref="O94">XLOOKUP(M94,'Recruiting Form Responses'!C:C,'Recruiting Form Responses'!A:A,"",0,1)</f>
        <v/>
      </c>
      <c r="P94" s="378"/>
      <c r="Q94" s="375"/>
      <c r="R94" s="375"/>
      <c r="S94" s="375"/>
      <c r="T94" s="375"/>
      <c r="U94" s="375" t="s">
        <v>2821</v>
      </c>
      <c r="V94" s="375"/>
      <c r="W94" s="375"/>
      <c r="X94" s="375"/>
      <c r="Y94" s="375"/>
    </row>
    <row r="95">
      <c r="A95" s="377">
        <v>45865.0</v>
      </c>
      <c r="B95" s="375" t="s">
        <v>7364</v>
      </c>
      <c r="C95" s="375" t="s">
        <v>1470</v>
      </c>
      <c r="D95" s="375" t="s">
        <v>5455</v>
      </c>
      <c r="E95" s="375" t="s">
        <v>386</v>
      </c>
      <c r="F95" s="375" t="s">
        <v>7370</v>
      </c>
      <c r="G95" s="375">
        <v>1.0</v>
      </c>
      <c r="H95" s="375" t="s">
        <v>5456</v>
      </c>
      <c r="I95" s="375" t="s">
        <v>52</v>
      </c>
      <c r="J95" s="375" t="s">
        <v>5457</v>
      </c>
      <c r="K95" s="375"/>
      <c r="L95" s="375">
        <v>4.3</v>
      </c>
      <c r="M95" s="375" t="str">
        <f t="shared" si="1"/>
        <v>Zion Martinez</v>
      </c>
      <c r="N95" s="375" t="s">
        <v>5458</v>
      </c>
      <c r="O95" s="375" t="str">
        <f t="array" ref="O95">XLOOKUP(M95,'Recruiting Form Responses'!C:C,'Recruiting Form Responses'!A:A,"",0,1)</f>
        <v>XX</v>
      </c>
      <c r="P95" s="378"/>
      <c r="Q95" s="375" t="s">
        <v>7377</v>
      </c>
      <c r="R95" s="375"/>
      <c r="S95" s="375"/>
      <c r="T95" s="375" t="s">
        <v>7495</v>
      </c>
      <c r="U95" s="375" t="s">
        <v>2821</v>
      </c>
      <c r="V95" s="283"/>
      <c r="W95" s="375"/>
      <c r="X95" s="375"/>
      <c r="Y95" s="375"/>
    </row>
    <row r="96">
      <c r="A96" s="377">
        <v>45865.0</v>
      </c>
      <c r="B96" s="375" t="s">
        <v>7364</v>
      </c>
      <c r="C96" s="375" t="s">
        <v>1395</v>
      </c>
      <c r="D96" s="375" t="s">
        <v>5440</v>
      </c>
      <c r="E96" s="375" t="s">
        <v>5441</v>
      </c>
      <c r="F96" s="375" t="s">
        <v>7496</v>
      </c>
      <c r="G96" s="375">
        <v>2.0</v>
      </c>
      <c r="H96" s="375" t="s">
        <v>5443</v>
      </c>
      <c r="I96" s="375" t="s">
        <v>240</v>
      </c>
      <c r="J96" s="375" t="s">
        <v>5444</v>
      </c>
      <c r="K96" s="375"/>
      <c r="L96" s="375">
        <v>3.8</v>
      </c>
      <c r="M96" s="375" t="str">
        <f t="shared" si="1"/>
        <v>JJ Mancuso</v>
      </c>
      <c r="N96" s="375" t="s">
        <v>5445</v>
      </c>
      <c r="O96" s="375" t="str">
        <f t="array" ref="O96">XLOOKUP(M96,'Recruiting Form Responses'!C:C,'Recruiting Form Responses'!A:A,"",0,1)</f>
        <v>XX</v>
      </c>
      <c r="P96" s="378"/>
      <c r="Q96" s="375" t="s">
        <v>7377</v>
      </c>
      <c r="R96" s="375"/>
      <c r="S96" s="380">
        <v>45869.791666666664</v>
      </c>
      <c r="T96" s="375" t="s">
        <v>7497</v>
      </c>
      <c r="U96" s="375" t="s">
        <v>2821</v>
      </c>
      <c r="V96" s="283"/>
      <c r="W96" s="375"/>
      <c r="X96" s="375"/>
      <c r="Y96" s="375"/>
    </row>
    <row r="97">
      <c r="A97" s="377">
        <v>45865.0</v>
      </c>
      <c r="B97" s="375" t="s">
        <v>7364</v>
      </c>
      <c r="C97" s="375" t="s">
        <v>1395</v>
      </c>
      <c r="D97" s="375" t="s">
        <v>599</v>
      </c>
      <c r="E97" s="375" t="s">
        <v>4832</v>
      </c>
      <c r="F97" s="375" t="s">
        <v>7498</v>
      </c>
      <c r="G97" s="375">
        <v>1.0</v>
      </c>
      <c r="H97" s="375" t="s">
        <v>4834</v>
      </c>
      <c r="I97" s="375" t="s">
        <v>43</v>
      </c>
      <c r="J97" s="375" t="s">
        <v>4835</v>
      </c>
      <c r="K97" s="375"/>
      <c r="L97" s="375">
        <v>4.0</v>
      </c>
      <c r="M97" s="375" t="str">
        <f t="shared" si="1"/>
        <v>Carson Bruce</v>
      </c>
      <c r="N97" s="375" t="s">
        <v>4836</v>
      </c>
      <c r="O97" s="375" t="str">
        <f t="array" ref="O97">XLOOKUP(M97,'Recruiting Form Responses'!C:C,'Recruiting Form Responses'!A:A,"",0,1)</f>
        <v>XX</v>
      </c>
      <c r="P97" s="378"/>
      <c r="Q97" s="375" t="s">
        <v>7377</v>
      </c>
      <c r="R97" s="375"/>
      <c r="S97" s="375" t="s">
        <v>7404</v>
      </c>
      <c r="T97" s="375" t="s">
        <v>7499</v>
      </c>
      <c r="U97" s="375" t="s">
        <v>2821</v>
      </c>
      <c r="V97" s="375"/>
      <c r="W97" s="375"/>
      <c r="X97" s="375"/>
      <c r="Y97" s="375"/>
    </row>
    <row r="98">
      <c r="A98" s="377">
        <v>45865.0</v>
      </c>
      <c r="B98" s="375" t="s">
        <v>7364</v>
      </c>
      <c r="C98" s="375" t="s">
        <v>1430</v>
      </c>
      <c r="D98" s="375" t="s">
        <v>472</v>
      </c>
      <c r="E98" s="375" t="s">
        <v>5315</v>
      </c>
      <c r="F98" s="375" t="s">
        <v>7500</v>
      </c>
      <c r="G98" s="375">
        <v>1.0</v>
      </c>
      <c r="H98" s="375" t="s">
        <v>5317</v>
      </c>
      <c r="I98" s="375" t="s">
        <v>731</v>
      </c>
      <c r="J98" s="375" t="s">
        <v>2269</v>
      </c>
      <c r="K98" s="375"/>
      <c r="L98" s="375">
        <v>3.87</v>
      </c>
      <c r="M98" s="375" t="str">
        <f t="shared" si="1"/>
        <v>Austin Kightlinger</v>
      </c>
      <c r="N98" s="375" t="s">
        <v>5318</v>
      </c>
      <c r="O98" s="375" t="str">
        <f t="array" ref="O98">XLOOKUP(M98,'Recruiting Form Responses'!C:C,'Recruiting Form Responses'!A:A,"",0,1)</f>
        <v/>
      </c>
      <c r="P98" s="378"/>
      <c r="Q98" s="375"/>
      <c r="R98" s="375"/>
      <c r="S98" s="375"/>
      <c r="T98" s="375"/>
      <c r="U98" s="375" t="s">
        <v>2821</v>
      </c>
      <c r="V98" s="375"/>
      <c r="W98" s="375"/>
      <c r="X98" s="375"/>
      <c r="Y98" s="375"/>
    </row>
    <row r="99">
      <c r="A99" s="377">
        <v>45865.0</v>
      </c>
      <c r="B99" s="375" t="s">
        <v>7364</v>
      </c>
      <c r="C99" s="375" t="s">
        <v>1395</v>
      </c>
      <c r="D99" s="375" t="s">
        <v>921</v>
      </c>
      <c r="E99" s="375" t="s">
        <v>4259</v>
      </c>
      <c r="F99" s="375" t="s">
        <v>7501</v>
      </c>
      <c r="G99" s="375">
        <v>1.0</v>
      </c>
      <c r="H99" s="375" t="s">
        <v>5580</v>
      </c>
      <c r="I99" s="375" t="s">
        <v>66</v>
      </c>
      <c r="J99" s="375" t="s">
        <v>5581</v>
      </c>
      <c r="K99" s="283"/>
      <c r="L99" s="283"/>
      <c r="M99" s="375" t="str">
        <f t="shared" si="1"/>
        <v>Jameson Moan</v>
      </c>
      <c r="N99" s="375" t="s">
        <v>5582</v>
      </c>
      <c r="O99" s="375" t="str">
        <f t="array" ref="O99">XLOOKUP(M99,'Recruiting Form Responses'!C:C,'Recruiting Form Responses'!A:A,"",0,1)</f>
        <v>XX</v>
      </c>
      <c r="P99" s="378"/>
      <c r="Q99" s="375" t="s">
        <v>7377</v>
      </c>
      <c r="R99" s="375"/>
      <c r="S99" s="375" t="s">
        <v>7404</v>
      </c>
      <c r="T99" s="375" t="s">
        <v>7502</v>
      </c>
      <c r="U99" s="375" t="s">
        <v>2821</v>
      </c>
      <c r="V99" s="283"/>
      <c r="W99" s="375"/>
      <c r="X99" s="375"/>
      <c r="Y99" s="375"/>
    </row>
    <row r="100">
      <c r="A100" s="375"/>
      <c r="B100" s="375" t="s">
        <v>7372</v>
      </c>
      <c r="C100" s="375" t="s">
        <v>1430</v>
      </c>
      <c r="D100" s="375" t="s">
        <v>5070</v>
      </c>
      <c r="E100" s="375" t="s">
        <v>5071</v>
      </c>
      <c r="F100" s="375" t="s">
        <v>7462</v>
      </c>
      <c r="G100" s="375">
        <v>1.0</v>
      </c>
      <c r="H100" s="375"/>
      <c r="I100" s="375" t="s">
        <v>66</v>
      </c>
      <c r="J100" s="375" t="s">
        <v>5072</v>
      </c>
      <c r="K100" s="375" t="s">
        <v>1539</v>
      </c>
      <c r="L100" s="375">
        <v>3.9</v>
      </c>
      <c r="M100" s="375" t="str">
        <f t="shared" si="1"/>
        <v>Jeter Farina</v>
      </c>
      <c r="N100" s="375" t="s">
        <v>7503</v>
      </c>
      <c r="O100" s="375" t="str">
        <f t="array" ref="O100">XLOOKUP(M100,'Recruiting Form Responses'!C:C,'Recruiting Form Responses'!A:A,"",0,1)</f>
        <v/>
      </c>
      <c r="P100" s="378"/>
      <c r="Q100" s="375"/>
      <c r="R100" s="375"/>
      <c r="S100" s="375"/>
      <c r="T100" s="375"/>
      <c r="U100" s="375"/>
      <c r="V100" s="283"/>
      <c r="W100" s="375"/>
      <c r="X100" s="375"/>
      <c r="Y100" s="375"/>
    </row>
    <row r="101">
      <c r="A101" s="377">
        <v>45865.0</v>
      </c>
      <c r="B101" s="375" t="s">
        <v>7364</v>
      </c>
      <c r="C101" s="375" t="s">
        <v>1430</v>
      </c>
      <c r="D101" s="375" t="s">
        <v>604</v>
      </c>
      <c r="E101" s="375" t="s">
        <v>3383</v>
      </c>
      <c r="F101" s="375" t="s">
        <v>7472</v>
      </c>
      <c r="G101" s="375">
        <v>2.0</v>
      </c>
      <c r="H101" s="375" t="s">
        <v>3384</v>
      </c>
      <c r="I101" s="375" t="s">
        <v>112</v>
      </c>
      <c r="J101" s="375" t="s">
        <v>3385</v>
      </c>
      <c r="K101" s="375"/>
      <c r="L101" s="375">
        <v>4.4</v>
      </c>
      <c r="M101" s="375" t="str">
        <f t="shared" si="1"/>
        <v>Carter Taldo</v>
      </c>
      <c r="N101" s="375" t="s">
        <v>3386</v>
      </c>
      <c r="O101" s="375">
        <f t="array" ref="O101">XLOOKUP(M101,'Recruiting Form Responses'!C:C,'Recruiting Form Responses'!A:A,"",0,1)</f>
        <v>1</v>
      </c>
      <c r="P101" s="378"/>
      <c r="Q101" s="375" t="s">
        <v>7377</v>
      </c>
      <c r="R101" s="375"/>
      <c r="S101" s="375" t="s">
        <v>7504</v>
      </c>
      <c r="T101" s="375"/>
      <c r="U101" s="375" t="s">
        <v>2821</v>
      </c>
      <c r="V101" s="283"/>
      <c r="W101" s="375"/>
      <c r="X101" s="375"/>
      <c r="Y101" s="375"/>
    </row>
    <row r="102">
      <c r="A102" s="377">
        <v>45865.0</v>
      </c>
      <c r="B102" s="375" t="s">
        <v>7364</v>
      </c>
      <c r="C102" s="375" t="s">
        <v>1395</v>
      </c>
      <c r="D102" s="375" t="s">
        <v>1521</v>
      </c>
      <c r="E102" s="375" t="s">
        <v>4860</v>
      </c>
      <c r="F102" s="375" t="s">
        <v>7505</v>
      </c>
      <c r="G102" s="375">
        <v>2.0</v>
      </c>
      <c r="H102" s="375" t="s">
        <v>4861</v>
      </c>
      <c r="I102" s="375" t="s">
        <v>529</v>
      </c>
      <c r="J102" s="375" t="s">
        <v>4862</v>
      </c>
      <c r="K102" s="375"/>
      <c r="L102" s="375">
        <v>4.0</v>
      </c>
      <c r="M102" s="375" t="str">
        <f t="shared" si="1"/>
        <v>Rocco Bucci</v>
      </c>
      <c r="N102" s="375" t="s">
        <v>4863</v>
      </c>
      <c r="O102" s="375" t="str">
        <f t="array" ref="O102">XLOOKUP(M102,'Recruiting Form Responses'!C:C,'Recruiting Form Responses'!A:A,"",0,1)</f>
        <v/>
      </c>
      <c r="P102" s="378"/>
      <c r="Q102" s="375" t="s">
        <v>7366</v>
      </c>
      <c r="R102" s="375"/>
      <c r="S102" s="375"/>
      <c r="T102" s="375"/>
      <c r="U102" s="375" t="s">
        <v>2821</v>
      </c>
      <c r="V102" s="375"/>
      <c r="W102" s="375"/>
      <c r="X102" s="375"/>
      <c r="Y102" s="375"/>
    </row>
    <row r="103">
      <c r="A103" s="377">
        <v>45865.0</v>
      </c>
      <c r="B103" s="375" t="s">
        <v>7364</v>
      </c>
      <c r="C103" s="375" t="s">
        <v>1395</v>
      </c>
      <c r="D103" s="375" t="s">
        <v>3504</v>
      </c>
      <c r="E103" s="375" t="s">
        <v>4912</v>
      </c>
      <c r="F103" s="375" t="s">
        <v>7506</v>
      </c>
      <c r="G103" s="375">
        <v>1.0</v>
      </c>
      <c r="H103" s="375" t="s">
        <v>4913</v>
      </c>
      <c r="I103" s="375" t="s">
        <v>448</v>
      </c>
      <c r="J103" s="375" t="s">
        <v>4914</v>
      </c>
      <c r="K103" s="375"/>
      <c r="L103" s="375">
        <v>3.92</v>
      </c>
      <c r="M103" s="375" t="str">
        <f t="shared" si="1"/>
        <v>Alejandro Chavez</v>
      </c>
      <c r="N103" s="375" t="s">
        <v>4915</v>
      </c>
      <c r="O103" s="375" t="str">
        <f t="array" ref="O103">XLOOKUP(M103,'Recruiting Form Responses'!C:C,'Recruiting Form Responses'!A:A,"",0,1)</f>
        <v/>
      </c>
      <c r="P103" s="378"/>
      <c r="Q103" s="375"/>
      <c r="R103" s="375"/>
      <c r="S103" s="375"/>
      <c r="T103" s="375"/>
      <c r="U103" s="375" t="s">
        <v>2821</v>
      </c>
      <c r="V103" s="283"/>
      <c r="W103" s="375"/>
      <c r="X103" s="375"/>
      <c r="Y103" s="375"/>
    </row>
    <row r="104">
      <c r="A104" s="377">
        <v>45865.0</v>
      </c>
      <c r="B104" s="375" t="s">
        <v>7364</v>
      </c>
      <c r="C104" s="375" t="s">
        <v>1470</v>
      </c>
      <c r="D104" s="375" t="s">
        <v>2587</v>
      </c>
      <c r="E104" s="375" t="s">
        <v>5712</v>
      </c>
      <c r="F104" s="375" t="s">
        <v>7506</v>
      </c>
      <c r="G104" s="375">
        <v>2.0</v>
      </c>
      <c r="H104" s="375" t="s">
        <v>5714</v>
      </c>
      <c r="I104" s="375" t="s">
        <v>448</v>
      </c>
      <c r="J104" s="375" t="s">
        <v>5715</v>
      </c>
      <c r="K104" s="375"/>
      <c r="L104" s="375">
        <v>3.75</v>
      </c>
      <c r="M104" s="375" t="str">
        <f t="shared" si="1"/>
        <v>Nolan Rolloff</v>
      </c>
      <c r="N104" s="375" t="s">
        <v>5716</v>
      </c>
      <c r="O104" s="375" t="str">
        <f t="array" ref="O104">XLOOKUP(M104,'Recruiting Form Responses'!C:C,'Recruiting Form Responses'!A:A,"",0,1)</f>
        <v>XX</v>
      </c>
      <c r="P104" s="378" t="s">
        <v>7507</v>
      </c>
      <c r="Q104" s="375" t="s">
        <v>7377</v>
      </c>
      <c r="R104" s="375"/>
      <c r="S104" s="375"/>
      <c r="T104" s="375"/>
      <c r="U104" s="375" t="s">
        <v>2821</v>
      </c>
      <c r="V104" s="283"/>
      <c r="W104" s="375"/>
      <c r="X104" s="375"/>
      <c r="Y104" s="375"/>
    </row>
    <row r="105">
      <c r="A105" s="377">
        <v>45865.0</v>
      </c>
      <c r="B105" s="375" t="s">
        <v>7364</v>
      </c>
      <c r="C105" s="375" t="s">
        <v>1430</v>
      </c>
      <c r="D105" s="375" t="s">
        <v>328</v>
      </c>
      <c r="E105" s="375" t="s">
        <v>5865</v>
      </c>
      <c r="F105" s="375" t="s">
        <v>7508</v>
      </c>
      <c r="G105" s="375">
        <v>1.0</v>
      </c>
      <c r="H105" s="375" t="s">
        <v>5866</v>
      </c>
      <c r="I105" s="375" t="s">
        <v>585</v>
      </c>
      <c r="J105" s="375" t="s">
        <v>5866</v>
      </c>
      <c r="K105" s="375"/>
      <c r="L105" s="375">
        <v>4.2</v>
      </c>
      <c r="M105" s="375" t="str">
        <f t="shared" si="1"/>
        <v>Rylan Sutton</v>
      </c>
      <c r="N105" s="375" t="s">
        <v>5867</v>
      </c>
      <c r="O105" s="375" t="str">
        <f t="array" ref="O105">XLOOKUP(M105,'Recruiting Form Responses'!C:C,'Recruiting Form Responses'!A:A,"",0,1)</f>
        <v>XX</v>
      </c>
      <c r="P105" s="378"/>
      <c r="Q105" s="375" t="s">
        <v>7377</v>
      </c>
      <c r="R105" s="375"/>
      <c r="S105" s="377">
        <v>45869.0</v>
      </c>
      <c r="T105" s="375" t="s">
        <v>7509</v>
      </c>
      <c r="U105" s="375" t="s">
        <v>2821</v>
      </c>
      <c r="V105" s="283"/>
      <c r="W105" s="375"/>
      <c r="X105" s="375"/>
      <c r="Y105" s="375"/>
    </row>
    <row r="106">
      <c r="A106" s="377">
        <v>45865.0</v>
      </c>
      <c r="B106" s="375" t="s">
        <v>7364</v>
      </c>
      <c r="C106" s="375" t="s">
        <v>1395</v>
      </c>
      <c r="D106" s="375" t="s">
        <v>3247</v>
      </c>
      <c r="E106" s="375" t="s">
        <v>3248</v>
      </c>
      <c r="F106" s="375" t="s">
        <v>7510</v>
      </c>
      <c r="G106" s="375">
        <v>2.0</v>
      </c>
      <c r="H106" s="375" t="s">
        <v>3249</v>
      </c>
      <c r="I106" s="375" t="s">
        <v>255</v>
      </c>
      <c r="J106" s="375" t="s">
        <v>3250</v>
      </c>
      <c r="K106" s="375"/>
      <c r="L106" s="375">
        <v>4.0</v>
      </c>
      <c r="M106" s="375" t="str">
        <f t="shared" si="1"/>
        <v>Chayce Kolbert</v>
      </c>
      <c r="N106" s="375" t="s">
        <v>3251</v>
      </c>
      <c r="O106" s="375">
        <f t="array" ref="O106">XLOOKUP(M106,'Recruiting Form Responses'!C:C,'Recruiting Form Responses'!A:A,"",0,1)</f>
        <v>2</v>
      </c>
      <c r="P106" s="378"/>
      <c r="Q106" s="375" t="s">
        <v>7377</v>
      </c>
      <c r="R106" s="375"/>
      <c r="S106" s="380">
        <v>45869.375</v>
      </c>
      <c r="T106" s="375" t="s">
        <v>7511</v>
      </c>
      <c r="U106" s="375" t="s">
        <v>2821</v>
      </c>
      <c r="V106" s="283"/>
      <c r="W106" s="283"/>
      <c r="X106" s="283"/>
      <c r="Y106" s="283"/>
    </row>
    <row r="107">
      <c r="A107" s="377">
        <v>45865.0</v>
      </c>
      <c r="B107" s="375" t="s">
        <v>7364</v>
      </c>
      <c r="C107" s="375" t="s">
        <v>1470</v>
      </c>
      <c r="D107" s="375" t="s">
        <v>4921</v>
      </c>
      <c r="E107" s="375" t="s">
        <v>1659</v>
      </c>
      <c r="F107" s="375" t="s">
        <v>7424</v>
      </c>
      <c r="G107" s="375">
        <v>1.0</v>
      </c>
      <c r="H107" s="375" t="s">
        <v>4922</v>
      </c>
      <c r="I107" s="375" t="s">
        <v>52</v>
      </c>
      <c r="J107" s="375" t="s">
        <v>2527</v>
      </c>
      <c r="K107" s="375"/>
      <c r="L107" s="375">
        <v>3.7</v>
      </c>
      <c r="M107" s="375" t="str">
        <f t="shared" si="1"/>
        <v>Jonah Cohen</v>
      </c>
      <c r="N107" s="375" t="s">
        <v>4923</v>
      </c>
      <c r="O107" s="375" t="str">
        <f t="array" ref="O107">XLOOKUP(M107,'Recruiting Form Responses'!C:C,'Recruiting Form Responses'!A:A,"",0,1)</f>
        <v/>
      </c>
      <c r="P107" s="378"/>
      <c r="Q107" s="375" t="s">
        <v>7366</v>
      </c>
      <c r="R107" s="375"/>
      <c r="S107" s="375"/>
      <c r="T107" s="375"/>
      <c r="U107" s="375" t="s">
        <v>2821</v>
      </c>
      <c r="V107" s="375"/>
      <c r="W107" s="375"/>
      <c r="X107" s="375"/>
      <c r="Y107" s="375"/>
    </row>
    <row r="108">
      <c r="A108" s="377">
        <v>45865.0</v>
      </c>
      <c r="B108" s="375" t="s">
        <v>7364</v>
      </c>
      <c r="C108" s="375" t="s">
        <v>1395</v>
      </c>
      <c r="D108" s="375" t="s">
        <v>3100</v>
      </c>
      <c r="E108" s="375" t="s">
        <v>3101</v>
      </c>
      <c r="F108" s="375" t="s">
        <v>7512</v>
      </c>
      <c r="G108" s="375">
        <v>2.0</v>
      </c>
      <c r="H108" s="375" t="s">
        <v>3102</v>
      </c>
      <c r="I108" s="375" t="s">
        <v>636</v>
      </c>
      <c r="J108" s="375" t="s">
        <v>3103</v>
      </c>
      <c r="K108" s="375"/>
      <c r="L108" s="375">
        <v>3.7</v>
      </c>
      <c r="M108" s="375" t="str">
        <f t="shared" si="1"/>
        <v>Wesley Dewitt</v>
      </c>
      <c r="N108" s="375" t="s">
        <v>3104</v>
      </c>
      <c r="O108" s="375">
        <f t="array" ref="O108">XLOOKUP(M108,'Recruiting Form Responses'!C:C,'Recruiting Form Responses'!A:A,"",0,1)</f>
        <v>2</v>
      </c>
      <c r="P108" s="378" t="s">
        <v>7513</v>
      </c>
      <c r="Q108" s="375" t="s">
        <v>7377</v>
      </c>
      <c r="R108" s="375"/>
      <c r="S108" s="380">
        <v>45869.458333333336</v>
      </c>
      <c r="T108" s="375" t="s">
        <v>7514</v>
      </c>
      <c r="U108" s="375" t="s">
        <v>2821</v>
      </c>
      <c r="V108" s="375"/>
      <c r="W108" s="375"/>
      <c r="X108" s="375"/>
      <c r="Y108" s="375"/>
    </row>
    <row r="109">
      <c r="A109" s="377">
        <v>45865.0</v>
      </c>
      <c r="B109" s="375" t="s">
        <v>7364</v>
      </c>
      <c r="C109" s="375" t="s">
        <v>1430</v>
      </c>
      <c r="D109" s="375" t="s">
        <v>1979</v>
      </c>
      <c r="E109" s="375" t="s">
        <v>4816</v>
      </c>
      <c r="F109" s="375" t="s">
        <v>7515</v>
      </c>
      <c r="G109" s="375">
        <v>1.0</v>
      </c>
      <c r="H109" s="375" t="s">
        <v>4818</v>
      </c>
      <c r="I109" s="375" t="s">
        <v>1575</v>
      </c>
      <c r="J109" s="375" t="s">
        <v>4819</v>
      </c>
      <c r="K109" s="375"/>
      <c r="L109" s="375">
        <v>3.99</v>
      </c>
      <c r="M109" s="375" t="str">
        <f t="shared" si="1"/>
        <v>Pete Browand</v>
      </c>
      <c r="N109" s="375" t="s">
        <v>4820</v>
      </c>
      <c r="O109" s="375" t="str">
        <f t="array" ref="O109">XLOOKUP(M109,'Recruiting Form Responses'!C:C,'Recruiting Form Responses'!A:A,"",0,1)</f>
        <v/>
      </c>
      <c r="P109" s="378"/>
      <c r="Q109" s="375"/>
      <c r="R109" s="375"/>
      <c r="S109" s="375"/>
      <c r="T109" s="375"/>
      <c r="U109" s="375" t="s">
        <v>2821</v>
      </c>
      <c r="V109" s="283"/>
      <c r="W109" s="375"/>
      <c r="X109" s="375"/>
      <c r="Y109" s="375"/>
    </row>
    <row r="110">
      <c r="A110" s="375"/>
      <c r="B110" s="375" t="s">
        <v>7372</v>
      </c>
      <c r="C110" s="375" t="s">
        <v>1395</v>
      </c>
      <c r="D110" s="375" t="s">
        <v>682</v>
      </c>
      <c r="E110" s="375" t="s">
        <v>5619</v>
      </c>
      <c r="F110" s="375" t="s">
        <v>7455</v>
      </c>
      <c r="G110" s="375">
        <v>2.0</v>
      </c>
      <c r="H110" s="375"/>
      <c r="I110" s="375" t="s">
        <v>240</v>
      </c>
      <c r="J110" s="375" t="s">
        <v>5620</v>
      </c>
      <c r="K110" s="375" t="s">
        <v>5621</v>
      </c>
      <c r="L110" s="375"/>
      <c r="M110" s="375" t="str">
        <f t="shared" si="1"/>
        <v>Connor Murray</v>
      </c>
      <c r="N110" s="375" t="s">
        <v>7516</v>
      </c>
      <c r="O110" s="375" t="str">
        <f t="array" ref="O110">XLOOKUP(M110,'Recruiting Form Responses'!C:C,'Recruiting Form Responses'!A:A,"",0,1)</f>
        <v/>
      </c>
      <c r="P110" s="378"/>
      <c r="Q110" s="375" t="s">
        <v>7366</v>
      </c>
      <c r="R110" s="375"/>
      <c r="S110" s="375"/>
      <c r="T110" s="375"/>
      <c r="U110" s="375"/>
      <c r="V110" s="283"/>
      <c r="W110" s="375"/>
      <c r="X110" s="375"/>
      <c r="Y110" s="375"/>
    </row>
    <row r="111">
      <c r="A111" s="377">
        <v>45865.0</v>
      </c>
      <c r="B111" s="375" t="s">
        <v>7364</v>
      </c>
      <c r="C111" s="375" t="s">
        <v>1395</v>
      </c>
      <c r="D111" s="375" t="s">
        <v>788</v>
      </c>
      <c r="E111" s="375" t="s">
        <v>5168</v>
      </c>
      <c r="F111" s="375" t="s">
        <v>7517</v>
      </c>
      <c r="G111" s="375">
        <v>1.0</v>
      </c>
      <c r="H111" s="375" t="s">
        <v>5170</v>
      </c>
      <c r="I111" s="375" t="s">
        <v>448</v>
      </c>
      <c r="J111" s="375" t="s">
        <v>5171</v>
      </c>
      <c r="K111" s="375"/>
      <c r="L111" s="375">
        <v>3.9</v>
      </c>
      <c r="M111" s="375" t="str">
        <f t="shared" si="1"/>
        <v>Gavin Griffin</v>
      </c>
      <c r="N111" s="375" t="s">
        <v>5172</v>
      </c>
      <c r="O111" s="375" t="str">
        <f t="array" ref="O111">XLOOKUP(M111,'Recruiting Form Responses'!C:C,'Recruiting Form Responses'!A:A,"",0,1)</f>
        <v/>
      </c>
      <c r="P111" s="378"/>
      <c r="Q111" s="375"/>
      <c r="R111" s="375"/>
      <c r="S111" s="375"/>
      <c r="T111" s="375"/>
      <c r="U111" s="375" t="s">
        <v>2821</v>
      </c>
      <c r="V111" s="283"/>
      <c r="W111" s="375"/>
      <c r="X111" s="375"/>
      <c r="Y111" s="375"/>
    </row>
    <row r="112">
      <c r="A112" s="377">
        <v>45865.0</v>
      </c>
      <c r="B112" s="375" t="s">
        <v>7364</v>
      </c>
      <c r="C112" s="375" t="s">
        <v>1395</v>
      </c>
      <c r="D112" s="375" t="s">
        <v>432</v>
      </c>
      <c r="E112" s="375" t="s">
        <v>5690</v>
      </c>
      <c r="F112" s="375" t="s">
        <v>7483</v>
      </c>
      <c r="G112" s="375">
        <v>1.0</v>
      </c>
      <c r="H112" s="375" t="s">
        <v>1595</v>
      </c>
      <c r="I112" s="375" t="s">
        <v>174</v>
      </c>
      <c r="J112" s="375" t="s">
        <v>5691</v>
      </c>
      <c r="K112" s="375"/>
      <c r="L112" s="375">
        <v>3.9</v>
      </c>
      <c r="M112" s="375" t="str">
        <f t="shared" si="1"/>
        <v>Jackson Phillips</v>
      </c>
      <c r="N112" s="375" t="s">
        <v>5692</v>
      </c>
      <c r="O112" s="375" t="str">
        <f t="array" ref="O112">XLOOKUP(M112,'Recruiting Form Responses'!C:C,'Recruiting Form Responses'!A:A,"",0,1)</f>
        <v/>
      </c>
      <c r="P112" s="378"/>
      <c r="Q112" s="375" t="s">
        <v>7377</v>
      </c>
      <c r="R112" s="375"/>
      <c r="S112" s="375" t="s">
        <v>7518</v>
      </c>
      <c r="T112" s="375" t="s">
        <v>7519</v>
      </c>
      <c r="U112" s="375" t="s">
        <v>2821</v>
      </c>
      <c r="V112" s="283"/>
      <c r="W112" s="283"/>
      <c r="X112" s="283"/>
      <c r="Y112" s="283"/>
    </row>
    <row r="113">
      <c r="A113" s="377">
        <v>45865.0</v>
      </c>
      <c r="B113" s="375" t="s">
        <v>7364</v>
      </c>
      <c r="C113" s="375" t="s">
        <v>1395</v>
      </c>
      <c r="D113" s="375" t="s">
        <v>1042</v>
      </c>
      <c r="E113" s="375" t="s">
        <v>6001</v>
      </c>
      <c r="F113" s="375" t="s">
        <v>7520</v>
      </c>
      <c r="G113" s="375">
        <v>1.0</v>
      </c>
      <c r="H113" s="375" t="s">
        <v>1973</v>
      </c>
      <c r="I113" s="375" t="s">
        <v>43</v>
      </c>
      <c r="J113" s="375" t="s">
        <v>6003</v>
      </c>
      <c r="K113" s="375"/>
      <c r="L113" s="375">
        <v>4.46</v>
      </c>
      <c r="M113" s="375" t="str">
        <f t="shared" si="1"/>
        <v>Luke Winbush</v>
      </c>
      <c r="N113" s="375" t="s">
        <v>6005</v>
      </c>
      <c r="O113" s="375" t="str">
        <f t="array" ref="O113">XLOOKUP(M113,'Recruiting Form Responses'!C:C,'Recruiting Form Responses'!A:A,"",0,1)</f>
        <v>XX</v>
      </c>
      <c r="P113" s="378"/>
      <c r="Q113" s="375"/>
      <c r="R113" s="375"/>
      <c r="S113" s="375"/>
      <c r="T113" s="375"/>
      <c r="U113" s="375" t="s">
        <v>2821</v>
      </c>
      <c r="V113" s="283"/>
      <c r="W113" s="375"/>
      <c r="X113" s="375"/>
      <c r="Y113" s="375"/>
    </row>
    <row r="114">
      <c r="A114" s="377">
        <v>45865.0</v>
      </c>
      <c r="B114" s="375" t="s">
        <v>7364</v>
      </c>
      <c r="C114" s="375" t="s">
        <v>1430</v>
      </c>
      <c r="D114" s="375" t="s">
        <v>599</v>
      </c>
      <c r="E114" s="375" t="s">
        <v>3144</v>
      </c>
      <c r="F114" s="375" t="s">
        <v>7455</v>
      </c>
      <c r="G114" s="375">
        <v>2.0</v>
      </c>
      <c r="H114" s="375" t="s">
        <v>3145</v>
      </c>
      <c r="I114" s="375" t="s">
        <v>240</v>
      </c>
      <c r="J114" s="375" t="s">
        <v>3146</v>
      </c>
      <c r="K114" s="375"/>
      <c r="L114" s="375">
        <v>4.82</v>
      </c>
      <c r="M114" s="375" t="str">
        <f t="shared" si="1"/>
        <v>Carson Glose</v>
      </c>
      <c r="N114" s="375" t="s">
        <v>3147</v>
      </c>
      <c r="O114" s="375">
        <f t="array" ref="O114">XLOOKUP(M114,'Recruiting Form Responses'!C:C,'Recruiting Form Responses'!A:A,"",0,1)</f>
        <v>2</v>
      </c>
      <c r="P114" s="378" t="s">
        <v>7521</v>
      </c>
      <c r="Q114" s="375" t="s">
        <v>7377</v>
      </c>
      <c r="R114" s="375"/>
      <c r="S114" s="375"/>
      <c r="T114" s="375"/>
      <c r="U114" s="375" t="s">
        <v>2821</v>
      </c>
      <c r="V114" s="283"/>
      <c r="W114" s="375"/>
      <c r="X114" s="375"/>
      <c r="Y114" s="375"/>
    </row>
    <row r="115">
      <c r="A115" s="377">
        <v>45865.0</v>
      </c>
      <c r="B115" s="375" t="s">
        <v>7364</v>
      </c>
      <c r="C115" s="375" t="s">
        <v>1470</v>
      </c>
      <c r="D115" s="375" t="s">
        <v>1271</v>
      </c>
      <c r="E115" s="375" t="s">
        <v>6035</v>
      </c>
      <c r="F115" s="375" t="s">
        <v>7522</v>
      </c>
      <c r="G115" s="375">
        <v>1.0</v>
      </c>
      <c r="H115" s="375" t="s">
        <v>5792</v>
      </c>
      <c r="I115" s="375" t="s">
        <v>73</v>
      </c>
      <c r="J115" s="375" t="s">
        <v>5793</v>
      </c>
      <c r="K115" s="375"/>
      <c r="L115" s="375">
        <v>3.6</v>
      </c>
      <c r="M115" s="375" t="str">
        <f t="shared" si="1"/>
        <v>Trevor Yancey</v>
      </c>
      <c r="N115" s="375" t="s">
        <v>6036</v>
      </c>
      <c r="O115" s="375" t="str">
        <f t="array" ref="O115">XLOOKUP(M115,'Recruiting Form Responses'!C:C,'Recruiting Form Responses'!A:A,"",0,1)</f>
        <v/>
      </c>
      <c r="P115" s="378"/>
      <c r="Q115" s="375"/>
      <c r="R115" s="375"/>
      <c r="S115" s="375"/>
      <c r="T115" s="375"/>
      <c r="U115" s="375" t="s">
        <v>2821</v>
      </c>
      <c r="V115" s="283"/>
      <c r="W115" s="375"/>
      <c r="X115" s="375"/>
      <c r="Y115" s="375"/>
    </row>
    <row r="116">
      <c r="A116" s="377">
        <v>45865.0</v>
      </c>
      <c r="B116" s="375" t="s">
        <v>7364</v>
      </c>
      <c r="C116" s="375" t="s">
        <v>1395</v>
      </c>
      <c r="D116" s="375" t="s">
        <v>594</v>
      </c>
      <c r="E116" s="375" t="s">
        <v>3277</v>
      </c>
      <c r="F116" s="375" t="s">
        <v>7523</v>
      </c>
      <c r="G116" s="375">
        <v>2.0</v>
      </c>
      <c r="H116" s="375" t="s">
        <v>3278</v>
      </c>
      <c r="I116" s="375" t="s">
        <v>174</v>
      </c>
      <c r="J116" s="375" t="s">
        <v>3279</v>
      </c>
      <c r="K116" s="375"/>
      <c r="L116" s="375">
        <v>4.39</v>
      </c>
      <c r="M116" s="375" t="str">
        <f t="shared" si="1"/>
        <v>Cameron Mares</v>
      </c>
      <c r="N116" s="375" t="s">
        <v>3280</v>
      </c>
      <c r="O116" s="375">
        <f t="array" ref="O116">XLOOKUP(M116,'Recruiting Form Responses'!C:C,'Recruiting Form Responses'!A:A,"",0,1)</f>
        <v>2</v>
      </c>
      <c r="P116" s="378"/>
      <c r="Q116" s="375" t="s">
        <v>7377</v>
      </c>
      <c r="R116" s="375"/>
      <c r="S116" s="380">
        <v>45869.583333333336</v>
      </c>
      <c r="T116" s="375" t="s">
        <v>7524</v>
      </c>
      <c r="U116" s="375" t="s">
        <v>2821</v>
      </c>
      <c r="V116" s="375"/>
      <c r="W116" s="375"/>
      <c r="X116" s="375"/>
      <c r="Y116" s="375"/>
    </row>
    <row r="117">
      <c r="A117" s="377">
        <v>45865.0</v>
      </c>
      <c r="B117" s="375" t="s">
        <v>7364</v>
      </c>
      <c r="C117" s="375" t="s">
        <v>1395</v>
      </c>
      <c r="D117" s="375" t="s">
        <v>136</v>
      </c>
      <c r="E117" s="375" t="s">
        <v>5946</v>
      </c>
      <c r="F117" s="375" t="s">
        <v>7483</v>
      </c>
      <c r="G117" s="375">
        <v>1.0</v>
      </c>
      <c r="H117" s="375" t="s">
        <v>5947</v>
      </c>
      <c r="I117" s="375" t="s">
        <v>174</v>
      </c>
      <c r="J117" s="375" t="s">
        <v>280</v>
      </c>
      <c r="K117" s="375"/>
      <c r="L117" s="375">
        <v>3.8</v>
      </c>
      <c r="M117" s="375" t="str">
        <f t="shared" si="1"/>
        <v>Jake Watts</v>
      </c>
      <c r="N117" s="375" t="s">
        <v>5948</v>
      </c>
      <c r="O117" s="375" t="str">
        <f t="array" ref="O117">XLOOKUP(M117,'Recruiting Form Responses'!C:C,'Recruiting Form Responses'!A:A,"",0,1)</f>
        <v>XX</v>
      </c>
      <c r="P117" s="378"/>
      <c r="Q117" s="375"/>
      <c r="R117" s="375"/>
      <c r="S117" s="375"/>
      <c r="T117" s="375"/>
      <c r="U117" s="375" t="s">
        <v>2821</v>
      </c>
      <c r="V117" s="283"/>
      <c r="W117" s="375"/>
      <c r="X117" s="375"/>
      <c r="Y117" s="375"/>
    </row>
    <row r="118">
      <c r="A118" s="377">
        <v>45865.0</v>
      </c>
      <c r="B118" s="375" t="s">
        <v>7364</v>
      </c>
      <c r="C118" s="375" t="s">
        <v>1430</v>
      </c>
      <c r="D118" s="375" t="s">
        <v>1206</v>
      </c>
      <c r="E118" s="375" t="s">
        <v>5623</v>
      </c>
      <c r="F118" s="375" t="s">
        <v>7483</v>
      </c>
      <c r="G118" s="375">
        <v>1.0</v>
      </c>
      <c r="H118" s="375" t="s">
        <v>5624</v>
      </c>
      <c r="I118" s="375" t="s">
        <v>174</v>
      </c>
      <c r="J118" s="375" t="s">
        <v>1849</v>
      </c>
      <c r="K118" s="375"/>
      <c r="L118" s="375">
        <v>3.9</v>
      </c>
      <c r="M118" s="375" t="str">
        <f t="shared" si="1"/>
        <v>Ryan Neumann</v>
      </c>
      <c r="N118" s="375" t="s">
        <v>5625</v>
      </c>
      <c r="O118" s="375" t="str">
        <f t="array" ref="O118">XLOOKUP(M118,'Recruiting Form Responses'!C:C,'Recruiting Form Responses'!A:A,"",0,1)</f>
        <v>XX</v>
      </c>
      <c r="P118" s="378"/>
      <c r="Q118" s="375" t="s">
        <v>410</v>
      </c>
      <c r="R118" s="375"/>
      <c r="S118" s="377">
        <v>45888.0</v>
      </c>
      <c r="T118" s="375" t="s">
        <v>7525</v>
      </c>
      <c r="U118" s="375" t="s">
        <v>2821</v>
      </c>
      <c r="V118" s="283"/>
      <c r="W118" s="375"/>
      <c r="X118" s="375"/>
      <c r="Y118" s="375"/>
    </row>
    <row r="119">
      <c r="A119" s="377">
        <v>45865.0</v>
      </c>
      <c r="B119" s="375" t="s">
        <v>7364</v>
      </c>
      <c r="C119" s="375" t="s">
        <v>1430</v>
      </c>
      <c r="D119" s="375" t="s">
        <v>432</v>
      </c>
      <c r="E119" s="375" t="s">
        <v>4756</v>
      </c>
      <c r="F119" s="375" t="s">
        <v>7401</v>
      </c>
      <c r="G119" s="375">
        <v>1.0</v>
      </c>
      <c r="H119" s="375" t="s">
        <v>4757</v>
      </c>
      <c r="I119" s="375" t="s">
        <v>174</v>
      </c>
      <c r="J119" s="375" t="s">
        <v>1849</v>
      </c>
      <c r="K119" s="375"/>
      <c r="L119" s="375">
        <v>3.75</v>
      </c>
      <c r="M119" s="375" t="str">
        <f t="shared" si="1"/>
        <v>Jackson Bernosky</v>
      </c>
      <c r="N119" s="375" t="s">
        <v>4758</v>
      </c>
      <c r="O119" s="375" t="str">
        <f t="array" ref="O119">XLOOKUP(M119,'Recruiting Form Responses'!C:C,'Recruiting Form Responses'!A:A,"",0,1)</f>
        <v/>
      </c>
      <c r="P119" s="378"/>
      <c r="Q119" s="375"/>
      <c r="R119" s="375"/>
      <c r="S119" s="375"/>
      <c r="T119" s="375"/>
      <c r="U119" s="375" t="s">
        <v>2821</v>
      </c>
      <c r="V119" s="283"/>
      <c r="W119" s="375"/>
      <c r="X119" s="375"/>
      <c r="Y119" s="375"/>
    </row>
    <row r="120">
      <c r="A120" s="377">
        <v>45865.0</v>
      </c>
      <c r="B120" s="375" t="s">
        <v>7364</v>
      </c>
      <c r="C120" s="375" t="s">
        <v>1395</v>
      </c>
      <c r="D120" s="375" t="s">
        <v>1328</v>
      </c>
      <c r="E120" s="375" t="s">
        <v>3116</v>
      </c>
      <c r="F120" s="375" t="s">
        <v>7483</v>
      </c>
      <c r="G120" s="375">
        <v>2.0</v>
      </c>
      <c r="H120" s="375" t="s">
        <v>3117</v>
      </c>
      <c r="I120" s="375" t="s">
        <v>174</v>
      </c>
      <c r="J120" s="375" t="s">
        <v>1849</v>
      </c>
      <c r="K120" s="375"/>
      <c r="L120" s="375">
        <v>3.9</v>
      </c>
      <c r="M120" s="375" t="str">
        <f t="shared" si="1"/>
        <v>Cade Filleman</v>
      </c>
      <c r="N120" s="375" t="s">
        <v>3118</v>
      </c>
      <c r="O120" s="375">
        <f t="array" ref="O120">XLOOKUP(M120,'Recruiting Form Responses'!C:C,'Recruiting Form Responses'!A:A,"",0,1)</f>
        <v>2</v>
      </c>
      <c r="P120" s="378"/>
      <c r="Q120" s="375" t="s">
        <v>7377</v>
      </c>
      <c r="R120" s="375"/>
      <c r="S120" s="380">
        <v>45870.75</v>
      </c>
      <c r="T120" s="375" t="s">
        <v>7526</v>
      </c>
      <c r="U120" s="375" t="s">
        <v>2821</v>
      </c>
      <c r="V120" s="283"/>
      <c r="W120" s="389"/>
      <c r="X120" s="389"/>
      <c r="Y120" s="389"/>
    </row>
    <row r="121">
      <c r="A121" s="377">
        <v>45865.0</v>
      </c>
      <c r="B121" s="375" t="s">
        <v>7364</v>
      </c>
      <c r="C121" s="375" t="s">
        <v>1395</v>
      </c>
      <c r="D121" s="375" t="s">
        <v>2587</v>
      </c>
      <c r="E121" s="375" t="s">
        <v>3316</v>
      </c>
      <c r="F121" s="375" t="s">
        <v>7527</v>
      </c>
      <c r="G121" s="375">
        <v>2.0</v>
      </c>
      <c r="H121" s="375" t="s">
        <v>3317</v>
      </c>
      <c r="I121" s="375" t="s">
        <v>160</v>
      </c>
      <c r="J121" s="375" t="s">
        <v>3318</v>
      </c>
      <c r="K121" s="375"/>
      <c r="L121" s="375">
        <v>4.2</v>
      </c>
      <c r="M121" s="375" t="str">
        <f t="shared" si="1"/>
        <v>Nolan Plourde</v>
      </c>
      <c r="N121" s="375" t="s">
        <v>3319</v>
      </c>
      <c r="O121" s="375">
        <f t="array" ref="O121">XLOOKUP(M121,'Recruiting Form Responses'!C:C,'Recruiting Form Responses'!A:A,"",0,1)</f>
        <v>2</v>
      </c>
      <c r="P121" s="378"/>
      <c r="Q121" s="375" t="s">
        <v>7377</v>
      </c>
      <c r="R121" s="375"/>
      <c r="S121" s="380">
        <v>45869.333333333336</v>
      </c>
      <c r="T121" s="375" t="s">
        <v>7528</v>
      </c>
      <c r="U121" s="375" t="s">
        <v>2821</v>
      </c>
      <c r="V121" s="375"/>
      <c r="W121" s="375"/>
      <c r="X121" s="375"/>
      <c r="Y121" s="375"/>
    </row>
    <row r="122">
      <c r="A122" s="375"/>
      <c r="B122" s="375" t="s">
        <v>7372</v>
      </c>
      <c r="C122" s="375" t="s">
        <v>1430</v>
      </c>
      <c r="D122" s="375" t="s">
        <v>1141</v>
      </c>
      <c r="E122" s="375" t="s">
        <v>5631</v>
      </c>
      <c r="F122" s="375" t="s">
        <v>7475</v>
      </c>
      <c r="G122" s="375">
        <v>2.0</v>
      </c>
      <c r="H122" s="283"/>
      <c r="I122" s="375" t="s">
        <v>585</v>
      </c>
      <c r="J122" s="375" t="s">
        <v>5632</v>
      </c>
      <c r="K122" s="375" t="s">
        <v>113</v>
      </c>
      <c r="L122" s="375">
        <v>3.9</v>
      </c>
      <c r="M122" s="375" t="str">
        <f t="shared" si="1"/>
        <v>Peter Nickson</v>
      </c>
      <c r="N122" s="375" t="s">
        <v>7529</v>
      </c>
      <c r="O122" s="375" t="str">
        <f t="array" ref="O122">XLOOKUP(M122,'Recruiting Form Responses'!C:C,'Recruiting Form Responses'!A:A,"",0,1)</f>
        <v>XX</v>
      </c>
      <c r="P122" s="378"/>
      <c r="Q122" s="375" t="s">
        <v>7377</v>
      </c>
      <c r="R122" s="375"/>
      <c r="S122" s="377">
        <v>45883.0</v>
      </c>
      <c r="T122" s="375" t="s">
        <v>7530</v>
      </c>
      <c r="U122" s="375"/>
      <c r="V122" s="283"/>
      <c r="W122" s="375"/>
      <c r="X122" s="375"/>
      <c r="Y122" s="375"/>
    </row>
    <row r="123">
      <c r="A123" s="377">
        <v>45865.0</v>
      </c>
      <c r="B123" s="375" t="s">
        <v>7364</v>
      </c>
      <c r="C123" s="375" t="s">
        <v>1470</v>
      </c>
      <c r="D123" s="375" t="s">
        <v>822</v>
      </c>
      <c r="E123" s="375" t="s">
        <v>5558</v>
      </c>
      <c r="F123" s="375" t="s">
        <v>7531</v>
      </c>
      <c r="G123" s="375">
        <v>2.0</v>
      </c>
      <c r="H123" s="375" t="s">
        <v>5560</v>
      </c>
      <c r="I123" s="375" t="s">
        <v>240</v>
      </c>
      <c r="J123" s="375" t="s">
        <v>5561</v>
      </c>
      <c r="K123" s="375"/>
      <c r="L123" s="375">
        <v>4.4</v>
      </c>
      <c r="M123" s="375" t="str">
        <f t="shared" si="1"/>
        <v>Hunter Mishock</v>
      </c>
      <c r="N123" s="375" t="s">
        <v>5562</v>
      </c>
      <c r="O123" s="375" t="str">
        <f t="array" ref="O123">XLOOKUP(M123,'Recruiting Form Responses'!C:C,'Recruiting Form Responses'!A:A,"",0,1)</f>
        <v>XX</v>
      </c>
      <c r="P123" s="378"/>
      <c r="Q123" s="375" t="s">
        <v>7377</v>
      </c>
      <c r="R123" s="375"/>
      <c r="S123" s="375"/>
      <c r="T123" s="375"/>
      <c r="U123" s="375" t="s">
        <v>2821</v>
      </c>
      <c r="V123" s="283"/>
      <c r="W123" s="375"/>
      <c r="X123" s="375"/>
      <c r="Y123" s="375"/>
    </row>
    <row r="124">
      <c r="A124" s="377">
        <v>45865.0</v>
      </c>
      <c r="B124" s="375" t="s">
        <v>7364</v>
      </c>
      <c r="C124" s="375" t="s">
        <v>1430</v>
      </c>
      <c r="D124" s="375" t="s">
        <v>104</v>
      </c>
      <c r="E124" s="375" t="s">
        <v>3345</v>
      </c>
      <c r="F124" s="375" t="s">
        <v>7532</v>
      </c>
      <c r="G124" s="375">
        <v>2.0</v>
      </c>
      <c r="H124" s="375" t="s">
        <v>3346</v>
      </c>
      <c r="I124" s="375" t="s">
        <v>337</v>
      </c>
      <c r="J124" s="375" t="s">
        <v>3346</v>
      </c>
      <c r="K124" s="375"/>
      <c r="L124" s="375">
        <v>3.85</v>
      </c>
      <c r="M124" s="375" t="str">
        <f t="shared" si="1"/>
        <v>Tyler Roach</v>
      </c>
      <c r="N124" s="375" t="s">
        <v>3347</v>
      </c>
      <c r="O124" s="375" t="str">
        <f t="array" ref="O124">XLOOKUP(M124,'Recruiting Form Responses'!C:C,'Recruiting Form Responses'!A:A,"",0,1)</f>
        <v/>
      </c>
      <c r="P124" s="378"/>
      <c r="Q124" s="375"/>
      <c r="R124" s="375"/>
      <c r="S124" s="375"/>
      <c r="T124" s="375"/>
      <c r="U124" s="375" t="s">
        <v>2821</v>
      </c>
      <c r="V124" s="283"/>
      <c r="W124" s="375"/>
      <c r="X124" s="375"/>
      <c r="Y124" s="375"/>
    </row>
    <row r="125">
      <c r="A125" s="377">
        <v>45865.0</v>
      </c>
      <c r="B125" s="375" t="s">
        <v>7364</v>
      </c>
      <c r="C125" s="375" t="s">
        <v>1430</v>
      </c>
      <c r="D125" s="375" t="s">
        <v>5038</v>
      </c>
      <c r="E125" s="375" t="s">
        <v>5039</v>
      </c>
      <c r="F125" s="375" t="s">
        <v>7455</v>
      </c>
      <c r="G125" s="375">
        <v>1.0</v>
      </c>
      <c r="H125" s="375" t="s">
        <v>5041</v>
      </c>
      <c r="I125" s="375" t="s">
        <v>240</v>
      </c>
      <c r="J125" s="375" t="s">
        <v>5042</v>
      </c>
      <c r="K125" s="375"/>
      <c r="L125" s="375">
        <v>3.73</v>
      </c>
      <c r="M125" s="375" t="str">
        <f t="shared" si="1"/>
        <v>Brandon Emig</v>
      </c>
      <c r="N125" s="375" t="s">
        <v>5043</v>
      </c>
      <c r="O125" s="375" t="str">
        <f t="array" ref="O125">XLOOKUP(M125,'Recruiting Form Responses'!C:C,'Recruiting Form Responses'!A:A,"",0,1)</f>
        <v>XX</v>
      </c>
      <c r="P125" s="378"/>
      <c r="Q125" s="375" t="s">
        <v>410</v>
      </c>
      <c r="R125" s="375"/>
      <c r="S125" s="377">
        <v>45883.0</v>
      </c>
      <c r="T125" s="375" t="s">
        <v>7533</v>
      </c>
      <c r="U125" s="375" t="s">
        <v>2821</v>
      </c>
      <c r="V125" s="283"/>
      <c r="W125" s="375"/>
      <c r="X125" s="375"/>
      <c r="Y125" s="375"/>
    </row>
    <row r="126">
      <c r="A126" s="377">
        <v>45865.0</v>
      </c>
      <c r="B126" s="375" t="s">
        <v>7364</v>
      </c>
      <c r="C126" s="375" t="s">
        <v>1470</v>
      </c>
      <c r="D126" s="375" t="s">
        <v>1042</v>
      </c>
      <c r="E126" s="375" t="s">
        <v>4614</v>
      </c>
      <c r="F126" s="375" t="s">
        <v>7397</v>
      </c>
      <c r="G126" s="375">
        <v>1.0</v>
      </c>
      <c r="H126" s="375" t="s">
        <v>1765</v>
      </c>
      <c r="I126" s="375" t="s">
        <v>52</v>
      </c>
      <c r="J126" s="375" t="s">
        <v>1471</v>
      </c>
      <c r="K126" s="375"/>
      <c r="L126" s="375">
        <v>4.25</v>
      </c>
      <c r="M126" s="375" t="str">
        <f t="shared" si="1"/>
        <v>Luke Bacon</v>
      </c>
      <c r="N126" s="375" t="s">
        <v>4615</v>
      </c>
      <c r="O126" s="375" t="str">
        <f t="array" ref="O126">XLOOKUP(M126,'Recruiting Form Responses'!C:C,'Recruiting Form Responses'!A:A,"",0,1)</f>
        <v>1</v>
      </c>
      <c r="P126" s="378"/>
      <c r="Q126" s="375" t="s">
        <v>7377</v>
      </c>
      <c r="R126" s="375"/>
      <c r="S126" s="375"/>
      <c r="T126" s="375" t="s">
        <v>7534</v>
      </c>
      <c r="U126" s="375" t="s">
        <v>2821</v>
      </c>
      <c r="V126" s="283"/>
      <c r="W126" s="375"/>
      <c r="X126" s="375"/>
      <c r="Y126" s="375"/>
    </row>
    <row r="127">
      <c r="A127" s="375"/>
      <c r="B127" s="375" t="s">
        <v>7372</v>
      </c>
      <c r="C127" s="375" t="s">
        <v>1430</v>
      </c>
      <c r="D127" s="375" t="s">
        <v>5408</v>
      </c>
      <c r="E127" s="375" t="s">
        <v>5409</v>
      </c>
      <c r="F127" s="375" t="s">
        <v>7535</v>
      </c>
      <c r="G127" s="375">
        <v>1.0</v>
      </c>
      <c r="H127" s="375"/>
      <c r="I127" s="375" t="s">
        <v>66</v>
      </c>
      <c r="J127" s="375" t="s">
        <v>4990</v>
      </c>
      <c r="K127" s="375" t="s">
        <v>1450</v>
      </c>
      <c r="L127" s="375" t="s">
        <v>5412</v>
      </c>
      <c r="M127" s="375" t="str">
        <f t="shared" si="1"/>
        <v>Braedon Mackay</v>
      </c>
      <c r="N127" s="375" t="s">
        <v>7536</v>
      </c>
      <c r="O127" s="375" t="str">
        <f t="array" ref="O127">XLOOKUP(M127,'Recruiting Form Responses'!C:C,'Recruiting Form Responses'!A:A,"",0,1)</f>
        <v>XX</v>
      </c>
      <c r="P127" s="378"/>
      <c r="Q127" s="375"/>
      <c r="R127" s="375"/>
      <c r="S127" s="375"/>
      <c r="T127" s="375"/>
      <c r="U127" s="375"/>
      <c r="V127" s="283"/>
      <c r="W127" s="375"/>
      <c r="X127" s="375"/>
      <c r="Y127" s="375"/>
    </row>
    <row r="128">
      <c r="A128" s="377">
        <v>45865.0</v>
      </c>
      <c r="B128" s="375" t="s">
        <v>7364</v>
      </c>
      <c r="C128" s="375" t="s">
        <v>1395</v>
      </c>
      <c r="D128" s="375" t="s">
        <v>5935</v>
      </c>
      <c r="E128" s="375" t="s">
        <v>5936</v>
      </c>
      <c r="F128" s="375" t="s">
        <v>7436</v>
      </c>
      <c r="G128" s="375">
        <v>2.0</v>
      </c>
      <c r="H128" s="375" t="s">
        <v>5937</v>
      </c>
      <c r="I128" s="375" t="s">
        <v>502</v>
      </c>
      <c r="J128" s="375" t="s">
        <v>7537</v>
      </c>
      <c r="K128" s="283"/>
      <c r="L128" s="283"/>
      <c r="M128" s="375" t="str">
        <f t="shared" si="1"/>
        <v>Ricky Watt</v>
      </c>
      <c r="N128" s="375" t="s">
        <v>7538</v>
      </c>
      <c r="O128" s="375" t="str">
        <f t="array" ref="O128">XLOOKUP(M128,'Recruiting Form Responses'!C:C,'Recruiting Form Responses'!A:A,"",0,1)</f>
        <v>XX</v>
      </c>
      <c r="P128" s="378"/>
      <c r="Q128" s="375" t="s">
        <v>7377</v>
      </c>
      <c r="R128" s="375"/>
      <c r="S128" s="375" t="s">
        <v>7504</v>
      </c>
      <c r="T128" s="375"/>
      <c r="U128" s="375" t="s">
        <v>2821</v>
      </c>
      <c r="V128" s="283"/>
      <c r="W128" s="375"/>
      <c r="X128" s="375"/>
      <c r="Y128" s="375"/>
    </row>
    <row r="129">
      <c r="A129" s="377">
        <v>45865.0</v>
      </c>
      <c r="B129" s="375" t="s">
        <v>7364</v>
      </c>
      <c r="C129" s="375" t="s">
        <v>1470</v>
      </c>
      <c r="D129" s="375" t="s">
        <v>5701</v>
      </c>
      <c r="E129" s="375" t="s">
        <v>5702</v>
      </c>
      <c r="F129" s="375" t="s">
        <v>7406</v>
      </c>
      <c r="G129" s="375">
        <v>1.0</v>
      </c>
      <c r="H129" s="375" t="s">
        <v>1783</v>
      </c>
      <c r="I129" s="375" t="s">
        <v>180</v>
      </c>
      <c r="J129" s="375" t="s">
        <v>5703</v>
      </c>
      <c r="K129" s="375"/>
      <c r="L129" s="375">
        <v>4.0</v>
      </c>
      <c r="M129" s="375" t="str">
        <f t="shared" si="1"/>
        <v>Lubin Rincon</v>
      </c>
      <c r="N129" s="375" t="s">
        <v>5704</v>
      </c>
      <c r="O129" s="375" t="str">
        <f t="array" ref="O129">XLOOKUP(M129,'Recruiting Form Responses'!C:C,'Recruiting Form Responses'!A:A,"",0,1)</f>
        <v/>
      </c>
      <c r="P129" s="378"/>
      <c r="Q129" s="375"/>
      <c r="R129" s="375"/>
      <c r="S129" s="375"/>
      <c r="T129" s="375"/>
      <c r="U129" s="375" t="s">
        <v>2821</v>
      </c>
      <c r="V129" s="283"/>
      <c r="W129" s="283"/>
      <c r="X129" s="283"/>
      <c r="Y129" s="283"/>
    </row>
    <row r="130">
      <c r="A130" s="377">
        <v>45865.0</v>
      </c>
      <c r="B130" s="375" t="s">
        <v>7364</v>
      </c>
      <c r="C130" s="375" t="s">
        <v>1430</v>
      </c>
      <c r="D130" s="375" t="s">
        <v>682</v>
      </c>
      <c r="E130" s="375" t="s">
        <v>3285</v>
      </c>
      <c r="F130" s="375" t="s">
        <v>7539</v>
      </c>
      <c r="G130" s="375">
        <v>2.0</v>
      </c>
      <c r="H130" s="375" t="s">
        <v>3286</v>
      </c>
      <c r="I130" s="375" t="s">
        <v>112</v>
      </c>
      <c r="J130" s="375" t="s">
        <v>2564</v>
      </c>
      <c r="K130" s="375"/>
      <c r="L130" s="375">
        <v>4.0</v>
      </c>
      <c r="M130" s="375" t="str">
        <f t="shared" si="1"/>
        <v>Connor McCool</v>
      </c>
      <c r="N130" s="375" t="s">
        <v>3287</v>
      </c>
      <c r="O130" s="375" t="str">
        <f t="array" ref="O130">XLOOKUP(M130,'Recruiting Form Responses'!C:C,'Recruiting Form Responses'!A:A,"",0,1)</f>
        <v>XX</v>
      </c>
      <c r="P130" s="378"/>
      <c r="Q130" s="375" t="s">
        <v>7377</v>
      </c>
      <c r="R130" s="375"/>
      <c r="S130" s="377">
        <v>45881.0</v>
      </c>
      <c r="T130" s="375" t="s">
        <v>7540</v>
      </c>
      <c r="U130" s="375" t="s">
        <v>2821</v>
      </c>
      <c r="V130" s="375"/>
      <c r="W130" s="375"/>
      <c r="X130" s="375"/>
      <c r="Y130" s="375"/>
    </row>
    <row r="131">
      <c r="A131" s="377">
        <v>45865.0</v>
      </c>
      <c r="B131" s="375" t="s">
        <v>7364</v>
      </c>
      <c r="C131" s="375" t="s">
        <v>1470</v>
      </c>
      <c r="D131" s="375" t="s">
        <v>3169</v>
      </c>
      <c r="E131" s="375" t="s">
        <v>3170</v>
      </c>
      <c r="F131" s="375" t="s">
        <v>7541</v>
      </c>
      <c r="G131" s="375">
        <v>2.0</v>
      </c>
      <c r="H131" s="375" t="s">
        <v>3171</v>
      </c>
      <c r="I131" s="375" t="s">
        <v>330</v>
      </c>
      <c r="J131" s="375" t="s">
        <v>3172</v>
      </c>
      <c r="K131" s="375"/>
      <c r="L131" s="375">
        <v>4.0</v>
      </c>
      <c r="M131" s="375" t="str">
        <f t="shared" si="1"/>
        <v>Maddux Hasty</v>
      </c>
      <c r="N131" s="375" t="s">
        <v>3173</v>
      </c>
      <c r="O131" s="375">
        <f t="array" ref="O131">XLOOKUP(M131,'Recruiting Form Responses'!C:C,'Recruiting Form Responses'!A:A,"",0,1)</f>
        <v>2</v>
      </c>
      <c r="P131" s="378"/>
      <c r="Q131" s="375" t="s">
        <v>7377</v>
      </c>
      <c r="R131" s="375"/>
      <c r="S131" s="375"/>
      <c r="T131" s="375"/>
      <c r="U131" s="375" t="s">
        <v>2821</v>
      </c>
      <c r="V131" s="283"/>
      <c r="W131" s="375"/>
      <c r="X131" s="375"/>
      <c r="Y131" s="375"/>
    </row>
    <row r="132">
      <c r="A132" s="377">
        <v>45865.0</v>
      </c>
      <c r="B132" s="375" t="s">
        <v>7364</v>
      </c>
      <c r="C132" s="375" t="s">
        <v>1395</v>
      </c>
      <c r="D132" s="375" t="s">
        <v>1016</v>
      </c>
      <c r="E132" s="375" t="s">
        <v>3238</v>
      </c>
      <c r="F132" s="375" t="s">
        <v>7515</v>
      </c>
      <c r="G132" s="375">
        <v>2.0</v>
      </c>
      <c r="H132" s="375" t="s">
        <v>3239</v>
      </c>
      <c r="I132" s="375" t="s">
        <v>1575</v>
      </c>
      <c r="J132" s="375" t="s">
        <v>3240</v>
      </c>
      <c r="K132" s="375"/>
      <c r="L132" s="375">
        <v>4.0</v>
      </c>
      <c r="M132" s="375" t="str">
        <f t="shared" si="1"/>
        <v>Landon Klein</v>
      </c>
      <c r="N132" s="375" t="s">
        <v>3241</v>
      </c>
      <c r="O132" s="375">
        <f t="array" ref="O132">XLOOKUP(M132,'Recruiting Form Responses'!C:C,'Recruiting Form Responses'!A:A,"",0,1)</f>
        <v>2</v>
      </c>
      <c r="P132" s="378" t="s">
        <v>7542</v>
      </c>
      <c r="Q132" s="375" t="s">
        <v>7377</v>
      </c>
      <c r="R132" s="375"/>
      <c r="S132" s="380">
        <v>45869.625</v>
      </c>
      <c r="T132" s="375" t="s">
        <v>7543</v>
      </c>
      <c r="U132" s="375" t="s">
        <v>2821</v>
      </c>
      <c r="V132" s="283"/>
      <c r="W132" s="375"/>
      <c r="X132" s="375"/>
      <c r="Y132" s="375"/>
    </row>
    <row r="133">
      <c r="A133" s="377">
        <v>45865.0</v>
      </c>
      <c r="B133" s="375" t="s">
        <v>7364</v>
      </c>
      <c r="C133" s="375" t="s">
        <v>1430</v>
      </c>
      <c r="D133" s="375" t="s">
        <v>5567</v>
      </c>
      <c r="E133" s="375" t="s">
        <v>5568</v>
      </c>
      <c r="F133" s="375" t="s">
        <v>7544</v>
      </c>
      <c r="G133" s="375">
        <v>1.0</v>
      </c>
      <c r="H133" s="375" t="s">
        <v>5570</v>
      </c>
      <c r="I133" s="375" t="s">
        <v>543</v>
      </c>
      <c r="J133" s="375" t="s">
        <v>5571</v>
      </c>
      <c r="K133" s="375"/>
      <c r="L133" s="375">
        <v>4.0</v>
      </c>
      <c r="M133" s="375" t="str">
        <f t="shared" si="1"/>
        <v>Keith Mitchell</v>
      </c>
      <c r="N133" s="375" t="s">
        <v>5572</v>
      </c>
      <c r="O133" s="375" t="str">
        <f t="array" ref="O133">XLOOKUP(M133,'Recruiting Form Responses'!C:C,'Recruiting Form Responses'!A:A,"",0,1)</f>
        <v>XX</v>
      </c>
      <c r="P133" s="378" t="s">
        <v>7545</v>
      </c>
      <c r="Q133" s="375" t="s">
        <v>7377</v>
      </c>
      <c r="R133" s="375"/>
      <c r="S133" s="377">
        <v>45889.0</v>
      </c>
      <c r="T133" s="375" t="s">
        <v>7546</v>
      </c>
      <c r="U133" s="375" t="s">
        <v>2821</v>
      </c>
      <c r="V133" s="375"/>
      <c r="W133" s="375"/>
      <c r="X133" s="375"/>
      <c r="Y133" s="375"/>
    </row>
    <row r="134">
      <c r="A134" s="377">
        <v>45865.0</v>
      </c>
      <c r="B134" s="375" t="s">
        <v>7364</v>
      </c>
      <c r="C134" s="375" t="s">
        <v>1395</v>
      </c>
      <c r="D134" s="375" t="s">
        <v>2732</v>
      </c>
      <c r="E134" s="375" t="s">
        <v>111</v>
      </c>
      <c r="F134" s="375" t="s">
        <v>7462</v>
      </c>
      <c r="G134" s="375">
        <v>1.0</v>
      </c>
      <c r="H134" s="375" t="s">
        <v>5261</v>
      </c>
      <c r="I134" s="375" t="s">
        <v>66</v>
      </c>
      <c r="J134" s="375" t="s">
        <v>5262</v>
      </c>
      <c r="K134" s="375"/>
      <c r="L134" s="375">
        <v>4.0</v>
      </c>
      <c r="M134" s="375" t="str">
        <f t="shared" si="1"/>
        <v>Vaughn Howard</v>
      </c>
      <c r="N134" s="375" t="s">
        <v>5263</v>
      </c>
      <c r="O134" s="375" t="str">
        <f t="array" ref="O134">XLOOKUP(M134,'Recruiting Form Responses'!C:C,'Recruiting Form Responses'!A:A,"",0,1)</f>
        <v>XX</v>
      </c>
      <c r="P134" s="378" t="s">
        <v>7547</v>
      </c>
      <c r="Q134" s="375" t="s">
        <v>7377</v>
      </c>
      <c r="R134" s="375"/>
      <c r="S134" s="375" t="s">
        <v>7404</v>
      </c>
      <c r="T134" s="375" t="s">
        <v>7548</v>
      </c>
      <c r="U134" s="375" t="s">
        <v>2821</v>
      </c>
      <c r="V134" s="283"/>
      <c r="W134" s="375"/>
      <c r="X134" s="375"/>
      <c r="Y134" s="375"/>
    </row>
    <row r="135">
      <c r="A135" s="377">
        <v>45865.0</v>
      </c>
      <c r="B135" s="375" t="s">
        <v>7364</v>
      </c>
      <c r="C135" s="375" t="s">
        <v>1430</v>
      </c>
      <c r="D135" s="375" t="s">
        <v>1315</v>
      </c>
      <c r="E135" s="375" t="s">
        <v>2906</v>
      </c>
      <c r="F135" s="375" t="s">
        <v>7508</v>
      </c>
      <c r="G135" s="375">
        <v>1.0</v>
      </c>
      <c r="H135" s="375" t="s">
        <v>2908</v>
      </c>
      <c r="I135" s="375" t="s">
        <v>585</v>
      </c>
      <c r="J135" s="375" t="s">
        <v>2909</v>
      </c>
      <c r="K135" s="375"/>
      <c r="L135" s="375">
        <v>3.85</v>
      </c>
      <c r="M135" s="375" t="str">
        <f t="shared" si="1"/>
        <v>Zachary DeHaas</v>
      </c>
      <c r="N135" s="379"/>
      <c r="O135" s="375" t="str">
        <f t="array" ref="O135">XLOOKUP(M135,'Recruiting Form Responses'!C:C,'Recruiting Form Responses'!A:A,"",0,1)</f>
        <v/>
      </c>
      <c r="P135" s="378"/>
      <c r="Q135" s="375"/>
      <c r="R135" s="375"/>
      <c r="S135" s="375"/>
      <c r="T135" s="375"/>
      <c r="U135" s="375" t="s">
        <v>2821</v>
      </c>
      <c r="V135" s="283"/>
      <c r="W135" s="375"/>
      <c r="X135" s="375"/>
      <c r="Y135" s="375"/>
    </row>
    <row r="136">
      <c r="A136" s="377">
        <v>45865.0</v>
      </c>
      <c r="B136" s="375" t="s">
        <v>7364</v>
      </c>
      <c r="C136" s="375" t="s">
        <v>1470</v>
      </c>
      <c r="D136" s="375" t="s">
        <v>227</v>
      </c>
      <c r="E136" s="375" t="s">
        <v>5418</v>
      </c>
      <c r="F136" s="375" t="s">
        <v>7452</v>
      </c>
      <c r="G136" s="375">
        <v>1.0</v>
      </c>
      <c r="H136" s="375" t="s">
        <v>5419</v>
      </c>
      <c r="I136" s="375" t="s">
        <v>180</v>
      </c>
      <c r="J136" s="375" t="s">
        <v>426</v>
      </c>
      <c r="K136" s="283"/>
      <c r="L136" s="283"/>
      <c r="M136" s="375" t="str">
        <f t="shared" si="1"/>
        <v>Caden Mackey</v>
      </c>
      <c r="N136" s="375" t="s">
        <v>5420</v>
      </c>
      <c r="O136" s="375" t="str">
        <f t="array" ref="O136">XLOOKUP(M136,'Recruiting Form Responses'!C:C,'Recruiting Form Responses'!A:A,"",0,1)</f>
        <v/>
      </c>
      <c r="P136" s="378"/>
      <c r="Q136" s="375"/>
      <c r="R136" s="375"/>
      <c r="S136" s="375"/>
      <c r="T136" s="375"/>
      <c r="U136" s="375" t="s">
        <v>2821</v>
      </c>
      <c r="V136" s="283"/>
      <c r="W136" s="375"/>
      <c r="X136" s="375"/>
      <c r="Y136" s="375"/>
    </row>
    <row r="137">
      <c r="A137" s="377">
        <v>45865.0</v>
      </c>
      <c r="B137" s="375" t="s">
        <v>7364</v>
      </c>
      <c r="C137" s="375" t="s">
        <v>1430</v>
      </c>
      <c r="D137" s="375" t="s">
        <v>682</v>
      </c>
      <c r="E137" s="375" t="s">
        <v>5158</v>
      </c>
      <c r="F137" s="375" t="s">
        <v>7549</v>
      </c>
      <c r="G137" s="375">
        <v>1.0</v>
      </c>
      <c r="H137" s="375" t="s">
        <v>5159</v>
      </c>
      <c r="I137" s="375" t="s">
        <v>731</v>
      </c>
      <c r="J137" s="375" t="s">
        <v>5160</v>
      </c>
      <c r="K137" s="375"/>
      <c r="L137" s="375">
        <v>4.0</v>
      </c>
      <c r="M137" s="375" t="str">
        <f t="shared" si="1"/>
        <v>Connor Greb</v>
      </c>
      <c r="N137" s="375" t="s">
        <v>5161</v>
      </c>
      <c r="O137" s="375" t="str">
        <f t="array" ref="O137">XLOOKUP(M137,'Recruiting Form Responses'!C:C,'Recruiting Form Responses'!A:A,"",0,1)</f>
        <v>XX</v>
      </c>
      <c r="P137" s="378"/>
      <c r="Q137" s="375" t="s">
        <v>410</v>
      </c>
      <c r="R137" s="375"/>
      <c r="S137" s="375" t="s">
        <v>4822</v>
      </c>
      <c r="T137" s="375" t="s">
        <v>7550</v>
      </c>
      <c r="U137" s="375" t="s">
        <v>2821</v>
      </c>
      <c r="V137" s="283"/>
      <c r="W137" s="375"/>
      <c r="X137" s="375"/>
      <c r="Y137" s="375"/>
    </row>
    <row r="138">
      <c r="A138" s="377">
        <v>45865.0</v>
      </c>
      <c r="B138" s="375" t="s">
        <v>7364</v>
      </c>
      <c r="C138" s="375" t="s">
        <v>1395</v>
      </c>
      <c r="D138" s="375" t="s">
        <v>5924</v>
      </c>
      <c r="E138" s="375" t="s">
        <v>2751</v>
      </c>
      <c r="F138" s="375" t="s">
        <v>7429</v>
      </c>
      <c r="G138" s="375">
        <v>1.0</v>
      </c>
      <c r="H138" s="375" t="s">
        <v>5594</v>
      </c>
      <c r="I138" s="375" t="s">
        <v>636</v>
      </c>
      <c r="J138" s="375" t="s">
        <v>5594</v>
      </c>
      <c r="K138" s="375"/>
      <c r="L138" s="375">
        <v>3.8</v>
      </c>
      <c r="M138" s="375" t="str">
        <f t="shared" si="1"/>
        <v>Nixon Warren</v>
      </c>
      <c r="N138" s="375" t="s">
        <v>5925</v>
      </c>
      <c r="O138" s="375" t="str">
        <f t="array" ref="O138">XLOOKUP(M138,'Recruiting Form Responses'!C:C,'Recruiting Form Responses'!A:A,"",0,1)</f>
        <v>XX</v>
      </c>
      <c r="P138" s="378"/>
      <c r="Q138" s="375" t="s">
        <v>7377</v>
      </c>
      <c r="R138" s="375"/>
      <c r="S138" s="375" t="s">
        <v>7404</v>
      </c>
      <c r="T138" s="375" t="s">
        <v>7551</v>
      </c>
      <c r="U138" s="375" t="s">
        <v>2821</v>
      </c>
      <c r="V138" s="283"/>
      <c r="W138" s="375"/>
      <c r="X138" s="375"/>
      <c r="Y138" s="375"/>
    </row>
    <row r="139">
      <c r="A139" s="377">
        <v>45865.0</v>
      </c>
      <c r="B139" s="375" t="s">
        <v>7364</v>
      </c>
      <c r="C139" s="375" t="s">
        <v>1430</v>
      </c>
      <c r="D139" s="375" t="s">
        <v>3417</v>
      </c>
      <c r="E139" s="375" t="s">
        <v>2082</v>
      </c>
      <c r="F139" s="375" t="s">
        <v>7552</v>
      </c>
      <c r="G139" s="375">
        <v>2.0</v>
      </c>
      <c r="H139" s="375" t="s">
        <v>3418</v>
      </c>
      <c r="I139" s="375" t="s">
        <v>543</v>
      </c>
      <c r="J139" s="375" t="s">
        <v>3419</v>
      </c>
      <c r="K139" s="375"/>
      <c r="L139" s="375">
        <v>4.0</v>
      </c>
      <c r="M139" s="375" t="str">
        <f t="shared" si="1"/>
        <v>Brennan Walters</v>
      </c>
      <c r="N139" s="375" t="s">
        <v>3420</v>
      </c>
      <c r="O139" s="375">
        <f t="array" ref="O139">XLOOKUP(M139,'Recruiting Form Responses'!C:C,'Recruiting Form Responses'!A:A,"",0,1)</f>
        <v>2</v>
      </c>
      <c r="P139" s="378"/>
      <c r="Q139" s="375" t="s">
        <v>7377</v>
      </c>
      <c r="R139" s="375"/>
      <c r="S139" s="375" t="s">
        <v>7422</v>
      </c>
      <c r="T139" s="375" t="s">
        <v>7553</v>
      </c>
      <c r="U139" s="375" t="s">
        <v>2821</v>
      </c>
      <c r="V139" s="283"/>
      <c r="W139" s="375"/>
      <c r="X139" s="375"/>
      <c r="Y139" s="375"/>
    </row>
    <row r="140">
      <c r="A140" s="377">
        <v>45865.0</v>
      </c>
      <c r="B140" s="375" t="s">
        <v>7364</v>
      </c>
      <c r="C140" s="375" t="s">
        <v>1395</v>
      </c>
      <c r="D140" s="375" t="s">
        <v>594</v>
      </c>
      <c r="E140" s="375" t="s">
        <v>3015</v>
      </c>
      <c r="F140" s="375" t="s">
        <v>7554</v>
      </c>
      <c r="G140" s="375">
        <v>1.0</v>
      </c>
      <c r="H140" s="375" t="s">
        <v>2908</v>
      </c>
      <c r="I140" s="375" t="s">
        <v>85</v>
      </c>
      <c r="J140" s="375" t="s">
        <v>3016</v>
      </c>
      <c r="K140" s="375"/>
      <c r="L140" s="375">
        <v>3.95</v>
      </c>
      <c r="M140" s="375" t="str">
        <f t="shared" si="1"/>
        <v>Cameron Aguilar</v>
      </c>
      <c r="N140" s="375" t="s">
        <v>3017</v>
      </c>
      <c r="O140" s="375">
        <f t="array" ref="O140">XLOOKUP(M140,'Recruiting Form Responses'!C:C,'Recruiting Form Responses'!A:A,"",0,1)</f>
        <v>2</v>
      </c>
      <c r="P140" s="378"/>
      <c r="Q140" s="375" t="s">
        <v>7377</v>
      </c>
      <c r="R140" s="375"/>
      <c r="S140" s="375" t="s">
        <v>7555</v>
      </c>
      <c r="T140" s="375" t="s">
        <v>7556</v>
      </c>
      <c r="U140" s="375" t="s">
        <v>2821</v>
      </c>
      <c r="V140" s="385"/>
      <c r="W140" s="385"/>
      <c r="X140" s="385"/>
      <c r="Y140" s="385"/>
    </row>
    <row r="141">
      <c r="A141" s="377">
        <v>45865.0</v>
      </c>
      <c r="B141" s="375" t="s">
        <v>7364</v>
      </c>
      <c r="C141" s="375" t="s">
        <v>1430</v>
      </c>
      <c r="D141" s="375" t="s">
        <v>419</v>
      </c>
      <c r="E141" s="375" t="s">
        <v>5537</v>
      </c>
      <c r="F141" s="375" t="s">
        <v>7557</v>
      </c>
      <c r="G141" s="375">
        <v>1.0</v>
      </c>
      <c r="H141" s="375" t="s">
        <v>5539</v>
      </c>
      <c r="I141" s="375" t="s">
        <v>125</v>
      </c>
      <c r="J141" s="375" t="s">
        <v>5540</v>
      </c>
      <c r="K141" s="283"/>
      <c r="L141" s="283"/>
      <c r="M141" s="375" t="str">
        <f t="shared" si="1"/>
        <v>George Minjack</v>
      </c>
      <c r="N141" s="375" t="s">
        <v>5541</v>
      </c>
      <c r="O141" s="375" t="str">
        <f t="array" ref="O141">XLOOKUP(M141,'Recruiting Form Responses'!C:C,'Recruiting Form Responses'!A:A,"",0,1)</f>
        <v>XX</v>
      </c>
      <c r="P141" s="378"/>
      <c r="Q141" s="375" t="s">
        <v>7377</v>
      </c>
      <c r="R141" s="375"/>
      <c r="S141" s="377">
        <v>45891.0</v>
      </c>
      <c r="T141" s="375" t="s">
        <v>7558</v>
      </c>
      <c r="U141" s="375" t="s">
        <v>2821</v>
      </c>
      <c r="V141" s="283"/>
      <c r="W141" s="375"/>
      <c r="X141" s="375"/>
      <c r="Y141" s="375"/>
    </row>
    <row r="142">
      <c r="A142" s="375"/>
      <c r="B142" s="375" t="s">
        <v>7375</v>
      </c>
      <c r="C142" s="375" t="s">
        <v>1395</v>
      </c>
      <c r="D142" s="375" t="s">
        <v>432</v>
      </c>
      <c r="E142" s="375" t="s">
        <v>5095</v>
      </c>
      <c r="F142" s="375" t="s">
        <v>7554</v>
      </c>
      <c r="G142" s="375">
        <v>1.0</v>
      </c>
      <c r="H142" s="375"/>
      <c r="I142" s="375" t="s">
        <v>85</v>
      </c>
      <c r="J142" s="375" t="s">
        <v>818</v>
      </c>
      <c r="K142" s="375" t="s">
        <v>5096</v>
      </c>
      <c r="L142" s="375"/>
      <c r="M142" s="375" t="str">
        <f t="shared" si="1"/>
        <v>Jackson Fournier</v>
      </c>
      <c r="N142" s="375"/>
      <c r="O142" s="375" t="str">
        <f t="array" ref="O142">XLOOKUP(M142,'Recruiting Form Responses'!C:C,'Recruiting Form Responses'!A:A,"",0,1)</f>
        <v>XX</v>
      </c>
      <c r="P142" s="378"/>
      <c r="Q142" s="375" t="s">
        <v>7377</v>
      </c>
      <c r="R142" s="375"/>
      <c r="S142" s="375" t="s">
        <v>7559</v>
      </c>
      <c r="T142" s="375" t="s">
        <v>7560</v>
      </c>
      <c r="U142" s="375"/>
      <c r="V142" s="283"/>
      <c r="W142" s="375"/>
      <c r="X142" s="375"/>
      <c r="Y142" s="375"/>
    </row>
    <row r="143">
      <c r="A143" s="375"/>
      <c r="B143" s="375" t="s">
        <v>7372</v>
      </c>
      <c r="C143" s="375" t="s">
        <v>1395</v>
      </c>
      <c r="D143" s="375" t="s">
        <v>432</v>
      </c>
      <c r="E143" s="375" t="s">
        <v>3123</v>
      </c>
      <c r="F143" s="375" t="s">
        <v>7561</v>
      </c>
      <c r="G143" s="375">
        <v>2.0</v>
      </c>
      <c r="H143" s="375"/>
      <c r="I143" s="375" t="s">
        <v>85</v>
      </c>
      <c r="J143" s="375" t="s">
        <v>3124</v>
      </c>
      <c r="K143" s="375" t="s">
        <v>2989</v>
      </c>
      <c r="L143" s="375"/>
      <c r="M143" s="375" t="str">
        <f t="shared" si="1"/>
        <v>Jackson Fulgintine</v>
      </c>
      <c r="N143" s="375" t="s">
        <v>7562</v>
      </c>
      <c r="O143" s="375" t="str">
        <f t="array" ref="O143">XLOOKUP(M143,'Recruiting Form Responses'!C:C,'Recruiting Form Responses'!A:A,"",0,1)</f>
        <v/>
      </c>
      <c r="P143" s="378"/>
      <c r="Q143" s="375" t="s">
        <v>7377</v>
      </c>
      <c r="R143" s="375"/>
      <c r="S143" s="380">
        <v>45868.708333333336</v>
      </c>
      <c r="T143" s="375" t="s">
        <v>7563</v>
      </c>
      <c r="U143" s="375"/>
      <c r="V143" s="283"/>
      <c r="W143" s="375"/>
      <c r="X143" s="375"/>
      <c r="Y143" s="375"/>
    </row>
    <row r="144">
      <c r="A144" s="375"/>
      <c r="B144" s="375" t="s">
        <v>7372</v>
      </c>
      <c r="C144" s="375" t="s">
        <v>1395</v>
      </c>
      <c r="D144" s="375" t="s">
        <v>788</v>
      </c>
      <c r="E144" s="375" t="s">
        <v>5919</v>
      </c>
      <c r="F144" s="375" t="s">
        <v>7561</v>
      </c>
      <c r="G144" s="375">
        <v>2.0</v>
      </c>
      <c r="H144" s="389"/>
      <c r="I144" s="375" t="s">
        <v>85</v>
      </c>
      <c r="J144" s="375" t="s">
        <v>3124</v>
      </c>
      <c r="K144" s="375" t="s">
        <v>1424</v>
      </c>
      <c r="L144" s="375"/>
      <c r="M144" s="375" t="str">
        <f t="shared" si="1"/>
        <v>Gavin Wainwright</v>
      </c>
      <c r="N144" s="379" t="s">
        <v>7564</v>
      </c>
      <c r="O144" s="375" t="str">
        <f t="array" ref="O144">XLOOKUP(M144,'Recruiting Form Responses'!C:C,'Recruiting Form Responses'!A:A,"",0,1)</f>
        <v>XX</v>
      </c>
      <c r="P144" s="378"/>
      <c r="Q144" s="375" t="s">
        <v>410</v>
      </c>
      <c r="R144" s="375"/>
      <c r="S144" s="375" t="s">
        <v>5920</v>
      </c>
      <c r="T144" s="375"/>
      <c r="U144" s="375"/>
      <c r="V144" s="283"/>
      <c r="W144" s="375"/>
      <c r="X144" s="375"/>
      <c r="Y144" s="375"/>
    </row>
    <row r="145">
      <c r="A145" s="377">
        <v>45865.0</v>
      </c>
      <c r="B145" s="375" t="s">
        <v>7364</v>
      </c>
      <c r="C145" s="375" t="s">
        <v>1395</v>
      </c>
      <c r="D145" s="375" t="s">
        <v>3351</v>
      </c>
      <c r="E145" s="375" t="s">
        <v>3352</v>
      </c>
      <c r="F145" s="375" t="s">
        <v>7565</v>
      </c>
      <c r="G145" s="375">
        <v>2.0</v>
      </c>
      <c r="H145" s="375" t="s">
        <v>3353</v>
      </c>
      <c r="I145" s="375" t="s">
        <v>636</v>
      </c>
      <c r="J145" s="375" t="s">
        <v>3354</v>
      </c>
      <c r="K145" s="375"/>
      <c r="L145" s="375">
        <v>3.86</v>
      </c>
      <c r="M145" s="375" t="str">
        <f t="shared" si="1"/>
        <v>Beckham Rowley</v>
      </c>
      <c r="N145" s="379" t="s">
        <v>3355</v>
      </c>
      <c r="O145" s="375" t="str">
        <f t="array" ref="O145">XLOOKUP(M145,'Recruiting Form Responses'!C:C,'Recruiting Form Responses'!A:A,"",0,1)</f>
        <v/>
      </c>
      <c r="P145" s="378"/>
      <c r="Q145" s="375"/>
      <c r="R145" s="375"/>
      <c r="S145" s="375"/>
      <c r="T145" s="375"/>
      <c r="U145" s="375" t="s">
        <v>2821</v>
      </c>
      <c r="V145" s="283"/>
      <c r="W145" s="375"/>
      <c r="X145" s="375"/>
      <c r="Y145" s="375"/>
    </row>
    <row r="146">
      <c r="A146" s="377">
        <v>45865.0</v>
      </c>
      <c r="B146" s="375" t="s">
        <v>7364</v>
      </c>
      <c r="C146" s="375" t="s">
        <v>1430</v>
      </c>
      <c r="D146" s="375" t="s">
        <v>424</v>
      </c>
      <c r="E146" s="375" t="s">
        <v>5730</v>
      </c>
      <c r="F146" s="375" t="s">
        <v>7566</v>
      </c>
      <c r="G146" s="375">
        <v>2.0</v>
      </c>
      <c r="H146" s="375" t="s">
        <v>5732</v>
      </c>
      <c r="I146" s="375" t="s">
        <v>448</v>
      </c>
      <c r="J146" s="375" t="s">
        <v>5733</v>
      </c>
      <c r="K146" s="375"/>
      <c r="L146" s="375">
        <v>4.0</v>
      </c>
      <c r="M146" s="375" t="str">
        <f t="shared" si="1"/>
        <v>Jack Runk</v>
      </c>
      <c r="N146" s="375" t="s">
        <v>5734</v>
      </c>
      <c r="O146" s="375" t="str">
        <f t="array" ref="O146">XLOOKUP(M146,'Recruiting Form Responses'!C:C,'Recruiting Form Responses'!A:A,"",0,1)</f>
        <v/>
      </c>
      <c r="P146" s="378"/>
      <c r="Q146" s="375" t="s">
        <v>7366</v>
      </c>
      <c r="R146" s="375"/>
      <c r="S146" s="375"/>
      <c r="T146" s="375"/>
      <c r="U146" s="375" t="s">
        <v>2821</v>
      </c>
      <c r="V146" s="383"/>
      <c r="W146" s="390"/>
      <c r="X146" s="383"/>
      <c r="Y146" s="383"/>
    </row>
    <row r="147">
      <c r="A147" s="377">
        <v>45865.0</v>
      </c>
      <c r="B147" s="375" t="s">
        <v>7364</v>
      </c>
      <c r="C147" s="375" t="s">
        <v>1470</v>
      </c>
      <c r="D147" s="375" t="s">
        <v>1595</v>
      </c>
      <c r="E147" s="375" t="s">
        <v>2911</v>
      </c>
      <c r="F147" s="375" t="s">
        <v>7567</v>
      </c>
      <c r="G147" s="375">
        <v>1.0</v>
      </c>
      <c r="H147" s="375" t="s">
        <v>2912</v>
      </c>
      <c r="I147" s="375" t="s">
        <v>73</v>
      </c>
      <c r="J147" s="375" t="s">
        <v>2913</v>
      </c>
      <c r="K147" s="375"/>
      <c r="L147" s="375">
        <v>4.0</v>
      </c>
      <c r="M147" s="375" t="str">
        <f t="shared" si="1"/>
        <v>Parker Filipek</v>
      </c>
      <c r="N147" s="379" t="s">
        <v>2914</v>
      </c>
      <c r="O147" s="375">
        <f t="array" ref="O147">XLOOKUP(M147,'Recruiting Form Responses'!C:C,'Recruiting Form Responses'!A:A,"",0,1)</f>
        <v>1</v>
      </c>
      <c r="P147" s="378" t="s">
        <v>7521</v>
      </c>
      <c r="Q147" s="375" t="s">
        <v>7377</v>
      </c>
      <c r="R147" s="375"/>
      <c r="S147" s="375"/>
      <c r="T147" s="375"/>
      <c r="U147" s="375" t="s">
        <v>2821</v>
      </c>
      <c r="V147" s="283"/>
      <c r="W147" s="375"/>
      <c r="X147" s="375"/>
      <c r="Y147" s="375"/>
    </row>
    <row r="148">
      <c r="A148" s="377">
        <v>45865.0</v>
      </c>
      <c r="B148" s="375" t="s">
        <v>7364</v>
      </c>
      <c r="C148" s="375" t="s">
        <v>1470</v>
      </c>
      <c r="D148" s="375" t="s">
        <v>4855</v>
      </c>
      <c r="E148" s="375" t="s">
        <v>2589</v>
      </c>
      <c r="F148" s="375" t="s">
        <v>7568</v>
      </c>
      <c r="G148" s="375">
        <v>2.0</v>
      </c>
      <c r="H148" s="375" t="s">
        <v>4856</v>
      </c>
      <c r="I148" s="375" t="s">
        <v>180</v>
      </c>
      <c r="J148" s="375" t="s">
        <v>4857</v>
      </c>
      <c r="K148" s="283"/>
      <c r="L148" s="283"/>
      <c r="M148" s="375" t="str">
        <f t="shared" si="1"/>
        <v>Jackie Bryant</v>
      </c>
      <c r="N148" s="375" t="s">
        <v>4858</v>
      </c>
      <c r="O148" s="375" t="str">
        <f t="array" ref="O148">XLOOKUP(M148,'Recruiting Form Responses'!C:C,'Recruiting Form Responses'!A:A,"",0,1)</f>
        <v/>
      </c>
      <c r="P148" s="378"/>
      <c r="Q148" s="375" t="s">
        <v>7377</v>
      </c>
      <c r="R148" s="375"/>
      <c r="S148" s="375"/>
      <c r="T148" s="375"/>
      <c r="U148" s="375" t="s">
        <v>2821</v>
      </c>
      <c r="V148" s="283"/>
      <c r="W148" s="375"/>
      <c r="X148" s="375"/>
      <c r="Y148" s="375"/>
    </row>
    <row r="149">
      <c r="A149" s="377">
        <v>45865.0</v>
      </c>
      <c r="B149" s="375" t="s">
        <v>7364</v>
      </c>
      <c r="C149" s="375" t="s">
        <v>1430</v>
      </c>
      <c r="D149" s="375" t="s">
        <v>822</v>
      </c>
      <c r="E149" s="375" t="s">
        <v>5965</v>
      </c>
      <c r="F149" s="375" t="s">
        <v>7455</v>
      </c>
      <c r="G149" s="375">
        <v>1.0</v>
      </c>
      <c r="H149" s="375" t="s">
        <v>3999</v>
      </c>
      <c r="I149" s="375" t="s">
        <v>240</v>
      </c>
      <c r="J149" s="375" t="s">
        <v>5966</v>
      </c>
      <c r="K149" s="375"/>
      <c r="L149" s="375">
        <v>3.8</v>
      </c>
      <c r="M149" s="375" t="str">
        <f t="shared" si="1"/>
        <v>Hunter West</v>
      </c>
      <c r="N149" s="375" t="s">
        <v>5967</v>
      </c>
      <c r="O149" s="375" t="str">
        <f t="array" ref="O149">XLOOKUP(M149,'Recruiting Form Responses'!C:C,'Recruiting Form Responses'!A:A,"",0,1)</f>
        <v/>
      </c>
      <c r="P149" s="378"/>
      <c r="Q149" s="375" t="s">
        <v>410</v>
      </c>
      <c r="R149" s="375"/>
      <c r="S149" s="375" t="s">
        <v>7569</v>
      </c>
      <c r="T149" s="375"/>
      <c r="U149" s="375" t="s">
        <v>2821</v>
      </c>
      <c r="V149" s="375"/>
      <c r="W149" s="375"/>
      <c r="X149" s="375"/>
      <c r="Y149" s="375"/>
    </row>
    <row r="150">
      <c r="A150" s="377">
        <v>45865.0</v>
      </c>
      <c r="B150" s="375" t="s">
        <v>7364</v>
      </c>
      <c r="C150" s="375" t="s">
        <v>1430</v>
      </c>
      <c r="D150" s="375" t="s">
        <v>1595</v>
      </c>
      <c r="E150" s="375" t="s">
        <v>5757</v>
      </c>
      <c r="F150" s="375" t="s">
        <v>7392</v>
      </c>
      <c r="G150" s="375">
        <v>1.0</v>
      </c>
      <c r="H150" s="375" t="s">
        <v>5759</v>
      </c>
      <c r="I150" s="375" t="s">
        <v>585</v>
      </c>
      <c r="J150" s="375" t="s">
        <v>5760</v>
      </c>
      <c r="K150" s="375"/>
      <c r="L150" s="375">
        <v>4.0</v>
      </c>
      <c r="M150" s="375" t="str">
        <f t="shared" si="1"/>
        <v>Parker Sansone</v>
      </c>
      <c r="N150" s="375" t="s">
        <v>5761</v>
      </c>
      <c r="O150" s="375" t="str">
        <f t="array" ref="O150">XLOOKUP(M150,'Recruiting Form Responses'!C:C,'Recruiting Form Responses'!A:A,"",0,1)</f>
        <v/>
      </c>
      <c r="P150" s="378"/>
      <c r="Q150" s="375"/>
      <c r="R150" s="375"/>
      <c r="S150" s="375"/>
      <c r="T150" s="375"/>
      <c r="U150" s="375" t="s">
        <v>2821</v>
      </c>
      <c r="V150" s="283"/>
      <c r="W150" s="375"/>
      <c r="X150" s="375"/>
      <c r="Y150" s="375"/>
    </row>
    <row r="151">
      <c r="A151" s="377">
        <v>45865.0</v>
      </c>
      <c r="B151" s="375" t="s">
        <v>7364</v>
      </c>
      <c r="C151" s="375" t="s">
        <v>1470</v>
      </c>
      <c r="D151" s="375" t="s">
        <v>4884</v>
      </c>
      <c r="E151" s="375" t="s">
        <v>4885</v>
      </c>
      <c r="F151" s="375" t="s">
        <v>7570</v>
      </c>
      <c r="G151" s="375">
        <v>1.0</v>
      </c>
      <c r="H151" s="375" t="s">
        <v>4887</v>
      </c>
      <c r="I151" s="375" t="s">
        <v>180</v>
      </c>
      <c r="J151" s="375" t="s">
        <v>4888</v>
      </c>
      <c r="K151" s="375"/>
      <c r="L151" s="375">
        <v>4.0</v>
      </c>
      <c r="M151" s="375" t="str">
        <f t="shared" si="1"/>
        <v>Hector Cadena</v>
      </c>
      <c r="N151" s="375" t="s">
        <v>4889</v>
      </c>
      <c r="O151" s="375" t="str">
        <f t="array" ref="O151">XLOOKUP(M151,'Recruiting Form Responses'!C:C,'Recruiting Form Responses'!A:A,"",0,1)</f>
        <v/>
      </c>
      <c r="P151" s="378"/>
      <c r="Q151" s="375"/>
      <c r="R151" s="375"/>
      <c r="S151" s="375"/>
      <c r="T151" s="375"/>
      <c r="U151" s="375" t="s">
        <v>2821</v>
      </c>
      <c r="V151" s="283"/>
      <c r="W151" s="375"/>
      <c r="X151" s="375"/>
      <c r="Y151" s="375"/>
    </row>
    <row r="152">
      <c r="A152" s="377">
        <v>45865.0</v>
      </c>
      <c r="B152" s="375" t="s">
        <v>7364</v>
      </c>
      <c r="C152" s="375" t="s">
        <v>1470</v>
      </c>
      <c r="D152" s="375" t="s">
        <v>457</v>
      </c>
      <c r="E152" s="375" t="s">
        <v>5955</v>
      </c>
      <c r="F152" s="375" t="s">
        <v>7424</v>
      </c>
      <c r="G152" s="375">
        <v>1.0</v>
      </c>
      <c r="H152" s="375" t="s">
        <v>5956</v>
      </c>
      <c r="I152" s="375" t="s">
        <v>52</v>
      </c>
      <c r="J152" s="375" t="s">
        <v>5957</v>
      </c>
      <c r="K152" s="375"/>
      <c r="L152" s="375">
        <v>4.0</v>
      </c>
      <c r="M152" s="375" t="str">
        <f t="shared" si="1"/>
        <v>Andrew Weber</v>
      </c>
      <c r="N152" s="375" t="s">
        <v>5958</v>
      </c>
      <c r="O152" s="375" t="str">
        <f t="array" ref="O152">XLOOKUP(M152,'Recruiting Form Responses'!C:C,'Recruiting Form Responses'!A:A,"",0,1)</f>
        <v/>
      </c>
      <c r="P152" s="378"/>
      <c r="Q152" s="375"/>
      <c r="R152" s="375"/>
      <c r="S152" s="375"/>
      <c r="T152" s="375"/>
      <c r="U152" s="375" t="s">
        <v>2821</v>
      </c>
      <c r="V152" s="375"/>
      <c r="W152" s="375"/>
      <c r="X152" s="375"/>
      <c r="Y152" s="375"/>
    </row>
    <row r="153">
      <c r="A153" s="377">
        <v>45865.0</v>
      </c>
      <c r="B153" s="375" t="s">
        <v>7364</v>
      </c>
      <c r="C153" s="375" t="s">
        <v>1470</v>
      </c>
      <c r="D153" s="375" t="s">
        <v>233</v>
      </c>
      <c r="E153" s="375" t="s">
        <v>5184</v>
      </c>
      <c r="F153" s="375" t="s">
        <v>7370</v>
      </c>
      <c r="G153" s="375">
        <v>1.0</v>
      </c>
      <c r="H153" s="375" t="s">
        <v>5185</v>
      </c>
      <c r="I153" s="375" t="s">
        <v>52</v>
      </c>
      <c r="J153" s="375" t="s">
        <v>5186</v>
      </c>
      <c r="K153" s="375"/>
      <c r="L153" s="375">
        <v>4.0</v>
      </c>
      <c r="M153" s="375" t="str">
        <f t="shared" si="1"/>
        <v>Colton Hadfield</v>
      </c>
      <c r="N153" s="375" t="s">
        <v>5187</v>
      </c>
      <c r="O153" s="375" t="str">
        <f t="array" ref="O153">XLOOKUP(M153,'Recruiting Form Responses'!C:C,'Recruiting Form Responses'!A:A,"",0,1)</f>
        <v>XX</v>
      </c>
      <c r="P153" s="378"/>
      <c r="Q153" s="375" t="s">
        <v>7377</v>
      </c>
      <c r="R153" s="375"/>
      <c r="S153" s="375"/>
      <c r="T153" s="375" t="s">
        <v>7571</v>
      </c>
      <c r="U153" s="375" t="s">
        <v>2821</v>
      </c>
      <c r="V153" s="375"/>
      <c r="W153" s="375"/>
      <c r="X153" s="375"/>
      <c r="Y153" s="375"/>
    </row>
    <row r="154">
      <c r="A154" s="377">
        <v>45865.0</v>
      </c>
      <c r="B154" s="375" t="s">
        <v>7364</v>
      </c>
      <c r="C154" s="375" t="s">
        <v>1395</v>
      </c>
      <c r="D154" s="375" t="s">
        <v>110</v>
      </c>
      <c r="E154" s="375" t="s">
        <v>1927</v>
      </c>
      <c r="F154" s="375" t="s">
        <v>7483</v>
      </c>
      <c r="G154" s="375">
        <v>2.0</v>
      </c>
      <c r="H154" s="375" t="s">
        <v>3191</v>
      </c>
      <c r="I154" s="375" t="s">
        <v>174</v>
      </c>
      <c r="J154" s="375" t="s">
        <v>3192</v>
      </c>
      <c r="K154" s="283"/>
      <c r="L154" s="283"/>
      <c r="M154" s="375" t="str">
        <f t="shared" si="1"/>
        <v>Will Hayes</v>
      </c>
      <c r="N154" s="375" t="s">
        <v>3193</v>
      </c>
      <c r="O154" s="375">
        <f t="array" ref="O154">XLOOKUP(M154,'Recruiting Form Responses'!C:C,'Recruiting Form Responses'!A:A,"",0,1)</f>
        <v>2</v>
      </c>
      <c r="P154" s="378"/>
      <c r="Q154" s="375" t="s">
        <v>7377</v>
      </c>
      <c r="R154" s="375"/>
      <c r="S154" s="380">
        <v>45871.416666666664</v>
      </c>
      <c r="T154" s="375" t="s">
        <v>7572</v>
      </c>
      <c r="U154" s="375" t="s">
        <v>2821</v>
      </c>
      <c r="V154" s="283"/>
      <c r="W154" s="375"/>
      <c r="X154" s="375"/>
      <c r="Y154" s="375"/>
    </row>
    <row r="155">
      <c r="A155" s="377">
        <v>45865.0</v>
      </c>
      <c r="B155" s="375" t="s">
        <v>7364</v>
      </c>
      <c r="C155" s="375" t="s">
        <v>1430</v>
      </c>
      <c r="D155" s="375" t="s">
        <v>5025</v>
      </c>
      <c r="E155" s="375" t="s">
        <v>5026</v>
      </c>
      <c r="F155" s="375" t="s">
        <v>7573</v>
      </c>
      <c r="G155" s="375">
        <v>1.0</v>
      </c>
      <c r="H155" s="375" t="s">
        <v>2067</v>
      </c>
      <c r="I155" s="375" t="s">
        <v>529</v>
      </c>
      <c r="J155" s="375" t="s">
        <v>5028</v>
      </c>
      <c r="K155" s="375"/>
      <c r="L155" s="375">
        <v>4.0</v>
      </c>
      <c r="M155" s="375" t="str">
        <f t="shared" si="1"/>
        <v>Koby Dues</v>
      </c>
      <c r="N155" s="375" t="s">
        <v>5029</v>
      </c>
      <c r="O155" s="375" t="str">
        <f t="array" ref="O155">XLOOKUP(M155,'Recruiting Form Responses'!C:C,'Recruiting Form Responses'!A:A,"",0,1)</f>
        <v/>
      </c>
      <c r="P155" s="378"/>
      <c r="Q155" s="375"/>
      <c r="R155" s="375"/>
      <c r="S155" s="375"/>
      <c r="T155" s="375"/>
      <c r="U155" s="375" t="s">
        <v>2821</v>
      </c>
      <c r="V155" s="283"/>
      <c r="W155" s="283"/>
      <c r="X155" s="283"/>
      <c r="Y155" s="283"/>
    </row>
    <row r="156">
      <c r="A156" s="377">
        <v>45865.0</v>
      </c>
      <c r="B156" s="375" t="s">
        <v>7364</v>
      </c>
      <c r="C156" s="375" t="s">
        <v>1470</v>
      </c>
      <c r="D156" s="375" t="s">
        <v>5146</v>
      </c>
      <c r="E156" s="375" t="s">
        <v>5147</v>
      </c>
      <c r="F156" s="375" t="s">
        <v>7450</v>
      </c>
      <c r="G156" s="375">
        <v>1.0</v>
      </c>
      <c r="H156" s="375" t="s">
        <v>5149</v>
      </c>
      <c r="I156" s="375" t="s">
        <v>52</v>
      </c>
      <c r="J156" s="375" t="s">
        <v>5150</v>
      </c>
      <c r="K156" s="283"/>
      <c r="L156" s="283"/>
      <c r="M156" s="375" t="str">
        <f t="shared" si="1"/>
        <v>Mariano Gonzalez</v>
      </c>
      <c r="N156" s="379" t="s">
        <v>5151</v>
      </c>
      <c r="O156" s="375" t="str">
        <f t="array" ref="O156">XLOOKUP(M156,'Recruiting Form Responses'!C:C,'Recruiting Form Responses'!A:A,"",0,1)</f>
        <v/>
      </c>
      <c r="P156" s="378"/>
      <c r="Q156" s="375"/>
      <c r="R156" s="375"/>
      <c r="S156" s="375"/>
      <c r="T156" s="375"/>
      <c r="U156" s="375" t="s">
        <v>2821</v>
      </c>
      <c r="V156" s="283"/>
      <c r="W156" s="375"/>
      <c r="X156" s="375"/>
      <c r="Y156" s="375"/>
    </row>
    <row r="157">
      <c r="A157" s="375"/>
      <c r="B157" s="375" t="s">
        <v>7372</v>
      </c>
      <c r="C157" s="375" t="s">
        <v>1430</v>
      </c>
      <c r="D157" s="375" t="s">
        <v>5469</v>
      </c>
      <c r="E157" s="375" t="s">
        <v>5470</v>
      </c>
      <c r="F157" s="375" t="s">
        <v>7501</v>
      </c>
      <c r="G157" s="375">
        <v>1.0</v>
      </c>
      <c r="H157" s="283"/>
      <c r="I157" s="375" t="s">
        <v>66</v>
      </c>
      <c r="J157" s="375" t="s">
        <v>1449</v>
      </c>
      <c r="K157" s="375" t="s">
        <v>1450</v>
      </c>
      <c r="L157" s="375">
        <v>4.875</v>
      </c>
      <c r="M157" s="375" t="str">
        <f t="shared" si="1"/>
        <v>Jonathan Mauro</v>
      </c>
      <c r="N157" s="375" t="s">
        <v>7574</v>
      </c>
      <c r="O157" s="375" t="str">
        <f t="array" ref="O157">XLOOKUP(M157,'Recruiting Form Responses'!C:C,'Recruiting Form Responses'!A:A,"",0,1)</f>
        <v>XX</v>
      </c>
      <c r="P157" s="378"/>
      <c r="Q157" s="375" t="s">
        <v>7377</v>
      </c>
      <c r="R157" s="375"/>
      <c r="S157" s="375"/>
      <c r="T157" s="375"/>
      <c r="U157" s="375"/>
      <c r="V157" s="375"/>
      <c r="W157" s="389"/>
      <c r="X157" s="389"/>
      <c r="Y157" s="389"/>
    </row>
    <row r="158">
      <c r="A158" s="375"/>
      <c r="B158" s="375" t="s">
        <v>7372</v>
      </c>
      <c r="C158" s="375" t="s">
        <v>1430</v>
      </c>
      <c r="D158" s="375" t="s">
        <v>4732</v>
      </c>
      <c r="E158" s="375" t="s">
        <v>4733</v>
      </c>
      <c r="F158" s="375" t="s">
        <v>7391</v>
      </c>
      <c r="G158" s="375">
        <v>1.0</v>
      </c>
      <c r="H158" s="375"/>
      <c r="I158" s="375" t="s">
        <v>66</v>
      </c>
      <c r="J158" s="375" t="s">
        <v>1449</v>
      </c>
      <c r="K158" s="375" t="s">
        <v>1450</v>
      </c>
      <c r="L158" s="375" t="s">
        <v>1836</v>
      </c>
      <c r="M158" s="375" t="str">
        <f t="shared" si="1"/>
        <v>August Backman</v>
      </c>
      <c r="N158" s="375" t="s">
        <v>7575</v>
      </c>
      <c r="O158" s="375" t="str">
        <f t="array" ref="O158">XLOOKUP(M158,'Recruiting Form Responses'!C:C,'Recruiting Form Responses'!A:A,"",0,1)</f>
        <v/>
      </c>
      <c r="P158" s="378"/>
      <c r="Q158" s="375"/>
      <c r="R158" s="375"/>
      <c r="S158" s="375"/>
      <c r="T158" s="375"/>
      <c r="U158" s="375"/>
      <c r="V158" s="375"/>
      <c r="W158" s="375"/>
      <c r="X158" s="375"/>
      <c r="Y158" s="375"/>
    </row>
    <row r="159">
      <c r="A159" s="375"/>
      <c r="B159" s="375" t="s">
        <v>7375</v>
      </c>
      <c r="C159" s="375" t="s">
        <v>1430</v>
      </c>
      <c r="D159" s="375" t="s">
        <v>266</v>
      </c>
      <c r="E159" s="375" t="s">
        <v>2864</v>
      </c>
      <c r="F159" s="375"/>
      <c r="G159" s="375">
        <v>2.0</v>
      </c>
      <c r="H159" s="283"/>
      <c r="I159" s="375" t="s">
        <v>73</v>
      </c>
      <c r="J159" s="375" t="s">
        <v>2865</v>
      </c>
      <c r="K159" s="375" t="s">
        <v>2866</v>
      </c>
      <c r="L159" s="375">
        <v>4.2</v>
      </c>
      <c r="M159" s="375" t="str">
        <f t="shared" si="1"/>
        <v>Ethan Wisler</v>
      </c>
      <c r="N159" s="375"/>
      <c r="O159" s="375">
        <f t="array" ref="O159">XLOOKUP(M159,'Recruiting Form Responses'!C:C,'Recruiting Form Responses'!A:A,"",0,1)</f>
        <v>0.1</v>
      </c>
      <c r="P159" s="378"/>
      <c r="Q159" s="375" t="s">
        <v>7377</v>
      </c>
      <c r="R159" s="375"/>
      <c r="S159" s="377">
        <v>45863.0</v>
      </c>
      <c r="T159" s="375" t="s">
        <v>7576</v>
      </c>
      <c r="U159" s="375"/>
      <c r="V159" s="375"/>
      <c r="W159" s="375"/>
      <c r="X159" s="375"/>
      <c r="Y159" s="375"/>
    </row>
    <row r="160">
      <c r="A160" s="375"/>
      <c r="B160" s="375" t="s">
        <v>7372</v>
      </c>
      <c r="C160" s="375" t="s">
        <v>1395</v>
      </c>
      <c r="D160" s="375" t="s">
        <v>1997</v>
      </c>
      <c r="E160" s="375" t="s">
        <v>4780</v>
      </c>
      <c r="F160" s="375" t="s">
        <v>7561</v>
      </c>
      <c r="G160" s="375">
        <v>2.0</v>
      </c>
      <c r="H160" s="375"/>
      <c r="I160" s="375" t="s">
        <v>85</v>
      </c>
      <c r="J160" s="375" t="s">
        <v>3627</v>
      </c>
      <c r="K160" s="375" t="s">
        <v>87</v>
      </c>
      <c r="L160" s="375"/>
      <c r="M160" s="375" t="str">
        <f t="shared" si="1"/>
        <v>Max Boehm</v>
      </c>
      <c r="N160" s="375" t="s">
        <v>7577</v>
      </c>
      <c r="O160" s="375" t="str">
        <f t="array" ref="O160">XLOOKUP(M160,'Recruiting Form Responses'!C:C,'Recruiting Form Responses'!A:A,"",0,1)</f>
        <v/>
      </c>
      <c r="P160" s="378"/>
      <c r="Q160" s="375"/>
      <c r="R160" s="375"/>
      <c r="S160" s="375"/>
      <c r="T160" s="375"/>
      <c r="U160" s="375"/>
      <c r="V160" s="283"/>
      <c r="W160" s="283"/>
      <c r="X160" s="283"/>
      <c r="Y160" s="283"/>
    </row>
    <row r="161">
      <c r="A161" s="375"/>
      <c r="B161" s="375" t="s">
        <v>7372</v>
      </c>
      <c r="C161" s="375" t="s">
        <v>1430</v>
      </c>
      <c r="D161" s="375" t="s">
        <v>2927</v>
      </c>
      <c r="E161" s="375" t="s">
        <v>2928</v>
      </c>
      <c r="F161" s="375" t="s">
        <v>7498</v>
      </c>
      <c r="G161" s="375">
        <v>1.0</v>
      </c>
      <c r="H161" s="375"/>
      <c r="I161" s="375" t="s">
        <v>43</v>
      </c>
      <c r="J161" s="375" t="s">
        <v>2929</v>
      </c>
      <c r="K161" s="375" t="s">
        <v>1120</v>
      </c>
      <c r="L161" s="375" t="s">
        <v>2930</v>
      </c>
      <c r="M161" s="375" t="str">
        <f t="shared" si="1"/>
        <v>Win Hoots</v>
      </c>
      <c r="N161" s="375" t="s">
        <v>7578</v>
      </c>
      <c r="O161" s="375">
        <f t="array" ref="O161">XLOOKUP(M161,'Recruiting Form Responses'!C:C,'Recruiting Form Responses'!A:A,"",0,1)</f>
        <v>1</v>
      </c>
      <c r="P161" s="378"/>
      <c r="Q161" s="375" t="s">
        <v>7377</v>
      </c>
      <c r="R161" s="375"/>
      <c r="S161" s="377">
        <v>45868.0</v>
      </c>
      <c r="T161" s="375" t="s">
        <v>7579</v>
      </c>
      <c r="U161" s="375"/>
      <c r="V161" s="283"/>
      <c r="W161" s="375"/>
      <c r="X161" s="375"/>
      <c r="Y161" s="375"/>
    </row>
    <row r="162">
      <c r="A162" s="377">
        <v>45858.0</v>
      </c>
      <c r="B162" s="375" t="s">
        <v>7372</v>
      </c>
      <c r="C162" s="375" t="s">
        <v>1395</v>
      </c>
      <c r="D162" s="375" t="s">
        <v>472</v>
      </c>
      <c r="E162" s="375" t="s">
        <v>6010</v>
      </c>
      <c r="F162" s="375" t="s">
        <v>7580</v>
      </c>
      <c r="G162" s="375">
        <v>1.0</v>
      </c>
      <c r="H162" s="283"/>
      <c r="I162" s="375" t="s">
        <v>307</v>
      </c>
      <c r="J162" s="283"/>
      <c r="K162" s="375" t="s">
        <v>443</v>
      </c>
      <c r="L162" s="283"/>
      <c r="M162" s="375" t="str">
        <f t="shared" si="1"/>
        <v>Austin Winge</v>
      </c>
      <c r="N162" s="375" t="s">
        <v>7581</v>
      </c>
      <c r="O162" s="375" t="str">
        <f t="array" ref="O162">XLOOKUP(M162,'Recruiting Form Responses'!C:C,'Recruiting Form Responses'!A:A,"",0,1)</f>
        <v>XX</v>
      </c>
      <c r="P162" s="378"/>
      <c r="Q162" s="375" t="s">
        <v>7377</v>
      </c>
      <c r="R162" s="375"/>
      <c r="S162" s="375" t="s">
        <v>7404</v>
      </c>
      <c r="T162" s="375" t="s">
        <v>7582</v>
      </c>
      <c r="U162" s="283"/>
      <c r="V162" s="375"/>
      <c r="W162" s="375"/>
      <c r="X162" s="375"/>
      <c r="Y162" s="375"/>
    </row>
    <row r="163">
      <c r="A163" s="375"/>
      <c r="B163" s="375" t="s">
        <v>7364</v>
      </c>
      <c r="C163" s="375" t="s">
        <v>1395</v>
      </c>
      <c r="D163" s="375" t="s">
        <v>284</v>
      </c>
      <c r="E163" s="375" t="s">
        <v>4869</v>
      </c>
      <c r="F163" s="375" t="s">
        <v>7583</v>
      </c>
      <c r="G163" s="375">
        <v>1.0</v>
      </c>
      <c r="H163" s="375"/>
      <c r="I163" s="375" t="s">
        <v>160</v>
      </c>
      <c r="J163" s="375"/>
      <c r="K163" s="375" t="s">
        <v>3377</v>
      </c>
      <c r="L163" s="283"/>
      <c r="M163" s="375" t="str">
        <f t="shared" si="1"/>
        <v>Jacob Budarz</v>
      </c>
      <c r="N163" s="375" t="s">
        <v>7584</v>
      </c>
      <c r="O163" s="375" t="str">
        <f t="array" ref="O163">XLOOKUP(M163,'Recruiting Form Responses'!C:C,'Recruiting Form Responses'!A:A,"",0,1)</f>
        <v>XX</v>
      </c>
      <c r="P163" s="378"/>
      <c r="Q163" s="375" t="s">
        <v>410</v>
      </c>
      <c r="R163" s="375"/>
      <c r="S163" s="375" t="s">
        <v>4870</v>
      </c>
      <c r="T163" s="375" t="s">
        <v>7585</v>
      </c>
      <c r="U163" s="375" t="s">
        <v>2821</v>
      </c>
      <c r="V163" s="283"/>
      <c r="W163" s="375"/>
      <c r="X163" s="375"/>
      <c r="Y163" s="375"/>
    </row>
    <row r="164">
      <c r="A164" s="283"/>
      <c r="B164" s="375" t="s">
        <v>7586</v>
      </c>
      <c r="C164" s="375" t="s">
        <v>1395</v>
      </c>
      <c r="D164" s="375" t="s">
        <v>517</v>
      </c>
      <c r="E164" s="375" t="s">
        <v>4763</v>
      </c>
      <c r="F164" s="283" t="s">
        <v>7478</v>
      </c>
      <c r="G164" s="375">
        <v>1.0</v>
      </c>
      <c r="H164" s="283"/>
      <c r="I164" s="283"/>
      <c r="J164" s="283"/>
      <c r="K164" s="283"/>
      <c r="L164" s="283"/>
      <c r="M164" s="283"/>
      <c r="N164" s="375">
        <v>9.097271326E9</v>
      </c>
      <c r="O164" s="375" t="str">
        <f t="array" ref="O164">XLOOKUP(M164,'Recruiting Form Responses'!C:C,'Recruiting Form Responses'!A:A,"",0,1)</f>
        <v/>
      </c>
      <c r="P164" s="378"/>
      <c r="Q164" s="375" t="s">
        <v>7377</v>
      </c>
      <c r="R164" s="283"/>
      <c r="S164" s="375" t="s">
        <v>7587</v>
      </c>
      <c r="T164" s="375" t="s">
        <v>7588</v>
      </c>
      <c r="U164" s="283"/>
      <c r="V164" s="283"/>
      <c r="W164" s="283"/>
      <c r="X164" s="283"/>
      <c r="Y164" s="283"/>
    </row>
    <row r="165">
      <c r="A165" s="375"/>
      <c r="B165" s="375" t="s">
        <v>7375</v>
      </c>
      <c r="C165" s="375" t="s">
        <v>1395</v>
      </c>
      <c r="D165" s="375" t="s">
        <v>2813</v>
      </c>
      <c r="E165" s="375" t="s">
        <v>2814</v>
      </c>
      <c r="F165" s="375" t="s">
        <v>7589</v>
      </c>
      <c r="G165" s="375">
        <v>1.0</v>
      </c>
      <c r="H165" s="375"/>
      <c r="I165" s="375" t="s">
        <v>255</v>
      </c>
      <c r="J165" s="375"/>
      <c r="K165" s="375" t="s">
        <v>2815</v>
      </c>
      <c r="L165" s="375"/>
      <c r="M165" s="375" t="str">
        <f t="shared" ref="M165:M166" si="2">D165&amp;" "&amp;E165</f>
        <v>Kolby Crosby</v>
      </c>
      <c r="N165" s="375"/>
      <c r="O165" s="375" t="str">
        <f t="array" ref="O165">XLOOKUP(M165,'Recruiting Form Responses'!C:C,'Recruiting Form Responses'!A:A,"",0,1)</f>
        <v/>
      </c>
      <c r="P165" s="378"/>
      <c r="Q165" s="375" t="s">
        <v>7377</v>
      </c>
      <c r="R165" s="375"/>
      <c r="S165" s="375" t="s">
        <v>7388</v>
      </c>
      <c r="T165" s="375" t="s">
        <v>7590</v>
      </c>
      <c r="U165" s="375"/>
      <c r="V165" s="375"/>
      <c r="W165" s="283"/>
      <c r="X165" s="283"/>
      <c r="Y165" s="283"/>
    </row>
    <row r="166">
      <c r="A166" s="377">
        <v>45858.0</v>
      </c>
      <c r="B166" s="375" t="s">
        <v>7375</v>
      </c>
      <c r="C166" s="375" t="s">
        <v>1395</v>
      </c>
      <c r="D166" s="375" t="s">
        <v>1158</v>
      </c>
      <c r="E166" s="375" t="s">
        <v>5722</v>
      </c>
      <c r="F166" s="375" t="s">
        <v>7591</v>
      </c>
      <c r="G166" s="375">
        <v>1.0</v>
      </c>
      <c r="H166" s="283"/>
      <c r="I166" s="375" t="s">
        <v>307</v>
      </c>
      <c r="J166" s="283"/>
      <c r="K166" s="375" t="s">
        <v>5723</v>
      </c>
      <c r="L166" s="375">
        <v>4.0</v>
      </c>
      <c r="M166" s="375" t="str">
        <f t="shared" si="2"/>
        <v>Quinn Rooney</v>
      </c>
      <c r="N166" s="283"/>
      <c r="O166" s="375" t="str">
        <f t="array" ref="O166">XLOOKUP(M166,'Recruiting Form Responses'!C:C,'Recruiting Form Responses'!A:A,"",0,1)</f>
        <v>XX</v>
      </c>
      <c r="P166" s="378"/>
      <c r="Q166" s="375" t="s">
        <v>7377</v>
      </c>
      <c r="R166" s="375"/>
      <c r="S166" s="375" t="s">
        <v>7388</v>
      </c>
      <c r="T166" s="375" t="s">
        <v>7592</v>
      </c>
      <c r="U166" s="283"/>
      <c r="V166" s="375"/>
      <c r="W166" s="283"/>
      <c r="X166" s="283"/>
      <c r="Y166" s="283"/>
    </row>
    <row r="167">
      <c r="A167" s="283"/>
      <c r="B167" s="375" t="s">
        <v>7586</v>
      </c>
      <c r="C167" s="375" t="s">
        <v>1395</v>
      </c>
      <c r="D167" s="375" t="s">
        <v>673</v>
      </c>
      <c r="E167" s="375" t="s">
        <v>5012</v>
      </c>
      <c r="F167" s="283" t="s">
        <v>7450</v>
      </c>
      <c r="G167" s="375">
        <v>1.0</v>
      </c>
      <c r="H167" s="283"/>
      <c r="I167" s="283"/>
      <c r="J167" s="283"/>
      <c r="K167" s="283"/>
      <c r="L167" s="283"/>
      <c r="M167" s="283"/>
      <c r="N167" s="375">
        <v>9.495477048E9</v>
      </c>
      <c r="O167" s="375" t="str">
        <f t="array" ref="O167">XLOOKUP(M167,'Recruiting Form Responses'!C:C,'Recruiting Form Responses'!A:A,"",0,1)</f>
        <v/>
      </c>
      <c r="P167" s="378"/>
      <c r="Q167" s="375" t="s">
        <v>7377</v>
      </c>
      <c r="R167" s="283"/>
      <c r="S167" s="375" t="s">
        <v>27</v>
      </c>
      <c r="T167" s="375" t="s">
        <v>7593</v>
      </c>
      <c r="U167" s="283"/>
      <c r="V167" s="283"/>
      <c r="W167" s="375"/>
      <c r="X167" s="375"/>
      <c r="Y167" s="375"/>
    </row>
    <row r="168">
      <c r="A168" s="283"/>
      <c r="B168" s="375" t="s">
        <v>7586</v>
      </c>
      <c r="C168" s="375" t="s">
        <v>1395</v>
      </c>
      <c r="D168" s="375" t="s">
        <v>7594</v>
      </c>
      <c r="E168" s="375" t="s">
        <v>5599</v>
      </c>
      <c r="F168" s="283" t="s">
        <v>7424</v>
      </c>
      <c r="G168" s="375">
        <v>1.0</v>
      </c>
      <c r="H168" s="283"/>
      <c r="I168" s="283"/>
      <c r="J168" s="283"/>
      <c r="K168" s="283"/>
      <c r="L168" s="283"/>
      <c r="M168" s="283"/>
      <c r="N168" s="375" t="s">
        <v>5601</v>
      </c>
      <c r="O168" s="375" t="str">
        <f t="array" ref="O168">XLOOKUP(M168,'Recruiting Form Responses'!C:C,'Recruiting Form Responses'!A:A,"",0,1)</f>
        <v/>
      </c>
      <c r="P168" s="378"/>
      <c r="Q168" s="375" t="s">
        <v>7377</v>
      </c>
      <c r="R168" s="283"/>
      <c r="S168" s="375" t="s">
        <v>7595</v>
      </c>
      <c r="T168" s="283"/>
      <c r="U168" s="283"/>
      <c r="V168" s="283"/>
      <c r="W168" s="375"/>
      <c r="X168" s="375"/>
      <c r="Y168" s="375"/>
    </row>
    <row r="169">
      <c r="A169" s="283"/>
      <c r="B169" s="375" t="s">
        <v>7586</v>
      </c>
      <c r="C169" s="375" t="s">
        <v>1395</v>
      </c>
      <c r="D169" s="375" t="s">
        <v>5983</v>
      </c>
      <c r="E169" s="375" t="s">
        <v>5984</v>
      </c>
      <c r="F169" s="283" t="s">
        <v>7424</v>
      </c>
      <c r="G169" s="375">
        <v>1.0</v>
      </c>
      <c r="H169" s="283"/>
      <c r="I169" s="283"/>
      <c r="J169" s="283"/>
      <c r="K169" s="283"/>
      <c r="L169" s="283"/>
      <c r="M169" s="283"/>
      <c r="N169" s="375">
        <v>8.054533219E9</v>
      </c>
      <c r="O169" s="375" t="str">
        <f t="array" ref="O169">XLOOKUP(M169,'Recruiting Form Responses'!C:C,'Recruiting Form Responses'!A:A,"",0,1)</f>
        <v/>
      </c>
      <c r="P169" s="378"/>
      <c r="Q169" s="375" t="s">
        <v>7377</v>
      </c>
      <c r="R169" s="283"/>
      <c r="S169" s="375" t="s">
        <v>7404</v>
      </c>
      <c r="T169" s="283"/>
      <c r="U169" s="283"/>
      <c r="V169" s="283"/>
      <c r="W169" s="283"/>
      <c r="X169" s="283"/>
      <c r="Y169" s="283"/>
    </row>
    <row r="170">
      <c r="A170" s="377">
        <v>45855.0</v>
      </c>
      <c r="B170" s="375" t="s">
        <v>7372</v>
      </c>
      <c r="C170" s="375" t="s">
        <v>1395</v>
      </c>
      <c r="D170" s="375" t="s">
        <v>696</v>
      </c>
      <c r="E170" s="375" t="s">
        <v>4736</v>
      </c>
      <c r="F170" s="375" t="s">
        <v>7589</v>
      </c>
      <c r="G170" s="375">
        <v>1.0</v>
      </c>
      <c r="H170" s="375"/>
      <c r="I170" s="375" t="s">
        <v>255</v>
      </c>
      <c r="J170" s="375"/>
      <c r="K170" s="375" t="s">
        <v>2332</v>
      </c>
      <c r="L170" s="375"/>
      <c r="M170" s="375" t="str">
        <f>D170&amp;" "&amp;E170</f>
        <v>Cooper Ball</v>
      </c>
      <c r="N170" s="375" t="s">
        <v>7596</v>
      </c>
      <c r="O170" s="375" t="str">
        <f t="array" ref="O170">XLOOKUP(M170,'Recruiting Form Responses'!C:C,'Recruiting Form Responses'!A:A,"",0,1)</f>
        <v/>
      </c>
      <c r="P170" s="378"/>
      <c r="Q170" s="375"/>
      <c r="R170" s="375"/>
      <c r="S170" s="375"/>
      <c r="T170" s="375"/>
      <c r="U170" s="375"/>
      <c r="V170" s="283"/>
      <c r="W170" s="283"/>
      <c r="X170" s="283"/>
      <c r="Y170" s="283"/>
    </row>
    <row r="171">
      <c r="A171" s="283"/>
      <c r="B171" s="375" t="s">
        <v>7586</v>
      </c>
      <c r="C171" s="375" t="s">
        <v>1395</v>
      </c>
      <c r="D171" s="375" t="s">
        <v>517</v>
      </c>
      <c r="E171" s="375" t="s">
        <v>5174</v>
      </c>
      <c r="F171" s="283" t="s">
        <v>7478</v>
      </c>
      <c r="G171" s="375">
        <v>1.0</v>
      </c>
      <c r="H171" s="283"/>
      <c r="I171" s="283"/>
      <c r="J171" s="283"/>
      <c r="K171" s="283"/>
      <c r="L171" s="283"/>
      <c r="M171" s="283"/>
      <c r="N171" s="375">
        <v>7.145199594E9</v>
      </c>
      <c r="O171" s="375" t="str">
        <f t="array" ref="O171">XLOOKUP(M171,'Recruiting Form Responses'!C:C,'Recruiting Form Responses'!A:A,"",0,1)</f>
        <v/>
      </c>
      <c r="P171" s="378"/>
      <c r="Q171" s="283"/>
      <c r="R171" s="283"/>
      <c r="S171" s="283"/>
      <c r="T171" s="283"/>
      <c r="U171" s="283"/>
      <c r="V171" s="283"/>
      <c r="W171" s="283"/>
      <c r="X171" s="283"/>
      <c r="Y171" s="283"/>
    </row>
    <row r="172">
      <c r="A172" s="283"/>
      <c r="B172" s="375" t="s">
        <v>7586</v>
      </c>
      <c r="C172" s="375" t="s">
        <v>1395</v>
      </c>
      <c r="D172" s="375" t="s">
        <v>457</v>
      </c>
      <c r="E172" s="375" t="s">
        <v>5298</v>
      </c>
      <c r="F172" s="283" t="s">
        <v>7370</v>
      </c>
      <c r="G172" s="375">
        <v>1.0</v>
      </c>
      <c r="H172" s="283"/>
      <c r="I172" s="283"/>
      <c r="J172" s="283"/>
      <c r="K172" s="283"/>
      <c r="L172" s="283"/>
      <c r="M172" s="283"/>
      <c r="N172" s="375" t="s">
        <v>5302</v>
      </c>
      <c r="O172" s="375" t="str">
        <f t="array" ref="O172">XLOOKUP(M172,'Recruiting Form Responses'!C:C,'Recruiting Form Responses'!A:A,"",0,1)</f>
        <v/>
      </c>
      <c r="P172" s="378"/>
      <c r="Q172" s="283"/>
      <c r="R172" s="283"/>
      <c r="S172" s="283"/>
      <c r="T172" s="283"/>
      <c r="U172" s="283"/>
      <c r="V172" s="283"/>
      <c r="W172" s="283"/>
      <c r="X172" s="283"/>
      <c r="Y172" s="283"/>
    </row>
    <row r="173">
      <c r="A173" s="283"/>
      <c r="B173" s="375" t="s">
        <v>7586</v>
      </c>
      <c r="C173" s="375" t="s">
        <v>1395</v>
      </c>
      <c r="D173" s="375" t="s">
        <v>5551</v>
      </c>
      <c r="E173" s="375" t="s">
        <v>5552</v>
      </c>
      <c r="F173" s="283" t="s">
        <v>7493</v>
      </c>
      <c r="G173" s="375">
        <v>1.0</v>
      </c>
      <c r="H173" s="283"/>
      <c r="I173" s="283"/>
      <c r="J173" s="283"/>
      <c r="K173" s="283"/>
      <c r="L173" s="283"/>
      <c r="M173" s="283"/>
      <c r="N173" s="375">
        <v>6.507699294E9</v>
      </c>
      <c r="O173" s="375" t="str">
        <f t="array" ref="O173">XLOOKUP(M173,'Recruiting Form Responses'!C:C,'Recruiting Form Responses'!A:A,"",0,1)</f>
        <v/>
      </c>
      <c r="P173" s="378"/>
      <c r="Q173" s="283"/>
      <c r="R173" s="283"/>
      <c r="S173" s="283"/>
      <c r="T173" s="283"/>
      <c r="U173" s="283"/>
      <c r="V173" s="283"/>
      <c r="W173" s="283"/>
      <c r="X173" s="283"/>
      <c r="Y173" s="283"/>
    </row>
    <row r="174">
      <c r="A174" s="283"/>
      <c r="B174" s="375" t="s">
        <v>7586</v>
      </c>
      <c r="C174" s="375" t="s">
        <v>1395</v>
      </c>
      <c r="D174" s="375" t="s">
        <v>629</v>
      </c>
      <c r="E174" s="375" t="s">
        <v>4783</v>
      </c>
      <c r="F174" s="283" t="s">
        <v>7597</v>
      </c>
      <c r="G174" s="375">
        <v>1.0</v>
      </c>
      <c r="H174" s="283"/>
      <c r="I174" s="283"/>
      <c r="J174" s="283"/>
      <c r="K174" s="283"/>
      <c r="L174" s="283"/>
      <c r="M174" s="283"/>
      <c r="N174" s="375" t="s">
        <v>4785</v>
      </c>
      <c r="O174" s="375" t="str">
        <f t="array" ref="O174">XLOOKUP(M174,'Recruiting Form Responses'!C:C,'Recruiting Form Responses'!A:A,"",0,1)</f>
        <v/>
      </c>
      <c r="P174" s="378"/>
      <c r="Q174" s="283"/>
      <c r="R174" s="283"/>
      <c r="S174" s="283"/>
      <c r="T174" s="283"/>
      <c r="U174" s="283"/>
      <c r="V174" s="283"/>
      <c r="W174" s="283"/>
      <c r="X174" s="283"/>
      <c r="Y174" s="283"/>
    </row>
    <row r="175">
      <c r="A175" s="283"/>
      <c r="B175" s="375" t="s">
        <v>7586</v>
      </c>
      <c r="C175" s="375" t="s">
        <v>1395</v>
      </c>
      <c r="D175" s="375" t="s">
        <v>5320</v>
      </c>
      <c r="E175" s="375" t="s">
        <v>5321</v>
      </c>
      <c r="F175" s="283" t="s">
        <v>7450</v>
      </c>
      <c r="G175" s="375">
        <v>1.0</v>
      </c>
      <c r="H175" s="283"/>
      <c r="I175" s="283"/>
      <c r="J175" s="283"/>
      <c r="K175" s="283"/>
      <c r="L175" s="283"/>
      <c r="M175" s="283"/>
      <c r="N175" s="375">
        <v>9.51557136E9</v>
      </c>
      <c r="O175" s="375" t="str">
        <f t="array" ref="O175">XLOOKUP(M175,'Recruiting Form Responses'!C:C,'Recruiting Form Responses'!A:A,"",0,1)</f>
        <v/>
      </c>
      <c r="P175" s="378"/>
      <c r="Q175" s="283"/>
      <c r="R175" s="283"/>
      <c r="S175" s="283"/>
      <c r="T175" s="283"/>
      <c r="U175" s="283"/>
      <c r="V175" s="283"/>
      <c r="W175" s="283"/>
      <c r="X175" s="283"/>
      <c r="Y175" s="283"/>
    </row>
    <row r="176">
      <c r="A176" s="375"/>
      <c r="B176" s="375" t="s">
        <v>7375</v>
      </c>
      <c r="C176" s="375" t="s">
        <v>1395</v>
      </c>
      <c r="D176" s="375" t="s">
        <v>193</v>
      </c>
      <c r="E176" s="375" t="s">
        <v>3477</v>
      </c>
      <c r="F176" s="375" t="s">
        <v>7598</v>
      </c>
      <c r="G176" s="375">
        <v>2.0</v>
      </c>
      <c r="H176" s="283"/>
      <c r="I176" s="375" t="s">
        <v>255</v>
      </c>
      <c r="J176" s="283"/>
      <c r="K176" s="283"/>
      <c r="L176" s="375"/>
      <c r="M176" s="375" t="str">
        <f t="shared" ref="M176:M177" si="3">D176&amp;" "&amp;E176</f>
        <v>Aiden Cha</v>
      </c>
      <c r="N176" s="375"/>
      <c r="O176" s="375" t="str">
        <f t="array" ref="O176">XLOOKUP(M176,'Recruiting Form Responses'!C:C,'Recruiting Form Responses'!A:A,"",0,1)</f>
        <v/>
      </c>
      <c r="P176" s="378"/>
      <c r="Q176" s="375" t="s">
        <v>7366</v>
      </c>
      <c r="R176" s="375"/>
      <c r="S176" s="375"/>
      <c r="T176" s="375"/>
      <c r="U176" s="375"/>
      <c r="V176" s="283"/>
      <c r="W176" s="283"/>
      <c r="X176" s="283"/>
      <c r="Y176" s="283"/>
    </row>
    <row r="177">
      <c r="A177" s="375"/>
      <c r="B177" s="375" t="s">
        <v>7372</v>
      </c>
      <c r="C177" s="375" t="s">
        <v>1395</v>
      </c>
      <c r="D177" s="375" t="s">
        <v>1042</v>
      </c>
      <c r="E177" s="375" t="s">
        <v>3332</v>
      </c>
      <c r="F177" s="375" t="s">
        <v>7365</v>
      </c>
      <c r="G177" s="375">
        <v>2.0</v>
      </c>
      <c r="H177" s="375"/>
      <c r="I177" s="375" t="s">
        <v>180</v>
      </c>
      <c r="J177" s="375"/>
      <c r="K177" s="375"/>
      <c r="L177" s="375"/>
      <c r="M177" s="375" t="str">
        <f t="shared" si="3"/>
        <v>Luke Rafferty</v>
      </c>
      <c r="N177" s="375" t="s">
        <v>7599</v>
      </c>
      <c r="O177" s="375" t="str">
        <f t="array" ref="O177">XLOOKUP(M177,'Recruiting Form Responses'!C:C,'Recruiting Form Responses'!A:A,"",0,1)</f>
        <v/>
      </c>
      <c r="P177" s="378"/>
      <c r="Q177" s="375"/>
      <c r="R177" s="375"/>
      <c r="S177" s="375"/>
      <c r="T177" s="375"/>
      <c r="U177" s="375"/>
      <c r="V177" s="283"/>
      <c r="W177" s="283"/>
      <c r="X177" s="283"/>
      <c r="Y177" s="283"/>
    </row>
    <row r="178">
      <c r="A178" s="283"/>
      <c r="B178" s="375" t="s">
        <v>7586</v>
      </c>
      <c r="C178" s="375" t="s">
        <v>1395</v>
      </c>
      <c r="D178" s="375" t="s">
        <v>2088</v>
      </c>
      <c r="E178" s="375" t="s">
        <v>4750</v>
      </c>
      <c r="F178" s="283" t="s">
        <v>7424</v>
      </c>
      <c r="G178" s="375">
        <v>2.0</v>
      </c>
      <c r="H178" s="283"/>
      <c r="I178" s="283"/>
      <c r="J178" s="283"/>
      <c r="K178" s="283"/>
      <c r="L178" s="283"/>
      <c r="M178" s="283"/>
      <c r="N178" s="375">
        <v>8.185000841E9</v>
      </c>
      <c r="O178" s="375" t="str">
        <f t="array" ref="O178">XLOOKUP(M178,'Recruiting Form Responses'!C:C,'Recruiting Form Responses'!A:A,"",0,1)</f>
        <v/>
      </c>
      <c r="P178" s="378"/>
      <c r="Q178" s="283"/>
      <c r="R178" s="283"/>
      <c r="S178" s="283"/>
      <c r="T178" s="283"/>
      <c r="U178" s="283"/>
      <c r="V178" s="283"/>
      <c r="W178" s="283"/>
      <c r="X178" s="283"/>
      <c r="Y178" s="283"/>
    </row>
    <row r="179">
      <c r="A179" s="283"/>
      <c r="B179" s="375" t="s">
        <v>7586</v>
      </c>
      <c r="C179" s="375" t="s">
        <v>1395</v>
      </c>
      <c r="D179" s="375" t="s">
        <v>4891</v>
      </c>
      <c r="E179" s="375" t="s">
        <v>4892</v>
      </c>
      <c r="F179" s="283" t="s">
        <v>7478</v>
      </c>
      <c r="G179" s="375">
        <v>2.0</v>
      </c>
      <c r="H179" s="283"/>
      <c r="I179" s="283"/>
      <c r="J179" s="283"/>
      <c r="K179" s="283"/>
      <c r="L179" s="283"/>
      <c r="M179" s="283"/>
      <c r="N179" s="375">
        <v>7.148532492E9</v>
      </c>
      <c r="O179" s="375" t="str">
        <f t="array" ref="O179">XLOOKUP(M179,'Recruiting Form Responses'!C:C,'Recruiting Form Responses'!A:A,"",0,1)</f>
        <v/>
      </c>
      <c r="P179" s="378"/>
      <c r="Q179" s="283"/>
      <c r="R179" s="283"/>
      <c r="S179" s="283"/>
      <c r="T179" s="283"/>
      <c r="U179" s="283"/>
      <c r="V179" s="283"/>
      <c r="W179" s="283"/>
      <c r="X179" s="283"/>
      <c r="Y179" s="283"/>
    </row>
    <row r="180">
      <c r="A180" s="283"/>
      <c r="B180" s="375" t="s">
        <v>7586</v>
      </c>
      <c r="C180" s="375" t="s">
        <v>1395</v>
      </c>
      <c r="D180" s="375" t="s">
        <v>673</v>
      </c>
      <c r="E180" s="375" t="s">
        <v>5613</v>
      </c>
      <c r="F180" s="283" t="s">
        <v>7600</v>
      </c>
      <c r="G180" s="375">
        <v>2.0</v>
      </c>
      <c r="H180" s="283"/>
      <c r="I180" s="283"/>
      <c r="J180" s="283"/>
      <c r="K180" s="283"/>
      <c r="L180" s="283"/>
      <c r="M180" s="283"/>
      <c r="N180" s="375" t="s">
        <v>5616</v>
      </c>
      <c r="O180" s="375" t="str">
        <f t="array" ref="O180">XLOOKUP(M180,'Recruiting Form Responses'!C:C,'Recruiting Form Responses'!A:A,"",0,1)</f>
        <v/>
      </c>
      <c r="P180" s="378"/>
      <c r="Q180" s="283"/>
      <c r="R180" s="283"/>
      <c r="S180" s="283"/>
      <c r="T180" s="283"/>
      <c r="U180" s="283"/>
      <c r="V180" s="283"/>
      <c r="W180" s="283"/>
      <c r="X180" s="283"/>
      <c r="Y180" s="283"/>
    </row>
    <row r="181">
      <c r="A181" s="283"/>
      <c r="B181" s="375" t="s">
        <v>7586</v>
      </c>
      <c r="C181" s="375" t="s">
        <v>1395</v>
      </c>
      <c r="D181" s="375" t="s">
        <v>535</v>
      </c>
      <c r="E181" s="375" t="s">
        <v>3162</v>
      </c>
      <c r="F181" s="283" t="s">
        <v>7493</v>
      </c>
      <c r="G181" s="375">
        <v>2.0</v>
      </c>
      <c r="H181" s="283"/>
      <c r="I181" s="283"/>
      <c r="J181" s="283"/>
      <c r="K181" s="283"/>
      <c r="L181" s="283"/>
      <c r="M181" s="283"/>
      <c r="N181" s="375" t="s">
        <v>3166</v>
      </c>
      <c r="O181" s="375" t="str">
        <f t="array" ref="O181">XLOOKUP(M181,'Recruiting Form Responses'!C:C,'Recruiting Form Responses'!A:A,"",0,1)</f>
        <v/>
      </c>
      <c r="P181" s="378"/>
      <c r="Q181" s="283"/>
      <c r="R181" s="283"/>
      <c r="S181" s="283"/>
      <c r="T181" s="283"/>
      <c r="U181" s="283"/>
      <c r="V181" s="283"/>
      <c r="W181" s="283"/>
      <c r="X181" s="283"/>
      <c r="Y181" s="283"/>
    </row>
    <row r="182">
      <c r="A182" s="283"/>
      <c r="B182" s="375" t="s">
        <v>7586</v>
      </c>
      <c r="C182" s="375" t="s">
        <v>1395</v>
      </c>
      <c r="D182" s="375" t="s">
        <v>5344</v>
      </c>
      <c r="E182" s="375" t="s">
        <v>7601</v>
      </c>
      <c r="F182" s="283" t="s">
        <v>7424</v>
      </c>
      <c r="G182" s="375">
        <v>2.0</v>
      </c>
      <c r="H182" s="283"/>
      <c r="I182" s="283"/>
      <c r="J182" s="283"/>
      <c r="K182" s="283"/>
      <c r="L182" s="283"/>
      <c r="M182" s="283"/>
      <c r="N182" s="375" t="s">
        <v>7602</v>
      </c>
      <c r="O182" s="375" t="str">
        <f t="array" ref="O182">XLOOKUP(M182,'Recruiting Form Responses'!C:C,'Recruiting Form Responses'!A:A,"",0,1)</f>
        <v/>
      </c>
      <c r="P182" s="378"/>
      <c r="Q182" s="283"/>
      <c r="R182" s="283"/>
      <c r="S182" s="283"/>
      <c r="T182" s="283"/>
      <c r="U182" s="283"/>
      <c r="V182" s="283"/>
      <c r="W182" s="283"/>
      <c r="X182" s="283"/>
      <c r="Y182" s="283"/>
    </row>
    <row r="183">
      <c r="A183" s="283"/>
      <c r="B183" s="375" t="s">
        <v>7375</v>
      </c>
      <c r="C183" s="375" t="s">
        <v>1470</v>
      </c>
      <c r="D183" s="375" t="s">
        <v>172</v>
      </c>
      <c r="E183" s="375" t="s">
        <v>2633</v>
      </c>
      <c r="F183" s="375"/>
      <c r="G183" s="375">
        <v>1.0</v>
      </c>
      <c r="H183" s="283"/>
      <c r="I183" s="375" t="s">
        <v>195</v>
      </c>
      <c r="J183" s="283"/>
      <c r="K183" s="283"/>
      <c r="L183" s="283"/>
      <c r="M183" s="375" t="str">
        <f>D183&amp;" "&amp;E183</f>
        <v>Sam Reed</v>
      </c>
      <c r="N183" s="283"/>
      <c r="O183" s="375" t="str">
        <f t="array" ref="O183">XLOOKUP(M183,'Recruiting Form Responses'!C:C,'Recruiting Form Responses'!A:A,"",0,1)</f>
        <v/>
      </c>
      <c r="P183" s="378"/>
      <c r="Q183" s="375"/>
      <c r="R183" s="375"/>
      <c r="S183" s="375"/>
      <c r="T183" s="375"/>
      <c r="U183" s="375" t="s">
        <v>1463</v>
      </c>
      <c r="V183" s="283"/>
      <c r="W183" s="283"/>
      <c r="X183" s="283"/>
      <c r="Y183" s="283"/>
    </row>
    <row r="184">
      <c r="A184" s="283"/>
      <c r="B184" s="283"/>
      <c r="C184" s="375"/>
      <c r="D184" s="375"/>
      <c r="E184" s="375"/>
      <c r="F184" s="283"/>
      <c r="G184" s="283"/>
      <c r="H184" s="283"/>
      <c r="I184" s="283"/>
      <c r="J184" s="283"/>
      <c r="K184" s="283"/>
      <c r="L184" s="283"/>
      <c r="M184" s="283"/>
      <c r="N184" s="283"/>
      <c r="O184" s="375" t="str">
        <f t="array" ref="O184">XLOOKUP(M184,'Recruiting Form Responses'!C:C,'Recruiting Form Responses'!A:A,"",0,1)</f>
        <v/>
      </c>
      <c r="P184" s="378"/>
      <c r="Q184" s="283"/>
      <c r="R184" s="283"/>
      <c r="S184" s="283"/>
      <c r="T184" s="283"/>
      <c r="U184" s="283"/>
      <c r="V184" s="283"/>
      <c r="W184" s="283"/>
      <c r="X184" s="283"/>
      <c r="Y184" s="283"/>
    </row>
    <row r="185">
      <c r="A185" s="283"/>
      <c r="B185" s="283"/>
      <c r="C185" s="375"/>
      <c r="D185" s="375"/>
      <c r="E185" s="375"/>
      <c r="F185" s="283"/>
      <c r="G185" s="283"/>
      <c r="H185" s="283"/>
      <c r="I185" s="283"/>
      <c r="J185" s="283"/>
      <c r="K185" s="283"/>
      <c r="L185" s="283"/>
      <c r="M185" s="283"/>
      <c r="N185" s="283"/>
      <c r="O185" s="375" t="str">
        <f t="array" ref="O185">XLOOKUP(M185,'Recruiting Form Responses'!C:C,'Recruiting Form Responses'!A:A,"",0,1)</f>
        <v/>
      </c>
      <c r="P185" s="378"/>
      <c r="Q185" s="283"/>
      <c r="R185" s="283"/>
      <c r="S185" s="283"/>
      <c r="T185" s="283"/>
      <c r="U185" s="283"/>
      <c r="V185" s="283"/>
      <c r="W185" s="283"/>
      <c r="X185" s="283"/>
      <c r="Y185" s="283"/>
    </row>
    <row r="186">
      <c r="A186" s="283"/>
      <c r="B186" s="283"/>
      <c r="C186" s="375"/>
      <c r="D186" s="375"/>
      <c r="E186" s="375"/>
      <c r="F186" s="283"/>
      <c r="G186" s="283"/>
      <c r="H186" s="283"/>
      <c r="I186" s="283"/>
      <c r="J186" s="283"/>
      <c r="K186" s="283"/>
      <c r="L186" s="283"/>
      <c r="M186" s="283"/>
      <c r="N186" s="283"/>
      <c r="O186" s="375" t="str">
        <f t="array" ref="O186">XLOOKUP(M186,'Recruiting Form Responses'!C:C,'Recruiting Form Responses'!A:A,"",0,1)</f>
        <v/>
      </c>
      <c r="P186" s="378"/>
      <c r="Q186" s="283"/>
      <c r="R186" s="283"/>
      <c r="S186" s="283"/>
      <c r="T186" s="283"/>
      <c r="U186" s="283"/>
      <c r="V186" s="283"/>
      <c r="W186" s="283"/>
      <c r="X186" s="283"/>
      <c r="Y186" s="283"/>
    </row>
    <row r="187">
      <c r="A187" s="283"/>
      <c r="B187" s="283"/>
      <c r="C187" s="375"/>
      <c r="D187" s="375"/>
      <c r="E187" s="375"/>
      <c r="F187" s="283"/>
      <c r="G187" s="283"/>
      <c r="H187" s="283"/>
      <c r="I187" s="283"/>
      <c r="J187" s="283"/>
      <c r="K187" s="283"/>
      <c r="L187" s="283"/>
      <c r="M187" s="283"/>
      <c r="N187" s="283"/>
      <c r="O187" s="375" t="str">
        <f t="array" ref="O187">XLOOKUP(M187,'Recruiting Form Responses'!C:C,'Recruiting Form Responses'!A:A,"",0,1)</f>
        <v/>
      </c>
      <c r="P187" s="378"/>
      <c r="Q187" s="283"/>
      <c r="R187" s="283"/>
      <c r="S187" s="283"/>
      <c r="T187" s="283"/>
      <c r="U187" s="283"/>
      <c r="V187" s="283"/>
      <c r="W187" s="283"/>
      <c r="X187" s="283"/>
      <c r="Y187" s="283"/>
    </row>
    <row r="188">
      <c r="A188" s="283"/>
      <c r="B188" s="283"/>
      <c r="C188" s="283"/>
      <c r="D188" s="283"/>
      <c r="E188" s="283"/>
      <c r="F188" s="283"/>
      <c r="G188" s="283"/>
      <c r="H188" s="283"/>
      <c r="I188" s="283"/>
      <c r="J188" s="283"/>
      <c r="K188" s="283"/>
      <c r="L188" s="283"/>
      <c r="M188" s="283"/>
      <c r="N188" s="283"/>
      <c r="O188" s="375" t="str">
        <f t="array" ref="O188">XLOOKUP(M188,'Recruiting Form Responses'!C:C,'Recruiting Form Responses'!A:A,"",0,1)</f>
        <v/>
      </c>
      <c r="P188" s="378"/>
      <c r="Q188" s="283"/>
      <c r="R188" s="283"/>
      <c r="S188" s="283"/>
      <c r="T188" s="283"/>
      <c r="U188" s="283"/>
      <c r="V188" s="283"/>
      <c r="W188" s="283"/>
      <c r="X188" s="283"/>
      <c r="Y188" s="283"/>
    </row>
    <row r="189">
      <c r="A189" s="283"/>
      <c r="B189" s="283"/>
      <c r="C189" s="283"/>
      <c r="D189" s="283"/>
      <c r="E189" s="283"/>
      <c r="F189" s="283"/>
      <c r="G189" s="283"/>
      <c r="H189" s="283"/>
      <c r="I189" s="283"/>
      <c r="J189" s="283"/>
      <c r="K189" s="283"/>
      <c r="L189" s="283"/>
      <c r="M189" s="283"/>
      <c r="N189" s="283"/>
      <c r="O189" s="375" t="str">
        <f t="array" ref="O189">XLOOKUP(M189,'Recruiting Form Responses'!C:C,'Recruiting Form Responses'!A:A,"",0,1)</f>
        <v/>
      </c>
      <c r="P189" s="378"/>
      <c r="Q189" s="283"/>
      <c r="R189" s="283"/>
      <c r="S189" s="283"/>
      <c r="T189" s="283"/>
      <c r="U189" s="283"/>
      <c r="V189" s="283"/>
      <c r="W189" s="283"/>
      <c r="X189" s="283"/>
      <c r="Y189" s="283"/>
    </row>
    <row r="190">
      <c r="A190" s="283"/>
      <c r="B190" s="283"/>
      <c r="C190" s="283"/>
      <c r="D190" s="283"/>
      <c r="E190" s="283"/>
      <c r="F190" s="283"/>
      <c r="G190" s="283"/>
      <c r="H190" s="283"/>
      <c r="I190" s="283"/>
      <c r="J190" s="283"/>
      <c r="K190" s="283"/>
      <c r="L190" s="283"/>
      <c r="M190" s="283"/>
      <c r="N190" s="283"/>
      <c r="O190" s="375" t="str">
        <f t="array" ref="O190">XLOOKUP(M190,'Recruiting Form Responses'!C:C,'Recruiting Form Responses'!A:A,"",0,1)</f>
        <v/>
      </c>
      <c r="P190" s="378"/>
      <c r="Q190" s="283"/>
      <c r="R190" s="283"/>
      <c r="S190" s="283"/>
      <c r="T190" s="283"/>
      <c r="U190" s="283"/>
      <c r="V190" s="283"/>
      <c r="W190" s="283"/>
      <c r="X190" s="283"/>
      <c r="Y190" s="283"/>
    </row>
    <row r="191">
      <c r="A191" s="283"/>
      <c r="B191" s="283"/>
      <c r="C191" s="283"/>
      <c r="D191" s="283"/>
      <c r="E191" s="283"/>
      <c r="F191" s="283"/>
      <c r="G191" s="283"/>
      <c r="H191" s="283"/>
      <c r="I191" s="283"/>
      <c r="J191" s="283"/>
      <c r="K191" s="283"/>
      <c r="L191" s="283"/>
      <c r="M191" s="283"/>
      <c r="N191" s="283"/>
      <c r="O191" s="375" t="str">
        <f t="array" ref="O191">XLOOKUP(M191,'Recruiting Form Responses'!C:C,'Recruiting Form Responses'!A:A,"",0,1)</f>
        <v/>
      </c>
      <c r="P191" s="378"/>
      <c r="Q191" s="283"/>
      <c r="R191" s="283"/>
      <c r="S191" s="283"/>
      <c r="T191" s="283"/>
      <c r="U191" s="283"/>
      <c r="V191" s="283"/>
      <c r="W191" s="283"/>
      <c r="X191" s="283"/>
      <c r="Y191" s="283"/>
    </row>
    <row r="192">
      <c r="A192" s="283"/>
      <c r="B192" s="283"/>
      <c r="C192" s="283"/>
      <c r="D192" s="283"/>
      <c r="E192" s="283"/>
      <c r="F192" s="283"/>
      <c r="G192" s="283"/>
      <c r="H192" s="283"/>
      <c r="I192" s="283"/>
      <c r="J192" s="283"/>
      <c r="K192" s="283"/>
      <c r="L192" s="283"/>
      <c r="M192" s="283"/>
      <c r="N192" s="283"/>
      <c r="O192" s="375" t="str">
        <f t="array" ref="O192">XLOOKUP(M192,'Recruiting Form Responses'!C:C,'Recruiting Form Responses'!A:A,"",0,1)</f>
        <v/>
      </c>
      <c r="P192" s="378"/>
      <c r="Q192" s="283"/>
      <c r="R192" s="283"/>
      <c r="S192" s="283"/>
      <c r="T192" s="283"/>
      <c r="U192" s="283"/>
      <c r="V192" s="283"/>
      <c r="W192" s="283"/>
      <c r="X192" s="283"/>
      <c r="Y192" s="283"/>
    </row>
    <row r="193">
      <c r="A193" s="283"/>
      <c r="B193" s="283"/>
      <c r="C193" s="283"/>
      <c r="D193" s="283"/>
      <c r="E193" s="283"/>
      <c r="F193" s="283"/>
      <c r="G193" s="283"/>
      <c r="H193" s="283"/>
      <c r="I193" s="283"/>
      <c r="J193" s="283"/>
      <c r="K193" s="283"/>
      <c r="L193" s="283"/>
      <c r="M193" s="283"/>
      <c r="N193" s="283"/>
      <c r="O193" s="375" t="str">
        <f t="array" ref="O193">XLOOKUP(M193,'Recruiting Form Responses'!C:C,'Recruiting Form Responses'!A:A,"",0,1)</f>
        <v/>
      </c>
      <c r="P193" s="378"/>
      <c r="Q193" s="283"/>
      <c r="R193" s="283"/>
      <c r="S193" s="283"/>
      <c r="T193" s="283"/>
      <c r="U193" s="283"/>
      <c r="V193" s="283"/>
      <c r="W193" s="283"/>
      <c r="X193" s="283"/>
      <c r="Y193" s="283"/>
    </row>
    <row r="194">
      <c r="A194" s="283"/>
      <c r="B194" s="283"/>
      <c r="C194" s="283"/>
      <c r="D194" s="283"/>
      <c r="E194" s="283"/>
      <c r="F194" s="283"/>
      <c r="G194" s="283"/>
      <c r="H194" s="283"/>
      <c r="I194" s="283"/>
      <c r="J194" s="283"/>
      <c r="K194" s="283"/>
      <c r="L194" s="283"/>
      <c r="M194" s="283"/>
      <c r="N194" s="283"/>
      <c r="O194" s="375" t="str">
        <f t="array" ref="O194">XLOOKUP(M194,'Recruiting Form Responses'!C:C,'Recruiting Form Responses'!A:A,"",0,1)</f>
        <v/>
      </c>
      <c r="P194" s="378"/>
      <c r="Q194" s="283"/>
      <c r="R194" s="283"/>
      <c r="S194" s="283"/>
      <c r="T194" s="283"/>
      <c r="U194" s="283"/>
      <c r="V194" s="283"/>
      <c r="W194" s="283"/>
      <c r="X194" s="283"/>
      <c r="Y194" s="283"/>
    </row>
    <row r="195">
      <c r="A195" s="283"/>
      <c r="B195" s="283"/>
      <c r="C195" s="283"/>
      <c r="D195" s="283"/>
      <c r="E195" s="283"/>
      <c r="F195" s="283"/>
      <c r="G195" s="283"/>
      <c r="H195" s="283"/>
      <c r="I195" s="283"/>
      <c r="J195" s="283"/>
      <c r="K195" s="283"/>
      <c r="L195" s="283"/>
      <c r="M195" s="283"/>
      <c r="N195" s="283"/>
      <c r="O195" s="375" t="str">
        <f t="array" ref="O195">XLOOKUP(M195,'Recruiting Form Responses'!C:C,'Recruiting Form Responses'!A:A,"",0,1)</f>
        <v/>
      </c>
      <c r="P195" s="378"/>
      <c r="Q195" s="283"/>
      <c r="R195" s="283"/>
      <c r="S195" s="283"/>
      <c r="T195" s="283"/>
      <c r="U195" s="283"/>
      <c r="V195" s="283"/>
      <c r="W195" s="283"/>
      <c r="X195" s="283"/>
      <c r="Y195" s="283"/>
    </row>
    <row r="196">
      <c r="A196" s="283"/>
      <c r="B196" s="283"/>
      <c r="C196" s="283"/>
      <c r="D196" s="283"/>
      <c r="E196" s="283"/>
      <c r="F196" s="283"/>
      <c r="G196" s="283"/>
      <c r="H196" s="283"/>
      <c r="I196" s="283"/>
      <c r="J196" s="283"/>
      <c r="K196" s="283"/>
      <c r="L196" s="283"/>
      <c r="M196" s="283"/>
      <c r="N196" s="283"/>
      <c r="O196" s="375" t="str">
        <f t="array" ref="O196">XLOOKUP(M196,'Recruiting Form Responses'!C:C,'Recruiting Form Responses'!A:A,"",0,1)</f>
        <v/>
      </c>
      <c r="P196" s="378"/>
      <c r="Q196" s="283"/>
      <c r="R196" s="283"/>
      <c r="S196" s="283"/>
      <c r="T196" s="283"/>
      <c r="U196" s="283"/>
      <c r="V196" s="283"/>
      <c r="W196" s="283"/>
      <c r="X196" s="283"/>
      <c r="Y196" s="283"/>
    </row>
    <row r="197">
      <c r="A197" s="283"/>
      <c r="B197" s="283"/>
      <c r="C197" s="283"/>
      <c r="D197" s="283"/>
      <c r="E197" s="283"/>
      <c r="F197" s="283"/>
      <c r="G197" s="283"/>
      <c r="H197" s="283"/>
      <c r="I197" s="283"/>
      <c r="J197" s="283"/>
      <c r="K197" s="283"/>
      <c r="L197" s="283"/>
      <c r="M197" s="283"/>
      <c r="N197" s="283"/>
      <c r="O197" s="375" t="str">
        <f t="array" ref="O197">XLOOKUP(M197,'Recruiting Form Responses'!C:C,'Recruiting Form Responses'!A:A,"",0,1)</f>
        <v/>
      </c>
      <c r="P197" s="378"/>
      <c r="Q197" s="283"/>
      <c r="R197" s="283"/>
      <c r="S197" s="283"/>
      <c r="T197" s="283"/>
      <c r="U197" s="283"/>
      <c r="V197" s="283"/>
      <c r="W197" s="283"/>
      <c r="X197" s="283"/>
      <c r="Y197" s="283"/>
    </row>
    <row r="198">
      <c r="A198" s="283"/>
      <c r="B198" s="283"/>
      <c r="C198" s="283"/>
      <c r="D198" s="283"/>
      <c r="E198" s="283"/>
      <c r="F198" s="283"/>
      <c r="G198" s="283"/>
      <c r="H198" s="283"/>
      <c r="I198" s="283"/>
      <c r="J198" s="283"/>
      <c r="K198" s="283"/>
      <c r="L198" s="283"/>
      <c r="M198" s="283"/>
      <c r="N198" s="283"/>
      <c r="O198" s="375" t="str">
        <f t="array" ref="O198">XLOOKUP(M198,'Recruiting Form Responses'!C:C,'Recruiting Form Responses'!A:A,"",0,1)</f>
        <v/>
      </c>
      <c r="P198" s="378"/>
      <c r="Q198" s="283"/>
      <c r="R198" s="283"/>
      <c r="S198" s="283"/>
      <c r="T198" s="283"/>
      <c r="U198" s="283"/>
      <c r="V198" s="283"/>
      <c r="W198" s="283"/>
      <c r="X198" s="283"/>
      <c r="Y198" s="283"/>
    </row>
    <row r="199">
      <c r="A199" s="283"/>
      <c r="B199" s="283"/>
      <c r="C199" s="283"/>
      <c r="D199" s="283"/>
      <c r="E199" s="283"/>
      <c r="F199" s="283"/>
      <c r="G199" s="283"/>
      <c r="H199" s="283"/>
      <c r="I199" s="283"/>
      <c r="J199" s="283"/>
      <c r="K199" s="283"/>
      <c r="L199" s="283"/>
      <c r="M199" s="283"/>
      <c r="N199" s="283"/>
      <c r="O199" s="375" t="str">
        <f t="array" ref="O199">XLOOKUP(M199,'Recruiting Form Responses'!C:C,'Recruiting Form Responses'!A:A,"",0,1)</f>
        <v/>
      </c>
      <c r="P199" s="378"/>
      <c r="Q199" s="283"/>
      <c r="R199" s="283"/>
      <c r="S199" s="283"/>
      <c r="T199" s="283"/>
      <c r="U199" s="283"/>
      <c r="V199" s="283"/>
      <c r="W199" s="283"/>
      <c r="X199" s="283"/>
      <c r="Y199" s="283"/>
    </row>
    <row r="200">
      <c r="A200" s="283"/>
      <c r="B200" s="283"/>
      <c r="C200" s="283"/>
      <c r="D200" s="283"/>
      <c r="E200" s="283"/>
      <c r="F200" s="283"/>
      <c r="G200" s="283"/>
      <c r="H200" s="283"/>
      <c r="I200" s="283"/>
      <c r="J200" s="283"/>
      <c r="K200" s="283"/>
      <c r="L200" s="283"/>
      <c r="M200" s="283"/>
      <c r="N200" s="283"/>
      <c r="O200" s="375" t="str">
        <f t="array" ref="O200">XLOOKUP(M200,'Recruiting Form Responses'!C:C,'Recruiting Form Responses'!A:A,"",0,1)</f>
        <v/>
      </c>
      <c r="P200" s="378"/>
      <c r="Q200" s="283"/>
      <c r="R200" s="283"/>
      <c r="S200" s="283"/>
      <c r="T200" s="283"/>
      <c r="U200" s="283"/>
      <c r="V200" s="283"/>
      <c r="W200" s="283"/>
      <c r="X200" s="283"/>
      <c r="Y200" s="283"/>
    </row>
    <row r="201">
      <c r="A201" s="283"/>
      <c r="B201" s="283"/>
      <c r="C201" s="283"/>
      <c r="D201" s="283"/>
      <c r="E201" s="283"/>
      <c r="F201" s="283"/>
      <c r="G201" s="283"/>
      <c r="H201" s="283"/>
      <c r="I201" s="283"/>
      <c r="J201" s="283"/>
      <c r="K201" s="283"/>
      <c r="L201" s="283"/>
      <c r="M201" s="283"/>
      <c r="N201" s="283"/>
      <c r="O201" s="375" t="str">
        <f t="array" ref="O201">XLOOKUP(M201,'Recruiting Form Responses'!C:C,'Recruiting Form Responses'!A:A,"",0,1)</f>
        <v/>
      </c>
      <c r="P201" s="378"/>
      <c r="Q201" s="283"/>
      <c r="R201" s="283"/>
      <c r="S201" s="283"/>
      <c r="T201" s="283"/>
      <c r="U201" s="283"/>
      <c r="V201" s="283"/>
      <c r="W201" s="283"/>
      <c r="X201" s="283"/>
      <c r="Y201" s="283"/>
    </row>
    <row r="202">
      <c r="A202" s="283"/>
      <c r="B202" s="283"/>
      <c r="C202" s="283"/>
      <c r="D202" s="283"/>
      <c r="E202" s="283"/>
      <c r="F202" s="283"/>
      <c r="G202" s="283"/>
      <c r="H202" s="283"/>
      <c r="I202" s="283"/>
      <c r="J202" s="283"/>
      <c r="K202" s="283"/>
      <c r="L202" s="283"/>
      <c r="M202" s="283"/>
      <c r="N202" s="283"/>
      <c r="O202" s="375" t="str">
        <f t="array" ref="O202">XLOOKUP(M202,'Recruiting Form Responses'!C:C,'Recruiting Form Responses'!A:A,"",0,1)</f>
        <v/>
      </c>
      <c r="P202" s="378"/>
      <c r="Q202" s="283"/>
      <c r="R202" s="283"/>
      <c r="S202" s="283"/>
      <c r="T202" s="283"/>
      <c r="U202" s="283"/>
      <c r="V202" s="283"/>
      <c r="W202" s="283"/>
      <c r="X202" s="283"/>
      <c r="Y202" s="283"/>
    </row>
    <row r="203">
      <c r="A203" s="283"/>
      <c r="B203" s="283"/>
      <c r="C203" s="283"/>
      <c r="D203" s="283"/>
      <c r="E203" s="283"/>
      <c r="F203" s="283"/>
      <c r="G203" s="283"/>
      <c r="H203" s="283"/>
      <c r="I203" s="283"/>
      <c r="J203" s="283"/>
      <c r="K203" s="283"/>
      <c r="L203" s="283"/>
      <c r="M203" s="283"/>
      <c r="N203" s="283"/>
      <c r="O203" s="375" t="str">
        <f t="array" ref="O203">XLOOKUP(M203,'Recruiting Form Responses'!C:C,'Recruiting Form Responses'!A:A,"",0,1)</f>
        <v/>
      </c>
      <c r="P203" s="378"/>
      <c r="Q203" s="283"/>
      <c r="R203" s="283"/>
      <c r="S203" s="283"/>
      <c r="T203" s="283"/>
      <c r="U203" s="283"/>
      <c r="V203" s="283"/>
      <c r="W203" s="283"/>
      <c r="X203" s="283"/>
      <c r="Y203" s="283"/>
    </row>
    <row r="204">
      <c r="A204" s="283"/>
      <c r="B204" s="283"/>
      <c r="C204" s="283"/>
      <c r="D204" s="283"/>
      <c r="E204" s="283"/>
      <c r="F204" s="283"/>
      <c r="G204" s="283"/>
      <c r="H204" s="283"/>
      <c r="I204" s="283"/>
      <c r="J204" s="283"/>
      <c r="K204" s="283"/>
      <c r="L204" s="283"/>
      <c r="M204" s="283"/>
      <c r="N204" s="283"/>
      <c r="O204" s="375" t="str">
        <f t="array" ref="O204">XLOOKUP(M204,'Recruiting Form Responses'!C:C,'Recruiting Form Responses'!A:A,"",0,1)</f>
        <v/>
      </c>
      <c r="P204" s="378"/>
      <c r="Q204" s="283"/>
      <c r="R204" s="283"/>
      <c r="S204" s="283"/>
      <c r="T204" s="283"/>
      <c r="U204" s="283"/>
      <c r="V204" s="283"/>
      <c r="W204" s="283"/>
      <c r="X204" s="283"/>
      <c r="Y204" s="283"/>
    </row>
    <row r="205">
      <c r="A205" s="283"/>
      <c r="B205" s="283"/>
      <c r="C205" s="283"/>
      <c r="D205" s="283"/>
      <c r="E205" s="283"/>
      <c r="F205" s="283"/>
      <c r="G205" s="283"/>
      <c r="H205" s="283"/>
      <c r="I205" s="283"/>
      <c r="J205" s="283"/>
      <c r="K205" s="283"/>
      <c r="L205" s="283"/>
      <c r="M205" s="283"/>
      <c r="N205" s="283"/>
      <c r="O205" s="375" t="str">
        <f t="array" ref="O205">XLOOKUP(M205,'Recruiting Form Responses'!C:C,'Recruiting Form Responses'!A:A,"",0,1)</f>
        <v/>
      </c>
      <c r="P205" s="378"/>
      <c r="Q205" s="283"/>
      <c r="R205" s="283"/>
      <c r="S205" s="283"/>
      <c r="T205" s="283"/>
      <c r="U205" s="283"/>
      <c r="V205" s="283"/>
      <c r="W205" s="283"/>
      <c r="X205" s="283"/>
      <c r="Y205" s="283"/>
    </row>
    <row r="206">
      <c r="A206" s="283"/>
      <c r="B206" s="283"/>
      <c r="C206" s="283"/>
      <c r="D206" s="283"/>
      <c r="E206" s="283"/>
      <c r="F206" s="283"/>
      <c r="G206" s="283"/>
      <c r="H206" s="283"/>
      <c r="I206" s="283"/>
      <c r="J206" s="283"/>
      <c r="K206" s="283"/>
      <c r="L206" s="283"/>
      <c r="M206" s="283"/>
      <c r="N206" s="283"/>
      <c r="O206" s="375" t="str">
        <f t="array" ref="O206">XLOOKUP(M206,'Recruiting Form Responses'!C:C,'Recruiting Form Responses'!A:A,"",0,1)</f>
        <v/>
      </c>
      <c r="P206" s="378"/>
      <c r="Q206" s="283"/>
      <c r="R206" s="283"/>
      <c r="S206" s="283"/>
      <c r="T206" s="283"/>
      <c r="U206" s="283"/>
      <c r="V206" s="283"/>
      <c r="W206" s="283"/>
      <c r="X206" s="283"/>
      <c r="Y206" s="283"/>
    </row>
    <row r="207">
      <c r="A207" s="283"/>
      <c r="B207" s="283"/>
      <c r="C207" s="283"/>
      <c r="D207" s="283"/>
      <c r="E207" s="283"/>
      <c r="F207" s="283"/>
      <c r="G207" s="283"/>
      <c r="H207" s="283"/>
      <c r="I207" s="283"/>
      <c r="J207" s="283"/>
      <c r="K207" s="283"/>
      <c r="L207" s="283"/>
      <c r="M207" s="283"/>
      <c r="N207" s="283"/>
      <c r="O207" s="375" t="str">
        <f t="array" ref="O207">XLOOKUP(M207,'Recruiting Form Responses'!C:C,'Recruiting Form Responses'!A:A,"",0,1)</f>
        <v/>
      </c>
      <c r="P207" s="378"/>
      <c r="Q207" s="283"/>
      <c r="R207" s="283"/>
      <c r="S207" s="283"/>
      <c r="T207" s="283"/>
      <c r="U207" s="283"/>
      <c r="V207" s="283"/>
      <c r="W207" s="283"/>
      <c r="X207" s="283"/>
      <c r="Y207" s="283"/>
    </row>
    <row r="208">
      <c r="A208" s="283"/>
      <c r="B208" s="283"/>
      <c r="C208" s="283"/>
      <c r="D208" s="283"/>
      <c r="E208" s="283"/>
      <c r="F208" s="283"/>
      <c r="G208" s="283"/>
      <c r="H208" s="283"/>
      <c r="I208" s="283"/>
      <c r="J208" s="283"/>
      <c r="K208" s="283"/>
      <c r="L208" s="283"/>
      <c r="M208" s="283"/>
      <c r="N208" s="283"/>
      <c r="O208" s="375" t="str">
        <f t="array" ref="O208">XLOOKUP(M208,'Recruiting Form Responses'!C:C,'Recruiting Form Responses'!A:A,"",0,1)</f>
        <v/>
      </c>
      <c r="P208" s="378"/>
      <c r="Q208" s="283"/>
      <c r="R208" s="283"/>
      <c r="S208" s="283"/>
      <c r="T208" s="283"/>
      <c r="U208" s="283"/>
      <c r="V208" s="283"/>
      <c r="W208" s="283"/>
      <c r="X208" s="283"/>
      <c r="Y208" s="283"/>
    </row>
    <row r="209">
      <c r="A209" s="283"/>
      <c r="B209" s="283"/>
      <c r="C209" s="283"/>
      <c r="D209" s="283"/>
      <c r="E209" s="283"/>
      <c r="F209" s="283"/>
      <c r="G209" s="283"/>
      <c r="H209" s="283"/>
      <c r="I209" s="283"/>
      <c r="J209" s="283"/>
      <c r="K209" s="283"/>
      <c r="L209" s="283"/>
      <c r="M209" s="283"/>
      <c r="N209" s="283"/>
      <c r="O209" s="375" t="str">
        <f t="array" ref="O209">XLOOKUP(M209,'Recruiting Form Responses'!C:C,'Recruiting Form Responses'!A:A,"",0,1)</f>
        <v/>
      </c>
      <c r="P209" s="378"/>
      <c r="Q209" s="283"/>
      <c r="R209" s="283"/>
      <c r="S209" s="283"/>
      <c r="T209" s="283"/>
      <c r="U209" s="283"/>
      <c r="V209" s="283"/>
      <c r="W209" s="283"/>
      <c r="X209" s="283"/>
      <c r="Y209" s="283"/>
    </row>
    <row r="210">
      <c r="A210" s="283"/>
      <c r="B210" s="283"/>
      <c r="C210" s="283"/>
      <c r="D210" s="283"/>
      <c r="E210" s="283"/>
      <c r="F210" s="283"/>
      <c r="G210" s="283"/>
      <c r="H210" s="283"/>
      <c r="I210" s="283"/>
      <c r="J210" s="283"/>
      <c r="K210" s="283"/>
      <c r="L210" s="283"/>
      <c r="M210" s="283"/>
      <c r="N210" s="283"/>
      <c r="O210" s="375" t="str">
        <f t="array" ref="O210">XLOOKUP(M210,'Recruiting Form Responses'!C:C,'Recruiting Form Responses'!A:A,"",0,1)</f>
        <v/>
      </c>
      <c r="P210" s="378"/>
      <c r="Q210" s="283"/>
      <c r="R210" s="283"/>
      <c r="S210" s="283"/>
      <c r="T210" s="283"/>
      <c r="U210" s="283"/>
      <c r="V210" s="283"/>
      <c r="W210" s="283"/>
      <c r="X210" s="283"/>
      <c r="Y210" s="283"/>
    </row>
    <row r="211">
      <c r="A211" s="283"/>
      <c r="B211" s="283"/>
      <c r="C211" s="283"/>
      <c r="D211" s="283"/>
      <c r="E211" s="283"/>
      <c r="F211" s="283"/>
      <c r="G211" s="283"/>
      <c r="H211" s="283"/>
      <c r="I211" s="283"/>
      <c r="J211" s="283"/>
      <c r="K211" s="283"/>
      <c r="L211" s="283"/>
      <c r="M211" s="283"/>
      <c r="N211" s="283"/>
      <c r="O211" s="375" t="str">
        <f t="array" ref="O211">XLOOKUP(M211,'Recruiting Form Responses'!C:C,'Recruiting Form Responses'!A:A,"",0,1)</f>
        <v/>
      </c>
      <c r="P211" s="378"/>
      <c r="Q211" s="283"/>
      <c r="R211" s="283"/>
      <c r="S211" s="283"/>
      <c r="T211" s="283"/>
      <c r="U211" s="283"/>
      <c r="V211" s="283"/>
      <c r="W211" s="283"/>
      <c r="X211" s="283"/>
      <c r="Y211" s="283"/>
    </row>
    <row r="212">
      <c r="A212" s="283"/>
      <c r="B212" s="283"/>
      <c r="C212" s="283"/>
      <c r="D212" s="283"/>
      <c r="E212" s="283"/>
      <c r="F212" s="283"/>
      <c r="G212" s="283"/>
      <c r="H212" s="283"/>
      <c r="I212" s="283"/>
      <c r="J212" s="283"/>
      <c r="K212" s="283"/>
      <c r="L212" s="283"/>
      <c r="M212" s="283"/>
      <c r="N212" s="283"/>
      <c r="O212" s="375" t="str">
        <f t="array" ref="O212">XLOOKUP(M212,'Recruiting Form Responses'!C:C,'Recruiting Form Responses'!A:A,"",0,1)</f>
        <v/>
      </c>
      <c r="P212" s="378"/>
      <c r="Q212" s="283"/>
      <c r="R212" s="283"/>
      <c r="S212" s="283"/>
      <c r="T212" s="283"/>
      <c r="U212" s="283"/>
      <c r="V212" s="283"/>
      <c r="W212" s="283"/>
      <c r="X212" s="283"/>
      <c r="Y212" s="283"/>
    </row>
    <row r="213">
      <c r="A213" s="283"/>
      <c r="B213" s="283"/>
      <c r="C213" s="283"/>
      <c r="D213" s="283"/>
      <c r="E213" s="283"/>
      <c r="F213" s="283"/>
      <c r="G213" s="283"/>
      <c r="H213" s="283"/>
      <c r="I213" s="283"/>
      <c r="J213" s="283"/>
      <c r="K213" s="283"/>
      <c r="L213" s="283"/>
      <c r="M213" s="283"/>
      <c r="N213" s="283"/>
      <c r="O213" s="375" t="str">
        <f t="array" ref="O213">XLOOKUP(M213,'Recruiting Form Responses'!C:C,'Recruiting Form Responses'!A:A,"",0,1)</f>
        <v/>
      </c>
      <c r="P213" s="378"/>
      <c r="Q213" s="283"/>
      <c r="R213" s="283"/>
      <c r="S213" s="283"/>
      <c r="T213" s="283"/>
      <c r="U213" s="283"/>
      <c r="V213" s="283"/>
      <c r="W213" s="283"/>
      <c r="X213" s="283"/>
      <c r="Y213" s="283"/>
    </row>
    <row r="214">
      <c r="A214" s="283"/>
      <c r="B214" s="283"/>
      <c r="C214" s="283"/>
      <c r="D214" s="283"/>
      <c r="E214" s="283"/>
      <c r="F214" s="283"/>
      <c r="G214" s="283"/>
      <c r="H214" s="283"/>
      <c r="I214" s="283"/>
      <c r="J214" s="283"/>
      <c r="K214" s="283"/>
      <c r="L214" s="283"/>
      <c r="M214" s="283"/>
      <c r="N214" s="283"/>
      <c r="O214" s="375" t="str">
        <f t="array" ref="O214">XLOOKUP(M214,'Recruiting Form Responses'!C:C,'Recruiting Form Responses'!A:A,"",0,1)</f>
        <v/>
      </c>
      <c r="P214" s="378"/>
      <c r="Q214" s="283"/>
      <c r="R214" s="283"/>
      <c r="S214" s="283"/>
      <c r="T214" s="283"/>
      <c r="U214" s="283"/>
      <c r="V214" s="283"/>
      <c r="W214" s="283"/>
      <c r="X214" s="283"/>
      <c r="Y214" s="283"/>
    </row>
    <row r="215">
      <c r="A215" s="283"/>
      <c r="B215" s="283"/>
      <c r="C215" s="283"/>
      <c r="D215" s="283"/>
      <c r="E215" s="283"/>
      <c r="F215" s="283"/>
      <c r="G215" s="283"/>
      <c r="H215" s="283"/>
      <c r="I215" s="283"/>
      <c r="J215" s="283"/>
      <c r="K215" s="283"/>
      <c r="L215" s="283"/>
      <c r="M215" s="283"/>
      <c r="N215" s="283"/>
      <c r="O215" s="375" t="str">
        <f t="array" ref="O215">XLOOKUP(M215,'Recruiting Form Responses'!C:C,'Recruiting Form Responses'!A:A,"",0,1)</f>
        <v/>
      </c>
      <c r="P215" s="378"/>
      <c r="Q215" s="283"/>
      <c r="R215" s="283"/>
      <c r="S215" s="283"/>
      <c r="T215" s="283"/>
      <c r="U215" s="283"/>
      <c r="V215" s="283"/>
      <c r="W215" s="283"/>
      <c r="X215" s="283"/>
      <c r="Y215" s="283"/>
    </row>
    <row r="216">
      <c r="A216" s="283"/>
      <c r="B216" s="283"/>
      <c r="C216" s="283"/>
      <c r="D216" s="283"/>
      <c r="E216" s="283"/>
      <c r="F216" s="283"/>
      <c r="G216" s="283"/>
      <c r="H216" s="283"/>
      <c r="I216" s="283"/>
      <c r="J216" s="283"/>
      <c r="K216" s="283"/>
      <c r="L216" s="283"/>
      <c r="M216" s="283"/>
      <c r="N216" s="283"/>
      <c r="O216" s="375" t="str">
        <f t="array" ref="O216">XLOOKUP(M216,'Recruiting Form Responses'!C:C,'Recruiting Form Responses'!A:A,"",0,1)</f>
        <v/>
      </c>
      <c r="P216" s="378"/>
      <c r="Q216" s="283"/>
      <c r="R216" s="283"/>
      <c r="S216" s="283"/>
      <c r="T216" s="283"/>
      <c r="U216" s="283"/>
      <c r="V216" s="283"/>
      <c r="W216" s="283"/>
      <c r="X216" s="283"/>
      <c r="Y216" s="283"/>
    </row>
    <row r="217">
      <c r="A217" s="283"/>
      <c r="B217" s="283"/>
      <c r="C217" s="283"/>
      <c r="D217" s="283"/>
      <c r="E217" s="283"/>
      <c r="F217" s="283"/>
      <c r="G217" s="283"/>
      <c r="H217" s="283"/>
      <c r="I217" s="283"/>
      <c r="J217" s="283"/>
      <c r="K217" s="283"/>
      <c r="L217" s="283"/>
      <c r="M217" s="283"/>
      <c r="N217" s="283"/>
      <c r="O217" s="375" t="str">
        <f t="array" ref="O217">XLOOKUP(M217,'Recruiting Form Responses'!C:C,'Recruiting Form Responses'!A:A,"",0,1)</f>
        <v/>
      </c>
      <c r="P217" s="378"/>
      <c r="Q217" s="283"/>
      <c r="R217" s="283"/>
      <c r="S217" s="283"/>
      <c r="T217" s="283"/>
      <c r="U217" s="283"/>
      <c r="V217" s="283"/>
      <c r="W217" s="283"/>
      <c r="X217" s="283"/>
      <c r="Y217" s="283"/>
    </row>
    <row r="218">
      <c r="A218" s="283"/>
      <c r="B218" s="283"/>
      <c r="C218" s="283"/>
      <c r="D218" s="283"/>
      <c r="E218" s="283"/>
      <c r="F218" s="283"/>
      <c r="G218" s="283"/>
      <c r="H218" s="283"/>
      <c r="I218" s="283"/>
      <c r="J218" s="283"/>
      <c r="K218" s="283"/>
      <c r="L218" s="283"/>
      <c r="M218" s="283"/>
      <c r="N218" s="283"/>
      <c r="O218" s="375" t="str">
        <f t="array" ref="O218">XLOOKUP(M218,'Recruiting Form Responses'!C:C,'Recruiting Form Responses'!A:A,"",0,1)</f>
        <v/>
      </c>
      <c r="P218" s="378"/>
      <c r="Q218" s="283"/>
      <c r="R218" s="283"/>
      <c r="S218" s="283"/>
      <c r="T218" s="283"/>
      <c r="U218" s="283"/>
      <c r="V218" s="283"/>
      <c r="W218" s="283"/>
      <c r="X218" s="283"/>
      <c r="Y218" s="283"/>
    </row>
    <row r="219">
      <c r="A219" s="283"/>
      <c r="B219" s="283"/>
      <c r="C219" s="283"/>
      <c r="D219" s="283"/>
      <c r="E219" s="283"/>
      <c r="F219" s="283"/>
      <c r="G219" s="283"/>
      <c r="H219" s="283"/>
      <c r="I219" s="283"/>
      <c r="J219" s="283"/>
      <c r="K219" s="283"/>
      <c r="L219" s="283"/>
      <c r="M219" s="283"/>
      <c r="N219" s="283"/>
      <c r="O219" s="375" t="str">
        <f t="array" ref="O219">XLOOKUP(M219,'Recruiting Form Responses'!C:C,'Recruiting Form Responses'!A:A,"",0,1)</f>
        <v/>
      </c>
      <c r="P219" s="378"/>
      <c r="Q219" s="283"/>
      <c r="R219" s="283"/>
      <c r="S219" s="283"/>
      <c r="T219" s="283"/>
      <c r="U219" s="283"/>
      <c r="V219" s="283"/>
      <c r="W219" s="283"/>
      <c r="X219" s="283"/>
      <c r="Y219" s="283"/>
    </row>
    <row r="220">
      <c r="A220" s="283"/>
      <c r="B220" s="283"/>
      <c r="C220" s="283"/>
      <c r="D220" s="283"/>
      <c r="E220" s="283"/>
      <c r="F220" s="283"/>
      <c r="G220" s="283"/>
      <c r="H220" s="283"/>
      <c r="I220" s="283"/>
      <c r="J220" s="283"/>
      <c r="K220" s="283"/>
      <c r="L220" s="283"/>
      <c r="M220" s="283"/>
      <c r="N220" s="283"/>
      <c r="O220" s="375" t="str">
        <f t="array" ref="O220">XLOOKUP(M220,'Recruiting Form Responses'!C:C,'Recruiting Form Responses'!A:A,"",0,1)</f>
        <v/>
      </c>
      <c r="P220" s="378"/>
      <c r="Q220" s="283"/>
      <c r="R220" s="283"/>
      <c r="S220" s="283"/>
      <c r="T220" s="283"/>
      <c r="U220" s="283"/>
      <c r="V220" s="283"/>
      <c r="W220" s="283"/>
      <c r="X220" s="283"/>
      <c r="Y220" s="283"/>
    </row>
    <row r="221">
      <c r="A221" s="283"/>
      <c r="B221" s="283"/>
      <c r="C221" s="283"/>
      <c r="D221" s="283"/>
      <c r="E221" s="283"/>
      <c r="F221" s="283"/>
      <c r="G221" s="283"/>
      <c r="H221" s="283"/>
      <c r="I221" s="283"/>
      <c r="J221" s="283"/>
      <c r="K221" s="283"/>
      <c r="L221" s="283"/>
      <c r="M221" s="283"/>
      <c r="N221" s="283"/>
      <c r="O221" s="375" t="str">
        <f t="array" ref="O221">XLOOKUP(M221,'Recruiting Form Responses'!C:C,'Recruiting Form Responses'!A:A,"",0,1)</f>
        <v/>
      </c>
      <c r="P221" s="378"/>
      <c r="Q221" s="283"/>
      <c r="R221" s="283"/>
      <c r="S221" s="283"/>
      <c r="T221" s="283"/>
      <c r="U221" s="283"/>
      <c r="V221" s="283"/>
      <c r="W221" s="283"/>
      <c r="X221" s="283"/>
      <c r="Y221" s="283"/>
    </row>
    <row r="222">
      <c r="A222" s="283"/>
      <c r="B222" s="283"/>
      <c r="C222" s="283"/>
      <c r="D222" s="283"/>
      <c r="E222" s="283"/>
      <c r="F222" s="283"/>
      <c r="G222" s="283"/>
      <c r="H222" s="283"/>
      <c r="I222" s="283"/>
      <c r="J222" s="283"/>
      <c r="K222" s="283"/>
      <c r="L222" s="283"/>
      <c r="M222" s="283"/>
      <c r="N222" s="283"/>
      <c r="O222" s="375" t="str">
        <f t="array" ref="O222">XLOOKUP(M222,'Recruiting Form Responses'!C:C,'Recruiting Form Responses'!A:A,"",0,1)</f>
        <v/>
      </c>
      <c r="P222" s="378"/>
      <c r="Q222" s="283"/>
      <c r="R222" s="283"/>
      <c r="S222" s="283"/>
      <c r="T222" s="283"/>
      <c r="U222" s="283"/>
      <c r="V222" s="283"/>
      <c r="W222" s="283"/>
      <c r="X222" s="283"/>
      <c r="Y222" s="283"/>
    </row>
    <row r="223">
      <c r="A223" s="283"/>
      <c r="B223" s="283"/>
      <c r="C223" s="283"/>
      <c r="D223" s="283"/>
      <c r="E223" s="283"/>
      <c r="F223" s="283"/>
      <c r="G223" s="283"/>
      <c r="H223" s="283"/>
      <c r="I223" s="283"/>
      <c r="J223" s="283"/>
      <c r="K223" s="283"/>
      <c r="L223" s="283"/>
      <c r="M223" s="283"/>
      <c r="N223" s="283"/>
      <c r="O223" s="375" t="str">
        <f t="array" ref="O223">XLOOKUP(M223,'Recruiting Form Responses'!C:C,'Recruiting Form Responses'!A:A,"",0,1)</f>
        <v/>
      </c>
      <c r="P223" s="378"/>
      <c r="Q223" s="283"/>
      <c r="R223" s="283"/>
      <c r="S223" s="283"/>
      <c r="T223" s="283"/>
      <c r="U223" s="283"/>
      <c r="V223" s="283"/>
      <c r="W223" s="283"/>
      <c r="X223" s="283"/>
      <c r="Y223" s="283"/>
    </row>
    <row r="224">
      <c r="A224" s="283"/>
      <c r="B224" s="283"/>
      <c r="C224" s="283"/>
      <c r="D224" s="283"/>
      <c r="E224" s="283"/>
      <c r="F224" s="283"/>
      <c r="G224" s="283"/>
      <c r="H224" s="283"/>
      <c r="I224" s="283"/>
      <c r="J224" s="283"/>
      <c r="K224" s="283"/>
      <c r="L224" s="283"/>
      <c r="M224" s="283"/>
      <c r="N224" s="283"/>
      <c r="O224" s="375" t="str">
        <f t="array" ref="O224">XLOOKUP(M224,'Recruiting Form Responses'!C:C,'Recruiting Form Responses'!A:A,"",0,1)</f>
        <v/>
      </c>
      <c r="P224" s="378"/>
      <c r="Q224" s="283"/>
      <c r="R224" s="283"/>
      <c r="S224" s="283"/>
      <c r="T224" s="283"/>
      <c r="U224" s="283"/>
      <c r="V224" s="283"/>
      <c r="W224" s="283"/>
      <c r="X224" s="283"/>
      <c r="Y224" s="283"/>
    </row>
    <row r="225">
      <c r="A225" s="283"/>
      <c r="B225" s="283"/>
      <c r="C225" s="283"/>
      <c r="D225" s="283"/>
      <c r="E225" s="283"/>
      <c r="F225" s="283"/>
      <c r="G225" s="283"/>
      <c r="H225" s="283"/>
      <c r="I225" s="283"/>
      <c r="J225" s="283"/>
      <c r="K225" s="283"/>
      <c r="L225" s="283"/>
      <c r="M225" s="283"/>
      <c r="N225" s="283"/>
      <c r="O225" s="375" t="str">
        <f t="array" ref="O225">XLOOKUP(M225,'Recruiting Form Responses'!C:C,'Recruiting Form Responses'!A:A,"",0,1)</f>
        <v/>
      </c>
      <c r="P225" s="378"/>
      <c r="Q225" s="283"/>
      <c r="R225" s="283"/>
      <c r="S225" s="283"/>
      <c r="T225" s="283"/>
      <c r="U225" s="283"/>
      <c r="V225" s="283"/>
      <c r="W225" s="283"/>
      <c r="X225" s="283"/>
      <c r="Y225" s="283"/>
    </row>
    <row r="226">
      <c r="A226" s="283"/>
      <c r="B226" s="283"/>
      <c r="C226" s="283"/>
      <c r="D226" s="283"/>
      <c r="E226" s="283"/>
      <c r="F226" s="283"/>
      <c r="G226" s="283"/>
      <c r="H226" s="283"/>
      <c r="I226" s="283"/>
      <c r="J226" s="283"/>
      <c r="K226" s="283"/>
      <c r="L226" s="283"/>
      <c r="M226" s="283"/>
      <c r="N226" s="283"/>
      <c r="O226" s="375" t="str">
        <f t="array" ref="O226">XLOOKUP(M226,'Recruiting Form Responses'!C:C,'Recruiting Form Responses'!A:A,"",0,1)</f>
        <v/>
      </c>
      <c r="P226" s="378"/>
      <c r="Q226" s="283"/>
      <c r="R226" s="283"/>
      <c r="S226" s="283"/>
      <c r="T226" s="283"/>
      <c r="U226" s="283"/>
      <c r="V226" s="283"/>
      <c r="W226" s="283"/>
      <c r="X226" s="283"/>
      <c r="Y226" s="283"/>
    </row>
    <row r="227">
      <c r="A227" s="283"/>
      <c r="B227" s="283"/>
      <c r="C227" s="283"/>
      <c r="D227" s="283"/>
      <c r="E227" s="283"/>
      <c r="F227" s="283"/>
      <c r="G227" s="283"/>
      <c r="H227" s="283"/>
      <c r="I227" s="283"/>
      <c r="J227" s="283"/>
      <c r="K227" s="283"/>
      <c r="L227" s="283"/>
      <c r="M227" s="283"/>
      <c r="N227" s="283"/>
      <c r="O227" s="375" t="str">
        <f t="array" ref="O227">XLOOKUP(M227,'Recruiting Form Responses'!C:C,'Recruiting Form Responses'!A:A,"",0,1)</f>
        <v/>
      </c>
      <c r="P227" s="378"/>
      <c r="Q227" s="283"/>
      <c r="R227" s="283"/>
      <c r="S227" s="283"/>
      <c r="T227" s="283"/>
      <c r="U227" s="283"/>
      <c r="V227" s="283"/>
      <c r="W227" s="283"/>
      <c r="X227" s="283"/>
      <c r="Y227" s="283"/>
    </row>
    <row r="228">
      <c r="A228" s="283"/>
      <c r="B228" s="283"/>
      <c r="C228" s="283"/>
      <c r="D228" s="283"/>
      <c r="E228" s="283"/>
      <c r="F228" s="283"/>
      <c r="G228" s="283"/>
      <c r="H228" s="283"/>
      <c r="I228" s="283"/>
      <c r="J228" s="283"/>
      <c r="K228" s="283"/>
      <c r="L228" s="283"/>
      <c r="M228" s="283"/>
      <c r="N228" s="283"/>
      <c r="O228" s="375" t="str">
        <f t="array" ref="O228">XLOOKUP(M228,'Recruiting Form Responses'!C:C,'Recruiting Form Responses'!A:A,"",0,1)</f>
        <v/>
      </c>
      <c r="P228" s="378"/>
      <c r="Q228" s="283"/>
      <c r="R228" s="283"/>
      <c r="S228" s="283"/>
      <c r="T228" s="283"/>
      <c r="U228" s="283"/>
      <c r="V228" s="283"/>
      <c r="W228" s="283"/>
      <c r="X228" s="283"/>
      <c r="Y228" s="283"/>
    </row>
    <row r="229">
      <c r="A229" s="283"/>
      <c r="B229" s="283"/>
      <c r="C229" s="283"/>
      <c r="D229" s="283"/>
      <c r="E229" s="283"/>
      <c r="F229" s="283"/>
      <c r="G229" s="283"/>
      <c r="H229" s="283"/>
      <c r="I229" s="283"/>
      <c r="J229" s="283"/>
      <c r="K229" s="283"/>
      <c r="L229" s="283"/>
      <c r="M229" s="283"/>
      <c r="N229" s="283"/>
      <c r="O229" s="375" t="str">
        <f t="array" ref="O229">XLOOKUP(M229,'Recruiting Form Responses'!C:C,'Recruiting Form Responses'!A:A,"",0,1)</f>
        <v/>
      </c>
      <c r="P229" s="378"/>
      <c r="Q229" s="283"/>
      <c r="R229" s="283"/>
      <c r="S229" s="283"/>
      <c r="T229" s="283"/>
      <c r="U229" s="283"/>
      <c r="V229" s="283"/>
      <c r="W229" s="283"/>
      <c r="X229" s="283"/>
      <c r="Y229" s="283"/>
    </row>
    <row r="230">
      <c r="A230" s="283"/>
      <c r="B230" s="283"/>
      <c r="C230" s="283"/>
      <c r="D230" s="283"/>
      <c r="E230" s="283"/>
      <c r="F230" s="283"/>
      <c r="G230" s="283"/>
      <c r="H230" s="283"/>
      <c r="I230" s="283"/>
      <c r="J230" s="283"/>
      <c r="K230" s="283"/>
      <c r="L230" s="283"/>
      <c r="M230" s="283"/>
      <c r="N230" s="283"/>
      <c r="O230" s="375" t="str">
        <f t="array" ref="O230">XLOOKUP(M230,'Recruiting Form Responses'!C:C,'Recruiting Form Responses'!A:A,"",0,1)</f>
        <v/>
      </c>
      <c r="P230" s="378"/>
      <c r="Q230" s="283"/>
      <c r="R230" s="283"/>
      <c r="S230" s="283"/>
      <c r="T230" s="283"/>
      <c r="U230" s="283"/>
      <c r="V230" s="283"/>
      <c r="W230" s="283"/>
      <c r="X230" s="283"/>
      <c r="Y230" s="283"/>
    </row>
    <row r="231">
      <c r="A231" s="283"/>
      <c r="B231" s="283"/>
      <c r="C231" s="283"/>
      <c r="D231" s="283"/>
      <c r="E231" s="283"/>
      <c r="F231" s="283"/>
      <c r="G231" s="283"/>
      <c r="H231" s="283"/>
      <c r="I231" s="283"/>
      <c r="J231" s="283"/>
      <c r="K231" s="283"/>
      <c r="L231" s="283"/>
      <c r="M231" s="283"/>
      <c r="N231" s="283"/>
      <c r="O231" s="375" t="str">
        <f t="array" ref="O231">XLOOKUP(M231,'Recruiting Form Responses'!C:C,'Recruiting Form Responses'!A:A,"",0,1)</f>
        <v/>
      </c>
      <c r="P231" s="378"/>
      <c r="Q231" s="283"/>
      <c r="R231" s="283"/>
      <c r="S231" s="283"/>
      <c r="T231" s="283"/>
      <c r="U231" s="283"/>
      <c r="V231" s="283"/>
      <c r="W231" s="283"/>
      <c r="X231" s="283"/>
      <c r="Y231" s="283"/>
    </row>
    <row r="232">
      <c r="A232" s="283"/>
      <c r="B232" s="283"/>
      <c r="C232" s="283"/>
      <c r="D232" s="283"/>
      <c r="E232" s="283"/>
      <c r="F232" s="283"/>
      <c r="G232" s="283"/>
      <c r="H232" s="283"/>
      <c r="I232" s="283"/>
      <c r="J232" s="283"/>
      <c r="K232" s="283"/>
      <c r="L232" s="283"/>
      <c r="M232" s="283"/>
      <c r="N232" s="283"/>
      <c r="O232" s="375" t="str">
        <f t="array" ref="O232">XLOOKUP(M232,'Recruiting Form Responses'!C:C,'Recruiting Form Responses'!A:A,"",0,1)</f>
        <v/>
      </c>
      <c r="P232" s="378"/>
      <c r="Q232" s="283"/>
      <c r="R232" s="283"/>
      <c r="S232" s="283"/>
      <c r="T232" s="283"/>
      <c r="U232" s="283"/>
      <c r="V232" s="283"/>
      <c r="W232" s="283"/>
      <c r="X232" s="283"/>
      <c r="Y232" s="283"/>
    </row>
    <row r="233">
      <c r="A233" s="283"/>
      <c r="B233" s="283"/>
      <c r="C233" s="283"/>
      <c r="D233" s="283"/>
      <c r="E233" s="283"/>
      <c r="F233" s="283"/>
      <c r="G233" s="283"/>
      <c r="H233" s="283"/>
      <c r="I233" s="283"/>
      <c r="J233" s="283"/>
      <c r="K233" s="283"/>
      <c r="L233" s="283"/>
      <c r="M233" s="283"/>
      <c r="N233" s="283"/>
      <c r="O233" s="375" t="str">
        <f t="array" ref="O233">XLOOKUP(M233,'Recruiting Form Responses'!C:C,'Recruiting Form Responses'!A:A,"",0,1)</f>
        <v/>
      </c>
      <c r="P233" s="378"/>
      <c r="Q233" s="283"/>
      <c r="R233" s="283"/>
      <c r="S233" s="283"/>
      <c r="T233" s="283"/>
      <c r="U233" s="283"/>
      <c r="V233" s="283"/>
      <c r="W233" s="283"/>
      <c r="X233" s="283"/>
      <c r="Y233" s="283"/>
    </row>
    <row r="234">
      <c r="A234" s="283"/>
      <c r="B234" s="283"/>
      <c r="C234" s="283"/>
      <c r="D234" s="283"/>
      <c r="E234" s="283"/>
      <c r="F234" s="283"/>
      <c r="G234" s="283"/>
      <c r="H234" s="283"/>
      <c r="I234" s="283"/>
      <c r="J234" s="283"/>
      <c r="K234" s="283"/>
      <c r="L234" s="283"/>
      <c r="M234" s="283"/>
      <c r="N234" s="283"/>
      <c r="O234" s="375" t="str">
        <f t="array" ref="O234">XLOOKUP(M234,'Recruiting Form Responses'!C:C,'Recruiting Form Responses'!A:A,"",0,1)</f>
        <v/>
      </c>
      <c r="P234" s="378"/>
      <c r="Q234" s="283"/>
      <c r="R234" s="283"/>
      <c r="S234" s="283"/>
      <c r="T234" s="283"/>
      <c r="U234" s="283"/>
      <c r="V234" s="283"/>
      <c r="W234" s="283"/>
      <c r="X234" s="283"/>
      <c r="Y234" s="283"/>
    </row>
    <row r="235">
      <c r="A235" s="283"/>
      <c r="B235" s="283"/>
      <c r="C235" s="283"/>
      <c r="D235" s="283"/>
      <c r="E235" s="283"/>
      <c r="F235" s="283"/>
      <c r="G235" s="283"/>
      <c r="H235" s="283"/>
      <c r="I235" s="283"/>
      <c r="J235" s="283"/>
      <c r="K235" s="283"/>
      <c r="L235" s="283"/>
      <c r="M235" s="283"/>
      <c r="N235" s="283"/>
      <c r="O235" s="375" t="str">
        <f t="array" ref="O235">XLOOKUP(M235,'Recruiting Form Responses'!C:C,'Recruiting Form Responses'!A:A,"",0,1)</f>
        <v/>
      </c>
      <c r="P235" s="378"/>
      <c r="Q235" s="283"/>
      <c r="R235" s="283"/>
      <c r="S235" s="283"/>
      <c r="T235" s="283"/>
      <c r="U235" s="283"/>
      <c r="V235" s="283"/>
      <c r="W235" s="283"/>
      <c r="X235" s="283"/>
      <c r="Y235" s="283"/>
    </row>
    <row r="236">
      <c r="A236" s="283"/>
      <c r="B236" s="283"/>
      <c r="C236" s="283"/>
      <c r="D236" s="283"/>
      <c r="E236" s="283"/>
      <c r="F236" s="283"/>
      <c r="G236" s="283"/>
      <c r="H236" s="283"/>
      <c r="I236" s="283"/>
      <c r="J236" s="283"/>
      <c r="K236" s="283"/>
      <c r="L236" s="283"/>
      <c r="M236" s="283"/>
      <c r="N236" s="283"/>
      <c r="O236" s="375" t="str">
        <f t="array" ref="O236">XLOOKUP(M236,'Recruiting Form Responses'!C:C,'Recruiting Form Responses'!A:A,"",0,1)</f>
        <v/>
      </c>
      <c r="P236" s="378"/>
      <c r="Q236" s="283"/>
      <c r="R236" s="283"/>
      <c r="S236" s="283"/>
      <c r="T236" s="283"/>
      <c r="U236" s="283"/>
      <c r="V236" s="283"/>
      <c r="W236" s="283"/>
      <c r="X236" s="283"/>
      <c r="Y236" s="283"/>
    </row>
    <row r="237">
      <c r="A237" s="283"/>
      <c r="B237" s="283"/>
      <c r="C237" s="283"/>
      <c r="D237" s="283"/>
      <c r="E237" s="283"/>
      <c r="F237" s="283"/>
      <c r="G237" s="283"/>
      <c r="H237" s="283"/>
      <c r="I237" s="283"/>
      <c r="J237" s="283"/>
      <c r="K237" s="283"/>
      <c r="L237" s="283"/>
      <c r="M237" s="283"/>
      <c r="N237" s="283"/>
      <c r="O237" s="375" t="str">
        <f t="array" ref="O237">XLOOKUP(M237,'Recruiting Form Responses'!C:C,'Recruiting Form Responses'!A:A,"",0,1)</f>
        <v/>
      </c>
      <c r="P237" s="378"/>
      <c r="Q237" s="283"/>
      <c r="R237" s="283"/>
      <c r="S237" s="283"/>
      <c r="T237" s="283"/>
      <c r="U237" s="283"/>
      <c r="V237" s="283"/>
      <c r="W237" s="283"/>
      <c r="X237" s="283"/>
      <c r="Y237" s="283"/>
    </row>
    <row r="238">
      <c r="A238" s="283"/>
      <c r="B238" s="283"/>
      <c r="C238" s="283"/>
      <c r="D238" s="283"/>
      <c r="E238" s="283"/>
      <c r="F238" s="283"/>
      <c r="G238" s="283"/>
      <c r="H238" s="283"/>
      <c r="I238" s="283"/>
      <c r="J238" s="283"/>
      <c r="K238" s="283"/>
      <c r="L238" s="283"/>
      <c r="M238" s="283"/>
      <c r="N238" s="283"/>
      <c r="O238" s="375" t="str">
        <f t="array" ref="O238">XLOOKUP(M238,'Recruiting Form Responses'!C:C,'Recruiting Form Responses'!A:A,"",0,1)</f>
        <v/>
      </c>
      <c r="P238" s="378"/>
      <c r="Q238" s="283"/>
      <c r="R238" s="283"/>
      <c r="S238" s="283"/>
      <c r="T238" s="283"/>
      <c r="U238" s="283"/>
      <c r="V238" s="283"/>
      <c r="W238" s="283"/>
      <c r="X238" s="283"/>
      <c r="Y238" s="283"/>
    </row>
    <row r="239">
      <c r="A239" s="283"/>
      <c r="B239" s="283"/>
      <c r="C239" s="283"/>
      <c r="D239" s="283"/>
      <c r="E239" s="283"/>
      <c r="F239" s="283"/>
      <c r="G239" s="283"/>
      <c r="H239" s="283"/>
      <c r="I239" s="283"/>
      <c r="J239" s="283"/>
      <c r="K239" s="283"/>
      <c r="L239" s="283"/>
      <c r="M239" s="283"/>
      <c r="N239" s="283"/>
      <c r="O239" s="375" t="str">
        <f t="array" ref="O239">XLOOKUP(M239,'Recruiting Form Responses'!C:C,'Recruiting Form Responses'!A:A,"",0,1)</f>
        <v/>
      </c>
      <c r="P239" s="378"/>
      <c r="Q239" s="283"/>
      <c r="R239" s="283"/>
      <c r="S239" s="283"/>
      <c r="T239" s="283"/>
      <c r="U239" s="283"/>
      <c r="V239" s="283"/>
      <c r="W239" s="283"/>
      <c r="X239" s="283"/>
      <c r="Y239" s="283"/>
    </row>
    <row r="240">
      <c r="A240" s="283"/>
      <c r="B240" s="283"/>
      <c r="C240" s="283"/>
      <c r="D240" s="283"/>
      <c r="E240" s="283"/>
      <c r="F240" s="283"/>
      <c r="G240" s="283"/>
      <c r="H240" s="283"/>
      <c r="I240" s="283"/>
      <c r="J240" s="283"/>
      <c r="K240" s="283"/>
      <c r="L240" s="283"/>
      <c r="M240" s="283"/>
      <c r="N240" s="283"/>
      <c r="O240" s="375" t="str">
        <f t="array" ref="O240">XLOOKUP(M240,'Recruiting Form Responses'!C:C,'Recruiting Form Responses'!A:A,"",0,1)</f>
        <v/>
      </c>
      <c r="P240" s="378"/>
      <c r="Q240" s="283"/>
      <c r="R240" s="283"/>
      <c r="S240" s="283"/>
      <c r="T240" s="283"/>
      <c r="U240" s="283"/>
      <c r="V240" s="283"/>
      <c r="W240" s="283"/>
      <c r="X240" s="283"/>
      <c r="Y240" s="283"/>
    </row>
    <row r="241">
      <c r="A241" s="283"/>
      <c r="B241" s="283"/>
      <c r="C241" s="283"/>
      <c r="D241" s="283"/>
      <c r="E241" s="283"/>
      <c r="F241" s="283"/>
      <c r="G241" s="283"/>
      <c r="H241" s="283"/>
      <c r="I241" s="283"/>
      <c r="J241" s="283"/>
      <c r="K241" s="283"/>
      <c r="L241" s="283"/>
      <c r="M241" s="283"/>
      <c r="N241" s="283"/>
      <c r="O241" s="375" t="str">
        <f t="array" ref="O241">XLOOKUP(M241,'Recruiting Form Responses'!C:C,'Recruiting Form Responses'!A:A,"",0,1)</f>
        <v/>
      </c>
      <c r="P241" s="378"/>
      <c r="Q241" s="283"/>
      <c r="R241" s="283"/>
      <c r="S241" s="283"/>
      <c r="T241" s="283"/>
      <c r="U241" s="283"/>
      <c r="V241" s="283"/>
      <c r="W241" s="283"/>
      <c r="X241" s="283"/>
      <c r="Y241" s="283"/>
    </row>
    <row r="242">
      <c r="A242" s="283"/>
      <c r="B242" s="283"/>
      <c r="C242" s="283"/>
      <c r="D242" s="283"/>
      <c r="E242" s="283"/>
      <c r="F242" s="283"/>
      <c r="G242" s="283"/>
      <c r="H242" s="283"/>
      <c r="I242" s="283"/>
      <c r="J242" s="283"/>
      <c r="K242" s="283"/>
      <c r="L242" s="283"/>
      <c r="M242" s="283"/>
      <c r="N242" s="283"/>
      <c r="O242" s="375" t="str">
        <f t="array" ref="O242">XLOOKUP(M242,'Recruiting Form Responses'!C:C,'Recruiting Form Responses'!A:A,"",0,1)</f>
        <v/>
      </c>
      <c r="P242" s="378"/>
      <c r="Q242" s="283"/>
      <c r="R242" s="283"/>
      <c r="S242" s="283"/>
      <c r="T242" s="283"/>
      <c r="U242" s="283"/>
      <c r="V242" s="283"/>
      <c r="W242" s="283"/>
      <c r="X242" s="283"/>
      <c r="Y242" s="283"/>
    </row>
    <row r="243">
      <c r="A243" s="283"/>
      <c r="B243" s="283"/>
      <c r="C243" s="283"/>
      <c r="D243" s="283"/>
      <c r="E243" s="283"/>
      <c r="F243" s="283"/>
      <c r="G243" s="283"/>
      <c r="H243" s="283"/>
      <c r="I243" s="283"/>
      <c r="J243" s="283"/>
      <c r="K243" s="283"/>
      <c r="L243" s="283"/>
      <c r="M243" s="283"/>
      <c r="N243" s="283"/>
      <c r="O243" s="375" t="str">
        <f t="array" ref="O243">XLOOKUP(M243,'Recruiting Form Responses'!C:C,'Recruiting Form Responses'!A:A,"",0,1)</f>
        <v/>
      </c>
      <c r="P243" s="378"/>
      <c r="Q243" s="283"/>
      <c r="R243" s="283"/>
      <c r="S243" s="283"/>
      <c r="T243" s="283"/>
      <c r="U243" s="283"/>
      <c r="V243" s="283"/>
      <c r="W243" s="283"/>
      <c r="X243" s="283"/>
      <c r="Y243" s="283"/>
    </row>
    <row r="244">
      <c r="A244" s="283"/>
      <c r="B244" s="283"/>
      <c r="C244" s="283"/>
      <c r="D244" s="283"/>
      <c r="E244" s="283"/>
      <c r="F244" s="283"/>
      <c r="G244" s="283"/>
      <c r="H244" s="283"/>
      <c r="I244" s="283"/>
      <c r="J244" s="283"/>
      <c r="K244" s="283"/>
      <c r="L244" s="283"/>
      <c r="M244" s="283"/>
      <c r="N244" s="283"/>
      <c r="O244" s="375" t="str">
        <f t="array" ref="O244">XLOOKUP(M244,'Recruiting Form Responses'!C:C,'Recruiting Form Responses'!A:A,"",0,1)</f>
        <v/>
      </c>
      <c r="P244" s="378"/>
      <c r="Q244" s="283"/>
      <c r="R244" s="283"/>
      <c r="S244" s="283"/>
      <c r="T244" s="283"/>
      <c r="U244" s="283"/>
      <c r="V244" s="283"/>
      <c r="W244" s="283"/>
      <c r="X244" s="283"/>
      <c r="Y244" s="283"/>
    </row>
    <row r="245">
      <c r="A245" s="283"/>
      <c r="B245" s="283"/>
      <c r="C245" s="283"/>
      <c r="D245" s="283"/>
      <c r="E245" s="283"/>
      <c r="F245" s="283"/>
      <c r="G245" s="283"/>
      <c r="H245" s="283"/>
      <c r="I245" s="283"/>
      <c r="J245" s="283"/>
      <c r="K245" s="283"/>
      <c r="L245" s="283"/>
      <c r="M245" s="283"/>
      <c r="N245" s="283"/>
      <c r="O245" s="375" t="str">
        <f t="array" ref="O245">XLOOKUP(M245,'Recruiting Form Responses'!C:C,'Recruiting Form Responses'!A:A,"",0,1)</f>
        <v/>
      </c>
      <c r="P245" s="378"/>
      <c r="Q245" s="283"/>
      <c r="R245" s="283"/>
      <c r="S245" s="283"/>
      <c r="T245" s="283"/>
      <c r="U245" s="283"/>
      <c r="V245" s="283"/>
      <c r="W245" s="283"/>
      <c r="X245" s="283"/>
      <c r="Y245" s="283"/>
    </row>
    <row r="246">
      <c r="A246" s="283"/>
      <c r="B246" s="283"/>
      <c r="C246" s="283"/>
      <c r="D246" s="283"/>
      <c r="E246" s="283"/>
      <c r="F246" s="283"/>
      <c r="G246" s="283"/>
      <c r="H246" s="283"/>
      <c r="I246" s="283"/>
      <c r="J246" s="283"/>
      <c r="K246" s="283"/>
      <c r="L246" s="283"/>
      <c r="M246" s="283"/>
      <c r="N246" s="283"/>
      <c r="O246" s="375" t="str">
        <f t="array" ref="O246">XLOOKUP(M246,'Recruiting Form Responses'!C:C,'Recruiting Form Responses'!A:A,"",0,1)</f>
        <v/>
      </c>
      <c r="P246" s="378"/>
      <c r="Q246" s="283"/>
      <c r="R246" s="283"/>
      <c r="S246" s="283"/>
      <c r="T246" s="283"/>
      <c r="U246" s="283"/>
      <c r="V246" s="283"/>
      <c r="W246" s="283"/>
      <c r="X246" s="283"/>
      <c r="Y246" s="283"/>
    </row>
    <row r="247">
      <c r="A247" s="283"/>
      <c r="B247" s="283"/>
      <c r="C247" s="283"/>
      <c r="D247" s="283"/>
      <c r="E247" s="283"/>
      <c r="F247" s="283"/>
      <c r="G247" s="283"/>
      <c r="H247" s="283"/>
      <c r="I247" s="283"/>
      <c r="J247" s="283"/>
      <c r="K247" s="283"/>
      <c r="L247" s="283"/>
      <c r="M247" s="283"/>
      <c r="N247" s="283"/>
      <c r="O247" s="375" t="str">
        <f t="array" ref="O247">XLOOKUP(M247,'Recruiting Form Responses'!C:C,'Recruiting Form Responses'!A:A,"",0,1)</f>
        <v/>
      </c>
      <c r="P247" s="378"/>
      <c r="Q247" s="283"/>
      <c r="R247" s="283"/>
      <c r="S247" s="283"/>
      <c r="T247" s="283"/>
      <c r="U247" s="283"/>
      <c r="V247" s="283"/>
      <c r="W247" s="283"/>
      <c r="X247" s="283"/>
      <c r="Y247" s="283"/>
    </row>
    <row r="248">
      <c r="A248" s="283"/>
      <c r="B248" s="283"/>
      <c r="C248" s="283"/>
      <c r="D248" s="283"/>
      <c r="E248" s="283"/>
      <c r="F248" s="283"/>
      <c r="G248" s="283"/>
      <c r="H248" s="283"/>
      <c r="I248" s="283"/>
      <c r="J248" s="283"/>
      <c r="K248" s="283"/>
      <c r="L248" s="283"/>
      <c r="M248" s="283"/>
      <c r="N248" s="283"/>
      <c r="O248" s="375" t="str">
        <f t="array" ref="O248">XLOOKUP(M248,'Recruiting Form Responses'!C:C,'Recruiting Form Responses'!A:A,"",0,1)</f>
        <v/>
      </c>
      <c r="P248" s="378"/>
      <c r="Q248" s="283"/>
      <c r="R248" s="283"/>
      <c r="S248" s="283"/>
      <c r="T248" s="283"/>
      <c r="U248" s="283"/>
      <c r="V248" s="283"/>
      <c r="W248" s="283"/>
      <c r="X248" s="283"/>
      <c r="Y248" s="283"/>
    </row>
    <row r="249">
      <c r="A249" s="283"/>
      <c r="B249" s="283"/>
      <c r="C249" s="283"/>
      <c r="D249" s="283"/>
      <c r="E249" s="283"/>
      <c r="F249" s="283"/>
      <c r="G249" s="283"/>
      <c r="H249" s="283"/>
      <c r="I249" s="283"/>
      <c r="J249" s="283"/>
      <c r="K249" s="283"/>
      <c r="L249" s="283"/>
      <c r="M249" s="283"/>
      <c r="N249" s="283"/>
      <c r="O249" s="375" t="str">
        <f t="array" ref="O249">XLOOKUP(M249,'Recruiting Form Responses'!C:C,'Recruiting Form Responses'!A:A,"",0,1)</f>
        <v/>
      </c>
      <c r="P249" s="378"/>
      <c r="Q249" s="283"/>
      <c r="R249" s="283"/>
      <c r="S249" s="283"/>
      <c r="T249" s="283"/>
      <c r="U249" s="283"/>
      <c r="V249" s="283"/>
      <c r="W249" s="283"/>
      <c r="X249" s="283"/>
      <c r="Y249" s="283"/>
    </row>
    <row r="250">
      <c r="A250" s="283"/>
      <c r="B250" s="283"/>
      <c r="C250" s="283"/>
      <c r="D250" s="283"/>
      <c r="E250" s="283"/>
      <c r="F250" s="283"/>
      <c r="G250" s="283"/>
      <c r="H250" s="283"/>
      <c r="I250" s="283"/>
      <c r="J250" s="283"/>
      <c r="K250" s="283"/>
      <c r="L250" s="283"/>
      <c r="M250" s="283"/>
      <c r="N250" s="283"/>
      <c r="O250" s="375" t="str">
        <f t="array" ref="O250">XLOOKUP(M250,'Recruiting Form Responses'!C:C,'Recruiting Form Responses'!A:A,"",0,1)</f>
        <v/>
      </c>
      <c r="P250" s="378"/>
      <c r="Q250" s="283"/>
      <c r="R250" s="283"/>
      <c r="S250" s="283"/>
      <c r="T250" s="283"/>
      <c r="U250" s="283"/>
      <c r="V250" s="283"/>
      <c r="W250" s="283"/>
      <c r="X250" s="283"/>
      <c r="Y250" s="283"/>
    </row>
    <row r="251">
      <c r="A251" s="283"/>
      <c r="B251" s="283"/>
      <c r="C251" s="283"/>
      <c r="D251" s="283"/>
      <c r="E251" s="283"/>
      <c r="F251" s="283"/>
      <c r="G251" s="283"/>
      <c r="H251" s="283"/>
      <c r="I251" s="283"/>
      <c r="J251" s="283"/>
      <c r="K251" s="283"/>
      <c r="L251" s="283"/>
      <c r="M251" s="283"/>
      <c r="N251" s="283"/>
      <c r="O251" s="375" t="str">
        <f t="array" ref="O251">XLOOKUP(M251,'Recruiting Form Responses'!C:C,'Recruiting Form Responses'!A:A,"",0,1)</f>
        <v/>
      </c>
      <c r="P251" s="378"/>
      <c r="Q251" s="283"/>
      <c r="R251" s="283"/>
      <c r="S251" s="283"/>
      <c r="T251" s="283"/>
      <c r="U251" s="283"/>
      <c r="V251" s="283"/>
      <c r="W251" s="283"/>
      <c r="X251" s="283"/>
      <c r="Y251" s="283"/>
    </row>
    <row r="252">
      <c r="A252" s="283"/>
      <c r="B252" s="283"/>
      <c r="C252" s="283"/>
      <c r="D252" s="283"/>
      <c r="E252" s="283"/>
      <c r="F252" s="283"/>
      <c r="G252" s="283"/>
      <c r="H252" s="283"/>
      <c r="I252" s="283"/>
      <c r="J252" s="283"/>
      <c r="K252" s="283"/>
      <c r="L252" s="283"/>
      <c r="M252" s="283"/>
      <c r="N252" s="283"/>
      <c r="O252" s="375" t="str">
        <f t="array" ref="O252">XLOOKUP(M252,'Recruiting Form Responses'!C:C,'Recruiting Form Responses'!A:A,"",0,1)</f>
        <v/>
      </c>
      <c r="P252" s="378"/>
      <c r="Q252" s="283"/>
      <c r="R252" s="283"/>
      <c r="S252" s="283"/>
      <c r="T252" s="283"/>
      <c r="U252" s="283"/>
      <c r="V252" s="283"/>
      <c r="W252" s="283"/>
      <c r="X252" s="283"/>
      <c r="Y252" s="283"/>
    </row>
    <row r="253">
      <c r="A253" s="283"/>
      <c r="B253" s="283"/>
      <c r="C253" s="283"/>
      <c r="D253" s="283"/>
      <c r="E253" s="283"/>
      <c r="F253" s="283"/>
      <c r="G253" s="283"/>
      <c r="H253" s="283"/>
      <c r="I253" s="283"/>
      <c r="J253" s="283"/>
      <c r="K253" s="283"/>
      <c r="L253" s="283"/>
      <c r="M253" s="283"/>
      <c r="N253" s="283"/>
      <c r="O253" s="375" t="str">
        <f t="array" ref="O253">XLOOKUP(M253,'Recruiting Form Responses'!C:C,'Recruiting Form Responses'!A:A,"",0,1)</f>
        <v/>
      </c>
      <c r="P253" s="378"/>
      <c r="Q253" s="283"/>
      <c r="R253" s="283"/>
      <c r="S253" s="283"/>
      <c r="T253" s="283"/>
      <c r="U253" s="283"/>
      <c r="V253" s="283"/>
      <c r="W253" s="283"/>
      <c r="X253" s="283"/>
      <c r="Y253" s="283"/>
    </row>
    <row r="254">
      <c r="A254" s="283"/>
      <c r="B254" s="283"/>
      <c r="C254" s="283"/>
      <c r="D254" s="283"/>
      <c r="E254" s="283"/>
      <c r="F254" s="283"/>
      <c r="G254" s="283"/>
      <c r="H254" s="283"/>
      <c r="I254" s="283"/>
      <c r="J254" s="283"/>
      <c r="K254" s="283"/>
      <c r="L254" s="283"/>
      <c r="M254" s="283"/>
      <c r="N254" s="283"/>
      <c r="O254" s="375" t="str">
        <f t="array" ref="O254">XLOOKUP(M254,'Recruiting Form Responses'!C:C,'Recruiting Form Responses'!A:A,"",0,1)</f>
        <v/>
      </c>
      <c r="P254" s="378"/>
      <c r="Q254" s="283"/>
      <c r="R254" s="283"/>
      <c r="S254" s="283"/>
      <c r="T254" s="283"/>
      <c r="U254" s="283"/>
      <c r="V254" s="283"/>
      <c r="W254" s="283"/>
      <c r="X254" s="283"/>
      <c r="Y254" s="283"/>
    </row>
    <row r="255">
      <c r="A255" s="283"/>
      <c r="B255" s="283"/>
      <c r="C255" s="283"/>
      <c r="D255" s="283"/>
      <c r="E255" s="283"/>
      <c r="F255" s="283"/>
      <c r="G255" s="283"/>
      <c r="H255" s="283"/>
      <c r="I255" s="283"/>
      <c r="J255" s="283"/>
      <c r="K255" s="283"/>
      <c r="L255" s="283"/>
      <c r="M255" s="283"/>
      <c r="N255" s="283"/>
      <c r="O255" s="375" t="str">
        <f t="array" ref="O255">XLOOKUP(M255,'Recruiting Form Responses'!C:C,'Recruiting Form Responses'!A:A,"",0,1)</f>
        <v/>
      </c>
      <c r="P255" s="378"/>
      <c r="Q255" s="283"/>
      <c r="R255" s="283"/>
      <c r="S255" s="283"/>
      <c r="T255" s="283"/>
      <c r="U255" s="283"/>
      <c r="V255" s="283"/>
      <c r="W255" s="283"/>
      <c r="X255" s="283"/>
      <c r="Y255" s="283"/>
    </row>
    <row r="256">
      <c r="A256" s="283"/>
      <c r="B256" s="283"/>
      <c r="C256" s="283"/>
      <c r="D256" s="283"/>
      <c r="E256" s="283"/>
      <c r="F256" s="283"/>
      <c r="G256" s="283"/>
      <c r="H256" s="283"/>
      <c r="I256" s="283"/>
      <c r="J256" s="283"/>
      <c r="K256" s="283"/>
      <c r="L256" s="283"/>
      <c r="M256" s="283"/>
      <c r="N256" s="283"/>
      <c r="O256" s="375" t="str">
        <f t="array" ref="O256">XLOOKUP(M256,'Recruiting Form Responses'!C:C,'Recruiting Form Responses'!A:A,"",0,1)</f>
        <v/>
      </c>
      <c r="P256" s="378"/>
      <c r="Q256" s="283"/>
      <c r="R256" s="283"/>
      <c r="S256" s="283"/>
      <c r="T256" s="283"/>
      <c r="U256" s="283"/>
      <c r="V256" s="283"/>
      <c r="W256" s="283"/>
      <c r="X256" s="283"/>
      <c r="Y256" s="283"/>
    </row>
    <row r="257">
      <c r="A257" s="283"/>
      <c r="B257" s="283"/>
      <c r="C257" s="283"/>
      <c r="D257" s="283"/>
      <c r="E257" s="283"/>
      <c r="F257" s="283"/>
      <c r="G257" s="283"/>
      <c r="H257" s="283"/>
      <c r="I257" s="283"/>
      <c r="J257" s="283"/>
      <c r="K257" s="283"/>
      <c r="L257" s="283"/>
      <c r="M257" s="283"/>
      <c r="N257" s="283"/>
      <c r="O257" s="375" t="str">
        <f t="array" ref="O257">XLOOKUP(M257,'Recruiting Form Responses'!C:C,'Recruiting Form Responses'!A:A,"",0,1)</f>
        <v/>
      </c>
      <c r="P257" s="378"/>
      <c r="Q257" s="283"/>
      <c r="R257" s="283"/>
      <c r="S257" s="283"/>
      <c r="T257" s="283"/>
      <c r="U257" s="283"/>
      <c r="V257" s="283"/>
      <c r="W257" s="283"/>
      <c r="X257" s="283"/>
      <c r="Y257" s="283"/>
    </row>
    <row r="258">
      <c r="A258" s="283"/>
      <c r="B258" s="283"/>
      <c r="C258" s="283"/>
      <c r="D258" s="283"/>
      <c r="E258" s="283"/>
      <c r="F258" s="283"/>
      <c r="G258" s="283"/>
      <c r="H258" s="283"/>
      <c r="I258" s="283"/>
      <c r="J258" s="283"/>
      <c r="K258" s="283"/>
      <c r="L258" s="283"/>
      <c r="M258" s="283"/>
      <c r="N258" s="283"/>
      <c r="O258" s="375" t="str">
        <f t="array" ref="O258">XLOOKUP(M258,'Recruiting Form Responses'!C:C,'Recruiting Form Responses'!A:A,"",0,1)</f>
        <v/>
      </c>
      <c r="P258" s="378"/>
      <c r="Q258" s="283"/>
      <c r="R258" s="283"/>
      <c r="S258" s="283"/>
      <c r="T258" s="283"/>
      <c r="U258" s="283"/>
      <c r="V258" s="283"/>
      <c r="W258" s="283"/>
      <c r="X258" s="283"/>
      <c r="Y258" s="283"/>
    </row>
    <row r="259">
      <c r="A259" s="283"/>
      <c r="B259" s="283"/>
      <c r="C259" s="283"/>
      <c r="D259" s="283"/>
      <c r="E259" s="283"/>
      <c r="F259" s="283"/>
      <c r="G259" s="283"/>
      <c r="H259" s="283"/>
      <c r="I259" s="283"/>
      <c r="J259" s="283"/>
      <c r="K259" s="283"/>
      <c r="L259" s="283"/>
      <c r="M259" s="283"/>
      <c r="N259" s="283"/>
      <c r="O259" s="375" t="str">
        <f t="array" ref="O259">XLOOKUP(M259,'Recruiting Form Responses'!C:C,'Recruiting Form Responses'!A:A,"",0,1)</f>
        <v/>
      </c>
      <c r="P259" s="378"/>
      <c r="Q259" s="283"/>
      <c r="R259" s="283"/>
      <c r="S259" s="283"/>
      <c r="T259" s="283"/>
      <c r="U259" s="283"/>
      <c r="V259" s="283"/>
      <c r="W259" s="283"/>
      <c r="X259" s="283"/>
      <c r="Y259" s="283"/>
    </row>
    <row r="260">
      <c r="A260" s="283"/>
      <c r="B260" s="283"/>
      <c r="C260" s="283"/>
      <c r="D260" s="283"/>
      <c r="E260" s="283"/>
      <c r="F260" s="283"/>
      <c r="G260" s="283"/>
      <c r="H260" s="283"/>
      <c r="I260" s="283"/>
      <c r="J260" s="283"/>
      <c r="K260" s="283"/>
      <c r="L260" s="283"/>
      <c r="M260" s="283"/>
      <c r="N260" s="283"/>
      <c r="O260" s="375" t="str">
        <f t="array" ref="O260">XLOOKUP(M260,'Recruiting Form Responses'!C:C,'Recruiting Form Responses'!A:A,"",0,1)</f>
        <v/>
      </c>
      <c r="P260" s="378"/>
      <c r="Q260" s="283"/>
      <c r="R260" s="283"/>
      <c r="S260" s="283"/>
      <c r="T260" s="283"/>
      <c r="U260" s="283"/>
      <c r="V260" s="283"/>
      <c r="W260" s="283"/>
      <c r="X260" s="283"/>
      <c r="Y260" s="283"/>
    </row>
    <row r="261">
      <c r="A261" s="283"/>
      <c r="B261" s="283"/>
      <c r="C261" s="283"/>
      <c r="D261" s="283"/>
      <c r="E261" s="283"/>
      <c r="F261" s="283"/>
      <c r="G261" s="283"/>
      <c r="H261" s="283"/>
      <c r="I261" s="283"/>
      <c r="J261" s="283"/>
      <c r="K261" s="283"/>
      <c r="L261" s="283"/>
      <c r="M261" s="283"/>
      <c r="N261" s="283"/>
      <c r="O261" s="375" t="str">
        <f t="array" ref="O261">XLOOKUP(M261,'Recruiting Form Responses'!C:C,'Recruiting Form Responses'!A:A,"",0,1)</f>
        <v/>
      </c>
      <c r="P261" s="378"/>
      <c r="Q261" s="283"/>
      <c r="R261" s="283"/>
      <c r="S261" s="283"/>
      <c r="T261" s="283"/>
      <c r="U261" s="283"/>
      <c r="V261" s="283"/>
      <c r="W261" s="283"/>
      <c r="X261" s="283"/>
      <c r="Y261" s="283"/>
    </row>
    <row r="262">
      <c r="A262" s="283"/>
      <c r="B262" s="283"/>
      <c r="C262" s="283"/>
      <c r="D262" s="283"/>
      <c r="E262" s="283"/>
      <c r="F262" s="283"/>
      <c r="G262" s="283"/>
      <c r="H262" s="283"/>
      <c r="I262" s="283"/>
      <c r="J262" s="283"/>
      <c r="K262" s="283"/>
      <c r="L262" s="283"/>
      <c r="M262" s="283"/>
      <c r="N262" s="283"/>
      <c r="O262" s="375" t="str">
        <f t="array" ref="O262">XLOOKUP(M262,'Recruiting Form Responses'!C:C,'Recruiting Form Responses'!A:A,"",0,1)</f>
        <v/>
      </c>
      <c r="P262" s="378"/>
      <c r="Q262" s="283"/>
      <c r="R262" s="283"/>
      <c r="S262" s="283"/>
      <c r="T262" s="283"/>
      <c r="U262" s="283"/>
      <c r="V262" s="283"/>
      <c r="W262" s="283"/>
      <c r="X262" s="283"/>
      <c r="Y262" s="283"/>
    </row>
    <row r="263">
      <c r="A263" s="283"/>
      <c r="B263" s="283"/>
      <c r="C263" s="283"/>
      <c r="D263" s="283"/>
      <c r="E263" s="283"/>
      <c r="F263" s="283"/>
      <c r="G263" s="283"/>
      <c r="H263" s="283"/>
      <c r="I263" s="283"/>
      <c r="J263" s="283"/>
      <c r="K263" s="283"/>
      <c r="L263" s="283"/>
      <c r="M263" s="283"/>
      <c r="N263" s="283"/>
      <c r="O263" s="375" t="str">
        <f t="array" ref="O263">XLOOKUP(M263,'Recruiting Form Responses'!C:C,'Recruiting Form Responses'!A:A,"",0,1)</f>
        <v/>
      </c>
      <c r="P263" s="378"/>
      <c r="Q263" s="283"/>
      <c r="R263" s="283"/>
      <c r="S263" s="283"/>
      <c r="T263" s="283"/>
      <c r="U263" s="283"/>
      <c r="V263" s="283"/>
      <c r="W263" s="283"/>
      <c r="X263" s="283"/>
      <c r="Y263" s="283"/>
    </row>
    <row r="264">
      <c r="A264" s="283"/>
      <c r="B264" s="283"/>
      <c r="C264" s="283"/>
      <c r="D264" s="283"/>
      <c r="E264" s="283"/>
      <c r="F264" s="283"/>
      <c r="G264" s="283"/>
      <c r="H264" s="283"/>
      <c r="I264" s="283"/>
      <c r="J264" s="283"/>
      <c r="K264" s="283"/>
      <c r="L264" s="283"/>
      <c r="M264" s="283"/>
      <c r="N264" s="283"/>
      <c r="O264" s="375" t="str">
        <f t="array" ref="O264">XLOOKUP(M264,'Recruiting Form Responses'!C:C,'Recruiting Form Responses'!A:A,"",0,1)</f>
        <v/>
      </c>
      <c r="P264" s="378"/>
      <c r="Q264" s="283"/>
      <c r="R264" s="283"/>
      <c r="S264" s="283"/>
      <c r="T264" s="283"/>
      <c r="U264" s="283"/>
      <c r="V264" s="283"/>
      <c r="W264" s="283"/>
      <c r="X264" s="283"/>
      <c r="Y264" s="283"/>
    </row>
    <row r="265">
      <c r="A265" s="283"/>
      <c r="B265" s="283"/>
      <c r="C265" s="283"/>
      <c r="D265" s="283"/>
      <c r="E265" s="283"/>
      <c r="F265" s="283"/>
      <c r="G265" s="283"/>
      <c r="H265" s="283"/>
      <c r="I265" s="283"/>
      <c r="J265" s="283"/>
      <c r="K265" s="283"/>
      <c r="L265" s="283"/>
      <c r="M265" s="283"/>
      <c r="N265" s="283"/>
      <c r="O265" s="375" t="str">
        <f t="array" ref="O265">XLOOKUP(M265,'Recruiting Form Responses'!C:C,'Recruiting Form Responses'!A:A,"",0,1)</f>
        <v/>
      </c>
      <c r="P265" s="378"/>
      <c r="Q265" s="283"/>
      <c r="R265" s="283"/>
      <c r="S265" s="283"/>
      <c r="T265" s="283"/>
      <c r="U265" s="283"/>
      <c r="V265" s="283"/>
      <c r="W265" s="283"/>
      <c r="X265" s="283"/>
      <c r="Y265" s="283"/>
    </row>
    <row r="266">
      <c r="A266" s="283"/>
      <c r="B266" s="283"/>
      <c r="C266" s="283"/>
      <c r="D266" s="283"/>
      <c r="E266" s="283"/>
      <c r="F266" s="283"/>
      <c r="G266" s="283"/>
      <c r="H266" s="283"/>
      <c r="I266" s="283"/>
      <c r="J266" s="283"/>
      <c r="K266" s="283"/>
      <c r="L266" s="283"/>
      <c r="M266" s="283"/>
      <c r="N266" s="283"/>
      <c r="O266" s="375" t="str">
        <f t="array" ref="O266">XLOOKUP(M266,'Recruiting Form Responses'!C:C,'Recruiting Form Responses'!A:A,"",0,1)</f>
        <v/>
      </c>
      <c r="P266" s="378"/>
      <c r="Q266" s="283"/>
      <c r="R266" s="283"/>
      <c r="S266" s="283"/>
      <c r="T266" s="283"/>
      <c r="U266" s="283"/>
      <c r="V266" s="283"/>
      <c r="W266" s="283"/>
      <c r="X266" s="283"/>
      <c r="Y266" s="283"/>
    </row>
    <row r="267">
      <c r="A267" s="283"/>
      <c r="B267" s="283"/>
      <c r="C267" s="283"/>
      <c r="D267" s="283"/>
      <c r="E267" s="283"/>
      <c r="F267" s="283"/>
      <c r="G267" s="283"/>
      <c r="H267" s="283"/>
      <c r="I267" s="283"/>
      <c r="J267" s="283"/>
      <c r="K267" s="283"/>
      <c r="L267" s="283"/>
      <c r="M267" s="283"/>
      <c r="N267" s="283"/>
      <c r="O267" s="375" t="str">
        <f t="array" ref="O267">XLOOKUP(M267,'Recruiting Form Responses'!C:C,'Recruiting Form Responses'!A:A,"",0,1)</f>
        <v/>
      </c>
      <c r="P267" s="378"/>
      <c r="Q267" s="283"/>
      <c r="R267" s="283"/>
      <c r="S267" s="283"/>
      <c r="T267" s="283"/>
      <c r="U267" s="283"/>
      <c r="V267" s="283"/>
      <c r="W267" s="283"/>
      <c r="X267" s="283"/>
      <c r="Y267" s="283"/>
    </row>
    <row r="268">
      <c r="A268" s="283"/>
      <c r="B268" s="283"/>
      <c r="C268" s="283"/>
      <c r="D268" s="283"/>
      <c r="E268" s="283"/>
      <c r="F268" s="283"/>
      <c r="G268" s="283"/>
      <c r="H268" s="283"/>
      <c r="I268" s="283"/>
      <c r="J268" s="283"/>
      <c r="K268" s="283"/>
      <c r="L268" s="283"/>
      <c r="M268" s="283"/>
      <c r="N268" s="283"/>
      <c r="O268" s="375" t="str">
        <f t="array" ref="O268">XLOOKUP(M268,'Recruiting Form Responses'!C:C,'Recruiting Form Responses'!A:A,"",0,1)</f>
        <v/>
      </c>
      <c r="P268" s="378"/>
      <c r="Q268" s="283"/>
      <c r="R268" s="283"/>
      <c r="S268" s="283"/>
      <c r="T268" s="283"/>
      <c r="U268" s="283"/>
      <c r="V268" s="283"/>
      <c r="W268" s="283"/>
      <c r="X268" s="283"/>
      <c r="Y268" s="283"/>
    </row>
    <row r="269">
      <c r="A269" s="283"/>
      <c r="B269" s="283"/>
      <c r="C269" s="283"/>
      <c r="D269" s="283"/>
      <c r="E269" s="283"/>
      <c r="F269" s="283"/>
      <c r="G269" s="283"/>
      <c r="H269" s="283"/>
      <c r="I269" s="283"/>
      <c r="J269" s="283"/>
      <c r="K269" s="283"/>
      <c r="L269" s="283"/>
      <c r="M269" s="283"/>
      <c r="N269" s="283"/>
      <c r="O269" s="375" t="str">
        <f t="array" ref="O269">XLOOKUP(M269,'Recruiting Form Responses'!C:C,'Recruiting Form Responses'!A:A,"",0,1)</f>
        <v/>
      </c>
      <c r="P269" s="378"/>
      <c r="Q269" s="283"/>
      <c r="R269" s="283"/>
      <c r="S269" s="283"/>
      <c r="T269" s="283"/>
      <c r="U269" s="283"/>
      <c r="V269" s="283"/>
      <c r="W269" s="283"/>
      <c r="X269" s="283"/>
      <c r="Y269" s="283"/>
    </row>
    <row r="270">
      <c r="A270" s="283"/>
      <c r="B270" s="283"/>
      <c r="C270" s="283"/>
      <c r="D270" s="283"/>
      <c r="E270" s="283"/>
      <c r="F270" s="283"/>
      <c r="G270" s="283"/>
      <c r="H270" s="283"/>
      <c r="I270" s="283"/>
      <c r="J270" s="283"/>
      <c r="K270" s="283"/>
      <c r="L270" s="283"/>
      <c r="M270" s="283"/>
      <c r="N270" s="283"/>
      <c r="O270" s="375" t="str">
        <f t="array" ref="O270">XLOOKUP(M270,'Recruiting Form Responses'!C:C,'Recruiting Form Responses'!A:A,"",0,1)</f>
        <v/>
      </c>
      <c r="P270" s="378"/>
      <c r="Q270" s="283"/>
      <c r="R270" s="283"/>
      <c r="S270" s="283"/>
      <c r="T270" s="283"/>
      <c r="U270" s="283"/>
      <c r="V270" s="283"/>
      <c r="W270" s="283"/>
      <c r="X270" s="283"/>
      <c r="Y270" s="283"/>
    </row>
    <row r="271">
      <c r="A271" s="283"/>
      <c r="B271" s="283"/>
      <c r="C271" s="283"/>
      <c r="D271" s="283"/>
      <c r="E271" s="283"/>
      <c r="F271" s="283"/>
      <c r="G271" s="283"/>
      <c r="H271" s="283"/>
      <c r="I271" s="283"/>
      <c r="J271" s="283"/>
      <c r="K271" s="283"/>
      <c r="L271" s="283"/>
      <c r="M271" s="283"/>
      <c r="N271" s="283"/>
      <c r="O271" s="375" t="str">
        <f t="array" ref="O271">XLOOKUP(M271,'Recruiting Form Responses'!C:C,'Recruiting Form Responses'!A:A,"",0,1)</f>
        <v/>
      </c>
      <c r="P271" s="378"/>
      <c r="Q271" s="283"/>
      <c r="R271" s="283"/>
      <c r="S271" s="283"/>
      <c r="T271" s="283"/>
      <c r="U271" s="283"/>
      <c r="V271" s="283"/>
      <c r="W271" s="283"/>
      <c r="X271" s="283"/>
      <c r="Y271" s="283"/>
    </row>
    <row r="272">
      <c r="A272" s="283"/>
      <c r="B272" s="283"/>
      <c r="C272" s="283"/>
      <c r="D272" s="283"/>
      <c r="E272" s="283"/>
      <c r="F272" s="283"/>
      <c r="G272" s="283"/>
      <c r="H272" s="283"/>
      <c r="I272" s="283"/>
      <c r="J272" s="283"/>
      <c r="K272" s="283"/>
      <c r="L272" s="283"/>
      <c r="M272" s="283"/>
      <c r="N272" s="283"/>
      <c r="O272" s="375" t="str">
        <f t="array" ref="O272">XLOOKUP(M272,'Recruiting Form Responses'!C:C,'Recruiting Form Responses'!A:A,"",0,1)</f>
        <v/>
      </c>
      <c r="P272" s="378"/>
      <c r="Q272" s="283"/>
      <c r="R272" s="283"/>
      <c r="S272" s="283"/>
      <c r="T272" s="283"/>
      <c r="U272" s="283"/>
      <c r="V272" s="283"/>
      <c r="W272" s="283"/>
      <c r="X272" s="283"/>
      <c r="Y272" s="283"/>
    </row>
    <row r="273">
      <c r="A273" s="283"/>
      <c r="B273" s="283"/>
      <c r="C273" s="283"/>
      <c r="D273" s="283"/>
      <c r="E273" s="283"/>
      <c r="F273" s="283"/>
      <c r="G273" s="283"/>
      <c r="H273" s="283"/>
      <c r="I273" s="283"/>
      <c r="J273" s="283"/>
      <c r="K273" s="283"/>
      <c r="L273" s="283"/>
      <c r="M273" s="283"/>
      <c r="N273" s="283"/>
      <c r="O273" s="375" t="str">
        <f t="array" ref="O273">XLOOKUP(M273,'Recruiting Form Responses'!C:C,'Recruiting Form Responses'!A:A,"",0,1)</f>
        <v/>
      </c>
      <c r="P273" s="378"/>
      <c r="Q273" s="283"/>
      <c r="R273" s="283"/>
      <c r="S273" s="283"/>
      <c r="T273" s="283"/>
      <c r="U273" s="283"/>
      <c r="V273" s="283"/>
      <c r="W273" s="283"/>
      <c r="X273" s="283"/>
      <c r="Y273" s="283"/>
    </row>
    <row r="274">
      <c r="A274" s="283"/>
      <c r="B274" s="283"/>
      <c r="C274" s="283"/>
      <c r="D274" s="283"/>
      <c r="E274" s="283"/>
      <c r="F274" s="283"/>
      <c r="G274" s="283"/>
      <c r="H274" s="283"/>
      <c r="I274" s="283"/>
      <c r="J274" s="283"/>
      <c r="K274" s="283"/>
      <c r="L274" s="283"/>
      <c r="M274" s="283"/>
      <c r="N274" s="283"/>
      <c r="O274" s="375" t="str">
        <f t="array" ref="O274">XLOOKUP(M274,'Recruiting Form Responses'!C:C,'Recruiting Form Responses'!A:A,"",0,1)</f>
        <v/>
      </c>
      <c r="P274" s="378"/>
      <c r="Q274" s="283"/>
      <c r="R274" s="283"/>
      <c r="S274" s="283"/>
      <c r="T274" s="283"/>
      <c r="U274" s="283"/>
      <c r="V274" s="283"/>
      <c r="W274" s="283"/>
      <c r="X274" s="283"/>
      <c r="Y274" s="283"/>
    </row>
    <row r="275">
      <c r="A275" s="283"/>
      <c r="B275" s="283"/>
      <c r="C275" s="283"/>
      <c r="D275" s="283"/>
      <c r="E275" s="283"/>
      <c r="F275" s="283"/>
      <c r="G275" s="283"/>
      <c r="H275" s="283"/>
      <c r="I275" s="283"/>
      <c r="J275" s="283"/>
      <c r="K275" s="283"/>
      <c r="L275" s="283"/>
      <c r="M275" s="283"/>
      <c r="N275" s="283"/>
      <c r="O275" s="375" t="str">
        <f t="array" ref="O275">XLOOKUP(M275,'Recruiting Form Responses'!C:C,'Recruiting Form Responses'!A:A,"",0,1)</f>
        <v/>
      </c>
      <c r="P275" s="378"/>
      <c r="Q275" s="283"/>
      <c r="R275" s="283"/>
      <c r="S275" s="283"/>
      <c r="T275" s="283"/>
      <c r="U275" s="283"/>
      <c r="V275" s="283"/>
      <c r="W275" s="283"/>
      <c r="X275" s="283"/>
      <c r="Y275" s="283"/>
    </row>
    <row r="276">
      <c r="A276" s="283"/>
      <c r="B276" s="283"/>
      <c r="C276" s="283"/>
      <c r="D276" s="283"/>
      <c r="E276" s="283"/>
      <c r="F276" s="283"/>
      <c r="G276" s="283"/>
      <c r="H276" s="283"/>
      <c r="I276" s="283"/>
      <c r="J276" s="283"/>
      <c r="K276" s="283"/>
      <c r="L276" s="283"/>
      <c r="M276" s="283"/>
      <c r="N276" s="283"/>
      <c r="O276" s="375" t="str">
        <f t="array" ref="O276">XLOOKUP(M276,'Recruiting Form Responses'!C:C,'Recruiting Form Responses'!A:A,"",0,1)</f>
        <v/>
      </c>
      <c r="P276" s="378"/>
      <c r="Q276" s="283"/>
      <c r="R276" s="283"/>
      <c r="S276" s="283"/>
      <c r="T276" s="283"/>
      <c r="U276" s="283"/>
      <c r="V276" s="283"/>
      <c r="W276" s="283"/>
      <c r="X276" s="283"/>
      <c r="Y276" s="283"/>
    </row>
    <row r="277">
      <c r="A277" s="283"/>
      <c r="B277" s="283"/>
      <c r="C277" s="283"/>
      <c r="D277" s="283"/>
      <c r="E277" s="283"/>
      <c r="F277" s="283"/>
      <c r="G277" s="283"/>
      <c r="H277" s="283"/>
      <c r="I277" s="283"/>
      <c r="J277" s="283"/>
      <c r="K277" s="283"/>
      <c r="L277" s="283"/>
      <c r="M277" s="283"/>
      <c r="N277" s="283"/>
      <c r="O277" s="375" t="str">
        <f t="array" ref="O277">XLOOKUP(M277,'Recruiting Form Responses'!C:C,'Recruiting Form Responses'!A:A,"",0,1)</f>
        <v/>
      </c>
      <c r="P277" s="378"/>
      <c r="Q277" s="283"/>
      <c r="R277" s="283"/>
      <c r="S277" s="283"/>
      <c r="T277" s="283"/>
      <c r="U277" s="283"/>
      <c r="V277" s="283"/>
      <c r="W277" s="283"/>
      <c r="X277" s="283"/>
      <c r="Y277" s="283"/>
    </row>
    <row r="278">
      <c r="A278" s="283"/>
      <c r="B278" s="283"/>
      <c r="C278" s="283"/>
      <c r="D278" s="283"/>
      <c r="E278" s="283"/>
      <c r="F278" s="283"/>
      <c r="G278" s="283"/>
      <c r="H278" s="283"/>
      <c r="I278" s="283"/>
      <c r="J278" s="283"/>
      <c r="K278" s="283"/>
      <c r="L278" s="283"/>
      <c r="M278" s="283"/>
      <c r="N278" s="283"/>
      <c r="O278" s="375" t="str">
        <f t="array" ref="O278">XLOOKUP(M278,'Recruiting Form Responses'!C:C,'Recruiting Form Responses'!A:A,"",0,1)</f>
        <v/>
      </c>
      <c r="P278" s="378"/>
      <c r="Q278" s="283"/>
      <c r="R278" s="283"/>
      <c r="S278" s="283"/>
      <c r="T278" s="283"/>
      <c r="U278" s="283"/>
      <c r="V278" s="283"/>
      <c r="W278" s="283"/>
      <c r="X278" s="283"/>
      <c r="Y278" s="283"/>
    </row>
    <row r="279">
      <c r="A279" s="283"/>
      <c r="B279" s="283"/>
      <c r="C279" s="283"/>
      <c r="D279" s="283"/>
      <c r="E279" s="283"/>
      <c r="F279" s="283"/>
      <c r="G279" s="283"/>
      <c r="H279" s="283"/>
      <c r="I279" s="283"/>
      <c r="J279" s="283"/>
      <c r="K279" s="283"/>
      <c r="L279" s="283"/>
      <c r="M279" s="283"/>
      <c r="N279" s="283"/>
      <c r="O279" s="375" t="str">
        <f t="array" ref="O279">XLOOKUP(M279,'Recruiting Form Responses'!C:C,'Recruiting Form Responses'!A:A,"",0,1)</f>
        <v/>
      </c>
      <c r="P279" s="378"/>
      <c r="Q279" s="283"/>
      <c r="R279" s="283"/>
      <c r="S279" s="283"/>
      <c r="T279" s="283"/>
      <c r="U279" s="283"/>
      <c r="V279" s="283"/>
      <c r="W279" s="283"/>
      <c r="X279" s="283"/>
      <c r="Y279" s="283"/>
    </row>
    <row r="280">
      <c r="A280" s="283"/>
      <c r="B280" s="283"/>
      <c r="C280" s="283"/>
      <c r="D280" s="283"/>
      <c r="E280" s="283"/>
      <c r="F280" s="283"/>
      <c r="G280" s="283"/>
      <c r="H280" s="283"/>
      <c r="I280" s="283"/>
      <c r="J280" s="283"/>
      <c r="K280" s="283"/>
      <c r="L280" s="283"/>
      <c r="M280" s="283"/>
      <c r="N280" s="283"/>
      <c r="O280" s="375" t="str">
        <f t="array" ref="O280">XLOOKUP(M280,'Recruiting Form Responses'!C:C,'Recruiting Form Responses'!A:A,"",0,1)</f>
        <v/>
      </c>
      <c r="P280" s="378"/>
      <c r="Q280" s="283"/>
      <c r="R280" s="283"/>
      <c r="S280" s="283"/>
      <c r="T280" s="283"/>
      <c r="U280" s="283"/>
      <c r="V280" s="283"/>
      <c r="W280" s="283"/>
      <c r="X280" s="283"/>
      <c r="Y280" s="283"/>
    </row>
    <row r="281">
      <c r="A281" s="283"/>
      <c r="B281" s="283"/>
      <c r="C281" s="283"/>
      <c r="D281" s="283"/>
      <c r="E281" s="283"/>
      <c r="F281" s="283"/>
      <c r="G281" s="283"/>
      <c r="H281" s="283"/>
      <c r="I281" s="283"/>
      <c r="J281" s="283"/>
      <c r="K281" s="283"/>
      <c r="L281" s="283"/>
      <c r="M281" s="283"/>
      <c r="N281" s="283"/>
      <c r="O281" s="375" t="str">
        <f t="array" ref="O281">XLOOKUP(M281,'Recruiting Form Responses'!C:C,'Recruiting Form Responses'!A:A,"",0,1)</f>
        <v/>
      </c>
      <c r="P281" s="378"/>
      <c r="Q281" s="283"/>
      <c r="R281" s="283"/>
      <c r="S281" s="283"/>
      <c r="T281" s="283"/>
      <c r="U281" s="283"/>
      <c r="V281" s="283"/>
      <c r="W281" s="283"/>
      <c r="X281" s="283"/>
      <c r="Y281" s="283"/>
    </row>
    <row r="282">
      <c r="A282" s="283"/>
      <c r="B282" s="283"/>
      <c r="C282" s="283"/>
      <c r="D282" s="283"/>
      <c r="E282" s="283"/>
      <c r="F282" s="283"/>
      <c r="G282" s="283"/>
      <c r="H282" s="283"/>
      <c r="I282" s="283"/>
      <c r="J282" s="283"/>
      <c r="K282" s="283"/>
      <c r="L282" s="283"/>
      <c r="M282" s="283"/>
      <c r="N282" s="283"/>
      <c r="O282" s="375" t="str">
        <f t="array" ref="O282">XLOOKUP(M282,'Recruiting Form Responses'!C:C,'Recruiting Form Responses'!A:A,"",0,1)</f>
        <v/>
      </c>
      <c r="P282" s="378"/>
      <c r="Q282" s="283"/>
      <c r="R282" s="283"/>
      <c r="S282" s="283"/>
      <c r="T282" s="283"/>
      <c r="U282" s="283"/>
      <c r="V282" s="283"/>
      <c r="W282" s="283"/>
      <c r="X282" s="283"/>
      <c r="Y282" s="283"/>
    </row>
    <row r="283">
      <c r="A283" s="283"/>
      <c r="B283" s="283"/>
      <c r="C283" s="283"/>
      <c r="D283" s="283"/>
      <c r="E283" s="283"/>
      <c r="F283" s="283"/>
      <c r="G283" s="283"/>
      <c r="H283" s="283"/>
      <c r="I283" s="283"/>
      <c r="J283" s="283"/>
      <c r="K283" s="283"/>
      <c r="L283" s="283"/>
      <c r="M283" s="283"/>
      <c r="N283" s="283"/>
      <c r="O283" s="375" t="str">
        <f t="array" ref="O283">XLOOKUP(M283,'Recruiting Form Responses'!C:C,'Recruiting Form Responses'!A:A,"",0,1)</f>
        <v/>
      </c>
      <c r="P283" s="378"/>
      <c r="Q283" s="283"/>
      <c r="R283" s="283"/>
      <c r="S283" s="283"/>
      <c r="T283" s="283"/>
      <c r="U283" s="283"/>
      <c r="V283" s="283"/>
      <c r="W283" s="283"/>
      <c r="X283" s="283"/>
      <c r="Y283" s="283"/>
    </row>
    <row r="284">
      <c r="A284" s="283"/>
      <c r="B284" s="283"/>
      <c r="C284" s="283"/>
      <c r="D284" s="283"/>
      <c r="E284" s="283"/>
      <c r="F284" s="283"/>
      <c r="G284" s="283"/>
      <c r="H284" s="283"/>
      <c r="I284" s="283"/>
      <c r="J284" s="283"/>
      <c r="K284" s="283"/>
      <c r="L284" s="283"/>
      <c r="M284" s="283"/>
      <c r="N284" s="283"/>
      <c r="O284" s="375" t="str">
        <f t="array" ref="O284">XLOOKUP(M284,'Recruiting Form Responses'!C:C,'Recruiting Form Responses'!A:A,"",0,1)</f>
        <v/>
      </c>
      <c r="P284" s="378"/>
      <c r="Q284" s="283"/>
      <c r="R284" s="283"/>
      <c r="S284" s="283"/>
      <c r="T284" s="283"/>
      <c r="U284" s="283"/>
      <c r="V284" s="283"/>
      <c r="W284" s="283"/>
      <c r="X284" s="283"/>
      <c r="Y284" s="283"/>
    </row>
    <row r="285">
      <c r="A285" s="283"/>
      <c r="B285" s="283"/>
      <c r="C285" s="283"/>
      <c r="D285" s="283"/>
      <c r="E285" s="283"/>
      <c r="F285" s="283"/>
      <c r="G285" s="283"/>
      <c r="H285" s="283"/>
      <c r="I285" s="283"/>
      <c r="J285" s="283"/>
      <c r="K285" s="283"/>
      <c r="L285" s="283"/>
      <c r="M285" s="283"/>
      <c r="N285" s="283"/>
      <c r="O285" s="375" t="str">
        <f t="array" ref="O285">XLOOKUP(M285,'Recruiting Form Responses'!C:C,'Recruiting Form Responses'!A:A,"",0,1)</f>
        <v/>
      </c>
      <c r="P285" s="378"/>
      <c r="Q285" s="283"/>
      <c r="R285" s="283"/>
      <c r="S285" s="283"/>
      <c r="T285" s="283"/>
      <c r="U285" s="283"/>
      <c r="V285" s="283"/>
      <c r="W285" s="283"/>
      <c r="X285" s="283"/>
      <c r="Y285" s="283"/>
    </row>
    <row r="286">
      <c r="A286" s="283"/>
      <c r="B286" s="283"/>
      <c r="C286" s="283"/>
      <c r="D286" s="283"/>
      <c r="E286" s="283"/>
      <c r="F286" s="283"/>
      <c r="G286" s="283"/>
      <c r="H286" s="283"/>
      <c r="I286" s="283"/>
      <c r="J286" s="283"/>
      <c r="K286" s="283"/>
      <c r="L286" s="283"/>
      <c r="M286" s="283"/>
      <c r="N286" s="283"/>
      <c r="O286" s="375" t="str">
        <f t="array" ref="O286">XLOOKUP(M286,'Recruiting Form Responses'!C:C,'Recruiting Form Responses'!A:A,"",0,1)</f>
        <v/>
      </c>
      <c r="P286" s="378"/>
      <c r="Q286" s="283"/>
      <c r="R286" s="283"/>
      <c r="S286" s="283"/>
      <c r="T286" s="283"/>
      <c r="U286" s="283"/>
      <c r="V286" s="283"/>
      <c r="W286" s="283"/>
      <c r="X286" s="283"/>
      <c r="Y286" s="283"/>
    </row>
    <row r="287">
      <c r="A287" s="283"/>
      <c r="B287" s="283"/>
      <c r="C287" s="283"/>
      <c r="D287" s="283"/>
      <c r="E287" s="283"/>
      <c r="F287" s="283"/>
      <c r="G287" s="283"/>
      <c r="H287" s="283"/>
      <c r="I287" s="283"/>
      <c r="J287" s="283"/>
      <c r="K287" s="283"/>
      <c r="L287" s="283"/>
      <c r="M287" s="283"/>
      <c r="N287" s="283"/>
      <c r="O287" s="375" t="str">
        <f t="array" ref="O287">XLOOKUP(M287,'Recruiting Form Responses'!C:C,'Recruiting Form Responses'!A:A,"",0,1)</f>
        <v/>
      </c>
      <c r="P287" s="378"/>
      <c r="Q287" s="283"/>
      <c r="R287" s="283"/>
      <c r="S287" s="283"/>
      <c r="T287" s="283"/>
      <c r="U287" s="283"/>
      <c r="V287" s="283"/>
      <c r="W287" s="283"/>
      <c r="X287" s="283"/>
      <c r="Y287" s="283"/>
    </row>
    <row r="288">
      <c r="A288" s="283"/>
      <c r="B288" s="283"/>
      <c r="C288" s="283"/>
      <c r="D288" s="283"/>
      <c r="E288" s="283"/>
      <c r="F288" s="283"/>
      <c r="G288" s="283"/>
      <c r="H288" s="283"/>
      <c r="I288" s="283"/>
      <c r="J288" s="283"/>
      <c r="K288" s="283"/>
      <c r="L288" s="283"/>
      <c r="M288" s="283"/>
      <c r="N288" s="283"/>
      <c r="O288" s="375" t="str">
        <f t="array" ref="O288">XLOOKUP(M288,'Recruiting Form Responses'!C:C,'Recruiting Form Responses'!A:A,"",0,1)</f>
        <v/>
      </c>
      <c r="P288" s="378"/>
      <c r="Q288" s="283"/>
      <c r="R288" s="283"/>
      <c r="S288" s="283"/>
      <c r="T288" s="283"/>
      <c r="U288" s="283"/>
      <c r="V288" s="283"/>
      <c r="W288" s="283"/>
      <c r="X288" s="283"/>
      <c r="Y288" s="283"/>
    </row>
    <row r="289">
      <c r="A289" s="283"/>
      <c r="B289" s="283"/>
      <c r="C289" s="283"/>
      <c r="D289" s="283"/>
      <c r="E289" s="283"/>
      <c r="F289" s="283"/>
      <c r="G289" s="283"/>
      <c r="H289" s="283"/>
      <c r="I289" s="283"/>
      <c r="J289" s="283"/>
      <c r="K289" s="283"/>
      <c r="L289" s="283"/>
      <c r="M289" s="283"/>
      <c r="N289" s="283"/>
      <c r="O289" s="375" t="str">
        <f t="array" ref="O289">XLOOKUP(M289,'Recruiting Form Responses'!C:C,'Recruiting Form Responses'!A:A,"",0,1)</f>
        <v/>
      </c>
      <c r="P289" s="378"/>
      <c r="Q289" s="283"/>
      <c r="R289" s="283"/>
      <c r="S289" s="283"/>
      <c r="T289" s="283"/>
      <c r="U289" s="283"/>
      <c r="V289" s="283"/>
      <c r="W289" s="283"/>
      <c r="X289" s="283"/>
      <c r="Y289" s="283"/>
    </row>
    <row r="290">
      <c r="A290" s="283"/>
      <c r="B290" s="283"/>
      <c r="C290" s="283"/>
      <c r="D290" s="283"/>
      <c r="E290" s="283"/>
      <c r="F290" s="283"/>
      <c r="G290" s="283"/>
      <c r="H290" s="283"/>
      <c r="I290" s="283"/>
      <c r="J290" s="283"/>
      <c r="K290" s="283"/>
      <c r="L290" s="283"/>
      <c r="M290" s="283"/>
      <c r="N290" s="283"/>
      <c r="O290" s="375" t="str">
        <f t="array" ref="O290">XLOOKUP(M290,'Recruiting Form Responses'!C:C,'Recruiting Form Responses'!A:A,"",0,1)</f>
        <v/>
      </c>
      <c r="P290" s="378"/>
      <c r="Q290" s="283"/>
      <c r="R290" s="283"/>
      <c r="S290" s="283"/>
      <c r="T290" s="283"/>
      <c r="U290" s="283"/>
      <c r="V290" s="283"/>
      <c r="W290" s="283"/>
      <c r="X290" s="283"/>
      <c r="Y290" s="283"/>
    </row>
    <row r="291">
      <c r="A291" s="283"/>
      <c r="B291" s="283"/>
      <c r="C291" s="283"/>
      <c r="D291" s="283"/>
      <c r="E291" s="283"/>
      <c r="F291" s="283"/>
      <c r="G291" s="283"/>
      <c r="H291" s="283"/>
      <c r="I291" s="283"/>
      <c r="J291" s="283"/>
      <c r="K291" s="283"/>
      <c r="L291" s="283"/>
      <c r="M291" s="283"/>
      <c r="N291" s="283"/>
      <c r="O291" s="375" t="str">
        <f t="array" ref="O291">XLOOKUP(M291,'Recruiting Form Responses'!C:C,'Recruiting Form Responses'!A:A,"",0,1)</f>
        <v/>
      </c>
      <c r="P291" s="378"/>
      <c r="Q291" s="283"/>
      <c r="R291" s="283"/>
      <c r="S291" s="283"/>
      <c r="T291" s="283"/>
      <c r="U291" s="283"/>
      <c r="V291" s="283"/>
      <c r="W291" s="283"/>
      <c r="X291" s="283"/>
      <c r="Y291" s="283"/>
    </row>
    <row r="292">
      <c r="A292" s="283"/>
      <c r="B292" s="283"/>
      <c r="C292" s="283"/>
      <c r="D292" s="283"/>
      <c r="E292" s="283"/>
      <c r="F292" s="283"/>
      <c r="G292" s="283"/>
      <c r="H292" s="283"/>
      <c r="I292" s="283"/>
      <c r="J292" s="283"/>
      <c r="K292" s="283"/>
      <c r="L292" s="283"/>
      <c r="M292" s="283"/>
      <c r="N292" s="283"/>
      <c r="O292" s="375" t="str">
        <f t="array" ref="O292">XLOOKUP(M292,'Recruiting Form Responses'!C:C,'Recruiting Form Responses'!A:A,"",0,1)</f>
        <v/>
      </c>
      <c r="P292" s="378"/>
      <c r="Q292" s="283"/>
      <c r="R292" s="283"/>
      <c r="S292" s="283"/>
      <c r="T292" s="283"/>
      <c r="U292" s="283"/>
      <c r="V292" s="283"/>
      <c r="W292" s="283"/>
      <c r="X292" s="283"/>
      <c r="Y292" s="283"/>
    </row>
    <row r="293">
      <c r="A293" s="283"/>
      <c r="B293" s="283"/>
      <c r="C293" s="283"/>
      <c r="D293" s="283"/>
      <c r="E293" s="283"/>
      <c r="F293" s="283"/>
      <c r="G293" s="283"/>
      <c r="H293" s="283"/>
      <c r="I293" s="283"/>
      <c r="J293" s="283"/>
      <c r="K293" s="283"/>
      <c r="L293" s="283"/>
      <c r="M293" s="283"/>
      <c r="N293" s="283"/>
      <c r="O293" s="375" t="str">
        <f t="array" ref="O293">XLOOKUP(M293,'Recruiting Form Responses'!C:C,'Recruiting Form Responses'!A:A,"",0,1)</f>
        <v/>
      </c>
      <c r="P293" s="378"/>
      <c r="Q293" s="283"/>
      <c r="R293" s="283"/>
      <c r="S293" s="283"/>
      <c r="T293" s="283"/>
      <c r="U293" s="283"/>
      <c r="V293" s="283"/>
      <c r="W293" s="283"/>
      <c r="X293" s="283"/>
      <c r="Y293" s="283"/>
    </row>
    <row r="294">
      <c r="A294" s="283"/>
      <c r="B294" s="283"/>
      <c r="C294" s="283"/>
      <c r="D294" s="283"/>
      <c r="E294" s="283"/>
      <c r="F294" s="283"/>
      <c r="G294" s="283"/>
      <c r="H294" s="283"/>
      <c r="I294" s="283"/>
      <c r="J294" s="283"/>
      <c r="K294" s="283"/>
      <c r="L294" s="283"/>
      <c r="M294" s="283"/>
      <c r="N294" s="283"/>
      <c r="O294" s="375" t="str">
        <f t="array" ref="O294">XLOOKUP(M294,'Recruiting Form Responses'!C:C,'Recruiting Form Responses'!A:A,"",0,1)</f>
        <v/>
      </c>
      <c r="P294" s="378"/>
      <c r="Q294" s="283"/>
      <c r="R294" s="283"/>
      <c r="S294" s="283"/>
      <c r="T294" s="283"/>
      <c r="U294" s="283"/>
      <c r="V294" s="283"/>
      <c r="W294" s="283"/>
      <c r="X294" s="283"/>
      <c r="Y294" s="283"/>
    </row>
    <row r="295">
      <c r="A295" s="283"/>
      <c r="B295" s="283"/>
      <c r="C295" s="283"/>
      <c r="D295" s="283"/>
      <c r="E295" s="283"/>
      <c r="F295" s="283"/>
      <c r="G295" s="283"/>
      <c r="H295" s="283"/>
      <c r="I295" s="283"/>
      <c r="J295" s="283"/>
      <c r="K295" s="283"/>
      <c r="L295" s="283"/>
      <c r="M295" s="283"/>
      <c r="N295" s="283"/>
      <c r="O295" s="375" t="str">
        <f t="array" ref="O295">XLOOKUP(M295,'Recruiting Form Responses'!C:C,'Recruiting Form Responses'!A:A,"",0,1)</f>
        <v/>
      </c>
      <c r="P295" s="378"/>
      <c r="Q295" s="283"/>
      <c r="R295" s="283"/>
      <c r="S295" s="283"/>
      <c r="T295" s="283"/>
      <c r="U295" s="283"/>
      <c r="V295" s="283"/>
      <c r="W295" s="283"/>
      <c r="X295" s="283"/>
      <c r="Y295" s="283"/>
    </row>
    <row r="296">
      <c r="A296" s="283"/>
      <c r="B296" s="283"/>
      <c r="C296" s="283"/>
      <c r="D296" s="283"/>
      <c r="E296" s="283"/>
      <c r="F296" s="283"/>
      <c r="G296" s="283"/>
      <c r="H296" s="283"/>
      <c r="I296" s="283"/>
      <c r="J296" s="283"/>
      <c r="K296" s="283"/>
      <c r="L296" s="283"/>
      <c r="M296" s="283"/>
      <c r="N296" s="283"/>
      <c r="O296" s="375" t="str">
        <f t="array" ref="O296">XLOOKUP(M296,'Recruiting Form Responses'!C:C,'Recruiting Form Responses'!A:A,"",0,1)</f>
        <v/>
      </c>
      <c r="P296" s="378"/>
      <c r="Q296" s="283"/>
      <c r="R296" s="283"/>
      <c r="S296" s="283"/>
      <c r="T296" s="283"/>
      <c r="U296" s="283"/>
      <c r="V296" s="283"/>
      <c r="W296" s="283"/>
      <c r="X296" s="283"/>
      <c r="Y296" s="283"/>
    </row>
    <row r="297">
      <c r="A297" s="283"/>
      <c r="B297" s="283"/>
      <c r="C297" s="283"/>
      <c r="D297" s="283"/>
      <c r="E297" s="283"/>
      <c r="F297" s="283"/>
      <c r="G297" s="283"/>
      <c r="H297" s="283"/>
      <c r="I297" s="283"/>
      <c r="J297" s="283"/>
      <c r="K297" s="283"/>
      <c r="L297" s="283"/>
      <c r="M297" s="283"/>
      <c r="N297" s="283"/>
      <c r="O297" s="375" t="str">
        <f t="array" ref="O297">XLOOKUP(M297,'Recruiting Form Responses'!C:C,'Recruiting Form Responses'!A:A,"",0,1)</f>
        <v/>
      </c>
      <c r="P297" s="378"/>
      <c r="Q297" s="283"/>
      <c r="R297" s="283"/>
      <c r="S297" s="283"/>
      <c r="T297" s="283"/>
      <c r="U297" s="283"/>
      <c r="V297" s="283"/>
      <c r="W297" s="283"/>
      <c r="X297" s="283"/>
      <c r="Y297" s="283"/>
    </row>
    <row r="298">
      <c r="A298" s="283"/>
      <c r="B298" s="283"/>
      <c r="C298" s="283"/>
      <c r="D298" s="283"/>
      <c r="E298" s="283"/>
      <c r="F298" s="283"/>
      <c r="G298" s="283"/>
      <c r="H298" s="283"/>
      <c r="I298" s="283"/>
      <c r="J298" s="283"/>
      <c r="K298" s="283"/>
      <c r="L298" s="283"/>
      <c r="M298" s="283"/>
      <c r="N298" s="283"/>
      <c r="O298" s="375" t="str">
        <f t="array" ref="O298">XLOOKUP(M298,'Recruiting Form Responses'!C:C,'Recruiting Form Responses'!A:A,"",0,1)</f>
        <v/>
      </c>
      <c r="P298" s="378"/>
      <c r="Q298" s="283"/>
      <c r="R298" s="283"/>
      <c r="S298" s="283"/>
      <c r="T298" s="283"/>
      <c r="U298" s="283"/>
      <c r="V298" s="283"/>
      <c r="W298" s="283"/>
      <c r="X298" s="283"/>
      <c r="Y298" s="283"/>
    </row>
    <row r="299">
      <c r="A299" s="283"/>
      <c r="B299" s="283"/>
      <c r="C299" s="283"/>
      <c r="D299" s="283"/>
      <c r="E299" s="283"/>
      <c r="F299" s="283"/>
      <c r="G299" s="283"/>
      <c r="H299" s="283"/>
      <c r="I299" s="283"/>
      <c r="J299" s="283"/>
      <c r="K299" s="283"/>
      <c r="L299" s="283"/>
      <c r="M299" s="283"/>
      <c r="N299" s="283"/>
      <c r="O299" s="375" t="str">
        <f t="array" ref="O299">XLOOKUP(M299,'Recruiting Form Responses'!C:C,'Recruiting Form Responses'!A:A,"",0,1)</f>
        <v/>
      </c>
      <c r="P299" s="378"/>
      <c r="Q299" s="283"/>
      <c r="R299" s="283"/>
      <c r="S299" s="283"/>
      <c r="T299" s="283"/>
      <c r="U299" s="283"/>
      <c r="V299" s="283"/>
      <c r="W299" s="283"/>
      <c r="X299" s="283"/>
      <c r="Y299" s="283"/>
    </row>
    <row r="300">
      <c r="A300" s="283"/>
      <c r="B300" s="283"/>
      <c r="C300" s="283"/>
      <c r="D300" s="283"/>
      <c r="E300" s="283"/>
      <c r="F300" s="283"/>
      <c r="G300" s="283"/>
      <c r="H300" s="283"/>
      <c r="I300" s="283"/>
      <c r="J300" s="283"/>
      <c r="K300" s="283"/>
      <c r="L300" s="283"/>
      <c r="M300" s="283"/>
      <c r="N300" s="283"/>
      <c r="O300" s="375" t="str">
        <f t="array" ref="O300">XLOOKUP(M300,'Recruiting Form Responses'!C:C,'Recruiting Form Responses'!A:A,"",0,1)</f>
        <v/>
      </c>
      <c r="P300" s="378"/>
      <c r="Q300" s="283"/>
      <c r="R300" s="283"/>
      <c r="S300" s="283"/>
      <c r="T300" s="283"/>
      <c r="U300" s="283"/>
      <c r="V300" s="283"/>
      <c r="W300" s="283"/>
      <c r="X300" s="283"/>
      <c r="Y300" s="283"/>
    </row>
    <row r="301">
      <c r="A301" s="283"/>
      <c r="B301" s="283"/>
      <c r="C301" s="283"/>
      <c r="D301" s="283"/>
      <c r="E301" s="283"/>
      <c r="F301" s="283"/>
      <c r="G301" s="283"/>
      <c r="H301" s="283"/>
      <c r="I301" s="283"/>
      <c r="J301" s="283"/>
      <c r="K301" s="283"/>
      <c r="L301" s="283"/>
      <c r="M301" s="283"/>
      <c r="N301" s="283"/>
      <c r="O301" s="375" t="str">
        <f t="array" ref="O301">XLOOKUP(M301,'Recruiting Form Responses'!C:C,'Recruiting Form Responses'!A:A,"",0,1)</f>
        <v/>
      </c>
      <c r="P301" s="378"/>
      <c r="Q301" s="283"/>
      <c r="R301" s="283"/>
      <c r="S301" s="283"/>
      <c r="T301" s="283"/>
      <c r="U301" s="283"/>
      <c r="V301" s="283"/>
      <c r="W301" s="283"/>
      <c r="X301" s="283"/>
      <c r="Y301" s="283"/>
    </row>
    <row r="302">
      <c r="A302" s="283"/>
      <c r="B302" s="283"/>
      <c r="C302" s="283"/>
      <c r="D302" s="283"/>
      <c r="E302" s="283"/>
      <c r="F302" s="283"/>
      <c r="G302" s="283"/>
      <c r="H302" s="283"/>
      <c r="I302" s="283"/>
      <c r="J302" s="283"/>
      <c r="K302" s="283"/>
      <c r="L302" s="283"/>
      <c r="M302" s="283"/>
      <c r="N302" s="283"/>
      <c r="O302" s="375" t="str">
        <f t="array" ref="O302">XLOOKUP(M302,'Recruiting Form Responses'!C:C,'Recruiting Form Responses'!A:A,"",0,1)</f>
        <v/>
      </c>
      <c r="P302" s="378"/>
      <c r="Q302" s="283"/>
      <c r="R302" s="283"/>
      <c r="S302" s="283"/>
      <c r="T302" s="283"/>
      <c r="U302" s="283"/>
      <c r="V302" s="283"/>
      <c r="W302" s="283"/>
      <c r="X302" s="283"/>
      <c r="Y302" s="283"/>
    </row>
    <row r="303">
      <c r="A303" s="283"/>
      <c r="B303" s="283"/>
      <c r="C303" s="283"/>
      <c r="D303" s="283"/>
      <c r="E303" s="283"/>
      <c r="F303" s="283"/>
      <c r="G303" s="283"/>
      <c r="H303" s="283"/>
      <c r="I303" s="283"/>
      <c r="J303" s="283"/>
      <c r="K303" s="283"/>
      <c r="L303" s="283"/>
      <c r="M303" s="283"/>
      <c r="N303" s="283"/>
      <c r="O303" s="375" t="str">
        <f t="array" ref="O303">XLOOKUP(M303,'Recruiting Form Responses'!C:C,'Recruiting Form Responses'!A:A,"",0,1)</f>
        <v/>
      </c>
      <c r="P303" s="378"/>
      <c r="Q303" s="283"/>
      <c r="R303" s="283"/>
      <c r="S303" s="283"/>
      <c r="T303" s="283"/>
      <c r="U303" s="283"/>
      <c r="V303" s="283"/>
      <c r="W303" s="283"/>
      <c r="X303" s="283"/>
      <c r="Y303" s="283"/>
    </row>
    <row r="304">
      <c r="A304" s="283"/>
      <c r="B304" s="283"/>
      <c r="C304" s="283"/>
      <c r="D304" s="283"/>
      <c r="E304" s="283"/>
      <c r="F304" s="283"/>
      <c r="G304" s="283"/>
      <c r="H304" s="283"/>
      <c r="I304" s="283"/>
      <c r="J304" s="283"/>
      <c r="K304" s="283"/>
      <c r="L304" s="283"/>
      <c r="M304" s="283"/>
      <c r="N304" s="283"/>
      <c r="O304" s="375" t="str">
        <f t="array" ref="O304">XLOOKUP(M304,'Recruiting Form Responses'!C:C,'Recruiting Form Responses'!A:A,"",0,1)</f>
        <v/>
      </c>
      <c r="P304" s="378"/>
      <c r="Q304" s="283"/>
      <c r="R304" s="283"/>
      <c r="S304" s="283"/>
      <c r="T304" s="283"/>
      <c r="U304" s="283"/>
      <c r="V304" s="283"/>
      <c r="W304" s="283"/>
      <c r="X304" s="283"/>
      <c r="Y304" s="283"/>
    </row>
    <row r="305">
      <c r="A305" s="283"/>
      <c r="B305" s="283"/>
      <c r="C305" s="283"/>
      <c r="D305" s="283"/>
      <c r="E305" s="283"/>
      <c r="F305" s="283"/>
      <c r="G305" s="283"/>
      <c r="H305" s="283"/>
      <c r="I305" s="283"/>
      <c r="J305" s="283"/>
      <c r="K305" s="283"/>
      <c r="L305" s="283"/>
      <c r="M305" s="283"/>
      <c r="N305" s="283"/>
      <c r="O305" s="375" t="str">
        <f t="array" ref="O305">XLOOKUP(M305,'Recruiting Form Responses'!C:C,'Recruiting Form Responses'!A:A,"",0,1)</f>
        <v/>
      </c>
      <c r="P305" s="378"/>
      <c r="Q305" s="283"/>
      <c r="R305" s="283"/>
      <c r="S305" s="283"/>
      <c r="T305" s="283"/>
      <c r="U305" s="283"/>
      <c r="V305" s="283"/>
      <c r="W305" s="283"/>
      <c r="X305" s="283"/>
      <c r="Y305" s="283"/>
    </row>
    <row r="306">
      <c r="A306" s="283"/>
      <c r="B306" s="283"/>
      <c r="C306" s="283"/>
      <c r="D306" s="283"/>
      <c r="E306" s="283"/>
      <c r="F306" s="283"/>
      <c r="G306" s="283"/>
      <c r="H306" s="283"/>
      <c r="I306" s="283"/>
      <c r="J306" s="283"/>
      <c r="K306" s="283"/>
      <c r="L306" s="283"/>
      <c r="M306" s="283"/>
      <c r="N306" s="283"/>
      <c r="O306" s="375" t="str">
        <f t="array" ref="O306">XLOOKUP(M306,'Recruiting Form Responses'!C:C,'Recruiting Form Responses'!A:A,"",0,1)</f>
        <v/>
      </c>
      <c r="P306" s="378"/>
      <c r="Q306" s="283"/>
      <c r="R306" s="283"/>
      <c r="S306" s="283"/>
      <c r="T306" s="283"/>
      <c r="U306" s="283"/>
      <c r="V306" s="283"/>
      <c r="W306" s="283"/>
      <c r="X306" s="283"/>
      <c r="Y306" s="283"/>
    </row>
    <row r="307">
      <c r="A307" s="283"/>
      <c r="B307" s="283"/>
      <c r="C307" s="283"/>
      <c r="D307" s="283"/>
      <c r="E307" s="283"/>
      <c r="F307" s="283"/>
      <c r="G307" s="283"/>
      <c r="H307" s="283"/>
      <c r="I307" s="283"/>
      <c r="J307" s="283"/>
      <c r="K307" s="283"/>
      <c r="L307" s="283"/>
      <c r="M307" s="283"/>
      <c r="N307" s="283"/>
      <c r="O307" s="375" t="str">
        <f t="array" ref="O307">XLOOKUP(M307,'Recruiting Form Responses'!C:C,'Recruiting Form Responses'!A:A,"",0,1)</f>
        <v/>
      </c>
      <c r="P307" s="378"/>
      <c r="Q307" s="283"/>
      <c r="R307" s="283"/>
      <c r="S307" s="283"/>
      <c r="T307" s="283"/>
      <c r="U307" s="283"/>
      <c r="V307" s="283"/>
      <c r="W307" s="283"/>
      <c r="X307" s="283"/>
      <c r="Y307" s="283"/>
    </row>
    <row r="308">
      <c r="A308" s="283"/>
      <c r="B308" s="283"/>
      <c r="C308" s="283"/>
      <c r="D308" s="283"/>
      <c r="E308" s="283"/>
      <c r="F308" s="283"/>
      <c r="G308" s="283"/>
      <c r="H308" s="283"/>
      <c r="I308" s="283"/>
      <c r="J308" s="283"/>
      <c r="K308" s="283"/>
      <c r="L308" s="283"/>
      <c r="M308" s="283"/>
      <c r="N308" s="283"/>
      <c r="O308" s="375" t="str">
        <f t="array" ref="O308">XLOOKUP(M308,'Recruiting Form Responses'!C:C,'Recruiting Form Responses'!A:A,"",0,1)</f>
        <v/>
      </c>
      <c r="P308" s="378"/>
      <c r="Q308" s="283"/>
      <c r="R308" s="283"/>
      <c r="S308" s="283"/>
      <c r="T308" s="283"/>
      <c r="U308" s="283"/>
      <c r="V308" s="283"/>
      <c r="W308" s="283"/>
      <c r="X308" s="283"/>
      <c r="Y308" s="283"/>
    </row>
    <row r="309">
      <c r="A309" s="283"/>
      <c r="B309" s="283"/>
      <c r="C309" s="283"/>
      <c r="D309" s="283"/>
      <c r="E309" s="283"/>
      <c r="F309" s="283"/>
      <c r="G309" s="283"/>
      <c r="H309" s="283"/>
      <c r="I309" s="283"/>
      <c r="J309" s="283"/>
      <c r="K309" s="283"/>
      <c r="L309" s="283"/>
      <c r="M309" s="283"/>
      <c r="N309" s="283"/>
      <c r="O309" s="375" t="str">
        <f t="array" ref="O309">XLOOKUP(M309,'Recruiting Form Responses'!C:C,'Recruiting Form Responses'!A:A,"",0,1)</f>
        <v/>
      </c>
      <c r="P309" s="378"/>
      <c r="Q309" s="283"/>
      <c r="R309" s="283"/>
      <c r="S309" s="283"/>
      <c r="T309" s="283"/>
      <c r="U309" s="283"/>
      <c r="V309" s="283"/>
      <c r="W309" s="283"/>
      <c r="X309" s="283"/>
      <c r="Y309" s="283"/>
    </row>
    <row r="310">
      <c r="A310" s="283"/>
      <c r="B310" s="283"/>
      <c r="C310" s="283"/>
      <c r="D310" s="283"/>
      <c r="E310" s="283"/>
      <c r="F310" s="283"/>
      <c r="G310" s="283"/>
      <c r="H310" s="283"/>
      <c r="I310" s="283"/>
      <c r="J310" s="283"/>
      <c r="K310" s="283"/>
      <c r="L310" s="283"/>
      <c r="M310" s="283"/>
      <c r="N310" s="283"/>
      <c r="O310" s="375" t="str">
        <f t="array" ref="O310">XLOOKUP(M310,'Recruiting Form Responses'!C:C,'Recruiting Form Responses'!A:A,"",0,1)</f>
        <v/>
      </c>
      <c r="P310" s="378"/>
      <c r="Q310" s="283"/>
      <c r="R310" s="283"/>
      <c r="S310" s="283"/>
      <c r="T310" s="283"/>
      <c r="U310" s="283"/>
      <c r="V310" s="283"/>
      <c r="W310" s="283"/>
      <c r="X310" s="283"/>
      <c r="Y310" s="283"/>
    </row>
    <row r="311">
      <c r="A311" s="283"/>
      <c r="B311" s="283"/>
      <c r="C311" s="283"/>
      <c r="D311" s="283"/>
      <c r="E311" s="283"/>
      <c r="F311" s="283"/>
      <c r="G311" s="283"/>
      <c r="H311" s="283"/>
      <c r="I311" s="283"/>
      <c r="J311" s="283"/>
      <c r="K311" s="283"/>
      <c r="L311" s="283"/>
      <c r="M311" s="283"/>
      <c r="N311" s="283"/>
      <c r="O311" s="375" t="str">
        <f t="array" ref="O311">XLOOKUP(M311,'Recruiting Form Responses'!C:C,'Recruiting Form Responses'!A:A,"",0,1)</f>
        <v/>
      </c>
      <c r="P311" s="378"/>
      <c r="Q311" s="283"/>
      <c r="R311" s="283"/>
      <c r="S311" s="283"/>
      <c r="T311" s="283"/>
      <c r="U311" s="283"/>
      <c r="V311" s="283"/>
      <c r="W311" s="283"/>
      <c r="X311" s="283"/>
      <c r="Y311" s="283"/>
    </row>
    <row r="312">
      <c r="A312" s="283"/>
      <c r="B312" s="283"/>
      <c r="C312" s="283"/>
      <c r="D312" s="283"/>
      <c r="E312" s="283"/>
      <c r="F312" s="283"/>
      <c r="G312" s="283"/>
      <c r="H312" s="283"/>
      <c r="I312" s="283"/>
      <c r="J312" s="283"/>
      <c r="K312" s="283"/>
      <c r="L312" s="283"/>
      <c r="M312" s="283"/>
      <c r="N312" s="283"/>
      <c r="O312" s="375" t="str">
        <f t="array" ref="O312">XLOOKUP(M312,'Recruiting Form Responses'!C:C,'Recruiting Form Responses'!A:A,"",0,1)</f>
        <v/>
      </c>
      <c r="P312" s="378"/>
      <c r="Q312" s="283"/>
      <c r="R312" s="283"/>
      <c r="S312" s="283"/>
      <c r="T312" s="283"/>
      <c r="U312" s="283"/>
      <c r="V312" s="283"/>
      <c r="W312" s="283"/>
      <c r="X312" s="283"/>
      <c r="Y312" s="283"/>
    </row>
    <row r="313">
      <c r="A313" s="283"/>
      <c r="B313" s="283"/>
      <c r="C313" s="283"/>
      <c r="D313" s="283"/>
      <c r="E313" s="283"/>
      <c r="F313" s="283"/>
      <c r="G313" s="283"/>
      <c r="H313" s="283"/>
      <c r="I313" s="283"/>
      <c r="J313" s="283"/>
      <c r="K313" s="283"/>
      <c r="L313" s="283"/>
      <c r="M313" s="283"/>
      <c r="N313" s="283"/>
      <c r="O313" s="375" t="str">
        <f t="array" ref="O313">XLOOKUP(M313,'Recruiting Form Responses'!C:C,'Recruiting Form Responses'!A:A,"",0,1)</f>
        <v/>
      </c>
      <c r="P313" s="378"/>
      <c r="Q313" s="283"/>
      <c r="R313" s="283"/>
      <c r="S313" s="283"/>
      <c r="T313" s="283"/>
      <c r="U313" s="283"/>
      <c r="V313" s="283"/>
      <c r="W313" s="283"/>
      <c r="X313" s="283"/>
      <c r="Y313" s="283"/>
    </row>
    <row r="314">
      <c r="A314" s="283"/>
      <c r="B314" s="283"/>
      <c r="C314" s="283"/>
      <c r="D314" s="283"/>
      <c r="E314" s="283"/>
      <c r="F314" s="283"/>
      <c r="G314" s="283"/>
      <c r="H314" s="283"/>
      <c r="I314" s="283"/>
      <c r="J314" s="283"/>
      <c r="K314" s="283"/>
      <c r="L314" s="283"/>
      <c r="M314" s="283"/>
      <c r="N314" s="283"/>
      <c r="O314" s="375" t="str">
        <f t="array" ref="O314">XLOOKUP(M314,'Recruiting Form Responses'!C:C,'Recruiting Form Responses'!A:A,"",0,1)</f>
        <v/>
      </c>
      <c r="P314" s="378"/>
      <c r="Q314" s="283"/>
      <c r="R314" s="283"/>
      <c r="S314" s="283"/>
      <c r="T314" s="283"/>
      <c r="U314" s="283"/>
      <c r="V314" s="283"/>
      <c r="W314" s="283"/>
      <c r="X314" s="283"/>
      <c r="Y314" s="283"/>
    </row>
    <row r="315">
      <c r="A315" s="283"/>
      <c r="B315" s="283"/>
      <c r="C315" s="283"/>
      <c r="D315" s="283"/>
      <c r="E315" s="283"/>
      <c r="F315" s="283"/>
      <c r="G315" s="283"/>
      <c r="H315" s="283"/>
      <c r="I315" s="283"/>
      <c r="J315" s="283"/>
      <c r="K315" s="283"/>
      <c r="L315" s="283"/>
      <c r="M315" s="283"/>
      <c r="N315" s="283"/>
      <c r="O315" s="375" t="str">
        <f t="array" ref="O315">XLOOKUP(M315,'Recruiting Form Responses'!C:C,'Recruiting Form Responses'!A:A,"",0,1)</f>
        <v/>
      </c>
      <c r="P315" s="378"/>
      <c r="Q315" s="283"/>
      <c r="R315" s="283"/>
      <c r="S315" s="283"/>
      <c r="T315" s="283"/>
      <c r="U315" s="283"/>
      <c r="V315" s="283"/>
      <c r="W315" s="283"/>
      <c r="X315" s="283"/>
      <c r="Y315" s="283"/>
    </row>
    <row r="316">
      <c r="A316" s="283"/>
      <c r="B316" s="283"/>
      <c r="C316" s="283"/>
      <c r="D316" s="283"/>
      <c r="E316" s="283"/>
      <c r="F316" s="283"/>
      <c r="G316" s="283"/>
      <c r="H316" s="283"/>
      <c r="I316" s="283"/>
      <c r="J316" s="283"/>
      <c r="K316" s="283"/>
      <c r="L316" s="283"/>
      <c r="M316" s="283"/>
      <c r="N316" s="283"/>
      <c r="O316" s="375" t="str">
        <f t="array" ref="O316">XLOOKUP(M316,'Recruiting Form Responses'!C:C,'Recruiting Form Responses'!A:A,"",0,1)</f>
        <v/>
      </c>
      <c r="P316" s="378"/>
      <c r="Q316" s="283"/>
      <c r="R316" s="283"/>
      <c r="S316" s="283"/>
      <c r="T316" s="283"/>
      <c r="U316" s="283"/>
      <c r="V316" s="283"/>
      <c r="W316" s="283"/>
      <c r="X316" s="283"/>
      <c r="Y316" s="283"/>
    </row>
    <row r="317">
      <c r="A317" s="283"/>
      <c r="B317" s="283"/>
      <c r="C317" s="283"/>
      <c r="D317" s="283"/>
      <c r="E317" s="283"/>
      <c r="F317" s="283"/>
      <c r="G317" s="283"/>
      <c r="H317" s="283"/>
      <c r="I317" s="283"/>
      <c r="J317" s="283"/>
      <c r="K317" s="283"/>
      <c r="L317" s="283"/>
      <c r="M317" s="283"/>
      <c r="N317" s="283"/>
      <c r="O317" s="375" t="str">
        <f t="array" ref="O317">XLOOKUP(M317,'Recruiting Form Responses'!C:C,'Recruiting Form Responses'!A:A,"",0,1)</f>
        <v/>
      </c>
      <c r="P317" s="378"/>
      <c r="Q317" s="283"/>
      <c r="R317" s="283"/>
      <c r="S317" s="283"/>
      <c r="T317" s="283"/>
      <c r="U317" s="283"/>
      <c r="V317" s="283"/>
      <c r="W317" s="283"/>
      <c r="X317" s="283"/>
      <c r="Y317" s="283"/>
    </row>
    <row r="318">
      <c r="A318" s="283"/>
      <c r="B318" s="283"/>
      <c r="C318" s="283"/>
      <c r="D318" s="283"/>
      <c r="E318" s="283"/>
      <c r="F318" s="283"/>
      <c r="G318" s="283"/>
      <c r="H318" s="283"/>
      <c r="I318" s="283"/>
      <c r="J318" s="283"/>
      <c r="K318" s="283"/>
      <c r="L318" s="283"/>
      <c r="M318" s="283"/>
      <c r="N318" s="283"/>
      <c r="O318" s="375" t="str">
        <f t="array" ref="O318">XLOOKUP(M318,'Recruiting Form Responses'!C:C,'Recruiting Form Responses'!A:A,"",0,1)</f>
        <v/>
      </c>
      <c r="P318" s="378"/>
      <c r="Q318" s="283"/>
      <c r="R318" s="283"/>
      <c r="S318" s="283"/>
      <c r="T318" s="283"/>
      <c r="U318" s="283"/>
      <c r="V318" s="283"/>
      <c r="W318" s="283"/>
      <c r="X318" s="283"/>
      <c r="Y318" s="283"/>
    </row>
    <row r="319">
      <c r="A319" s="283"/>
      <c r="B319" s="283"/>
      <c r="C319" s="283"/>
      <c r="D319" s="283"/>
      <c r="E319" s="283"/>
      <c r="F319" s="283"/>
      <c r="G319" s="283"/>
      <c r="H319" s="283"/>
      <c r="I319" s="283"/>
      <c r="J319" s="283"/>
      <c r="K319" s="283"/>
      <c r="L319" s="283"/>
      <c r="M319" s="283"/>
      <c r="N319" s="283"/>
      <c r="O319" s="375" t="str">
        <f t="array" ref="O319">XLOOKUP(M319,'Recruiting Form Responses'!C:C,'Recruiting Form Responses'!A:A,"",0,1)</f>
        <v/>
      </c>
      <c r="P319" s="378"/>
      <c r="Q319" s="283"/>
      <c r="R319" s="283"/>
      <c r="S319" s="283"/>
      <c r="T319" s="283"/>
      <c r="U319" s="283"/>
      <c r="V319" s="283"/>
      <c r="W319" s="283"/>
      <c r="X319" s="283"/>
      <c r="Y319" s="283"/>
    </row>
    <row r="320">
      <c r="A320" s="283"/>
      <c r="B320" s="283"/>
      <c r="C320" s="283"/>
      <c r="D320" s="283"/>
      <c r="E320" s="283"/>
      <c r="F320" s="283"/>
      <c r="G320" s="283"/>
      <c r="H320" s="283"/>
      <c r="I320" s="283"/>
      <c r="J320" s="283"/>
      <c r="K320" s="283"/>
      <c r="L320" s="283"/>
      <c r="M320" s="283"/>
      <c r="N320" s="283"/>
      <c r="O320" s="375" t="str">
        <f t="array" ref="O320">XLOOKUP(M320,'Recruiting Form Responses'!C:C,'Recruiting Form Responses'!A:A,"",0,1)</f>
        <v/>
      </c>
      <c r="P320" s="378"/>
      <c r="Q320" s="283"/>
      <c r="R320" s="283"/>
      <c r="S320" s="283"/>
      <c r="T320" s="283"/>
      <c r="U320" s="283"/>
      <c r="V320" s="283"/>
      <c r="W320" s="283"/>
      <c r="X320" s="283"/>
      <c r="Y320" s="283"/>
    </row>
    <row r="321">
      <c r="A321" s="283"/>
      <c r="B321" s="283"/>
      <c r="C321" s="283"/>
      <c r="D321" s="283"/>
      <c r="E321" s="283"/>
      <c r="F321" s="283"/>
      <c r="G321" s="283"/>
      <c r="H321" s="283"/>
      <c r="I321" s="283"/>
      <c r="J321" s="283"/>
      <c r="K321" s="283"/>
      <c r="L321" s="283"/>
      <c r="M321" s="283"/>
      <c r="N321" s="283"/>
      <c r="O321" s="375" t="str">
        <f t="array" ref="O321">XLOOKUP(M321,'Recruiting Form Responses'!C:C,'Recruiting Form Responses'!A:A,"",0,1)</f>
        <v/>
      </c>
      <c r="P321" s="378"/>
      <c r="Q321" s="283"/>
      <c r="R321" s="283"/>
      <c r="S321" s="283"/>
      <c r="T321" s="283"/>
      <c r="U321" s="283"/>
      <c r="V321" s="283"/>
      <c r="W321" s="283"/>
      <c r="X321" s="283"/>
      <c r="Y321" s="283"/>
    </row>
    <row r="322">
      <c r="A322" s="283"/>
      <c r="B322" s="283"/>
      <c r="C322" s="283"/>
      <c r="D322" s="283"/>
      <c r="E322" s="283"/>
      <c r="F322" s="283"/>
      <c r="G322" s="283"/>
      <c r="H322" s="283"/>
      <c r="I322" s="283"/>
      <c r="J322" s="283"/>
      <c r="K322" s="283"/>
      <c r="L322" s="283"/>
      <c r="M322" s="283"/>
      <c r="N322" s="283"/>
      <c r="O322" s="375" t="str">
        <f t="array" ref="O322">XLOOKUP(M322,'Recruiting Form Responses'!C:C,'Recruiting Form Responses'!A:A,"",0,1)</f>
        <v/>
      </c>
      <c r="P322" s="378"/>
      <c r="Q322" s="283"/>
      <c r="R322" s="283"/>
      <c r="S322" s="283"/>
      <c r="T322" s="283"/>
      <c r="U322" s="283"/>
      <c r="V322" s="283"/>
      <c r="W322" s="283"/>
      <c r="X322" s="283"/>
      <c r="Y322" s="283"/>
    </row>
    <row r="323">
      <c r="A323" s="283"/>
      <c r="B323" s="283"/>
      <c r="C323" s="283"/>
      <c r="D323" s="283"/>
      <c r="E323" s="283"/>
      <c r="F323" s="283"/>
      <c r="G323" s="283"/>
      <c r="H323" s="283"/>
      <c r="I323" s="283"/>
      <c r="J323" s="283"/>
      <c r="K323" s="283"/>
      <c r="L323" s="283"/>
      <c r="M323" s="283"/>
      <c r="N323" s="283"/>
      <c r="O323" s="375" t="str">
        <f t="array" ref="O323">XLOOKUP(M323,'Recruiting Form Responses'!C:C,'Recruiting Form Responses'!A:A,"",0,1)</f>
        <v/>
      </c>
      <c r="P323" s="378"/>
      <c r="Q323" s="283"/>
      <c r="R323" s="283"/>
      <c r="S323" s="283"/>
      <c r="T323" s="283"/>
      <c r="U323" s="283"/>
      <c r="V323" s="283"/>
      <c r="W323" s="283"/>
      <c r="X323" s="283"/>
      <c r="Y323" s="283"/>
    </row>
    <row r="324">
      <c r="A324" s="283"/>
      <c r="B324" s="283"/>
      <c r="C324" s="283"/>
      <c r="D324" s="283"/>
      <c r="E324" s="283"/>
      <c r="F324" s="283"/>
      <c r="G324" s="283"/>
      <c r="H324" s="283"/>
      <c r="I324" s="283"/>
      <c r="J324" s="283"/>
      <c r="K324" s="283"/>
      <c r="L324" s="283"/>
      <c r="M324" s="283"/>
      <c r="N324" s="283"/>
      <c r="O324" s="375" t="str">
        <f t="array" ref="O324">XLOOKUP(M324,'Recruiting Form Responses'!C:C,'Recruiting Form Responses'!A:A,"",0,1)</f>
        <v/>
      </c>
      <c r="P324" s="378"/>
      <c r="Q324" s="283"/>
      <c r="R324" s="283"/>
      <c r="S324" s="283"/>
      <c r="T324" s="283"/>
      <c r="U324" s="283"/>
      <c r="V324" s="283"/>
      <c r="W324" s="283"/>
      <c r="X324" s="283"/>
      <c r="Y324" s="283"/>
    </row>
    <row r="325">
      <c r="A325" s="283"/>
      <c r="B325" s="283"/>
      <c r="C325" s="283"/>
      <c r="D325" s="283"/>
      <c r="E325" s="283"/>
      <c r="F325" s="283"/>
      <c r="G325" s="283"/>
      <c r="H325" s="283"/>
      <c r="I325" s="283"/>
      <c r="J325" s="283"/>
      <c r="K325" s="283"/>
      <c r="L325" s="283"/>
      <c r="M325" s="283"/>
      <c r="N325" s="283"/>
      <c r="O325" s="375" t="str">
        <f t="array" ref="O325">XLOOKUP(M325,'Recruiting Form Responses'!C:C,'Recruiting Form Responses'!A:A,"",0,1)</f>
        <v/>
      </c>
      <c r="P325" s="378"/>
      <c r="Q325" s="283"/>
      <c r="R325" s="283"/>
      <c r="S325" s="283"/>
      <c r="T325" s="283"/>
      <c r="U325" s="283"/>
      <c r="V325" s="283"/>
      <c r="W325" s="283"/>
      <c r="X325" s="283"/>
      <c r="Y325" s="283"/>
    </row>
    <row r="326">
      <c r="A326" s="283"/>
      <c r="B326" s="283"/>
      <c r="C326" s="283"/>
      <c r="D326" s="283"/>
      <c r="E326" s="283"/>
      <c r="F326" s="283"/>
      <c r="G326" s="283"/>
      <c r="H326" s="283"/>
      <c r="I326" s="283"/>
      <c r="J326" s="283"/>
      <c r="K326" s="283"/>
      <c r="L326" s="283"/>
      <c r="M326" s="283"/>
      <c r="N326" s="283"/>
      <c r="O326" s="375" t="str">
        <f t="array" ref="O326">XLOOKUP(M326,'Recruiting Form Responses'!C:C,'Recruiting Form Responses'!A:A,"",0,1)</f>
        <v/>
      </c>
      <c r="P326" s="378"/>
      <c r="Q326" s="283"/>
      <c r="R326" s="283"/>
      <c r="S326" s="283"/>
      <c r="T326" s="283"/>
      <c r="U326" s="283"/>
      <c r="V326" s="283"/>
      <c r="W326" s="283"/>
      <c r="X326" s="283"/>
      <c r="Y326" s="283"/>
    </row>
    <row r="327">
      <c r="A327" s="283"/>
      <c r="B327" s="283"/>
      <c r="C327" s="283"/>
      <c r="D327" s="283"/>
      <c r="E327" s="283"/>
      <c r="F327" s="283"/>
      <c r="G327" s="283"/>
      <c r="H327" s="283"/>
      <c r="I327" s="283"/>
      <c r="J327" s="283"/>
      <c r="K327" s="283"/>
      <c r="L327" s="283"/>
      <c r="M327" s="283"/>
      <c r="N327" s="283"/>
      <c r="O327" s="375" t="str">
        <f t="array" ref="O327">XLOOKUP(M327,'Recruiting Form Responses'!C:C,'Recruiting Form Responses'!A:A,"",0,1)</f>
        <v/>
      </c>
      <c r="P327" s="378"/>
      <c r="Q327" s="283"/>
      <c r="R327" s="283"/>
      <c r="S327" s="283"/>
      <c r="T327" s="283"/>
      <c r="U327" s="283"/>
      <c r="V327" s="283"/>
      <c r="W327" s="283"/>
      <c r="X327" s="283"/>
      <c r="Y327" s="283"/>
    </row>
    <row r="328">
      <c r="A328" s="283"/>
      <c r="B328" s="283"/>
      <c r="C328" s="283"/>
      <c r="D328" s="283"/>
      <c r="E328" s="283"/>
      <c r="F328" s="283"/>
      <c r="G328" s="283"/>
      <c r="H328" s="283"/>
      <c r="I328" s="283"/>
      <c r="J328" s="283"/>
      <c r="K328" s="283"/>
      <c r="L328" s="283"/>
      <c r="M328" s="283"/>
      <c r="N328" s="283"/>
      <c r="O328" s="375" t="str">
        <f t="array" ref="O328">XLOOKUP(M328,'Recruiting Form Responses'!C:C,'Recruiting Form Responses'!A:A,"",0,1)</f>
        <v/>
      </c>
      <c r="P328" s="378"/>
      <c r="Q328" s="283"/>
      <c r="R328" s="283"/>
      <c r="S328" s="283"/>
      <c r="T328" s="283"/>
      <c r="U328" s="283"/>
      <c r="V328" s="283"/>
      <c r="W328" s="283"/>
      <c r="X328" s="283"/>
      <c r="Y328" s="283"/>
    </row>
    <row r="329">
      <c r="A329" s="283"/>
      <c r="B329" s="283"/>
      <c r="C329" s="283"/>
      <c r="D329" s="283"/>
      <c r="E329" s="283"/>
      <c r="F329" s="283"/>
      <c r="G329" s="283"/>
      <c r="H329" s="283"/>
      <c r="I329" s="283"/>
      <c r="J329" s="283"/>
      <c r="K329" s="283"/>
      <c r="L329" s="283"/>
      <c r="M329" s="283"/>
      <c r="N329" s="283"/>
      <c r="O329" s="375" t="str">
        <f t="array" ref="O329">XLOOKUP(M329,'Recruiting Form Responses'!C:C,'Recruiting Form Responses'!A:A,"",0,1)</f>
        <v/>
      </c>
      <c r="P329" s="378"/>
      <c r="Q329" s="283"/>
      <c r="R329" s="283"/>
      <c r="S329" s="283"/>
      <c r="T329" s="283"/>
      <c r="U329" s="283"/>
      <c r="V329" s="283"/>
      <c r="W329" s="283"/>
      <c r="X329" s="283"/>
      <c r="Y329" s="283"/>
    </row>
    <row r="330">
      <c r="A330" s="283"/>
      <c r="B330" s="283"/>
      <c r="C330" s="283"/>
      <c r="D330" s="283"/>
      <c r="E330" s="283"/>
      <c r="F330" s="283"/>
      <c r="G330" s="283"/>
      <c r="H330" s="283"/>
      <c r="I330" s="283"/>
      <c r="J330" s="283"/>
      <c r="K330" s="283"/>
      <c r="L330" s="283"/>
      <c r="M330" s="283"/>
      <c r="N330" s="283"/>
      <c r="O330" s="375" t="str">
        <f t="array" ref="O330">XLOOKUP(M330,'Recruiting Form Responses'!C:C,'Recruiting Form Responses'!A:A,"",0,1)</f>
        <v/>
      </c>
      <c r="P330" s="378"/>
      <c r="Q330" s="283"/>
      <c r="R330" s="283"/>
      <c r="S330" s="283"/>
      <c r="T330" s="283"/>
      <c r="U330" s="283"/>
      <c r="V330" s="283"/>
      <c r="W330" s="283"/>
      <c r="X330" s="283"/>
      <c r="Y330" s="283"/>
    </row>
    <row r="331">
      <c r="A331" s="283"/>
      <c r="B331" s="283"/>
      <c r="C331" s="283"/>
      <c r="D331" s="283"/>
      <c r="E331" s="283"/>
      <c r="F331" s="283"/>
      <c r="G331" s="283"/>
      <c r="H331" s="283"/>
      <c r="I331" s="283"/>
      <c r="J331" s="283"/>
      <c r="K331" s="283"/>
      <c r="L331" s="283"/>
      <c r="M331" s="283"/>
      <c r="N331" s="283"/>
      <c r="O331" s="375" t="str">
        <f t="array" ref="O331">XLOOKUP(M331,'Recruiting Form Responses'!C:C,'Recruiting Form Responses'!A:A,"",0,1)</f>
        <v/>
      </c>
      <c r="P331" s="378"/>
      <c r="Q331" s="283"/>
      <c r="R331" s="283"/>
      <c r="S331" s="283"/>
      <c r="T331" s="283"/>
      <c r="U331" s="283"/>
      <c r="V331" s="283"/>
      <c r="W331" s="283"/>
      <c r="X331" s="283"/>
      <c r="Y331" s="283"/>
    </row>
    <row r="332">
      <c r="A332" s="283"/>
      <c r="B332" s="283"/>
      <c r="C332" s="283"/>
      <c r="D332" s="283"/>
      <c r="E332" s="283"/>
      <c r="F332" s="283"/>
      <c r="G332" s="283"/>
      <c r="H332" s="283"/>
      <c r="I332" s="283"/>
      <c r="J332" s="283"/>
      <c r="K332" s="283"/>
      <c r="L332" s="283"/>
      <c r="M332" s="283"/>
      <c r="N332" s="283"/>
      <c r="O332" s="375" t="str">
        <f t="array" ref="O332">XLOOKUP(M332,'Recruiting Form Responses'!C:C,'Recruiting Form Responses'!A:A,"",0,1)</f>
        <v/>
      </c>
      <c r="P332" s="378"/>
      <c r="Q332" s="283"/>
      <c r="R332" s="283"/>
      <c r="S332" s="283"/>
      <c r="T332" s="283"/>
      <c r="U332" s="283"/>
      <c r="V332" s="283"/>
      <c r="W332" s="283"/>
      <c r="X332" s="283"/>
      <c r="Y332" s="283"/>
    </row>
    <row r="333">
      <c r="A333" s="283"/>
      <c r="B333" s="283"/>
      <c r="C333" s="283"/>
      <c r="D333" s="283"/>
      <c r="E333" s="283"/>
      <c r="F333" s="283"/>
      <c r="G333" s="283"/>
      <c r="H333" s="283"/>
      <c r="I333" s="283"/>
      <c r="J333" s="283"/>
      <c r="K333" s="283"/>
      <c r="L333" s="283"/>
      <c r="M333" s="283"/>
      <c r="N333" s="283"/>
      <c r="O333" s="375" t="str">
        <f t="array" ref="O333">XLOOKUP(M333,'Recruiting Form Responses'!C:C,'Recruiting Form Responses'!A:A,"",0,1)</f>
        <v/>
      </c>
      <c r="P333" s="378"/>
      <c r="Q333" s="283"/>
      <c r="R333" s="283"/>
      <c r="S333" s="283"/>
      <c r="T333" s="283"/>
      <c r="U333" s="283"/>
      <c r="V333" s="283"/>
      <c r="W333" s="283"/>
      <c r="X333" s="283"/>
      <c r="Y333" s="283"/>
    </row>
    <row r="334">
      <c r="A334" s="283"/>
      <c r="B334" s="283"/>
      <c r="C334" s="283"/>
      <c r="D334" s="283"/>
      <c r="E334" s="283"/>
      <c r="F334" s="283"/>
      <c r="G334" s="283"/>
      <c r="H334" s="283"/>
      <c r="I334" s="283"/>
      <c r="J334" s="283"/>
      <c r="K334" s="283"/>
      <c r="L334" s="283"/>
      <c r="M334" s="283"/>
      <c r="N334" s="283"/>
      <c r="O334" s="375" t="str">
        <f t="array" ref="O334">XLOOKUP(M334,'Recruiting Form Responses'!C:C,'Recruiting Form Responses'!A:A,"",0,1)</f>
        <v/>
      </c>
      <c r="P334" s="378"/>
      <c r="Q334" s="283"/>
      <c r="R334" s="283"/>
      <c r="S334" s="283"/>
      <c r="T334" s="283"/>
      <c r="U334" s="283"/>
      <c r="V334" s="283"/>
      <c r="W334" s="283"/>
      <c r="X334" s="283"/>
      <c r="Y334" s="283"/>
    </row>
    <row r="335">
      <c r="A335" s="283"/>
      <c r="B335" s="283"/>
      <c r="C335" s="283"/>
      <c r="D335" s="283"/>
      <c r="E335" s="283"/>
      <c r="F335" s="283"/>
      <c r="G335" s="283"/>
      <c r="H335" s="283"/>
      <c r="I335" s="283"/>
      <c r="J335" s="283"/>
      <c r="K335" s="283"/>
      <c r="L335" s="283"/>
      <c r="M335" s="283"/>
      <c r="N335" s="283"/>
      <c r="O335" s="375" t="str">
        <f t="array" ref="O335">XLOOKUP(M335,'Recruiting Form Responses'!C:C,'Recruiting Form Responses'!A:A,"",0,1)</f>
        <v/>
      </c>
      <c r="P335" s="378"/>
      <c r="Q335" s="283"/>
      <c r="R335" s="283"/>
      <c r="S335" s="283"/>
      <c r="T335" s="283"/>
      <c r="U335" s="283"/>
      <c r="V335" s="283"/>
      <c r="W335" s="283"/>
      <c r="X335" s="283"/>
      <c r="Y335" s="283"/>
    </row>
    <row r="336">
      <c r="A336" s="283"/>
      <c r="B336" s="283"/>
      <c r="C336" s="283"/>
      <c r="D336" s="283"/>
      <c r="E336" s="283"/>
      <c r="F336" s="283"/>
      <c r="G336" s="283"/>
      <c r="H336" s="283"/>
      <c r="I336" s="283"/>
      <c r="J336" s="283"/>
      <c r="K336" s="283"/>
      <c r="L336" s="283"/>
      <c r="M336" s="283"/>
      <c r="N336" s="283"/>
      <c r="O336" s="375" t="str">
        <f t="array" ref="O336">XLOOKUP(M336,'Recruiting Form Responses'!C:C,'Recruiting Form Responses'!A:A,"",0,1)</f>
        <v/>
      </c>
      <c r="P336" s="378"/>
      <c r="Q336" s="283"/>
      <c r="R336" s="283"/>
      <c r="S336" s="283"/>
      <c r="T336" s="283"/>
      <c r="U336" s="283"/>
      <c r="V336" s="283"/>
      <c r="W336" s="283"/>
      <c r="X336" s="283"/>
      <c r="Y336" s="283"/>
    </row>
    <row r="337">
      <c r="A337" s="283"/>
      <c r="B337" s="283"/>
      <c r="C337" s="283"/>
      <c r="D337" s="283"/>
      <c r="E337" s="283"/>
      <c r="F337" s="283"/>
      <c r="G337" s="283"/>
      <c r="H337" s="283"/>
      <c r="I337" s="283"/>
      <c r="J337" s="283"/>
      <c r="K337" s="283"/>
      <c r="L337" s="283"/>
      <c r="M337" s="283"/>
      <c r="N337" s="283"/>
      <c r="O337" s="375" t="str">
        <f t="array" ref="O337">XLOOKUP(M337,'Recruiting Form Responses'!C:C,'Recruiting Form Responses'!A:A,"",0,1)</f>
        <v/>
      </c>
      <c r="P337" s="378"/>
      <c r="Q337" s="283"/>
      <c r="R337" s="283"/>
      <c r="S337" s="283"/>
      <c r="T337" s="283"/>
      <c r="U337" s="283"/>
      <c r="V337" s="283"/>
      <c r="W337" s="283"/>
      <c r="X337" s="283"/>
      <c r="Y337" s="283"/>
    </row>
    <row r="338">
      <c r="A338" s="283"/>
      <c r="B338" s="283"/>
      <c r="C338" s="283"/>
      <c r="D338" s="283"/>
      <c r="E338" s="283"/>
      <c r="F338" s="283"/>
      <c r="G338" s="283"/>
      <c r="H338" s="283"/>
      <c r="I338" s="283"/>
      <c r="J338" s="283"/>
      <c r="K338" s="283"/>
      <c r="L338" s="283"/>
      <c r="M338" s="283"/>
      <c r="N338" s="283"/>
      <c r="O338" s="375" t="str">
        <f t="array" ref="O338">XLOOKUP(M338,'Recruiting Form Responses'!C:C,'Recruiting Form Responses'!A:A,"",0,1)</f>
        <v/>
      </c>
      <c r="P338" s="378"/>
      <c r="Q338" s="283"/>
      <c r="R338" s="283"/>
      <c r="S338" s="283"/>
      <c r="T338" s="283"/>
      <c r="U338" s="283"/>
      <c r="V338" s="283"/>
      <c r="W338" s="283"/>
      <c r="X338" s="283"/>
      <c r="Y338" s="283"/>
    </row>
    <row r="339">
      <c r="A339" s="283"/>
      <c r="B339" s="283"/>
      <c r="C339" s="283"/>
      <c r="D339" s="283"/>
      <c r="E339" s="283"/>
      <c r="F339" s="283"/>
      <c r="G339" s="283"/>
      <c r="H339" s="283"/>
      <c r="I339" s="283"/>
      <c r="J339" s="283"/>
      <c r="K339" s="283"/>
      <c r="L339" s="283"/>
      <c r="M339" s="283"/>
      <c r="N339" s="283"/>
      <c r="O339" s="375" t="str">
        <f t="array" ref="O339">XLOOKUP(M339,'Recruiting Form Responses'!C:C,'Recruiting Form Responses'!A:A,"",0,1)</f>
        <v/>
      </c>
      <c r="P339" s="378"/>
      <c r="Q339" s="283"/>
      <c r="R339" s="283"/>
      <c r="S339" s="283"/>
      <c r="T339" s="283"/>
      <c r="U339" s="283"/>
      <c r="V339" s="283"/>
      <c r="W339" s="283"/>
      <c r="X339" s="283"/>
      <c r="Y339" s="283"/>
    </row>
    <row r="340">
      <c r="A340" s="283"/>
      <c r="B340" s="283"/>
      <c r="C340" s="283"/>
      <c r="D340" s="283"/>
      <c r="E340" s="283"/>
      <c r="F340" s="283"/>
      <c r="G340" s="283"/>
      <c r="H340" s="283"/>
      <c r="I340" s="283"/>
      <c r="J340" s="283"/>
      <c r="K340" s="283"/>
      <c r="L340" s="283"/>
      <c r="M340" s="283"/>
      <c r="N340" s="283"/>
      <c r="O340" s="375" t="str">
        <f t="array" ref="O340">XLOOKUP(M340,'Recruiting Form Responses'!C:C,'Recruiting Form Responses'!A:A,"",0,1)</f>
        <v/>
      </c>
      <c r="P340" s="378"/>
      <c r="Q340" s="283"/>
      <c r="R340" s="283"/>
      <c r="S340" s="283"/>
      <c r="T340" s="283"/>
      <c r="U340" s="283"/>
      <c r="V340" s="283"/>
      <c r="W340" s="283"/>
      <c r="X340" s="283"/>
      <c r="Y340" s="283"/>
    </row>
    <row r="341">
      <c r="A341" s="283"/>
      <c r="B341" s="283"/>
      <c r="C341" s="283"/>
      <c r="D341" s="283"/>
      <c r="E341" s="283"/>
      <c r="F341" s="283"/>
      <c r="G341" s="283"/>
      <c r="H341" s="283"/>
      <c r="I341" s="283"/>
      <c r="J341" s="283"/>
      <c r="K341" s="283"/>
      <c r="L341" s="283"/>
      <c r="M341" s="283"/>
      <c r="N341" s="283"/>
      <c r="O341" s="375" t="str">
        <f t="array" ref="O341">XLOOKUP(M341,'Recruiting Form Responses'!C:C,'Recruiting Form Responses'!A:A,"",0,1)</f>
        <v/>
      </c>
      <c r="P341" s="378"/>
      <c r="Q341" s="283"/>
      <c r="R341" s="283"/>
      <c r="S341" s="283"/>
      <c r="T341" s="283"/>
      <c r="U341" s="283"/>
      <c r="V341" s="283"/>
      <c r="W341" s="283"/>
      <c r="X341" s="283"/>
      <c r="Y341" s="283"/>
    </row>
    <row r="342">
      <c r="A342" s="283"/>
      <c r="B342" s="283"/>
      <c r="C342" s="283"/>
      <c r="D342" s="283"/>
      <c r="E342" s="283"/>
      <c r="F342" s="283"/>
      <c r="G342" s="283"/>
      <c r="H342" s="283"/>
      <c r="I342" s="283"/>
      <c r="J342" s="283"/>
      <c r="K342" s="283"/>
      <c r="L342" s="283"/>
      <c r="M342" s="283"/>
      <c r="N342" s="283"/>
      <c r="O342" s="375" t="str">
        <f t="array" ref="O342">XLOOKUP(M342,'Recruiting Form Responses'!C:C,'Recruiting Form Responses'!A:A,"",0,1)</f>
        <v/>
      </c>
      <c r="P342" s="378"/>
      <c r="Q342" s="283"/>
      <c r="R342" s="283"/>
      <c r="S342" s="283"/>
      <c r="T342" s="283"/>
      <c r="U342" s="283"/>
      <c r="V342" s="283"/>
      <c r="W342" s="283"/>
      <c r="X342" s="283"/>
      <c r="Y342" s="283"/>
    </row>
    <row r="343">
      <c r="A343" s="283"/>
      <c r="B343" s="283"/>
      <c r="C343" s="283"/>
      <c r="D343" s="283"/>
      <c r="E343" s="283"/>
      <c r="F343" s="283"/>
      <c r="G343" s="283"/>
      <c r="H343" s="283"/>
      <c r="I343" s="283"/>
      <c r="J343" s="283"/>
      <c r="K343" s="283"/>
      <c r="L343" s="283"/>
      <c r="M343" s="283"/>
      <c r="N343" s="283"/>
      <c r="O343" s="375" t="str">
        <f t="array" ref="O343">XLOOKUP(M343,'Recruiting Form Responses'!C:C,'Recruiting Form Responses'!A:A,"",0,1)</f>
        <v/>
      </c>
      <c r="P343" s="378"/>
      <c r="Q343" s="283"/>
      <c r="R343" s="283"/>
      <c r="S343" s="283"/>
      <c r="T343" s="283"/>
      <c r="U343" s="283"/>
      <c r="V343" s="283"/>
      <c r="W343" s="283"/>
      <c r="X343" s="283"/>
      <c r="Y343" s="283"/>
    </row>
    <row r="344">
      <c r="A344" s="283"/>
      <c r="B344" s="283"/>
      <c r="C344" s="283"/>
      <c r="D344" s="283"/>
      <c r="E344" s="283"/>
      <c r="F344" s="283"/>
      <c r="G344" s="283"/>
      <c r="H344" s="283"/>
      <c r="I344" s="283"/>
      <c r="J344" s="283"/>
      <c r="K344" s="283"/>
      <c r="L344" s="283"/>
      <c r="M344" s="283"/>
      <c r="N344" s="283"/>
      <c r="O344" s="375" t="str">
        <f t="array" ref="O344">XLOOKUP(M344,'Recruiting Form Responses'!C:C,'Recruiting Form Responses'!A:A,"",0,1)</f>
        <v/>
      </c>
      <c r="P344" s="378"/>
      <c r="Q344" s="283"/>
      <c r="R344" s="283"/>
      <c r="S344" s="283"/>
      <c r="T344" s="283"/>
      <c r="U344" s="283"/>
      <c r="V344" s="283"/>
      <c r="W344" s="283"/>
      <c r="X344" s="283"/>
      <c r="Y344" s="283"/>
    </row>
    <row r="345">
      <c r="A345" s="283"/>
      <c r="B345" s="283"/>
      <c r="C345" s="283"/>
      <c r="D345" s="283"/>
      <c r="E345" s="283"/>
      <c r="F345" s="283"/>
      <c r="G345" s="283"/>
      <c r="H345" s="283"/>
      <c r="I345" s="283"/>
      <c r="J345" s="283"/>
      <c r="K345" s="283"/>
      <c r="L345" s="283"/>
      <c r="M345" s="283"/>
      <c r="N345" s="283"/>
      <c r="O345" s="375" t="str">
        <f t="array" ref="O345">XLOOKUP(M345,'Recruiting Form Responses'!C:C,'Recruiting Form Responses'!A:A,"",0,1)</f>
        <v/>
      </c>
      <c r="P345" s="378"/>
      <c r="Q345" s="283"/>
      <c r="R345" s="283"/>
      <c r="S345" s="283"/>
      <c r="T345" s="283"/>
      <c r="U345" s="283"/>
      <c r="V345" s="283"/>
      <c r="W345" s="283"/>
      <c r="X345" s="283"/>
      <c r="Y345" s="283"/>
    </row>
    <row r="346">
      <c r="A346" s="283"/>
      <c r="B346" s="283"/>
      <c r="C346" s="283"/>
      <c r="D346" s="283"/>
      <c r="E346" s="283"/>
      <c r="F346" s="283"/>
      <c r="G346" s="283"/>
      <c r="H346" s="283"/>
      <c r="I346" s="283"/>
      <c r="J346" s="283"/>
      <c r="K346" s="283"/>
      <c r="L346" s="283"/>
      <c r="M346" s="283"/>
      <c r="N346" s="283"/>
      <c r="O346" s="375" t="str">
        <f t="array" ref="O346">XLOOKUP(M346,'Recruiting Form Responses'!C:C,'Recruiting Form Responses'!A:A,"",0,1)</f>
        <v/>
      </c>
      <c r="P346" s="378"/>
      <c r="Q346" s="283"/>
      <c r="R346" s="283"/>
      <c r="S346" s="283"/>
      <c r="T346" s="283"/>
      <c r="U346" s="283"/>
      <c r="V346" s="283"/>
      <c r="W346" s="283"/>
      <c r="X346" s="283"/>
      <c r="Y346" s="283"/>
    </row>
    <row r="347">
      <c r="A347" s="283"/>
      <c r="B347" s="283"/>
      <c r="C347" s="283"/>
      <c r="D347" s="283"/>
      <c r="E347" s="283"/>
      <c r="F347" s="283"/>
      <c r="G347" s="283"/>
      <c r="H347" s="283"/>
      <c r="I347" s="283"/>
      <c r="J347" s="283"/>
      <c r="K347" s="283"/>
      <c r="L347" s="283"/>
      <c r="M347" s="283"/>
      <c r="N347" s="283"/>
      <c r="O347" s="375" t="str">
        <f t="array" ref="O347">XLOOKUP(M347,'Recruiting Form Responses'!C:C,'Recruiting Form Responses'!A:A,"",0,1)</f>
        <v/>
      </c>
      <c r="P347" s="378"/>
      <c r="Q347" s="283"/>
      <c r="R347" s="283"/>
      <c r="S347" s="283"/>
      <c r="T347" s="283"/>
      <c r="U347" s="283"/>
      <c r="V347" s="283"/>
      <c r="W347" s="283"/>
      <c r="X347" s="283"/>
      <c r="Y347" s="283"/>
    </row>
    <row r="348">
      <c r="A348" s="283"/>
      <c r="B348" s="283"/>
      <c r="C348" s="283"/>
      <c r="D348" s="283"/>
      <c r="E348" s="283"/>
      <c r="F348" s="283"/>
      <c r="G348" s="283"/>
      <c r="H348" s="283"/>
      <c r="I348" s="283"/>
      <c r="J348" s="283"/>
      <c r="K348" s="283"/>
      <c r="L348" s="283"/>
      <c r="M348" s="283"/>
      <c r="N348" s="283"/>
      <c r="O348" s="375" t="str">
        <f t="array" ref="O348">XLOOKUP(M348,'Recruiting Form Responses'!C:C,'Recruiting Form Responses'!A:A,"",0,1)</f>
        <v/>
      </c>
      <c r="P348" s="378"/>
      <c r="Q348" s="283"/>
      <c r="R348" s="283"/>
      <c r="S348" s="283"/>
      <c r="T348" s="283"/>
      <c r="U348" s="283"/>
      <c r="V348" s="283"/>
      <c r="W348" s="283"/>
      <c r="X348" s="283"/>
      <c r="Y348" s="283"/>
    </row>
    <row r="349">
      <c r="A349" s="283"/>
      <c r="B349" s="283"/>
      <c r="C349" s="283"/>
      <c r="D349" s="283"/>
      <c r="E349" s="283"/>
      <c r="F349" s="283"/>
      <c r="G349" s="283"/>
      <c r="H349" s="283"/>
      <c r="I349" s="283"/>
      <c r="J349" s="283"/>
      <c r="K349" s="283"/>
      <c r="L349" s="283"/>
      <c r="M349" s="283"/>
      <c r="N349" s="283"/>
      <c r="O349" s="375" t="str">
        <f t="array" ref="O349">XLOOKUP(M349,'Recruiting Form Responses'!C:C,'Recruiting Form Responses'!A:A,"",0,1)</f>
        <v/>
      </c>
      <c r="P349" s="378"/>
      <c r="Q349" s="283"/>
      <c r="R349" s="283"/>
      <c r="S349" s="283"/>
      <c r="T349" s="283"/>
      <c r="U349" s="283"/>
      <c r="V349" s="283"/>
      <c r="W349" s="283"/>
      <c r="X349" s="283"/>
      <c r="Y349" s="283"/>
    </row>
    <row r="350">
      <c r="A350" s="283"/>
      <c r="B350" s="283"/>
      <c r="C350" s="283"/>
      <c r="D350" s="283"/>
      <c r="E350" s="283"/>
      <c r="F350" s="283"/>
      <c r="G350" s="283"/>
      <c r="H350" s="283"/>
      <c r="I350" s="283"/>
      <c r="J350" s="283"/>
      <c r="K350" s="283"/>
      <c r="L350" s="283"/>
      <c r="M350" s="283"/>
      <c r="N350" s="283"/>
      <c r="O350" s="375" t="str">
        <f t="array" ref="O350">XLOOKUP(M350,'Recruiting Form Responses'!C:C,'Recruiting Form Responses'!A:A,"",0,1)</f>
        <v/>
      </c>
      <c r="P350" s="378"/>
      <c r="Q350" s="283"/>
      <c r="R350" s="283"/>
      <c r="S350" s="283"/>
      <c r="T350" s="283"/>
      <c r="U350" s="283"/>
      <c r="V350" s="283"/>
      <c r="W350" s="283"/>
      <c r="X350" s="283"/>
      <c r="Y350" s="283"/>
    </row>
    <row r="351">
      <c r="A351" s="283"/>
      <c r="B351" s="283"/>
      <c r="C351" s="283"/>
      <c r="D351" s="283"/>
      <c r="E351" s="283"/>
      <c r="F351" s="283"/>
      <c r="G351" s="283"/>
      <c r="H351" s="283"/>
      <c r="I351" s="283"/>
      <c r="J351" s="283"/>
      <c r="K351" s="283"/>
      <c r="L351" s="283"/>
      <c r="M351" s="283"/>
      <c r="N351" s="283"/>
      <c r="O351" s="375" t="str">
        <f t="array" ref="O351">XLOOKUP(M351,'Recruiting Form Responses'!C:C,'Recruiting Form Responses'!A:A,"",0,1)</f>
        <v/>
      </c>
      <c r="P351" s="378"/>
      <c r="Q351" s="283"/>
      <c r="R351" s="283"/>
      <c r="S351" s="283"/>
      <c r="T351" s="283"/>
      <c r="U351" s="283"/>
      <c r="V351" s="283"/>
      <c r="W351" s="283"/>
      <c r="X351" s="283"/>
      <c r="Y351" s="283"/>
    </row>
    <row r="352">
      <c r="A352" s="283"/>
      <c r="B352" s="283"/>
      <c r="C352" s="283"/>
      <c r="D352" s="283"/>
      <c r="E352" s="283"/>
      <c r="F352" s="283"/>
      <c r="G352" s="283"/>
      <c r="H352" s="283"/>
      <c r="I352" s="283"/>
      <c r="J352" s="283"/>
      <c r="K352" s="283"/>
      <c r="L352" s="283"/>
      <c r="M352" s="283"/>
      <c r="N352" s="283"/>
      <c r="O352" s="375" t="str">
        <f t="array" ref="O352">XLOOKUP(M352,'Recruiting Form Responses'!C:C,'Recruiting Form Responses'!A:A,"",0,1)</f>
        <v/>
      </c>
      <c r="P352" s="378"/>
      <c r="Q352" s="283"/>
      <c r="R352" s="283"/>
      <c r="S352" s="283"/>
      <c r="T352" s="283"/>
      <c r="U352" s="283"/>
      <c r="V352" s="283"/>
      <c r="W352" s="283"/>
      <c r="X352" s="283"/>
      <c r="Y352" s="283"/>
    </row>
    <row r="353">
      <c r="A353" s="283"/>
      <c r="B353" s="283"/>
      <c r="C353" s="283"/>
      <c r="D353" s="283"/>
      <c r="E353" s="283"/>
      <c r="F353" s="283"/>
      <c r="G353" s="283"/>
      <c r="H353" s="283"/>
      <c r="I353" s="283"/>
      <c r="J353" s="283"/>
      <c r="K353" s="283"/>
      <c r="L353" s="283"/>
      <c r="M353" s="283"/>
      <c r="N353" s="283"/>
      <c r="O353" s="375" t="str">
        <f t="array" ref="O353">XLOOKUP(M353,'Recruiting Form Responses'!C:C,'Recruiting Form Responses'!A:A,"",0,1)</f>
        <v/>
      </c>
      <c r="P353" s="378"/>
      <c r="Q353" s="283"/>
      <c r="R353" s="283"/>
      <c r="S353" s="283"/>
      <c r="T353" s="283"/>
      <c r="U353" s="283"/>
      <c r="V353" s="283"/>
      <c r="W353" s="283"/>
      <c r="X353" s="283"/>
      <c r="Y353" s="283"/>
    </row>
    <row r="354">
      <c r="A354" s="283"/>
      <c r="B354" s="283"/>
      <c r="C354" s="283"/>
      <c r="D354" s="283"/>
      <c r="E354" s="283"/>
      <c r="F354" s="283"/>
      <c r="G354" s="283"/>
      <c r="H354" s="283"/>
      <c r="I354" s="283"/>
      <c r="J354" s="283"/>
      <c r="K354" s="283"/>
      <c r="L354" s="283"/>
      <c r="M354" s="283"/>
      <c r="N354" s="283"/>
      <c r="O354" s="375" t="str">
        <f t="array" ref="O354">XLOOKUP(M354,'Recruiting Form Responses'!C:C,'Recruiting Form Responses'!A:A,"",0,1)</f>
        <v/>
      </c>
      <c r="P354" s="378"/>
      <c r="Q354" s="283"/>
      <c r="R354" s="283"/>
      <c r="S354" s="283"/>
      <c r="T354" s="283"/>
      <c r="U354" s="283"/>
      <c r="V354" s="283"/>
      <c r="W354" s="283"/>
      <c r="X354" s="283"/>
      <c r="Y354" s="283"/>
    </row>
    <row r="355">
      <c r="A355" s="283"/>
      <c r="B355" s="283"/>
      <c r="C355" s="283"/>
      <c r="D355" s="283"/>
      <c r="E355" s="283"/>
      <c r="F355" s="283"/>
      <c r="G355" s="283"/>
      <c r="H355" s="283"/>
      <c r="I355" s="283"/>
      <c r="J355" s="283"/>
      <c r="K355" s="283"/>
      <c r="L355" s="283"/>
      <c r="M355" s="283"/>
      <c r="N355" s="283"/>
      <c r="O355" s="375" t="str">
        <f t="array" ref="O355">XLOOKUP(M355,'Recruiting Form Responses'!C:C,'Recruiting Form Responses'!A:A,"",0,1)</f>
        <v/>
      </c>
      <c r="P355" s="378"/>
      <c r="Q355" s="283"/>
      <c r="R355" s="283"/>
      <c r="S355" s="283"/>
      <c r="T355" s="283"/>
      <c r="U355" s="283"/>
      <c r="V355" s="283"/>
      <c r="W355" s="283"/>
      <c r="X355" s="283"/>
      <c r="Y355" s="283"/>
    </row>
    <row r="356">
      <c r="A356" s="283"/>
      <c r="B356" s="283"/>
      <c r="C356" s="283"/>
      <c r="D356" s="283"/>
      <c r="E356" s="283"/>
      <c r="F356" s="283"/>
      <c r="G356" s="283"/>
      <c r="H356" s="283"/>
      <c r="I356" s="283"/>
      <c r="J356" s="283"/>
      <c r="K356" s="283"/>
      <c r="L356" s="283"/>
      <c r="M356" s="283"/>
      <c r="N356" s="283"/>
      <c r="O356" s="375" t="str">
        <f t="array" ref="O356">XLOOKUP(M356,'Recruiting Form Responses'!C:C,'Recruiting Form Responses'!A:A,"",0,1)</f>
        <v/>
      </c>
      <c r="P356" s="378"/>
      <c r="Q356" s="283"/>
      <c r="R356" s="283"/>
      <c r="S356" s="283"/>
      <c r="T356" s="283"/>
      <c r="U356" s="283"/>
      <c r="V356" s="283"/>
      <c r="W356" s="283"/>
      <c r="X356" s="283"/>
      <c r="Y356" s="283"/>
    </row>
    <row r="357">
      <c r="A357" s="283"/>
      <c r="B357" s="283"/>
      <c r="C357" s="283"/>
      <c r="D357" s="283"/>
      <c r="E357" s="283"/>
      <c r="F357" s="283"/>
      <c r="G357" s="283"/>
      <c r="H357" s="283"/>
      <c r="I357" s="283"/>
      <c r="J357" s="283"/>
      <c r="K357" s="283"/>
      <c r="L357" s="283"/>
      <c r="M357" s="283"/>
      <c r="N357" s="283"/>
      <c r="O357" s="375" t="str">
        <f t="array" ref="O357">XLOOKUP(M357,'Recruiting Form Responses'!C:C,'Recruiting Form Responses'!A:A,"",0,1)</f>
        <v/>
      </c>
      <c r="P357" s="378"/>
      <c r="Q357" s="283"/>
      <c r="R357" s="283"/>
      <c r="S357" s="283"/>
      <c r="T357" s="283"/>
      <c r="U357" s="283"/>
      <c r="V357" s="283"/>
      <c r="W357" s="283"/>
      <c r="X357" s="283"/>
      <c r="Y357" s="283"/>
    </row>
    <row r="358">
      <c r="A358" s="283"/>
      <c r="B358" s="283"/>
      <c r="C358" s="283"/>
      <c r="D358" s="283"/>
      <c r="E358" s="283"/>
      <c r="F358" s="283"/>
      <c r="G358" s="283"/>
      <c r="H358" s="283"/>
      <c r="I358" s="283"/>
      <c r="J358" s="283"/>
      <c r="K358" s="283"/>
      <c r="L358" s="283"/>
      <c r="M358" s="283"/>
      <c r="N358" s="283"/>
      <c r="O358" s="375" t="str">
        <f t="array" ref="O358">XLOOKUP(M358,'Recruiting Form Responses'!C:C,'Recruiting Form Responses'!A:A,"",0,1)</f>
        <v/>
      </c>
      <c r="P358" s="378"/>
      <c r="Q358" s="283"/>
      <c r="R358" s="283"/>
      <c r="S358" s="283"/>
      <c r="T358" s="283"/>
      <c r="U358" s="283"/>
      <c r="V358" s="283"/>
      <c r="W358" s="283"/>
      <c r="X358" s="283"/>
      <c r="Y358" s="283"/>
    </row>
    <row r="359">
      <c r="A359" s="283"/>
      <c r="B359" s="283"/>
      <c r="C359" s="283"/>
      <c r="D359" s="283"/>
      <c r="E359" s="283"/>
      <c r="F359" s="283"/>
      <c r="G359" s="283"/>
      <c r="H359" s="283"/>
      <c r="I359" s="283"/>
      <c r="J359" s="283"/>
      <c r="K359" s="283"/>
      <c r="L359" s="283"/>
      <c r="M359" s="283"/>
      <c r="N359" s="283"/>
      <c r="O359" s="375" t="str">
        <f t="array" ref="O359">XLOOKUP(M359,'Recruiting Form Responses'!C:C,'Recruiting Form Responses'!A:A,"",0,1)</f>
        <v/>
      </c>
      <c r="P359" s="378"/>
      <c r="Q359" s="283"/>
      <c r="R359" s="283"/>
      <c r="S359" s="283"/>
      <c r="T359" s="283"/>
      <c r="U359" s="283"/>
      <c r="V359" s="283"/>
      <c r="W359" s="283"/>
      <c r="X359" s="283"/>
      <c r="Y359" s="283"/>
    </row>
    <row r="360">
      <c r="A360" s="283"/>
      <c r="B360" s="283"/>
      <c r="C360" s="283"/>
      <c r="D360" s="283"/>
      <c r="E360" s="283"/>
      <c r="F360" s="283"/>
      <c r="G360" s="283"/>
      <c r="H360" s="283"/>
      <c r="I360" s="283"/>
      <c r="J360" s="283"/>
      <c r="K360" s="283"/>
      <c r="L360" s="283"/>
      <c r="M360" s="283"/>
      <c r="N360" s="283"/>
      <c r="O360" s="375" t="str">
        <f t="array" ref="O360">XLOOKUP(M360,'Recruiting Form Responses'!C:C,'Recruiting Form Responses'!A:A,"",0,1)</f>
        <v/>
      </c>
      <c r="P360" s="378"/>
      <c r="Q360" s="283"/>
      <c r="R360" s="283"/>
      <c r="S360" s="283"/>
      <c r="T360" s="283"/>
      <c r="U360" s="283"/>
      <c r="V360" s="283"/>
      <c r="W360" s="283"/>
      <c r="X360" s="283"/>
      <c r="Y360" s="283"/>
    </row>
    <row r="361">
      <c r="A361" s="283"/>
      <c r="B361" s="283"/>
      <c r="C361" s="283"/>
      <c r="D361" s="283"/>
      <c r="E361" s="283"/>
      <c r="F361" s="283"/>
      <c r="G361" s="283"/>
      <c r="H361" s="283"/>
      <c r="I361" s="283"/>
      <c r="J361" s="283"/>
      <c r="K361" s="283"/>
      <c r="L361" s="283"/>
      <c r="M361" s="283"/>
      <c r="N361" s="283"/>
      <c r="O361" s="375" t="str">
        <f t="array" ref="O361">XLOOKUP(M361,'Recruiting Form Responses'!C:C,'Recruiting Form Responses'!A:A,"",0,1)</f>
        <v/>
      </c>
      <c r="P361" s="378"/>
      <c r="Q361" s="283"/>
      <c r="R361" s="283"/>
      <c r="S361" s="283"/>
      <c r="T361" s="283"/>
      <c r="U361" s="283"/>
      <c r="V361" s="283"/>
      <c r="W361" s="283"/>
      <c r="X361" s="283"/>
      <c r="Y361" s="283"/>
    </row>
    <row r="362">
      <c r="A362" s="283"/>
      <c r="B362" s="283"/>
      <c r="C362" s="283"/>
      <c r="D362" s="283"/>
      <c r="E362" s="283"/>
      <c r="F362" s="283"/>
      <c r="G362" s="283"/>
      <c r="H362" s="283"/>
      <c r="I362" s="283"/>
      <c r="J362" s="283"/>
      <c r="K362" s="283"/>
      <c r="L362" s="283"/>
      <c r="M362" s="283"/>
      <c r="N362" s="283"/>
      <c r="O362" s="375" t="str">
        <f t="array" ref="O362">XLOOKUP(M362,'Recruiting Form Responses'!C:C,'Recruiting Form Responses'!A:A,"",0,1)</f>
        <v/>
      </c>
      <c r="P362" s="378"/>
      <c r="Q362" s="283"/>
      <c r="R362" s="283"/>
      <c r="S362" s="283"/>
      <c r="T362" s="283"/>
      <c r="U362" s="283"/>
      <c r="V362" s="283"/>
      <c r="W362" s="283"/>
      <c r="X362" s="283"/>
      <c r="Y362" s="283"/>
    </row>
    <row r="363">
      <c r="A363" s="283"/>
      <c r="B363" s="283"/>
      <c r="C363" s="283"/>
      <c r="D363" s="283"/>
      <c r="E363" s="283"/>
      <c r="F363" s="283"/>
      <c r="G363" s="283"/>
      <c r="H363" s="283"/>
      <c r="I363" s="283"/>
      <c r="J363" s="283"/>
      <c r="K363" s="283"/>
      <c r="L363" s="283"/>
      <c r="M363" s="283"/>
      <c r="N363" s="283"/>
      <c r="O363" s="375" t="str">
        <f t="array" ref="O363">XLOOKUP(M363,'Recruiting Form Responses'!C:C,'Recruiting Form Responses'!A:A,"",0,1)</f>
        <v/>
      </c>
      <c r="P363" s="378"/>
      <c r="Q363" s="283"/>
      <c r="R363" s="283"/>
      <c r="S363" s="283"/>
      <c r="T363" s="283"/>
      <c r="U363" s="283"/>
      <c r="V363" s="283"/>
      <c r="W363" s="283"/>
      <c r="X363" s="283"/>
      <c r="Y363" s="283"/>
    </row>
    <row r="364">
      <c r="A364" s="283"/>
      <c r="B364" s="283"/>
      <c r="C364" s="283"/>
      <c r="D364" s="283"/>
      <c r="E364" s="283"/>
      <c r="F364" s="283"/>
      <c r="G364" s="283"/>
      <c r="H364" s="283"/>
      <c r="I364" s="283"/>
      <c r="J364" s="283"/>
      <c r="K364" s="283"/>
      <c r="L364" s="283"/>
      <c r="M364" s="283"/>
      <c r="N364" s="283"/>
      <c r="O364" s="375" t="str">
        <f t="array" ref="O364">XLOOKUP(M364,'Recruiting Form Responses'!C:C,'Recruiting Form Responses'!A:A,"",0,1)</f>
        <v/>
      </c>
      <c r="P364" s="378"/>
      <c r="Q364" s="283"/>
      <c r="R364" s="283"/>
      <c r="S364" s="283"/>
      <c r="T364" s="283"/>
      <c r="U364" s="283"/>
      <c r="V364" s="283"/>
      <c r="W364" s="283"/>
      <c r="X364" s="283"/>
      <c r="Y364" s="283"/>
    </row>
    <row r="365">
      <c r="A365" s="283"/>
      <c r="B365" s="283"/>
      <c r="C365" s="283"/>
      <c r="D365" s="283"/>
      <c r="E365" s="283"/>
      <c r="F365" s="283"/>
      <c r="G365" s="283"/>
      <c r="H365" s="283"/>
      <c r="I365" s="283"/>
      <c r="J365" s="283"/>
      <c r="K365" s="283"/>
      <c r="L365" s="283"/>
      <c r="M365" s="283"/>
      <c r="N365" s="283"/>
      <c r="O365" s="375" t="str">
        <f t="array" ref="O365">XLOOKUP(M365,'Recruiting Form Responses'!C:C,'Recruiting Form Responses'!A:A,"",0,1)</f>
        <v/>
      </c>
      <c r="P365" s="378"/>
      <c r="Q365" s="283"/>
      <c r="R365" s="283"/>
      <c r="S365" s="283"/>
      <c r="T365" s="283"/>
      <c r="U365" s="283"/>
      <c r="V365" s="283"/>
      <c r="W365" s="283"/>
      <c r="X365" s="283"/>
      <c r="Y365" s="283"/>
    </row>
    <row r="366">
      <c r="A366" s="283"/>
      <c r="B366" s="283"/>
      <c r="C366" s="283"/>
      <c r="D366" s="283"/>
      <c r="E366" s="283"/>
      <c r="F366" s="283"/>
      <c r="G366" s="283"/>
      <c r="H366" s="283"/>
      <c r="I366" s="283"/>
      <c r="J366" s="283"/>
      <c r="K366" s="283"/>
      <c r="L366" s="283"/>
      <c r="M366" s="283"/>
      <c r="N366" s="283"/>
      <c r="O366" s="375" t="str">
        <f t="array" ref="O366">XLOOKUP(M366,'Recruiting Form Responses'!C:C,'Recruiting Form Responses'!A:A,"",0,1)</f>
        <v/>
      </c>
      <c r="P366" s="378"/>
      <c r="Q366" s="283"/>
      <c r="R366" s="283"/>
      <c r="S366" s="283"/>
      <c r="T366" s="283"/>
      <c r="U366" s="283"/>
      <c r="V366" s="283"/>
      <c r="W366" s="283"/>
      <c r="X366" s="283"/>
      <c r="Y366" s="283"/>
    </row>
    <row r="367">
      <c r="A367" s="283"/>
      <c r="B367" s="283"/>
      <c r="C367" s="283"/>
      <c r="D367" s="283"/>
      <c r="E367" s="283"/>
      <c r="F367" s="283"/>
      <c r="G367" s="283"/>
      <c r="H367" s="283"/>
      <c r="I367" s="283"/>
      <c r="J367" s="283"/>
      <c r="K367" s="283"/>
      <c r="L367" s="283"/>
      <c r="M367" s="283"/>
      <c r="N367" s="283"/>
      <c r="O367" s="375" t="str">
        <f t="array" ref="O367">XLOOKUP(M367,'Recruiting Form Responses'!C:C,'Recruiting Form Responses'!A:A,"",0,1)</f>
        <v/>
      </c>
      <c r="P367" s="378"/>
      <c r="Q367" s="283"/>
      <c r="R367" s="283"/>
      <c r="S367" s="283"/>
      <c r="T367" s="283"/>
      <c r="U367" s="283"/>
      <c r="V367" s="283"/>
      <c r="W367" s="283"/>
      <c r="X367" s="283"/>
      <c r="Y367" s="283"/>
    </row>
    <row r="368">
      <c r="A368" s="283"/>
      <c r="B368" s="283"/>
      <c r="C368" s="283"/>
      <c r="D368" s="283"/>
      <c r="E368" s="283"/>
      <c r="F368" s="283"/>
      <c r="G368" s="283"/>
      <c r="H368" s="283"/>
      <c r="I368" s="283"/>
      <c r="J368" s="283"/>
      <c r="K368" s="283"/>
      <c r="L368" s="283"/>
      <c r="M368" s="283"/>
      <c r="N368" s="283"/>
      <c r="O368" s="375" t="str">
        <f t="array" ref="O368">XLOOKUP(M368,'Recruiting Form Responses'!C:C,'Recruiting Form Responses'!A:A,"",0,1)</f>
        <v/>
      </c>
      <c r="P368" s="378"/>
      <c r="Q368" s="283"/>
      <c r="R368" s="283"/>
      <c r="S368" s="283"/>
      <c r="T368" s="283"/>
      <c r="U368" s="283"/>
      <c r="V368" s="283"/>
      <c r="W368" s="283"/>
      <c r="X368" s="283"/>
      <c r="Y368" s="283"/>
    </row>
    <row r="369">
      <c r="A369" s="283"/>
      <c r="B369" s="283"/>
      <c r="C369" s="283"/>
      <c r="D369" s="283"/>
      <c r="E369" s="283"/>
      <c r="F369" s="283"/>
      <c r="G369" s="283"/>
      <c r="H369" s="283"/>
      <c r="I369" s="283"/>
      <c r="J369" s="283"/>
      <c r="K369" s="283"/>
      <c r="L369" s="283"/>
      <c r="M369" s="283"/>
      <c r="N369" s="283"/>
      <c r="O369" s="375" t="str">
        <f t="array" ref="O369">XLOOKUP(M369,'Recruiting Form Responses'!C:C,'Recruiting Form Responses'!A:A,"",0,1)</f>
        <v/>
      </c>
      <c r="P369" s="378"/>
      <c r="Q369" s="283"/>
      <c r="R369" s="283"/>
      <c r="S369" s="283"/>
      <c r="T369" s="283"/>
      <c r="U369" s="283"/>
      <c r="V369" s="283"/>
      <c r="W369" s="283"/>
      <c r="X369" s="283"/>
      <c r="Y369" s="283"/>
    </row>
    <row r="370">
      <c r="A370" s="283"/>
      <c r="B370" s="283"/>
      <c r="C370" s="283"/>
      <c r="D370" s="283"/>
      <c r="E370" s="283"/>
      <c r="F370" s="283"/>
      <c r="G370" s="283"/>
      <c r="H370" s="283"/>
      <c r="I370" s="283"/>
      <c r="J370" s="283"/>
      <c r="K370" s="283"/>
      <c r="L370" s="283"/>
      <c r="M370" s="283"/>
      <c r="N370" s="283"/>
      <c r="O370" s="375" t="str">
        <f t="array" ref="O370">XLOOKUP(M370,'Recruiting Form Responses'!C:C,'Recruiting Form Responses'!A:A,"",0,1)</f>
        <v/>
      </c>
      <c r="P370" s="378"/>
      <c r="Q370" s="283"/>
      <c r="R370" s="283"/>
      <c r="S370" s="283"/>
      <c r="T370" s="283"/>
      <c r="U370" s="283"/>
      <c r="V370" s="283"/>
      <c r="W370" s="283"/>
      <c r="X370" s="283"/>
      <c r="Y370" s="283"/>
    </row>
    <row r="371">
      <c r="A371" s="283"/>
      <c r="B371" s="283"/>
      <c r="C371" s="283"/>
      <c r="D371" s="283"/>
      <c r="E371" s="283"/>
      <c r="F371" s="283"/>
      <c r="G371" s="283"/>
      <c r="H371" s="283"/>
      <c r="I371" s="283"/>
      <c r="J371" s="283"/>
      <c r="K371" s="283"/>
      <c r="L371" s="283"/>
      <c r="M371" s="283"/>
      <c r="N371" s="283"/>
      <c r="O371" s="375" t="str">
        <f t="array" ref="O371">XLOOKUP(M371,'Recruiting Form Responses'!C:C,'Recruiting Form Responses'!A:A,"",0,1)</f>
        <v/>
      </c>
      <c r="P371" s="378"/>
      <c r="Q371" s="283"/>
      <c r="R371" s="283"/>
      <c r="S371" s="283"/>
      <c r="T371" s="283"/>
      <c r="U371" s="283"/>
      <c r="V371" s="283"/>
      <c r="W371" s="283"/>
      <c r="X371" s="283"/>
      <c r="Y371" s="283"/>
    </row>
    <row r="372">
      <c r="A372" s="283"/>
      <c r="B372" s="283"/>
      <c r="C372" s="283"/>
      <c r="D372" s="283"/>
      <c r="E372" s="283"/>
      <c r="F372" s="283"/>
      <c r="G372" s="283"/>
      <c r="H372" s="283"/>
      <c r="I372" s="283"/>
      <c r="J372" s="283"/>
      <c r="K372" s="283"/>
      <c r="L372" s="283"/>
      <c r="M372" s="283"/>
      <c r="N372" s="283"/>
      <c r="O372" s="375" t="str">
        <f t="array" ref="O372">XLOOKUP(M372,'Recruiting Form Responses'!C:C,'Recruiting Form Responses'!A:A,"",0,1)</f>
        <v/>
      </c>
      <c r="P372" s="378"/>
      <c r="Q372" s="283"/>
      <c r="R372" s="283"/>
      <c r="S372" s="283"/>
      <c r="T372" s="283"/>
      <c r="U372" s="283"/>
      <c r="V372" s="283"/>
      <c r="W372" s="283"/>
      <c r="X372" s="283"/>
      <c r="Y372" s="283"/>
    </row>
    <row r="373">
      <c r="A373" s="283"/>
      <c r="B373" s="283"/>
      <c r="C373" s="283"/>
      <c r="D373" s="283"/>
      <c r="E373" s="283"/>
      <c r="F373" s="283"/>
      <c r="G373" s="283"/>
      <c r="H373" s="283"/>
      <c r="I373" s="283"/>
      <c r="J373" s="283"/>
      <c r="K373" s="283"/>
      <c r="L373" s="283"/>
      <c r="M373" s="283"/>
      <c r="N373" s="283"/>
      <c r="O373" s="375" t="str">
        <f t="array" ref="O373">XLOOKUP(M373,'Recruiting Form Responses'!C:C,'Recruiting Form Responses'!A:A,"",0,1)</f>
        <v/>
      </c>
      <c r="P373" s="378"/>
      <c r="Q373" s="283"/>
      <c r="R373" s="283"/>
      <c r="S373" s="283"/>
      <c r="T373" s="283"/>
      <c r="U373" s="283"/>
      <c r="V373" s="283"/>
      <c r="W373" s="283"/>
      <c r="X373" s="283"/>
      <c r="Y373" s="283"/>
    </row>
    <row r="374">
      <c r="A374" s="283"/>
      <c r="B374" s="283"/>
      <c r="C374" s="283"/>
      <c r="D374" s="283"/>
      <c r="E374" s="283"/>
      <c r="F374" s="283"/>
      <c r="G374" s="283"/>
      <c r="H374" s="283"/>
      <c r="I374" s="283"/>
      <c r="J374" s="283"/>
      <c r="K374" s="283"/>
      <c r="L374" s="283"/>
      <c r="M374" s="283"/>
      <c r="N374" s="283"/>
      <c r="O374" s="375" t="str">
        <f t="array" ref="O374">XLOOKUP(M374,'Recruiting Form Responses'!C:C,'Recruiting Form Responses'!A:A,"",0,1)</f>
        <v/>
      </c>
      <c r="P374" s="378"/>
      <c r="Q374" s="283"/>
      <c r="R374" s="283"/>
      <c r="S374" s="283"/>
      <c r="T374" s="283"/>
      <c r="U374" s="283"/>
      <c r="V374" s="283"/>
      <c r="W374" s="283"/>
      <c r="X374" s="283"/>
      <c r="Y374" s="283"/>
    </row>
    <row r="375">
      <c r="A375" s="283"/>
      <c r="B375" s="283"/>
      <c r="C375" s="283"/>
      <c r="D375" s="283"/>
      <c r="E375" s="283"/>
      <c r="F375" s="283"/>
      <c r="G375" s="283"/>
      <c r="H375" s="283"/>
      <c r="I375" s="283"/>
      <c r="J375" s="283"/>
      <c r="K375" s="283"/>
      <c r="L375" s="283"/>
      <c r="M375" s="283"/>
      <c r="N375" s="283"/>
      <c r="O375" s="375" t="str">
        <f t="array" ref="O375">XLOOKUP(M375,'Recruiting Form Responses'!C:C,'Recruiting Form Responses'!A:A,"",0,1)</f>
        <v/>
      </c>
      <c r="P375" s="378"/>
      <c r="Q375" s="283"/>
      <c r="R375" s="283"/>
      <c r="S375" s="283"/>
      <c r="T375" s="283"/>
      <c r="U375" s="283"/>
      <c r="V375" s="283"/>
      <c r="W375" s="283"/>
      <c r="X375" s="283"/>
      <c r="Y375" s="283"/>
    </row>
    <row r="376">
      <c r="A376" s="283"/>
      <c r="B376" s="283"/>
      <c r="C376" s="283"/>
      <c r="D376" s="283"/>
      <c r="E376" s="283"/>
      <c r="F376" s="283"/>
      <c r="G376" s="283"/>
      <c r="H376" s="283"/>
      <c r="I376" s="283"/>
      <c r="J376" s="283"/>
      <c r="K376" s="283"/>
      <c r="L376" s="283"/>
      <c r="M376" s="283"/>
      <c r="N376" s="283"/>
      <c r="O376" s="375" t="str">
        <f t="array" ref="O376">XLOOKUP(M376,'Recruiting Form Responses'!C:C,'Recruiting Form Responses'!A:A,"",0,1)</f>
        <v/>
      </c>
      <c r="P376" s="378"/>
      <c r="Q376" s="283"/>
      <c r="R376" s="283"/>
      <c r="S376" s="283"/>
      <c r="T376" s="283"/>
      <c r="U376" s="283"/>
      <c r="V376" s="283"/>
      <c r="W376" s="283"/>
      <c r="X376" s="283"/>
      <c r="Y376" s="283"/>
    </row>
    <row r="377">
      <c r="A377" s="283"/>
      <c r="B377" s="283"/>
      <c r="C377" s="283"/>
      <c r="D377" s="283"/>
      <c r="E377" s="283"/>
      <c r="F377" s="283"/>
      <c r="G377" s="283"/>
      <c r="H377" s="283"/>
      <c r="I377" s="283"/>
      <c r="J377" s="283"/>
      <c r="K377" s="283"/>
      <c r="L377" s="283"/>
      <c r="M377" s="283"/>
      <c r="N377" s="283"/>
      <c r="O377" s="375" t="str">
        <f t="array" ref="O377">XLOOKUP(M377,'Recruiting Form Responses'!C:C,'Recruiting Form Responses'!A:A,"",0,1)</f>
        <v/>
      </c>
      <c r="P377" s="378"/>
      <c r="Q377" s="283"/>
      <c r="R377" s="283"/>
      <c r="S377" s="283"/>
      <c r="T377" s="283"/>
      <c r="U377" s="283"/>
      <c r="V377" s="283"/>
      <c r="W377" s="283"/>
      <c r="X377" s="283"/>
      <c r="Y377" s="283"/>
    </row>
    <row r="378">
      <c r="A378" s="283"/>
      <c r="B378" s="283"/>
      <c r="C378" s="283"/>
      <c r="D378" s="283"/>
      <c r="E378" s="283"/>
      <c r="F378" s="283"/>
      <c r="G378" s="283"/>
      <c r="H378" s="283"/>
      <c r="I378" s="283"/>
      <c r="J378" s="283"/>
      <c r="K378" s="283"/>
      <c r="L378" s="283"/>
      <c r="M378" s="283"/>
      <c r="N378" s="283"/>
      <c r="O378" s="375" t="str">
        <f t="array" ref="O378">XLOOKUP(M378,'Recruiting Form Responses'!C:C,'Recruiting Form Responses'!A:A,"",0,1)</f>
        <v/>
      </c>
      <c r="P378" s="378"/>
      <c r="Q378" s="283"/>
      <c r="R378" s="283"/>
      <c r="S378" s="283"/>
      <c r="T378" s="283"/>
      <c r="U378" s="283"/>
      <c r="V378" s="283"/>
      <c r="W378" s="283"/>
      <c r="X378" s="283"/>
      <c r="Y378" s="283"/>
    </row>
    <row r="379">
      <c r="A379" s="283"/>
      <c r="B379" s="283"/>
      <c r="C379" s="283"/>
      <c r="D379" s="283"/>
      <c r="E379" s="283"/>
      <c r="F379" s="283"/>
      <c r="G379" s="283"/>
      <c r="H379" s="283"/>
      <c r="I379" s="283"/>
      <c r="J379" s="283"/>
      <c r="K379" s="283"/>
      <c r="L379" s="283"/>
      <c r="M379" s="283"/>
      <c r="N379" s="283"/>
      <c r="O379" s="375" t="str">
        <f t="array" ref="O379">XLOOKUP(M379,'Recruiting Form Responses'!C:C,'Recruiting Form Responses'!A:A,"",0,1)</f>
        <v/>
      </c>
      <c r="P379" s="378"/>
      <c r="Q379" s="283"/>
      <c r="R379" s="283"/>
      <c r="S379" s="283"/>
      <c r="T379" s="283"/>
      <c r="U379" s="283"/>
      <c r="V379" s="283"/>
      <c r="W379" s="283"/>
      <c r="X379" s="283"/>
      <c r="Y379" s="283"/>
    </row>
    <row r="380">
      <c r="A380" s="283"/>
      <c r="B380" s="283"/>
      <c r="C380" s="283"/>
      <c r="D380" s="283"/>
      <c r="E380" s="283"/>
      <c r="F380" s="283"/>
      <c r="G380" s="283"/>
      <c r="H380" s="283"/>
      <c r="I380" s="283"/>
      <c r="J380" s="283"/>
      <c r="K380" s="283"/>
      <c r="L380" s="283"/>
      <c r="M380" s="283"/>
      <c r="N380" s="283"/>
      <c r="O380" s="375" t="str">
        <f t="array" ref="O380">XLOOKUP(M380,'Recruiting Form Responses'!C:C,'Recruiting Form Responses'!A:A,"",0,1)</f>
        <v/>
      </c>
      <c r="P380" s="378"/>
      <c r="Q380" s="283"/>
      <c r="R380" s="283"/>
      <c r="S380" s="283"/>
      <c r="T380" s="283"/>
      <c r="U380" s="283"/>
      <c r="V380" s="283"/>
      <c r="W380" s="283"/>
      <c r="X380" s="283"/>
      <c r="Y380" s="283"/>
    </row>
    <row r="381">
      <c r="A381" s="283"/>
      <c r="B381" s="283"/>
      <c r="C381" s="283"/>
      <c r="D381" s="283"/>
      <c r="E381" s="283"/>
      <c r="F381" s="283"/>
      <c r="G381" s="283"/>
      <c r="H381" s="283"/>
      <c r="I381" s="283"/>
      <c r="J381" s="283"/>
      <c r="K381" s="283"/>
      <c r="L381" s="283"/>
      <c r="M381" s="283"/>
      <c r="N381" s="283"/>
      <c r="O381" s="375" t="str">
        <f t="array" ref="O381">XLOOKUP(M381,'Recruiting Form Responses'!C:C,'Recruiting Form Responses'!A:A,"",0,1)</f>
        <v/>
      </c>
      <c r="P381" s="378"/>
      <c r="Q381" s="283"/>
      <c r="R381" s="283"/>
      <c r="S381" s="283"/>
      <c r="T381" s="283"/>
      <c r="U381" s="283"/>
      <c r="V381" s="283"/>
      <c r="W381" s="283"/>
      <c r="X381" s="283"/>
      <c r="Y381" s="283"/>
    </row>
    <row r="382">
      <c r="A382" s="283"/>
      <c r="B382" s="283"/>
      <c r="C382" s="283"/>
      <c r="D382" s="283"/>
      <c r="E382" s="283"/>
      <c r="F382" s="283"/>
      <c r="G382" s="283"/>
      <c r="H382" s="283"/>
      <c r="I382" s="283"/>
      <c r="J382" s="283"/>
      <c r="K382" s="283"/>
      <c r="L382" s="283"/>
      <c r="M382" s="283"/>
      <c r="N382" s="283"/>
      <c r="O382" s="375" t="str">
        <f t="array" ref="O382">XLOOKUP(M382,'Recruiting Form Responses'!C:C,'Recruiting Form Responses'!A:A,"",0,1)</f>
        <v/>
      </c>
      <c r="P382" s="378"/>
      <c r="Q382" s="283"/>
      <c r="R382" s="283"/>
      <c r="S382" s="283"/>
      <c r="T382" s="283"/>
      <c r="U382" s="283"/>
      <c r="V382" s="283"/>
      <c r="W382" s="283"/>
      <c r="X382" s="283"/>
      <c r="Y382" s="283"/>
    </row>
    <row r="383">
      <c r="A383" s="283"/>
      <c r="B383" s="283"/>
      <c r="C383" s="283"/>
      <c r="D383" s="283"/>
      <c r="E383" s="283"/>
      <c r="F383" s="283"/>
      <c r="G383" s="283"/>
      <c r="H383" s="283"/>
      <c r="I383" s="283"/>
      <c r="J383" s="283"/>
      <c r="K383" s="283"/>
      <c r="L383" s="283"/>
      <c r="M383" s="283"/>
      <c r="N383" s="283"/>
      <c r="O383" s="375" t="str">
        <f t="array" ref="O383">XLOOKUP(M383,'Recruiting Form Responses'!C:C,'Recruiting Form Responses'!A:A,"",0,1)</f>
        <v/>
      </c>
      <c r="P383" s="378"/>
      <c r="Q383" s="283"/>
      <c r="R383" s="283"/>
      <c r="S383" s="283"/>
      <c r="T383" s="283"/>
      <c r="U383" s="283"/>
      <c r="V383" s="283"/>
      <c r="W383" s="283"/>
      <c r="X383" s="283"/>
      <c r="Y383" s="283"/>
    </row>
    <row r="384">
      <c r="A384" s="283"/>
      <c r="B384" s="283"/>
      <c r="C384" s="283"/>
      <c r="D384" s="283"/>
      <c r="E384" s="283"/>
      <c r="F384" s="283"/>
      <c r="G384" s="283"/>
      <c r="H384" s="283"/>
      <c r="I384" s="283"/>
      <c r="J384" s="283"/>
      <c r="K384" s="283"/>
      <c r="L384" s="283"/>
      <c r="M384" s="283"/>
      <c r="N384" s="283"/>
      <c r="O384" s="375" t="str">
        <f t="array" ref="O384">XLOOKUP(M384,'Recruiting Form Responses'!C:C,'Recruiting Form Responses'!A:A,"",0,1)</f>
        <v/>
      </c>
      <c r="P384" s="378"/>
      <c r="Q384" s="283"/>
      <c r="R384" s="283"/>
      <c r="S384" s="283"/>
      <c r="T384" s="283"/>
      <c r="U384" s="283"/>
      <c r="V384" s="283"/>
      <c r="W384" s="283"/>
      <c r="X384" s="283"/>
      <c r="Y384" s="283"/>
    </row>
    <row r="385">
      <c r="A385" s="283"/>
      <c r="B385" s="283"/>
      <c r="C385" s="283"/>
      <c r="D385" s="283"/>
      <c r="E385" s="283"/>
      <c r="F385" s="283"/>
      <c r="G385" s="283"/>
      <c r="H385" s="283"/>
      <c r="I385" s="283"/>
      <c r="J385" s="283"/>
      <c r="K385" s="283"/>
      <c r="L385" s="283"/>
      <c r="M385" s="283"/>
      <c r="N385" s="283"/>
      <c r="O385" s="375" t="str">
        <f t="array" ref="O385">XLOOKUP(M385,'Recruiting Form Responses'!C:C,'Recruiting Form Responses'!A:A,"",0,1)</f>
        <v/>
      </c>
      <c r="P385" s="378"/>
      <c r="Q385" s="283"/>
      <c r="R385" s="283"/>
      <c r="S385" s="283"/>
      <c r="T385" s="283"/>
      <c r="U385" s="283"/>
      <c r="V385" s="283"/>
      <c r="W385" s="283"/>
      <c r="X385" s="283"/>
      <c r="Y385" s="283"/>
    </row>
    <row r="386">
      <c r="A386" s="283"/>
      <c r="B386" s="283"/>
      <c r="C386" s="283"/>
      <c r="D386" s="283"/>
      <c r="E386" s="283"/>
      <c r="F386" s="283"/>
      <c r="G386" s="283"/>
      <c r="H386" s="283"/>
      <c r="I386" s="283"/>
      <c r="J386" s="283"/>
      <c r="K386" s="283"/>
      <c r="L386" s="283"/>
      <c r="M386" s="283"/>
      <c r="N386" s="283"/>
      <c r="O386" s="375" t="str">
        <f t="array" ref="O386">XLOOKUP(M386,'Recruiting Form Responses'!C:C,'Recruiting Form Responses'!A:A,"",0,1)</f>
        <v/>
      </c>
      <c r="P386" s="378"/>
      <c r="Q386" s="283"/>
      <c r="R386" s="283"/>
      <c r="S386" s="283"/>
      <c r="T386" s="283"/>
      <c r="U386" s="283"/>
      <c r="V386" s="283"/>
      <c r="W386" s="283"/>
      <c r="X386" s="283"/>
      <c r="Y386" s="283"/>
    </row>
    <row r="387">
      <c r="A387" s="283"/>
      <c r="B387" s="283"/>
      <c r="C387" s="283"/>
      <c r="D387" s="283"/>
      <c r="E387" s="283"/>
      <c r="F387" s="283"/>
      <c r="G387" s="283"/>
      <c r="H387" s="283"/>
      <c r="I387" s="283"/>
      <c r="J387" s="283"/>
      <c r="K387" s="283"/>
      <c r="L387" s="283"/>
      <c r="M387" s="283"/>
      <c r="N387" s="283"/>
      <c r="O387" s="375" t="str">
        <f t="array" ref="O387">XLOOKUP(M387,'Recruiting Form Responses'!C:C,'Recruiting Form Responses'!A:A,"",0,1)</f>
        <v/>
      </c>
      <c r="P387" s="378"/>
      <c r="Q387" s="283"/>
      <c r="R387" s="283"/>
      <c r="S387" s="283"/>
      <c r="T387" s="283"/>
      <c r="U387" s="283"/>
      <c r="V387" s="283"/>
      <c r="W387" s="283"/>
      <c r="X387" s="283"/>
      <c r="Y387" s="283"/>
    </row>
    <row r="388">
      <c r="A388" s="283"/>
      <c r="B388" s="283"/>
      <c r="C388" s="283"/>
      <c r="D388" s="283"/>
      <c r="E388" s="283"/>
      <c r="F388" s="283"/>
      <c r="G388" s="283"/>
      <c r="H388" s="283"/>
      <c r="I388" s="283"/>
      <c r="J388" s="283"/>
      <c r="K388" s="283"/>
      <c r="L388" s="283"/>
      <c r="M388" s="283"/>
      <c r="N388" s="283"/>
      <c r="O388" s="375" t="str">
        <f t="array" ref="O388">XLOOKUP(M388,'Recruiting Form Responses'!C:C,'Recruiting Form Responses'!A:A,"",0,1)</f>
        <v/>
      </c>
      <c r="P388" s="378"/>
      <c r="Q388" s="283"/>
      <c r="R388" s="283"/>
      <c r="S388" s="283"/>
      <c r="T388" s="283"/>
      <c r="U388" s="283"/>
      <c r="V388" s="283"/>
      <c r="W388" s="283"/>
      <c r="X388" s="283"/>
      <c r="Y388" s="283"/>
    </row>
    <row r="389">
      <c r="A389" s="283"/>
      <c r="B389" s="283"/>
      <c r="C389" s="283"/>
      <c r="D389" s="283"/>
      <c r="E389" s="283"/>
      <c r="F389" s="283"/>
      <c r="G389" s="283"/>
      <c r="H389" s="283"/>
      <c r="I389" s="283"/>
      <c r="J389" s="283"/>
      <c r="K389" s="283"/>
      <c r="L389" s="283"/>
      <c r="M389" s="283"/>
      <c r="N389" s="283"/>
      <c r="O389" s="375" t="str">
        <f t="array" ref="O389">XLOOKUP(M389,'Recruiting Form Responses'!C:C,'Recruiting Form Responses'!A:A,"",0,1)</f>
        <v/>
      </c>
      <c r="P389" s="378"/>
      <c r="Q389" s="283"/>
      <c r="R389" s="283"/>
      <c r="S389" s="283"/>
      <c r="T389" s="283"/>
      <c r="U389" s="283"/>
      <c r="V389" s="283"/>
      <c r="W389" s="283"/>
      <c r="X389" s="283"/>
      <c r="Y389" s="283"/>
    </row>
    <row r="390">
      <c r="A390" s="283"/>
      <c r="B390" s="283"/>
      <c r="C390" s="283"/>
      <c r="D390" s="283"/>
      <c r="E390" s="283"/>
      <c r="F390" s="283"/>
      <c r="G390" s="283"/>
      <c r="H390" s="283"/>
      <c r="I390" s="283"/>
      <c r="J390" s="283"/>
      <c r="K390" s="283"/>
      <c r="L390" s="283"/>
      <c r="M390" s="283"/>
      <c r="N390" s="283"/>
      <c r="O390" s="375" t="str">
        <f t="array" ref="O390">XLOOKUP(M390,'Recruiting Form Responses'!C:C,'Recruiting Form Responses'!A:A,"",0,1)</f>
        <v/>
      </c>
      <c r="P390" s="378"/>
      <c r="Q390" s="283"/>
      <c r="R390" s="283"/>
      <c r="S390" s="283"/>
      <c r="T390" s="283"/>
      <c r="U390" s="283"/>
      <c r="V390" s="283"/>
      <c r="W390" s="283"/>
      <c r="X390" s="283"/>
      <c r="Y390" s="283"/>
    </row>
    <row r="391">
      <c r="A391" s="283"/>
      <c r="B391" s="283"/>
      <c r="C391" s="283"/>
      <c r="D391" s="283"/>
      <c r="E391" s="283"/>
      <c r="F391" s="283"/>
      <c r="G391" s="283"/>
      <c r="H391" s="283"/>
      <c r="I391" s="283"/>
      <c r="J391" s="283"/>
      <c r="K391" s="283"/>
      <c r="L391" s="283"/>
      <c r="M391" s="283"/>
      <c r="N391" s="283"/>
      <c r="O391" s="375" t="str">
        <f t="array" ref="O391">XLOOKUP(M391,'Recruiting Form Responses'!C:C,'Recruiting Form Responses'!A:A,"",0,1)</f>
        <v/>
      </c>
      <c r="P391" s="378"/>
      <c r="Q391" s="283"/>
      <c r="R391" s="283"/>
      <c r="S391" s="283"/>
      <c r="T391" s="283"/>
      <c r="U391" s="283"/>
      <c r="V391" s="283"/>
      <c r="W391" s="283"/>
      <c r="X391" s="283"/>
      <c r="Y391" s="283"/>
    </row>
    <row r="392">
      <c r="A392" s="283"/>
      <c r="B392" s="283"/>
      <c r="C392" s="283"/>
      <c r="D392" s="283"/>
      <c r="E392" s="283"/>
      <c r="F392" s="283"/>
      <c r="G392" s="283"/>
      <c r="H392" s="283"/>
      <c r="I392" s="283"/>
      <c r="J392" s="283"/>
      <c r="K392" s="283"/>
      <c r="L392" s="283"/>
      <c r="M392" s="283"/>
      <c r="N392" s="283"/>
      <c r="O392" s="375" t="str">
        <f t="array" ref="O392">XLOOKUP(M392,'Recruiting Form Responses'!C:C,'Recruiting Form Responses'!A:A,"",0,1)</f>
        <v/>
      </c>
      <c r="P392" s="378"/>
      <c r="Q392" s="283"/>
      <c r="R392" s="283"/>
      <c r="S392" s="283"/>
      <c r="T392" s="283"/>
      <c r="U392" s="283"/>
      <c r="V392" s="283"/>
      <c r="W392" s="283"/>
      <c r="X392" s="283"/>
      <c r="Y392" s="283"/>
    </row>
    <row r="393">
      <c r="A393" s="283"/>
      <c r="B393" s="283"/>
      <c r="C393" s="283"/>
      <c r="D393" s="283"/>
      <c r="E393" s="283"/>
      <c r="F393" s="283"/>
      <c r="G393" s="283"/>
      <c r="H393" s="283"/>
      <c r="I393" s="283"/>
      <c r="J393" s="283"/>
      <c r="K393" s="283"/>
      <c r="L393" s="283"/>
      <c r="M393" s="283"/>
      <c r="N393" s="283"/>
      <c r="O393" s="375" t="str">
        <f t="array" ref="O393">XLOOKUP(M393,'Recruiting Form Responses'!C:C,'Recruiting Form Responses'!A:A,"",0,1)</f>
        <v/>
      </c>
      <c r="P393" s="378"/>
      <c r="Q393" s="283"/>
      <c r="R393" s="283"/>
      <c r="S393" s="283"/>
      <c r="T393" s="283"/>
      <c r="U393" s="283"/>
      <c r="V393" s="283"/>
      <c r="W393" s="283"/>
      <c r="X393" s="283"/>
      <c r="Y393" s="283"/>
    </row>
    <row r="394">
      <c r="A394" s="283"/>
      <c r="B394" s="283"/>
      <c r="C394" s="283"/>
      <c r="D394" s="283"/>
      <c r="E394" s="283"/>
      <c r="F394" s="283"/>
      <c r="G394" s="283"/>
      <c r="H394" s="283"/>
      <c r="I394" s="283"/>
      <c r="J394" s="283"/>
      <c r="K394" s="283"/>
      <c r="L394" s="283"/>
      <c r="M394" s="283"/>
      <c r="N394" s="283"/>
      <c r="O394" s="375" t="str">
        <f t="array" ref="O394">XLOOKUP(M394,'Recruiting Form Responses'!C:C,'Recruiting Form Responses'!A:A,"",0,1)</f>
        <v/>
      </c>
      <c r="P394" s="378"/>
      <c r="Q394" s="283"/>
      <c r="R394" s="283"/>
      <c r="S394" s="283"/>
      <c r="T394" s="283"/>
      <c r="U394" s="283"/>
      <c r="V394" s="283"/>
      <c r="W394" s="283"/>
      <c r="X394" s="283"/>
      <c r="Y394" s="283"/>
    </row>
    <row r="395">
      <c r="A395" s="283"/>
      <c r="B395" s="283"/>
      <c r="C395" s="283"/>
      <c r="D395" s="283"/>
      <c r="E395" s="283"/>
      <c r="F395" s="283"/>
      <c r="G395" s="283"/>
      <c r="H395" s="283"/>
      <c r="I395" s="283"/>
      <c r="J395" s="283"/>
      <c r="K395" s="283"/>
      <c r="L395" s="283"/>
      <c r="M395" s="283"/>
      <c r="N395" s="283"/>
      <c r="O395" s="375" t="str">
        <f t="array" ref="O395">XLOOKUP(M395,'Recruiting Form Responses'!C:C,'Recruiting Form Responses'!A:A,"",0,1)</f>
        <v/>
      </c>
      <c r="P395" s="378"/>
      <c r="Q395" s="283"/>
      <c r="R395" s="283"/>
      <c r="S395" s="283"/>
      <c r="T395" s="283"/>
      <c r="U395" s="283"/>
      <c r="V395" s="283"/>
      <c r="W395" s="283"/>
      <c r="X395" s="283"/>
      <c r="Y395" s="283"/>
    </row>
    <row r="396">
      <c r="A396" s="283"/>
      <c r="B396" s="283"/>
      <c r="C396" s="283"/>
      <c r="D396" s="283"/>
      <c r="E396" s="283"/>
      <c r="F396" s="283"/>
      <c r="G396" s="283"/>
      <c r="H396" s="283"/>
      <c r="I396" s="283"/>
      <c r="J396" s="283"/>
      <c r="K396" s="283"/>
      <c r="L396" s="283"/>
      <c r="M396" s="283"/>
      <c r="N396" s="283"/>
      <c r="O396" s="375" t="str">
        <f t="array" ref="O396">XLOOKUP(M396,'Recruiting Form Responses'!C:C,'Recruiting Form Responses'!A:A,"",0,1)</f>
        <v/>
      </c>
      <c r="P396" s="378"/>
      <c r="Q396" s="283"/>
      <c r="R396" s="283"/>
      <c r="S396" s="283"/>
      <c r="T396" s="283"/>
      <c r="U396" s="283"/>
      <c r="V396" s="283"/>
      <c r="W396" s="283"/>
      <c r="X396" s="283"/>
      <c r="Y396" s="283"/>
    </row>
    <row r="397">
      <c r="A397" s="283"/>
      <c r="B397" s="283"/>
      <c r="C397" s="283"/>
      <c r="D397" s="283"/>
      <c r="E397" s="283"/>
      <c r="F397" s="283"/>
      <c r="G397" s="283"/>
      <c r="H397" s="283"/>
      <c r="I397" s="283"/>
      <c r="J397" s="283"/>
      <c r="K397" s="283"/>
      <c r="L397" s="283"/>
      <c r="M397" s="283"/>
      <c r="N397" s="283"/>
      <c r="O397" s="375" t="str">
        <f t="array" ref="O397">XLOOKUP(M397,'Recruiting Form Responses'!C:C,'Recruiting Form Responses'!A:A,"",0,1)</f>
        <v/>
      </c>
      <c r="P397" s="378"/>
      <c r="Q397" s="283"/>
      <c r="R397" s="283"/>
      <c r="S397" s="283"/>
      <c r="T397" s="283"/>
      <c r="U397" s="283"/>
      <c r="V397" s="283"/>
      <c r="W397" s="283"/>
      <c r="X397" s="283"/>
      <c r="Y397" s="283"/>
    </row>
    <row r="398">
      <c r="A398" s="283"/>
      <c r="B398" s="283"/>
      <c r="C398" s="283"/>
      <c r="D398" s="283"/>
      <c r="E398" s="283"/>
      <c r="F398" s="283"/>
      <c r="G398" s="283"/>
      <c r="H398" s="283"/>
      <c r="I398" s="283"/>
      <c r="J398" s="283"/>
      <c r="K398" s="283"/>
      <c r="L398" s="283"/>
      <c r="M398" s="283"/>
      <c r="N398" s="283"/>
      <c r="O398" s="375" t="str">
        <f t="array" ref="O398">XLOOKUP(M398,'Recruiting Form Responses'!C:C,'Recruiting Form Responses'!A:A,"",0,1)</f>
        <v/>
      </c>
      <c r="P398" s="378"/>
      <c r="Q398" s="283"/>
      <c r="R398" s="283"/>
      <c r="S398" s="283"/>
      <c r="T398" s="283"/>
      <c r="U398" s="283"/>
      <c r="V398" s="283"/>
      <c r="W398" s="283"/>
      <c r="X398" s="283"/>
      <c r="Y398" s="283"/>
    </row>
    <row r="399">
      <c r="A399" s="283"/>
      <c r="B399" s="283"/>
      <c r="C399" s="283"/>
      <c r="D399" s="283"/>
      <c r="E399" s="283"/>
      <c r="F399" s="283"/>
      <c r="G399" s="283"/>
      <c r="H399" s="283"/>
      <c r="I399" s="283"/>
      <c r="J399" s="283"/>
      <c r="K399" s="283"/>
      <c r="L399" s="283"/>
      <c r="M399" s="283"/>
      <c r="N399" s="283"/>
      <c r="O399" s="375" t="str">
        <f t="array" ref="O399">XLOOKUP(M399,'Recruiting Form Responses'!C:C,'Recruiting Form Responses'!A:A,"",0,1)</f>
        <v/>
      </c>
      <c r="P399" s="378"/>
      <c r="Q399" s="283"/>
      <c r="R399" s="283"/>
      <c r="S399" s="283"/>
      <c r="T399" s="283"/>
      <c r="U399" s="283"/>
      <c r="V399" s="283"/>
      <c r="W399" s="283"/>
      <c r="X399" s="283"/>
      <c r="Y399" s="283"/>
    </row>
    <row r="400">
      <c r="A400" s="283"/>
      <c r="B400" s="283"/>
      <c r="C400" s="283"/>
      <c r="D400" s="283"/>
      <c r="E400" s="283"/>
      <c r="F400" s="283"/>
      <c r="G400" s="283"/>
      <c r="H400" s="283"/>
      <c r="I400" s="283"/>
      <c r="J400" s="283"/>
      <c r="K400" s="283"/>
      <c r="L400" s="283"/>
      <c r="M400" s="283"/>
      <c r="N400" s="283"/>
      <c r="O400" s="375" t="str">
        <f t="array" ref="O400">XLOOKUP(M400,'Recruiting Form Responses'!C:C,'Recruiting Form Responses'!A:A,"",0,1)</f>
        <v/>
      </c>
      <c r="P400" s="378"/>
      <c r="Q400" s="283"/>
      <c r="R400" s="283"/>
      <c r="S400" s="283"/>
      <c r="T400" s="283"/>
      <c r="U400" s="283"/>
      <c r="V400" s="283"/>
      <c r="W400" s="283"/>
      <c r="X400" s="283"/>
      <c r="Y400" s="283"/>
    </row>
    <row r="401">
      <c r="A401" s="283"/>
      <c r="B401" s="283"/>
      <c r="C401" s="283"/>
      <c r="D401" s="283"/>
      <c r="E401" s="283"/>
      <c r="F401" s="283"/>
      <c r="G401" s="283"/>
      <c r="H401" s="283"/>
      <c r="I401" s="283"/>
      <c r="J401" s="283"/>
      <c r="K401" s="283"/>
      <c r="L401" s="283"/>
      <c r="M401" s="283"/>
      <c r="N401" s="283"/>
      <c r="O401" s="375" t="str">
        <f t="array" ref="O401">XLOOKUP(M401,'Recruiting Form Responses'!C:C,'Recruiting Form Responses'!A:A,"",0,1)</f>
        <v/>
      </c>
      <c r="P401" s="378"/>
      <c r="Q401" s="283"/>
      <c r="R401" s="283"/>
      <c r="S401" s="283"/>
      <c r="T401" s="283"/>
      <c r="U401" s="283"/>
      <c r="V401" s="283"/>
      <c r="W401" s="283"/>
      <c r="X401" s="283"/>
      <c r="Y401" s="283"/>
    </row>
    <row r="402">
      <c r="A402" s="283"/>
      <c r="B402" s="283"/>
      <c r="C402" s="283"/>
      <c r="D402" s="283"/>
      <c r="E402" s="283"/>
      <c r="F402" s="283"/>
      <c r="G402" s="283"/>
      <c r="H402" s="283"/>
      <c r="I402" s="283"/>
      <c r="J402" s="283"/>
      <c r="K402" s="283"/>
      <c r="L402" s="283"/>
      <c r="M402" s="283"/>
      <c r="N402" s="283"/>
      <c r="O402" s="375" t="str">
        <f t="array" ref="O402">XLOOKUP(M402,'Recruiting Form Responses'!C:C,'Recruiting Form Responses'!A:A,"",0,1)</f>
        <v/>
      </c>
      <c r="P402" s="378"/>
      <c r="Q402" s="283"/>
      <c r="R402" s="283"/>
      <c r="S402" s="283"/>
      <c r="T402" s="283"/>
      <c r="U402" s="283"/>
      <c r="V402" s="283"/>
      <c r="W402" s="283"/>
      <c r="X402" s="283"/>
      <c r="Y402" s="283"/>
    </row>
    <row r="403">
      <c r="A403" s="283"/>
      <c r="B403" s="283"/>
      <c r="C403" s="283"/>
      <c r="D403" s="283"/>
      <c r="E403" s="283"/>
      <c r="F403" s="283"/>
      <c r="G403" s="283"/>
      <c r="H403" s="283"/>
      <c r="I403" s="283"/>
      <c r="J403" s="283"/>
      <c r="K403" s="283"/>
      <c r="L403" s="283"/>
      <c r="M403" s="283"/>
      <c r="N403" s="283"/>
      <c r="O403" s="375" t="str">
        <f t="array" ref="O403">XLOOKUP(M403,'Recruiting Form Responses'!C:C,'Recruiting Form Responses'!A:A,"",0,1)</f>
        <v/>
      </c>
      <c r="P403" s="378"/>
      <c r="Q403" s="283"/>
      <c r="R403" s="283"/>
      <c r="S403" s="283"/>
      <c r="T403" s="283"/>
      <c r="U403" s="283"/>
      <c r="V403" s="283"/>
      <c r="W403" s="283"/>
      <c r="X403" s="283"/>
      <c r="Y403" s="283"/>
    </row>
    <row r="404">
      <c r="A404" s="283"/>
      <c r="B404" s="283"/>
      <c r="C404" s="283"/>
      <c r="D404" s="283"/>
      <c r="E404" s="283"/>
      <c r="F404" s="283"/>
      <c r="G404" s="283"/>
      <c r="H404" s="283"/>
      <c r="I404" s="283"/>
      <c r="J404" s="283"/>
      <c r="K404" s="283"/>
      <c r="L404" s="283"/>
      <c r="M404" s="283"/>
      <c r="N404" s="283"/>
      <c r="O404" s="375" t="str">
        <f t="array" ref="O404">XLOOKUP(M404,'Recruiting Form Responses'!C:C,'Recruiting Form Responses'!A:A,"",0,1)</f>
        <v/>
      </c>
      <c r="P404" s="378"/>
      <c r="Q404" s="283"/>
      <c r="R404" s="283"/>
      <c r="S404" s="283"/>
      <c r="T404" s="283"/>
      <c r="U404" s="283"/>
      <c r="V404" s="283"/>
      <c r="W404" s="283"/>
      <c r="X404" s="283"/>
      <c r="Y404" s="283"/>
    </row>
    <row r="405">
      <c r="A405" s="283"/>
      <c r="B405" s="283"/>
      <c r="C405" s="283"/>
      <c r="D405" s="283"/>
      <c r="E405" s="283"/>
      <c r="F405" s="283"/>
      <c r="G405" s="283"/>
      <c r="H405" s="283"/>
      <c r="I405" s="283"/>
      <c r="J405" s="283"/>
      <c r="K405" s="283"/>
      <c r="L405" s="283"/>
      <c r="M405" s="283"/>
      <c r="N405" s="283"/>
      <c r="O405" s="375" t="str">
        <f t="array" ref="O405">XLOOKUP(M405,'Recruiting Form Responses'!C:C,'Recruiting Form Responses'!A:A,"",0,1)</f>
        <v/>
      </c>
      <c r="P405" s="378"/>
      <c r="Q405" s="283"/>
      <c r="R405" s="283"/>
      <c r="S405" s="283"/>
      <c r="T405" s="283"/>
      <c r="U405" s="283"/>
      <c r="V405" s="283"/>
      <c r="W405" s="283"/>
      <c r="X405" s="283"/>
      <c r="Y405" s="283"/>
    </row>
    <row r="406">
      <c r="A406" s="283"/>
      <c r="B406" s="283"/>
      <c r="C406" s="283"/>
      <c r="D406" s="283"/>
      <c r="E406" s="283"/>
      <c r="F406" s="283"/>
      <c r="G406" s="283"/>
      <c r="H406" s="283"/>
      <c r="I406" s="283"/>
      <c r="J406" s="283"/>
      <c r="K406" s="283"/>
      <c r="L406" s="283"/>
      <c r="M406" s="283"/>
      <c r="N406" s="283"/>
      <c r="O406" s="375" t="str">
        <f t="array" ref="O406">XLOOKUP(M406,'Recruiting Form Responses'!C:C,'Recruiting Form Responses'!A:A,"",0,1)</f>
        <v/>
      </c>
      <c r="P406" s="378"/>
      <c r="Q406" s="283"/>
      <c r="R406" s="283"/>
      <c r="S406" s="283"/>
      <c r="T406" s="283"/>
      <c r="U406" s="283"/>
      <c r="V406" s="283"/>
      <c r="W406" s="283"/>
      <c r="X406" s="283"/>
      <c r="Y406" s="283"/>
    </row>
    <row r="407">
      <c r="A407" s="283"/>
      <c r="B407" s="283"/>
      <c r="C407" s="283"/>
      <c r="D407" s="283"/>
      <c r="E407" s="283"/>
      <c r="F407" s="283"/>
      <c r="G407" s="283"/>
      <c r="H407" s="283"/>
      <c r="I407" s="283"/>
      <c r="J407" s="283"/>
      <c r="K407" s="283"/>
      <c r="L407" s="283"/>
      <c r="M407" s="283"/>
      <c r="N407" s="283"/>
      <c r="O407" s="375" t="str">
        <f t="array" ref="O407">XLOOKUP(M407,'Recruiting Form Responses'!C:C,'Recruiting Form Responses'!A:A,"",0,1)</f>
        <v/>
      </c>
      <c r="P407" s="378"/>
      <c r="Q407" s="283"/>
      <c r="R407" s="283"/>
      <c r="S407" s="283"/>
      <c r="T407" s="283"/>
      <c r="U407" s="283"/>
      <c r="V407" s="283"/>
      <c r="W407" s="283"/>
      <c r="X407" s="283"/>
      <c r="Y407" s="283"/>
    </row>
    <row r="408">
      <c r="A408" s="283"/>
      <c r="B408" s="283"/>
      <c r="C408" s="283"/>
      <c r="D408" s="283"/>
      <c r="E408" s="283"/>
      <c r="F408" s="283"/>
      <c r="G408" s="283"/>
      <c r="H408" s="283"/>
      <c r="I408" s="283"/>
      <c r="J408" s="283"/>
      <c r="K408" s="283"/>
      <c r="L408" s="283"/>
      <c r="M408" s="283"/>
      <c r="N408" s="283"/>
      <c r="O408" s="375" t="str">
        <f t="array" ref="O408">XLOOKUP(M408,'Recruiting Form Responses'!C:C,'Recruiting Form Responses'!A:A,"",0,1)</f>
        <v/>
      </c>
      <c r="P408" s="378"/>
      <c r="Q408" s="283"/>
      <c r="R408" s="283"/>
      <c r="S408" s="283"/>
      <c r="T408" s="283"/>
      <c r="U408" s="283"/>
      <c r="V408" s="283"/>
      <c r="W408" s="283"/>
      <c r="X408" s="283"/>
      <c r="Y408" s="283"/>
    </row>
    <row r="409">
      <c r="A409" s="283"/>
      <c r="B409" s="283"/>
      <c r="C409" s="283"/>
      <c r="D409" s="283"/>
      <c r="E409" s="283"/>
      <c r="F409" s="283"/>
      <c r="G409" s="283"/>
      <c r="H409" s="283"/>
      <c r="I409" s="283"/>
      <c r="J409" s="283"/>
      <c r="K409" s="283"/>
      <c r="L409" s="283"/>
      <c r="M409" s="283"/>
      <c r="N409" s="283"/>
      <c r="O409" s="375" t="str">
        <f t="array" ref="O409">XLOOKUP(M409,'Recruiting Form Responses'!C:C,'Recruiting Form Responses'!A:A,"",0,1)</f>
        <v/>
      </c>
      <c r="P409" s="378"/>
      <c r="Q409" s="283"/>
      <c r="R409" s="283"/>
      <c r="S409" s="283"/>
      <c r="T409" s="283"/>
      <c r="U409" s="283"/>
      <c r="V409" s="283"/>
      <c r="W409" s="283"/>
      <c r="X409" s="283"/>
      <c r="Y409" s="283"/>
    </row>
    <row r="410">
      <c r="A410" s="283"/>
      <c r="B410" s="283"/>
      <c r="C410" s="283"/>
      <c r="D410" s="283"/>
      <c r="E410" s="283"/>
      <c r="F410" s="283"/>
      <c r="G410" s="283"/>
      <c r="H410" s="283"/>
      <c r="I410" s="283"/>
      <c r="J410" s="283"/>
      <c r="K410" s="283"/>
      <c r="L410" s="283"/>
      <c r="M410" s="283"/>
      <c r="N410" s="283"/>
      <c r="O410" s="375" t="str">
        <f t="array" ref="O410">XLOOKUP(M410,'Recruiting Form Responses'!C:C,'Recruiting Form Responses'!A:A,"",0,1)</f>
        <v/>
      </c>
      <c r="P410" s="378"/>
      <c r="Q410" s="283"/>
      <c r="R410" s="283"/>
      <c r="S410" s="283"/>
      <c r="T410" s="283"/>
      <c r="U410" s="283"/>
      <c r="V410" s="283"/>
      <c r="W410" s="283"/>
      <c r="X410" s="283"/>
      <c r="Y410" s="283"/>
    </row>
    <row r="411">
      <c r="A411" s="283"/>
      <c r="B411" s="283"/>
      <c r="C411" s="283"/>
      <c r="D411" s="283"/>
      <c r="E411" s="283"/>
      <c r="F411" s="283"/>
      <c r="G411" s="283"/>
      <c r="H411" s="283"/>
      <c r="I411" s="283"/>
      <c r="J411" s="283"/>
      <c r="K411" s="283"/>
      <c r="L411" s="283"/>
      <c r="M411" s="283"/>
      <c r="N411" s="283"/>
      <c r="O411" s="375" t="str">
        <f t="array" ref="O411">XLOOKUP(M411,'Recruiting Form Responses'!C:C,'Recruiting Form Responses'!A:A,"",0,1)</f>
        <v/>
      </c>
      <c r="P411" s="378"/>
      <c r="Q411" s="283"/>
      <c r="R411" s="283"/>
      <c r="S411" s="283"/>
      <c r="T411" s="283"/>
      <c r="U411" s="283"/>
      <c r="V411" s="283"/>
      <c r="W411" s="283"/>
      <c r="X411" s="283"/>
      <c r="Y411" s="283"/>
    </row>
    <row r="412">
      <c r="A412" s="283"/>
      <c r="B412" s="283"/>
      <c r="C412" s="283"/>
      <c r="D412" s="283"/>
      <c r="E412" s="283"/>
      <c r="F412" s="283"/>
      <c r="G412" s="283"/>
      <c r="H412" s="283"/>
      <c r="I412" s="283"/>
      <c r="J412" s="283"/>
      <c r="K412" s="283"/>
      <c r="L412" s="283"/>
      <c r="M412" s="283"/>
      <c r="N412" s="283"/>
      <c r="O412" s="375" t="str">
        <f t="array" ref="O412">XLOOKUP(M412,'Recruiting Form Responses'!C:C,'Recruiting Form Responses'!A:A,"",0,1)</f>
        <v/>
      </c>
      <c r="P412" s="378"/>
      <c r="Q412" s="283"/>
      <c r="R412" s="283"/>
      <c r="S412" s="283"/>
      <c r="T412" s="283"/>
      <c r="U412" s="283"/>
      <c r="V412" s="283"/>
      <c r="W412" s="283"/>
      <c r="X412" s="283"/>
      <c r="Y412" s="283"/>
    </row>
    <row r="413">
      <c r="A413" s="283"/>
      <c r="B413" s="283"/>
      <c r="C413" s="283"/>
      <c r="D413" s="283"/>
      <c r="E413" s="283"/>
      <c r="F413" s="283"/>
      <c r="G413" s="283"/>
      <c r="H413" s="283"/>
      <c r="I413" s="283"/>
      <c r="J413" s="283"/>
      <c r="K413" s="283"/>
      <c r="L413" s="283"/>
      <c r="M413" s="283"/>
      <c r="N413" s="283"/>
      <c r="O413" s="375" t="str">
        <f t="array" ref="O413">XLOOKUP(M413,'Recruiting Form Responses'!C:C,'Recruiting Form Responses'!A:A,"",0,1)</f>
        <v/>
      </c>
      <c r="P413" s="378"/>
      <c r="Q413" s="283"/>
      <c r="R413" s="283"/>
      <c r="S413" s="283"/>
      <c r="T413" s="283"/>
      <c r="U413" s="283"/>
      <c r="V413" s="283"/>
      <c r="W413" s="283"/>
      <c r="X413" s="283"/>
      <c r="Y413" s="283"/>
    </row>
    <row r="414">
      <c r="A414" s="283"/>
      <c r="B414" s="283"/>
      <c r="C414" s="283"/>
      <c r="D414" s="283"/>
      <c r="E414" s="283"/>
      <c r="F414" s="283"/>
      <c r="G414" s="283"/>
      <c r="H414" s="283"/>
      <c r="I414" s="283"/>
      <c r="J414" s="283"/>
      <c r="K414" s="283"/>
      <c r="L414" s="283"/>
      <c r="M414" s="283"/>
      <c r="N414" s="283"/>
      <c r="O414" s="375" t="str">
        <f t="array" ref="O414">XLOOKUP(M414,'Recruiting Form Responses'!C:C,'Recruiting Form Responses'!A:A,"",0,1)</f>
        <v/>
      </c>
      <c r="P414" s="378"/>
      <c r="Q414" s="283"/>
      <c r="R414" s="283"/>
      <c r="S414" s="283"/>
      <c r="T414" s="283"/>
      <c r="U414" s="283"/>
      <c r="V414" s="283"/>
      <c r="W414" s="283"/>
      <c r="X414" s="283"/>
      <c r="Y414" s="283"/>
    </row>
    <row r="415">
      <c r="A415" s="283"/>
      <c r="B415" s="283"/>
      <c r="C415" s="283"/>
      <c r="D415" s="283"/>
      <c r="E415" s="283"/>
      <c r="F415" s="283"/>
      <c r="G415" s="283"/>
      <c r="H415" s="283"/>
      <c r="I415" s="283"/>
      <c r="J415" s="283"/>
      <c r="K415" s="283"/>
      <c r="L415" s="283"/>
      <c r="M415" s="283"/>
      <c r="N415" s="283"/>
      <c r="O415" s="375" t="str">
        <f t="array" ref="O415">XLOOKUP(M415,'Recruiting Form Responses'!C:C,'Recruiting Form Responses'!A:A,"",0,1)</f>
        <v/>
      </c>
      <c r="P415" s="378"/>
      <c r="Q415" s="283"/>
      <c r="R415" s="283"/>
      <c r="S415" s="283"/>
      <c r="T415" s="283"/>
      <c r="U415" s="283"/>
      <c r="V415" s="283"/>
      <c r="W415" s="283"/>
      <c r="X415" s="283"/>
      <c r="Y415" s="283"/>
    </row>
    <row r="416">
      <c r="A416" s="283"/>
      <c r="B416" s="283"/>
      <c r="C416" s="283"/>
      <c r="D416" s="283"/>
      <c r="E416" s="283"/>
      <c r="F416" s="283"/>
      <c r="G416" s="283"/>
      <c r="H416" s="283"/>
      <c r="I416" s="283"/>
      <c r="J416" s="283"/>
      <c r="K416" s="283"/>
      <c r="L416" s="283"/>
      <c r="M416" s="283"/>
      <c r="N416" s="283"/>
      <c r="O416" s="375" t="str">
        <f t="array" ref="O416">XLOOKUP(M416,'Recruiting Form Responses'!C:C,'Recruiting Form Responses'!A:A,"",0,1)</f>
        <v/>
      </c>
      <c r="P416" s="378"/>
      <c r="Q416" s="283"/>
      <c r="R416" s="283"/>
      <c r="S416" s="283"/>
      <c r="T416" s="283"/>
      <c r="U416" s="283"/>
      <c r="V416" s="283"/>
      <c r="W416" s="283"/>
      <c r="X416" s="283"/>
      <c r="Y416" s="283"/>
    </row>
    <row r="417">
      <c r="A417" s="283"/>
      <c r="B417" s="283"/>
      <c r="C417" s="283"/>
      <c r="D417" s="283"/>
      <c r="E417" s="283"/>
      <c r="F417" s="283"/>
      <c r="G417" s="283"/>
      <c r="H417" s="283"/>
      <c r="I417" s="283"/>
      <c r="J417" s="283"/>
      <c r="K417" s="283"/>
      <c r="L417" s="283"/>
      <c r="M417" s="283"/>
      <c r="N417" s="283"/>
      <c r="O417" s="375" t="str">
        <f t="array" ref="O417">XLOOKUP(M417,'Recruiting Form Responses'!C:C,'Recruiting Form Responses'!A:A,"",0,1)</f>
        <v/>
      </c>
      <c r="P417" s="378"/>
      <c r="Q417" s="283"/>
      <c r="R417" s="283"/>
      <c r="S417" s="283"/>
      <c r="T417" s="283"/>
      <c r="U417" s="283"/>
      <c r="V417" s="283"/>
      <c r="W417" s="283"/>
      <c r="X417" s="283"/>
      <c r="Y417" s="283"/>
    </row>
    <row r="418">
      <c r="A418" s="283"/>
      <c r="B418" s="283"/>
      <c r="C418" s="283"/>
      <c r="D418" s="283"/>
      <c r="E418" s="283"/>
      <c r="F418" s="283"/>
      <c r="G418" s="283"/>
      <c r="H418" s="283"/>
      <c r="I418" s="283"/>
      <c r="J418" s="283"/>
      <c r="K418" s="283"/>
      <c r="L418" s="283"/>
      <c r="M418" s="283"/>
      <c r="N418" s="283"/>
      <c r="O418" s="375" t="str">
        <f t="array" ref="O418">XLOOKUP(M418,'Recruiting Form Responses'!C:C,'Recruiting Form Responses'!A:A,"",0,1)</f>
        <v/>
      </c>
      <c r="P418" s="378"/>
      <c r="Q418" s="283"/>
      <c r="R418" s="283"/>
      <c r="S418" s="283"/>
      <c r="T418" s="283"/>
      <c r="U418" s="283"/>
      <c r="V418" s="283"/>
      <c r="W418" s="283"/>
      <c r="X418" s="283"/>
      <c r="Y418" s="283"/>
    </row>
    <row r="419">
      <c r="A419" s="283"/>
      <c r="B419" s="283"/>
      <c r="C419" s="283"/>
      <c r="D419" s="283"/>
      <c r="E419" s="283"/>
      <c r="F419" s="283"/>
      <c r="G419" s="283"/>
      <c r="H419" s="283"/>
      <c r="I419" s="283"/>
      <c r="J419" s="283"/>
      <c r="K419" s="283"/>
      <c r="L419" s="283"/>
      <c r="M419" s="283"/>
      <c r="N419" s="283"/>
      <c r="O419" s="375" t="str">
        <f t="array" ref="O419">XLOOKUP(M419,'Recruiting Form Responses'!C:C,'Recruiting Form Responses'!A:A,"",0,1)</f>
        <v/>
      </c>
      <c r="P419" s="378"/>
      <c r="Q419" s="283"/>
      <c r="R419" s="283"/>
      <c r="S419" s="283"/>
      <c r="T419" s="283"/>
      <c r="U419" s="283"/>
      <c r="V419" s="283"/>
      <c r="W419" s="283"/>
      <c r="X419" s="283"/>
      <c r="Y419" s="283"/>
    </row>
    <row r="420">
      <c r="A420" s="283"/>
      <c r="B420" s="283"/>
      <c r="C420" s="283"/>
      <c r="D420" s="283"/>
      <c r="E420" s="283"/>
      <c r="F420" s="283"/>
      <c r="G420" s="283"/>
      <c r="H420" s="283"/>
      <c r="I420" s="283"/>
      <c r="J420" s="283"/>
      <c r="K420" s="283"/>
      <c r="L420" s="283"/>
      <c r="M420" s="283"/>
      <c r="N420" s="283"/>
      <c r="O420" s="375" t="str">
        <f t="array" ref="O420">XLOOKUP(M420,'Recruiting Form Responses'!C:C,'Recruiting Form Responses'!A:A,"",0,1)</f>
        <v/>
      </c>
      <c r="P420" s="378"/>
      <c r="Q420" s="283"/>
      <c r="R420" s="283"/>
      <c r="S420" s="283"/>
      <c r="T420" s="283"/>
      <c r="U420" s="283"/>
      <c r="V420" s="283"/>
      <c r="W420" s="283"/>
      <c r="X420" s="283"/>
      <c r="Y420" s="283"/>
    </row>
    <row r="421">
      <c r="A421" s="283"/>
      <c r="B421" s="283"/>
      <c r="C421" s="283"/>
      <c r="D421" s="283"/>
      <c r="E421" s="283"/>
      <c r="F421" s="283"/>
      <c r="G421" s="283"/>
      <c r="H421" s="283"/>
      <c r="I421" s="283"/>
      <c r="J421" s="283"/>
      <c r="K421" s="283"/>
      <c r="L421" s="283"/>
      <c r="M421" s="283"/>
      <c r="N421" s="283"/>
      <c r="O421" s="375" t="str">
        <f t="array" ref="O421">XLOOKUP(M421,'Recruiting Form Responses'!C:C,'Recruiting Form Responses'!A:A,"",0,1)</f>
        <v/>
      </c>
      <c r="P421" s="378"/>
      <c r="Q421" s="283"/>
      <c r="R421" s="283"/>
      <c r="S421" s="283"/>
      <c r="T421" s="283"/>
      <c r="U421" s="283"/>
      <c r="V421" s="283"/>
      <c r="W421" s="283"/>
      <c r="X421" s="283"/>
      <c r="Y421" s="283"/>
    </row>
    <row r="422">
      <c r="A422" s="283"/>
      <c r="B422" s="283"/>
      <c r="C422" s="283"/>
      <c r="D422" s="283"/>
      <c r="E422" s="283"/>
      <c r="F422" s="283"/>
      <c r="G422" s="283"/>
      <c r="H422" s="283"/>
      <c r="I422" s="283"/>
      <c r="J422" s="283"/>
      <c r="K422" s="283"/>
      <c r="L422" s="283"/>
      <c r="M422" s="283"/>
      <c r="N422" s="283"/>
      <c r="O422" s="375" t="str">
        <f t="array" ref="O422">XLOOKUP(M422,'Recruiting Form Responses'!C:C,'Recruiting Form Responses'!A:A,"",0,1)</f>
        <v/>
      </c>
      <c r="P422" s="378"/>
      <c r="Q422" s="283"/>
      <c r="R422" s="283"/>
      <c r="S422" s="283"/>
      <c r="T422" s="283"/>
      <c r="U422" s="283"/>
      <c r="V422" s="283"/>
      <c r="W422" s="283"/>
      <c r="X422" s="283"/>
      <c r="Y422" s="283"/>
    </row>
    <row r="423">
      <c r="A423" s="283"/>
      <c r="B423" s="283"/>
      <c r="C423" s="283"/>
      <c r="D423" s="283"/>
      <c r="E423" s="283"/>
      <c r="F423" s="283"/>
      <c r="G423" s="283"/>
      <c r="H423" s="283"/>
      <c r="I423" s="283"/>
      <c r="J423" s="283"/>
      <c r="K423" s="283"/>
      <c r="L423" s="283"/>
      <c r="M423" s="283"/>
      <c r="N423" s="283"/>
      <c r="O423" s="375" t="str">
        <f t="array" ref="O423">XLOOKUP(M423,'Recruiting Form Responses'!C:C,'Recruiting Form Responses'!A:A,"",0,1)</f>
        <v/>
      </c>
      <c r="P423" s="378"/>
      <c r="Q423" s="283"/>
      <c r="R423" s="283"/>
      <c r="S423" s="283"/>
      <c r="T423" s="283"/>
      <c r="U423" s="283"/>
      <c r="V423" s="283"/>
      <c r="W423" s="283"/>
      <c r="X423" s="283"/>
      <c r="Y423" s="283"/>
    </row>
    <row r="424">
      <c r="A424" s="283"/>
      <c r="B424" s="283"/>
      <c r="C424" s="283"/>
      <c r="D424" s="283"/>
      <c r="E424" s="283"/>
      <c r="F424" s="283"/>
      <c r="G424" s="283"/>
      <c r="H424" s="283"/>
      <c r="I424" s="283"/>
      <c r="J424" s="283"/>
      <c r="K424" s="283"/>
      <c r="L424" s="283"/>
      <c r="M424" s="283"/>
      <c r="N424" s="283"/>
      <c r="O424" s="375" t="str">
        <f t="array" ref="O424">XLOOKUP(M424,'Recruiting Form Responses'!C:C,'Recruiting Form Responses'!A:A,"",0,1)</f>
        <v/>
      </c>
      <c r="P424" s="378"/>
      <c r="Q424" s="283"/>
      <c r="R424" s="283"/>
      <c r="S424" s="283"/>
      <c r="T424" s="283"/>
      <c r="U424" s="283"/>
      <c r="V424" s="283"/>
      <c r="W424" s="283"/>
      <c r="X424" s="283"/>
      <c r="Y424" s="283"/>
    </row>
    <row r="425">
      <c r="A425" s="283"/>
      <c r="B425" s="283"/>
      <c r="C425" s="283"/>
      <c r="D425" s="283"/>
      <c r="E425" s="283"/>
      <c r="F425" s="283"/>
      <c r="G425" s="283"/>
      <c r="H425" s="283"/>
      <c r="I425" s="283"/>
      <c r="J425" s="283"/>
      <c r="K425" s="283"/>
      <c r="L425" s="283"/>
      <c r="M425" s="283"/>
      <c r="N425" s="283"/>
      <c r="O425" s="375" t="str">
        <f t="array" ref="O425">XLOOKUP(M425,'Recruiting Form Responses'!C:C,'Recruiting Form Responses'!A:A,"",0,1)</f>
        <v/>
      </c>
      <c r="P425" s="378"/>
      <c r="Q425" s="283"/>
      <c r="R425" s="283"/>
      <c r="S425" s="283"/>
      <c r="T425" s="283"/>
      <c r="U425" s="283"/>
      <c r="V425" s="283"/>
      <c r="W425" s="283"/>
      <c r="X425" s="283"/>
      <c r="Y425" s="283"/>
    </row>
    <row r="426">
      <c r="A426" s="283"/>
      <c r="B426" s="283"/>
      <c r="C426" s="283"/>
      <c r="D426" s="283"/>
      <c r="E426" s="283"/>
      <c r="F426" s="283"/>
      <c r="G426" s="283"/>
      <c r="H426" s="283"/>
      <c r="I426" s="283"/>
      <c r="J426" s="283"/>
      <c r="K426" s="283"/>
      <c r="L426" s="283"/>
      <c r="M426" s="283"/>
      <c r="N426" s="283"/>
      <c r="O426" s="375" t="str">
        <f t="array" ref="O426">XLOOKUP(M426,'Recruiting Form Responses'!C:C,'Recruiting Form Responses'!A:A,"",0,1)</f>
        <v/>
      </c>
      <c r="P426" s="378"/>
      <c r="Q426" s="283"/>
      <c r="R426" s="283"/>
      <c r="S426" s="283"/>
      <c r="T426" s="283"/>
      <c r="U426" s="283"/>
      <c r="V426" s="283"/>
      <c r="W426" s="283"/>
      <c r="X426" s="283"/>
      <c r="Y426" s="283"/>
    </row>
    <row r="427">
      <c r="A427" s="283"/>
      <c r="B427" s="283"/>
      <c r="C427" s="283"/>
      <c r="D427" s="283"/>
      <c r="E427" s="283"/>
      <c r="F427" s="283"/>
      <c r="G427" s="283"/>
      <c r="H427" s="283"/>
      <c r="I427" s="283"/>
      <c r="J427" s="283"/>
      <c r="K427" s="283"/>
      <c r="L427" s="283"/>
      <c r="M427" s="283"/>
      <c r="N427" s="283"/>
      <c r="O427" s="375" t="str">
        <f t="array" ref="O427">XLOOKUP(M427,'Recruiting Form Responses'!C:C,'Recruiting Form Responses'!A:A,"",0,1)</f>
        <v/>
      </c>
      <c r="P427" s="378"/>
      <c r="Q427" s="283"/>
      <c r="R427" s="283"/>
      <c r="S427" s="283"/>
      <c r="T427" s="283"/>
      <c r="U427" s="283"/>
      <c r="V427" s="283"/>
      <c r="W427" s="283"/>
      <c r="X427" s="283"/>
      <c r="Y427" s="283"/>
    </row>
    <row r="428">
      <c r="A428" s="283"/>
      <c r="B428" s="283"/>
      <c r="C428" s="283"/>
      <c r="D428" s="283"/>
      <c r="E428" s="283"/>
      <c r="F428" s="283"/>
      <c r="G428" s="283"/>
      <c r="H428" s="283"/>
      <c r="I428" s="283"/>
      <c r="J428" s="283"/>
      <c r="K428" s="283"/>
      <c r="L428" s="283"/>
      <c r="M428" s="283"/>
      <c r="N428" s="283"/>
      <c r="O428" s="375" t="str">
        <f t="array" ref="O428">XLOOKUP(M428,'Recruiting Form Responses'!C:C,'Recruiting Form Responses'!A:A,"",0,1)</f>
        <v/>
      </c>
      <c r="P428" s="378"/>
      <c r="Q428" s="283"/>
      <c r="R428" s="283"/>
      <c r="S428" s="283"/>
      <c r="T428" s="283"/>
      <c r="U428" s="283"/>
      <c r="V428" s="283"/>
      <c r="W428" s="283"/>
      <c r="X428" s="283"/>
      <c r="Y428" s="283"/>
    </row>
    <row r="429">
      <c r="A429" s="283"/>
      <c r="B429" s="283"/>
      <c r="C429" s="283"/>
      <c r="D429" s="283"/>
      <c r="E429" s="283"/>
      <c r="F429" s="283"/>
      <c r="G429" s="283"/>
      <c r="H429" s="283"/>
      <c r="I429" s="283"/>
      <c r="J429" s="283"/>
      <c r="K429" s="283"/>
      <c r="L429" s="283"/>
      <c r="M429" s="283"/>
      <c r="N429" s="283"/>
      <c r="O429" s="375" t="str">
        <f t="array" ref="O429">XLOOKUP(M429,'Recruiting Form Responses'!C:C,'Recruiting Form Responses'!A:A,"",0,1)</f>
        <v/>
      </c>
      <c r="P429" s="378"/>
      <c r="Q429" s="283"/>
      <c r="R429" s="283"/>
      <c r="S429" s="283"/>
      <c r="T429" s="283"/>
      <c r="U429" s="283"/>
      <c r="V429" s="283"/>
      <c r="W429" s="283"/>
      <c r="X429" s="283"/>
      <c r="Y429" s="283"/>
    </row>
    <row r="430">
      <c r="A430" s="283"/>
      <c r="B430" s="283"/>
      <c r="C430" s="283"/>
      <c r="D430" s="283"/>
      <c r="E430" s="283"/>
      <c r="F430" s="283"/>
      <c r="G430" s="283"/>
      <c r="H430" s="283"/>
      <c r="I430" s="283"/>
      <c r="J430" s="283"/>
      <c r="K430" s="283"/>
      <c r="L430" s="283"/>
      <c r="M430" s="283"/>
      <c r="N430" s="283"/>
      <c r="O430" s="375" t="str">
        <f t="array" ref="O430">XLOOKUP(M430,'Recruiting Form Responses'!C:C,'Recruiting Form Responses'!A:A,"",0,1)</f>
        <v/>
      </c>
      <c r="P430" s="378"/>
      <c r="Q430" s="283"/>
      <c r="R430" s="283"/>
      <c r="S430" s="283"/>
      <c r="T430" s="283"/>
      <c r="U430" s="283"/>
      <c r="V430" s="283"/>
      <c r="W430" s="283"/>
      <c r="X430" s="283"/>
      <c r="Y430" s="283"/>
    </row>
    <row r="431">
      <c r="A431" s="283"/>
      <c r="B431" s="283"/>
      <c r="C431" s="283"/>
      <c r="D431" s="283"/>
      <c r="E431" s="283"/>
      <c r="F431" s="283"/>
      <c r="G431" s="283"/>
      <c r="H431" s="283"/>
      <c r="I431" s="283"/>
      <c r="J431" s="283"/>
      <c r="K431" s="283"/>
      <c r="L431" s="283"/>
      <c r="M431" s="283"/>
      <c r="N431" s="283"/>
      <c r="O431" s="375" t="str">
        <f t="array" ref="O431">XLOOKUP(M431,'Recruiting Form Responses'!C:C,'Recruiting Form Responses'!A:A,"",0,1)</f>
        <v/>
      </c>
      <c r="P431" s="378"/>
      <c r="Q431" s="283"/>
      <c r="R431" s="283"/>
      <c r="S431" s="283"/>
      <c r="T431" s="283"/>
      <c r="U431" s="283"/>
      <c r="V431" s="283"/>
      <c r="W431" s="283"/>
      <c r="X431" s="283"/>
      <c r="Y431" s="283"/>
    </row>
    <row r="432">
      <c r="A432" s="283"/>
      <c r="B432" s="283"/>
      <c r="C432" s="283"/>
      <c r="D432" s="283"/>
      <c r="E432" s="283"/>
      <c r="F432" s="283"/>
      <c r="G432" s="283"/>
      <c r="H432" s="283"/>
      <c r="I432" s="283"/>
      <c r="J432" s="283"/>
      <c r="K432" s="283"/>
      <c r="L432" s="283"/>
      <c r="M432" s="283"/>
      <c r="N432" s="283"/>
      <c r="O432" s="375" t="str">
        <f t="array" ref="O432">XLOOKUP(M432,'Recruiting Form Responses'!C:C,'Recruiting Form Responses'!A:A,"",0,1)</f>
        <v/>
      </c>
      <c r="P432" s="378"/>
      <c r="Q432" s="283"/>
      <c r="R432" s="283"/>
      <c r="S432" s="283"/>
      <c r="T432" s="283"/>
      <c r="U432" s="283"/>
      <c r="V432" s="283"/>
      <c r="W432" s="283"/>
      <c r="X432" s="283"/>
      <c r="Y432" s="283"/>
    </row>
    <row r="433">
      <c r="A433" s="283"/>
      <c r="B433" s="283"/>
      <c r="C433" s="283"/>
      <c r="D433" s="283"/>
      <c r="E433" s="283"/>
      <c r="F433" s="283"/>
      <c r="G433" s="283"/>
      <c r="H433" s="283"/>
      <c r="I433" s="283"/>
      <c r="J433" s="283"/>
      <c r="K433" s="283"/>
      <c r="L433" s="283"/>
      <c r="M433" s="283"/>
      <c r="N433" s="283"/>
      <c r="O433" s="375" t="str">
        <f t="array" ref="O433">XLOOKUP(M433,'Recruiting Form Responses'!C:C,'Recruiting Form Responses'!A:A,"",0,1)</f>
        <v/>
      </c>
      <c r="P433" s="378"/>
      <c r="Q433" s="283"/>
      <c r="R433" s="283"/>
      <c r="S433" s="283"/>
      <c r="T433" s="283"/>
      <c r="U433" s="283"/>
      <c r="V433" s="283"/>
      <c r="W433" s="283"/>
      <c r="X433" s="283"/>
      <c r="Y433" s="283"/>
    </row>
    <row r="434">
      <c r="A434" s="283"/>
      <c r="B434" s="283"/>
      <c r="C434" s="283"/>
      <c r="D434" s="283"/>
      <c r="E434" s="283"/>
      <c r="F434" s="283"/>
      <c r="G434" s="283"/>
      <c r="H434" s="283"/>
      <c r="I434" s="283"/>
      <c r="J434" s="283"/>
      <c r="K434" s="283"/>
      <c r="L434" s="283"/>
      <c r="M434" s="283"/>
      <c r="N434" s="283"/>
      <c r="O434" s="375" t="str">
        <f t="array" ref="O434">XLOOKUP(M434,'Recruiting Form Responses'!C:C,'Recruiting Form Responses'!A:A,"",0,1)</f>
        <v/>
      </c>
      <c r="P434" s="378"/>
      <c r="Q434" s="283"/>
      <c r="R434" s="283"/>
      <c r="S434" s="283"/>
      <c r="T434" s="283"/>
      <c r="U434" s="283"/>
      <c r="V434" s="283"/>
      <c r="W434" s="283"/>
      <c r="X434" s="283"/>
      <c r="Y434" s="283"/>
    </row>
    <row r="435">
      <c r="A435" s="283"/>
      <c r="B435" s="283"/>
      <c r="C435" s="283"/>
      <c r="D435" s="283"/>
      <c r="E435" s="283"/>
      <c r="F435" s="283"/>
      <c r="G435" s="283"/>
      <c r="H435" s="283"/>
      <c r="I435" s="283"/>
      <c r="J435" s="283"/>
      <c r="K435" s="283"/>
      <c r="L435" s="283"/>
      <c r="M435" s="283"/>
      <c r="N435" s="283"/>
      <c r="O435" s="375" t="str">
        <f t="array" ref="O435">XLOOKUP(M435,'Recruiting Form Responses'!C:C,'Recruiting Form Responses'!A:A,"",0,1)</f>
        <v/>
      </c>
      <c r="P435" s="378"/>
      <c r="Q435" s="283"/>
      <c r="R435" s="283"/>
      <c r="S435" s="283"/>
      <c r="T435" s="283"/>
      <c r="U435" s="283"/>
      <c r="V435" s="283"/>
      <c r="W435" s="283"/>
      <c r="X435" s="283"/>
      <c r="Y435" s="283"/>
    </row>
    <row r="436">
      <c r="A436" s="283"/>
      <c r="B436" s="283"/>
      <c r="C436" s="283"/>
      <c r="D436" s="283"/>
      <c r="E436" s="283"/>
      <c r="F436" s="283"/>
      <c r="G436" s="283"/>
      <c r="H436" s="283"/>
      <c r="I436" s="283"/>
      <c r="J436" s="283"/>
      <c r="K436" s="283"/>
      <c r="L436" s="283"/>
      <c r="M436" s="283"/>
      <c r="N436" s="283"/>
      <c r="O436" s="375" t="str">
        <f t="array" ref="O436">XLOOKUP(M436,'Recruiting Form Responses'!C:C,'Recruiting Form Responses'!A:A,"",0,1)</f>
        <v/>
      </c>
      <c r="P436" s="378"/>
      <c r="Q436" s="283"/>
      <c r="R436" s="283"/>
      <c r="S436" s="283"/>
      <c r="T436" s="283"/>
      <c r="U436" s="283"/>
      <c r="V436" s="283"/>
      <c r="W436" s="283"/>
      <c r="X436" s="283"/>
      <c r="Y436" s="283"/>
    </row>
    <row r="437">
      <c r="A437" s="283"/>
      <c r="B437" s="283"/>
      <c r="C437" s="283"/>
      <c r="D437" s="283"/>
      <c r="E437" s="283"/>
      <c r="F437" s="283"/>
      <c r="G437" s="283"/>
      <c r="H437" s="283"/>
      <c r="I437" s="283"/>
      <c r="J437" s="283"/>
      <c r="K437" s="283"/>
      <c r="L437" s="283"/>
      <c r="M437" s="283"/>
      <c r="N437" s="283"/>
      <c r="O437" s="375" t="str">
        <f t="array" ref="O437">XLOOKUP(M437,'Recruiting Form Responses'!C:C,'Recruiting Form Responses'!A:A,"",0,1)</f>
        <v/>
      </c>
      <c r="P437" s="378"/>
      <c r="Q437" s="283"/>
      <c r="R437" s="283"/>
      <c r="S437" s="283"/>
      <c r="T437" s="283"/>
      <c r="U437" s="283"/>
      <c r="V437" s="283"/>
      <c r="W437" s="283"/>
      <c r="X437" s="283"/>
      <c r="Y437" s="283"/>
    </row>
    <row r="438">
      <c r="A438" s="283"/>
      <c r="B438" s="283"/>
      <c r="C438" s="283"/>
      <c r="D438" s="283"/>
      <c r="E438" s="283"/>
      <c r="F438" s="283"/>
      <c r="G438" s="283"/>
      <c r="H438" s="283"/>
      <c r="I438" s="283"/>
      <c r="J438" s="283"/>
      <c r="K438" s="283"/>
      <c r="L438" s="283"/>
      <c r="M438" s="283"/>
      <c r="N438" s="283"/>
      <c r="O438" s="375" t="str">
        <f t="array" ref="O438">XLOOKUP(M438,'Recruiting Form Responses'!C:C,'Recruiting Form Responses'!A:A,"",0,1)</f>
        <v/>
      </c>
      <c r="P438" s="378"/>
      <c r="Q438" s="283"/>
      <c r="R438" s="283"/>
      <c r="S438" s="283"/>
      <c r="T438" s="283"/>
      <c r="U438" s="283"/>
      <c r="V438" s="283"/>
      <c r="W438" s="283"/>
      <c r="X438" s="283"/>
      <c r="Y438" s="283"/>
    </row>
    <row r="439">
      <c r="A439" s="283"/>
      <c r="B439" s="283"/>
      <c r="C439" s="283"/>
      <c r="D439" s="283"/>
      <c r="E439" s="283"/>
      <c r="F439" s="283"/>
      <c r="G439" s="283"/>
      <c r="H439" s="283"/>
      <c r="I439" s="283"/>
      <c r="J439" s="283"/>
      <c r="K439" s="283"/>
      <c r="L439" s="283"/>
      <c r="M439" s="283"/>
      <c r="N439" s="283"/>
      <c r="O439" s="375" t="str">
        <f t="array" ref="O439">XLOOKUP(M439,'Recruiting Form Responses'!C:C,'Recruiting Form Responses'!A:A,"",0,1)</f>
        <v/>
      </c>
      <c r="P439" s="378"/>
      <c r="Q439" s="283"/>
      <c r="R439" s="283"/>
      <c r="S439" s="283"/>
      <c r="T439" s="283"/>
      <c r="U439" s="283"/>
      <c r="V439" s="283"/>
      <c r="W439" s="283"/>
      <c r="X439" s="283"/>
      <c r="Y439" s="283"/>
    </row>
    <row r="440">
      <c r="A440" s="283"/>
      <c r="B440" s="283"/>
      <c r="C440" s="283"/>
      <c r="D440" s="283"/>
      <c r="E440" s="283"/>
      <c r="F440" s="283"/>
      <c r="G440" s="283"/>
      <c r="H440" s="283"/>
      <c r="I440" s="283"/>
      <c r="J440" s="283"/>
      <c r="K440" s="283"/>
      <c r="L440" s="283"/>
      <c r="M440" s="283"/>
      <c r="N440" s="283"/>
      <c r="O440" s="375" t="str">
        <f t="array" ref="O440">XLOOKUP(M440,'Recruiting Form Responses'!C:C,'Recruiting Form Responses'!A:A,"",0,1)</f>
        <v/>
      </c>
      <c r="P440" s="378"/>
      <c r="Q440" s="283"/>
      <c r="R440" s="283"/>
      <c r="S440" s="283"/>
      <c r="T440" s="283"/>
      <c r="U440" s="283"/>
      <c r="V440" s="283"/>
      <c r="W440" s="283"/>
      <c r="X440" s="283"/>
      <c r="Y440" s="283"/>
    </row>
    <row r="441">
      <c r="A441" s="283"/>
      <c r="B441" s="283"/>
      <c r="C441" s="283"/>
      <c r="D441" s="283"/>
      <c r="E441" s="283"/>
      <c r="F441" s="283"/>
      <c r="G441" s="283"/>
      <c r="H441" s="283"/>
      <c r="I441" s="283"/>
      <c r="J441" s="283"/>
      <c r="K441" s="283"/>
      <c r="L441" s="283"/>
      <c r="M441" s="283"/>
      <c r="N441" s="283"/>
      <c r="O441" s="375" t="str">
        <f t="array" ref="O441">XLOOKUP(M441,'Recruiting Form Responses'!C:C,'Recruiting Form Responses'!A:A,"",0,1)</f>
        <v/>
      </c>
      <c r="P441" s="378"/>
      <c r="Q441" s="283"/>
      <c r="R441" s="283"/>
      <c r="S441" s="283"/>
      <c r="T441" s="283"/>
      <c r="U441" s="283"/>
      <c r="V441" s="283"/>
      <c r="W441" s="283"/>
      <c r="X441" s="283"/>
      <c r="Y441" s="283"/>
    </row>
    <row r="442">
      <c r="A442" s="283"/>
      <c r="B442" s="283"/>
      <c r="C442" s="283"/>
      <c r="D442" s="283"/>
      <c r="E442" s="283"/>
      <c r="F442" s="283"/>
      <c r="G442" s="283"/>
      <c r="H442" s="283"/>
      <c r="I442" s="283"/>
      <c r="J442" s="283"/>
      <c r="K442" s="283"/>
      <c r="L442" s="283"/>
      <c r="M442" s="283"/>
      <c r="N442" s="283"/>
      <c r="O442" s="375" t="str">
        <f t="array" ref="O442">XLOOKUP(M442,'Recruiting Form Responses'!C:C,'Recruiting Form Responses'!A:A,"",0,1)</f>
        <v/>
      </c>
      <c r="P442" s="378"/>
      <c r="Q442" s="283"/>
      <c r="R442" s="283"/>
      <c r="S442" s="283"/>
      <c r="T442" s="283"/>
      <c r="U442" s="283"/>
      <c r="V442" s="283"/>
      <c r="W442" s="283"/>
      <c r="X442" s="283"/>
      <c r="Y442" s="283"/>
    </row>
    <row r="443">
      <c r="A443" s="283"/>
      <c r="B443" s="283"/>
      <c r="C443" s="283"/>
      <c r="D443" s="283"/>
      <c r="E443" s="283"/>
      <c r="F443" s="283"/>
      <c r="G443" s="283"/>
      <c r="H443" s="283"/>
      <c r="I443" s="283"/>
      <c r="J443" s="283"/>
      <c r="K443" s="283"/>
      <c r="L443" s="283"/>
      <c r="M443" s="283"/>
      <c r="N443" s="283"/>
      <c r="O443" s="375" t="str">
        <f t="array" ref="O443">XLOOKUP(M443,'Recruiting Form Responses'!C:C,'Recruiting Form Responses'!A:A,"",0,1)</f>
        <v/>
      </c>
      <c r="P443" s="378"/>
      <c r="Q443" s="283"/>
      <c r="R443" s="283"/>
      <c r="S443" s="283"/>
      <c r="T443" s="283"/>
      <c r="U443" s="283"/>
      <c r="V443" s="283"/>
      <c r="W443" s="283"/>
      <c r="X443" s="283"/>
      <c r="Y443" s="283"/>
    </row>
    <row r="444">
      <c r="A444" s="283"/>
      <c r="B444" s="283"/>
      <c r="C444" s="283"/>
      <c r="D444" s="283"/>
      <c r="E444" s="283"/>
      <c r="F444" s="283"/>
      <c r="G444" s="283"/>
      <c r="H444" s="283"/>
      <c r="I444" s="283"/>
      <c r="J444" s="283"/>
      <c r="K444" s="283"/>
      <c r="L444" s="283"/>
      <c r="M444" s="283"/>
      <c r="N444" s="283"/>
      <c r="O444" s="375" t="str">
        <f t="array" ref="O444">XLOOKUP(M444,'Recruiting Form Responses'!C:C,'Recruiting Form Responses'!A:A,"",0,1)</f>
        <v/>
      </c>
      <c r="P444" s="378"/>
      <c r="Q444" s="283"/>
      <c r="R444" s="283"/>
      <c r="S444" s="283"/>
      <c r="T444" s="283"/>
      <c r="U444" s="283"/>
      <c r="V444" s="283"/>
      <c r="W444" s="283"/>
      <c r="X444" s="283"/>
      <c r="Y444" s="283"/>
    </row>
    <row r="445">
      <c r="A445" s="283"/>
      <c r="B445" s="283"/>
      <c r="C445" s="283"/>
      <c r="D445" s="283"/>
      <c r="E445" s="283"/>
      <c r="F445" s="283"/>
      <c r="G445" s="283"/>
      <c r="H445" s="283"/>
      <c r="I445" s="283"/>
      <c r="J445" s="283"/>
      <c r="K445" s="283"/>
      <c r="L445" s="283"/>
      <c r="M445" s="283"/>
      <c r="N445" s="283"/>
      <c r="O445" s="375" t="str">
        <f t="array" ref="O445">XLOOKUP(M445,'Recruiting Form Responses'!C:C,'Recruiting Form Responses'!A:A,"",0,1)</f>
        <v/>
      </c>
      <c r="P445" s="378"/>
      <c r="Q445" s="283"/>
      <c r="R445" s="283"/>
      <c r="S445" s="283"/>
      <c r="T445" s="283"/>
      <c r="U445" s="283"/>
      <c r="V445" s="283"/>
      <c r="W445" s="283"/>
      <c r="X445" s="283"/>
      <c r="Y445" s="283"/>
    </row>
    <row r="446">
      <c r="A446" s="283"/>
      <c r="B446" s="283"/>
      <c r="C446" s="283"/>
      <c r="D446" s="283"/>
      <c r="E446" s="283"/>
      <c r="F446" s="283"/>
      <c r="G446" s="283"/>
      <c r="H446" s="283"/>
      <c r="I446" s="283"/>
      <c r="J446" s="283"/>
      <c r="K446" s="283"/>
      <c r="L446" s="283"/>
      <c r="M446" s="283"/>
      <c r="N446" s="283"/>
      <c r="O446" s="375" t="str">
        <f t="array" ref="O446">XLOOKUP(M446,'Recruiting Form Responses'!C:C,'Recruiting Form Responses'!A:A,"",0,1)</f>
        <v/>
      </c>
      <c r="P446" s="378"/>
      <c r="Q446" s="283"/>
      <c r="R446" s="283"/>
      <c r="S446" s="283"/>
      <c r="T446" s="283"/>
      <c r="U446" s="283"/>
      <c r="V446" s="283"/>
      <c r="W446" s="283"/>
      <c r="X446" s="283"/>
      <c r="Y446" s="283"/>
    </row>
    <row r="447">
      <c r="A447" s="283"/>
      <c r="B447" s="283"/>
      <c r="C447" s="283"/>
      <c r="D447" s="283"/>
      <c r="E447" s="283"/>
      <c r="F447" s="283"/>
      <c r="G447" s="283"/>
      <c r="H447" s="283"/>
      <c r="I447" s="283"/>
      <c r="J447" s="283"/>
      <c r="K447" s="283"/>
      <c r="L447" s="283"/>
      <c r="M447" s="283"/>
      <c r="N447" s="283"/>
      <c r="O447" s="375" t="str">
        <f t="array" ref="O447">XLOOKUP(M447,'Recruiting Form Responses'!C:C,'Recruiting Form Responses'!A:A,"",0,1)</f>
        <v/>
      </c>
      <c r="P447" s="378"/>
      <c r="Q447" s="283"/>
      <c r="R447" s="283"/>
      <c r="S447" s="283"/>
      <c r="T447" s="283"/>
      <c r="U447" s="283"/>
      <c r="V447" s="283"/>
      <c r="W447" s="283"/>
      <c r="X447" s="283"/>
      <c r="Y447" s="283"/>
    </row>
    <row r="448">
      <c r="A448" s="283"/>
      <c r="B448" s="283"/>
      <c r="C448" s="283"/>
      <c r="D448" s="283"/>
      <c r="E448" s="283"/>
      <c r="F448" s="283"/>
      <c r="G448" s="283"/>
      <c r="H448" s="283"/>
      <c r="I448" s="283"/>
      <c r="J448" s="283"/>
      <c r="K448" s="283"/>
      <c r="L448" s="283"/>
      <c r="M448" s="283"/>
      <c r="N448" s="283"/>
      <c r="O448" s="375" t="str">
        <f t="array" ref="O448">XLOOKUP(M448,'Recruiting Form Responses'!C:C,'Recruiting Form Responses'!A:A,"",0,1)</f>
        <v/>
      </c>
      <c r="P448" s="378"/>
      <c r="Q448" s="283"/>
      <c r="R448" s="283"/>
      <c r="S448" s="283"/>
      <c r="T448" s="283"/>
      <c r="U448" s="283"/>
      <c r="V448" s="283"/>
      <c r="W448" s="283"/>
      <c r="X448" s="283"/>
      <c r="Y448" s="283"/>
    </row>
    <row r="449">
      <c r="A449" s="283"/>
      <c r="B449" s="283"/>
      <c r="C449" s="283"/>
      <c r="D449" s="283"/>
      <c r="E449" s="283"/>
      <c r="F449" s="283"/>
      <c r="G449" s="283"/>
      <c r="H449" s="283"/>
      <c r="I449" s="283"/>
      <c r="J449" s="283"/>
      <c r="K449" s="283"/>
      <c r="L449" s="283"/>
      <c r="M449" s="283"/>
      <c r="N449" s="283"/>
      <c r="O449" s="375" t="str">
        <f t="array" ref="O449">XLOOKUP(M449,'Recruiting Form Responses'!C:C,'Recruiting Form Responses'!A:A,"",0,1)</f>
        <v/>
      </c>
      <c r="P449" s="378"/>
      <c r="Q449" s="283"/>
      <c r="R449" s="283"/>
      <c r="S449" s="283"/>
      <c r="T449" s="283"/>
      <c r="U449" s="283"/>
      <c r="V449" s="283"/>
      <c r="W449" s="283"/>
      <c r="X449" s="283"/>
      <c r="Y449" s="283"/>
    </row>
    <row r="450">
      <c r="A450" s="283"/>
      <c r="B450" s="283"/>
      <c r="C450" s="283"/>
      <c r="D450" s="283"/>
      <c r="E450" s="283"/>
      <c r="F450" s="283"/>
      <c r="G450" s="283"/>
      <c r="H450" s="283"/>
      <c r="I450" s="283"/>
      <c r="J450" s="283"/>
      <c r="K450" s="283"/>
      <c r="L450" s="283"/>
      <c r="M450" s="283"/>
      <c r="N450" s="283"/>
      <c r="O450" s="375" t="str">
        <f t="array" ref="O450">XLOOKUP(M450,'Recruiting Form Responses'!C:C,'Recruiting Form Responses'!A:A,"",0,1)</f>
        <v/>
      </c>
      <c r="P450" s="378"/>
      <c r="Q450" s="283"/>
      <c r="R450" s="283"/>
      <c r="S450" s="283"/>
      <c r="T450" s="283"/>
      <c r="U450" s="283"/>
      <c r="V450" s="283"/>
      <c r="W450" s="283"/>
      <c r="X450" s="283"/>
      <c r="Y450" s="283"/>
    </row>
    <row r="451">
      <c r="A451" s="283"/>
      <c r="B451" s="283"/>
      <c r="C451" s="283"/>
      <c r="D451" s="283"/>
      <c r="E451" s="283"/>
      <c r="F451" s="283"/>
      <c r="G451" s="283"/>
      <c r="H451" s="283"/>
      <c r="I451" s="283"/>
      <c r="J451" s="283"/>
      <c r="K451" s="283"/>
      <c r="L451" s="283"/>
      <c r="M451" s="283"/>
      <c r="N451" s="283"/>
      <c r="O451" s="375" t="str">
        <f t="array" ref="O451">XLOOKUP(M451,'Recruiting Form Responses'!C:C,'Recruiting Form Responses'!A:A,"",0,1)</f>
        <v/>
      </c>
      <c r="P451" s="378"/>
      <c r="Q451" s="283"/>
      <c r="R451" s="283"/>
      <c r="S451" s="283"/>
      <c r="T451" s="283"/>
      <c r="U451" s="283"/>
      <c r="V451" s="283"/>
      <c r="W451" s="283"/>
      <c r="X451" s="283"/>
      <c r="Y451" s="283"/>
    </row>
    <row r="452">
      <c r="A452" s="283"/>
      <c r="B452" s="283"/>
      <c r="C452" s="283"/>
      <c r="D452" s="283"/>
      <c r="E452" s="283"/>
      <c r="F452" s="283"/>
      <c r="G452" s="283"/>
      <c r="H452" s="283"/>
      <c r="I452" s="283"/>
      <c r="J452" s="283"/>
      <c r="K452" s="283"/>
      <c r="L452" s="283"/>
      <c r="M452" s="283"/>
      <c r="N452" s="283"/>
      <c r="O452" s="375" t="str">
        <f t="array" ref="O452">XLOOKUP(M452,'Recruiting Form Responses'!C:C,'Recruiting Form Responses'!A:A,"",0,1)</f>
        <v/>
      </c>
      <c r="P452" s="378"/>
      <c r="Q452" s="283"/>
      <c r="R452" s="283"/>
      <c r="S452" s="283"/>
      <c r="T452" s="283"/>
      <c r="U452" s="283"/>
      <c r="V452" s="283"/>
      <c r="W452" s="283"/>
      <c r="X452" s="283"/>
      <c r="Y452" s="283"/>
    </row>
    <row r="453">
      <c r="A453" s="283"/>
      <c r="B453" s="283"/>
      <c r="C453" s="283"/>
      <c r="D453" s="283"/>
      <c r="E453" s="283"/>
      <c r="F453" s="283"/>
      <c r="G453" s="283"/>
      <c r="H453" s="283"/>
      <c r="I453" s="283"/>
      <c r="J453" s="283"/>
      <c r="K453" s="283"/>
      <c r="L453" s="283"/>
      <c r="M453" s="283"/>
      <c r="N453" s="283"/>
      <c r="O453" s="375" t="str">
        <f t="array" ref="O453">XLOOKUP(M453,'Recruiting Form Responses'!C:C,'Recruiting Form Responses'!A:A,"",0,1)</f>
        <v/>
      </c>
      <c r="P453" s="378"/>
      <c r="Q453" s="283"/>
      <c r="R453" s="283"/>
      <c r="S453" s="283"/>
      <c r="T453" s="283"/>
      <c r="U453" s="283"/>
      <c r="V453" s="283"/>
      <c r="W453" s="283"/>
      <c r="X453" s="283"/>
      <c r="Y453" s="283"/>
    </row>
    <row r="454">
      <c r="A454" s="283"/>
      <c r="B454" s="283"/>
      <c r="C454" s="283"/>
      <c r="D454" s="283"/>
      <c r="E454" s="283"/>
      <c r="F454" s="283"/>
      <c r="G454" s="283"/>
      <c r="H454" s="283"/>
      <c r="I454" s="283"/>
      <c r="J454" s="283"/>
      <c r="K454" s="283"/>
      <c r="L454" s="283"/>
      <c r="M454" s="283"/>
      <c r="N454" s="283"/>
      <c r="O454" s="375" t="str">
        <f t="array" ref="O454">XLOOKUP(M454,'Recruiting Form Responses'!C:C,'Recruiting Form Responses'!A:A,"",0,1)</f>
        <v/>
      </c>
      <c r="P454" s="378"/>
      <c r="Q454" s="283"/>
      <c r="R454" s="283"/>
      <c r="S454" s="283"/>
      <c r="T454" s="283"/>
      <c r="U454" s="283"/>
      <c r="V454" s="283"/>
      <c r="W454" s="283"/>
      <c r="X454" s="283"/>
      <c r="Y454" s="283"/>
    </row>
    <row r="455">
      <c r="A455" s="283"/>
      <c r="B455" s="283"/>
      <c r="C455" s="283"/>
      <c r="D455" s="283"/>
      <c r="E455" s="283"/>
      <c r="F455" s="283"/>
      <c r="G455" s="283"/>
      <c r="H455" s="283"/>
      <c r="I455" s="283"/>
      <c r="J455" s="283"/>
      <c r="K455" s="283"/>
      <c r="L455" s="283"/>
      <c r="M455" s="283"/>
      <c r="N455" s="283"/>
      <c r="O455" s="375" t="str">
        <f t="array" ref="O455">XLOOKUP(M455,'Recruiting Form Responses'!C:C,'Recruiting Form Responses'!A:A,"",0,1)</f>
        <v/>
      </c>
      <c r="P455" s="378"/>
      <c r="Q455" s="283"/>
      <c r="R455" s="283"/>
      <c r="S455" s="283"/>
      <c r="T455" s="283"/>
      <c r="U455" s="283"/>
      <c r="V455" s="283"/>
      <c r="W455" s="283"/>
      <c r="X455" s="283"/>
      <c r="Y455" s="283"/>
    </row>
    <row r="456">
      <c r="A456" s="283"/>
      <c r="B456" s="283"/>
      <c r="C456" s="283"/>
      <c r="D456" s="283"/>
      <c r="E456" s="283"/>
      <c r="F456" s="283"/>
      <c r="G456" s="283"/>
      <c r="H456" s="283"/>
      <c r="I456" s="283"/>
      <c r="J456" s="283"/>
      <c r="K456" s="283"/>
      <c r="L456" s="283"/>
      <c r="M456" s="283"/>
      <c r="N456" s="283"/>
      <c r="O456" s="375" t="str">
        <f t="array" ref="O456">XLOOKUP(M456,'Recruiting Form Responses'!C:C,'Recruiting Form Responses'!A:A,"",0,1)</f>
        <v/>
      </c>
      <c r="P456" s="378"/>
      <c r="Q456" s="283"/>
      <c r="R456" s="283"/>
      <c r="S456" s="283"/>
      <c r="T456" s="283"/>
      <c r="U456" s="283"/>
      <c r="V456" s="283"/>
      <c r="W456" s="283"/>
      <c r="X456" s="283"/>
      <c r="Y456" s="283"/>
    </row>
    <row r="457">
      <c r="A457" s="283"/>
      <c r="B457" s="283"/>
      <c r="C457" s="283"/>
      <c r="D457" s="283"/>
      <c r="E457" s="283"/>
      <c r="F457" s="283"/>
      <c r="G457" s="283"/>
      <c r="H457" s="283"/>
      <c r="I457" s="283"/>
      <c r="J457" s="283"/>
      <c r="K457" s="283"/>
      <c r="L457" s="283"/>
      <c r="M457" s="283"/>
      <c r="N457" s="283"/>
      <c r="O457" s="375" t="str">
        <f t="array" ref="O457">XLOOKUP(M457,'Recruiting Form Responses'!C:C,'Recruiting Form Responses'!A:A,"",0,1)</f>
        <v/>
      </c>
      <c r="P457" s="378"/>
      <c r="Q457" s="283"/>
      <c r="R457" s="283"/>
      <c r="S457" s="283"/>
      <c r="T457" s="283"/>
      <c r="U457" s="283"/>
      <c r="V457" s="283"/>
      <c r="W457" s="283"/>
      <c r="X457" s="283"/>
      <c r="Y457" s="283"/>
    </row>
    <row r="458">
      <c r="A458" s="283"/>
      <c r="B458" s="283"/>
      <c r="C458" s="283"/>
      <c r="D458" s="283"/>
      <c r="E458" s="283"/>
      <c r="F458" s="283"/>
      <c r="G458" s="283"/>
      <c r="H458" s="283"/>
      <c r="I458" s="283"/>
      <c r="J458" s="283"/>
      <c r="K458" s="283"/>
      <c r="L458" s="283"/>
      <c r="M458" s="283"/>
      <c r="N458" s="283"/>
      <c r="O458" s="375" t="str">
        <f t="array" ref="O458">XLOOKUP(M458,'Recruiting Form Responses'!C:C,'Recruiting Form Responses'!A:A,"",0,1)</f>
        <v/>
      </c>
      <c r="P458" s="378"/>
      <c r="Q458" s="283"/>
      <c r="R458" s="283"/>
      <c r="S458" s="283"/>
      <c r="T458" s="283"/>
      <c r="U458" s="283"/>
      <c r="V458" s="283"/>
      <c r="W458" s="283"/>
      <c r="X458" s="283"/>
      <c r="Y458" s="283"/>
    </row>
    <row r="459">
      <c r="A459" s="283"/>
      <c r="B459" s="283"/>
      <c r="C459" s="283"/>
      <c r="D459" s="283"/>
      <c r="E459" s="283"/>
      <c r="F459" s="283"/>
      <c r="G459" s="283"/>
      <c r="H459" s="283"/>
      <c r="I459" s="283"/>
      <c r="J459" s="283"/>
      <c r="K459" s="283"/>
      <c r="L459" s="283"/>
      <c r="M459" s="283"/>
      <c r="N459" s="283"/>
      <c r="O459" s="375" t="str">
        <f t="array" ref="O459">XLOOKUP(M459,'Recruiting Form Responses'!C:C,'Recruiting Form Responses'!A:A,"",0,1)</f>
        <v/>
      </c>
      <c r="P459" s="378"/>
      <c r="Q459" s="283"/>
      <c r="R459" s="283"/>
      <c r="S459" s="283"/>
      <c r="T459" s="283"/>
      <c r="U459" s="283"/>
      <c r="V459" s="283"/>
      <c r="W459" s="283"/>
      <c r="X459" s="283"/>
      <c r="Y459" s="283"/>
    </row>
    <row r="460">
      <c r="A460" s="283"/>
      <c r="B460" s="283"/>
      <c r="C460" s="283"/>
      <c r="D460" s="283"/>
      <c r="E460" s="283"/>
      <c r="F460" s="283"/>
      <c r="G460" s="283"/>
      <c r="H460" s="283"/>
      <c r="I460" s="283"/>
      <c r="J460" s="283"/>
      <c r="K460" s="283"/>
      <c r="L460" s="283"/>
      <c r="M460" s="283"/>
      <c r="N460" s="283"/>
      <c r="O460" s="375" t="str">
        <f t="array" ref="O460">XLOOKUP(M460,'Recruiting Form Responses'!C:C,'Recruiting Form Responses'!A:A,"",0,1)</f>
        <v/>
      </c>
      <c r="P460" s="378"/>
      <c r="Q460" s="283"/>
      <c r="R460" s="283"/>
      <c r="S460" s="283"/>
      <c r="T460" s="283"/>
      <c r="U460" s="283"/>
      <c r="V460" s="283"/>
      <c r="W460" s="283"/>
      <c r="X460" s="283"/>
      <c r="Y460" s="283"/>
    </row>
    <row r="461">
      <c r="A461" s="283"/>
      <c r="B461" s="283"/>
      <c r="C461" s="283"/>
      <c r="D461" s="283"/>
      <c r="E461" s="283"/>
      <c r="F461" s="283"/>
      <c r="G461" s="283"/>
      <c r="H461" s="283"/>
      <c r="I461" s="283"/>
      <c r="J461" s="283"/>
      <c r="K461" s="283"/>
      <c r="L461" s="283"/>
      <c r="M461" s="283"/>
      <c r="N461" s="283"/>
      <c r="O461" s="375" t="str">
        <f t="array" ref="O461">XLOOKUP(M461,'Recruiting Form Responses'!C:C,'Recruiting Form Responses'!A:A,"",0,1)</f>
        <v/>
      </c>
      <c r="P461" s="378"/>
      <c r="Q461" s="283"/>
      <c r="R461" s="283"/>
      <c r="S461" s="283"/>
      <c r="T461" s="283"/>
      <c r="U461" s="283"/>
      <c r="V461" s="283"/>
      <c r="W461" s="283"/>
      <c r="X461" s="283"/>
      <c r="Y461" s="283"/>
    </row>
    <row r="462">
      <c r="A462" s="283"/>
      <c r="B462" s="283"/>
      <c r="C462" s="283"/>
      <c r="D462" s="283"/>
      <c r="E462" s="283"/>
      <c r="F462" s="283"/>
      <c r="G462" s="283"/>
      <c r="H462" s="283"/>
      <c r="I462" s="283"/>
      <c r="J462" s="283"/>
      <c r="K462" s="283"/>
      <c r="L462" s="283"/>
      <c r="M462" s="283"/>
      <c r="N462" s="283"/>
      <c r="O462" s="375" t="str">
        <f t="array" ref="O462">XLOOKUP(M462,'Recruiting Form Responses'!C:C,'Recruiting Form Responses'!A:A,"",0,1)</f>
        <v/>
      </c>
      <c r="P462" s="378"/>
      <c r="Q462" s="283"/>
      <c r="R462" s="283"/>
      <c r="S462" s="283"/>
      <c r="T462" s="283"/>
      <c r="U462" s="283"/>
      <c r="V462" s="283"/>
      <c r="W462" s="283"/>
      <c r="X462" s="283"/>
      <c r="Y462" s="283"/>
    </row>
    <row r="463">
      <c r="A463" s="283"/>
      <c r="B463" s="283"/>
      <c r="C463" s="283"/>
      <c r="D463" s="283"/>
      <c r="E463" s="283"/>
      <c r="F463" s="283"/>
      <c r="G463" s="283"/>
      <c r="H463" s="283"/>
      <c r="I463" s="283"/>
      <c r="J463" s="283"/>
      <c r="K463" s="283"/>
      <c r="L463" s="283"/>
      <c r="M463" s="283"/>
      <c r="N463" s="283"/>
      <c r="O463" s="375" t="str">
        <f t="array" ref="O463">XLOOKUP(M463,'Recruiting Form Responses'!C:C,'Recruiting Form Responses'!A:A,"",0,1)</f>
        <v/>
      </c>
      <c r="P463" s="378"/>
      <c r="Q463" s="283"/>
      <c r="R463" s="283"/>
      <c r="S463" s="283"/>
      <c r="T463" s="283"/>
      <c r="U463" s="283"/>
      <c r="V463" s="283"/>
      <c r="W463" s="283"/>
      <c r="X463" s="283"/>
      <c r="Y463" s="283"/>
    </row>
    <row r="464">
      <c r="A464" s="283"/>
      <c r="B464" s="283"/>
      <c r="C464" s="283"/>
      <c r="D464" s="283"/>
      <c r="E464" s="283"/>
      <c r="F464" s="283"/>
      <c r="G464" s="283"/>
      <c r="H464" s="283"/>
      <c r="I464" s="283"/>
      <c r="J464" s="283"/>
      <c r="K464" s="283"/>
      <c r="L464" s="283"/>
      <c r="M464" s="283"/>
      <c r="N464" s="283"/>
      <c r="O464" s="375" t="str">
        <f t="array" ref="O464">XLOOKUP(M464,'Recruiting Form Responses'!C:C,'Recruiting Form Responses'!A:A,"",0,1)</f>
        <v/>
      </c>
      <c r="P464" s="378"/>
      <c r="Q464" s="283"/>
      <c r="R464" s="283"/>
      <c r="S464" s="283"/>
      <c r="T464" s="283"/>
      <c r="U464" s="283"/>
      <c r="V464" s="283"/>
      <c r="W464" s="283"/>
      <c r="X464" s="283"/>
      <c r="Y464" s="283"/>
    </row>
    <row r="465">
      <c r="A465" s="283"/>
      <c r="B465" s="283"/>
      <c r="C465" s="283"/>
      <c r="D465" s="283"/>
      <c r="E465" s="283"/>
      <c r="F465" s="283"/>
      <c r="G465" s="283"/>
      <c r="H465" s="283"/>
      <c r="I465" s="283"/>
      <c r="J465" s="283"/>
      <c r="K465" s="283"/>
      <c r="L465" s="283"/>
      <c r="M465" s="283"/>
      <c r="N465" s="283"/>
      <c r="O465" s="375" t="str">
        <f t="array" ref="O465">XLOOKUP(M465,'Recruiting Form Responses'!C:C,'Recruiting Form Responses'!A:A,"",0,1)</f>
        <v/>
      </c>
      <c r="P465" s="378"/>
      <c r="Q465" s="283"/>
      <c r="R465" s="283"/>
      <c r="S465" s="283"/>
      <c r="T465" s="283"/>
      <c r="U465" s="283"/>
      <c r="V465" s="283"/>
      <c r="W465" s="283"/>
      <c r="X465" s="283"/>
      <c r="Y465" s="283"/>
    </row>
    <row r="466">
      <c r="A466" s="283"/>
      <c r="B466" s="283"/>
      <c r="C466" s="283"/>
      <c r="D466" s="283"/>
      <c r="E466" s="283"/>
      <c r="F466" s="283"/>
      <c r="G466" s="283"/>
      <c r="H466" s="283"/>
      <c r="I466" s="283"/>
      <c r="J466" s="283"/>
      <c r="K466" s="283"/>
      <c r="L466" s="283"/>
      <c r="M466" s="283"/>
      <c r="N466" s="283"/>
      <c r="O466" s="375" t="str">
        <f t="array" ref="O466">XLOOKUP(M466,'Recruiting Form Responses'!C:C,'Recruiting Form Responses'!A:A,"",0,1)</f>
        <v/>
      </c>
      <c r="P466" s="378"/>
      <c r="Q466" s="283"/>
      <c r="R466" s="283"/>
      <c r="S466" s="283"/>
      <c r="T466" s="283"/>
      <c r="U466" s="283"/>
      <c r="V466" s="283"/>
      <c r="W466" s="283"/>
      <c r="X466" s="283"/>
      <c r="Y466" s="283"/>
    </row>
    <row r="467">
      <c r="A467" s="283"/>
      <c r="B467" s="283"/>
      <c r="C467" s="283"/>
      <c r="D467" s="283"/>
      <c r="E467" s="283"/>
      <c r="F467" s="283"/>
      <c r="G467" s="283"/>
      <c r="H467" s="283"/>
      <c r="I467" s="283"/>
      <c r="J467" s="283"/>
      <c r="K467" s="283"/>
      <c r="L467" s="283"/>
      <c r="M467" s="283"/>
      <c r="N467" s="283"/>
      <c r="O467" s="375" t="str">
        <f t="array" ref="O467">XLOOKUP(M467,'Recruiting Form Responses'!C:C,'Recruiting Form Responses'!A:A,"",0,1)</f>
        <v/>
      </c>
      <c r="P467" s="378"/>
      <c r="Q467" s="283"/>
      <c r="R467" s="283"/>
      <c r="S467" s="283"/>
      <c r="T467" s="283"/>
      <c r="U467" s="283"/>
      <c r="V467" s="283"/>
      <c r="W467" s="283"/>
      <c r="X467" s="283"/>
      <c r="Y467" s="283"/>
    </row>
    <row r="468">
      <c r="A468" s="283"/>
      <c r="B468" s="283"/>
      <c r="C468" s="283"/>
      <c r="D468" s="283"/>
      <c r="E468" s="283"/>
      <c r="F468" s="283"/>
      <c r="G468" s="283"/>
      <c r="H468" s="283"/>
      <c r="I468" s="283"/>
      <c r="J468" s="283"/>
      <c r="K468" s="283"/>
      <c r="L468" s="283"/>
      <c r="M468" s="283"/>
      <c r="N468" s="283"/>
      <c r="O468" s="375" t="str">
        <f t="array" ref="O468">XLOOKUP(M468,'Recruiting Form Responses'!C:C,'Recruiting Form Responses'!A:A,"",0,1)</f>
        <v/>
      </c>
      <c r="P468" s="378"/>
      <c r="Q468" s="283"/>
      <c r="R468" s="283"/>
      <c r="S468" s="283"/>
      <c r="T468" s="283"/>
      <c r="U468" s="283"/>
      <c r="V468" s="283"/>
      <c r="W468" s="283"/>
      <c r="X468" s="283"/>
      <c r="Y468" s="283"/>
    </row>
    <row r="469">
      <c r="A469" s="283"/>
      <c r="B469" s="283"/>
      <c r="C469" s="283"/>
      <c r="D469" s="283"/>
      <c r="E469" s="283"/>
      <c r="F469" s="283"/>
      <c r="G469" s="283"/>
      <c r="H469" s="283"/>
      <c r="I469" s="283"/>
      <c r="J469" s="283"/>
      <c r="K469" s="283"/>
      <c r="L469" s="283"/>
      <c r="M469" s="283"/>
      <c r="N469" s="283"/>
      <c r="O469" s="375" t="str">
        <f t="array" ref="O469">XLOOKUP(M469,'Recruiting Form Responses'!C:C,'Recruiting Form Responses'!A:A,"",0,1)</f>
        <v/>
      </c>
      <c r="P469" s="378"/>
      <c r="Q469" s="283"/>
      <c r="R469" s="283"/>
      <c r="S469" s="283"/>
      <c r="T469" s="283"/>
      <c r="U469" s="283"/>
      <c r="V469" s="283"/>
      <c r="W469" s="283"/>
      <c r="X469" s="283"/>
      <c r="Y469" s="283"/>
    </row>
    <row r="470">
      <c r="A470" s="283"/>
      <c r="B470" s="283"/>
      <c r="C470" s="283"/>
      <c r="D470" s="283"/>
      <c r="E470" s="283"/>
      <c r="F470" s="283"/>
      <c r="G470" s="283"/>
      <c r="H470" s="283"/>
      <c r="I470" s="283"/>
      <c r="J470" s="283"/>
      <c r="K470" s="283"/>
      <c r="L470" s="283"/>
      <c r="M470" s="283"/>
      <c r="N470" s="283"/>
      <c r="O470" s="375" t="str">
        <f t="array" ref="O470">XLOOKUP(M470,'Recruiting Form Responses'!C:C,'Recruiting Form Responses'!A:A,"",0,1)</f>
        <v/>
      </c>
      <c r="P470" s="378"/>
      <c r="Q470" s="283"/>
      <c r="R470" s="283"/>
      <c r="S470" s="283"/>
      <c r="T470" s="283"/>
      <c r="U470" s="283"/>
      <c r="V470" s="283"/>
      <c r="W470" s="283"/>
      <c r="X470" s="283"/>
      <c r="Y470" s="283"/>
    </row>
    <row r="471">
      <c r="A471" s="283"/>
      <c r="B471" s="283"/>
      <c r="C471" s="283"/>
      <c r="D471" s="283"/>
      <c r="E471" s="283"/>
      <c r="F471" s="283"/>
      <c r="G471" s="283"/>
      <c r="H471" s="283"/>
      <c r="I471" s="283"/>
      <c r="J471" s="283"/>
      <c r="K471" s="283"/>
      <c r="L471" s="283"/>
      <c r="M471" s="283"/>
      <c r="N471" s="283"/>
      <c r="O471" s="375" t="str">
        <f t="array" ref="O471">XLOOKUP(M471,'Recruiting Form Responses'!C:C,'Recruiting Form Responses'!A:A,"",0,1)</f>
        <v/>
      </c>
      <c r="P471" s="378"/>
      <c r="Q471" s="283"/>
      <c r="R471" s="283"/>
      <c r="S471" s="283"/>
      <c r="T471" s="283"/>
      <c r="U471" s="283"/>
      <c r="V471" s="283"/>
      <c r="W471" s="283"/>
      <c r="X471" s="283"/>
      <c r="Y471" s="283"/>
    </row>
    <row r="472">
      <c r="A472" s="283"/>
      <c r="B472" s="283"/>
      <c r="C472" s="283"/>
      <c r="D472" s="283"/>
      <c r="E472" s="283"/>
      <c r="F472" s="283"/>
      <c r="G472" s="283"/>
      <c r="H472" s="283"/>
      <c r="I472" s="283"/>
      <c r="J472" s="283"/>
      <c r="K472" s="283"/>
      <c r="L472" s="283"/>
      <c r="M472" s="283"/>
      <c r="N472" s="283"/>
      <c r="O472" s="375" t="str">
        <f t="array" ref="O472">XLOOKUP(M472,'Recruiting Form Responses'!C:C,'Recruiting Form Responses'!A:A,"",0,1)</f>
        <v/>
      </c>
      <c r="P472" s="378"/>
      <c r="Q472" s="283"/>
      <c r="R472" s="283"/>
      <c r="S472" s="283"/>
      <c r="T472" s="283"/>
      <c r="U472" s="283"/>
      <c r="V472" s="283"/>
      <c r="W472" s="283"/>
      <c r="X472" s="283"/>
      <c r="Y472" s="283"/>
    </row>
    <row r="473">
      <c r="A473" s="283"/>
      <c r="B473" s="283"/>
      <c r="C473" s="283"/>
      <c r="D473" s="283"/>
      <c r="E473" s="283"/>
      <c r="F473" s="283"/>
      <c r="G473" s="283"/>
      <c r="H473" s="283"/>
      <c r="I473" s="283"/>
      <c r="J473" s="283"/>
      <c r="K473" s="283"/>
      <c r="L473" s="283"/>
      <c r="M473" s="283"/>
      <c r="N473" s="283"/>
      <c r="O473" s="375" t="str">
        <f t="array" ref="O473">XLOOKUP(M473,'Recruiting Form Responses'!C:C,'Recruiting Form Responses'!A:A,"",0,1)</f>
        <v/>
      </c>
      <c r="P473" s="378"/>
      <c r="Q473" s="283"/>
      <c r="R473" s="283"/>
      <c r="S473" s="283"/>
      <c r="T473" s="283"/>
      <c r="U473" s="283"/>
      <c r="V473" s="283"/>
      <c r="W473" s="283"/>
      <c r="X473" s="283"/>
      <c r="Y473" s="283"/>
    </row>
    <row r="474">
      <c r="A474" s="283"/>
      <c r="B474" s="283"/>
      <c r="C474" s="283"/>
      <c r="D474" s="283"/>
      <c r="E474" s="283"/>
      <c r="F474" s="283"/>
      <c r="G474" s="283"/>
      <c r="H474" s="283"/>
      <c r="I474" s="283"/>
      <c r="J474" s="283"/>
      <c r="K474" s="283"/>
      <c r="L474" s="283"/>
      <c r="M474" s="283"/>
      <c r="N474" s="283"/>
      <c r="O474" s="375" t="str">
        <f t="array" ref="O474">XLOOKUP(M474,'Recruiting Form Responses'!C:C,'Recruiting Form Responses'!A:A,"",0,1)</f>
        <v/>
      </c>
      <c r="P474" s="378"/>
      <c r="Q474" s="283"/>
      <c r="R474" s="283"/>
      <c r="S474" s="283"/>
      <c r="T474" s="283"/>
      <c r="U474" s="283"/>
      <c r="V474" s="283"/>
      <c r="W474" s="283"/>
      <c r="X474" s="283"/>
      <c r="Y474" s="283"/>
    </row>
    <row r="475">
      <c r="A475" s="283"/>
      <c r="B475" s="283"/>
      <c r="C475" s="283"/>
      <c r="D475" s="283"/>
      <c r="E475" s="283"/>
      <c r="F475" s="283"/>
      <c r="G475" s="283"/>
      <c r="H475" s="283"/>
      <c r="I475" s="283"/>
      <c r="J475" s="283"/>
      <c r="K475" s="283"/>
      <c r="L475" s="283"/>
      <c r="M475" s="283"/>
      <c r="N475" s="283"/>
      <c r="O475" s="375" t="str">
        <f t="array" ref="O475">XLOOKUP(M475,'Recruiting Form Responses'!C:C,'Recruiting Form Responses'!A:A,"",0,1)</f>
        <v/>
      </c>
      <c r="P475" s="378"/>
      <c r="Q475" s="283"/>
      <c r="R475" s="283"/>
      <c r="S475" s="283"/>
      <c r="T475" s="283"/>
      <c r="U475" s="283"/>
      <c r="V475" s="283"/>
      <c r="W475" s="283"/>
      <c r="X475" s="283"/>
      <c r="Y475" s="283"/>
    </row>
    <row r="476">
      <c r="A476" s="283"/>
      <c r="B476" s="283"/>
      <c r="C476" s="283"/>
      <c r="D476" s="283"/>
      <c r="E476" s="283"/>
      <c r="F476" s="283"/>
      <c r="G476" s="283"/>
      <c r="H476" s="283"/>
      <c r="I476" s="283"/>
      <c r="J476" s="283"/>
      <c r="K476" s="283"/>
      <c r="L476" s="283"/>
      <c r="M476" s="283"/>
      <c r="N476" s="283"/>
      <c r="O476" s="375" t="str">
        <f t="array" ref="O476">XLOOKUP(M476,'Recruiting Form Responses'!C:C,'Recruiting Form Responses'!A:A,"",0,1)</f>
        <v/>
      </c>
      <c r="P476" s="378"/>
      <c r="Q476" s="283"/>
      <c r="R476" s="283"/>
      <c r="S476" s="283"/>
      <c r="T476" s="283"/>
      <c r="U476" s="283"/>
      <c r="V476" s="283"/>
      <c r="W476" s="283"/>
      <c r="X476" s="283"/>
      <c r="Y476" s="283"/>
    </row>
    <row r="477">
      <c r="A477" s="283"/>
      <c r="B477" s="283"/>
      <c r="C477" s="283"/>
      <c r="D477" s="283"/>
      <c r="E477" s="283"/>
      <c r="F477" s="283"/>
      <c r="G477" s="283"/>
      <c r="H477" s="283"/>
      <c r="I477" s="283"/>
      <c r="J477" s="283"/>
      <c r="K477" s="283"/>
      <c r="L477" s="283"/>
      <c r="M477" s="283"/>
      <c r="N477" s="283"/>
      <c r="O477" s="375" t="str">
        <f t="array" ref="O477">XLOOKUP(M477,'Recruiting Form Responses'!C:C,'Recruiting Form Responses'!A:A,"",0,1)</f>
        <v/>
      </c>
      <c r="P477" s="378"/>
      <c r="Q477" s="283"/>
      <c r="R477" s="283"/>
      <c r="S477" s="283"/>
      <c r="T477" s="283"/>
      <c r="U477" s="283"/>
      <c r="V477" s="283"/>
      <c r="W477" s="283"/>
      <c r="X477" s="283"/>
      <c r="Y477" s="283"/>
    </row>
    <row r="478">
      <c r="A478" s="283"/>
      <c r="B478" s="283"/>
      <c r="C478" s="283"/>
      <c r="D478" s="283"/>
      <c r="E478" s="283"/>
      <c r="F478" s="283"/>
      <c r="G478" s="283"/>
      <c r="H478" s="283"/>
      <c r="I478" s="283"/>
      <c r="J478" s="283"/>
      <c r="K478" s="283"/>
      <c r="L478" s="283"/>
      <c r="M478" s="283"/>
      <c r="N478" s="283"/>
      <c r="O478" s="375" t="str">
        <f t="array" ref="O478">XLOOKUP(M478,'Recruiting Form Responses'!C:C,'Recruiting Form Responses'!A:A,"",0,1)</f>
        <v/>
      </c>
      <c r="P478" s="378"/>
      <c r="Q478" s="283"/>
      <c r="R478" s="283"/>
      <c r="S478" s="283"/>
      <c r="T478" s="283"/>
      <c r="U478" s="283"/>
      <c r="V478" s="283"/>
      <c r="W478" s="283"/>
      <c r="X478" s="283"/>
      <c r="Y478" s="283"/>
    </row>
    <row r="479">
      <c r="A479" s="283"/>
      <c r="B479" s="283"/>
      <c r="C479" s="283"/>
      <c r="D479" s="283"/>
      <c r="E479" s="283"/>
      <c r="F479" s="283"/>
      <c r="G479" s="283"/>
      <c r="H479" s="283"/>
      <c r="I479" s="283"/>
      <c r="J479" s="283"/>
      <c r="K479" s="283"/>
      <c r="L479" s="283"/>
      <c r="M479" s="283"/>
      <c r="N479" s="283"/>
      <c r="O479" s="375" t="str">
        <f t="array" ref="O479">XLOOKUP(M479,'Recruiting Form Responses'!C:C,'Recruiting Form Responses'!A:A,"",0,1)</f>
        <v/>
      </c>
      <c r="P479" s="378"/>
      <c r="Q479" s="283"/>
      <c r="R479" s="283"/>
      <c r="S479" s="283"/>
      <c r="T479" s="283"/>
      <c r="U479" s="283"/>
      <c r="V479" s="283"/>
      <c r="W479" s="283"/>
      <c r="X479" s="283"/>
      <c r="Y479" s="283"/>
    </row>
    <row r="480">
      <c r="A480" s="283"/>
      <c r="B480" s="283"/>
      <c r="C480" s="283"/>
      <c r="D480" s="283"/>
      <c r="E480" s="283"/>
      <c r="F480" s="283"/>
      <c r="G480" s="283"/>
      <c r="H480" s="283"/>
      <c r="I480" s="283"/>
      <c r="J480" s="283"/>
      <c r="K480" s="283"/>
      <c r="L480" s="283"/>
      <c r="M480" s="283"/>
      <c r="N480" s="283"/>
      <c r="O480" s="375" t="str">
        <f t="array" ref="O480">XLOOKUP(M480,'Recruiting Form Responses'!C:C,'Recruiting Form Responses'!A:A,"",0,1)</f>
        <v/>
      </c>
      <c r="P480" s="378"/>
      <c r="Q480" s="283"/>
      <c r="R480" s="283"/>
      <c r="S480" s="283"/>
      <c r="T480" s="283"/>
      <c r="U480" s="283"/>
      <c r="V480" s="283"/>
      <c r="W480" s="283"/>
      <c r="X480" s="283"/>
      <c r="Y480" s="283"/>
    </row>
    <row r="481">
      <c r="A481" s="283"/>
      <c r="B481" s="283"/>
      <c r="C481" s="283"/>
      <c r="D481" s="283"/>
      <c r="E481" s="283"/>
      <c r="F481" s="283"/>
      <c r="G481" s="283"/>
      <c r="H481" s="283"/>
      <c r="I481" s="283"/>
      <c r="J481" s="283"/>
      <c r="K481" s="283"/>
      <c r="L481" s="283"/>
      <c r="M481" s="283"/>
      <c r="N481" s="283"/>
      <c r="O481" s="375" t="str">
        <f t="array" ref="O481">XLOOKUP(M481,'Recruiting Form Responses'!C:C,'Recruiting Form Responses'!A:A,"",0,1)</f>
        <v/>
      </c>
      <c r="P481" s="378"/>
      <c r="Q481" s="283"/>
      <c r="R481" s="283"/>
      <c r="S481" s="283"/>
      <c r="T481" s="283"/>
      <c r="U481" s="283"/>
      <c r="V481" s="283"/>
      <c r="W481" s="283"/>
      <c r="X481" s="283"/>
      <c r="Y481" s="283"/>
    </row>
    <row r="482">
      <c r="A482" s="283"/>
      <c r="B482" s="283"/>
      <c r="C482" s="283"/>
      <c r="D482" s="283"/>
      <c r="E482" s="283"/>
      <c r="F482" s="283"/>
      <c r="G482" s="283"/>
      <c r="H482" s="283"/>
      <c r="I482" s="283"/>
      <c r="J482" s="283"/>
      <c r="K482" s="283"/>
      <c r="L482" s="283"/>
      <c r="M482" s="283"/>
      <c r="N482" s="283"/>
      <c r="O482" s="375" t="str">
        <f t="array" ref="O482">XLOOKUP(M482,'Recruiting Form Responses'!C:C,'Recruiting Form Responses'!A:A,"",0,1)</f>
        <v/>
      </c>
      <c r="P482" s="378"/>
      <c r="Q482" s="283"/>
      <c r="R482" s="283"/>
      <c r="S482" s="283"/>
      <c r="T482" s="283"/>
      <c r="U482" s="283"/>
      <c r="V482" s="283"/>
      <c r="W482" s="283"/>
      <c r="X482" s="283"/>
      <c r="Y482" s="283"/>
    </row>
    <row r="483">
      <c r="A483" s="283"/>
      <c r="B483" s="283"/>
      <c r="C483" s="283"/>
      <c r="D483" s="283"/>
      <c r="E483" s="283"/>
      <c r="F483" s="283"/>
      <c r="G483" s="283"/>
      <c r="H483" s="283"/>
      <c r="I483" s="283"/>
      <c r="J483" s="283"/>
      <c r="K483" s="283"/>
      <c r="L483" s="283"/>
      <c r="M483" s="283"/>
      <c r="N483" s="283"/>
      <c r="O483" s="375" t="str">
        <f t="array" ref="O483">XLOOKUP(M483,'Recruiting Form Responses'!C:C,'Recruiting Form Responses'!A:A,"",0,1)</f>
        <v/>
      </c>
      <c r="P483" s="378"/>
      <c r="Q483" s="283"/>
      <c r="R483" s="283"/>
      <c r="S483" s="283"/>
      <c r="T483" s="283"/>
      <c r="U483" s="283"/>
      <c r="V483" s="283"/>
      <c r="W483" s="283"/>
      <c r="X483" s="283"/>
      <c r="Y483" s="283"/>
    </row>
    <row r="484">
      <c r="A484" s="283"/>
      <c r="B484" s="283"/>
      <c r="C484" s="283"/>
      <c r="D484" s="283"/>
      <c r="E484" s="283"/>
      <c r="F484" s="283"/>
      <c r="G484" s="283"/>
      <c r="H484" s="283"/>
      <c r="I484" s="283"/>
      <c r="J484" s="283"/>
      <c r="K484" s="283"/>
      <c r="L484" s="283"/>
      <c r="M484" s="283"/>
      <c r="N484" s="283"/>
      <c r="O484" s="375" t="str">
        <f t="array" ref="O484">XLOOKUP(M484,'Recruiting Form Responses'!C:C,'Recruiting Form Responses'!A:A,"",0,1)</f>
        <v/>
      </c>
      <c r="P484" s="378"/>
      <c r="Q484" s="283"/>
      <c r="R484" s="283"/>
      <c r="S484" s="283"/>
      <c r="T484" s="283"/>
      <c r="U484" s="283"/>
      <c r="V484" s="283"/>
      <c r="W484" s="283"/>
      <c r="X484" s="283"/>
      <c r="Y484" s="283"/>
    </row>
    <row r="485">
      <c r="A485" s="283"/>
      <c r="B485" s="283"/>
      <c r="C485" s="283"/>
      <c r="D485" s="283"/>
      <c r="E485" s="283"/>
      <c r="F485" s="283"/>
      <c r="G485" s="283"/>
      <c r="H485" s="283"/>
      <c r="I485" s="283"/>
      <c r="J485" s="283"/>
      <c r="K485" s="283"/>
      <c r="L485" s="283"/>
      <c r="M485" s="283"/>
      <c r="N485" s="283"/>
      <c r="O485" s="375" t="str">
        <f t="array" ref="O485">XLOOKUP(M485,'Recruiting Form Responses'!C:C,'Recruiting Form Responses'!A:A,"",0,1)</f>
        <v/>
      </c>
      <c r="P485" s="378"/>
      <c r="Q485" s="283"/>
      <c r="R485" s="283"/>
      <c r="S485" s="283"/>
      <c r="T485" s="283"/>
      <c r="U485" s="283"/>
      <c r="V485" s="283"/>
      <c r="W485" s="283"/>
      <c r="X485" s="283"/>
      <c r="Y485" s="283"/>
    </row>
    <row r="486">
      <c r="A486" s="283"/>
      <c r="B486" s="283"/>
      <c r="C486" s="283"/>
      <c r="D486" s="283"/>
      <c r="E486" s="283"/>
      <c r="F486" s="283"/>
      <c r="G486" s="283"/>
      <c r="H486" s="283"/>
      <c r="I486" s="283"/>
      <c r="J486" s="283"/>
      <c r="K486" s="283"/>
      <c r="L486" s="283"/>
      <c r="M486" s="283"/>
      <c r="N486" s="283"/>
      <c r="O486" s="375" t="str">
        <f t="array" ref="O486">XLOOKUP(M486,'Recruiting Form Responses'!C:C,'Recruiting Form Responses'!A:A,"",0,1)</f>
        <v/>
      </c>
      <c r="P486" s="378"/>
      <c r="Q486" s="283"/>
      <c r="R486" s="283"/>
      <c r="S486" s="283"/>
      <c r="T486" s="283"/>
      <c r="U486" s="283"/>
      <c r="V486" s="283"/>
      <c r="W486" s="283"/>
      <c r="X486" s="283"/>
      <c r="Y486" s="283"/>
    </row>
    <row r="487">
      <c r="A487" s="283"/>
      <c r="B487" s="283"/>
      <c r="C487" s="283"/>
      <c r="D487" s="283"/>
      <c r="E487" s="283"/>
      <c r="F487" s="283"/>
      <c r="G487" s="283"/>
      <c r="H487" s="283"/>
      <c r="I487" s="283"/>
      <c r="J487" s="283"/>
      <c r="K487" s="283"/>
      <c r="L487" s="283"/>
      <c r="M487" s="283"/>
      <c r="N487" s="283"/>
      <c r="O487" s="375" t="str">
        <f t="array" ref="O487">XLOOKUP(M487,'Recruiting Form Responses'!C:C,'Recruiting Form Responses'!A:A,"",0,1)</f>
        <v/>
      </c>
      <c r="P487" s="378"/>
      <c r="Q487" s="283"/>
      <c r="R487" s="283"/>
      <c r="S487" s="283"/>
      <c r="T487" s="283"/>
      <c r="U487" s="283"/>
      <c r="V487" s="283"/>
      <c r="W487" s="283"/>
      <c r="X487" s="283"/>
      <c r="Y487" s="283"/>
    </row>
    <row r="488">
      <c r="A488" s="283"/>
      <c r="B488" s="283"/>
      <c r="C488" s="283"/>
      <c r="D488" s="283"/>
      <c r="E488" s="283"/>
      <c r="F488" s="283"/>
      <c r="G488" s="283"/>
      <c r="H488" s="283"/>
      <c r="I488" s="283"/>
      <c r="J488" s="283"/>
      <c r="K488" s="283"/>
      <c r="L488" s="283"/>
      <c r="M488" s="283"/>
      <c r="N488" s="283"/>
      <c r="O488" s="375" t="str">
        <f t="array" ref="O488">XLOOKUP(M488,'Recruiting Form Responses'!C:C,'Recruiting Form Responses'!A:A,"",0,1)</f>
        <v/>
      </c>
      <c r="P488" s="378"/>
      <c r="Q488" s="283"/>
      <c r="R488" s="283"/>
      <c r="S488" s="283"/>
      <c r="T488" s="283"/>
      <c r="U488" s="283"/>
      <c r="V488" s="283"/>
      <c r="W488" s="283"/>
      <c r="X488" s="283"/>
      <c r="Y488" s="283"/>
    </row>
    <row r="489">
      <c r="A489" s="283"/>
      <c r="B489" s="283"/>
      <c r="C489" s="283"/>
      <c r="D489" s="283"/>
      <c r="E489" s="283"/>
      <c r="F489" s="283"/>
      <c r="G489" s="283"/>
      <c r="H489" s="283"/>
      <c r="I489" s="283"/>
      <c r="J489" s="283"/>
      <c r="K489" s="283"/>
      <c r="L489" s="283"/>
      <c r="M489" s="283"/>
      <c r="N489" s="283"/>
      <c r="O489" s="375" t="str">
        <f t="array" ref="O489">XLOOKUP(M489,'Recruiting Form Responses'!C:C,'Recruiting Form Responses'!A:A,"",0,1)</f>
        <v/>
      </c>
      <c r="P489" s="378"/>
      <c r="Q489" s="283"/>
      <c r="R489" s="283"/>
      <c r="S489" s="283"/>
      <c r="T489" s="283"/>
      <c r="U489" s="283"/>
      <c r="V489" s="283"/>
      <c r="W489" s="283"/>
      <c r="X489" s="283"/>
      <c r="Y489" s="283"/>
    </row>
    <row r="490">
      <c r="A490" s="283"/>
      <c r="B490" s="283"/>
      <c r="C490" s="283"/>
      <c r="D490" s="283"/>
      <c r="E490" s="283"/>
      <c r="F490" s="283"/>
      <c r="G490" s="283"/>
      <c r="H490" s="283"/>
      <c r="I490" s="283"/>
      <c r="J490" s="283"/>
      <c r="K490" s="283"/>
      <c r="L490" s="283"/>
      <c r="M490" s="283"/>
      <c r="N490" s="283"/>
      <c r="O490" s="375" t="str">
        <f t="array" ref="O490">XLOOKUP(M490,'Recruiting Form Responses'!C:C,'Recruiting Form Responses'!A:A,"",0,1)</f>
        <v/>
      </c>
      <c r="P490" s="378"/>
      <c r="Q490" s="283"/>
      <c r="R490" s="283"/>
      <c r="S490" s="283"/>
      <c r="T490" s="283"/>
      <c r="U490" s="283"/>
      <c r="V490" s="283"/>
      <c r="W490" s="283"/>
      <c r="X490" s="283"/>
      <c r="Y490" s="283"/>
    </row>
    <row r="491">
      <c r="A491" s="283"/>
      <c r="B491" s="283"/>
      <c r="C491" s="283"/>
      <c r="D491" s="283"/>
      <c r="E491" s="283"/>
      <c r="F491" s="283"/>
      <c r="G491" s="283"/>
      <c r="H491" s="283"/>
      <c r="I491" s="283"/>
      <c r="J491" s="283"/>
      <c r="K491" s="283"/>
      <c r="L491" s="283"/>
      <c r="M491" s="283"/>
      <c r="N491" s="283"/>
      <c r="O491" s="375" t="str">
        <f t="array" ref="O491">XLOOKUP(M491,'Recruiting Form Responses'!C:C,'Recruiting Form Responses'!A:A,"",0,1)</f>
        <v/>
      </c>
      <c r="P491" s="378"/>
      <c r="Q491" s="283"/>
      <c r="R491" s="283"/>
      <c r="S491" s="283"/>
      <c r="T491" s="283"/>
      <c r="U491" s="283"/>
      <c r="V491" s="283"/>
      <c r="W491" s="283"/>
      <c r="X491" s="283"/>
      <c r="Y491" s="283"/>
    </row>
    <row r="492">
      <c r="A492" s="283"/>
      <c r="B492" s="283"/>
      <c r="C492" s="283"/>
      <c r="D492" s="283"/>
      <c r="E492" s="283"/>
      <c r="F492" s="283"/>
      <c r="G492" s="283"/>
      <c r="H492" s="283"/>
      <c r="I492" s="283"/>
      <c r="J492" s="283"/>
      <c r="K492" s="283"/>
      <c r="L492" s="283"/>
      <c r="M492" s="283"/>
      <c r="N492" s="283"/>
      <c r="O492" s="375" t="str">
        <f t="array" ref="O492">XLOOKUP(M492,'Recruiting Form Responses'!C:C,'Recruiting Form Responses'!A:A,"",0,1)</f>
        <v/>
      </c>
      <c r="P492" s="378"/>
      <c r="Q492" s="283"/>
      <c r="R492" s="283"/>
      <c r="S492" s="283"/>
      <c r="T492" s="283"/>
      <c r="U492" s="283"/>
      <c r="V492" s="283"/>
      <c r="W492" s="283"/>
      <c r="X492" s="283"/>
      <c r="Y492" s="283"/>
    </row>
    <row r="493">
      <c r="A493" s="283"/>
      <c r="B493" s="283"/>
      <c r="C493" s="283"/>
      <c r="D493" s="283"/>
      <c r="E493" s="283"/>
      <c r="F493" s="283"/>
      <c r="G493" s="283"/>
      <c r="H493" s="283"/>
      <c r="I493" s="283"/>
      <c r="J493" s="283"/>
      <c r="K493" s="283"/>
      <c r="L493" s="283"/>
      <c r="M493" s="283"/>
      <c r="N493" s="283"/>
      <c r="O493" s="375" t="str">
        <f t="array" ref="O493">XLOOKUP(M493,'Recruiting Form Responses'!C:C,'Recruiting Form Responses'!A:A,"",0,1)</f>
        <v/>
      </c>
      <c r="P493" s="378"/>
      <c r="Q493" s="283"/>
      <c r="R493" s="283"/>
      <c r="S493" s="283"/>
      <c r="T493" s="283"/>
      <c r="U493" s="283"/>
      <c r="V493" s="283"/>
      <c r="W493" s="283"/>
      <c r="X493" s="283"/>
      <c r="Y493" s="283"/>
    </row>
    <row r="494">
      <c r="A494" s="283"/>
      <c r="B494" s="283"/>
      <c r="C494" s="283"/>
      <c r="D494" s="283"/>
      <c r="E494" s="283"/>
      <c r="F494" s="283"/>
      <c r="G494" s="283"/>
      <c r="H494" s="283"/>
      <c r="I494" s="283"/>
      <c r="J494" s="283"/>
      <c r="K494" s="283"/>
      <c r="L494" s="283"/>
      <c r="M494" s="283"/>
      <c r="N494" s="283"/>
      <c r="O494" s="375" t="str">
        <f t="array" ref="O494">XLOOKUP(M494,'Recruiting Form Responses'!C:C,'Recruiting Form Responses'!A:A,"",0,1)</f>
        <v/>
      </c>
      <c r="P494" s="378"/>
      <c r="Q494" s="283"/>
      <c r="R494" s="283"/>
      <c r="S494" s="283"/>
      <c r="T494" s="283"/>
      <c r="U494" s="283"/>
      <c r="V494" s="283"/>
      <c r="W494" s="283"/>
      <c r="X494" s="283"/>
      <c r="Y494" s="283"/>
    </row>
    <row r="495">
      <c r="A495" s="283"/>
      <c r="B495" s="283"/>
      <c r="C495" s="283"/>
      <c r="D495" s="283"/>
      <c r="E495" s="283"/>
      <c r="F495" s="283"/>
      <c r="G495" s="283"/>
      <c r="H495" s="283"/>
      <c r="I495" s="283"/>
      <c r="J495" s="283"/>
      <c r="K495" s="283"/>
      <c r="L495" s="283"/>
      <c r="M495" s="283"/>
      <c r="N495" s="283"/>
      <c r="O495" s="375" t="str">
        <f t="array" ref="O495">XLOOKUP(M495,'Recruiting Form Responses'!C:C,'Recruiting Form Responses'!A:A,"",0,1)</f>
        <v/>
      </c>
      <c r="P495" s="378"/>
      <c r="Q495" s="283"/>
      <c r="R495" s="283"/>
      <c r="S495" s="283"/>
      <c r="T495" s="283"/>
      <c r="U495" s="283"/>
      <c r="V495" s="283"/>
      <c r="W495" s="283"/>
      <c r="X495" s="283"/>
      <c r="Y495" s="283"/>
    </row>
    <row r="496">
      <c r="A496" s="283"/>
      <c r="B496" s="283"/>
      <c r="C496" s="283"/>
      <c r="D496" s="283"/>
      <c r="E496" s="283"/>
      <c r="F496" s="283"/>
      <c r="G496" s="283"/>
      <c r="H496" s="283"/>
      <c r="I496" s="283"/>
      <c r="J496" s="283"/>
      <c r="K496" s="283"/>
      <c r="L496" s="283"/>
      <c r="M496" s="283"/>
      <c r="N496" s="283"/>
      <c r="O496" s="375" t="str">
        <f t="array" ref="O496">XLOOKUP(M496,'Recruiting Form Responses'!C:C,'Recruiting Form Responses'!A:A,"",0,1)</f>
        <v/>
      </c>
      <c r="P496" s="378"/>
      <c r="Q496" s="283"/>
      <c r="R496" s="283"/>
      <c r="S496" s="283"/>
      <c r="T496" s="283"/>
      <c r="U496" s="283"/>
      <c r="V496" s="283"/>
      <c r="W496" s="283"/>
      <c r="X496" s="283"/>
      <c r="Y496" s="283"/>
    </row>
    <row r="497">
      <c r="A497" s="283"/>
      <c r="B497" s="283"/>
      <c r="C497" s="283"/>
      <c r="D497" s="283"/>
      <c r="E497" s="283"/>
      <c r="F497" s="283"/>
      <c r="G497" s="283"/>
      <c r="H497" s="283"/>
      <c r="I497" s="283"/>
      <c r="J497" s="283"/>
      <c r="K497" s="283"/>
      <c r="L497" s="283"/>
      <c r="M497" s="283"/>
      <c r="N497" s="283"/>
      <c r="O497" s="375" t="str">
        <f t="array" ref="O497">XLOOKUP(M497,'Recruiting Form Responses'!C:C,'Recruiting Form Responses'!A:A,"",0,1)</f>
        <v/>
      </c>
      <c r="P497" s="378"/>
      <c r="Q497" s="283"/>
      <c r="R497" s="283"/>
      <c r="S497" s="283"/>
      <c r="T497" s="283"/>
      <c r="U497" s="283"/>
      <c r="V497" s="283"/>
      <c r="W497" s="283"/>
      <c r="X497" s="283"/>
      <c r="Y497" s="283"/>
    </row>
    <row r="498">
      <c r="A498" s="283"/>
      <c r="B498" s="283"/>
      <c r="C498" s="283"/>
      <c r="D498" s="283"/>
      <c r="E498" s="283"/>
      <c r="F498" s="283"/>
      <c r="G498" s="283"/>
      <c r="H498" s="283"/>
      <c r="I498" s="283"/>
      <c r="J498" s="283"/>
      <c r="K498" s="283"/>
      <c r="L498" s="283"/>
      <c r="M498" s="283"/>
      <c r="N498" s="283"/>
      <c r="O498" s="375" t="str">
        <f t="array" ref="O498">XLOOKUP(M498,'Recruiting Form Responses'!C:C,'Recruiting Form Responses'!A:A,"",0,1)</f>
        <v/>
      </c>
      <c r="P498" s="378"/>
      <c r="Q498" s="283"/>
      <c r="R498" s="283"/>
      <c r="S498" s="283"/>
      <c r="T498" s="283"/>
      <c r="U498" s="283"/>
      <c r="V498" s="283"/>
      <c r="W498" s="283"/>
      <c r="X498" s="283"/>
      <c r="Y498" s="283"/>
    </row>
    <row r="499">
      <c r="A499" s="283"/>
      <c r="B499" s="283"/>
      <c r="C499" s="283"/>
      <c r="D499" s="283"/>
      <c r="E499" s="283"/>
      <c r="F499" s="283"/>
      <c r="G499" s="283"/>
      <c r="H499" s="283"/>
      <c r="I499" s="283"/>
      <c r="J499" s="283"/>
      <c r="K499" s="283"/>
      <c r="L499" s="283"/>
      <c r="M499" s="283"/>
      <c r="N499" s="283"/>
      <c r="O499" s="375" t="str">
        <f t="array" ref="O499">XLOOKUP(M499,'Recruiting Form Responses'!C:C,'Recruiting Form Responses'!A:A,"",0,1)</f>
        <v/>
      </c>
      <c r="P499" s="378"/>
      <c r="Q499" s="283"/>
      <c r="R499" s="283"/>
      <c r="S499" s="283"/>
      <c r="T499" s="283"/>
      <c r="U499" s="283"/>
      <c r="V499" s="283"/>
      <c r="W499" s="283"/>
      <c r="X499" s="283"/>
      <c r="Y499" s="283"/>
    </row>
    <row r="500">
      <c r="A500" s="283"/>
      <c r="B500" s="283"/>
      <c r="C500" s="283"/>
      <c r="D500" s="283"/>
      <c r="E500" s="283"/>
      <c r="F500" s="283"/>
      <c r="G500" s="283"/>
      <c r="H500" s="283"/>
      <c r="I500" s="283"/>
      <c r="J500" s="283"/>
      <c r="K500" s="283"/>
      <c r="L500" s="283"/>
      <c r="M500" s="283"/>
      <c r="N500" s="283"/>
      <c r="O500" s="375" t="str">
        <f t="array" ref="O500">XLOOKUP(M500,'Recruiting Form Responses'!C:C,'Recruiting Form Responses'!A:A,"",0,1)</f>
        <v/>
      </c>
      <c r="P500" s="378"/>
      <c r="Q500" s="283"/>
      <c r="R500" s="283"/>
      <c r="S500" s="283"/>
      <c r="T500" s="283"/>
      <c r="U500" s="283"/>
      <c r="V500" s="283"/>
      <c r="W500" s="283"/>
      <c r="X500" s="283"/>
      <c r="Y500" s="283"/>
    </row>
    <row r="501">
      <c r="A501" s="283"/>
      <c r="B501" s="283"/>
      <c r="C501" s="283"/>
      <c r="D501" s="283"/>
      <c r="E501" s="283"/>
      <c r="F501" s="283"/>
      <c r="G501" s="283"/>
      <c r="H501" s="283"/>
      <c r="I501" s="283"/>
      <c r="J501" s="283"/>
      <c r="K501" s="283"/>
      <c r="L501" s="283"/>
      <c r="M501" s="283"/>
      <c r="N501" s="283"/>
      <c r="O501" s="375" t="str">
        <f t="array" ref="O501">XLOOKUP(M501,'Recruiting Form Responses'!C:C,'Recruiting Form Responses'!A:A,"",0,1)</f>
        <v/>
      </c>
      <c r="P501" s="378"/>
      <c r="Q501" s="283"/>
      <c r="R501" s="283"/>
      <c r="S501" s="283"/>
      <c r="T501" s="283"/>
      <c r="U501" s="283"/>
      <c r="V501" s="283"/>
      <c r="W501" s="283"/>
      <c r="X501" s="283"/>
      <c r="Y501" s="283"/>
    </row>
    <row r="502">
      <c r="A502" s="283"/>
      <c r="B502" s="283"/>
      <c r="C502" s="283"/>
      <c r="D502" s="283"/>
      <c r="E502" s="283"/>
      <c r="F502" s="283"/>
      <c r="G502" s="283"/>
      <c r="H502" s="283"/>
      <c r="I502" s="283"/>
      <c r="J502" s="283"/>
      <c r="K502" s="283"/>
      <c r="L502" s="283"/>
      <c r="M502" s="283"/>
      <c r="N502" s="283"/>
      <c r="O502" s="375" t="str">
        <f t="array" ref="O502">XLOOKUP(M502,'Recruiting Form Responses'!C:C,'Recruiting Form Responses'!A:A,"",0,1)</f>
        <v/>
      </c>
      <c r="P502" s="378"/>
      <c r="Q502" s="283"/>
      <c r="R502" s="283"/>
      <c r="S502" s="283"/>
      <c r="T502" s="283"/>
      <c r="U502" s="283"/>
      <c r="V502" s="283"/>
      <c r="W502" s="283"/>
      <c r="X502" s="283"/>
      <c r="Y502" s="283"/>
    </row>
    <row r="503">
      <c r="A503" s="283"/>
      <c r="B503" s="283"/>
      <c r="C503" s="283"/>
      <c r="D503" s="283"/>
      <c r="E503" s="283"/>
      <c r="F503" s="283"/>
      <c r="G503" s="283"/>
      <c r="H503" s="283"/>
      <c r="I503" s="283"/>
      <c r="J503" s="283"/>
      <c r="K503" s="283"/>
      <c r="L503" s="283"/>
      <c r="M503" s="283"/>
      <c r="N503" s="283"/>
      <c r="O503" s="375" t="str">
        <f t="array" ref="O503">XLOOKUP(M503,'Recruiting Form Responses'!C:C,'Recruiting Form Responses'!A:A,"",0,1)</f>
        <v/>
      </c>
      <c r="P503" s="378"/>
      <c r="Q503" s="283"/>
      <c r="R503" s="283"/>
      <c r="S503" s="283"/>
      <c r="T503" s="283"/>
      <c r="U503" s="283"/>
      <c r="V503" s="283"/>
      <c r="W503" s="283"/>
      <c r="X503" s="283"/>
      <c r="Y503" s="283"/>
    </row>
    <row r="504">
      <c r="A504" s="283"/>
      <c r="B504" s="283"/>
      <c r="C504" s="283"/>
      <c r="D504" s="283"/>
      <c r="E504" s="283"/>
      <c r="F504" s="283"/>
      <c r="G504" s="283"/>
      <c r="H504" s="283"/>
      <c r="I504" s="283"/>
      <c r="J504" s="283"/>
      <c r="K504" s="283"/>
      <c r="L504" s="283"/>
      <c r="M504" s="283"/>
      <c r="N504" s="283"/>
      <c r="O504" s="375" t="str">
        <f t="array" ref="O504">XLOOKUP(M504,'Recruiting Form Responses'!C:C,'Recruiting Form Responses'!A:A,"",0,1)</f>
        <v/>
      </c>
      <c r="P504" s="378"/>
      <c r="Q504" s="283"/>
      <c r="R504" s="283"/>
      <c r="S504" s="283"/>
      <c r="T504" s="283"/>
      <c r="U504" s="283"/>
      <c r="V504" s="283"/>
      <c r="W504" s="283"/>
      <c r="X504" s="283"/>
      <c r="Y504" s="283"/>
    </row>
    <row r="505">
      <c r="A505" s="283"/>
      <c r="B505" s="283"/>
      <c r="C505" s="283"/>
      <c r="D505" s="283"/>
      <c r="E505" s="283"/>
      <c r="F505" s="283"/>
      <c r="G505" s="283"/>
      <c r="H505" s="283"/>
      <c r="I505" s="283"/>
      <c r="J505" s="283"/>
      <c r="K505" s="283"/>
      <c r="L505" s="283"/>
      <c r="M505" s="283"/>
      <c r="N505" s="283"/>
      <c r="O505" s="375" t="str">
        <f t="array" ref="O505">XLOOKUP(M505,'Recruiting Form Responses'!C:C,'Recruiting Form Responses'!A:A,"",0,1)</f>
        <v/>
      </c>
      <c r="P505" s="378"/>
      <c r="Q505" s="283"/>
      <c r="R505" s="283"/>
      <c r="S505" s="283"/>
      <c r="T505" s="283"/>
      <c r="U505" s="283"/>
      <c r="V505" s="283"/>
      <c r="W505" s="283"/>
      <c r="X505" s="283"/>
      <c r="Y505" s="283"/>
    </row>
    <row r="506">
      <c r="A506" s="283"/>
      <c r="B506" s="283"/>
      <c r="C506" s="283"/>
      <c r="D506" s="283"/>
      <c r="E506" s="283"/>
      <c r="F506" s="283"/>
      <c r="G506" s="283"/>
      <c r="H506" s="283"/>
      <c r="I506" s="283"/>
      <c r="J506" s="283"/>
      <c r="K506" s="283"/>
      <c r="L506" s="283"/>
      <c r="M506" s="283"/>
      <c r="N506" s="283"/>
      <c r="O506" s="375" t="str">
        <f t="array" ref="O506">XLOOKUP(M506,'Recruiting Form Responses'!C:C,'Recruiting Form Responses'!A:A,"",0,1)</f>
        <v/>
      </c>
      <c r="P506" s="378"/>
      <c r="Q506" s="283"/>
      <c r="R506" s="283"/>
      <c r="S506" s="283"/>
      <c r="T506" s="283"/>
      <c r="U506" s="283"/>
      <c r="V506" s="283"/>
      <c r="W506" s="283"/>
      <c r="X506" s="283"/>
      <c r="Y506" s="283"/>
    </row>
    <row r="507">
      <c r="A507" s="283"/>
      <c r="B507" s="283"/>
      <c r="C507" s="283"/>
      <c r="D507" s="283"/>
      <c r="E507" s="283"/>
      <c r="F507" s="283"/>
      <c r="G507" s="283"/>
      <c r="H507" s="283"/>
      <c r="I507" s="283"/>
      <c r="J507" s="283"/>
      <c r="K507" s="283"/>
      <c r="L507" s="283"/>
      <c r="M507" s="283"/>
      <c r="N507" s="283"/>
      <c r="O507" s="375" t="str">
        <f t="array" ref="O507">XLOOKUP(M507,'Recruiting Form Responses'!C:C,'Recruiting Form Responses'!A:A,"",0,1)</f>
        <v/>
      </c>
      <c r="P507" s="378"/>
      <c r="Q507" s="283"/>
      <c r="R507" s="283"/>
      <c r="S507" s="283"/>
      <c r="T507" s="283"/>
      <c r="U507" s="283"/>
      <c r="V507" s="283"/>
      <c r="W507" s="283"/>
      <c r="X507" s="283"/>
      <c r="Y507" s="283"/>
    </row>
    <row r="508">
      <c r="A508" s="283"/>
      <c r="B508" s="283"/>
      <c r="C508" s="283"/>
      <c r="D508" s="283"/>
      <c r="E508" s="283"/>
      <c r="F508" s="283"/>
      <c r="G508" s="283"/>
      <c r="H508" s="283"/>
      <c r="I508" s="283"/>
      <c r="J508" s="283"/>
      <c r="K508" s="283"/>
      <c r="L508" s="283"/>
      <c r="M508" s="283"/>
      <c r="N508" s="283"/>
      <c r="O508" s="375" t="str">
        <f t="array" ref="O508">XLOOKUP(M508,'Recruiting Form Responses'!C:C,'Recruiting Form Responses'!A:A,"",0,1)</f>
        <v/>
      </c>
      <c r="P508" s="378"/>
      <c r="Q508" s="283"/>
      <c r="R508" s="283"/>
      <c r="S508" s="283"/>
      <c r="T508" s="283"/>
      <c r="U508" s="283"/>
      <c r="V508" s="283"/>
      <c r="W508" s="283"/>
      <c r="X508" s="283"/>
      <c r="Y508" s="283"/>
    </row>
    <row r="509">
      <c r="A509" s="283"/>
      <c r="B509" s="283"/>
      <c r="C509" s="283"/>
      <c r="D509" s="283"/>
      <c r="E509" s="283"/>
      <c r="F509" s="283"/>
      <c r="G509" s="283"/>
      <c r="H509" s="283"/>
      <c r="I509" s="283"/>
      <c r="J509" s="283"/>
      <c r="K509" s="283"/>
      <c r="L509" s="283"/>
      <c r="M509" s="283"/>
      <c r="N509" s="283"/>
      <c r="O509" s="375" t="str">
        <f t="array" ref="O509">XLOOKUP(M509,'Recruiting Form Responses'!C:C,'Recruiting Form Responses'!A:A,"",0,1)</f>
        <v/>
      </c>
      <c r="P509" s="378"/>
      <c r="Q509" s="283"/>
      <c r="R509" s="283"/>
      <c r="S509" s="283"/>
      <c r="T509" s="283"/>
      <c r="U509" s="283"/>
      <c r="V509" s="283"/>
      <c r="W509" s="283"/>
      <c r="X509" s="283"/>
      <c r="Y509" s="283"/>
    </row>
    <row r="510">
      <c r="A510" s="283"/>
      <c r="B510" s="283"/>
      <c r="C510" s="283"/>
      <c r="D510" s="283"/>
      <c r="E510" s="283"/>
      <c r="F510" s="283"/>
      <c r="G510" s="283"/>
      <c r="H510" s="283"/>
      <c r="I510" s="283"/>
      <c r="J510" s="283"/>
      <c r="K510" s="283"/>
      <c r="L510" s="283"/>
      <c r="M510" s="283"/>
      <c r="N510" s="283"/>
      <c r="O510" s="375" t="str">
        <f t="array" ref="O510">XLOOKUP(M510,'Recruiting Form Responses'!C:C,'Recruiting Form Responses'!A:A,"",0,1)</f>
        <v/>
      </c>
      <c r="P510" s="378"/>
      <c r="Q510" s="283"/>
      <c r="R510" s="283"/>
      <c r="S510" s="283"/>
      <c r="T510" s="283"/>
      <c r="U510" s="283"/>
      <c r="V510" s="283"/>
      <c r="W510" s="283"/>
      <c r="X510" s="283"/>
      <c r="Y510" s="283"/>
    </row>
    <row r="511">
      <c r="A511" s="283"/>
      <c r="B511" s="283"/>
      <c r="C511" s="283"/>
      <c r="D511" s="283"/>
      <c r="E511" s="283"/>
      <c r="F511" s="283"/>
      <c r="G511" s="283"/>
      <c r="H511" s="283"/>
      <c r="I511" s="283"/>
      <c r="J511" s="283"/>
      <c r="K511" s="283"/>
      <c r="L511" s="283"/>
      <c r="M511" s="283"/>
      <c r="N511" s="283"/>
      <c r="O511" s="375" t="str">
        <f t="array" ref="O511">XLOOKUP(M511,'Recruiting Form Responses'!C:C,'Recruiting Form Responses'!A:A,"",0,1)</f>
        <v/>
      </c>
      <c r="P511" s="378"/>
      <c r="Q511" s="283"/>
      <c r="R511" s="283"/>
      <c r="S511" s="283"/>
      <c r="T511" s="283"/>
      <c r="U511" s="283"/>
      <c r="V511" s="283"/>
      <c r="W511" s="283"/>
      <c r="X511" s="283"/>
      <c r="Y511" s="283"/>
    </row>
    <row r="512">
      <c r="A512" s="283"/>
      <c r="B512" s="283"/>
      <c r="C512" s="283"/>
      <c r="D512" s="283"/>
      <c r="E512" s="283"/>
      <c r="F512" s="283"/>
      <c r="G512" s="283"/>
      <c r="H512" s="283"/>
      <c r="I512" s="283"/>
      <c r="J512" s="283"/>
      <c r="K512" s="283"/>
      <c r="L512" s="283"/>
      <c r="M512" s="283"/>
      <c r="N512" s="283"/>
      <c r="O512" s="375" t="str">
        <f t="array" ref="O512">XLOOKUP(M512,'Recruiting Form Responses'!C:C,'Recruiting Form Responses'!A:A,"",0,1)</f>
        <v/>
      </c>
      <c r="P512" s="378"/>
      <c r="Q512" s="283"/>
      <c r="R512" s="283"/>
      <c r="S512" s="283"/>
      <c r="T512" s="283"/>
      <c r="U512" s="283"/>
      <c r="V512" s="283"/>
      <c r="W512" s="283"/>
      <c r="X512" s="283"/>
      <c r="Y512" s="283"/>
    </row>
    <row r="513">
      <c r="A513" s="283"/>
      <c r="B513" s="283"/>
      <c r="C513" s="283"/>
      <c r="D513" s="283"/>
      <c r="E513" s="283"/>
      <c r="F513" s="283"/>
      <c r="G513" s="283"/>
      <c r="H513" s="283"/>
      <c r="I513" s="283"/>
      <c r="J513" s="283"/>
      <c r="K513" s="283"/>
      <c r="L513" s="283"/>
      <c r="M513" s="283"/>
      <c r="N513" s="283"/>
      <c r="O513" s="375" t="str">
        <f t="array" ref="O513">XLOOKUP(M513,'Recruiting Form Responses'!C:C,'Recruiting Form Responses'!A:A,"",0,1)</f>
        <v/>
      </c>
      <c r="P513" s="378"/>
      <c r="Q513" s="283"/>
      <c r="R513" s="283"/>
      <c r="S513" s="283"/>
      <c r="T513" s="283"/>
      <c r="U513" s="283"/>
      <c r="V513" s="283"/>
      <c r="W513" s="283"/>
      <c r="X513" s="283"/>
      <c r="Y513" s="283"/>
    </row>
    <row r="514">
      <c r="A514" s="283"/>
      <c r="B514" s="283"/>
      <c r="C514" s="283"/>
      <c r="D514" s="283"/>
      <c r="E514" s="283"/>
      <c r="F514" s="283"/>
      <c r="G514" s="283"/>
      <c r="H514" s="283"/>
      <c r="I514" s="283"/>
      <c r="J514" s="283"/>
      <c r="K514" s="283"/>
      <c r="L514" s="283"/>
      <c r="M514" s="283"/>
      <c r="N514" s="283"/>
      <c r="O514" s="375" t="str">
        <f t="array" ref="O514">XLOOKUP(M514,'Recruiting Form Responses'!C:C,'Recruiting Form Responses'!A:A,"",0,1)</f>
        <v/>
      </c>
      <c r="P514" s="378"/>
      <c r="Q514" s="283"/>
      <c r="R514" s="283"/>
      <c r="S514" s="283"/>
      <c r="T514" s="283"/>
      <c r="U514" s="283"/>
      <c r="V514" s="283"/>
      <c r="W514" s="283"/>
      <c r="X514" s="283"/>
      <c r="Y514" s="283"/>
    </row>
    <row r="515">
      <c r="A515" s="283"/>
      <c r="B515" s="283"/>
      <c r="C515" s="283"/>
      <c r="D515" s="283"/>
      <c r="E515" s="283"/>
      <c r="F515" s="283"/>
      <c r="G515" s="283"/>
      <c r="H515" s="283"/>
      <c r="I515" s="283"/>
      <c r="J515" s="283"/>
      <c r="K515" s="283"/>
      <c r="L515" s="283"/>
      <c r="M515" s="283"/>
      <c r="N515" s="283"/>
      <c r="O515" s="375" t="str">
        <f t="array" ref="O515">XLOOKUP(M515,'Recruiting Form Responses'!C:C,'Recruiting Form Responses'!A:A,"",0,1)</f>
        <v/>
      </c>
      <c r="P515" s="378"/>
      <c r="Q515" s="283"/>
      <c r="R515" s="283"/>
      <c r="S515" s="283"/>
      <c r="T515" s="283"/>
      <c r="U515" s="283"/>
      <c r="V515" s="283"/>
      <c r="W515" s="283"/>
      <c r="X515" s="283"/>
      <c r="Y515" s="283"/>
    </row>
    <row r="516">
      <c r="A516" s="283"/>
      <c r="B516" s="283"/>
      <c r="C516" s="283"/>
      <c r="D516" s="283"/>
      <c r="E516" s="283"/>
      <c r="F516" s="283"/>
      <c r="G516" s="283"/>
      <c r="H516" s="283"/>
      <c r="I516" s="283"/>
      <c r="J516" s="283"/>
      <c r="K516" s="283"/>
      <c r="L516" s="283"/>
      <c r="M516" s="283"/>
      <c r="N516" s="283"/>
      <c r="O516" s="375" t="str">
        <f t="array" ref="O516">XLOOKUP(M516,'Recruiting Form Responses'!C:C,'Recruiting Form Responses'!A:A,"",0,1)</f>
        <v/>
      </c>
      <c r="P516" s="378"/>
      <c r="Q516" s="283"/>
      <c r="R516" s="283"/>
      <c r="S516" s="283"/>
      <c r="T516" s="283"/>
      <c r="U516" s="283"/>
      <c r="V516" s="283"/>
      <c r="W516" s="283"/>
      <c r="X516" s="283"/>
      <c r="Y516" s="283"/>
    </row>
    <row r="517">
      <c r="A517" s="283"/>
      <c r="B517" s="283"/>
      <c r="C517" s="283"/>
      <c r="D517" s="283"/>
      <c r="E517" s="283"/>
      <c r="F517" s="283"/>
      <c r="G517" s="283"/>
      <c r="H517" s="283"/>
      <c r="I517" s="283"/>
      <c r="J517" s="283"/>
      <c r="K517" s="283"/>
      <c r="L517" s="283"/>
      <c r="M517" s="283"/>
      <c r="N517" s="283"/>
      <c r="O517" s="375" t="str">
        <f t="array" ref="O517">XLOOKUP(M517,'Recruiting Form Responses'!C:C,'Recruiting Form Responses'!A:A,"",0,1)</f>
        <v/>
      </c>
      <c r="P517" s="378"/>
      <c r="Q517" s="283"/>
      <c r="R517" s="283"/>
      <c r="S517" s="283"/>
      <c r="T517" s="283"/>
      <c r="U517" s="283"/>
      <c r="V517" s="283"/>
      <c r="W517" s="283"/>
      <c r="X517" s="283"/>
      <c r="Y517" s="283"/>
    </row>
    <row r="518">
      <c r="A518" s="283"/>
      <c r="B518" s="283"/>
      <c r="C518" s="283"/>
      <c r="D518" s="283"/>
      <c r="E518" s="283"/>
      <c r="F518" s="283"/>
      <c r="G518" s="283"/>
      <c r="H518" s="283"/>
      <c r="I518" s="283"/>
      <c r="J518" s="283"/>
      <c r="K518" s="283"/>
      <c r="L518" s="283"/>
      <c r="M518" s="283"/>
      <c r="N518" s="283"/>
      <c r="O518" s="375" t="str">
        <f t="array" ref="O518">XLOOKUP(M518,'Recruiting Form Responses'!C:C,'Recruiting Form Responses'!A:A,"",0,1)</f>
        <v/>
      </c>
      <c r="P518" s="378"/>
      <c r="Q518" s="283"/>
      <c r="R518" s="283"/>
      <c r="S518" s="283"/>
      <c r="T518" s="283"/>
      <c r="U518" s="283"/>
      <c r="V518" s="283"/>
      <c r="W518" s="283"/>
      <c r="X518" s="283"/>
      <c r="Y518" s="283"/>
    </row>
    <row r="519">
      <c r="A519" s="283"/>
      <c r="B519" s="283"/>
      <c r="C519" s="283"/>
      <c r="D519" s="283"/>
      <c r="E519" s="283"/>
      <c r="F519" s="283"/>
      <c r="G519" s="283"/>
      <c r="H519" s="283"/>
      <c r="I519" s="283"/>
      <c r="J519" s="283"/>
      <c r="K519" s="283"/>
      <c r="L519" s="283"/>
      <c r="M519" s="283"/>
      <c r="N519" s="283"/>
      <c r="O519" s="375" t="str">
        <f t="array" ref="O519">XLOOKUP(M519,'Recruiting Form Responses'!C:C,'Recruiting Form Responses'!A:A,"",0,1)</f>
        <v/>
      </c>
      <c r="P519" s="378"/>
      <c r="Q519" s="283"/>
      <c r="R519" s="283"/>
      <c r="S519" s="283"/>
      <c r="T519" s="283"/>
      <c r="U519" s="283"/>
      <c r="V519" s="283"/>
      <c r="W519" s="283"/>
      <c r="X519" s="283"/>
      <c r="Y519" s="283"/>
    </row>
    <row r="520">
      <c r="A520" s="283"/>
      <c r="B520" s="283"/>
      <c r="C520" s="283"/>
      <c r="D520" s="283"/>
      <c r="E520" s="283"/>
      <c r="F520" s="283"/>
      <c r="G520" s="283"/>
      <c r="H520" s="283"/>
      <c r="I520" s="283"/>
      <c r="J520" s="283"/>
      <c r="K520" s="283"/>
      <c r="L520" s="283"/>
      <c r="M520" s="283"/>
      <c r="N520" s="283"/>
      <c r="O520" s="375" t="str">
        <f t="array" ref="O520">XLOOKUP(M520,'Recruiting Form Responses'!C:C,'Recruiting Form Responses'!A:A,"",0,1)</f>
        <v/>
      </c>
      <c r="P520" s="378"/>
      <c r="Q520" s="283"/>
      <c r="R520" s="283"/>
      <c r="S520" s="283"/>
      <c r="T520" s="283"/>
      <c r="U520" s="283"/>
      <c r="V520" s="283"/>
      <c r="W520" s="283"/>
      <c r="X520" s="283"/>
      <c r="Y520" s="283"/>
    </row>
    <row r="521">
      <c r="A521" s="283"/>
      <c r="B521" s="283"/>
      <c r="C521" s="283"/>
      <c r="D521" s="283"/>
      <c r="E521" s="283"/>
      <c r="F521" s="283"/>
      <c r="G521" s="283"/>
      <c r="H521" s="283"/>
      <c r="I521" s="283"/>
      <c r="J521" s="283"/>
      <c r="K521" s="283"/>
      <c r="L521" s="283"/>
      <c r="M521" s="283"/>
      <c r="N521" s="283"/>
      <c r="O521" s="375" t="str">
        <f t="array" ref="O521">XLOOKUP(M521,'Recruiting Form Responses'!C:C,'Recruiting Form Responses'!A:A,"",0,1)</f>
        <v/>
      </c>
      <c r="P521" s="378"/>
      <c r="Q521" s="283"/>
      <c r="R521" s="283"/>
      <c r="S521" s="283"/>
      <c r="T521" s="283"/>
      <c r="U521" s="283"/>
      <c r="V521" s="283"/>
      <c r="W521" s="283"/>
      <c r="X521" s="283"/>
      <c r="Y521" s="283"/>
    </row>
    <row r="522">
      <c r="A522" s="283"/>
      <c r="B522" s="283"/>
      <c r="C522" s="283"/>
      <c r="D522" s="283"/>
      <c r="E522" s="283"/>
      <c r="F522" s="283"/>
      <c r="G522" s="283"/>
      <c r="H522" s="283"/>
      <c r="I522" s="283"/>
      <c r="J522" s="283"/>
      <c r="K522" s="283"/>
      <c r="L522" s="283"/>
      <c r="M522" s="283"/>
      <c r="N522" s="283"/>
      <c r="O522" s="375" t="str">
        <f t="array" ref="O522">XLOOKUP(M522,'Recruiting Form Responses'!C:C,'Recruiting Form Responses'!A:A,"",0,1)</f>
        <v/>
      </c>
      <c r="P522" s="378"/>
      <c r="Q522" s="283"/>
      <c r="R522" s="283"/>
      <c r="S522" s="283"/>
      <c r="T522" s="283"/>
      <c r="U522" s="283"/>
      <c r="V522" s="283"/>
      <c r="W522" s="283"/>
      <c r="X522" s="283"/>
      <c r="Y522" s="283"/>
    </row>
    <row r="523">
      <c r="A523" s="283"/>
      <c r="B523" s="283"/>
      <c r="C523" s="283"/>
      <c r="D523" s="283"/>
      <c r="E523" s="283"/>
      <c r="F523" s="283"/>
      <c r="G523" s="283"/>
      <c r="H523" s="283"/>
      <c r="I523" s="283"/>
      <c r="J523" s="283"/>
      <c r="K523" s="283"/>
      <c r="L523" s="283"/>
      <c r="M523" s="283"/>
      <c r="N523" s="283"/>
      <c r="O523" s="375" t="str">
        <f t="array" ref="O523">XLOOKUP(M523,'Recruiting Form Responses'!C:C,'Recruiting Form Responses'!A:A,"",0,1)</f>
        <v/>
      </c>
      <c r="P523" s="378"/>
      <c r="Q523" s="283"/>
      <c r="R523" s="283"/>
      <c r="S523" s="283"/>
      <c r="T523" s="283"/>
      <c r="U523" s="283"/>
      <c r="V523" s="283"/>
      <c r="W523" s="283"/>
      <c r="X523" s="283"/>
      <c r="Y523" s="283"/>
    </row>
    <row r="524">
      <c r="A524" s="283"/>
      <c r="B524" s="283"/>
      <c r="C524" s="283"/>
      <c r="D524" s="283"/>
      <c r="E524" s="283"/>
      <c r="F524" s="283"/>
      <c r="G524" s="283"/>
      <c r="H524" s="283"/>
      <c r="I524" s="283"/>
      <c r="J524" s="283"/>
      <c r="K524" s="283"/>
      <c r="L524" s="283"/>
      <c r="M524" s="283"/>
      <c r="N524" s="283"/>
      <c r="O524" s="375" t="str">
        <f t="array" ref="O524">XLOOKUP(M524,'Recruiting Form Responses'!C:C,'Recruiting Form Responses'!A:A,"",0,1)</f>
        <v/>
      </c>
      <c r="P524" s="378"/>
      <c r="Q524" s="283"/>
      <c r="R524" s="283"/>
      <c r="S524" s="283"/>
      <c r="T524" s="283"/>
      <c r="U524" s="283"/>
      <c r="V524" s="283"/>
      <c r="W524" s="283"/>
      <c r="X524" s="283"/>
      <c r="Y524" s="283"/>
    </row>
    <row r="525">
      <c r="A525" s="283"/>
      <c r="B525" s="283"/>
      <c r="C525" s="283"/>
      <c r="D525" s="283"/>
      <c r="E525" s="283"/>
      <c r="F525" s="283"/>
      <c r="G525" s="283"/>
      <c r="H525" s="283"/>
      <c r="I525" s="283"/>
      <c r="J525" s="283"/>
      <c r="K525" s="283"/>
      <c r="L525" s="283"/>
      <c r="M525" s="283"/>
      <c r="N525" s="283"/>
      <c r="O525" s="375" t="str">
        <f t="array" ref="O525">XLOOKUP(M525,'Recruiting Form Responses'!C:C,'Recruiting Form Responses'!A:A,"",0,1)</f>
        <v/>
      </c>
      <c r="P525" s="378"/>
      <c r="Q525" s="283"/>
      <c r="R525" s="283"/>
      <c r="S525" s="283"/>
      <c r="T525" s="283"/>
      <c r="U525" s="283"/>
      <c r="V525" s="283"/>
      <c r="W525" s="283"/>
      <c r="X525" s="283"/>
      <c r="Y525" s="283"/>
    </row>
    <row r="526">
      <c r="A526" s="283"/>
      <c r="B526" s="283"/>
      <c r="C526" s="283"/>
      <c r="D526" s="283"/>
      <c r="E526" s="283"/>
      <c r="F526" s="283"/>
      <c r="G526" s="283"/>
      <c r="H526" s="283"/>
      <c r="I526" s="283"/>
      <c r="J526" s="283"/>
      <c r="K526" s="283"/>
      <c r="L526" s="283"/>
      <c r="M526" s="283"/>
      <c r="N526" s="283"/>
      <c r="O526" s="375" t="str">
        <f t="array" ref="O526">XLOOKUP(M526,'Recruiting Form Responses'!C:C,'Recruiting Form Responses'!A:A,"",0,1)</f>
        <v/>
      </c>
      <c r="P526" s="378"/>
      <c r="Q526" s="283"/>
      <c r="R526" s="283"/>
      <c r="S526" s="283"/>
      <c r="T526" s="283"/>
      <c r="U526" s="283"/>
      <c r="V526" s="283"/>
      <c r="W526" s="283"/>
      <c r="X526" s="283"/>
      <c r="Y526" s="283"/>
    </row>
    <row r="527">
      <c r="A527" s="283"/>
      <c r="B527" s="283"/>
      <c r="C527" s="283"/>
      <c r="D527" s="283"/>
      <c r="E527" s="283"/>
      <c r="F527" s="283"/>
      <c r="G527" s="283"/>
      <c r="H527" s="283"/>
      <c r="I527" s="283"/>
      <c r="J527" s="283"/>
      <c r="K527" s="283"/>
      <c r="L527" s="283"/>
      <c r="M527" s="283"/>
      <c r="N527" s="283"/>
      <c r="O527" s="375" t="str">
        <f t="array" ref="O527">XLOOKUP(M527,'Recruiting Form Responses'!C:C,'Recruiting Form Responses'!A:A,"",0,1)</f>
        <v/>
      </c>
      <c r="P527" s="378"/>
      <c r="Q527" s="283"/>
      <c r="R527" s="283"/>
      <c r="S527" s="283"/>
      <c r="T527" s="283"/>
      <c r="U527" s="283"/>
      <c r="V527" s="283"/>
      <c r="W527" s="283"/>
      <c r="X527" s="283"/>
      <c r="Y527" s="283"/>
    </row>
    <row r="528">
      <c r="A528" s="283"/>
      <c r="B528" s="283"/>
      <c r="C528" s="283"/>
      <c r="D528" s="283"/>
      <c r="E528" s="283"/>
      <c r="F528" s="283"/>
      <c r="G528" s="283"/>
      <c r="H528" s="283"/>
      <c r="I528" s="283"/>
      <c r="J528" s="283"/>
      <c r="K528" s="283"/>
      <c r="L528" s="283"/>
      <c r="M528" s="283"/>
      <c r="N528" s="283"/>
      <c r="O528" s="375" t="str">
        <f t="array" ref="O528">XLOOKUP(M528,'Recruiting Form Responses'!C:C,'Recruiting Form Responses'!A:A,"",0,1)</f>
        <v/>
      </c>
      <c r="P528" s="378"/>
      <c r="Q528" s="283"/>
      <c r="R528" s="283"/>
      <c r="S528" s="283"/>
      <c r="T528" s="283"/>
      <c r="U528" s="283"/>
      <c r="V528" s="283"/>
      <c r="W528" s="283"/>
      <c r="X528" s="283"/>
      <c r="Y528" s="283"/>
    </row>
    <row r="529">
      <c r="A529" s="283"/>
      <c r="B529" s="283"/>
      <c r="C529" s="283"/>
      <c r="D529" s="283"/>
      <c r="E529" s="283"/>
      <c r="F529" s="283"/>
      <c r="G529" s="283"/>
      <c r="H529" s="283"/>
      <c r="I529" s="283"/>
      <c r="J529" s="283"/>
      <c r="K529" s="283"/>
      <c r="L529" s="283"/>
      <c r="M529" s="283"/>
      <c r="N529" s="283"/>
      <c r="O529" s="375" t="str">
        <f t="array" ref="O529">XLOOKUP(M529,'Recruiting Form Responses'!C:C,'Recruiting Form Responses'!A:A,"",0,1)</f>
        <v/>
      </c>
      <c r="P529" s="378"/>
      <c r="Q529" s="283"/>
      <c r="R529" s="283"/>
      <c r="S529" s="283"/>
      <c r="T529" s="283"/>
      <c r="U529" s="283"/>
      <c r="V529" s="283"/>
      <c r="W529" s="283"/>
      <c r="X529" s="283"/>
      <c r="Y529" s="283"/>
    </row>
    <row r="530">
      <c r="A530" s="283"/>
      <c r="B530" s="283"/>
      <c r="C530" s="283"/>
      <c r="D530" s="283"/>
      <c r="E530" s="283"/>
      <c r="F530" s="283"/>
      <c r="G530" s="283"/>
      <c r="H530" s="283"/>
      <c r="I530" s="283"/>
      <c r="J530" s="283"/>
      <c r="K530" s="283"/>
      <c r="L530" s="283"/>
      <c r="M530" s="283"/>
      <c r="N530" s="283"/>
      <c r="O530" s="375" t="str">
        <f t="array" ref="O530">XLOOKUP(M530,'Recruiting Form Responses'!C:C,'Recruiting Form Responses'!A:A,"",0,1)</f>
        <v/>
      </c>
      <c r="P530" s="378"/>
      <c r="Q530" s="283"/>
      <c r="R530" s="283"/>
      <c r="S530" s="283"/>
      <c r="T530" s="283"/>
      <c r="U530" s="283"/>
      <c r="V530" s="283"/>
      <c r="W530" s="283"/>
      <c r="X530" s="283"/>
      <c r="Y530" s="283"/>
    </row>
    <row r="531">
      <c r="A531" s="283"/>
      <c r="B531" s="283"/>
      <c r="C531" s="283"/>
      <c r="D531" s="283"/>
      <c r="E531" s="283"/>
      <c r="F531" s="283"/>
      <c r="G531" s="283"/>
      <c r="H531" s="283"/>
      <c r="I531" s="283"/>
      <c r="J531" s="283"/>
      <c r="K531" s="283"/>
      <c r="L531" s="283"/>
      <c r="M531" s="283"/>
      <c r="N531" s="283"/>
      <c r="O531" s="375" t="str">
        <f t="array" ref="O531">XLOOKUP(M531,'Recruiting Form Responses'!C:C,'Recruiting Form Responses'!A:A,"",0,1)</f>
        <v/>
      </c>
      <c r="P531" s="378"/>
      <c r="Q531" s="283"/>
      <c r="R531" s="283"/>
      <c r="S531" s="283"/>
      <c r="T531" s="283"/>
      <c r="U531" s="283"/>
      <c r="V531" s="283"/>
      <c r="W531" s="283"/>
      <c r="X531" s="283"/>
      <c r="Y531" s="283"/>
    </row>
    <row r="532">
      <c r="A532" s="283"/>
      <c r="B532" s="283"/>
      <c r="C532" s="283"/>
      <c r="D532" s="283"/>
      <c r="E532" s="283"/>
      <c r="F532" s="283"/>
      <c r="G532" s="283"/>
      <c r="H532" s="283"/>
      <c r="I532" s="283"/>
      <c r="J532" s="283"/>
      <c r="K532" s="283"/>
      <c r="L532" s="283"/>
      <c r="M532" s="283"/>
      <c r="N532" s="283"/>
      <c r="O532" s="375" t="str">
        <f t="array" ref="O532">XLOOKUP(M532,'Recruiting Form Responses'!C:C,'Recruiting Form Responses'!A:A,"",0,1)</f>
        <v/>
      </c>
      <c r="P532" s="378"/>
      <c r="Q532" s="283"/>
      <c r="R532" s="283"/>
      <c r="S532" s="283"/>
      <c r="T532" s="283"/>
      <c r="U532" s="283"/>
      <c r="V532" s="283"/>
      <c r="W532" s="283"/>
      <c r="X532" s="283"/>
      <c r="Y532" s="283"/>
    </row>
    <row r="533">
      <c r="A533" s="283"/>
      <c r="B533" s="283"/>
      <c r="C533" s="283"/>
      <c r="D533" s="283"/>
      <c r="E533" s="283"/>
      <c r="F533" s="283"/>
      <c r="G533" s="283"/>
      <c r="H533" s="283"/>
      <c r="I533" s="283"/>
      <c r="J533" s="283"/>
      <c r="K533" s="283"/>
      <c r="L533" s="283"/>
      <c r="M533" s="283"/>
      <c r="N533" s="283"/>
      <c r="O533" s="375" t="str">
        <f t="array" ref="O533">XLOOKUP(M533,'Recruiting Form Responses'!C:C,'Recruiting Form Responses'!A:A,"",0,1)</f>
        <v/>
      </c>
      <c r="P533" s="378"/>
      <c r="Q533" s="283"/>
      <c r="R533" s="283"/>
      <c r="S533" s="283"/>
      <c r="T533" s="283"/>
      <c r="U533" s="283"/>
      <c r="V533" s="283"/>
      <c r="W533" s="283"/>
      <c r="X533" s="283"/>
      <c r="Y533" s="283"/>
    </row>
    <row r="534">
      <c r="A534" s="283"/>
      <c r="B534" s="283"/>
      <c r="C534" s="283"/>
      <c r="D534" s="283"/>
      <c r="E534" s="283"/>
      <c r="F534" s="283"/>
      <c r="G534" s="283"/>
      <c r="H534" s="283"/>
      <c r="I534" s="283"/>
      <c r="J534" s="283"/>
      <c r="K534" s="283"/>
      <c r="L534" s="283"/>
      <c r="M534" s="283"/>
      <c r="N534" s="283"/>
      <c r="O534" s="375" t="str">
        <f t="array" ref="O534">XLOOKUP(M534,'Recruiting Form Responses'!C:C,'Recruiting Form Responses'!A:A,"",0,1)</f>
        <v/>
      </c>
      <c r="P534" s="378"/>
      <c r="Q534" s="283"/>
      <c r="R534" s="283"/>
      <c r="S534" s="283"/>
      <c r="T534" s="283"/>
      <c r="U534" s="283"/>
      <c r="V534" s="283"/>
      <c r="W534" s="283"/>
      <c r="X534" s="283"/>
      <c r="Y534" s="283"/>
    </row>
    <row r="535">
      <c r="A535" s="283"/>
      <c r="B535" s="283"/>
      <c r="C535" s="283"/>
      <c r="D535" s="283"/>
      <c r="E535" s="283"/>
      <c r="F535" s="283"/>
      <c r="G535" s="283"/>
      <c r="H535" s="283"/>
      <c r="I535" s="283"/>
      <c r="J535" s="283"/>
      <c r="K535" s="283"/>
      <c r="L535" s="283"/>
      <c r="M535" s="283"/>
      <c r="N535" s="283"/>
      <c r="O535" s="375" t="str">
        <f t="array" ref="O535">XLOOKUP(M535,'Recruiting Form Responses'!C:C,'Recruiting Form Responses'!A:A,"",0,1)</f>
        <v/>
      </c>
      <c r="P535" s="378"/>
      <c r="Q535" s="283"/>
      <c r="R535" s="283"/>
      <c r="S535" s="283"/>
      <c r="T535" s="283"/>
      <c r="U535" s="283"/>
      <c r="V535" s="283"/>
      <c r="W535" s="283"/>
      <c r="X535" s="283"/>
      <c r="Y535" s="283"/>
    </row>
    <row r="536">
      <c r="A536" s="283"/>
      <c r="B536" s="283"/>
      <c r="C536" s="283"/>
      <c r="D536" s="283"/>
      <c r="E536" s="283"/>
      <c r="F536" s="283"/>
      <c r="G536" s="283"/>
      <c r="H536" s="283"/>
      <c r="I536" s="283"/>
      <c r="J536" s="283"/>
      <c r="K536" s="283"/>
      <c r="L536" s="283"/>
      <c r="M536" s="283"/>
      <c r="N536" s="283"/>
      <c r="O536" s="375" t="str">
        <f t="array" ref="O536">XLOOKUP(M536,'Recruiting Form Responses'!C:C,'Recruiting Form Responses'!A:A,"",0,1)</f>
        <v/>
      </c>
      <c r="P536" s="378"/>
      <c r="Q536" s="283"/>
      <c r="R536" s="283"/>
      <c r="S536" s="283"/>
      <c r="T536" s="283"/>
      <c r="U536" s="283"/>
      <c r="V536" s="283"/>
      <c r="W536" s="283"/>
      <c r="X536" s="283"/>
      <c r="Y536" s="283"/>
    </row>
    <row r="537">
      <c r="A537" s="283"/>
      <c r="B537" s="283"/>
      <c r="C537" s="283"/>
      <c r="D537" s="283"/>
      <c r="E537" s="283"/>
      <c r="F537" s="283"/>
      <c r="G537" s="283"/>
      <c r="H537" s="283"/>
      <c r="I537" s="283"/>
      <c r="J537" s="283"/>
      <c r="K537" s="283"/>
      <c r="L537" s="283"/>
      <c r="M537" s="283"/>
      <c r="N537" s="283"/>
      <c r="O537" s="375" t="str">
        <f t="array" ref="O537">XLOOKUP(M537,'Recruiting Form Responses'!C:C,'Recruiting Form Responses'!A:A,"",0,1)</f>
        <v/>
      </c>
      <c r="P537" s="378"/>
      <c r="Q537" s="283"/>
      <c r="R537" s="283"/>
      <c r="S537" s="283"/>
      <c r="T537" s="283"/>
      <c r="U537" s="283"/>
      <c r="V537" s="283"/>
      <c r="W537" s="283"/>
      <c r="X537" s="283"/>
      <c r="Y537" s="283"/>
    </row>
    <row r="538">
      <c r="A538" s="283"/>
      <c r="B538" s="283"/>
      <c r="C538" s="283"/>
      <c r="D538" s="283"/>
      <c r="E538" s="283"/>
      <c r="F538" s="283"/>
      <c r="G538" s="283"/>
      <c r="H538" s="283"/>
      <c r="I538" s="283"/>
      <c r="J538" s="283"/>
      <c r="K538" s="283"/>
      <c r="L538" s="283"/>
      <c r="M538" s="283"/>
      <c r="N538" s="283"/>
      <c r="O538" s="375" t="str">
        <f t="array" ref="O538">XLOOKUP(M538,'Recruiting Form Responses'!C:C,'Recruiting Form Responses'!A:A,"",0,1)</f>
        <v/>
      </c>
      <c r="P538" s="378"/>
      <c r="Q538" s="283"/>
      <c r="R538" s="283"/>
      <c r="S538" s="283"/>
      <c r="T538" s="283"/>
      <c r="U538" s="283"/>
      <c r="V538" s="283"/>
      <c r="W538" s="283"/>
      <c r="X538" s="283"/>
      <c r="Y538" s="283"/>
    </row>
    <row r="539">
      <c r="A539" s="283"/>
      <c r="B539" s="283"/>
      <c r="C539" s="283"/>
      <c r="D539" s="283"/>
      <c r="E539" s="283"/>
      <c r="F539" s="283"/>
      <c r="G539" s="283"/>
      <c r="H539" s="283"/>
      <c r="I539" s="283"/>
      <c r="J539" s="283"/>
      <c r="K539" s="283"/>
      <c r="L539" s="283"/>
      <c r="M539" s="283"/>
      <c r="N539" s="283"/>
      <c r="O539" s="375" t="str">
        <f t="array" ref="O539">XLOOKUP(M539,'Recruiting Form Responses'!C:C,'Recruiting Form Responses'!A:A,"",0,1)</f>
        <v/>
      </c>
      <c r="P539" s="378"/>
      <c r="Q539" s="283"/>
      <c r="R539" s="283"/>
      <c r="S539" s="283"/>
      <c r="T539" s="283"/>
      <c r="U539" s="283"/>
      <c r="V539" s="283"/>
      <c r="W539" s="283"/>
      <c r="X539" s="283"/>
      <c r="Y539" s="283"/>
    </row>
    <row r="540">
      <c r="A540" s="283"/>
      <c r="B540" s="283"/>
      <c r="C540" s="283"/>
      <c r="D540" s="283"/>
      <c r="E540" s="283"/>
      <c r="F540" s="283"/>
      <c r="G540" s="283"/>
      <c r="H540" s="283"/>
      <c r="I540" s="283"/>
      <c r="J540" s="283"/>
      <c r="K540" s="283"/>
      <c r="L540" s="283"/>
      <c r="M540" s="283"/>
      <c r="N540" s="283"/>
      <c r="O540" s="375" t="str">
        <f t="array" ref="O540">XLOOKUP(M540,'Recruiting Form Responses'!C:C,'Recruiting Form Responses'!A:A,"",0,1)</f>
        <v/>
      </c>
      <c r="P540" s="378"/>
      <c r="Q540" s="283"/>
      <c r="R540" s="283"/>
      <c r="S540" s="283"/>
      <c r="T540" s="283"/>
      <c r="U540" s="283"/>
      <c r="V540" s="283"/>
      <c r="W540" s="283"/>
      <c r="X540" s="283"/>
      <c r="Y540" s="283"/>
    </row>
    <row r="541">
      <c r="A541" s="283"/>
      <c r="B541" s="283"/>
      <c r="C541" s="283"/>
      <c r="D541" s="283"/>
      <c r="E541" s="283"/>
      <c r="F541" s="283"/>
      <c r="G541" s="283"/>
      <c r="H541" s="283"/>
      <c r="I541" s="283"/>
      <c r="J541" s="283"/>
      <c r="K541" s="283"/>
      <c r="L541" s="283"/>
      <c r="M541" s="283"/>
      <c r="N541" s="283"/>
      <c r="O541" s="375" t="str">
        <f t="array" ref="O541">XLOOKUP(M541,'Recruiting Form Responses'!C:C,'Recruiting Form Responses'!A:A,"",0,1)</f>
        <v/>
      </c>
      <c r="P541" s="378"/>
      <c r="Q541" s="283"/>
      <c r="R541" s="283"/>
      <c r="S541" s="283"/>
      <c r="T541" s="283"/>
      <c r="U541" s="283"/>
      <c r="V541" s="283"/>
      <c r="W541" s="283"/>
      <c r="X541" s="283"/>
      <c r="Y541" s="283"/>
    </row>
    <row r="542">
      <c r="A542" s="283"/>
      <c r="B542" s="283"/>
      <c r="C542" s="283"/>
      <c r="D542" s="283"/>
      <c r="E542" s="283"/>
      <c r="F542" s="283"/>
      <c r="G542" s="283"/>
      <c r="H542" s="283"/>
      <c r="I542" s="283"/>
      <c r="J542" s="283"/>
      <c r="K542" s="283"/>
      <c r="L542" s="283"/>
      <c r="M542" s="283"/>
      <c r="N542" s="283"/>
      <c r="O542" s="375" t="str">
        <f t="array" ref="O542">XLOOKUP(M542,'Recruiting Form Responses'!C:C,'Recruiting Form Responses'!A:A,"",0,1)</f>
        <v/>
      </c>
      <c r="P542" s="378"/>
      <c r="Q542" s="283"/>
      <c r="R542" s="283"/>
      <c r="S542" s="283"/>
      <c r="T542" s="283"/>
      <c r="U542" s="283"/>
      <c r="V542" s="283"/>
      <c r="W542" s="283"/>
      <c r="X542" s="283"/>
      <c r="Y542" s="283"/>
    </row>
    <row r="543">
      <c r="A543" s="283"/>
      <c r="B543" s="283"/>
      <c r="C543" s="283"/>
      <c r="D543" s="283"/>
      <c r="E543" s="283"/>
      <c r="F543" s="283"/>
      <c r="G543" s="283"/>
      <c r="H543" s="283"/>
      <c r="I543" s="283"/>
      <c r="J543" s="283"/>
      <c r="K543" s="283"/>
      <c r="L543" s="283"/>
      <c r="M543" s="283"/>
      <c r="N543" s="283"/>
      <c r="O543" s="375" t="str">
        <f t="array" ref="O543">XLOOKUP(M543,'Recruiting Form Responses'!C:C,'Recruiting Form Responses'!A:A,"",0,1)</f>
        <v/>
      </c>
      <c r="P543" s="378"/>
      <c r="Q543" s="283"/>
      <c r="R543" s="283"/>
      <c r="S543" s="283"/>
      <c r="T543" s="283"/>
      <c r="U543" s="283"/>
      <c r="V543" s="283"/>
      <c r="W543" s="283"/>
      <c r="X543" s="283"/>
      <c r="Y543" s="283"/>
    </row>
    <row r="544">
      <c r="A544" s="283"/>
      <c r="B544" s="283"/>
      <c r="C544" s="283"/>
      <c r="D544" s="283"/>
      <c r="E544" s="283"/>
      <c r="F544" s="283"/>
      <c r="G544" s="283"/>
      <c r="H544" s="283"/>
      <c r="I544" s="283"/>
      <c r="J544" s="283"/>
      <c r="K544" s="283"/>
      <c r="L544" s="283"/>
      <c r="M544" s="283"/>
      <c r="N544" s="283"/>
      <c r="O544" s="375" t="str">
        <f t="array" ref="O544">XLOOKUP(M544,'Recruiting Form Responses'!C:C,'Recruiting Form Responses'!A:A,"",0,1)</f>
        <v/>
      </c>
      <c r="P544" s="378"/>
      <c r="Q544" s="283"/>
      <c r="R544" s="283"/>
      <c r="S544" s="283"/>
      <c r="T544" s="283"/>
      <c r="U544" s="283"/>
      <c r="V544" s="283"/>
      <c r="W544" s="283"/>
      <c r="X544" s="283"/>
      <c r="Y544" s="283"/>
    </row>
    <row r="545">
      <c r="A545" s="283"/>
      <c r="B545" s="283"/>
      <c r="C545" s="283"/>
      <c r="D545" s="283"/>
      <c r="E545" s="283"/>
      <c r="F545" s="283"/>
      <c r="G545" s="283"/>
      <c r="H545" s="283"/>
      <c r="I545" s="283"/>
      <c r="J545" s="283"/>
      <c r="K545" s="283"/>
      <c r="L545" s="283"/>
      <c r="M545" s="283"/>
      <c r="N545" s="283"/>
      <c r="O545" s="375" t="str">
        <f t="array" ref="O545">XLOOKUP(M545,'Recruiting Form Responses'!C:C,'Recruiting Form Responses'!A:A,"",0,1)</f>
        <v/>
      </c>
      <c r="P545" s="378"/>
      <c r="Q545" s="283"/>
      <c r="R545" s="283"/>
      <c r="S545" s="283"/>
      <c r="T545" s="283"/>
      <c r="U545" s="283"/>
      <c r="V545" s="283"/>
      <c r="W545" s="283"/>
      <c r="X545" s="283"/>
      <c r="Y545" s="283"/>
    </row>
    <row r="546">
      <c r="A546" s="283"/>
      <c r="B546" s="283"/>
      <c r="C546" s="283"/>
      <c r="D546" s="283"/>
      <c r="E546" s="283"/>
      <c r="F546" s="283"/>
      <c r="G546" s="283"/>
      <c r="H546" s="283"/>
      <c r="I546" s="283"/>
      <c r="J546" s="283"/>
      <c r="K546" s="283"/>
      <c r="L546" s="283"/>
      <c r="M546" s="283"/>
      <c r="N546" s="283"/>
      <c r="O546" s="375" t="str">
        <f t="array" ref="O546">XLOOKUP(M546,'Recruiting Form Responses'!C:C,'Recruiting Form Responses'!A:A,"",0,1)</f>
        <v/>
      </c>
      <c r="P546" s="378"/>
      <c r="Q546" s="283"/>
      <c r="R546" s="283"/>
      <c r="S546" s="283"/>
      <c r="T546" s="283"/>
      <c r="U546" s="283"/>
      <c r="V546" s="283"/>
      <c r="W546" s="283"/>
      <c r="X546" s="283"/>
      <c r="Y546" s="283"/>
    </row>
    <row r="547">
      <c r="A547" s="283"/>
      <c r="B547" s="283"/>
      <c r="C547" s="283"/>
      <c r="D547" s="283"/>
      <c r="E547" s="283"/>
      <c r="F547" s="283"/>
      <c r="G547" s="283"/>
      <c r="H547" s="283"/>
      <c r="I547" s="283"/>
      <c r="J547" s="283"/>
      <c r="K547" s="283"/>
      <c r="L547" s="283"/>
      <c r="M547" s="283"/>
      <c r="N547" s="283"/>
      <c r="O547" s="375" t="str">
        <f t="array" ref="O547">XLOOKUP(M547,'Recruiting Form Responses'!C:C,'Recruiting Form Responses'!A:A,"",0,1)</f>
        <v/>
      </c>
      <c r="P547" s="378"/>
      <c r="Q547" s="283"/>
      <c r="R547" s="283"/>
      <c r="S547" s="283"/>
      <c r="T547" s="283"/>
      <c r="U547" s="283"/>
      <c r="V547" s="283"/>
      <c r="W547" s="283"/>
      <c r="X547" s="283"/>
      <c r="Y547" s="283"/>
    </row>
    <row r="548">
      <c r="A548" s="283"/>
      <c r="B548" s="283"/>
      <c r="C548" s="283"/>
      <c r="D548" s="283"/>
      <c r="E548" s="283"/>
      <c r="F548" s="283"/>
      <c r="G548" s="283"/>
      <c r="H548" s="283"/>
      <c r="I548" s="283"/>
      <c r="J548" s="283"/>
      <c r="K548" s="283"/>
      <c r="L548" s="283"/>
      <c r="M548" s="283"/>
      <c r="N548" s="283"/>
      <c r="O548" s="375" t="str">
        <f t="array" ref="O548">XLOOKUP(M548,'Recruiting Form Responses'!C:C,'Recruiting Form Responses'!A:A,"",0,1)</f>
        <v/>
      </c>
      <c r="P548" s="378"/>
      <c r="Q548" s="283"/>
      <c r="R548" s="283"/>
      <c r="S548" s="283"/>
      <c r="T548" s="283"/>
      <c r="U548" s="283"/>
      <c r="V548" s="283"/>
      <c r="W548" s="283"/>
      <c r="X548" s="283"/>
      <c r="Y548" s="283"/>
    </row>
    <row r="549">
      <c r="A549" s="283"/>
      <c r="B549" s="283"/>
      <c r="C549" s="283"/>
      <c r="D549" s="283"/>
      <c r="E549" s="283"/>
      <c r="F549" s="283"/>
      <c r="G549" s="283"/>
      <c r="H549" s="283"/>
      <c r="I549" s="283"/>
      <c r="J549" s="283"/>
      <c r="K549" s="283"/>
      <c r="L549" s="283"/>
      <c r="M549" s="283"/>
      <c r="N549" s="283"/>
      <c r="O549" s="375" t="str">
        <f t="array" ref="O549">XLOOKUP(M549,'Recruiting Form Responses'!C:C,'Recruiting Form Responses'!A:A,"",0,1)</f>
        <v/>
      </c>
      <c r="P549" s="378"/>
      <c r="Q549" s="283"/>
      <c r="R549" s="283"/>
      <c r="S549" s="283"/>
      <c r="T549" s="283"/>
      <c r="U549" s="283"/>
      <c r="V549" s="283"/>
      <c r="W549" s="283"/>
      <c r="X549" s="283"/>
      <c r="Y549" s="283"/>
    </row>
    <row r="550">
      <c r="A550" s="283"/>
      <c r="B550" s="283"/>
      <c r="C550" s="283"/>
      <c r="D550" s="283"/>
      <c r="E550" s="283"/>
      <c r="F550" s="283"/>
      <c r="G550" s="283"/>
      <c r="H550" s="283"/>
      <c r="I550" s="283"/>
      <c r="J550" s="283"/>
      <c r="K550" s="283"/>
      <c r="L550" s="283"/>
      <c r="M550" s="283"/>
      <c r="N550" s="283"/>
      <c r="O550" s="375" t="str">
        <f t="array" ref="O550">XLOOKUP(M550,'Recruiting Form Responses'!C:C,'Recruiting Form Responses'!A:A,"",0,1)</f>
        <v/>
      </c>
      <c r="P550" s="378"/>
      <c r="Q550" s="283"/>
      <c r="R550" s="283"/>
      <c r="S550" s="283"/>
      <c r="T550" s="283"/>
      <c r="U550" s="283"/>
      <c r="V550" s="283"/>
      <c r="W550" s="283"/>
      <c r="X550" s="283"/>
      <c r="Y550" s="283"/>
    </row>
    <row r="551">
      <c r="A551" s="283"/>
      <c r="B551" s="283"/>
      <c r="C551" s="283"/>
      <c r="D551" s="283"/>
      <c r="E551" s="283"/>
      <c r="F551" s="283"/>
      <c r="G551" s="283"/>
      <c r="H551" s="283"/>
      <c r="I551" s="283"/>
      <c r="J551" s="283"/>
      <c r="K551" s="283"/>
      <c r="L551" s="283"/>
      <c r="M551" s="283"/>
      <c r="N551" s="283"/>
      <c r="O551" s="375" t="str">
        <f t="array" ref="O551">XLOOKUP(M551,'Recruiting Form Responses'!C:C,'Recruiting Form Responses'!A:A,"",0,1)</f>
        <v/>
      </c>
      <c r="P551" s="378"/>
      <c r="Q551" s="283"/>
      <c r="R551" s="283"/>
      <c r="S551" s="283"/>
      <c r="T551" s="283"/>
      <c r="U551" s="283"/>
      <c r="V551" s="283"/>
      <c r="W551" s="283"/>
      <c r="X551" s="283"/>
      <c r="Y551" s="283"/>
    </row>
    <row r="552">
      <c r="A552" s="283"/>
      <c r="B552" s="283"/>
      <c r="C552" s="283"/>
      <c r="D552" s="283"/>
      <c r="E552" s="283"/>
      <c r="F552" s="283"/>
      <c r="G552" s="283"/>
      <c r="H552" s="283"/>
      <c r="I552" s="283"/>
      <c r="J552" s="283"/>
      <c r="K552" s="283"/>
      <c r="L552" s="283"/>
      <c r="M552" s="283"/>
      <c r="N552" s="283"/>
      <c r="O552" s="375" t="str">
        <f t="array" ref="O552">XLOOKUP(M552,'Recruiting Form Responses'!C:C,'Recruiting Form Responses'!A:A,"",0,1)</f>
        <v/>
      </c>
      <c r="P552" s="378"/>
      <c r="Q552" s="283"/>
      <c r="R552" s="283"/>
      <c r="S552" s="283"/>
      <c r="T552" s="283"/>
      <c r="U552" s="283"/>
      <c r="V552" s="283"/>
      <c r="W552" s="283"/>
      <c r="X552" s="283"/>
      <c r="Y552" s="283"/>
    </row>
    <row r="553">
      <c r="A553" s="283"/>
      <c r="B553" s="283"/>
      <c r="C553" s="283"/>
      <c r="D553" s="283"/>
      <c r="E553" s="283"/>
      <c r="F553" s="283"/>
      <c r="G553" s="283"/>
      <c r="H553" s="283"/>
      <c r="I553" s="283"/>
      <c r="J553" s="283"/>
      <c r="K553" s="283"/>
      <c r="L553" s="283"/>
      <c r="M553" s="283"/>
      <c r="N553" s="283"/>
      <c r="O553" s="375" t="str">
        <f t="array" ref="O553">XLOOKUP(M553,'Recruiting Form Responses'!C:C,'Recruiting Form Responses'!A:A,"",0,1)</f>
        <v/>
      </c>
      <c r="P553" s="378"/>
      <c r="Q553" s="283"/>
      <c r="R553" s="283"/>
      <c r="S553" s="283"/>
      <c r="T553" s="283"/>
      <c r="U553" s="283"/>
      <c r="V553" s="283"/>
      <c r="W553" s="283"/>
      <c r="X553" s="283"/>
      <c r="Y553" s="283"/>
    </row>
    <row r="554">
      <c r="A554" s="283"/>
      <c r="B554" s="283"/>
      <c r="C554" s="283"/>
      <c r="D554" s="283"/>
      <c r="E554" s="283"/>
      <c r="F554" s="283"/>
      <c r="G554" s="283"/>
      <c r="H554" s="283"/>
      <c r="I554" s="283"/>
      <c r="J554" s="283"/>
      <c r="K554" s="283"/>
      <c r="L554" s="283"/>
      <c r="M554" s="283"/>
      <c r="N554" s="283"/>
      <c r="O554" s="375" t="str">
        <f t="array" ref="O554">XLOOKUP(M554,'Recruiting Form Responses'!C:C,'Recruiting Form Responses'!A:A,"",0,1)</f>
        <v/>
      </c>
      <c r="P554" s="378"/>
      <c r="Q554" s="283"/>
      <c r="R554" s="283"/>
      <c r="S554" s="283"/>
      <c r="T554" s="283"/>
      <c r="U554" s="283"/>
      <c r="V554" s="283"/>
      <c r="W554" s="283"/>
      <c r="X554" s="283"/>
      <c r="Y554" s="283"/>
    </row>
    <row r="555">
      <c r="A555" s="283"/>
      <c r="B555" s="283"/>
      <c r="C555" s="283"/>
      <c r="D555" s="283"/>
      <c r="E555" s="283"/>
      <c r="F555" s="283"/>
      <c r="G555" s="283"/>
      <c r="H555" s="283"/>
      <c r="I555" s="283"/>
      <c r="J555" s="283"/>
      <c r="K555" s="283"/>
      <c r="L555" s="283"/>
      <c r="M555" s="283"/>
      <c r="N555" s="283"/>
      <c r="O555" s="375" t="str">
        <f t="array" ref="O555">XLOOKUP(M555,'Recruiting Form Responses'!C:C,'Recruiting Form Responses'!A:A,"",0,1)</f>
        <v/>
      </c>
      <c r="P555" s="378"/>
      <c r="Q555" s="283"/>
      <c r="R555" s="283"/>
      <c r="S555" s="283"/>
      <c r="T555" s="283"/>
      <c r="U555" s="283"/>
      <c r="V555" s="283"/>
      <c r="W555" s="283"/>
      <c r="X555" s="283"/>
      <c r="Y555" s="283"/>
    </row>
    <row r="556">
      <c r="A556" s="283"/>
      <c r="B556" s="283"/>
      <c r="C556" s="283"/>
      <c r="D556" s="283"/>
      <c r="E556" s="283"/>
      <c r="F556" s="283"/>
      <c r="G556" s="283"/>
      <c r="H556" s="283"/>
      <c r="I556" s="283"/>
      <c r="J556" s="283"/>
      <c r="K556" s="283"/>
      <c r="L556" s="283"/>
      <c r="M556" s="283"/>
      <c r="N556" s="283"/>
      <c r="O556" s="375" t="str">
        <f t="array" ref="O556">XLOOKUP(M556,'Recruiting Form Responses'!C:C,'Recruiting Form Responses'!A:A,"",0,1)</f>
        <v/>
      </c>
      <c r="P556" s="378"/>
      <c r="Q556" s="283"/>
      <c r="R556" s="283"/>
      <c r="S556" s="283"/>
      <c r="T556" s="283"/>
      <c r="U556" s="283"/>
      <c r="V556" s="283"/>
      <c r="W556" s="283"/>
      <c r="X556" s="283"/>
      <c r="Y556" s="283"/>
    </row>
    <row r="557">
      <c r="A557" s="283"/>
      <c r="B557" s="283"/>
      <c r="C557" s="283"/>
      <c r="D557" s="283"/>
      <c r="E557" s="283"/>
      <c r="F557" s="283"/>
      <c r="G557" s="283"/>
      <c r="H557" s="283"/>
      <c r="I557" s="283"/>
      <c r="J557" s="283"/>
      <c r="K557" s="283"/>
      <c r="L557" s="283"/>
      <c r="M557" s="283"/>
      <c r="N557" s="283"/>
      <c r="O557" s="375" t="str">
        <f t="array" ref="O557">XLOOKUP(M557,'Recruiting Form Responses'!C:C,'Recruiting Form Responses'!A:A,"",0,1)</f>
        <v/>
      </c>
      <c r="P557" s="378"/>
      <c r="Q557" s="283"/>
      <c r="R557" s="283"/>
      <c r="S557" s="283"/>
      <c r="T557" s="283"/>
      <c r="U557" s="283"/>
      <c r="V557" s="283"/>
      <c r="W557" s="283"/>
      <c r="X557" s="283"/>
      <c r="Y557" s="283"/>
    </row>
    <row r="558">
      <c r="A558" s="283"/>
      <c r="B558" s="283"/>
      <c r="C558" s="283"/>
      <c r="D558" s="283"/>
      <c r="E558" s="283"/>
      <c r="F558" s="283"/>
      <c r="G558" s="283"/>
      <c r="H558" s="283"/>
      <c r="I558" s="283"/>
      <c r="J558" s="283"/>
      <c r="K558" s="283"/>
      <c r="L558" s="283"/>
      <c r="M558" s="283"/>
      <c r="N558" s="283"/>
      <c r="O558" s="375" t="str">
        <f t="array" ref="O558">XLOOKUP(M558,'Recruiting Form Responses'!C:C,'Recruiting Form Responses'!A:A,"",0,1)</f>
        <v/>
      </c>
      <c r="P558" s="378"/>
      <c r="Q558" s="283"/>
      <c r="R558" s="283"/>
      <c r="S558" s="283"/>
      <c r="T558" s="283"/>
      <c r="U558" s="283"/>
      <c r="V558" s="283"/>
      <c r="W558" s="283"/>
      <c r="X558" s="283"/>
      <c r="Y558" s="283"/>
    </row>
    <row r="559">
      <c r="A559" s="283"/>
      <c r="B559" s="283"/>
      <c r="C559" s="283"/>
      <c r="D559" s="283"/>
      <c r="E559" s="283"/>
      <c r="F559" s="283"/>
      <c r="G559" s="283"/>
      <c r="H559" s="283"/>
      <c r="I559" s="283"/>
      <c r="J559" s="283"/>
      <c r="K559" s="283"/>
      <c r="L559" s="283"/>
      <c r="M559" s="283"/>
      <c r="N559" s="283"/>
      <c r="O559" s="375" t="str">
        <f t="array" ref="O559">XLOOKUP(M559,'Recruiting Form Responses'!C:C,'Recruiting Form Responses'!A:A,"",0,1)</f>
        <v/>
      </c>
      <c r="P559" s="378"/>
      <c r="Q559" s="283"/>
      <c r="R559" s="283"/>
      <c r="S559" s="283"/>
      <c r="T559" s="283"/>
      <c r="U559" s="283"/>
      <c r="V559" s="283"/>
      <c r="W559" s="283"/>
      <c r="X559" s="283"/>
      <c r="Y559" s="283"/>
    </row>
    <row r="560">
      <c r="A560" s="283"/>
      <c r="B560" s="283"/>
      <c r="C560" s="283"/>
      <c r="D560" s="283"/>
      <c r="E560" s="283"/>
      <c r="F560" s="283"/>
      <c r="G560" s="283"/>
      <c r="H560" s="283"/>
      <c r="I560" s="283"/>
      <c r="J560" s="283"/>
      <c r="K560" s="283"/>
      <c r="L560" s="283"/>
      <c r="M560" s="283"/>
      <c r="N560" s="283"/>
      <c r="O560" s="375" t="str">
        <f t="array" ref="O560">XLOOKUP(M560,'Recruiting Form Responses'!C:C,'Recruiting Form Responses'!A:A,"",0,1)</f>
        <v/>
      </c>
      <c r="P560" s="378"/>
      <c r="Q560" s="283"/>
      <c r="R560" s="283"/>
      <c r="S560" s="283"/>
      <c r="T560" s="283"/>
      <c r="U560" s="283"/>
      <c r="V560" s="283"/>
      <c r="W560" s="283"/>
      <c r="X560" s="283"/>
      <c r="Y560" s="283"/>
    </row>
    <row r="561">
      <c r="A561" s="283"/>
      <c r="B561" s="283"/>
      <c r="C561" s="283"/>
      <c r="D561" s="283"/>
      <c r="E561" s="283"/>
      <c r="F561" s="283"/>
      <c r="G561" s="283"/>
      <c r="H561" s="283"/>
      <c r="I561" s="283"/>
      <c r="J561" s="283"/>
      <c r="K561" s="283"/>
      <c r="L561" s="283"/>
      <c r="M561" s="283"/>
      <c r="N561" s="283"/>
      <c r="O561" s="375" t="str">
        <f t="array" ref="O561">XLOOKUP(M561,'Recruiting Form Responses'!C:C,'Recruiting Form Responses'!A:A,"",0,1)</f>
        <v/>
      </c>
      <c r="P561" s="378"/>
      <c r="Q561" s="283"/>
      <c r="R561" s="283"/>
      <c r="S561" s="283"/>
      <c r="T561" s="283"/>
      <c r="U561" s="283"/>
      <c r="V561" s="283"/>
      <c r="W561" s="283"/>
      <c r="X561" s="283"/>
      <c r="Y561" s="283"/>
    </row>
    <row r="562">
      <c r="A562" s="283"/>
      <c r="B562" s="283"/>
      <c r="C562" s="283"/>
      <c r="D562" s="283"/>
      <c r="E562" s="283"/>
      <c r="F562" s="283"/>
      <c r="G562" s="283"/>
      <c r="H562" s="283"/>
      <c r="I562" s="283"/>
      <c r="J562" s="283"/>
      <c r="K562" s="283"/>
      <c r="L562" s="283"/>
      <c r="M562" s="283"/>
      <c r="N562" s="283"/>
      <c r="O562" s="375" t="str">
        <f t="array" ref="O562">XLOOKUP(M562,'Recruiting Form Responses'!C:C,'Recruiting Form Responses'!A:A,"",0,1)</f>
        <v/>
      </c>
      <c r="P562" s="378"/>
      <c r="Q562" s="283"/>
      <c r="R562" s="283"/>
      <c r="S562" s="283"/>
      <c r="T562" s="283"/>
      <c r="U562" s="283"/>
      <c r="V562" s="283"/>
      <c r="W562" s="283"/>
      <c r="X562" s="283"/>
      <c r="Y562" s="283"/>
    </row>
    <row r="563">
      <c r="A563" s="283"/>
      <c r="B563" s="283"/>
      <c r="C563" s="283"/>
      <c r="D563" s="283"/>
      <c r="E563" s="283"/>
      <c r="F563" s="283"/>
      <c r="G563" s="283"/>
      <c r="H563" s="283"/>
      <c r="I563" s="283"/>
      <c r="J563" s="283"/>
      <c r="K563" s="283"/>
      <c r="L563" s="283"/>
      <c r="M563" s="283"/>
      <c r="N563" s="283"/>
      <c r="O563" s="375" t="str">
        <f t="array" ref="O563">XLOOKUP(M563,'Recruiting Form Responses'!C:C,'Recruiting Form Responses'!A:A,"",0,1)</f>
        <v/>
      </c>
      <c r="P563" s="378"/>
      <c r="Q563" s="283"/>
      <c r="R563" s="283"/>
      <c r="S563" s="283"/>
      <c r="T563" s="283"/>
      <c r="U563" s="283"/>
      <c r="V563" s="283"/>
      <c r="W563" s="283"/>
      <c r="X563" s="283"/>
      <c r="Y563" s="283"/>
    </row>
    <row r="564">
      <c r="A564" s="283"/>
      <c r="B564" s="283"/>
      <c r="C564" s="283"/>
      <c r="D564" s="283"/>
      <c r="E564" s="283"/>
      <c r="F564" s="283"/>
      <c r="G564" s="283"/>
      <c r="H564" s="283"/>
      <c r="I564" s="283"/>
      <c r="J564" s="283"/>
      <c r="K564" s="283"/>
      <c r="L564" s="283"/>
      <c r="M564" s="283"/>
      <c r="N564" s="283"/>
      <c r="O564" s="375" t="str">
        <f t="array" ref="O564">XLOOKUP(M564,'Recruiting Form Responses'!C:C,'Recruiting Form Responses'!A:A,"",0,1)</f>
        <v/>
      </c>
      <c r="P564" s="378"/>
      <c r="Q564" s="283"/>
      <c r="R564" s="283"/>
      <c r="S564" s="283"/>
      <c r="T564" s="283"/>
      <c r="U564" s="283"/>
      <c r="V564" s="283"/>
      <c r="W564" s="283"/>
      <c r="X564" s="283"/>
      <c r="Y564" s="283"/>
    </row>
    <row r="565">
      <c r="A565" s="283"/>
      <c r="B565" s="283"/>
      <c r="C565" s="283"/>
      <c r="D565" s="283"/>
      <c r="E565" s="283"/>
      <c r="F565" s="283"/>
      <c r="G565" s="283"/>
      <c r="H565" s="283"/>
      <c r="I565" s="283"/>
      <c r="J565" s="283"/>
      <c r="K565" s="283"/>
      <c r="L565" s="283"/>
      <c r="M565" s="283"/>
      <c r="N565" s="283"/>
      <c r="O565" s="375" t="str">
        <f t="array" ref="O565">XLOOKUP(M565,'Recruiting Form Responses'!C:C,'Recruiting Form Responses'!A:A,"",0,1)</f>
        <v/>
      </c>
      <c r="P565" s="378"/>
      <c r="Q565" s="283"/>
      <c r="R565" s="283"/>
      <c r="S565" s="283"/>
      <c r="T565" s="283"/>
      <c r="U565" s="283"/>
      <c r="V565" s="283"/>
      <c r="W565" s="283"/>
      <c r="X565" s="283"/>
      <c r="Y565" s="283"/>
    </row>
    <row r="566">
      <c r="A566" s="283"/>
      <c r="B566" s="283"/>
      <c r="C566" s="283"/>
      <c r="D566" s="283"/>
      <c r="E566" s="283"/>
      <c r="F566" s="283"/>
      <c r="G566" s="283"/>
      <c r="H566" s="283"/>
      <c r="I566" s="283"/>
      <c r="J566" s="283"/>
      <c r="K566" s="283"/>
      <c r="L566" s="283"/>
      <c r="M566" s="283"/>
      <c r="N566" s="283"/>
      <c r="O566" s="375" t="str">
        <f t="array" ref="O566">XLOOKUP(M566,'Recruiting Form Responses'!C:C,'Recruiting Form Responses'!A:A,"",0,1)</f>
        <v/>
      </c>
      <c r="P566" s="378"/>
      <c r="Q566" s="283"/>
      <c r="R566" s="283"/>
      <c r="S566" s="283"/>
      <c r="T566" s="283"/>
      <c r="U566" s="283"/>
      <c r="V566" s="283"/>
      <c r="W566" s="283"/>
      <c r="X566" s="283"/>
      <c r="Y566" s="283"/>
    </row>
    <row r="567">
      <c r="A567" s="283"/>
      <c r="B567" s="283"/>
      <c r="C567" s="283"/>
      <c r="D567" s="283"/>
      <c r="E567" s="283"/>
      <c r="F567" s="283"/>
      <c r="G567" s="283"/>
      <c r="H567" s="283"/>
      <c r="I567" s="283"/>
      <c r="J567" s="283"/>
      <c r="K567" s="283"/>
      <c r="L567" s="283"/>
      <c r="M567" s="283"/>
      <c r="N567" s="283"/>
      <c r="O567" s="375" t="str">
        <f t="array" ref="O567">XLOOKUP(M567,'Recruiting Form Responses'!C:C,'Recruiting Form Responses'!A:A,"",0,1)</f>
        <v/>
      </c>
      <c r="P567" s="378"/>
      <c r="Q567" s="283"/>
      <c r="R567" s="283"/>
      <c r="S567" s="283"/>
      <c r="T567" s="283"/>
      <c r="U567" s="283"/>
      <c r="V567" s="283"/>
      <c r="W567" s="283"/>
      <c r="X567" s="283"/>
      <c r="Y567" s="283"/>
    </row>
    <row r="568">
      <c r="A568" s="283"/>
      <c r="B568" s="283"/>
      <c r="C568" s="283"/>
      <c r="D568" s="283"/>
      <c r="E568" s="283"/>
      <c r="F568" s="283"/>
      <c r="G568" s="283"/>
      <c r="H568" s="283"/>
      <c r="I568" s="283"/>
      <c r="J568" s="283"/>
      <c r="K568" s="283"/>
      <c r="L568" s="283"/>
      <c r="M568" s="283"/>
      <c r="N568" s="283"/>
      <c r="O568" s="375" t="str">
        <f t="array" ref="O568">XLOOKUP(M568,'Recruiting Form Responses'!C:C,'Recruiting Form Responses'!A:A,"",0,1)</f>
        <v/>
      </c>
      <c r="P568" s="378"/>
      <c r="Q568" s="283"/>
      <c r="R568" s="283"/>
      <c r="S568" s="283"/>
      <c r="T568" s="283"/>
      <c r="U568" s="283"/>
      <c r="V568" s="283"/>
      <c r="W568" s="283"/>
      <c r="X568" s="283"/>
      <c r="Y568" s="283"/>
    </row>
    <row r="569">
      <c r="A569" s="283"/>
      <c r="B569" s="283"/>
      <c r="C569" s="283"/>
      <c r="D569" s="283"/>
      <c r="E569" s="283"/>
      <c r="F569" s="283"/>
      <c r="G569" s="283"/>
      <c r="H569" s="283"/>
      <c r="I569" s="283"/>
      <c r="J569" s="283"/>
      <c r="K569" s="283"/>
      <c r="L569" s="283"/>
      <c r="M569" s="283"/>
      <c r="N569" s="283"/>
      <c r="O569" s="375" t="str">
        <f t="array" ref="O569">XLOOKUP(M569,'Recruiting Form Responses'!C:C,'Recruiting Form Responses'!A:A,"",0,1)</f>
        <v/>
      </c>
      <c r="P569" s="378"/>
      <c r="Q569" s="283"/>
      <c r="R569" s="283"/>
      <c r="S569" s="283"/>
      <c r="T569" s="283"/>
      <c r="U569" s="283"/>
      <c r="V569" s="283"/>
      <c r="W569" s="283"/>
      <c r="X569" s="283"/>
      <c r="Y569" s="283"/>
    </row>
    <row r="570">
      <c r="A570" s="283"/>
      <c r="B570" s="283"/>
      <c r="C570" s="283"/>
      <c r="D570" s="283"/>
      <c r="E570" s="283"/>
      <c r="F570" s="283"/>
      <c r="G570" s="283"/>
      <c r="H570" s="283"/>
      <c r="I570" s="283"/>
      <c r="J570" s="283"/>
      <c r="K570" s="283"/>
      <c r="L570" s="283"/>
      <c r="M570" s="283"/>
      <c r="N570" s="283"/>
      <c r="O570" s="375" t="str">
        <f t="array" ref="O570">XLOOKUP(M570,'Recruiting Form Responses'!C:C,'Recruiting Form Responses'!A:A,"",0,1)</f>
        <v/>
      </c>
      <c r="P570" s="378"/>
      <c r="Q570" s="283"/>
      <c r="R570" s="283"/>
      <c r="S570" s="283"/>
      <c r="T570" s="283"/>
      <c r="U570" s="283"/>
      <c r="V570" s="283"/>
      <c r="W570" s="283"/>
      <c r="X570" s="283"/>
      <c r="Y570" s="283"/>
    </row>
    <row r="571">
      <c r="A571" s="283"/>
      <c r="B571" s="283"/>
      <c r="C571" s="283"/>
      <c r="D571" s="283"/>
      <c r="E571" s="283"/>
      <c r="F571" s="283"/>
      <c r="G571" s="283"/>
      <c r="H571" s="283"/>
      <c r="I571" s="283"/>
      <c r="J571" s="283"/>
      <c r="K571" s="283"/>
      <c r="L571" s="283"/>
      <c r="M571" s="283"/>
      <c r="N571" s="283"/>
      <c r="O571" s="375" t="str">
        <f t="array" ref="O571">XLOOKUP(M571,'Recruiting Form Responses'!C:C,'Recruiting Form Responses'!A:A,"",0,1)</f>
        <v/>
      </c>
      <c r="P571" s="378"/>
      <c r="Q571" s="283"/>
      <c r="R571" s="283"/>
      <c r="S571" s="283"/>
      <c r="T571" s="283"/>
      <c r="U571" s="283"/>
      <c r="V571" s="283"/>
      <c r="W571" s="283"/>
      <c r="X571" s="283"/>
      <c r="Y571" s="283"/>
    </row>
    <row r="572">
      <c r="A572" s="283"/>
      <c r="B572" s="283"/>
      <c r="C572" s="283"/>
      <c r="D572" s="283"/>
      <c r="E572" s="283"/>
      <c r="F572" s="283"/>
      <c r="G572" s="283"/>
      <c r="H572" s="283"/>
      <c r="I572" s="283"/>
      <c r="J572" s="283"/>
      <c r="K572" s="283"/>
      <c r="L572" s="283"/>
      <c r="M572" s="283"/>
      <c r="N572" s="283"/>
      <c r="O572" s="375" t="str">
        <f t="array" ref="O572">XLOOKUP(M572,'Recruiting Form Responses'!C:C,'Recruiting Form Responses'!A:A,"",0,1)</f>
        <v/>
      </c>
      <c r="P572" s="378"/>
      <c r="Q572" s="283"/>
      <c r="R572" s="283"/>
      <c r="S572" s="283"/>
      <c r="T572" s="283"/>
      <c r="U572" s="283"/>
      <c r="V572" s="283"/>
      <c r="W572" s="283"/>
      <c r="X572" s="283"/>
      <c r="Y572" s="283"/>
    </row>
    <row r="573">
      <c r="A573" s="283"/>
      <c r="B573" s="283"/>
      <c r="C573" s="283"/>
      <c r="D573" s="283"/>
      <c r="E573" s="283"/>
      <c r="F573" s="283"/>
      <c r="G573" s="283"/>
      <c r="H573" s="283"/>
      <c r="I573" s="283"/>
      <c r="J573" s="283"/>
      <c r="K573" s="283"/>
      <c r="L573" s="283"/>
      <c r="M573" s="283"/>
      <c r="N573" s="283"/>
      <c r="O573" s="375" t="str">
        <f t="array" ref="O573">XLOOKUP(M573,'Recruiting Form Responses'!C:C,'Recruiting Form Responses'!A:A,"",0,1)</f>
        <v/>
      </c>
      <c r="P573" s="378"/>
      <c r="Q573" s="283"/>
      <c r="R573" s="283"/>
      <c r="S573" s="283"/>
      <c r="T573" s="283"/>
      <c r="U573" s="283"/>
      <c r="V573" s="283"/>
      <c r="W573" s="283"/>
      <c r="X573" s="283"/>
      <c r="Y573" s="283"/>
    </row>
    <row r="574">
      <c r="A574" s="283"/>
      <c r="B574" s="283"/>
      <c r="C574" s="283"/>
      <c r="D574" s="283"/>
      <c r="E574" s="283"/>
      <c r="F574" s="283"/>
      <c r="G574" s="283"/>
      <c r="H574" s="283"/>
      <c r="I574" s="283"/>
      <c r="J574" s="283"/>
      <c r="K574" s="283"/>
      <c r="L574" s="283"/>
      <c r="M574" s="283"/>
      <c r="N574" s="283"/>
      <c r="O574" s="375" t="str">
        <f t="array" ref="O574">XLOOKUP(M574,'Recruiting Form Responses'!C:C,'Recruiting Form Responses'!A:A,"",0,1)</f>
        <v/>
      </c>
      <c r="P574" s="378"/>
      <c r="Q574" s="283"/>
      <c r="R574" s="283"/>
      <c r="S574" s="283"/>
      <c r="T574" s="283"/>
      <c r="U574" s="283"/>
      <c r="V574" s="283"/>
      <c r="W574" s="283"/>
      <c r="X574" s="283"/>
      <c r="Y574" s="283"/>
    </row>
    <row r="575">
      <c r="A575" s="283"/>
      <c r="B575" s="283"/>
      <c r="C575" s="283"/>
      <c r="D575" s="283"/>
      <c r="E575" s="283"/>
      <c r="F575" s="283"/>
      <c r="G575" s="283"/>
      <c r="H575" s="283"/>
      <c r="I575" s="283"/>
      <c r="J575" s="283"/>
      <c r="K575" s="283"/>
      <c r="L575" s="283"/>
      <c r="M575" s="283"/>
      <c r="N575" s="283"/>
      <c r="O575" s="375" t="str">
        <f t="array" ref="O575">XLOOKUP(M575,'Recruiting Form Responses'!C:C,'Recruiting Form Responses'!A:A,"",0,1)</f>
        <v/>
      </c>
      <c r="P575" s="378"/>
      <c r="Q575" s="283"/>
      <c r="R575" s="283"/>
      <c r="S575" s="283"/>
      <c r="T575" s="283"/>
      <c r="U575" s="283"/>
      <c r="V575" s="283"/>
      <c r="W575" s="283"/>
      <c r="X575" s="283"/>
      <c r="Y575" s="283"/>
    </row>
    <row r="576">
      <c r="A576" s="283"/>
      <c r="B576" s="283"/>
      <c r="C576" s="283"/>
      <c r="D576" s="283"/>
      <c r="E576" s="283"/>
      <c r="F576" s="283"/>
      <c r="G576" s="283"/>
      <c r="H576" s="283"/>
      <c r="I576" s="283"/>
      <c r="J576" s="283"/>
      <c r="K576" s="283"/>
      <c r="L576" s="283"/>
      <c r="M576" s="283"/>
      <c r="N576" s="283"/>
      <c r="O576" s="375" t="str">
        <f t="array" ref="O576">XLOOKUP(M576,'Recruiting Form Responses'!C:C,'Recruiting Form Responses'!A:A,"",0,1)</f>
        <v/>
      </c>
      <c r="P576" s="378"/>
      <c r="Q576" s="283"/>
      <c r="R576" s="283"/>
      <c r="S576" s="283"/>
      <c r="T576" s="283"/>
      <c r="U576" s="283"/>
      <c r="V576" s="283"/>
      <c r="W576" s="283"/>
      <c r="X576" s="283"/>
      <c r="Y576" s="283"/>
    </row>
    <row r="577">
      <c r="A577" s="283"/>
      <c r="B577" s="283"/>
      <c r="C577" s="283"/>
      <c r="D577" s="283"/>
      <c r="E577" s="283"/>
      <c r="F577" s="283"/>
      <c r="G577" s="283"/>
      <c r="H577" s="283"/>
      <c r="I577" s="283"/>
      <c r="J577" s="283"/>
      <c r="K577" s="283"/>
      <c r="L577" s="283"/>
      <c r="M577" s="283"/>
      <c r="N577" s="283"/>
      <c r="O577" s="375" t="str">
        <f t="array" ref="O577">XLOOKUP(M577,'Recruiting Form Responses'!C:C,'Recruiting Form Responses'!A:A,"",0,1)</f>
        <v/>
      </c>
      <c r="P577" s="378"/>
      <c r="Q577" s="283"/>
      <c r="R577" s="283"/>
      <c r="S577" s="283"/>
      <c r="T577" s="283"/>
      <c r="U577" s="283"/>
      <c r="V577" s="283"/>
      <c r="W577" s="283"/>
      <c r="X577" s="283"/>
      <c r="Y577" s="283"/>
    </row>
    <row r="578">
      <c r="A578" s="283"/>
      <c r="B578" s="283"/>
      <c r="C578" s="283"/>
      <c r="D578" s="283"/>
      <c r="E578" s="283"/>
      <c r="F578" s="283"/>
      <c r="G578" s="283"/>
      <c r="H578" s="283"/>
      <c r="I578" s="283"/>
      <c r="J578" s="283"/>
      <c r="K578" s="283"/>
      <c r="L578" s="283"/>
      <c r="M578" s="283"/>
      <c r="N578" s="283"/>
      <c r="O578" s="375" t="str">
        <f t="array" ref="O578">XLOOKUP(M578,'Recruiting Form Responses'!C:C,'Recruiting Form Responses'!A:A,"",0,1)</f>
        <v/>
      </c>
      <c r="P578" s="378"/>
      <c r="Q578" s="283"/>
      <c r="R578" s="283"/>
      <c r="S578" s="283"/>
      <c r="T578" s="283"/>
      <c r="U578" s="283"/>
      <c r="V578" s="283"/>
      <c r="W578" s="283"/>
      <c r="X578" s="283"/>
      <c r="Y578" s="283"/>
    </row>
    <row r="579">
      <c r="A579" s="283"/>
      <c r="B579" s="283"/>
      <c r="C579" s="283"/>
      <c r="D579" s="283"/>
      <c r="E579" s="283"/>
      <c r="F579" s="283"/>
      <c r="G579" s="283"/>
      <c r="H579" s="283"/>
      <c r="I579" s="283"/>
      <c r="J579" s="283"/>
      <c r="K579" s="283"/>
      <c r="L579" s="283"/>
      <c r="M579" s="283"/>
      <c r="N579" s="283"/>
      <c r="O579" s="375" t="str">
        <f t="array" ref="O579">XLOOKUP(M579,'Recruiting Form Responses'!C:C,'Recruiting Form Responses'!A:A,"",0,1)</f>
        <v/>
      </c>
      <c r="P579" s="378"/>
      <c r="Q579" s="283"/>
      <c r="R579" s="283"/>
      <c r="S579" s="283"/>
      <c r="T579" s="283"/>
      <c r="U579" s="283"/>
      <c r="V579" s="283"/>
      <c r="W579" s="283"/>
      <c r="X579" s="283"/>
      <c r="Y579" s="283"/>
    </row>
    <row r="580">
      <c r="A580" s="283"/>
      <c r="B580" s="283"/>
      <c r="C580" s="283"/>
      <c r="D580" s="283"/>
      <c r="E580" s="283"/>
      <c r="F580" s="283"/>
      <c r="G580" s="283"/>
      <c r="H580" s="283"/>
      <c r="I580" s="283"/>
      <c r="J580" s="283"/>
      <c r="K580" s="283"/>
      <c r="L580" s="283"/>
      <c r="M580" s="283"/>
      <c r="N580" s="283"/>
      <c r="O580" s="375" t="str">
        <f t="array" ref="O580">XLOOKUP(M580,'Recruiting Form Responses'!C:C,'Recruiting Form Responses'!A:A,"",0,1)</f>
        <v/>
      </c>
      <c r="P580" s="378"/>
      <c r="Q580" s="283"/>
      <c r="R580" s="283"/>
      <c r="S580" s="283"/>
      <c r="T580" s="283"/>
      <c r="U580" s="283"/>
      <c r="V580" s="283"/>
      <c r="W580" s="283"/>
      <c r="X580" s="283"/>
      <c r="Y580" s="283"/>
    </row>
    <row r="581">
      <c r="A581" s="283"/>
      <c r="B581" s="283"/>
      <c r="C581" s="283"/>
      <c r="D581" s="283"/>
      <c r="E581" s="283"/>
      <c r="F581" s="283"/>
      <c r="G581" s="283"/>
      <c r="H581" s="283"/>
      <c r="I581" s="283"/>
      <c r="J581" s="283"/>
      <c r="K581" s="283"/>
      <c r="L581" s="283"/>
      <c r="M581" s="283"/>
      <c r="N581" s="283"/>
      <c r="O581" s="375" t="str">
        <f t="array" ref="O581">XLOOKUP(M581,'Recruiting Form Responses'!C:C,'Recruiting Form Responses'!A:A,"",0,1)</f>
        <v/>
      </c>
      <c r="P581" s="378"/>
      <c r="Q581" s="283"/>
      <c r="R581" s="283"/>
      <c r="S581" s="283"/>
      <c r="T581" s="283"/>
      <c r="U581" s="283"/>
      <c r="V581" s="283"/>
      <c r="W581" s="283"/>
      <c r="X581" s="283"/>
      <c r="Y581" s="283"/>
    </row>
    <row r="582">
      <c r="A582" s="283"/>
      <c r="B582" s="283"/>
      <c r="C582" s="283"/>
      <c r="D582" s="283"/>
      <c r="E582" s="283"/>
      <c r="F582" s="283"/>
      <c r="G582" s="283"/>
      <c r="H582" s="283"/>
      <c r="I582" s="283"/>
      <c r="J582" s="283"/>
      <c r="K582" s="283"/>
      <c r="L582" s="283"/>
      <c r="M582" s="283"/>
      <c r="N582" s="283"/>
      <c r="O582" s="375" t="str">
        <f t="array" ref="O582">XLOOKUP(M582,'Recruiting Form Responses'!C:C,'Recruiting Form Responses'!A:A,"",0,1)</f>
        <v/>
      </c>
      <c r="P582" s="378"/>
      <c r="Q582" s="283"/>
      <c r="R582" s="283"/>
      <c r="S582" s="283"/>
      <c r="T582" s="283"/>
      <c r="U582" s="283"/>
      <c r="V582" s="283"/>
      <c r="W582" s="283"/>
      <c r="X582" s="283"/>
      <c r="Y582" s="283"/>
    </row>
    <row r="583">
      <c r="A583" s="283"/>
      <c r="B583" s="283"/>
      <c r="C583" s="283"/>
      <c r="D583" s="283"/>
      <c r="E583" s="283"/>
      <c r="F583" s="283"/>
      <c r="G583" s="283"/>
      <c r="H583" s="283"/>
      <c r="I583" s="283"/>
      <c r="J583" s="283"/>
      <c r="K583" s="283"/>
      <c r="L583" s="283"/>
      <c r="M583" s="283"/>
      <c r="N583" s="283"/>
      <c r="O583" s="375" t="str">
        <f t="array" ref="O583">XLOOKUP(M583,'Recruiting Form Responses'!C:C,'Recruiting Form Responses'!A:A,"",0,1)</f>
        <v/>
      </c>
      <c r="P583" s="378"/>
      <c r="Q583" s="283"/>
      <c r="R583" s="283"/>
      <c r="S583" s="283"/>
      <c r="T583" s="283"/>
      <c r="U583" s="283"/>
      <c r="V583" s="283"/>
      <c r="W583" s="283"/>
      <c r="X583" s="283"/>
      <c r="Y583" s="283"/>
    </row>
    <row r="584">
      <c r="A584" s="283"/>
      <c r="B584" s="283"/>
      <c r="C584" s="283"/>
      <c r="D584" s="283"/>
      <c r="E584" s="283"/>
      <c r="F584" s="283"/>
      <c r="G584" s="283"/>
      <c r="H584" s="283"/>
      <c r="I584" s="283"/>
      <c r="J584" s="283"/>
      <c r="K584" s="283"/>
      <c r="L584" s="283"/>
      <c r="M584" s="283"/>
      <c r="N584" s="283"/>
      <c r="O584" s="375" t="str">
        <f t="array" ref="O584">XLOOKUP(M584,'Recruiting Form Responses'!C:C,'Recruiting Form Responses'!A:A,"",0,1)</f>
        <v/>
      </c>
      <c r="P584" s="378"/>
      <c r="Q584" s="283"/>
      <c r="R584" s="283"/>
      <c r="S584" s="283"/>
      <c r="T584" s="283"/>
      <c r="U584" s="283"/>
      <c r="V584" s="283"/>
      <c r="W584" s="283"/>
      <c r="X584" s="283"/>
      <c r="Y584" s="283"/>
    </row>
    <row r="585">
      <c r="A585" s="283"/>
      <c r="B585" s="283"/>
      <c r="C585" s="283"/>
      <c r="D585" s="283"/>
      <c r="E585" s="283"/>
      <c r="F585" s="283"/>
      <c r="G585" s="283"/>
      <c r="H585" s="283"/>
      <c r="I585" s="283"/>
      <c r="J585" s="283"/>
      <c r="K585" s="283"/>
      <c r="L585" s="283"/>
      <c r="M585" s="283"/>
      <c r="N585" s="283"/>
      <c r="O585" s="375" t="str">
        <f t="array" ref="O585">XLOOKUP(M585,'Recruiting Form Responses'!C:C,'Recruiting Form Responses'!A:A,"",0,1)</f>
        <v/>
      </c>
      <c r="P585" s="378"/>
      <c r="Q585" s="283"/>
      <c r="R585" s="283"/>
      <c r="S585" s="283"/>
      <c r="T585" s="283"/>
      <c r="U585" s="283"/>
      <c r="V585" s="283"/>
      <c r="W585" s="283"/>
      <c r="X585" s="283"/>
      <c r="Y585" s="283"/>
    </row>
    <row r="586">
      <c r="A586" s="283"/>
      <c r="B586" s="283"/>
      <c r="C586" s="283"/>
      <c r="D586" s="283"/>
      <c r="E586" s="283"/>
      <c r="F586" s="283"/>
      <c r="G586" s="283"/>
      <c r="H586" s="283"/>
      <c r="I586" s="283"/>
      <c r="J586" s="283"/>
      <c r="K586" s="283"/>
      <c r="L586" s="283"/>
      <c r="M586" s="283"/>
      <c r="N586" s="283"/>
      <c r="O586" s="375" t="str">
        <f t="array" ref="O586">XLOOKUP(M586,'Recruiting Form Responses'!C:C,'Recruiting Form Responses'!A:A,"",0,1)</f>
        <v/>
      </c>
      <c r="P586" s="378"/>
      <c r="Q586" s="283"/>
      <c r="R586" s="283"/>
      <c r="S586" s="283"/>
      <c r="T586" s="283"/>
      <c r="U586" s="283"/>
      <c r="V586" s="283"/>
      <c r="W586" s="283"/>
      <c r="X586" s="283"/>
      <c r="Y586" s="283"/>
    </row>
    <row r="587">
      <c r="A587" s="283"/>
      <c r="B587" s="283"/>
      <c r="C587" s="283"/>
      <c r="D587" s="283"/>
      <c r="E587" s="283"/>
      <c r="F587" s="283"/>
      <c r="G587" s="283"/>
      <c r="H587" s="283"/>
      <c r="I587" s="283"/>
      <c r="J587" s="283"/>
      <c r="K587" s="283"/>
      <c r="L587" s="283"/>
      <c r="M587" s="283"/>
      <c r="N587" s="283"/>
      <c r="O587" s="375" t="str">
        <f t="array" ref="O587">XLOOKUP(M587,'Recruiting Form Responses'!C:C,'Recruiting Form Responses'!A:A,"",0,1)</f>
        <v/>
      </c>
      <c r="P587" s="378"/>
      <c r="Q587" s="283"/>
      <c r="R587" s="283"/>
      <c r="S587" s="283"/>
      <c r="T587" s="283"/>
      <c r="U587" s="283"/>
      <c r="V587" s="283"/>
      <c r="W587" s="283"/>
      <c r="X587" s="283"/>
      <c r="Y587" s="283"/>
    </row>
    <row r="588">
      <c r="A588" s="283"/>
      <c r="B588" s="283"/>
      <c r="C588" s="283"/>
      <c r="D588" s="283"/>
      <c r="E588" s="283"/>
      <c r="F588" s="283"/>
      <c r="G588" s="283"/>
      <c r="H588" s="283"/>
      <c r="I588" s="283"/>
      <c r="J588" s="283"/>
      <c r="K588" s="283"/>
      <c r="L588" s="283"/>
      <c r="M588" s="283"/>
      <c r="N588" s="283"/>
      <c r="O588" s="375" t="str">
        <f t="array" ref="O588">XLOOKUP(M588,'Recruiting Form Responses'!C:C,'Recruiting Form Responses'!A:A,"",0,1)</f>
        <v/>
      </c>
      <c r="P588" s="378"/>
      <c r="Q588" s="283"/>
      <c r="R588" s="283"/>
      <c r="S588" s="283"/>
      <c r="T588" s="283"/>
      <c r="U588" s="283"/>
      <c r="V588" s="283"/>
      <c r="W588" s="283"/>
      <c r="X588" s="283"/>
      <c r="Y588" s="283"/>
    </row>
    <row r="589">
      <c r="A589" s="283"/>
      <c r="B589" s="283"/>
      <c r="C589" s="283"/>
      <c r="D589" s="283"/>
      <c r="E589" s="283"/>
      <c r="F589" s="283"/>
      <c r="G589" s="283"/>
      <c r="H589" s="283"/>
      <c r="I589" s="283"/>
      <c r="J589" s="283"/>
      <c r="K589" s="283"/>
      <c r="L589" s="283"/>
      <c r="M589" s="283"/>
      <c r="N589" s="283"/>
      <c r="O589" s="375" t="str">
        <f t="array" ref="O589">XLOOKUP(M589,'Recruiting Form Responses'!C:C,'Recruiting Form Responses'!A:A,"",0,1)</f>
        <v/>
      </c>
      <c r="P589" s="378"/>
      <c r="Q589" s="283"/>
      <c r="R589" s="283"/>
      <c r="S589" s="283"/>
      <c r="T589" s="283"/>
      <c r="U589" s="283"/>
      <c r="V589" s="283"/>
      <c r="W589" s="283"/>
      <c r="X589" s="283"/>
      <c r="Y589" s="283"/>
    </row>
    <row r="590">
      <c r="A590" s="283"/>
      <c r="B590" s="283"/>
      <c r="C590" s="283"/>
      <c r="D590" s="283"/>
      <c r="E590" s="283"/>
      <c r="F590" s="283"/>
      <c r="G590" s="283"/>
      <c r="H590" s="283"/>
      <c r="I590" s="283"/>
      <c r="J590" s="283"/>
      <c r="K590" s="283"/>
      <c r="L590" s="283"/>
      <c r="M590" s="283"/>
      <c r="N590" s="283"/>
      <c r="O590" s="375" t="str">
        <f t="array" ref="O590">XLOOKUP(M590,'Recruiting Form Responses'!C:C,'Recruiting Form Responses'!A:A,"",0,1)</f>
        <v/>
      </c>
      <c r="P590" s="378"/>
      <c r="Q590" s="283"/>
      <c r="R590" s="283"/>
      <c r="S590" s="283"/>
      <c r="T590" s="283"/>
      <c r="U590" s="283"/>
      <c r="V590" s="283"/>
      <c r="W590" s="283"/>
      <c r="X590" s="283"/>
      <c r="Y590" s="283"/>
    </row>
    <row r="591">
      <c r="A591" s="283"/>
      <c r="B591" s="283"/>
      <c r="C591" s="283"/>
      <c r="D591" s="283"/>
      <c r="E591" s="283"/>
      <c r="F591" s="283"/>
      <c r="G591" s="283"/>
      <c r="H591" s="283"/>
      <c r="I591" s="283"/>
      <c r="J591" s="283"/>
      <c r="K591" s="283"/>
      <c r="L591" s="283"/>
      <c r="M591" s="283"/>
      <c r="N591" s="283"/>
      <c r="O591" s="375" t="str">
        <f t="array" ref="O591">XLOOKUP(M591,'Recruiting Form Responses'!C:C,'Recruiting Form Responses'!A:A,"",0,1)</f>
        <v/>
      </c>
      <c r="P591" s="378"/>
      <c r="Q591" s="283"/>
      <c r="R591" s="283"/>
      <c r="S591" s="283"/>
      <c r="T591" s="283"/>
      <c r="U591" s="283"/>
      <c r="V591" s="283"/>
      <c r="W591" s="283"/>
      <c r="X591" s="283"/>
      <c r="Y591" s="283"/>
    </row>
    <row r="592">
      <c r="A592" s="283"/>
      <c r="B592" s="283"/>
      <c r="C592" s="283"/>
      <c r="D592" s="283"/>
      <c r="E592" s="283"/>
      <c r="F592" s="283"/>
      <c r="G592" s="283"/>
      <c r="H592" s="283"/>
      <c r="I592" s="283"/>
      <c r="J592" s="283"/>
      <c r="K592" s="283"/>
      <c r="L592" s="283"/>
      <c r="M592" s="283"/>
      <c r="N592" s="283"/>
      <c r="O592" s="375" t="str">
        <f t="array" ref="O592">XLOOKUP(M592,'Recruiting Form Responses'!C:C,'Recruiting Form Responses'!A:A,"",0,1)</f>
        <v/>
      </c>
      <c r="P592" s="378"/>
      <c r="Q592" s="283"/>
      <c r="R592" s="283"/>
      <c r="S592" s="283"/>
      <c r="T592" s="283"/>
      <c r="U592" s="283"/>
      <c r="V592" s="283"/>
      <c r="W592" s="283"/>
      <c r="X592" s="283"/>
      <c r="Y592" s="283"/>
    </row>
    <row r="593">
      <c r="A593" s="283"/>
      <c r="B593" s="283"/>
      <c r="C593" s="283"/>
      <c r="D593" s="283"/>
      <c r="E593" s="283"/>
      <c r="F593" s="283"/>
      <c r="G593" s="283"/>
      <c r="H593" s="283"/>
      <c r="I593" s="283"/>
      <c r="J593" s="283"/>
      <c r="K593" s="283"/>
      <c r="L593" s="283"/>
      <c r="M593" s="283"/>
      <c r="N593" s="283"/>
      <c r="O593" s="375" t="str">
        <f t="array" ref="O593">XLOOKUP(M593,'Recruiting Form Responses'!C:C,'Recruiting Form Responses'!A:A,"",0,1)</f>
        <v/>
      </c>
      <c r="P593" s="378"/>
      <c r="Q593" s="283"/>
      <c r="R593" s="283"/>
      <c r="S593" s="283"/>
      <c r="T593" s="283"/>
      <c r="U593" s="283"/>
      <c r="V593" s="283"/>
      <c r="W593" s="283"/>
      <c r="X593" s="283"/>
      <c r="Y593" s="283"/>
    </row>
    <row r="594">
      <c r="A594" s="283"/>
      <c r="B594" s="283"/>
      <c r="C594" s="283"/>
      <c r="D594" s="283"/>
      <c r="E594" s="283"/>
      <c r="F594" s="283"/>
      <c r="G594" s="283"/>
      <c r="H594" s="283"/>
      <c r="I594" s="283"/>
      <c r="J594" s="283"/>
      <c r="K594" s="283"/>
      <c r="L594" s="283"/>
      <c r="M594" s="283"/>
      <c r="N594" s="283"/>
      <c r="O594" s="375" t="str">
        <f t="array" ref="O594">XLOOKUP(M594,'Recruiting Form Responses'!C:C,'Recruiting Form Responses'!A:A,"",0,1)</f>
        <v/>
      </c>
      <c r="P594" s="378"/>
      <c r="Q594" s="283"/>
      <c r="R594" s="283"/>
      <c r="S594" s="283"/>
      <c r="T594" s="283"/>
      <c r="U594" s="283"/>
      <c r="V594" s="283"/>
      <c r="W594" s="283"/>
      <c r="X594" s="283"/>
      <c r="Y594" s="283"/>
    </row>
    <row r="595">
      <c r="A595" s="283"/>
      <c r="B595" s="283"/>
      <c r="C595" s="283"/>
      <c r="D595" s="283"/>
      <c r="E595" s="283"/>
      <c r="F595" s="283"/>
      <c r="G595" s="283"/>
      <c r="H595" s="283"/>
      <c r="I595" s="283"/>
      <c r="J595" s="283"/>
      <c r="K595" s="283"/>
      <c r="L595" s="283"/>
      <c r="M595" s="283"/>
      <c r="N595" s="283"/>
      <c r="O595" s="375" t="str">
        <f t="array" ref="O595">XLOOKUP(M595,'Recruiting Form Responses'!C:C,'Recruiting Form Responses'!A:A,"",0,1)</f>
        <v/>
      </c>
      <c r="P595" s="378"/>
      <c r="Q595" s="283"/>
      <c r="R595" s="283"/>
      <c r="S595" s="283"/>
      <c r="T595" s="283"/>
      <c r="U595" s="283"/>
      <c r="V595" s="283"/>
      <c r="W595" s="283"/>
      <c r="X595" s="283"/>
      <c r="Y595" s="283"/>
    </row>
    <row r="596">
      <c r="A596" s="283"/>
      <c r="B596" s="283"/>
      <c r="C596" s="283"/>
      <c r="D596" s="283"/>
      <c r="E596" s="283"/>
      <c r="F596" s="283"/>
      <c r="G596" s="283"/>
      <c r="H596" s="283"/>
      <c r="I596" s="283"/>
      <c r="J596" s="283"/>
      <c r="K596" s="283"/>
      <c r="L596" s="283"/>
      <c r="M596" s="283"/>
      <c r="N596" s="283"/>
      <c r="O596" s="375" t="str">
        <f t="array" ref="O596">XLOOKUP(M596,'Recruiting Form Responses'!C:C,'Recruiting Form Responses'!A:A,"",0,1)</f>
        <v/>
      </c>
      <c r="P596" s="378"/>
      <c r="Q596" s="283"/>
      <c r="R596" s="283"/>
      <c r="S596" s="283"/>
      <c r="T596" s="283"/>
      <c r="U596" s="283"/>
      <c r="V596" s="283"/>
      <c r="W596" s="283"/>
      <c r="X596" s="283"/>
      <c r="Y596" s="283"/>
    </row>
    <row r="597">
      <c r="A597" s="283"/>
      <c r="B597" s="283"/>
      <c r="C597" s="283"/>
      <c r="D597" s="283"/>
      <c r="E597" s="283"/>
      <c r="F597" s="283"/>
      <c r="G597" s="283"/>
      <c r="H597" s="283"/>
      <c r="I597" s="283"/>
      <c r="J597" s="283"/>
      <c r="K597" s="283"/>
      <c r="L597" s="283"/>
      <c r="M597" s="283"/>
      <c r="N597" s="283"/>
      <c r="O597" s="375" t="str">
        <f t="array" ref="O597">XLOOKUP(M597,'Recruiting Form Responses'!C:C,'Recruiting Form Responses'!A:A,"",0,1)</f>
        <v/>
      </c>
      <c r="P597" s="378"/>
      <c r="Q597" s="283"/>
      <c r="R597" s="283"/>
      <c r="S597" s="283"/>
      <c r="T597" s="283"/>
      <c r="U597" s="283"/>
      <c r="V597" s="283"/>
      <c r="W597" s="283"/>
      <c r="X597" s="283"/>
      <c r="Y597" s="283"/>
    </row>
    <row r="598">
      <c r="A598" s="283"/>
      <c r="B598" s="283"/>
      <c r="C598" s="283"/>
      <c r="D598" s="283"/>
      <c r="E598" s="283"/>
      <c r="F598" s="283"/>
      <c r="G598" s="283"/>
      <c r="H598" s="283"/>
      <c r="I598" s="283"/>
      <c r="J598" s="283"/>
      <c r="K598" s="283"/>
      <c r="L598" s="283"/>
      <c r="M598" s="283"/>
      <c r="N598" s="283"/>
      <c r="O598" s="375" t="str">
        <f t="array" ref="O598">XLOOKUP(M598,'Recruiting Form Responses'!C:C,'Recruiting Form Responses'!A:A,"",0,1)</f>
        <v/>
      </c>
      <c r="P598" s="378"/>
      <c r="Q598" s="283"/>
      <c r="R598" s="283"/>
      <c r="S598" s="283"/>
      <c r="T598" s="283"/>
      <c r="U598" s="283"/>
      <c r="V598" s="283"/>
      <c r="W598" s="283"/>
      <c r="X598" s="283"/>
      <c r="Y598" s="283"/>
    </row>
    <row r="599">
      <c r="A599" s="283"/>
      <c r="B599" s="283"/>
      <c r="C599" s="283"/>
      <c r="D599" s="283"/>
      <c r="E599" s="283"/>
      <c r="F599" s="283"/>
      <c r="G599" s="283"/>
      <c r="H599" s="283"/>
      <c r="I599" s="283"/>
      <c r="J599" s="283"/>
      <c r="K599" s="283"/>
      <c r="L599" s="283"/>
      <c r="M599" s="283"/>
      <c r="N599" s="283"/>
      <c r="O599" s="375" t="str">
        <f t="array" ref="O599">XLOOKUP(M599,'Recruiting Form Responses'!C:C,'Recruiting Form Responses'!A:A,"",0,1)</f>
        <v/>
      </c>
      <c r="P599" s="378"/>
      <c r="Q599" s="283"/>
      <c r="R599" s="283"/>
      <c r="S599" s="283"/>
      <c r="T599" s="283"/>
      <c r="U599" s="283"/>
      <c r="V599" s="283"/>
      <c r="W599" s="283"/>
      <c r="X599" s="283"/>
      <c r="Y599" s="283"/>
    </row>
    <row r="600">
      <c r="A600" s="283"/>
      <c r="B600" s="283"/>
      <c r="C600" s="283"/>
      <c r="D600" s="283"/>
      <c r="E600" s="283"/>
      <c r="F600" s="283"/>
      <c r="G600" s="283"/>
      <c r="H600" s="283"/>
      <c r="I600" s="283"/>
      <c r="J600" s="283"/>
      <c r="K600" s="283"/>
      <c r="L600" s="283"/>
      <c r="M600" s="283"/>
      <c r="N600" s="283"/>
      <c r="O600" s="375" t="str">
        <f t="array" ref="O600">XLOOKUP(M600,'Recruiting Form Responses'!C:C,'Recruiting Form Responses'!A:A,"",0,1)</f>
        <v/>
      </c>
      <c r="P600" s="378"/>
      <c r="Q600" s="283"/>
      <c r="R600" s="283"/>
      <c r="S600" s="283"/>
      <c r="T600" s="283"/>
      <c r="U600" s="283"/>
      <c r="V600" s="283"/>
      <c r="W600" s="283"/>
      <c r="X600" s="283"/>
      <c r="Y600" s="283"/>
    </row>
    <row r="601">
      <c r="A601" s="283"/>
      <c r="B601" s="283"/>
      <c r="C601" s="283"/>
      <c r="D601" s="283"/>
      <c r="E601" s="283"/>
      <c r="F601" s="283"/>
      <c r="G601" s="283"/>
      <c r="H601" s="283"/>
      <c r="I601" s="283"/>
      <c r="J601" s="283"/>
      <c r="K601" s="283"/>
      <c r="L601" s="283"/>
      <c r="M601" s="283"/>
      <c r="N601" s="283"/>
      <c r="O601" s="375" t="str">
        <f t="array" ref="O601">XLOOKUP(M601,'Recruiting Form Responses'!C:C,'Recruiting Form Responses'!A:A,"",0,1)</f>
        <v/>
      </c>
      <c r="P601" s="378"/>
      <c r="Q601" s="283"/>
      <c r="R601" s="283"/>
      <c r="S601" s="283"/>
      <c r="T601" s="283"/>
      <c r="U601" s="283"/>
      <c r="V601" s="283"/>
      <c r="W601" s="283"/>
      <c r="X601" s="283"/>
      <c r="Y601" s="283"/>
    </row>
    <row r="602">
      <c r="A602" s="283"/>
      <c r="B602" s="283"/>
      <c r="C602" s="283"/>
      <c r="D602" s="283"/>
      <c r="E602" s="283"/>
      <c r="F602" s="283"/>
      <c r="G602" s="283"/>
      <c r="H602" s="283"/>
      <c r="I602" s="283"/>
      <c r="J602" s="283"/>
      <c r="K602" s="283"/>
      <c r="L602" s="283"/>
      <c r="M602" s="283"/>
      <c r="N602" s="283"/>
      <c r="O602" s="375" t="str">
        <f t="array" ref="O602">XLOOKUP(M602,'Recruiting Form Responses'!C:C,'Recruiting Form Responses'!A:A,"",0,1)</f>
        <v/>
      </c>
      <c r="P602" s="378"/>
      <c r="Q602" s="283"/>
      <c r="R602" s="283"/>
      <c r="S602" s="283"/>
      <c r="T602" s="283"/>
      <c r="U602" s="283"/>
      <c r="V602" s="283"/>
      <c r="W602" s="283"/>
      <c r="X602" s="283"/>
      <c r="Y602" s="283"/>
    </row>
    <row r="603">
      <c r="A603" s="283"/>
      <c r="B603" s="283"/>
      <c r="C603" s="283"/>
      <c r="D603" s="283"/>
      <c r="E603" s="283"/>
      <c r="F603" s="283"/>
      <c r="G603" s="283"/>
      <c r="H603" s="283"/>
      <c r="I603" s="283"/>
      <c r="J603" s="283"/>
      <c r="K603" s="283"/>
      <c r="L603" s="283"/>
      <c r="M603" s="283"/>
      <c r="N603" s="283"/>
      <c r="O603" s="375" t="str">
        <f t="array" ref="O603">XLOOKUP(M603,'Recruiting Form Responses'!C:C,'Recruiting Form Responses'!A:A,"",0,1)</f>
        <v/>
      </c>
      <c r="P603" s="378"/>
      <c r="Q603" s="283"/>
      <c r="R603" s="283"/>
      <c r="S603" s="283"/>
      <c r="T603" s="283"/>
      <c r="U603" s="283"/>
      <c r="V603" s="283"/>
      <c r="W603" s="283"/>
      <c r="X603" s="283"/>
      <c r="Y603" s="283"/>
    </row>
    <row r="604">
      <c r="A604" s="283"/>
      <c r="B604" s="283"/>
      <c r="C604" s="283"/>
      <c r="D604" s="283"/>
      <c r="E604" s="283"/>
      <c r="F604" s="283"/>
      <c r="G604" s="283"/>
      <c r="H604" s="283"/>
      <c r="I604" s="283"/>
      <c r="J604" s="283"/>
      <c r="K604" s="283"/>
      <c r="L604" s="283"/>
      <c r="M604" s="283"/>
      <c r="N604" s="283"/>
      <c r="O604" s="375" t="str">
        <f t="array" ref="O604">XLOOKUP(M604,'Recruiting Form Responses'!C:C,'Recruiting Form Responses'!A:A,"",0,1)</f>
        <v/>
      </c>
      <c r="P604" s="378"/>
      <c r="Q604" s="283"/>
      <c r="R604" s="283"/>
      <c r="S604" s="283"/>
      <c r="T604" s="283"/>
      <c r="U604" s="283"/>
      <c r="V604" s="283"/>
      <c r="W604" s="283"/>
      <c r="X604" s="283"/>
      <c r="Y604" s="283"/>
    </row>
    <row r="605">
      <c r="A605" s="283"/>
      <c r="B605" s="283"/>
      <c r="C605" s="283"/>
      <c r="D605" s="283"/>
      <c r="E605" s="283"/>
      <c r="F605" s="283"/>
      <c r="G605" s="283"/>
      <c r="H605" s="283"/>
      <c r="I605" s="283"/>
      <c r="J605" s="283"/>
      <c r="K605" s="283"/>
      <c r="L605" s="283"/>
      <c r="M605" s="283"/>
      <c r="N605" s="283"/>
      <c r="O605" s="375" t="str">
        <f t="array" ref="O605">XLOOKUP(M605,'Recruiting Form Responses'!C:C,'Recruiting Form Responses'!A:A,"",0,1)</f>
        <v/>
      </c>
      <c r="P605" s="378"/>
      <c r="Q605" s="283"/>
      <c r="R605" s="283"/>
      <c r="S605" s="283"/>
      <c r="T605" s="283"/>
      <c r="U605" s="283"/>
      <c r="V605" s="283"/>
      <c r="W605" s="283"/>
      <c r="X605" s="283"/>
      <c r="Y605" s="283"/>
    </row>
    <row r="606">
      <c r="A606" s="283"/>
      <c r="B606" s="283"/>
      <c r="C606" s="283"/>
      <c r="D606" s="283"/>
      <c r="E606" s="283"/>
      <c r="F606" s="283"/>
      <c r="G606" s="283"/>
      <c r="H606" s="283"/>
      <c r="I606" s="283"/>
      <c r="J606" s="283"/>
      <c r="K606" s="283"/>
      <c r="L606" s="283"/>
      <c r="M606" s="283"/>
      <c r="N606" s="283"/>
      <c r="O606" s="375" t="str">
        <f t="array" ref="O606">XLOOKUP(M606,'Recruiting Form Responses'!C:C,'Recruiting Form Responses'!A:A,"",0,1)</f>
        <v/>
      </c>
      <c r="P606" s="378"/>
      <c r="Q606" s="283"/>
      <c r="R606" s="283"/>
      <c r="S606" s="283"/>
      <c r="T606" s="283"/>
      <c r="U606" s="283"/>
      <c r="V606" s="283"/>
      <c r="W606" s="283"/>
      <c r="X606" s="283"/>
      <c r="Y606" s="283"/>
    </row>
    <row r="607">
      <c r="A607" s="283"/>
      <c r="B607" s="283"/>
      <c r="C607" s="283"/>
      <c r="D607" s="283"/>
      <c r="E607" s="283"/>
      <c r="F607" s="283"/>
      <c r="G607" s="283"/>
      <c r="H607" s="283"/>
      <c r="I607" s="283"/>
      <c r="J607" s="283"/>
      <c r="K607" s="283"/>
      <c r="L607" s="283"/>
      <c r="M607" s="283"/>
      <c r="N607" s="283"/>
      <c r="O607" s="375" t="str">
        <f t="array" ref="O607">XLOOKUP(M607,'Recruiting Form Responses'!C:C,'Recruiting Form Responses'!A:A,"",0,1)</f>
        <v/>
      </c>
      <c r="P607" s="378"/>
      <c r="Q607" s="283"/>
      <c r="R607" s="283"/>
      <c r="S607" s="283"/>
      <c r="T607" s="283"/>
      <c r="U607" s="283"/>
      <c r="V607" s="283"/>
      <c r="W607" s="283"/>
      <c r="X607" s="283"/>
      <c r="Y607" s="283"/>
    </row>
    <row r="608">
      <c r="A608" s="283"/>
      <c r="B608" s="283"/>
      <c r="C608" s="283"/>
      <c r="D608" s="283"/>
      <c r="E608" s="283"/>
      <c r="F608" s="283"/>
      <c r="G608" s="283"/>
      <c r="H608" s="283"/>
      <c r="I608" s="283"/>
      <c r="J608" s="283"/>
      <c r="K608" s="283"/>
      <c r="L608" s="283"/>
      <c r="M608" s="283"/>
      <c r="N608" s="283"/>
      <c r="O608" s="375" t="str">
        <f t="array" ref="O608">XLOOKUP(M608,'Recruiting Form Responses'!C:C,'Recruiting Form Responses'!A:A,"",0,1)</f>
        <v/>
      </c>
      <c r="P608" s="378"/>
      <c r="Q608" s="283"/>
      <c r="R608" s="283"/>
      <c r="S608" s="283"/>
      <c r="T608" s="283"/>
      <c r="U608" s="283"/>
      <c r="V608" s="283"/>
      <c r="W608" s="283"/>
      <c r="X608" s="283"/>
      <c r="Y608" s="283"/>
    </row>
    <row r="609">
      <c r="A609" s="283"/>
      <c r="B609" s="283"/>
      <c r="C609" s="283"/>
      <c r="D609" s="283"/>
      <c r="E609" s="283"/>
      <c r="F609" s="283"/>
      <c r="G609" s="283"/>
      <c r="H609" s="283"/>
      <c r="I609" s="283"/>
      <c r="J609" s="283"/>
      <c r="K609" s="283"/>
      <c r="L609" s="283"/>
      <c r="M609" s="283"/>
      <c r="N609" s="283"/>
      <c r="O609" s="375" t="str">
        <f t="array" ref="O609">XLOOKUP(M609,'Recruiting Form Responses'!C:C,'Recruiting Form Responses'!A:A,"",0,1)</f>
        <v/>
      </c>
      <c r="P609" s="378"/>
      <c r="Q609" s="283"/>
      <c r="R609" s="283"/>
      <c r="S609" s="283"/>
      <c r="T609" s="283"/>
      <c r="U609" s="283"/>
      <c r="V609" s="283"/>
      <c r="W609" s="283"/>
      <c r="X609" s="283"/>
      <c r="Y609" s="283"/>
    </row>
    <row r="610">
      <c r="A610" s="283"/>
      <c r="B610" s="283"/>
      <c r="C610" s="283"/>
      <c r="D610" s="283"/>
      <c r="E610" s="283"/>
      <c r="F610" s="283"/>
      <c r="G610" s="283"/>
      <c r="H610" s="283"/>
      <c r="I610" s="283"/>
      <c r="J610" s="283"/>
      <c r="K610" s="283"/>
      <c r="L610" s="283"/>
      <c r="M610" s="283"/>
      <c r="N610" s="283"/>
      <c r="O610" s="375" t="str">
        <f t="array" ref="O610">XLOOKUP(M610,'Recruiting Form Responses'!C:C,'Recruiting Form Responses'!A:A,"",0,1)</f>
        <v/>
      </c>
      <c r="P610" s="378"/>
      <c r="Q610" s="283"/>
      <c r="R610" s="283"/>
      <c r="S610" s="283"/>
      <c r="T610" s="283"/>
      <c r="U610" s="283"/>
      <c r="V610" s="283"/>
      <c r="W610" s="283"/>
      <c r="X610" s="283"/>
      <c r="Y610" s="283"/>
    </row>
    <row r="611">
      <c r="A611" s="283"/>
      <c r="B611" s="283"/>
      <c r="C611" s="283"/>
      <c r="D611" s="283"/>
      <c r="E611" s="283"/>
      <c r="F611" s="283"/>
      <c r="G611" s="283"/>
      <c r="H611" s="283"/>
      <c r="I611" s="283"/>
      <c r="J611" s="283"/>
      <c r="K611" s="283"/>
      <c r="L611" s="283"/>
      <c r="M611" s="283"/>
      <c r="N611" s="283"/>
      <c r="O611" s="375" t="str">
        <f t="array" ref="O611">XLOOKUP(M611,'Recruiting Form Responses'!C:C,'Recruiting Form Responses'!A:A,"",0,1)</f>
        <v/>
      </c>
      <c r="P611" s="378"/>
      <c r="Q611" s="283"/>
      <c r="R611" s="283"/>
      <c r="S611" s="283"/>
      <c r="T611" s="283"/>
      <c r="U611" s="283"/>
      <c r="V611" s="283"/>
      <c r="W611" s="283"/>
      <c r="X611" s="283"/>
      <c r="Y611" s="283"/>
    </row>
    <row r="612">
      <c r="A612" s="283"/>
      <c r="B612" s="283"/>
      <c r="C612" s="283"/>
      <c r="D612" s="283"/>
      <c r="E612" s="283"/>
      <c r="F612" s="283"/>
      <c r="G612" s="283"/>
      <c r="H612" s="283"/>
      <c r="I612" s="283"/>
      <c r="J612" s="283"/>
      <c r="K612" s="283"/>
      <c r="L612" s="283"/>
      <c r="M612" s="283"/>
      <c r="N612" s="283"/>
      <c r="O612" s="375" t="str">
        <f t="array" ref="O612">XLOOKUP(M612,'Recruiting Form Responses'!C:C,'Recruiting Form Responses'!A:A,"",0,1)</f>
        <v/>
      </c>
      <c r="P612" s="378"/>
      <c r="Q612" s="283"/>
      <c r="R612" s="283"/>
      <c r="S612" s="283"/>
      <c r="T612" s="283"/>
      <c r="U612" s="283"/>
      <c r="V612" s="283"/>
      <c r="W612" s="283"/>
      <c r="X612" s="283"/>
      <c r="Y612" s="283"/>
    </row>
    <row r="613">
      <c r="A613" s="283"/>
      <c r="B613" s="283"/>
      <c r="C613" s="283"/>
      <c r="D613" s="283"/>
      <c r="E613" s="283"/>
      <c r="F613" s="283"/>
      <c r="G613" s="283"/>
      <c r="H613" s="283"/>
      <c r="I613" s="283"/>
      <c r="J613" s="283"/>
      <c r="K613" s="283"/>
      <c r="L613" s="283"/>
      <c r="M613" s="283"/>
      <c r="N613" s="283"/>
      <c r="O613" s="375" t="str">
        <f t="array" ref="O613">XLOOKUP(M613,'Recruiting Form Responses'!C:C,'Recruiting Form Responses'!A:A,"",0,1)</f>
        <v/>
      </c>
      <c r="P613" s="378"/>
      <c r="Q613" s="283"/>
      <c r="R613" s="283"/>
      <c r="S613" s="283"/>
      <c r="T613" s="283"/>
      <c r="U613" s="283"/>
      <c r="V613" s="283"/>
      <c r="W613" s="283"/>
      <c r="X613" s="283"/>
      <c r="Y613" s="283"/>
    </row>
    <row r="614">
      <c r="A614" s="283"/>
      <c r="B614" s="283"/>
      <c r="C614" s="283"/>
      <c r="D614" s="283"/>
      <c r="E614" s="283"/>
      <c r="F614" s="283"/>
      <c r="G614" s="283"/>
      <c r="H614" s="283"/>
      <c r="I614" s="283"/>
      <c r="J614" s="283"/>
      <c r="K614" s="283"/>
      <c r="L614" s="283"/>
      <c r="M614" s="283"/>
      <c r="N614" s="283"/>
      <c r="O614" s="375" t="str">
        <f t="array" ref="O614">XLOOKUP(M614,'Recruiting Form Responses'!C:C,'Recruiting Form Responses'!A:A,"",0,1)</f>
        <v/>
      </c>
      <c r="P614" s="378"/>
      <c r="Q614" s="283"/>
      <c r="R614" s="283"/>
      <c r="S614" s="283"/>
      <c r="T614" s="283"/>
      <c r="U614" s="283"/>
      <c r="V614" s="283"/>
      <c r="W614" s="283"/>
      <c r="X614" s="283"/>
      <c r="Y614" s="283"/>
    </row>
    <row r="615">
      <c r="A615" s="283"/>
      <c r="B615" s="283"/>
      <c r="C615" s="283"/>
      <c r="D615" s="283"/>
      <c r="E615" s="283"/>
      <c r="F615" s="283"/>
      <c r="G615" s="283"/>
      <c r="H615" s="283"/>
      <c r="I615" s="283"/>
      <c r="J615" s="283"/>
      <c r="K615" s="283"/>
      <c r="L615" s="283"/>
      <c r="M615" s="283"/>
      <c r="N615" s="283"/>
      <c r="O615" s="375" t="str">
        <f t="array" ref="O615">XLOOKUP(M615,'Recruiting Form Responses'!C:C,'Recruiting Form Responses'!A:A,"",0,1)</f>
        <v/>
      </c>
      <c r="P615" s="378"/>
      <c r="Q615" s="283"/>
      <c r="R615" s="283"/>
      <c r="S615" s="283"/>
      <c r="T615" s="283"/>
      <c r="U615" s="283"/>
      <c r="V615" s="283"/>
      <c r="W615" s="283"/>
      <c r="X615" s="283"/>
      <c r="Y615" s="283"/>
    </row>
    <row r="616">
      <c r="A616" s="283"/>
      <c r="B616" s="283"/>
      <c r="C616" s="283"/>
      <c r="D616" s="283"/>
      <c r="E616" s="283"/>
      <c r="F616" s="283"/>
      <c r="G616" s="283"/>
      <c r="H616" s="283"/>
      <c r="I616" s="283"/>
      <c r="J616" s="283"/>
      <c r="K616" s="283"/>
      <c r="L616" s="283"/>
      <c r="M616" s="283"/>
      <c r="N616" s="283"/>
      <c r="O616" s="375" t="str">
        <f t="array" ref="O616">XLOOKUP(M616,'Recruiting Form Responses'!C:C,'Recruiting Form Responses'!A:A,"",0,1)</f>
        <v/>
      </c>
      <c r="P616" s="378"/>
      <c r="Q616" s="283"/>
      <c r="R616" s="283"/>
      <c r="S616" s="283"/>
      <c r="T616" s="283"/>
      <c r="U616" s="283"/>
      <c r="V616" s="283"/>
      <c r="W616" s="283"/>
      <c r="X616" s="283"/>
      <c r="Y616" s="283"/>
    </row>
    <row r="617">
      <c r="A617" s="283"/>
      <c r="B617" s="283"/>
      <c r="C617" s="283"/>
      <c r="D617" s="283"/>
      <c r="E617" s="283"/>
      <c r="F617" s="283"/>
      <c r="G617" s="283"/>
      <c r="H617" s="283"/>
      <c r="I617" s="283"/>
      <c r="J617" s="283"/>
      <c r="K617" s="283"/>
      <c r="L617" s="283"/>
      <c r="M617" s="283"/>
      <c r="N617" s="283"/>
      <c r="O617" s="375" t="str">
        <f t="array" ref="O617">XLOOKUP(M617,'Recruiting Form Responses'!C:C,'Recruiting Form Responses'!A:A,"",0,1)</f>
        <v/>
      </c>
      <c r="P617" s="378"/>
      <c r="Q617" s="283"/>
      <c r="R617" s="283"/>
      <c r="S617" s="283"/>
      <c r="T617" s="283"/>
      <c r="U617" s="283"/>
      <c r="V617" s="283"/>
      <c r="W617" s="283"/>
      <c r="X617" s="283"/>
      <c r="Y617" s="283"/>
    </row>
    <row r="618">
      <c r="A618" s="283"/>
      <c r="B618" s="283"/>
      <c r="C618" s="283"/>
      <c r="D618" s="283"/>
      <c r="E618" s="283"/>
      <c r="F618" s="283"/>
      <c r="G618" s="283"/>
      <c r="H618" s="283"/>
      <c r="I618" s="283"/>
      <c r="J618" s="283"/>
      <c r="K618" s="283"/>
      <c r="L618" s="283"/>
      <c r="M618" s="283"/>
      <c r="N618" s="283"/>
      <c r="O618" s="375" t="str">
        <f t="array" ref="O618">XLOOKUP(M618,'Recruiting Form Responses'!C:C,'Recruiting Form Responses'!A:A,"",0,1)</f>
        <v/>
      </c>
      <c r="P618" s="378"/>
      <c r="Q618" s="283"/>
      <c r="R618" s="283"/>
      <c r="S618" s="283"/>
      <c r="T618" s="283"/>
      <c r="U618" s="283"/>
      <c r="V618" s="283"/>
      <c r="W618" s="283"/>
      <c r="X618" s="283"/>
      <c r="Y618" s="283"/>
    </row>
    <row r="619">
      <c r="A619" s="283"/>
      <c r="B619" s="283"/>
      <c r="C619" s="283"/>
      <c r="D619" s="283"/>
      <c r="E619" s="283"/>
      <c r="F619" s="283"/>
      <c r="G619" s="283"/>
      <c r="H619" s="283"/>
      <c r="I619" s="283"/>
      <c r="J619" s="283"/>
      <c r="K619" s="283"/>
      <c r="L619" s="283"/>
      <c r="M619" s="283"/>
      <c r="N619" s="283"/>
      <c r="O619" s="375" t="str">
        <f t="array" ref="O619">XLOOKUP(M619,'Recruiting Form Responses'!C:C,'Recruiting Form Responses'!A:A,"",0,1)</f>
        <v/>
      </c>
      <c r="P619" s="378"/>
      <c r="Q619" s="283"/>
      <c r="R619" s="283"/>
      <c r="S619" s="283"/>
      <c r="T619" s="283"/>
      <c r="U619" s="283"/>
      <c r="V619" s="283"/>
      <c r="W619" s="283"/>
      <c r="X619" s="283"/>
      <c r="Y619" s="283"/>
    </row>
    <row r="620">
      <c r="A620" s="283"/>
      <c r="B620" s="283"/>
      <c r="C620" s="283"/>
      <c r="D620" s="283"/>
      <c r="E620" s="283"/>
      <c r="F620" s="283"/>
      <c r="G620" s="283"/>
      <c r="H620" s="283"/>
      <c r="I620" s="283"/>
      <c r="J620" s="283"/>
      <c r="K620" s="283"/>
      <c r="L620" s="283"/>
      <c r="M620" s="283"/>
      <c r="N620" s="283"/>
      <c r="O620" s="375" t="str">
        <f t="array" ref="O620">XLOOKUP(M620,'Recruiting Form Responses'!C:C,'Recruiting Form Responses'!A:A,"",0,1)</f>
        <v/>
      </c>
      <c r="P620" s="378"/>
      <c r="Q620" s="283"/>
      <c r="R620" s="283"/>
      <c r="S620" s="283"/>
      <c r="T620" s="283"/>
      <c r="U620" s="283"/>
      <c r="V620" s="283"/>
      <c r="W620" s="283"/>
      <c r="X620" s="283"/>
      <c r="Y620" s="283"/>
    </row>
    <row r="621">
      <c r="A621" s="283"/>
      <c r="B621" s="283"/>
      <c r="C621" s="283"/>
      <c r="D621" s="283"/>
      <c r="E621" s="283"/>
      <c r="F621" s="283"/>
      <c r="G621" s="283"/>
      <c r="H621" s="283"/>
      <c r="I621" s="283"/>
      <c r="J621" s="283"/>
      <c r="K621" s="283"/>
      <c r="L621" s="283"/>
      <c r="M621" s="283"/>
      <c r="N621" s="283"/>
      <c r="O621" s="375" t="str">
        <f t="array" ref="O621">XLOOKUP(M621,'Recruiting Form Responses'!C:C,'Recruiting Form Responses'!A:A,"",0,1)</f>
        <v/>
      </c>
      <c r="P621" s="378"/>
      <c r="Q621" s="283"/>
      <c r="R621" s="283"/>
      <c r="S621" s="283"/>
      <c r="T621" s="283"/>
      <c r="U621" s="283"/>
      <c r="V621" s="283"/>
      <c r="W621" s="283"/>
      <c r="X621" s="283"/>
      <c r="Y621" s="283"/>
    </row>
    <row r="622">
      <c r="A622" s="283"/>
      <c r="B622" s="283"/>
      <c r="C622" s="283"/>
      <c r="D622" s="283"/>
      <c r="E622" s="283"/>
      <c r="F622" s="283"/>
      <c r="G622" s="283"/>
      <c r="H622" s="283"/>
      <c r="I622" s="283"/>
      <c r="J622" s="283"/>
      <c r="K622" s="283"/>
      <c r="L622" s="283"/>
      <c r="M622" s="283"/>
      <c r="N622" s="283"/>
      <c r="O622" s="375" t="str">
        <f t="array" ref="O622">XLOOKUP(M622,'Recruiting Form Responses'!C:C,'Recruiting Form Responses'!A:A,"",0,1)</f>
        <v/>
      </c>
      <c r="P622" s="378"/>
      <c r="Q622" s="283"/>
      <c r="R622" s="283"/>
      <c r="S622" s="283"/>
      <c r="T622" s="283"/>
      <c r="U622" s="283"/>
      <c r="V622" s="283"/>
      <c r="W622" s="283"/>
      <c r="X622" s="283"/>
      <c r="Y622" s="283"/>
    </row>
    <row r="623">
      <c r="A623" s="283"/>
      <c r="B623" s="283"/>
      <c r="C623" s="283"/>
      <c r="D623" s="283"/>
      <c r="E623" s="283"/>
      <c r="F623" s="283"/>
      <c r="G623" s="283"/>
      <c r="H623" s="283"/>
      <c r="I623" s="283"/>
      <c r="J623" s="283"/>
      <c r="K623" s="283"/>
      <c r="L623" s="283"/>
      <c r="M623" s="283"/>
      <c r="N623" s="283"/>
      <c r="O623" s="375" t="str">
        <f t="array" ref="O623">XLOOKUP(M623,'Recruiting Form Responses'!C:C,'Recruiting Form Responses'!A:A,"",0,1)</f>
        <v/>
      </c>
      <c r="P623" s="378"/>
      <c r="Q623" s="283"/>
      <c r="R623" s="283"/>
      <c r="S623" s="283"/>
      <c r="T623" s="283"/>
      <c r="U623" s="283"/>
      <c r="V623" s="283"/>
      <c r="W623" s="283"/>
      <c r="X623" s="283"/>
      <c r="Y623" s="283"/>
    </row>
    <row r="624">
      <c r="A624" s="283"/>
      <c r="B624" s="283"/>
      <c r="C624" s="283"/>
      <c r="D624" s="283"/>
      <c r="E624" s="283"/>
      <c r="F624" s="283"/>
      <c r="G624" s="283"/>
      <c r="H624" s="283"/>
      <c r="I624" s="283"/>
      <c r="J624" s="283"/>
      <c r="K624" s="283"/>
      <c r="L624" s="283"/>
      <c r="M624" s="283"/>
      <c r="N624" s="283"/>
      <c r="O624" s="375" t="str">
        <f t="array" ref="O624">XLOOKUP(M624,'Recruiting Form Responses'!C:C,'Recruiting Form Responses'!A:A,"",0,1)</f>
        <v/>
      </c>
      <c r="P624" s="378"/>
      <c r="Q624" s="283"/>
      <c r="R624" s="283"/>
      <c r="S624" s="283"/>
      <c r="T624" s="283"/>
      <c r="U624" s="283"/>
      <c r="V624" s="283"/>
      <c r="W624" s="283"/>
      <c r="X624" s="283"/>
      <c r="Y624" s="283"/>
    </row>
    <row r="625">
      <c r="A625" s="283"/>
      <c r="B625" s="283"/>
      <c r="C625" s="283"/>
      <c r="D625" s="283"/>
      <c r="E625" s="283"/>
      <c r="F625" s="283"/>
      <c r="G625" s="283"/>
      <c r="H625" s="283"/>
      <c r="I625" s="283"/>
      <c r="J625" s="283"/>
      <c r="K625" s="283"/>
      <c r="L625" s="283"/>
      <c r="M625" s="283"/>
      <c r="N625" s="283"/>
      <c r="O625" s="375" t="str">
        <f t="array" ref="O625">XLOOKUP(M625,'Recruiting Form Responses'!C:C,'Recruiting Form Responses'!A:A,"",0,1)</f>
        <v/>
      </c>
      <c r="P625" s="378"/>
      <c r="Q625" s="283"/>
      <c r="R625" s="283"/>
      <c r="S625" s="283"/>
      <c r="T625" s="283"/>
      <c r="U625" s="283"/>
      <c r="V625" s="283"/>
      <c r="W625" s="283"/>
      <c r="X625" s="283"/>
      <c r="Y625" s="283"/>
    </row>
    <row r="626">
      <c r="A626" s="283"/>
      <c r="B626" s="283"/>
      <c r="C626" s="283"/>
      <c r="D626" s="283"/>
      <c r="E626" s="283"/>
      <c r="F626" s="283"/>
      <c r="G626" s="283"/>
      <c r="H626" s="283"/>
      <c r="I626" s="283"/>
      <c r="J626" s="283"/>
      <c r="K626" s="283"/>
      <c r="L626" s="283"/>
      <c r="M626" s="283"/>
      <c r="N626" s="283"/>
      <c r="O626" s="375" t="str">
        <f t="array" ref="O626">XLOOKUP(M626,'Recruiting Form Responses'!C:C,'Recruiting Form Responses'!A:A,"",0,1)</f>
        <v/>
      </c>
      <c r="P626" s="378"/>
      <c r="Q626" s="283"/>
      <c r="R626" s="283"/>
      <c r="S626" s="283"/>
      <c r="T626" s="283"/>
      <c r="U626" s="283"/>
      <c r="V626" s="283"/>
      <c r="W626" s="283"/>
      <c r="X626" s="283"/>
      <c r="Y626" s="283"/>
    </row>
    <row r="627">
      <c r="A627" s="283"/>
      <c r="B627" s="283"/>
      <c r="C627" s="283"/>
      <c r="D627" s="283"/>
      <c r="E627" s="283"/>
      <c r="F627" s="283"/>
      <c r="G627" s="283"/>
      <c r="H627" s="283"/>
      <c r="I627" s="283"/>
      <c r="J627" s="283"/>
      <c r="K627" s="283"/>
      <c r="L627" s="283"/>
      <c r="M627" s="283"/>
      <c r="N627" s="283"/>
      <c r="O627" s="375" t="str">
        <f t="array" ref="O627">XLOOKUP(M627,'Recruiting Form Responses'!C:C,'Recruiting Form Responses'!A:A,"",0,1)</f>
        <v/>
      </c>
      <c r="P627" s="378"/>
      <c r="Q627" s="283"/>
      <c r="R627" s="283"/>
      <c r="S627" s="283"/>
      <c r="T627" s="283"/>
      <c r="U627" s="283"/>
      <c r="V627" s="283"/>
      <c r="W627" s="283"/>
      <c r="X627" s="283"/>
      <c r="Y627" s="283"/>
    </row>
    <row r="628">
      <c r="A628" s="283"/>
      <c r="B628" s="283"/>
      <c r="C628" s="283"/>
      <c r="D628" s="283"/>
      <c r="E628" s="283"/>
      <c r="F628" s="283"/>
      <c r="G628" s="283"/>
      <c r="H628" s="283"/>
      <c r="I628" s="283"/>
      <c r="J628" s="283"/>
      <c r="K628" s="283"/>
      <c r="L628" s="283"/>
      <c r="M628" s="283"/>
      <c r="N628" s="283"/>
      <c r="O628" s="375" t="str">
        <f t="array" ref="O628">XLOOKUP(M628,'Recruiting Form Responses'!C:C,'Recruiting Form Responses'!A:A,"",0,1)</f>
        <v/>
      </c>
      <c r="P628" s="378"/>
      <c r="Q628" s="283"/>
      <c r="R628" s="283"/>
      <c r="S628" s="283"/>
      <c r="T628" s="283"/>
      <c r="U628" s="283"/>
      <c r="V628" s="283"/>
      <c r="W628" s="283"/>
      <c r="X628" s="283"/>
      <c r="Y628" s="283"/>
    </row>
    <row r="629">
      <c r="A629" s="283"/>
      <c r="B629" s="283"/>
      <c r="C629" s="283"/>
      <c r="D629" s="283"/>
      <c r="E629" s="283"/>
      <c r="F629" s="283"/>
      <c r="G629" s="283"/>
      <c r="H629" s="283"/>
      <c r="I629" s="283"/>
      <c r="J629" s="283"/>
      <c r="K629" s="283"/>
      <c r="L629" s="283"/>
      <c r="M629" s="283"/>
      <c r="N629" s="283"/>
      <c r="O629" s="375" t="str">
        <f t="array" ref="O629">XLOOKUP(M629,'Recruiting Form Responses'!C:C,'Recruiting Form Responses'!A:A,"",0,1)</f>
        <v/>
      </c>
      <c r="P629" s="378"/>
      <c r="Q629" s="283"/>
      <c r="R629" s="283"/>
      <c r="S629" s="283"/>
      <c r="T629" s="283"/>
      <c r="U629" s="283"/>
      <c r="V629" s="283"/>
      <c r="W629" s="283"/>
      <c r="X629" s="283"/>
      <c r="Y629" s="283"/>
    </row>
    <row r="630">
      <c r="A630" s="283"/>
      <c r="B630" s="283"/>
      <c r="C630" s="283"/>
      <c r="D630" s="283"/>
      <c r="E630" s="283"/>
      <c r="F630" s="283"/>
      <c r="G630" s="283"/>
      <c r="H630" s="283"/>
      <c r="I630" s="283"/>
      <c r="J630" s="283"/>
      <c r="K630" s="283"/>
      <c r="L630" s="283"/>
      <c r="M630" s="283"/>
      <c r="N630" s="283"/>
      <c r="O630" s="375" t="str">
        <f t="array" ref="O630">XLOOKUP(M630,'Recruiting Form Responses'!C:C,'Recruiting Form Responses'!A:A,"",0,1)</f>
        <v/>
      </c>
      <c r="P630" s="378"/>
      <c r="Q630" s="283"/>
      <c r="R630" s="283"/>
      <c r="S630" s="283"/>
      <c r="T630" s="283"/>
      <c r="U630" s="283"/>
      <c r="V630" s="283"/>
      <c r="W630" s="283"/>
      <c r="X630" s="283"/>
      <c r="Y630" s="283"/>
    </row>
    <row r="631">
      <c r="A631" s="283"/>
      <c r="B631" s="283"/>
      <c r="C631" s="283"/>
      <c r="D631" s="283"/>
      <c r="E631" s="283"/>
      <c r="F631" s="283"/>
      <c r="G631" s="283"/>
      <c r="H631" s="283"/>
      <c r="I631" s="283"/>
      <c r="J631" s="283"/>
      <c r="K631" s="283"/>
      <c r="L631" s="283"/>
      <c r="M631" s="283"/>
      <c r="N631" s="283"/>
      <c r="O631" s="375" t="str">
        <f t="array" ref="O631">XLOOKUP(M631,'Recruiting Form Responses'!C:C,'Recruiting Form Responses'!A:A,"",0,1)</f>
        <v/>
      </c>
      <c r="P631" s="378"/>
      <c r="Q631" s="283"/>
      <c r="R631" s="283"/>
      <c r="S631" s="283"/>
      <c r="T631" s="283"/>
      <c r="U631" s="283"/>
      <c r="V631" s="283"/>
      <c r="W631" s="283"/>
      <c r="X631" s="283"/>
      <c r="Y631" s="283"/>
    </row>
    <row r="632">
      <c r="A632" s="283"/>
      <c r="B632" s="283"/>
      <c r="C632" s="283"/>
      <c r="D632" s="283"/>
      <c r="E632" s="283"/>
      <c r="F632" s="283"/>
      <c r="G632" s="283"/>
      <c r="H632" s="283"/>
      <c r="I632" s="283"/>
      <c r="J632" s="283"/>
      <c r="K632" s="283"/>
      <c r="L632" s="283"/>
      <c r="M632" s="283"/>
      <c r="N632" s="283"/>
      <c r="O632" s="375" t="str">
        <f t="array" ref="O632">XLOOKUP(M632,'Recruiting Form Responses'!C:C,'Recruiting Form Responses'!A:A,"",0,1)</f>
        <v/>
      </c>
      <c r="P632" s="378"/>
      <c r="Q632" s="283"/>
      <c r="R632" s="283"/>
      <c r="S632" s="283"/>
      <c r="T632" s="283"/>
      <c r="U632" s="283"/>
      <c r="V632" s="283"/>
      <c r="W632" s="283"/>
      <c r="X632" s="283"/>
      <c r="Y632" s="283"/>
    </row>
    <row r="633">
      <c r="A633" s="283"/>
      <c r="B633" s="283"/>
      <c r="C633" s="283"/>
      <c r="D633" s="283"/>
      <c r="E633" s="283"/>
      <c r="F633" s="283"/>
      <c r="G633" s="283"/>
      <c r="H633" s="283"/>
      <c r="I633" s="283"/>
      <c r="J633" s="283"/>
      <c r="K633" s="283"/>
      <c r="L633" s="283"/>
      <c r="M633" s="283"/>
      <c r="N633" s="283"/>
      <c r="O633" s="375" t="str">
        <f t="array" ref="O633">XLOOKUP(M633,'Recruiting Form Responses'!C:C,'Recruiting Form Responses'!A:A,"",0,1)</f>
        <v/>
      </c>
      <c r="P633" s="378"/>
      <c r="Q633" s="283"/>
      <c r="R633" s="283"/>
      <c r="S633" s="283"/>
      <c r="T633" s="283"/>
      <c r="U633" s="283"/>
      <c r="V633" s="283"/>
      <c r="W633" s="283"/>
      <c r="X633" s="283"/>
      <c r="Y633" s="283"/>
    </row>
    <row r="634">
      <c r="A634" s="283"/>
      <c r="B634" s="283"/>
      <c r="C634" s="283"/>
      <c r="D634" s="283"/>
      <c r="E634" s="283"/>
      <c r="F634" s="283"/>
      <c r="G634" s="283"/>
      <c r="H634" s="283"/>
      <c r="I634" s="283"/>
      <c r="J634" s="283"/>
      <c r="K634" s="283"/>
      <c r="L634" s="283"/>
      <c r="M634" s="283"/>
      <c r="N634" s="283"/>
      <c r="O634" s="375" t="str">
        <f t="array" ref="O634">XLOOKUP(M634,'Recruiting Form Responses'!C:C,'Recruiting Form Responses'!A:A,"",0,1)</f>
        <v/>
      </c>
      <c r="P634" s="378"/>
      <c r="Q634" s="283"/>
      <c r="R634" s="283"/>
      <c r="S634" s="283"/>
      <c r="T634" s="283"/>
      <c r="U634" s="283"/>
      <c r="V634" s="283"/>
      <c r="W634" s="283"/>
      <c r="X634" s="283"/>
      <c r="Y634" s="283"/>
    </row>
    <row r="635">
      <c r="A635" s="283"/>
      <c r="B635" s="283"/>
      <c r="C635" s="283"/>
      <c r="D635" s="283"/>
      <c r="E635" s="283"/>
      <c r="F635" s="283"/>
      <c r="G635" s="283"/>
      <c r="H635" s="283"/>
      <c r="I635" s="283"/>
      <c r="J635" s="283"/>
      <c r="K635" s="283"/>
      <c r="L635" s="283"/>
      <c r="M635" s="283"/>
      <c r="N635" s="283"/>
      <c r="O635" s="375" t="str">
        <f t="array" ref="O635">XLOOKUP(M635,'Recruiting Form Responses'!C:C,'Recruiting Form Responses'!A:A,"",0,1)</f>
        <v/>
      </c>
      <c r="P635" s="378"/>
      <c r="Q635" s="283"/>
      <c r="R635" s="283"/>
      <c r="S635" s="283"/>
      <c r="T635" s="283"/>
      <c r="U635" s="283"/>
      <c r="V635" s="283"/>
      <c r="W635" s="283"/>
      <c r="X635" s="283"/>
      <c r="Y635" s="283"/>
    </row>
    <row r="636">
      <c r="A636" s="283"/>
      <c r="B636" s="283"/>
      <c r="C636" s="283"/>
      <c r="D636" s="283"/>
      <c r="E636" s="283"/>
      <c r="F636" s="283"/>
      <c r="G636" s="283"/>
      <c r="H636" s="283"/>
      <c r="I636" s="283"/>
      <c r="J636" s="283"/>
      <c r="K636" s="283"/>
      <c r="L636" s="283"/>
      <c r="M636" s="283"/>
      <c r="N636" s="283"/>
      <c r="O636" s="375" t="str">
        <f t="array" ref="O636">XLOOKUP(M636,'Recruiting Form Responses'!C:C,'Recruiting Form Responses'!A:A,"",0,1)</f>
        <v/>
      </c>
      <c r="P636" s="378"/>
      <c r="Q636" s="283"/>
      <c r="R636" s="283"/>
      <c r="S636" s="283"/>
      <c r="T636" s="283"/>
      <c r="U636" s="283"/>
      <c r="V636" s="283"/>
      <c r="W636" s="283"/>
      <c r="X636" s="283"/>
      <c r="Y636" s="283"/>
    </row>
    <row r="637">
      <c r="A637" s="283"/>
      <c r="B637" s="283"/>
      <c r="C637" s="283"/>
      <c r="D637" s="283"/>
      <c r="E637" s="283"/>
      <c r="F637" s="283"/>
      <c r="G637" s="283"/>
      <c r="H637" s="283"/>
      <c r="I637" s="283"/>
      <c r="J637" s="283"/>
      <c r="K637" s="283"/>
      <c r="L637" s="283"/>
      <c r="M637" s="283"/>
      <c r="N637" s="283"/>
      <c r="O637" s="375" t="str">
        <f t="array" ref="O637">XLOOKUP(M637,'Recruiting Form Responses'!C:C,'Recruiting Form Responses'!A:A,"",0,1)</f>
        <v/>
      </c>
      <c r="P637" s="378"/>
      <c r="Q637" s="283"/>
      <c r="R637" s="283"/>
      <c r="S637" s="283"/>
      <c r="T637" s="283"/>
      <c r="U637" s="283"/>
      <c r="V637" s="283"/>
      <c r="W637" s="283"/>
      <c r="X637" s="283"/>
      <c r="Y637" s="283"/>
    </row>
    <row r="638">
      <c r="A638" s="283"/>
      <c r="B638" s="283"/>
      <c r="C638" s="283"/>
      <c r="D638" s="283"/>
      <c r="E638" s="283"/>
      <c r="F638" s="283"/>
      <c r="G638" s="283"/>
      <c r="H638" s="283"/>
      <c r="I638" s="283"/>
      <c r="J638" s="283"/>
      <c r="K638" s="283"/>
      <c r="L638" s="283"/>
      <c r="M638" s="283"/>
      <c r="N638" s="283"/>
      <c r="O638" s="375" t="str">
        <f t="array" ref="O638">XLOOKUP(M638,'Recruiting Form Responses'!C:C,'Recruiting Form Responses'!A:A,"",0,1)</f>
        <v/>
      </c>
      <c r="P638" s="378"/>
      <c r="Q638" s="283"/>
      <c r="R638" s="283"/>
      <c r="S638" s="283"/>
      <c r="T638" s="283"/>
      <c r="U638" s="283"/>
      <c r="V638" s="283"/>
      <c r="W638" s="283"/>
      <c r="X638" s="283"/>
      <c r="Y638" s="283"/>
    </row>
    <row r="639">
      <c r="A639" s="283"/>
      <c r="B639" s="283"/>
      <c r="C639" s="283"/>
      <c r="D639" s="283"/>
      <c r="E639" s="283"/>
      <c r="F639" s="283"/>
      <c r="G639" s="283"/>
      <c r="H639" s="283"/>
      <c r="I639" s="283"/>
      <c r="J639" s="283"/>
      <c r="K639" s="283"/>
      <c r="L639" s="283"/>
      <c r="M639" s="283"/>
      <c r="N639" s="283"/>
      <c r="O639" s="375" t="str">
        <f t="array" ref="O639">XLOOKUP(M639,'Recruiting Form Responses'!C:C,'Recruiting Form Responses'!A:A,"",0,1)</f>
        <v/>
      </c>
      <c r="P639" s="378"/>
      <c r="Q639" s="283"/>
      <c r="R639" s="283"/>
      <c r="S639" s="283"/>
      <c r="T639" s="283"/>
      <c r="U639" s="283"/>
      <c r="V639" s="283"/>
      <c r="W639" s="283"/>
      <c r="X639" s="283"/>
      <c r="Y639" s="283"/>
    </row>
    <row r="640">
      <c r="A640" s="283"/>
      <c r="B640" s="283"/>
      <c r="C640" s="283"/>
      <c r="D640" s="283"/>
      <c r="E640" s="283"/>
      <c r="F640" s="283"/>
      <c r="G640" s="283"/>
      <c r="H640" s="283"/>
      <c r="I640" s="283"/>
      <c r="J640" s="283"/>
      <c r="K640" s="283"/>
      <c r="L640" s="283"/>
      <c r="M640" s="283"/>
      <c r="N640" s="283"/>
      <c r="O640" s="375" t="str">
        <f t="array" ref="O640">XLOOKUP(M640,'Recruiting Form Responses'!C:C,'Recruiting Form Responses'!A:A,"",0,1)</f>
        <v/>
      </c>
      <c r="P640" s="378"/>
      <c r="Q640" s="283"/>
      <c r="R640" s="283"/>
      <c r="S640" s="283"/>
      <c r="T640" s="283"/>
      <c r="U640" s="283"/>
      <c r="V640" s="283"/>
      <c r="W640" s="283"/>
      <c r="X640" s="283"/>
      <c r="Y640" s="283"/>
    </row>
    <row r="641">
      <c r="A641" s="283"/>
      <c r="B641" s="283"/>
      <c r="C641" s="283"/>
      <c r="D641" s="283"/>
      <c r="E641" s="283"/>
      <c r="F641" s="283"/>
      <c r="G641" s="283"/>
      <c r="H641" s="283"/>
      <c r="I641" s="283"/>
      <c r="J641" s="283"/>
      <c r="K641" s="283"/>
      <c r="L641" s="283"/>
      <c r="M641" s="283"/>
      <c r="N641" s="283"/>
      <c r="O641" s="375" t="str">
        <f t="array" ref="O641">XLOOKUP(M641,'Recruiting Form Responses'!C:C,'Recruiting Form Responses'!A:A,"",0,1)</f>
        <v/>
      </c>
      <c r="P641" s="378"/>
      <c r="Q641" s="283"/>
      <c r="R641" s="283"/>
      <c r="S641" s="283"/>
      <c r="T641" s="283"/>
      <c r="U641" s="283"/>
      <c r="V641" s="283"/>
      <c r="W641" s="283"/>
      <c r="X641" s="283"/>
      <c r="Y641" s="283"/>
    </row>
    <row r="642">
      <c r="A642" s="283"/>
      <c r="B642" s="283"/>
      <c r="C642" s="283"/>
      <c r="D642" s="283"/>
      <c r="E642" s="283"/>
      <c r="F642" s="283"/>
      <c r="G642" s="283"/>
      <c r="H642" s="283"/>
      <c r="I642" s="283"/>
      <c r="J642" s="283"/>
      <c r="K642" s="283"/>
      <c r="L642" s="283"/>
      <c r="M642" s="283"/>
      <c r="N642" s="283"/>
      <c r="O642" s="375" t="str">
        <f t="array" ref="O642">XLOOKUP(M642,'Recruiting Form Responses'!C:C,'Recruiting Form Responses'!A:A,"",0,1)</f>
        <v/>
      </c>
      <c r="P642" s="378"/>
      <c r="Q642" s="283"/>
      <c r="R642" s="283"/>
      <c r="S642" s="283"/>
      <c r="T642" s="283"/>
      <c r="U642" s="283"/>
      <c r="V642" s="283"/>
      <c r="W642" s="283"/>
      <c r="X642" s="283"/>
      <c r="Y642" s="283"/>
    </row>
    <row r="643">
      <c r="A643" s="283"/>
      <c r="B643" s="283"/>
      <c r="C643" s="283"/>
      <c r="D643" s="283"/>
      <c r="E643" s="283"/>
      <c r="F643" s="283"/>
      <c r="G643" s="283"/>
      <c r="H643" s="283"/>
      <c r="I643" s="283"/>
      <c r="J643" s="283"/>
      <c r="K643" s="283"/>
      <c r="L643" s="283"/>
      <c r="M643" s="283"/>
      <c r="N643" s="283"/>
      <c r="O643" s="375" t="str">
        <f t="array" ref="O643">XLOOKUP(M643,'Recruiting Form Responses'!C:C,'Recruiting Form Responses'!A:A,"",0,1)</f>
        <v/>
      </c>
      <c r="P643" s="378"/>
      <c r="Q643" s="283"/>
      <c r="R643" s="283"/>
      <c r="S643" s="283"/>
      <c r="T643" s="283"/>
      <c r="U643" s="283"/>
      <c r="V643" s="283"/>
      <c r="W643" s="283"/>
      <c r="X643" s="283"/>
      <c r="Y643" s="283"/>
    </row>
    <row r="644">
      <c r="A644" s="283"/>
      <c r="B644" s="283"/>
      <c r="C644" s="283"/>
      <c r="D644" s="283"/>
      <c r="E644" s="283"/>
      <c r="F644" s="283"/>
      <c r="G644" s="283"/>
      <c r="H644" s="283"/>
      <c r="I644" s="283"/>
      <c r="J644" s="283"/>
      <c r="K644" s="283"/>
      <c r="L644" s="283"/>
      <c r="M644" s="283"/>
      <c r="N644" s="283"/>
      <c r="O644" s="375" t="str">
        <f t="array" ref="O644">XLOOKUP(M644,'Recruiting Form Responses'!C:C,'Recruiting Form Responses'!A:A,"",0,1)</f>
        <v/>
      </c>
      <c r="P644" s="378"/>
      <c r="Q644" s="283"/>
      <c r="R644" s="283"/>
      <c r="S644" s="283"/>
      <c r="T644" s="283"/>
      <c r="U644" s="283"/>
      <c r="V644" s="283"/>
      <c r="W644" s="283"/>
      <c r="X644" s="283"/>
      <c r="Y644" s="283"/>
    </row>
    <row r="645">
      <c r="A645" s="283"/>
      <c r="B645" s="283"/>
      <c r="C645" s="283"/>
      <c r="D645" s="283"/>
      <c r="E645" s="283"/>
      <c r="F645" s="283"/>
      <c r="G645" s="283"/>
      <c r="H645" s="283"/>
      <c r="I645" s="283"/>
      <c r="J645" s="283"/>
      <c r="K645" s="283"/>
      <c r="L645" s="283"/>
      <c r="M645" s="283"/>
      <c r="N645" s="283"/>
      <c r="O645" s="375" t="str">
        <f t="array" ref="O645">XLOOKUP(M645,'Recruiting Form Responses'!C:C,'Recruiting Form Responses'!A:A,"",0,1)</f>
        <v/>
      </c>
      <c r="P645" s="378"/>
      <c r="Q645" s="283"/>
      <c r="R645" s="283"/>
      <c r="S645" s="283"/>
      <c r="T645" s="283"/>
      <c r="U645" s="283"/>
      <c r="V645" s="283"/>
      <c r="W645" s="283"/>
      <c r="X645" s="283"/>
      <c r="Y645" s="283"/>
    </row>
    <row r="646">
      <c r="A646" s="283"/>
      <c r="B646" s="283"/>
      <c r="C646" s="283"/>
      <c r="D646" s="283"/>
      <c r="E646" s="283"/>
      <c r="F646" s="283"/>
      <c r="G646" s="283"/>
      <c r="H646" s="283"/>
      <c r="I646" s="283"/>
      <c r="J646" s="283"/>
      <c r="K646" s="283"/>
      <c r="L646" s="283"/>
      <c r="M646" s="283"/>
      <c r="N646" s="283"/>
      <c r="O646" s="375" t="str">
        <f t="array" ref="O646">XLOOKUP(M646,'Recruiting Form Responses'!C:C,'Recruiting Form Responses'!A:A,"",0,1)</f>
        <v/>
      </c>
      <c r="P646" s="378"/>
      <c r="Q646" s="283"/>
      <c r="R646" s="283"/>
      <c r="S646" s="283"/>
      <c r="T646" s="283"/>
      <c r="U646" s="283"/>
      <c r="V646" s="283"/>
      <c r="W646" s="283"/>
      <c r="X646" s="283"/>
      <c r="Y646" s="283"/>
    </row>
    <row r="647">
      <c r="A647" s="283"/>
      <c r="B647" s="283"/>
      <c r="C647" s="283"/>
      <c r="D647" s="283"/>
      <c r="E647" s="283"/>
      <c r="F647" s="283"/>
      <c r="G647" s="283"/>
      <c r="H647" s="283"/>
      <c r="I647" s="283"/>
      <c r="J647" s="283"/>
      <c r="K647" s="283"/>
      <c r="L647" s="283"/>
      <c r="M647" s="283"/>
      <c r="N647" s="283"/>
      <c r="O647" s="375" t="str">
        <f t="array" ref="O647">XLOOKUP(M647,'Recruiting Form Responses'!C:C,'Recruiting Form Responses'!A:A,"",0,1)</f>
        <v/>
      </c>
      <c r="P647" s="378"/>
      <c r="Q647" s="283"/>
      <c r="R647" s="283"/>
      <c r="S647" s="283"/>
      <c r="T647" s="283"/>
      <c r="U647" s="283"/>
      <c r="V647" s="283"/>
      <c r="W647" s="283"/>
      <c r="X647" s="283"/>
      <c r="Y647" s="283"/>
    </row>
    <row r="648">
      <c r="A648" s="283"/>
      <c r="B648" s="283"/>
      <c r="C648" s="283"/>
      <c r="D648" s="283"/>
      <c r="E648" s="283"/>
      <c r="F648" s="283"/>
      <c r="G648" s="283"/>
      <c r="H648" s="283"/>
      <c r="I648" s="283"/>
      <c r="J648" s="283"/>
      <c r="K648" s="283"/>
      <c r="L648" s="283"/>
      <c r="M648" s="283"/>
      <c r="N648" s="283"/>
      <c r="O648" s="375" t="str">
        <f t="array" ref="O648">XLOOKUP(M648,'Recruiting Form Responses'!C:C,'Recruiting Form Responses'!A:A,"",0,1)</f>
        <v/>
      </c>
      <c r="P648" s="378"/>
      <c r="Q648" s="283"/>
      <c r="R648" s="283"/>
      <c r="S648" s="283"/>
      <c r="T648" s="283"/>
      <c r="U648" s="283"/>
      <c r="V648" s="283"/>
      <c r="W648" s="283"/>
      <c r="X648" s="283"/>
      <c r="Y648" s="283"/>
    </row>
    <row r="649">
      <c r="A649" s="283"/>
      <c r="B649" s="283"/>
      <c r="C649" s="283"/>
      <c r="D649" s="283"/>
      <c r="E649" s="283"/>
      <c r="F649" s="283"/>
      <c r="G649" s="283"/>
      <c r="H649" s="283"/>
      <c r="I649" s="283"/>
      <c r="J649" s="283"/>
      <c r="K649" s="283"/>
      <c r="L649" s="283"/>
      <c r="M649" s="283"/>
      <c r="N649" s="283"/>
      <c r="O649" s="375" t="str">
        <f t="array" ref="O649">XLOOKUP(M649,'Recruiting Form Responses'!C:C,'Recruiting Form Responses'!A:A,"",0,1)</f>
        <v/>
      </c>
      <c r="P649" s="378"/>
      <c r="Q649" s="283"/>
      <c r="R649" s="283"/>
      <c r="S649" s="283"/>
      <c r="T649" s="283"/>
      <c r="U649" s="283"/>
      <c r="V649" s="283"/>
      <c r="W649" s="283"/>
      <c r="X649" s="283"/>
      <c r="Y649" s="283"/>
    </row>
    <row r="650">
      <c r="A650" s="283"/>
      <c r="B650" s="283"/>
      <c r="C650" s="283"/>
      <c r="D650" s="283"/>
      <c r="E650" s="283"/>
      <c r="F650" s="283"/>
      <c r="G650" s="283"/>
      <c r="H650" s="283"/>
      <c r="I650" s="283"/>
      <c r="J650" s="283"/>
      <c r="K650" s="283"/>
      <c r="L650" s="283"/>
      <c r="M650" s="283"/>
      <c r="N650" s="283"/>
      <c r="O650" s="375" t="str">
        <f t="array" ref="O650">XLOOKUP(M650,'Recruiting Form Responses'!C:C,'Recruiting Form Responses'!A:A,"",0,1)</f>
        <v/>
      </c>
      <c r="P650" s="378"/>
      <c r="Q650" s="283"/>
      <c r="R650" s="283"/>
      <c r="S650" s="283"/>
      <c r="T650" s="283"/>
      <c r="U650" s="283"/>
      <c r="V650" s="283"/>
      <c r="W650" s="283"/>
      <c r="X650" s="283"/>
      <c r="Y650" s="283"/>
    </row>
    <row r="651">
      <c r="A651" s="283"/>
      <c r="B651" s="283"/>
      <c r="C651" s="283"/>
      <c r="D651" s="283"/>
      <c r="E651" s="283"/>
      <c r="F651" s="283"/>
      <c r="G651" s="283"/>
      <c r="H651" s="283"/>
      <c r="I651" s="283"/>
      <c r="J651" s="283"/>
      <c r="K651" s="283"/>
      <c r="L651" s="283"/>
      <c r="M651" s="283"/>
      <c r="N651" s="283"/>
      <c r="O651" s="375" t="str">
        <f t="array" ref="O651">XLOOKUP(M651,'Recruiting Form Responses'!C:C,'Recruiting Form Responses'!A:A,"",0,1)</f>
        <v/>
      </c>
      <c r="P651" s="378"/>
      <c r="Q651" s="283"/>
      <c r="R651" s="283"/>
      <c r="S651" s="283"/>
      <c r="T651" s="283"/>
      <c r="U651" s="283"/>
      <c r="V651" s="283"/>
      <c r="W651" s="283"/>
      <c r="X651" s="283"/>
      <c r="Y651" s="283"/>
    </row>
    <row r="652">
      <c r="A652" s="283"/>
      <c r="B652" s="283"/>
      <c r="C652" s="283"/>
      <c r="D652" s="283"/>
      <c r="E652" s="283"/>
      <c r="F652" s="283"/>
      <c r="G652" s="283"/>
      <c r="H652" s="283"/>
      <c r="I652" s="283"/>
      <c r="J652" s="283"/>
      <c r="K652" s="283"/>
      <c r="L652" s="283"/>
      <c r="M652" s="283"/>
      <c r="N652" s="283"/>
      <c r="O652" s="375" t="str">
        <f t="array" ref="O652">XLOOKUP(M652,'Recruiting Form Responses'!C:C,'Recruiting Form Responses'!A:A,"",0,1)</f>
        <v/>
      </c>
      <c r="P652" s="378"/>
      <c r="Q652" s="283"/>
      <c r="R652" s="283"/>
      <c r="S652" s="283"/>
      <c r="T652" s="283"/>
      <c r="U652" s="283"/>
      <c r="V652" s="283"/>
      <c r="W652" s="283"/>
      <c r="X652" s="283"/>
      <c r="Y652" s="283"/>
    </row>
    <row r="653">
      <c r="A653" s="283"/>
      <c r="B653" s="283"/>
      <c r="C653" s="283"/>
      <c r="D653" s="283"/>
      <c r="E653" s="283"/>
      <c r="F653" s="283"/>
      <c r="G653" s="283"/>
      <c r="H653" s="283"/>
      <c r="I653" s="283"/>
      <c r="J653" s="283"/>
      <c r="K653" s="283"/>
      <c r="L653" s="283"/>
      <c r="M653" s="283"/>
      <c r="N653" s="283"/>
      <c r="O653" s="375" t="str">
        <f t="array" ref="O653">XLOOKUP(M653,'Recruiting Form Responses'!C:C,'Recruiting Form Responses'!A:A,"",0,1)</f>
        <v/>
      </c>
      <c r="P653" s="378"/>
      <c r="Q653" s="283"/>
      <c r="R653" s="283"/>
      <c r="S653" s="283"/>
      <c r="T653" s="283"/>
      <c r="U653" s="283"/>
      <c r="V653" s="283"/>
      <c r="W653" s="283"/>
      <c r="X653" s="283"/>
      <c r="Y653" s="283"/>
    </row>
    <row r="654">
      <c r="A654" s="283"/>
      <c r="B654" s="283"/>
      <c r="C654" s="283"/>
      <c r="D654" s="283"/>
      <c r="E654" s="283"/>
      <c r="F654" s="283"/>
      <c r="G654" s="283"/>
      <c r="H654" s="283"/>
      <c r="I654" s="283"/>
      <c r="J654" s="283"/>
      <c r="K654" s="283"/>
      <c r="L654" s="283"/>
      <c r="M654" s="283"/>
      <c r="N654" s="283"/>
      <c r="O654" s="375" t="str">
        <f t="array" ref="O654">XLOOKUP(M654,'Recruiting Form Responses'!C:C,'Recruiting Form Responses'!A:A,"",0,1)</f>
        <v/>
      </c>
      <c r="P654" s="378"/>
      <c r="Q654" s="283"/>
      <c r="R654" s="283"/>
      <c r="S654" s="283"/>
      <c r="T654" s="283"/>
      <c r="U654" s="283"/>
      <c r="V654" s="283"/>
      <c r="W654" s="283"/>
      <c r="X654" s="283"/>
      <c r="Y654" s="283"/>
    </row>
    <row r="655">
      <c r="A655" s="283"/>
      <c r="B655" s="283"/>
      <c r="C655" s="283"/>
      <c r="D655" s="283"/>
      <c r="E655" s="283"/>
      <c r="F655" s="283"/>
      <c r="G655" s="283"/>
      <c r="H655" s="283"/>
      <c r="I655" s="283"/>
      <c r="J655" s="283"/>
      <c r="K655" s="283"/>
      <c r="L655" s="283"/>
      <c r="M655" s="283"/>
      <c r="N655" s="283"/>
      <c r="O655" s="375" t="str">
        <f t="array" ref="O655">XLOOKUP(M655,'Recruiting Form Responses'!C:C,'Recruiting Form Responses'!A:A,"",0,1)</f>
        <v/>
      </c>
      <c r="P655" s="378"/>
      <c r="Q655" s="283"/>
      <c r="R655" s="283"/>
      <c r="S655" s="283"/>
      <c r="T655" s="283"/>
      <c r="U655" s="283"/>
      <c r="V655" s="283"/>
      <c r="W655" s="283"/>
      <c r="X655" s="283"/>
      <c r="Y655" s="283"/>
    </row>
    <row r="656">
      <c r="A656" s="283"/>
      <c r="B656" s="283"/>
      <c r="C656" s="283"/>
      <c r="D656" s="283"/>
      <c r="E656" s="283"/>
      <c r="F656" s="283"/>
      <c r="G656" s="283"/>
      <c r="H656" s="283"/>
      <c r="I656" s="283"/>
      <c r="J656" s="283"/>
      <c r="K656" s="283"/>
      <c r="L656" s="283"/>
      <c r="M656" s="283"/>
      <c r="N656" s="283"/>
      <c r="O656" s="375" t="str">
        <f t="array" ref="O656">XLOOKUP(M656,'Recruiting Form Responses'!C:C,'Recruiting Form Responses'!A:A,"",0,1)</f>
        <v/>
      </c>
      <c r="P656" s="378"/>
      <c r="Q656" s="283"/>
      <c r="R656" s="283"/>
      <c r="S656" s="283"/>
      <c r="T656" s="283"/>
      <c r="U656" s="283"/>
      <c r="V656" s="283"/>
      <c r="W656" s="283"/>
      <c r="X656" s="283"/>
      <c r="Y656" s="283"/>
    </row>
    <row r="657">
      <c r="A657" s="283"/>
      <c r="B657" s="283"/>
      <c r="C657" s="283"/>
      <c r="D657" s="283"/>
      <c r="E657" s="283"/>
      <c r="F657" s="283"/>
      <c r="G657" s="283"/>
      <c r="H657" s="283"/>
      <c r="I657" s="283"/>
      <c r="J657" s="283"/>
      <c r="K657" s="283"/>
      <c r="L657" s="283"/>
      <c r="M657" s="283"/>
      <c r="N657" s="283"/>
      <c r="O657" s="375" t="str">
        <f t="array" ref="O657">XLOOKUP(M657,'Recruiting Form Responses'!C:C,'Recruiting Form Responses'!A:A,"",0,1)</f>
        <v/>
      </c>
      <c r="P657" s="378"/>
      <c r="Q657" s="283"/>
      <c r="R657" s="283"/>
      <c r="S657" s="283"/>
      <c r="T657" s="283"/>
      <c r="U657" s="283"/>
      <c r="V657" s="283"/>
      <c r="W657" s="283"/>
      <c r="X657" s="283"/>
      <c r="Y657" s="283"/>
    </row>
    <row r="658">
      <c r="A658" s="283"/>
      <c r="B658" s="283"/>
      <c r="C658" s="283"/>
      <c r="D658" s="283"/>
      <c r="E658" s="283"/>
      <c r="F658" s="283"/>
      <c r="G658" s="283"/>
      <c r="H658" s="283"/>
      <c r="I658" s="283"/>
      <c r="J658" s="283"/>
      <c r="K658" s="283"/>
      <c r="L658" s="283"/>
      <c r="M658" s="283"/>
      <c r="N658" s="283"/>
      <c r="O658" s="375" t="str">
        <f t="array" ref="O658">XLOOKUP(M658,'Recruiting Form Responses'!C:C,'Recruiting Form Responses'!A:A,"",0,1)</f>
        <v/>
      </c>
      <c r="P658" s="378"/>
      <c r="Q658" s="283"/>
      <c r="R658" s="283"/>
      <c r="S658" s="283"/>
      <c r="T658" s="283"/>
      <c r="U658" s="283"/>
      <c r="V658" s="283"/>
      <c r="W658" s="283"/>
      <c r="X658" s="283"/>
      <c r="Y658" s="283"/>
    </row>
    <row r="659">
      <c r="A659" s="283"/>
      <c r="B659" s="283"/>
      <c r="C659" s="283"/>
      <c r="D659" s="283"/>
      <c r="E659" s="283"/>
      <c r="F659" s="283"/>
      <c r="G659" s="283"/>
      <c r="H659" s="283"/>
      <c r="I659" s="283"/>
      <c r="J659" s="283"/>
      <c r="K659" s="283"/>
      <c r="L659" s="283"/>
      <c r="M659" s="283"/>
      <c r="N659" s="283"/>
      <c r="O659" s="375" t="str">
        <f t="array" ref="O659">XLOOKUP(M659,'Recruiting Form Responses'!C:C,'Recruiting Form Responses'!A:A,"",0,1)</f>
        <v/>
      </c>
      <c r="P659" s="378"/>
      <c r="Q659" s="283"/>
      <c r="R659" s="283"/>
      <c r="S659" s="283"/>
      <c r="T659" s="283"/>
      <c r="U659" s="283"/>
      <c r="V659" s="283"/>
      <c r="W659" s="283"/>
      <c r="X659" s="283"/>
      <c r="Y659" s="283"/>
    </row>
    <row r="660">
      <c r="A660" s="283"/>
      <c r="B660" s="283"/>
      <c r="C660" s="283"/>
      <c r="D660" s="283"/>
      <c r="E660" s="283"/>
      <c r="F660" s="283"/>
      <c r="G660" s="283"/>
      <c r="H660" s="283"/>
      <c r="I660" s="283"/>
      <c r="J660" s="283"/>
      <c r="K660" s="283"/>
      <c r="L660" s="283"/>
      <c r="M660" s="283"/>
      <c r="N660" s="283"/>
      <c r="O660" s="375" t="str">
        <f t="array" ref="O660">XLOOKUP(M660,'Recruiting Form Responses'!C:C,'Recruiting Form Responses'!A:A,"",0,1)</f>
        <v/>
      </c>
      <c r="P660" s="378"/>
      <c r="Q660" s="283"/>
      <c r="R660" s="283"/>
      <c r="S660" s="283"/>
      <c r="T660" s="283"/>
      <c r="U660" s="283"/>
      <c r="V660" s="283"/>
      <c r="W660" s="283"/>
      <c r="X660" s="283"/>
      <c r="Y660" s="283"/>
    </row>
    <row r="661">
      <c r="A661" s="283"/>
      <c r="B661" s="283"/>
      <c r="C661" s="283"/>
      <c r="D661" s="283"/>
      <c r="E661" s="283"/>
      <c r="F661" s="283"/>
      <c r="G661" s="283"/>
      <c r="H661" s="283"/>
      <c r="I661" s="283"/>
      <c r="J661" s="283"/>
      <c r="K661" s="283"/>
      <c r="L661" s="283"/>
      <c r="M661" s="283"/>
      <c r="N661" s="283"/>
      <c r="O661" s="375" t="str">
        <f t="array" ref="O661">XLOOKUP(M661,'Recruiting Form Responses'!C:C,'Recruiting Form Responses'!A:A,"",0,1)</f>
        <v/>
      </c>
      <c r="P661" s="378"/>
      <c r="Q661" s="283"/>
      <c r="R661" s="283"/>
      <c r="S661" s="283"/>
      <c r="T661" s="283"/>
      <c r="U661" s="283"/>
      <c r="V661" s="283"/>
      <c r="W661" s="283"/>
      <c r="X661" s="283"/>
      <c r="Y661" s="283"/>
    </row>
    <row r="662">
      <c r="A662" s="283"/>
      <c r="B662" s="283"/>
      <c r="C662" s="283"/>
      <c r="D662" s="283"/>
      <c r="E662" s="283"/>
      <c r="F662" s="283"/>
      <c r="G662" s="283"/>
      <c r="H662" s="283"/>
      <c r="I662" s="283"/>
      <c r="J662" s="283"/>
      <c r="K662" s="283"/>
      <c r="L662" s="283"/>
      <c r="M662" s="283"/>
      <c r="N662" s="283"/>
      <c r="O662" s="375" t="str">
        <f t="array" ref="O662">XLOOKUP(M662,'Recruiting Form Responses'!C:C,'Recruiting Form Responses'!A:A,"",0,1)</f>
        <v/>
      </c>
      <c r="P662" s="378"/>
      <c r="Q662" s="283"/>
      <c r="R662" s="283"/>
      <c r="S662" s="283"/>
      <c r="T662" s="283"/>
      <c r="U662" s="283"/>
      <c r="V662" s="283"/>
      <c r="W662" s="283"/>
      <c r="X662" s="283"/>
      <c r="Y662" s="283"/>
    </row>
    <row r="663">
      <c r="A663" s="283"/>
      <c r="B663" s="283"/>
      <c r="C663" s="283"/>
      <c r="D663" s="283"/>
      <c r="E663" s="283"/>
      <c r="F663" s="283"/>
      <c r="G663" s="283"/>
      <c r="H663" s="283"/>
      <c r="I663" s="283"/>
      <c r="J663" s="283"/>
      <c r="K663" s="283"/>
      <c r="L663" s="283"/>
      <c r="M663" s="283"/>
      <c r="N663" s="283"/>
      <c r="O663" s="375" t="str">
        <f t="array" ref="O663">XLOOKUP(M663,'Recruiting Form Responses'!C:C,'Recruiting Form Responses'!A:A,"",0,1)</f>
        <v/>
      </c>
      <c r="P663" s="378"/>
      <c r="Q663" s="283"/>
      <c r="R663" s="283"/>
      <c r="S663" s="283"/>
      <c r="T663" s="283"/>
      <c r="U663" s="283"/>
      <c r="V663" s="283"/>
      <c r="W663" s="283"/>
      <c r="X663" s="283"/>
      <c r="Y663" s="283"/>
    </row>
    <row r="664">
      <c r="A664" s="283"/>
      <c r="B664" s="283"/>
      <c r="C664" s="283"/>
      <c r="D664" s="283"/>
      <c r="E664" s="283"/>
      <c r="F664" s="283"/>
      <c r="G664" s="283"/>
      <c r="H664" s="283"/>
      <c r="I664" s="283"/>
      <c r="J664" s="283"/>
      <c r="K664" s="283"/>
      <c r="L664" s="283"/>
      <c r="M664" s="283"/>
      <c r="N664" s="283"/>
      <c r="O664" s="375" t="str">
        <f t="array" ref="O664">XLOOKUP(M664,'Recruiting Form Responses'!C:C,'Recruiting Form Responses'!A:A,"",0,1)</f>
        <v/>
      </c>
      <c r="P664" s="378"/>
      <c r="Q664" s="283"/>
      <c r="R664" s="283"/>
      <c r="S664" s="283"/>
      <c r="T664" s="283"/>
      <c r="U664" s="283"/>
      <c r="V664" s="283"/>
      <c r="W664" s="283"/>
      <c r="X664" s="283"/>
      <c r="Y664" s="283"/>
    </row>
    <row r="665">
      <c r="A665" s="283"/>
      <c r="B665" s="283"/>
      <c r="C665" s="283"/>
      <c r="D665" s="283"/>
      <c r="E665" s="283"/>
      <c r="F665" s="283"/>
      <c r="G665" s="283"/>
      <c r="H665" s="283"/>
      <c r="I665" s="283"/>
      <c r="J665" s="283"/>
      <c r="K665" s="283"/>
      <c r="L665" s="283"/>
      <c r="M665" s="283"/>
      <c r="N665" s="283"/>
      <c r="O665" s="375" t="str">
        <f t="array" ref="O665">XLOOKUP(M665,'Recruiting Form Responses'!C:C,'Recruiting Form Responses'!A:A,"",0,1)</f>
        <v/>
      </c>
      <c r="P665" s="378"/>
      <c r="Q665" s="283"/>
      <c r="R665" s="283"/>
      <c r="S665" s="283"/>
      <c r="T665" s="283"/>
      <c r="U665" s="283"/>
      <c r="V665" s="283"/>
      <c r="W665" s="283"/>
      <c r="X665" s="283"/>
      <c r="Y665" s="283"/>
    </row>
    <row r="666">
      <c r="A666" s="283"/>
      <c r="B666" s="283"/>
      <c r="C666" s="283"/>
      <c r="D666" s="283"/>
      <c r="E666" s="283"/>
      <c r="F666" s="283"/>
      <c r="G666" s="283"/>
      <c r="H666" s="283"/>
      <c r="I666" s="283"/>
      <c r="J666" s="283"/>
      <c r="K666" s="283"/>
      <c r="L666" s="283"/>
      <c r="M666" s="283"/>
      <c r="N666" s="283"/>
      <c r="O666" s="375" t="str">
        <f t="array" ref="O666">XLOOKUP(M666,'Recruiting Form Responses'!C:C,'Recruiting Form Responses'!A:A,"",0,1)</f>
        <v/>
      </c>
      <c r="P666" s="378"/>
      <c r="Q666" s="283"/>
      <c r="R666" s="283"/>
      <c r="S666" s="283"/>
      <c r="T666" s="283"/>
      <c r="U666" s="283"/>
      <c r="V666" s="283"/>
      <c r="W666" s="283"/>
      <c r="X666" s="283"/>
      <c r="Y666" s="283"/>
    </row>
    <row r="667">
      <c r="A667" s="283"/>
      <c r="B667" s="283"/>
      <c r="C667" s="283"/>
      <c r="D667" s="283"/>
      <c r="E667" s="283"/>
      <c r="F667" s="283"/>
      <c r="G667" s="283"/>
      <c r="H667" s="283"/>
      <c r="I667" s="283"/>
      <c r="J667" s="283"/>
      <c r="K667" s="283"/>
      <c r="L667" s="283"/>
      <c r="M667" s="283"/>
      <c r="N667" s="283"/>
      <c r="O667" s="375" t="str">
        <f t="array" ref="O667">XLOOKUP(M667,'Recruiting Form Responses'!C:C,'Recruiting Form Responses'!A:A,"",0,1)</f>
        <v/>
      </c>
      <c r="P667" s="378"/>
      <c r="Q667" s="283"/>
      <c r="R667" s="283"/>
      <c r="S667" s="283"/>
      <c r="T667" s="283"/>
      <c r="U667" s="283"/>
      <c r="V667" s="283"/>
      <c r="W667" s="283"/>
      <c r="X667" s="283"/>
      <c r="Y667" s="283"/>
    </row>
    <row r="668">
      <c r="A668" s="283"/>
      <c r="B668" s="283"/>
      <c r="C668" s="283"/>
      <c r="D668" s="283"/>
      <c r="E668" s="283"/>
      <c r="F668" s="283"/>
      <c r="G668" s="283"/>
      <c r="H668" s="283"/>
      <c r="I668" s="283"/>
      <c r="J668" s="283"/>
      <c r="K668" s="283"/>
      <c r="L668" s="283"/>
      <c r="M668" s="283"/>
      <c r="N668" s="283"/>
      <c r="O668" s="375" t="str">
        <f t="array" ref="O668">XLOOKUP(M668,'Recruiting Form Responses'!C:C,'Recruiting Form Responses'!A:A,"",0,1)</f>
        <v/>
      </c>
      <c r="P668" s="378"/>
      <c r="Q668" s="283"/>
      <c r="R668" s="283"/>
      <c r="S668" s="283"/>
      <c r="T668" s="283"/>
      <c r="U668" s="283"/>
      <c r="V668" s="283"/>
      <c r="W668" s="283"/>
      <c r="X668" s="283"/>
      <c r="Y668" s="283"/>
    </row>
    <row r="669">
      <c r="A669" s="283"/>
      <c r="B669" s="283"/>
      <c r="C669" s="283"/>
      <c r="D669" s="283"/>
      <c r="E669" s="283"/>
      <c r="F669" s="283"/>
      <c r="G669" s="283"/>
      <c r="H669" s="283"/>
      <c r="I669" s="283"/>
      <c r="J669" s="283"/>
      <c r="K669" s="283"/>
      <c r="L669" s="283"/>
      <c r="M669" s="283"/>
      <c r="N669" s="283"/>
      <c r="O669" s="375" t="str">
        <f t="array" ref="O669">XLOOKUP(M669,'Recruiting Form Responses'!C:C,'Recruiting Form Responses'!A:A,"",0,1)</f>
        <v/>
      </c>
      <c r="P669" s="378"/>
      <c r="Q669" s="283"/>
      <c r="R669" s="283"/>
      <c r="S669" s="283"/>
      <c r="T669" s="283"/>
      <c r="U669" s="283"/>
      <c r="V669" s="283"/>
      <c r="W669" s="283"/>
      <c r="X669" s="283"/>
      <c r="Y669" s="283"/>
    </row>
    <row r="670">
      <c r="A670" s="283"/>
      <c r="B670" s="283"/>
      <c r="C670" s="283"/>
      <c r="D670" s="283"/>
      <c r="E670" s="283"/>
      <c r="F670" s="283"/>
      <c r="G670" s="283"/>
      <c r="H670" s="283"/>
      <c r="I670" s="283"/>
      <c r="J670" s="283"/>
      <c r="K670" s="283"/>
      <c r="L670" s="283"/>
      <c r="M670" s="283"/>
      <c r="N670" s="283"/>
      <c r="O670" s="375" t="str">
        <f t="array" ref="O670">XLOOKUP(M670,'Recruiting Form Responses'!C:C,'Recruiting Form Responses'!A:A,"",0,1)</f>
        <v/>
      </c>
      <c r="P670" s="378"/>
      <c r="Q670" s="283"/>
      <c r="R670" s="283"/>
      <c r="S670" s="283"/>
      <c r="T670" s="283"/>
      <c r="U670" s="283"/>
      <c r="V670" s="283"/>
      <c r="W670" s="283"/>
      <c r="X670" s="283"/>
      <c r="Y670" s="283"/>
    </row>
    <row r="671">
      <c r="A671" s="283"/>
      <c r="B671" s="283"/>
      <c r="C671" s="283"/>
      <c r="D671" s="283"/>
      <c r="E671" s="283"/>
      <c r="F671" s="283"/>
      <c r="G671" s="283"/>
      <c r="H671" s="283"/>
      <c r="I671" s="283"/>
      <c r="J671" s="283"/>
      <c r="K671" s="283"/>
      <c r="L671" s="283"/>
      <c r="M671" s="283"/>
      <c r="N671" s="283"/>
      <c r="O671" s="375" t="str">
        <f t="array" ref="O671">XLOOKUP(M671,'Recruiting Form Responses'!C:C,'Recruiting Form Responses'!A:A,"",0,1)</f>
        <v/>
      </c>
      <c r="P671" s="378"/>
      <c r="Q671" s="283"/>
      <c r="R671" s="283"/>
      <c r="S671" s="283"/>
      <c r="T671" s="283"/>
      <c r="U671" s="283"/>
      <c r="V671" s="283"/>
      <c r="W671" s="283"/>
      <c r="X671" s="283"/>
      <c r="Y671" s="283"/>
    </row>
    <row r="672">
      <c r="A672" s="283"/>
      <c r="B672" s="283"/>
      <c r="C672" s="283"/>
      <c r="D672" s="283"/>
      <c r="E672" s="283"/>
      <c r="F672" s="283"/>
      <c r="G672" s="283"/>
      <c r="H672" s="283"/>
      <c r="I672" s="283"/>
      <c r="J672" s="283"/>
      <c r="K672" s="283"/>
      <c r="L672" s="283"/>
      <c r="M672" s="283"/>
      <c r="N672" s="283"/>
      <c r="O672" s="375" t="str">
        <f t="array" ref="O672">XLOOKUP(M672,'Recruiting Form Responses'!C:C,'Recruiting Form Responses'!A:A,"",0,1)</f>
        <v/>
      </c>
      <c r="P672" s="378"/>
      <c r="Q672" s="283"/>
      <c r="R672" s="283"/>
      <c r="S672" s="283"/>
      <c r="T672" s="283"/>
      <c r="U672" s="283"/>
      <c r="V672" s="283"/>
      <c r="W672" s="283"/>
      <c r="X672" s="283"/>
      <c r="Y672" s="283"/>
    </row>
    <row r="673">
      <c r="A673" s="283"/>
      <c r="B673" s="283"/>
      <c r="C673" s="283"/>
      <c r="D673" s="283"/>
      <c r="E673" s="283"/>
      <c r="F673" s="283"/>
      <c r="G673" s="283"/>
      <c r="H673" s="283"/>
      <c r="I673" s="283"/>
      <c r="J673" s="283"/>
      <c r="K673" s="283"/>
      <c r="L673" s="283"/>
      <c r="M673" s="283"/>
      <c r="N673" s="283"/>
      <c r="O673" s="375" t="str">
        <f t="array" ref="O673">XLOOKUP(M673,'Recruiting Form Responses'!C:C,'Recruiting Form Responses'!A:A,"",0,1)</f>
        <v/>
      </c>
      <c r="P673" s="378"/>
      <c r="Q673" s="283"/>
      <c r="R673" s="283"/>
      <c r="S673" s="283"/>
      <c r="T673" s="283"/>
      <c r="U673" s="283"/>
      <c r="V673" s="283"/>
      <c r="W673" s="283"/>
      <c r="X673" s="283"/>
      <c r="Y673" s="283"/>
    </row>
    <row r="674">
      <c r="A674" s="283"/>
      <c r="B674" s="283"/>
      <c r="C674" s="283"/>
      <c r="D674" s="283"/>
      <c r="E674" s="283"/>
      <c r="F674" s="283"/>
      <c r="G674" s="283"/>
      <c r="H674" s="283"/>
      <c r="I674" s="283"/>
      <c r="J674" s="283"/>
      <c r="K674" s="283"/>
      <c r="L674" s="283"/>
      <c r="M674" s="283"/>
      <c r="N674" s="283"/>
      <c r="O674" s="375" t="str">
        <f t="array" ref="O674">XLOOKUP(M674,'Recruiting Form Responses'!C:C,'Recruiting Form Responses'!A:A,"",0,1)</f>
        <v/>
      </c>
      <c r="P674" s="378"/>
      <c r="Q674" s="283"/>
      <c r="R674" s="283"/>
      <c r="S674" s="283"/>
      <c r="T674" s="283"/>
      <c r="U674" s="283"/>
      <c r="V674" s="283"/>
      <c r="W674" s="283"/>
      <c r="X674" s="283"/>
      <c r="Y674" s="283"/>
    </row>
    <row r="675">
      <c r="A675" s="283"/>
      <c r="B675" s="283"/>
      <c r="C675" s="283"/>
      <c r="D675" s="283"/>
      <c r="E675" s="283"/>
      <c r="F675" s="283"/>
      <c r="G675" s="283"/>
      <c r="H675" s="283"/>
      <c r="I675" s="283"/>
      <c r="J675" s="283"/>
      <c r="K675" s="283"/>
      <c r="L675" s="283"/>
      <c r="M675" s="283"/>
      <c r="N675" s="283"/>
      <c r="O675" s="375" t="str">
        <f t="array" ref="O675">XLOOKUP(M675,'Recruiting Form Responses'!C:C,'Recruiting Form Responses'!A:A,"",0,1)</f>
        <v/>
      </c>
      <c r="P675" s="378"/>
      <c r="Q675" s="283"/>
      <c r="R675" s="283"/>
      <c r="S675" s="283"/>
      <c r="T675" s="283"/>
      <c r="U675" s="283"/>
      <c r="V675" s="283"/>
      <c r="W675" s="283"/>
      <c r="X675" s="283"/>
      <c r="Y675" s="283"/>
    </row>
    <row r="676">
      <c r="A676" s="283"/>
      <c r="B676" s="283"/>
      <c r="C676" s="283"/>
      <c r="D676" s="283"/>
      <c r="E676" s="283"/>
      <c r="F676" s="283"/>
      <c r="G676" s="283"/>
      <c r="H676" s="283"/>
      <c r="I676" s="283"/>
      <c r="J676" s="283"/>
      <c r="K676" s="283"/>
      <c r="L676" s="283"/>
      <c r="M676" s="283"/>
      <c r="N676" s="283"/>
      <c r="O676" s="375" t="str">
        <f t="array" ref="O676">XLOOKUP(M676,'Recruiting Form Responses'!C:C,'Recruiting Form Responses'!A:A,"",0,1)</f>
        <v/>
      </c>
      <c r="P676" s="378"/>
      <c r="Q676" s="283"/>
      <c r="R676" s="283"/>
      <c r="S676" s="283"/>
      <c r="T676" s="283"/>
      <c r="U676" s="283"/>
      <c r="V676" s="283"/>
      <c r="W676" s="283"/>
      <c r="X676" s="283"/>
      <c r="Y676" s="283"/>
    </row>
    <row r="677">
      <c r="A677" s="283"/>
      <c r="B677" s="283"/>
      <c r="C677" s="283"/>
      <c r="D677" s="283"/>
      <c r="E677" s="283"/>
      <c r="F677" s="283"/>
      <c r="G677" s="283"/>
      <c r="H677" s="283"/>
      <c r="I677" s="283"/>
      <c r="J677" s="283"/>
      <c r="K677" s="283"/>
      <c r="L677" s="283"/>
      <c r="M677" s="283"/>
      <c r="N677" s="283"/>
      <c r="O677" s="375" t="str">
        <f t="array" ref="O677">XLOOKUP(M677,'Recruiting Form Responses'!C:C,'Recruiting Form Responses'!A:A,"",0,1)</f>
        <v/>
      </c>
      <c r="P677" s="378"/>
      <c r="Q677" s="283"/>
      <c r="R677" s="283"/>
      <c r="S677" s="283"/>
      <c r="T677" s="283"/>
      <c r="U677" s="283"/>
      <c r="V677" s="283"/>
      <c r="W677" s="283"/>
      <c r="X677" s="283"/>
      <c r="Y677" s="283"/>
    </row>
    <row r="678">
      <c r="A678" s="283"/>
      <c r="B678" s="283"/>
      <c r="C678" s="283"/>
      <c r="D678" s="283"/>
      <c r="E678" s="283"/>
      <c r="F678" s="283"/>
      <c r="G678" s="283"/>
      <c r="H678" s="283"/>
      <c r="I678" s="283"/>
      <c r="J678" s="283"/>
      <c r="K678" s="283"/>
      <c r="L678" s="283"/>
      <c r="M678" s="283"/>
      <c r="N678" s="283"/>
      <c r="O678" s="375" t="str">
        <f t="array" ref="O678">XLOOKUP(M678,'Recruiting Form Responses'!C:C,'Recruiting Form Responses'!A:A,"",0,1)</f>
        <v/>
      </c>
      <c r="P678" s="378"/>
      <c r="Q678" s="283"/>
      <c r="R678" s="283"/>
      <c r="S678" s="283"/>
      <c r="T678" s="283"/>
      <c r="U678" s="283"/>
      <c r="V678" s="283"/>
      <c r="W678" s="283"/>
      <c r="X678" s="283"/>
      <c r="Y678" s="283"/>
    </row>
    <row r="679">
      <c r="A679" s="283"/>
      <c r="B679" s="283"/>
      <c r="C679" s="283"/>
      <c r="D679" s="283"/>
      <c r="E679" s="283"/>
      <c r="F679" s="283"/>
      <c r="G679" s="283"/>
      <c r="H679" s="283"/>
      <c r="I679" s="283"/>
      <c r="J679" s="283"/>
      <c r="K679" s="283"/>
      <c r="L679" s="283"/>
      <c r="M679" s="283"/>
      <c r="N679" s="283"/>
      <c r="O679" s="375" t="str">
        <f t="array" ref="O679">XLOOKUP(M679,'Recruiting Form Responses'!C:C,'Recruiting Form Responses'!A:A,"",0,1)</f>
        <v/>
      </c>
      <c r="P679" s="378"/>
      <c r="Q679" s="283"/>
      <c r="R679" s="283"/>
      <c r="S679" s="283"/>
      <c r="T679" s="283"/>
      <c r="U679" s="283"/>
      <c r="V679" s="283"/>
      <c r="W679" s="283"/>
      <c r="X679" s="283"/>
      <c r="Y679" s="283"/>
    </row>
    <row r="680">
      <c r="A680" s="283"/>
      <c r="B680" s="283"/>
      <c r="C680" s="283"/>
      <c r="D680" s="283"/>
      <c r="E680" s="283"/>
      <c r="F680" s="283"/>
      <c r="G680" s="283"/>
      <c r="H680" s="283"/>
      <c r="I680" s="283"/>
      <c r="J680" s="283"/>
      <c r="K680" s="283"/>
      <c r="L680" s="283"/>
      <c r="M680" s="283"/>
      <c r="N680" s="283"/>
      <c r="O680" s="375" t="str">
        <f t="array" ref="O680">XLOOKUP(M680,'Recruiting Form Responses'!C:C,'Recruiting Form Responses'!A:A,"",0,1)</f>
        <v/>
      </c>
      <c r="P680" s="378"/>
      <c r="Q680" s="283"/>
      <c r="R680" s="283"/>
      <c r="S680" s="283"/>
      <c r="T680" s="283"/>
      <c r="U680" s="283"/>
      <c r="V680" s="283"/>
      <c r="W680" s="283"/>
      <c r="X680" s="283"/>
      <c r="Y680" s="283"/>
    </row>
    <row r="681">
      <c r="A681" s="283"/>
      <c r="B681" s="283"/>
      <c r="C681" s="283"/>
      <c r="D681" s="283"/>
      <c r="E681" s="283"/>
      <c r="F681" s="283"/>
      <c r="G681" s="283"/>
      <c r="H681" s="283"/>
      <c r="I681" s="283"/>
      <c r="J681" s="283"/>
      <c r="K681" s="283"/>
      <c r="L681" s="283"/>
      <c r="M681" s="283"/>
      <c r="N681" s="283"/>
      <c r="O681" s="375" t="str">
        <f t="array" ref="O681">XLOOKUP(M681,'Recruiting Form Responses'!C:C,'Recruiting Form Responses'!A:A,"",0,1)</f>
        <v/>
      </c>
      <c r="P681" s="378"/>
      <c r="Q681" s="283"/>
      <c r="R681" s="283"/>
      <c r="S681" s="283"/>
      <c r="T681" s="283"/>
      <c r="U681" s="283"/>
      <c r="V681" s="283"/>
      <c r="W681" s="283"/>
      <c r="X681" s="283"/>
      <c r="Y681" s="283"/>
    </row>
    <row r="682">
      <c r="A682" s="283"/>
      <c r="B682" s="283"/>
      <c r="C682" s="283"/>
      <c r="D682" s="283"/>
      <c r="E682" s="283"/>
      <c r="F682" s="283"/>
      <c r="G682" s="283"/>
      <c r="H682" s="283"/>
      <c r="I682" s="283"/>
      <c r="J682" s="283"/>
      <c r="K682" s="283"/>
      <c r="L682" s="283"/>
      <c r="M682" s="283"/>
      <c r="N682" s="283"/>
      <c r="O682" s="375" t="str">
        <f t="array" ref="O682">XLOOKUP(M682,'Recruiting Form Responses'!C:C,'Recruiting Form Responses'!A:A,"",0,1)</f>
        <v/>
      </c>
      <c r="P682" s="378"/>
      <c r="Q682" s="283"/>
      <c r="R682" s="283"/>
      <c r="S682" s="283"/>
      <c r="T682" s="283"/>
      <c r="U682" s="283"/>
      <c r="V682" s="283"/>
      <c r="W682" s="283"/>
      <c r="X682" s="283"/>
      <c r="Y682" s="283"/>
    </row>
    <row r="683">
      <c r="A683" s="283"/>
      <c r="B683" s="283"/>
      <c r="C683" s="283"/>
      <c r="D683" s="283"/>
      <c r="E683" s="283"/>
      <c r="F683" s="283"/>
      <c r="G683" s="283"/>
      <c r="H683" s="283"/>
      <c r="I683" s="283"/>
      <c r="J683" s="283"/>
      <c r="K683" s="283"/>
      <c r="L683" s="283"/>
      <c r="M683" s="283"/>
      <c r="N683" s="283"/>
      <c r="O683" s="375" t="str">
        <f t="array" ref="O683">XLOOKUP(M683,'Recruiting Form Responses'!C:C,'Recruiting Form Responses'!A:A,"",0,1)</f>
        <v/>
      </c>
      <c r="P683" s="378"/>
      <c r="Q683" s="283"/>
      <c r="R683" s="283"/>
      <c r="S683" s="283"/>
      <c r="T683" s="283"/>
      <c r="U683" s="283"/>
      <c r="V683" s="283"/>
      <c r="W683" s="283"/>
      <c r="X683" s="283"/>
      <c r="Y683" s="283"/>
    </row>
    <row r="684">
      <c r="A684" s="283"/>
      <c r="B684" s="283"/>
      <c r="C684" s="283"/>
      <c r="D684" s="283"/>
      <c r="E684" s="283"/>
      <c r="F684" s="283"/>
      <c r="G684" s="283"/>
      <c r="H684" s="283"/>
      <c r="I684" s="283"/>
      <c r="J684" s="283"/>
      <c r="K684" s="283"/>
      <c r="L684" s="283"/>
      <c r="M684" s="283"/>
      <c r="N684" s="283"/>
      <c r="O684" s="375" t="str">
        <f t="array" ref="O684">XLOOKUP(M684,'Recruiting Form Responses'!C:C,'Recruiting Form Responses'!A:A,"",0,1)</f>
        <v/>
      </c>
      <c r="P684" s="378"/>
      <c r="Q684" s="283"/>
      <c r="R684" s="283"/>
      <c r="S684" s="283"/>
      <c r="T684" s="283"/>
      <c r="U684" s="283"/>
      <c r="V684" s="283"/>
      <c r="W684" s="283"/>
      <c r="X684" s="283"/>
      <c r="Y684" s="283"/>
    </row>
    <row r="685">
      <c r="A685" s="283"/>
      <c r="B685" s="283"/>
      <c r="C685" s="283"/>
      <c r="D685" s="283"/>
      <c r="E685" s="283"/>
      <c r="F685" s="283"/>
      <c r="G685" s="283"/>
      <c r="H685" s="283"/>
      <c r="I685" s="283"/>
      <c r="J685" s="283"/>
      <c r="K685" s="283"/>
      <c r="L685" s="283"/>
      <c r="M685" s="283"/>
      <c r="N685" s="283"/>
      <c r="O685" s="375" t="str">
        <f t="array" ref="O685">XLOOKUP(M685,'Recruiting Form Responses'!C:C,'Recruiting Form Responses'!A:A,"",0,1)</f>
        <v/>
      </c>
      <c r="P685" s="378"/>
      <c r="Q685" s="283"/>
      <c r="R685" s="283"/>
      <c r="S685" s="283"/>
      <c r="T685" s="283"/>
      <c r="U685" s="283"/>
      <c r="V685" s="283"/>
      <c r="W685" s="283"/>
      <c r="X685" s="283"/>
      <c r="Y685" s="283"/>
    </row>
    <row r="686">
      <c r="A686" s="283"/>
      <c r="B686" s="283"/>
      <c r="C686" s="283"/>
      <c r="D686" s="283"/>
      <c r="E686" s="283"/>
      <c r="F686" s="283"/>
      <c r="G686" s="283"/>
      <c r="H686" s="283"/>
      <c r="I686" s="283"/>
      <c r="J686" s="283"/>
      <c r="K686" s="283"/>
      <c r="L686" s="283"/>
      <c r="M686" s="283"/>
      <c r="N686" s="283"/>
      <c r="O686" s="375" t="str">
        <f t="array" ref="O686">XLOOKUP(M686,'Recruiting Form Responses'!C:C,'Recruiting Form Responses'!A:A,"",0,1)</f>
        <v/>
      </c>
      <c r="P686" s="378"/>
      <c r="Q686" s="283"/>
      <c r="R686" s="283"/>
      <c r="S686" s="283"/>
      <c r="T686" s="283"/>
      <c r="U686" s="283"/>
      <c r="V686" s="283"/>
      <c r="W686" s="283"/>
      <c r="X686" s="283"/>
      <c r="Y686" s="283"/>
    </row>
    <row r="687">
      <c r="A687" s="283"/>
      <c r="B687" s="283"/>
      <c r="C687" s="283"/>
      <c r="D687" s="283"/>
      <c r="E687" s="283"/>
      <c r="F687" s="283"/>
      <c r="G687" s="283"/>
      <c r="H687" s="283"/>
      <c r="I687" s="283"/>
      <c r="J687" s="283"/>
      <c r="K687" s="283"/>
      <c r="L687" s="283"/>
      <c r="M687" s="283"/>
      <c r="N687" s="283"/>
      <c r="O687" s="375" t="str">
        <f t="array" ref="O687">XLOOKUP(M687,'Recruiting Form Responses'!C:C,'Recruiting Form Responses'!A:A,"",0,1)</f>
        <v/>
      </c>
      <c r="P687" s="378"/>
      <c r="Q687" s="283"/>
      <c r="R687" s="283"/>
      <c r="S687" s="283"/>
      <c r="T687" s="283"/>
      <c r="U687" s="283"/>
      <c r="V687" s="283"/>
      <c r="W687" s="283"/>
      <c r="X687" s="283"/>
      <c r="Y687" s="283"/>
    </row>
    <row r="688">
      <c r="A688" s="283"/>
      <c r="B688" s="283"/>
      <c r="C688" s="283"/>
      <c r="D688" s="283"/>
      <c r="E688" s="283"/>
      <c r="F688" s="283"/>
      <c r="G688" s="283"/>
      <c r="H688" s="283"/>
      <c r="I688" s="283"/>
      <c r="J688" s="283"/>
      <c r="K688" s="283"/>
      <c r="L688" s="283"/>
      <c r="M688" s="283"/>
      <c r="N688" s="283"/>
      <c r="O688" s="375" t="str">
        <f t="array" ref="O688">XLOOKUP(M688,'Recruiting Form Responses'!C:C,'Recruiting Form Responses'!A:A,"",0,1)</f>
        <v/>
      </c>
      <c r="P688" s="378"/>
      <c r="Q688" s="283"/>
      <c r="R688" s="283"/>
      <c r="S688" s="283"/>
      <c r="T688" s="283"/>
      <c r="U688" s="283"/>
      <c r="V688" s="283"/>
      <c r="W688" s="283"/>
      <c r="X688" s="283"/>
      <c r="Y688" s="283"/>
    </row>
    <row r="689">
      <c r="A689" s="283"/>
      <c r="B689" s="283"/>
      <c r="C689" s="283"/>
      <c r="D689" s="283"/>
      <c r="E689" s="283"/>
      <c r="F689" s="283"/>
      <c r="G689" s="283"/>
      <c r="H689" s="283"/>
      <c r="I689" s="283"/>
      <c r="J689" s="283"/>
      <c r="K689" s="283"/>
      <c r="L689" s="283"/>
      <c r="M689" s="283"/>
      <c r="N689" s="283"/>
      <c r="O689" s="375" t="str">
        <f t="array" ref="O689">XLOOKUP(M689,'Recruiting Form Responses'!C:C,'Recruiting Form Responses'!A:A,"",0,1)</f>
        <v/>
      </c>
      <c r="P689" s="378"/>
      <c r="Q689" s="283"/>
      <c r="R689" s="283"/>
      <c r="S689" s="283"/>
      <c r="T689" s="283"/>
      <c r="U689" s="283"/>
      <c r="V689" s="283"/>
      <c r="W689" s="283"/>
      <c r="X689" s="283"/>
      <c r="Y689" s="283"/>
    </row>
    <row r="690">
      <c r="A690" s="283"/>
      <c r="B690" s="283"/>
      <c r="C690" s="283"/>
      <c r="D690" s="283"/>
      <c r="E690" s="283"/>
      <c r="F690" s="283"/>
      <c r="G690" s="283"/>
      <c r="H690" s="283"/>
      <c r="I690" s="283"/>
      <c r="J690" s="283"/>
      <c r="K690" s="283"/>
      <c r="L690" s="283"/>
      <c r="M690" s="283"/>
      <c r="N690" s="283"/>
      <c r="O690" s="375" t="str">
        <f t="array" ref="O690">XLOOKUP(M690,'Recruiting Form Responses'!C:C,'Recruiting Form Responses'!A:A,"",0,1)</f>
        <v/>
      </c>
      <c r="P690" s="378"/>
      <c r="Q690" s="283"/>
      <c r="R690" s="283"/>
      <c r="S690" s="283"/>
      <c r="T690" s="283"/>
      <c r="U690" s="283"/>
      <c r="V690" s="283"/>
      <c r="W690" s="283"/>
      <c r="X690" s="283"/>
      <c r="Y690" s="283"/>
    </row>
    <row r="691">
      <c r="A691" s="283"/>
      <c r="B691" s="283"/>
      <c r="C691" s="283"/>
      <c r="D691" s="283"/>
      <c r="E691" s="283"/>
      <c r="F691" s="283"/>
      <c r="G691" s="283"/>
      <c r="H691" s="283"/>
      <c r="I691" s="283"/>
      <c r="J691" s="283"/>
      <c r="K691" s="283"/>
      <c r="L691" s="283"/>
      <c r="M691" s="283"/>
      <c r="N691" s="283"/>
      <c r="O691" s="375" t="str">
        <f t="array" ref="O691">XLOOKUP(M691,'Recruiting Form Responses'!C:C,'Recruiting Form Responses'!A:A,"",0,1)</f>
        <v/>
      </c>
      <c r="P691" s="378"/>
      <c r="Q691" s="283"/>
      <c r="R691" s="283"/>
      <c r="S691" s="283"/>
      <c r="T691" s="283"/>
      <c r="U691" s="283"/>
      <c r="V691" s="283"/>
      <c r="W691" s="283"/>
      <c r="X691" s="283"/>
      <c r="Y691" s="283"/>
    </row>
    <row r="692">
      <c r="A692" s="283"/>
      <c r="B692" s="283"/>
      <c r="C692" s="283"/>
      <c r="D692" s="283"/>
      <c r="E692" s="283"/>
      <c r="F692" s="283"/>
      <c r="G692" s="283"/>
      <c r="H692" s="283"/>
      <c r="I692" s="283"/>
      <c r="J692" s="283"/>
      <c r="K692" s="283"/>
      <c r="L692" s="283"/>
      <c r="M692" s="283"/>
      <c r="N692" s="283"/>
      <c r="O692" s="375" t="str">
        <f t="array" ref="O692">XLOOKUP(M692,'Recruiting Form Responses'!C:C,'Recruiting Form Responses'!A:A,"",0,1)</f>
        <v/>
      </c>
      <c r="P692" s="378"/>
      <c r="Q692" s="283"/>
      <c r="R692" s="283"/>
      <c r="S692" s="283"/>
      <c r="T692" s="283"/>
      <c r="U692" s="283"/>
      <c r="V692" s="283"/>
      <c r="W692" s="283"/>
      <c r="X692" s="283"/>
      <c r="Y692" s="283"/>
    </row>
    <row r="693">
      <c r="A693" s="283"/>
      <c r="B693" s="283"/>
      <c r="C693" s="283"/>
      <c r="D693" s="283"/>
      <c r="E693" s="283"/>
      <c r="F693" s="283"/>
      <c r="G693" s="283"/>
      <c r="H693" s="283"/>
      <c r="I693" s="283"/>
      <c r="J693" s="283"/>
      <c r="K693" s="283"/>
      <c r="L693" s="283"/>
      <c r="M693" s="283"/>
      <c r="N693" s="283"/>
      <c r="O693" s="375" t="str">
        <f t="array" ref="O693">XLOOKUP(M693,'Recruiting Form Responses'!C:C,'Recruiting Form Responses'!A:A,"",0,1)</f>
        <v/>
      </c>
      <c r="P693" s="378"/>
      <c r="Q693" s="283"/>
      <c r="R693" s="283"/>
      <c r="S693" s="283"/>
      <c r="T693" s="283"/>
      <c r="U693" s="283"/>
      <c r="V693" s="283"/>
      <c r="W693" s="283"/>
      <c r="X693" s="283"/>
      <c r="Y693" s="283"/>
    </row>
    <row r="694">
      <c r="A694" s="283"/>
      <c r="B694" s="283"/>
      <c r="C694" s="283"/>
      <c r="D694" s="283"/>
      <c r="E694" s="283"/>
      <c r="F694" s="283"/>
      <c r="G694" s="283"/>
      <c r="H694" s="283"/>
      <c r="I694" s="283"/>
      <c r="J694" s="283"/>
      <c r="K694" s="283"/>
      <c r="L694" s="283"/>
      <c r="M694" s="283"/>
      <c r="N694" s="283"/>
      <c r="O694" s="375" t="str">
        <f t="array" ref="O694">XLOOKUP(M694,'Recruiting Form Responses'!C:C,'Recruiting Form Responses'!A:A,"",0,1)</f>
        <v/>
      </c>
      <c r="P694" s="378"/>
      <c r="Q694" s="283"/>
      <c r="R694" s="283"/>
      <c r="S694" s="283"/>
      <c r="T694" s="283"/>
      <c r="U694" s="283"/>
      <c r="V694" s="283"/>
      <c r="W694" s="283"/>
      <c r="X694" s="283"/>
      <c r="Y694" s="283"/>
    </row>
    <row r="695">
      <c r="A695" s="283"/>
      <c r="B695" s="283"/>
      <c r="C695" s="283"/>
      <c r="D695" s="283"/>
      <c r="E695" s="283"/>
      <c r="F695" s="283"/>
      <c r="G695" s="283"/>
      <c r="H695" s="283"/>
      <c r="I695" s="283"/>
      <c r="J695" s="283"/>
      <c r="K695" s="283"/>
      <c r="L695" s="283"/>
      <c r="M695" s="283"/>
      <c r="N695" s="283"/>
      <c r="O695" s="375" t="str">
        <f t="array" ref="O695">XLOOKUP(M695,'Recruiting Form Responses'!C:C,'Recruiting Form Responses'!A:A,"",0,1)</f>
        <v/>
      </c>
      <c r="P695" s="378"/>
      <c r="Q695" s="283"/>
      <c r="R695" s="283"/>
      <c r="S695" s="283"/>
      <c r="T695" s="283"/>
      <c r="U695" s="283"/>
      <c r="V695" s="283"/>
      <c r="W695" s="283"/>
      <c r="X695" s="283"/>
      <c r="Y695" s="283"/>
    </row>
    <row r="696">
      <c r="A696" s="283"/>
      <c r="B696" s="283"/>
      <c r="C696" s="283"/>
      <c r="D696" s="283"/>
      <c r="E696" s="283"/>
      <c r="F696" s="283"/>
      <c r="G696" s="283"/>
      <c r="H696" s="283"/>
      <c r="I696" s="283"/>
      <c r="J696" s="283"/>
      <c r="K696" s="283"/>
      <c r="L696" s="283"/>
      <c r="M696" s="283"/>
      <c r="N696" s="283"/>
      <c r="O696" s="375" t="str">
        <f t="array" ref="O696">XLOOKUP(M696,'Recruiting Form Responses'!C:C,'Recruiting Form Responses'!A:A,"",0,1)</f>
        <v/>
      </c>
      <c r="P696" s="378"/>
      <c r="Q696" s="283"/>
      <c r="R696" s="283"/>
      <c r="S696" s="283"/>
      <c r="T696" s="283"/>
      <c r="U696" s="283"/>
      <c r="V696" s="283"/>
      <c r="W696" s="283"/>
      <c r="X696" s="283"/>
      <c r="Y696" s="283"/>
    </row>
    <row r="697">
      <c r="A697" s="283"/>
      <c r="B697" s="283"/>
      <c r="C697" s="283"/>
      <c r="D697" s="283"/>
      <c r="E697" s="283"/>
      <c r="F697" s="283"/>
      <c r="G697" s="283"/>
      <c r="H697" s="283"/>
      <c r="I697" s="283"/>
      <c r="J697" s="283"/>
      <c r="K697" s="283"/>
      <c r="L697" s="283"/>
      <c r="M697" s="283"/>
      <c r="N697" s="283"/>
      <c r="O697" s="375" t="str">
        <f t="array" ref="O697">XLOOKUP(M697,'Recruiting Form Responses'!C:C,'Recruiting Form Responses'!A:A,"",0,1)</f>
        <v/>
      </c>
      <c r="P697" s="378"/>
      <c r="Q697" s="283"/>
      <c r="R697" s="283"/>
      <c r="S697" s="283"/>
      <c r="T697" s="283"/>
      <c r="U697" s="283"/>
      <c r="V697" s="283"/>
      <c r="W697" s="283"/>
      <c r="X697" s="283"/>
      <c r="Y697" s="283"/>
    </row>
    <row r="698">
      <c r="A698" s="283"/>
      <c r="B698" s="283"/>
      <c r="C698" s="283"/>
      <c r="D698" s="283"/>
      <c r="E698" s="283"/>
      <c r="F698" s="283"/>
      <c r="G698" s="283"/>
      <c r="H698" s="283"/>
      <c r="I698" s="283"/>
      <c r="J698" s="283"/>
      <c r="K698" s="283"/>
      <c r="L698" s="283"/>
      <c r="M698" s="283"/>
      <c r="N698" s="283"/>
      <c r="O698" s="375" t="str">
        <f t="array" ref="O698">XLOOKUP(M698,'Recruiting Form Responses'!C:C,'Recruiting Form Responses'!A:A,"",0,1)</f>
        <v/>
      </c>
      <c r="P698" s="378"/>
      <c r="Q698" s="283"/>
      <c r="R698" s="283"/>
      <c r="S698" s="283"/>
      <c r="T698" s="283"/>
      <c r="U698" s="283"/>
      <c r="V698" s="283"/>
      <c r="W698" s="283"/>
      <c r="X698" s="283"/>
      <c r="Y698" s="283"/>
    </row>
    <row r="699">
      <c r="A699" s="283"/>
      <c r="B699" s="283"/>
      <c r="C699" s="283"/>
      <c r="D699" s="283"/>
      <c r="E699" s="283"/>
      <c r="F699" s="283"/>
      <c r="G699" s="283"/>
      <c r="H699" s="283"/>
      <c r="I699" s="283"/>
      <c r="J699" s="283"/>
      <c r="K699" s="283"/>
      <c r="L699" s="283"/>
      <c r="M699" s="283"/>
      <c r="N699" s="283"/>
      <c r="O699" s="375" t="str">
        <f t="array" ref="O699">XLOOKUP(M699,'Recruiting Form Responses'!C:C,'Recruiting Form Responses'!A:A,"",0,1)</f>
        <v/>
      </c>
      <c r="P699" s="378"/>
      <c r="Q699" s="283"/>
      <c r="R699" s="283"/>
      <c r="S699" s="283"/>
      <c r="T699" s="283"/>
      <c r="U699" s="283"/>
      <c r="V699" s="283"/>
      <c r="W699" s="283"/>
      <c r="X699" s="283"/>
      <c r="Y699" s="283"/>
    </row>
    <row r="700">
      <c r="A700" s="283"/>
      <c r="B700" s="283"/>
      <c r="C700" s="283"/>
      <c r="D700" s="283"/>
      <c r="E700" s="283"/>
      <c r="F700" s="283"/>
      <c r="G700" s="283"/>
      <c r="H700" s="283"/>
      <c r="I700" s="283"/>
      <c r="J700" s="283"/>
      <c r="K700" s="283"/>
      <c r="L700" s="283"/>
      <c r="M700" s="283"/>
      <c r="N700" s="283"/>
      <c r="O700" s="375" t="str">
        <f t="array" ref="O700">XLOOKUP(M700,'Recruiting Form Responses'!C:C,'Recruiting Form Responses'!A:A,"",0,1)</f>
        <v/>
      </c>
      <c r="P700" s="378"/>
      <c r="Q700" s="283"/>
      <c r="R700" s="283"/>
      <c r="S700" s="283"/>
      <c r="T700" s="283"/>
      <c r="U700" s="283"/>
      <c r="V700" s="283"/>
      <c r="W700" s="283"/>
      <c r="X700" s="283"/>
      <c r="Y700" s="283"/>
    </row>
    <row r="701">
      <c r="A701" s="283"/>
      <c r="B701" s="283"/>
      <c r="C701" s="283"/>
      <c r="D701" s="283"/>
      <c r="E701" s="283"/>
      <c r="F701" s="283"/>
      <c r="G701" s="283"/>
      <c r="H701" s="283"/>
      <c r="I701" s="283"/>
      <c r="J701" s="283"/>
      <c r="K701" s="283"/>
      <c r="L701" s="283"/>
      <c r="M701" s="283"/>
      <c r="N701" s="283"/>
      <c r="O701" s="375" t="str">
        <f t="array" ref="O701">XLOOKUP(M701,'Recruiting Form Responses'!C:C,'Recruiting Form Responses'!A:A,"",0,1)</f>
        <v/>
      </c>
      <c r="P701" s="378"/>
      <c r="Q701" s="283"/>
      <c r="R701" s="283"/>
      <c r="S701" s="283"/>
      <c r="T701" s="283"/>
      <c r="U701" s="283"/>
      <c r="V701" s="283"/>
      <c r="W701" s="283"/>
      <c r="X701" s="283"/>
      <c r="Y701" s="283"/>
    </row>
    <row r="702">
      <c r="A702" s="283"/>
      <c r="B702" s="283"/>
      <c r="C702" s="283"/>
      <c r="D702" s="283"/>
      <c r="E702" s="283"/>
      <c r="F702" s="283"/>
      <c r="G702" s="283"/>
      <c r="H702" s="283"/>
      <c r="I702" s="283"/>
      <c r="J702" s="283"/>
      <c r="K702" s="283"/>
      <c r="L702" s="283"/>
      <c r="M702" s="283"/>
      <c r="N702" s="283"/>
      <c r="O702" s="375" t="str">
        <f t="array" ref="O702">XLOOKUP(M702,'Recruiting Form Responses'!C:C,'Recruiting Form Responses'!A:A,"",0,1)</f>
        <v/>
      </c>
      <c r="P702" s="378"/>
      <c r="Q702" s="283"/>
      <c r="R702" s="283"/>
      <c r="S702" s="283"/>
      <c r="T702" s="283"/>
      <c r="U702" s="283"/>
      <c r="V702" s="283"/>
      <c r="W702" s="283"/>
      <c r="X702" s="283"/>
      <c r="Y702" s="283"/>
    </row>
    <row r="703">
      <c r="A703" s="283"/>
      <c r="B703" s="283"/>
      <c r="C703" s="283"/>
      <c r="D703" s="283"/>
      <c r="E703" s="283"/>
      <c r="F703" s="283"/>
      <c r="G703" s="283"/>
      <c r="H703" s="283"/>
      <c r="I703" s="283"/>
      <c r="J703" s="283"/>
      <c r="K703" s="283"/>
      <c r="L703" s="283"/>
      <c r="M703" s="283"/>
      <c r="N703" s="283"/>
      <c r="O703" s="375" t="str">
        <f t="array" ref="O703">XLOOKUP(M703,'Recruiting Form Responses'!C:C,'Recruiting Form Responses'!A:A,"",0,1)</f>
        <v/>
      </c>
      <c r="P703" s="378"/>
      <c r="Q703" s="283"/>
      <c r="R703" s="283"/>
      <c r="S703" s="283"/>
      <c r="T703" s="283"/>
      <c r="U703" s="283"/>
      <c r="V703" s="283"/>
      <c r="W703" s="283"/>
      <c r="X703" s="283"/>
      <c r="Y703" s="283"/>
    </row>
    <row r="704">
      <c r="A704" s="283"/>
      <c r="B704" s="283"/>
      <c r="C704" s="283"/>
      <c r="D704" s="283"/>
      <c r="E704" s="283"/>
      <c r="F704" s="283"/>
      <c r="G704" s="283"/>
      <c r="H704" s="283"/>
      <c r="I704" s="283"/>
      <c r="J704" s="283"/>
      <c r="K704" s="283"/>
      <c r="L704" s="283"/>
      <c r="M704" s="283"/>
      <c r="N704" s="283"/>
      <c r="O704" s="375" t="str">
        <f t="array" ref="O704">XLOOKUP(M704,'Recruiting Form Responses'!C:C,'Recruiting Form Responses'!A:A,"",0,1)</f>
        <v/>
      </c>
      <c r="P704" s="378"/>
      <c r="Q704" s="283"/>
      <c r="R704" s="283"/>
      <c r="S704" s="283"/>
      <c r="T704" s="283"/>
      <c r="U704" s="283"/>
      <c r="V704" s="283"/>
      <c r="W704" s="283"/>
      <c r="X704" s="283"/>
      <c r="Y704" s="283"/>
    </row>
    <row r="705">
      <c r="A705" s="283"/>
      <c r="B705" s="283"/>
      <c r="C705" s="283"/>
      <c r="D705" s="283"/>
      <c r="E705" s="283"/>
      <c r="F705" s="283"/>
      <c r="G705" s="283"/>
      <c r="H705" s="283"/>
      <c r="I705" s="283"/>
      <c r="J705" s="283"/>
      <c r="K705" s="283"/>
      <c r="L705" s="283"/>
      <c r="M705" s="283"/>
      <c r="N705" s="283"/>
      <c r="O705" s="375" t="str">
        <f t="array" ref="O705">XLOOKUP(M705,'Recruiting Form Responses'!C:C,'Recruiting Form Responses'!A:A,"",0,1)</f>
        <v/>
      </c>
      <c r="P705" s="378"/>
      <c r="Q705" s="283"/>
      <c r="R705" s="283"/>
      <c r="S705" s="283"/>
      <c r="T705" s="283"/>
      <c r="U705" s="283"/>
      <c r="V705" s="283"/>
      <c r="W705" s="283"/>
      <c r="X705" s="283"/>
      <c r="Y705" s="283"/>
    </row>
    <row r="706">
      <c r="A706" s="283"/>
      <c r="B706" s="283"/>
      <c r="C706" s="283"/>
      <c r="D706" s="283"/>
      <c r="E706" s="283"/>
      <c r="F706" s="283"/>
      <c r="G706" s="283"/>
      <c r="H706" s="283"/>
      <c r="I706" s="283"/>
      <c r="J706" s="283"/>
      <c r="K706" s="283"/>
      <c r="L706" s="283"/>
      <c r="M706" s="283"/>
      <c r="N706" s="283"/>
      <c r="O706" s="375" t="str">
        <f t="array" ref="O706">XLOOKUP(M706,'Recruiting Form Responses'!C:C,'Recruiting Form Responses'!A:A,"",0,1)</f>
        <v/>
      </c>
      <c r="P706" s="378"/>
      <c r="Q706" s="283"/>
      <c r="R706" s="283"/>
      <c r="S706" s="283"/>
      <c r="T706" s="283"/>
      <c r="U706" s="283"/>
      <c r="V706" s="283"/>
      <c r="W706" s="283"/>
      <c r="X706" s="283"/>
      <c r="Y706" s="283"/>
    </row>
    <row r="707">
      <c r="A707" s="283"/>
      <c r="B707" s="283"/>
      <c r="C707" s="283"/>
      <c r="D707" s="283"/>
      <c r="E707" s="283"/>
      <c r="F707" s="283"/>
      <c r="G707" s="283"/>
      <c r="H707" s="283"/>
      <c r="I707" s="283"/>
      <c r="J707" s="283"/>
      <c r="K707" s="283"/>
      <c r="L707" s="283"/>
      <c r="M707" s="283"/>
      <c r="N707" s="283"/>
      <c r="O707" s="375" t="str">
        <f t="array" ref="O707">XLOOKUP(M707,'Recruiting Form Responses'!C:C,'Recruiting Form Responses'!A:A,"",0,1)</f>
        <v/>
      </c>
      <c r="P707" s="378"/>
      <c r="Q707" s="283"/>
      <c r="R707" s="283"/>
      <c r="S707" s="283"/>
      <c r="T707" s="283"/>
      <c r="U707" s="283"/>
      <c r="V707" s="283"/>
      <c r="W707" s="283"/>
      <c r="X707" s="283"/>
      <c r="Y707" s="283"/>
    </row>
    <row r="708">
      <c r="A708" s="283"/>
      <c r="B708" s="283"/>
      <c r="C708" s="283"/>
      <c r="D708" s="283"/>
      <c r="E708" s="283"/>
      <c r="F708" s="283"/>
      <c r="G708" s="283"/>
      <c r="H708" s="283"/>
      <c r="I708" s="283"/>
      <c r="J708" s="283"/>
      <c r="K708" s="283"/>
      <c r="L708" s="283"/>
      <c r="M708" s="283"/>
      <c r="N708" s="283"/>
      <c r="O708" s="375" t="str">
        <f t="array" ref="O708">XLOOKUP(M708,'Recruiting Form Responses'!C:C,'Recruiting Form Responses'!A:A,"",0,1)</f>
        <v/>
      </c>
      <c r="P708" s="378"/>
      <c r="Q708" s="283"/>
      <c r="R708" s="283"/>
      <c r="S708" s="283"/>
      <c r="T708" s="283"/>
      <c r="U708" s="283"/>
      <c r="V708" s="283"/>
      <c r="W708" s="283"/>
      <c r="X708" s="283"/>
      <c r="Y708" s="283"/>
    </row>
    <row r="709">
      <c r="A709" s="283"/>
      <c r="B709" s="283"/>
      <c r="C709" s="283"/>
      <c r="D709" s="283"/>
      <c r="E709" s="283"/>
      <c r="F709" s="283"/>
      <c r="G709" s="283"/>
      <c r="H709" s="283"/>
      <c r="I709" s="283"/>
      <c r="J709" s="283"/>
      <c r="K709" s="283"/>
      <c r="L709" s="283"/>
      <c r="M709" s="283"/>
      <c r="N709" s="283"/>
      <c r="O709" s="375" t="str">
        <f t="array" ref="O709">XLOOKUP(M709,'Recruiting Form Responses'!C:C,'Recruiting Form Responses'!A:A,"",0,1)</f>
        <v/>
      </c>
      <c r="P709" s="378"/>
      <c r="Q709" s="283"/>
      <c r="R709" s="283"/>
      <c r="S709" s="283"/>
      <c r="T709" s="283"/>
      <c r="U709" s="283"/>
      <c r="V709" s="283"/>
      <c r="W709" s="283"/>
      <c r="X709" s="283"/>
      <c r="Y709" s="283"/>
    </row>
    <row r="710">
      <c r="A710" s="283"/>
      <c r="B710" s="283"/>
      <c r="C710" s="283"/>
      <c r="D710" s="283"/>
      <c r="E710" s="283"/>
      <c r="F710" s="283"/>
      <c r="G710" s="283"/>
      <c r="H710" s="283"/>
      <c r="I710" s="283"/>
      <c r="J710" s="283"/>
      <c r="K710" s="283"/>
      <c r="L710" s="283"/>
      <c r="M710" s="283"/>
      <c r="N710" s="283"/>
      <c r="O710" s="375" t="str">
        <f t="array" ref="O710">XLOOKUP(M710,'Recruiting Form Responses'!C:C,'Recruiting Form Responses'!A:A,"",0,1)</f>
        <v/>
      </c>
      <c r="P710" s="378"/>
      <c r="Q710" s="283"/>
      <c r="R710" s="283"/>
      <c r="S710" s="283"/>
      <c r="T710" s="283"/>
      <c r="U710" s="283"/>
      <c r="V710" s="283"/>
      <c r="W710" s="283"/>
      <c r="X710" s="283"/>
      <c r="Y710" s="283"/>
    </row>
    <row r="711">
      <c r="A711" s="283"/>
      <c r="B711" s="283"/>
      <c r="C711" s="283"/>
      <c r="D711" s="283"/>
      <c r="E711" s="283"/>
      <c r="F711" s="283"/>
      <c r="G711" s="283"/>
      <c r="H711" s="283"/>
      <c r="I711" s="283"/>
      <c r="J711" s="283"/>
      <c r="K711" s="283"/>
      <c r="L711" s="283"/>
      <c r="M711" s="283"/>
      <c r="N711" s="283"/>
      <c r="O711" s="375" t="str">
        <f t="array" ref="O711">XLOOKUP(M711,'Recruiting Form Responses'!C:C,'Recruiting Form Responses'!A:A,"",0,1)</f>
        <v/>
      </c>
      <c r="P711" s="378"/>
      <c r="Q711" s="283"/>
      <c r="R711" s="283"/>
      <c r="S711" s="283"/>
      <c r="T711" s="283"/>
      <c r="U711" s="283"/>
      <c r="V711" s="283"/>
      <c r="W711" s="283"/>
      <c r="X711" s="283"/>
      <c r="Y711" s="283"/>
    </row>
    <row r="712">
      <c r="A712" s="283"/>
      <c r="B712" s="283"/>
      <c r="C712" s="283"/>
      <c r="D712" s="283"/>
      <c r="E712" s="283"/>
      <c r="F712" s="283"/>
      <c r="G712" s="283"/>
      <c r="H712" s="283"/>
      <c r="I712" s="283"/>
      <c r="J712" s="283"/>
      <c r="K712" s="283"/>
      <c r="L712" s="283"/>
      <c r="M712" s="283"/>
      <c r="N712" s="283"/>
      <c r="O712" s="375" t="str">
        <f t="array" ref="O712">XLOOKUP(M712,'Recruiting Form Responses'!C:C,'Recruiting Form Responses'!A:A,"",0,1)</f>
        <v/>
      </c>
      <c r="P712" s="378"/>
      <c r="Q712" s="283"/>
      <c r="R712" s="283"/>
      <c r="S712" s="283"/>
      <c r="T712" s="283"/>
      <c r="U712" s="283"/>
      <c r="V712" s="283"/>
      <c r="W712" s="283"/>
      <c r="X712" s="283"/>
      <c r="Y712" s="283"/>
    </row>
    <row r="713">
      <c r="A713" s="283"/>
      <c r="B713" s="283"/>
      <c r="C713" s="283"/>
      <c r="D713" s="283"/>
      <c r="E713" s="283"/>
      <c r="F713" s="283"/>
      <c r="G713" s="283"/>
      <c r="H713" s="283"/>
      <c r="I713" s="283"/>
      <c r="J713" s="283"/>
      <c r="K713" s="283"/>
      <c r="L713" s="283"/>
      <c r="M713" s="283"/>
      <c r="N713" s="283"/>
      <c r="O713" s="375" t="str">
        <f t="array" ref="O713">XLOOKUP(M713,'Recruiting Form Responses'!C:C,'Recruiting Form Responses'!A:A,"",0,1)</f>
        <v/>
      </c>
      <c r="P713" s="378"/>
      <c r="Q713" s="283"/>
      <c r="R713" s="283"/>
      <c r="S713" s="283"/>
      <c r="T713" s="283"/>
      <c r="U713" s="283"/>
      <c r="V713" s="283"/>
      <c r="W713" s="283"/>
      <c r="X713" s="283"/>
      <c r="Y713" s="283"/>
    </row>
    <row r="714">
      <c r="A714" s="283"/>
      <c r="B714" s="283"/>
      <c r="C714" s="283"/>
      <c r="D714" s="283"/>
      <c r="E714" s="283"/>
      <c r="F714" s="283"/>
      <c r="G714" s="283"/>
      <c r="H714" s="283"/>
      <c r="I714" s="283"/>
      <c r="J714" s="283"/>
      <c r="K714" s="283"/>
      <c r="L714" s="283"/>
      <c r="M714" s="283"/>
      <c r="N714" s="283"/>
      <c r="O714" s="375" t="str">
        <f t="array" ref="O714">XLOOKUP(M714,'Recruiting Form Responses'!C:C,'Recruiting Form Responses'!A:A,"",0,1)</f>
        <v/>
      </c>
      <c r="P714" s="378"/>
      <c r="Q714" s="283"/>
      <c r="R714" s="283"/>
      <c r="S714" s="283"/>
      <c r="T714" s="283"/>
      <c r="U714" s="283"/>
      <c r="V714" s="283"/>
      <c r="W714" s="283"/>
      <c r="X714" s="283"/>
      <c r="Y714" s="283"/>
    </row>
    <row r="715">
      <c r="A715" s="283"/>
      <c r="B715" s="283"/>
      <c r="C715" s="283"/>
      <c r="D715" s="283"/>
      <c r="E715" s="283"/>
      <c r="F715" s="283"/>
      <c r="G715" s="283"/>
      <c r="H715" s="283"/>
      <c r="I715" s="283"/>
      <c r="J715" s="283"/>
      <c r="K715" s="283"/>
      <c r="L715" s="283"/>
      <c r="M715" s="283"/>
      <c r="N715" s="283"/>
      <c r="O715" s="375" t="str">
        <f t="array" ref="O715">XLOOKUP(M715,'Recruiting Form Responses'!C:C,'Recruiting Form Responses'!A:A,"",0,1)</f>
        <v/>
      </c>
      <c r="P715" s="378"/>
      <c r="Q715" s="283"/>
      <c r="R715" s="283"/>
      <c r="S715" s="283"/>
      <c r="T715" s="283"/>
      <c r="U715" s="283"/>
      <c r="V715" s="283"/>
      <c r="W715" s="283"/>
      <c r="X715" s="283"/>
      <c r="Y715" s="283"/>
    </row>
    <row r="716">
      <c r="A716" s="283"/>
      <c r="B716" s="283"/>
      <c r="C716" s="283"/>
      <c r="D716" s="283"/>
      <c r="E716" s="283"/>
      <c r="F716" s="283"/>
      <c r="G716" s="283"/>
      <c r="H716" s="283"/>
      <c r="I716" s="283"/>
      <c r="J716" s="283"/>
      <c r="K716" s="283"/>
      <c r="L716" s="283"/>
      <c r="M716" s="283"/>
      <c r="N716" s="283"/>
      <c r="O716" s="375" t="str">
        <f t="array" ref="O716">XLOOKUP(M716,'Recruiting Form Responses'!C:C,'Recruiting Form Responses'!A:A,"",0,1)</f>
        <v/>
      </c>
      <c r="P716" s="378"/>
      <c r="Q716" s="283"/>
      <c r="R716" s="283"/>
      <c r="S716" s="283"/>
      <c r="T716" s="283"/>
      <c r="U716" s="283"/>
      <c r="V716" s="283"/>
      <c r="W716" s="283"/>
      <c r="X716" s="283"/>
      <c r="Y716" s="283"/>
    </row>
    <row r="717">
      <c r="A717" s="283"/>
      <c r="B717" s="283"/>
      <c r="C717" s="283"/>
      <c r="D717" s="283"/>
      <c r="E717" s="283"/>
      <c r="F717" s="283"/>
      <c r="G717" s="283"/>
      <c r="H717" s="283"/>
      <c r="I717" s="283"/>
      <c r="J717" s="283"/>
      <c r="K717" s="283"/>
      <c r="L717" s="283"/>
      <c r="M717" s="283"/>
      <c r="N717" s="283"/>
      <c r="O717" s="375" t="str">
        <f t="array" ref="O717">XLOOKUP(M717,'Recruiting Form Responses'!C:C,'Recruiting Form Responses'!A:A,"",0,1)</f>
        <v/>
      </c>
      <c r="P717" s="378"/>
      <c r="Q717" s="283"/>
      <c r="R717" s="283"/>
      <c r="S717" s="283"/>
      <c r="T717" s="283"/>
      <c r="U717" s="283"/>
      <c r="V717" s="283"/>
      <c r="W717" s="283"/>
      <c r="X717" s="283"/>
      <c r="Y717" s="283"/>
    </row>
    <row r="718">
      <c r="A718" s="283"/>
      <c r="B718" s="283"/>
      <c r="C718" s="283"/>
      <c r="D718" s="283"/>
      <c r="E718" s="283"/>
      <c r="F718" s="283"/>
      <c r="G718" s="283"/>
      <c r="H718" s="283"/>
      <c r="I718" s="283"/>
      <c r="J718" s="283"/>
      <c r="K718" s="283"/>
      <c r="L718" s="283"/>
      <c r="M718" s="283"/>
      <c r="N718" s="283"/>
      <c r="O718" s="375" t="str">
        <f t="array" ref="O718">XLOOKUP(M718,'Recruiting Form Responses'!C:C,'Recruiting Form Responses'!A:A,"",0,1)</f>
        <v/>
      </c>
      <c r="P718" s="378"/>
      <c r="Q718" s="283"/>
      <c r="R718" s="283"/>
      <c r="S718" s="283"/>
      <c r="T718" s="283"/>
      <c r="U718" s="283"/>
      <c r="V718" s="283"/>
      <c r="W718" s="283"/>
      <c r="X718" s="283"/>
      <c r="Y718" s="283"/>
    </row>
    <row r="719">
      <c r="A719" s="283"/>
      <c r="B719" s="283"/>
      <c r="C719" s="283"/>
      <c r="D719" s="283"/>
      <c r="E719" s="283"/>
      <c r="F719" s="283"/>
      <c r="G719" s="283"/>
      <c r="H719" s="283"/>
      <c r="I719" s="283"/>
      <c r="J719" s="283"/>
      <c r="K719" s="283"/>
      <c r="L719" s="283"/>
      <c r="M719" s="283"/>
      <c r="N719" s="283"/>
      <c r="O719" s="375" t="str">
        <f t="array" ref="O719">XLOOKUP(M719,'Recruiting Form Responses'!C:C,'Recruiting Form Responses'!A:A,"",0,1)</f>
        <v/>
      </c>
      <c r="P719" s="378"/>
      <c r="Q719" s="283"/>
      <c r="R719" s="283"/>
      <c r="S719" s="283"/>
      <c r="T719" s="283"/>
      <c r="U719" s="283"/>
      <c r="V719" s="283"/>
      <c r="W719" s="283"/>
      <c r="X719" s="283"/>
      <c r="Y719" s="283"/>
    </row>
    <row r="720">
      <c r="A720" s="283"/>
      <c r="B720" s="283"/>
      <c r="C720" s="283"/>
      <c r="D720" s="283"/>
      <c r="E720" s="283"/>
      <c r="F720" s="283"/>
      <c r="G720" s="283"/>
      <c r="H720" s="283"/>
      <c r="I720" s="283"/>
      <c r="J720" s="283"/>
      <c r="K720" s="283"/>
      <c r="L720" s="283"/>
      <c r="M720" s="283"/>
      <c r="N720" s="283"/>
      <c r="O720" s="375" t="str">
        <f t="array" ref="O720">XLOOKUP(M720,'Recruiting Form Responses'!C:C,'Recruiting Form Responses'!A:A,"",0,1)</f>
        <v/>
      </c>
      <c r="P720" s="378"/>
      <c r="Q720" s="283"/>
      <c r="R720" s="283"/>
      <c r="S720" s="283"/>
      <c r="T720" s="283"/>
      <c r="U720" s="283"/>
      <c r="V720" s="283"/>
      <c r="W720" s="283"/>
      <c r="X720" s="283"/>
      <c r="Y720" s="283"/>
    </row>
    <row r="721">
      <c r="A721" s="283"/>
      <c r="B721" s="283"/>
      <c r="C721" s="283"/>
      <c r="D721" s="283"/>
      <c r="E721" s="283"/>
      <c r="F721" s="283"/>
      <c r="G721" s="283"/>
      <c r="H721" s="283"/>
      <c r="I721" s="283"/>
      <c r="J721" s="283"/>
      <c r="K721" s="283"/>
      <c r="L721" s="283"/>
      <c r="M721" s="283"/>
      <c r="N721" s="283"/>
      <c r="O721" s="375" t="str">
        <f t="array" ref="O721">XLOOKUP(M721,'Recruiting Form Responses'!C:C,'Recruiting Form Responses'!A:A,"",0,1)</f>
        <v/>
      </c>
      <c r="P721" s="378"/>
      <c r="Q721" s="283"/>
      <c r="R721" s="283"/>
      <c r="S721" s="283"/>
      <c r="T721" s="283"/>
      <c r="U721" s="283"/>
      <c r="V721" s="283"/>
      <c r="W721" s="283"/>
      <c r="X721" s="283"/>
      <c r="Y721" s="283"/>
    </row>
    <row r="722">
      <c r="A722" s="283"/>
      <c r="B722" s="283"/>
      <c r="C722" s="283"/>
      <c r="D722" s="283"/>
      <c r="E722" s="283"/>
      <c r="F722" s="283"/>
      <c r="G722" s="283"/>
      <c r="H722" s="283"/>
      <c r="I722" s="283"/>
      <c r="J722" s="283"/>
      <c r="K722" s="283"/>
      <c r="L722" s="283"/>
      <c r="M722" s="283"/>
      <c r="N722" s="283"/>
      <c r="O722" s="375" t="str">
        <f t="array" ref="O722">XLOOKUP(M722,'Recruiting Form Responses'!C:C,'Recruiting Form Responses'!A:A,"",0,1)</f>
        <v/>
      </c>
      <c r="P722" s="378"/>
      <c r="Q722" s="283"/>
      <c r="R722" s="283"/>
      <c r="S722" s="283"/>
      <c r="T722" s="283"/>
      <c r="U722" s="283"/>
      <c r="V722" s="283"/>
      <c r="W722" s="283"/>
      <c r="X722" s="283"/>
      <c r="Y722" s="283"/>
    </row>
    <row r="723">
      <c r="A723" s="283"/>
      <c r="B723" s="283"/>
      <c r="C723" s="283"/>
      <c r="D723" s="283"/>
      <c r="E723" s="283"/>
      <c r="F723" s="283"/>
      <c r="G723" s="283"/>
      <c r="H723" s="283"/>
      <c r="I723" s="283"/>
      <c r="J723" s="283"/>
      <c r="K723" s="283"/>
      <c r="L723" s="283"/>
      <c r="M723" s="283"/>
      <c r="N723" s="283"/>
      <c r="O723" s="375" t="str">
        <f t="array" ref="O723">XLOOKUP(M723,'Recruiting Form Responses'!C:C,'Recruiting Form Responses'!A:A,"",0,1)</f>
        <v/>
      </c>
      <c r="P723" s="378"/>
      <c r="Q723" s="283"/>
      <c r="R723" s="283"/>
      <c r="S723" s="283"/>
      <c r="T723" s="283"/>
      <c r="U723" s="283"/>
      <c r="V723" s="283"/>
      <c r="W723" s="283"/>
      <c r="X723" s="283"/>
      <c r="Y723" s="283"/>
    </row>
    <row r="724">
      <c r="A724" s="283"/>
      <c r="B724" s="283"/>
      <c r="C724" s="283"/>
      <c r="D724" s="283"/>
      <c r="E724" s="283"/>
      <c r="F724" s="283"/>
      <c r="G724" s="283"/>
      <c r="H724" s="283"/>
      <c r="I724" s="283"/>
      <c r="J724" s="283"/>
      <c r="K724" s="283"/>
      <c r="L724" s="283"/>
      <c r="M724" s="283"/>
      <c r="N724" s="283"/>
      <c r="O724" s="375" t="str">
        <f t="array" ref="O724">XLOOKUP(M724,'Recruiting Form Responses'!C:C,'Recruiting Form Responses'!A:A,"",0,1)</f>
        <v/>
      </c>
      <c r="P724" s="378"/>
      <c r="Q724" s="283"/>
      <c r="R724" s="283"/>
      <c r="S724" s="283"/>
      <c r="T724" s="283"/>
      <c r="U724" s="283"/>
      <c r="V724" s="283"/>
      <c r="W724" s="283"/>
      <c r="X724" s="283"/>
      <c r="Y724" s="283"/>
    </row>
    <row r="725">
      <c r="A725" s="283"/>
      <c r="B725" s="283"/>
      <c r="C725" s="283"/>
      <c r="D725" s="283"/>
      <c r="E725" s="283"/>
      <c r="F725" s="283"/>
      <c r="G725" s="283"/>
      <c r="H725" s="283"/>
      <c r="I725" s="283"/>
      <c r="J725" s="283"/>
      <c r="K725" s="283"/>
      <c r="L725" s="283"/>
      <c r="M725" s="283"/>
      <c r="N725" s="283"/>
      <c r="O725" s="375" t="str">
        <f t="array" ref="O725">XLOOKUP(M725,'Recruiting Form Responses'!C:C,'Recruiting Form Responses'!A:A,"",0,1)</f>
        <v/>
      </c>
      <c r="P725" s="378"/>
      <c r="Q725" s="283"/>
      <c r="R725" s="283"/>
      <c r="S725" s="283"/>
      <c r="T725" s="283"/>
      <c r="U725" s="283"/>
      <c r="V725" s="283"/>
      <c r="W725" s="283"/>
      <c r="X725" s="283"/>
      <c r="Y725" s="283"/>
    </row>
    <row r="726">
      <c r="A726" s="283"/>
      <c r="B726" s="283"/>
      <c r="C726" s="283"/>
      <c r="D726" s="283"/>
      <c r="E726" s="283"/>
      <c r="F726" s="283"/>
      <c r="G726" s="283"/>
      <c r="H726" s="283"/>
      <c r="I726" s="283"/>
      <c r="J726" s="283"/>
      <c r="K726" s="283"/>
      <c r="L726" s="283"/>
      <c r="M726" s="283"/>
      <c r="N726" s="283"/>
      <c r="O726" s="375" t="str">
        <f t="array" ref="O726">XLOOKUP(M726,'Recruiting Form Responses'!C:C,'Recruiting Form Responses'!A:A,"",0,1)</f>
        <v/>
      </c>
      <c r="P726" s="378"/>
      <c r="Q726" s="283"/>
      <c r="R726" s="283"/>
      <c r="S726" s="283"/>
      <c r="T726" s="283"/>
      <c r="U726" s="283"/>
      <c r="V726" s="283"/>
      <c r="W726" s="283"/>
      <c r="X726" s="283"/>
      <c r="Y726" s="283"/>
    </row>
    <row r="727">
      <c r="A727" s="283"/>
      <c r="B727" s="283"/>
      <c r="C727" s="283"/>
      <c r="D727" s="283"/>
      <c r="E727" s="283"/>
      <c r="F727" s="283"/>
      <c r="G727" s="283"/>
      <c r="H727" s="283"/>
      <c r="I727" s="283"/>
      <c r="J727" s="283"/>
      <c r="K727" s="283"/>
      <c r="L727" s="283"/>
      <c r="M727" s="283"/>
      <c r="N727" s="283"/>
      <c r="O727" s="375" t="str">
        <f t="array" ref="O727">XLOOKUP(M727,'Recruiting Form Responses'!C:C,'Recruiting Form Responses'!A:A,"",0,1)</f>
        <v/>
      </c>
      <c r="P727" s="378"/>
      <c r="Q727" s="283"/>
      <c r="R727" s="283"/>
      <c r="S727" s="283"/>
      <c r="T727" s="283"/>
      <c r="U727" s="283"/>
      <c r="V727" s="283"/>
      <c r="W727" s="283"/>
      <c r="X727" s="283"/>
      <c r="Y727" s="283"/>
    </row>
    <row r="728">
      <c r="A728" s="283"/>
      <c r="B728" s="283"/>
      <c r="C728" s="283"/>
      <c r="D728" s="283"/>
      <c r="E728" s="283"/>
      <c r="F728" s="283"/>
      <c r="G728" s="283"/>
      <c r="H728" s="283"/>
      <c r="I728" s="283"/>
      <c r="J728" s="283"/>
      <c r="K728" s="283"/>
      <c r="L728" s="283"/>
      <c r="M728" s="283"/>
      <c r="N728" s="283"/>
      <c r="O728" s="375" t="str">
        <f t="array" ref="O728">XLOOKUP(M728,'Recruiting Form Responses'!C:C,'Recruiting Form Responses'!A:A,"",0,1)</f>
        <v/>
      </c>
      <c r="P728" s="378"/>
      <c r="Q728" s="283"/>
      <c r="R728" s="283"/>
      <c r="S728" s="283"/>
      <c r="T728" s="283"/>
      <c r="U728" s="283"/>
      <c r="V728" s="283"/>
      <c r="W728" s="283"/>
      <c r="X728" s="283"/>
      <c r="Y728" s="283"/>
    </row>
    <row r="729">
      <c r="A729" s="283"/>
      <c r="B729" s="283"/>
      <c r="C729" s="283"/>
      <c r="D729" s="283"/>
      <c r="E729" s="283"/>
      <c r="F729" s="283"/>
      <c r="G729" s="283"/>
      <c r="H729" s="283"/>
      <c r="I729" s="283"/>
      <c r="J729" s="283"/>
      <c r="K729" s="283"/>
      <c r="L729" s="283"/>
      <c r="M729" s="283"/>
      <c r="N729" s="283"/>
      <c r="O729" s="375" t="str">
        <f t="array" ref="O729">XLOOKUP(M729,'Recruiting Form Responses'!C:C,'Recruiting Form Responses'!A:A,"",0,1)</f>
        <v/>
      </c>
      <c r="P729" s="378"/>
      <c r="Q729" s="283"/>
      <c r="R729" s="283"/>
      <c r="S729" s="283"/>
      <c r="T729" s="283"/>
      <c r="U729" s="283"/>
      <c r="V729" s="283"/>
      <c r="W729" s="283"/>
      <c r="X729" s="283"/>
      <c r="Y729" s="283"/>
    </row>
    <row r="730">
      <c r="A730" s="283"/>
      <c r="B730" s="283"/>
      <c r="C730" s="283"/>
      <c r="D730" s="283"/>
      <c r="E730" s="283"/>
      <c r="F730" s="283"/>
      <c r="G730" s="283"/>
      <c r="H730" s="283"/>
      <c r="I730" s="283"/>
      <c r="J730" s="283"/>
      <c r="K730" s="283"/>
      <c r="L730" s="283"/>
      <c r="M730" s="283"/>
      <c r="N730" s="283"/>
      <c r="O730" s="375" t="str">
        <f t="array" ref="O730">XLOOKUP(M730,'Recruiting Form Responses'!C:C,'Recruiting Form Responses'!A:A,"",0,1)</f>
        <v/>
      </c>
      <c r="P730" s="378"/>
      <c r="Q730" s="283"/>
      <c r="R730" s="283"/>
      <c r="S730" s="283"/>
      <c r="T730" s="283"/>
      <c r="U730" s="283"/>
      <c r="V730" s="283"/>
      <c r="W730" s="283"/>
      <c r="X730" s="283"/>
      <c r="Y730" s="283"/>
    </row>
    <row r="731">
      <c r="A731" s="283"/>
      <c r="B731" s="283"/>
      <c r="C731" s="283"/>
      <c r="D731" s="283"/>
      <c r="E731" s="283"/>
      <c r="F731" s="283"/>
      <c r="G731" s="283"/>
      <c r="H731" s="283"/>
      <c r="I731" s="283"/>
      <c r="J731" s="283"/>
      <c r="K731" s="283"/>
      <c r="L731" s="283"/>
      <c r="M731" s="283"/>
      <c r="N731" s="283"/>
      <c r="O731" s="375" t="str">
        <f t="array" ref="O731">XLOOKUP(M731,'Recruiting Form Responses'!C:C,'Recruiting Form Responses'!A:A,"",0,1)</f>
        <v/>
      </c>
      <c r="P731" s="378"/>
      <c r="Q731" s="283"/>
      <c r="R731" s="283"/>
      <c r="S731" s="283"/>
      <c r="T731" s="283"/>
      <c r="U731" s="283"/>
      <c r="V731" s="283"/>
      <c r="W731" s="283"/>
      <c r="X731" s="283"/>
      <c r="Y731" s="283"/>
    </row>
    <row r="732">
      <c r="A732" s="283"/>
      <c r="B732" s="283"/>
      <c r="C732" s="283"/>
      <c r="D732" s="283"/>
      <c r="E732" s="283"/>
      <c r="F732" s="283"/>
      <c r="G732" s="283"/>
      <c r="H732" s="283"/>
      <c r="I732" s="283"/>
      <c r="J732" s="283"/>
      <c r="K732" s="283"/>
      <c r="L732" s="283"/>
      <c r="M732" s="283"/>
      <c r="N732" s="283"/>
      <c r="O732" s="375" t="str">
        <f t="array" ref="O732">XLOOKUP(M732,'Recruiting Form Responses'!C:C,'Recruiting Form Responses'!A:A,"",0,1)</f>
        <v/>
      </c>
      <c r="P732" s="378"/>
      <c r="Q732" s="283"/>
      <c r="R732" s="283"/>
      <c r="S732" s="283"/>
      <c r="T732" s="283"/>
      <c r="U732" s="283"/>
      <c r="V732" s="283"/>
      <c r="W732" s="283"/>
      <c r="X732" s="283"/>
      <c r="Y732" s="283"/>
    </row>
    <row r="733">
      <c r="A733" s="283"/>
      <c r="B733" s="283"/>
      <c r="C733" s="283"/>
      <c r="D733" s="283"/>
      <c r="E733" s="283"/>
      <c r="F733" s="283"/>
      <c r="G733" s="283"/>
      <c r="H733" s="283"/>
      <c r="I733" s="283"/>
      <c r="J733" s="283"/>
      <c r="K733" s="283"/>
      <c r="L733" s="283"/>
      <c r="M733" s="283"/>
      <c r="N733" s="283"/>
      <c r="O733" s="375" t="str">
        <f t="array" ref="O733">XLOOKUP(M733,'Recruiting Form Responses'!C:C,'Recruiting Form Responses'!A:A,"",0,1)</f>
        <v/>
      </c>
      <c r="P733" s="378"/>
      <c r="Q733" s="283"/>
      <c r="R733" s="283"/>
      <c r="S733" s="283"/>
      <c r="T733" s="283"/>
      <c r="U733" s="283"/>
      <c r="V733" s="283"/>
      <c r="W733" s="283"/>
      <c r="X733" s="283"/>
      <c r="Y733" s="283"/>
    </row>
    <row r="734">
      <c r="A734" s="283"/>
      <c r="B734" s="283"/>
      <c r="C734" s="283"/>
      <c r="D734" s="283"/>
      <c r="E734" s="283"/>
      <c r="F734" s="283"/>
      <c r="G734" s="283"/>
      <c r="H734" s="283"/>
      <c r="I734" s="283"/>
      <c r="J734" s="283"/>
      <c r="K734" s="283"/>
      <c r="L734" s="283"/>
      <c r="M734" s="283"/>
      <c r="N734" s="283"/>
      <c r="O734" s="375" t="str">
        <f t="array" ref="O734">XLOOKUP(M734,'Recruiting Form Responses'!C:C,'Recruiting Form Responses'!A:A,"",0,1)</f>
        <v/>
      </c>
      <c r="P734" s="378"/>
      <c r="Q734" s="283"/>
      <c r="R734" s="283"/>
      <c r="S734" s="283"/>
      <c r="T734" s="283"/>
      <c r="U734" s="283"/>
      <c r="V734" s="283"/>
      <c r="W734" s="283"/>
      <c r="X734" s="283"/>
      <c r="Y734" s="283"/>
    </row>
    <row r="735">
      <c r="A735" s="283"/>
      <c r="B735" s="283"/>
      <c r="C735" s="283"/>
      <c r="D735" s="283"/>
      <c r="E735" s="283"/>
      <c r="F735" s="283"/>
      <c r="G735" s="283"/>
      <c r="H735" s="283"/>
      <c r="I735" s="283"/>
      <c r="J735" s="283"/>
      <c r="K735" s="283"/>
      <c r="L735" s="283"/>
      <c r="M735" s="283"/>
      <c r="N735" s="283"/>
      <c r="O735" s="375" t="str">
        <f t="array" ref="O735">XLOOKUP(M735,'Recruiting Form Responses'!C:C,'Recruiting Form Responses'!A:A,"",0,1)</f>
        <v/>
      </c>
      <c r="P735" s="378"/>
      <c r="Q735" s="283"/>
      <c r="R735" s="283"/>
      <c r="S735" s="283"/>
      <c r="T735" s="283"/>
      <c r="U735" s="283"/>
      <c r="V735" s="283"/>
      <c r="W735" s="283"/>
      <c r="X735" s="283"/>
      <c r="Y735" s="283"/>
    </row>
    <row r="736">
      <c r="A736" s="283"/>
      <c r="B736" s="283"/>
      <c r="C736" s="283"/>
      <c r="D736" s="283"/>
      <c r="E736" s="283"/>
      <c r="F736" s="283"/>
      <c r="G736" s="283"/>
      <c r="H736" s="283"/>
      <c r="I736" s="283"/>
      <c r="J736" s="283"/>
      <c r="K736" s="283"/>
      <c r="L736" s="283"/>
      <c r="M736" s="283"/>
      <c r="N736" s="283"/>
      <c r="O736" s="375" t="str">
        <f t="array" ref="O736">XLOOKUP(M736,'Recruiting Form Responses'!C:C,'Recruiting Form Responses'!A:A,"",0,1)</f>
        <v/>
      </c>
      <c r="P736" s="378"/>
      <c r="Q736" s="283"/>
      <c r="R736" s="283"/>
      <c r="S736" s="283"/>
      <c r="T736" s="283"/>
      <c r="U736" s="283"/>
      <c r="V736" s="283"/>
      <c r="W736" s="283"/>
      <c r="X736" s="283"/>
      <c r="Y736" s="283"/>
    </row>
    <row r="737">
      <c r="A737" s="283"/>
      <c r="B737" s="283"/>
      <c r="C737" s="283"/>
      <c r="D737" s="283"/>
      <c r="E737" s="283"/>
      <c r="F737" s="283"/>
      <c r="G737" s="283"/>
      <c r="H737" s="283"/>
      <c r="I737" s="283"/>
      <c r="J737" s="283"/>
      <c r="K737" s="283"/>
      <c r="L737" s="283"/>
      <c r="M737" s="283"/>
      <c r="N737" s="283"/>
      <c r="O737" s="375" t="str">
        <f t="array" ref="O737">XLOOKUP(M737,'Recruiting Form Responses'!C:C,'Recruiting Form Responses'!A:A,"",0,1)</f>
        <v/>
      </c>
      <c r="P737" s="378"/>
      <c r="Q737" s="283"/>
      <c r="R737" s="283"/>
      <c r="S737" s="283"/>
      <c r="T737" s="283"/>
      <c r="U737" s="283"/>
      <c r="V737" s="283"/>
      <c r="W737" s="283"/>
      <c r="X737" s="283"/>
      <c r="Y737" s="283"/>
    </row>
    <row r="738">
      <c r="A738" s="283"/>
      <c r="B738" s="283"/>
      <c r="C738" s="283"/>
      <c r="D738" s="283"/>
      <c r="E738" s="283"/>
      <c r="F738" s="283"/>
      <c r="G738" s="283"/>
      <c r="H738" s="283"/>
      <c r="I738" s="283"/>
      <c r="J738" s="283"/>
      <c r="K738" s="283"/>
      <c r="L738" s="283"/>
      <c r="M738" s="283"/>
      <c r="N738" s="283"/>
      <c r="O738" s="375" t="str">
        <f t="array" ref="O738">XLOOKUP(M738,'Recruiting Form Responses'!C:C,'Recruiting Form Responses'!A:A,"",0,1)</f>
        <v/>
      </c>
      <c r="P738" s="378"/>
      <c r="Q738" s="283"/>
      <c r="R738" s="283"/>
      <c r="S738" s="283"/>
      <c r="T738" s="283"/>
      <c r="U738" s="283"/>
      <c r="V738" s="283"/>
      <c r="W738" s="283"/>
      <c r="X738" s="283"/>
      <c r="Y738" s="283"/>
    </row>
    <row r="739">
      <c r="A739" s="283"/>
      <c r="B739" s="283"/>
      <c r="C739" s="283"/>
      <c r="D739" s="283"/>
      <c r="E739" s="283"/>
      <c r="F739" s="283"/>
      <c r="G739" s="283"/>
      <c r="H739" s="283"/>
      <c r="I739" s="283"/>
      <c r="J739" s="283"/>
      <c r="K739" s="283"/>
      <c r="L739" s="283"/>
      <c r="M739" s="283"/>
      <c r="N739" s="283"/>
      <c r="O739" s="375" t="str">
        <f t="array" ref="O739">XLOOKUP(M739,'Recruiting Form Responses'!C:C,'Recruiting Form Responses'!A:A,"",0,1)</f>
        <v/>
      </c>
      <c r="P739" s="378"/>
      <c r="Q739" s="283"/>
      <c r="R739" s="283"/>
      <c r="S739" s="283"/>
      <c r="T739" s="283"/>
      <c r="U739" s="283"/>
      <c r="V739" s="283"/>
      <c r="W739" s="283"/>
      <c r="X739" s="283"/>
      <c r="Y739" s="283"/>
    </row>
    <row r="740">
      <c r="A740" s="283"/>
      <c r="B740" s="283"/>
      <c r="C740" s="283"/>
      <c r="D740" s="283"/>
      <c r="E740" s="283"/>
      <c r="F740" s="283"/>
      <c r="G740" s="283"/>
      <c r="H740" s="283"/>
      <c r="I740" s="283"/>
      <c r="J740" s="283"/>
      <c r="K740" s="283"/>
      <c r="L740" s="283"/>
      <c r="M740" s="283"/>
      <c r="N740" s="283"/>
      <c r="O740" s="375" t="str">
        <f t="array" ref="O740">XLOOKUP(M740,'Recruiting Form Responses'!C:C,'Recruiting Form Responses'!A:A,"",0,1)</f>
        <v/>
      </c>
      <c r="P740" s="378"/>
      <c r="Q740" s="283"/>
      <c r="R740" s="283"/>
      <c r="S740" s="283"/>
      <c r="T740" s="283"/>
      <c r="U740" s="283"/>
      <c r="V740" s="283"/>
      <c r="W740" s="283"/>
      <c r="X740" s="283"/>
      <c r="Y740" s="283"/>
    </row>
    <row r="741">
      <c r="A741" s="283"/>
      <c r="B741" s="283"/>
      <c r="C741" s="283"/>
      <c r="D741" s="283"/>
      <c r="E741" s="283"/>
      <c r="F741" s="283"/>
      <c r="G741" s="283"/>
      <c r="H741" s="283"/>
      <c r="I741" s="283"/>
      <c r="J741" s="283"/>
      <c r="K741" s="283"/>
      <c r="L741" s="283"/>
      <c r="M741" s="283"/>
      <c r="N741" s="283"/>
      <c r="O741" s="375" t="str">
        <f t="array" ref="O741">XLOOKUP(M741,'Recruiting Form Responses'!C:C,'Recruiting Form Responses'!A:A,"",0,1)</f>
        <v/>
      </c>
      <c r="P741" s="378"/>
      <c r="Q741" s="283"/>
      <c r="R741" s="283"/>
      <c r="S741" s="283"/>
      <c r="T741" s="283"/>
      <c r="U741" s="283"/>
      <c r="V741" s="283"/>
      <c r="W741" s="283"/>
      <c r="X741" s="283"/>
      <c r="Y741" s="283"/>
    </row>
    <row r="742">
      <c r="A742" s="283"/>
      <c r="B742" s="283"/>
      <c r="C742" s="283"/>
      <c r="D742" s="283"/>
      <c r="E742" s="283"/>
      <c r="F742" s="283"/>
      <c r="G742" s="283"/>
      <c r="H742" s="283"/>
      <c r="I742" s="283"/>
      <c r="J742" s="283"/>
      <c r="K742" s="283"/>
      <c r="L742" s="283"/>
      <c r="M742" s="283"/>
      <c r="N742" s="283"/>
      <c r="O742" s="375" t="str">
        <f t="array" ref="O742">XLOOKUP(M742,'Recruiting Form Responses'!C:C,'Recruiting Form Responses'!A:A,"",0,1)</f>
        <v/>
      </c>
      <c r="P742" s="378"/>
      <c r="Q742" s="283"/>
      <c r="R742" s="283"/>
      <c r="S742" s="283"/>
      <c r="T742" s="283"/>
      <c r="U742" s="283"/>
      <c r="V742" s="283"/>
      <c r="W742" s="283"/>
      <c r="X742" s="283"/>
      <c r="Y742" s="283"/>
    </row>
    <row r="743">
      <c r="A743" s="283"/>
      <c r="B743" s="283"/>
      <c r="C743" s="283"/>
      <c r="D743" s="283"/>
      <c r="E743" s="283"/>
      <c r="F743" s="283"/>
      <c r="G743" s="283"/>
      <c r="H743" s="283"/>
      <c r="I743" s="283"/>
      <c r="J743" s="283"/>
      <c r="K743" s="283"/>
      <c r="L743" s="283"/>
      <c r="M743" s="283"/>
      <c r="N743" s="283"/>
      <c r="O743" s="375" t="str">
        <f t="array" ref="O743">XLOOKUP(M743,'Recruiting Form Responses'!C:C,'Recruiting Form Responses'!A:A,"",0,1)</f>
        <v/>
      </c>
      <c r="P743" s="378"/>
      <c r="Q743" s="283"/>
      <c r="R743" s="283"/>
      <c r="S743" s="283"/>
      <c r="T743" s="283"/>
      <c r="U743" s="283"/>
      <c r="V743" s="283"/>
      <c r="W743" s="283"/>
      <c r="X743" s="283"/>
      <c r="Y743" s="283"/>
    </row>
    <row r="744">
      <c r="A744" s="283"/>
      <c r="B744" s="283"/>
      <c r="C744" s="283"/>
      <c r="D744" s="283"/>
      <c r="E744" s="283"/>
      <c r="F744" s="283"/>
      <c r="G744" s="283"/>
      <c r="H744" s="283"/>
      <c r="I744" s="283"/>
      <c r="J744" s="283"/>
      <c r="K744" s="283"/>
      <c r="L744" s="283"/>
      <c r="M744" s="283"/>
      <c r="N744" s="283"/>
      <c r="O744" s="375" t="str">
        <f t="array" ref="O744">XLOOKUP(M744,'Recruiting Form Responses'!C:C,'Recruiting Form Responses'!A:A,"",0,1)</f>
        <v/>
      </c>
      <c r="P744" s="378"/>
      <c r="Q744" s="283"/>
      <c r="R744" s="283"/>
      <c r="S744" s="283"/>
      <c r="T744" s="283"/>
      <c r="U744" s="283"/>
      <c r="V744" s="283"/>
      <c r="W744" s="283"/>
      <c r="X744" s="283"/>
      <c r="Y744" s="283"/>
    </row>
    <row r="745">
      <c r="A745" s="283"/>
      <c r="B745" s="283"/>
      <c r="C745" s="283"/>
      <c r="D745" s="283"/>
      <c r="E745" s="283"/>
      <c r="F745" s="283"/>
      <c r="G745" s="283"/>
      <c r="H745" s="283"/>
      <c r="I745" s="283"/>
      <c r="J745" s="283"/>
      <c r="K745" s="283"/>
      <c r="L745" s="283"/>
      <c r="M745" s="283"/>
      <c r="N745" s="283"/>
      <c r="O745" s="375" t="str">
        <f t="array" ref="O745">XLOOKUP(M745,'Recruiting Form Responses'!C:C,'Recruiting Form Responses'!A:A,"",0,1)</f>
        <v/>
      </c>
      <c r="P745" s="378"/>
      <c r="Q745" s="283"/>
      <c r="R745" s="283"/>
      <c r="S745" s="283"/>
      <c r="T745" s="283"/>
      <c r="U745" s="283"/>
      <c r="V745" s="283"/>
      <c r="W745" s="283"/>
      <c r="X745" s="283"/>
      <c r="Y745" s="283"/>
    </row>
    <row r="746">
      <c r="A746" s="283"/>
      <c r="B746" s="283"/>
      <c r="C746" s="283"/>
      <c r="D746" s="283"/>
      <c r="E746" s="283"/>
      <c r="F746" s="283"/>
      <c r="G746" s="283"/>
      <c r="H746" s="283"/>
      <c r="I746" s="283"/>
      <c r="J746" s="283"/>
      <c r="K746" s="283"/>
      <c r="L746" s="283"/>
      <c r="M746" s="283"/>
      <c r="N746" s="283"/>
      <c r="O746" s="375" t="str">
        <f t="array" ref="O746">XLOOKUP(M746,'Recruiting Form Responses'!C:C,'Recruiting Form Responses'!A:A,"",0,1)</f>
        <v/>
      </c>
      <c r="P746" s="378"/>
      <c r="Q746" s="283"/>
      <c r="R746" s="283"/>
      <c r="S746" s="283"/>
      <c r="T746" s="283"/>
      <c r="U746" s="283"/>
      <c r="V746" s="283"/>
      <c r="W746" s="283"/>
      <c r="X746" s="283"/>
      <c r="Y746" s="283"/>
    </row>
    <row r="747">
      <c r="A747" s="283"/>
      <c r="B747" s="283"/>
      <c r="C747" s="283"/>
      <c r="D747" s="283"/>
      <c r="E747" s="283"/>
      <c r="F747" s="283"/>
      <c r="G747" s="283"/>
      <c r="H747" s="283"/>
      <c r="I747" s="283"/>
      <c r="J747" s="283"/>
      <c r="K747" s="283"/>
      <c r="L747" s="283"/>
      <c r="M747" s="283"/>
      <c r="N747" s="283"/>
      <c r="O747" s="375" t="str">
        <f t="array" ref="O747">XLOOKUP(M747,'Recruiting Form Responses'!C:C,'Recruiting Form Responses'!A:A,"",0,1)</f>
        <v/>
      </c>
      <c r="P747" s="378"/>
      <c r="Q747" s="283"/>
      <c r="R747" s="283"/>
      <c r="S747" s="283"/>
      <c r="T747" s="283"/>
      <c r="U747" s="283"/>
      <c r="V747" s="283"/>
      <c r="W747" s="283"/>
      <c r="X747" s="283"/>
      <c r="Y747" s="283"/>
    </row>
    <row r="748">
      <c r="A748" s="283"/>
      <c r="B748" s="283"/>
      <c r="C748" s="283"/>
      <c r="D748" s="283"/>
      <c r="E748" s="283"/>
      <c r="F748" s="283"/>
      <c r="G748" s="283"/>
      <c r="H748" s="283"/>
      <c r="I748" s="283"/>
      <c r="J748" s="283"/>
      <c r="K748" s="283"/>
      <c r="L748" s="283"/>
      <c r="M748" s="283"/>
      <c r="N748" s="283"/>
      <c r="O748" s="375" t="str">
        <f t="array" ref="O748">XLOOKUP(M748,'Recruiting Form Responses'!C:C,'Recruiting Form Responses'!A:A,"",0,1)</f>
        <v/>
      </c>
      <c r="P748" s="378"/>
      <c r="Q748" s="283"/>
      <c r="R748" s="283"/>
      <c r="S748" s="283"/>
      <c r="T748" s="283"/>
      <c r="U748" s="283"/>
      <c r="V748" s="283"/>
      <c r="W748" s="283"/>
      <c r="X748" s="283"/>
      <c r="Y748" s="283"/>
    </row>
    <row r="749">
      <c r="A749" s="283"/>
      <c r="B749" s="283"/>
      <c r="C749" s="283"/>
      <c r="D749" s="283"/>
      <c r="E749" s="283"/>
      <c r="F749" s="283"/>
      <c r="G749" s="283"/>
      <c r="H749" s="283"/>
      <c r="I749" s="283"/>
      <c r="J749" s="283"/>
      <c r="K749" s="283"/>
      <c r="L749" s="283"/>
      <c r="M749" s="283"/>
      <c r="N749" s="283"/>
      <c r="O749" s="375" t="str">
        <f t="array" ref="O749">XLOOKUP(M749,'Recruiting Form Responses'!C:C,'Recruiting Form Responses'!A:A,"",0,1)</f>
        <v/>
      </c>
      <c r="P749" s="378"/>
      <c r="Q749" s="283"/>
      <c r="R749" s="283"/>
      <c r="S749" s="283"/>
      <c r="T749" s="283"/>
      <c r="U749" s="283"/>
      <c r="V749" s="283"/>
      <c r="W749" s="283"/>
      <c r="X749" s="283"/>
      <c r="Y749" s="283"/>
    </row>
    <row r="750">
      <c r="A750" s="283"/>
      <c r="B750" s="283"/>
      <c r="C750" s="283"/>
      <c r="D750" s="283"/>
      <c r="E750" s="283"/>
      <c r="F750" s="283"/>
      <c r="G750" s="283"/>
      <c r="H750" s="283"/>
      <c r="I750" s="283"/>
      <c r="J750" s="283"/>
      <c r="K750" s="283"/>
      <c r="L750" s="283"/>
      <c r="M750" s="283"/>
      <c r="N750" s="283"/>
      <c r="O750" s="375" t="str">
        <f t="array" ref="O750">XLOOKUP(M750,'Recruiting Form Responses'!C:C,'Recruiting Form Responses'!A:A,"",0,1)</f>
        <v/>
      </c>
      <c r="P750" s="378"/>
      <c r="Q750" s="283"/>
      <c r="R750" s="283"/>
      <c r="S750" s="283"/>
      <c r="T750" s="283"/>
      <c r="U750" s="283"/>
      <c r="V750" s="283"/>
      <c r="W750" s="283"/>
      <c r="X750" s="283"/>
      <c r="Y750" s="283"/>
    </row>
    <row r="751">
      <c r="A751" s="283"/>
      <c r="B751" s="283"/>
      <c r="C751" s="283"/>
      <c r="D751" s="283"/>
      <c r="E751" s="283"/>
      <c r="F751" s="283"/>
      <c r="G751" s="283"/>
      <c r="H751" s="283"/>
      <c r="I751" s="283"/>
      <c r="J751" s="283"/>
      <c r="K751" s="283"/>
      <c r="L751" s="283"/>
      <c r="M751" s="283"/>
      <c r="N751" s="283"/>
      <c r="O751" s="375" t="str">
        <f t="array" ref="O751">XLOOKUP(M751,'Recruiting Form Responses'!C:C,'Recruiting Form Responses'!A:A,"",0,1)</f>
        <v/>
      </c>
      <c r="P751" s="378"/>
      <c r="Q751" s="283"/>
      <c r="R751" s="283"/>
      <c r="S751" s="283"/>
      <c r="T751" s="283"/>
      <c r="U751" s="283"/>
      <c r="V751" s="283"/>
      <c r="W751" s="283"/>
      <c r="X751" s="283"/>
      <c r="Y751" s="283"/>
    </row>
    <row r="752">
      <c r="A752" s="283"/>
      <c r="B752" s="283"/>
      <c r="C752" s="283"/>
      <c r="D752" s="283"/>
      <c r="E752" s="283"/>
      <c r="F752" s="283"/>
      <c r="G752" s="283"/>
      <c r="H752" s="283"/>
      <c r="I752" s="283"/>
      <c r="J752" s="283"/>
      <c r="K752" s="283"/>
      <c r="L752" s="283"/>
      <c r="M752" s="283"/>
      <c r="N752" s="283"/>
      <c r="O752" s="375" t="str">
        <f t="array" ref="O752">XLOOKUP(M752,'Recruiting Form Responses'!C:C,'Recruiting Form Responses'!A:A,"",0,1)</f>
        <v/>
      </c>
      <c r="P752" s="378"/>
      <c r="Q752" s="283"/>
      <c r="R752" s="283"/>
      <c r="S752" s="283"/>
      <c r="T752" s="283"/>
      <c r="U752" s="283"/>
      <c r="V752" s="283"/>
      <c r="W752" s="283"/>
      <c r="X752" s="283"/>
      <c r="Y752" s="283"/>
    </row>
    <row r="753">
      <c r="A753" s="283"/>
      <c r="B753" s="283"/>
      <c r="C753" s="283"/>
      <c r="D753" s="283"/>
      <c r="E753" s="283"/>
      <c r="F753" s="283"/>
      <c r="G753" s="283"/>
      <c r="H753" s="283"/>
      <c r="I753" s="283"/>
      <c r="J753" s="283"/>
      <c r="K753" s="283"/>
      <c r="L753" s="283"/>
      <c r="M753" s="283"/>
      <c r="N753" s="283"/>
      <c r="O753" s="375" t="str">
        <f t="array" ref="O753">XLOOKUP(M753,'Recruiting Form Responses'!C:C,'Recruiting Form Responses'!A:A,"",0,1)</f>
        <v/>
      </c>
      <c r="P753" s="378"/>
      <c r="Q753" s="283"/>
      <c r="R753" s="283"/>
      <c r="S753" s="283"/>
      <c r="T753" s="283"/>
      <c r="U753" s="283"/>
      <c r="V753" s="283"/>
      <c r="W753" s="283"/>
      <c r="X753" s="283"/>
      <c r="Y753" s="283"/>
    </row>
    <row r="754">
      <c r="A754" s="283"/>
      <c r="B754" s="283"/>
      <c r="C754" s="283"/>
      <c r="D754" s="283"/>
      <c r="E754" s="283"/>
      <c r="F754" s="283"/>
      <c r="G754" s="283"/>
      <c r="H754" s="283"/>
      <c r="I754" s="283"/>
      <c r="J754" s="283"/>
      <c r="K754" s="283"/>
      <c r="L754" s="283"/>
      <c r="M754" s="283"/>
      <c r="N754" s="283"/>
      <c r="O754" s="375" t="str">
        <f t="array" ref="O754">XLOOKUP(M754,'Recruiting Form Responses'!C:C,'Recruiting Form Responses'!A:A,"",0,1)</f>
        <v/>
      </c>
      <c r="P754" s="378"/>
      <c r="Q754" s="283"/>
      <c r="R754" s="283"/>
      <c r="S754" s="283"/>
      <c r="T754" s="283"/>
      <c r="U754" s="283"/>
      <c r="V754" s="283"/>
      <c r="W754" s="283"/>
      <c r="X754" s="283"/>
      <c r="Y754" s="283"/>
    </row>
    <row r="755">
      <c r="A755" s="283"/>
      <c r="B755" s="283"/>
      <c r="C755" s="283"/>
      <c r="D755" s="283"/>
      <c r="E755" s="283"/>
      <c r="F755" s="283"/>
      <c r="G755" s="283"/>
      <c r="H755" s="283"/>
      <c r="I755" s="283"/>
      <c r="J755" s="283"/>
      <c r="K755" s="283"/>
      <c r="L755" s="283"/>
      <c r="M755" s="283"/>
      <c r="N755" s="283"/>
      <c r="O755" s="375" t="str">
        <f t="array" ref="O755">XLOOKUP(M755,'Recruiting Form Responses'!C:C,'Recruiting Form Responses'!A:A,"",0,1)</f>
        <v/>
      </c>
      <c r="P755" s="378"/>
      <c r="Q755" s="283"/>
      <c r="R755" s="283"/>
      <c r="S755" s="283"/>
      <c r="T755" s="283"/>
      <c r="U755" s="283"/>
      <c r="V755" s="283"/>
      <c r="W755" s="283"/>
      <c r="X755" s="283"/>
      <c r="Y755" s="283"/>
    </row>
    <row r="756">
      <c r="A756" s="283"/>
      <c r="B756" s="283"/>
      <c r="C756" s="283"/>
      <c r="D756" s="283"/>
      <c r="E756" s="283"/>
      <c r="F756" s="283"/>
      <c r="G756" s="283"/>
      <c r="H756" s="283"/>
      <c r="I756" s="283"/>
      <c r="J756" s="283"/>
      <c r="K756" s="283"/>
      <c r="L756" s="283"/>
      <c r="M756" s="283"/>
      <c r="N756" s="283"/>
      <c r="O756" s="375" t="str">
        <f t="array" ref="O756">XLOOKUP(M756,'Recruiting Form Responses'!C:C,'Recruiting Form Responses'!A:A,"",0,1)</f>
        <v/>
      </c>
      <c r="P756" s="378"/>
      <c r="Q756" s="283"/>
      <c r="R756" s="283"/>
      <c r="S756" s="283"/>
      <c r="T756" s="283"/>
      <c r="U756" s="283"/>
      <c r="V756" s="283"/>
      <c r="W756" s="283"/>
      <c r="X756" s="283"/>
      <c r="Y756" s="283"/>
    </row>
    <row r="757">
      <c r="A757" s="283"/>
      <c r="B757" s="283"/>
      <c r="C757" s="283"/>
      <c r="D757" s="283"/>
      <c r="E757" s="283"/>
      <c r="F757" s="283"/>
      <c r="G757" s="283"/>
      <c r="H757" s="283"/>
      <c r="I757" s="283"/>
      <c r="J757" s="283"/>
      <c r="K757" s="283"/>
      <c r="L757" s="283"/>
      <c r="M757" s="283"/>
      <c r="N757" s="283"/>
      <c r="O757" s="375" t="str">
        <f t="array" ref="O757">XLOOKUP(M757,'Recruiting Form Responses'!C:C,'Recruiting Form Responses'!A:A,"",0,1)</f>
        <v/>
      </c>
      <c r="P757" s="378"/>
      <c r="Q757" s="283"/>
      <c r="R757" s="283"/>
      <c r="S757" s="283"/>
      <c r="T757" s="283"/>
      <c r="U757" s="283"/>
      <c r="V757" s="283"/>
      <c r="W757" s="283"/>
      <c r="X757" s="283"/>
      <c r="Y757" s="283"/>
    </row>
    <row r="758">
      <c r="A758" s="283"/>
      <c r="B758" s="283"/>
      <c r="C758" s="283"/>
      <c r="D758" s="283"/>
      <c r="E758" s="283"/>
      <c r="F758" s="283"/>
      <c r="G758" s="283"/>
      <c r="H758" s="283"/>
      <c r="I758" s="283"/>
      <c r="J758" s="283"/>
      <c r="K758" s="283"/>
      <c r="L758" s="283"/>
      <c r="M758" s="283"/>
      <c r="N758" s="283"/>
      <c r="O758" s="375" t="str">
        <f t="array" ref="O758">XLOOKUP(M758,'Recruiting Form Responses'!C:C,'Recruiting Form Responses'!A:A,"",0,1)</f>
        <v/>
      </c>
      <c r="P758" s="378"/>
      <c r="Q758" s="283"/>
      <c r="R758" s="283"/>
      <c r="S758" s="283"/>
      <c r="T758" s="283"/>
      <c r="U758" s="283"/>
      <c r="V758" s="283"/>
      <c r="W758" s="283"/>
      <c r="X758" s="283"/>
      <c r="Y758" s="283"/>
    </row>
    <row r="759">
      <c r="A759" s="283"/>
      <c r="B759" s="283"/>
      <c r="C759" s="283"/>
      <c r="D759" s="283"/>
      <c r="E759" s="283"/>
      <c r="F759" s="283"/>
      <c r="G759" s="283"/>
      <c r="H759" s="283"/>
      <c r="I759" s="283"/>
      <c r="J759" s="283"/>
      <c r="K759" s="283"/>
      <c r="L759" s="283"/>
      <c r="M759" s="283"/>
      <c r="N759" s="283"/>
      <c r="O759" s="375" t="str">
        <f t="array" ref="O759">XLOOKUP(M759,'Recruiting Form Responses'!C:C,'Recruiting Form Responses'!A:A,"",0,1)</f>
        <v/>
      </c>
      <c r="P759" s="378"/>
      <c r="Q759" s="283"/>
      <c r="R759" s="283"/>
      <c r="S759" s="283"/>
      <c r="T759" s="283"/>
      <c r="U759" s="283"/>
      <c r="V759" s="283"/>
      <c r="W759" s="283"/>
      <c r="X759" s="283"/>
      <c r="Y759" s="283"/>
    </row>
    <row r="760">
      <c r="A760" s="283"/>
      <c r="B760" s="283"/>
      <c r="C760" s="283"/>
      <c r="D760" s="283"/>
      <c r="E760" s="283"/>
      <c r="F760" s="283"/>
      <c r="G760" s="283"/>
      <c r="H760" s="283"/>
      <c r="I760" s="283"/>
      <c r="J760" s="283"/>
      <c r="K760" s="283"/>
      <c r="L760" s="283"/>
      <c r="M760" s="283"/>
      <c r="N760" s="283"/>
      <c r="O760" s="375" t="str">
        <f t="array" ref="O760">XLOOKUP(M760,'Recruiting Form Responses'!C:C,'Recruiting Form Responses'!A:A,"",0,1)</f>
        <v/>
      </c>
      <c r="P760" s="378"/>
      <c r="Q760" s="283"/>
      <c r="R760" s="283"/>
      <c r="S760" s="283"/>
      <c r="T760" s="283"/>
      <c r="U760" s="283"/>
      <c r="V760" s="283"/>
      <c r="W760" s="283"/>
      <c r="X760" s="283"/>
      <c r="Y760" s="283"/>
    </row>
    <row r="761">
      <c r="A761" s="283"/>
      <c r="B761" s="283"/>
      <c r="C761" s="283"/>
      <c r="D761" s="283"/>
      <c r="E761" s="283"/>
      <c r="F761" s="283"/>
      <c r="G761" s="283"/>
      <c r="H761" s="283"/>
      <c r="I761" s="283"/>
      <c r="J761" s="283"/>
      <c r="K761" s="283"/>
      <c r="L761" s="283"/>
      <c r="M761" s="283"/>
      <c r="N761" s="283"/>
      <c r="O761" s="375" t="str">
        <f t="array" ref="O761">XLOOKUP(M761,'Recruiting Form Responses'!C:C,'Recruiting Form Responses'!A:A,"",0,1)</f>
        <v/>
      </c>
      <c r="P761" s="378"/>
      <c r="Q761" s="283"/>
      <c r="R761" s="283"/>
      <c r="S761" s="283"/>
      <c r="T761" s="283"/>
      <c r="U761" s="283"/>
      <c r="V761" s="283"/>
      <c r="W761" s="283"/>
      <c r="X761" s="283"/>
      <c r="Y761" s="283"/>
    </row>
    <row r="762">
      <c r="A762" s="283"/>
      <c r="B762" s="283"/>
      <c r="C762" s="283"/>
      <c r="D762" s="283"/>
      <c r="E762" s="283"/>
      <c r="F762" s="283"/>
      <c r="G762" s="283"/>
      <c r="H762" s="283"/>
      <c r="I762" s="283"/>
      <c r="J762" s="283"/>
      <c r="K762" s="283"/>
      <c r="L762" s="283"/>
      <c r="M762" s="283"/>
      <c r="N762" s="283"/>
      <c r="O762" s="375" t="str">
        <f t="array" ref="O762">XLOOKUP(M762,'Recruiting Form Responses'!C:C,'Recruiting Form Responses'!A:A,"",0,1)</f>
        <v/>
      </c>
      <c r="P762" s="378"/>
      <c r="Q762" s="283"/>
      <c r="R762" s="283"/>
      <c r="S762" s="283"/>
      <c r="T762" s="283"/>
      <c r="U762" s="283"/>
      <c r="V762" s="283"/>
      <c r="W762" s="283"/>
      <c r="X762" s="283"/>
      <c r="Y762" s="283"/>
    </row>
    <row r="763">
      <c r="A763" s="283"/>
      <c r="B763" s="283"/>
      <c r="C763" s="283"/>
      <c r="D763" s="283"/>
      <c r="E763" s="283"/>
      <c r="F763" s="283"/>
      <c r="G763" s="283"/>
      <c r="H763" s="283"/>
      <c r="I763" s="283"/>
      <c r="J763" s="283"/>
      <c r="K763" s="283"/>
      <c r="L763" s="283"/>
      <c r="M763" s="283"/>
      <c r="N763" s="283"/>
      <c r="O763" s="375" t="str">
        <f t="array" ref="O763">XLOOKUP(M763,'Recruiting Form Responses'!C:C,'Recruiting Form Responses'!A:A,"",0,1)</f>
        <v/>
      </c>
      <c r="P763" s="378"/>
      <c r="Q763" s="283"/>
      <c r="R763" s="283"/>
      <c r="S763" s="283"/>
      <c r="T763" s="283"/>
      <c r="U763" s="283"/>
      <c r="V763" s="283"/>
      <c r="W763" s="283"/>
      <c r="X763" s="283"/>
      <c r="Y763" s="283"/>
    </row>
    <row r="764">
      <c r="A764" s="283"/>
      <c r="B764" s="283"/>
      <c r="C764" s="283"/>
      <c r="D764" s="283"/>
      <c r="E764" s="283"/>
      <c r="F764" s="283"/>
      <c r="G764" s="283"/>
      <c r="H764" s="283"/>
      <c r="I764" s="283"/>
      <c r="J764" s="283"/>
      <c r="K764" s="283"/>
      <c r="L764" s="283"/>
      <c r="M764" s="283"/>
      <c r="N764" s="283"/>
      <c r="O764" s="375" t="str">
        <f t="array" ref="O764">XLOOKUP(M764,'Recruiting Form Responses'!C:C,'Recruiting Form Responses'!A:A,"",0,1)</f>
        <v/>
      </c>
      <c r="P764" s="378"/>
      <c r="Q764" s="283"/>
      <c r="R764" s="283"/>
      <c r="S764" s="283"/>
      <c r="T764" s="283"/>
      <c r="U764" s="283"/>
      <c r="V764" s="283"/>
      <c r="W764" s="283"/>
      <c r="X764" s="283"/>
      <c r="Y764" s="283"/>
    </row>
    <row r="765">
      <c r="A765" s="283"/>
      <c r="B765" s="283"/>
      <c r="C765" s="283"/>
      <c r="D765" s="283"/>
      <c r="E765" s="283"/>
      <c r="F765" s="283"/>
      <c r="G765" s="283"/>
      <c r="H765" s="283"/>
      <c r="I765" s="283"/>
      <c r="J765" s="283"/>
      <c r="K765" s="283"/>
      <c r="L765" s="283"/>
      <c r="M765" s="283"/>
      <c r="N765" s="283"/>
      <c r="O765" s="375" t="str">
        <f t="array" ref="O765">XLOOKUP(M765,'Recruiting Form Responses'!C:C,'Recruiting Form Responses'!A:A,"",0,1)</f>
        <v/>
      </c>
      <c r="P765" s="378"/>
      <c r="Q765" s="283"/>
      <c r="R765" s="283"/>
      <c r="S765" s="283"/>
      <c r="T765" s="283"/>
      <c r="U765" s="283"/>
      <c r="V765" s="283"/>
      <c r="W765" s="283"/>
      <c r="X765" s="283"/>
      <c r="Y765" s="283"/>
    </row>
    <row r="766">
      <c r="A766" s="283"/>
      <c r="B766" s="283"/>
      <c r="C766" s="283"/>
      <c r="D766" s="283"/>
      <c r="E766" s="283"/>
      <c r="F766" s="283"/>
      <c r="G766" s="283"/>
      <c r="H766" s="283"/>
      <c r="I766" s="283"/>
      <c r="J766" s="283"/>
      <c r="K766" s="283"/>
      <c r="L766" s="283"/>
      <c r="M766" s="283"/>
      <c r="N766" s="283"/>
      <c r="O766" s="375" t="str">
        <f t="array" ref="O766">XLOOKUP(M766,'Recruiting Form Responses'!C:C,'Recruiting Form Responses'!A:A,"",0,1)</f>
        <v/>
      </c>
      <c r="P766" s="378"/>
      <c r="Q766" s="283"/>
      <c r="R766" s="283"/>
      <c r="S766" s="283"/>
      <c r="T766" s="283"/>
      <c r="U766" s="283"/>
      <c r="V766" s="283"/>
      <c r="W766" s="283"/>
      <c r="X766" s="283"/>
      <c r="Y766" s="283"/>
    </row>
    <row r="767">
      <c r="A767" s="283"/>
      <c r="B767" s="283"/>
      <c r="C767" s="283"/>
      <c r="D767" s="283"/>
      <c r="E767" s="283"/>
      <c r="F767" s="283"/>
      <c r="G767" s="283"/>
      <c r="H767" s="283"/>
      <c r="I767" s="283"/>
      <c r="J767" s="283"/>
      <c r="K767" s="283"/>
      <c r="L767" s="283"/>
      <c r="M767" s="283"/>
      <c r="N767" s="283"/>
      <c r="O767" s="375" t="str">
        <f t="array" ref="O767">XLOOKUP(M767,'Recruiting Form Responses'!C:C,'Recruiting Form Responses'!A:A,"",0,1)</f>
        <v/>
      </c>
      <c r="P767" s="378"/>
      <c r="Q767" s="283"/>
      <c r="R767" s="283"/>
      <c r="S767" s="283"/>
      <c r="T767" s="283"/>
      <c r="U767" s="283"/>
      <c r="V767" s="283"/>
      <c r="W767" s="283"/>
      <c r="X767" s="283"/>
      <c r="Y767" s="283"/>
    </row>
    <row r="768">
      <c r="A768" s="283"/>
      <c r="B768" s="283"/>
      <c r="C768" s="283"/>
      <c r="D768" s="283"/>
      <c r="E768" s="283"/>
      <c r="F768" s="283"/>
      <c r="G768" s="283"/>
      <c r="H768" s="283"/>
      <c r="I768" s="283"/>
      <c r="J768" s="283"/>
      <c r="K768" s="283"/>
      <c r="L768" s="283"/>
      <c r="M768" s="283"/>
      <c r="N768" s="283"/>
      <c r="O768" s="375" t="str">
        <f t="array" ref="O768">XLOOKUP(M768,'Recruiting Form Responses'!C:C,'Recruiting Form Responses'!A:A,"",0,1)</f>
        <v/>
      </c>
      <c r="P768" s="378"/>
      <c r="Q768" s="283"/>
      <c r="R768" s="283"/>
      <c r="S768" s="283"/>
      <c r="T768" s="283"/>
      <c r="U768" s="283"/>
      <c r="V768" s="283"/>
      <c r="W768" s="283"/>
      <c r="X768" s="283"/>
      <c r="Y768" s="283"/>
    </row>
    <row r="769">
      <c r="A769" s="283"/>
      <c r="B769" s="283"/>
      <c r="C769" s="283"/>
      <c r="D769" s="283"/>
      <c r="E769" s="283"/>
      <c r="F769" s="283"/>
      <c r="G769" s="283"/>
      <c r="H769" s="283"/>
      <c r="I769" s="283"/>
      <c r="J769" s="283"/>
      <c r="K769" s="283"/>
      <c r="L769" s="283"/>
      <c r="M769" s="283"/>
      <c r="N769" s="283"/>
      <c r="O769" s="375" t="str">
        <f t="array" ref="O769">XLOOKUP(M769,'Recruiting Form Responses'!C:C,'Recruiting Form Responses'!A:A,"",0,1)</f>
        <v/>
      </c>
      <c r="P769" s="378"/>
      <c r="Q769" s="283"/>
      <c r="R769" s="283"/>
      <c r="S769" s="283"/>
      <c r="T769" s="283"/>
      <c r="U769" s="283"/>
      <c r="V769" s="283"/>
      <c r="W769" s="283"/>
      <c r="X769" s="283"/>
      <c r="Y769" s="283"/>
    </row>
    <row r="770">
      <c r="A770" s="283"/>
      <c r="B770" s="283"/>
      <c r="C770" s="283"/>
      <c r="D770" s="283"/>
      <c r="E770" s="283"/>
      <c r="F770" s="283"/>
      <c r="G770" s="283"/>
      <c r="H770" s="283"/>
      <c r="I770" s="283"/>
      <c r="J770" s="283"/>
      <c r="K770" s="283"/>
      <c r="L770" s="283"/>
      <c r="M770" s="283"/>
      <c r="N770" s="283"/>
      <c r="O770" s="375" t="str">
        <f t="array" ref="O770">XLOOKUP(M770,'Recruiting Form Responses'!C:C,'Recruiting Form Responses'!A:A,"",0,1)</f>
        <v/>
      </c>
      <c r="P770" s="378"/>
      <c r="Q770" s="283"/>
      <c r="R770" s="283"/>
      <c r="S770" s="283"/>
      <c r="T770" s="283"/>
      <c r="U770" s="283"/>
      <c r="V770" s="283"/>
      <c r="W770" s="283"/>
      <c r="X770" s="283"/>
      <c r="Y770" s="283"/>
    </row>
    <row r="771">
      <c r="A771" s="283"/>
      <c r="B771" s="283"/>
      <c r="C771" s="283"/>
      <c r="D771" s="283"/>
      <c r="E771" s="283"/>
      <c r="F771" s="283"/>
      <c r="G771" s="283"/>
      <c r="H771" s="283"/>
      <c r="I771" s="283"/>
      <c r="J771" s="283"/>
      <c r="K771" s="283"/>
      <c r="L771" s="283"/>
      <c r="M771" s="283"/>
      <c r="N771" s="283"/>
      <c r="O771" s="375" t="str">
        <f t="array" ref="O771">XLOOKUP(M771,'Recruiting Form Responses'!C:C,'Recruiting Form Responses'!A:A,"",0,1)</f>
        <v/>
      </c>
      <c r="P771" s="378"/>
      <c r="Q771" s="283"/>
      <c r="R771" s="283"/>
      <c r="S771" s="283"/>
      <c r="T771" s="283"/>
      <c r="U771" s="283"/>
      <c r="V771" s="283"/>
      <c r="W771" s="283"/>
      <c r="X771" s="283"/>
      <c r="Y771" s="283"/>
    </row>
    <row r="772">
      <c r="A772" s="283"/>
      <c r="B772" s="283"/>
      <c r="C772" s="283"/>
      <c r="D772" s="283"/>
      <c r="E772" s="283"/>
      <c r="F772" s="283"/>
      <c r="G772" s="283"/>
      <c r="H772" s="283"/>
      <c r="I772" s="283"/>
      <c r="J772" s="283"/>
      <c r="K772" s="283"/>
      <c r="L772" s="283"/>
      <c r="M772" s="283"/>
      <c r="N772" s="283"/>
      <c r="O772" s="375" t="str">
        <f t="array" ref="O772">XLOOKUP(M772,'Recruiting Form Responses'!C:C,'Recruiting Form Responses'!A:A,"",0,1)</f>
        <v/>
      </c>
      <c r="P772" s="378"/>
      <c r="Q772" s="283"/>
      <c r="R772" s="283"/>
      <c r="S772" s="283"/>
      <c r="T772" s="283"/>
      <c r="U772" s="283"/>
      <c r="V772" s="283"/>
      <c r="W772" s="283"/>
      <c r="X772" s="283"/>
      <c r="Y772" s="283"/>
    </row>
    <row r="773">
      <c r="A773" s="283"/>
      <c r="B773" s="283"/>
      <c r="C773" s="283"/>
      <c r="D773" s="283"/>
      <c r="E773" s="283"/>
      <c r="F773" s="283"/>
      <c r="G773" s="283"/>
      <c r="H773" s="283"/>
      <c r="I773" s="283"/>
      <c r="J773" s="283"/>
      <c r="K773" s="283"/>
      <c r="L773" s="283"/>
      <c r="M773" s="283"/>
      <c r="N773" s="283"/>
      <c r="O773" s="375" t="str">
        <f t="array" ref="O773">XLOOKUP(M773,'Recruiting Form Responses'!C:C,'Recruiting Form Responses'!A:A,"",0,1)</f>
        <v/>
      </c>
      <c r="P773" s="378"/>
      <c r="Q773" s="283"/>
      <c r="R773" s="283"/>
      <c r="S773" s="283"/>
      <c r="T773" s="283"/>
      <c r="U773" s="283"/>
      <c r="V773" s="283"/>
      <c r="W773" s="283"/>
      <c r="X773" s="283"/>
      <c r="Y773" s="283"/>
    </row>
    <row r="774">
      <c r="A774" s="283"/>
      <c r="B774" s="283"/>
      <c r="C774" s="283"/>
      <c r="D774" s="283"/>
      <c r="E774" s="283"/>
      <c r="F774" s="283"/>
      <c r="G774" s="283"/>
      <c r="H774" s="283"/>
      <c r="I774" s="283"/>
      <c r="J774" s="283"/>
      <c r="K774" s="283"/>
      <c r="L774" s="283"/>
      <c r="M774" s="283"/>
      <c r="N774" s="283"/>
      <c r="O774" s="375" t="str">
        <f t="array" ref="O774">XLOOKUP(M774,'Recruiting Form Responses'!C:C,'Recruiting Form Responses'!A:A,"",0,1)</f>
        <v/>
      </c>
      <c r="P774" s="378"/>
      <c r="Q774" s="283"/>
      <c r="R774" s="283"/>
      <c r="S774" s="283"/>
      <c r="T774" s="283"/>
      <c r="U774" s="283"/>
      <c r="V774" s="283"/>
      <c r="W774" s="283"/>
      <c r="X774" s="283"/>
      <c r="Y774" s="283"/>
    </row>
    <row r="775">
      <c r="A775" s="283"/>
      <c r="B775" s="283"/>
      <c r="C775" s="283"/>
      <c r="D775" s="283"/>
      <c r="E775" s="283"/>
      <c r="F775" s="283"/>
      <c r="G775" s="283"/>
      <c r="H775" s="283"/>
      <c r="I775" s="283"/>
      <c r="J775" s="283"/>
      <c r="K775" s="283"/>
      <c r="L775" s="283"/>
      <c r="M775" s="283"/>
      <c r="N775" s="283"/>
      <c r="O775" s="375" t="str">
        <f t="array" ref="O775">XLOOKUP(M775,'Recruiting Form Responses'!C:C,'Recruiting Form Responses'!A:A,"",0,1)</f>
        <v/>
      </c>
      <c r="P775" s="378"/>
      <c r="Q775" s="283"/>
      <c r="R775" s="283"/>
      <c r="S775" s="283"/>
      <c r="T775" s="283"/>
      <c r="U775" s="283"/>
      <c r="V775" s="283"/>
      <c r="W775" s="283"/>
      <c r="X775" s="283"/>
      <c r="Y775" s="283"/>
    </row>
    <row r="776">
      <c r="A776" s="283"/>
      <c r="B776" s="283"/>
      <c r="C776" s="283"/>
      <c r="D776" s="283"/>
      <c r="E776" s="283"/>
      <c r="F776" s="283"/>
      <c r="G776" s="283"/>
      <c r="H776" s="283"/>
      <c r="I776" s="283"/>
      <c r="J776" s="283"/>
      <c r="K776" s="283"/>
      <c r="L776" s="283"/>
      <c r="M776" s="283"/>
      <c r="N776" s="283"/>
      <c r="O776" s="375" t="str">
        <f t="array" ref="O776">XLOOKUP(M776,'Recruiting Form Responses'!C:C,'Recruiting Form Responses'!A:A,"",0,1)</f>
        <v/>
      </c>
      <c r="P776" s="378"/>
      <c r="Q776" s="283"/>
      <c r="R776" s="283"/>
      <c r="S776" s="283"/>
      <c r="T776" s="283"/>
      <c r="U776" s="283"/>
      <c r="V776" s="283"/>
      <c r="W776" s="283"/>
      <c r="X776" s="283"/>
      <c r="Y776" s="283"/>
    </row>
    <row r="777">
      <c r="A777" s="283"/>
      <c r="B777" s="283"/>
      <c r="C777" s="283"/>
      <c r="D777" s="283"/>
      <c r="E777" s="283"/>
      <c r="F777" s="283"/>
      <c r="G777" s="283"/>
      <c r="H777" s="283"/>
      <c r="I777" s="283"/>
      <c r="J777" s="283"/>
      <c r="K777" s="283"/>
      <c r="L777" s="283"/>
      <c r="M777" s="283"/>
      <c r="N777" s="283"/>
      <c r="O777" s="375" t="str">
        <f t="array" ref="O777">XLOOKUP(M777,'Recruiting Form Responses'!C:C,'Recruiting Form Responses'!A:A,"",0,1)</f>
        <v/>
      </c>
      <c r="P777" s="378"/>
      <c r="Q777" s="283"/>
      <c r="R777" s="283"/>
      <c r="S777" s="283"/>
      <c r="T777" s="283"/>
      <c r="U777" s="283"/>
      <c r="V777" s="283"/>
      <c r="W777" s="283"/>
      <c r="X777" s="283"/>
      <c r="Y777" s="283"/>
    </row>
    <row r="778">
      <c r="A778" s="283"/>
      <c r="B778" s="283"/>
      <c r="C778" s="283"/>
      <c r="D778" s="283"/>
      <c r="E778" s="283"/>
      <c r="F778" s="283"/>
      <c r="G778" s="283"/>
      <c r="H778" s="283"/>
      <c r="I778" s="283"/>
      <c r="J778" s="283"/>
      <c r="K778" s="283"/>
      <c r="L778" s="283"/>
      <c r="M778" s="283"/>
      <c r="N778" s="283"/>
      <c r="O778" s="375" t="str">
        <f t="array" ref="O778">XLOOKUP(M778,'Recruiting Form Responses'!C:C,'Recruiting Form Responses'!A:A,"",0,1)</f>
        <v/>
      </c>
      <c r="P778" s="378"/>
      <c r="Q778" s="283"/>
      <c r="R778" s="283"/>
      <c r="S778" s="283"/>
      <c r="T778" s="283"/>
      <c r="U778" s="283"/>
      <c r="V778" s="283"/>
      <c r="W778" s="283"/>
      <c r="X778" s="283"/>
      <c r="Y778" s="283"/>
    </row>
    <row r="779">
      <c r="A779" s="283"/>
      <c r="B779" s="283"/>
      <c r="C779" s="283"/>
      <c r="D779" s="283"/>
      <c r="E779" s="283"/>
      <c r="F779" s="283"/>
      <c r="G779" s="283"/>
      <c r="H779" s="283"/>
      <c r="I779" s="283"/>
      <c r="J779" s="283"/>
      <c r="K779" s="283"/>
      <c r="L779" s="283"/>
      <c r="M779" s="283"/>
      <c r="N779" s="283"/>
      <c r="O779" s="375" t="str">
        <f t="array" ref="O779">XLOOKUP(M779,'Recruiting Form Responses'!C:C,'Recruiting Form Responses'!A:A,"",0,1)</f>
        <v/>
      </c>
      <c r="P779" s="378"/>
      <c r="Q779" s="283"/>
      <c r="R779" s="283"/>
      <c r="S779" s="283"/>
      <c r="T779" s="283"/>
      <c r="U779" s="283"/>
      <c r="V779" s="283"/>
      <c r="W779" s="283"/>
      <c r="X779" s="283"/>
      <c r="Y779" s="283"/>
    </row>
    <row r="780">
      <c r="A780" s="283"/>
      <c r="B780" s="283"/>
      <c r="C780" s="283"/>
      <c r="D780" s="283"/>
      <c r="E780" s="283"/>
      <c r="F780" s="283"/>
      <c r="G780" s="283"/>
      <c r="H780" s="283"/>
      <c r="I780" s="283"/>
      <c r="J780" s="283"/>
      <c r="K780" s="283"/>
      <c r="L780" s="283"/>
      <c r="M780" s="283"/>
      <c r="N780" s="283"/>
      <c r="O780" s="375" t="str">
        <f t="array" ref="O780">XLOOKUP(M780,'Recruiting Form Responses'!C:C,'Recruiting Form Responses'!A:A,"",0,1)</f>
        <v/>
      </c>
      <c r="P780" s="378"/>
      <c r="Q780" s="283"/>
      <c r="R780" s="283"/>
      <c r="S780" s="283"/>
      <c r="T780" s="283"/>
      <c r="U780" s="283"/>
      <c r="V780" s="283"/>
      <c r="W780" s="283"/>
      <c r="X780" s="283"/>
      <c r="Y780" s="283"/>
    </row>
    <row r="781">
      <c r="A781" s="283"/>
      <c r="B781" s="283"/>
      <c r="C781" s="283"/>
      <c r="D781" s="283"/>
      <c r="E781" s="283"/>
      <c r="F781" s="283"/>
      <c r="G781" s="283"/>
      <c r="H781" s="283"/>
      <c r="I781" s="283"/>
      <c r="J781" s="283"/>
      <c r="K781" s="283"/>
      <c r="L781" s="283"/>
      <c r="M781" s="283"/>
      <c r="N781" s="283"/>
      <c r="O781" s="375" t="str">
        <f t="array" ref="O781">XLOOKUP(M781,'Recruiting Form Responses'!C:C,'Recruiting Form Responses'!A:A,"",0,1)</f>
        <v/>
      </c>
      <c r="P781" s="378"/>
      <c r="Q781" s="283"/>
      <c r="R781" s="283"/>
      <c r="S781" s="283"/>
      <c r="T781" s="283"/>
      <c r="U781" s="283"/>
      <c r="V781" s="283"/>
      <c r="W781" s="283"/>
      <c r="X781" s="283"/>
      <c r="Y781" s="283"/>
    </row>
    <row r="782">
      <c r="A782" s="283"/>
      <c r="B782" s="283"/>
      <c r="C782" s="283"/>
      <c r="D782" s="283"/>
      <c r="E782" s="283"/>
      <c r="F782" s="283"/>
      <c r="G782" s="283"/>
      <c r="H782" s="283"/>
      <c r="I782" s="283"/>
      <c r="J782" s="283"/>
      <c r="K782" s="283"/>
      <c r="L782" s="283"/>
      <c r="M782" s="283"/>
      <c r="N782" s="283"/>
      <c r="O782" s="375" t="str">
        <f t="array" ref="O782">XLOOKUP(M782,'Recruiting Form Responses'!C:C,'Recruiting Form Responses'!A:A,"",0,1)</f>
        <v/>
      </c>
      <c r="P782" s="378"/>
      <c r="Q782" s="283"/>
      <c r="R782" s="283"/>
      <c r="S782" s="283"/>
      <c r="T782" s="283"/>
      <c r="U782" s="283"/>
      <c r="V782" s="283"/>
      <c r="W782" s="283"/>
      <c r="X782" s="283"/>
      <c r="Y782" s="283"/>
    </row>
    <row r="783">
      <c r="A783" s="283"/>
      <c r="B783" s="283"/>
      <c r="C783" s="283"/>
      <c r="D783" s="283"/>
      <c r="E783" s="283"/>
      <c r="F783" s="283"/>
      <c r="G783" s="283"/>
      <c r="H783" s="283"/>
      <c r="I783" s="283"/>
      <c r="J783" s="283"/>
      <c r="K783" s="283"/>
      <c r="L783" s="283"/>
      <c r="M783" s="283"/>
      <c r="N783" s="283"/>
      <c r="O783" s="375" t="str">
        <f t="array" ref="O783">XLOOKUP(M783,'Recruiting Form Responses'!C:C,'Recruiting Form Responses'!A:A,"",0,1)</f>
        <v/>
      </c>
      <c r="P783" s="378"/>
      <c r="Q783" s="283"/>
      <c r="R783" s="283"/>
      <c r="S783" s="283"/>
      <c r="T783" s="283"/>
      <c r="U783" s="283"/>
      <c r="V783" s="283"/>
      <c r="W783" s="283"/>
      <c r="X783" s="283"/>
      <c r="Y783" s="283"/>
    </row>
    <row r="784">
      <c r="A784" s="283"/>
      <c r="B784" s="283"/>
      <c r="C784" s="283"/>
      <c r="D784" s="283"/>
      <c r="E784" s="283"/>
      <c r="F784" s="283"/>
      <c r="G784" s="283"/>
      <c r="H784" s="283"/>
      <c r="I784" s="283"/>
      <c r="J784" s="283"/>
      <c r="K784" s="283"/>
      <c r="L784" s="283"/>
      <c r="M784" s="283"/>
      <c r="N784" s="283"/>
      <c r="O784" s="375" t="str">
        <f t="array" ref="O784">XLOOKUP(M784,'Recruiting Form Responses'!C:C,'Recruiting Form Responses'!A:A,"",0,1)</f>
        <v/>
      </c>
      <c r="P784" s="378"/>
      <c r="Q784" s="283"/>
      <c r="R784" s="283"/>
      <c r="S784" s="283"/>
      <c r="T784" s="283"/>
      <c r="U784" s="283"/>
      <c r="V784" s="283"/>
      <c r="W784" s="283"/>
      <c r="X784" s="283"/>
      <c r="Y784" s="283"/>
    </row>
    <row r="785">
      <c r="A785" s="283"/>
      <c r="B785" s="283"/>
      <c r="C785" s="283"/>
      <c r="D785" s="283"/>
      <c r="E785" s="283"/>
      <c r="F785" s="283"/>
      <c r="G785" s="283"/>
      <c r="H785" s="283"/>
      <c r="I785" s="283"/>
      <c r="J785" s="283"/>
      <c r="K785" s="283"/>
      <c r="L785" s="283"/>
      <c r="M785" s="283"/>
      <c r="N785" s="283"/>
      <c r="O785" s="375" t="str">
        <f t="array" ref="O785">XLOOKUP(M785,'Recruiting Form Responses'!C:C,'Recruiting Form Responses'!A:A,"",0,1)</f>
        <v/>
      </c>
      <c r="P785" s="378"/>
      <c r="Q785" s="283"/>
      <c r="R785" s="283"/>
      <c r="S785" s="283"/>
      <c r="T785" s="283"/>
      <c r="U785" s="283"/>
      <c r="V785" s="283"/>
      <c r="W785" s="283"/>
      <c r="X785" s="283"/>
      <c r="Y785" s="283"/>
    </row>
    <row r="786">
      <c r="A786" s="283"/>
      <c r="B786" s="283"/>
      <c r="C786" s="283"/>
      <c r="D786" s="283"/>
      <c r="E786" s="283"/>
      <c r="F786" s="283"/>
      <c r="G786" s="283"/>
      <c r="H786" s="283"/>
      <c r="I786" s="283"/>
      <c r="J786" s="283"/>
      <c r="K786" s="283"/>
      <c r="L786" s="283"/>
      <c r="M786" s="283"/>
      <c r="N786" s="283"/>
      <c r="O786" s="375" t="str">
        <f t="array" ref="O786">XLOOKUP(M786,'Recruiting Form Responses'!C:C,'Recruiting Form Responses'!A:A,"",0,1)</f>
        <v/>
      </c>
      <c r="P786" s="378"/>
      <c r="Q786" s="283"/>
      <c r="R786" s="283"/>
      <c r="S786" s="283"/>
      <c r="T786" s="283"/>
      <c r="U786" s="283"/>
      <c r="V786" s="283"/>
      <c r="W786" s="283"/>
      <c r="X786" s="283"/>
      <c r="Y786" s="283"/>
    </row>
    <row r="787">
      <c r="A787" s="283"/>
      <c r="B787" s="283"/>
      <c r="C787" s="283"/>
      <c r="D787" s="283"/>
      <c r="E787" s="283"/>
      <c r="F787" s="283"/>
      <c r="G787" s="283"/>
      <c r="H787" s="283"/>
      <c r="I787" s="283"/>
      <c r="J787" s="283"/>
      <c r="K787" s="283"/>
      <c r="L787" s="283"/>
      <c r="M787" s="283"/>
      <c r="N787" s="283"/>
      <c r="O787" s="375" t="str">
        <f t="array" ref="O787">XLOOKUP(M787,'Recruiting Form Responses'!C:C,'Recruiting Form Responses'!A:A,"",0,1)</f>
        <v/>
      </c>
      <c r="P787" s="378"/>
      <c r="Q787" s="283"/>
      <c r="R787" s="283"/>
      <c r="S787" s="283"/>
      <c r="T787" s="283"/>
      <c r="U787" s="283"/>
      <c r="V787" s="283"/>
      <c r="W787" s="283"/>
      <c r="X787" s="283"/>
      <c r="Y787" s="283"/>
    </row>
    <row r="788">
      <c r="A788" s="283"/>
      <c r="B788" s="283"/>
      <c r="C788" s="283"/>
      <c r="D788" s="283"/>
      <c r="E788" s="283"/>
      <c r="F788" s="283"/>
      <c r="G788" s="283"/>
      <c r="H788" s="283"/>
      <c r="I788" s="283"/>
      <c r="J788" s="283"/>
      <c r="K788" s="283"/>
      <c r="L788" s="283"/>
      <c r="M788" s="283"/>
      <c r="N788" s="283"/>
      <c r="O788" s="375" t="str">
        <f t="array" ref="O788">XLOOKUP(M788,'Recruiting Form Responses'!C:C,'Recruiting Form Responses'!A:A,"",0,1)</f>
        <v/>
      </c>
      <c r="P788" s="378"/>
      <c r="Q788" s="283"/>
      <c r="R788" s="283"/>
      <c r="S788" s="283"/>
      <c r="T788" s="283"/>
      <c r="U788" s="283"/>
      <c r="V788" s="283"/>
      <c r="W788" s="283"/>
      <c r="X788" s="283"/>
      <c r="Y788" s="283"/>
    </row>
    <row r="789">
      <c r="A789" s="283"/>
      <c r="B789" s="283"/>
      <c r="C789" s="283"/>
      <c r="D789" s="283"/>
      <c r="E789" s="283"/>
      <c r="F789" s="283"/>
      <c r="G789" s="283"/>
      <c r="H789" s="283"/>
      <c r="I789" s="283"/>
      <c r="J789" s="283"/>
      <c r="K789" s="283"/>
      <c r="L789" s="283"/>
      <c r="M789" s="283"/>
      <c r="N789" s="283"/>
      <c r="O789" s="375" t="str">
        <f t="array" ref="O789">XLOOKUP(M789,'Recruiting Form Responses'!C:C,'Recruiting Form Responses'!A:A,"",0,1)</f>
        <v/>
      </c>
      <c r="P789" s="378"/>
      <c r="Q789" s="283"/>
      <c r="R789" s="283"/>
      <c r="S789" s="283"/>
      <c r="T789" s="283"/>
      <c r="U789" s="283"/>
      <c r="V789" s="283"/>
      <c r="W789" s="283"/>
      <c r="X789" s="283"/>
      <c r="Y789" s="283"/>
    </row>
    <row r="790">
      <c r="A790" s="283"/>
      <c r="B790" s="283"/>
      <c r="C790" s="283"/>
      <c r="D790" s="283"/>
      <c r="E790" s="283"/>
      <c r="F790" s="283"/>
      <c r="G790" s="283"/>
      <c r="H790" s="283"/>
      <c r="I790" s="283"/>
      <c r="J790" s="283"/>
      <c r="K790" s="283"/>
      <c r="L790" s="283"/>
      <c r="M790" s="283"/>
      <c r="N790" s="283"/>
      <c r="O790" s="375" t="str">
        <f t="array" ref="O790">XLOOKUP(M790,'Recruiting Form Responses'!C:C,'Recruiting Form Responses'!A:A,"",0,1)</f>
        <v/>
      </c>
      <c r="P790" s="378"/>
      <c r="Q790" s="283"/>
      <c r="R790" s="283"/>
      <c r="S790" s="283"/>
      <c r="T790" s="283"/>
      <c r="U790" s="283"/>
      <c r="V790" s="283"/>
      <c r="W790" s="283"/>
      <c r="X790" s="283"/>
      <c r="Y790" s="283"/>
    </row>
    <row r="791">
      <c r="A791" s="283"/>
      <c r="B791" s="283"/>
      <c r="C791" s="283"/>
      <c r="D791" s="283"/>
      <c r="E791" s="283"/>
      <c r="F791" s="283"/>
      <c r="G791" s="283"/>
      <c r="H791" s="283"/>
      <c r="I791" s="283"/>
      <c r="J791" s="283"/>
      <c r="K791" s="283"/>
      <c r="L791" s="283"/>
      <c r="M791" s="283"/>
      <c r="N791" s="283"/>
      <c r="O791" s="375" t="str">
        <f t="array" ref="O791">XLOOKUP(M791,'Recruiting Form Responses'!C:C,'Recruiting Form Responses'!A:A,"",0,1)</f>
        <v/>
      </c>
      <c r="P791" s="378"/>
      <c r="Q791" s="283"/>
      <c r="R791" s="283"/>
      <c r="S791" s="283"/>
      <c r="T791" s="283"/>
      <c r="U791" s="283"/>
      <c r="V791" s="283"/>
      <c r="W791" s="283"/>
      <c r="X791" s="283"/>
      <c r="Y791" s="283"/>
    </row>
    <row r="792">
      <c r="A792" s="283"/>
      <c r="B792" s="283"/>
      <c r="C792" s="283"/>
      <c r="D792" s="283"/>
      <c r="E792" s="283"/>
      <c r="F792" s="283"/>
      <c r="G792" s="283"/>
      <c r="H792" s="283"/>
      <c r="I792" s="283"/>
      <c r="J792" s="283"/>
      <c r="K792" s="283"/>
      <c r="L792" s="283"/>
      <c r="M792" s="283"/>
      <c r="N792" s="283"/>
      <c r="O792" s="375" t="str">
        <f t="array" ref="O792">XLOOKUP(M792,'Recruiting Form Responses'!C:C,'Recruiting Form Responses'!A:A,"",0,1)</f>
        <v/>
      </c>
      <c r="P792" s="378"/>
      <c r="Q792" s="283"/>
      <c r="R792" s="283"/>
      <c r="S792" s="283"/>
      <c r="T792" s="283"/>
      <c r="U792" s="283"/>
      <c r="V792" s="283"/>
      <c r="W792" s="283"/>
      <c r="X792" s="283"/>
      <c r="Y792" s="283"/>
    </row>
    <row r="793">
      <c r="A793" s="283"/>
      <c r="B793" s="283"/>
      <c r="C793" s="283"/>
      <c r="D793" s="283"/>
      <c r="E793" s="283"/>
      <c r="F793" s="283"/>
      <c r="G793" s="283"/>
      <c r="H793" s="283"/>
      <c r="I793" s="283"/>
      <c r="J793" s="283"/>
      <c r="K793" s="283"/>
      <c r="L793" s="283"/>
      <c r="M793" s="283"/>
      <c r="N793" s="283"/>
      <c r="O793" s="375" t="str">
        <f t="array" ref="O793">XLOOKUP(M793,'Recruiting Form Responses'!C:C,'Recruiting Form Responses'!A:A,"",0,1)</f>
        <v/>
      </c>
      <c r="P793" s="378"/>
      <c r="Q793" s="283"/>
      <c r="R793" s="283"/>
      <c r="S793" s="283"/>
      <c r="T793" s="283"/>
      <c r="U793" s="283"/>
      <c r="V793" s="283"/>
      <c r="W793" s="283"/>
      <c r="X793" s="283"/>
      <c r="Y793" s="283"/>
    </row>
    <row r="794">
      <c r="A794" s="283"/>
      <c r="B794" s="283"/>
      <c r="C794" s="283"/>
      <c r="D794" s="283"/>
      <c r="E794" s="283"/>
      <c r="F794" s="283"/>
      <c r="G794" s="283"/>
      <c r="H794" s="283"/>
      <c r="I794" s="283"/>
      <c r="J794" s="283"/>
      <c r="K794" s="283"/>
      <c r="L794" s="283"/>
      <c r="M794" s="283"/>
      <c r="N794" s="283"/>
      <c r="O794" s="375" t="str">
        <f t="array" ref="O794">XLOOKUP(M794,'Recruiting Form Responses'!C:C,'Recruiting Form Responses'!A:A,"",0,1)</f>
        <v/>
      </c>
      <c r="P794" s="378"/>
      <c r="Q794" s="283"/>
      <c r="R794" s="283"/>
      <c r="S794" s="283"/>
      <c r="T794" s="283"/>
      <c r="U794" s="283"/>
      <c r="V794" s="283"/>
      <c r="W794" s="283"/>
      <c r="X794" s="283"/>
      <c r="Y794" s="283"/>
    </row>
    <row r="795">
      <c r="A795" s="283"/>
      <c r="B795" s="283"/>
      <c r="C795" s="283"/>
      <c r="D795" s="283"/>
      <c r="E795" s="283"/>
      <c r="F795" s="283"/>
      <c r="G795" s="283"/>
      <c r="H795" s="283"/>
      <c r="I795" s="283"/>
      <c r="J795" s="283"/>
      <c r="K795" s="283"/>
      <c r="L795" s="283"/>
      <c r="M795" s="283"/>
      <c r="N795" s="283"/>
      <c r="O795" s="375" t="str">
        <f t="array" ref="O795">XLOOKUP(M795,'Recruiting Form Responses'!C:C,'Recruiting Form Responses'!A:A,"",0,1)</f>
        <v/>
      </c>
      <c r="P795" s="378"/>
      <c r="Q795" s="283"/>
      <c r="R795" s="283"/>
      <c r="S795" s="283"/>
      <c r="T795" s="283"/>
      <c r="U795" s="283"/>
      <c r="V795" s="283"/>
      <c r="W795" s="283"/>
      <c r="X795" s="283"/>
      <c r="Y795" s="283"/>
    </row>
    <row r="796">
      <c r="A796" s="283"/>
      <c r="B796" s="283"/>
      <c r="C796" s="283"/>
      <c r="D796" s="283"/>
      <c r="E796" s="283"/>
      <c r="F796" s="283"/>
      <c r="G796" s="283"/>
      <c r="H796" s="283"/>
      <c r="I796" s="283"/>
      <c r="J796" s="283"/>
      <c r="K796" s="283"/>
      <c r="L796" s="283"/>
      <c r="M796" s="283"/>
      <c r="N796" s="283"/>
      <c r="O796" s="375" t="str">
        <f t="array" ref="O796">XLOOKUP(M796,'Recruiting Form Responses'!C:C,'Recruiting Form Responses'!A:A,"",0,1)</f>
        <v/>
      </c>
      <c r="P796" s="378"/>
      <c r="Q796" s="283"/>
      <c r="R796" s="283"/>
      <c r="S796" s="283"/>
      <c r="T796" s="283"/>
      <c r="U796" s="283"/>
      <c r="V796" s="283"/>
      <c r="W796" s="283"/>
      <c r="X796" s="283"/>
      <c r="Y796" s="283"/>
    </row>
    <row r="797">
      <c r="A797" s="283"/>
      <c r="B797" s="283"/>
      <c r="C797" s="283"/>
      <c r="D797" s="283"/>
      <c r="E797" s="283"/>
      <c r="F797" s="283"/>
      <c r="G797" s="283"/>
      <c r="H797" s="283"/>
      <c r="I797" s="283"/>
      <c r="J797" s="283"/>
      <c r="K797" s="283"/>
      <c r="L797" s="283"/>
      <c r="M797" s="283"/>
      <c r="N797" s="283"/>
      <c r="O797" s="375" t="str">
        <f t="array" ref="O797">XLOOKUP(M797,'Recruiting Form Responses'!C:C,'Recruiting Form Responses'!A:A,"",0,1)</f>
        <v/>
      </c>
      <c r="P797" s="378"/>
      <c r="Q797" s="283"/>
      <c r="R797" s="283"/>
      <c r="S797" s="283"/>
      <c r="T797" s="283"/>
      <c r="U797" s="283"/>
      <c r="V797" s="283"/>
      <c r="W797" s="283"/>
      <c r="X797" s="283"/>
      <c r="Y797" s="283"/>
    </row>
    <row r="798">
      <c r="A798" s="283"/>
      <c r="B798" s="283"/>
      <c r="C798" s="283"/>
      <c r="D798" s="283"/>
      <c r="E798" s="283"/>
      <c r="F798" s="283"/>
      <c r="G798" s="283"/>
      <c r="H798" s="283"/>
      <c r="I798" s="283"/>
      <c r="J798" s="283"/>
      <c r="K798" s="283"/>
      <c r="L798" s="283"/>
      <c r="M798" s="283"/>
      <c r="N798" s="283"/>
      <c r="O798" s="375" t="str">
        <f t="array" ref="O798">XLOOKUP(M798,'Recruiting Form Responses'!C:C,'Recruiting Form Responses'!A:A,"",0,1)</f>
        <v/>
      </c>
      <c r="P798" s="378"/>
      <c r="Q798" s="283"/>
      <c r="R798" s="283"/>
      <c r="S798" s="283"/>
      <c r="T798" s="283"/>
      <c r="U798" s="283"/>
      <c r="V798" s="283"/>
      <c r="W798" s="283"/>
      <c r="X798" s="283"/>
      <c r="Y798" s="283"/>
    </row>
    <row r="799">
      <c r="A799" s="283"/>
      <c r="B799" s="283"/>
      <c r="C799" s="283"/>
      <c r="D799" s="283"/>
      <c r="E799" s="283"/>
      <c r="F799" s="283"/>
      <c r="G799" s="283"/>
      <c r="H799" s="283"/>
      <c r="I799" s="283"/>
      <c r="J799" s="283"/>
      <c r="K799" s="283"/>
      <c r="L799" s="283"/>
      <c r="M799" s="283"/>
      <c r="N799" s="283"/>
      <c r="O799" s="375" t="str">
        <f t="array" ref="O799">XLOOKUP(M799,'Recruiting Form Responses'!C:C,'Recruiting Form Responses'!A:A,"",0,1)</f>
        <v/>
      </c>
      <c r="P799" s="378"/>
      <c r="Q799" s="283"/>
      <c r="R799" s="283"/>
      <c r="S799" s="283"/>
      <c r="T799" s="283"/>
      <c r="U799" s="283"/>
      <c r="V799" s="283"/>
      <c r="W799" s="283"/>
      <c r="X799" s="283"/>
      <c r="Y799" s="283"/>
    </row>
    <row r="800">
      <c r="A800" s="283"/>
      <c r="B800" s="283"/>
      <c r="C800" s="283"/>
      <c r="D800" s="283"/>
      <c r="E800" s="283"/>
      <c r="F800" s="283"/>
      <c r="G800" s="283"/>
      <c r="H800" s="283"/>
      <c r="I800" s="283"/>
      <c r="J800" s="283"/>
      <c r="K800" s="283"/>
      <c r="L800" s="283"/>
      <c r="M800" s="283"/>
      <c r="N800" s="283"/>
      <c r="O800" s="375" t="str">
        <f t="array" ref="O800">XLOOKUP(M800,'Recruiting Form Responses'!C:C,'Recruiting Form Responses'!A:A,"",0,1)</f>
        <v/>
      </c>
      <c r="P800" s="378"/>
      <c r="Q800" s="283"/>
      <c r="R800" s="283"/>
      <c r="S800" s="283"/>
      <c r="T800" s="283"/>
      <c r="U800" s="283"/>
      <c r="V800" s="283"/>
      <c r="W800" s="283"/>
      <c r="X800" s="283"/>
      <c r="Y800" s="283"/>
    </row>
    <row r="801">
      <c r="A801" s="283"/>
      <c r="B801" s="283"/>
      <c r="C801" s="283"/>
      <c r="D801" s="283"/>
      <c r="E801" s="283"/>
      <c r="F801" s="283"/>
      <c r="G801" s="283"/>
      <c r="H801" s="283"/>
      <c r="I801" s="283"/>
      <c r="J801" s="283"/>
      <c r="K801" s="283"/>
      <c r="L801" s="283"/>
      <c r="M801" s="283"/>
      <c r="N801" s="283"/>
      <c r="O801" s="375" t="str">
        <f t="array" ref="O801">XLOOKUP(M801,'Recruiting Form Responses'!C:C,'Recruiting Form Responses'!A:A,"",0,1)</f>
        <v/>
      </c>
      <c r="P801" s="378"/>
      <c r="Q801" s="283"/>
      <c r="R801" s="283"/>
      <c r="S801" s="283"/>
      <c r="T801" s="283"/>
      <c r="U801" s="283"/>
      <c r="V801" s="283"/>
      <c r="W801" s="283"/>
      <c r="X801" s="283"/>
      <c r="Y801" s="283"/>
    </row>
    <row r="802">
      <c r="A802" s="283"/>
      <c r="B802" s="283"/>
      <c r="C802" s="283"/>
      <c r="D802" s="283"/>
      <c r="E802" s="283"/>
      <c r="F802" s="283"/>
      <c r="G802" s="283"/>
      <c r="H802" s="283"/>
      <c r="I802" s="283"/>
      <c r="J802" s="283"/>
      <c r="K802" s="283"/>
      <c r="L802" s="283"/>
      <c r="M802" s="283"/>
      <c r="N802" s="283"/>
      <c r="O802" s="375" t="str">
        <f t="array" ref="O802">XLOOKUP(M802,'Recruiting Form Responses'!C:C,'Recruiting Form Responses'!A:A,"",0,1)</f>
        <v/>
      </c>
      <c r="P802" s="378"/>
      <c r="Q802" s="283"/>
      <c r="R802" s="283"/>
      <c r="S802" s="283"/>
      <c r="T802" s="283"/>
      <c r="U802" s="283"/>
      <c r="V802" s="283"/>
      <c r="W802" s="283"/>
      <c r="X802" s="283"/>
      <c r="Y802" s="283"/>
    </row>
    <row r="803">
      <c r="A803" s="283"/>
      <c r="B803" s="283"/>
      <c r="C803" s="283"/>
      <c r="D803" s="283"/>
      <c r="E803" s="283"/>
      <c r="F803" s="283"/>
      <c r="G803" s="283"/>
      <c r="H803" s="283"/>
      <c r="I803" s="283"/>
      <c r="J803" s="283"/>
      <c r="K803" s="283"/>
      <c r="L803" s="283"/>
      <c r="M803" s="283"/>
      <c r="N803" s="283"/>
      <c r="O803" s="375" t="str">
        <f t="array" ref="O803">XLOOKUP(M803,'Recruiting Form Responses'!C:C,'Recruiting Form Responses'!A:A,"",0,1)</f>
        <v/>
      </c>
      <c r="P803" s="378"/>
      <c r="Q803" s="283"/>
      <c r="R803" s="283"/>
      <c r="S803" s="283"/>
      <c r="T803" s="283"/>
      <c r="U803" s="283"/>
      <c r="V803" s="283"/>
      <c r="W803" s="283"/>
      <c r="X803" s="283"/>
      <c r="Y803" s="283"/>
    </row>
    <row r="804">
      <c r="A804" s="283"/>
      <c r="B804" s="283"/>
      <c r="C804" s="283"/>
      <c r="D804" s="283"/>
      <c r="E804" s="283"/>
      <c r="F804" s="283"/>
      <c r="G804" s="283"/>
      <c r="H804" s="283"/>
      <c r="I804" s="283"/>
      <c r="J804" s="283"/>
      <c r="K804" s="283"/>
      <c r="L804" s="283"/>
      <c r="M804" s="283"/>
      <c r="N804" s="283"/>
      <c r="O804" s="375" t="str">
        <f t="array" ref="O804">XLOOKUP(M804,'Recruiting Form Responses'!C:C,'Recruiting Form Responses'!A:A,"",0,1)</f>
        <v/>
      </c>
      <c r="P804" s="378"/>
      <c r="Q804" s="283"/>
      <c r="R804" s="283"/>
      <c r="S804" s="283"/>
      <c r="T804" s="283"/>
      <c r="U804" s="283"/>
      <c r="V804" s="283"/>
      <c r="W804" s="283"/>
      <c r="X804" s="283"/>
      <c r="Y804" s="283"/>
    </row>
    <row r="805">
      <c r="A805" s="283"/>
      <c r="B805" s="283"/>
      <c r="C805" s="283"/>
      <c r="D805" s="283"/>
      <c r="E805" s="283"/>
      <c r="F805" s="283"/>
      <c r="G805" s="283"/>
      <c r="H805" s="283"/>
      <c r="I805" s="283"/>
      <c r="J805" s="283"/>
      <c r="K805" s="283"/>
      <c r="L805" s="283"/>
      <c r="M805" s="283"/>
      <c r="N805" s="283"/>
      <c r="O805" s="375" t="str">
        <f t="array" ref="O805">XLOOKUP(M805,'Recruiting Form Responses'!C:C,'Recruiting Form Responses'!A:A,"",0,1)</f>
        <v/>
      </c>
      <c r="P805" s="378"/>
      <c r="Q805" s="283"/>
      <c r="R805" s="283"/>
      <c r="S805" s="283"/>
      <c r="T805" s="283"/>
      <c r="U805" s="283"/>
      <c r="V805" s="283"/>
      <c r="W805" s="283"/>
      <c r="X805" s="283"/>
      <c r="Y805" s="283"/>
    </row>
    <row r="806">
      <c r="A806" s="283"/>
      <c r="B806" s="283"/>
      <c r="C806" s="283"/>
      <c r="D806" s="283"/>
      <c r="E806" s="283"/>
      <c r="F806" s="283"/>
      <c r="G806" s="283"/>
      <c r="H806" s="283"/>
      <c r="I806" s="283"/>
      <c r="J806" s="283"/>
      <c r="K806" s="283"/>
      <c r="L806" s="283"/>
      <c r="M806" s="283"/>
      <c r="N806" s="283"/>
      <c r="O806" s="375" t="str">
        <f t="array" ref="O806">XLOOKUP(M806,'Recruiting Form Responses'!C:C,'Recruiting Form Responses'!A:A,"",0,1)</f>
        <v/>
      </c>
      <c r="P806" s="378"/>
      <c r="Q806" s="283"/>
      <c r="R806" s="283"/>
      <c r="S806" s="283"/>
      <c r="T806" s="283"/>
      <c r="U806" s="283"/>
      <c r="V806" s="283"/>
      <c r="W806" s="283"/>
      <c r="X806" s="283"/>
      <c r="Y806" s="283"/>
    </row>
    <row r="807">
      <c r="A807" s="283"/>
      <c r="B807" s="283"/>
      <c r="C807" s="283"/>
      <c r="D807" s="283"/>
      <c r="E807" s="283"/>
      <c r="F807" s="283"/>
      <c r="G807" s="283"/>
      <c r="H807" s="283"/>
      <c r="I807" s="283"/>
      <c r="J807" s="283"/>
      <c r="K807" s="283"/>
      <c r="L807" s="283"/>
      <c r="M807" s="283"/>
      <c r="N807" s="283"/>
      <c r="O807" s="375" t="str">
        <f t="array" ref="O807">XLOOKUP(M807,'Recruiting Form Responses'!C:C,'Recruiting Form Responses'!A:A,"",0,1)</f>
        <v/>
      </c>
      <c r="P807" s="378"/>
      <c r="Q807" s="283"/>
      <c r="R807" s="283"/>
      <c r="S807" s="283"/>
      <c r="T807" s="283"/>
      <c r="U807" s="283"/>
      <c r="V807" s="283"/>
      <c r="W807" s="283"/>
      <c r="X807" s="283"/>
      <c r="Y807" s="283"/>
    </row>
    <row r="808">
      <c r="A808" s="283"/>
      <c r="B808" s="283"/>
      <c r="C808" s="283"/>
      <c r="D808" s="283"/>
      <c r="E808" s="283"/>
      <c r="F808" s="283"/>
      <c r="G808" s="283"/>
      <c r="H808" s="283"/>
      <c r="I808" s="283"/>
      <c r="J808" s="283"/>
      <c r="K808" s="283"/>
      <c r="L808" s="283"/>
      <c r="M808" s="283"/>
      <c r="N808" s="283"/>
      <c r="O808" s="375" t="str">
        <f t="array" ref="O808">XLOOKUP(M808,'Recruiting Form Responses'!C:C,'Recruiting Form Responses'!A:A,"",0,1)</f>
        <v/>
      </c>
      <c r="P808" s="378"/>
      <c r="Q808" s="283"/>
      <c r="R808" s="283"/>
      <c r="S808" s="283"/>
      <c r="T808" s="283"/>
      <c r="U808" s="283"/>
      <c r="V808" s="283"/>
      <c r="W808" s="283"/>
      <c r="X808" s="283"/>
      <c r="Y808" s="283"/>
    </row>
    <row r="809">
      <c r="A809" s="283"/>
      <c r="B809" s="283"/>
      <c r="C809" s="283"/>
      <c r="D809" s="283"/>
      <c r="E809" s="283"/>
      <c r="F809" s="283"/>
      <c r="G809" s="283"/>
      <c r="H809" s="283"/>
      <c r="I809" s="283"/>
      <c r="J809" s="283"/>
      <c r="K809" s="283"/>
      <c r="L809" s="283"/>
      <c r="M809" s="283"/>
      <c r="N809" s="283"/>
      <c r="O809" s="375" t="str">
        <f t="array" ref="O809">XLOOKUP(M809,'Recruiting Form Responses'!C:C,'Recruiting Form Responses'!A:A,"",0,1)</f>
        <v/>
      </c>
      <c r="P809" s="378"/>
      <c r="Q809" s="283"/>
      <c r="R809" s="283"/>
      <c r="S809" s="283"/>
      <c r="T809" s="283"/>
      <c r="U809" s="283"/>
      <c r="V809" s="283"/>
      <c r="W809" s="283"/>
      <c r="X809" s="283"/>
      <c r="Y809" s="283"/>
    </row>
    <row r="810">
      <c r="A810" s="283"/>
      <c r="B810" s="283"/>
      <c r="C810" s="283"/>
      <c r="D810" s="283"/>
      <c r="E810" s="283"/>
      <c r="F810" s="283"/>
      <c r="G810" s="283"/>
      <c r="H810" s="283"/>
      <c r="I810" s="283"/>
      <c r="J810" s="283"/>
      <c r="K810" s="283"/>
      <c r="L810" s="283"/>
      <c r="M810" s="283"/>
      <c r="N810" s="283"/>
      <c r="O810" s="375" t="str">
        <f t="array" ref="O810">XLOOKUP(M810,'Recruiting Form Responses'!C:C,'Recruiting Form Responses'!A:A,"",0,1)</f>
        <v/>
      </c>
      <c r="P810" s="378"/>
      <c r="Q810" s="283"/>
      <c r="R810" s="283"/>
      <c r="S810" s="283"/>
      <c r="T810" s="283"/>
      <c r="U810" s="283"/>
      <c r="V810" s="283"/>
      <c r="W810" s="283"/>
      <c r="X810" s="283"/>
      <c r="Y810" s="283"/>
    </row>
    <row r="811">
      <c r="A811" s="283"/>
      <c r="B811" s="283"/>
      <c r="C811" s="283"/>
      <c r="D811" s="283"/>
      <c r="E811" s="283"/>
      <c r="F811" s="283"/>
      <c r="G811" s="283"/>
      <c r="H811" s="283"/>
      <c r="I811" s="283"/>
      <c r="J811" s="283"/>
      <c r="K811" s="283"/>
      <c r="L811" s="283"/>
      <c r="M811" s="283"/>
      <c r="N811" s="283"/>
      <c r="O811" s="375" t="str">
        <f t="array" ref="O811">XLOOKUP(M811,'Recruiting Form Responses'!C:C,'Recruiting Form Responses'!A:A,"",0,1)</f>
        <v/>
      </c>
      <c r="P811" s="378"/>
      <c r="Q811" s="283"/>
      <c r="R811" s="283"/>
      <c r="S811" s="283"/>
      <c r="T811" s="283"/>
      <c r="U811" s="283"/>
      <c r="V811" s="283"/>
      <c r="W811" s="283"/>
      <c r="X811" s="283"/>
      <c r="Y811" s="283"/>
    </row>
    <row r="812">
      <c r="A812" s="283"/>
      <c r="B812" s="283"/>
      <c r="C812" s="283"/>
      <c r="D812" s="283"/>
      <c r="E812" s="283"/>
      <c r="F812" s="283"/>
      <c r="G812" s="283"/>
      <c r="H812" s="283"/>
      <c r="I812" s="283"/>
      <c r="J812" s="283"/>
      <c r="K812" s="283"/>
      <c r="L812" s="283"/>
      <c r="M812" s="283"/>
      <c r="N812" s="283"/>
      <c r="O812" s="375" t="str">
        <f t="array" ref="O812">XLOOKUP(M812,'Recruiting Form Responses'!C:C,'Recruiting Form Responses'!A:A,"",0,1)</f>
        <v/>
      </c>
      <c r="P812" s="378"/>
      <c r="Q812" s="283"/>
      <c r="R812" s="283"/>
      <c r="S812" s="283"/>
      <c r="T812" s="283"/>
      <c r="U812" s="283"/>
      <c r="V812" s="283"/>
      <c r="W812" s="283"/>
      <c r="X812" s="283"/>
      <c r="Y812" s="283"/>
    </row>
    <row r="813">
      <c r="A813" s="283"/>
      <c r="B813" s="283"/>
      <c r="C813" s="283"/>
      <c r="D813" s="283"/>
      <c r="E813" s="283"/>
      <c r="F813" s="283"/>
      <c r="G813" s="283"/>
      <c r="H813" s="283"/>
      <c r="I813" s="283"/>
      <c r="J813" s="283"/>
      <c r="K813" s="283"/>
      <c r="L813" s="283"/>
      <c r="M813" s="283"/>
      <c r="N813" s="283"/>
      <c r="O813" s="375" t="str">
        <f t="array" ref="O813">XLOOKUP(M813,'Recruiting Form Responses'!C:C,'Recruiting Form Responses'!A:A,"",0,1)</f>
        <v/>
      </c>
      <c r="P813" s="378"/>
      <c r="Q813" s="283"/>
      <c r="R813" s="283"/>
      <c r="S813" s="283"/>
      <c r="T813" s="283"/>
      <c r="U813" s="283"/>
      <c r="V813" s="283"/>
      <c r="W813" s="283"/>
      <c r="X813" s="283"/>
      <c r="Y813" s="283"/>
    </row>
    <row r="814">
      <c r="A814" s="283"/>
      <c r="B814" s="283"/>
      <c r="C814" s="283"/>
      <c r="D814" s="283"/>
      <c r="E814" s="283"/>
      <c r="F814" s="283"/>
      <c r="G814" s="283"/>
      <c r="H814" s="283"/>
      <c r="I814" s="283"/>
      <c r="J814" s="283"/>
      <c r="K814" s="283"/>
      <c r="L814" s="283"/>
      <c r="M814" s="283"/>
      <c r="N814" s="283"/>
      <c r="O814" s="375" t="str">
        <f t="array" ref="O814">XLOOKUP(M814,'Recruiting Form Responses'!C:C,'Recruiting Form Responses'!A:A,"",0,1)</f>
        <v/>
      </c>
      <c r="P814" s="378"/>
      <c r="Q814" s="283"/>
      <c r="R814" s="283"/>
      <c r="S814" s="283"/>
      <c r="T814" s="283"/>
      <c r="U814" s="283"/>
      <c r="V814" s="283"/>
      <c r="W814" s="283"/>
      <c r="X814" s="283"/>
      <c r="Y814" s="283"/>
    </row>
    <row r="815">
      <c r="A815" s="283"/>
      <c r="B815" s="283"/>
      <c r="C815" s="283"/>
      <c r="D815" s="283"/>
      <c r="E815" s="283"/>
      <c r="F815" s="283"/>
      <c r="G815" s="283"/>
      <c r="H815" s="283"/>
      <c r="I815" s="283"/>
      <c r="J815" s="283"/>
      <c r="K815" s="283"/>
      <c r="L815" s="283"/>
      <c r="M815" s="283"/>
      <c r="N815" s="283"/>
      <c r="O815" s="375" t="str">
        <f t="array" ref="O815">XLOOKUP(M815,'Recruiting Form Responses'!C:C,'Recruiting Form Responses'!A:A,"",0,1)</f>
        <v/>
      </c>
      <c r="P815" s="378"/>
      <c r="Q815" s="283"/>
      <c r="R815" s="283"/>
      <c r="S815" s="283"/>
      <c r="T815" s="283"/>
      <c r="U815" s="283"/>
      <c r="V815" s="283"/>
      <c r="W815" s="283"/>
      <c r="X815" s="283"/>
      <c r="Y815" s="283"/>
    </row>
    <row r="816">
      <c r="A816" s="283"/>
      <c r="B816" s="283"/>
      <c r="C816" s="283"/>
      <c r="D816" s="283"/>
      <c r="E816" s="283"/>
      <c r="F816" s="283"/>
      <c r="G816" s="283"/>
      <c r="H816" s="283"/>
      <c r="I816" s="283"/>
      <c r="J816" s="283"/>
      <c r="K816" s="283"/>
      <c r="L816" s="283"/>
      <c r="M816" s="283"/>
      <c r="N816" s="283"/>
      <c r="O816" s="375" t="str">
        <f t="array" ref="O816">XLOOKUP(M816,'Recruiting Form Responses'!C:C,'Recruiting Form Responses'!A:A,"",0,1)</f>
        <v/>
      </c>
      <c r="P816" s="378"/>
      <c r="Q816" s="283"/>
      <c r="R816" s="283"/>
      <c r="S816" s="283"/>
      <c r="T816" s="283"/>
      <c r="U816" s="283"/>
      <c r="V816" s="283"/>
      <c r="W816" s="283"/>
      <c r="X816" s="283"/>
      <c r="Y816" s="283"/>
    </row>
    <row r="817">
      <c r="A817" s="283"/>
      <c r="B817" s="283"/>
      <c r="C817" s="283"/>
      <c r="D817" s="283"/>
      <c r="E817" s="283"/>
      <c r="F817" s="283"/>
      <c r="G817" s="283"/>
      <c r="H817" s="283"/>
      <c r="I817" s="283"/>
      <c r="J817" s="283"/>
      <c r="K817" s="283"/>
      <c r="L817" s="283"/>
      <c r="M817" s="283"/>
      <c r="N817" s="283"/>
      <c r="O817" s="375" t="str">
        <f t="array" ref="O817">XLOOKUP(M817,'Recruiting Form Responses'!C:C,'Recruiting Form Responses'!A:A,"",0,1)</f>
        <v/>
      </c>
      <c r="P817" s="378"/>
      <c r="Q817" s="283"/>
      <c r="R817" s="283"/>
      <c r="S817" s="283"/>
      <c r="T817" s="283"/>
      <c r="U817" s="283"/>
      <c r="V817" s="283"/>
      <c r="W817" s="283"/>
      <c r="X817" s="283"/>
      <c r="Y817" s="283"/>
    </row>
    <row r="818">
      <c r="A818" s="283"/>
      <c r="B818" s="283"/>
      <c r="C818" s="283"/>
      <c r="D818" s="283"/>
      <c r="E818" s="283"/>
      <c r="F818" s="283"/>
      <c r="G818" s="283"/>
      <c r="H818" s="283"/>
      <c r="I818" s="283"/>
      <c r="J818" s="283"/>
      <c r="K818" s="283"/>
      <c r="L818" s="283"/>
      <c r="M818" s="283"/>
      <c r="N818" s="283"/>
      <c r="O818" s="375" t="str">
        <f t="array" ref="O818">XLOOKUP(M818,'Recruiting Form Responses'!C:C,'Recruiting Form Responses'!A:A,"",0,1)</f>
        <v/>
      </c>
      <c r="P818" s="378"/>
      <c r="Q818" s="283"/>
      <c r="R818" s="283"/>
      <c r="S818" s="283"/>
      <c r="T818" s="283"/>
      <c r="U818" s="283"/>
      <c r="V818" s="283"/>
      <c r="W818" s="283"/>
      <c r="X818" s="283"/>
      <c r="Y818" s="283"/>
    </row>
    <row r="819">
      <c r="A819" s="283"/>
      <c r="B819" s="283"/>
      <c r="C819" s="283"/>
      <c r="D819" s="283"/>
      <c r="E819" s="283"/>
      <c r="F819" s="283"/>
      <c r="G819" s="283"/>
      <c r="H819" s="283"/>
      <c r="I819" s="283"/>
      <c r="J819" s="283"/>
      <c r="K819" s="283"/>
      <c r="L819" s="283"/>
      <c r="M819" s="283"/>
      <c r="N819" s="283"/>
      <c r="O819" s="375" t="str">
        <f t="array" ref="O819">XLOOKUP(M819,'Recruiting Form Responses'!C:C,'Recruiting Form Responses'!A:A,"",0,1)</f>
        <v/>
      </c>
      <c r="P819" s="378"/>
      <c r="Q819" s="283"/>
      <c r="R819" s="283"/>
      <c r="S819" s="283"/>
      <c r="T819" s="283"/>
      <c r="U819" s="283"/>
      <c r="V819" s="283"/>
      <c r="W819" s="283"/>
      <c r="X819" s="283"/>
      <c r="Y819" s="283"/>
    </row>
    <row r="820">
      <c r="A820" s="283"/>
      <c r="B820" s="283"/>
      <c r="C820" s="283"/>
      <c r="D820" s="283"/>
      <c r="E820" s="283"/>
      <c r="F820" s="283"/>
      <c r="G820" s="283"/>
      <c r="H820" s="283"/>
      <c r="I820" s="283"/>
      <c r="J820" s="283"/>
      <c r="K820" s="283"/>
      <c r="L820" s="283"/>
      <c r="M820" s="283"/>
      <c r="N820" s="283"/>
      <c r="O820" s="375" t="str">
        <f t="array" ref="O820">XLOOKUP(M820,'Recruiting Form Responses'!C:C,'Recruiting Form Responses'!A:A,"",0,1)</f>
        <v/>
      </c>
      <c r="P820" s="378"/>
      <c r="Q820" s="283"/>
      <c r="R820" s="283"/>
      <c r="S820" s="283"/>
      <c r="T820" s="283"/>
      <c r="U820" s="283"/>
      <c r="V820" s="283"/>
      <c r="W820" s="283"/>
      <c r="X820" s="283"/>
      <c r="Y820" s="283"/>
    </row>
    <row r="821">
      <c r="A821" s="283"/>
      <c r="B821" s="283"/>
      <c r="C821" s="283"/>
      <c r="D821" s="283"/>
      <c r="E821" s="283"/>
      <c r="F821" s="283"/>
      <c r="G821" s="283"/>
      <c r="H821" s="283"/>
      <c r="I821" s="283"/>
      <c r="J821" s="283"/>
      <c r="K821" s="283"/>
      <c r="L821" s="283"/>
      <c r="M821" s="283"/>
      <c r="N821" s="283"/>
      <c r="O821" s="375" t="str">
        <f t="array" ref="O821">XLOOKUP(M821,'Recruiting Form Responses'!C:C,'Recruiting Form Responses'!A:A,"",0,1)</f>
        <v/>
      </c>
      <c r="P821" s="378"/>
      <c r="Q821" s="283"/>
      <c r="R821" s="283"/>
      <c r="S821" s="283"/>
      <c r="T821" s="283"/>
      <c r="U821" s="283"/>
      <c r="V821" s="283"/>
      <c r="W821" s="283"/>
      <c r="X821" s="283"/>
      <c r="Y821" s="283"/>
    </row>
    <row r="822">
      <c r="A822" s="283"/>
      <c r="B822" s="283"/>
      <c r="C822" s="283"/>
      <c r="D822" s="283"/>
      <c r="E822" s="283"/>
      <c r="F822" s="283"/>
      <c r="G822" s="283"/>
      <c r="H822" s="283"/>
      <c r="I822" s="283"/>
      <c r="J822" s="283"/>
      <c r="K822" s="283"/>
      <c r="L822" s="283"/>
      <c r="M822" s="283"/>
      <c r="N822" s="283"/>
      <c r="O822" s="375" t="str">
        <f t="array" ref="O822">XLOOKUP(M822,'Recruiting Form Responses'!C:C,'Recruiting Form Responses'!A:A,"",0,1)</f>
        <v/>
      </c>
      <c r="P822" s="378"/>
      <c r="Q822" s="283"/>
      <c r="R822" s="283"/>
      <c r="S822" s="283"/>
      <c r="T822" s="283"/>
      <c r="U822" s="283"/>
      <c r="V822" s="283"/>
      <c r="W822" s="283"/>
      <c r="X822" s="283"/>
      <c r="Y822" s="283"/>
    </row>
    <row r="823">
      <c r="A823" s="283"/>
      <c r="B823" s="283"/>
      <c r="C823" s="283"/>
      <c r="D823" s="283"/>
      <c r="E823" s="283"/>
      <c r="F823" s="283"/>
      <c r="G823" s="283"/>
      <c r="H823" s="283"/>
      <c r="I823" s="283"/>
      <c r="J823" s="283"/>
      <c r="K823" s="283"/>
      <c r="L823" s="283"/>
      <c r="M823" s="283"/>
      <c r="N823" s="283"/>
      <c r="O823" s="375" t="str">
        <f t="array" ref="O823">XLOOKUP(M823,'Recruiting Form Responses'!C:C,'Recruiting Form Responses'!A:A,"",0,1)</f>
        <v/>
      </c>
      <c r="P823" s="378"/>
      <c r="Q823" s="283"/>
      <c r="R823" s="283"/>
      <c r="S823" s="283"/>
      <c r="T823" s="283"/>
      <c r="U823" s="283"/>
      <c r="V823" s="283"/>
      <c r="W823" s="283"/>
      <c r="X823" s="283"/>
      <c r="Y823" s="283"/>
    </row>
    <row r="824">
      <c r="A824" s="283"/>
      <c r="B824" s="283"/>
      <c r="C824" s="283"/>
      <c r="D824" s="283"/>
      <c r="E824" s="283"/>
      <c r="F824" s="283"/>
      <c r="G824" s="283"/>
      <c r="H824" s="283"/>
      <c r="I824" s="283"/>
      <c r="J824" s="283"/>
      <c r="K824" s="283"/>
      <c r="L824" s="283"/>
      <c r="M824" s="283"/>
      <c r="N824" s="283"/>
      <c r="O824" s="375" t="str">
        <f t="array" ref="O824">XLOOKUP(M824,'Recruiting Form Responses'!C:C,'Recruiting Form Responses'!A:A,"",0,1)</f>
        <v/>
      </c>
      <c r="P824" s="378"/>
      <c r="Q824" s="283"/>
      <c r="R824" s="283"/>
      <c r="S824" s="283"/>
      <c r="T824" s="283"/>
      <c r="U824" s="283"/>
      <c r="V824" s="283"/>
      <c r="W824" s="283"/>
      <c r="X824" s="283"/>
      <c r="Y824" s="283"/>
    </row>
    <row r="825">
      <c r="A825" s="283"/>
      <c r="B825" s="283"/>
      <c r="C825" s="283"/>
      <c r="D825" s="283"/>
      <c r="E825" s="283"/>
      <c r="F825" s="283"/>
      <c r="G825" s="283"/>
      <c r="H825" s="283"/>
      <c r="I825" s="283"/>
      <c r="J825" s="283"/>
      <c r="K825" s="283"/>
      <c r="L825" s="283"/>
      <c r="M825" s="283"/>
      <c r="N825" s="283"/>
      <c r="O825" s="375" t="str">
        <f t="array" ref="O825">XLOOKUP(M825,'Recruiting Form Responses'!C:C,'Recruiting Form Responses'!A:A,"",0,1)</f>
        <v/>
      </c>
      <c r="P825" s="378"/>
      <c r="Q825" s="283"/>
      <c r="R825" s="283"/>
      <c r="S825" s="283"/>
      <c r="T825" s="283"/>
      <c r="U825" s="283"/>
      <c r="V825" s="283"/>
      <c r="W825" s="283"/>
      <c r="X825" s="283"/>
      <c r="Y825" s="283"/>
    </row>
    <row r="826">
      <c r="A826" s="283"/>
      <c r="B826" s="283"/>
      <c r="C826" s="283"/>
      <c r="D826" s="283"/>
      <c r="E826" s="283"/>
      <c r="F826" s="283"/>
      <c r="G826" s="283"/>
      <c r="H826" s="283"/>
      <c r="I826" s="283"/>
      <c r="J826" s="283"/>
      <c r="K826" s="283"/>
      <c r="L826" s="283"/>
      <c r="M826" s="283"/>
      <c r="N826" s="283"/>
      <c r="O826" s="375" t="str">
        <f t="array" ref="O826">XLOOKUP(M826,'Recruiting Form Responses'!C:C,'Recruiting Form Responses'!A:A,"",0,1)</f>
        <v/>
      </c>
      <c r="P826" s="378"/>
      <c r="Q826" s="283"/>
      <c r="R826" s="283"/>
      <c r="S826" s="283"/>
      <c r="T826" s="283"/>
      <c r="U826" s="283"/>
      <c r="V826" s="283"/>
      <c r="W826" s="283"/>
      <c r="X826" s="283"/>
      <c r="Y826" s="283"/>
    </row>
    <row r="827">
      <c r="A827" s="283"/>
      <c r="B827" s="283"/>
      <c r="C827" s="283"/>
      <c r="D827" s="283"/>
      <c r="E827" s="283"/>
      <c r="F827" s="283"/>
      <c r="G827" s="283"/>
      <c r="H827" s="283"/>
      <c r="I827" s="283"/>
      <c r="J827" s="283"/>
      <c r="K827" s="283"/>
      <c r="L827" s="283"/>
      <c r="M827" s="283"/>
      <c r="N827" s="283"/>
      <c r="O827" s="375" t="str">
        <f t="array" ref="O827">XLOOKUP(M827,'Recruiting Form Responses'!C:C,'Recruiting Form Responses'!A:A,"",0,1)</f>
        <v/>
      </c>
      <c r="P827" s="378"/>
      <c r="Q827" s="283"/>
      <c r="R827" s="283"/>
      <c r="S827" s="283"/>
      <c r="T827" s="283"/>
      <c r="U827" s="283"/>
      <c r="V827" s="283"/>
      <c r="W827" s="283"/>
      <c r="X827" s="283"/>
      <c r="Y827" s="283"/>
    </row>
    <row r="828">
      <c r="A828" s="283"/>
      <c r="B828" s="283"/>
      <c r="C828" s="283"/>
      <c r="D828" s="283"/>
      <c r="E828" s="283"/>
      <c r="F828" s="283"/>
      <c r="G828" s="283"/>
      <c r="H828" s="283"/>
      <c r="I828" s="283"/>
      <c r="J828" s="283"/>
      <c r="K828" s="283"/>
      <c r="L828" s="283"/>
      <c r="M828" s="283"/>
      <c r="N828" s="283"/>
      <c r="O828" s="375" t="str">
        <f t="array" ref="O828">XLOOKUP(M828,'Recruiting Form Responses'!C:C,'Recruiting Form Responses'!A:A,"",0,1)</f>
        <v/>
      </c>
      <c r="P828" s="378"/>
      <c r="Q828" s="283"/>
      <c r="R828" s="283"/>
      <c r="S828" s="283"/>
      <c r="T828" s="283"/>
      <c r="U828" s="283"/>
      <c r="V828" s="283"/>
      <c r="W828" s="283"/>
      <c r="X828" s="283"/>
      <c r="Y828" s="283"/>
    </row>
    <row r="829">
      <c r="A829" s="283"/>
      <c r="B829" s="283"/>
      <c r="C829" s="283"/>
      <c r="D829" s="283"/>
      <c r="E829" s="283"/>
      <c r="F829" s="283"/>
      <c r="G829" s="283"/>
      <c r="H829" s="283"/>
      <c r="I829" s="283"/>
      <c r="J829" s="283"/>
      <c r="K829" s="283"/>
      <c r="L829" s="283"/>
      <c r="M829" s="283"/>
      <c r="N829" s="283"/>
      <c r="O829" s="375" t="str">
        <f t="array" ref="O829">XLOOKUP(M829,'Recruiting Form Responses'!C:C,'Recruiting Form Responses'!A:A,"",0,1)</f>
        <v/>
      </c>
      <c r="P829" s="378"/>
      <c r="Q829" s="283"/>
      <c r="R829" s="283"/>
      <c r="S829" s="283"/>
      <c r="T829" s="283"/>
      <c r="U829" s="283"/>
      <c r="V829" s="283"/>
      <c r="W829" s="283"/>
      <c r="X829" s="283"/>
      <c r="Y829" s="283"/>
    </row>
    <row r="830">
      <c r="A830" s="283"/>
      <c r="B830" s="283"/>
      <c r="C830" s="283"/>
      <c r="D830" s="283"/>
      <c r="E830" s="283"/>
      <c r="F830" s="283"/>
      <c r="G830" s="283"/>
      <c r="H830" s="283"/>
      <c r="I830" s="283"/>
      <c r="J830" s="283"/>
      <c r="K830" s="283"/>
      <c r="L830" s="283"/>
      <c r="M830" s="283"/>
      <c r="N830" s="283"/>
      <c r="O830" s="375" t="str">
        <f t="array" ref="O830">XLOOKUP(M830,'Recruiting Form Responses'!C:C,'Recruiting Form Responses'!A:A,"",0,1)</f>
        <v/>
      </c>
      <c r="P830" s="378"/>
      <c r="Q830" s="283"/>
      <c r="R830" s="283"/>
      <c r="S830" s="283"/>
      <c r="T830" s="283"/>
      <c r="U830" s="283"/>
      <c r="V830" s="283"/>
      <c r="W830" s="283"/>
      <c r="X830" s="283"/>
      <c r="Y830" s="283"/>
    </row>
    <row r="831">
      <c r="A831" s="283"/>
      <c r="B831" s="283"/>
      <c r="C831" s="283"/>
      <c r="D831" s="283"/>
      <c r="E831" s="283"/>
      <c r="F831" s="283"/>
      <c r="G831" s="283"/>
      <c r="H831" s="283"/>
      <c r="I831" s="283"/>
      <c r="J831" s="283"/>
      <c r="K831" s="283"/>
      <c r="L831" s="283"/>
      <c r="M831" s="283"/>
      <c r="N831" s="283"/>
      <c r="O831" s="375" t="str">
        <f t="array" ref="O831">XLOOKUP(M831,'Recruiting Form Responses'!C:C,'Recruiting Form Responses'!A:A,"",0,1)</f>
        <v/>
      </c>
      <c r="P831" s="378"/>
      <c r="Q831" s="283"/>
      <c r="R831" s="283"/>
      <c r="S831" s="283"/>
      <c r="T831" s="283"/>
      <c r="U831" s="283"/>
      <c r="V831" s="283"/>
      <c r="W831" s="283"/>
      <c r="X831" s="283"/>
      <c r="Y831" s="283"/>
    </row>
    <row r="832">
      <c r="A832" s="283"/>
      <c r="B832" s="283"/>
      <c r="C832" s="283"/>
      <c r="D832" s="283"/>
      <c r="E832" s="283"/>
      <c r="F832" s="283"/>
      <c r="G832" s="283"/>
      <c r="H832" s="283"/>
      <c r="I832" s="283"/>
      <c r="J832" s="283"/>
      <c r="K832" s="283"/>
      <c r="L832" s="283"/>
      <c r="M832" s="283"/>
      <c r="N832" s="283"/>
      <c r="O832" s="375" t="str">
        <f t="array" ref="O832">XLOOKUP(M832,'Recruiting Form Responses'!C:C,'Recruiting Form Responses'!A:A,"",0,1)</f>
        <v/>
      </c>
      <c r="P832" s="378"/>
      <c r="Q832" s="283"/>
      <c r="R832" s="283"/>
      <c r="S832" s="283"/>
      <c r="T832" s="283"/>
      <c r="U832" s="283"/>
      <c r="V832" s="283"/>
      <c r="W832" s="283"/>
      <c r="X832" s="283"/>
      <c r="Y832" s="283"/>
    </row>
    <row r="833">
      <c r="A833" s="283"/>
      <c r="B833" s="283"/>
      <c r="C833" s="283"/>
      <c r="D833" s="283"/>
      <c r="E833" s="283"/>
      <c r="F833" s="283"/>
      <c r="G833" s="283"/>
      <c r="H833" s="283"/>
      <c r="I833" s="283"/>
      <c r="J833" s="283"/>
      <c r="K833" s="283"/>
      <c r="L833" s="283"/>
      <c r="M833" s="283"/>
      <c r="N833" s="283"/>
      <c r="O833" s="375" t="str">
        <f t="array" ref="O833">XLOOKUP(M833,'Recruiting Form Responses'!C:C,'Recruiting Form Responses'!A:A,"",0,1)</f>
        <v/>
      </c>
      <c r="P833" s="378"/>
      <c r="Q833" s="283"/>
      <c r="R833" s="283"/>
      <c r="S833" s="283"/>
      <c r="T833" s="283"/>
      <c r="U833" s="283"/>
      <c r="V833" s="283"/>
      <c r="W833" s="283"/>
      <c r="X833" s="283"/>
      <c r="Y833" s="283"/>
    </row>
    <row r="834">
      <c r="A834" s="283"/>
      <c r="B834" s="283"/>
      <c r="C834" s="283"/>
      <c r="D834" s="283"/>
      <c r="E834" s="283"/>
      <c r="F834" s="283"/>
      <c r="G834" s="283"/>
      <c r="H834" s="283"/>
      <c r="I834" s="283"/>
      <c r="J834" s="283"/>
      <c r="K834" s="283"/>
      <c r="L834" s="283"/>
      <c r="M834" s="283"/>
      <c r="N834" s="283"/>
      <c r="O834" s="375" t="str">
        <f t="array" ref="O834">XLOOKUP(M834,'Recruiting Form Responses'!C:C,'Recruiting Form Responses'!A:A,"",0,1)</f>
        <v/>
      </c>
      <c r="P834" s="378"/>
      <c r="Q834" s="283"/>
      <c r="R834" s="283"/>
      <c r="S834" s="283"/>
      <c r="T834" s="283"/>
      <c r="U834" s="283"/>
      <c r="V834" s="283"/>
      <c r="W834" s="283"/>
      <c r="X834" s="283"/>
      <c r="Y834" s="283"/>
    </row>
    <row r="835">
      <c r="A835" s="283"/>
      <c r="B835" s="283"/>
      <c r="C835" s="283"/>
      <c r="D835" s="283"/>
      <c r="E835" s="283"/>
      <c r="F835" s="283"/>
      <c r="G835" s="283"/>
      <c r="H835" s="283"/>
      <c r="I835" s="283"/>
      <c r="J835" s="283"/>
      <c r="K835" s="283"/>
      <c r="L835" s="283"/>
      <c r="M835" s="283"/>
      <c r="N835" s="283"/>
      <c r="O835" s="375" t="str">
        <f t="array" ref="O835">XLOOKUP(M835,'Recruiting Form Responses'!C:C,'Recruiting Form Responses'!A:A,"",0,1)</f>
        <v/>
      </c>
      <c r="P835" s="378"/>
      <c r="Q835" s="283"/>
      <c r="R835" s="283"/>
      <c r="S835" s="283"/>
      <c r="T835" s="283"/>
      <c r="U835" s="283"/>
      <c r="V835" s="283"/>
      <c r="W835" s="283"/>
      <c r="X835" s="283"/>
      <c r="Y835" s="283"/>
    </row>
    <row r="836">
      <c r="A836" s="283"/>
      <c r="B836" s="283"/>
      <c r="C836" s="283"/>
      <c r="D836" s="283"/>
      <c r="E836" s="283"/>
      <c r="F836" s="283"/>
      <c r="G836" s="283"/>
      <c r="H836" s="283"/>
      <c r="I836" s="283"/>
      <c r="J836" s="283"/>
      <c r="K836" s="283"/>
      <c r="L836" s="283"/>
      <c r="M836" s="283"/>
      <c r="N836" s="283"/>
      <c r="O836" s="375" t="str">
        <f t="array" ref="O836">XLOOKUP(M836,'Recruiting Form Responses'!C:C,'Recruiting Form Responses'!A:A,"",0,1)</f>
        <v/>
      </c>
      <c r="P836" s="378"/>
      <c r="Q836" s="283"/>
      <c r="R836" s="283"/>
      <c r="S836" s="283"/>
      <c r="T836" s="283"/>
      <c r="U836" s="283"/>
      <c r="V836" s="283"/>
      <c r="W836" s="283"/>
      <c r="X836" s="283"/>
      <c r="Y836" s="283"/>
    </row>
    <row r="837">
      <c r="A837" s="283"/>
      <c r="B837" s="283"/>
      <c r="C837" s="283"/>
      <c r="D837" s="283"/>
      <c r="E837" s="283"/>
      <c r="F837" s="283"/>
      <c r="G837" s="283"/>
      <c r="H837" s="283"/>
      <c r="I837" s="283"/>
      <c r="J837" s="283"/>
      <c r="K837" s="283"/>
      <c r="L837" s="283"/>
      <c r="M837" s="283"/>
      <c r="N837" s="283"/>
      <c r="O837" s="375" t="str">
        <f t="array" ref="O837">XLOOKUP(M837,'Recruiting Form Responses'!C:C,'Recruiting Form Responses'!A:A,"",0,1)</f>
        <v/>
      </c>
      <c r="P837" s="378"/>
      <c r="Q837" s="283"/>
      <c r="R837" s="283"/>
      <c r="S837" s="283"/>
      <c r="T837" s="283"/>
      <c r="U837" s="283"/>
      <c r="V837" s="283"/>
      <c r="W837" s="283"/>
      <c r="X837" s="283"/>
      <c r="Y837" s="283"/>
    </row>
    <row r="838">
      <c r="A838" s="283"/>
      <c r="B838" s="283"/>
      <c r="C838" s="283"/>
      <c r="D838" s="283"/>
      <c r="E838" s="283"/>
      <c r="F838" s="283"/>
      <c r="G838" s="283"/>
      <c r="H838" s="283"/>
      <c r="I838" s="283"/>
      <c r="J838" s="283"/>
      <c r="K838" s="283"/>
      <c r="L838" s="283"/>
      <c r="M838" s="283"/>
      <c r="N838" s="283"/>
      <c r="O838" s="375" t="str">
        <f t="array" ref="O838">XLOOKUP(M838,'Recruiting Form Responses'!C:C,'Recruiting Form Responses'!A:A,"",0,1)</f>
        <v/>
      </c>
      <c r="P838" s="378"/>
      <c r="Q838" s="283"/>
      <c r="R838" s="283"/>
      <c r="S838" s="283"/>
      <c r="T838" s="283"/>
      <c r="U838" s="283"/>
      <c r="V838" s="283"/>
      <c r="W838" s="283"/>
      <c r="X838" s="283"/>
      <c r="Y838" s="283"/>
    </row>
    <row r="839">
      <c r="A839" s="283"/>
      <c r="B839" s="283"/>
      <c r="C839" s="283"/>
      <c r="D839" s="283"/>
      <c r="E839" s="283"/>
      <c r="F839" s="283"/>
      <c r="G839" s="283"/>
      <c r="H839" s="283"/>
      <c r="I839" s="283"/>
      <c r="J839" s="283"/>
      <c r="K839" s="283"/>
      <c r="L839" s="283"/>
      <c r="M839" s="283"/>
      <c r="N839" s="283"/>
      <c r="O839" s="375" t="str">
        <f t="array" ref="O839">XLOOKUP(M839,'Recruiting Form Responses'!C:C,'Recruiting Form Responses'!A:A,"",0,1)</f>
        <v/>
      </c>
      <c r="P839" s="378"/>
      <c r="Q839" s="283"/>
      <c r="R839" s="283"/>
      <c r="S839" s="283"/>
      <c r="T839" s="283"/>
      <c r="U839" s="283"/>
      <c r="V839" s="283"/>
      <c r="W839" s="283"/>
      <c r="X839" s="283"/>
      <c r="Y839" s="283"/>
    </row>
    <row r="840">
      <c r="A840" s="283"/>
      <c r="B840" s="283"/>
      <c r="C840" s="283"/>
      <c r="D840" s="283"/>
      <c r="E840" s="283"/>
      <c r="F840" s="283"/>
      <c r="G840" s="283"/>
      <c r="H840" s="283"/>
      <c r="I840" s="283"/>
      <c r="J840" s="283"/>
      <c r="K840" s="283"/>
      <c r="L840" s="283"/>
      <c r="M840" s="283"/>
      <c r="N840" s="283"/>
      <c r="O840" s="375" t="str">
        <f t="array" ref="O840">XLOOKUP(M840,'Recruiting Form Responses'!C:C,'Recruiting Form Responses'!A:A,"",0,1)</f>
        <v/>
      </c>
      <c r="P840" s="378"/>
      <c r="Q840" s="283"/>
      <c r="R840" s="283"/>
      <c r="S840" s="283"/>
      <c r="T840" s="283"/>
      <c r="U840" s="283"/>
      <c r="V840" s="283"/>
      <c r="W840" s="283"/>
      <c r="X840" s="283"/>
      <c r="Y840" s="283"/>
    </row>
    <row r="841">
      <c r="A841" s="283"/>
      <c r="B841" s="283"/>
      <c r="C841" s="283"/>
      <c r="D841" s="283"/>
      <c r="E841" s="283"/>
      <c r="F841" s="283"/>
      <c r="G841" s="283"/>
      <c r="H841" s="283"/>
      <c r="I841" s="283"/>
      <c r="J841" s="283"/>
      <c r="K841" s="283"/>
      <c r="L841" s="283"/>
      <c r="M841" s="283"/>
      <c r="N841" s="283"/>
      <c r="O841" s="375" t="str">
        <f t="array" ref="O841">XLOOKUP(M841,'Recruiting Form Responses'!C:C,'Recruiting Form Responses'!A:A,"",0,1)</f>
        <v/>
      </c>
      <c r="P841" s="378"/>
      <c r="Q841" s="283"/>
      <c r="R841" s="283"/>
      <c r="S841" s="283"/>
      <c r="T841" s="283"/>
      <c r="U841" s="283"/>
      <c r="V841" s="283"/>
      <c r="W841" s="283"/>
      <c r="X841" s="283"/>
      <c r="Y841" s="283"/>
    </row>
    <row r="842">
      <c r="A842" s="283"/>
      <c r="B842" s="283"/>
      <c r="C842" s="283"/>
      <c r="D842" s="283"/>
      <c r="E842" s="283"/>
      <c r="F842" s="283"/>
      <c r="G842" s="283"/>
      <c r="H842" s="283"/>
      <c r="I842" s="283"/>
      <c r="J842" s="283"/>
      <c r="K842" s="283"/>
      <c r="L842" s="283"/>
      <c r="M842" s="283"/>
      <c r="N842" s="283"/>
      <c r="O842" s="375" t="str">
        <f t="array" ref="O842">XLOOKUP(M842,'Recruiting Form Responses'!C:C,'Recruiting Form Responses'!A:A,"",0,1)</f>
        <v/>
      </c>
      <c r="P842" s="378"/>
      <c r="Q842" s="283"/>
      <c r="R842" s="283"/>
      <c r="S842" s="283"/>
      <c r="T842" s="283"/>
      <c r="U842" s="283"/>
      <c r="V842" s="283"/>
      <c r="W842" s="283"/>
      <c r="X842" s="283"/>
      <c r="Y842" s="283"/>
    </row>
    <row r="843">
      <c r="A843" s="283"/>
      <c r="B843" s="283"/>
      <c r="C843" s="283"/>
      <c r="D843" s="283"/>
      <c r="E843" s="283"/>
      <c r="F843" s="283"/>
      <c r="G843" s="283"/>
      <c r="H843" s="283"/>
      <c r="I843" s="283"/>
      <c r="J843" s="283"/>
      <c r="K843" s="283"/>
      <c r="L843" s="283"/>
      <c r="M843" s="283"/>
      <c r="N843" s="283"/>
      <c r="O843" s="375" t="str">
        <f t="array" ref="O843">XLOOKUP(M843,'Recruiting Form Responses'!C:C,'Recruiting Form Responses'!A:A,"",0,1)</f>
        <v/>
      </c>
      <c r="P843" s="378"/>
      <c r="Q843" s="283"/>
      <c r="R843" s="283"/>
      <c r="S843" s="283"/>
      <c r="T843" s="283"/>
      <c r="U843" s="283"/>
      <c r="V843" s="283"/>
      <c r="W843" s="283"/>
      <c r="X843" s="283"/>
      <c r="Y843" s="283"/>
    </row>
    <row r="844">
      <c r="A844" s="283"/>
      <c r="B844" s="283"/>
      <c r="C844" s="283"/>
      <c r="D844" s="283"/>
      <c r="E844" s="283"/>
      <c r="F844" s="283"/>
      <c r="G844" s="283"/>
      <c r="H844" s="283"/>
      <c r="I844" s="283"/>
      <c r="J844" s="283"/>
      <c r="K844" s="283"/>
      <c r="L844" s="283"/>
      <c r="M844" s="283"/>
      <c r="N844" s="283"/>
      <c r="O844" s="375" t="str">
        <f t="array" ref="O844">XLOOKUP(M844,'Recruiting Form Responses'!C:C,'Recruiting Form Responses'!A:A,"",0,1)</f>
        <v/>
      </c>
      <c r="P844" s="378"/>
      <c r="Q844" s="283"/>
      <c r="R844" s="283"/>
      <c r="S844" s="283"/>
      <c r="T844" s="283"/>
      <c r="U844" s="283"/>
      <c r="V844" s="283"/>
      <c r="W844" s="283"/>
      <c r="X844" s="283"/>
      <c r="Y844" s="283"/>
    </row>
    <row r="845">
      <c r="A845" s="283"/>
      <c r="B845" s="283"/>
      <c r="C845" s="283"/>
      <c r="D845" s="283"/>
      <c r="E845" s="283"/>
      <c r="F845" s="283"/>
      <c r="G845" s="283"/>
      <c r="H845" s="283"/>
      <c r="I845" s="283"/>
      <c r="J845" s="283"/>
      <c r="K845" s="283"/>
      <c r="L845" s="283"/>
      <c r="M845" s="283"/>
      <c r="N845" s="283"/>
      <c r="O845" s="375" t="str">
        <f t="array" ref="O845">XLOOKUP(M845,'Recruiting Form Responses'!C:C,'Recruiting Form Responses'!A:A,"",0,1)</f>
        <v/>
      </c>
      <c r="P845" s="378"/>
      <c r="Q845" s="283"/>
      <c r="R845" s="283"/>
      <c r="S845" s="283"/>
      <c r="T845" s="283"/>
      <c r="U845" s="283"/>
      <c r="V845" s="283"/>
      <c r="W845" s="283"/>
      <c r="X845" s="283"/>
      <c r="Y845" s="283"/>
    </row>
    <row r="846">
      <c r="A846" s="283"/>
      <c r="B846" s="283"/>
      <c r="C846" s="283"/>
      <c r="D846" s="283"/>
      <c r="E846" s="283"/>
      <c r="F846" s="283"/>
      <c r="G846" s="283"/>
      <c r="H846" s="283"/>
      <c r="I846" s="283"/>
      <c r="J846" s="283"/>
      <c r="K846" s="283"/>
      <c r="L846" s="283"/>
      <c r="M846" s="283"/>
      <c r="N846" s="283"/>
      <c r="O846" s="375" t="str">
        <f t="array" ref="O846">XLOOKUP(M846,'Recruiting Form Responses'!C:C,'Recruiting Form Responses'!A:A,"",0,1)</f>
        <v/>
      </c>
      <c r="P846" s="378"/>
      <c r="Q846" s="283"/>
      <c r="R846" s="283"/>
      <c r="S846" s="283"/>
      <c r="T846" s="283"/>
      <c r="U846" s="283"/>
      <c r="V846" s="283"/>
      <c r="W846" s="283"/>
      <c r="X846" s="283"/>
      <c r="Y846" s="283"/>
    </row>
    <row r="847">
      <c r="A847" s="283"/>
      <c r="B847" s="283"/>
      <c r="C847" s="283"/>
      <c r="D847" s="283"/>
      <c r="E847" s="283"/>
      <c r="F847" s="283"/>
      <c r="G847" s="283"/>
      <c r="H847" s="283"/>
      <c r="I847" s="283"/>
      <c r="J847" s="283"/>
      <c r="K847" s="283"/>
      <c r="L847" s="283"/>
      <c r="M847" s="283"/>
      <c r="N847" s="283"/>
      <c r="O847" s="375" t="str">
        <f t="array" ref="O847">XLOOKUP(M847,'Recruiting Form Responses'!C:C,'Recruiting Form Responses'!A:A,"",0,1)</f>
        <v/>
      </c>
      <c r="P847" s="378"/>
      <c r="Q847" s="283"/>
      <c r="R847" s="283"/>
      <c r="S847" s="283"/>
      <c r="T847" s="283"/>
      <c r="U847" s="283"/>
      <c r="V847" s="283"/>
      <c r="W847" s="283"/>
      <c r="X847" s="283"/>
      <c r="Y847" s="283"/>
    </row>
    <row r="848">
      <c r="A848" s="283"/>
      <c r="B848" s="283"/>
      <c r="C848" s="283"/>
      <c r="D848" s="283"/>
      <c r="E848" s="283"/>
      <c r="F848" s="283"/>
      <c r="G848" s="283"/>
      <c r="H848" s="283"/>
      <c r="I848" s="283"/>
      <c r="J848" s="283"/>
      <c r="K848" s="283"/>
      <c r="L848" s="283"/>
      <c r="M848" s="283"/>
      <c r="N848" s="283"/>
      <c r="O848" s="375" t="str">
        <f t="array" ref="O848">XLOOKUP(M848,'Recruiting Form Responses'!C:C,'Recruiting Form Responses'!A:A,"",0,1)</f>
        <v/>
      </c>
      <c r="P848" s="378"/>
      <c r="Q848" s="283"/>
      <c r="R848" s="283"/>
      <c r="S848" s="283"/>
      <c r="T848" s="283"/>
      <c r="U848" s="283"/>
      <c r="V848" s="283"/>
      <c r="W848" s="283"/>
      <c r="X848" s="283"/>
      <c r="Y848" s="283"/>
    </row>
    <row r="849">
      <c r="A849" s="283"/>
      <c r="B849" s="283"/>
      <c r="C849" s="283"/>
      <c r="D849" s="283"/>
      <c r="E849" s="283"/>
      <c r="F849" s="283"/>
      <c r="G849" s="283"/>
      <c r="H849" s="283"/>
      <c r="I849" s="283"/>
      <c r="J849" s="283"/>
      <c r="K849" s="283"/>
      <c r="L849" s="283"/>
      <c r="M849" s="283"/>
      <c r="N849" s="283"/>
      <c r="O849" s="375" t="str">
        <f t="array" ref="O849">XLOOKUP(M849,'Recruiting Form Responses'!C:C,'Recruiting Form Responses'!A:A,"",0,1)</f>
        <v/>
      </c>
      <c r="P849" s="378"/>
      <c r="Q849" s="283"/>
      <c r="R849" s="283"/>
      <c r="S849" s="283"/>
      <c r="T849" s="283"/>
      <c r="U849" s="283"/>
      <c r="V849" s="283"/>
      <c r="W849" s="283"/>
      <c r="X849" s="283"/>
      <c r="Y849" s="283"/>
    </row>
    <row r="850">
      <c r="A850" s="283"/>
      <c r="B850" s="283"/>
      <c r="C850" s="283"/>
      <c r="D850" s="283"/>
      <c r="E850" s="283"/>
      <c r="F850" s="283"/>
      <c r="G850" s="283"/>
      <c r="H850" s="283"/>
      <c r="I850" s="283"/>
      <c r="J850" s="283"/>
      <c r="K850" s="283"/>
      <c r="L850" s="283"/>
      <c r="M850" s="283"/>
      <c r="N850" s="283"/>
      <c r="O850" s="375" t="str">
        <f t="array" ref="O850">XLOOKUP(M850,'Recruiting Form Responses'!C:C,'Recruiting Form Responses'!A:A,"",0,1)</f>
        <v/>
      </c>
      <c r="P850" s="378"/>
      <c r="Q850" s="283"/>
      <c r="R850" s="283"/>
      <c r="S850" s="283"/>
      <c r="T850" s="283"/>
      <c r="U850" s="283"/>
      <c r="V850" s="283"/>
      <c r="W850" s="283"/>
      <c r="X850" s="283"/>
      <c r="Y850" s="283"/>
    </row>
    <row r="851">
      <c r="A851" s="283"/>
      <c r="B851" s="283"/>
      <c r="C851" s="283"/>
      <c r="D851" s="283"/>
      <c r="E851" s="283"/>
      <c r="F851" s="283"/>
      <c r="G851" s="283"/>
      <c r="H851" s="283"/>
      <c r="I851" s="283"/>
      <c r="J851" s="283"/>
      <c r="K851" s="283"/>
      <c r="L851" s="283"/>
      <c r="M851" s="283"/>
      <c r="N851" s="283"/>
      <c r="O851" s="375" t="str">
        <f t="array" ref="O851">XLOOKUP(M851,'Recruiting Form Responses'!C:C,'Recruiting Form Responses'!A:A,"",0,1)</f>
        <v/>
      </c>
      <c r="P851" s="378"/>
      <c r="Q851" s="283"/>
      <c r="R851" s="283"/>
      <c r="S851" s="283"/>
      <c r="T851" s="283"/>
      <c r="U851" s="283"/>
      <c r="V851" s="283"/>
      <c r="W851" s="283"/>
      <c r="X851" s="283"/>
      <c r="Y851" s="283"/>
    </row>
    <row r="852">
      <c r="A852" s="283"/>
      <c r="B852" s="283"/>
      <c r="C852" s="283"/>
      <c r="D852" s="283"/>
      <c r="E852" s="283"/>
      <c r="F852" s="283"/>
      <c r="G852" s="283"/>
      <c r="H852" s="283"/>
      <c r="I852" s="283"/>
      <c r="J852" s="283"/>
      <c r="K852" s="283"/>
      <c r="L852" s="283"/>
      <c r="M852" s="283"/>
      <c r="N852" s="283"/>
      <c r="O852" s="375" t="str">
        <f t="array" ref="O852">XLOOKUP(M852,'Recruiting Form Responses'!C:C,'Recruiting Form Responses'!A:A,"",0,1)</f>
        <v/>
      </c>
      <c r="P852" s="378"/>
      <c r="Q852" s="283"/>
      <c r="R852" s="283"/>
      <c r="S852" s="283"/>
      <c r="T852" s="283"/>
      <c r="U852" s="283"/>
      <c r="V852" s="283"/>
      <c r="W852" s="283"/>
      <c r="X852" s="283"/>
      <c r="Y852" s="283"/>
    </row>
    <row r="853">
      <c r="A853" s="283"/>
      <c r="B853" s="283"/>
      <c r="C853" s="283"/>
      <c r="D853" s="283"/>
      <c r="E853" s="283"/>
      <c r="F853" s="283"/>
      <c r="G853" s="283"/>
      <c r="H853" s="283"/>
      <c r="I853" s="283"/>
      <c r="J853" s="283"/>
      <c r="K853" s="283"/>
      <c r="L853" s="283"/>
      <c r="M853" s="283"/>
      <c r="N853" s="283"/>
      <c r="O853" s="375" t="str">
        <f t="array" ref="O853">XLOOKUP(M853,'Recruiting Form Responses'!C:C,'Recruiting Form Responses'!A:A,"",0,1)</f>
        <v/>
      </c>
      <c r="P853" s="378"/>
      <c r="Q853" s="283"/>
      <c r="R853" s="283"/>
      <c r="S853" s="283"/>
      <c r="T853" s="283"/>
      <c r="U853" s="283"/>
      <c r="V853" s="283"/>
      <c r="W853" s="283"/>
      <c r="X853" s="283"/>
      <c r="Y853" s="283"/>
    </row>
    <row r="854">
      <c r="A854" s="283"/>
      <c r="B854" s="283"/>
      <c r="C854" s="283"/>
      <c r="D854" s="283"/>
      <c r="E854" s="283"/>
      <c r="F854" s="283"/>
      <c r="G854" s="283"/>
      <c r="H854" s="283"/>
      <c r="I854" s="283"/>
      <c r="J854" s="283"/>
      <c r="K854" s="283"/>
      <c r="L854" s="283"/>
      <c r="M854" s="283"/>
      <c r="N854" s="283"/>
      <c r="O854" s="375" t="str">
        <f t="array" ref="O854">XLOOKUP(M854,'Recruiting Form Responses'!C:C,'Recruiting Form Responses'!A:A,"",0,1)</f>
        <v/>
      </c>
      <c r="P854" s="378"/>
      <c r="Q854" s="283"/>
      <c r="R854" s="283"/>
      <c r="S854" s="283"/>
      <c r="T854" s="283"/>
      <c r="U854" s="283"/>
      <c r="V854" s="283"/>
      <c r="W854" s="283"/>
      <c r="X854" s="283"/>
      <c r="Y854" s="283"/>
    </row>
    <row r="855">
      <c r="A855" s="283"/>
      <c r="B855" s="283"/>
      <c r="C855" s="283"/>
      <c r="D855" s="283"/>
      <c r="E855" s="283"/>
      <c r="F855" s="283"/>
      <c r="G855" s="283"/>
      <c r="H855" s="283"/>
      <c r="I855" s="283"/>
      <c r="J855" s="283"/>
      <c r="K855" s="283"/>
      <c r="L855" s="283"/>
      <c r="M855" s="283"/>
      <c r="N855" s="283"/>
      <c r="O855" s="375" t="str">
        <f t="array" ref="O855">XLOOKUP(M855,'Recruiting Form Responses'!C:C,'Recruiting Form Responses'!A:A,"",0,1)</f>
        <v/>
      </c>
      <c r="P855" s="378"/>
      <c r="Q855" s="283"/>
      <c r="R855" s="283"/>
      <c r="S855" s="283"/>
      <c r="T855" s="283"/>
      <c r="U855" s="283"/>
      <c r="V855" s="283"/>
      <c r="W855" s="283"/>
      <c r="X855" s="283"/>
      <c r="Y855" s="283"/>
    </row>
    <row r="856">
      <c r="A856" s="283"/>
      <c r="B856" s="283"/>
      <c r="C856" s="283"/>
      <c r="D856" s="283"/>
      <c r="E856" s="283"/>
      <c r="F856" s="283"/>
      <c r="G856" s="283"/>
      <c r="H856" s="283"/>
      <c r="I856" s="283"/>
      <c r="J856" s="283"/>
      <c r="K856" s="283"/>
      <c r="L856" s="283"/>
      <c r="M856" s="283"/>
      <c r="N856" s="283"/>
      <c r="O856" s="375" t="str">
        <f t="array" ref="O856">XLOOKUP(M856,'Recruiting Form Responses'!C:C,'Recruiting Form Responses'!A:A,"",0,1)</f>
        <v/>
      </c>
      <c r="P856" s="378"/>
      <c r="Q856" s="283"/>
      <c r="R856" s="283"/>
      <c r="S856" s="283"/>
      <c r="T856" s="283"/>
      <c r="U856" s="283"/>
      <c r="V856" s="283"/>
      <c r="W856" s="283"/>
      <c r="X856" s="283"/>
      <c r="Y856" s="283"/>
    </row>
    <row r="857">
      <c r="A857" s="283"/>
      <c r="B857" s="283"/>
      <c r="C857" s="283"/>
      <c r="D857" s="283"/>
      <c r="E857" s="283"/>
      <c r="F857" s="283"/>
      <c r="G857" s="283"/>
      <c r="H857" s="283"/>
      <c r="I857" s="283"/>
      <c r="J857" s="283"/>
      <c r="K857" s="283"/>
      <c r="L857" s="283"/>
      <c r="M857" s="283"/>
      <c r="N857" s="283"/>
      <c r="O857" s="375" t="str">
        <f t="array" ref="O857">XLOOKUP(M857,'Recruiting Form Responses'!C:C,'Recruiting Form Responses'!A:A,"",0,1)</f>
        <v/>
      </c>
      <c r="P857" s="378"/>
      <c r="Q857" s="283"/>
      <c r="R857" s="283"/>
      <c r="S857" s="283"/>
      <c r="T857" s="283"/>
      <c r="U857" s="283"/>
      <c r="V857" s="283"/>
      <c r="W857" s="283"/>
      <c r="X857" s="283"/>
      <c r="Y857" s="283"/>
    </row>
    <row r="858">
      <c r="A858" s="283"/>
      <c r="B858" s="283"/>
      <c r="C858" s="283"/>
      <c r="D858" s="283"/>
      <c r="E858" s="283"/>
      <c r="F858" s="283"/>
      <c r="G858" s="283"/>
      <c r="H858" s="283"/>
      <c r="I858" s="283"/>
      <c r="J858" s="283"/>
      <c r="K858" s="283"/>
      <c r="L858" s="283"/>
      <c r="M858" s="283"/>
      <c r="N858" s="283"/>
      <c r="O858" s="375" t="str">
        <f t="array" ref="O858">XLOOKUP(M858,'Recruiting Form Responses'!C:C,'Recruiting Form Responses'!A:A,"",0,1)</f>
        <v/>
      </c>
      <c r="P858" s="378"/>
      <c r="Q858" s="283"/>
      <c r="R858" s="283"/>
      <c r="S858" s="283"/>
      <c r="T858" s="283"/>
      <c r="U858" s="283"/>
      <c r="V858" s="283"/>
      <c r="W858" s="283"/>
      <c r="X858" s="283"/>
      <c r="Y858" s="283"/>
    </row>
    <row r="859">
      <c r="A859" s="283"/>
      <c r="B859" s="283"/>
      <c r="C859" s="283"/>
      <c r="D859" s="283"/>
      <c r="E859" s="283"/>
      <c r="F859" s="283"/>
      <c r="G859" s="283"/>
      <c r="H859" s="283"/>
      <c r="I859" s="283"/>
      <c r="J859" s="283"/>
      <c r="K859" s="283"/>
      <c r="L859" s="283"/>
      <c r="M859" s="283"/>
      <c r="N859" s="283"/>
      <c r="O859" s="375" t="str">
        <f t="array" ref="O859">XLOOKUP(M859,'Recruiting Form Responses'!C:C,'Recruiting Form Responses'!A:A,"",0,1)</f>
        <v/>
      </c>
      <c r="P859" s="378"/>
      <c r="Q859" s="283"/>
      <c r="R859" s="283"/>
      <c r="S859" s="283"/>
      <c r="T859" s="283"/>
      <c r="U859" s="283"/>
      <c r="V859" s="283"/>
      <c r="W859" s="283"/>
      <c r="X859" s="283"/>
      <c r="Y859" s="283"/>
    </row>
    <row r="860">
      <c r="A860" s="283"/>
      <c r="B860" s="283"/>
      <c r="C860" s="283"/>
      <c r="D860" s="283"/>
      <c r="E860" s="283"/>
      <c r="F860" s="283"/>
      <c r="G860" s="283"/>
      <c r="H860" s="283"/>
      <c r="I860" s="283"/>
      <c r="J860" s="283"/>
      <c r="K860" s="283"/>
      <c r="L860" s="283"/>
      <c r="M860" s="283"/>
      <c r="N860" s="283"/>
      <c r="O860" s="375" t="str">
        <f t="array" ref="O860">XLOOKUP(M860,'Recruiting Form Responses'!C:C,'Recruiting Form Responses'!A:A,"",0,1)</f>
        <v/>
      </c>
      <c r="P860" s="378"/>
      <c r="Q860" s="283"/>
      <c r="R860" s="283"/>
      <c r="S860" s="283"/>
      <c r="T860" s="283"/>
      <c r="U860" s="283"/>
      <c r="V860" s="283"/>
      <c r="W860" s="283"/>
      <c r="X860" s="283"/>
      <c r="Y860" s="283"/>
    </row>
    <row r="861">
      <c r="A861" s="283"/>
      <c r="B861" s="283"/>
      <c r="C861" s="283"/>
      <c r="D861" s="283"/>
      <c r="E861" s="283"/>
      <c r="F861" s="283"/>
      <c r="G861" s="283"/>
      <c r="H861" s="283"/>
      <c r="I861" s="283"/>
      <c r="J861" s="283"/>
      <c r="K861" s="283"/>
      <c r="L861" s="283"/>
      <c r="M861" s="283"/>
      <c r="N861" s="283"/>
      <c r="O861" s="375" t="str">
        <f t="array" ref="O861">XLOOKUP(M861,'Recruiting Form Responses'!C:C,'Recruiting Form Responses'!A:A,"",0,1)</f>
        <v/>
      </c>
      <c r="P861" s="378"/>
      <c r="Q861" s="283"/>
      <c r="R861" s="283"/>
      <c r="S861" s="283"/>
      <c r="T861" s="283"/>
      <c r="U861" s="283"/>
      <c r="V861" s="283"/>
      <c r="W861" s="283"/>
      <c r="X861" s="283"/>
      <c r="Y861" s="283"/>
    </row>
    <row r="862">
      <c r="A862" s="283"/>
      <c r="B862" s="283"/>
      <c r="C862" s="283"/>
      <c r="D862" s="283"/>
      <c r="E862" s="283"/>
      <c r="F862" s="283"/>
      <c r="G862" s="283"/>
      <c r="H862" s="283"/>
      <c r="I862" s="283"/>
      <c r="J862" s="283"/>
      <c r="K862" s="283"/>
      <c r="L862" s="283"/>
      <c r="M862" s="283"/>
      <c r="N862" s="283"/>
      <c r="O862" s="375" t="str">
        <f t="array" ref="O862">XLOOKUP(M862,'Recruiting Form Responses'!C:C,'Recruiting Form Responses'!A:A,"",0,1)</f>
        <v/>
      </c>
      <c r="P862" s="378"/>
      <c r="Q862" s="283"/>
      <c r="R862" s="283"/>
      <c r="S862" s="283"/>
      <c r="T862" s="283"/>
      <c r="U862" s="283"/>
      <c r="V862" s="283"/>
      <c r="W862" s="283"/>
      <c r="X862" s="283"/>
      <c r="Y862" s="283"/>
    </row>
    <row r="863">
      <c r="A863" s="283"/>
      <c r="B863" s="283"/>
      <c r="C863" s="283"/>
      <c r="D863" s="283"/>
      <c r="E863" s="283"/>
      <c r="F863" s="283"/>
      <c r="G863" s="283"/>
      <c r="H863" s="283"/>
      <c r="I863" s="283"/>
      <c r="J863" s="283"/>
      <c r="K863" s="283"/>
      <c r="L863" s="283"/>
      <c r="M863" s="283"/>
      <c r="N863" s="283"/>
      <c r="O863" s="375" t="str">
        <f t="array" ref="O863">XLOOKUP(M863,'Recruiting Form Responses'!C:C,'Recruiting Form Responses'!A:A,"",0,1)</f>
        <v/>
      </c>
      <c r="P863" s="378"/>
      <c r="Q863" s="283"/>
      <c r="R863" s="283"/>
      <c r="S863" s="283"/>
      <c r="T863" s="283"/>
      <c r="U863" s="283"/>
      <c r="V863" s="283"/>
      <c r="W863" s="283"/>
      <c r="X863" s="283"/>
      <c r="Y863" s="283"/>
    </row>
    <row r="864">
      <c r="A864" s="283"/>
      <c r="B864" s="283"/>
      <c r="C864" s="283"/>
      <c r="D864" s="283"/>
      <c r="E864" s="283"/>
      <c r="F864" s="283"/>
      <c r="G864" s="283"/>
      <c r="H864" s="283"/>
      <c r="I864" s="283"/>
      <c r="J864" s="283"/>
      <c r="K864" s="283"/>
      <c r="L864" s="283"/>
      <c r="M864" s="283"/>
      <c r="N864" s="283"/>
      <c r="O864" s="375" t="str">
        <f t="array" ref="O864">XLOOKUP(M864,'Recruiting Form Responses'!C:C,'Recruiting Form Responses'!A:A,"",0,1)</f>
        <v/>
      </c>
      <c r="P864" s="378"/>
      <c r="Q864" s="283"/>
      <c r="R864" s="283"/>
      <c r="S864" s="283"/>
      <c r="T864" s="283"/>
      <c r="U864" s="283"/>
      <c r="V864" s="283"/>
      <c r="W864" s="283"/>
      <c r="X864" s="283"/>
      <c r="Y864" s="283"/>
    </row>
    <row r="865">
      <c r="A865" s="283"/>
      <c r="B865" s="283"/>
      <c r="C865" s="283"/>
      <c r="D865" s="283"/>
      <c r="E865" s="283"/>
      <c r="F865" s="283"/>
      <c r="G865" s="283"/>
      <c r="H865" s="283"/>
      <c r="I865" s="283"/>
      <c r="J865" s="283"/>
      <c r="K865" s="283"/>
      <c r="L865" s="283"/>
      <c r="M865" s="283"/>
      <c r="N865" s="283"/>
      <c r="O865" s="375" t="str">
        <f t="array" ref="O865">XLOOKUP(M865,'Recruiting Form Responses'!C:C,'Recruiting Form Responses'!A:A,"",0,1)</f>
        <v/>
      </c>
      <c r="P865" s="378"/>
      <c r="Q865" s="283"/>
      <c r="R865" s="283"/>
      <c r="S865" s="283"/>
      <c r="T865" s="283"/>
      <c r="U865" s="283"/>
      <c r="V865" s="283"/>
      <c r="W865" s="283"/>
      <c r="X865" s="283"/>
      <c r="Y865" s="283"/>
    </row>
    <row r="866">
      <c r="A866" s="283"/>
      <c r="B866" s="283"/>
      <c r="C866" s="283"/>
      <c r="D866" s="283"/>
      <c r="E866" s="283"/>
      <c r="F866" s="283"/>
      <c r="G866" s="283"/>
      <c r="H866" s="283"/>
      <c r="I866" s="283"/>
      <c r="J866" s="283"/>
      <c r="K866" s="283"/>
      <c r="L866" s="283"/>
      <c r="M866" s="283"/>
      <c r="N866" s="283"/>
      <c r="O866" s="375" t="str">
        <f t="array" ref="O866">XLOOKUP(M866,'Recruiting Form Responses'!C:C,'Recruiting Form Responses'!A:A,"",0,1)</f>
        <v/>
      </c>
      <c r="P866" s="378"/>
      <c r="Q866" s="283"/>
      <c r="R866" s="283"/>
      <c r="S866" s="283"/>
      <c r="T866" s="283"/>
      <c r="U866" s="283"/>
      <c r="V866" s="283"/>
      <c r="W866" s="283"/>
      <c r="X866" s="283"/>
      <c r="Y866" s="283"/>
    </row>
    <row r="867">
      <c r="A867" s="283"/>
      <c r="B867" s="283"/>
      <c r="C867" s="283"/>
      <c r="D867" s="283"/>
      <c r="E867" s="283"/>
      <c r="F867" s="283"/>
      <c r="G867" s="283"/>
      <c r="H867" s="283"/>
      <c r="I867" s="283"/>
      <c r="J867" s="283"/>
      <c r="K867" s="283"/>
      <c r="L867" s="283"/>
      <c r="M867" s="283"/>
      <c r="N867" s="283"/>
      <c r="O867" s="375" t="str">
        <f t="array" ref="O867">XLOOKUP(M867,'Recruiting Form Responses'!C:C,'Recruiting Form Responses'!A:A,"",0,1)</f>
        <v/>
      </c>
      <c r="P867" s="378"/>
      <c r="Q867" s="283"/>
      <c r="R867" s="283"/>
      <c r="S867" s="283"/>
      <c r="T867" s="283"/>
      <c r="U867" s="283"/>
      <c r="V867" s="283"/>
      <c r="W867" s="283"/>
      <c r="X867" s="283"/>
      <c r="Y867" s="283"/>
    </row>
    <row r="868">
      <c r="A868" s="283"/>
      <c r="B868" s="283"/>
      <c r="C868" s="283"/>
      <c r="D868" s="283"/>
      <c r="E868" s="283"/>
      <c r="F868" s="283"/>
      <c r="G868" s="283"/>
      <c r="H868" s="283"/>
      <c r="I868" s="283"/>
      <c r="J868" s="283"/>
      <c r="K868" s="283"/>
      <c r="L868" s="283"/>
      <c r="M868" s="283"/>
      <c r="N868" s="283"/>
      <c r="O868" s="375" t="str">
        <f t="array" ref="O868">XLOOKUP(M868,'Recruiting Form Responses'!C:C,'Recruiting Form Responses'!A:A,"",0,1)</f>
        <v/>
      </c>
      <c r="P868" s="378"/>
      <c r="Q868" s="283"/>
      <c r="R868" s="283"/>
      <c r="S868" s="283"/>
      <c r="T868" s="283"/>
      <c r="U868" s="283"/>
      <c r="V868" s="283"/>
      <c r="W868" s="283"/>
      <c r="X868" s="283"/>
      <c r="Y868" s="283"/>
    </row>
    <row r="869">
      <c r="A869" s="283"/>
      <c r="B869" s="283"/>
      <c r="C869" s="283"/>
      <c r="D869" s="283"/>
      <c r="E869" s="283"/>
      <c r="F869" s="283"/>
      <c r="G869" s="283"/>
      <c r="H869" s="283"/>
      <c r="I869" s="283"/>
      <c r="J869" s="283"/>
      <c r="K869" s="283"/>
      <c r="L869" s="283"/>
      <c r="M869" s="283"/>
      <c r="N869" s="283"/>
      <c r="O869" s="375" t="str">
        <f t="array" ref="O869">XLOOKUP(M869,'Recruiting Form Responses'!C:C,'Recruiting Form Responses'!A:A,"",0,1)</f>
        <v/>
      </c>
      <c r="P869" s="378"/>
      <c r="Q869" s="283"/>
      <c r="R869" s="283"/>
      <c r="S869" s="283"/>
      <c r="T869" s="283"/>
      <c r="U869" s="283"/>
      <c r="V869" s="283"/>
      <c r="W869" s="283"/>
      <c r="X869" s="283"/>
      <c r="Y869" s="283"/>
    </row>
    <row r="870">
      <c r="A870" s="283"/>
      <c r="B870" s="283"/>
      <c r="C870" s="283"/>
      <c r="D870" s="283"/>
      <c r="E870" s="283"/>
      <c r="F870" s="283"/>
      <c r="G870" s="283"/>
      <c r="H870" s="283"/>
      <c r="I870" s="283"/>
      <c r="J870" s="283"/>
      <c r="K870" s="283"/>
      <c r="L870" s="283"/>
      <c r="M870" s="283"/>
      <c r="N870" s="283"/>
      <c r="O870" s="375" t="str">
        <f t="array" ref="O870">XLOOKUP(M870,'Recruiting Form Responses'!C:C,'Recruiting Form Responses'!A:A,"",0,1)</f>
        <v/>
      </c>
      <c r="P870" s="378"/>
      <c r="Q870" s="283"/>
      <c r="R870" s="283"/>
      <c r="S870" s="283"/>
      <c r="T870" s="283"/>
      <c r="U870" s="283"/>
      <c r="V870" s="283"/>
      <c r="W870" s="283"/>
      <c r="X870" s="283"/>
      <c r="Y870" s="283"/>
    </row>
    <row r="871">
      <c r="A871" s="283"/>
      <c r="B871" s="283"/>
      <c r="C871" s="283"/>
      <c r="D871" s="283"/>
      <c r="E871" s="283"/>
      <c r="F871" s="283"/>
      <c r="G871" s="283"/>
      <c r="H871" s="283"/>
      <c r="I871" s="283"/>
      <c r="J871" s="283"/>
      <c r="K871" s="283"/>
      <c r="L871" s="283"/>
      <c r="M871" s="283"/>
      <c r="N871" s="283"/>
      <c r="O871" s="375" t="str">
        <f t="array" ref="O871">XLOOKUP(M871,'Recruiting Form Responses'!C:C,'Recruiting Form Responses'!A:A,"",0,1)</f>
        <v/>
      </c>
      <c r="P871" s="378"/>
      <c r="Q871" s="283"/>
      <c r="R871" s="283"/>
      <c r="S871" s="283"/>
      <c r="T871" s="283"/>
      <c r="U871" s="283"/>
      <c r="V871" s="283"/>
      <c r="W871" s="283"/>
      <c r="X871" s="283"/>
      <c r="Y871" s="283"/>
    </row>
    <row r="872">
      <c r="A872" s="283"/>
      <c r="B872" s="283"/>
      <c r="C872" s="283"/>
      <c r="D872" s="283"/>
      <c r="E872" s="283"/>
      <c r="F872" s="283"/>
      <c r="G872" s="283"/>
      <c r="H872" s="283"/>
      <c r="I872" s="283"/>
      <c r="J872" s="283"/>
      <c r="K872" s="283"/>
      <c r="L872" s="283"/>
      <c r="M872" s="283"/>
      <c r="N872" s="283"/>
      <c r="O872" s="375" t="str">
        <f t="array" ref="O872">XLOOKUP(M872,'Recruiting Form Responses'!C:C,'Recruiting Form Responses'!A:A,"",0,1)</f>
        <v/>
      </c>
      <c r="P872" s="378"/>
      <c r="Q872" s="283"/>
      <c r="R872" s="283"/>
      <c r="S872" s="283"/>
      <c r="T872" s="283"/>
      <c r="U872" s="283"/>
      <c r="V872" s="283"/>
      <c r="W872" s="283"/>
      <c r="X872" s="283"/>
      <c r="Y872" s="283"/>
    </row>
    <row r="873">
      <c r="A873" s="283"/>
      <c r="B873" s="283"/>
      <c r="C873" s="283"/>
      <c r="D873" s="283"/>
      <c r="E873" s="283"/>
      <c r="F873" s="283"/>
      <c r="G873" s="283"/>
      <c r="H873" s="283"/>
      <c r="I873" s="283"/>
      <c r="J873" s="283"/>
      <c r="K873" s="283"/>
      <c r="L873" s="283"/>
      <c r="M873" s="283"/>
      <c r="N873" s="283"/>
      <c r="O873" s="375" t="str">
        <f t="array" ref="O873">XLOOKUP(M873,'Recruiting Form Responses'!C:C,'Recruiting Form Responses'!A:A,"",0,1)</f>
        <v/>
      </c>
      <c r="P873" s="378"/>
      <c r="Q873" s="283"/>
      <c r="R873" s="283"/>
      <c r="S873" s="283"/>
      <c r="T873" s="283"/>
      <c r="U873" s="283"/>
      <c r="V873" s="283"/>
      <c r="W873" s="283"/>
      <c r="X873" s="283"/>
      <c r="Y873" s="283"/>
    </row>
    <row r="874">
      <c r="A874" s="283"/>
      <c r="B874" s="283"/>
      <c r="C874" s="283"/>
      <c r="D874" s="283"/>
      <c r="E874" s="283"/>
      <c r="F874" s="283"/>
      <c r="G874" s="283"/>
      <c r="H874" s="283"/>
      <c r="I874" s="283"/>
      <c r="J874" s="283"/>
      <c r="K874" s="283"/>
      <c r="L874" s="283"/>
      <c r="M874" s="283"/>
      <c r="N874" s="283"/>
      <c r="O874" s="375" t="str">
        <f t="array" ref="O874">XLOOKUP(M874,'Recruiting Form Responses'!C:C,'Recruiting Form Responses'!A:A,"",0,1)</f>
        <v/>
      </c>
      <c r="P874" s="378"/>
      <c r="Q874" s="283"/>
      <c r="R874" s="283"/>
      <c r="S874" s="283"/>
      <c r="T874" s="283"/>
      <c r="U874" s="283"/>
      <c r="V874" s="283"/>
      <c r="W874" s="283"/>
      <c r="X874" s="283"/>
      <c r="Y874" s="283"/>
    </row>
    <row r="875">
      <c r="A875" s="283"/>
      <c r="B875" s="283"/>
      <c r="C875" s="283"/>
      <c r="D875" s="283"/>
      <c r="E875" s="283"/>
      <c r="F875" s="283"/>
      <c r="G875" s="283"/>
      <c r="H875" s="283"/>
      <c r="I875" s="283"/>
      <c r="J875" s="283"/>
      <c r="K875" s="283"/>
      <c r="L875" s="283"/>
      <c r="M875" s="283"/>
      <c r="N875" s="283"/>
      <c r="O875" s="375" t="str">
        <f t="array" ref="O875">XLOOKUP(M875,'Recruiting Form Responses'!C:C,'Recruiting Form Responses'!A:A,"",0,1)</f>
        <v/>
      </c>
      <c r="P875" s="378"/>
      <c r="Q875" s="283"/>
      <c r="R875" s="283"/>
      <c r="S875" s="283"/>
      <c r="T875" s="283"/>
      <c r="U875" s="283"/>
      <c r="V875" s="283"/>
      <c r="W875" s="283"/>
      <c r="X875" s="283"/>
      <c r="Y875" s="283"/>
    </row>
    <row r="876">
      <c r="A876" s="283"/>
      <c r="B876" s="283"/>
      <c r="C876" s="283"/>
      <c r="D876" s="283"/>
      <c r="E876" s="283"/>
      <c r="F876" s="283"/>
      <c r="G876" s="283"/>
      <c r="H876" s="283"/>
      <c r="I876" s="283"/>
      <c r="J876" s="283"/>
      <c r="K876" s="283"/>
      <c r="L876" s="283"/>
      <c r="M876" s="283"/>
      <c r="N876" s="283"/>
      <c r="O876" s="375" t="str">
        <f t="array" ref="O876">XLOOKUP(M876,'Recruiting Form Responses'!C:C,'Recruiting Form Responses'!A:A,"",0,1)</f>
        <v/>
      </c>
      <c r="P876" s="378"/>
      <c r="Q876" s="283"/>
      <c r="R876" s="283"/>
      <c r="S876" s="283"/>
      <c r="T876" s="283"/>
      <c r="U876" s="283"/>
      <c r="V876" s="283"/>
      <c r="W876" s="283"/>
      <c r="X876" s="283"/>
      <c r="Y876" s="283"/>
    </row>
    <row r="877">
      <c r="A877" s="283"/>
      <c r="B877" s="283"/>
      <c r="C877" s="283"/>
      <c r="D877" s="283"/>
      <c r="E877" s="283"/>
      <c r="F877" s="283"/>
      <c r="G877" s="283"/>
      <c r="H877" s="283"/>
      <c r="I877" s="283"/>
      <c r="J877" s="283"/>
      <c r="K877" s="283"/>
      <c r="L877" s="283"/>
      <c r="M877" s="283"/>
      <c r="N877" s="283"/>
      <c r="O877" s="375" t="str">
        <f t="array" ref="O877">XLOOKUP(M877,'Recruiting Form Responses'!C:C,'Recruiting Form Responses'!A:A,"",0,1)</f>
        <v/>
      </c>
      <c r="P877" s="378"/>
      <c r="Q877" s="283"/>
      <c r="R877" s="283"/>
      <c r="S877" s="283"/>
      <c r="T877" s="283"/>
      <c r="U877" s="283"/>
      <c r="V877" s="283"/>
      <c r="W877" s="283"/>
      <c r="X877" s="283"/>
      <c r="Y877" s="283"/>
    </row>
    <row r="878">
      <c r="A878" s="283"/>
      <c r="B878" s="283"/>
      <c r="C878" s="283"/>
      <c r="D878" s="283"/>
      <c r="E878" s="283"/>
      <c r="F878" s="283"/>
      <c r="G878" s="283"/>
      <c r="H878" s="283"/>
      <c r="I878" s="283"/>
      <c r="J878" s="283"/>
      <c r="K878" s="283"/>
      <c r="L878" s="283"/>
      <c r="M878" s="283"/>
      <c r="N878" s="283"/>
      <c r="O878" s="375" t="str">
        <f t="array" ref="O878">XLOOKUP(M878,'Recruiting Form Responses'!C:C,'Recruiting Form Responses'!A:A,"",0,1)</f>
        <v/>
      </c>
      <c r="P878" s="378"/>
      <c r="Q878" s="283"/>
      <c r="R878" s="283"/>
      <c r="S878" s="283"/>
      <c r="T878" s="283"/>
      <c r="U878" s="283"/>
      <c r="V878" s="283"/>
      <c r="W878" s="283"/>
      <c r="X878" s="283"/>
      <c r="Y878" s="283"/>
    </row>
    <row r="879">
      <c r="A879" s="283"/>
      <c r="B879" s="283"/>
      <c r="C879" s="283"/>
      <c r="D879" s="283"/>
      <c r="E879" s="283"/>
      <c r="F879" s="283"/>
      <c r="G879" s="283"/>
      <c r="H879" s="283"/>
      <c r="I879" s="283"/>
      <c r="J879" s="283"/>
      <c r="K879" s="283"/>
      <c r="L879" s="283"/>
      <c r="M879" s="283"/>
      <c r="N879" s="283"/>
      <c r="O879" s="375" t="str">
        <f t="array" ref="O879">XLOOKUP(M879,'Recruiting Form Responses'!C:C,'Recruiting Form Responses'!A:A,"",0,1)</f>
        <v/>
      </c>
      <c r="P879" s="378"/>
      <c r="Q879" s="283"/>
      <c r="R879" s="283"/>
      <c r="S879" s="283"/>
      <c r="T879" s="283"/>
      <c r="U879" s="283"/>
      <c r="V879" s="283"/>
      <c r="W879" s="283"/>
      <c r="X879" s="283"/>
      <c r="Y879" s="283"/>
    </row>
    <row r="880">
      <c r="A880" s="283"/>
      <c r="B880" s="283"/>
      <c r="C880" s="283"/>
      <c r="D880" s="283"/>
      <c r="E880" s="283"/>
      <c r="F880" s="283"/>
      <c r="G880" s="283"/>
      <c r="H880" s="283"/>
      <c r="I880" s="283"/>
      <c r="J880" s="283"/>
      <c r="K880" s="283"/>
      <c r="L880" s="283"/>
      <c r="M880" s="283"/>
      <c r="N880" s="283"/>
      <c r="O880" s="375" t="str">
        <f t="array" ref="O880">XLOOKUP(M880,'Recruiting Form Responses'!C:C,'Recruiting Form Responses'!A:A,"",0,1)</f>
        <v/>
      </c>
      <c r="P880" s="378"/>
      <c r="Q880" s="283"/>
      <c r="R880" s="283"/>
      <c r="S880" s="283"/>
      <c r="T880" s="283"/>
      <c r="U880" s="283"/>
      <c r="V880" s="283"/>
      <c r="W880" s="283"/>
      <c r="X880" s="283"/>
      <c r="Y880" s="283"/>
    </row>
    <row r="881">
      <c r="A881" s="283"/>
      <c r="B881" s="283"/>
      <c r="C881" s="283"/>
      <c r="D881" s="283"/>
      <c r="E881" s="283"/>
      <c r="F881" s="283"/>
      <c r="G881" s="283"/>
      <c r="H881" s="283"/>
      <c r="I881" s="283"/>
      <c r="J881" s="283"/>
      <c r="K881" s="283"/>
      <c r="L881" s="283"/>
      <c r="M881" s="283"/>
      <c r="N881" s="283"/>
      <c r="O881" s="375" t="str">
        <f t="array" ref="O881">XLOOKUP(M881,'Recruiting Form Responses'!C:C,'Recruiting Form Responses'!A:A,"",0,1)</f>
        <v/>
      </c>
      <c r="P881" s="378"/>
      <c r="Q881" s="283"/>
      <c r="R881" s="283"/>
      <c r="S881" s="283"/>
      <c r="T881" s="283"/>
      <c r="U881" s="283"/>
      <c r="V881" s="283"/>
      <c r="W881" s="283"/>
      <c r="X881" s="283"/>
      <c r="Y881" s="283"/>
    </row>
    <row r="882">
      <c r="A882" s="283"/>
      <c r="B882" s="283"/>
      <c r="C882" s="283"/>
      <c r="D882" s="283"/>
      <c r="E882" s="283"/>
      <c r="F882" s="283"/>
      <c r="G882" s="283"/>
      <c r="H882" s="283"/>
      <c r="I882" s="283"/>
      <c r="J882" s="283"/>
      <c r="K882" s="283"/>
      <c r="L882" s="283"/>
      <c r="M882" s="283"/>
      <c r="N882" s="283"/>
      <c r="O882" s="375" t="str">
        <f t="array" ref="O882">XLOOKUP(M882,'Recruiting Form Responses'!C:C,'Recruiting Form Responses'!A:A,"",0,1)</f>
        <v/>
      </c>
      <c r="P882" s="378"/>
      <c r="Q882" s="283"/>
      <c r="R882" s="283"/>
      <c r="S882" s="283"/>
      <c r="T882" s="283"/>
      <c r="U882" s="283"/>
      <c r="V882" s="283"/>
      <c r="W882" s="283"/>
      <c r="X882" s="283"/>
      <c r="Y882" s="283"/>
    </row>
    <row r="883">
      <c r="A883" s="283"/>
      <c r="B883" s="283"/>
      <c r="C883" s="283"/>
      <c r="D883" s="283"/>
      <c r="E883" s="283"/>
      <c r="F883" s="283"/>
      <c r="G883" s="283"/>
      <c r="H883" s="283"/>
      <c r="I883" s="283"/>
      <c r="J883" s="283"/>
      <c r="K883" s="283"/>
      <c r="L883" s="283"/>
      <c r="M883" s="283"/>
      <c r="N883" s="283"/>
      <c r="O883" s="375" t="str">
        <f t="array" ref="O883">XLOOKUP(M883,'Recruiting Form Responses'!C:C,'Recruiting Form Responses'!A:A,"",0,1)</f>
        <v/>
      </c>
      <c r="P883" s="378"/>
      <c r="Q883" s="283"/>
      <c r="R883" s="283"/>
      <c r="S883" s="283"/>
      <c r="T883" s="283"/>
      <c r="U883" s="283"/>
      <c r="V883" s="283"/>
      <c r="W883" s="283"/>
      <c r="X883" s="283"/>
      <c r="Y883" s="283"/>
    </row>
    <row r="884">
      <c r="A884" s="283"/>
      <c r="B884" s="283"/>
      <c r="C884" s="283"/>
      <c r="D884" s="283"/>
      <c r="E884" s="283"/>
      <c r="F884" s="283"/>
      <c r="G884" s="283"/>
      <c r="H884" s="283"/>
      <c r="I884" s="283"/>
      <c r="J884" s="283"/>
      <c r="K884" s="283"/>
      <c r="L884" s="283"/>
      <c r="M884" s="283"/>
      <c r="N884" s="283"/>
      <c r="O884" s="375" t="str">
        <f t="array" ref="O884">XLOOKUP(M884,'Recruiting Form Responses'!C:C,'Recruiting Form Responses'!A:A,"",0,1)</f>
        <v/>
      </c>
      <c r="P884" s="378"/>
      <c r="Q884" s="283"/>
      <c r="R884" s="283"/>
      <c r="S884" s="283"/>
      <c r="T884" s="283"/>
      <c r="U884" s="283"/>
      <c r="V884" s="283"/>
      <c r="W884" s="283"/>
      <c r="X884" s="283"/>
      <c r="Y884" s="283"/>
    </row>
    <row r="885">
      <c r="A885" s="283"/>
      <c r="B885" s="283"/>
      <c r="C885" s="283"/>
      <c r="D885" s="283"/>
      <c r="E885" s="283"/>
      <c r="F885" s="283"/>
      <c r="G885" s="283"/>
      <c r="H885" s="283"/>
      <c r="I885" s="283"/>
      <c r="J885" s="283"/>
      <c r="K885" s="283"/>
      <c r="L885" s="283"/>
      <c r="M885" s="283"/>
      <c r="N885" s="283"/>
      <c r="O885" s="375" t="str">
        <f t="array" ref="O885">XLOOKUP(M885,'Recruiting Form Responses'!C:C,'Recruiting Form Responses'!A:A,"",0,1)</f>
        <v/>
      </c>
      <c r="P885" s="378"/>
      <c r="Q885" s="283"/>
      <c r="R885" s="283"/>
      <c r="S885" s="283"/>
      <c r="T885" s="283"/>
      <c r="U885" s="283"/>
      <c r="V885" s="283"/>
      <c r="W885" s="283"/>
      <c r="X885" s="283"/>
      <c r="Y885" s="283"/>
    </row>
    <row r="886">
      <c r="A886" s="283"/>
      <c r="B886" s="283"/>
      <c r="C886" s="283"/>
      <c r="D886" s="283"/>
      <c r="E886" s="283"/>
      <c r="F886" s="283"/>
      <c r="G886" s="283"/>
      <c r="H886" s="283"/>
      <c r="I886" s="283"/>
      <c r="J886" s="283"/>
      <c r="K886" s="283"/>
      <c r="L886" s="283"/>
      <c r="M886" s="283"/>
      <c r="N886" s="283"/>
      <c r="O886" s="375" t="str">
        <f t="array" ref="O886">XLOOKUP(M886,'Recruiting Form Responses'!C:C,'Recruiting Form Responses'!A:A,"",0,1)</f>
        <v/>
      </c>
      <c r="P886" s="378"/>
      <c r="Q886" s="283"/>
      <c r="R886" s="283"/>
      <c r="S886" s="283"/>
      <c r="T886" s="283"/>
      <c r="U886" s="283"/>
      <c r="V886" s="283"/>
      <c r="W886" s="283"/>
      <c r="X886" s="283"/>
      <c r="Y886" s="283"/>
    </row>
    <row r="887">
      <c r="A887" s="283"/>
      <c r="B887" s="283"/>
      <c r="C887" s="283"/>
      <c r="D887" s="283"/>
      <c r="E887" s="283"/>
      <c r="F887" s="283"/>
      <c r="G887" s="283"/>
      <c r="H887" s="283"/>
      <c r="I887" s="283"/>
      <c r="J887" s="283"/>
      <c r="K887" s="283"/>
      <c r="L887" s="283"/>
      <c r="M887" s="283"/>
      <c r="N887" s="283"/>
      <c r="O887" s="375" t="str">
        <f t="array" ref="O887">XLOOKUP(M887,'Recruiting Form Responses'!C:C,'Recruiting Form Responses'!A:A,"",0,1)</f>
        <v/>
      </c>
      <c r="P887" s="378"/>
      <c r="Q887" s="283"/>
      <c r="R887" s="283"/>
      <c r="S887" s="283"/>
      <c r="T887" s="283"/>
      <c r="U887" s="283"/>
      <c r="V887" s="283"/>
      <c r="W887" s="283"/>
      <c r="X887" s="283"/>
      <c r="Y887" s="283"/>
    </row>
    <row r="888">
      <c r="A888" s="283"/>
      <c r="B888" s="283"/>
      <c r="C888" s="283"/>
      <c r="D888" s="283"/>
      <c r="E888" s="283"/>
      <c r="F888" s="283"/>
      <c r="G888" s="283"/>
      <c r="H888" s="283"/>
      <c r="I888" s="283"/>
      <c r="J888" s="283"/>
      <c r="K888" s="283"/>
      <c r="L888" s="283"/>
      <c r="M888" s="283"/>
      <c r="N888" s="283"/>
      <c r="O888" s="375" t="str">
        <f t="array" ref="O888">XLOOKUP(M888,'Recruiting Form Responses'!C:C,'Recruiting Form Responses'!A:A,"",0,1)</f>
        <v/>
      </c>
      <c r="P888" s="378"/>
      <c r="Q888" s="283"/>
      <c r="R888" s="283"/>
      <c r="S888" s="283"/>
      <c r="T888" s="283"/>
      <c r="U888" s="283"/>
      <c r="V888" s="283"/>
      <c r="W888" s="283"/>
      <c r="X888" s="283"/>
      <c r="Y888" s="283"/>
    </row>
    <row r="889">
      <c r="A889" s="283"/>
      <c r="B889" s="283"/>
      <c r="C889" s="283"/>
      <c r="D889" s="283"/>
      <c r="E889" s="283"/>
      <c r="F889" s="283"/>
      <c r="G889" s="283"/>
      <c r="H889" s="283"/>
      <c r="I889" s="283"/>
      <c r="J889" s="283"/>
      <c r="K889" s="283"/>
      <c r="L889" s="283"/>
      <c r="M889" s="283"/>
      <c r="N889" s="283"/>
      <c r="O889" s="375" t="str">
        <f t="array" ref="O889">XLOOKUP(M889,'Recruiting Form Responses'!C:C,'Recruiting Form Responses'!A:A,"",0,1)</f>
        <v/>
      </c>
      <c r="P889" s="378"/>
      <c r="Q889" s="283"/>
      <c r="R889" s="283"/>
      <c r="S889" s="283"/>
      <c r="T889" s="283"/>
      <c r="U889" s="283"/>
      <c r="V889" s="283"/>
      <c r="W889" s="283"/>
      <c r="X889" s="283"/>
      <c r="Y889" s="283"/>
    </row>
    <row r="890">
      <c r="A890" s="283"/>
      <c r="B890" s="283"/>
      <c r="C890" s="283"/>
      <c r="D890" s="283"/>
      <c r="E890" s="283"/>
      <c r="F890" s="283"/>
      <c r="G890" s="283"/>
      <c r="H890" s="283"/>
      <c r="I890" s="283"/>
      <c r="J890" s="283"/>
      <c r="K890" s="283"/>
      <c r="L890" s="283"/>
      <c r="M890" s="283"/>
      <c r="N890" s="283"/>
      <c r="O890" s="375" t="str">
        <f t="array" ref="O890">XLOOKUP(M890,'Recruiting Form Responses'!C:C,'Recruiting Form Responses'!A:A,"",0,1)</f>
        <v/>
      </c>
      <c r="P890" s="378"/>
      <c r="Q890" s="283"/>
      <c r="R890" s="283"/>
      <c r="S890" s="283"/>
      <c r="T890" s="283"/>
      <c r="U890" s="283"/>
      <c r="V890" s="283"/>
      <c r="W890" s="283"/>
      <c r="X890" s="283"/>
      <c r="Y890" s="283"/>
    </row>
    <row r="891">
      <c r="A891" s="283"/>
      <c r="B891" s="283"/>
      <c r="C891" s="283"/>
      <c r="D891" s="283"/>
      <c r="E891" s="283"/>
      <c r="F891" s="283"/>
      <c r="G891" s="283"/>
      <c r="H891" s="283"/>
      <c r="I891" s="283"/>
      <c r="J891" s="283"/>
      <c r="K891" s="283"/>
      <c r="L891" s="283"/>
      <c r="M891" s="283"/>
      <c r="N891" s="283"/>
      <c r="O891" s="375" t="str">
        <f t="array" ref="O891">XLOOKUP(M891,'Recruiting Form Responses'!C:C,'Recruiting Form Responses'!A:A,"",0,1)</f>
        <v/>
      </c>
      <c r="P891" s="378"/>
      <c r="Q891" s="283"/>
      <c r="R891" s="283"/>
      <c r="S891" s="283"/>
      <c r="T891" s="283"/>
      <c r="U891" s="283"/>
      <c r="V891" s="283"/>
      <c r="W891" s="283"/>
      <c r="X891" s="283"/>
      <c r="Y891" s="283"/>
    </row>
    <row r="892">
      <c r="A892" s="283"/>
      <c r="B892" s="283"/>
      <c r="C892" s="283"/>
      <c r="D892" s="283"/>
      <c r="E892" s="283"/>
      <c r="F892" s="283"/>
      <c r="G892" s="283"/>
      <c r="H892" s="283"/>
      <c r="I892" s="283"/>
      <c r="J892" s="283"/>
      <c r="K892" s="283"/>
      <c r="L892" s="283"/>
      <c r="M892" s="283"/>
      <c r="N892" s="283"/>
      <c r="O892" s="375" t="str">
        <f t="array" ref="O892">XLOOKUP(M892,'Recruiting Form Responses'!C:C,'Recruiting Form Responses'!A:A,"",0,1)</f>
        <v/>
      </c>
      <c r="P892" s="378"/>
      <c r="Q892" s="283"/>
      <c r="R892" s="283"/>
      <c r="S892" s="283"/>
      <c r="T892" s="283"/>
      <c r="U892" s="283"/>
      <c r="V892" s="283"/>
      <c r="W892" s="283"/>
      <c r="X892" s="283"/>
      <c r="Y892" s="283"/>
    </row>
    <row r="893">
      <c r="A893" s="283"/>
      <c r="B893" s="283"/>
      <c r="C893" s="283"/>
      <c r="D893" s="283"/>
      <c r="E893" s="283"/>
      <c r="F893" s="283"/>
      <c r="G893" s="283"/>
      <c r="H893" s="283"/>
      <c r="I893" s="283"/>
      <c r="J893" s="283"/>
      <c r="K893" s="283"/>
      <c r="L893" s="283"/>
      <c r="M893" s="283"/>
      <c r="N893" s="283"/>
      <c r="O893" s="375" t="str">
        <f t="array" ref="O893">XLOOKUP(M893,'Recruiting Form Responses'!C:C,'Recruiting Form Responses'!A:A,"",0,1)</f>
        <v/>
      </c>
      <c r="P893" s="378"/>
      <c r="Q893" s="283"/>
      <c r="R893" s="283"/>
      <c r="S893" s="283"/>
      <c r="T893" s="283"/>
      <c r="U893" s="283"/>
      <c r="V893" s="283"/>
      <c r="W893" s="283"/>
      <c r="X893" s="283"/>
      <c r="Y893" s="283"/>
    </row>
    <row r="894">
      <c r="A894" s="283"/>
      <c r="B894" s="283"/>
      <c r="C894" s="283"/>
      <c r="D894" s="283"/>
      <c r="E894" s="283"/>
      <c r="F894" s="283"/>
      <c r="G894" s="283"/>
      <c r="H894" s="283"/>
      <c r="I894" s="283"/>
      <c r="J894" s="283"/>
      <c r="K894" s="283"/>
      <c r="L894" s="283"/>
      <c r="M894" s="283"/>
      <c r="N894" s="283"/>
      <c r="O894" s="375" t="str">
        <f t="array" ref="O894">XLOOKUP(M894,'Recruiting Form Responses'!C:C,'Recruiting Form Responses'!A:A,"",0,1)</f>
        <v/>
      </c>
      <c r="P894" s="378"/>
      <c r="Q894" s="283"/>
      <c r="R894" s="283"/>
      <c r="S894" s="283"/>
      <c r="T894" s="283"/>
      <c r="U894" s="283"/>
      <c r="V894" s="283"/>
      <c r="W894" s="283"/>
      <c r="X894" s="283"/>
      <c r="Y894" s="283"/>
    </row>
    <row r="895">
      <c r="A895" s="283"/>
      <c r="B895" s="283"/>
      <c r="C895" s="283"/>
      <c r="D895" s="283"/>
      <c r="E895" s="283"/>
      <c r="F895" s="283"/>
      <c r="G895" s="283"/>
      <c r="H895" s="283"/>
      <c r="I895" s="283"/>
      <c r="J895" s="283"/>
      <c r="K895" s="283"/>
      <c r="L895" s="283"/>
      <c r="M895" s="283"/>
      <c r="N895" s="283"/>
      <c r="O895" s="375" t="str">
        <f t="array" ref="O895">XLOOKUP(M895,'Recruiting Form Responses'!C:C,'Recruiting Form Responses'!A:A,"",0,1)</f>
        <v/>
      </c>
      <c r="P895" s="378"/>
      <c r="Q895" s="283"/>
      <c r="R895" s="283"/>
      <c r="S895" s="283"/>
      <c r="T895" s="283"/>
      <c r="U895" s="283"/>
      <c r="V895" s="283"/>
      <c r="W895" s="283"/>
      <c r="X895" s="283"/>
      <c r="Y895" s="283"/>
    </row>
    <row r="896">
      <c r="A896" s="283"/>
      <c r="B896" s="283"/>
      <c r="C896" s="283"/>
      <c r="D896" s="283"/>
      <c r="E896" s="283"/>
      <c r="F896" s="283"/>
      <c r="G896" s="283"/>
      <c r="H896" s="283"/>
      <c r="I896" s="283"/>
      <c r="J896" s="283"/>
      <c r="K896" s="283"/>
      <c r="L896" s="283"/>
      <c r="M896" s="283"/>
      <c r="N896" s="283"/>
      <c r="O896" s="375" t="str">
        <f t="array" ref="O896">XLOOKUP(M896,'Recruiting Form Responses'!C:C,'Recruiting Form Responses'!A:A,"",0,1)</f>
        <v/>
      </c>
      <c r="P896" s="378"/>
      <c r="Q896" s="283"/>
      <c r="R896" s="283"/>
      <c r="S896" s="283"/>
      <c r="T896" s="283"/>
      <c r="U896" s="283"/>
      <c r="V896" s="283"/>
      <c r="W896" s="283"/>
      <c r="X896" s="283"/>
      <c r="Y896" s="283"/>
    </row>
    <row r="897">
      <c r="A897" s="283"/>
      <c r="B897" s="283"/>
      <c r="C897" s="283"/>
      <c r="D897" s="283"/>
      <c r="E897" s="283"/>
      <c r="F897" s="283"/>
      <c r="G897" s="283"/>
      <c r="H897" s="283"/>
      <c r="I897" s="283"/>
      <c r="J897" s="283"/>
      <c r="K897" s="283"/>
      <c r="L897" s="283"/>
      <c r="M897" s="283"/>
      <c r="N897" s="283"/>
      <c r="O897" s="375" t="str">
        <f t="array" ref="O897">XLOOKUP(M897,'Recruiting Form Responses'!C:C,'Recruiting Form Responses'!A:A,"",0,1)</f>
        <v/>
      </c>
      <c r="P897" s="378"/>
      <c r="Q897" s="283"/>
      <c r="R897" s="283"/>
      <c r="S897" s="283"/>
      <c r="T897" s="283"/>
      <c r="U897" s="283"/>
      <c r="V897" s="283"/>
      <c r="W897" s="283"/>
      <c r="X897" s="283"/>
      <c r="Y897" s="283"/>
    </row>
    <row r="898">
      <c r="A898" s="283"/>
      <c r="B898" s="283"/>
      <c r="C898" s="283"/>
      <c r="D898" s="283"/>
      <c r="E898" s="283"/>
      <c r="F898" s="283"/>
      <c r="G898" s="283"/>
      <c r="H898" s="283"/>
      <c r="I898" s="283"/>
      <c r="J898" s="283"/>
      <c r="K898" s="283"/>
      <c r="L898" s="283"/>
      <c r="M898" s="283"/>
      <c r="N898" s="283"/>
      <c r="O898" s="375" t="str">
        <f t="array" ref="O898">XLOOKUP(M898,'Recruiting Form Responses'!C:C,'Recruiting Form Responses'!A:A,"",0,1)</f>
        <v/>
      </c>
      <c r="P898" s="378"/>
      <c r="Q898" s="283"/>
      <c r="R898" s="283"/>
      <c r="S898" s="283"/>
      <c r="T898" s="283"/>
      <c r="U898" s="283"/>
      <c r="V898" s="283"/>
      <c r="W898" s="283"/>
      <c r="X898" s="283"/>
      <c r="Y898" s="283"/>
    </row>
    <row r="899">
      <c r="A899" s="283"/>
      <c r="B899" s="283"/>
      <c r="C899" s="283"/>
      <c r="D899" s="283"/>
      <c r="E899" s="283"/>
      <c r="F899" s="283"/>
      <c r="G899" s="283"/>
      <c r="H899" s="283"/>
      <c r="I899" s="283"/>
      <c r="J899" s="283"/>
      <c r="K899" s="283"/>
      <c r="L899" s="283"/>
      <c r="M899" s="283"/>
      <c r="N899" s="283"/>
      <c r="O899" s="375" t="str">
        <f t="array" ref="O899">XLOOKUP(M899,'Recruiting Form Responses'!C:C,'Recruiting Form Responses'!A:A,"",0,1)</f>
        <v/>
      </c>
      <c r="P899" s="378"/>
      <c r="Q899" s="283"/>
      <c r="R899" s="283"/>
      <c r="S899" s="283"/>
      <c r="T899" s="283"/>
      <c r="U899" s="283"/>
      <c r="V899" s="283"/>
      <c r="W899" s="283"/>
      <c r="X899" s="283"/>
      <c r="Y899" s="283"/>
    </row>
    <row r="900">
      <c r="A900" s="283"/>
      <c r="B900" s="283"/>
      <c r="C900" s="283"/>
      <c r="D900" s="283"/>
      <c r="E900" s="283"/>
      <c r="F900" s="283"/>
      <c r="G900" s="283"/>
      <c r="H900" s="283"/>
      <c r="I900" s="283"/>
      <c r="J900" s="283"/>
      <c r="K900" s="283"/>
      <c r="L900" s="283"/>
      <c r="M900" s="283"/>
      <c r="N900" s="283"/>
      <c r="O900" s="375" t="str">
        <f t="array" ref="O900">XLOOKUP(M900,'Recruiting Form Responses'!C:C,'Recruiting Form Responses'!A:A,"",0,1)</f>
        <v/>
      </c>
      <c r="P900" s="378"/>
      <c r="Q900" s="283"/>
      <c r="R900" s="283"/>
      <c r="S900" s="283"/>
      <c r="T900" s="283"/>
      <c r="U900" s="283"/>
      <c r="V900" s="283"/>
      <c r="W900" s="283"/>
      <c r="X900" s="283"/>
      <c r="Y900" s="283"/>
    </row>
    <row r="901">
      <c r="A901" s="283"/>
      <c r="B901" s="283"/>
      <c r="C901" s="283"/>
      <c r="D901" s="283"/>
      <c r="E901" s="283"/>
      <c r="F901" s="283"/>
      <c r="G901" s="283"/>
      <c r="H901" s="283"/>
      <c r="I901" s="283"/>
      <c r="J901" s="283"/>
      <c r="K901" s="283"/>
      <c r="L901" s="283"/>
      <c r="M901" s="283"/>
      <c r="N901" s="283"/>
      <c r="O901" s="375" t="str">
        <f t="array" ref="O901">XLOOKUP(M901,'Recruiting Form Responses'!C:C,'Recruiting Form Responses'!A:A,"",0,1)</f>
        <v/>
      </c>
      <c r="P901" s="378"/>
      <c r="Q901" s="283"/>
      <c r="R901" s="283"/>
      <c r="S901" s="283"/>
      <c r="T901" s="283"/>
      <c r="U901" s="283"/>
      <c r="V901" s="283"/>
      <c r="W901" s="283"/>
      <c r="X901" s="283"/>
      <c r="Y901" s="283"/>
    </row>
    <row r="902">
      <c r="A902" s="283"/>
      <c r="B902" s="283"/>
      <c r="C902" s="283"/>
      <c r="D902" s="283"/>
      <c r="E902" s="283"/>
      <c r="F902" s="283"/>
      <c r="G902" s="283"/>
      <c r="H902" s="283"/>
      <c r="I902" s="283"/>
      <c r="J902" s="283"/>
      <c r="K902" s="283"/>
      <c r="L902" s="283"/>
      <c r="M902" s="283"/>
      <c r="N902" s="283"/>
      <c r="O902" s="375" t="str">
        <f t="array" ref="O902">XLOOKUP(M902,'Recruiting Form Responses'!C:C,'Recruiting Form Responses'!A:A,"",0,1)</f>
        <v/>
      </c>
      <c r="P902" s="378"/>
      <c r="Q902" s="283"/>
      <c r="R902" s="283"/>
      <c r="S902" s="283"/>
      <c r="T902" s="283"/>
      <c r="U902" s="283"/>
      <c r="V902" s="283"/>
      <c r="W902" s="283"/>
      <c r="X902" s="283"/>
      <c r="Y902" s="283"/>
    </row>
    <row r="903">
      <c r="A903" s="283"/>
      <c r="B903" s="283"/>
      <c r="C903" s="283"/>
      <c r="D903" s="283"/>
      <c r="E903" s="283"/>
      <c r="F903" s="283"/>
      <c r="G903" s="283"/>
      <c r="H903" s="283"/>
      <c r="I903" s="283"/>
      <c r="J903" s="283"/>
      <c r="K903" s="283"/>
      <c r="L903" s="283"/>
      <c r="M903" s="283"/>
      <c r="N903" s="283"/>
      <c r="O903" s="375" t="str">
        <f t="array" ref="O903">XLOOKUP(M903,'Recruiting Form Responses'!C:C,'Recruiting Form Responses'!A:A,"",0,1)</f>
        <v/>
      </c>
      <c r="P903" s="378"/>
      <c r="Q903" s="283"/>
      <c r="R903" s="283"/>
      <c r="S903" s="283"/>
      <c r="T903" s="283"/>
      <c r="U903" s="283"/>
      <c r="V903" s="283"/>
      <c r="W903" s="283"/>
      <c r="X903" s="283"/>
      <c r="Y903" s="283"/>
    </row>
    <row r="904">
      <c r="A904" s="283"/>
      <c r="B904" s="283"/>
      <c r="C904" s="283"/>
      <c r="D904" s="283"/>
      <c r="E904" s="283"/>
      <c r="F904" s="283"/>
      <c r="G904" s="283"/>
      <c r="H904" s="283"/>
      <c r="I904" s="283"/>
      <c r="J904" s="283"/>
      <c r="K904" s="283"/>
      <c r="L904" s="283"/>
      <c r="M904" s="283"/>
      <c r="N904" s="283"/>
      <c r="O904" s="375" t="str">
        <f t="array" ref="O904">XLOOKUP(M904,'Recruiting Form Responses'!C:C,'Recruiting Form Responses'!A:A,"",0,1)</f>
        <v/>
      </c>
      <c r="P904" s="378"/>
      <c r="Q904" s="283"/>
      <c r="R904" s="283"/>
      <c r="S904" s="283"/>
      <c r="T904" s="283"/>
      <c r="U904" s="283"/>
      <c r="V904" s="283"/>
      <c r="W904" s="283"/>
      <c r="X904" s="283"/>
      <c r="Y904" s="283"/>
    </row>
    <row r="905">
      <c r="A905" s="283"/>
      <c r="B905" s="283"/>
      <c r="C905" s="283"/>
      <c r="D905" s="283"/>
      <c r="E905" s="283"/>
      <c r="F905" s="283"/>
      <c r="G905" s="283"/>
      <c r="H905" s="283"/>
      <c r="I905" s="283"/>
      <c r="J905" s="283"/>
      <c r="K905" s="283"/>
      <c r="L905" s="283"/>
      <c r="M905" s="283"/>
      <c r="N905" s="283"/>
      <c r="O905" s="375" t="str">
        <f t="array" ref="O905">XLOOKUP(M905,'Recruiting Form Responses'!C:C,'Recruiting Form Responses'!A:A,"",0,1)</f>
        <v/>
      </c>
      <c r="P905" s="378"/>
      <c r="Q905" s="283"/>
      <c r="R905" s="283"/>
      <c r="S905" s="283"/>
      <c r="T905" s="283"/>
      <c r="U905" s="283"/>
      <c r="V905" s="283"/>
      <c r="W905" s="283"/>
      <c r="X905" s="283"/>
      <c r="Y905" s="283"/>
    </row>
    <row r="906">
      <c r="A906" s="283"/>
      <c r="B906" s="283"/>
      <c r="C906" s="283"/>
      <c r="D906" s="283"/>
      <c r="E906" s="283"/>
      <c r="F906" s="283"/>
      <c r="G906" s="283"/>
      <c r="H906" s="283"/>
      <c r="I906" s="283"/>
      <c r="J906" s="283"/>
      <c r="K906" s="283"/>
      <c r="L906" s="283"/>
      <c r="M906" s="283"/>
      <c r="N906" s="283"/>
      <c r="O906" s="375" t="str">
        <f t="array" ref="O906">XLOOKUP(M906,'Recruiting Form Responses'!C:C,'Recruiting Form Responses'!A:A,"",0,1)</f>
        <v/>
      </c>
      <c r="P906" s="378"/>
      <c r="Q906" s="283"/>
      <c r="R906" s="283"/>
      <c r="S906" s="283"/>
      <c r="T906" s="283"/>
      <c r="U906" s="283"/>
      <c r="V906" s="283"/>
      <c r="W906" s="283"/>
      <c r="X906" s="283"/>
      <c r="Y906" s="283"/>
    </row>
    <row r="907">
      <c r="A907" s="283"/>
      <c r="B907" s="283"/>
      <c r="C907" s="283"/>
      <c r="D907" s="283"/>
      <c r="E907" s="283"/>
      <c r="F907" s="283"/>
      <c r="G907" s="283"/>
      <c r="H907" s="283"/>
      <c r="I907" s="283"/>
      <c r="J907" s="283"/>
      <c r="K907" s="283"/>
      <c r="L907" s="283"/>
      <c r="M907" s="283"/>
      <c r="N907" s="283"/>
      <c r="O907" s="375" t="str">
        <f t="array" ref="O907">XLOOKUP(M907,'Recruiting Form Responses'!C:C,'Recruiting Form Responses'!A:A,"",0,1)</f>
        <v/>
      </c>
      <c r="P907" s="378"/>
      <c r="Q907" s="283"/>
      <c r="R907" s="283"/>
      <c r="S907" s="283"/>
      <c r="T907" s="283"/>
      <c r="U907" s="283"/>
      <c r="V907" s="283"/>
      <c r="W907" s="283"/>
      <c r="X907" s="283"/>
      <c r="Y907" s="283"/>
    </row>
    <row r="908">
      <c r="A908" s="283"/>
      <c r="B908" s="283"/>
      <c r="C908" s="283"/>
      <c r="D908" s="283"/>
      <c r="E908" s="283"/>
      <c r="F908" s="283"/>
      <c r="G908" s="283"/>
      <c r="H908" s="283"/>
      <c r="I908" s="283"/>
      <c r="J908" s="283"/>
      <c r="K908" s="283"/>
      <c r="L908" s="283"/>
      <c r="M908" s="283"/>
      <c r="N908" s="283"/>
      <c r="O908" s="375" t="str">
        <f t="array" ref="O908">XLOOKUP(M908,'Recruiting Form Responses'!C:C,'Recruiting Form Responses'!A:A,"",0,1)</f>
        <v/>
      </c>
      <c r="P908" s="378"/>
      <c r="Q908" s="283"/>
      <c r="R908" s="283"/>
      <c r="S908" s="283"/>
      <c r="T908" s="283"/>
      <c r="U908" s="283"/>
      <c r="V908" s="283"/>
      <c r="W908" s="283"/>
      <c r="X908" s="283"/>
      <c r="Y908" s="283"/>
    </row>
    <row r="909">
      <c r="A909" s="283"/>
      <c r="B909" s="283"/>
      <c r="C909" s="283"/>
      <c r="D909" s="283"/>
      <c r="E909" s="283"/>
      <c r="F909" s="283"/>
      <c r="G909" s="283"/>
      <c r="H909" s="283"/>
      <c r="I909" s="283"/>
      <c r="J909" s="283"/>
      <c r="K909" s="283"/>
      <c r="L909" s="283"/>
      <c r="M909" s="283"/>
      <c r="N909" s="283"/>
      <c r="O909" s="375" t="str">
        <f t="array" ref="O909">XLOOKUP(M909,'Recruiting Form Responses'!C:C,'Recruiting Form Responses'!A:A,"",0,1)</f>
        <v/>
      </c>
      <c r="P909" s="378"/>
      <c r="Q909" s="283"/>
      <c r="R909" s="283"/>
      <c r="S909" s="283"/>
      <c r="T909" s="283"/>
      <c r="U909" s="283"/>
      <c r="V909" s="283"/>
      <c r="W909" s="283"/>
      <c r="X909" s="283"/>
      <c r="Y909" s="283"/>
    </row>
    <row r="910">
      <c r="A910" s="283"/>
      <c r="B910" s="283"/>
      <c r="C910" s="283"/>
      <c r="D910" s="283"/>
      <c r="E910" s="283"/>
      <c r="F910" s="283"/>
      <c r="G910" s="283"/>
      <c r="H910" s="283"/>
      <c r="I910" s="283"/>
      <c r="J910" s="283"/>
      <c r="K910" s="283"/>
      <c r="L910" s="283"/>
      <c r="M910" s="283"/>
      <c r="N910" s="283"/>
      <c r="O910" s="375" t="str">
        <f t="array" ref="O910">XLOOKUP(M910,'Recruiting Form Responses'!C:C,'Recruiting Form Responses'!A:A,"",0,1)</f>
        <v/>
      </c>
      <c r="P910" s="378"/>
      <c r="Q910" s="283"/>
      <c r="R910" s="283"/>
      <c r="S910" s="283"/>
      <c r="T910" s="283"/>
      <c r="U910" s="283"/>
      <c r="V910" s="283"/>
      <c r="W910" s="283"/>
      <c r="X910" s="283"/>
      <c r="Y910" s="283"/>
    </row>
    <row r="911">
      <c r="A911" s="283"/>
      <c r="B911" s="283"/>
      <c r="C911" s="283"/>
      <c r="D911" s="283"/>
      <c r="E911" s="283"/>
      <c r="F911" s="283"/>
      <c r="G911" s="283"/>
      <c r="H911" s="283"/>
      <c r="I911" s="283"/>
      <c r="J911" s="283"/>
      <c r="K911" s="283"/>
      <c r="L911" s="283"/>
      <c r="M911" s="283"/>
      <c r="N911" s="283"/>
      <c r="O911" s="375" t="str">
        <f t="array" ref="O911">XLOOKUP(M911,'Recruiting Form Responses'!C:C,'Recruiting Form Responses'!A:A,"",0,1)</f>
        <v/>
      </c>
      <c r="P911" s="378"/>
      <c r="Q911" s="283"/>
      <c r="R911" s="283"/>
      <c r="S911" s="283"/>
      <c r="T911" s="283"/>
      <c r="U911" s="283"/>
      <c r="V911" s="283"/>
      <c r="W911" s="283"/>
      <c r="X911" s="283"/>
      <c r="Y911" s="283"/>
    </row>
    <row r="912">
      <c r="A912" s="283"/>
      <c r="B912" s="283"/>
      <c r="C912" s="283"/>
      <c r="D912" s="283"/>
      <c r="E912" s="283"/>
      <c r="F912" s="283"/>
      <c r="G912" s="283"/>
      <c r="H912" s="283"/>
      <c r="I912" s="283"/>
      <c r="J912" s="283"/>
      <c r="K912" s="283"/>
      <c r="L912" s="283"/>
      <c r="M912" s="283"/>
      <c r="N912" s="283"/>
      <c r="O912" s="375" t="str">
        <f t="array" ref="O912">XLOOKUP(M912,'Recruiting Form Responses'!C:C,'Recruiting Form Responses'!A:A,"",0,1)</f>
        <v/>
      </c>
      <c r="P912" s="378"/>
      <c r="Q912" s="283"/>
      <c r="R912" s="283"/>
      <c r="S912" s="283"/>
      <c r="T912" s="283"/>
      <c r="U912" s="283"/>
      <c r="V912" s="283"/>
      <c r="W912" s="283"/>
      <c r="X912" s="283"/>
      <c r="Y912" s="283"/>
    </row>
    <row r="913">
      <c r="A913" s="283"/>
      <c r="B913" s="283"/>
      <c r="C913" s="283"/>
      <c r="D913" s="283"/>
      <c r="E913" s="283"/>
      <c r="F913" s="283"/>
      <c r="G913" s="283"/>
      <c r="H913" s="283"/>
      <c r="I913" s="283"/>
      <c r="J913" s="283"/>
      <c r="K913" s="283"/>
      <c r="L913" s="283"/>
      <c r="M913" s="283"/>
      <c r="N913" s="283"/>
      <c r="O913" s="375" t="str">
        <f t="array" ref="O913">XLOOKUP(M913,'Recruiting Form Responses'!C:C,'Recruiting Form Responses'!A:A,"",0,1)</f>
        <v/>
      </c>
      <c r="P913" s="378"/>
      <c r="Q913" s="283"/>
      <c r="R913" s="283"/>
      <c r="S913" s="283"/>
      <c r="T913" s="283"/>
      <c r="U913" s="283"/>
      <c r="V913" s="283"/>
      <c r="W913" s="283"/>
      <c r="X913" s="283"/>
      <c r="Y913" s="283"/>
    </row>
    <row r="914">
      <c r="A914" s="283"/>
      <c r="B914" s="283"/>
      <c r="C914" s="283"/>
      <c r="D914" s="283"/>
      <c r="E914" s="283"/>
      <c r="F914" s="283"/>
      <c r="G914" s="283"/>
      <c r="H914" s="283"/>
      <c r="I914" s="283"/>
      <c r="J914" s="283"/>
      <c r="K914" s="283"/>
      <c r="L914" s="283"/>
      <c r="M914" s="283"/>
      <c r="N914" s="283"/>
      <c r="O914" s="375" t="str">
        <f t="array" ref="O914">XLOOKUP(M914,'Recruiting Form Responses'!C:C,'Recruiting Form Responses'!A:A,"",0,1)</f>
        <v/>
      </c>
      <c r="P914" s="378"/>
      <c r="Q914" s="283"/>
      <c r="R914" s="283"/>
      <c r="S914" s="283"/>
      <c r="T914" s="283"/>
      <c r="U914" s="283"/>
      <c r="V914" s="283"/>
      <c r="W914" s="283"/>
      <c r="X914" s="283"/>
      <c r="Y914" s="283"/>
    </row>
    <row r="915">
      <c r="A915" s="283"/>
      <c r="B915" s="283"/>
      <c r="C915" s="283"/>
      <c r="D915" s="283"/>
      <c r="E915" s="283"/>
      <c r="F915" s="283"/>
      <c r="G915" s="283"/>
      <c r="H915" s="283"/>
      <c r="I915" s="283"/>
      <c r="J915" s="283"/>
      <c r="K915" s="283"/>
      <c r="L915" s="283"/>
      <c r="M915" s="283"/>
      <c r="N915" s="283"/>
      <c r="O915" s="375" t="str">
        <f t="array" ref="O915">XLOOKUP(M915,'Recruiting Form Responses'!C:C,'Recruiting Form Responses'!A:A,"",0,1)</f>
        <v/>
      </c>
      <c r="P915" s="378"/>
      <c r="Q915" s="283"/>
      <c r="R915" s="283"/>
      <c r="S915" s="283"/>
      <c r="T915" s="283"/>
      <c r="U915" s="283"/>
      <c r="V915" s="283"/>
      <c r="W915" s="283"/>
      <c r="X915" s="283"/>
      <c r="Y915" s="283"/>
    </row>
    <row r="916">
      <c r="A916" s="283"/>
      <c r="B916" s="283"/>
      <c r="C916" s="283"/>
      <c r="D916" s="283"/>
      <c r="E916" s="283"/>
      <c r="F916" s="283"/>
      <c r="G916" s="283"/>
      <c r="H916" s="283"/>
      <c r="I916" s="283"/>
      <c r="J916" s="283"/>
      <c r="K916" s="283"/>
      <c r="L916" s="283"/>
      <c r="M916" s="283"/>
      <c r="N916" s="283"/>
      <c r="O916" s="375" t="str">
        <f t="array" ref="O916">XLOOKUP(M916,'Recruiting Form Responses'!C:C,'Recruiting Form Responses'!A:A,"",0,1)</f>
        <v/>
      </c>
      <c r="P916" s="378"/>
      <c r="Q916" s="283"/>
      <c r="R916" s="283"/>
      <c r="S916" s="283"/>
      <c r="T916" s="283"/>
      <c r="U916" s="283"/>
      <c r="V916" s="283"/>
      <c r="W916" s="283"/>
      <c r="X916" s="283"/>
      <c r="Y916" s="283"/>
    </row>
    <row r="917">
      <c r="A917" s="283"/>
      <c r="B917" s="283"/>
      <c r="C917" s="283"/>
      <c r="D917" s="283"/>
      <c r="E917" s="283"/>
      <c r="F917" s="283"/>
      <c r="G917" s="283"/>
      <c r="H917" s="283"/>
      <c r="I917" s="283"/>
      <c r="J917" s="283"/>
      <c r="K917" s="283"/>
      <c r="L917" s="283"/>
      <c r="M917" s="283"/>
      <c r="N917" s="283"/>
      <c r="O917" s="375" t="str">
        <f t="array" ref="O917">XLOOKUP(M917,'Recruiting Form Responses'!C:C,'Recruiting Form Responses'!A:A,"",0,1)</f>
        <v/>
      </c>
      <c r="P917" s="378"/>
      <c r="Q917" s="283"/>
      <c r="R917" s="283"/>
      <c r="S917" s="283"/>
      <c r="T917" s="283"/>
      <c r="U917" s="283"/>
      <c r="V917" s="283"/>
      <c r="W917" s="283"/>
      <c r="X917" s="283"/>
      <c r="Y917" s="283"/>
    </row>
    <row r="918">
      <c r="A918" s="283"/>
      <c r="B918" s="283"/>
      <c r="C918" s="283"/>
      <c r="D918" s="283"/>
      <c r="E918" s="283"/>
      <c r="F918" s="283"/>
      <c r="G918" s="283"/>
      <c r="H918" s="283"/>
      <c r="I918" s="283"/>
      <c r="J918" s="283"/>
      <c r="K918" s="283"/>
      <c r="L918" s="283"/>
      <c r="M918" s="283"/>
      <c r="N918" s="283"/>
      <c r="O918" s="375" t="str">
        <f t="array" ref="O918">XLOOKUP(M918,'Recruiting Form Responses'!C:C,'Recruiting Form Responses'!A:A,"",0,1)</f>
        <v/>
      </c>
      <c r="P918" s="378"/>
      <c r="Q918" s="283"/>
      <c r="R918" s="283"/>
      <c r="S918" s="283"/>
      <c r="T918" s="283"/>
      <c r="U918" s="283"/>
      <c r="V918" s="283"/>
      <c r="W918" s="283"/>
      <c r="X918" s="283"/>
      <c r="Y918" s="283"/>
    </row>
    <row r="919">
      <c r="A919" s="283"/>
      <c r="B919" s="283"/>
      <c r="C919" s="283"/>
      <c r="D919" s="283"/>
      <c r="E919" s="283"/>
      <c r="F919" s="283"/>
      <c r="G919" s="283"/>
      <c r="H919" s="283"/>
      <c r="I919" s="283"/>
      <c r="J919" s="283"/>
      <c r="K919" s="283"/>
      <c r="L919" s="283"/>
      <c r="M919" s="283"/>
      <c r="N919" s="283"/>
      <c r="O919" s="375" t="str">
        <f t="array" ref="O919">XLOOKUP(M919,'Recruiting Form Responses'!C:C,'Recruiting Form Responses'!A:A,"",0,1)</f>
        <v/>
      </c>
      <c r="P919" s="378"/>
      <c r="Q919" s="283"/>
      <c r="R919" s="283"/>
      <c r="S919" s="283"/>
      <c r="T919" s="283"/>
      <c r="U919" s="283"/>
      <c r="V919" s="283"/>
      <c r="W919" s="283"/>
      <c r="X919" s="283"/>
      <c r="Y919" s="283"/>
    </row>
    <row r="920">
      <c r="A920" s="283"/>
      <c r="B920" s="283"/>
      <c r="C920" s="283"/>
      <c r="D920" s="283"/>
      <c r="E920" s="283"/>
      <c r="F920" s="283"/>
      <c r="G920" s="283"/>
      <c r="H920" s="283"/>
      <c r="I920" s="283"/>
      <c r="J920" s="283"/>
      <c r="K920" s="283"/>
      <c r="L920" s="283"/>
      <c r="M920" s="283"/>
      <c r="N920" s="283"/>
      <c r="O920" s="375" t="str">
        <f t="array" ref="O920">XLOOKUP(M920,'Recruiting Form Responses'!C:C,'Recruiting Form Responses'!A:A,"",0,1)</f>
        <v/>
      </c>
      <c r="P920" s="378"/>
      <c r="Q920" s="283"/>
      <c r="R920" s="283"/>
      <c r="S920" s="283"/>
      <c r="T920" s="283"/>
      <c r="U920" s="283"/>
      <c r="V920" s="283"/>
      <c r="W920" s="283"/>
      <c r="X920" s="283"/>
      <c r="Y920" s="283"/>
    </row>
    <row r="921">
      <c r="A921" s="283"/>
      <c r="B921" s="283"/>
      <c r="C921" s="283"/>
      <c r="D921" s="283"/>
      <c r="E921" s="283"/>
      <c r="F921" s="283"/>
      <c r="G921" s="283"/>
      <c r="H921" s="283"/>
      <c r="I921" s="283"/>
      <c r="J921" s="283"/>
      <c r="K921" s="283"/>
      <c r="L921" s="283"/>
      <c r="M921" s="283"/>
      <c r="N921" s="283"/>
      <c r="O921" s="375" t="str">
        <f t="array" ref="O921">XLOOKUP(M921,'Recruiting Form Responses'!C:C,'Recruiting Form Responses'!A:A,"",0,1)</f>
        <v/>
      </c>
      <c r="P921" s="378"/>
      <c r="Q921" s="283"/>
      <c r="R921" s="283"/>
      <c r="S921" s="283"/>
      <c r="T921" s="283"/>
      <c r="U921" s="283"/>
      <c r="V921" s="283"/>
      <c r="W921" s="283"/>
      <c r="X921" s="283"/>
      <c r="Y921" s="283"/>
    </row>
    <row r="922">
      <c r="A922" s="283"/>
      <c r="B922" s="283"/>
      <c r="C922" s="283"/>
      <c r="D922" s="283"/>
      <c r="E922" s="283"/>
      <c r="F922" s="283"/>
      <c r="G922" s="283"/>
      <c r="H922" s="283"/>
      <c r="I922" s="283"/>
      <c r="J922" s="283"/>
      <c r="K922" s="283"/>
      <c r="L922" s="283"/>
      <c r="M922" s="283"/>
      <c r="N922" s="283"/>
      <c r="O922" s="375" t="str">
        <f t="array" ref="O922">XLOOKUP(M922,'Recruiting Form Responses'!C:C,'Recruiting Form Responses'!A:A,"",0,1)</f>
        <v/>
      </c>
      <c r="P922" s="378"/>
      <c r="Q922" s="283"/>
      <c r="R922" s="283"/>
      <c r="S922" s="283"/>
      <c r="T922" s="283"/>
      <c r="U922" s="283"/>
      <c r="V922" s="283"/>
      <c r="W922" s="283"/>
      <c r="X922" s="283"/>
      <c r="Y922" s="283"/>
    </row>
    <row r="923">
      <c r="A923" s="283"/>
      <c r="B923" s="283"/>
      <c r="C923" s="283"/>
      <c r="D923" s="283"/>
      <c r="E923" s="283"/>
      <c r="F923" s="283"/>
      <c r="G923" s="283"/>
      <c r="H923" s="283"/>
      <c r="I923" s="283"/>
      <c r="J923" s="283"/>
      <c r="K923" s="283"/>
      <c r="L923" s="283"/>
      <c r="M923" s="283"/>
      <c r="N923" s="283"/>
      <c r="O923" s="375" t="str">
        <f t="array" ref="O923">XLOOKUP(M923,'Recruiting Form Responses'!C:C,'Recruiting Form Responses'!A:A,"",0,1)</f>
        <v/>
      </c>
      <c r="P923" s="378"/>
      <c r="Q923" s="283"/>
      <c r="R923" s="283"/>
      <c r="S923" s="283"/>
      <c r="T923" s="283"/>
      <c r="U923" s="283"/>
      <c r="V923" s="283"/>
      <c r="W923" s="283"/>
      <c r="X923" s="283"/>
      <c r="Y923" s="283"/>
    </row>
    <row r="924">
      <c r="A924" s="283"/>
      <c r="B924" s="283"/>
      <c r="C924" s="283"/>
      <c r="D924" s="283"/>
      <c r="E924" s="283"/>
      <c r="F924" s="283"/>
      <c r="G924" s="283"/>
      <c r="H924" s="283"/>
      <c r="I924" s="283"/>
      <c r="J924" s="283"/>
      <c r="K924" s="283"/>
      <c r="L924" s="283"/>
      <c r="M924" s="283"/>
      <c r="N924" s="283"/>
      <c r="O924" s="375" t="str">
        <f t="array" ref="O924">XLOOKUP(M924,'Recruiting Form Responses'!C:C,'Recruiting Form Responses'!A:A,"",0,1)</f>
        <v/>
      </c>
      <c r="P924" s="378"/>
      <c r="Q924" s="283"/>
      <c r="R924" s="283"/>
      <c r="S924" s="283"/>
      <c r="T924" s="283"/>
      <c r="U924" s="283"/>
      <c r="V924" s="283"/>
      <c r="W924" s="283"/>
      <c r="X924" s="283"/>
      <c r="Y924" s="283"/>
    </row>
    <row r="925">
      <c r="A925" s="283"/>
      <c r="B925" s="283"/>
      <c r="C925" s="283"/>
      <c r="D925" s="283"/>
      <c r="E925" s="283"/>
      <c r="F925" s="283"/>
      <c r="G925" s="283"/>
      <c r="H925" s="283"/>
      <c r="I925" s="283"/>
      <c r="J925" s="283"/>
      <c r="K925" s="283"/>
      <c r="L925" s="283"/>
      <c r="M925" s="283"/>
      <c r="N925" s="283"/>
      <c r="O925" s="375" t="str">
        <f t="array" ref="O925">XLOOKUP(M925,'Recruiting Form Responses'!C:C,'Recruiting Form Responses'!A:A,"",0,1)</f>
        <v/>
      </c>
      <c r="P925" s="378"/>
      <c r="Q925" s="283"/>
      <c r="R925" s="283"/>
      <c r="S925" s="283"/>
      <c r="T925" s="283"/>
      <c r="U925" s="283"/>
      <c r="V925" s="283"/>
      <c r="W925" s="283"/>
      <c r="X925" s="283"/>
      <c r="Y925" s="283"/>
    </row>
    <row r="926">
      <c r="A926" s="283"/>
      <c r="B926" s="283"/>
      <c r="C926" s="283"/>
      <c r="D926" s="283"/>
      <c r="E926" s="283"/>
      <c r="F926" s="283"/>
      <c r="G926" s="283"/>
      <c r="H926" s="283"/>
      <c r="I926" s="283"/>
      <c r="J926" s="283"/>
      <c r="K926" s="283"/>
      <c r="L926" s="283"/>
      <c r="M926" s="283"/>
      <c r="N926" s="283"/>
      <c r="O926" s="375" t="str">
        <f t="array" ref="O926">XLOOKUP(M926,'Recruiting Form Responses'!C:C,'Recruiting Form Responses'!A:A,"",0,1)</f>
        <v/>
      </c>
      <c r="P926" s="378"/>
      <c r="Q926" s="283"/>
      <c r="R926" s="283"/>
      <c r="S926" s="283"/>
      <c r="T926" s="283"/>
      <c r="U926" s="283"/>
      <c r="V926" s="283"/>
      <c r="W926" s="283"/>
      <c r="X926" s="283"/>
      <c r="Y926" s="283"/>
    </row>
    <row r="927">
      <c r="A927" s="283"/>
      <c r="B927" s="283"/>
      <c r="C927" s="283"/>
      <c r="D927" s="283"/>
      <c r="E927" s="283"/>
      <c r="F927" s="283"/>
      <c r="G927" s="283"/>
      <c r="H927" s="283"/>
      <c r="I927" s="283"/>
      <c r="J927" s="283"/>
      <c r="K927" s="283"/>
      <c r="L927" s="283"/>
      <c r="M927" s="283"/>
      <c r="N927" s="283"/>
      <c r="O927" s="375" t="str">
        <f t="array" ref="O927">XLOOKUP(M927,'Recruiting Form Responses'!C:C,'Recruiting Form Responses'!A:A,"",0,1)</f>
        <v/>
      </c>
      <c r="P927" s="378"/>
      <c r="Q927" s="283"/>
      <c r="R927" s="283"/>
      <c r="S927" s="283"/>
      <c r="T927" s="283"/>
      <c r="U927" s="283"/>
      <c r="V927" s="283"/>
      <c r="W927" s="283"/>
      <c r="X927" s="283"/>
      <c r="Y927" s="283"/>
    </row>
    <row r="928">
      <c r="A928" s="283"/>
      <c r="B928" s="283"/>
      <c r="C928" s="283"/>
      <c r="D928" s="283"/>
      <c r="E928" s="283"/>
      <c r="F928" s="283"/>
      <c r="G928" s="283"/>
      <c r="H928" s="283"/>
      <c r="I928" s="283"/>
      <c r="J928" s="283"/>
      <c r="K928" s="283"/>
      <c r="L928" s="283"/>
      <c r="M928" s="283"/>
      <c r="N928" s="283"/>
      <c r="O928" s="375" t="str">
        <f t="array" ref="O928">XLOOKUP(M928,'Recruiting Form Responses'!C:C,'Recruiting Form Responses'!A:A,"",0,1)</f>
        <v/>
      </c>
      <c r="P928" s="378"/>
      <c r="Q928" s="283"/>
      <c r="R928" s="283"/>
      <c r="S928" s="283"/>
      <c r="T928" s="283"/>
      <c r="U928" s="283"/>
      <c r="V928" s="283"/>
      <c r="W928" s="283"/>
      <c r="X928" s="283"/>
      <c r="Y928" s="283"/>
    </row>
    <row r="929">
      <c r="A929" s="283"/>
      <c r="B929" s="283"/>
      <c r="C929" s="283"/>
      <c r="D929" s="283"/>
      <c r="E929" s="283"/>
      <c r="F929" s="283"/>
      <c r="G929" s="283"/>
      <c r="H929" s="283"/>
      <c r="I929" s="283"/>
      <c r="J929" s="283"/>
      <c r="K929" s="283"/>
      <c r="L929" s="283"/>
      <c r="M929" s="283"/>
      <c r="N929" s="283"/>
      <c r="O929" s="375" t="str">
        <f t="array" ref="O929">XLOOKUP(M929,'Recruiting Form Responses'!C:C,'Recruiting Form Responses'!A:A,"",0,1)</f>
        <v/>
      </c>
      <c r="P929" s="378"/>
      <c r="Q929" s="283"/>
      <c r="R929" s="283"/>
      <c r="S929" s="283"/>
      <c r="T929" s="283"/>
      <c r="U929" s="283"/>
      <c r="V929" s="283"/>
      <c r="W929" s="283"/>
      <c r="X929" s="283"/>
      <c r="Y929" s="283"/>
    </row>
    <row r="930">
      <c r="A930" s="283"/>
      <c r="B930" s="283"/>
      <c r="C930" s="283"/>
      <c r="D930" s="283"/>
      <c r="E930" s="283"/>
      <c r="F930" s="283"/>
      <c r="G930" s="283"/>
      <c r="H930" s="283"/>
      <c r="I930" s="283"/>
      <c r="J930" s="283"/>
      <c r="K930" s="283"/>
      <c r="L930" s="283"/>
      <c r="M930" s="283"/>
      <c r="N930" s="283"/>
      <c r="O930" s="375" t="str">
        <f t="array" ref="O930">XLOOKUP(M930,'Recruiting Form Responses'!C:C,'Recruiting Form Responses'!A:A,"",0,1)</f>
        <v/>
      </c>
      <c r="P930" s="378"/>
      <c r="Q930" s="283"/>
      <c r="R930" s="283"/>
      <c r="S930" s="283"/>
      <c r="T930" s="283"/>
      <c r="U930" s="283"/>
      <c r="V930" s="283"/>
      <c r="W930" s="283"/>
      <c r="X930" s="283"/>
      <c r="Y930" s="283"/>
    </row>
    <row r="931">
      <c r="A931" s="283"/>
      <c r="B931" s="283"/>
      <c r="C931" s="283"/>
      <c r="D931" s="283"/>
      <c r="E931" s="283"/>
      <c r="F931" s="283"/>
      <c r="G931" s="283"/>
      <c r="H931" s="283"/>
      <c r="I931" s="283"/>
      <c r="J931" s="283"/>
      <c r="K931" s="283"/>
      <c r="L931" s="283"/>
      <c r="M931" s="283"/>
      <c r="N931" s="283"/>
      <c r="O931" s="375" t="str">
        <f t="array" ref="O931">XLOOKUP(M931,'Recruiting Form Responses'!C:C,'Recruiting Form Responses'!A:A,"",0,1)</f>
        <v/>
      </c>
      <c r="P931" s="378"/>
      <c r="Q931" s="283"/>
      <c r="R931" s="283"/>
      <c r="S931" s="283"/>
      <c r="T931" s="283"/>
      <c r="U931" s="283"/>
      <c r="V931" s="283"/>
      <c r="W931" s="283"/>
      <c r="X931" s="283"/>
      <c r="Y931" s="283"/>
    </row>
    <row r="932">
      <c r="A932" s="283"/>
      <c r="B932" s="283"/>
      <c r="C932" s="283"/>
      <c r="D932" s="283"/>
      <c r="E932" s="283"/>
      <c r="F932" s="283"/>
      <c r="G932" s="283"/>
      <c r="H932" s="283"/>
      <c r="I932" s="283"/>
      <c r="J932" s="283"/>
      <c r="K932" s="283"/>
      <c r="L932" s="283"/>
      <c r="M932" s="283"/>
      <c r="N932" s="283"/>
      <c r="O932" s="375" t="str">
        <f t="array" ref="O932">XLOOKUP(M932,'Recruiting Form Responses'!C:C,'Recruiting Form Responses'!A:A,"",0,1)</f>
        <v/>
      </c>
      <c r="P932" s="378"/>
      <c r="Q932" s="283"/>
      <c r="R932" s="283"/>
      <c r="S932" s="283"/>
      <c r="T932" s="283"/>
      <c r="U932" s="283"/>
      <c r="V932" s="283"/>
      <c r="W932" s="283"/>
      <c r="X932" s="283"/>
      <c r="Y932" s="283"/>
    </row>
    <row r="933">
      <c r="A933" s="283"/>
      <c r="B933" s="283"/>
      <c r="C933" s="283"/>
      <c r="D933" s="283"/>
      <c r="E933" s="283"/>
      <c r="F933" s="283"/>
      <c r="G933" s="283"/>
      <c r="H933" s="283"/>
      <c r="I933" s="283"/>
      <c r="J933" s="283"/>
      <c r="K933" s="283"/>
      <c r="L933" s="283"/>
      <c r="M933" s="283"/>
      <c r="N933" s="283"/>
      <c r="O933" s="375" t="str">
        <f t="array" ref="O933">XLOOKUP(M933,'Recruiting Form Responses'!C:C,'Recruiting Form Responses'!A:A,"",0,1)</f>
        <v/>
      </c>
      <c r="P933" s="378"/>
      <c r="Q933" s="283"/>
      <c r="R933" s="283"/>
      <c r="S933" s="283"/>
      <c r="T933" s="283"/>
      <c r="U933" s="283"/>
      <c r="V933" s="283"/>
      <c r="W933" s="283"/>
      <c r="X933" s="283"/>
      <c r="Y933" s="283"/>
    </row>
    <row r="934">
      <c r="A934" s="283"/>
      <c r="B934" s="283"/>
      <c r="C934" s="283"/>
      <c r="D934" s="283"/>
      <c r="E934" s="283"/>
      <c r="F934" s="283"/>
      <c r="G934" s="283"/>
      <c r="H934" s="283"/>
      <c r="I934" s="283"/>
      <c r="J934" s="283"/>
      <c r="K934" s="283"/>
      <c r="L934" s="283"/>
      <c r="M934" s="283"/>
      <c r="N934" s="283"/>
      <c r="O934" s="375" t="str">
        <f t="array" ref="O934">XLOOKUP(M934,'Recruiting Form Responses'!C:C,'Recruiting Form Responses'!A:A,"",0,1)</f>
        <v/>
      </c>
      <c r="P934" s="378"/>
      <c r="Q934" s="283"/>
      <c r="R934" s="283"/>
      <c r="S934" s="283"/>
      <c r="T934" s="283"/>
      <c r="U934" s="283"/>
      <c r="V934" s="283"/>
      <c r="W934" s="283"/>
      <c r="X934" s="283"/>
      <c r="Y934" s="283"/>
    </row>
    <row r="935">
      <c r="A935" s="283"/>
      <c r="B935" s="283"/>
      <c r="C935" s="283"/>
      <c r="D935" s="283"/>
      <c r="E935" s="283"/>
      <c r="F935" s="283"/>
      <c r="G935" s="283"/>
      <c r="H935" s="283"/>
      <c r="I935" s="283"/>
      <c r="J935" s="283"/>
      <c r="K935" s="283"/>
      <c r="L935" s="283"/>
      <c r="M935" s="283"/>
      <c r="N935" s="283"/>
      <c r="O935" s="375" t="str">
        <f t="array" ref="O935">XLOOKUP(M935,'Recruiting Form Responses'!C:C,'Recruiting Form Responses'!A:A,"",0,1)</f>
        <v/>
      </c>
      <c r="P935" s="378"/>
      <c r="Q935" s="283"/>
      <c r="R935" s="283"/>
      <c r="S935" s="283"/>
      <c r="T935" s="283"/>
      <c r="U935" s="283"/>
      <c r="V935" s="283"/>
      <c r="W935" s="283"/>
      <c r="X935" s="283"/>
      <c r="Y935" s="283"/>
    </row>
    <row r="936">
      <c r="A936" s="283"/>
      <c r="B936" s="283"/>
      <c r="C936" s="283"/>
      <c r="D936" s="283"/>
      <c r="E936" s="283"/>
      <c r="F936" s="283"/>
      <c r="G936" s="283"/>
      <c r="H936" s="283"/>
      <c r="I936" s="283"/>
      <c r="J936" s="283"/>
      <c r="K936" s="283"/>
      <c r="L936" s="283"/>
      <c r="M936" s="283"/>
      <c r="N936" s="283"/>
      <c r="O936" s="375" t="str">
        <f t="array" ref="O936">XLOOKUP(M936,'Recruiting Form Responses'!C:C,'Recruiting Form Responses'!A:A,"",0,1)</f>
        <v/>
      </c>
      <c r="P936" s="378"/>
      <c r="Q936" s="283"/>
      <c r="R936" s="283"/>
      <c r="S936" s="283"/>
      <c r="T936" s="283"/>
      <c r="U936" s="283"/>
      <c r="V936" s="283"/>
      <c r="W936" s="283"/>
      <c r="X936" s="283"/>
      <c r="Y936" s="283"/>
    </row>
    <row r="937">
      <c r="A937" s="283"/>
      <c r="B937" s="283"/>
      <c r="C937" s="283"/>
      <c r="D937" s="283"/>
      <c r="E937" s="283"/>
      <c r="F937" s="283"/>
      <c r="G937" s="283"/>
      <c r="H937" s="283"/>
      <c r="I937" s="283"/>
      <c r="J937" s="283"/>
      <c r="K937" s="283"/>
      <c r="L937" s="283"/>
      <c r="M937" s="283"/>
      <c r="N937" s="283"/>
      <c r="O937" s="375" t="str">
        <f t="array" ref="O937">XLOOKUP(M937,'Recruiting Form Responses'!C:C,'Recruiting Form Responses'!A:A,"",0,1)</f>
        <v/>
      </c>
      <c r="P937" s="378"/>
      <c r="Q937" s="283"/>
      <c r="R937" s="283"/>
      <c r="S937" s="283"/>
      <c r="T937" s="283"/>
      <c r="U937" s="283"/>
      <c r="V937" s="283"/>
      <c r="W937" s="283"/>
      <c r="X937" s="283"/>
      <c r="Y937" s="283"/>
    </row>
    <row r="938">
      <c r="A938" s="283"/>
      <c r="B938" s="283"/>
      <c r="C938" s="283"/>
      <c r="D938" s="283"/>
      <c r="E938" s="283"/>
      <c r="F938" s="283"/>
      <c r="G938" s="283"/>
      <c r="H938" s="283"/>
      <c r="I938" s="283"/>
      <c r="J938" s="283"/>
      <c r="K938" s="283"/>
      <c r="L938" s="283"/>
      <c r="M938" s="283"/>
      <c r="N938" s="283"/>
      <c r="O938" s="375" t="str">
        <f t="array" ref="O938">XLOOKUP(M938,'Recruiting Form Responses'!C:C,'Recruiting Form Responses'!A:A,"",0,1)</f>
        <v/>
      </c>
      <c r="P938" s="378"/>
      <c r="Q938" s="283"/>
      <c r="R938" s="283"/>
      <c r="S938" s="283"/>
      <c r="T938" s="283"/>
      <c r="U938" s="283"/>
      <c r="V938" s="283"/>
      <c r="W938" s="283"/>
      <c r="X938" s="283"/>
      <c r="Y938" s="283"/>
    </row>
    <row r="939">
      <c r="A939" s="283"/>
      <c r="B939" s="283"/>
      <c r="C939" s="283"/>
      <c r="D939" s="283"/>
      <c r="E939" s="283"/>
      <c r="F939" s="283"/>
      <c r="G939" s="283"/>
      <c r="H939" s="283"/>
      <c r="I939" s="283"/>
      <c r="J939" s="283"/>
      <c r="K939" s="283"/>
      <c r="L939" s="283"/>
      <c r="M939" s="283"/>
      <c r="N939" s="283"/>
      <c r="O939" s="375" t="str">
        <f t="array" ref="O939">XLOOKUP(M939,'Recruiting Form Responses'!C:C,'Recruiting Form Responses'!A:A,"",0,1)</f>
        <v/>
      </c>
      <c r="P939" s="378"/>
      <c r="Q939" s="283"/>
      <c r="R939" s="283"/>
      <c r="S939" s="283"/>
      <c r="T939" s="283"/>
      <c r="U939" s="283"/>
      <c r="V939" s="283"/>
      <c r="W939" s="283"/>
      <c r="X939" s="283"/>
      <c r="Y939" s="283"/>
    </row>
    <row r="940">
      <c r="A940" s="283"/>
      <c r="B940" s="283"/>
      <c r="C940" s="283"/>
      <c r="D940" s="283"/>
      <c r="E940" s="283"/>
      <c r="F940" s="283"/>
      <c r="G940" s="283"/>
      <c r="H940" s="283"/>
      <c r="I940" s="283"/>
      <c r="J940" s="283"/>
      <c r="K940" s="283"/>
      <c r="L940" s="283"/>
      <c r="M940" s="283"/>
      <c r="N940" s="283"/>
      <c r="O940" s="375" t="str">
        <f t="array" ref="O940">XLOOKUP(M940,'Recruiting Form Responses'!C:C,'Recruiting Form Responses'!A:A,"",0,1)</f>
        <v/>
      </c>
      <c r="P940" s="378"/>
      <c r="Q940" s="283"/>
      <c r="R940" s="283"/>
      <c r="S940" s="283"/>
      <c r="T940" s="283"/>
      <c r="U940" s="283"/>
      <c r="V940" s="283"/>
      <c r="W940" s="283"/>
      <c r="X940" s="283"/>
      <c r="Y940" s="283"/>
    </row>
    <row r="941">
      <c r="A941" s="283"/>
      <c r="B941" s="283"/>
      <c r="C941" s="283"/>
      <c r="D941" s="283"/>
      <c r="E941" s="283"/>
      <c r="F941" s="283"/>
      <c r="G941" s="283"/>
      <c r="H941" s="283"/>
      <c r="I941" s="283"/>
      <c r="J941" s="283"/>
      <c r="K941" s="283"/>
      <c r="L941" s="283"/>
      <c r="M941" s="283"/>
      <c r="N941" s="283"/>
      <c r="O941" s="375" t="str">
        <f t="array" ref="O941">XLOOKUP(M941,'Recruiting Form Responses'!C:C,'Recruiting Form Responses'!A:A,"",0,1)</f>
        <v/>
      </c>
      <c r="P941" s="378"/>
      <c r="Q941" s="283"/>
      <c r="R941" s="283"/>
      <c r="S941" s="283"/>
      <c r="T941" s="283"/>
      <c r="U941" s="283"/>
      <c r="V941" s="283"/>
      <c r="W941" s="283"/>
      <c r="X941" s="283"/>
      <c r="Y941" s="283"/>
    </row>
    <row r="942">
      <c r="A942" s="283"/>
      <c r="B942" s="283"/>
      <c r="C942" s="283"/>
      <c r="D942" s="283"/>
      <c r="E942" s="283"/>
      <c r="F942" s="283"/>
      <c r="G942" s="283"/>
      <c r="H942" s="283"/>
      <c r="I942" s="283"/>
      <c r="J942" s="283"/>
      <c r="K942" s="283"/>
      <c r="L942" s="283"/>
      <c r="M942" s="283"/>
      <c r="N942" s="283"/>
      <c r="O942" s="375" t="str">
        <f t="array" ref="O942">XLOOKUP(M942,'Recruiting Form Responses'!C:C,'Recruiting Form Responses'!A:A,"",0,1)</f>
        <v/>
      </c>
      <c r="P942" s="378"/>
      <c r="Q942" s="283"/>
      <c r="R942" s="283"/>
      <c r="S942" s="283"/>
      <c r="T942" s="283"/>
      <c r="U942" s="283"/>
      <c r="V942" s="283"/>
      <c r="W942" s="283"/>
      <c r="X942" s="283"/>
      <c r="Y942" s="283"/>
    </row>
    <row r="943">
      <c r="A943" s="283"/>
      <c r="B943" s="283"/>
      <c r="C943" s="283"/>
      <c r="D943" s="283"/>
      <c r="E943" s="283"/>
      <c r="F943" s="283"/>
      <c r="G943" s="283"/>
      <c r="H943" s="283"/>
      <c r="I943" s="283"/>
      <c r="J943" s="283"/>
      <c r="K943" s="283"/>
      <c r="L943" s="283"/>
      <c r="M943" s="283"/>
      <c r="N943" s="283"/>
      <c r="O943" s="375" t="str">
        <f t="array" ref="O943">XLOOKUP(M943,'Recruiting Form Responses'!C:C,'Recruiting Form Responses'!A:A,"",0,1)</f>
        <v/>
      </c>
      <c r="P943" s="378"/>
      <c r="Q943" s="283"/>
      <c r="R943" s="283"/>
      <c r="S943" s="283"/>
      <c r="T943" s="283"/>
      <c r="U943" s="283"/>
      <c r="V943" s="283"/>
      <c r="W943" s="283"/>
      <c r="X943" s="283"/>
      <c r="Y943" s="283"/>
    </row>
    <row r="944">
      <c r="A944" s="283"/>
      <c r="B944" s="283"/>
      <c r="C944" s="283"/>
      <c r="D944" s="283"/>
      <c r="E944" s="283"/>
      <c r="F944" s="283"/>
      <c r="G944" s="283"/>
      <c r="H944" s="283"/>
      <c r="I944" s="283"/>
      <c r="J944" s="283"/>
      <c r="K944" s="283"/>
      <c r="L944" s="283"/>
      <c r="M944" s="283"/>
      <c r="N944" s="283"/>
      <c r="O944" s="375" t="str">
        <f t="array" ref="O944">XLOOKUP(M944,'Recruiting Form Responses'!C:C,'Recruiting Form Responses'!A:A,"",0,1)</f>
        <v/>
      </c>
      <c r="P944" s="378"/>
      <c r="Q944" s="283"/>
      <c r="R944" s="283"/>
      <c r="S944" s="283"/>
      <c r="T944" s="283"/>
      <c r="U944" s="283"/>
      <c r="V944" s="283"/>
      <c r="W944" s="283"/>
      <c r="X944" s="283"/>
      <c r="Y944" s="283"/>
    </row>
    <row r="945">
      <c r="A945" s="283"/>
      <c r="B945" s="283"/>
      <c r="C945" s="283"/>
      <c r="D945" s="283"/>
      <c r="E945" s="283"/>
      <c r="F945" s="283"/>
      <c r="G945" s="283"/>
      <c r="H945" s="283"/>
      <c r="I945" s="283"/>
      <c r="J945" s="283"/>
      <c r="K945" s="283"/>
      <c r="L945" s="283"/>
      <c r="M945" s="283"/>
      <c r="N945" s="283"/>
      <c r="O945" s="375" t="str">
        <f t="array" ref="O945">XLOOKUP(M945,'Recruiting Form Responses'!C:C,'Recruiting Form Responses'!A:A,"",0,1)</f>
        <v/>
      </c>
      <c r="P945" s="378"/>
      <c r="Q945" s="283"/>
      <c r="R945" s="283"/>
      <c r="S945" s="283"/>
      <c r="T945" s="283"/>
      <c r="U945" s="283"/>
      <c r="V945" s="283"/>
      <c r="W945" s="283"/>
      <c r="X945" s="283"/>
      <c r="Y945" s="283"/>
    </row>
    <row r="946">
      <c r="A946" s="283"/>
      <c r="B946" s="283"/>
      <c r="C946" s="283"/>
      <c r="D946" s="283"/>
      <c r="E946" s="283"/>
      <c r="F946" s="283"/>
      <c r="G946" s="283"/>
      <c r="H946" s="283"/>
      <c r="I946" s="283"/>
      <c r="J946" s="283"/>
      <c r="K946" s="283"/>
      <c r="L946" s="283"/>
      <c r="M946" s="283"/>
      <c r="N946" s="283"/>
      <c r="O946" s="375" t="str">
        <f t="array" ref="O946">XLOOKUP(M946,'Recruiting Form Responses'!C:C,'Recruiting Form Responses'!A:A,"",0,1)</f>
        <v/>
      </c>
      <c r="P946" s="378"/>
      <c r="Q946" s="283"/>
      <c r="R946" s="283"/>
      <c r="S946" s="283"/>
      <c r="T946" s="283"/>
      <c r="U946" s="283"/>
      <c r="V946" s="283"/>
      <c r="W946" s="283"/>
      <c r="X946" s="283"/>
      <c r="Y946" s="283"/>
    </row>
    <row r="947">
      <c r="A947" s="283"/>
      <c r="B947" s="283"/>
      <c r="C947" s="283"/>
      <c r="D947" s="283"/>
      <c r="E947" s="283"/>
      <c r="F947" s="283"/>
      <c r="G947" s="283"/>
      <c r="H947" s="283"/>
      <c r="I947" s="283"/>
      <c r="J947" s="283"/>
      <c r="K947" s="283"/>
      <c r="L947" s="283"/>
      <c r="M947" s="283"/>
      <c r="N947" s="283"/>
      <c r="O947" s="375" t="str">
        <f t="array" ref="O947">XLOOKUP(M947,'Recruiting Form Responses'!C:C,'Recruiting Form Responses'!A:A,"",0,1)</f>
        <v/>
      </c>
      <c r="P947" s="378"/>
      <c r="Q947" s="283"/>
      <c r="R947" s="283"/>
      <c r="S947" s="283"/>
      <c r="T947" s="283"/>
      <c r="U947" s="283"/>
      <c r="V947" s="283"/>
      <c r="W947" s="283"/>
      <c r="X947" s="283"/>
      <c r="Y947" s="283"/>
    </row>
    <row r="948">
      <c r="A948" s="283"/>
      <c r="B948" s="283"/>
      <c r="C948" s="283"/>
      <c r="D948" s="283"/>
      <c r="E948" s="283"/>
      <c r="F948" s="283"/>
      <c r="G948" s="283"/>
      <c r="H948" s="283"/>
      <c r="I948" s="283"/>
      <c r="J948" s="283"/>
      <c r="K948" s="283"/>
      <c r="L948" s="283"/>
      <c r="M948" s="283"/>
      <c r="N948" s="283"/>
      <c r="O948" s="375" t="str">
        <f t="array" ref="O948">XLOOKUP(M948,'Recruiting Form Responses'!C:C,'Recruiting Form Responses'!A:A,"",0,1)</f>
        <v/>
      </c>
      <c r="P948" s="378"/>
      <c r="Q948" s="283"/>
      <c r="R948" s="283"/>
      <c r="S948" s="283"/>
      <c r="T948" s="283"/>
      <c r="U948" s="283"/>
      <c r="V948" s="283"/>
      <c r="W948" s="283"/>
      <c r="X948" s="283"/>
      <c r="Y948" s="283"/>
    </row>
    <row r="949">
      <c r="A949" s="283"/>
      <c r="B949" s="283"/>
      <c r="C949" s="283"/>
      <c r="D949" s="283"/>
      <c r="E949" s="283"/>
      <c r="F949" s="283"/>
      <c r="G949" s="283"/>
      <c r="H949" s="283"/>
      <c r="I949" s="283"/>
      <c r="J949" s="283"/>
      <c r="K949" s="283"/>
      <c r="L949" s="283"/>
      <c r="M949" s="283"/>
      <c r="N949" s="283"/>
      <c r="O949" s="375" t="str">
        <f t="array" ref="O949">XLOOKUP(M949,'Recruiting Form Responses'!C:C,'Recruiting Form Responses'!A:A,"",0,1)</f>
        <v/>
      </c>
      <c r="P949" s="378"/>
      <c r="Q949" s="283"/>
      <c r="R949" s="283"/>
      <c r="S949" s="283"/>
      <c r="T949" s="283"/>
      <c r="U949" s="283"/>
      <c r="V949" s="283"/>
      <c r="W949" s="283"/>
      <c r="X949" s="283"/>
      <c r="Y949" s="283"/>
    </row>
    <row r="950">
      <c r="A950" s="283"/>
      <c r="B950" s="283"/>
      <c r="C950" s="283"/>
      <c r="D950" s="283"/>
      <c r="E950" s="283"/>
      <c r="F950" s="283"/>
      <c r="G950" s="283"/>
      <c r="H950" s="283"/>
      <c r="I950" s="283"/>
      <c r="J950" s="283"/>
      <c r="K950" s="283"/>
      <c r="L950" s="283"/>
      <c r="M950" s="283"/>
      <c r="N950" s="283"/>
      <c r="O950" s="375" t="str">
        <f t="array" ref="O950">XLOOKUP(M950,'Recruiting Form Responses'!C:C,'Recruiting Form Responses'!A:A,"",0,1)</f>
        <v/>
      </c>
      <c r="P950" s="378"/>
      <c r="Q950" s="283"/>
      <c r="R950" s="283"/>
      <c r="S950" s="283"/>
      <c r="T950" s="283"/>
      <c r="U950" s="283"/>
      <c r="V950" s="283"/>
      <c r="W950" s="283"/>
      <c r="X950" s="283"/>
      <c r="Y950" s="283"/>
    </row>
    <row r="951">
      <c r="A951" s="283"/>
      <c r="B951" s="283"/>
      <c r="C951" s="283"/>
      <c r="D951" s="283"/>
      <c r="E951" s="283"/>
      <c r="F951" s="283"/>
      <c r="G951" s="283"/>
      <c r="H951" s="283"/>
      <c r="I951" s="283"/>
      <c r="J951" s="283"/>
      <c r="K951" s="283"/>
      <c r="L951" s="283"/>
      <c r="M951" s="283"/>
      <c r="N951" s="283"/>
      <c r="O951" s="375" t="str">
        <f t="array" ref="O951">XLOOKUP(M951,'Recruiting Form Responses'!C:C,'Recruiting Form Responses'!A:A,"",0,1)</f>
        <v/>
      </c>
      <c r="P951" s="378"/>
      <c r="Q951" s="283"/>
      <c r="R951" s="283"/>
      <c r="S951" s="283"/>
      <c r="T951" s="283"/>
      <c r="U951" s="283"/>
      <c r="V951" s="283"/>
      <c r="W951" s="283"/>
      <c r="X951" s="283"/>
      <c r="Y951" s="283"/>
    </row>
    <row r="952">
      <c r="A952" s="283"/>
      <c r="B952" s="283"/>
      <c r="C952" s="283"/>
      <c r="D952" s="283"/>
      <c r="E952" s="283"/>
      <c r="F952" s="283"/>
      <c r="G952" s="283"/>
      <c r="H952" s="283"/>
      <c r="I952" s="283"/>
      <c r="J952" s="283"/>
      <c r="K952" s="283"/>
      <c r="L952" s="283"/>
      <c r="M952" s="283"/>
      <c r="N952" s="283"/>
      <c r="O952" s="375" t="str">
        <f t="array" ref="O952">XLOOKUP(M952,'Recruiting Form Responses'!C:C,'Recruiting Form Responses'!A:A,"",0,1)</f>
        <v/>
      </c>
      <c r="P952" s="378"/>
      <c r="Q952" s="283"/>
      <c r="R952" s="283"/>
      <c r="S952" s="283"/>
      <c r="T952" s="283"/>
      <c r="U952" s="283"/>
      <c r="V952" s="283"/>
      <c r="W952" s="283"/>
      <c r="X952" s="283"/>
      <c r="Y952" s="283"/>
    </row>
    <row r="953">
      <c r="A953" s="283"/>
      <c r="B953" s="283"/>
      <c r="C953" s="283"/>
      <c r="D953" s="283"/>
      <c r="E953" s="283"/>
      <c r="F953" s="283"/>
      <c r="G953" s="283"/>
      <c r="H953" s="283"/>
      <c r="I953" s="283"/>
      <c r="J953" s="283"/>
      <c r="K953" s="283"/>
      <c r="L953" s="283"/>
      <c r="M953" s="283"/>
      <c r="N953" s="283"/>
      <c r="O953" s="375" t="str">
        <f t="array" ref="O953">XLOOKUP(M953,'Recruiting Form Responses'!C:C,'Recruiting Form Responses'!A:A,"",0,1)</f>
        <v/>
      </c>
      <c r="P953" s="378"/>
      <c r="Q953" s="283"/>
      <c r="R953" s="283"/>
      <c r="S953" s="283"/>
      <c r="T953" s="283"/>
      <c r="U953" s="283"/>
      <c r="V953" s="283"/>
      <c r="W953" s="283"/>
      <c r="X953" s="283"/>
      <c r="Y953" s="283"/>
    </row>
    <row r="954">
      <c r="A954" s="283"/>
      <c r="B954" s="283"/>
      <c r="C954" s="283"/>
      <c r="D954" s="283"/>
      <c r="E954" s="283"/>
      <c r="F954" s="283"/>
      <c r="G954" s="283"/>
      <c r="H954" s="283"/>
      <c r="I954" s="283"/>
      <c r="J954" s="283"/>
      <c r="K954" s="283"/>
      <c r="L954" s="283"/>
      <c r="M954" s="283"/>
      <c r="N954" s="283"/>
      <c r="O954" s="375" t="str">
        <f t="array" ref="O954">XLOOKUP(M954,'Recruiting Form Responses'!C:C,'Recruiting Form Responses'!A:A,"",0,1)</f>
        <v/>
      </c>
      <c r="P954" s="378"/>
      <c r="Q954" s="283"/>
      <c r="R954" s="283"/>
      <c r="S954" s="283"/>
      <c r="T954" s="283"/>
      <c r="U954" s="283"/>
      <c r="V954" s="283"/>
      <c r="W954" s="283"/>
      <c r="X954" s="283"/>
      <c r="Y954" s="283"/>
    </row>
    <row r="955">
      <c r="A955" s="283"/>
      <c r="B955" s="283"/>
      <c r="C955" s="283"/>
      <c r="D955" s="283"/>
      <c r="E955" s="283"/>
      <c r="F955" s="283"/>
      <c r="G955" s="283"/>
      <c r="H955" s="283"/>
      <c r="I955" s="283"/>
      <c r="J955" s="283"/>
      <c r="K955" s="283"/>
      <c r="L955" s="283"/>
      <c r="M955" s="283"/>
      <c r="N955" s="283"/>
      <c r="O955" s="375" t="str">
        <f t="array" ref="O955">XLOOKUP(M955,'Recruiting Form Responses'!C:C,'Recruiting Form Responses'!A:A,"",0,1)</f>
        <v/>
      </c>
      <c r="P955" s="378"/>
      <c r="Q955" s="283"/>
      <c r="R955" s="283"/>
      <c r="S955" s="283"/>
      <c r="T955" s="283"/>
      <c r="U955" s="283"/>
      <c r="V955" s="283"/>
      <c r="W955" s="283"/>
      <c r="X955" s="283"/>
      <c r="Y955" s="283"/>
    </row>
    <row r="956">
      <c r="A956" s="283"/>
      <c r="B956" s="283"/>
      <c r="C956" s="283"/>
      <c r="D956" s="283"/>
      <c r="E956" s="283"/>
      <c r="F956" s="283"/>
      <c r="G956" s="283"/>
      <c r="H956" s="283"/>
      <c r="I956" s="283"/>
      <c r="J956" s="283"/>
      <c r="K956" s="283"/>
      <c r="L956" s="283"/>
      <c r="M956" s="283"/>
      <c r="N956" s="283"/>
      <c r="O956" s="375" t="str">
        <f t="array" ref="O956">XLOOKUP(M956,'Recruiting Form Responses'!C:C,'Recruiting Form Responses'!A:A,"",0,1)</f>
        <v/>
      </c>
      <c r="P956" s="378"/>
      <c r="Q956" s="283"/>
      <c r="R956" s="283"/>
      <c r="S956" s="283"/>
      <c r="T956" s="283"/>
      <c r="U956" s="283"/>
      <c r="V956" s="283"/>
      <c r="W956" s="283"/>
      <c r="X956" s="283"/>
      <c r="Y956" s="283"/>
    </row>
    <row r="957">
      <c r="A957" s="283"/>
      <c r="B957" s="283"/>
      <c r="C957" s="283"/>
      <c r="D957" s="283"/>
      <c r="E957" s="283"/>
      <c r="F957" s="283"/>
      <c r="G957" s="283"/>
      <c r="H957" s="283"/>
      <c r="I957" s="283"/>
      <c r="J957" s="283"/>
      <c r="K957" s="283"/>
      <c r="L957" s="283"/>
      <c r="M957" s="283"/>
      <c r="N957" s="283"/>
      <c r="O957" s="375" t="str">
        <f t="array" ref="O957">XLOOKUP(M957,'Recruiting Form Responses'!C:C,'Recruiting Form Responses'!A:A,"",0,1)</f>
        <v/>
      </c>
      <c r="P957" s="378"/>
      <c r="Q957" s="283"/>
      <c r="R957" s="283"/>
      <c r="S957" s="283"/>
      <c r="T957" s="283"/>
      <c r="U957" s="283"/>
      <c r="V957" s="283"/>
      <c r="W957" s="283"/>
      <c r="X957" s="283"/>
      <c r="Y957" s="283"/>
    </row>
    <row r="958">
      <c r="A958" s="283"/>
      <c r="B958" s="283"/>
      <c r="C958" s="283"/>
      <c r="D958" s="283"/>
      <c r="E958" s="283"/>
      <c r="F958" s="283"/>
      <c r="G958" s="283"/>
      <c r="H958" s="283"/>
      <c r="I958" s="283"/>
      <c r="J958" s="283"/>
      <c r="K958" s="283"/>
      <c r="L958" s="283"/>
      <c r="M958" s="283"/>
      <c r="N958" s="283"/>
      <c r="O958" s="375" t="str">
        <f t="array" ref="O958">XLOOKUP(M958,'Recruiting Form Responses'!C:C,'Recruiting Form Responses'!A:A,"",0,1)</f>
        <v/>
      </c>
      <c r="P958" s="378"/>
      <c r="Q958" s="283"/>
      <c r="R958" s="283"/>
      <c r="S958" s="283"/>
      <c r="T958" s="283"/>
      <c r="U958" s="283"/>
      <c r="V958" s="283"/>
      <c r="W958" s="283"/>
      <c r="X958" s="283"/>
      <c r="Y958" s="283"/>
    </row>
    <row r="959">
      <c r="A959" s="283"/>
      <c r="B959" s="283"/>
      <c r="C959" s="283"/>
      <c r="D959" s="283"/>
      <c r="E959" s="283"/>
      <c r="F959" s="283"/>
      <c r="G959" s="283"/>
      <c r="H959" s="283"/>
      <c r="I959" s="283"/>
      <c r="J959" s="283"/>
      <c r="K959" s="283"/>
      <c r="L959" s="283"/>
      <c r="M959" s="283"/>
      <c r="N959" s="283"/>
      <c r="O959" s="375" t="str">
        <f t="array" ref="O959">XLOOKUP(M959,'Recruiting Form Responses'!C:C,'Recruiting Form Responses'!A:A,"",0,1)</f>
        <v/>
      </c>
      <c r="P959" s="378"/>
      <c r="Q959" s="283"/>
      <c r="R959" s="283"/>
      <c r="S959" s="283"/>
      <c r="T959" s="283"/>
      <c r="U959" s="283"/>
      <c r="V959" s="283"/>
      <c r="W959" s="283"/>
      <c r="X959" s="283"/>
      <c r="Y959" s="283"/>
    </row>
    <row r="960">
      <c r="A960" s="283"/>
      <c r="B960" s="283"/>
      <c r="C960" s="283"/>
      <c r="D960" s="283"/>
      <c r="E960" s="283"/>
      <c r="F960" s="283"/>
      <c r="G960" s="283"/>
      <c r="H960" s="283"/>
      <c r="I960" s="283"/>
      <c r="J960" s="283"/>
      <c r="K960" s="283"/>
      <c r="L960" s="283"/>
      <c r="M960" s="283"/>
      <c r="N960" s="283"/>
      <c r="O960" s="375" t="str">
        <f t="array" ref="O960">XLOOKUP(M960,'Recruiting Form Responses'!C:C,'Recruiting Form Responses'!A:A,"",0,1)</f>
        <v/>
      </c>
      <c r="P960" s="378"/>
      <c r="Q960" s="283"/>
      <c r="R960" s="283"/>
      <c r="S960" s="283"/>
      <c r="T960" s="283"/>
      <c r="U960" s="283"/>
      <c r="V960" s="283"/>
      <c r="W960" s="283"/>
      <c r="X960" s="283"/>
      <c r="Y960" s="283"/>
    </row>
    <row r="961">
      <c r="A961" s="283"/>
      <c r="B961" s="283"/>
      <c r="C961" s="283"/>
      <c r="D961" s="283"/>
      <c r="E961" s="283"/>
      <c r="F961" s="283"/>
      <c r="G961" s="283"/>
      <c r="H961" s="283"/>
      <c r="I961" s="283"/>
      <c r="J961" s="283"/>
      <c r="K961" s="283"/>
      <c r="L961" s="283"/>
      <c r="M961" s="283"/>
      <c r="N961" s="283"/>
      <c r="O961" s="375" t="str">
        <f t="array" ref="O961">XLOOKUP(M961,'Recruiting Form Responses'!C:C,'Recruiting Form Responses'!A:A,"",0,1)</f>
        <v/>
      </c>
      <c r="P961" s="378"/>
      <c r="Q961" s="283"/>
      <c r="R961" s="283"/>
      <c r="S961" s="283"/>
      <c r="T961" s="283"/>
      <c r="U961" s="283"/>
      <c r="V961" s="283"/>
      <c r="W961" s="283"/>
      <c r="X961" s="283"/>
      <c r="Y961" s="283"/>
    </row>
    <row r="962">
      <c r="A962" s="283"/>
      <c r="B962" s="283"/>
      <c r="C962" s="283"/>
      <c r="D962" s="283"/>
      <c r="E962" s="283"/>
      <c r="F962" s="283"/>
      <c r="G962" s="283"/>
      <c r="H962" s="283"/>
      <c r="I962" s="283"/>
      <c r="J962" s="283"/>
      <c r="K962" s="283"/>
      <c r="L962" s="283"/>
      <c r="M962" s="283"/>
      <c r="N962" s="283"/>
      <c r="O962" s="375" t="str">
        <f t="array" ref="O962">XLOOKUP(M962,'Recruiting Form Responses'!C:C,'Recruiting Form Responses'!A:A,"",0,1)</f>
        <v/>
      </c>
      <c r="P962" s="378"/>
      <c r="Q962" s="283"/>
      <c r="R962" s="283"/>
      <c r="S962" s="283"/>
      <c r="T962" s="283"/>
      <c r="U962" s="283"/>
      <c r="V962" s="283"/>
      <c r="W962" s="283"/>
      <c r="X962" s="283"/>
      <c r="Y962" s="283"/>
    </row>
    <row r="963">
      <c r="A963" s="283"/>
      <c r="B963" s="283"/>
      <c r="C963" s="283"/>
      <c r="D963" s="283"/>
      <c r="E963" s="283"/>
      <c r="F963" s="283"/>
      <c r="G963" s="283"/>
      <c r="H963" s="283"/>
      <c r="I963" s="283"/>
      <c r="J963" s="283"/>
      <c r="K963" s="283"/>
      <c r="L963" s="283"/>
      <c r="M963" s="283"/>
      <c r="N963" s="283"/>
      <c r="O963" s="375" t="str">
        <f t="array" ref="O963">XLOOKUP(M963,'Recruiting Form Responses'!C:C,'Recruiting Form Responses'!A:A,"",0,1)</f>
        <v/>
      </c>
      <c r="P963" s="378"/>
      <c r="Q963" s="283"/>
      <c r="R963" s="283"/>
      <c r="S963" s="283"/>
      <c r="T963" s="283"/>
      <c r="U963" s="283"/>
      <c r="V963" s="283"/>
      <c r="W963" s="283"/>
      <c r="X963" s="283"/>
      <c r="Y963" s="283"/>
    </row>
    <row r="964">
      <c r="A964" s="283"/>
      <c r="B964" s="283"/>
      <c r="C964" s="283"/>
      <c r="D964" s="283"/>
      <c r="E964" s="283"/>
      <c r="F964" s="283"/>
      <c r="G964" s="283"/>
      <c r="H964" s="283"/>
      <c r="I964" s="283"/>
      <c r="J964" s="283"/>
      <c r="K964" s="283"/>
      <c r="L964" s="283"/>
      <c r="M964" s="283"/>
      <c r="N964" s="283"/>
      <c r="O964" s="375" t="str">
        <f t="array" ref="O964">XLOOKUP(M964,'Recruiting Form Responses'!C:C,'Recruiting Form Responses'!A:A,"",0,1)</f>
        <v/>
      </c>
      <c r="P964" s="378"/>
      <c r="Q964" s="283"/>
      <c r="R964" s="283"/>
      <c r="S964" s="283"/>
      <c r="T964" s="283"/>
      <c r="U964" s="283"/>
      <c r="V964" s="283"/>
      <c r="W964" s="283"/>
      <c r="X964" s="283"/>
      <c r="Y964" s="283"/>
    </row>
    <row r="965">
      <c r="A965" s="283"/>
      <c r="B965" s="283"/>
      <c r="C965" s="283"/>
      <c r="D965" s="283"/>
      <c r="E965" s="283"/>
      <c r="F965" s="283"/>
      <c r="G965" s="283"/>
      <c r="H965" s="283"/>
      <c r="I965" s="283"/>
      <c r="J965" s="283"/>
      <c r="K965" s="283"/>
      <c r="L965" s="283"/>
      <c r="M965" s="283"/>
      <c r="N965" s="283"/>
      <c r="O965" s="375" t="str">
        <f t="array" ref="O965">XLOOKUP(M965,'Recruiting Form Responses'!C:C,'Recruiting Form Responses'!A:A,"",0,1)</f>
        <v/>
      </c>
      <c r="P965" s="378"/>
      <c r="Q965" s="283"/>
      <c r="R965" s="283"/>
      <c r="S965" s="283"/>
      <c r="T965" s="283"/>
      <c r="U965" s="283"/>
      <c r="V965" s="283"/>
      <c r="W965" s="283"/>
      <c r="X965" s="283"/>
      <c r="Y965" s="283"/>
    </row>
    <row r="966">
      <c r="A966" s="283"/>
      <c r="B966" s="283"/>
      <c r="C966" s="283"/>
      <c r="D966" s="283"/>
      <c r="E966" s="283"/>
      <c r="F966" s="283"/>
      <c r="G966" s="283"/>
      <c r="H966" s="283"/>
      <c r="I966" s="283"/>
      <c r="J966" s="283"/>
      <c r="K966" s="283"/>
      <c r="L966" s="283"/>
      <c r="M966" s="283"/>
      <c r="N966" s="283"/>
      <c r="O966" s="375" t="str">
        <f t="array" ref="O966">XLOOKUP(M966,'Recruiting Form Responses'!C:C,'Recruiting Form Responses'!A:A,"",0,1)</f>
        <v/>
      </c>
      <c r="P966" s="378"/>
      <c r="Q966" s="283"/>
      <c r="R966" s="283"/>
      <c r="S966" s="283"/>
      <c r="T966" s="283"/>
      <c r="U966" s="283"/>
      <c r="V966" s="283"/>
      <c r="W966" s="283"/>
      <c r="X966" s="283"/>
      <c r="Y966" s="283"/>
    </row>
    <row r="967">
      <c r="A967" s="283"/>
      <c r="B967" s="283"/>
      <c r="C967" s="283"/>
      <c r="D967" s="283"/>
      <c r="E967" s="283"/>
      <c r="F967" s="283"/>
      <c r="G967" s="283"/>
      <c r="H967" s="283"/>
      <c r="I967" s="283"/>
      <c r="J967" s="283"/>
      <c r="K967" s="283"/>
      <c r="L967" s="283"/>
      <c r="M967" s="283"/>
      <c r="N967" s="283"/>
      <c r="O967" s="375" t="str">
        <f t="array" ref="O967">XLOOKUP(M967,'Recruiting Form Responses'!C:C,'Recruiting Form Responses'!A:A,"",0,1)</f>
        <v/>
      </c>
      <c r="P967" s="378"/>
      <c r="Q967" s="283"/>
      <c r="R967" s="283"/>
      <c r="S967" s="283"/>
      <c r="T967" s="283"/>
      <c r="U967" s="283"/>
      <c r="V967" s="283"/>
      <c r="W967" s="283"/>
      <c r="X967" s="283"/>
      <c r="Y967" s="283"/>
    </row>
    <row r="968">
      <c r="A968" s="283"/>
      <c r="B968" s="283"/>
      <c r="C968" s="283"/>
      <c r="D968" s="283"/>
      <c r="E968" s="283"/>
      <c r="F968" s="283"/>
      <c r="G968" s="283"/>
      <c r="H968" s="283"/>
      <c r="I968" s="283"/>
      <c r="J968" s="283"/>
      <c r="K968" s="283"/>
      <c r="L968" s="283"/>
      <c r="M968" s="283"/>
      <c r="N968" s="283"/>
      <c r="O968" s="375" t="str">
        <f t="array" ref="O968">XLOOKUP(M968,'Recruiting Form Responses'!C:C,'Recruiting Form Responses'!A:A,"",0,1)</f>
        <v/>
      </c>
      <c r="P968" s="378"/>
      <c r="Q968" s="283"/>
      <c r="R968" s="283"/>
      <c r="S968" s="283"/>
      <c r="T968" s="283"/>
      <c r="U968" s="283"/>
      <c r="V968" s="283"/>
      <c r="W968" s="283"/>
      <c r="X968" s="283"/>
      <c r="Y968" s="283"/>
    </row>
    <row r="969">
      <c r="A969" s="283"/>
      <c r="B969" s="283"/>
      <c r="C969" s="283"/>
      <c r="D969" s="283"/>
      <c r="E969" s="283"/>
      <c r="F969" s="283"/>
      <c r="G969" s="283"/>
      <c r="H969" s="283"/>
      <c r="I969" s="283"/>
      <c r="J969" s="283"/>
      <c r="K969" s="283"/>
      <c r="L969" s="283"/>
      <c r="M969" s="283"/>
      <c r="N969" s="283"/>
      <c r="O969" s="375" t="str">
        <f t="array" ref="O969">XLOOKUP(M969,'Recruiting Form Responses'!C:C,'Recruiting Form Responses'!A:A,"",0,1)</f>
        <v/>
      </c>
      <c r="P969" s="378"/>
      <c r="Q969" s="283"/>
      <c r="R969" s="283"/>
      <c r="S969" s="283"/>
      <c r="T969" s="283"/>
      <c r="U969" s="283"/>
      <c r="V969" s="283"/>
      <c r="W969" s="283"/>
      <c r="X969" s="283"/>
      <c r="Y969" s="283"/>
    </row>
    <row r="970">
      <c r="A970" s="283"/>
      <c r="B970" s="283"/>
      <c r="C970" s="283"/>
      <c r="D970" s="283"/>
      <c r="E970" s="283"/>
      <c r="F970" s="283"/>
      <c r="G970" s="283"/>
      <c r="H970" s="283"/>
      <c r="I970" s="283"/>
      <c r="J970" s="283"/>
      <c r="K970" s="283"/>
      <c r="L970" s="283"/>
      <c r="M970" s="283"/>
      <c r="N970" s="283"/>
      <c r="O970" s="375" t="str">
        <f t="array" ref="O970">XLOOKUP(M970,'Recruiting Form Responses'!C:C,'Recruiting Form Responses'!A:A,"",0,1)</f>
        <v/>
      </c>
      <c r="P970" s="378"/>
      <c r="Q970" s="283"/>
      <c r="R970" s="283"/>
      <c r="S970" s="283"/>
      <c r="T970" s="283"/>
      <c r="U970" s="283"/>
      <c r="V970" s="283"/>
      <c r="W970" s="283"/>
      <c r="X970" s="283"/>
      <c r="Y970" s="283"/>
    </row>
    <row r="971">
      <c r="A971" s="283"/>
      <c r="B971" s="283"/>
      <c r="C971" s="283"/>
      <c r="D971" s="283"/>
      <c r="E971" s="283"/>
      <c r="F971" s="283"/>
      <c r="G971" s="283"/>
      <c r="H971" s="283"/>
      <c r="I971" s="283"/>
      <c r="J971" s="283"/>
      <c r="K971" s="283"/>
      <c r="L971" s="283"/>
      <c r="M971" s="283"/>
      <c r="N971" s="283"/>
      <c r="O971" s="375" t="str">
        <f t="array" ref="O971">XLOOKUP(M971,'Recruiting Form Responses'!C:C,'Recruiting Form Responses'!A:A,"",0,1)</f>
        <v/>
      </c>
      <c r="P971" s="378"/>
      <c r="Q971" s="283"/>
      <c r="R971" s="283"/>
      <c r="S971" s="283"/>
      <c r="T971" s="283"/>
      <c r="U971" s="283"/>
      <c r="V971" s="283"/>
      <c r="W971" s="283"/>
      <c r="X971" s="283"/>
      <c r="Y971" s="283"/>
    </row>
    <row r="972">
      <c r="A972" s="283"/>
      <c r="B972" s="283"/>
      <c r="C972" s="283"/>
      <c r="D972" s="283"/>
      <c r="E972" s="283"/>
      <c r="F972" s="283"/>
      <c r="G972" s="283"/>
      <c r="H972" s="283"/>
      <c r="I972" s="283"/>
      <c r="J972" s="283"/>
      <c r="K972" s="283"/>
      <c r="L972" s="283"/>
      <c r="M972" s="283"/>
      <c r="N972" s="283"/>
      <c r="O972" s="375" t="str">
        <f t="array" ref="O972">XLOOKUP(M972,'Recruiting Form Responses'!C:C,'Recruiting Form Responses'!A:A,"",0,1)</f>
        <v/>
      </c>
      <c r="P972" s="378"/>
      <c r="Q972" s="283"/>
      <c r="R972" s="283"/>
      <c r="S972" s="283"/>
      <c r="T972" s="283"/>
      <c r="U972" s="283"/>
      <c r="V972" s="283"/>
      <c r="W972" s="283"/>
      <c r="X972" s="283"/>
      <c r="Y972" s="283"/>
    </row>
    <row r="973">
      <c r="A973" s="283"/>
      <c r="B973" s="283"/>
      <c r="C973" s="283"/>
      <c r="D973" s="283"/>
      <c r="E973" s="283"/>
      <c r="F973" s="283"/>
      <c r="G973" s="283"/>
      <c r="H973" s="283"/>
      <c r="I973" s="283"/>
      <c r="J973" s="283"/>
      <c r="K973" s="283"/>
      <c r="L973" s="283"/>
      <c r="M973" s="283"/>
      <c r="N973" s="283"/>
      <c r="O973" s="375" t="str">
        <f t="array" ref="O973">XLOOKUP(M973,'Recruiting Form Responses'!C:C,'Recruiting Form Responses'!A:A,"",0,1)</f>
        <v/>
      </c>
      <c r="P973" s="378"/>
      <c r="Q973" s="283"/>
      <c r="R973" s="283"/>
      <c r="S973" s="283"/>
      <c r="T973" s="283"/>
      <c r="U973" s="283"/>
      <c r="V973" s="283"/>
      <c r="W973" s="283"/>
      <c r="X973" s="283"/>
      <c r="Y973" s="283"/>
    </row>
    <row r="974">
      <c r="A974" s="283"/>
      <c r="B974" s="283"/>
      <c r="C974" s="283"/>
      <c r="D974" s="283"/>
      <c r="E974" s="283"/>
      <c r="F974" s="283"/>
      <c r="G974" s="283"/>
      <c r="H974" s="283"/>
      <c r="I974" s="283"/>
      <c r="J974" s="283"/>
      <c r="K974" s="283"/>
      <c r="L974" s="283"/>
      <c r="M974" s="283"/>
      <c r="N974" s="283"/>
      <c r="O974" s="375" t="str">
        <f t="array" ref="O974">XLOOKUP(M974,'Recruiting Form Responses'!C:C,'Recruiting Form Responses'!A:A,"",0,1)</f>
        <v/>
      </c>
      <c r="P974" s="378"/>
      <c r="Q974" s="283"/>
      <c r="R974" s="283"/>
      <c r="S974" s="283"/>
      <c r="T974" s="283"/>
      <c r="U974" s="283"/>
      <c r="V974" s="283"/>
      <c r="W974" s="283"/>
      <c r="X974" s="283"/>
      <c r="Y974" s="283"/>
    </row>
    <row r="975">
      <c r="A975" s="283"/>
      <c r="B975" s="283"/>
      <c r="C975" s="283"/>
      <c r="D975" s="283"/>
      <c r="E975" s="283"/>
      <c r="F975" s="283"/>
      <c r="G975" s="283"/>
      <c r="H975" s="283"/>
      <c r="I975" s="283"/>
      <c r="J975" s="283"/>
      <c r="K975" s="283"/>
      <c r="L975" s="283"/>
      <c r="M975" s="283"/>
      <c r="N975" s="283"/>
      <c r="O975" s="375" t="str">
        <f t="array" ref="O975">XLOOKUP(M975,'Recruiting Form Responses'!C:C,'Recruiting Form Responses'!A:A,"",0,1)</f>
        <v/>
      </c>
      <c r="P975" s="378"/>
      <c r="Q975" s="283"/>
      <c r="R975" s="283"/>
      <c r="S975" s="283"/>
      <c r="T975" s="283"/>
      <c r="U975" s="283"/>
      <c r="V975" s="283"/>
      <c r="W975" s="283"/>
      <c r="X975" s="283"/>
      <c r="Y975" s="283"/>
    </row>
    <row r="976">
      <c r="A976" s="283"/>
      <c r="B976" s="283"/>
      <c r="C976" s="283"/>
      <c r="D976" s="283"/>
      <c r="E976" s="283"/>
      <c r="F976" s="283"/>
      <c r="G976" s="283"/>
      <c r="H976" s="283"/>
      <c r="I976" s="283"/>
      <c r="J976" s="283"/>
      <c r="K976" s="283"/>
      <c r="L976" s="283"/>
      <c r="M976" s="283"/>
      <c r="N976" s="283"/>
      <c r="O976" s="375" t="str">
        <f t="array" ref="O976">XLOOKUP(M976,'Recruiting Form Responses'!C:C,'Recruiting Form Responses'!A:A,"",0,1)</f>
        <v/>
      </c>
      <c r="P976" s="378"/>
      <c r="Q976" s="283"/>
      <c r="R976" s="283"/>
      <c r="S976" s="283"/>
      <c r="T976" s="283"/>
      <c r="U976" s="283"/>
      <c r="V976" s="283"/>
      <c r="W976" s="283"/>
      <c r="X976" s="283"/>
      <c r="Y976" s="283"/>
    </row>
    <row r="977">
      <c r="A977" s="283"/>
      <c r="B977" s="283"/>
      <c r="C977" s="283"/>
      <c r="D977" s="283"/>
      <c r="E977" s="283"/>
      <c r="F977" s="283"/>
      <c r="G977" s="283"/>
      <c r="H977" s="283"/>
      <c r="I977" s="283"/>
      <c r="J977" s="283"/>
      <c r="K977" s="283"/>
      <c r="L977" s="283"/>
      <c r="M977" s="283"/>
      <c r="N977" s="283"/>
      <c r="O977" s="375" t="str">
        <f t="array" ref="O977">XLOOKUP(M977,'Recruiting Form Responses'!C:C,'Recruiting Form Responses'!A:A,"",0,1)</f>
        <v/>
      </c>
      <c r="P977" s="378"/>
      <c r="Q977" s="283"/>
      <c r="R977" s="283"/>
      <c r="S977" s="283"/>
      <c r="T977" s="283"/>
      <c r="U977" s="283"/>
      <c r="V977" s="283"/>
      <c r="W977" s="283"/>
      <c r="X977" s="283"/>
      <c r="Y977" s="283"/>
    </row>
    <row r="978">
      <c r="A978" s="283"/>
      <c r="B978" s="283"/>
      <c r="C978" s="283"/>
      <c r="D978" s="283"/>
      <c r="E978" s="283"/>
      <c r="F978" s="283"/>
      <c r="G978" s="283"/>
      <c r="H978" s="283"/>
      <c r="I978" s="283"/>
      <c r="J978" s="283"/>
      <c r="K978" s="283"/>
      <c r="L978" s="283"/>
      <c r="M978" s="283"/>
      <c r="N978" s="283"/>
      <c r="O978" s="375" t="str">
        <f t="array" ref="O978">XLOOKUP(M978,'Recruiting Form Responses'!C:C,'Recruiting Form Responses'!A:A,"",0,1)</f>
        <v/>
      </c>
      <c r="P978" s="378"/>
      <c r="Q978" s="283"/>
      <c r="R978" s="283"/>
      <c r="S978" s="283"/>
      <c r="T978" s="283"/>
      <c r="U978" s="283"/>
      <c r="V978" s="283"/>
      <c r="W978" s="283"/>
      <c r="X978" s="283"/>
      <c r="Y978" s="283"/>
    </row>
    <row r="979">
      <c r="A979" s="283"/>
      <c r="B979" s="283"/>
      <c r="C979" s="283"/>
      <c r="D979" s="283"/>
      <c r="E979" s="283"/>
      <c r="F979" s="283"/>
      <c r="G979" s="283"/>
      <c r="H979" s="283"/>
      <c r="I979" s="283"/>
      <c r="J979" s="283"/>
      <c r="K979" s="283"/>
      <c r="L979" s="283"/>
      <c r="M979" s="283"/>
      <c r="N979" s="283"/>
      <c r="O979" s="375" t="str">
        <f t="array" ref="O979">XLOOKUP(M979,'Recruiting Form Responses'!C:C,'Recruiting Form Responses'!A:A,"",0,1)</f>
        <v/>
      </c>
      <c r="P979" s="378"/>
      <c r="Q979" s="283"/>
      <c r="R979" s="283"/>
      <c r="S979" s="283"/>
      <c r="T979" s="283"/>
      <c r="U979" s="283"/>
      <c r="V979" s="283"/>
      <c r="W979" s="283"/>
      <c r="X979" s="283"/>
      <c r="Y979" s="283"/>
    </row>
    <row r="980">
      <c r="A980" s="283"/>
      <c r="B980" s="283"/>
      <c r="C980" s="283"/>
      <c r="D980" s="283"/>
      <c r="E980" s="283"/>
      <c r="F980" s="283"/>
      <c r="G980" s="283"/>
      <c r="H980" s="283"/>
      <c r="I980" s="283"/>
      <c r="J980" s="283"/>
      <c r="K980" s="283"/>
      <c r="L980" s="283"/>
      <c r="M980" s="283"/>
      <c r="N980" s="283"/>
      <c r="O980" s="375" t="str">
        <f t="array" ref="O980">XLOOKUP(M980,'Recruiting Form Responses'!C:C,'Recruiting Form Responses'!A:A,"",0,1)</f>
        <v/>
      </c>
      <c r="P980" s="378"/>
      <c r="Q980" s="283"/>
      <c r="R980" s="283"/>
      <c r="S980" s="283"/>
      <c r="T980" s="283"/>
      <c r="U980" s="283"/>
      <c r="V980" s="283"/>
      <c r="W980" s="283"/>
      <c r="X980" s="283"/>
      <c r="Y980" s="283"/>
    </row>
    <row r="981">
      <c r="A981" s="283"/>
      <c r="B981" s="283"/>
      <c r="C981" s="283"/>
      <c r="D981" s="283"/>
      <c r="E981" s="283"/>
      <c r="F981" s="283"/>
      <c r="G981" s="283"/>
      <c r="H981" s="283"/>
      <c r="I981" s="283"/>
      <c r="J981" s="283"/>
      <c r="K981" s="283"/>
      <c r="L981" s="283"/>
      <c r="M981" s="283"/>
      <c r="N981" s="283"/>
      <c r="O981" s="375" t="str">
        <f t="array" ref="O981">XLOOKUP(M981,'Recruiting Form Responses'!C:C,'Recruiting Form Responses'!A:A,"",0,1)</f>
        <v/>
      </c>
      <c r="P981" s="378"/>
      <c r="Q981" s="283"/>
      <c r="R981" s="283"/>
      <c r="S981" s="283"/>
      <c r="T981" s="283"/>
      <c r="U981" s="283"/>
      <c r="V981" s="283"/>
      <c r="W981" s="283"/>
      <c r="X981" s="283"/>
      <c r="Y981" s="283"/>
    </row>
    <row r="982">
      <c r="A982" s="283"/>
      <c r="B982" s="283"/>
      <c r="C982" s="283"/>
      <c r="D982" s="283"/>
      <c r="E982" s="283"/>
      <c r="F982" s="283"/>
      <c r="G982" s="283"/>
      <c r="H982" s="283"/>
      <c r="I982" s="283"/>
      <c r="J982" s="283"/>
      <c r="K982" s="283"/>
      <c r="L982" s="283"/>
      <c r="M982" s="283"/>
      <c r="N982" s="283"/>
      <c r="O982" s="375" t="str">
        <f t="array" ref="O982">XLOOKUP(M982,'Recruiting Form Responses'!C:C,'Recruiting Form Responses'!A:A,"",0,1)</f>
        <v/>
      </c>
      <c r="P982" s="378"/>
      <c r="Q982" s="283"/>
      <c r="R982" s="283"/>
      <c r="S982" s="283"/>
      <c r="T982" s="283"/>
      <c r="U982" s="283"/>
      <c r="V982" s="283"/>
      <c r="W982" s="283"/>
      <c r="X982" s="283"/>
      <c r="Y982" s="283"/>
    </row>
    <row r="983">
      <c r="A983" s="283"/>
      <c r="B983" s="283"/>
      <c r="C983" s="283"/>
      <c r="D983" s="283"/>
      <c r="E983" s="283"/>
      <c r="F983" s="283"/>
      <c r="G983" s="283"/>
      <c r="H983" s="283"/>
      <c r="I983" s="283"/>
      <c r="J983" s="283"/>
      <c r="K983" s="283"/>
      <c r="L983" s="283"/>
      <c r="M983" s="283"/>
      <c r="N983" s="283"/>
      <c r="O983" s="375" t="str">
        <f t="array" ref="O983">XLOOKUP(M983,'Recruiting Form Responses'!C:C,'Recruiting Form Responses'!A:A,"",0,1)</f>
        <v/>
      </c>
      <c r="P983" s="378"/>
      <c r="Q983" s="283"/>
      <c r="R983" s="283"/>
      <c r="S983" s="283"/>
      <c r="T983" s="283"/>
      <c r="U983" s="283"/>
      <c r="V983" s="283"/>
      <c r="W983" s="283"/>
      <c r="X983" s="283"/>
      <c r="Y983" s="283"/>
    </row>
    <row r="984">
      <c r="A984" s="283"/>
      <c r="B984" s="283"/>
      <c r="C984" s="283"/>
      <c r="D984" s="283"/>
      <c r="E984" s="283"/>
      <c r="F984" s="283"/>
      <c r="G984" s="283"/>
      <c r="H984" s="283"/>
      <c r="I984" s="283"/>
      <c r="J984" s="283"/>
      <c r="K984" s="283"/>
      <c r="L984" s="283"/>
      <c r="M984" s="283"/>
      <c r="N984" s="283"/>
      <c r="O984" s="375" t="str">
        <f t="array" ref="O984">XLOOKUP(M984,'Recruiting Form Responses'!C:C,'Recruiting Form Responses'!A:A,"",0,1)</f>
        <v/>
      </c>
      <c r="P984" s="378"/>
      <c r="Q984" s="283"/>
      <c r="R984" s="283"/>
      <c r="S984" s="283"/>
      <c r="T984" s="283"/>
      <c r="U984" s="283"/>
      <c r="V984" s="283"/>
      <c r="W984" s="283"/>
      <c r="X984" s="283"/>
      <c r="Y984" s="283"/>
    </row>
    <row r="985">
      <c r="A985" s="283"/>
      <c r="B985" s="283"/>
      <c r="C985" s="283"/>
      <c r="D985" s="283"/>
      <c r="E985" s="283"/>
      <c r="F985" s="283"/>
      <c r="G985" s="283"/>
      <c r="H985" s="283"/>
      <c r="I985" s="283"/>
      <c r="J985" s="283"/>
      <c r="K985" s="283"/>
      <c r="L985" s="283"/>
      <c r="M985" s="283"/>
      <c r="N985" s="283"/>
      <c r="O985" s="375" t="str">
        <f t="array" ref="O985">XLOOKUP(M985,'Recruiting Form Responses'!C:C,'Recruiting Form Responses'!A:A,"",0,1)</f>
        <v/>
      </c>
      <c r="P985" s="378"/>
      <c r="Q985" s="283"/>
      <c r="R985" s="283"/>
      <c r="S985" s="283"/>
      <c r="T985" s="283"/>
      <c r="U985" s="283"/>
      <c r="V985" s="283"/>
      <c r="W985" s="283"/>
      <c r="X985" s="283"/>
      <c r="Y985" s="283"/>
    </row>
    <row r="986">
      <c r="A986" s="283"/>
      <c r="B986" s="283"/>
      <c r="C986" s="283"/>
      <c r="D986" s="283"/>
      <c r="E986" s="283"/>
      <c r="F986" s="283"/>
      <c r="G986" s="283"/>
      <c r="H986" s="283"/>
      <c r="I986" s="283"/>
      <c r="J986" s="283"/>
      <c r="K986" s="283"/>
      <c r="L986" s="283"/>
      <c r="M986" s="283"/>
      <c r="N986" s="283"/>
      <c r="O986" s="375" t="str">
        <f t="array" ref="O986">XLOOKUP(M986,'Recruiting Form Responses'!C:C,'Recruiting Form Responses'!A:A,"",0,1)</f>
        <v/>
      </c>
      <c r="P986" s="378"/>
      <c r="Q986" s="283"/>
      <c r="R986" s="283"/>
      <c r="S986" s="283"/>
      <c r="T986" s="283"/>
      <c r="U986" s="283"/>
      <c r="V986" s="283"/>
      <c r="W986" s="283"/>
      <c r="X986" s="283"/>
      <c r="Y986" s="283"/>
    </row>
    <row r="987">
      <c r="A987" s="283"/>
      <c r="B987" s="283"/>
      <c r="C987" s="283"/>
      <c r="D987" s="283"/>
      <c r="E987" s="283"/>
      <c r="F987" s="283"/>
      <c r="G987" s="283"/>
      <c r="H987" s="283"/>
      <c r="I987" s="283"/>
      <c r="J987" s="283"/>
      <c r="K987" s="283"/>
      <c r="L987" s="283"/>
      <c r="M987" s="283"/>
      <c r="N987" s="283"/>
      <c r="O987" s="375" t="str">
        <f t="array" ref="O987">XLOOKUP(M987,'Recruiting Form Responses'!C:C,'Recruiting Form Responses'!A:A,"",0,1)</f>
        <v/>
      </c>
      <c r="P987" s="378"/>
      <c r="Q987" s="283"/>
      <c r="R987" s="283"/>
      <c r="S987" s="283"/>
      <c r="T987" s="283"/>
      <c r="U987" s="283"/>
      <c r="V987" s="283"/>
      <c r="W987" s="283"/>
      <c r="X987" s="283"/>
      <c r="Y987" s="283"/>
    </row>
    <row r="988">
      <c r="A988" s="283"/>
      <c r="B988" s="283"/>
      <c r="C988" s="283"/>
      <c r="D988" s="283"/>
      <c r="E988" s="283"/>
      <c r="F988" s="283"/>
      <c r="G988" s="283"/>
      <c r="H988" s="283"/>
      <c r="I988" s="283"/>
      <c r="J988" s="283"/>
      <c r="K988" s="283"/>
      <c r="L988" s="283"/>
      <c r="M988" s="283"/>
      <c r="N988" s="283"/>
      <c r="O988" s="375" t="str">
        <f t="array" ref="O988">XLOOKUP(M988,'Recruiting Form Responses'!C:C,'Recruiting Form Responses'!A:A,"",0,1)</f>
        <v/>
      </c>
      <c r="P988" s="378"/>
      <c r="Q988" s="283"/>
      <c r="R988" s="283"/>
      <c r="S988" s="283"/>
      <c r="T988" s="283"/>
      <c r="U988" s="283"/>
      <c r="V988" s="283"/>
      <c r="W988" s="283"/>
      <c r="X988" s="283"/>
      <c r="Y988" s="283"/>
    </row>
    <row r="989">
      <c r="A989" s="283"/>
      <c r="B989" s="283"/>
      <c r="C989" s="283"/>
      <c r="D989" s="283"/>
      <c r="E989" s="283"/>
      <c r="F989" s="283"/>
      <c r="G989" s="283"/>
      <c r="H989" s="283"/>
      <c r="I989" s="283"/>
      <c r="J989" s="283"/>
      <c r="K989" s="283"/>
      <c r="L989" s="283"/>
      <c r="M989" s="283"/>
      <c r="N989" s="283"/>
      <c r="O989" s="375" t="str">
        <f t="array" ref="O989">XLOOKUP(M989,'Recruiting Form Responses'!C:C,'Recruiting Form Responses'!A:A,"",0,1)</f>
        <v/>
      </c>
      <c r="P989" s="391"/>
      <c r="Q989" s="283"/>
      <c r="R989" s="283"/>
      <c r="S989" s="283"/>
      <c r="T989" s="283"/>
      <c r="U989" s="283"/>
      <c r="V989" s="283"/>
      <c r="W989" s="283"/>
      <c r="X989" s="283"/>
      <c r="Y989" s="283"/>
    </row>
  </sheetData>
  <autoFilter ref="$A$1:$U$989">
    <sortState ref="A1:U989">
      <sortCondition ref="C1:C989"/>
      <sortCondition ref="G1:G989"/>
      <sortCondition ref="Q1:Q989"/>
      <sortCondition ref="S1:S989"/>
      <sortCondition ref="E1:E989"/>
    </sortState>
  </autoFilter>
  <conditionalFormatting sqref="B1:T989 U146">
    <cfRule type="expression" dxfId="10" priority="1">
      <formula>$Q1="N"</formula>
    </cfRule>
  </conditionalFormatting>
  <conditionalFormatting sqref="P2:P989 Q146">
    <cfRule type="notContainsBlanks" dxfId="11" priority="2">
      <formula>LEN(TRIM(P2))&gt;0</formula>
    </cfRule>
  </conditionalFormatting>
  <conditionalFormatting sqref="B1:T989 U146">
    <cfRule type="expression" dxfId="12" priority="3">
      <formula>$Q1="Y"</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5.0"/>
  </cols>
  <sheetData>
    <row r="1">
      <c r="A1" s="392" t="s">
        <v>7603</v>
      </c>
      <c r="B1" s="392" t="s">
        <v>7604</v>
      </c>
      <c r="C1" s="392" t="s">
        <v>7605</v>
      </c>
      <c r="D1" s="392" t="s">
        <v>7606</v>
      </c>
      <c r="E1" s="392" t="s">
        <v>7607</v>
      </c>
      <c r="F1" s="392" t="s">
        <v>7608</v>
      </c>
      <c r="G1" s="393">
        <v>45948.0</v>
      </c>
      <c r="H1" s="392" t="s">
        <v>7609</v>
      </c>
      <c r="I1" s="392" t="s">
        <v>7610</v>
      </c>
      <c r="J1" s="392" t="s">
        <v>7611</v>
      </c>
      <c r="K1" s="392" t="s">
        <v>7612</v>
      </c>
      <c r="L1" s="392" t="s">
        <v>7613</v>
      </c>
      <c r="M1" s="392" t="s">
        <v>7614</v>
      </c>
      <c r="N1" s="394">
        <v>45673.0</v>
      </c>
      <c r="O1" s="391"/>
      <c r="P1" s="391"/>
      <c r="Q1" s="391"/>
      <c r="R1" s="391"/>
      <c r="S1" s="391"/>
      <c r="T1" s="391"/>
      <c r="U1" s="391"/>
      <c r="V1" s="391"/>
      <c r="W1" s="391"/>
      <c r="X1" s="391"/>
      <c r="Y1" s="391"/>
      <c r="Z1" s="391"/>
      <c r="AA1" s="391"/>
      <c r="AB1" s="391"/>
      <c r="AC1" s="391"/>
      <c r="AD1" s="391"/>
      <c r="AE1" s="391"/>
    </row>
    <row r="2">
      <c r="A2" s="395" t="s">
        <v>7615</v>
      </c>
      <c r="B2" s="395"/>
      <c r="C2" s="395" t="s">
        <v>7603</v>
      </c>
      <c r="D2" s="396" t="s">
        <v>7616</v>
      </c>
      <c r="E2" s="397" t="s">
        <v>7617</v>
      </c>
      <c r="F2" s="398"/>
      <c r="G2" s="395" t="s">
        <v>7618</v>
      </c>
      <c r="H2" s="397" t="s">
        <v>7619</v>
      </c>
      <c r="I2" s="397" t="s">
        <v>7620</v>
      </c>
      <c r="J2" s="399" t="s">
        <v>7621</v>
      </c>
      <c r="K2" s="397" t="s">
        <v>7622</v>
      </c>
      <c r="L2" s="395" t="s">
        <v>7623</v>
      </c>
      <c r="M2" s="397" t="s">
        <v>7624</v>
      </c>
      <c r="N2" s="397" t="s">
        <v>7625</v>
      </c>
      <c r="O2" s="391"/>
      <c r="P2" s="391"/>
      <c r="Q2" s="391"/>
      <c r="R2" s="391"/>
      <c r="S2" s="391"/>
      <c r="T2" s="391"/>
      <c r="U2" s="391"/>
      <c r="V2" s="391"/>
      <c r="W2" s="391"/>
      <c r="X2" s="391"/>
      <c r="Y2" s="391"/>
      <c r="Z2" s="391"/>
      <c r="AA2" s="391"/>
      <c r="AB2" s="391"/>
      <c r="AC2" s="391"/>
      <c r="AD2" s="391"/>
      <c r="AE2" s="391"/>
    </row>
    <row r="3">
      <c r="A3" s="395" t="s">
        <v>7626</v>
      </c>
      <c r="B3" s="398"/>
      <c r="C3" s="398"/>
      <c r="D3" s="396" t="s">
        <v>7627</v>
      </c>
      <c r="E3" s="397" t="s">
        <v>7628</v>
      </c>
      <c r="F3" s="398"/>
      <c r="G3" s="397" t="s">
        <v>7629</v>
      </c>
      <c r="H3" s="400" t="s">
        <v>7630</v>
      </c>
      <c r="I3" s="398"/>
      <c r="J3" s="401"/>
      <c r="K3" s="397" t="s">
        <v>7631</v>
      </c>
      <c r="L3" s="395" t="s">
        <v>7632</v>
      </c>
      <c r="N3" s="395" t="s">
        <v>7633</v>
      </c>
      <c r="O3" s="391"/>
      <c r="P3" s="391"/>
      <c r="Q3" s="391"/>
      <c r="R3" s="391"/>
      <c r="S3" s="391"/>
      <c r="T3" s="391"/>
      <c r="U3" s="391"/>
      <c r="V3" s="391"/>
      <c r="W3" s="391"/>
      <c r="X3" s="391"/>
      <c r="Y3" s="391"/>
      <c r="Z3" s="391"/>
      <c r="AA3" s="391"/>
      <c r="AB3" s="391"/>
      <c r="AC3" s="391"/>
      <c r="AD3" s="391"/>
      <c r="AE3" s="391"/>
    </row>
    <row r="4">
      <c r="A4" s="398"/>
      <c r="B4" s="398"/>
      <c r="C4" s="398"/>
      <c r="D4" s="397" t="s">
        <v>7634</v>
      </c>
      <c r="E4" s="397" t="s">
        <v>7635</v>
      </c>
      <c r="F4" s="398"/>
      <c r="G4" s="398"/>
      <c r="H4" s="397" t="s">
        <v>7636</v>
      </c>
      <c r="I4" s="398"/>
      <c r="J4" s="401"/>
      <c r="K4" s="398"/>
      <c r="L4" s="398"/>
      <c r="N4" s="397" t="s">
        <v>7637</v>
      </c>
      <c r="O4" s="391"/>
      <c r="P4" s="391"/>
      <c r="Q4" s="391"/>
      <c r="R4" s="391"/>
      <c r="S4" s="391"/>
      <c r="T4" s="391"/>
      <c r="U4" s="391"/>
      <c r="V4" s="391"/>
      <c r="W4" s="391"/>
      <c r="X4" s="391"/>
      <c r="Y4" s="391"/>
      <c r="Z4" s="391"/>
      <c r="AA4" s="391"/>
      <c r="AB4" s="391"/>
      <c r="AC4" s="391"/>
      <c r="AD4" s="391"/>
      <c r="AE4" s="391"/>
    </row>
    <row r="5">
      <c r="A5" s="398"/>
      <c r="B5" s="398"/>
      <c r="C5" s="398"/>
      <c r="D5" s="397" t="s">
        <v>7638</v>
      </c>
      <c r="E5" s="397" t="s">
        <v>7639</v>
      </c>
      <c r="F5" s="398"/>
      <c r="G5" s="398"/>
      <c r="H5" s="397" t="s">
        <v>7640</v>
      </c>
      <c r="I5" s="398"/>
      <c r="J5" s="401"/>
      <c r="K5" s="398"/>
      <c r="L5" s="398"/>
      <c r="M5" s="398"/>
      <c r="N5" s="398"/>
      <c r="O5" s="391"/>
      <c r="P5" s="391"/>
      <c r="Q5" s="391"/>
      <c r="R5" s="391"/>
      <c r="S5" s="391"/>
      <c r="T5" s="391"/>
      <c r="U5" s="391"/>
      <c r="V5" s="391"/>
      <c r="W5" s="391"/>
      <c r="X5" s="391"/>
      <c r="Y5" s="391"/>
      <c r="Z5" s="391"/>
      <c r="AA5" s="391"/>
      <c r="AB5" s="391"/>
      <c r="AC5" s="391"/>
      <c r="AD5" s="391"/>
      <c r="AE5" s="391"/>
    </row>
    <row r="6">
      <c r="A6" s="398"/>
      <c r="B6" s="398"/>
      <c r="C6" s="398"/>
      <c r="D6" s="397" t="s">
        <v>7641</v>
      </c>
      <c r="E6" s="395" t="s">
        <v>7642</v>
      </c>
      <c r="F6" s="398"/>
      <c r="G6" s="398"/>
      <c r="H6" s="395" t="s">
        <v>7643</v>
      </c>
      <c r="I6" s="398"/>
      <c r="J6" s="401"/>
      <c r="K6" s="398"/>
      <c r="L6" s="398"/>
      <c r="M6" s="398"/>
      <c r="N6" s="398"/>
      <c r="O6" s="391"/>
      <c r="P6" s="391"/>
      <c r="Q6" s="391"/>
      <c r="R6" s="391"/>
      <c r="S6" s="391"/>
      <c r="T6" s="391"/>
      <c r="U6" s="391"/>
      <c r="V6" s="391"/>
      <c r="W6" s="391"/>
      <c r="X6" s="391"/>
      <c r="Y6" s="391"/>
      <c r="Z6" s="391"/>
      <c r="AA6" s="391"/>
      <c r="AB6" s="391"/>
      <c r="AC6" s="391"/>
      <c r="AD6" s="391"/>
      <c r="AE6" s="391"/>
    </row>
    <row r="7">
      <c r="A7" s="398"/>
      <c r="B7" s="398"/>
      <c r="C7" s="398"/>
      <c r="D7" s="398"/>
      <c r="E7" s="398"/>
      <c r="F7" s="398"/>
      <c r="G7" s="398"/>
      <c r="H7" s="402" t="s">
        <v>7644</v>
      </c>
      <c r="I7" s="398"/>
      <c r="J7" s="401"/>
      <c r="K7" s="395" t="s">
        <v>7645</v>
      </c>
      <c r="L7" s="398"/>
      <c r="M7" s="398"/>
      <c r="N7" s="398"/>
      <c r="O7" s="391"/>
      <c r="P7" s="391"/>
      <c r="Q7" s="391"/>
      <c r="R7" s="391"/>
      <c r="S7" s="391"/>
      <c r="T7" s="391"/>
      <c r="U7" s="391"/>
      <c r="V7" s="391"/>
      <c r="W7" s="391"/>
      <c r="X7" s="391"/>
      <c r="Y7" s="391"/>
      <c r="Z7" s="391"/>
      <c r="AA7" s="391"/>
      <c r="AB7" s="391"/>
      <c r="AC7" s="391"/>
      <c r="AD7" s="391"/>
      <c r="AE7" s="391"/>
    </row>
    <row r="8">
      <c r="A8" s="398"/>
      <c r="B8" s="398"/>
      <c r="C8" s="398"/>
      <c r="D8" s="398"/>
      <c r="E8" s="398"/>
      <c r="F8" s="398"/>
      <c r="G8" s="398"/>
      <c r="H8" s="398"/>
      <c r="I8" s="398"/>
      <c r="J8" s="401"/>
      <c r="K8" s="398"/>
      <c r="L8" s="398"/>
      <c r="M8" s="398"/>
      <c r="N8" s="398"/>
      <c r="O8" s="391"/>
      <c r="P8" s="391"/>
      <c r="Q8" s="391"/>
      <c r="R8" s="391"/>
      <c r="S8" s="391"/>
      <c r="T8" s="391"/>
      <c r="U8" s="391"/>
      <c r="V8" s="391"/>
      <c r="W8" s="391"/>
      <c r="X8" s="391"/>
      <c r="Y8" s="391"/>
      <c r="Z8" s="391"/>
      <c r="AA8" s="391"/>
      <c r="AB8" s="391"/>
      <c r="AC8" s="391"/>
      <c r="AD8" s="391"/>
      <c r="AE8" s="391"/>
    </row>
    <row r="9">
      <c r="A9" s="398"/>
      <c r="B9" s="398"/>
      <c r="C9" s="398"/>
      <c r="D9" s="398"/>
      <c r="E9" s="398"/>
      <c r="F9" s="398"/>
      <c r="G9" s="398"/>
      <c r="H9" s="398"/>
      <c r="I9" s="398"/>
      <c r="J9" s="401"/>
      <c r="K9" s="398"/>
      <c r="L9" s="398"/>
      <c r="M9" s="398"/>
      <c r="N9" s="398"/>
      <c r="O9" s="391"/>
      <c r="P9" s="391"/>
      <c r="Q9" s="391"/>
      <c r="R9" s="391"/>
      <c r="S9" s="391"/>
      <c r="T9" s="391"/>
      <c r="U9" s="391"/>
      <c r="V9" s="391"/>
      <c r="W9" s="391"/>
      <c r="X9" s="391"/>
      <c r="Y9" s="391"/>
      <c r="Z9" s="391"/>
      <c r="AA9" s="391"/>
      <c r="AB9" s="391"/>
      <c r="AC9" s="391"/>
      <c r="AD9" s="391"/>
      <c r="AE9" s="391"/>
    </row>
    <row r="10">
      <c r="A10" s="398"/>
      <c r="B10" s="398"/>
      <c r="C10" s="398"/>
      <c r="D10" s="398"/>
      <c r="E10" s="398"/>
      <c r="F10" s="398"/>
      <c r="G10" s="398"/>
      <c r="H10" s="398"/>
      <c r="I10" s="398"/>
      <c r="J10" s="401"/>
      <c r="K10" s="398"/>
      <c r="L10" s="398"/>
      <c r="M10" s="398"/>
      <c r="N10" s="398"/>
      <c r="O10" s="391"/>
      <c r="P10" s="391"/>
      <c r="Q10" s="391"/>
      <c r="R10" s="391"/>
      <c r="S10" s="391"/>
      <c r="T10" s="391"/>
      <c r="U10" s="391"/>
      <c r="V10" s="391"/>
      <c r="W10" s="391"/>
      <c r="X10" s="391"/>
      <c r="Y10" s="391"/>
      <c r="Z10" s="391"/>
      <c r="AA10" s="391"/>
      <c r="AB10" s="391"/>
      <c r="AC10" s="391"/>
      <c r="AD10" s="391"/>
      <c r="AE10" s="391"/>
    </row>
    <row r="11">
      <c r="A11" s="398"/>
      <c r="B11" s="398"/>
      <c r="C11" s="398"/>
      <c r="D11" s="398"/>
      <c r="E11" s="398"/>
      <c r="F11" s="398"/>
      <c r="G11" s="398"/>
      <c r="H11" s="398"/>
      <c r="I11" s="398"/>
      <c r="J11" s="401"/>
      <c r="K11" s="398"/>
      <c r="L11" s="398"/>
      <c r="M11" s="398"/>
      <c r="N11" s="398"/>
      <c r="O11" s="391"/>
      <c r="P11" s="391"/>
      <c r="Q11" s="391"/>
      <c r="R11" s="391"/>
      <c r="S11" s="391"/>
      <c r="T11" s="391"/>
      <c r="U11" s="391"/>
      <c r="V11" s="391"/>
      <c r="W11" s="391"/>
      <c r="X11" s="391"/>
      <c r="Y11" s="391"/>
      <c r="Z11" s="391"/>
      <c r="AA11" s="391"/>
      <c r="AB11" s="391"/>
      <c r="AC11" s="391"/>
      <c r="AD11" s="391"/>
      <c r="AE11" s="391"/>
    </row>
    <row r="12">
      <c r="A12" s="398"/>
      <c r="B12" s="398"/>
      <c r="C12" s="398"/>
      <c r="D12" s="398"/>
      <c r="E12" s="398"/>
      <c r="F12" s="398"/>
      <c r="G12" s="398"/>
      <c r="H12" s="398"/>
      <c r="I12" s="398"/>
      <c r="J12" s="401"/>
      <c r="K12" s="398"/>
      <c r="L12" s="398"/>
      <c r="M12" s="398"/>
      <c r="N12" s="398"/>
      <c r="O12" s="391"/>
      <c r="P12" s="391"/>
      <c r="Q12" s="391"/>
      <c r="R12" s="391"/>
      <c r="S12" s="391"/>
      <c r="T12" s="391"/>
      <c r="U12" s="391"/>
      <c r="V12" s="391"/>
      <c r="W12" s="391"/>
      <c r="X12" s="391"/>
      <c r="Y12" s="391"/>
      <c r="Z12" s="391"/>
      <c r="AA12" s="391"/>
      <c r="AB12" s="391"/>
      <c r="AC12" s="391"/>
      <c r="AD12" s="391"/>
      <c r="AE12" s="391"/>
    </row>
    <row r="13">
      <c r="A13" s="398"/>
      <c r="B13" s="398"/>
      <c r="C13" s="398"/>
      <c r="D13" s="398"/>
      <c r="E13" s="398"/>
      <c r="F13" s="398"/>
      <c r="G13" s="398"/>
      <c r="H13" s="398"/>
      <c r="I13" s="398"/>
      <c r="J13" s="401"/>
      <c r="K13" s="398"/>
      <c r="L13" s="398"/>
      <c r="M13" s="398"/>
      <c r="N13" s="398"/>
      <c r="O13" s="391"/>
      <c r="P13" s="391"/>
      <c r="Q13" s="391"/>
      <c r="R13" s="391"/>
      <c r="S13" s="391"/>
      <c r="T13" s="391"/>
      <c r="U13" s="391"/>
      <c r="V13" s="391"/>
      <c r="W13" s="391"/>
      <c r="X13" s="391"/>
      <c r="Y13" s="391"/>
      <c r="Z13" s="391"/>
      <c r="AA13" s="391"/>
      <c r="AB13" s="391"/>
      <c r="AC13" s="391"/>
      <c r="AD13" s="391"/>
      <c r="AE13" s="391"/>
    </row>
    <row r="14">
      <c r="A14" s="398"/>
      <c r="B14" s="398"/>
      <c r="C14" s="398"/>
      <c r="D14" s="398"/>
      <c r="E14" s="398"/>
      <c r="F14" s="398"/>
      <c r="G14" s="398"/>
      <c r="H14" s="398"/>
      <c r="I14" s="398"/>
      <c r="J14" s="403"/>
      <c r="K14" s="398"/>
      <c r="L14" s="398"/>
      <c r="M14" s="398"/>
      <c r="N14" s="398"/>
      <c r="O14" s="391"/>
      <c r="P14" s="391"/>
      <c r="Q14" s="391"/>
      <c r="R14" s="391"/>
      <c r="S14" s="391"/>
      <c r="T14" s="391"/>
      <c r="U14" s="391"/>
      <c r="V14" s="391"/>
      <c r="W14" s="391"/>
      <c r="X14" s="391"/>
      <c r="Y14" s="391"/>
      <c r="Z14" s="391"/>
      <c r="AA14" s="391"/>
      <c r="AB14" s="391"/>
      <c r="AC14" s="391"/>
      <c r="AD14" s="391"/>
      <c r="AE14" s="391"/>
    </row>
    <row r="15">
      <c r="A15" s="391"/>
      <c r="B15" s="391"/>
      <c r="C15" s="391"/>
      <c r="D15" s="391"/>
      <c r="E15" s="391"/>
      <c r="F15" s="391"/>
      <c r="G15" s="391"/>
      <c r="H15" s="391"/>
      <c r="I15" s="391"/>
      <c r="J15" s="391"/>
      <c r="K15" s="391"/>
      <c r="L15" s="391"/>
      <c r="M15" s="391"/>
      <c r="N15" s="391"/>
      <c r="O15" s="391"/>
      <c r="P15" s="391"/>
      <c r="Q15" s="391"/>
      <c r="R15" s="391"/>
      <c r="S15" s="391"/>
      <c r="T15" s="391"/>
      <c r="U15" s="391"/>
      <c r="V15" s="391"/>
      <c r="W15" s="391"/>
      <c r="X15" s="391"/>
      <c r="Y15" s="391"/>
      <c r="Z15" s="391"/>
      <c r="AA15" s="391"/>
      <c r="AB15" s="391"/>
      <c r="AC15" s="391"/>
      <c r="AD15" s="391"/>
      <c r="AE15" s="391"/>
    </row>
    <row r="16">
      <c r="A16" s="391"/>
      <c r="B16" s="391"/>
      <c r="C16" s="391"/>
      <c r="D16" s="391"/>
      <c r="E16" s="391"/>
      <c r="F16" s="391"/>
      <c r="G16" s="391"/>
      <c r="H16" s="391"/>
      <c r="I16" s="391"/>
      <c r="J16" s="391"/>
      <c r="K16" s="391"/>
      <c r="L16" s="391"/>
      <c r="M16" s="391"/>
      <c r="N16" s="391"/>
      <c r="O16" s="391"/>
      <c r="P16" s="391"/>
      <c r="Q16" s="391"/>
      <c r="R16" s="391"/>
      <c r="S16" s="391"/>
      <c r="T16" s="391"/>
      <c r="U16" s="391"/>
      <c r="V16" s="391"/>
      <c r="W16" s="391"/>
      <c r="X16" s="391"/>
      <c r="Y16" s="391"/>
      <c r="Z16" s="391"/>
      <c r="AA16" s="391"/>
      <c r="AB16" s="391"/>
      <c r="AC16" s="391"/>
      <c r="AD16" s="391"/>
      <c r="AE16" s="391"/>
    </row>
    <row r="17">
      <c r="A17" s="388" t="s">
        <v>7646</v>
      </c>
      <c r="B17" s="391"/>
      <c r="C17" s="391"/>
      <c r="D17" s="391"/>
      <c r="E17" s="391"/>
      <c r="F17" s="391"/>
      <c r="G17" s="391"/>
      <c r="H17" s="391"/>
      <c r="I17" s="391"/>
      <c r="J17" s="391"/>
      <c r="K17" s="391"/>
      <c r="L17" s="391"/>
      <c r="M17" s="391"/>
      <c r="N17" s="391"/>
      <c r="O17" s="391"/>
      <c r="P17" s="391"/>
      <c r="Q17" s="391"/>
      <c r="R17" s="391"/>
      <c r="S17" s="391"/>
      <c r="T17" s="391"/>
      <c r="U17" s="391"/>
      <c r="V17" s="391"/>
      <c r="W17" s="391"/>
      <c r="X17" s="391"/>
      <c r="Y17" s="391"/>
      <c r="Z17" s="391"/>
      <c r="AA17" s="391"/>
      <c r="AB17" s="391"/>
      <c r="AC17" s="391"/>
      <c r="AD17" s="391"/>
      <c r="AE17" s="391"/>
    </row>
    <row r="18">
      <c r="A18" s="404" t="s">
        <v>7647</v>
      </c>
      <c r="B18" s="391"/>
      <c r="C18" s="391"/>
      <c r="D18" s="391"/>
      <c r="E18" s="391"/>
      <c r="F18" s="391"/>
      <c r="G18" s="391"/>
      <c r="H18" s="391"/>
      <c r="I18" s="391"/>
      <c r="J18" s="391"/>
      <c r="K18" s="391"/>
      <c r="L18" s="391"/>
      <c r="M18" s="391"/>
      <c r="N18" s="391"/>
      <c r="O18" s="391"/>
      <c r="P18" s="391"/>
      <c r="Q18" s="391"/>
      <c r="R18" s="391"/>
      <c r="S18" s="391"/>
      <c r="T18" s="391"/>
      <c r="U18" s="391"/>
      <c r="V18" s="391"/>
      <c r="W18" s="391"/>
      <c r="X18" s="391"/>
      <c r="Y18" s="391"/>
      <c r="Z18" s="391"/>
      <c r="AA18" s="391"/>
      <c r="AB18" s="391"/>
      <c r="AC18" s="391"/>
      <c r="AD18" s="391"/>
      <c r="AE18" s="391"/>
    </row>
    <row r="19">
      <c r="A19" s="405" t="s">
        <v>7648</v>
      </c>
      <c r="B19" s="391"/>
      <c r="C19" s="391"/>
      <c r="D19" s="391"/>
      <c r="E19" s="391"/>
      <c r="F19" s="391"/>
      <c r="G19" s="391"/>
      <c r="H19" s="391"/>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row>
    <row r="20">
      <c r="A20" s="402" t="s">
        <v>7649</v>
      </c>
      <c r="B20" s="391"/>
      <c r="C20" s="391"/>
      <c r="D20" s="391"/>
      <c r="E20" s="391"/>
      <c r="F20" s="391"/>
      <c r="G20" s="391"/>
      <c r="H20" s="391"/>
      <c r="I20" s="391"/>
      <c r="J20" s="391"/>
      <c r="K20" s="391"/>
      <c r="L20" s="391"/>
      <c r="M20" s="391"/>
      <c r="N20" s="391"/>
      <c r="O20" s="391"/>
      <c r="P20" s="391"/>
      <c r="Q20" s="391"/>
      <c r="R20" s="391"/>
      <c r="S20" s="391"/>
      <c r="T20" s="391"/>
      <c r="U20" s="391"/>
      <c r="V20" s="391"/>
      <c r="W20" s="391"/>
      <c r="X20" s="391"/>
      <c r="Y20" s="391"/>
      <c r="Z20" s="391"/>
      <c r="AA20" s="391"/>
      <c r="AB20" s="391"/>
      <c r="AC20" s="391"/>
      <c r="AD20" s="391"/>
      <c r="AE20" s="391"/>
    </row>
    <row r="21">
      <c r="A21" s="406" t="s">
        <v>7650</v>
      </c>
      <c r="B21" s="391"/>
      <c r="C21" s="391"/>
      <c r="D21" s="391"/>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row>
    <row r="22">
      <c r="A22" s="407" t="s">
        <v>7651</v>
      </c>
      <c r="B22" s="391"/>
      <c r="C22" s="391"/>
      <c r="D22" s="391"/>
      <c r="E22" s="391"/>
      <c r="F22" s="391"/>
      <c r="G22" s="391"/>
      <c r="H22" s="391"/>
      <c r="I22" s="391"/>
      <c r="J22" s="391"/>
      <c r="K22" s="391"/>
      <c r="L22" s="391"/>
      <c r="M22" s="391"/>
      <c r="N22" s="391"/>
      <c r="O22" s="391"/>
      <c r="P22" s="391"/>
      <c r="Q22" s="391"/>
      <c r="R22" s="391"/>
      <c r="S22" s="391"/>
      <c r="T22" s="391"/>
      <c r="U22" s="391"/>
      <c r="V22" s="391"/>
      <c r="W22" s="391"/>
      <c r="X22" s="391"/>
      <c r="Y22" s="391"/>
      <c r="Z22" s="391"/>
      <c r="AA22" s="391"/>
      <c r="AB22" s="391"/>
      <c r="AC22" s="391"/>
      <c r="AD22" s="391"/>
      <c r="AE22" s="391"/>
    </row>
    <row r="23">
      <c r="A23" s="408" t="s">
        <v>7652</v>
      </c>
      <c r="B23" s="391"/>
      <c r="C23" s="391"/>
      <c r="D23" s="391"/>
      <c r="E23" s="391"/>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row>
    <row r="24">
      <c r="A24" s="391"/>
      <c r="B24" s="391"/>
      <c r="C24" s="391"/>
      <c r="D24" s="391"/>
      <c r="E24" s="391"/>
      <c r="F24" s="391"/>
      <c r="G24" s="391"/>
      <c r="H24" s="391"/>
      <c r="I24" s="391"/>
      <c r="J24" s="391"/>
      <c r="K24" s="391"/>
      <c r="L24" s="391"/>
      <c r="M24" s="391"/>
      <c r="N24" s="391"/>
      <c r="O24" s="391"/>
      <c r="P24" s="391"/>
      <c r="Q24" s="391"/>
      <c r="R24" s="391"/>
      <c r="S24" s="391"/>
      <c r="T24" s="391"/>
      <c r="U24" s="391"/>
      <c r="V24" s="391"/>
      <c r="W24" s="391"/>
      <c r="X24" s="391"/>
      <c r="Y24" s="391"/>
      <c r="Z24" s="391"/>
      <c r="AA24" s="391"/>
      <c r="AB24" s="391"/>
      <c r="AC24" s="391"/>
      <c r="AD24" s="391"/>
      <c r="AE24" s="391"/>
    </row>
    <row r="25">
      <c r="A25" s="391"/>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row>
    <row r="26">
      <c r="A26" s="391"/>
      <c r="B26" s="391"/>
      <c r="C26" s="391"/>
      <c r="D26" s="391"/>
      <c r="E26" s="391"/>
      <c r="F26" s="391"/>
      <c r="G26" s="391"/>
      <c r="H26" s="391"/>
      <c r="I26" s="391"/>
      <c r="J26" s="391"/>
      <c r="K26" s="391"/>
      <c r="L26" s="391"/>
      <c r="M26" s="391"/>
      <c r="N26" s="391"/>
      <c r="O26" s="391"/>
      <c r="P26" s="391"/>
      <c r="Q26" s="391"/>
      <c r="R26" s="391"/>
      <c r="S26" s="391"/>
      <c r="T26" s="391"/>
      <c r="U26" s="391"/>
      <c r="V26" s="391"/>
      <c r="W26" s="391"/>
      <c r="X26" s="391"/>
      <c r="Y26" s="391"/>
      <c r="Z26" s="391"/>
      <c r="AA26" s="391"/>
      <c r="AB26" s="391"/>
      <c r="AC26" s="391"/>
      <c r="AD26" s="391"/>
      <c r="AE26" s="391"/>
    </row>
    <row r="27">
      <c r="A27" s="391"/>
      <c r="B27" s="391"/>
      <c r="C27" s="391"/>
      <c r="D27" s="391"/>
      <c r="E27" s="391"/>
      <c r="F27" s="391"/>
      <c r="G27" s="391"/>
      <c r="H27" s="391"/>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row>
    <row r="28">
      <c r="A28" s="391"/>
      <c r="B28" s="391"/>
      <c r="C28" s="391"/>
      <c r="D28" s="391"/>
      <c r="E28" s="391"/>
      <c r="F28" s="391"/>
      <c r="G28" s="391"/>
      <c r="H28" s="391"/>
      <c r="I28" s="391"/>
      <c r="J28" s="391"/>
      <c r="K28" s="391"/>
      <c r="L28" s="391"/>
      <c r="M28" s="391"/>
      <c r="N28" s="391"/>
      <c r="O28" s="391"/>
      <c r="P28" s="391"/>
      <c r="Q28" s="391"/>
      <c r="R28" s="391"/>
      <c r="S28" s="391"/>
      <c r="T28" s="391"/>
      <c r="U28" s="391"/>
      <c r="V28" s="391"/>
      <c r="W28" s="391"/>
      <c r="X28" s="391"/>
      <c r="Y28" s="391"/>
      <c r="Z28" s="391"/>
      <c r="AA28" s="391"/>
      <c r="AB28" s="391"/>
      <c r="AC28" s="391"/>
      <c r="AD28" s="391"/>
      <c r="AE28" s="391"/>
    </row>
    <row r="29">
      <c r="A29" s="391"/>
      <c r="B29" s="391"/>
      <c r="C29" s="391"/>
      <c r="D29" s="391"/>
      <c r="E29" s="391"/>
      <c r="F29" s="391"/>
      <c r="G29" s="391"/>
      <c r="H29" s="391"/>
      <c r="I29" s="391"/>
      <c r="J29" s="391"/>
      <c r="K29" s="391"/>
      <c r="L29" s="391"/>
      <c r="M29" s="391"/>
      <c r="N29" s="391"/>
      <c r="O29" s="391"/>
      <c r="P29" s="391"/>
      <c r="Q29" s="391"/>
      <c r="R29" s="391"/>
      <c r="S29" s="391"/>
      <c r="T29" s="391"/>
      <c r="U29" s="391"/>
      <c r="V29" s="391"/>
      <c r="W29" s="391"/>
      <c r="X29" s="391"/>
      <c r="Y29" s="391"/>
      <c r="Z29" s="391"/>
      <c r="AA29" s="391"/>
      <c r="AB29" s="391"/>
      <c r="AC29" s="391"/>
      <c r="AD29" s="391"/>
      <c r="AE29" s="391"/>
    </row>
    <row r="30">
      <c r="A30" s="391"/>
      <c r="B30" s="391"/>
      <c r="C30" s="391"/>
      <c r="D30" s="391"/>
      <c r="E30" s="391"/>
      <c r="F30" s="391"/>
      <c r="G30" s="391"/>
      <c r="H30" s="391"/>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row>
    <row r="31">
      <c r="A31" s="391"/>
      <c r="B31" s="391"/>
      <c r="C31" s="391"/>
      <c r="D31" s="391"/>
      <c r="E31" s="391"/>
      <c r="F31" s="391"/>
      <c r="G31" s="391"/>
      <c r="H31" s="391"/>
      <c r="I31" s="391"/>
      <c r="J31" s="391"/>
      <c r="K31" s="391"/>
      <c r="L31" s="391"/>
      <c r="M31" s="391"/>
      <c r="N31" s="391"/>
      <c r="O31" s="391"/>
      <c r="P31" s="391"/>
      <c r="Q31" s="391"/>
      <c r="R31" s="391"/>
      <c r="S31" s="391"/>
      <c r="T31" s="391"/>
      <c r="U31" s="391"/>
      <c r="V31" s="391"/>
      <c r="W31" s="391"/>
      <c r="X31" s="391"/>
      <c r="Y31" s="391"/>
      <c r="Z31" s="391"/>
      <c r="AA31" s="391"/>
      <c r="AB31" s="391"/>
      <c r="AC31" s="391"/>
      <c r="AD31" s="391"/>
      <c r="AE31" s="391"/>
    </row>
    <row r="32">
      <c r="A32" s="391"/>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row>
    <row r="33">
      <c r="A33" s="391"/>
      <c r="B33" s="391"/>
      <c r="C33" s="391"/>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row>
    <row r="34">
      <c r="A34" s="391"/>
      <c r="B34" s="391"/>
      <c r="C34" s="391"/>
      <c r="D34" s="391"/>
      <c r="E34" s="391"/>
      <c r="F34" s="391"/>
      <c r="G34" s="391"/>
      <c r="H34" s="391"/>
      <c r="I34" s="391"/>
      <c r="J34" s="391"/>
      <c r="K34" s="391"/>
      <c r="L34" s="391"/>
      <c r="M34" s="391"/>
      <c r="N34" s="391"/>
      <c r="O34" s="391"/>
      <c r="P34" s="391"/>
      <c r="Q34" s="391"/>
      <c r="R34" s="391"/>
      <c r="S34" s="391"/>
      <c r="T34" s="391"/>
      <c r="U34" s="391"/>
      <c r="V34" s="391"/>
      <c r="W34" s="391"/>
      <c r="X34" s="391"/>
      <c r="Y34" s="391"/>
      <c r="Z34" s="391"/>
      <c r="AA34" s="391"/>
      <c r="AB34" s="391"/>
      <c r="AC34" s="391"/>
      <c r="AD34" s="391"/>
      <c r="AE34" s="391"/>
    </row>
    <row r="35">
      <c r="A35" s="391"/>
      <c r="B35" s="391"/>
      <c r="C35" s="391"/>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row>
    <row r="36">
      <c r="A36" s="391"/>
      <c r="B36" s="391"/>
      <c r="C36" s="391"/>
      <c r="D36" s="391"/>
      <c r="E36" s="391"/>
      <c r="F36" s="391"/>
      <c r="G36" s="391"/>
      <c r="H36" s="391"/>
      <c r="I36" s="391"/>
      <c r="J36" s="391"/>
      <c r="K36" s="391"/>
      <c r="L36" s="391"/>
      <c r="M36" s="391"/>
      <c r="N36" s="391"/>
      <c r="O36" s="391"/>
      <c r="P36" s="391"/>
      <c r="Q36" s="391"/>
      <c r="R36" s="391"/>
      <c r="S36" s="391"/>
      <c r="T36" s="391"/>
      <c r="U36" s="391"/>
      <c r="V36" s="391"/>
      <c r="W36" s="391"/>
      <c r="X36" s="391"/>
      <c r="Y36" s="391"/>
      <c r="Z36" s="391"/>
      <c r="AA36" s="391"/>
      <c r="AB36" s="391"/>
      <c r="AC36" s="391"/>
      <c r="AD36" s="391"/>
      <c r="AE36" s="391"/>
    </row>
    <row r="37">
      <c r="A37" s="391"/>
      <c r="B37" s="391"/>
      <c r="C37" s="391"/>
      <c r="D37" s="391"/>
      <c r="E37" s="391"/>
      <c r="F37" s="391"/>
      <c r="G37" s="391"/>
      <c r="H37" s="391"/>
      <c r="I37" s="391"/>
      <c r="J37" s="391"/>
      <c r="K37" s="391"/>
      <c r="L37" s="391"/>
      <c r="M37" s="391"/>
      <c r="N37" s="391"/>
      <c r="O37" s="391"/>
      <c r="P37" s="391"/>
      <c r="Q37" s="391"/>
      <c r="R37" s="391"/>
      <c r="S37" s="391"/>
      <c r="T37" s="391"/>
      <c r="U37" s="391"/>
      <c r="V37" s="391"/>
      <c r="W37" s="391"/>
      <c r="X37" s="391"/>
      <c r="Y37" s="391"/>
      <c r="Z37" s="391"/>
      <c r="AA37" s="391"/>
      <c r="AB37" s="391"/>
      <c r="AC37" s="391"/>
      <c r="AD37" s="391"/>
      <c r="AE37" s="391"/>
    </row>
    <row r="38">
      <c r="A38" s="391"/>
      <c r="B38" s="391"/>
      <c r="C38" s="391"/>
      <c r="D38" s="391"/>
      <c r="E38" s="391"/>
      <c r="F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row>
    <row r="39">
      <c r="A39" s="391"/>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row>
    <row r="40">
      <c r="A40" s="391"/>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row>
    <row r="41">
      <c r="A41" s="391"/>
      <c r="B41" s="391"/>
      <c r="C41" s="391"/>
      <c r="D41" s="391"/>
      <c r="E41" s="391"/>
      <c r="F41" s="391"/>
      <c r="G41" s="391"/>
      <c r="H41" s="391"/>
      <c r="I41" s="391"/>
      <c r="J41" s="391"/>
      <c r="K41" s="391"/>
      <c r="L41" s="391"/>
      <c r="M41" s="391"/>
      <c r="N41" s="391"/>
      <c r="O41" s="391"/>
      <c r="P41" s="391"/>
      <c r="Q41" s="391"/>
      <c r="R41" s="391"/>
      <c r="S41" s="391"/>
      <c r="T41" s="391"/>
      <c r="U41" s="391"/>
      <c r="V41" s="391"/>
      <c r="W41" s="391"/>
      <c r="X41" s="391"/>
      <c r="Y41" s="391"/>
      <c r="Z41" s="391"/>
      <c r="AA41" s="391"/>
      <c r="AB41" s="391"/>
      <c r="AC41" s="391"/>
      <c r="AD41" s="391"/>
      <c r="AE41" s="391"/>
    </row>
    <row r="42">
      <c r="A42" s="391"/>
      <c r="B42" s="391"/>
      <c r="C42" s="391"/>
      <c r="D42" s="391"/>
      <c r="E42" s="391"/>
      <c r="F42" s="391"/>
      <c r="G42" s="391"/>
      <c r="H42" s="391"/>
      <c r="I42" s="391"/>
      <c r="J42" s="391"/>
      <c r="K42" s="391"/>
      <c r="L42" s="391"/>
      <c r="M42" s="391"/>
      <c r="N42" s="391"/>
      <c r="O42" s="391"/>
      <c r="P42" s="391"/>
      <c r="Q42" s="391"/>
      <c r="R42" s="391"/>
      <c r="S42" s="391"/>
      <c r="T42" s="391"/>
      <c r="U42" s="391"/>
      <c r="V42" s="391"/>
      <c r="W42" s="391"/>
      <c r="X42" s="391"/>
      <c r="Y42" s="391"/>
      <c r="Z42" s="391"/>
      <c r="AA42" s="391"/>
      <c r="AB42" s="391"/>
      <c r="AC42" s="391"/>
      <c r="AD42" s="391"/>
      <c r="AE42" s="391"/>
    </row>
    <row r="43">
      <c r="A43" s="391"/>
      <c r="B43" s="391"/>
      <c r="C43" s="391"/>
      <c r="D43" s="391"/>
      <c r="E43" s="391"/>
      <c r="F43" s="391"/>
      <c r="G43" s="391"/>
      <c r="H43" s="391"/>
      <c r="I43" s="391"/>
      <c r="J43" s="391"/>
      <c r="K43" s="391"/>
      <c r="L43" s="391"/>
      <c r="M43" s="391"/>
      <c r="N43" s="391"/>
      <c r="O43" s="391"/>
      <c r="P43" s="391"/>
      <c r="Q43" s="391"/>
      <c r="R43" s="391"/>
      <c r="S43" s="391"/>
      <c r="T43" s="391"/>
      <c r="U43" s="391"/>
      <c r="V43" s="391"/>
      <c r="W43" s="391"/>
      <c r="X43" s="391"/>
      <c r="Y43" s="391"/>
      <c r="Z43" s="391"/>
      <c r="AA43" s="391"/>
      <c r="AB43" s="391"/>
      <c r="AC43" s="391"/>
      <c r="AD43" s="391"/>
      <c r="AE43" s="391"/>
    </row>
    <row r="44">
      <c r="A44" s="391"/>
      <c r="B44" s="391"/>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row>
    <row r="45">
      <c r="A45" s="391"/>
      <c r="B45" s="391"/>
      <c r="C45" s="391"/>
      <c r="D45" s="391"/>
      <c r="E45" s="391"/>
      <c r="F45" s="391"/>
      <c r="G45" s="391"/>
      <c r="H45" s="391"/>
      <c r="I45" s="391"/>
      <c r="J45" s="391"/>
      <c r="K45" s="391"/>
      <c r="L45" s="391"/>
      <c r="M45" s="391"/>
      <c r="N45" s="391"/>
      <c r="O45" s="391"/>
      <c r="P45" s="391"/>
      <c r="Q45" s="391"/>
      <c r="R45" s="391"/>
      <c r="S45" s="391"/>
      <c r="T45" s="391"/>
      <c r="U45" s="391"/>
      <c r="V45" s="391"/>
      <c r="W45" s="391"/>
      <c r="X45" s="391"/>
      <c r="Y45" s="391"/>
      <c r="Z45" s="391"/>
      <c r="AA45" s="391"/>
      <c r="AB45" s="391"/>
      <c r="AC45" s="391"/>
      <c r="AD45" s="391"/>
      <c r="AE45" s="391"/>
    </row>
    <row r="46">
      <c r="A46" s="391"/>
      <c r="B46" s="391"/>
      <c r="C46" s="391"/>
      <c r="D46" s="391"/>
      <c r="E46" s="391"/>
      <c r="F46" s="391"/>
      <c r="G46" s="391"/>
      <c r="H46" s="391"/>
      <c r="I46" s="391"/>
      <c r="J46" s="391"/>
      <c r="K46" s="391"/>
      <c r="L46" s="391"/>
      <c r="M46" s="391"/>
      <c r="N46" s="391"/>
      <c r="O46" s="391"/>
      <c r="P46" s="391"/>
      <c r="Q46" s="391"/>
      <c r="R46" s="391"/>
      <c r="S46" s="391"/>
      <c r="T46" s="391"/>
      <c r="U46" s="391"/>
      <c r="V46" s="391"/>
      <c r="W46" s="391"/>
      <c r="X46" s="391"/>
      <c r="Y46" s="391"/>
      <c r="Z46" s="391"/>
      <c r="AA46" s="391"/>
      <c r="AB46" s="391"/>
      <c r="AC46" s="391"/>
      <c r="AD46" s="391"/>
      <c r="AE46" s="391"/>
    </row>
    <row r="47">
      <c r="A47" s="391"/>
      <c r="B47" s="391"/>
      <c r="C47" s="391"/>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row>
    <row r="48">
      <c r="A48" s="391"/>
      <c r="B48" s="391"/>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row>
    <row r="49">
      <c r="A49" s="391"/>
      <c r="B49" s="391"/>
      <c r="C49" s="391"/>
      <c r="D49" s="391"/>
      <c r="E49" s="391"/>
      <c r="F49" s="391"/>
      <c r="G49" s="391"/>
      <c r="H49" s="391"/>
      <c r="I49" s="391"/>
      <c r="J49" s="391"/>
      <c r="K49" s="391"/>
      <c r="L49" s="391"/>
      <c r="M49" s="391"/>
      <c r="N49" s="391"/>
      <c r="O49" s="391"/>
      <c r="P49" s="391"/>
      <c r="Q49" s="391"/>
      <c r="R49" s="391"/>
      <c r="S49" s="391"/>
      <c r="T49" s="391"/>
      <c r="U49" s="391"/>
      <c r="V49" s="391"/>
      <c r="W49" s="391"/>
      <c r="X49" s="391"/>
      <c r="Y49" s="391"/>
      <c r="Z49" s="391"/>
      <c r="AA49" s="391"/>
      <c r="AB49" s="391"/>
      <c r="AC49" s="391"/>
      <c r="AD49" s="391"/>
      <c r="AE49" s="391"/>
    </row>
    <row r="50">
      <c r="A50" s="391"/>
      <c r="B50" s="391"/>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row>
    <row r="51">
      <c r="A51" s="391"/>
      <c r="B51" s="391"/>
      <c r="C51" s="391"/>
      <c r="D51" s="391"/>
      <c r="E51" s="391"/>
      <c r="F51" s="391"/>
      <c r="G51" s="391"/>
      <c r="H51" s="391"/>
      <c r="I51" s="391"/>
      <c r="J51" s="391"/>
      <c r="K51" s="391"/>
      <c r="L51" s="391"/>
      <c r="M51" s="391"/>
      <c r="N51" s="391"/>
      <c r="O51" s="391"/>
      <c r="P51" s="391"/>
      <c r="Q51" s="391"/>
      <c r="R51" s="391"/>
      <c r="S51" s="391"/>
      <c r="T51" s="391"/>
      <c r="U51" s="391"/>
      <c r="V51" s="391"/>
      <c r="W51" s="391"/>
      <c r="X51" s="391"/>
      <c r="Y51" s="391"/>
      <c r="Z51" s="391"/>
      <c r="AA51" s="391"/>
      <c r="AB51" s="391"/>
      <c r="AC51" s="391"/>
      <c r="AD51" s="391"/>
      <c r="AE51" s="391"/>
    </row>
    <row r="52">
      <c r="A52" s="391"/>
      <c r="B52" s="391"/>
      <c r="C52" s="391"/>
      <c r="D52" s="391"/>
      <c r="E52" s="391"/>
      <c r="F52" s="391"/>
      <c r="G52" s="391"/>
      <c r="H52" s="391"/>
      <c r="I52" s="391"/>
      <c r="J52" s="391"/>
      <c r="K52" s="391"/>
      <c r="L52" s="391"/>
      <c r="M52" s="391"/>
      <c r="N52" s="391"/>
      <c r="O52" s="391"/>
      <c r="P52" s="391"/>
      <c r="Q52" s="391"/>
      <c r="R52" s="391"/>
      <c r="S52" s="391"/>
      <c r="T52" s="391"/>
      <c r="U52" s="391"/>
      <c r="V52" s="391"/>
      <c r="W52" s="391"/>
      <c r="X52" s="391"/>
      <c r="Y52" s="391"/>
      <c r="Z52" s="391"/>
      <c r="AA52" s="391"/>
      <c r="AB52" s="391"/>
      <c r="AC52" s="391"/>
      <c r="AD52" s="391"/>
      <c r="AE52" s="391"/>
    </row>
    <row r="53">
      <c r="A53" s="391"/>
      <c r="B53" s="391"/>
      <c r="C53" s="391"/>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row>
    <row r="54">
      <c r="A54" s="39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row>
    <row r="55">
      <c r="A55" s="391"/>
      <c r="B55" s="391"/>
      <c r="C55" s="391"/>
      <c r="D55" s="391"/>
      <c r="E55" s="391"/>
      <c r="F55" s="391"/>
      <c r="G55" s="391"/>
      <c r="H55" s="391"/>
      <c r="I55" s="391"/>
      <c r="J55" s="391"/>
      <c r="K55" s="391"/>
      <c r="L55" s="391"/>
      <c r="M55" s="391"/>
      <c r="N55" s="391"/>
      <c r="O55" s="391"/>
      <c r="P55" s="391"/>
      <c r="Q55" s="391"/>
      <c r="R55" s="391"/>
      <c r="S55" s="391"/>
      <c r="T55" s="391"/>
      <c r="U55" s="391"/>
      <c r="V55" s="391"/>
      <c r="W55" s="391"/>
      <c r="X55" s="391"/>
      <c r="Y55" s="391"/>
      <c r="Z55" s="391"/>
      <c r="AA55" s="391"/>
      <c r="AB55" s="391"/>
      <c r="AC55" s="391"/>
      <c r="AD55" s="391"/>
      <c r="AE55" s="391"/>
    </row>
    <row r="56">
      <c r="A56" s="391"/>
      <c r="B56" s="391"/>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row>
    <row r="57">
      <c r="A57" s="391"/>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row>
    <row r="58">
      <c r="A58" s="391"/>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row>
    <row r="59">
      <c r="A59" s="391"/>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row>
    <row r="60">
      <c r="A60" s="391"/>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row>
    <row r="61">
      <c r="A61" s="391"/>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row>
    <row r="62">
      <c r="A62" s="391"/>
      <c r="B62" s="391"/>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row>
    <row r="63">
      <c r="A63" s="391"/>
      <c r="B63" s="391"/>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row>
    <row r="64">
      <c r="A64" s="391"/>
      <c r="B64" s="391"/>
      <c r="C64" s="391"/>
      <c r="D64" s="391"/>
      <c r="E64" s="391"/>
      <c r="F64" s="391"/>
      <c r="G64" s="391"/>
      <c r="H64" s="391"/>
      <c r="I64" s="391"/>
      <c r="J64" s="391"/>
      <c r="K64" s="391"/>
      <c r="L64" s="391"/>
      <c r="M64" s="391"/>
      <c r="N64" s="391"/>
      <c r="O64" s="391"/>
      <c r="P64" s="391"/>
      <c r="Q64" s="391"/>
      <c r="R64" s="391"/>
      <c r="S64" s="391"/>
      <c r="T64" s="391"/>
      <c r="U64" s="391"/>
      <c r="V64" s="391"/>
      <c r="W64" s="391"/>
      <c r="X64" s="391"/>
      <c r="Y64" s="391"/>
      <c r="Z64" s="391"/>
      <c r="AA64" s="391"/>
      <c r="AB64" s="391"/>
      <c r="AC64" s="391"/>
      <c r="AD64" s="391"/>
      <c r="AE64" s="391"/>
    </row>
    <row r="65">
      <c r="A65" s="391"/>
      <c r="B65" s="391"/>
      <c r="C65" s="391"/>
      <c r="D65" s="391"/>
      <c r="E65" s="391"/>
      <c r="F65" s="391"/>
      <c r="G65" s="391"/>
      <c r="H65" s="391"/>
      <c r="I65" s="391"/>
      <c r="J65" s="391"/>
      <c r="K65" s="391"/>
      <c r="L65" s="391"/>
      <c r="M65" s="391"/>
      <c r="N65" s="391"/>
      <c r="O65" s="391"/>
      <c r="P65" s="391"/>
      <c r="Q65" s="391"/>
      <c r="R65" s="391"/>
      <c r="S65" s="391"/>
      <c r="T65" s="391"/>
      <c r="U65" s="391"/>
      <c r="V65" s="391"/>
      <c r="W65" s="391"/>
      <c r="X65" s="391"/>
      <c r="Y65" s="391"/>
      <c r="Z65" s="391"/>
      <c r="AA65" s="391"/>
      <c r="AB65" s="391"/>
      <c r="AC65" s="391"/>
      <c r="AD65" s="391"/>
      <c r="AE65" s="391"/>
    </row>
    <row r="66">
      <c r="A66" s="391"/>
      <c r="B66" s="391"/>
      <c r="C66" s="391"/>
      <c r="D66" s="391"/>
      <c r="E66" s="391"/>
      <c r="F66" s="391"/>
      <c r="G66" s="391"/>
      <c r="H66" s="391"/>
      <c r="I66" s="391"/>
      <c r="J66" s="391"/>
      <c r="K66" s="391"/>
      <c r="L66" s="391"/>
      <c r="M66" s="391"/>
      <c r="N66" s="391"/>
      <c r="O66" s="391"/>
      <c r="P66" s="391"/>
      <c r="Q66" s="391"/>
      <c r="R66" s="391"/>
      <c r="S66" s="391"/>
      <c r="T66" s="391"/>
      <c r="U66" s="391"/>
      <c r="V66" s="391"/>
      <c r="W66" s="391"/>
      <c r="X66" s="391"/>
      <c r="Y66" s="391"/>
      <c r="Z66" s="391"/>
      <c r="AA66" s="391"/>
      <c r="AB66" s="391"/>
      <c r="AC66" s="391"/>
      <c r="AD66" s="391"/>
      <c r="AE66" s="391"/>
    </row>
    <row r="67">
      <c r="A67" s="391"/>
      <c r="B67" s="391"/>
      <c r="C67" s="391"/>
      <c r="D67" s="391"/>
      <c r="E67" s="391"/>
      <c r="F67" s="391"/>
      <c r="G67" s="391"/>
      <c r="H67" s="391"/>
      <c r="I67" s="391"/>
      <c r="J67" s="391"/>
      <c r="K67" s="391"/>
      <c r="L67" s="391"/>
      <c r="M67" s="391"/>
      <c r="N67" s="391"/>
      <c r="O67" s="391"/>
      <c r="P67" s="391"/>
      <c r="Q67" s="391"/>
      <c r="R67" s="391"/>
      <c r="S67" s="391"/>
      <c r="T67" s="391"/>
      <c r="U67" s="391"/>
      <c r="V67" s="391"/>
      <c r="W67" s="391"/>
      <c r="X67" s="391"/>
      <c r="Y67" s="391"/>
      <c r="Z67" s="391"/>
      <c r="AA67" s="391"/>
      <c r="AB67" s="391"/>
      <c r="AC67" s="391"/>
      <c r="AD67" s="391"/>
      <c r="AE67" s="391"/>
    </row>
    <row r="68">
      <c r="A68" s="391"/>
      <c r="B68" s="391"/>
      <c r="C68" s="391"/>
      <c r="D68" s="391"/>
      <c r="E68" s="391"/>
      <c r="F68" s="391"/>
      <c r="G68" s="391"/>
      <c r="H68" s="391"/>
      <c r="I68" s="391"/>
      <c r="J68" s="391"/>
      <c r="K68" s="391"/>
      <c r="L68" s="391"/>
      <c r="M68" s="391"/>
      <c r="N68" s="391"/>
      <c r="O68" s="391"/>
      <c r="P68" s="391"/>
      <c r="Q68" s="391"/>
      <c r="R68" s="391"/>
      <c r="S68" s="391"/>
      <c r="T68" s="391"/>
      <c r="U68" s="391"/>
      <c r="V68" s="391"/>
      <c r="W68" s="391"/>
      <c r="X68" s="391"/>
      <c r="Y68" s="391"/>
      <c r="Z68" s="391"/>
      <c r="AA68" s="391"/>
      <c r="AB68" s="391"/>
      <c r="AC68" s="391"/>
      <c r="AD68" s="391"/>
      <c r="AE68" s="391"/>
    </row>
    <row r="69">
      <c r="A69" s="391"/>
      <c r="B69" s="391"/>
      <c r="C69" s="391"/>
      <c r="D69" s="391"/>
      <c r="E69" s="391"/>
      <c r="F69" s="391"/>
      <c r="G69" s="391"/>
      <c r="H69" s="391"/>
      <c r="I69" s="391"/>
      <c r="J69" s="391"/>
      <c r="K69" s="391"/>
      <c r="L69" s="391"/>
      <c r="M69" s="391"/>
      <c r="N69" s="391"/>
      <c r="O69" s="391"/>
      <c r="P69" s="391"/>
      <c r="Q69" s="391"/>
      <c r="R69" s="391"/>
      <c r="S69" s="391"/>
      <c r="T69" s="391"/>
      <c r="U69" s="391"/>
      <c r="V69" s="391"/>
      <c r="W69" s="391"/>
      <c r="X69" s="391"/>
      <c r="Y69" s="391"/>
      <c r="Z69" s="391"/>
      <c r="AA69" s="391"/>
      <c r="AB69" s="391"/>
      <c r="AC69" s="391"/>
      <c r="AD69" s="391"/>
      <c r="AE69" s="391"/>
    </row>
    <row r="70">
      <c r="A70" s="391"/>
      <c r="B70" s="391"/>
      <c r="C70" s="391"/>
      <c r="D70" s="391"/>
      <c r="E70" s="391"/>
      <c r="F70" s="391"/>
      <c r="G70" s="391"/>
      <c r="H70" s="391"/>
      <c r="I70" s="391"/>
      <c r="J70" s="391"/>
      <c r="K70" s="391"/>
      <c r="L70" s="391"/>
      <c r="M70" s="391"/>
      <c r="N70" s="391"/>
      <c r="O70" s="391"/>
      <c r="P70" s="391"/>
      <c r="Q70" s="391"/>
      <c r="R70" s="391"/>
      <c r="S70" s="391"/>
      <c r="T70" s="391"/>
      <c r="U70" s="391"/>
      <c r="V70" s="391"/>
      <c r="W70" s="391"/>
      <c r="X70" s="391"/>
      <c r="Y70" s="391"/>
      <c r="Z70" s="391"/>
      <c r="AA70" s="391"/>
      <c r="AB70" s="391"/>
      <c r="AC70" s="391"/>
      <c r="AD70" s="391"/>
      <c r="AE70" s="391"/>
    </row>
    <row r="71">
      <c r="A71" s="391"/>
      <c r="B71" s="391"/>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row>
    <row r="72">
      <c r="A72" s="391"/>
      <c r="B72" s="391"/>
      <c r="C72" s="391"/>
      <c r="D72" s="391"/>
      <c r="E72" s="391"/>
      <c r="F72" s="391"/>
      <c r="G72" s="391"/>
      <c r="H72" s="391"/>
      <c r="I72" s="391"/>
      <c r="J72" s="391"/>
      <c r="K72" s="391"/>
      <c r="L72" s="391"/>
      <c r="M72" s="391"/>
      <c r="N72" s="391"/>
      <c r="O72" s="391"/>
      <c r="P72" s="391"/>
      <c r="Q72" s="391"/>
      <c r="R72" s="391"/>
      <c r="S72" s="391"/>
      <c r="T72" s="391"/>
      <c r="U72" s="391"/>
      <c r="V72" s="391"/>
      <c r="W72" s="391"/>
      <c r="X72" s="391"/>
      <c r="Y72" s="391"/>
      <c r="Z72" s="391"/>
      <c r="AA72" s="391"/>
      <c r="AB72" s="391"/>
      <c r="AC72" s="391"/>
      <c r="AD72" s="391"/>
      <c r="AE72" s="391"/>
    </row>
    <row r="73">
      <c r="A73" s="391"/>
      <c r="B73" s="391"/>
      <c r="C73" s="391"/>
      <c r="D73" s="391"/>
      <c r="E73" s="391"/>
      <c r="F73" s="391"/>
      <c r="G73" s="391"/>
      <c r="H73" s="391"/>
      <c r="I73" s="391"/>
      <c r="J73" s="391"/>
      <c r="K73" s="391"/>
      <c r="L73" s="391"/>
      <c r="M73" s="391"/>
      <c r="N73" s="391"/>
      <c r="O73" s="391"/>
      <c r="P73" s="391"/>
      <c r="Q73" s="391"/>
      <c r="R73" s="391"/>
      <c r="S73" s="391"/>
      <c r="T73" s="391"/>
      <c r="U73" s="391"/>
      <c r="V73" s="391"/>
      <c r="W73" s="391"/>
      <c r="X73" s="391"/>
      <c r="Y73" s="391"/>
      <c r="Z73" s="391"/>
      <c r="AA73" s="391"/>
      <c r="AB73" s="391"/>
      <c r="AC73" s="391"/>
      <c r="AD73" s="391"/>
      <c r="AE73" s="391"/>
    </row>
    <row r="74">
      <c r="A74" s="391"/>
      <c r="B74" s="391"/>
      <c r="C74" s="391"/>
      <c r="D74" s="391"/>
      <c r="E74" s="391"/>
      <c r="F74" s="391"/>
      <c r="G74" s="391"/>
      <c r="H74" s="391"/>
      <c r="I74" s="391"/>
      <c r="J74" s="391"/>
      <c r="K74" s="391"/>
      <c r="L74" s="391"/>
      <c r="M74" s="391"/>
      <c r="N74" s="391"/>
      <c r="O74" s="391"/>
      <c r="P74" s="391"/>
      <c r="Q74" s="391"/>
      <c r="R74" s="391"/>
      <c r="S74" s="391"/>
      <c r="T74" s="391"/>
      <c r="U74" s="391"/>
      <c r="V74" s="391"/>
      <c r="W74" s="391"/>
      <c r="X74" s="391"/>
      <c r="Y74" s="391"/>
      <c r="Z74" s="391"/>
      <c r="AA74" s="391"/>
      <c r="AB74" s="391"/>
      <c r="AC74" s="391"/>
      <c r="AD74" s="391"/>
      <c r="AE74" s="391"/>
    </row>
    <row r="75">
      <c r="A75" s="391"/>
      <c r="B75" s="391"/>
      <c r="C75" s="391"/>
      <c r="D75" s="391"/>
      <c r="E75" s="391"/>
      <c r="F75" s="391"/>
      <c r="G75" s="391"/>
      <c r="H75" s="391"/>
      <c r="I75" s="391"/>
      <c r="J75" s="391"/>
      <c r="K75" s="391"/>
      <c r="L75" s="391"/>
      <c r="M75" s="391"/>
      <c r="N75" s="391"/>
      <c r="O75" s="391"/>
      <c r="P75" s="391"/>
      <c r="Q75" s="391"/>
      <c r="R75" s="391"/>
      <c r="S75" s="391"/>
      <c r="T75" s="391"/>
      <c r="U75" s="391"/>
      <c r="V75" s="391"/>
      <c r="W75" s="391"/>
      <c r="X75" s="391"/>
      <c r="Y75" s="391"/>
      <c r="Z75" s="391"/>
      <c r="AA75" s="391"/>
      <c r="AB75" s="391"/>
      <c r="AC75" s="391"/>
      <c r="AD75" s="391"/>
      <c r="AE75" s="391"/>
    </row>
    <row r="76">
      <c r="A76" s="391"/>
      <c r="B76" s="391"/>
      <c r="C76" s="391"/>
      <c r="D76" s="391"/>
      <c r="E76" s="391"/>
      <c r="F76" s="391"/>
      <c r="G76" s="391"/>
      <c r="H76" s="391"/>
      <c r="I76" s="391"/>
      <c r="J76" s="391"/>
      <c r="K76" s="391"/>
      <c r="L76" s="391"/>
      <c r="M76" s="391"/>
      <c r="N76" s="391"/>
      <c r="O76" s="391"/>
      <c r="P76" s="391"/>
      <c r="Q76" s="391"/>
      <c r="R76" s="391"/>
      <c r="S76" s="391"/>
      <c r="T76" s="391"/>
      <c r="U76" s="391"/>
      <c r="V76" s="391"/>
      <c r="W76" s="391"/>
      <c r="X76" s="391"/>
      <c r="Y76" s="391"/>
      <c r="Z76" s="391"/>
      <c r="AA76" s="391"/>
      <c r="AB76" s="391"/>
      <c r="AC76" s="391"/>
      <c r="AD76" s="391"/>
      <c r="AE76" s="391"/>
    </row>
    <row r="77">
      <c r="A77" s="391"/>
      <c r="B77" s="391"/>
      <c r="C77" s="391"/>
      <c r="D77" s="391"/>
      <c r="E77" s="391"/>
      <c r="F77" s="391"/>
      <c r="G77" s="391"/>
      <c r="H77" s="391"/>
      <c r="I77" s="391"/>
      <c r="J77" s="391"/>
      <c r="K77" s="391"/>
      <c r="L77" s="391"/>
      <c r="M77" s="391"/>
      <c r="N77" s="391"/>
      <c r="O77" s="391"/>
      <c r="P77" s="391"/>
      <c r="Q77" s="391"/>
      <c r="R77" s="391"/>
      <c r="S77" s="391"/>
      <c r="T77" s="391"/>
      <c r="U77" s="391"/>
      <c r="V77" s="391"/>
      <c r="W77" s="391"/>
      <c r="X77" s="391"/>
      <c r="Y77" s="391"/>
      <c r="Z77" s="391"/>
      <c r="AA77" s="391"/>
      <c r="AB77" s="391"/>
      <c r="AC77" s="391"/>
      <c r="AD77" s="391"/>
      <c r="AE77" s="391"/>
    </row>
    <row r="78">
      <c r="A78" s="391"/>
      <c r="B78" s="391"/>
      <c r="C78" s="391"/>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row>
    <row r="79">
      <c r="A79" s="391"/>
      <c r="B79" s="391"/>
      <c r="C79" s="391"/>
      <c r="D79" s="391"/>
      <c r="E79" s="391"/>
      <c r="F79" s="391"/>
      <c r="G79" s="391"/>
      <c r="H79" s="391"/>
      <c r="I79" s="391"/>
      <c r="J79" s="391"/>
      <c r="K79" s="391"/>
      <c r="L79" s="391"/>
      <c r="M79" s="391"/>
      <c r="N79" s="391"/>
      <c r="O79" s="391"/>
      <c r="P79" s="391"/>
      <c r="Q79" s="391"/>
      <c r="R79" s="391"/>
      <c r="S79" s="391"/>
      <c r="T79" s="391"/>
      <c r="U79" s="391"/>
      <c r="V79" s="391"/>
      <c r="W79" s="391"/>
      <c r="X79" s="391"/>
      <c r="Y79" s="391"/>
      <c r="Z79" s="391"/>
      <c r="AA79" s="391"/>
      <c r="AB79" s="391"/>
      <c r="AC79" s="391"/>
      <c r="AD79" s="391"/>
      <c r="AE79" s="391"/>
    </row>
    <row r="80">
      <c r="A80" s="391"/>
      <c r="B80" s="391"/>
      <c r="C80" s="391"/>
      <c r="D80" s="391"/>
      <c r="E80" s="391"/>
      <c r="F80" s="391"/>
      <c r="G80" s="391"/>
      <c r="H80" s="391"/>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row>
    <row r="81">
      <c r="A81" s="391"/>
      <c r="B81" s="391"/>
      <c r="C81" s="391"/>
      <c r="D81" s="391"/>
      <c r="E81" s="391"/>
      <c r="F81" s="391"/>
      <c r="G81" s="391"/>
      <c r="H81" s="391"/>
      <c r="I81" s="391"/>
      <c r="J81" s="391"/>
      <c r="K81" s="391"/>
      <c r="L81" s="391"/>
      <c r="M81" s="391"/>
      <c r="N81" s="391"/>
      <c r="O81" s="391"/>
      <c r="P81" s="391"/>
      <c r="Q81" s="391"/>
      <c r="R81" s="391"/>
      <c r="S81" s="391"/>
      <c r="T81" s="391"/>
      <c r="U81" s="391"/>
      <c r="V81" s="391"/>
      <c r="W81" s="391"/>
      <c r="X81" s="391"/>
      <c r="Y81" s="391"/>
      <c r="Z81" s="391"/>
      <c r="AA81" s="391"/>
      <c r="AB81" s="391"/>
      <c r="AC81" s="391"/>
      <c r="AD81" s="391"/>
      <c r="AE81" s="391"/>
    </row>
    <row r="82">
      <c r="A82" s="391"/>
      <c r="B82" s="391"/>
      <c r="C82" s="391"/>
      <c r="D82" s="391"/>
      <c r="E82" s="391"/>
      <c r="F82" s="391"/>
      <c r="G82" s="391"/>
      <c r="H82" s="391"/>
      <c r="I82" s="391"/>
      <c r="J82" s="391"/>
      <c r="K82" s="391"/>
      <c r="L82" s="391"/>
      <c r="M82" s="391"/>
      <c r="N82" s="391"/>
      <c r="O82" s="391"/>
      <c r="P82" s="391"/>
      <c r="Q82" s="391"/>
      <c r="R82" s="391"/>
      <c r="S82" s="391"/>
      <c r="T82" s="391"/>
      <c r="U82" s="391"/>
      <c r="V82" s="391"/>
      <c r="W82" s="391"/>
      <c r="X82" s="391"/>
      <c r="Y82" s="391"/>
      <c r="Z82" s="391"/>
      <c r="AA82" s="391"/>
      <c r="AB82" s="391"/>
      <c r="AC82" s="391"/>
      <c r="AD82" s="391"/>
      <c r="AE82" s="391"/>
    </row>
    <row r="83">
      <c r="A83" s="391"/>
      <c r="B83" s="391"/>
      <c r="C83" s="391"/>
      <c r="D83" s="391"/>
      <c r="E83" s="391"/>
      <c r="F83" s="391"/>
      <c r="G83" s="391"/>
      <c r="H83" s="391"/>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row>
    <row r="84">
      <c r="A84" s="391"/>
      <c r="B84" s="391"/>
      <c r="C84" s="391"/>
      <c r="D84" s="391"/>
      <c r="E84" s="391"/>
      <c r="F84" s="391"/>
      <c r="G84" s="391"/>
      <c r="H84" s="391"/>
      <c r="I84" s="391"/>
      <c r="J84" s="391"/>
      <c r="K84" s="391"/>
      <c r="L84" s="391"/>
      <c r="M84" s="391"/>
      <c r="N84" s="391"/>
      <c r="O84" s="391"/>
      <c r="P84" s="391"/>
      <c r="Q84" s="391"/>
      <c r="R84" s="391"/>
      <c r="S84" s="391"/>
      <c r="T84" s="391"/>
      <c r="U84" s="391"/>
      <c r="V84" s="391"/>
      <c r="W84" s="391"/>
      <c r="X84" s="391"/>
      <c r="Y84" s="391"/>
      <c r="Z84" s="391"/>
      <c r="AA84" s="391"/>
      <c r="AB84" s="391"/>
      <c r="AC84" s="391"/>
      <c r="AD84" s="391"/>
      <c r="AE84" s="391"/>
    </row>
    <row r="85">
      <c r="A85" s="391"/>
      <c r="B85" s="391"/>
      <c r="C85" s="391"/>
      <c r="D85" s="391"/>
      <c r="E85" s="391"/>
      <c r="F85" s="391"/>
      <c r="G85" s="391"/>
      <c r="H85" s="391"/>
      <c r="I85" s="391"/>
      <c r="J85" s="391"/>
      <c r="K85" s="391"/>
      <c r="L85" s="391"/>
      <c r="M85" s="391"/>
      <c r="N85" s="391"/>
      <c r="O85" s="391"/>
      <c r="P85" s="391"/>
      <c r="Q85" s="391"/>
      <c r="R85" s="391"/>
      <c r="S85" s="391"/>
      <c r="T85" s="391"/>
      <c r="U85" s="391"/>
      <c r="V85" s="391"/>
      <c r="W85" s="391"/>
      <c r="X85" s="391"/>
      <c r="Y85" s="391"/>
      <c r="Z85" s="391"/>
      <c r="AA85" s="391"/>
      <c r="AB85" s="391"/>
      <c r="AC85" s="391"/>
      <c r="AD85" s="391"/>
      <c r="AE85" s="391"/>
    </row>
    <row r="86">
      <c r="A86" s="391"/>
      <c r="B86" s="391"/>
      <c r="C86" s="391"/>
      <c r="D86" s="391"/>
      <c r="E86" s="391"/>
      <c r="F86" s="391"/>
      <c r="G86" s="391"/>
      <c r="H86" s="391"/>
      <c r="I86" s="391"/>
      <c r="J86" s="391"/>
      <c r="K86" s="391"/>
      <c r="L86" s="391"/>
      <c r="M86" s="391"/>
      <c r="N86" s="391"/>
      <c r="O86" s="391"/>
      <c r="P86" s="391"/>
      <c r="Q86" s="391"/>
      <c r="R86" s="391"/>
      <c r="S86" s="391"/>
      <c r="T86" s="391"/>
      <c r="U86" s="391"/>
      <c r="V86" s="391"/>
      <c r="W86" s="391"/>
      <c r="X86" s="391"/>
      <c r="Y86" s="391"/>
      <c r="Z86" s="391"/>
      <c r="AA86" s="391"/>
      <c r="AB86" s="391"/>
      <c r="AC86" s="391"/>
      <c r="AD86" s="391"/>
      <c r="AE86" s="391"/>
    </row>
    <row r="87">
      <c r="A87" s="391"/>
      <c r="B87" s="391"/>
      <c r="C87" s="391"/>
      <c r="D87" s="391"/>
      <c r="E87" s="391"/>
      <c r="F87" s="391"/>
      <c r="G87" s="391"/>
      <c r="H87" s="391"/>
      <c r="I87" s="391"/>
      <c r="J87" s="391"/>
      <c r="K87" s="391"/>
      <c r="L87" s="391"/>
      <c r="M87" s="391"/>
      <c r="N87" s="391"/>
      <c r="O87" s="391"/>
      <c r="P87" s="391"/>
      <c r="Q87" s="391"/>
      <c r="R87" s="391"/>
      <c r="S87" s="391"/>
      <c r="T87" s="391"/>
      <c r="U87" s="391"/>
      <c r="V87" s="391"/>
      <c r="W87" s="391"/>
      <c r="X87" s="391"/>
      <c r="Y87" s="391"/>
      <c r="Z87" s="391"/>
      <c r="AA87" s="391"/>
      <c r="AB87" s="391"/>
      <c r="AC87" s="391"/>
      <c r="AD87" s="391"/>
      <c r="AE87" s="391"/>
    </row>
    <row r="88">
      <c r="A88" s="391"/>
      <c r="B88" s="391"/>
      <c r="C88" s="391"/>
      <c r="D88" s="391"/>
      <c r="E88" s="391"/>
      <c r="F88" s="391"/>
      <c r="G88" s="391"/>
      <c r="H88" s="391"/>
      <c r="I88" s="391"/>
      <c r="J88" s="391"/>
      <c r="K88" s="391"/>
      <c r="L88" s="391"/>
      <c r="M88" s="391"/>
      <c r="N88" s="391"/>
      <c r="O88" s="391"/>
      <c r="P88" s="391"/>
      <c r="Q88" s="391"/>
      <c r="R88" s="391"/>
      <c r="S88" s="391"/>
      <c r="T88" s="391"/>
      <c r="U88" s="391"/>
      <c r="V88" s="391"/>
      <c r="W88" s="391"/>
      <c r="X88" s="391"/>
      <c r="Y88" s="391"/>
      <c r="Z88" s="391"/>
      <c r="AA88" s="391"/>
      <c r="AB88" s="391"/>
      <c r="AC88" s="391"/>
      <c r="AD88" s="391"/>
      <c r="AE88" s="391"/>
    </row>
    <row r="89">
      <c r="A89" s="391"/>
      <c r="B89" s="391"/>
      <c r="C89" s="391"/>
      <c r="D89" s="391"/>
      <c r="E89" s="391"/>
      <c r="F89" s="391"/>
      <c r="G89" s="391"/>
      <c r="H89" s="391"/>
      <c r="I89" s="391"/>
      <c r="J89" s="391"/>
      <c r="K89" s="391"/>
      <c r="L89" s="391"/>
      <c r="M89" s="391"/>
      <c r="N89" s="391"/>
      <c r="O89" s="391"/>
      <c r="P89" s="391"/>
      <c r="Q89" s="391"/>
      <c r="R89" s="391"/>
      <c r="S89" s="391"/>
      <c r="T89" s="391"/>
      <c r="U89" s="391"/>
      <c r="V89" s="391"/>
      <c r="W89" s="391"/>
      <c r="X89" s="391"/>
      <c r="Y89" s="391"/>
      <c r="Z89" s="391"/>
      <c r="AA89" s="391"/>
      <c r="AB89" s="391"/>
      <c r="AC89" s="391"/>
      <c r="AD89" s="391"/>
      <c r="AE89" s="391"/>
    </row>
    <row r="90">
      <c r="A90" s="391"/>
      <c r="B90" s="391"/>
      <c r="C90" s="391"/>
      <c r="D90" s="391"/>
      <c r="E90" s="391"/>
      <c r="F90" s="391"/>
      <c r="G90" s="391"/>
      <c r="H90" s="391"/>
      <c r="I90" s="391"/>
      <c r="J90" s="391"/>
      <c r="K90" s="391"/>
      <c r="L90" s="391"/>
      <c r="M90" s="391"/>
      <c r="N90" s="391"/>
      <c r="O90" s="391"/>
      <c r="P90" s="391"/>
      <c r="Q90" s="391"/>
      <c r="R90" s="391"/>
      <c r="S90" s="391"/>
      <c r="T90" s="391"/>
      <c r="U90" s="391"/>
      <c r="V90" s="391"/>
      <c r="W90" s="391"/>
      <c r="X90" s="391"/>
      <c r="Y90" s="391"/>
      <c r="Z90" s="391"/>
      <c r="AA90" s="391"/>
      <c r="AB90" s="391"/>
      <c r="AC90" s="391"/>
      <c r="AD90" s="391"/>
      <c r="AE90" s="391"/>
    </row>
    <row r="91">
      <c r="A91" s="391"/>
      <c r="B91" s="391"/>
      <c r="C91" s="391"/>
      <c r="D91" s="391"/>
      <c r="E91" s="391"/>
      <c r="F91" s="391"/>
      <c r="G91" s="391"/>
      <c r="H91" s="391"/>
      <c r="I91" s="391"/>
      <c r="J91" s="391"/>
      <c r="K91" s="391"/>
      <c r="L91" s="391"/>
      <c r="M91" s="391"/>
      <c r="N91" s="391"/>
      <c r="O91" s="391"/>
      <c r="P91" s="391"/>
      <c r="Q91" s="391"/>
      <c r="R91" s="391"/>
      <c r="S91" s="391"/>
      <c r="T91" s="391"/>
      <c r="U91" s="391"/>
      <c r="V91" s="391"/>
      <c r="W91" s="391"/>
      <c r="X91" s="391"/>
      <c r="Y91" s="391"/>
      <c r="Z91" s="391"/>
      <c r="AA91" s="391"/>
      <c r="AB91" s="391"/>
      <c r="AC91" s="391"/>
      <c r="AD91" s="391"/>
      <c r="AE91" s="391"/>
    </row>
    <row r="92">
      <c r="A92" s="391"/>
      <c r="B92" s="391"/>
      <c r="C92" s="391"/>
      <c r="D92" s="391"/>
      <c r="E92" s="391"/>
      <c r="F92" s="391"/>
      <c r="G92" s="391"/>
      <c r="H92" s="391"/>
      <c r="I92" s="391"/>
      <c r="J92" s="391"/>
      <c r="K92" s="391"/>
      <c r="L92" s="391"/>
      <c r="M92" s="391"/>
      <c r="N92" s="391"/>
      <c r="O92" s="391"/>
      <c r="P92" s="391"/>
      <c r="Q92" s="391"/>
      <c r="R92" s="391"/>
      <c r="S92" s="391"/>
      <c r="T92" s="391"/>
      <c r="U92" s="391"/>
      <c r="V92" s="391"/>
      <c r="W92" s="391"/>
      <c r="X92" s="391"/>
      <c r="Y92" s="391"/>
      <c r="Z92" s="391"/>
      <c r="AA92" s="391"/>
      <c r="AB92" s="391"/>
      <c r="AC92" s="391"/>
      <c r="AD92" s="391"/>
      <c r="AE92" s="391"/>
    </row>
    <row r="93">
      <c r="A93" s="391"/>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row>
    <row r="94">
      <c r="A94" s="391"/>
      <c r="B94" s="391"/>
      <c r="C94" s="391"/>
      <c r="D94" s="391"/>
      <c r="E94" s="391"/>
      <c r="F94" s="391"/>
      <c r="G94" s="391"/>
      <c r="H94" s="391"/>
      <c r="I94" s="391"/>
      <c r="J94" s="391"/>
      <c r="K94" s="391"/>
      <c r="L94" s="391"/>
      <c r="M94" s="391"/>
      <c r="N94" s="391"/>
      <c r="O94" s="391"/>
      <c r="P94" s="391"/>
      <c r="Q94" s="391"/>
      <c r="R94" s="391"/>
      <c r="S94" s="391"/>
      <c r="T94" s="391"/>
      <c r="U94" s="391"/>
      <c r="V94" s="391"/>
      <c r="W94" s="391"/>
      <c r="X94" s="391"/>
      <c r="Y94" s="391"/>
      <c r="Z94" s="391"/>
      <c r="AA94" s="391"/>
      <c r="AB94" s="391"/>
      <c r="AC94" s="391"/>
      <c r="AD94" s="391"/>
      <c r="AE94" s="391"/>
    </row>
    <row r="95">
      <c r="A95" s="391"/>
      <c r="B95" s="391"/>
      <c r="C95" s="391"/>
      <c r="D95" s="391"/>
      <c r="E95" s="391"/>
      <c r="F95" s="391"/>
      <c r="G95" s="391"/>
      <c r="H95" s="391"/>
      <c r="I95" s="391"/>
      <c r="J95" s="391"/>
      <c r="K95" s="391"/>
      <c r="L95" s="391"/>
      <c r="M95" s="391"/>
      <c r="N95" s="391"/>
      <c r="O95" s="391"/>
      <c r="P95" s="391"/>
      <c r="Q95" s="391"/>
      <c r="R95" s="391"/>
      <c r="S95" s="391"/>
      <c r="T95" s="391"/>
      <c r="U95" s="391"/>
      <c r="V95" s="391"/>
      <c r="W95" s="391"/>
      <c r="X95" s="391"/>
      <c r="Y95" s="391"/>
      <c r="Z95" s="391"/>
      <c r="AA95" s="391"/>
      <c r="AB95" s="391"/>
      <c r="AC95" s="391"/>
      <c r="AD95" s="391"/>
      <c r="AE95" s="391"/>
    </row>
    <row r="96">
      <c r="A96" s="391"/>
      <c r="B96" s="391"/>
      <c r="C96" s="391"/>
      <c r="D96" s="391"/>
      <c r="E96" s="391"/>
      <c r="F96" s="391"/>
      <c r="G96" s="391"/>
      <c r="H96" s="391"/>
      <c r="I96" s="391"/>
      <c r="J96" s="391"/>
      <c r="K96" s="391"/>
      <c r="L96" s="391"/>
      <c r="M96" s="391"/>
      <c r="N96" s="391"/>
      <c r="O96" s="391"/>
      <c r="P96" s="391"/>
      <c r="Q96" s="391"/>
      <c r="R96" s="391"/>
      <c r="S96" s="391"/>
      <c r="T96" s="391"/>
      <c r="U96" s="391"/>
      <c r="V96" s="391"/>
      <c r="W96" s="391"/>
      <c r="X96" s="391"/>
      <c r="Y96" s="391"/>
      <c r="Z96" s="391"/>
      <c r="AA96" s="391"/>
      <c r="AB96" s="391"/>
      <c r="AC96" s="391"/>
      <c r="AD96" s="391"/>
      <c r="AE96" s="391"/>
    </row>
    <row r="97">
      <c r="A97" s="391"/>
      <c r="B97" s="391"/>
      <c r="C97" s="391"/>
      <c r="D97" s="391"/>
      <c r="E97" s="391"/>
      <c r="F97" s="391"/>
      <c r="G97" s="391"/>
      <c r="H97" s="391"/>
      <c r="I97" s="391"/>
      <c r="J97" s="391"/>
      <c r="K97" s="391"/>
      <c r="L97" s="391"/>
      <c r="M97" s="391"/>
      <c r="N97" s="391"/>
      <c r="O97" s="391"/>
      <c r="P97" s="391"/>
      <c r="Q97" s="391"/>
      <c r="R97" s="391"/>
      <c r="S97" s="391"/>
      <c r="T97" s="391"/>
      <c r="U97" s="391"/>
      <c r="V97" s="391"/>
      <c r="W97" s="391"/>
      <c r="X97" s="391"/>
      <c r="Y97" s="391"/>
      <c r="Z97" s="391"/>
      <c r="AA97" s="391"/>
      <c r="AB97" s="391"/>
      <c r="AC97" s="391"/>
      <c r="AD97" s="391"/>
      <c r="AE97" s="391"/>
    </row>
    <row r="98">
      <c r="A98" s="391"/>
      <c r="B98" s="391"/>
      <c r="C98" s="391"/>
      <c r="D98" s="391"/>
      <c r="E98" s="391"/>
      <c r="F98" s="391"/>
      <c r="G98" s="391"/>
      <c r="H98" s="391"/>
      <c r="I98" s="391"/>
      <c r="J98" s="391"/>
      <c r="K98" s="391"/>
      <c r="L98" s="391"/>
      <c r="M98" s="391"/>
      <c r="N98" s="391"/>
      <c r="O98" s="391"/>
      <c r="P98" s="391"/>
      <c r="Q98" s="391"/>
      <c r="R98" s="391"/>
      <c r="S98" s="391"/>
      <c r="T98" s="391"/>
      <c r="U98" s="391"/>
      <c r="V98" s="391"/>
      <c r="W98" s="391"/>
      <c r="X98" s="391"/>
      <c r="Y98" s="391"/>
      <c r="Z98" s="391"/>
      <c r="AA98" s="391"/>
      <c r="AB98" s="391"/>
      <c r="AC98" s="391"/>
      <c r="AD98" s="391"/>
      <c r="AE98" s="391"/>
    </row>
    <row r="99">
      <c r="A99" s="391"/>
      <c r="B99" s="391"/>
      <c r="C99" s="391"/>
      <c r="D99" s="391"/>
      <c r="E99" s="391"/>
      <c r="F99" s="391"/>
      <c r="G99" s="391"/>
      <c r="H99" s="391"/>
      <c r="I99" s="391"/>
      <c r="J99" s="391"/>
      <c r="K99" s="391"/>
      <c r="L99" s="391"/>
      <c r="M99" s="391"/>
      <c r="N99" s="391"/>
      <c r="O99" s="391"/>
      <c r="P99" s="391"/>
      <c r="Q99" s="391"/>
      <c r="R99" s="391"/>
      <c r="S99" s="391"/>
      <c r="T99" s="391"/>
      <c r="U99" s="391"/>
      <c r="V99" s="391"/>
      <c r="W99" s="391"/>
      <c r="X99" s="391"/>
      <c r="Y99" s="391"/>
      <c r="Z99" s="391"/>
      <c r="AA99" s="391"/>
      <c r="AB99" s="391"/>
      <c r="AC99" s="391"/>
      <c r="AD99" s="391"/>
      <c r="AE99" s="391"/>
    </row>
    <row r="100">
      <c r="A100" s="391"/>
      <c r="B100" s="391"/>
      <c r="C100" s="391"/>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c r="AA100" s="391"/>
      <c r="AB100" s="391"/>
      <c r="AC100" s="391"/>
      <c r="AD100" s="391"/>
      <c r="AE100" s="391"/>
    </row>
    <row r="101">
      <c r="A101" s="391"/>
      <c r="B101" s="391"/>
      <c r="C101" s="391"/>
      <c r="D101" s="391"/>
      <c r="E101" s="391"/>
      <c r="F101" s="391"/>
      <c r="G101" s="391"/>
      <c r="H101" s="391"/>
      <c r="I101" s="391"/>
      <c r="J101" s="391"/>
      <c r="K101" s="391"/>
      <c r="L101" s="391"/>
      <c r="M101" s="391"/>
      <c r="N101" s="391"/>
      <c r="O101" s="391"/>
      <c r="P101" s="391"/>
      <c r="Q101" s="391"/>
      <c r="R101" s="391"/>
      <c r="S101" s="391"/>
      <c r="T101" s="391"/>
      <c r="U101" s="391"/>
      <c r="V101" s="391"/>
      <c r="W101" s="391"/>
      <c r="X101" s="391"/>
      <c r="Y101" s="391"/>
      <c r="Z101" s="391"/>
      <c r="AA101" s="391"/>
      <c r="AB101" s="391"/>
      <c r="AC101" s="391"/>
      <c r="AD101" s="391"/>
      <c r="AE101" s="391"/>
    </row>
    <row r="102">
      <c r="A102" s="391"/>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row>
    <row r="103">
      <c r="A103" s="391"/>
      <c r="B103" s="391"/>
      <c r="C103" s="391"/>
      <c r="D103" s="391"/>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c r="AA103" s="391"/>
      <c r="AB103" s="391"/>
      <c r="AC103" s="391"/>
      <c r="AD103" s="391"/>
      <c r="AE103" s="391"/>
    </row>
    <row r="104">
      <c r="A104" s="391"/>
      <c r="B104" s="391"/>
      <c r="C104" s="391"/>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c r="AE104" s="391"/>
    </row>
    <row r="105">
      <c r="A105" s="391"/>
      <c r="B105" s="391"/>
      <c r="C105" s="391"/>
      <c r="D105" s="391"/>
      <c r="E105" s="391"/>
      <c r="F105" s="391"/>
      <c r="G105" s="391"/>
      <c r="H105" s="391"/>
      <c r="I105" s="391"/>
      <c r="J105" s="391"/>
      <c r="K105" s="391"/>
      <c r="L105" s="391"/>
      <c r="M105" s="391"/>
      <c r="N105" s="391"/>
      <c r="O105" s="391"/>
      <c r="P105" s="391"/>
      <c r="Q105" s="391"/>
      <c r="R105" s="391"/>
      <c r="S105" s="391"/>
      <c r="T105" s="391"/>
      <c r="U105" s="391"/>
      <c r="V105" s="391"/>
      <c r="W105" s="391"/>
      <c r="X105" s="391"/>
      <c r="Y105" s="391"/>
      <c r="Z105" s="391"/>
      <c r="AA105" s="391"/>
      <c r="AB105" s="391"/>
      <c r="AC105" s="391"/>
      <c r="AD105" s="391"/>
      <c r="AE105" s="391"/>
    </row>
    <row r="106">
      <c r="A106" s="391"/>
      <c r="B106" s="391"/>
      <c r="C106" s="391"/>
      <c r="D106" s="391"/>
      <c r="E106" s="391"/>
      <c r="F106" s="391"/>
      <c r="G106" s="391"/>
      <c r="H106" s="391"/>
      <c r="I106" s="391"/>
      <c r="J106" s="391"/>
      <c r="K106" s="391"/>
      <c r="L106" s="391"/>
      <c r="M106" s="391"/>
      <c r="N106" s="391"/>
      <c r="O106" s="391"/>
      <c r="P106" s="391"/>
      <c r="Q106" s="391"/>
      <c r="R106" s="391"/>
      <c r="S106" s="391"/>
      <c r="T106" s="391"/>
      <c r="U106" s="391"/>
      <c r="V106" s="391"/>
      <c r="W106" s="391"/>
      <c r="X106" s="391"/>
      <c r="Y106" s="391"/>
      <c r="Z106" s="391"/>
      <c r="AA106" s="391"/>
      <c r="AB106" s="391"/>
      <c r="AC106" s="391"/>
      <c r="AD106" s="391"/>
      <c r="AE106" s="391"/>
    </row>
    <row r="107">
      <c r="A107" s="391"/>
      <c r="B107" s="391"/>
      <c r="C107" s="391"/>
      <c r="D107" s="391"/>
      <c r="E107" s="391"/>
      <c r="F107" s="391"/>
      <c r="G107" s="391"/>
      <c r="H107" s="391"/>
      <c r="I107" s="391"/>
      <c r="J107" s="391"/>
      <c r="K107" s="391"/>
      <c r="L107" s="391"/>
      <c r="M107" s="391"/>
      <c r="N107" s="391"/>
      <c r="O107" s="391"/>
      <c r="P107" s="391"/>
      <c r="Q107" s="391"/>
      <c r="R107" s="391"/>
      <c r="S107" s="391"/>
      <c r="T107" s="391"/>
      <c r="U107" s="391"/>
      <c r="V107" s="391"/>
      <c r="W107" s="391"/>
      <c r="X107" s="391"/>
      <c r="Y107" s="391"/>
      <c r="Z107" s="391"/>
      <c r="AA107" s="391"/>
      <c r="AB107" s="391"/>
      <c r="AC107" s="391"/>
      <c r="AD107" s="391"/>
      <c r="AE107" s="391"/>
    </row>
    <row r="108">
      <c r="A108" s="391"/>
      <c r="B108" s="391"/>
      <c r="C108" s="391"/>
      <c r="D108" s="391"/>
      <c r="E108" s="391"/>
      <c r="F108" s="391"/>
      <c r="G108" s="391"/>
      <c r="H108" s="391"/>
      <c r="I108" s="391"/>
      <c r="J108" s="391"/>
      <c r="K108" s="391"/>
      <c r="L108" s="391"/>
      <c r="M108" s="391"/>
      <c r="N108" s="391"/>
      <c r="O108" s="391"/>
      <c r="P108" s="391"/>
      <c r="Q108" s="391"/>
      <c r="R108" s="391"/>
      <c r="S108" s="391"/>
      <c r="T108" s="391"/>
      <c r="U108" s="391"/>
      <c r="V108" s="391"/>
      <c r="W108" s="391"/>
      <c r="X108" s="391"/>
      <c r="Y108" s="391"/>
      <c r="Z108" s="391"/>
      <c r="AA108" s="391"/>
      <c r="AB108" s="391"/>
      <c r="AC108" s="391"/>
      <c r="AD108" s="391"/>
      <c r="AE108" s="391"/>
    </row>
    <row r="109">
      <c r="A109" s="391"/>
      <c r="B109" s="391"/>
      <c r="C109" s="391"/>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row>
    <row r="110">
      <c r="A110" s="391"/>
      <c r="B110" s="391"/>
      <c r="C110" s="391"/>
      <c r="D110" s="391"/>
      <c r="E110" s="391"/>
      <c r="F110" s="391"/>
      <c r="G110" s="391"/>
      <c r="H110" s="391"/>
      <c r="I110" s="391"/>
      <c r="J110" s="391"/>
      <c r="K110" s="391"/>
      <c r="L110" s="391"/>
      <c r="M110" s="391"/>
      <c r="N110" s="391"/>
      <c r="O110" s="391"/>
      <c r="P110" s="391"/>
      <c r="Q110" s="391"/>
      <c r="R110" s="391"/>
      <c r="S110" s="391"/>
      <c r="T110" s="391"/>
      <c r="U110" s="391"/>
      <c r="V110" s="391"/>
      <c r="W110" s="391"/>
      <c r="X110" s="391"/>
      <c r="Y110" s="391"/>
      <c r="Z110" s="391"/>
      <c r="AA110" s="391"/>
      <c r="AB110" s="391"/>
      <c r="AC110" s="391"/>
      <c r="AD110" s="391"/>
      <c r="AE110" s="391"/>
    </row>
    <row r="111">
      <c r="A111" s="391"/>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row>
    <row r="112">
      <c r="A112" s="391"/>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row>
    <row r="113">
      <c r="A113" s="391"/>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row>
    <row r="114">
      <c r="A114" s="391"/>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row>
    <row r="115">
      <c r="A115" s="391"/>
      <c r="B115" s="391"/>
      <c r="C115" s="391"/>
      <c r="D115" s="391"/>
      <c r="E115" s="391"/>
      <c r="F115" s="391"/>
      <c r="G115" s="391"/>
      <c r="H115" s="391"/>
      <c r="I115" s="391"/>
      <c r="J115" s="391"/>
      <c r="K115" s="391"/>
      <c r="L115" s="391"/>
      <c r="M115" s="391"/>
      <c r="N115" s="391"/>
      <c r="O115" s="391"/>
      <c r="P115" s="391"/>
      <c r="Q115" s="391"/>
      <c r="R115" s="391"/>
      <c r="S115" s="391"/>
      <c r="T115" s="391"/>
      <c r="U115" s="391"/>
      <c r="V115" s="391"/>
      <c r="W115" s="391"/>
      <c r="X115" s="391"/>
      <c r="Y115" s="391"/>
      <c r="Z115" s="391"/>
      <c r="AA115" s="391"/>
      <c r="AB115" s="391"/>
      <c r="AC115" s="391"/>
      <c r="AD115" s="391"/>
      <c r="AE115" s="391"/>
    </row>
    <row r="116">
      <c r="A116" s="391"/>
      <c r="B116" s="391"/>
      <c r="C116" s="391"/>
      <c r="D116" s="391"/>
      <c r="E116" s="391"/>
      <c r="F116" s="391"/>
      <c r="G116" s="391"/>
      <c r="H116" s="391"/>
      <c r="I116" s="391"/>
      <c r="J116" s="391"/>
      <c r="K116" s="391"/>
      <c r="L116" s="391"/>
      <c r="M116" s="391"/>
      <c r="N116" s="391"/>
      <c r="O116" s="391"/>
      <c r="P116" s="391"/>
      <c r="Q116" s="391"/>
      <c r="R116" s="391"/>
      <c r="S116" s="391"/>
      <c r="T116" s="391"/>
      <c r="U116" s="391"/>
      <c r="V116" s="391"/>
      <c r="W116" s="391"/>
      <c r="X116" s="391"/>
      <c r="Y116" s="391"/>
      <c r="Z116" s="391"/>
      <c r="AA116" s="391"/>
      <c r="AB116" s="391"/>
      <c r="AC116" s="391"/>
      <c r="AD116" s="391"/>
      <c r="AE116" s="391"/>
    </row>
    <row r="117">
      <c r="A117" s="391"/>
      <c r="B117" s="391"/>
      <c r="C117" s="391"/>
      <c r="D117" s="391"/>
      <c r="E117" s="391"/>
      <c r="F117" s="391"/>
      <c r="G117" s="391"/>
      <c r="H117" s="391"/>
      <c r="I117" s="391"/>
      <c r="J117" s="391"/>
      <c r="K117" s="391"/>
      <c r="L117" s="391"/>
      <c r="M117" s="391"/>
      <c r="N117" s="391"/>
      <c r="O117" s="391"/>
      <c r="P117" s="391"/>
      <c r="Q117" s="391"/>
      <c r="R117" s="391"/>
      <c r="S117" s="391"/>
      <c r="T117" s="391"/>
      <c r="U117" s="391"/>
      <c r="V117" s="391"/>
      <c r="W117" s="391"/>
      <c r="X117" s="391"/>
      <c r="Y117" s="391"/>
      <c r="Z117" s="391"/>
      <c r="AA117" s="391"/>
      <c r="AB117" s="391"/>
      <c r="AC117" s="391"/>
      <c r="AD117" s="391"/>
      <c r="AE117" s="391"/>
    </row>
    <row r="118">
      <c r="A118" s="391"/>
      <c r="B118" s="391"/>
      <c r="C118" s="391"/>
      <c r="D118" s="391"/>
      <c r="E118" s="391"/>
      <c r="F118" s="391"/>
      <c r="G118" s="391"/>
      <c r="H118" s="391"/>
      <c r="I118" s="391"/>
      <c r="J118" s="391"/>
      <c r="K118" s="391"/>
      <c r="L118" s="391"/>
      <c r="M118" s="391"/>
      <c r="N118" s="391"/>
      <c r="O118" s="391"/>
      <c r="P118" s="391"/>
      <c r="Q118" s="391"/>
      <c r="R118" s="391"/>
      <c r="S118" s="391"/>
      <c r="T118" s="391"/>
      <c r="U118" s="391"/>
      <c r="V118" s="391"/>
      <c r="W118" s="391"/>
      <c r="X118" s="391"/>
      <c r="Y118" s="391"/>
      <c r="Z118" s="391"/>
      <c r="AA118" s="391"/>
      <c r="AB118" s="391"/>
      <c r="AC118" s="391"/>
      <c r="AD118" s="391"/>
      <c r="AE118" s="391"/>
    </row>
    <row r="119">
      <c r="A119" s="391"/>
      <c r="B119" s="391"/>
      <c r="C119" s="391"/>
      <c r="D119" s="391"/>
      <c r="E119" s="391"/>
      <c r="F119" s="391"/>
      <c r="G119" s="391"/>
      <c r="H119" s="391"/>
      <c r="I119" s="391"/>
      <c r="J119" s="391"/>
      <c r="K119" s="391"/>
      <c r="L119" s="391"/>
      <c r="M119" s="391"/>
      <c r="N119" s="391"/>
      <c r="O119" s="391"/>
      <c r="P119" s="391"/>
      <c r="Q119" s="391"/>
      <c r="R119" s="391"/>
      <c r="S119" s="391"/>
      <c r="T119" s="391"/>
      <c r="U119" s="391"/>
      <c r="V119" s="391"/>
      <c r="W119" s="391"/>
      <c r="X119" s="391"/>
      <c r="Y119" s="391"/>
      <c r="Z119" s="391"/>
      <c r="AA119" s="391"/>
      <c r="AB119" s="391"/>
      <c r="AC119" s="391"/>
      <c r="AD119" s="391"/>
      <c r="AE119" s="391"/>
    </row>
    <row r="120">
      <c r="A120" s="391"/>
      <c r="B120" s="391"/>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c r="AA120" s="391"/>
      <c r="AB120" s="391"/>
      <c r="AC120" s="391"/>
      <c r="AD120" s="391"/>
      <c r="AE120" s="391"/>
    </row>
    <row r="121">
      <c r="A121" s="391"/>
      <c r="B121" s="391"/>
      <c r="C121" s="391"/>
      <c r="D121" s="391"/>
      <c r="E121" s="391"/>
      <c r="F121" s="391"/>
      <c r="G121" s="391"/>
      <c r="H121" s="391"/>
      <c r="I121" s="391"/>
      <c r="J121" s="391"/>
      <c r="K121" s="391"/>
      <c r="L121" s="391"/>
      <c r="M121" s="391"/>
      <c r="N121" s="391"/>
      <c r="O121" s="391"/>
      <c r="P121" s="391"/>
      <c r="Q121" s="391"/>
      <c r="R121" s="391"/>
      <c r="S121" s="391"/>
      <c r="T121" s="391"/>
      <c r="U121" s="391"/>
      <c r="V121" s="391"/>
      <c r="W121" s="391"/>
      <c r="X121" s="391"/>
      <c r="Y121" s="391"/>
      <c r="Z121" s="391"/>
      <c r="AA121" s="391"/>
      <c r="AB121" s="391"/>
      <c r="AC121" s="391"/>
      <c r="AD121" s="391"/>
      <c r="AE121" s="391"/>
    </row>
    <row r="122">
      <c r="A122" s="391"/>
      <c r="B122" s="391"/>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row>
    <row r="123">
      <c r="A123" s="391"/>
      <c r="B123" s="391"/>
      <c r="C123" s="391"/>
      <c r="D123" s="391"/>
      <c r="E123" s="391"/>
      <c r="F123" s="391"/>
      <c r="G123" s="391"/>
      <c r="H123" s="391"/>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row>
    <row r="124">
      <c r="A124" s="391"/>
      <c r="B124" s="391"/>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row>
    <row r="125">
      <c r="A125" s="391"/>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c r="AA125" s="391"/>
      <c r="AB125" s="391"/>
      <c r="AC125" s="391"/>
      <c r="AD125" s="391"/>
      <c r="AE125" s="391"/>
    </row>
    <row r="126">
      <c r="A126" s="391"/>
      <c r="B126" s="391"/>
      <c r="C126" s="391"/>
      <c r="D126" s="391"/>
      <c r="E126" s="391"/>
      <c r="F126" s="391"/>
      <c r="G126" s="391"/>
      <c r="H126" s="391"/>
      <c r="I126" s="391"/>
      <c r="J126" s="391"/>
      <c r="K126" s="391"/>
      <c r="L126" s="391"/>
      <c r="M126" s="391"/>
      <c r="N126" s="391"/>
      <c r="O126" s="391"/>
      <c r="P126" s="391"/>
      <c r="Q126" s="391"/>
      <c r="R126" s="391"/>
      <c r="S126" s="391"/>
      <c r="T126" s="391"/>
      <c r="U126" s="391"/>
      <c r="V126" s="391"/>
      <c r="W126" s="391"/>
      <c r="X126" s="391"/>
      <c r="Y126" s="391"/>
      <c r="Z126" s="391"/>
      <c r="AA126" s="391"/>
      <c r="AB126" s="391"/>
      <c r="AC126" s="391"/>
      <c r="AD126" s="391"/>
      <c r="AE126" s="391"/>
    </row>
    <row r="127">
      <c r="A127" s="391"/>
      <c r="B127" s="391"/>
      <c r="C127" s="391"/>
      <c r="D127" s="391"/>
      <c r="E127" s="391"/>
      <c r="F127" s="391"/>
      <c r="G127" s="391"/>
      <c r="H127" s="391"/>
      <c r="I127" s="391"/>
      <c r="J127" s="391"/>
      <c r="K127" s="391"/>
      <c r="L127" s="391"/>
      <c r="M127" s="391"/>
      <c r="N127" s="391"/>
      <c r="O127" s="391"/>
      <c r="P127" s="391"/>
      <c r="Q127" s="391"/>
      <c r="R127" s="391"/>
      <c r="S127" s="391"/>
      <c r="T127" s="391"/>
      <c r="U127" s="391"/>
      <c r="V127" s="391"/>
      <c r="W127" s="391"/>
      <c r="X127" s="391"/>
      <c r="Y127" s="391"/>
      <c r="Z127" s="391"/>
      <c r="AA127" s="391"/>
      <c r="AB127" s="391"/>
      <c r="AC127" s="391"/>
      <c r="AD127" s="391"/>
      <c r="AE127" s="391"/>
    </row>
    <row r="128">
      <c r="A128" s="391"/>
      <c r="B128" s="391"/>
      <c r="C128" s="391"/>
      <c r="D128" s="391"/>
      <c r="E128" s="391"/>
      <c r="F128" s="391"/>
      <c r="G128" s="391"/>
      <c r="H128" s="391"/>
      <c r="I128" s="391"/>
      <c r="J128" s="391"/>
      <c r="K128" s="391"/>
      <c r="L128" s="391"/>
      <c r="M128" s="391"/>
      <c r="N128" s="391"/>
      <c r="O128" s="391"/>
      <c r="P128" s="391"/>
      <c r="Q128" s="391"/>
      <c r="R128" s="391"/>
      <c r="S128" s="391"/>
      <c r="T128" s="391"/>
      <c r="U128" s="391"/>
      <c r="V128" s="391"/>
      <c r="W128" s="391"/>
      <c r="X128" s="391"/>
      <c r="Y128" s="391"/>
      <c r="Z128" s="391"/>
      <c r="AA128" s="391"/>
      <c r="AB128" s="391"/>
      <c r="AC128" s="391"/>
      <c r="AD128" s="391"/>
      <c r="AE128" s="391"/>
    </row>
    <row r="129">
      <c r="A129" s="391"/>
      <c r="B129" s="391"/>
      <c r="C129" s="391"/>
      <c r="D129" s="391"/>
      <c r="E129" s="391"/>
      <c r="F129" s="391"/>
      <c r="G129" s="391"/>
      <c r="H129" s="391"/>
      <c r="I129" s="391"/>
      <c r="J129" s="391"/>
      <c r="K129" s="391"/>
      <c r="L129" s="391"/>
      <c r="M129" s="391"/>
      <c r="N129" s="391"/>
      <c r="O129" s="391"/>
      <c r="P129" s="391"/>
      <c r="Q129" s="391"/>
      <c r="R129" s="391"/>
      <c r="S129" s="391"/>
      <c r="T129" s="391"/>
      <c r="U129" s="391"/>
      <c r="V129" s="391"/>
      <c r="W129" s="391"/>
      <c r="X129" s="391"/>
      <c r="Y129" s="391"/>
      <c r="Z129" s="391"/>
      <c r="AA129" s="391"/>
      <c r="AB129" s="391"/>
      <c r="AC129" s="391"/>
      <c r="AD129" s="391"/>
      <c r="AE129" s="391"/>
    </row>
    <row r="130">
      <c r="A130" s="391"/>
      <c r="B130" s="391"/>
      <c r="C130" s="391"/>
      <c r="D130" s="391"/>
      <c r="E130" s="391"/>
      <c r="F130" s="391"/>
      <c r="G130" s="391"/>
      <c r="H130" s="391"/>
      <c r="I130" s="391"/>
      <c r="J130" s="391"/>
      <c r="K130" s="391"/>
      <c r="L130" s="391"/>
      <c r="M130" s="391"/>
      <c r="N130" s="391"/>
      <c r="O130" s="391"/>
      <c r="P130" s="391"/>
      <c r="Q130" s="391"/>
      <c r="R130" s="391"/>
      <c r="S130" s="391"/>
      <c r="T130" s="391"/>
      <c r="U130" s="391"/>
      <c r="V130" s="391"/>
      <c r="W130" s="391"/>
      <c r="X130" s="391"/>
      <c r="Y130" s="391"/>
      <c r="Z130" s="391"/>
      <c r="AA130" s="391"/>
      <c r="AB130" s="391"/>
      <c r="AC130" s="391"/>
      <c r="AD130" s="391"/>
      <c r="AE130" s="391"/>
    </row>
    <row r="131">
      <c r="A131" s="391"/>
      <c r="B131" s="391"/>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c r="AA131" s="391"/>
      <c r="AB131" s="391"/>
      <c r="AC131" s="391"/>
      <c r="AD131" s="391"/>
      <c r="AE131" s="391"/>
    </row>
    <row r="132">
      <c r="A132" s="391"/>
      <c r="B132" s="391"/>
      <c r="C132" s="391"/>
      <c r="D132" s="391"/>
      <c r="E132" s="391"/>
      <c r="F132" s="391"/>
      <c r="G132" s="391"/>
      <c r="H132" s="391"/>
      <c r="I132" s="391"/>
      <c r="J132" s="391"/>
      <c r="K132" s="391"/>
      <c r="L132" s="391"/>
      <c r="M132" s="391"/>
      <c r="N132" s="391"/>
      <c r="O132" s="391"/>
      <c r="P132" s="391"/>
      <c r="Q132" s="391"/>
      <c r="R132" s="391"/>
      <c r="S132" s="391"/>
      <c r="T132" s="391"/>
      <c r="U132" s="391"/>
      <c r="V132" s="391"/>
      <c r="W132" s="391"/>
      <c r="X132" s="391"/>
      <c r="Y132" s="391"/>
      <c r="Z132" s="391"/>
      <c r="AA132" s="391"/>
      <c r="AB132" s="391"/>
      <c r="AC132" s="391"/>
      <c r="AD132" s="391"/>
      <c r="AE132" s="391"/>
    </row>
    <row r="133">
      <c r="A133" s="391"/>
      <c r="B133" s="391"/>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row>
    <row r="134">
      <c r="A134" s="391"/>
      <c r="B134" s="391"/>
      <c r="C134" s="391"/>
      <c r="D134" s="391"/>
      <c r="E134" s="391"/>
      <c r="F134" s="391"/>
      <c r="G134" s="391"/>
      <c r="H134" s="391"/>
      <c r="I134" s="391"/>
      <c r="J134" s="391"/>
      <c r="K134" s="391"/>
      <c r="L134" s="391"/>
      <c r="M134" s="391"/>
      <c r="N134" s="391"/>
      <c r="O134" s="391"/>
      <c r="P134" s="391"/>
      <c r="Q134" s="391"/>
      <c r="R134" s="391"/>
      <c r="S134" s="391"/>
      <c r="T134" s="391"/>
      <c r="U134" s="391"/>
      <c r="V134" s="391"/>
      <c r="W134" s="391"/>
      <c r="X134" s="391"/>
      <c r="Y134" s="391"/>
      <c r="Z134" s="391"/>
      <c r="AA134" s="391"/>
      <c r="AB134" s="391"/>
      <c r="AC134" s="391"/>
      <c r="AD134" s="391"/>
      <c r="AE134" s="391"/>
    </row>
    <row r="135">
      <c r="A135" s="391"/>
      <c r="B135" s="391"/>
      <c r="C135" s="391"/>
      <c r="D135" s="391"/>
      <c r="E135" s="391"/>
      <c r="F135" s="391"/>
      <c r="G135" s="391"/>
      <c r="H135" s="391"/>
      <c r="I135" s="391"/>
      <c r="J135" s="391"/>
      <c r="K135" s="391"/>
      <c r="L135" s="391"/>
      <c r="M135" s="391"/>
      <c r="N135" s="391"/>
      <c r="O135" s="391"/>
      <c r="P135" s="391"/>
      <c r="Q135" s="391"/>
      <c r="R135" s="391"/>
      <c r="S135" s="391"/>
      <c r="T135" s="391"/>
      <c r="U135" s="391"/>
      <c r="V135" s="391"/>
      <c r="W135" s="391"/>
      <c r="X135" s="391"/>
      <c r="Y135" s="391"/>
      <c r="Z135" s="391"/>
      <c r="AA135" s="391"/>
      <c r="AB135" s="391"/>
      <c r="AC135" s="391"/>
      <c r="AD135" s="391"/>
      <c r="AE135" s="391"/>
    </row>
    <row r="136">
      <c r="A136" s="391"/>
      <c r="B136" s="391"/>
      <c r="C136" s="391"/>
      <c r="D136" s="391"/>
      <c r="E136" s="391"/>
      <c r="F136" s="391"/>
      <c r="G136" s="391"/>
      <c r="H136" s="391"/>
      <c r="I136" s="391"/>
      <c r="J136" s="391"/>
      <c r="K136" s="391"/>
      <c r="L136" s="391"/>
      <c r="M136" s="391"/>
      <c r="N136" s="391"/>
      <c r="O136" s="391"/>
      <c r="P136" s="391"/>
      <c r="Q136" s="391"/>
      <c r="R136" s="391"/>
      <c r="S136" s="391"/>
      <c r="T136" s="391"/>
      <c r="U136" s="391"/>
      <c r="V136" s="391"/>
      <c r="W136" s="391"/>
      <c r="X136" s="391"/>
      <c r="Y136" s="391"/>
      <c r="Z136" s="391"/>
      <c r="AA136" s="391"/>
      <c r="AB136" s="391"/>
      <c r="AC136" s="391"/>
      <c r="AD136" s="391"/>
      <c r="AE136" s="391"/>
    </row>
    <row r="137">
      <c r="A137" s="391"/>
      <c r="B137" s="391"/>
      <c r="C137" s="391"/>
      <c r="D137" s="391"/>
      <c r="E137" s="391"/>
      <c r="F137" s="391"/>
      <c r="G137" s="391"/>
      <c r="H137" s="391"/>
      <c r="I137" s="391"/>
      <c r="J137" s="391"/>
      <c r="K137" s="391"/>
      <c r="L137" s="391"/>
      <c r="M137" s="391"/>
      <c r="N137" s="391"/>
      <c r="O137" s="391"/>
      <c r="P137" s="391"/>
      <c r="Q137" s="391"/>
      <c r="R137" s="391"/>
      <c r="S137" s="391"/>
      <c r="T137" s="391"/>
      <c r="U137" s="391"/>
      <c r="V137" s="391"/>
      <c r="W137" s="391"/>
      <c r="X137" s="391"/>
      <c r="Y137" s="391"/>
      <c r="Z137" s="391"/>
      <c r="AA137" s="391"/>
      <c r="AB137" s="391"/>
      <c r="AC137" s="391"/>
      <c r="AD137" s="391"/>
      <c r="AE137" s="391"/>
    </row>
    <row r="138">
      <c r="A138" s="391"/>
      <c r="B138" s="391"/>
      <c r="C138" s="391"/>
      <c r="D138" s="391"/>
      <c r="E138" s="391"/>
      <c r="F138" s="391"/>
      <c r="G138" s="391"/>
      <c r="H138" s="391"/>
      <c r="I138" s="391"/>
      <c r="J138" s="391"/>
      <c r="K138" s="391"/>
      <c r="L138" s="391"/>
      <c r="M138" s="391"/>
      <c r="N138" s="391"/>
      <c r="O138" s="391"/>
      <c r="P138" s="391"/>
      <c r="Q138" s="391"/>
      <c r="R138" s="391"/>
      <c r="S138" s="391"/>
      <c r="T138" s="391"/>
      <c r="U138" s="391"/>
      <c r="V138" s="391"/>
      <c r="W138" s="391"/>
      <c r="X138" s="391"/>
      <c r="Y138" s="391"/>
      <c r="Z138" s="391"/>
      <c r="AA138" s="391"/>
      <c r="AB138" s="391"/>
      <c r="AC138" s="391"/>
      <c r="AD138" s="391"/>
      <c r="AE138" s="391"/>
    </row>
    <row r="139">
      <c r="A139" s="391"/>
      <c r="B139" s="391"/>
      <c r="C139" s="391"/>
      <c r="D139" s="391"/>
      <c r="E139" s="391"/>
      <c r="F139" s="391"/>
      <c r="G139" s="391"/>
      <c r="H139" s="391"/>
      <c r="I139" s="391"/>
      <c r="J139" s="391"/>
      <c r="K139" s="391"/>
      <c r="L139" s="391"/>
      <c r="M139" s="391"/>
      <c r="N139" s="391"/>
      <c r="O139" s="391"/>
      <c r="P139" s="391"/>
      <c r="Q139" s="391"/>
      <c r="R139" s="391"/>
      <c r="S139" s="391"/>
      <c r="T139" s="391"/>
      <c r="U139" s="391"/>
      <c r="V139" s="391"/>
      <c r="W139" s="391"/>
      <c r="X139" s="391"/>
      <c r="Y139" s="391"/>
      <c r="Z139" s="391"/>
      <c r="AA139" s="391"/>
      <c r="AB139" s="391"/>
      <c r="AC139" s="391"/>
      <c r="AD139" s="391"/>
      <c r="AE139" s="391"/>
    </row>
    <row r="140">
      <c r="A140" s="391"/>
      <c r="B140" s="391"/>
      <c r="C140" s="391"/>
      <c r="D140" s="391"/>
      <c r="E140" s="391"/>
      <c r="F140" s="391"/>
      <c r="G140" s="391"/>
      <c r="H140" s="391"/>
      <c r="I140" s="391"/>
      <c r="J140" s="391"/>
      <c r="K140" s="391"/>
      <c r="L140" s="391"/>
      <c r="M140" s="391"/>
      <c r="N140" s="391"/>
      <c r="O140" s="391"/>
      <c r="P140" s="391"/>
      <c r="Q140" s="391"/>
      <c r="R140" s="391"/>
      <c r="S140" s="391"/>
      <c r="T140" s="391"/>
      <c r="U140" s="391"/>
      <c r="V140" s="391"/>
      <c r="W140" s="391"/>
      <c r="X140" s="391"/>
      <c r="Y140" s="391"/>
      <c r="Z140" s="391"/>
      <c r="AA140" s="391"/>
      <c r="AB140" s="391"/>
      <c r="AC140" s="391"/>
      <c r="AD140" s="391"/>
      <c r="AE140" s="391"/>
    </row>
    <row r="141">
      <c r="A141" s="391"/>
      <c r="B141" s="391"/>
      <c r="C141" s="391"/>
      <c r="D141" s="391"/>
      <c r="E141" s="391"/>
      <c r="F141" s="391"/>
      <c r="G141" s="391"/>
      <c r="H141" s="391"/>
      <c r="I141" s="391"/>
      <c r="J141" s="391"/>
      <c r="K141" s="391"/>
      <c r="L141" s="391"/>
      <c r="M141" s="391"/>
      <c r="N141" s="391"/>
      <c r="O141" s="391"/>
      <c r="P141" s="391"/>
      <c r="Q141" s="391"/>
      <c r="R141" s="391"/>
      <c r="S141" s="391"/>
      <c r="T141" s="391"/>
      <c r="U141" s="391"/>
      <c r="V141" s="391"/>
      <c r="W141" s="391"/>
      <c r="X141" s="391"/>
      <c r="Y141" s="391"/>
      <c r="Z141" s="391"/>
      <c r="AA141" s="391"/>
      <c r="AB141" s="391"/>
      <c r="AC141" s="391"/>
      <c r="AD141" s="391"/>
      <c r="AE141" s="391"/>
    </row>
    <row r="142">
      <c r="A142" s="391"/>
      <c r="B142" s="391"/>
      <c r="C142" s="391"/>
      <c r="D142" s="391"/>
      <c r="E142" s="391"/>
      <c r="F142" s="391"/>
      <c r="G142" s="391"/>
      <c r="H142" s="391"/>
      <c r="I142" s="391"/>
      <c r="J142" s="391"/>
      <c r="K142" s="391"/>
      <c r="L142" s="391"/>
      <c r="M142" s="391"/>
      <c r="N142" s="391"/>
      <c r="O142" s="391"/>
      <c r="P142" s="391"/>
      <c r="Q142" s="391"/>
      <c r="R142" s="391"/>
      <c r="S142" s="391"/>
      <c r="T142" s="391"/>
      <c r="U142" s="391"/>
      <c r="V142" s="391"/>
      <c r="W142" s="391"/>
      <c r="X142" s="391"/>
      <c r="Y142" s="391"/>
      <c r="Z142" s="391"/>
      <c r="AA142" s="391"/>
      <c r="AB142" s="391"/>
      <c r="AC142" s="391"/>
      <c r="AD142" s="391"/>
      <c r="AE142" s="391"/>
    </row>
    <row r="143">
      <c r="A143" s="391"/>
      <c r="B143" s="391"/>
      <c r="C143" s="391"/>
      <c r="D143" s="391"/>
      <c r="E143" s="391"/>
      <c r="F143" s="391"/>
      <c r="G143" s="391"/>
      <c r="H143" s="391"/>
      <c r="I143" s="391"/>
      <c r="J143" s="391"/>
      <c r="K143" s="391"/>
      <c r="L143" s="391"/>
      <c r="M143" s="391"/>
      <c r="N143" s="391"/>
      <c r="O143" s="391"/>
      <c r="P143" s="391"/>
      <c r="Q143" s="391"/>
      <c r="R143" s="391"/>
      <c r="S143" s="391"/>
      <c r="T143" s="391"/>
      <c r="U143" s="391"/>
      <c r="V143" s="391"/>
      <c r="W143" s="391"/>
      <c r="X143" s="391"/>
      <c r="Y143" s="391"/>
      <c r="Z143" s="391"/>
      <c r="AA143" s="391"/>
      <c r="AB143" s="391"/>
      <c r="AC143" s="391"/>
      <c r="AD143" s="391"/>
      <c r="AE143" s="391"/>
    </row>
    <row r="144">
      <c r="A144" s="391"/>
      <c r="B144" s="391"/>
      <c r="C144" s="391"/>
      <c r="D144" s="391"/>
      <c r="E144" s="391"/>
      <c r="F144" s="391"/>
      <c r="G144" s="391"/>
      <c r="H144" s="391"/>
      <c r="I144" s="391"/>
      <c r="J144" s="391"/>
      <c r="K144" s="391"/>
      <c r="L144" s="391"/>
      <c r="M144" s="391"/>
      <c r="N144" s="391"/>
      <c r="O144" s="391"/>
      <c r="P144" s="391"/>
      <c r="Q144" s="391"/>
      <c r="R144" s="391"/>
      <c r="S144" s="391"/>
      <c r="T144" s="391"/>
      <c r="U144" s="391"/>
      <c r="V144" s="391"/>
      <c r="W144" s="391"/>
      <c r="X144" s="391"/>
      <c r="Y144" s="391"/>
      <c r="Z144" s="391"/>
      <c r="AA144" s="391"/>
      <c r="AB144" s="391"/>
      <c r="AC144" s="391"/>
      <c r="AD144" s="391"/>
      <c r="AE144" s="391"/>
    </row>
    <row r="145">
      <c r="A145" s="391"/>
      <c r="B145" s="391"/>
      <c r="C145" s="391"/>
      <c r="D145" s="391"/>
      <c r="E145" s="391"/>
      <c r="F145" s="391"/>
      <c r="G145" s="391"/>
      <c r="H145" s="391"/>
      <c r="I145" s="391"/>
      <c r="J145" s="391"/>
      <c r="K145" s="391"/>
      <c r="L145" s="391"/>
      <c r="M145" s="391"/>
      <c r="N145" s="391"/>
      <c r="O145" s="391"/>
      <c r="P145" s="391"/>
      <c r="Q145" s="391"/>
      <c r="R145" s="391"/>
      <c r="S145" s="391"/>
      <c r="T145" s="391"/>
      <c r="U145" s="391"/>
      <c r="V145" s="391"/>
      <c r="W145" s="391"/>
      <c r="X145" s="391"/>
      <c r="Y145" s="391"/>
      <c r="Z145" s="391"/>
      <c r="AA145" s="391"/>
      <c r="AB145" s="391"/>
      <c r="AC145" s="391"/>
      <c r="AD145" s="391"/>
      <c r="AE145" s="391"/>
    </row>
    <row r="146">
      <c r="A146" s="391"/>
      <c r="B146" s="391"/>
      <c r="C146" s="391"/>
      <c r="D146" s="391"/>
      <c r="E146" s="391"/>
      <c r="F146" s="391"/>
      <c r="G146" s="391"/>
      <c r="H146" s="391"/>
      <c r="I146" s="391"/>
      <c r="J146" s="391"/>
      <c r="K146" s="391"/>
      <c r="L146" s="391"/>
      <c r="M146" s="391"/>
      <c r="N146" s="391"/>
      <c r="O146" s="391"/>
      <c r="P146" s="391"/>
      <c r="Q146" s="391"/>
      <c r="R146" s="391"/>
      <c r="S146" s="391"/>
      <c r="T146" s="391"/>
      <c r="U146" s="391"/>
      <c r="V146" s="391"/>
      <c r="W146" s="391"/>
      <c r="X146" s="391"/>
      <c r="Y146" s="391"/>
      <c r="Z146" s="391"/>
      <c r="AA146" s="391"/>
      <c r="AB146" s="391"/>
      <c r="AC146" s="391"/>
      <c r="AD146" s="391"/>
      <c r="AE146" s="391"/>
    </row>
    <row r="147">
      <c r="A147" s="391"/>
      <c r="B147" s="391"/>
      <c r="C147" s="391"/>
      <c r="D147" s="391"/>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c r="AA147" s="391"/>
      <c r="AB147" s="391"/>
      <c r="AC147" s="391"/>
      <c r="AD147" s="391"/>
      <c r="AE147" s="391"/>
    </row>
    <row r="148">
      <c r="A148" s="391"/>
      <c r="B148" s="391"/>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row>
    <row r="149">
      <c r="A149" s="391"/>
      <c r="B149" s="391"/>
      <c r="C149" s="391"/>
      <c r="D149" s="391"/>
      <c r="E149" s="391"/>
      <c r="F149" s="391"/>
      <c r="G149" s="391"/>
      <c r="H149" s="391"/>
      <c r="I149" s="391"/>
      <c r="J149" s="391"/>
      <c r="K149" s="391"/>
      <c r="L149" s="391"/>
      <c r="M149" s="391"/>
      <c r="N149" s="391"/>
      <c r="O149" s="391"/>
      <c r="P149" s="391"/>
      <c r="Q149" s="391"/>
      <c r="R149" s="391"/>
      <c r="S149" s="391"/>
      <c r="T149" s="391"/>
      <c r="U149" s="391"/>
      <c r="V149" s="391"/>
      <c r="W149" s="391"/>
      <c r="X149" s="391"/>
      <c r="Y149" s="391"/>
      <c r="Z149" s="391"/>
      <c r="AA149" s="391"/>
      <c r="AB149" s="391"/>
      <c r="AC149" s="391"/>
      <c r="AD149" s="391"/>
      <c r="AE149" s="391"/>
    </row>
    <row r="150">
      <c r="A150" s="391"/>
      <c r="B150" s="391"/>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row>
    <row r="151">
      <c r="A151" s="391"/>
      <c r="B151" s="391"/>
      <c r="C151" s="391"/>
      <c r="D151" s="391"/>
      <c r="E151" s="391"/>
      <c r="F151" s="391"/>
      <c r="G151" s="391"/>
      <c r="H151" s="391"/>
      <c r="I151" s="391"/>
      <c r="J151" s="391"/>
      <c r="K151" s="391"/>
      <c r="L151" s="391"/>
      <c r="M151" s="391"/>
      <c r="N151" s="391"/>
      <c r="O151" s="391"/>
      <c r="P151" s="391"/>
      <c r="Q151" s="391"/>
      <c r="R151" s="391"/>
      <c r="S151" s="391"/>
      <c r="T151" s="391"/>
      <c r="U151" s="391"/>
      <c r="V151" s="391"/>
      <c r="W151" s="391"/>
      <c r="X151" s="391"/>
      <c r="Y151" s="391"/>
      <c r="Z151" s="391"/>
      <c r="AA151" s="391"/>
      <c r="AB151" s="391"/>
      <c r="AC151" s="391"/>
      <c r="AD151" s="391"/>
      <c r="AE151" s="391"/>
    </row>
    <row r="152">
      <c r="A152" s="391"/>
      <c r="B152" s="391"/>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row>
    <row r="153">
      <c r="A153" s="391"/>
      <c r="B153" s="391"/>
      <c r="C153" s="391"/>
      <c r="D153" s="391"/>
      <c r="E153" s="391"/>
      <c r="F153" s="391"/>
      <c r="G153" s="391"/>
      <c r="H153" s="391"/>
      <c r="I153" s="391"/>
      <c r="J153" s="391"/>
      <c r="K153" s="391"/>
      <c r="L153" s="391"/>
      <c r="M153" s="391"/>
      <c r="N153" s="391"/>
      <c r="O153" s="391"/>
      <c r="P153" s="391"/>
      <c r="Q153" s="391"/>
      <c r="R153" s="391"/>
      <c r="S153" s="391"/>
      <c r="T153" s="391"/>
      <c r="U153" s="391"/>
      <c r="V153" s="391"/>
      <c r="W153" s="391"/>
      <c r="X153" s="391"/>
      <c r="Y153" s="391"/>
      <c r="Z153" s="391"/>
      <c r="AA153" s="391"/>
      <c r="AB153" s="391"/>
      <c r="AC153" s="391"/>
      <c r="AD153" s="391"/>
      <c r="AE153" s="391"/>
    </row>
    <row r="154">
      <c r="A154" s="391"/>
      <c r="B154" s="391"/>
      <c r="C154" s="391"/>
      <c r="D154" s="391"/>
      <c r="E154" s="391"/>
      <c r="F154" s="391"/>
      <c r="G154" s="391"/>
      <c r="H154" s="391"/>
      <c r="I154" s="391"/>
      <c r="J154" s="391"/>
      <c r="K154" s="391"/>
      <c r="L154" s="391"/>
      <c r="M154" s="391"/>
      <c r="N154" s="391"/>
      <c r="O154" s="391"/>
      <c r="P154" s="391"/>
      <c r="Q154" s="391"/>
      <c r="R154" s="391"/>
      <c r="S154" s="391"/>
      <c r="T154" s="391"/>
      <c r="U154" s="391"/>
      <c r="V154" s="391"/>
      <c r="W154" s="391"/>
      <c r="X154" s="391"/>
      <c r="Y154" s="391"/>
      <c r="Z154" s="391"/>
      <c r="AA154" s="391"/>
      <c r="AB154" s="391"/>
      <c r="AC154" s="391"/>
      <c r="AD154" s="391"/>
      <c r="AE154" s="391"/>
    </row>
    <row r="155">
      <c r="A155" s="391"/>
      <c r="B155" s="391"/>
      <c r="C155" s="391"/>
      <c r="D155" s="391"/>
      <c r="E155" s="391"/>
      <c r="F155" s="391"/>
      <c r="G155" s="391"/>
      <c r="H155" s="391"/>
      <c r="I155" s="391"/>
      <c r="J155" s="391"/>
      <c r="K155" s="391"/>
      <c r="L155" s="391"/>
      <c r="M155" s="391"/>
      <c r="N155" s="391"/>
      <c r="O155" s="391"/>
      <c r="P155" s="391"/>
      <c r="Q155" s="391"/>
      <c r="R155" s="391"/>
      <c r="S155" s="391"/>
      <c r="T155" s="391"/>
      <c r="U155" s="391"/>
      <c r="V155" s="391"/>
      <c r="W155" s="391"/>
      <c r="X155" s="391"/>
      <c r="Y155" s="391"/>
      <c r="Z155" s="391"/>
      <c r="AA155" s="391"/>
      <c r="AB155" s="391"/>
      <c r="AC155" s="391"/>
      <c r="AD155" s="391"/>
      <c r="AE155" s="391"/>
    </row>
    <row r="156">
      <c r="A156" s="391"/>
      <c r="B156" s="391"/>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c r="AA156" s="391"/>
      <c r="AB156" s="391"/>
      <c r="AC156" s="391"/>
      <c r="AD156" s="391"/>
      <c r="AE156" s="391"/>
    </row>
    <row r="157">
      <c r="A157" s="391"/>
      <c r="B157" s="391"/>
      <c r="C157" s="391"/>
      <c r="D157" s="391"/>
      <c r="E157" s="391"/>
      <c r="F157" s="391"/>
      <c r="G157" s="391"/>
      <c r="H157" s="391"/>
      <c r="I157" s="391"/>
      <c r="J157" s="391"/>
      <c r="K157" s="391"/>
      <c r="L157" s="391"/>
      <c r="M157" s="391"/>
      <c r="N157" s="391"/>
      <c r="O157" s="391"/>
      <c r="P157" s="391"/>
      <c r="Q157" s="391"/>
      <c r="R157" s="391"/>
      <c r="S157" s="391"/>
      <c r="T157" s="391"/>
      <c r="U157" s="391"/>
      <c r="V157" s="391"/>
      <c r="W157" s="391"/>
      <c r="X157" s="391"/>
      <c r="Y157" s="391"/>
      <c r="Z157" s="391"/>
      <c r="AA157" s="391"/>
      <c r="AB157" s="391"/>
      <c r="AC157" s="391"/>
      <c r="AD157" s="391"/>
      <c r="AE157" s="391"/>
    </row>
    <row r="158">
      <c r="A158" s="391"/>
      <c r="B158" s="391"/>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row>
    <row r="159">
      <c r="A159" s="391"/>
      <c r="B159" s="391"/>
      <c r="C159" s="391"/>
      <c r="D159" s="391"/>
      <c r="E159" s="391"/>
      <c r="F159" s="391"/>
      <c r="G159" s="391"/>
      <c r="H159" s="391"/>
      <c r="I159" s="391"/>
      <c r="J159" s="391"/>
      <c r="K159" s="391"/>
      <c r="L159" s="391"/>
      <c r="M159" s="391"/>
      <c r="N159" s="391"/>
      <c r="O159" s="391"/>
      <c r="P159" s="391"/>
      <c r="Q159" s="391"/>
      <c r="R159" s="391"/>
      <c r="S159" s="391"/>
      <c r="T159" s="391"/>
      <c r="U159" s="391"/>
      <c r="V159" s="391"/>
      <c r="W159" s="391"/>
      <c r="X159" s="391"/>
      <c r="Y159" s="391"/>
      <c r="Z159" s="391"/>
      <c r="AA159" s="391"/>
      <c r="AB159" s="391"/>
      <c r="AC159" s="391"/>
      <c r="AD159" s="391"/>
      <c r="AE159" s="391"/>
    </row>
    <row r="160">
      <c r="A160" s="391"/>
      <c r="B160" s="391"/>
      <c r="C160" s="391"/>
      <c r="D160" s="391"/>
      <c r="E160" s="391"/>
      <c r="F160" s="391"/>
      <c r="G160" s="391"/>
      <c r="H160" s="391"/>
      <c r="I160" s="391"/>
      <c r="J160" s="391"/>
      <c r="K160" s="391"/>
      <c r="L160" s="391"/>
      <c r="M160" s="391"/>
      <c r="N160" s="391"/>
      <c r="O160" s="391"/>
      <c r="P160" s="391"/>
      <c r="Q160" s="391"/>
      <c r="R160" s="391"/>
      <c r="S160" s="391"/>
      <c r="T160" s="391"/>
      <c r="U160" s="391"/>
      <c r="V160" s="391"/>
      <c r="W160" s="391"/>
      <c r="X160" s="391"/>
      <c r="Y160" s="391"/>
      <c r="Z160" s="391"/>
      <c r="AA160" s="391"/>
      <c r="AB160" s="391"/>
      <c r="AC160" s="391"/>
      <c r="AD160" s="391"/>
      <c r="AE160" s="391"/>
    </row>
    <row r="161">
      <c r="A161" s="391"/>
      <c r="B161" s="391"/>
      <c r="C161" s="391"/>
      <c r="D161" s="391"/>
      <c r="E161" s="391"/>
      <c r="F161" s="391"/>
      <c r="G161" s="391"/>
      <c r="H161" s="391"/>
      <c r="I161" s="391"/>
      <c r="J161" s="391"/>
      <c r="K161" s="391"/>
      <c r="L161" s="391"/>
      <c r="M161" s="391"/>
      <c r="N161" s="391"/>
      <c r="O161" s="391"/>
      <c r="P161" s="391"/>
      <c r="Q161" s="391"/>
      <c r="R161" s="391"/>
      <c r="S161" s="391"/>
      <c r="T161" s="391"/>
      <c r="U161" s="391"/>
      <c r="V161" s="391"/>
      <c r="W161" s="391"/>
      <c r="X161" s="391"/>
      <c r="Y161" s="391"/>
      <c r="Z161" s="391"/>
      <c r="AA161" s="391"/>
      <c r="AB161" s="391"/>
      <c r="AC161" s="391"/>
      <c r="AD161" s="391"/>
      <c r="AE161" s="391"/>
    </row>
    <row r="162">
      <c r="A162" s="391"/>
      <c r="B162" s="391"/>
      <c r="C162" s="391"/>
      <c r="D162" s="391"/>
      <c r="E162" s="391"/>
      <c r="F162" s="391"/>
      <c r="G162" s="391"/>
      <c r="H162" s="391"/>
      <c r="I162" s="391"/>
      <c r="J162" s="391"/>
      <c r="K162" s="391"/>
      <c r="L162" s="391"/>
      <c r="M162" s="391"/>
      <c r="N162" s="391"/>
      <c r="O162" s="391"/>
      <c r="P162" s="391"/>
      <c r="Q162" s="391"/>
      <c r="R162" s="391"/>
      <c r="S162" s="391"/>
      <c r="T162" s="391"/>
      <c r="U162" s="391"/>
      <c r="V162" s="391"/>
      <c r="W162" s="391"/>
      <c r="X162" s="391"/>
      <c r="Y162" s="391"/>
      <c r="Z162" s="391"/>
      <c r="AA162" s="391"/>
      <c r="AB162" s="391"/>
      <c r="AC162" s="391"/>
      <c r="AD162" s="391"/>
      <c r="AE162" s="391"/>
    </row>
    <row r="163">
      <c r="A163" s="391"/>
      <c r="B163" s="391"/>
      <c r="C163" s="391"/>
      <c r="D163" s="391"/>
      <c r="E163" s="391"/>
      <c r="F163" s="391"/>
      <c r="G163" s="391"/>
      <c r="H163" s="391"/>
      <c r="I163" s="391"/>
      <c r="J163" s="391"/>
      <c r="K163" s="391"/>
      <c r="L163" s="391"/>
      <c r="M163" s="391"/>
      <c r="N163" s="391"/>
      <c r="O163" s="391"/>
      <c r="P163" s="391"/>
      <c r="Q163" s="391"/>
      <c r="R163" s="391"/>
      <c r="S163" s="391"/>
      <c r="T163" s="391"/>
      <c r="U163" s="391"/>
      <c r="V163" s="391"/>
      <c r="W163" s="391"/>
      <c r="X163" s="391"/>
      <c r="Y163" s="391"/>
      <c r="Z163" s="391"/>
      <c r="AA163" s="391"/>
      <c r="AB163" s="391"/>
      <c r="AC163" s="391"/>
      <c r="AD163" s="391"/>
      <c r="AE163" s="391"/>
    </row>
    <row r="164">
      <c r="A164" s="391"/>
      <c r="B164" s="391"/>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row>
    <row r="165">
      <c r="A165" s="391"/>
      <c r="B165" s="391"/>
      <c r="C165" s="391"/>
      <c r="D165" s="391"/>
      <c r="E165" s="391"/>
      <c r="F165" s="391"/>
      <c r="G165" s="391"/>
      <c r="H165" s="391"/>
      <c r="I165" s="391"/>
      <c r="J165" s="391"/>
      <c r="K165" s="391"/>
      <c r="L165" s="391"/>
      <c r="M165" s="391"/>
      <c r="N165" s="391"/>
      <c r="O165" s="391"/>
      <c r="P165" s="391"/>
      <c r="Q165" s="391"/>
      <c r="R165" s="391"/>
      <c r="S165" s="391"/>
      <c r="T165" s="391"/>
      <c r="U165" s="391"/>
      <c r="V165" s="391"/>
      <c r="W165" s="391"/>
      <c r="X165" s="391"/>
      <c r="Y165" s="391"/>
      <c r="Z165" s="391"/>
      <c r="AA165" s="391"/>
      <c r="AB165" s="391"/>
      <c r="AC165" s="391"/>
      <c r="AD165" s="391"/>
      <c r="AE165" s="391"/>
    </row>
    <row r="166">
      <c r="A166" s="391"/>
      <c r="B166" s="391"/>
      <c r="C166" s="391"/>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c r="AA166" s="391"/>
      <c r="AB166" s="391"/>
      <c r="AC166" s="391"/>
      <c r="AD166" s="391"/>
      <c r="AE166" s="391"/>
    </row>
    <row r="167">
      <c r="A167" s="391"/>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c r="AA167" s="391"/>
      <c r="AB167" s="391"/>
      <c r="AC167" s="391"/>
      <c r="AD167" s="391"/>
      <c r="AE167" s="391"/>
    </row>
    <row r="168">
      <c r="A168" s="391"/>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c r="AA168" s="391"/>
      <c r="AB168" s="391"/>
      <c r="AC168" s="391"/>
      <c r="AD168" s="391"/>
      <c r="AE168" s="391"/>
    </row>
    <row r="169">
      <c r="A169" s="391"/>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row>
    <row r="170">
      <c r="A170" s="391"/>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row>
    <row r="171">
      <c r="A171" s="391"/>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c r="AA171" s="391"/>
      <c r="AB171" s="391"/>
      <c r="AC171" s="391"/>
      <c r="AD171" s="391"/>
      <c r="AE171" s="391"/>
    </row>
    <row r="172">
      <c r="A172" s="391"/>
      <c r="B172" s="391"/>
      <c r="C172" s="391"/>
      <c r="D172" s="391"/>
      <c r="E172" s="391"/>
      <c r="F172" s="391"/>
      <c r="G172" s="391"/>
      <c r="H172" s="391"/>
      <c r="I172" s="391"/>
      <c r="J172" s="391"/>
      <c r="K172" s="391"/>
      <c r="L172" s="391"/>
      <c r="M172" s="391"/>
      <c r="N172" s="391"/>
      <c r="O172" s="391"/>
      <c r="P172" s="391"/>
      <c r="Q172" s="391"/>
      <c r="R172" s="391"/>
      <c r="S172" s="391"/>
      <c r="T172" s="391"/>
      <c r="U172" s="391"/>
      <c r="V172" s="391"/>
      <c r="W172" s="391"/>
      <c r="X172" s="391"/>
      <c r="Y172" s="391"/>
      <c r="Z172" s="391"/>
      <c r="AA172" s="391"/>
      <c r="AB172" s="391"/>
      <c r="AC172" s="391"/>
      <c r="AD172" s="391"/>
      <c r="AE172" s="391"/>
    </row>
    <row r="173">
      <c r="A173" s="391"/>
      <c r="B173" s="391"/>
      <c r="C173" s="391"/>
      <c r="D173" s="391"/>
      <c r="E173" s="391"/>
      <c r="F173" s="391"/>
      <c r="G173" s="391"/>
      <c r="H173" s="391"/>
      <c r="I173" s="391"/>
      <c r="J173" s="391"/>
      <c r="K173" s="391"/>
      <c r="L173" s="391"/>
      <c r="M173" s="391"/>
      <c r="N173" s="391"/>
      <c r="O173" s="391"/>
      <c r="P173" s="391"/>
      <c r="Q173" s="391"/>
      <c r="R173" s="391"/>
      <c r="S173" s="391"/>
      <c r="T173" s="391"/>
      <c r="U173" s="391"/>
      <c r="V173" s="391"/>
      <c r="W173" s="391"/>
      <c r="X173" s="391"/>
      <c r="Y173" s="391"/>
      <c r="Z173" s="391"/>
      <c r="AA173" s="391"/>
      <c r="AB173" s="391"/>
      <c r="AC173" s="391"/>
      <c r="AD173" s="391"/>
      <c r="AE173" s="391"/>
    </row>
    <row r="174">
      <c r="A174" s="391"/>
      <c r="B174" s="391"/>
      <c r="C174" s="391"/>
      <c r="D174" s="391"/>
      <c r="E174" s="391"/>
      <c r="F174" s="391"/>
      <c r="G174" s="391"/>
      <c r="H174" s="391"/>
      <c r="I174" s="391"/>
      <c r="J174" s="391"/>
      <c r="K174" s="391"/>
      <c r="L174" s="391"/>
      <c r="M174" s="391"/>
      <c r="N174" s="391"/>
      <c r="O174" s="391"/>
      <c r="P174" s="391"/>
      <c r="Q174" s="391"/>
      <c r="R174" s="391"/>
      <c r="S174" s="391"/>
      <c r="T174" s="391"/>
      <c r="U174" s="391"/>
      <c r="V174" s="391"/>
      <c r="W174" s="391"/>
      <c r="X174" s="391"/>
      <c r="Y174" s="391"/>
      <c r="Z174" s="391"/>
      <c r="AA174" s="391"/>
      <c r="AB174" s="391"/>
      <c r="AC174" s="391"/>
      <c r="AD174" s="391"/>
      <c r="AE174" s="391"/>
    </row>
    <row r="175">
      <c r="A175" s="391"/>
      <c r="B175" s="391"/>
      <c r="C175" s="391"/>
      <c r="D175" s="391"/>
      <c r="E175" s="391"/>
      <c r="F175" s="391"/>
      <c r="G175" s="391"/>
      <c r="H175" s="391"/>
      <c r="I175" s="391"/>
      <c r="J175" s="391"/>
      <c r="K175" s="391"/>
      <c r="L175" s="391"/>
      <c r="M175" s="391"/>
      <c r="N175" s="391"/>
      <c r="O175" s="391"/>
      <c r="P175" s="391"/>
      <c r="Q175" s="391"/>
      <c r="R175" s="391"/>
      <c r="S175" s="391"/>
      <c r="T175" s="391"/>
      <c r="U175" s="391"/>
      <c r="V175" s="391"/>
      <c r="W175" s="391"/>
      <c r="X175" s="391"/>
      <c r="Y175" s="391"/>
      <c r="Z175" s="391"/>
      <c r="AA175" s="391"/>
      <c r="AB175" s="391"/>
      <c r="AC175" s="391"/>
      <c r="AD175" s="391"/>
      <c r="AE175" s="391"/>
    </row>
    <row r="176">
      <c r="A176" s="391"/>
      <c r="B176" s="391"/>
      <c r="C176" s="391"/>
      <c r="D176" s="391"/>
      <c r="E176" s="391"/>
      <c r="F176" s="391"/>
      <c r="G176" s="391"/>
      <c r="H176" s="391"/>
      <c r="I176" s="391"/>
      <c r="J176" s="391"/>
      <c r="K176" s="391"/>
      <c r="L176" s="391"/>
      <c r="M176" s="391"/>
      <c r="N176" s="391"/>
      <c r="O176" s="391"/>
      <c r="P176" s="391"/>
      <c r="Q176" s="391"/>
      <c r="R176" s="391"/>
      <c r="S176" s="391"/>
      <c r="T176" s="391"/>
      <c r="U176" s="391"/>
      <c r="V176" s="391"/>
      <c r="W176" s="391"/>
      <c r="X176" s="391"/>
      <c r="Y176" s="391"/>
      <c r="Z176" s="391"/>
      <c r="AA176" s="391"/>
      <c r="AB176" s="391"/>
      <c r="AC176" s="391"/>
      <c r="AD176" s="391"/>
      <c r="AE176" s="391"/>
    </row>
    <row r="177">
      <c r="A177" s="391"/>
      <c r="B177" s="391"/>
      <c r="C177" s="391"/>
      <c r="D177" s="391"/>
      <c r="E177" s="391"/>
      <c r="F177" s="391"/>
      <c r="G177" s="391"/>
      <c r="H177" s="391"/>
      <c r="I177" s="391"/>
      <c r="J177" s="391"/>
      <c r="K177" s="391"/>
      <c r="L177" s="391"/>
      <c r="M177" s="391"/>
      <c r="N177" s="391"/>
      <c r="O177" s="391"/>
      <c r="P177" s="391"/>
      <c r="Q177" s="391"/>
      <c r="R177" s="391"/>
      <c r="S177" s="391"/>
      <c r="T177" s="391"/>
      <c r="U177" s="391"/>
      <c r="V177" s="391"/>
      <c r="W177" s="391"/>
      <c r="X177" s="391"/>
      <c r="Y177" s="391"/>
      <c r="Z177" s="391"/>
      <c r="AA177" s="391"/>
      <c r="AB177" s="391"/>
      <c r="AC177" s="391"/>
      <c r="AD177" s="391"/>
      <c r="AE177" s="391"/>
    </row>
    <row r="178">
      <c r="A178" s="391"/>
      <c r="B178" s="391"/>
      <c r="C178" s="391"/>
      <c r="D178" s="391"/>
      <c r="E178" s="391"/>
      <c r="F178" s="391"/>
      <c r="G178" s="391"/>
      <c r="H178" s="391"/>
      <c r="I178" s="391"/>
      <c r="J178" s="391"/>
      <c r="K178" s="391"/>
      <c r="L178" s="391"/>
      <c r="M178" s="391"/>
      <c r="N178" s="391"/>
      <c r="O178" s="391"/>
      <c r="P178" s="391"/>
      <c r="Q178" s="391"/>
      <c r="R178" s="391"/>
      <c r="S178" s="391"/>
      <c r="T178" s="391"/>
      <c r="U178" s="391"/>
      <c r="V178" s="391"/>
      <c r="W178" s="391"/>
      <c r="X178" s="391"/>
      <c r="Y178" s="391"/>
      <c r="Z178" s="391"/>
      <c r="AA178" s="391"/>
      <c r="AB178" s="391"/>
      <c r="AC178" s="391"/>
      <c r="AD178" s="391"/>
      <c r="AE178" s="391"/>
    </row>
    <row r="179">
      <c r="A179" s="391"/>
      <c r="B179" s="391"/>
      <c r="C179" s="391"/>
      <c r="D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c r="AA179" s="391"/>
      <c r="AB179" s="391"/>
      <c r="AC179" s="391"/>
      <c r="AD179" s="391"/>
      <c r="AE179" s="391"/>
    </row>
    <row r="180">
      <c r="A180" s="391"/>
      <c r="B180" s="391"/>
      <c r="C180" s="391"/>
      <c r="D180" s="391"/>
      <c r="E180" s="391"/>
      <c r="F180" s="391"/>
      <c r="G180" s="391"/>
      <c r="H180" s="391"/>
      <c r="I180" s="391"/>
      <c r="J180" s="391"/>
      <c r="K180" s="391"/>
      <c r="L180" s="391"/>
      <c r="M180" s="391"/>
      <c r="N180" s="391"/>
      <c r="O180" s="391"/>
      <c r="P180" s="391"/>
      <c r="Q180" s="391"/>
      <c r="R180" s="391"/>
      <c r="S180" s="391"/>
      <c r="T180" s="391"/>
      <c r="U180" s="391"/>
      <c r="V180" s="391"/>
      <c r="W180" s="391"/>
      <c r="X180" s="391"/>
      <c r="Y180" s="391"/>
      <c r="Z180" s="391"/>
      <c r="AA180" s="391"/>
      <c r="AB180" s="391"/>
      <c r="AC180" s="391"/>
      <c r="AD180" s="391"/>
      <c r="AE180" s="391"/>
    </row>
    <row r="181">
      <c r="A181" s="391"/>
      <c r="B181" s="391"/>
      <c r="C181" s="391"/>
      <c r="D181" s="391"/>
      <c r="E181" s="391"/>
      <c r="F181" s="391"/>
      <c r="G181" s="391"/>
      <c r="H181" s="391"/>
      <c r="I181" s="391"/>
      <c r="J181" s="391"/>
      <c r="K181" s="391"/>
      <c r="L181" s="391"/>
      <c r="M181" s="391"/>
      <c r="N181" s="391"/>
      <c r="O181" s="391"/>
      <c r="P181" s="391"/>
      <c r="Q181" s="391"/>
      <c r="R181" s="391"/>
      <c r="S181" s="391"/>
      <c r="T181" s="391"/>
      <c r="U181" s="391"/>
      <c r="V181" s="391"/>
      <c r="W181" s="391"/>
      <c r="X181" s="391"/>
      <c r="Y181" s="391"/>
      <c r="Z181" s="391"/>
      <c r="AA181" s="391"/>
      <c r="AB181" s="391"/>
      <c r="AC181" s="391"/>
      <c r="AD181" s="391"/>
      <c r="AE181" s="391"/>
    </row>
    <row r="182">
      <c r="A182" s="391"/>
      <c r="B182" s="391"/>
      <c r="C182" s="391"/>
      <c r="D182" s="391"/>
      <c r="E182" s="391"/>
      <c r="F182" s="391"/>
      <c r="G182" s="391"/>
      <c r="H182" s="391"/>
      <c r="I182" s="391"/>
      <c r="J182" s="391"/>
      <c r="K182" s="391"/>
      <c r="L182" s="391"/>
      <c r="M182" s="391"/>
      <c r="N182" s="391"/>
      <c r="O182" s="391"/>
      <c r="P182" s="391"/>
      <c r="Q182" s="391"/>
      <c r="R182" s="391"/>
      <c r="S182" s="391"/>
      <c r="T182" s="391"/>
      <c r="U182" s="391"/>
      <c r="V182" s="391"/>
      <c r="W182" s="391"/>
      <c r="X182" s="391"/>
      <c r="Y182" s="391"/>
      <c r="Z182" s="391"/>
      <c r="AA182" s="391"/>
      <c r="AB182" s="391"/>
      <c r="AC182" s="391"/>
      <c r="AD182" s="391"/>
      <c r="AE182" s="391"/>
    </row>
    <row r="183">
      <c r="A183" s="391"/>
      <c r="B183" s="391"/>
      <c r="C183" s="391"/>
      <c r="D183" s="391"/>
      <c r="E183" s="391"/>
      <c r="F183" s="391"/>
      <c r="G183" s="391"/>
      <c r="H183" s="391"/>
      <c r="I183" s="391"/>
      <c r="J183" s="391"/>
      <c r="K183" s="391"/>
      <c r="L183" s="391"/>
      <c r="M183" s="391"/>
      <c r="N183" s="391"/>
      <c r="O183" s="391"/>
      <c r="P183" s="391"/>
      <c r="Q183" s="391"/>
      <c r="R183" s="391"/>
      <c r="S183" s="391"/>
      <c r="T183" s="391"/>
      <c r="U183" s="391"/>
      <c r="V183" s="391"/>
      <c r="W183" s="391"/>
      <c r="X183" s="391"/>
      <c r="Y183" s="391"/>
      <c r="Z183" s="391"/>
      <c r="AA183" s="391"/>
      <c r="AB183" s="391"/>
      <c r="AC183" s="391"/>
      <c r="AD183" s="391"/>
      <c r="AE183" s="391"/>
    </row>
    <row r="184">
      <c r="A184" s="391"/>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row>
    <row r="185">
      <c r="A185" s="391"/>
      <c r="B185" s="391"/>
      <c r="C185" s="391"/>
      <c r="D185" s="391"/>
      <c r="E185" s="391"/>
      <c r="F185" s="391"/>
      <c r="G185" s="391"/>
      <c r="H185" s="391"/>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row>
    <row r="186">
      <c r="A186" s="391"/>
      <c r="B186" s="391"/>
      <c r="C186" s="391"/>
      <c r="D186" s="391"/>
      <c r="E186" s="391"/>
      <c r="F186" s="391"/>
      <c r="G186" s="391"/>
      <c r="H186" s="391"/>
      <c r="I186" s="391"/>
      <c r="J186" s="391"/>
      <c r="K186" s="391"/>
      <c r="L186" s="391"/>
      <c r="M186" s="391"/>
      <c r="N186" s="391"/>
      <c r="O186" s="391"/>
      <c r="P186" s="391"/>
      <c r="Q186" s="391"/>
      <c r="R186" s="391"/>
      <c r="S186" s="391"/>
      <c r="T186" s="391"/>
      <c r="U186" s="391"/>
      <c r="V186" s="391"/>
      <c r="W186" s="391"/>
      <c r="X186" s="391"/>
      <c r="Y186" s="391"/>
      <c r="Z186" s="391"/>
      <c r="AA186" s="391"/>
      <c r="AB186" s="391"/>
      <c r="AC186" s="391"/>
      <c r="AD186" s="391"/>
      <c r="AE186" s="391"/>
    </row>
    <row r="187">
      <c r="A187" s="391"/>
      <c r="B187" s="391"/>
      <c r="C187" s="391"/>
      <c r="D187" s="391"/>
      <c r="E187" s="391"/>
      <c r="F187" s="391"/>
      <c r="G187" s="391"/>
      <c r="H187" s="391"/>
      <c r="I187" s="391"/>
      <c r="J187" s="391"/>
      <c r="K187" s="391"/>
      <c r="L187" s="391"/>
      <c r="M187" s="391"/>
      <c r="N187" s="391"/>
      <c r="O187" s="391"/>
      <c r="P187" s="391"/>
      <c r="Q187" s="391"/>
      <c r="R187" s="391"/>
      <c r="S187" s="391"/>
      <c r="T187" s="391"/>
      <c r="U187" s="391"/>
      <c r="V187" s="391"/>
      <c r="W187" s="391"/>
      <c r="X187" s="391"/>
      <c r="Y187" s="391"/>
      <c r="Z187" s="391"/>
      <c r="AA187" s="391"/>
      <c r="AB187" s="391"/>
      <c r="AC187" s="391"/>
      <c r="AD187" s="391"/>
      <c r="AE187" s="391"/>
    </row>
    <row r="188">
      <c r="A188" s="391"/>
      <c r="B188" s="391"/>
      <c r="C188" s="391"/>
      <c r="D188" s="391"/>
      <c r="E188" s="391"/>
      <c r="F188" s="391"/>
      <c r="G188" s="391"/>
      <c r="H188" s="391"/>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row>
    <row r="189">
      <c r="A189" s="391"/>
      <c r="B189" s="391"/>
      <c r="C189" s="391"/>
      <c r="D189" s="391"/>
      <c r="E189" s="391"/>
      <c r="F189" s="391"/>
      <c r="G189" s="391"/>
      <c r="H189" s="391"/>
      <c r="I189" s="391"/>
      <c r="J189" s="391"/>
      <c r="K189" s="391"/>
      <c r="L189" s="391"/>
      <c r="M189" s="391"/>
      <c r="N189" s="391"/>
      <c r="O189" s="391"/>
      <c r="P189" s="391"/>
      <c r="Q189" s="391"/>
      <c r="R189" s="391"/>
      <c r="S189" s="391"/>
      <c r="T189" s="391"/>
      <c r="U189" s="391"/>
      <c r="V189" s="391"/>
      <c r="W189" s="391"/>
      <c r="X189" s="391"/>
      <c r="Y189" s="391"/>
      <c r="Z189" s="391"/>
      <c r="AA189" s="391"/>
      <c r="AB189" s="391"/>
      <c r="AC189" s="391"/>
      <c r="AD189" s="391"/>
      <c r="AE189" s="391"/>
    </row>
    <row r="190">
      <c r="A190" s="391"/>
      <c r="B190" s="391"/>
      <c r="C190" s="391"/>
      <c r="D190" s="391"/>
      <c r="E190" s="391"/>
      <c r="F190" s="391"/>
      <c r="G190" s="391"/>
      <c r="H190" s="391"/>
      <c r="I190" s="391"/>
      <c r="J190" s="391"/>
      <c r="K190" s="391"/>
      <c r="L190" s="391"/>
      <c r="M190" s="391"/>
      <c r="N190" s="391"/>
      <c r="O190" s="391"/>
      <c r="P190" s="391"/>
      <c r="Q190" s="391"/>
      <c r="R190" s="391"/>
      <c r="S190" s="391"/>
      <c r="T190" s="391"/>
      <c r="U190" s="391"/>
      <c r="V190" s="391"/>
      <c r="W190" s="391"/>
      <c r="X190" s="391"/>
      <c r="Y190" s="391"/>
      <c r="Z190" s="391"/>
      <c r="AA190" s="391"/>
      <c r="AB190" s="391"/>
      <c r="AC190" s="391"/>
      <c r="AD190" s="391"/>
      <c r="AE190" s="391"/>
    </row>
    <row r="191">
      <c r="A191" s="391"/>
      <c r="B191" s="391"/>
      <c r="C191" s="391"/>
      <c r="D191" s="391"/>
      <c r="E191" s="391"/>
      <c r="F191" s="391"/>
      <c r="G191" s="391"/>
      <c r="H191" s="391"/>
      <c r="I191" s="391"/>
      <c r="J191" s="391"/>
      <c r="K191" s="391"/>
      <c r="L191" s="391"/>
      <c r="M191" s="391"/>
      <c r="N191" s="391"/>
      <c r="O191" s="391"/>
      <c r="P191" s="391"/>
      <c r="Q191" s="391"/>
      <c r="R191" s="391"/>
      <c r="S191" s="391"/>
      <c r="T191" s="391"/>
      <c r="U191" s="391"/>
      <c r="V191" s="391"/>
      <c r="W191" s="391"/>
      <c r="X191" s="391"/>
      <c r="Y191" s="391"/>
      <c r="Z191" s="391"/>
      <c r="AA191" s="391"/>
      <c r="AB191" s="391"/>
      <c r="AC191" s="391"/>
      <c r="AD191" s="391"/>
      <c r="AE191" s="391"/>
    </row>
    <row r="192">
      <c r="A192" s="391"/>
      <c r="B192" s="391"/>
      <c r="C192" s="391"/>
      <c r="D192" s="391"/>
      <c r="E192" s="391"/>
      <c r="F192" s="391"/>
      <c r="G192" s="391"/>
      <c r="H192" s="391"/>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row>
    <row r="193">
      <c r="A193" s="391"/>
      <c r="B193" s="391"/>
      <c r="C193" s="391"/>
      <c r="D193" s="391"/>
      <c r="E193" s="391"/>
      <c r="F193" s="391"/>
      <c r="G193" s="391"/>
      <c r="H193" s="391"/>
      <c r="I193" s="391"/>
      <c r="J193" s="391"/>
      <c r="K193" s="391"/>
      <c r="L193" s="391"/>
      <c r="M193" s="391"/>
      <c r="N193" s="391"/>
      <c r="O193" s="391"/>
      <c r="P193" s="391"/>
      <c r="Q193" s="391"/>
      <c r="R193" s="391"/>
      <c r="S193" s="391"/>
      <c r="T193" s="391"/>
      <c r="U193" s="391"/>
      <c r="V193" s="391"/>
      <c r="W193" s="391"/>
      <c r="X193" s="391"/>
      <c r="Y193" s="391"/>
      <c r="Z193" s="391"/>
      <c r="AA193" s="391"/>
      <c r="AB193" s="391"/>
      <c r="AC193" s="391"/>
      <c r="AD193" s="391"/>
      <c r="AE193" s="391"/>
    </row>
    <row r="194">
      <c r="A194" s="391"/>
      <c r="B194" s="391"/>
      <c r="C194" s="391"/>
      <c r="D194" s="391"/>
      <c r="E194" s="391"/>
      <c r="F194" s="391"/>
      <c r="G194" s="391"/>
      <c r="H194" s="391"/>
      <c r="I194" s="391"/>
      <c r="J194" s="391"/>
      <c r="K194" s="391"/>
      <c r="L194" s="391"/>
      <c r="M194" s="391"/>
      <c r="N194" s="391"/>
      <c r="O194" s="391"/>
      <c r="P194" s="391"/>
      <c r="Q194" s="391"/>
      <c r="R194" s="391"/>
      <c r="S194" s="391"/>
      <c r="T194" s="391"/>
      <c r="U194" s="391"/>
      <c r="V194" s="391"/>
      <c r="W194" s="391"/>
      <c r="X194" s="391"/>
      <c r="Y194" s="391"/>
      <c r="Z194" s="391"/>
      <c r="AA194" s="391"/>
      <c r="AB194" s="391"/>
      <c r="AC194" s="391"/>
      <c r="AD194" s="391"/>
      <c r="AE194" s="391"/>
    </row>
    <row r="195">
      <c r="A195" s="391"/>
      <c r="B195" s="391"/>
      <c r="C195" s="391"/>
      <c r="D195" s="391"/>
      <c r="E195" s="391"/>
      <c r="F195" s="391"/>
      <c r="G195" s="391"/>
      <c r="H195" s="391"/>
      <c r="I195" s="391"/>
      <c r="J195" s="391"/>
      <c r="K195" s="391"/>
      <c r="L195" s="391"/>
      <c r="M195" s="391"/>
      <c r="N195" s="391"/>
      <c r="O195" s="391"/>
      <c r="P195" s="391"/>
      <c r="Q195" s="391"/>
      <c r="R195" s="391"/>
      <c r="S195" s="391"/>
      <c r="T195" s="391"/>
      <c r="U195" s="391"/>
      <c r="V195" s="391"/>
      <c r="W195" s="391"/>
      <c r="X195" s="391"/>
      <c r="Y195" s="391"/>
      <c r="Z195" s="391"/>
      <c r="AA195" s="391"/>
      <c r="AB195" s="391"/>
      <c r="AC195" s="391"/>
      <c r="AD195" s="391"/>
      <c r="AE195" s="391"/>
    </row>
    <row r="196">
      <c r="A196" s="391"/>
      <c r="B196" s="391"/>
      <c r="C196" s="391"/>
      <c r="D196" s="391"/>
      <c r="E196" s="391"/>
      <c r="F196" s="391"/>
      <c r="G196" s="391"/>
      <c r="H196" s="391"/>
      <c r="I196" s="391"/>
      <c r="J196" s="391"/>
      <c r="K196" s="391"/>
      <c r="L196" s="391"/>
      <c r="M196" s="391"/>
      <c r="N196" s="391"/>
      <c r="O196" s="391"/>
      <c r="P196" s="391"/>
      <c r="Q196" s="391"/>
      <c r="R196" s="391"/>
      <c r="S196" s="391"/>
      <c r="T196" s="391"/>
      <c r="U196" s="391"/>
      <c r="V196" s="391"/>
      <c r="W196" s="391"/>
      <c r="X196" s="391"/>
      <c r="Y196" s="391"/>
      <c r="Z196" s="391"/>
      <c r="AA196" s="391"/>
      <c r="AB196" s="391"/>
      <c r="AC196" s="391"/>
      <c r="AD196" s="391"/>
      <c r="AE196" s="391"/>
    </row>
    <row r="197">
      <c r="A197" s="391"/>
      <c r="B197" s="391"/>
      <c r="C197" s="391"/>
      <c r="D197" s="391"/>
      <c r="E197" s="391"/>
      <c r="F197" s="391"/>
      <c r="G197" s="391"/>
      <c r="H197" s="391"/>
      <c r="I197" s="391"/>
      <c r="J197" s="391"/>
      <c r="K197" s="391"/>
      <c r="L197" s="391"/>
      <c r="M197" s="391"/>
      <c r="N197" s="391"/>
      <c r="O197" s="391"/>
      <c r="P197" s="391"/>
      <c r="Q197" s="391"/>
      <c r="R197" s="391"/>
      <c r="S197" s="391"/>
      <c r="T197" s="391"/>
      <c r="U197" s="391"/>
      <c r="V197" s="391"/>
      <c r="W197" s="391"/>
      <c r="X197" s="391"/>
      <c r="Y197" s="391"/>
      <c r="Z197" s="391"/>
      <c r="AA197" s="391"/>
      <c r="AB197" s="391"/>
      <c r="AC197" s="391"/>
      <c r="AD197" s="391"/>
      <c r="AE197" s="391"/>
    </row>
    <row r="198">
      <c r="A198" s="391"/>
      <c r="B198" s="391"/>
      <c r="C198" s="391"/>
      <c r="D198" s="391"/>
      <c r="E198" s="391"/>
      <c r="F198" s="391"/>
      <c r="G198" s="391"/>
      <c r="H198" s="391"/>
      <c r="I198" s="391"/>
      <c r="J198" s="391"/>
      <c r="K198" s="391"/>
      <c r="L198" s="391"/>
      <c r="M198" s="391"/>
      <c r="N198" s="391"/>
      <c r="O198" s="391"/>
      <c r="P198" s="391"/>
      <c r="Q198" s="391"/>
      <c r="R198" s="391"/>
      <c r="S198" s="391"/>
      <c r="T198" s="391"/>
      <c r="U198" s="391"/>
      <c r="V198" s="391"/>
      <c r="W198" s="391"/>
      <c r="X198" s="391"/>
      <c r="Y198" s="391"/>
      <c r="Z198" s="391"/>
      <c r="AA198" s="391"/>
      <c r="AB198" s="391"/>
      <c r="AC198" s="391"/>
      <c r="AD198" s="391"/>
      <c r="AE198" s="391"/>
    </row>
    <row r="199">
      <c r="A199" s="391"/>
      <c r="B199" s="391"/>
      <c r="C199" s="391"/>
      <c r="D199" s="391"/>
      <c r="E199" s="391"/>
      <c r="F199" s="391"/>
      <c r="G199" s="391"/>
      <c r="H199" s="391"/>
      <c r="I199" s="391"/>
      <c r="J199" s="391"/>
      <c r="K199" s="391"/>
      <c r="L199" s="391"/>
      <c r="M199" s="391"/>
      <c r="N199" s="391"/>
      <c r="O199" s="391"/>
      <c r="P199" s="391"/>
      <c r="Q199" s="391"/>
      <c r="R199" s="391"/>
      <c r="S199" s="391"/>
      <c r="T199" s="391"/>
      <c r="U199" s="391"/>
      <c r="V199" s="391"/>
      <c r="W199" s="391"/>
      <c r="X199" s="391"/>
      <c r="Y199" s="391"/>
      <c r="Z199" s="391"/>
      <c r="AA199" s="391"/>
      <c r="AB199" s="391"/>
      <c r="AC199" s="391"/>
      <c r="AD199" s="391"/>
      <c r="AE199" s="391"/>
    </row>
    <row r="200">
      <c r="A200" s="39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c r="AA200" s="391"/>
      <c r="AB200" s="391"/>
      <c r="AC200" s="391"/>
      <c r="AD200" s="391"/>
      <c r="AE200" s="391"/>
    </row>
    <row r="201">
      <c r="A201" s="391"/>
      <c r="B201" s="391"/>
      <c r="C201" s="391"/>
      <c r="D201" s="391"/>
      <c r="E201" s="391"/>
      <c r="F201" s="391"/>
      <c r="G201" s="391"/>
      <c r="H201" s="391"/>
      <c r="I201" s="391"/>
      <c r="J201" s="391"/>
      <c r="K201" s="391"/>
      <c r="L201" s="391"/>
      <c r="M201" s="391"/>
      <c r="N201" s="391"/>
      <c r="O201" s="391"/>
      <c r="P201" s="391"/>
      <c r="Q201" s="391"/>
      <c r="R201" s="391"/>
      <c r="S201" s="391"/>
      <c r="T201" s="391"/>
      <c r="U201" s="391"/>
      <c r="V201" s="391"/>
      <c r="W201" s="391"/>
      <c r="X201" s="391"/>
      <c r="Y201" s="391"/>
      <c r="Z201" s="391"/>
      <c r="AA201" s="391"/>
      <c r="AB201" s="391"/>
      <c r="AC201" s="391"/>
      <c r="AD201" s="391"/>
      <c r="AE201" s="391"/>
    </row>
    <row r="202">
      <c r="A202" s="391"/>
      <c r="B202" s="391"/>
      <c r="C202" s="391"/>
      <c r="D202" s="391"/>
      <c r="E202" s="391"/>
      <c r="F202" s="391"/>
      <c r="G202" s="391"/>
      <c r="H202" s="391"/>
      <c r="I202" s="391"/>
      <c r="J202" s="391"/>
      <c r="K202" s="391"/>
      <c r="L202" s="391"/>
      <c r="M202" s="391"/>
      <c r="N202" s="391"/>
      <c r="O202" s="391"/>
      <c r="P202" s="391"/>
      <c r="Q202" s="391"/>
      <c r="R202" s="391"/>
      <c r="S202" s="391"/>
      <c r="T202" s="391"/>
      <c r="U202" s="391"/>
      <c r="V202" s="391"/>
      <c r="W202" s="391"/>
      <c r="X202" s="391"/>
      <c r="Y202" s="391"/>
      <c r="Z202" s="391"/>
      <c r="AA202" s="391"/>
      <c r="AB202" s="391"/>
      <c r="AC202" s="391"/>
      <c r="AD202" s="391"/>
      <c r="AE202" s="391"/>
    </row>
    <row r="203">
      <c r="A203" s="391"/>
      <c r="B203" s="391"/>
      <c r="C203" s="391"/>
      <c r="D203" s="391"/>
      <c r="E203" s="391"/>
      <c r="F203" s="391"/>
      <c r="G203" s="391"/>
      <c r="H203" s="391"/>
      <c r="I203" s="391"/>
      <c r="J203" s="391"/>
      <c r="K203" s="391"/>
      <c r="L203" s="391"/>
      <c r="M203" s="391"/>
      <c r="N203" s="391"/>
      <c r="O203" s="391"/>
      <c r="P203" s="391"/>
      <c r="Q203" s="391"/>
      <c r="R203" s="391"/>
      <c r="S203" s="391"/>
      <c r="T203" s="391"/>
      <c r="U203" s="391"/>
      <c r="V203" s="391"/>
      <c r="W203" s="391"/>
      <c r="X203" s="391"/>
      <c r="Y203" s="391"/>
      <c r="Z203" s="391"/>
      <c r="AA203" s="391"/>
      <c r="AB203" s="391"/>
      <c r="AC203" s="391"/>
      <c r="AD203" s="391"/>
      <c r="AE203" s="391"/>
    </row>
    <row r="204">
      <c r="A204" s="391"/>
      <c r="B204" s="391"/>
      <c r="C204" s="391"/>
      <c r="D204" s="391"/>
      <c r="E204" s="391"/>
      <c r="F204" s="391"/>
      <c r="G204" s="391"/>
      <c r="H204" s="391"/>
      <c r="I204" s="391"/>
      <c r="J204" s="391"/>
      <c r="K204" s="391"/>
      <c r="L204" s="391"/>
      <c r="M204" s="391"/>
      <c r="N204" s="391"/>
      <c r="O204" s="391"/>
      <c r="P204" s="391"/>
      <c r="Q204" s="391"/>
      <c r="R204" s="391"/>
      <c r="S204" s="391"/>
      <c r="T204" s="391"/>
      <c r="U204" s="391"/>
      <c r="V204" s="391"/>
      <c r="W204" s="391"/>
      <c r="X204" s="391"/>
      <c r="Y204" s="391"/>
      <c r="Z204" s="391"/>
      <c r="AA204" s="391"/>
      <c r="AB204" s="391"/>
      <c r="AC204" s="391"/>
      <c r="AD204" s="391"/>
      <c r="AE204" s="391"/>
    </row>
    <row r="205">
      <c r="A205" s="391"/>
      <c r="B205" s="391"/>
      <c r="C205" s="391"/>
      <c r="D205" s="391"/>
      <c r="E205" s="391"/>
      <c r="F205" s="391"/>
      <c r="G205" s="391"/>
      <c r="H205" s="391"/>
      <c r="I205" s="391"/>
      <c r="J205" s="391"/>
      <c r="K205" s="391"/>
      <c r="L205" s="391"/>
      <c r="M205" s="391"/>
      <c r="N205" s="391"/>
      <c r="O205" s="391"/>
      <c r="P205" s="391"/>
      <c r="Q205" s="391"/>
      <c r="R205" s="391"/>
      <c r="S205" s="391"/>
      <c r="T205" s="391"/>
      <c r="U205" s="391"/>
      <c r="V205" s="391"/>
      <c r="W205" s="391"/>
      <c r="X205" s="391"/>
      <c r="Y205" s="391"/>
      <c r="Z205" s="391"/>
      <c r="AA205" s="391"/>
      <c r="AB205" s="391"/>
      <c r="AC205" s="391"/>
      <c r="AD205" s="391"/>
      <c r="AE205" s="391"/>
    </row>
    <row r="206">
      <c r="A206" s="391"/>
      <c r="B206" s="391"/>
      <c r="C206" s="391"/>
      <c r="D206" s="391"/>
      <c r="E206" s="391"/>
      <c r="F206" s="391"/>
      <c r="G206" s="391"/>
      <c r="H206" s="391"/>
      <c r="I206" s="391"/>
      <c r="J206" s="391"/>
      <c r="K206" s="391"/>
      <c r="L206" s="391"/>
      <c r="M206" s="391"/>
      <c r="N206" s="391"/>
      <c r="O206" s="391"/>
      <c r="P206" s="391"/>
      <c r="Q206" s="391"/>
      <c r="R206" s="391"/>
      <c r="S206" s="391"/>
      <c r="T206" s="391"/>
      <c r="U206" s="391"/>
      <c r="V206" s="391"/>
      <c r="W206" s="391"/>
      <c r="X206" s="391"/>
      <c r="Y206" s="391"/>
      <c r="Z206" s="391"/>
      <c r="AA206" s="391"/>
      <c r="AB206" s="391"/>
      <c r="AC206" s="391"/>
      <c r="AD206" s="391"/>
      <c r="AE206" s="391"/>
    </row>
    <row r="207">
      <c r="A207" s="391"/>
      <c r="B207" s="391"/>
      <c r="C207" s="391"/>
      <c r="D207" s="391"/>
      <c r="E207" s="391"/>
      <c r="F207" s="391"/>
      <c r="G207" s="391"/>
      <c r="H207" s="391"/>
      <c r="I207" s="391"/>
      <c r="J207" s="391"/>
      <c r="K207" s="391"/>
      <c r="L207" s="391"/>
      <c r="M207" s="391"/>
      <c r="N207" s="391"/>
      <c r="O207" s="391"/>
      <c r="P207" s="391"/>
      <c r="Q207" s="391"/>
      <c r="R207" s="391"/>
      <c r="S207" s="391"/>
      <c r="T207" s="391"/>
      <c r="U207" s="391"/>
      <c r="V207" s="391"/>
      <c r="W207" s="391"/>
      <c r="X207" s="391"/>
      <c r="Y207" s="391"/>
      <c r="Z207" s="391"/>
      <c r="AA207" s="391"/>
      <c r="AB207" s="391"/>
      <c r="AC207" s="391"/>
      <c r="AD207" s="391"/>
      <c r="AE207" s="391"/>
    </row>
    <row r="208">
      <c r="A208" s="391"/>
      <c r="B208" s="391"/>
      <c r="C208" s="391"/>
      <c r="D208" s="391"/>
      <c r="E208" s="391"/>
      <c r="F208" s="391"/>
      <c r="G208" s="391"/>
      <c r="H208" s="391"/>
      <c r="I208" s="391"/>
      <c r="J208" s="391"/>
      <c r="K208" s="391"/>
      <c r="L208" s="391"/>
      <c r="M208" s="391"/>
      <c r="N208" s="391"/>
      <c r="O208" s="391"/>
      <c r="P208" s="391"/>
      <c r="Q208" s="391"/>
      <c r="R208" s="391"/>
      <c r="S208" s="391"/>
      <c r="T208" s="391"/>
      <c r="U208" s="391"/>
      <c r="V208" s="391"/>
      <c r="W208" s="391"/>
      <c r="X208" s="391"/>
      <c r="Y208" s="391"/>
      <c r="Z208" s="391"/>
      <c r="AA208" s="391"/>
      <c r="AB208" s="391"/>
      <c r="AC208" s="391"/>
      <c r="AD208" s="391"/>
      <c r="AE208" s="391"/>
    </row>
    <row r="209">
      <c r="A209" s="391"/>
      <c r="B209" s="391"/>
      <c r="C209" s="391"/>
      <c r="D209" s="391"/>
      <c r="E209" s="391"/>
      <c r="F209" s="391"/>
      <c r="G209" s="391"/>
      <c r="H209" s="391"/>
      <c r="I209" s="391"/>
      <c r="J209" s="391"/>
      <c r="K209" s="391"/>
      <c r="L209" s="391"/>
      <c r="M209" s="391"/>
      <c r="N209" s="391"/>
      <c r="O209" s="391"/>
      <c r="P209" s="391"/>
      <c r="Q209" s="391"/>
      <c r="R209" s="391"/>
      <c r="S209" s="391"/>
      <c r="T209" s="391"/>
      <c r="U209" s="391"/>
      <c r="V209" s="391"/>
      <c r="W209" s="391"/>
      <c r="X209" s="391"/>
      <c r="Y209" s="391"/>
      <c r="Z209" s="391"/>
      <c r="AA209" s="391"/>
      <c r="AB209" s="391"/>
      <c r="AC209" s="391"/>
      <c r="AD209" s="391"/>
      <c r="AE209" s="391"/>
    </row>
    <row r="210">
      <c r="A210" s="391"/>
      <c r="B210" s="391"/>
      <c r="C210" s="391"/>
      <c r="D210" s="391"/>
      <c r="E210" s="391"/>
      <c r="F210" s="391"/>
      <c r="G210" s="391"/>
      <c r="H210" s="391"/>
      <c r="I210" s="391"/>
      <c r="J210" s="391"/>
      <c r="K210" s="391"/>
      <c r="L210" s="391"/>
      <c r="M210" s="391"/>
      <c r="N210" s="391"/>
      <c r="O210" s="391"/>
      <c r="P210" s="391"/>
      <c r="Q210" s="391"/>
      <c r="R210" s="391"/>
      <c r="S210" s="391"/>
      <c r="T210" s="391"/>
      <c r="U210" s="391"/>
      <c r="V210" s="391"/>
      <c r="W210" s="391"/>
      <c r="X210" s="391"/>
      <c r="Y210" s="391"/>
      <c r="Z210" s="391"/>
      <c r="AA210" s="391"/>
      <c r="AB210" s="391"/>
      <c r="AC210" s="391"/>
      <c r="AD210" s="391"/>
      <c r="AE210" s="391"/>
    </row>
    <row r="211">
      <c r="A211" s="391"/>
      <c r="B211" s="391"/>
      <c r="C211" s="391"/>
      <c r="D211" s="391"/>
      <c r="E211" s="391"/>
      <c r="F211" s="391"/>
      <c r="G211" s="391"/>
      <c r="H211" s="391"/>
      <c r="I211" s="391"/>
      <c r="J211" s="391"/>
      <c r="K211" s="391"/>
      <c r="L211" s="391"/>
      <c r="M211" s="391"/>
      <c r="N211" s="391"/>
      <c r="O211" s="391"/>
      <c r="P211" s="391"/>
      <c r="Q211" s="391"/>
      <c r="R211" s="391"/>
      <c r="S211" s="391"/>
      <c r="T211" s="391"/>
      <c r="U211" s="391"/>
      <c r="V211" s="391"/>
      <c r="W211" s="391"/>
      <c r="X211" s="391"/>
      <c r="Y211" s="391"/>
      <c r="Z211" s="391"/>
      <c r="AA211" s="391"/>
      <c r="AB211" s="391"/>
      <c r="AC211" s="391"/>
      <c r="AD211" s="391"/>
      <c r="AE211" s="391"/>
    </row>
    <row r="212">
      <c r="A212" s="391"/>
      <c r="B212" s="391"/>
      <c r="C212" s="391"/>
      <c r="D212" s="391"/>
      <c r="E212" s="391"/>
      <c r="F212" s="391"/>
      <c r="G212" s="391"/>
      <c r="H212" s="391"/>
      <c r="I212" s="391"/>
      <c r="J212" s="391"/>
      <c r="K212" s="391"/>
      <c r="L212" s="391"/>
      <c r="M212" s="391"/>
      <c r="N212" s="391"/>
      <c r="O212" s="391"/>
      <c r="P212" s="391"/>
      <c r="Q212" s="391"/>
      <c r="R212" s="391"/>
      <c r="S212" s="391"/>
      <c r="T212" s="391"/>
      <c r="U212" s="391"/>
      <c r="V212" s="391"/>
      <c r="W212" s="391"/>
      <c r="X212" s="391"/>
      <c r="Y212" s="391"/>
      <c r="Z212" s="391"/>
      <c r="AA212" s="391"/>
      <c r="AB212" s="391"/>
      <c r="AC212" s="391"/>
      <c r="AD212" s="391"/>
      <c r="AE212" s="391"/>
    </row>
    <row r="213">
      <c r="A213" s="391"/>
      <c r="B213" s="391"/>
      <c r="C213" s="391"/>
      <c r="D213" s="391"/>
      <c r="E213" s="391"/>
      <c r="F213" s="391"/>
      <c r="G213" s="391"/>
      <c r="H213" s="391"/>
      <c r="I213" s="391"/>
      <c r="J213" s="391"/>
      <c r="K213" s="391"/>
      <c r="L213" s="391"/>
      <c r="M213" s="391"/>
      <c r="N213" s="391"/>
      <c r="O213" s="391"/>
      <c r="P213" s="391"/>
      <c r="Q213" s="391"/>
      <c r="R213" s="391"/>
      <c r="S213" s="391"/>
      <c r="T213" s="391"/>
      <c r="U213" s="391"/>
      <c r="V213" s="391"/>
      <c r="W213" s="391"/>
      <c r="X213" s="391"/>
      <c r="Y213" s="391"/>
      <c r="Z213" s="391"/>
      <c r="AA213" s="391"/>
      <c r="AB213" s="391"/>
      <c r="AC213" s="391"/>
      <c r="AD213" s="391"/>
      <c r="AE213" s="391"/>
    </row>
    <row r="214">
      <c r="A214" s="391"/>
      <c r="B214" s="391"/>
      <c r="C214" s="391"/>
      <c r="D214" s="391"/>
      <c r="E214" s="391"/>
      <c r="F214" s="391"/>
      <c r="G214" s="391"/>
      <c r="H214" s="391"/>
      <c r="I214" s="391"/>
      <c r="J214" s="391"/>
      <c r="K214" s="391"/>
      <c r="L214" s="391"/>
      <c r="M214" s="391"/>
      <c r="N214" s="391"/>
      <c r="O214" s="391"/>
      <c r="P214" s="391"/>
      <c r="Q214" s="391"/>
      <c r="R214" s="391"/>
      <c r="S214" s="391"/>
      <c r="T214" s="391"/>
      <c r="U214" s="391"/>
      <c r="V214" s="391"/>
      <c r="W214" s="391"/>
      <c r="X214" s="391"/>
      <c r="Y214" s="391"/>
      <c r="Z214" s="391"/>
      <c r="AA214" s="391"/>
      <c r="AB214" s="391"/>
      <c r="AC214" s="391"/>
      <c r="AD214" s="391"/>
      <c r="AE214" s="391"/>
    </row>
    <row r="215">
      <c r="A215" s="391"/>
      <c r="B215" s="391"/>
      <c r="C215" s="391"/>
      <c r="D215" s="391"/>
      <c r="E215" s="391"/>
      <c r="F215" s="391"/>
      <c r="G215" s="391"/>
      <c r="H215" s="391"/>
      <c r="I215" s="391"/>
      <c r="J215" s="391"/>
      <c r="K215" s="391"/>
      <c r="L215" s="391"/>
      <c r="M215" s="391"/>
      <c r="N215" s="391"/>
      <c r="O215" s="391"/>
      <c r="P215" s="391"/>
      <c r="Q215" s="391"/>
      <c r="R215" s="391"/>
      <c r="S215" s="391"/>
      <c r="T215" s="391"/>
      <c r="U215" s="391"/>
      <c r="V215" s="391"/>
      <c r="W215" s="391"/>
      <c r="X215" s="391"/>
      <c r="Y215" s="391"/>
      <c r="Z215" s="391"/>
      <c r="AA215" s="391"/>
      <c r="AB215" s="391"/>
      <c r="AC215" s="391"/>
      <c r="AD215" s="391"/>
      <c r="AE215" s="391"/>
    </row>
    <row r="216">
      <c r="A216" s="391"/>
      <c r="B216" s="391"/>
      <c r="C216" s="391"/>
      <c r="D216" s="391"/>
      <c r="E216" s="391"/>
      <c r="F216" s="391"/>
      <c r="G216" s="391"/>
      <c r="H216" s="391"/>
      <c r="I216" s="391"/>
      <c r="J216" s="391"/>
      <c r="K216" s="391"/>
      <c r="L216" s="391"/>
      <c r="M216" s="391"/>
      <c r="N216" s="391"/>
      <c r="O216" s="391"/>
      <c r="P216" s="391"/>
      <c r="Q216" s="391"/>
      <c r="R216" s="391"/>
      <c r="S216" s="391"/>
      <c r="T216" s="391"/>
      <c r="U216" s="391"/>
      <c r="V216" s="391"/>
      <c r="W216" s="391"/>
      <c r="X216" s="391"/>
      <c r="Y216" s="391"/>
      <c r="Z216" s="391"/>
      <c r="AA216" s="391"/>
      <c r="AB216" s="391"/>
      <c r="AC216" s="391"/>
      <c r="AD216" s="391"/>
      <c r="AE216" s="391"/>
    </row>
    <row r="217">
      <c r="A217" s="391"/>
      <c r="B217" s="391"/>
      <c r="C217" s="391"/>
      <c r="D217" s="391"/>
      <c r="E217" s="391"/>
      <c r="F217" s="391"/>
      <c r="G217" s="391"/>
      <c r="H217" s="391"/>
      <c r="I217" s="391"/>
      <c r="J217" s="391"/>
      <c r="K217" s="391"/>
      <c r="L217" s="391"/>
      <c r="M217" s="391"/>
      <c r="N217" s="391"/>
      <c r="O217" s="391"/>
      <c r="P217" s="391"/>
      <c r="Q217" s="391"/>
      <c r="R217" s="391"/>
      <c r="S217" s="391"/>
      <c r="T217" s="391"/>
      <c r="U217" s="391"/>
      <c r="V217" s="391"/>
      <c r="W217" s="391"/>
      <c r="X217" s="391"/>
      <c r="Y217" s="391"/>
      <c r="Z217" s="391"/>
      <c r="AA217" s="391"/>
      <c r="AB217" s="391"/>
      <c r="AC217" s="391"/>
      <c r="AD217" s="391"/>
      <c r="AE217" s="391"/>
    </row>
    <row r="218">
      <c r="A218" s="391"/>
      <c r="B218" s="391"/>
      <c r="C218" s="391"/>
      <c r="D218" s="391"/>
      <c r="E218" s="391"/>
      <c r="F218" s="391"/>
      <c r="G218" s="391"/>
      <c r="H218" s="391"/>
      <c r="I218" s="391"/>
      <c r="J218" s="391"/>
      <c r="K218" s="391"/>
      <c r="L218" s="391"/>
      <c r="M218" s="391"/>
      <c r="N218" s="391"/>
      <c r="O218" s="391"/>
      <c r="P218" s="391"/>
      <c r="Q218" s="391"/>
      <c r="R218" s="391"/>
      <c r="S218" s="391"/>
      <c r="T218" s="391"/>
      <c r="U218" s="391"/>
      <c r="V218" s="391"/>
      <c r="W218" s="391"/>
      <c r="X218" s="391"/>
      <c r="Y218" s="391"/>
      <c r="Z218" s="391"/>
      <c r="AA218" s="391"/>
      <c r="AB218" s="391"/>
      <c r="AC218" s="391"/>
      <c r="AD218" s="391"/>
      <c r="AE218" s="391"/>
    </row>
    <row r="219">
      <c r="A219" s="391"/>
      <c r="B219" s="391"/>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c r="AA219" s="391"/>
      <c r="AB219" s="391"/>
      <c r="AC219" s="391"/>
      <c r="AD219" s="391"/>
      <c r="AE219" s="391"/>
    </row>
    <row r="220">
      <c r="A220" s="391"/>
      <c r="B220" s="391"/>
      <c r="C220" s="391"/>
      <c r="D220" s="391"/>
      <c r="E220" s="391"/>
      <c r="F220" s="391"/>
      <c r="G220" s="391"/>
      <c r="H220" s="391"/>
      <c r="I220" s="391"/>
      <c r="J220" s="391"/>
      <c r="K220" s="391"/>
      <c r="L220" s="391"/>
      <c r="M220" s="391"/>
      <c r="N220" s="391"/>
      <c r="O220" s="391"/>
      <c r="P220" s="391"/>
      <c r="Q220" s="391"/>
      <c r="R220" s="391"/>
      <c r="S220" s="391"/>
      <c r="T220" s="391"/>
      <c r="U220" s="391"/>
      <c r="V220" s="391"/>
      <c r="W220" s="391"/>
      <c r="X220" s="391"/>
      <c r="Y220" s="391"/>
      <c r="Z220" s="391"/>
      <c r="AA220" s="391"/>
      <c r="AB220" s="391"/>
      <c r="AC220" s="391"/>
      <c r="AD220" s="391"/>
      <c r="AE220" s="391"/>
    </row>
    <row r="221">
      <c r="A221" s="391"/>
      <c r="B221" s="391"/>
      <c r="C221" s="391"/>
      <c r="D221" s="391"/>
      <c r="E221" s="391"/>
      <c r="F221" s="391"/>
      <c r="G221" s="391"/>
      <c r="H221" s="391"/>
      <c r="I221" s="391"/>
      <c r="J221" s="391"/>
      <c r="K221" s="391"/>
      <c r="L221" s="391"/>
      <c r="M221" s="391"/>
      <c r="N221" s="391"/>
      <c r="O221" s="391"/>
      <c r="P221" s="391"/>
      <c r="Q221" s="391"/>
      <c r="R221" s="391"/>
      <c r="S221" s="391"/>
      <c r="T221" s="391"/>
      <c r="U221" s="391"/>
      <c r="V221" s="391"/>
      <c r="W221" s="391"/>
      <c r="X221" s="391"/>
      <c r="Y221" s="391"/>
      <c r="Z221" s="391"/>
      <c r="AA221" s="391"/>
      <c r="AB221" s="391"/>
      <c r="AC221" s="391"/>
      <c r="AD221" s="391"/>
      <c r="AE221" s="391"/>
    </row>
    <row r="222">
      <c r="A222" s="391"/>
      <c r="B222" s="391"/>
      <c r="C222" s="391"/>
      <c r="D222" s="391"/>
      <c r="E222" s="391"/>
      <c r="F222" s="391"/>
      <c r="G222" s="391"/>
      <c r="H222" s="391"/>
      <c r="I222" s="391"/>
      <c r="J222" s="391"/>
      <c r="K222" s="391"/>
      <c r="L222" s="391"/>
      <c r="M222" s="391"/>
      <c r="N222" s="391"/>
      <c r="O222" s="391"/>
      <c r="P222" s="391"/>
      <c r="Q222" s="391"/>
      <c r="R222" s="391"/>
      <c r="S222" s="391"/>
      <c r="T222" s="391"/>
      <c r="U222" s="391"/>
      <c r="V222" s="391"/>
      <c r="W222" s="391"/>
      <c r="X222" s="391"/>
      <c r="Y222" s="391"/>
      <c r="Z222" s="391"/>
      <c r="AA222" s="391"/>
      <c r="AB222" s="391"/>
      <c r="AC222" s="391"/>
      <c r="AD222" s="391"/>
      <c r="AE222" s="391"/>
    </row>
    <row r="223">
      <c r="A223" s="391"/>
      <c r="B223" s="391"/>
      <c r="C223" s="391"/>
      <c r="D223" s="391"/>
      <c r="E223" s="391"/>
      <c r="F223" s="391"/>
      <c r="G223" s="391"/>
      <c r="H223" s="391"/>
      <c r="I223" s="391"/>
      <c r="J223" s="391"/>
      <c r="K223" s="391"/>
      <c r="L223" s="391"/>
      <c r="M223" s="391"/>
      <c r="N223" s="391"/>
      <c r="O223" s="391"/>
      <c r="P223" s="391"/>
      <c r="Q223" s="391"/>
      <c r="R223" s="391"/>
      <c r="S223" s="391"/>
      <c r="T223" s="391"/>
      <c r="U223" s="391"/>
      <c r="V223" s="391"/>
      <c r="W223" s="391"/>
      <c r="X223" s="391"/>
      <c r="Y223" s="391"/>
      <c r="Z223" s="391"/>
      <c r="AA223" s="391"/>
      <c r="AB223" s="391"/>
      <c r="AC223" s="391"/>
      <c r="AD223" s="391"/>
      <c r="AE223" s="391"/>
    </row>
    <row r="224">
      <c r="A224" s="391"/>
      <c r="B224" s="391"/>
      <c r="C224" s="391"/>
      <c r="D224" s="391"/>
      <c r="E224" s="391"/>
      <c r="F224" s="391"/>
      <c r="G224" s="391"/>
      <c r="H224" s="391"/>
      <c r="I224" s="391"/>
      <c r="J224" s="391"/>
      <c r="K224" s="391"/>
      <c r="L224" s="391"/>
      <c r="M224" s="391"/>
      <c r="N224" s="391"/>
      <c r="O224" s="391"/>
      <c r="P224" s="391"/>
      <c r="Q224" s="391"/>
      <c r="R224" s="391"/>
      <c r="S224" s="391"/>
      <c r="T224" s="391"/>
      <c r="U224" s="391"/>
      <c r="V224" s="391"/>
      <c r="W224" s="391"/>
      <c r="X224" s="391"/>
      <c r="Y224" s="391"/>
      <c r="Z224" s="391"/>
      <c r="AA224" s="391"/>
      <c r="AB224" s="391"/>
      <c r="AC224" s="391"/>
      <c r="AD224" s="391"/>
      <c r="AE224" s="391"/>
    </row>
    <row r="225">
      <c r="A225" s="391"/>
      <c r="B225" s="391"/>
      <c r="C225" s="391"/>
      <c r="D225" s="391"/>
      <c r="E225" s="391"/>
      <c r="F225" s="391"/>
      <c r="G225" s="391"/>
      <c r="H225" s="391"/>
      <c r="I225" s="391"/>
      <c r="J225" s="391"/>
      <c r="K225" s="391"/>
      <c r="L225" s="391"/>
      <c r="M225" s="391"/>
      <c r="N225" s="391"/>
      <c r="O225" s="391"/>
      <c r="P225" s="391"/>
      <c r="Q225" s="391"/>
      <c r="R225" s="391"/>
      <c r="S225" s="391"/>
      <c r="T225" s="391"/>
      <c r="U225" s="391"/>
      <c r="V225" s="391"/>
      <c r="W225" s="391"/>
      <c r="X225" s="391"/>
      <c r="Y225" s="391"/>
      <c r="Z225" s="391"/>
      <c r="AA225" s="391"/>
      <c r="AB225" s="391"/>
      <c r="AC225" s="391"/>
      <c r="AD225" s="391"/>
      <c r="AE225" s="391"/>
    </row>
    <row r="226">
      <c r="A226" s="391"/>
      <c r="B226" s="391"/>
      <c r="C226" s="391"/>
      <c r="D226" s="391"/>
      <c r="E226" s="391"/>
      <c r="F226" s="391"/>
      <c r="G226" s="391"/>
      <c r="H226" s="391"/>
      <c r="I226" s="391"/>
      <c r="J226" s="391"/>
      <c r="K226" s="391"/>
      <c r="L226" s="391"/>
      <c r="M226" s="391"/>
      <c r="N226" s="391"/>
      <c r="O226" s="391"/>
      <c r="P226" s="391"/>
      <c r="Q226" s="391"/>
      <c r="R226" s="391"/>
      <c r="S226" s="391"/>
      <c r="T226" s="391"/>
      <c r="U226" s="391"/>
      <c r="V226" s="391"/>
      <c r="W226" s="391"/>
      <c r="X226" s="391"/>
      <c r="Y226" s="391"/>
      <c r="Z226" s="391"/>
      <c r="AA226" s="391"/>
      <c r="AB226" s="391"/>
      <c r="AC226" s="391"/>
      <c r="AD226" s="391"/>
      <c r="AE226" s="391"/>
    </row>
    <row r="227">
      <c r="A227" s="391"/>
      <c r="B227" s="391"/>
      <c r="C227" s="391"/>
      <c r="D227" s="391"/>
      <c r="E227" s="391"/>
      <c r="F227" s="391"/>
      <c r="G227" s="391"/>
      <c r="H227" s="391"/>
      <c r="I227" s="391"/>
      <c r="J227" s="391"/>
      <c r="K227" s="391"/>
      <c r="L227" s="391"/>
      <c r="M227" s="391"/>
      <c r="N227" s="391"/>
      <c r="O227" s="391"/>
      <c r="P227" s="391"/>
      <c r="Q227" s="391"/>
      <c r="R227" s="391"/>
      <c r="S227" s="391"/>
      <c r="T227" s="391"/>
      <c r="U227" s="391"/>
      <c r="V227" s="391"/>
      <c r="W227" s="391"/>
      <c r="X227" s="391"/>
      <c r="Y227" s="391"/>
      <c r="Z227" s="391"/>
      <c r="AA227" s="391"/>
      <c r="AB227" s="391"/>
      <c r="AC227" s="391"/>
      <c r="AD227" s="391"/>
      <c r="AE227" s="391"/>
    </row>
    <row r="228">
      <c r="A228" s="391"/>
      <c r="B228" s="391"/>
      <c r="C228" s="391"/>
      <c r="D228" s="391"/>
      <c r="E228" s="391"/>
      <c r="F228" s="391"/>
      <c r="G228" s="391"/>
      <c r="H228" s="391"/>
      <c r="I228" s="391"/>
      <c r="J228" s="391"/>
      <c r="K228" s="391"/>
      <c r="L228" s="391"/>
      <c r="M228" s="391"/>
      <c r="N228" s="391"/>
      <c r="O228" s="391"/>
      <c r="P228" s="391"/>
      <c r="Q228" s="391"/>
      <c r="R228" s="391"/>
      <c r="S228" s="391"/>
      <c r="T228" s="391"/>
      <c r="U228" s="391"/>
      <c r="V228" s="391"/>
      <c r="W228" s="391"/>
      <c r="X228" s="391"/>
      <c r="Y228" s="391"/>
      <c r="Z228" s="391"/>
      <c r="AA228" s="391"/>
      <c r="AB228" s="391"/>
      <c r="AC228" s="391"/>
      <c r="AD228" s="391"/>
      <c r="AE228" s="391"/>
    </row>
    <row r="229">
      <c r="A229" s="391"/>
      <c r="B229" s="391"/>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row>
    <row r="230">
      <c r="A230" s="391"/>
      <c r="B230" s="391"/>
      <c r="C230" s="391"/>
      <c r="D230" s="391"/>
      <c r="E230" s="391"/>
      <c r="F230" s="391"/>
      <c r="G230" s="391"/>
      <c r="H230" s="391"/>
      <c r="I230" s="391"/>
      <c r="J230" s="391"/>
      <c r="K230" s="391"/>
      <c r="L230" s="391"/>
      <c r="M230" s="391"/>
      <c r="N230" s="391"/>
      <c r="O230" s="391"/>
      <c r="P230" s="391"/>
      <c r="Q230" s="391"/>
      <c r="R230" s="391"/>
      <c r="S230" s="391"/>
      <c r="T230" s="391"/>
      <c r="U230" s="391"/>
      <c r="V230" s="391"/>
      <c r="W230" s="391"/>
      <c r="X230" s="391"/>
      <c r="Y230" s="391"/>
      <c r="Z230" s="391"/>
      <c r="AA230" s="391"/>
      <c r="AB230" s="391"/>
      <c r="AC230" s="391"/>
      <c r="AD230" s="391"/>
      <c r="AE230" s="391"/>
    </row>
    <row r="231">
      <c r="A231" s="391"/>
      <c r="B231" s="391"/>
      <c r="C231" s="391"/>
      <c r="D231" s="391"/>
      <c r="E231" s="391"/>
      <c r="F231" s="391"/>
      <c r="G231" s="391"/>
      <c r="H231" s="391"/>
      <c r="I231" s="391"/>
      <c r="J231" s="391"/>
      <c r="K231" s="391"/>
      <c r="L231" s="391"/>
      <c r="M231" s="391"/>
      <c r="N231" s="391"/>
      <c r="O231" s="391"/>
      <c r="P231" s="391"/>
      <c r="Q231" s="391"/>
      <c r="R231" s="391"/>
      <c r="S231" s="391"/>
      <c r="T231" s="391"/>
      <c r="U231" s="391"/>
      <c r="V231" s="391"/>
      <c r="W231" s="391"/>
      <c r="X231" s="391"/>
      <c r="Y231" s="391"/>
      <c r="Z231" s="391"/>
      <c r="AA231" s="391"/>
      <c r="AB231" s="391"/>
      <c r="AC231" s="391"/>
      <c r="AD231" s="391"/>
      <c r="AE231" s="391"/>
    </row>
    <row r="232">
      <c r="A232" s="391"/>
      <c r="B232" s="391"/>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c r="AA232" s="391"/>
      <c r="AB232" s="391"/>
      <c r="AC232" s="391"/>
      <c r="AD232" s="391"/>
      <c r="AE232" s="391"/>
    </row>
    <row r="233">
      <c r="A233" s="391"/>
      <c r="B233" s="391"/>
      <c r="C233" s="391"/>
      <c r="D233" s="391"/>
      <c r="E233" s="391"/>
      <c r="F233" s="391"/>
      <c r="G233" s="391"/>
      <c r="H233" s="391"/>
      <c r="I233" s="391"/>
      <c r="J233" s="391"/>
      <c r="K233" s="391"/>
      <c r="L233" s="391"/>
      <c r="M233" s="391"/>
      <c r="N233" s="391"/>
      <c r="O233" s="391"/>
      <c r="P233" s="391"/>
      <c r="Q233" s="391"/>
      <c r="R233" s="391"/>
      <c r="S233" s="391"/>
      <c r="T233" s="391"/>
      <c r="U233" s="391"/>
      <c r="V233" s="391"/>
      <c r="W233" s="391"/>
      <c r="X233" s="391"/>
      <c r="Y233" s="391"/>
      <c r="Z233" s="391"/>
      <c r="AA233" s="391"/>
      <c r="AB233" s="391"/>
      <c r="AC233" s="391"/>
      <c r="AD233" s="391"/>
      <c r="AE233" s="391"/>
    </row>
    <row r="234">
      <c r="A234" s="391"/>
      <c r="B234" s="391"/>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row>
    <row r="235">
      <c r="A235" s="391"/>
      <c r="B235" s="391"/>
      <c r="C235" s="391"/>
      <c r="D235" s="391"/>
      <c r="E235" s="391"/>
      <c r="F235" s="391"/>
      <c r="G235" s="391"/>
      <c r="H235" s="391"/>
      <c r="I235" s="391"/>
      <c r="J235" s="391"/>
      <c r="K235" s="391"/>
      <c r="L235" s="391"/>
      <c r="M235" s="391"/>
      <c r="N235" s="391"/>
      <c r="O235" s="391"/>
      <c r="P235" s="391"/>
      <c r="Q235" s="391"/>
      <c r="R235" s="391"/>
      <c r="S235" s="391"/>
      <c r="T235" s="391"/>
      <c r="U235" s="391"/>
      <c r="V235" s="391"/>
      <c r="W235" s="391"/>
      <c r="X235" s="391"/>
      <c r="Y235" s="391"/>
      <c r="Z235" s="391"/>
      <c r="AA235" s="391"/>
      <c r="AB235" s="391"/>
      <c r="AC235" s="391"/>
      <c r="AD235" s="391"/>
      <c r="AE235" s="391"/>
    </row>
    <row r="236">
      <c r="A236" s="391"/>
      <c r="B236" s="391"/>
      <c r="C236" s="391"/>
      <c r="D236" s="391"/>
      <c r="E236" s="391"/>
      <c r="F236" s="391"/>
      <c r="G236" s="391"/>
      <c r="H236" s="391"/>
      <c r="I236" s="391"/>
      <c r="J236" s="391"/>
      <c r="K236" s="391"/>
      <c r="L236" s="391"/>
      <c r="M236" s="391"/>
      <c r="N236" s="391"/>
      <c r="O236" s="391"/>
      <c r="P236" s="391"/>
      <c r="Q236" s="391"/>
      <c r="R236" s="391"/>
      <c r="S236" s="391"/>
      <c r="T236" s="391"/>
      <c r="U236" s="391"/>
      <c r="V236" s="391"/>
      <c r="W236" s="391"/>
      <c r="X236" s="391"/>
      <c r="Y236" s="391"/>
      <c r="Z236" s="391"/>
      <c r="AA236" s="391"/>
      <c r="AB236" s="391"/>
      <c r="AC236" s="391"/>
      <c r="AD236" s="391"/>
      <c r="AE236" s="391"/>
    </row>
    <row r="237">
      <c r="A237" s="391"/>
      <c r="B237" s="391"/>
      <c r="C237" s="391"/>
      <c r="D237" s="391"/>
      <c r="E237" s="391"/>
      <c r="F237" s="391"/>
      <c r="G237" s="391"/>
      <c r="H237" s="391"/>
      <c r="I237" s="391"/>
      <c r="J237" s="391"/>
      <c r="K237" s="391"/>
      <c r="L237" s="391"/>
      <c r="M237" s="391"/>
      <c r="N237" s="391"/>
      <c r="O237" s="391"/>
      <c r="P237" s="391"/>
      <c r="Q237" s="391"/>
      <c r="R237" s="391"/>
      <c r="S237" s="391"/>
      <c r="T237" s="391"/>
      <c r="U237" s="391"/>
      <c r="V237" s="391"/>
      <c r="W237" s="391"/>
      <c r="X237" s="391"/>
      <c r="Y237" s="391"/>
      <c r="Z237" s="391"/>
      <c r="AA237" s="391"/>
      <c r="AB237" s="391"/>
      <c r="AC237" s="391"/>
      <c r="AD237" s="391"/>
      <c r="AE237" s="391"/>
    </row>
    <row r="238">
      <c r="A238" s="391"/>
      <c r="B238" s="391"/>
      <c r="C238" s="391"/>
      <c r="D238" s="391"/>
      <c r="E238" s="391"/>
      <c r="F238" s="391"/>
      <c r="G238" s="391"/>
      <c r="H238" s="391"/>
      <c r="I238" s="391"/>
      <c r="J238" s="391"/>
      <c r="K238" s="391"/>
      <c r="L238" s="391"/>
      <c r="M238" s="391"/>
      <c r="N238" s="391"/>
      <c r="O238" s="391"/>
      <c r="P238" s="391"/>
      <c r="Q238" s="391"/>
      <c r="R238" s="391"/>
      <c r="S238" s="391"/>
      <c r="T238" s="391"/>
      <c r="U238" s="391"/>
      <c r="V238" s="391"/>
      <c r="W238" s="391"/>
      <c r="X238" s="391"/>
      <c r="Y238" s="391"/>
      <c r="Z238" s="391"/>
      <c r="AA238" s="391"/>
      <c r="AB238" s="391"/>
      <c r="AC238" s="391"/>
      <c r="AD238" s="391"/>
      <c r="AE238" s="391"/>
    </row>
    <row r="239">
      <c r="A239" s="391"/>
      <c r="B239" s="391"/>
      <c r="C239" s="391"/>
      <c r="D239" s="391"/>
      <c r="E239" s="391"/>
      <c r="F239" s="391"/>
      <c r="G239" s="391"/>
      <c r="H239" s="391"/>
      <c r="I239" s="391"/>
      <c r="J239" s="391"/>
      <c r="K239" s="391"/>
      <c r="L239" s="391"/>
      <c r="M239" s="391"/>
      <c r="N239" s="391"/>
      <c r="O239" s="391"/>
      <c r="P239" s="391"/>
      <c r="Q239" s="391"/>
      <c r="R239" s="391"/>
      <c r="S239" s="391"/>
      <c r="T239" s="391"/>
      <c r="U239" s="391"/>
      <c r="V239" s="391"/>
      <c r="W239" s="391"/>
      <c r="X239" s="391"/>
      <c r="Y239" s="391"/>
      <c r="Z239" s="391"/>
      <c r="AA239" s="391"/>
      <c r="AB239" s="391"/>
      <c r="AC239" s="391"/>
      <c r="AD239" s="391"/>
      <c r="AE239" s="391"/>
    </row>
    <row r="240">
      <c r="A240" s="391"/>
      <c r="B240" s="391"/>
      <c r="C240" s="391"/>
      <c r="D240" s="391"/>
      <c r="E240" s="391"/>
      <c r="F240" s="391"/>
      <c r="G240" s="391"/>
      <c r="H240" s="391"/>
      <c r="I240" s="391"/>
      <c r="J240" s="391"/>
      <c r="K240" s="391"/>
      <c r="L240" s="391"/>
      <c r="M240" s="391"/>
      <c r="N240" s="391"/>
      <c r="O240" s="391"/>
      <c r="P240" s="391"/>
      <c r="Q240" s="391"/>
      <c r="R240" s="391"/>
      <c r="S240" s="391"/>
      <c r="T240" s="391"/>
      <c r="U240" s="391"/>
      <c r="V240" s="391"/>
      <c r="W240" s="391"/>
      <c r="X240" s="391"/>
      <c r="Y240" s="391"/>
      <c r="Z240" s="391"/>
      <c r="AA240" s="391"/>
      <c r="AB240" s="391"/>
      <c r="AC240" s="391"/>
      <c r="AD240" s="391"/>
      <c r="AE240" s="391"/>
    </row>
    <row r="241">
      <c r="A241" s="391"/>
      <c r="B241" s="391"/>
      <c r="C241" s="391"/>
      <c r="D241" s="391"/>
      <c r="E241" s="391"/>
      <c r="F241" s="391"/>
      <c r="G241" s="391"/>
      <c r="H241" s="391"/>
      <c r="I241" s="391"/>
      <c r="J241" s="391"/>
      <c r="K241" s="391"/>
      <c r="L241" s="391"/>
      <c r="M241" s="391"/>
      <c r="N241" s="391"/>
      <c r="O241" s="391"/>
      <c r="P241" s="391"/>
      <c r="Q241" s="391"/>
      <c r="R241" s="391"/>
      <c r="S241" s="391"/>
      <c r="T241" s="391"/>
      <c r="U241" s="391"/>
      <c r="V241" s="391"/>
      <c r="W241" s="391"/>
      <c r="X241" s="391"/>
      <c r="Y241" s="391"/>
      <c r="Z241" s="391"/>
      <c r="AA241" s="391"/>
      <c r="AB241" s="391"/>
      <c r="AC241" s="391"/>
      <c r="AD241" s="391"/>
      <c r="AE241" s="391"/>
    </row>
    <row r="242">
      <c r="A242" s="391"/>
      <c r="B242" s="391"/>
      <c r="C242" s="391"/>
      <c r="D242" s="391"/>
      <c r="E242" s="391"/>
      <c r="F242" s="391"/>
      <c r="G242" s="391"/>
      <c r="H242" s="391"/>
      <c r="I242" s="391"/>
      <c r="J242" s="391"/>
      <c r="K242" s="391"/>
      <c r="L242" s="391"/>
      <c r="M242" s="391"/>
      <c r="N242" s="391"/>
      <c r="O242" s="391"/>
      <c r="P242" s="391"/>
      <c r="Q242" s="391"/>
      <c r="R242" s="391"/>
      <c r="S242" s="391"/>
      <c r="T242" s="391"/>
      <c r="U242" s="391"/>
      <c r="V242" s="391"/>
      <c r="W242" s="391"/>
      <c r="X242" s="391"/>
      <c r="Y242" s="391"/>
      <c r="Z242" s="391"/>
      <c r="AA242" s="391"/>
      <c r="AB242" s="391"/>
      <c r="AC242" s="391"/>
      <c r="AD242" s="391"/>
      <c r="AE242" s="391"/>
    </row>
    <row r="243">
      <c r="A243" s="391"/>
      <c r="B243" s="391"/>
      <c r="C243" s="391"/>
      <c r="D243" s="391"/>
      <c r="E243" s="391"/>
      <c r="F243" s="391"/>
      <c r="G243" s="391"/>
      <c r="H243" s="391"/>
      <c r="I243" s="391"/>
      <c r="J243" s="391"/>
      <c r="K243" s="391"/>
      <c r="L243" s="391"/>
      <c r="M243" s="391"/>
      <c r="N243" s="391"/>
      <c r="O243" s="391"/>
      <c r="P243" s="391"/>
      <c r="Q243" s="391"/>
      <c r="R243" s="391"/>
      <c r="S243" s="391"/>
      <c r="T243" s="391"/>
      <c r="U243" s="391"/>
      <c r="V243" s="391"/>
      <c r="W243" s="391"/>
      <c r="X243" s="391"/>
      <c r="Y243" s="391"/>
      <c r="Z243" s="391"/>
      <c r="AA243" s="391"/>
      <c r="AB243" s="391"/>
      <c r="AC243" s="391"/>
      <c r="AD243" s="391"/>
      <c r="AE243" s="391"/>
    </row>
    <row r="244">
      <c r="A244" s="391"/>
      <c r="B244" s="391"/>
      <c r="C244" s="391"/>
      <c r="D244" s="391"/>
      <c r="E244" s="391"/>
      <c r="F244" s="391"/>
      <c r="G244" s="391"/>
      <c r="H244" s="391"/>
      <c r="I244" s="391"/>
      <c r="J244" s="391"/>
      <c r="K244" s="391"/>
      <c r="L244" s="391"/>
      <c r="M244" s="391"/>
      <c r="N244" s="391"/>
      <c r="O244" s="391"/>
      <c r="P244" s="391"/>
      <c r="Q244" s="391"/>
      <c r="R244" s="391"/>
      <c r="S244" s="391"/>
      <c r="T244" s="391"/>
      <c r="U244" s="391"/>
      <c r="V244" s="391"/>
      <c r="W244" s="391"/>
      <c r="X244" s="391"/>
      <c r="Y244" s="391"/>
      <c r="Z244" s="391"/>
      <c r="AA244" s="391"/>
      <c r="AB244" s="391"/>
      <c r="AC244" s="391"/>
      <c r="AD244" s="391"/>
      <c r="AE244" s="391"/>
    </row>
    <row r="245">
      <c r="A245" s="391"/>
      <c r="B245" s="391"/>
      <c r="C245" s="391"/>
      <c r="D245" s="391"/>
      <c r="E245" s="391"/>
      <c r="F245" s="391"/>
      <c r="G245" s="391"/>
      <c r="H245" s="391"/>
      <c r="I245" s="391"/>
      <c r="J245" s="391"/>
      <c r="K245" s="391"/>
      <c r="L245" s="391"/>
      <c r="M245" s="391"/>
      <c r="N245" s="391"/>
      <c r="O245" s="391"/>
      <c r="P245" s="391"/>
      <c r="Q245" s="391"/>
      <c r="R245" s="391"/>
      <c r="S245" s="391"/>
      <c r="T245" s="391"/>
      <c r="U245" s="391"/>
      <c r="V245" s="391"/>
      <c r="W245" s="391"/>
      <c r="X245" s="391"/>
      <c r="Y245" s="391"/>
      <c r="Z245" s="391"/>
      <c r="AA245" s="391"/>
      <c r="AB245" s="391"/>
      <c r="AC245" s="391"/>
      <c r="AD245" s="391"/>
      <c r="AE245" s="391"/>
    </row>
    <row r="246">
      <c r="A246" s="391"/>
      <c r="B246" s="391"/>
      <c r="C246" s="391"/>
      <c r="D246" s="391"/>
      <c r="E246" s="391"/>
      <c r="F246" s="391"/>
      <c r="G246" s="391"/>
      <c r="H246" s="391"/>
      <c r="I246" s="391"/>
      <c r="J246" s="391"/>
      <c r="K246" s="391"/>
      <c r="L246" s="391"/>
      <c r="M246" s="391"/>
      <c r="N246" s="391"/>
      <c r="O246" s="391"/>
      <c r="P246" s="391"/>
      <c r="Q246" s="391"/>
      <c r="R246" s="391"/>
      <c r="S246" s="391"/>
      <c r="T246" s="391"/>
      <c r="U246" s="391"/>
      <c r="V246" s="391"/>
      <c r="W246" s="391"/>
      <c r="X246" s="391"/>
      <c r="Y246" s="391"/>
      <c r="Z246" s="391"/>
      <c r="AA246" s="391"/>
      <c r="AB246" s="391"/>
      <c r="AC246" s="391"/>
      <c r="AD246" s="391"/>
      <c r="AE246" s="391"/>
    </row>
    <row r="247">
      <c r="A247" s="391"/>
      <c r="B247" s="391"/>
      <c r="C247" s="391"/>
      <c r="D247" s="391"/>
      <c r="E247" s="391"/>
      <c r="F247" s="391"/>
      <c r="G247" s="391"/>
      <c r="H247" s="391"/>
      <c r="I247" s="391"/>
      <c r="J247" s="391"/>
      <c r="K247" s="391"/>
      <c r="L247" s="391"/>
      <c r="M247" s="391"/>
      <c r="N247" s="391"/>
      <c r="O247" s="391"/>
      <c r="P247" s="391"/>
      <c r="Q247" s="391"/>
      <c r="R247" s="391"/>
      <c r="S247" s="391"/>
      <c r="T247" s="391"/>
      <c r="U247" s="391"/>
      <c r="V247" s="391"/>
      <c r="W247" s="391"/>
      <c r="X247" s="391"/>
      <c r="Y247" s="391"/>
      <c r="Z247" s="391"/>
      <c r="AA247" s="391"/>
      <c r="AB247" s="391"/>
      <c r="AC247" s="391"/>
      <c r="AD247" s="391"/>
      <c r="AE247" s="391"/>
    </row>
    <row r="248">
      <c r="A248" s="391"/>
      <c r="B248" s="391"/>
      <c r="C248" s="391"/>
      <c r="D248" s="391"/>
      <c r="E248" s="391"/>
      <c r="F248" s="391"/>
      <c r="G248" s="391"/>
      <c r="H248" s="391"/>
      <c r="I248" s="391"/>
      <c r="J248" s="391"/>
      <c r="K248" s="391"/>
      <c r="L248" s="391"/>
      <c r="M248" s="391"/>
      <c r="N248" s="391"/>
      <c r="O248" s="391"/>
      <c r="P248" s="391"/>
      <c r="Q248" s="391"/>
      <c r="R248" s="391"/>
      <c r="S248" s="391"/>
      <c r="T248" s="391"/>
      <c r="U248" s="391"/>
      <c r="V248" s="391"/>
      <c r="W248" s="391"/>
      <c r="X248" s="391"/>
      <c r="Y248" s="391"/>
      <c r="Z248" s="391"/>
      <c r="AA248" s="391"/>
      <c r="AB248" s="391"/>
      <c r="AC248" s="391"/>
      <c r="AD248" s="391"/>
      <c r="AE248" s="391"/>
    </row>
    <row r="249">
      <c r="A249" s="391"/>
      <c r="B249" s="391"/>
      <c r="C249" s="391"/>
      <c r="D249" s="391"/>
      <c r="E249" s="391"/>
      <c r="F249" s="391"/>
      <c r="G249" s="391"/>
      <c r="H249" s="391"/>
      <c r="I249" s="391"/>
      <c r="J249" s="391"/>
      <c r="K249" s="391"/>
      <c r="L249" s="391"/>
      <c r="M249" s="391"/>
      <c r="N249" s="391"/>
      <c r="O249" s="391"/>
      <c r="P249" s="391"/>
      <c r="Q249" s="391"/>
      <c r="R249" s="391"/>
      <c r="S249" s="391"/>
      <c r="T249" s="391"/>
      <c r="U249" s="391"/>
      <c r="V249" s="391"/>
      <c r="W249" s="391"/>
      <c r="X249" s="391"/>
      <c r="Y249" s="391"/>
      <c r="Z249" s="391"/>
      <c r="AA249" s="391"/>
      <c r="AB249" s="391"/>
      <c r="AC249" s="391"/>
      <c r="AD249" s="391"/>
      <c r="AE249" s="391"/>
    </row>
    <row r="250">
      <c r="A250" s="391"/>
      <c r="B250" s="391"/>
      <c r="C250" s="391"/>
      <c r="D250" s="391"/>
      <c r="E250" s="391"/>
      <c r="F250" s="391"/>
      <c r="G250" s="391"/>
      <c r="H250" s="391"/>
      <c r="I250" s="391"/>
      <c r="J250" s="391"/>
      <c r="K250" s="391"/>
      <c r="L250" s="391"/>
      <c r="M250" s="391"/>
      <c r="N250" s="391"/>
      <c r="O250" s="391"/>
      <c r="P250" s="391"/>
      <c r="Q250" s="391"/>
      <c r="R250" s="391"/>
      <c r="S250" s="391"/>
      <c r="T250" s="391"/>
      <c r="U250" s="391"/>
      <c r="V250" s="391"/>
      <c r="W250" s="391"/>
      <c r="X250" s="391"/>
      <c r="Y250" s="391"/>
      <c r="Z250" s="391"/>
      <c r="AA250" s="391"/>
      <c r="AB250" s="391"/>
      <c r="AC250" s="391"/>
      <c r="AD250" s="391"/>
      <c r="AE250" s="391"/>
    </row>
    <row r="251">
      <c r="A251" s="391"/>
      <c r="B251" s="391"/>
      <c r="C251" s="391"/>
      <c r="D251" s="391"/>
      <c r="E251" s="391"/>
      <c r="F251" s="391"/>
      <c r="G251" s="391"/>
      <c r="H251" s="391"/>
      <c r="I251" s="391"/>
      <c r="J251" s="391"/>
      <c r="K251" s="391"/>
      <c r="L251" s="391"/>
      <c r="M251" s="391"/>
      <c r="N251" s="391"/>
      <c r="O251" s="391"/>
      <c r="P251" s="391"/>
      <c r="Q251" s="391"/>
      <c r="R251" s="391"/>
      <c r="S251" s="391"/>
      <c r="T251" s="391"/>
      <c r="U251" s="391"/>
      <c r="V251" s="391"/>
      <c r="W251" s="391"/>
      <c r="X251" s="391"/>
      <c r="Y251" s="391"/>
      <c r="Z251" s="391"/>
      <c r="AA251" s="391"/>
      <c r="AB251" s="391"/>
      <c r="AC251" s="391"/>
      <c r="AD251" s="391"/>
      <c r="AE251" s="391"/>
    </row>
    <row r="252">
      <c r="A252" s="391"/>
      <c r="B252" s="391"/>
      <c r="C252" s="391"/>
      <c r="D252" s="391"/>
      <c r="E252" s="391"/>
      <c r="F252" s="391"/>
      <c r="G252" s="391"/>
      <c r="H252" s="391"/>
      <c r="I252" s="391"/>
      <c r="J252" s="391"/>
      <c r="K252" s="391"/>
      <c r="L252" s="391"/>
      <c r="M252" s="391"/>
      <c r="N252" s="391"/>
      <c r="O252" s="391"/>
      <c r="P252" s="391"/>
      <c r="Q252" s="391"/>
      <c r="R252" s="391"/>
      <c r="S252" s="391"/>
      <c r="T252" s="391"/>
      <c r="U252" s="391"/>
      <c r="V252" s="391"/>
      <c r="W252" s="391"/>
      <c r="X252" s="391"/>
      <c r="Y252" s="391"/>
      <c r="Z252" s="391"/>
      <c r="AA252" s="391"/>
      <c r="AB252" s="391"/>
      <c r="AC252" s="391"/>
      <c r="AD252" s="391"/>
      <c r="AE252" s="391"/>
    </row>
    <row r="253">
      <c r="A253" s="391"/>
      <c r="B253" s="391"/>
      <c r="C253" s="391"/>
      <c r="D253" s="391"/>
      <c r="E253" s="391"/>
      <c r="F253" s="391"/>
      <c r="G253" s="391"/>
      <c r="H253" s="391"/>
      <c r="I253" s="391"/>
      <c r="J253" s="391"/>
      <c r="K253" s="391"/>
      <c r="L253" s="391"/>
      <c r="M253" s="391"/>
      <c r="N253" s="391"/>
      <c r="O253" s="391"/>
      <c r="P253" s="391"/>
      <c r="Q253" s="391"/>
      <c r="R253" s="391"/>
      <c r="S253" s="391"/>
      <c r="T253" s="391"/>
      <c r="U253" s="391"/>
      <c r="V253" s="391"/>
      <c r="W253" s="391"/>
      <c r="X253" s="391"/>
      <c r="Y253" s="391"/>
      <c r="Z253" s="391"/>
      <c r="AA253" s="391"/>
      <c r="AB253" s="391"/>
      <c r="AC253" s="391"/>
      <c r="AD253" s="391"/>
      <c r="AE253" s="391"/>
    </row>
    <row r="254">
      <c r="A254" s="391"/>
      <c r="B254" s="391"/>
      <c r="C254" s="391"/>
      <c r="D254" s="391"/>
      <c r="E254" s="391"/>
      <c r="F254" s="391"/>
      <c r="G254" s="391"/>
      <c r="H254" s="391"/>
      <c r="I254" s="391"/>
      <c r="J254" s="391"/>
      <c r="K254" s="391"/>
      <c r="L254" s="391"/>
      <c r="M254" s="391"/>
      <c r="N254" s="391"/>
      <c r="O254" s="391"/>
      <c r="P254" s="391"/>
      <c r="Q254" s="391"/>
      <c r="R254" s="391"/>
      <c r="S254" s="391"/>
      <c r="T254" s="391"/>
      <c r="U254" s="391"/>
      <c r="V254" s="391"/>
      <c r="W254" s="391"/>
      <c r="X254" s="391"/>
      <c r="Y254" s="391"/>
      <c r="Z254" s="391"/>
      <c r="AA254" s="391"/>
      <c r="AB254" s="391"/>
      <c r="AC254" s="391"/>
      <c r="AD254" s="391"/>
      <c r="AE254" s="391"/>
    </row>
    <row r="255">
      <c r="A255" s="391"/>
      <c r="B255" s="391"/>
      <c r="C255" s="391"/>
      <c r="D255" s="391"/>
      <c r="E255" s="391"/>
      <c r="F255" s="391"/>
      <c r="G255" s="391"/>
      <c r="H255" s="391"/>
      <c r="I255" s="391"/>
      <c r="J255" s="391"/>
      <c r="K255" s="391"/>
      <c r="L255" s="391"/>
      <c r="M255" s="391"/>
      <c r="N255" s="391"/>
      <c r="O255" s="391"/>
      <c r="P255" s="391"/>
      <c r="Q255" s="391"/>
      <c r="R255" s="391"/>
      <c r="S255" s="391"/>
      <c r="T255" s="391"/>
      <c r="U255" s="391"/>
      <c r="V255" s="391"/>
      <c r="W255" s="391"/>
      <c r="X255" s="391"/>
      <c r="Y255" s="391"/>
      <c r="Z255" s="391"/>
      <c r="AA255" s="391"/>
      <c r="AB255" s="391"/>
      <c r="AC255" s="391"/>
      <c r="AD255" s="391"/>
      <c r="AE255" s="391"/>
    </row>
    <row r="256">
      <c r="A256" s="391"/>
      <c r="B256" s="391"/>
      <c r="C256" s="391"/>
      <c r="D256" s="391"/>
      <c r="E256" s="391"/>
      <c r="F256" s="391"/>
      <c r="G256" s="391"/>
      <c r="H256" s="391"/>
      <c r="I256" s="391"/>
      <c r="J256" s="391"/>
      <c r="K256" s="391"/>
      <c r="L256" s="391"/>
      <c r="M256" s="391"/>
      <c r="N256" s="391"/>
      <c r="O256" s="391"/>
      <c r="P256" s="391"/>
      <c r="Q256" s="391"/>
      <c r="R256" s="391"/>
      <c r="S256" s="391"/>
      <c r="T256" s="391"/>
      <c r="U256" s="391"/>
      <c r="V256" s="391"/>
      <c r="W256" s="391"/>
      <c r="X256" s="391"/>
      <c r="Y256" s="391"/>
      <c r="Z256" s="391"/>
      <c r="AA256" s="391"/>
      <c r="AB256" s="391"/>
      <c r="AC256" s="391"/>
      <c r="AD256" s="391"/>
      <c r="AE256" s="391"/>
    </row>
    <row r="257">
      <c r="A257" s="391"/>
      <c r="B257" s="391"/>
      <c r="C257" s="391"/>
      <c r="D257" s="391"/>
      <c r="E257" s="391"/>
      <c r="F257" s="391"/>
      <c r="G257" s="391"/>
      <c r="H257" s="391"/>
      <c r="I257" s="391"/>
      <c r="J257" s="391"/>
      <c r="K257" s="391"/>
      <c r="L257" s="391"/>
      <c r="M257" s="391"/>
      <c r="N257" s="391"/>
      <c r="O257" s="391"/>
      <c r="P257" s="391"/>
      <c r="Q257" s="391"/>
      <c r="R257" s="391"/>
      <c r="S257" s="391"/>
      <c r="T257" s="391"/>
      <c r="U257" s="391"/>
      <c r="V257" s="391"/>
      <c r="W257" s="391"/>
      <c r="X257" s="391"/>
      <c r="Y257" s="391"/>
      <c r="Z257" s="391"/>
      <c r="AA257" s="391"/>
      <c r="AB257" s="391"/>
      <c r="AC257" s="391"/>
      <c r="AD257" s="391"/>
      <c r="AE257" s="391"/>
    </row>
    <row r="258">
      <c r="A258" s="391"/>
      <c r="B258" s="391"/>
      <c r="C258" s="391"/>
      <c r="D258" s="391"/>
      <c r="E258" s="391"/>
      <c r="F258" s="391"/>
      <c r="G258" s="391"/>
      <c r="H258" s="391"/>
      <c r="I258" s="391"/>
      <c r="J258" s="391"/>
      <c r="K258" s="391"/>
      <c r="L258" s="391"/>
      <c r="M258" s="391"/>
      <c r="N258" s="391"/>
      <c r="O258" s="391"/>
      <c r="P258" s="391"/>
      <c r="Q258" s="391"/>
      <c r="R258" s="391"/>
      <c r="S258" s="391"/>
      <c r="T258" s="391"/>
      <c r="U258" s="391"/>
      <c r="V258" s="391"/>
      <c r="W258" s="391"/>
      <c r="X258" s="391"/>
      <c r="Y258" s="391"/>
      <c r="Z258" s="391"/>
      <c r="AA258" s="391"/>
      <c r="AB258" s="391"/>
      <c r="AC258" s="391"/>
      <c r="AD258" s="391"/>
      <c r="AE258" s="391"/>
    </row>
    <row r="259">
      <c r="A259" s="391"/>
      <c r="B259" s="391"/>
      <c r="C259" s="391"/>
      <c r="D259" s="391"/>
      <c r="E259" s="391"/>
      <c r="F259" s="391"/>
      <c r="G259" s="391"/>
      <c r="H259" s="391"/>
      <c r="I259" s="391"/>
      <c r="J259" s="391"/>
      <c r="K259" s="391"/>
      <c r="L259" s="391"/>
      <c r="M259" s="391"/>
      <c r="N259" s="391"/>
      <c r="O259" s="391"/>
      <c r="P259" s="391"/>
      <c r="Q259" s="391"/>
      <c r="R259" s="391"/>
      <c r="S259" s="391"/>
      <c r="T259" s="391"/>
      <c r="U259" s="391"/>
      <c r="V259" s="391"/>
      <c r="W259" s="391"/>
      <c r="X259" s="391"/>
      <c r="Y259" s="391"/>
      <c r="Z259" s="391"/>
      <c r="AA259" s="391"/>
      <c r="AB259" s="391"/>
      <c r="AC259" s="391"/>
      <c r="AD259" s="391"/>
      <c r="AE259" s="391"/>
    </row>
    <row r="260">
      <c r="A260" s="391"/>
      <c r="B260" s="391"/>
      <c r="C260" s="391"/>
      <c r="D260" s="391"/>
      <c r="E260" s="391"/>
      <c r="F260" s="391"/>
      <c r="G260" s="391"/>
      <c r="H260" s="391"/>
      <c r="I260" s="391"/>
      <c r="J260" s="391"/>
      <c r="K260" s="391"/>
      <c r="L260" s="391"/>
      <c r="M260" s="391"/>
      <c r="N260" s="391"/>
      <c r="O260" s="391"/>
      <c r="P260" s="391"/>
      <c r="Q260" s="391"/>
      <c r="R260" s="391"/>
      <c r="S260" s="391"/>
      <c r="T260" s="391"/>
      <c r="U260" s="391"/>
      <c r="V260" s="391"/>
      <c r="W260" s="391"/>
      <c r="X260" s="391"/>
      <c r="Y260" s="391"/>
      <c r="Z260" s="391"/>
      <c r="AA260" s="391"/>
      <c r="AB260" s="391"/>
      <c r="AC260" s="391"/>
      <c r="AD260" s="391"/>
      <c r="AE260" s="391"/>
    </row>
    <row r="261">
      <c r="A261" s="391"/>
      <c r="B261" s="391"/>
      <c r="C261" s="391"/>
      <c r="D261" s="391"/>
      <c r="E261" s="391"/>
      <c r="F261" s="391"/>
      <c r="G261" s="391"/>
      <c r="H261" s="391"/>
      <c r="I261" s="391"/>
      <c r="J261" s="391"/>
      <c r="K261" s="391"/>
      <c r="L261" s="391"/>
      <c r="M261" s="391"/>
      <c r="N261" s="391"/>
      <c r="O261" s="391"/>
      <c r="P261" s="391"/>
      <c r="Q261" s="391"/>
      <c r="R261" s="391"/>
      <c r="S261" s="391"/>
      <c r="T261" s="391"/>
      <c r="U261" s="391"/>
      <c r="V261" s="391"/>
      <c r="W261" s="391"/>
      <c r="X261" s="391"/>
      <c r="Y261" s="391"/>
      <c r="Z261" s="391"/>
      <c r="AA261" s="391"/>
      <c r="AB261" s="391"/>
      <c r="AC261" s="391"/>
      <c r="AD261" s="391"/>
      <c r="AE261" s="391"/>
    </row>
    <row r="262">
      <c r="A262" s="391"/>
      <c r="B262" s="391"/>
      <c r="C262" s="391"/>
      <c r="D262" s="391"/>
      <c r="E262" s="391"/>
      <c r="F262" s="391"/>
      <c r="G262" s="391"/>
      <c r="H262" s="391"/>
      <c r="I262" s="391"/>
      <c r="J262" s="391"/>
      <c r="K262" s="391"/>
      <c r="L262" s="391"/>
      <c r="M262" s="391"/>
      <c r="N262" s="391"/>
      <c r="O262" s="391"/>
      <c r="P262" s="391"/>
      <c r="Q262" s="391"/>
      <c r="R262" s="391"/>
      <c r="S262" s="391"/>
      <c r="T262" s="391"/>
      <c r="U262" s="391"/>
      <c r="V262" s="391"/>
      <c r="W262" s="391"/>
      <c r="X262" s="391"/>
      <c r="Y262" s="391"/>
      <c r="Z262" s="391"/>
      <c r="AA262" s="391"/>
      <c r="AB262" s="391"/>
      <c r="AC262" s="391"/>
      <c r="AD262" s="391"/>
      <c r="AE262" s="391"/>
    </row>
    <row r="263">
      <c r="A263" s="391"/>
      <c r="B263" s="391"/>
      <c r="C263" s="391"/>
      <c r="D263" s="391"/>
      <c r="E263" s="391"/>
      <c r="F263" s="391"/>
      <c r="G263" s="391"/>
      <c r="H263" s="391"/>
      <c r="I263" s="391"/>
      <c r="J263" s="391"/>
      <c r="K263" s="391"/>
      <c r="L263" s="391"/>
      <c r="M263" s="391"/>
      <c r="N263" s="391"/>
      <c r="O263" s="391"/>
      <c r="P263" s="391"/>
      <c r="Q263" s="391"/>
      <c r="R263" s="391"/>
      <c r="S263" s="391"/>
      <c r="T263" s="391"/>
      <c r="U263" s="391"/>
      <c r="V263" s="391"/>
      <c r="W263" s="391"/>
      <c r="X263" s="391"/>
      <c r="Y263" s="391"/>
      <c r="Z263" s="391"/>
      <c r="AA263" s="391"/>
      <c r="AB263" s="391"/>
      <c r="AC263" s="391"/>
      <c r="AD263" s="391"/>
      <c r="AE263" s="391"/>
    </row>
    <row r="264">
      <c r="A264" s="391"/>
      <c r="B264" s="391"/>
      <c r="C264" s="391"/>
      <c r="D264" s="391"/>
      <c r="E264" s="391"/>
      <c r="F264" s="391"/>
      <c r="G264" s="391"/>
      <c r="H264" s="391"/>
      <c r="I264" s="391"/>
      <c r="J264" s="391"/>
      <c r="K264" s="391"/>
      <c r="L264" s="391"/>
      <c r="M264" s="391"/>
      <c r="N264" s="391"/>
      <c r="O264" s="391"/>
      <c r="P264" s="391"/>
      <c r="Q264" s="391"/>
      <c r="R264" s="391"/>
      <c r="S264" s="391"/>
      <c r="T264" s="391"/>
      <c r="U264" s="391"/>
      <c r="V264" s="391"/>
      <c r="W264" s="391"/>
      <c r="X264" s="391"/>
      <c r="Y264" s="391"/>
      <c r="Z264" s="391"/>
      <c r="AA264" s="391"/>
      <c r="AB264" s="391"/>
      <c r="AC264" s="391"/>
      <c r="AD264" s="391"/>
      <c r="AE264" s="391"/>
    </row>
    <row r="265">
      <c r="A265" s="391"/>
      <c r="B265" s="391"/>
      <c r="C265" s="391"/>
      <c r="D265" s="391"/>
      <c r="E265" s="391"/>
      <c r="F265" s="391"/>
      <c r="G265" s="391"/>
      <c r="H265" s="391"/>
      <c r="I265" s="391"/>
      <c r="J265" s="391"/>
      <c r="K265" s="391"/>
      <c r="L265" s="391"/>
      <c r="M265" s="391"/>
      <c r="N265" s="391"/>
      <c r="O265" s="391"/>
      <c r="P265" s="391"/>
      <c r="Q265" s="391"/>
      <c r="R265" s="391"/>
      <c r="S265" s="391"/>
      <c r="T265" s="391"/>
      <c r="U265" s="391"/>
      <c r="V265" s="391"/>
      <c r="W265" s="391"/>
      <c r="X265" s="391"/>
      <c r="Y265" s="391"/>
      <c r="Z265" s="391"/>
      <c r="AA265" s="391"/>
      <c r="AB265" s="391"/>
      <c r="AC265" s="391"/>
      <c r="AD265" s="391"/>
      <c r="AE265" s="391"/>
    </row>
    <row r="266">
      <c r="A266" s="391"/>
      <c r="B266" s="391"/>
      <c r="C266" s="391"/>
      <c r="D266" s="391"/>
      <c r="E266" s="391"/>
      <c r="F266" s="391"/>
      <c r="G266" s="391"/>
      <c r="H266" s="391"/>
      <c r="I266" s="391"/>
      <c r="J266" s="391"/>
      <c r="K266" s="391"/>
      <c r="L266" s="391"/>
      <c r="M266" s="391"/>
      <c r="N266" s="391"/>
      <c r="O266" s="391"/>
      <c r="P266" s="391"/>
      <c r="Q266" s="391"/>
      <c r="R266" s="391"/>
      <c r="S266" s="391"/>
      <c r="T266" s="391"/>
      <c r="U266" s="391"/>
      <c r="V266" s="391"/>
      <c r="W266" s="391"/>
      <c r="X266" s="391"/>
      <c r="Y266" s="391"/>
      <c r="Z266" s="391"/>
      <c r="AA266" s="391"/>
      <c r="AB266" s="391"/>
      <c r="AC266" s="391"/>
      <c r="AD266" s="391"/>
      <c r="AE266" s="391"/>
    </row>
    <row r="267">
      <c r="A267" s="391"/>
      <c r="B267" s="391"/>
      <c r="C267" s="391"/>
      <c r="D267" s="391"/>
      <c r="E267" s="391"/>
      <c r="F267" s="391"/>
      <c r="G267" s="391"/>
      <c r="H267" s="391"/>
      <c r="I267" s="391"/>
      <c r="J267" s="391"/>
      <c r="K267" s="391"/>
      <c r="L267" s="391"/>
      <c r="M267" s="391"/>
      <c r="N267" s="391"/>
      <c r="O267" s="391"/>
      <c r="P267" s="391"/>
      <c r="Q267" s="391"/>
      <c r="R267" s="391"/>
      <c r="S267" s="391"/>
      <c r="T267" s="391"/>
      <c r="U267" s="391"/>
      <c r="V267" s="391"/>
      <c r="W267" s="391"/>
      <c r="X267" s="391"/>
      <c r="Y267" s="391"/>
      <c r="Z267" s="391"/>
      <c r="AA267" s="391"/>
      <c r="AB267" s="391"/>
      <c r="AC267" s="391"/>
      <c r="AD267" s="391"/>
      <c r="AE267" s="391"/>
    </row>
    <row r="268">
      <c r="A268" s="391"/>
      <c r="B268" s="391"/>
      <c r="C268" s="391"/>
      <c r="D268" s="391"/>
      <c r="E268" s="391"/>
      <c r="F268" s="391"/>
      <c r="G268" s="391"/>
      <c r="H268" s="391"/>
      <c r="I268" s="391"/>
      <c r="J268" s="391"/>
      <c r="K268" s="391"/>
      <c r="L268" s="391"/>
      <c r="M268" s="391"/>
      <c r="N268" s="391"/>
      <c r="O268" s="391"/>
      <c r="P268" s="391"/>
      <c r="Q268" s="391"/>
      <c r="R268" s="391"/>
      <c r="S268" s="391"/>
      <c r="T268" s="391"/>
      <c r="U268" s="391"/>
      <c r="V268" s="391"/>
      <c r="W268" s="391"/>
      <c r="X268" s="391"/>
      <c r="Y268" s="391"/>
      <c r="Z268" s="391"/>
      <c r="AA268" s="391"/>
      <c r="AB268" s="391"/>
      <c r="AC268" s="391"/>
      <c r="AD268" s="391"/>
      <c r="AE268" s="391"/>
    </row>
    <row r="269">
      <c r="A269" s="391"/>
      <c r="B269" s="391"/>
      <c r="C269" s="391"/>
      <c r="D269" s="391"/>
      <c r="E269" s="391"/>
      <c r="F269" s="391"/>
      <c r="G269" s="391"/>
      <c r="H269" s="391"/>
      <c r="I269" s="391"/>
      <c r="J269" s="391"/>
      <c r="K269" s="391"/>
      <c r="L269" s="391"/>
      <c r="M269" s="391"/>
      <c r="N269" s="391"/>
      <c r="O269" s="391"/>
      <c r="P269" s="391"/>
      <c r="Q269" s="391"/>
      <c r="R269" s="391"/>
      <c r="S269" s="391"/>
      <c r="T269" s="391"/>
      <c r="U269" s="391"/>
      <c r="V269" s="391"/>
      <c r="W269" s="391"/>
      <c r="X269" s="391"/>
      <c r="Y269" s="391"/>
      <c r="Z269" s="391"/>
      <c r="AA269" s="391"/>
      <c r="AB269" s="391"/>
      <c r="AC269" s="391"/>
      <c r="AD269" s="391"/>
      <c r="AE269" s="391"/>
    </row>
    <row r="270">
      <c r="A270" s="391"/>
      <c r="B270" s="391"/>
      <c r="C270" s="391"/>
      <c r="D270" s="391"/>
      <c r="E270" s="391"/>
      <c r="F270" s="391"/>
      <c r="G270" s="391"/>
      <c r="H270" s="391"/>
      <c r="I270" s="391"/>
      <c r="J270" s="391"/>
      <c r="K270" s="391"/>
      <c r="L270" s="391"/>
      <c r="M270" s="391"/>
      <c r="N270" s="391"/>
      <c r="O270" s="391"/>
      <c r="P270" s="391"/>
      <c r="Q270" s="391"/>
      <c r="R270" s="391"/>
      <c r="S270" s="391"/>
      <c r="T270" s="391"/>
      <c r="U270" s="391"/>
      <c r="V270" s="391"/>
      <c r="W270" s="391"/>
      <c r="X270" s="391"/>
      <c r="Y270" s="391"/>
      <c r="Z270" s="391"/>
      <c r="AA270" s="391"/>
      <c r="AB270" s="391"/>
      <c r="AC270" s="391"/>
      <c r="AD270" s="391"/>
      <c r="AE270" s="391"/>
    </row>
    <row r="271">
      <c r="A271" s="391"/>
      <c r="B271" s="391"/>
      <c r="C271" s="391"/>
      <c r="D271" s="391"/>
      <c r="E271" s="391"/>
      <c r="F271" s="391"/>
      <c r="G271" s="391"/>
      <c r="H271" s="391"/>
      <c r="I271" s="391"/>
      <c r="J271" s="391"/>
      <c r="K271" s="391"/>
      <c r="L271" s="391"/>
      <c r="M271" s="391"/>
      <c r="N271" s="391"/>
      <c r="O271" s="391"/>
      <c r="P271" s="391"/>
      <c r="Q271" s="391"/>
      <c r="R271" s="391"/>
      <c r="S271" s="391"/>
      <c r="T271" s="391"/>
      <c r="U271" s="391"/>
      <c r="V271" s="391"/>
      <c r="W271" s="391"/>
      <c r="X271" s="391"/>
      <c r="Y271" s="391"/>
      <c r="Z271" s="391"/>
      <c r="AA271" s="391"/>
      <c r="AB271" s="391"/>
      <c r="AC271" s="391"/>
      <c r="AD271" s="391"/>
      <c r="AE271" s="391"/>
    </row>
    <row r="272">
      <c r="A272" s="391"/>
      <c r="B272" s="391"/>
      <c r="C272" s="391"/>
      <c r="D272" s="391"/>
      <c r="E272" s="391"/>
      <c r="F272" s="391"/>
      <c r="G272" s="391"/>
      <c r="H272" s="391"/>
      <c r="I272" s="391"/>
      <c r="J272" s="391"/>
      <c r="K272" s="391"/>
      <c r="L272" s="391"/>
      <c r="M272" s="391"/>
      <c r="N272" s="391"/>
      <c r="O272" s="391"/>
      <c r="P272" s="391"/>
      <c r="Q272" s="391"/>
      <c r="R272" s="391"/>
      <c r="S272" s="391"/>
      <c r="T272" s="391"/>
      <c r="U272" s="391"/>
      <c r="V272" s="391"/>
      <c r="W272" s="391"/>
      <c r="X272" s="391"/>
      <c r="Y272" s="391"/>
      <c r="Z272" s="391"/>
      <c r="AA272" s="391"/>
      <c r="AB272" s="391"/>
      <c r="AC272" s="391"/>
      <c r="AD272" s="391"/>
      <c r="AE272" s="391"/>
    </row>
    <row r="273">
      <c r="A273" s="391"/>
      <c r="B273" s="391"/>
      <c r="C273" s="391"/>
      <c r="D273" s="391"/>
      <c r="E273" s="391"/>
      <c r="F273" s="391"/>
      <c r="G273" s="391"/>
      <c r="H273" s="391"/>
      <c r="I273" s="391"/>
      <c r="J273" s="391"/>
      <c r="K273" s="391"/>
      <c r="L273" s="391"/>
      <c r="M273" s="391"/>
      <c r="N273" s="391"/>
      <c r="O273" s="391"/>
      <c r="P273" s="391"/>
      <c r="Q273" s="391"/>
      <c r="R273" s="391"/>
      <c r="S273" s="391"/>
      <c r="T273" s="391"/>
      <c r="U273" s="391"/>
      <c r="V273" s="391"/>
      <c r="W273" s="391"/>
      <c r="X273" s="391"/>
      <c r="Y273" s="391"/>
      <c r="Z273" s="391"/>
      <c r="AA273" s="391"/>
      <c r="AB273" s="391"/>
      <c r="AC273" s="391"/>
      <c r="AD273" s="391"/>
      <c r="AE273" s="391"/>
    </row>
    <row r="274">
      <c r="A274" s="391"/>
      <c r="B274" s="391"/>
      <c r="C274" s="391"/>
      <c r="D274" s="391"/>
      <c r="E274" s="391"/>
      <c r="F274" s="391"/>
      <c r="G274" s="391"/>
      <c r="H274" s="391"/>
      <c r="I274" s="391"/>
      <c r="J274" s="391"/>
      <c r="K274" s="391"/>
      <c r="L274" s="391"/>
      <c r="M274" s="391"/>
      <c r="N274" s="391"/>
      <c r="O274" s="391"/>
      <c r="P274" s="391"/>
      <c r="Q274" s="391"/>
      <c r="R274" s="391"/>
      <c r="S274" s="391"/>
      <c r="T274" s="391"/>
      <c r="U274" s="391"/>
      <c r="V274" s="391"/>
      <c r="W274" s="391"/>
      <c r="X274" s="391"/>
      <c r="Y274" s="391"/>
      <c r="Z274" s="391"/>
      <c r="AA274" s="391"/>
      <c r="AB274" s="391"/>
      <c r="AC274" s="391"/>
      <c r="AD274" s="391"/>
      <c r="AE274" s="391"/>
    </row>
    <row r="275">
      <c r="A275" s="391"/>
      <c r="B275" s="391"/>
      <c r="C275" s="391"/>
      <c r="D275" s="391"/>
      <c r="E275" s="391"/>
      <c r="F275" s="391"/>
      <c r="G275" s="391"/>
      <c r="H275" s="391"/>
      <c r="I275" s="391"/>
      <c r="J275" s="391"/>
      <c r="K275" s="391"/>
      <c r="L275" s="391"/>
      <c r="M275" s="391"/>
      <c r="N275" s="391"/>
      <c r="O275" s="391"/>
      <c r="P275" s="391"/>
      <c r="Q275" s="391"/>
      <c r="R275" s="391"/>
      <c r="S275" s="391"/>
      <c r="T275" s="391"/>
      <c r="U275" s="391"/>
      <c r="V275" s="391"/>
      <c r="W275" s="391"/>
      <c r="X275" s="391"/>
      <c r="Y275" s="391"/>
      <c r="Z275" s="391"/>
      <c r="AA275" s="391"/>
      <c r="AB275" s="391"/>
      <c r="AC275" s="391"/>
      <c r="AD275" s="391"/>
      <c r="AE275" s="391"/>
    </row>
    <row r="276">
      <c r="A276" s="391"/>
      <c r="B276" s="391"/>
      <c r="C276" s="391"/>
      <c r="D276" s="391"/>
      <c r="E276" s="391"/>
      <c r="F276" s="391"/>
      <c r="G276" s="391"/>
      <c r="H276" s="391"/>
      <c r="I276" s="391"/>
      <c r="J276" s="391"/>
      <c r="K276" s="391"/>
      <c r="L276" s="391"/>
      <c r="M276" s="391"/>
      <c r="N276" s="391"/>
      <c r="O276" s="391"/>
      <c r="P276" s="391"/>
      <c r="Q276" s="391"/>
      <c r="R276" s="391"/>
      <c r="S276" s="391"/>
      <c r="T276" s="391"/>
      <c r="U276" s="391"/>
      <c r="V276" s="391"/>
      <c r="W276" s="391"/>
      <c r="X276" s="391"/>
      <c r="Y276" s="391"/>
      <c r="Z276" s="391"/>
      <c r="AA276" s="391"/>
      <c r="AB276" s="391"/>
      <c r="AC276" s="391"/>
      <c r="AD276" s="391"/>
      <c r="AE276" s="391"/>
    </row>
    <row r="277">
      <c r="A277" s="391"/>
      <c r="B277" s="391"/>
      <c r="C277" s="391"/>
      <c r="D277" s="391"/>
      <c r="E277" s="391"/>
      <c r="F277" s="391"/>
      <c r="G277" s="391"/>
      <c r="H277" s="391"/>
      <c r="I277" s="391"/>
      <c r="J277" s="391"/>
      <c r="K277" s="391"/>
      <c r="L277" s="391"/>
      <c r="M277" s="391"/>
      <c r="N277" s="391"/>
      <c r="O277" s="391"/>
      <c r="P277" s="391"/>
      <c r="Q277" s="391"/>
      <c r="R277" s="391"/>
      <c r="S277" s="391"/>
      <c r="T277" s="391"/>
      <c r="U277" s="391"/>
      <c r="V277" s="391"/>
      <c r="W277" s="391"/>
      <c r="X277" s="391"/>
      <c r="Y277" s="391"/>
      <c r="Z277" s="391"/>
      <c r="AA277" s="391"/>
      <c r="AB277" s="391"/>
      <c r="AC277" s="391"/>
      <c r="AD277" s="391"/>
      <c r="AE277" s="391"/>
    </row>
    <row r="278">
      <c r="A278" s="391"/>
      <c r="B278" s="391"/>
      <c r="C278" s="391"/>
      <c r="D278" s="391"/>
      <c r="E278" s="391"/>
      <c r="F278" s="391"/>
      <c r="G278" s="391"/>
      <c r="H278" s="391"/>
      <c r="I278" s="391"/>
      <c r="J278" s="391"/>
      <c r="K278" s="391"/>
      <c r="L278" s="391"/>
      <c r="M278" s="391"/>
      <c r="N278" s="391"/>
      <c r="O278" s="391"/>
      <c r="P278" s="391"/>
      <c r="Q278" s="391"/>
      <c r="R278" s="391"/>
      <c r="S278" s="391"/>
      <c r="T278" s="391"/>
      <c r="U278" s="391"/>
      <c r="V278" s="391"/>
      <c r="W278" s="391"/>
      <c r="X278" s="391"/>
      <c r="Y278" s="391"/>
      <c r="Z278" s="391"/>
      <c r="AA278" s="391"/>
      <c r="AB278" s="391"/>
      <c r="AC278" s="391"/>
      <c r="AD278" s="391"/>
      <c r="AE278" s="391"/>
    </row>
    <row r="279">
      <c r="A279" s="391"/>
      <c r="B279" s="391"/>
      <c r="C279" s="391"/>
      <c r="D279" s="391"/>
      <c r="E279" s="391"/>
      <c r="F279" s="391"/>
      <c r="G279" s="391"/>
      <c r="H279" s="391"/>
      <c r="I279" s="391"/>
      <c r="J279" s="391"/>
      <c r="K279" s="391"/>
      <c r="L279" s="391"/>
      <c r="M279" s="391"/>
      <c r="N279" s="391"/>
      <c r="O279" s="391"/>
      <c r="P279" s="391"/>
      <c r="Q279" s="391"/>
      <c r="R279" s="391"/>
      <c r="S279" s="391"/>
      <c r="T279" s="391"/>
      <c r="U279" s="391"/>
      <c r="V279" s="391"/>
      <c r="W279" s="391"/>
      <c r="X279" s="391"/>
      <c r="Y279" s="391"/>
      <c r="Z279" s="391"/>
      <c r="AA279" s="391"/>
      <c r="AB279" s="391"/>
      <c r="AC279" s="391"/>
      <c r="AD279" s="391"/>
      <c r="AE279" s="391"/>
    </row>
    <row r="280">
      <c r="A280" s="391"/>
      <c r="B280" s="391"/>
      <c r="C280" s="391"/>
      <c r="D280" s="391"/>
      <c r="E280" s="391"/>
      <c r="F280" s="391"/>
      <c r="G280" s="391"/>
      <c r="H280" s="391"/>
      <c r="I280" s="391"/>
      <c r="J280" s="391"/>
      <c r="K280" s="391"/>
      <c r="L280" s="391"/>
      <c r="M280" s="391"/>
      <c r="N280" s="391"/>
      <c r="O280" s="391"/>
      <c r="P280" s="391"/>
      <c r="Q280" s="391"/>
      <c r="R280" s="391"/>
      <c r="S280" s="391"/>
      <c r="T280" s="391"/>
      <c r="U280" s="391"/>
      <c r="V280" s="391"/>
      <c r="W280" s="391"/>
      <c r="X280" s="391"/>
      <c r="Y280" s="391"/>
      <c r="Z280" s="391"/>
      <c r="AA280" s="391"/>
      <c r="AB280" s="391"/>
      <c r="AC280" s="391"/>
      <c r="AD280" s="391"/>
      <c r="AE280" s="391"/>
    </row>
    <row r="281">
      <c r="A281" s="391"/>
      <c r="B281" s="391"/>
      <c r="C281" s="391"/>
      <c r="D281" s="391"/>
      <c r="E281" s="391"/>
      <c r="F281" s="391"/>
      <c r="G281" s="391"/>
      <c r="H281" s="391"/>
      <c r="I281" s="391"/>
      <c r="J281" s="391"/>
      <c r="K281" s="391"/>
      <c r="L281" s="391"/>
      <c r="M281" s="391"/>
      <c r="N281" s="391"/>
      <c r="O281" s="391"/>
      <c r="P281" s="391"/>
      <c r="Q281" s="391"/>
      <c r="R281" s="391"/>
      <c r="S281" s="391"/>
      <c r="T281" s="391"/>
      <c r="U281" s="391"/>
      <c r="V281" s="391"/>
      <c r="W281" s="391"/>
      <c r="X281" s="391"/>
      <c r="Y281" s="391"/>
      <c r="Z281" s="391"/>
      <c r="AA281" s="391"/>
      <c r="AB281" s="391"/>
      <c r="AC281" s="391"/>
      <c r="AD281" s="391"/>
      <c r="AE281" s="391"/>
    </row>
    <row r="282">
      <c r="A282" s="391"/>
      <c r="B282" s="391"/>
      <c r="C282" s="391"/>
      <c r="D282" s="391"/>
      <c r="E282" s="391"/>
      <c r="F282" s="391"/>
      <c r="G282" s="391"/>
      <c r="H282" s="391"/>
      <c r="I282" s="391"/>
      <c r="J282" s="391"/>
      <c r="K282" s="391"/>
      <c r="L282" s="391"/>
      <c r="M282" s="391"/>
      <c r="N282" s="391"/>
      <c r="O282" s="391"/>
      <c r="P282" s="391"/>
      <c r="Q282" s="391"/>
      <c r="R282" s="391"/>
      <c r="S282" s="391"/>
      <c r="T282" s="391"/>
      <c r="U282" s="391"/>
      <c r="V282" s="391"/>
      <c r="W282" s="391"/>
      <c r="X282" s="391"/>
      <c r="Y282" s="391"/>
      <c r="Z282" s="391"/>
      <c r="AA282" s="391"/>
      <c r="AB282" s="391"/>
      <c r="AC282" s="391"/>
      <c r="AD282" s="391"/>
      <c r="AE282" s="391"/>
    </row>
    <row r="283">
      <c r="A283" s="391"/>
      <c r="B283" s="391"/>
      <c r="C283" s="391"/>
      <c r="D283" s="391"/>
      <c r="E283" s="391"/>
      <c r="F283" s="391"/>
      <c r="G283" s="391"/>
      <c r="H283" s="391"/>
      <c r="I283" s="391"/>
      <c r="J283" s="391"/>
      <c r="K283" s="391"/>
      <c r="L283" s="391"/>
      <c r="M283" s="391"/>
      <c r="N283" s="391"/>
      <c r="O283" s="391"/>
      <c r="P283" s="391"/>
      <c r="Q283" s="391"/>
      <c r="R283" s="391"/>
      <c r="S283" s="391"/>
      <c r="T283" s="391"/>
      <c r="U283" s="391"/>
      <c r="V283" s="391"/>
      <c r="W283" s="391"/>
      <c r="X283" s="391"/>
      <c r="Y283" s="391"/>
      <c r="Z283" s="391"/>
      <c r="AA283" s="391"/>
      <c r="AB283" s="391"/>
      <c r="AC283" s="391"/>
      <c r="AD283" s="391"/>
      <c r="AE283" s="391"/>
    </row>
    <row r="284">
      <c r="A284" s="391"/>
      <c r="B284" s="391"/>
      <c r="C284" s="391"/>
      <c r="D284" s="391"/>
      <c r="E284" s="391"/>
      <c r="F284" s="391"/>
      <c r="G284" s="391"/>
      <c r="H284" s="391"/>
      <c r="I284" s="391"/>
      <c r="J284" s="391"/>
      <c r="K284" s="391"/>
      <c r="L284" s="391"/>
      <c r="M284" s="391"/>
      <c r="N284" s="391"/>
      <c r="O284" s="391"/>
      <c r="P284" s="391"/>
      <c r="Q284" s="391"/>
      <c r="R284" s="391"/>
      <c r="S284" s="391"/>
      <c r="T284" s="391"/>
      <c r="U284" s="391"/>
      <c r="V284" s="391"/>
      <c r="W284" s="391"/>
      <c r="X284" s="391"/>
      <c r="Y284" s="391"/>
      <c r="Z284" s="391"/>
      <c r="AA284" s="391"/>
      <c r="AB284" s="391"/>
      <c r="AC284" s="391"/>
      <c r="AD284" s="391"/>
      <c r="AE284" s="391"/>
    </row>
    <row r="285">
      <c r="A285" s="391"/>
      <c r="B285" s="391"/>
      <c r="C285" s="391"/>
      <c r="D285" s="391"/>
      <c r="E285" s="391"/>
      <c r="F285" s="391"/>
      <c r="G285" s="391"/>
      <c r="H285" s="391"/>
      <c r="I285" s="391"/>
      <c r="J285" s="391"/>
      <c r="K285" s="391"/>
      <c r="L285" s="391"/>
      <c r="M285" s="391"/>
      <c r="N285" s="391"/>
      <c r="O285" s="391"/>
      <c r="P285" s="391"/>
      <c r="Q285" s="391"/>
      <c r="R285" s="391"/>
      <c r="S285" s="391"/>
      <c r="T285" s="391"/>
      <c r="U285" s="391"/>
      <c r="V285" s="391"/>
      <c r="W285" s="391"/>
      <c r="X285" s="391"/>
      <c r="Y285" s="391"/>
      <c r="Z285" s="391"/>
      <c r="AA285" s="391"/>
      <c r="AB285" s="391"/>
      <c r="AC285" s="391"/>
      <c r="AD285" s="391"/>
      <c r="AE285" s="391"/>
    </row>
    <row r="286">
      <c r="A286" s="391"/>
      <c r="B286" s="391"/>
      <c r="C286" s="391"/>
      <c r="D286" s="391"/>
      <c r="E286" s="391"/>
      <c r="F286" s="391"/>
      <c r="G286" s="391"/>
      <c r="H286" s="391"/>
      <c r="I286" s="391"/>
      <c r="J286" s="391"/>
      <c r="K286" s="391"/>
      <c r="L286" s="391"/>
      <c r="M286" s="391"/>
      <c r="N286" s="391"/>
      <c r="O286" s="391"/>
      <c r="P286" s="391"/>
      <c r="Q286" s="391"/>
      <c r="R286" s="391"/>
      <c r="S286" s="391"/>
      <c r="T286" s="391"/>
      <c r="U286" s="391"/>
      <c r="V286" s="391"/>
      <c r="W286" s="391"/>
      <c r="X286" s="391"/>
      <c r="Y286" s="391"/>
      <c r="Z286" s="391"/>
      <c r="AA286" s="391"/>
      <c r="AB286" s="391"/>
      <c r="AC286" s="391"/>
      <c r="AD286" s="391"/>
      <c r="AE286" s="391"/>
    </row>
    <row r="287">
      <c r="A287" s="391"/>
      <c r="B287" s="391"/>
      <c r="C287" s="391"/>
      <c r="D287" s="391"/>
      <c r="E287" s="391"/>
      <c r="F287" s="391"/>
      <c r="G287" s="391"/>
      <c r="H287" s="391"/>
      <c r="I287" s="391"/>
      <c r="J287" s="391"/>
      <c r="K287" s="391"/>
      <c r="L287" s="391"/>
      <c r="M287" s="391"/>
      <c r="N287" s="391"/>
      <c r="O287" s="391"/>
      <c r="P287" s="391"/>
      <c r="Q287" s="391"/>
      <c r="R287" s="391"/>
      <c r="S287" s="391"/>
      <c r="T287" s="391"/>
      <c r="U287" s="391"/>
      <c r="V287" s="391"/>
      <c r="W287" s="391"/>
      <c r="X287" s="391"/>
      <c r="Y287" s="391"/>
      <c r="Z287" s="391"/>
      <c r="AA287" s="391"/>
      <c r="AB287" s="391"/>
      <c r="AC287" s="391"/>
      <c r="AD287" s="391"/>
      <c r="AE287" s="391"/>
    </row>
    <row r="288">
      <c r="A288" s="391"/>
      <c r="B288" s="391"/>
      <c r="C288" s="391"/>
      <c r="D288" s="391"/>
      <c r="E288" s="391"/>
      <c r="F288" s="391"/>
      <c r="G288" s="391"/>
      <c r="H288" s="391"/>
      <c r="I288" s="391"/>
      <c r="J288" s="391"/>
      <c r="K288" s="391"/>
      <c r="L288" s="391"/>
      <c r="M288" s="391"/>
      <c r="N288" s="391"/>
      <c r="O288" s="391"/>
      <c r="P288" s="391"/>
      <c r="Q288" s="391"/>
      <c r="R288" s="391"/>
      <c r="S288" s="391"/>
      <c r="T288" s="391"/>
      <c r="U288" s="391"/>
      <c r="V288" s="391"/>
      <c r="W288" s="391"/>
      <c r="X288" s="391"/>
      <c r="Y288" s="391"/>
      <c r="Z288" s="391"/>
      <c r="AA288" s="391"/>
      <c r="AB288" s="391"/>
      <c r="AC288" s="391"/>
      <c r="AD288" s="391"/>
      <c r="AE288" s="391"/>
    </row>
    <row r="289">
      <c r="A289" s="391"/>
      <c r="B289" s="391"/>
      <c r="C289" s="391"/>
      <c r="D289" s="391"/>
      <c r="E289" s="391"/>
      <c r="F289" s="391"/>
      <c r="G289" s="391"/>
      <c r="H289" s="391"/>
      <c r="I289" s="391"/>
      <c r="J289" s="391"/>
      <c r="K289" s="391"/>
      <c r="L289" s="391"/>
      <c r="M289" s="391"/>
      <c r="N289" s="391"/>
      <c r="O289" s="391"/>
      <c r="P289" s="391"/>
      <c r="Q289" s="391"/>
      <c r="R289" s="391"/>
      <c r="S289" s="391"/>
      <c r="T289" s="391"/>
      <c r="U289" s="391"/>
      <c r="V289" s="391"/>
      <c r="W289" s="391"/>
      <c r="X289" s="391"/>
      <c r="Y289" s="391"/>
      <c r="Z289" s="391"/>
      <c r="AA289" s="391"/>
      <c r="AB289" s="391"/>
      <c r="AC289" s="391"/>
      <c r="AD289" s="391"/>
      <c r="AE289" s="391"/>
    </row>
    <row r="290">
      <c r="A290" s="391"/>
      <c r="B290" s="391"/>
      <c r="C290" s="391"/>
      <c r="D290" s="391"/>
      <c r="E290" s="391"/>
      <c r="F290" s="391"/>
      <c r="G290" s="391"/>
      <c r="H290" s="391"/>
      <c r="I290" s="391"/>
      <c r="J290" s="391"/>
      <c r="K290" s="391"/>
      <c r="L290" s="391"/>
      <c r="M290" s="391"/>
      <c r="N290" s="391"/>
      <c r="O290" s="391"/>
      <c r="P290" s="391"/>
      <c r="Q290" s="391"/>
      <c r="R290" s="391"/>
      <c r="S290" s="391"/>
      <c r="T290" s="391"/>
      <c r="U290" s="391"/>
      <c r="V290" s="391"/>
      <c r="W290" s="391"/>
      <c r="X290" s="391"/>
      <c r="Y290" s="391"/>
      <c r="Z290" s="391"/>
      <c r="AA290" s="391"/>
      <c r="AB290" s="391"/>
      <c r="AC290" s="391"/>
      <c r="AD290" s="391"/>
      <c r="AE290" s="391"/>
    </row>
    <row r="291">
      <c r="A291" s="391"/>
      <c r="B291" s="391"/>
      <c r="C291" s="391"/>
      <c r="D291" s="391"/>
      <c r="E291" s="391"/>
      <c r="F291" s="391"/>
      <c r="G291" s="391"/>
      <c r="H291" s="391"/>
      <c r="I291" s="391"/>
      <c r="J291" s="391"/>
      <c r="K291" s="391"/>
      <c r="L291" s="391"/>
      <c r="M291" s="391"/>
      <c r="N291" s="391"/>
      <c r="O291" s="391"/>
      <c r="P291" s="391"/>
      <c r="Q291" s="391"/>
      <c r="R291" s="391"/>
      <c r="S291" s="391"/>
      <c r="T291" s="391"/>
      <c r="U291" s="391"/>
      <c r="V291" s="391"/>
      <c r="W291" s="391"/>
      <c r="X291" s="391"/>
      <c r="Y291" s="391"/>
      <c r="Z291" s="391"/>
      <c r="AA291" s="391"/>
      <c r="AB291" s="391"/>
      <c r="AC291" s="391"/>
      <c r="AD291" s="391"/>
      <c r="AE291" s="391"/>
    </row>
    <row r="292">
      <c r="A292" s="391"/>
      <c r="B292" s="391"/>
      <c r="C292" s="391"/>
      <c r="D292" s="391"/>
      <c r="E292" s="391"/>
      <c r="F292" s="391"/>
      <c r="G292" s="391"/>
      <c r="H292" s="391"/>
      <c r="I292" s="391"/>
      <c r="J292" s="391"/>
      <c r="K292" s="391"/>
      <c r="L292" s="391"/>
      <c r="M292" s="391"/>
      <c r="N292" s="391"/>
      <c r="O292" s="391"/>
      <c r="P292" s="391"/>
      <c r="Q292" s="391"/>
      <c r="R292" s="391"/>
      <c r="S292" s="391"/>
      <c r="T292" s="391"/>
      <c r="U292" s="391"/>
      <c r="V292" s="391"/>
      <c r="W292" s="391"/>
      <c r="X292" s="391"/>
      <c r="Y292" s="391"/>
      <c r="Z292" s="391"/>
      <c r="AA292" s="391"/>
      <c r="AB292" s="391"/>
      <c r="AC292" s="391"/>
      <c r="AD292" s="391"/>
      <c r="AE292" s="391"/>
    </row>
    <row r="293">
      <c r="A293" s="391"/>
      <c r="B293" s="391"/>
      <c r="C293" s="391"/>
      <c r="D293" s="391"/>
      <c r="E293" s="391"/>
      <c r="F293" s="391"/>
      <c r="G293" s="391"/>
      <c r="H293" s="391"/>
      <c r="I293" s="391"/>
      <c r="J293" s="391"/>
      <c r="K293" s="391"/>
      <c r="L293" s="391"/>
      <c r="M293" s="391"/>
      <c r="N293" s="391"/>
      <c r="O293" s="391"/>
      <c r="P293" s="391"/>
      <c r="Q293" s="391"/>
      <c r="R293" s="391"/>
      <c r="S293" s="391"/>
      <c r="T293" s="391"/>
      <c r="U293" s="391"/>
      <c r="V293" s="391"/>
      <c r="W293" s="391"/>
      <c r="X293" s="391"/>
      <c r="Y293" s="391"/>
      <c r="Z293" s="391"/>
      <c r="AA293" s="391"/>
      <c r="AB293" s="391"/>
      <c r="AC293" s="391"/>
      <c r="AD293" s="391"/>
      <c r="AE293" s="391"/>
    </row>
    <row r="294">
      <c r="A294" s="391"/>
      <c r="B294" s="391"/>
      <c r="C294" s="391"/>
      <c r="D294" s="391"/>
      <c r="E294" s="391"/>
      <c r="F294" s="391"/>
      <c r="G294" s="391"/>
      <c r="H294" s="391"/>
      <c r="I294" s="391"/>
      <c r="J294" s="391"/>
      <c r="K294" s="391"/>
      <c r="L294" s="391"/>
      <c r="M294" s="391"/>
      <c r="N294" s="391"/>
      <c r="O294" s="391"/>
      <c r="P294" s="391"/>
      <c r="Q294" s="391"/>
      <c r="R294" s="391"/>
      <c r="S294" s="391"/>
      <c r="T294" s="391"/>
      <c r="U294" s="391"/>
      <c r="V294" s="391"/>
      <c r="W294" s="391"/>
      <c r="X294" s="391"/>
      <c r="Y294" s="391"/>
      <c r="Z294" s="391"/>
      <c r="AA294" s="391"/>
      <c r="AB294" s="391"/>
      <c r="AC294" s="391"/>
      <c r="AD294" s="391"/>
      <c r="AE294" s="391"/>
    </row>
    <row r="295">
      <c r="A295" s="391"/>
      <c r="B295" s="391"/>
      <c r="C295" s="391"/>
      <c r="D295" s="391"/>
      <c r="E295" s="391"/>
      <c r="F295" s="391"/>
      <c r="G295" s="391"/>
      <c r="H295" s="391"/>
      <c r="I295" s="391"/>
      <c r="J295" s="391"/>
      <c r="K295" s="391"/>
      <c r="L295" s="391"/>
      <c r="M295" s="391"/>
      <c r="N295" s="391"/>
      <c r="O295" s="391"/>
      <c r="P295" s="391"/>
      <c r="Q295" s="391"/>
      <c r="R295" s="391"/>
      <c r="S295" s="391"/>
      <c r="T295" s="391"/>
      <c r="U295" s="391"/>
      <c r="V295" s="391"/>
      <c r="W295" s="391"/>
      <c r="X295" s="391"/>
      <c r="Y295" s="391"/>
      <c r="Z295" s="391"/>
      <c r="AA295" s="391"/>
      <c r="AB295" s="391"/>
      <c r="AC295" s="391"/>
      <c r="AD295" s="391"/>
      <c r="AE295" s="391"/>
    </row>
    <row r="296">
      <c r="A296" s="391"/>
      <c r="B296" s="391"/>
      <c r="C296" s="391"/>
      <c r="D296" s="391"/>
      <c r="E296" s="391"/>
      <c r="F296" s="391"/>
      <c r="G296" s="391"/>
      <c r="H296" s="391"/>
      <c r="I296" s="391"/>
      <c r="J296" s="391"/>
      <c r="K296" s="391"/>
      <c r="L296" s="391"/>
      <c r="M296" s="391"/>
      <c r="N296" s="391"/>
      <c r="O296" s="391"/>
      <c r="P296" s="391"/>
      <c r="Q296" s="391"/>
      <c r="R296" s="391"/>
      <c r="S296" s="391"/>
      <c r="T296" s="391"/>
      <c r="U296" s="391"/>
      <c r="V296" s="391"/>
      <c r="W296" s="391"/>
      <c r="X296" s="391"/>
      <c r="Y296" s="391"/>
      <c r="Z296" s="391"/>
      <c r="AA296" s="391"/>
      <c r="AB296" s="391"/>
      <c r="AC296" s="391"/>
      <c r="AD296" s="391"/>
      <c r="AE296" s="391"/>
    </row>
    <row r="297">
      <c r="A297" s="391"/>
      <c r="B297" s="391"/>
      <c r="C297" s="391"/>
      <c r="D297" s="391"/>
      <c r="E297" s="391"/>
      <c r="F297" s="391"/>
      <c r="G297" s="391"/>
      <c r="H297" s="391"/>
      <c r="I297" s="391"/>
      <c r="J297" s="391"/>
      <c r="K297" s="391"/>
      <c r="L297" s="391"/>
      <c r="M297" s="391"/>
      <c r="N297" s="391"/>
      <c r="O297" s="391"/>
      <c r="P297" s="391"/>
      <c r="Q297" s="391"/>
      <c r="R297" s="391"/>
      <c r="S297" s="391"/>
      <c r="T297" s="391"/>
      <c r="U297" s="391"/>
      <c r="V297" s="391"/>
      <c r="W297" s="391"/>
      <c r="X297" s="391"/>
      <c r="Y297" s="391"/>
      <c r="Z297" s="391"/>
      <c r="AA297" s="391"/>
      <c r="AB297" s="391"/>
      <c r="AC297" s="391"/>
      <c r="AD297" s="391"/>
      <c r="AE297" s="391"/>
    </row>
    <row r="298">
      <c r="A298" s="391"/>
      <c r="B298" s="391"/>
      <c r="C298" s="391"/>
      <c r="D298" s="391"/>
      <c r="E298" s="391"/>
      <c r="F298" s="391"/>
      <c r="G298" s="391"/>
      <c r="H298" s="391"/>
      <c r="I298" s="391"/>
      <c r="J298" s="391"/>
      <c r="K298" s="391"/>
      <c r="L298" s="391"/>
      <c r="M298" s="391"/>
      <c r="N298" s="391"/>
      <c r="O298" s="391"/>
      <c r="P298" s="391"/>
      <c r="Q298" s="391"/>
      <c r="R298" s="391"/>
      <c r="S298" s="391"/>
      <c r="T298" s="391"/>
      <c r="U298" s="391"/>
      <c r="V298" s="391"/>
      <c r="W298" s="391"/>
      <c r="X298" s="391"/>
      <c r="Y298" s="391"/>
      <c r="Z298" s="391"/>
      <c r="AA298" s="391"/>
      <c r="AB298" s="391"/>
      <c r="AC298" s="391"/>
      <c r="AD298" s="391"/>
      <c r="AE298" s="391"/>
    </row>
    <row r="299">
      <c r="A299" s="391"/>
      <c r="B299" s="391"/>
      <c r="C299" s="391"/>
      <c r="D299" s="391"/>
      <c r="E299" s="391"/>
      <c r="F299" s="391"/>
      <c r="G299" s="391"/>
      <c r="H299" s="391"/>
      <c r="I299" s="391"/>
      <c r="J299" s="391"/>
      <c r="K299" s="391"/>
      <c r="L299" s="391"/>
      <c r="M299" s="391"/>
      <c r="N299" s="391"/>
      <c r="O299" s="391"/>
      <c r="P299" s="391"/>
      <c r="Q299" s="391"/>
      <c r="R299" s="391"/>
      <c r="S299" s="391"/>
      <c r="T299" s="391"/>
      <c r="U299" s="391"/>
      <c r="V299" s="391"/>
      <c r="W299" s="391"/>
      <c r="X299" s="391"/>
      <c r="Y299" s="391"/>
      <c r="Z299" s="391"/>
      <c r="AA299" s="391"/>
      <c r="AB299" s="391"/>
      <c r="AC299" s="391"/>
      <c r="AD299" s="391"/>
      <c r="AE299" s="391"/>
    </row>
    <row r="300">
      <c r="A300" s="391"/>
      <c r="B300" s="391"/>
      <c r="C300" s="391"/>
      <c r="D300" s="391"/>
      <c r="E300" s="391"/>
      <c r="F300" s="391"/>
      <c r="G300" s="391"/>
      <c r="H300" s="391"/>
      <c r="I300" s="391"/>
      <c r="J300" s="391"/>
      <c r="K300" s="391"/>
      <c r="L300" s="391"/>
      <c r="M300" s="391"/>
      <c r="N300" s="391"/>
      <c r="O300" s="391"/>
      <c r="P300" s="391"/>
      <c r="Q300" s="391"/>
      <c r="R300" s="391"/>
      <c r="S300" s="391"/>
      <c r="T300" s="391"/>
      <c r="U300" s="391"/>
      <c r="V300" s="391"/>
      <c r="W300" s="391"/>
      <c r="X300" s="391"/>
      <c r="Y300" s="391"/>
      <c r="Z300" s="391"/>
      <c r="AA300" s="391"/>
      <c r="AB300" s="391"/>
      <c r="AC300" s="391"/>
      <c r="AD300" s="391"/>
      <c r="AE300" s="391"/>
    </row>
    <row r="301">
      <c r="A301" s="391"/>
      <c r="B301" s="391"/>
      <c r="C301" s="391"/>
      <c r="D301" s="391"/>
      <c r="E301" s="391"/>
      <c r="F301" s="391"/>
      <c r="G301" s="391"/>
      <c r="H301" s="391"/>
      <c r="I301" s="391"/>
      <c r="J301" s="391"/>
      <c r="K301" s="391"/>
      <c r="L301" s="391"/>
      <c r="M301" s="391"/>
      <c r="N301" s="391"/>
      <c r="O301" s="391"/>
      <c r="P301" s="391"/>
      <c r="Q301" s="391"/>
      <c r="R301" s="391"/>
      <c r="S301" s="391"/>
      <c r="T301" s="391"/>
      <c r="U301" s="391"/>
      <c r="V301" s="391"/>
      <c r="W301" s="391"/>
      <c r="X301" s="391"/>
      <c r="Y301" s="391"/>
      <c r="Z301" s="391"/>
      <c r="AA301" s="391"/>
      <c r="AB301" s="391"/>
      <c r="AC301" s="391"/>
      <c r="AD301" s="391"/>
      <c r="AE301" s="391"/>
    </row>
    <row r="302">
      <c r="A302" s="391"/>
      <c r="B302" s="391"/>
      <c r="C302" s="391"/>
      <c r="D302" s="391"/>
      <c r="E302" s="391"/>
      <c r="F302" s="391"/>
      <c r="G302" s="391"/>
      <c r="H302" s="391"/>
      <c r="I302" s="391"/>
      <c r="J302" s="391"/>
      <c r="K302" s="391"/>
      <c r="L302" s="391"/>
      <c r="M302" s="391"/>
      <c r="N302" s="391"/>
      <c r="O302" s="391"/>
      <c r="P302" s="391"/>
      <c r="Q302" s="391"/>
      <c r="R302" s="391"/>
      <c r="S302" s="391"/>
      <c r="T302" s="391"/>
      <c r="U302" s="391"/>
      <c r="V302" s="391"/>
      <c r="W302" s="391"/>
      <c r="X302" s="391"/>
      <c r="Y302" s="391"/>
      <c r="Z302" s="391"/>
      <c r="AA302" s="391"/>
      <c r="AB302" s="391"/>
      <c r="AC302" s="391"/>
      <c r="AD302" s="391"/>
      <c r="AE302" s="391"/>
    </row>
    <row r="303">
      <c r="A303" s="391"/>
      <c r="B303" s="391"/>
      <c r="C303" s="391"/>
      <c r="D303" s="391"/>
      <c r="E303" s="391"/>
      <c r="F303" s="391"/>
      <c r="G303" s="391"/>
      <c r="H303" s="391"/>
      <c r="I303" s="391"/>
      <c r="J303" s="391"/>
      <c r="K303" s="391"/>
      <c r="L303" s="391"/>
      <c r="M303" s="391"/>
      <c r="N303" s="391"/>
      <c r="O303" s="391"/>
      <c r="P303" s="391"/>
      <c r="Q303" s="391"/>
      <c r="R303" s="391"/>
      <c r="S303" s="391"/>
      <c r="T303" s="391"/>
      <c r="U303" s="391"/>
      <c r="V303" s="391"/>
      <c r="W303" s="391"/>
      <c r="X303" s="391"/>
      <c r="Y303" s="391"/>
      <c r="Z303" s="391"/>
      <c r="AA303" s="391"/>
      <c r="AB303" s="391"/>
      <c r="AC303" s="391"/>
      <c r="AD303" s="391"/>
      <c r="AE303" s="391"/>
    </row>
    <row r="304">
      <c r="A304" s="391"/>
      <c r="B304" s="391"/>
      <c r="C304" s="391"/>
      <c r="D304" s="391"/>
      <c r="E304" s="391"/>
      <c r="F304" s="391"/>
      <c r="G304" s="391"/>
      <c r="H304" s="391"/>
      <c r="I304" s="391"/>
      <c r="J304" s="391"/>
      <c r="K304" s="391"/>
      <c r="L304" s="391"/>
      <c r="M304" s="391"/>
      <c r="N304" s="391"/>
      <c r="O304" s="391"/>
      <c r="P304" s="391"/>
      <c r="Q304" s="391"/>
      <c r="R304" s="391"/>
      <c r="S304" s="391"/>
      <c r="T304" s="391"/>
      <c r="U304" s="391"/>
      <c r="V304" s="391"/>
      <c r="W304" s="391"/>
      <c r="X304" s="391"/>
      <c r="Y304" s="391"/>
      <c r="Z304" s="391"/>
      <c r="AA304" s="391"/>
      <c r="AB304" s="391"/>
      <c r="AC304" s="391"/>
      <c r="AD304" s="391"/>
      <c r="AE304" s="391"/>
    </row>
    <row r="305">
      <c r="A305" s="391"/>
      <c r="B305" s="391"/>
      <c r="C305" s="391"/>
      <c r="D305" s="391"/>
      <c r="E305" s="391"/>
      <c r="F305" s="391"/>
      <c r="G305" s="391"/>
      <c r="H305" s="391"/>
      <c r="I305" s="391"/>
      <c r="J305" s="391"/>
      <c r="K305" s="391"/>
      <c r="L305" s="391"/>
      <c r="M305" s="391"/>
      <c r="N305" s="391"/>
      <c r="O305" s="391"/>
      <c r="P305" s="391"/>
      <c r="Q305" s="391"/>
      <c r="R305" s="391"/>
      <c r="S305" s="391"/>
      <c r="T305" s="391"/>
      <c r="U305" s="391"/>
      <c r="V305" s="391"/>
      <c r="W305" s="391"/>
      <c r="X305" s="391"/>
      <c r="Y305" s="391"/>
      <c r="Z305" s="391"/>
      <c r="AA305" s="391"/>
      <c r="AB305" s="391"/>
      <c r="AC305" s="391"/>
      <c r="AD305" s="391"/>
      <c r="AE305" s="391"/>
    </row>
    <row r="306">
      <c r="A306" s="391"/>
      <c r="B306" s="391"/>
      <c r="C306" s="391"/>
      <c r="D306" s="391"/>
      <c r="E306" s="391"/>
      <c r="F306" s="391"/>
      <c r="G306" s="391"/>
      <c r="H306" s="391"/>
      <c r="I306" s="391"/>
      <c r="J306" s="391"/>
      <c r="K306" s="391"/>
      <c r="L306" s="391"/>
      <c r="M306" s="391"/>
      <c r="N306" s="391"/>
      <c r="O306" s="391"/>
      <c r="P306" s="391"/>
      <c r="Q306" s="391"/>
      <c r="R306" s="391"/>
      <c r="S306" s="391"/>
      <c r="T306" s="391"/>
      <c r="U306" s="391"/>
      <c r="V306" s="391"/>
      <c r="W306" s="391"/>
      <c r="X306" s="391"/>
      <c r="Y306" s="391"/>
      <c r="Z306" s="391"/>
      <c r="AA306" s="391"/>
      <c r="AB306" s="391"/>
      <c r="AC306" s="391"/>
      <c r="AD306" s="391"/>
      <c r="AE306" s="391"/>
    </row>
    <row r="307">
      <c r="A307" s="391"/>
      <c r="B307" s="391"/>
      <c r="C307" s="391"/>
      <c r="D307" s="391"/>
      <c r="E307" s="391"/>
      <c r="F307" s="391"/>
      <c r="G307" s="391"/>
      <c r="H307" s="391"/>
      <c r="I307" s="391"/>
      <c r="J307" s="391"/>
      <c r="K307" s="391"/>
      <c r="L307" s="391"/>
      <c r="M307" s="391"/>
      <c r="N307" s="391"/>
      <c r="O307" s="391"/>
      <c r="P307" s="391"/>
      <c r="Q307" s="391"/>
      <c r="R307" s="391"/>
      <c r="S307" s="391"/>
      <c r="T307" s="391"/>
      <c r="U307" s="391"/>
      <c r="V307" s="391"/>
      <c r="W307" s="391"/>
      <c r="X307" s="391"/>
      <c r="Y307" s="391"/>
      <c r="Z307" s="391"/>
      <c r="AA307" s="391"/>
      <c r="AB307" s="391"/>
      <c r="AC307" s="391"/>
      <c r="AD307" s="391"/>
      <c r="AE307" s="391"/>
    </row>
    <row r="308">
      <c r="A308" s="391"/>
      <c r="B308" s="391"/>
      <c r="C308" s="391"/>
      <c r="D308" s="391"/>
      <c r="E308" s="391"/>
      <c r="F308" s="391"/>
      <c r="G308" s="391"/>
      <c r="H308" s="391"/>
      <c r="I308" s="391"/>
      <c r="J308" s="391"/>
      <c r="K308" s="391"/>
      <c r="L308" s="391"/>
      <c r="M308" s="391"/>
      <c r="N308" s="391"/>
      <c r="O308" s="391"/>
      <c r="P308" s="391"/>
      <c r="Q308" s="391"/>
      <c r="R308" s="391"/>
      <c r="S308" s="391"/>
      <c r="T308" s="391"/>
      <c r="U308" s="391"/>
      <c r="V308" s="391"/>
      <c r="W308" s="391"/>
      <c r="X308" s="391"/>
      <c r="Y308" s="391"/>
      <c r="Z308" s="391"/>
      <c r="AA308" s="391"/>
      <c r="AB308" s="391"/>
      <c r="AC308" s="391"/>
      <c r="AD308" s="391"/>
      <c r="AE308" s="391"/>
    </row>
    <row r="309">
      <c r="A309" s="391"/>
      <c r="B309" s="391"/>
      <c r="C309" s="391"/>
      <c r="D309" s="391"/>
      <c r="E309" s="391"/>
      <c r="F309" s="391"/>
      <c r="G309" s="391"/>
      <c r="H309" s="391"/>
      <c r="I309" s="391"/>
      <c r="J309" s="391"/>
      <c r="K309" s="391"/>
      <c r="L309" s="391"/>
      <c r="M309" s="391"/>
      <c r="N309" s="391"/>
      <c r="O309" s="391"/>
      <c r="P309" s="391"/>
      <c r="Q309" s="391"/>
      <c r="R309" s="391"/>
      <c r="S309" s="391"/>
      <c r="T309" s="391"/>
      <c r="U309" s="391"/>
      <c r="V309" s="391"/>
      <c r="W309" s="391"/>
      <c r="X309" s="391"/>
      <c r="Y309" s="391"/>
      <c r="Z309" s="391"/>
      <c r="AA309" s="391"/>
      <c r="AB309" s="391"/>
      <c r="AC309" s="391"/>
      <c r="AD309" s="391"/>
      <c r="AE309" s="391"/>
    </row>
    <row r="310">
      <c r="A310" s="391"/>
      <c r="B310" s="391"/>
      <c r="C310" s="391"/>
      <c r="D310" s="391"/>
      <c r="E310" s="391"/>
      <c r="F310" s="391"/>
      <c r="G310" s="391"/>
      <c r="H310" s="391"/>
      <c r="I310" s="391"/>
      <c r="J310" s="391"/>
      <c r="K310" s="391"/>
      <c r="L310" s="391"/>
      <c r="M310" s="391"/>
      <c r="N310" s="391"/>
      <c r="O310" s="391"/>
      <c r="P310" s="391"/>
      <c r="Q310" s="391"/>
      <c r="R310" s="391"/>
      <c r="S310" s="391"/>
      <c r="T310" s="391"/>
      <c r="U310" s="391"/>
      <c r="V310" s="391"/>
      <c r="W310" s="391"/>
      <c r="X310" s="391"/>
      <c r="Y310" s="391"/>
      <c r="Z310" s="391"/>
      <c r="AA310" s="391"/>
      <c r="AB310" s="391"/>
      <c r="AC310" s="391"/>
      <c r="AD310" s="391"/>
      <c r="AE310" s="391"/>
    </row>
    <row r="311">
      <c r="A311" s="391"/>
      <c r="B311" s="391"/>
      <c r="C311" s="391"/>
      <c r="D311" s="391"/>
      <c r="E311" s="391"/>
      <c r="F311" s="391"/>
      <c r="G311" s="391"/>
      <c r="H311" s="391"/>
      <c r="I311" s="391"/>
      <c r="J311" s="391"/>
      <c r="K311" s="391"/>
      <c r="L311" s="391"/>
      <c r="M311" s="391"/>
      <c r="N311" s="391"/>
      <c r="O311" s="391"/>
      <c r="P311" s="391"/>
      <c r="Q311" s="391"/>
      <c r="R311" s="391"/>
      <c r="S311" s="391"/>
      <c r="T311" s="391"/>
      <c r="U311" s="391"/>
      <c r="V311" s="391"/>
      <c r="W311" s="391"/>
      <c r="X311" s="391"/>
      <c r="Y311" s="391"/>
      <c r="Z311" s="391"/>
      <c r="AA311" s="391"/>
      <c r="AB311" s="391"/>
      <c r="AC311" s="391"/>
      <c r="AD311" s="391"/>
      <c r="AE311" s="391"/>
    </row>
    <row r="312">
      <c r="A312" s="391"/>
      <c r="B312" s="391"/>
      <c r="C312" s="391"/>
      <c r="D312" s="391"/>
      <c r="E312" s="391"/>
      <c r="F312" s="391"/>
      <c r="G312" s="391"/>
      <c r="H312" s="391"/>
      <c r="I312" s="391"/>
      <c r="J312" s="391"/>
      <c r="K312" s="391"/>
      <c r="L312" s="391"/>
      <c r="M312" s="391"/>
      <c r="N312" s="391"/>
      <c r="O312" s="391"/>
      <c r="P312" s="391"/>
      <c r="Q312" s="391"/>
      <c r="R312" s="391"/>
      <c r="S312" s="391"/>
      <c r="T312" s="391"/>
      <c r="U312" s="391"/>
      <c r="V312" s="391"/>
      <c r="W312" s="391"/>
      <c r="X312" s="391"/>
      <c r="Y312" s="391"/>
      <c r="Z312" s="391"/>
      <c r="AA312" s="391"/>
      <c r="AB312" s="391"/>
      <c r="AC312" s="391"/>
      <c r="AD312" s="391"/>
      <c r="AE312" s="391"/>
    </row>
    <row r="313">
      <c r="A313" s="391"/>
      <c r="B313" s="391"/>
      <c r="C313" s="391"/>
      <c r="D313" s="391"/>
      <c r="E313" s="391"/>
      <c r="F313" s="391"/>
      <c r="G313" s="391"/>
      <c r="H313" s="391"/>
      <c r="I313" s="391"/>
      <c r="J313" s="391"/>
      <c r="K313" s="391"/>
      <c r="L313" s="391"/>
      <c r="M313" s="391"/>
      <c r="N313" s="391"/>
      <c r="O313" s="391"/>
      <c r="P313" s="391"/>
      <c r="Q313" s="391"/>
      <c r="R313" s="391"/>
      <c r="S313" s="391"/>
      <c r="T313" s="391"/>
      <c r="U313" s="391"/>
      <c r="V313" s="391"/>
      <c r="W313" s="391"/>
      <c r="X313" s="391"/>
      <c r="Y313" s="391"/>
      <c r="Z313" s="391"/>
      <c r="AA313" s="391"/>
      <c r="AB313" s="391"/>
      <c r="AC313" s="391"/>
      <c r="AD313" s="391"/>
      <c r="AE313" s="391"/>
    </row>
    <row r="314">
      <c r="A314" s="391"/>
      <c r="B314" s="391"/>
      <c r="C314" s="391"/>
      <c r="D314" s="391"/>
      <c r="E314" s="391"/>
      <c r="F314" s="391"/>
      <c r="G314" s="391"/>
      <c r="H314" s="391"/>
      <c r="I314" s="391"/>
      <c r="J314" s="391"/>
      <c r="K314" s="391"/>
      <c r="L314" s="391"/>
      <c r="M314" s="391"/>
      <c r="N314" s="391"/>
      <c r="O314" s="391"/>
      <c r="P314" s="391"/>
      <c r="Q314" s="391"/>
      <c r="R314" s="391"/>
      <c r="S314" s="391"/>
      <c r="T314" s="391"/>
      <c r="U314" s="391"/>
      <c r="V314" s="391"/>
      <c r="W314" s="391"/>
      <c r="X314" s="391"/>
      <c r="Y314" s="391"/>
      <c r="Z314" s="391"/>
      <c r="AA314" s="391"/>
      <c r="AB314" s="391"/>
      <c r="AC314" s="391"/>
      <c r="AD314" s="391"/>
      <c r="AE314" s="391"/>
    </row>
    <row r="315">
      <c r="A315" s="391"/>
      <c r="B315" s="391"/>
      <c r="C315" s="391"/>
      <c r="D315" s="391"/>
      <c r="E315" s="391"/>
      <c r="F315" s="391"/>
      <c r="G315" s="391"/>
      <c r="H315" s="391"/>
      <c r="I315" s="391"/>
      <c r="J315" s="391"/>
      <c r="K315" s="391"/>
      <c r="L315" s="391"/>
      <c r="M315" s="391"/>
      <c r="N315" s="391"/>
      <c r="O315" s="391"/>
      <c r="P315" s="391"/>
      <c r="Q315" s="391"/>
      <c r="R315" s="391"/>
      <c r="S315" s="391"/>
      <c r="T315" s="391"/>
      <c r="U315" s="391"/>
      <c r="V315" s="391"/>
      <c r="W315" s="391"/>
      <c r="X315" s="391"/>
      <c r="Y315" s="391"/>
      <c r="Z315" s="391"/>
      <c r="AA315" s="391"/>
      <c r="AB315" s="391"/>
      <c r="AC315" s="391"/>
      <c r="AD315" s="391"/>
      <c r="AE315" s="391"/>
    </row>
    <row r="316">
      <c r="A316" s="391"/>
      <c r="B316" s="391"/>
      <c r="C316" s="391"/>
      <c r="D316" s="391"/>
      <c r="E316" s="391"/>
      <c r="F316" s="391"/>
      <c r="G316" s="391"/>
      <c r="H316" s="391"/>
      <c r="I316" s="391"/>
      <c r="J316" s="391"/>
      <c r="K316" s="391"/>
      <c r="L316" s="391"/>
      <c r="M316" s="391"/>
      <c r="N316" s="391"/>
      <c r="O316" s="391"/>
      <c r="P316" s="391"/>
      <c r="Q316" s="391"/>
      <c r="R316" s="391"/>
      <c r="S316" s="391"/>
      <c r="T316" s="391"/>
      <c r="U316" s="391"/>
      <c r="V316" s="391"/>
      <c r="W316" s="391"/>
      <c r="X316" s="391"/>
      <c r="Y316" s="391"/>
      <c r="Z316" s="391"/>
      <c r="AA316" s="391"/>
      <c r="AB316" s="391"/>
      <c r="AC316" s="391"/>
      <c r="AD316" s="391"/>
      <c r="AE316" s="391"/>
    </row>
    <row r="317">
      <c r="A317" s="391"/>
      <c r="B317" s="391"/>
      <c r="C317" s="391"/>
      <c r="D317" s="391"/>
      <c r="E317" s="391"/>
      <c r="F317" s="391"/>
      <c r="G317" s="391"/>
      <c r="H317" s="391"/>
      <c r="I317" s="391"/>
      <c r="J317" s="391"/>
      <c r="K317" s="391"/>
      <c r="L317" s="391"/>
      <c r="M317" s="391"/>
      <c r="N317" s="391"/>
      <c r="O317" s="391"/>
      <c r="P317" s="391"/>
      <c r="Q317" s="391"/>
      <c r="R317" s="391"/>
      <c r="S317" s="391"/>
      <c r="T317" s="391"/>
      <c r="U317" s="391"/>
      <c r="V317" s="391"/>
      <c r="W317" s="391"/>
      <c r="X317" s="391"/>
      <c r="Y317" s="391"/>
      <c r="Z317" s="391"/>
      <c r="AA317" s="391"/>
      <c r="AB317" s="391"/>
      <c r="AC317" s="391"/>
      <c r="AD317" s="391"/>
      <c r="AE317" s="391"/>
    </row>
    <row r="318">
      <c r="A318" s="391"/>
      <c r="B318" s="391"/>
      <c r="C318" s="391"/>
      <c r="D318" s="391"/>
      <c r="E318" s="391"/>
      <c r="F318" s="391"/>
      <c r="G318" s="391"/>
      <c r="H318" s="391"/>
      <c r="I318" s="391"/>
      <c r="J318" s="391"/>
      <c r="K318" s="391"/>
      <c r="L318" s="391"/>
      <c r="M318" s="391"/>
      <c r="N318" s="391"/>
      <c r="O318" s="391"/>
      <c r="P318" s="391"/>
      <c r="Q318" s="391"/>
      <c r="R318" s="391"/>
      <c r="S318" s="391"/>
      <c r="T318" s="391"/>
      <c r="U318" s="391"/>
      <c r="V318" s="391"/>
      <c r="W318" s="391"/>
      <c r="X318" s="391"/>
      <c r="Y318" s="391"/>
      <c r="Z318" s="391"/>
      <c r="AA318" s="391"/>
      <c r="AB318" s="391"/>
      <c r="AC318" s="391"/>
      <c r="AD318" s="391"/>
      <c r="AE318" s="391"/>
    </row>
    <row r="319">
      <c r="A319" s="391"/>
      <c r="B319" s="391"/>
      <c r="C319" s="391"/>
      <c r="D319" s="391"/>
      <c r="E319" s="391"/>
      <c r="F319" s="391"/>
      <c r="G319" s="391"/>
      <c r="H319" s="391"/>
      <c r="I319" s="391"/>
      <c r="J319" s="391"/>
      <c r="K319" s="391"/>
      <c r="L319" s="391"/>
      <c r="M319" s="391"/>
      <c r="N319" s="391"/>
      <c r="O319" s="391"/>
      <c r="P319" s="391"/>
      <c r="Q319" s="391"/>
      <c r="R319" s="391"/>
      <c r="S319" s="391"/>
      <c r="T319" s="391"/>
      <c r="U319" s="391"/>
      <c r="V319" s="391"/>
      <c r="W319" s="391"/>
      <c r="X319" s="391"/>
      <c r="Y319" s="391"/>
      <c r="Z319" s="391"/>
      <c r="AA319" s="391"/>
      <c r="AB319" s="391"/>
      <c r="AC319" s="391"/>
      <c r="AD319" s="391"/>
      <c r="AE319" s="391"/>
    </row>
    <row r="320">
      <c r="A320" s="391"/>
      <c r="B320" s="391"/>
      <c r="C320" s="391"/>
      <c r="D320" s="391"/>
      <c r="E320" s="391"/>
      <c r="F320" s="391"/>
      <c r="G320" s="391"/>
      <c r="H320" s="391"/>
      <c r="I320" s="391"/>
      <c r="J320" s="391"/>
      <c r="K320" s="391"/>
      <c r="L320" s="391"/>
      <c r="M320" s="391"/>
      <c r="N320" s="391"/>
      <c r="O320" s="391"/>
      <c r="P320" s="391"/>
      <c r="Q320" s="391"/>
      <c r="R320" s="391"/>
      <c r="S320" s="391"/>
      <c r="T320" s="391"/>
      <c r="U320" s="391"/>
      <c r="V320" s="391"/>
      <c r="W320" s="391"/>
      <c r="X320" s="391"/>
      <c r="Y320" s="391"/>
      <c r="Z320" s="391"/>
      <c r="AA320" s="391"/>
      <c r="AB320" s="391"/>
      <c r="AC320" s="391"/>
      <c r="AD320" s="391"/>
      <c r="AE320" s="391"/>
    </row>
    <row r="321">
      <c r="A321" s="391"/>
      <c r="B321" s="391"/>
      <c r="C321" s="391"/>
      <c r="D321" s="391"/>
      <c r="E321" s="391"/>
      <c r="F321" s="391"/>
      <c r="G321" s="391"/>
      <c r="H321" s="391"/>
      <c r="I321" s="391"/>
      <c r="J321" s="391"/>
      <c r="K321" s="391"/>
      <c r="L321" s="391"/>
      <c r="M321" s="391"/>
      <c r="N321" s="391"/>
      <c r="O321" s="391"/>
      <c r="P321" s="391"/>
      <c r="Q321" s="391"/>
      <c r="R321" s="391"/>
      <c r="S321" s="391"/>
      <c r="T321" s="391"/>
      <c r="U321" s="391"/>
      <c r="V321" s="391"/>
      <c r="W321" s="391"/>
      <c r="X321" s="391"/>
      <c r="Y321" s="391"/>
      <c r="Z321" s="391"/>
      <c r="AA321" s="391"/>
      <c r="AB321" s="391"/>
      <c r="AC321" s="391"/>
      <c r="AD321" s="391"/>
      <c r="AE321" s="391"/>
    </row>
    <row r="322">
      <c r="A322" s="391"/>
      <c r="B322" s="391"/>
      <c r="C322" s="391"/>
      <c r="D322" s="391"/>
      <c r="E322" s="391"/>
      <c r="F322" s="391"/>
      <c r="G322" s="391"/>
      <c r="H322" s="391"/>
      <c r="I322" s="391"/>
      <c r="J322" s="391"/>
      <c r="K322" s="391"/>
      <c r="L322" s="391"/>
      <c r="M322" s="391"/>
      <c r="N322" s="391"/>
      <c r="O322" s="391"/>
      <c r="P322" s="391"/>
      <c r="Q322" s="391"/>
      <c r="R322" s="391"/>
      <c r="S322" s="391"/>
      <c r="T322" s="391"/>
      <c r="U322" s="391"/>
      <c r="V322" s="391"/>
      <c r="W322" s="391"/>
      <c r="X322" s="391"/>
      <c r="Y322" s="391"/>
      <c r="Z322" s="391"/>
      <c r="AA322" s="391"/>
      <c r="AB322" s="391"/>
      <c r="AC322" s="391"/>
      <c r="AD322" s="391"/>
      <c r="AE322" s="391"/>
    </row>
    <row r="323">
      <c r="A323" s="391"/>
      <c r="B323" s="391"/>
      <c r="C323" s="391"/>
      <c r="D323" s="391"/>
      <c r="E323" s="391"/>
      <c r="F323" s="391"/>
      <c r="G323" s="391"/>
      <c r="H323" s="391"/>
      <c r="I323" s="391"/>
      <c r="J323" s="391"/>
      <c r="K323" s="391"/>
      <c r="L323" s="391"/>
      <c r="M323" s="391"/>
      <c r="N323" s="391"/>
      <c r="O323" s="391"/>
      <c r="P323" s="391"/>
      <c r="Q323" s="391"/>
      <c r="R323" s="391"/>
      <c r="S323" s="391"/>
      <c r="T323" s="391"/>
      <c r="U323" s="391"/>
      <c r="V323" s="391"/>
      <c r="W323" s="391"/>
      <c r="X323" s="391"/>
      <c r="Y323" s="391"/>
      <c r="Z323" s="391"/>
      <c r="AA323" s="391"/>
      <c r="AB323" s="391"/>
      <c r="AC323" s="391"/>
      <c r="AD323" s="391"/>
      <c r="AE323" s="391"/>
    </row>
    <row r="324">
      <c r="A324" s="391"/>
      <c r="B324" s="391"/>
      <c r="C324" s="391"/>
      <c r="D324" s="391"/>
      <c r="E324" s="391"/>
      <c r="F324" s="391"/>
      <c r="G324" s="391"/>
      <c r="H324" s="391"/>
      <c r="I324" s="391"/>
      <c r="J324" s="391"/>
      <c r="K324" s="391"/>
      <c r="L324" s="391"/>
      <c r="M324" s="391"/>
      <c r="N324" s="391"/>
      <c r="O324" s="391"/>
      <c r="P324" s="391"/>
      <c r="Q324" s="391"/>
      <c r="R324" s="391"/>
      <c r="S324" s="391"/>
      <c r="T324" s="391"/>
      <c r="U324" s="391"/>
      <c r="V324" s="391"/>
      <c r="W324" s="391"/>
      <c r="X324" s="391"/>
      <c r="Y324" s="391"/>
      <c r="Z324" s="391"/>
      <c r="AA324" s="391"/>
      <c r="AB324" s="391"/>
      <c r="AC324" s="391"/>
      <c r="AD324" s="391"/>
      <c r="AE324" s="391"/>
    </row>
    <row r="325">
      <c r="A325" s="391"/>
      <c r="B325" s="391"/>
      <c r="C325" s="391"/>
      <c r="D325" s="391"/>
      <c r="E325" s="391"/>
      <c r="F325" s="391"/>
      <c r="G325" s="391"/>
      <c r="H325" s="391"/>
      <c r="I325" s="391"/>
      <c r="J325" s="391"/>
      <c r="K325" s="391"/>
      <c r="L325" s="391"/>
      <c r="M325" s="391"/>
      <c r="N325" s="391"/>
      <c r="O325" s="391"/>
      <c r="P325" s="391"/>
      <c r="Q325" s="391"/>
      <c r="R325" s="391"/>
      <c r="S325" s="391"/>
      <c r="T325" s="391"/>
      <c r="U325" s="391"/>
      <c r="V325" s="391"/>
      <c r="W325" s="391"/>
      <c r="X325" s="391"/>
      <c r="Y325" s="391"/>
      <c r="Z325" s="391"/>
      <c r="AA325" s="391"/>
      <c r="AB325" s="391"/>
      <c r="AC325" s="391"/>
      <c r="AD325" s="391"/>
      <c r="AE325" s="391"/>
    </row>
    <row r="326">
      <c r="A326" s="391"/>
      <c r="B326" s="391"/>
      <c r="C326" s="391"/>
      <c r="D326" s="391"/>
      <c r="E326" s="391"/>
      <c r="F326" s="391"/>
      <c r="G326" s="391"/>
      <c r="H326" s="391"/>
      <c r="I326" s="391"/>
      <c r="J326" s="391"/>
      <c r="K326" s="391"/>
      <c r="L326" s="391"/>
      <c r="M326" s="391"/>
      <c r="N326" s="391"/>
      <c r="O326" s="391"/>
      <c r="P326" s="391"/>
      <c r="Q326" s="391"/>
      <c r="R326" s="391"/>
      <c r="S326" s="391"/>
      <c r="T326" s="391"/>
      <c r="U326" s="391"/>
      <c r="V326" s="391"/>
      <c r="W326" s="391"/>
      <c r="X326" s="391"/>
      <c r="Y326" s="391"/>
      <c r="Z326" s="391"/>
      <c r="AA326" s="391"/>
      <c r="AB326" s="391"/>
      <c r="AC326" s="391"/>
      <c r="AD326" s="391"/>
      <c r="AE326" s="391"/>
    </row>
    <row r="327">
      <c r="A327" s="391"/>
      <c r="B327" s="391"/>
      <c r="C327" s="391"/>
      <c r="D327" s="391"/>
      <c r="E327" s="391"/>
      <c r="F327" s="391"/>
      <c r="G327" s="391"/>
      <c r="H327" s="391"/>
      <c r="I327" s="391"/>
      <c r="J327" s="391"/>
      <c r="K327" s="391"/>
      <c r="L327" s="391"/>
      <c r="M327" s="391"/>
      <c r="N327" s="391"/>
      <c r="O327" s="391"/>
      <c r="P327" s="391"/>
      <c r="Q327" s="391"/>
      <c r="R327" s="391"/>
      <c r="S327" s="391"/>
      <c r="T327" s="391"/>
      <c r="U327" s="391"/>
      <c r="V327" s="391"/>
      <c r="W327" s="391"/>
      <c r="X327" s="391"/>
      <c r="Y327" s="391"/>
      <c r="Z327" s="391"/>
      <c r="AA327" s="391"/>
      <c r="AB327" s="391"/>
      <c r="AC327" s="391"/>
      <c r="AD327" s="391"/>
      <c r="AE327" s="391"/>
    </row>
    <row r="328">
      <c r="A328" s="391"/>
      <c r="B328" s="391"/>
      <c r="C328" s="391"/>
      <c r="D328" s="391"/>
      <c r="E328" s="391"/>
      <c r="F328" s="391"/>
      <c r="G328" s="391"/>
      <c r="H328" s="391"/>
      <c r="I328" s="391"/>
      <c r="J328" s="391"/>
      <c r="K328" s="391"/>
      <c r="L328" s="391"/>
      <c r="M328" s="391"/>
      <c r="N328" s="391"/>
      <c r="O328" s="391"/>
      <c r="P328" s="391"/>
      <c r="Q328" s="391"/>
      <c r="R328" s="391"/>
      <c r="S328" s="391"/>
      <c r="T328" s="391"/>
      <c r="U328" s="391"/>
      <c r="V328" s="391"/>
      <c r="W328" s="391"/>
      <c r="X328" s="391"/>
      <c r="Y328" s="391"/>
      <c r="Z328" s="391"/>
      <c r="AA328" s="391"/>
      <c r="AB328" s="391"/>
      <c r="AC328" s="391"/>
      <c r="AD328" s="391"/>
      <c r="AE328" s="391"/>
    </row>
    <row r="329">
      <c r="A329" s="391"/>
      <c r="B329" s="391"/>
      <c r="C329" s="391"/>
      <c r="D329" s="391"/>
      <c r="E329" s="391"/>
      <c r="F329" s="391"/>
      <c r="G329" s="391"/>
      <c r="H329" s="391"/>
      <c r="I329" s="391"/>
      <c r="J329" s="391"/>
      <c r="K329" s="391"/>
      <c r="L329" s="391"/>
      <c r="M329" s="391"/>
      <c r="N329" s="391"/>
      <c r="O329" s="391"/>
      <c r="P329" s="391"/>
      <c r="Q329" s="391"/>
      <c r="R329" s="391"/>
      <c r="S329" s="391"/>
      <c r="T329" s="391"/>
      <c r="U329" s="391"/>
      <c r="V329" s="391"/>
      <c r="W329" s="391"/>
      <c r="X329" s="391"/>
      <c r="Y329" s="391"/>
      <c r="Z329" s="391"/>
      <c r="AA329" s="391"/>
      <c r="AB329" s="391"/>
      <c r="AC329" s="391"/>
      <c r="AD329" s="391"/>
      <c r="AE329" s="391"/>
    </row>
    <row r="330">
      <c r="A330" s="391"/>
      <c r="B330" s="391"/>
      <c r="C330" s="391"/>
      <c r="D330" s="391"/>
      <c r="E330" s="391"/>
      <c r="F330" s="391"/>
      <c r="G330" s="391"/>
      <c r="H330" s="391"/>
      <c r="I330" s="391"/>
      <c r="J330" s="391"/>
      <c r="K330" s="391"/>
      <c r="L330" s="391"/>
      <c r="M330" s="391"/>
      <c r="N330" s="391"/>
      <c r="O330" s="391"/>
      <c r="P330" s="391"/>
      <c r="Q330" s="391"/>
      <c r="R330" s="391"/>
      <c r="S330" s="391"/>
      <c r="T330" s="391"/>
      <c r="U330" s="391"/>
      <c r="V330" s="391"/>
      <c r="W330" s="391"/>
      <c r="X330" s="391"/>
      <c r="Y330" s="391"/>
      <c r="Z330" s="391"/>
      <c r="AA330" s="391"/>
      <c r="AB330" s="391"/>
      <c r="AC330" s="391"/>
      <c r="AD330" s="391"/>
      <c r="AE330" s="391"/>
    </row>
    <row r="331">
      <c r="A331" s="391"/>
      <c r="B331" s="391"/>
      <c r="C331" s="391"/>
      <c r="D331" s="391"/>
      <c r="E331" s="391"/>
      <c r="F331" s="391"/>
      <c r="G331" s="391"/>
      <c r="H331" s="391"/>
      <c r="I331" s="391"/>
      <c r="J331" s="391"/>
      <c r="K331" s="391"/>
      <c r="L331" s="391"/>
      <c r="M331" s="391"/>
      <c r="N331" s="391"/>
      <c r="O331" s="391"/>
      <c r="P331" s="391"/>
      <c r="Q331" s="391"/>
      <c r="R331" s="391"/>
      <c r="S331" s="391"/>
      <c r="T331" s="391"/>
      <c r="U331" s="391"/>
      <c r="V331" s="391"/>
      <c r="W331" s="391"/>
      <c r="X331" s="391"/>
      <c r="Y331" s="391"/>
      <c r="Z331" s="391"/>
      <c r="AA331" s="391"/>
      <c r="AB331" s="391"/>
      <c r="AC331" s="391"/>
      <c r="AD331" s="391"/>
      <c r="AE331" s="391"/>
    </row>
    <row r="332">
      <c r="A332" s="391"/>
      <c r="B332" s="391"/>
      <c r="C332" s="391"/>
      <c r="D332" s="391"/>
      <c r="E332" s="391"/>
      <c r="F332" s="391"/>
      <c r="G332" s="391"/>
      <c r="H332" s="391"/>
      <c r="I332" s="391"/>
      <c r="J332" s="391"/>
      <c r="K332" s="391"/>
      <c r="L332" s="391"/>
      <c r="M332" s="391"/>
      <c r="N332" s="391"/>
      <c r="O332" s="391"/>
      <c r="P332" s="391"/>
      <c r="Q332" s="391"/>
      <c r="R332" s="391"/>
      <c r="S332" s="391"/>
      <c r="T332" s="391"/>
      <c r="U332" s="391"/>
      <c r="V332" s="391"/>
      <c r="W332" s="391"/>
      <c r="X332" s="391"/>
      <c r="Y332" s="391"/>
      <c r="Z332" s="391"/>
      <c r="AA332" s="391"/>
      <c r="AB332" s="391"/>
      <c r="AC332" s="391"/>
      <c r="AD332" s="391"/>
      <c r="AE332" s="391"/>
    </row>
    <row r="333">
      <c r="A333" s="391"/>
      <c r="B333" s="391"/>
      <c r="C333" s="391"/>
      <c r="D333" s="391"/>
      <c r="E333" s="391"/>
      <c r="F333" s="391"/>
      <c r="G333" s="391"/>
      <c r="H333" s="391"/>
      <c r="I333" s="391"/>
      <c r="J333" s="391"/>
      <c r="K333" s="391"/>
      <c r="L333" s="391"/>
      <c r="M333" s="391"/>
      <c r="N333" s="391"/>
      <c r="O333" s="391"/>
      <c r="P333" s="391"/>
      <c r="Q333" s="391"/>
      <c r="R333" s="391"/>
      <c r="S333" s="391"/>
      <c r="T333" s="391"/>
      <c r="U333" s="391"/>
      <c r="V333" s="391"/>
      <c r="W333" s="391"/>
      <c r="X333" s="391"/>
      <c r="Y333" s="391"/>
      <c r="Z333" s="391"/>
      <c r="AA333" s="391"/>
      <c r="AB333" s="391"/>
      <c r="AC333" s="391"/>
      <c r="AD333" s="391"/>
      <c r="AE333" s="391"/>
    </row>
    <row r="334">
      <c r="A334" s="391"/>
      <c r="B334" s="391"/>
      <c r="C334" s="391"/>
      <c r="D334" s="391"/>
      <c r="E334" s="391"/>
      <c r="F334" s="391"/>
      <c r="G334" s="391"/>
      <c r="H334" s="391"/>
      <c r="I334" s="391"/>
      <c r="J334" s="391"/>
      <c r="K334" s="391"/>
      <c r="L334" s="391"/>
      <c r="M334" s="391"/>
      <c r="N334" s="391"/>
      <c r="O334" s="391"/>
      <c r="P334" s="391"/>
      <c r="Q334" s="391"/>
      <c r="R334" s="391"/>
      <c r="S334" s="391"/>
      <c r="T334" s="391"/>
      <c r="U334" s="391"/>
      <c r="V334" s="391"/>
      <c r="W334" s="391"/>
      <c r="X334" s="391"/>
      <c r="Y334" s="391"/>
      <c r="Z334" s="391"/>
      <c r="AA334" s="391"/>
      <c r="AB334" s="391"/>
      <c r="AC334" s="391"/>
      <c r="AD334" s="391"/>
      <c r="AE334" s="391"/>
    </row>
    <row r="335">
      <c r="A335" s="391"/>
      <c r="B335" s="391"/>
      <c r="C335" s="391"/>
      <c r="D335" s="391"/>
      <c r="E335" s="391"/>
      <c r="F335" s="391"/>
      <c r="G335" s="391"/>
      <c r="H335" s="391"/>
      <c r="I335" s="391"/>
      <c r="J335" s="391"/>
      <c r="K335" s="391"/>
      <c r="L335" s="391"/>
      <c r="M335" s="391"/>
      <c r="N335" s="391"/>
      <c r="O335" s="391"/>
      <c r="P335" s="391"/>
      <c r="Q335" s="391"/>
      <c r="R335" s="391"/>
      <c r="S335" s="391"/>
      <c r="T335" s="391"/>
      <c r="U335" s="391"/>
      <c r="V335" s="391"/>
      <c r="W335" s="391"/>
      <c r="X335" s="391"/>
      <c r="Y335" s="391"/>
      <c r="Z335" s="391"/>
      <c r="AA335" s="391"/>
      <c r="AB335" s="391"/>
      <c r="AC335" s="391"/>
      <c r="AD335" s="391"/>
      <c r="AE335" s="391"/>
    </row>
    <row r="336">
      <c r="A336" s="391"/>
      <c r="B336" s="391"/>
      <c r="C336" s="391"/>
      <c r="D336" s="391"/>
      <c r="E336" s="391"/>
      <c r="F336" s="391"/>
      <c r="G336" s="391"/>
      <c r="H336" s="391"/>
      <c r="I336" s="391"/>
      <c r="J336" s="391"/>
      <c r="K336" s="391"/>
      <c r="L336" s="391"/>
      <c r="M336" s="391"/>
      <c r="N336" s="391"/>
      <c r="O336" s="391"/>
      <c r="P336" s="391"/>
      <c r="Q336" s="391"/>
      <c r="R336" s="391"/>
      <c r="S336" s="391"/>
      <c r="T336" s="391"/>
      <c r="U336" s="391"/>
      <c r="V336" s="391"/>
      <c r="W336" s="391"/>
      <c r="X336" s="391"/>
      <c r="Y336" s="391"/>
      <c r="Z336" s="391"/>
      <c r="AA336" s="391"/>
      <c r="AB336" s="391"/>
      <c r="AC336" s="391"/>
      <c r="AD336" s="391"/>
      <c r="AE336" s="391"/>
    </row>
    <row r="337">
      <c r="A337" s="391"/>
      <c r="B337" s="391"/>
      <c r="C337" s="391"/>
      <c r="D337" s="391"/>
      <c r="E337" s="391"/>
      <c r="F337" s="391"/>
      <c r="G337" s="391"/>
      <c r="H337" s="391"/>
      <c r="I337" s="391"/>
      <c r="J337" s="391"/>
      <c r="K337" s="391"/>
      <c r="L337" s="391"/>
      <c r="M337" s="391"/>
      <c r="N337" s="391"/>
      <c r="O337" s="391"/>
      <c r="P337" s="391"/>
      <c r="Q337" s="391"/>
      <c r="R337" s="391"/>
      <c r="S337" s="391"/>
      <c r="T337" s="391"/>
      <c r="U337" s="391"/>
      <c r="V337" s="391"/>
      <c r="W337" s="391"/>
      <c r="X337" s="391"/>
      <c r="Y337" s="391"/>
      <c r="Z337" s="391"/>
      <c r="AA337" s="391"/>
      <c r="AB337" s="391"/>
      <c r="AC337" s="391"/>
      <c r="AD337" s="391"/>
      <c r="AE337" s="391"/>
    </row>
    <row r="338">
      <c r="A338" s="391"/>
      <c r="B338" s="391"/>
      <c r="C338" s="391"/>
      <c r="D338" s="391"/>
      <c r="E338" s="391"/>
      <c r="F338" s="391"/>
      <c r="G338" s="391"/>
      <c r="H338" s="391"/>
      <c r="I338" s="391"/>
      <c r="J338" s="391"/>
      <c r="K338" s="391"/>
      <c r="L338" s="391"/>
      <c r="M338" s="391"/>
      <c r="N338" s="391"/>
      <c r="O338" s="391"/>
      <c r="P338" s="391"/>
      <c r="Q338" s="391"/>
      <c r="R338" s="391"/>
      <c r="S338" s="391"/>
      <c r="T338" s="391"/>
      <c r="U338" s="391"/>
      <c r="V338" s="391"/>
      <c r="W338" s="391"/>
      <c r="X338" s="391"/>
      <c r="Y338" s="391"/>
      <c r="Z338" s="391"/>
      <c r="AA338" s="391"/>
      <c r="AB338" s="391"/>
      <c r="AC338" s="391"/>
      <c r="AD338" s="391"/>
      <c r="AE338" s="391"/>
    </row>
    <row r="339">
      <c r="A339" s="391"/>
      <c r="B339" s="391"/>
      <c r="C339" s="391"/>
      <c r="D339" s="391"/>
      <c r="E339" s="391"/>
      <c r="F339" s="391"/>
      <c r="G339" s="391"/>
      <c r="H339" s="391"/>
      <c r="I339" s="391"/>
      <c r="J339" s="391"/>
      <c r="K339" s="391"/>
      <c r="L339" s="391"/>
      <c r="M339" s="391"/>
      <c r="N339" s="391"/>
      <c r="O339" s="391"/>
      <c r="P339" s="391"/>
      <c r="Q339" s="391"/>
      <c r="R339" s="391"/>
      <c r="S339" s="391"/>
      <c r="T339" s="391"/>
      <c r="U339" s="391"/>
      <c r="V339" s="391"/>
      <c r="W339" s="391"/>
      <c r="X339" s="391"/>
      <c r="Y339" s="391"/>
      <c r="Z339" s="391"/>
      <c r="AA339" s="391"/>
      <c r="AB339" s="391"/>
      <c r="AC339" s="391"/>
      <c r="AD339" s="391"/>
      <c r="AE339" s="391"/>
    </row>
    <row r="340">
      <c r="A340" s="391"/>
      <c r="B340" s="391"/>
      <c r="C340" s="391"/>
      <c r="D340" s="391"/>
      <c r="E340" s="391"/>
      <c r="F340" s="391"/>
      <c r="G340" s="391"/>
      <c r="H340" s="391"/>
      <c r="I340" s="391"/>
      <c r="J340" s="391"/>
      <c r="K340" s="391"/>
      <c r="L340" s="391"/>
      <c r="M340" s="391"/>
      <c r="N340" s="391"/>
      <c r="O340" s="391"/>
      <c r="P340" s="391"/>
      <c r="Q340" s="391"/>
      <c r="R340" s="391"/>
      <c r="S340" s="391"/>
      <c r="T340" s="391"/>
      <c r="U340" s="391"/>
      <c r="V340" s="391"/>
      <c r="W340" s="391"/>
      <c r="X340" s="391"/>
      <c r="Y340" s="391"/>
      <c r="Z340" s="391"/>
      <c r="AA340" s="391"/>
      <c r="AB340" s="391"/>
      <c r="AC340" s="391"/>
      <c r="AD340" s="391"/>
      <c r="AE340" s="391"/>
    </row>
    <row r="341">
      <c r="A341" s="391"/>
      <c r="B341" s="391"/>
      <c r="C341" s="391"/>
      <c r="D341" s="391"/>
      <c r="E341" s="391"/>
      <c r="F341" s="391"/>
      <c r="G341" s="391"/>
      <c r="H341" s="391"/>
      <c r="I341" s="391"/>
      <c r="J341" s="391"/>
      <c r="K341" s="391"/>
      <c r="L341" s="391"/>
      <c r="M341" s="391"/>
      <c r="N341" s="391"/>
      <c r="O341" s="391"/>
      <c r="P341" s="391"/>
      <c r="Q341" s="391"/>
      <c r="R341" s="391"/>
      <c r="S341" s="391"/>
      <c r="T341" s="391"/>
      <c r="U341" s="391"/>
      <c r="V341" s="391"/>
      <c r="W341" s="391"/>
      <c r="X341" s="391"/>
      <c r="Y341" s="391"/>
      <c r="Z341" s="391"/>
      <c r="AA341" s="391"/>
      <c r="AB341" s="391"/>
      <c r="AC341" s="391"/>
      <c r="AD341" s="391"/>
      <c r="AE341" s="391"/>
    </row>
    <row r="342">
      <c r="A342" s="391"/>
      <c r="B342" s="391"/>
      <c r="C342" s="391"/>
      <c r="D342" s="391"/>
      <c r="E342" s="391"/>
      <c r="F342" s="391"/>
      <c r="G342" s="391"/>
      <c r="H342" s="391"/>
      <c r="I342" s="391"/>
      <c r="J342" s="391"/>
      <c r="K342" s="391"/>
      <c r="L342" s="391"/>
      <c r="M342" s="391"/>
      <c r="N342" s="391"/>
      <c r="O342" s="391"/>
      <c r="P342" s="391"/>
      <c r="Q342" s="391"/>
      <c r="R342" s="391"/>
      <c r="S342" s="391"/>
      <c r="T342" s="391"/>
      <c r="U342" s="391"/>
      <c r="V342" s="391"/>
      <c r="W342" s="391"/>
      <c r="X342" s="391"/>
      <c r="Y342" s="391"/>
      <c r="Z342" s="391"/>
      <c r="AA342" s="391"/>
      <c r="AB342" s="391"/>
      <c r="AC342" s="391"/>
      <c r="AD342" s="391"/>
      <c r="AE342" s="391"/>
    </row>
    <row r="343">
      <c r="A343" s="391"/>
      <c r="B343" s="391"/>
      <c r="C343" s="391"/>
      <c r="D343" s="391"/>
      <c r="E343" s="391"/>
      <c r="F343" s="391"/>
      <c r="G343" s="391"/>
      <c r="H343" s="391"/>
      <c r="I343" s="391"/>
      <c r="J343" s="391"/>
      <c r="K343" s="391"/>
      <c r="L343" s="391"/>
      <c r="M343" s="391"/>
      <c r="N343" s="391"/>
      <c r="O343" s="391"/>
      <c r="P343" s="391"/>
      <c r="Q343" s="391"/>
      <c r="R343" s="391"/>
      <c r="S343" s="391"/>
      <c r="T343" s="391"/>
      <c r="U343" s="391"/>
      <c r="V343" s="391"/>
      <c r="W343" s="391"/>
      <c r="X343" s="391"/>
      <c r="Y343" s="391"/>
      <c r="Z343" s="391"/>
      <c r="AA343" s="391"/>
      <c r="AB343" s="391"/>
      <c r="AC343" s="391"/>
      <c r="AD343" s="391"/>
      <c r="AE343" s="391"/>
    </row>
    <row r="344">
      <c r="A344" s="391"/>
      <c r="B344" s="391"/>
      <c r="C344" s="391"/>
      <c r="D344" s="391"/>
      <c r="E344" s="391"/>
      <c r="F344" s="391"/>
      <c r="G344" s="391"/>
      <c r="H344" s="391"/>
      <c r="I344" s="391"/>
      <c r="J344" s="391"/>
      <c r="K344" s="391"/>
      <c r="L344" s="391"/>
      <c r="M344" s="391"/>
      <c r="N344" s="391"/>
      <c r="O344" s="391"/>
      <c r="P344" s="391"/>
      <c r="Q344" s="391"/>
      <c r="R344" s="391"/>
      <c r="S344" s="391"/>
      <c r="T344" s="391"/>
      <c r="U344" s="391"/>
      <c r="V344" s="391"/>
      <c r="W344" s="391"/>
      <c r="X344" s="391"/>
      <c r="Y344" s="391"/>
      <c r="Z344" s="391"/>
      <c r="AA344" s="391"/>
      <c r="AB344" s="391"/>
      <c r="AC344" s="391"/>
      <c r="AD344" s="391"/>
      <c r="AE344" s="391"/>
    </row>
    <row r="345">
      <c r="A345" s="391"/>
      <c r="B345" s="391"/>
      <c r="C345" s="391"/>
      <c r="D345" s="391"/>
      <c r="E345" s="391"/>
      <c r="F345" s="391"/>
      <c r="G345" s="391"/>
      <c r="H345" s="391"/>
      <c r="I345" s="391"/>
      <c r="J345" s="391"/>
      <c r="K345" s="391"/>
      <c r="L345" s="391"/>
      <c r="M345" s="391"/>
      <c r="N345" s="391"/>
      <c r="O345" s="391"/>
      <c r="P345" s="391"/>
      <c r="Q345" s="391"/>
      <c r="R345" s="391"/>
      <c r="S345" s="391"/>
      <c r="T345" s="391"/>
      <c r="U345" s="391"/>
      <c r="V345" s="391"/>
      <c r="W345" s="391"/>
      <c r="X345" s="391"/>
      <c r="Y345" s="391"/>
      <c r="Z345" s="391"/>
      <c r="AA345" s="391"/>
      <c r="AB345" s="391"/>
      <c r="AC345" s="391"/>
      <c r="AD345" s="391"/>
      <c r="AE345" s="391"/>
    </row>
    <row r="346">
      <c r="A346" s="391"/>
      <c r="B346" s="391"/>
      <c r="C346" s="391"/>
      <c r="D346" s="391"/>
      <c r="E346" s="391"/>
      <c r="F346" s="391"/>
      <c r="G346" s="391"/>
      <c r="H346" s="391"/>
      <c r="I346" s="391"/>
      <c r="J346" s="391"/>
      <c r="K346" s="391"/>
      <c r="L346" s="391"/>
      <c r="M346" s="391"/>
      <c r="N346" s="391"/>
      <c r="O346" s="391"/>
      <c r="P346" s="391"/>
      <c r="Q346" s="391"/>
      <c r="R346" s="391"/>
      <c r="S346" s="391"/>
      <c r="T346" s="391"/>
      <c r="U346" s="391"/>
      <c r="V346" s="391"/>
      <c r="W346" s="391"/>
      <c r="X346" s="391"/>
      <c r="Y346" s="391"/>
      <c r="Z346" s="391"/>
      <c r="AA346" s="391"/>
      <c r="AB346" s="391"/>
      <c r="AC346" s="391"/>
      <c r="AD346" s="391"/>
      <c r="AE346" s="391"/>
    </row>
    <row r="347">
      <c r="A347" s="391"/>
      <c r="B347" s="391"/>
      <c r="C347" s="391"/>
      <c r="D347" s="391"/>
      <c r="E347" s="391"/>
      <c r="F347" s="391"/>
      <c r="G347" s="391"/>
      <c r="H347" s="391"/>
      <c r="I347" s="391"/>
      <c r="J347" s="391"/>
      <c r="K347" s="391"/>
      <c r="L347" s="391"/>
      <c r="M347" s="391"/>
      <c r="N347" s="391"/>
      <c r="O347" s="391"/>
      <c r="P347" s="391"/>
      <c r="Q347" s="391"/>
      <c r="R347" s="391"/>
      <c r="S347" s="391"/>
      <c r="T347" s="391"/>
      <c r="U347" s="391"/>
      <c r="V347" s="391"/>
      <c r="W347" s="391"/>
      <c r="X347" s="391"/>
      <c r="Y347" s="391"/>
      <c r="Z347" s="391"/>
      <c r="AA347" s="391"/>
      <c r="AB347" s="391"/>
      <c r="AC347" s="391"/>
      <c r="AD347" s="391"/>
      <c r="AE347" s="391"/>
    </row>
    <row r="348">
      <c r="A348" s="391"/>
      <c r="B348" s="391"/>
      <c r="C348" s="391"/>
      <c r="D348" s="391"/>
      <c r="E348" s="391"/>
      <c r="F348" s="391"/>
      <c r="G348" s="391"/>
      <c r="H348" s="391"/>
      <c r="I348" s="391"/>
      <c r="J348" s="391"/>
      <c r="K348" s="391"/>
      <c r="L348" s="391"/>
      <c r="M348" s="391"/>
      <c r="N348" s="391"/>
      <c r="O348" s="391"/>
      <c r="P348" s="391"/>
      <c r="Q348" s="391"/>
      <c r="R348" s="391"/>
      <c r="S348" s="391"/>
      <c r="T348" s="391"/>
      <c r="U348" s="391"/>
      <c r="V348" s="391"/>
      <c r="W348" s="391"/>
      <c r="X348" s="391"/>
      <c r="Y348" s="391"/>
      <c r="Z348" s="391"/>
      <c r="AA348" s="391"/>
      <c r="AB348" s="391"/>
      <c r="AC348" s="391"/>
      <c r="AD348" s="391"/>
      <c r="AE348" s="391"/>
    </row>
    <row r="349">
      <c r="A349" s="391"/>
      <c r="B349" s="391"/>
      <c r="C349" s="391"/>
      <c r="D349" s="391"/>
      <c r="E349" s="391"/>
      <c r="F349" s="391"/>
      <c r="G349" s="391"/>
      <c r="H349" s="391"/>
      <c r="I349" s="391"/>
      <c r="J349" s="391"/>
      <c r="K349" s="391"/>
      <c r="L349" s="391"/>
      <c r="M349" s="391"/>
      <c r="N349" s="391"/>
      <c r="O349" s="391"/>
      <c r="P349" s="391"/>
      <c r="Q349" s="391"/>
      <c r="R349" s="391"/>
      <c r="S349" s="391"/>
      <c r="T349" s="391"/>
      <c r="U349" s="391"/>
      <c r="V349" s="391"/>
      <c r="W349" s="391"/>
      <c r="X349" s="391"/>
      <c r="Y349" s="391"/>
      <c r="Z349" s="391"/>
      <c r="AA349" s="391"/>
      <c r="AB349" s="391"/>
      <c r="AC349" s="391"/>
      <c r="AD349" s="391"/>
      <c r="AE349" s="391"/>
    </row>
    <row r="350">
      <c r="A350" s="391"/>
      <c r="B350" s="391"/>
      <c r="C350" s="391"/>
      <c r="D350" s="391"/>
      <c r="E350" s="391"/>
      <c r="F350" s="391"/>
      <c r="G350" s="391"/>
      <c r="H350" s="391"/>
      <c r="I350" s="391"/>
      <c r="J350" s="391"/>
      <c r="K350" s="391"/>
      <c r="L350" s="391"/>
      <c r="M350" s="391"/>
      <c r="N350" s="391"/>
      <c r="O350" s="391"/>
      <c r="P350" s="391"/>
      <c r="Q350" s="391"/>
      <c r="R350" s="391"/>
      <c r="S350" s="391"/>
      <c r="T350" s="391"/>
      <c r="U350" s="391"/>
      <c r="V350" s="391"/>
      <c r="W350" s="391"/>
      <c r="X350" s="391"/>
      <c r="Y350" s="391"/>
      <c r="Z350" s="391"/>
      <c r="AA350" s="391"/>
      <c r="AB350" s="391"/>
      <c r="AC350" s="391"/>
      <c r="AD350" s="391"/>
      <c r="AE350" s="391"/>
    </row>
    <row r="351">
      <c r="A351" s="391"/>
      <c r="B351" s="391"/>
      <c r="C351" s="391"/>
      <c r="D351" s="391"/>
      <c r="E351" s="391"/>
      <c r="F351" s="391"/>
      <c r="G351" s="391"/>
      <c r="H351" s="391"/>
      <c r="I351" s="391"/>
      <c r="J351" s="391"/>
      <c r="K351" s="391"/>
      <c r="L351" s="391"/>
      <c r="M351" s="391"/>
      <c r="N351" s="391"/>
      <c r="O351" s="391"/>
      <c r="P351" s="391"/>
      <c r="Q351" s="391"/>
      <c r="R351" s="391"/>
      <c r="S351" s="391"/>
      <c r="T351" s="391"/>
      <c r="U351" s="391"/>
      <c r="V351" s="391"/>
      <c r="W351" s="391"/>
      <c r="X351" s="391"/>
      <c r="Y351" s="391"/>
      <c r="Z351" s="391"/>
      <c r="AA351" s="391"/>
      <c r="AB351" s="391"/>
      <c r="AC351" s="391"/>
      <c r="AD351" s="391"/>
      <c r="AE351" s="391"/>
    </row>
    <row r="352">
      <c r="A352" s="391"/>
      <c r="B352" s="391"/>
      <c r="C352" s="391"/>
      <c r="D352" s="391"/>
      <c r="E352" s="391"/>
      <c r="F352" s="391"/>
      <c r="G352" s="391"/>
      <c r="H352" s="391"/>
      <c r="I352" s="391"/>
      <c r="J352" s="391"/>
      <c r="K352" s="391"/>
      <c r="L352" s="391"/>
      <c r="M352" s="391"/>
      <c r="N352" s="391"/>
      <c r="O352" s="391"/>
      <c r="P352" s="391"/>
      <c r="Q352" s="391"/>
      <c r="R352" s="391"/>
      <c r="S352" s="391"/>
      <c r="T352" s="391"/>
      <c r="U352" s="391"/>
      <c r="V352" s="391"/>
      <c r="W352" s="391"/>
      <c r="X352" s="391"/>
      <c r="Y352" s="391"/>
      <c r="Z352" s="391"/>
      <c r="AA352" s="391"/>
      <c r="AB352" s="391"/>
      <c r="AC352" s="391"/>
      <c r="AD352" s="391"/>
      <c r="AE352" s="391"/>
    </row>
    <row r="353">
      <c r="A353" s="391"/>
      <c r="B353" s="391"/>
      <c r="C353" s="391"/>
      <c r="D353" s="391"/>
      <c r="E353" s="391"/>
      <c r="F353" s="391"/>
      <c r="G353" s="391"/>
      <c r="H353" s="391"/>
      <c r="I353" s="391"/>
      <c r="J353" s="391"/>
      <c r="K353" s="391"/>
      <c r="L353" s="391"/>
      <c r="M353" s="391"/>
      <c r="N353" s="391"/>
      <c r="O353" s="391"/>
      <c r="P353" s="391"/>
      <c r="Q353" s="391"/>
      <c r="R353" s="391"/>
      <c r="S353" s="391"/>
      <c r="T353" s="391"/>
      <c r="U353" s="391"/>
      <c r="V353" s="391"/>
      <c r="W353" s="391"/>
      <c r="X353" s="391"/>
      <c r="Y353" s="391"/>
      <c r="Z353" s="391"/>
      <c r="AA353" s="391"/>
      <c r="AB353" s="391"/>
      <c r="AC353" s="391"/>
      <c r="AD353" s="391"/>
      <c r="AE353" s="391"/>
    </row>
    <row r="354">
      <c r="A354" s="391"/>
      <c r="B354" s="391"/>
      <c r="C354" s="391"/>
      <c r="D354" s="391"/>
      <c r="E354" s="391"/>
      <c r="F354" s="391"/>
      <c r="G354" s="391"/>
      <c r="H354" s="391"/>
      <c r="I354" s="391"/>
      <c r="J354" s="391"/>
      <c r="K354" s="391"/>
      <c r="L354" s="391"/>
      <c r="M354" s="391"/>
      <c r="N354" s="391"/>
      <c r="O354" s="391"/>
      <c r="P354" s="391"/>
      <c r="Q354" s="391"/>
      <c r="R354" s="391"/>
      <c r="S354" s="391"/>
      <c r="T354" s="391"/>
      <c r="U354" s="391"/>
      <c r="V354" s="391"/>
      <c r="W354" s="391"/>
      <c r="X354" s="391"/>
      <c r="Y354" s="391"/>
      <c r="Z354" s="391"/>
      <c r="AA354" s="391"/>
      <c r="AB354" s="391"/>
      <c r="AC354" s="391"/>
      <c r="AD354" s="391"/>
      <c r="AE354" s="391"/>
    </row>
    <row r="355">
      <c r="A355" s="391"/>
      <c r="B355" s="391"/>
      <c r="C355" s="391"/>
      <c r="D355" s="391"/>
      <c r="E355" s="391"/>
      <c r="F355" s="391"/>
      <c r="G355" s="391"/>
      <c r="H355" s="391"/>
      <c r="I355" s="391"/>
      <c r="J355" s="391"/>
      <c r="K355" s="391"/>
      <c r="L355" s="391"/>
      <c r="M355" s="391"/>
      <c r="N355" s="391"/>
      <c r="O355" s="391"/>
      <c r="P355" s="391"/>
      <c r="Q355" s="391"/>
      <c r="R355" s="391"/>
      <c r="S355" s="391"/>
      <c r="T355" s="391"/>
      <c r="U355" s="391"/>
      <c r="V355" s="391"/>
      <c r="W355" s="391"/>
      <c r="X355" s="391"/>
      <c r="Y355" s="391"/>
      <c r="Z355" s="391"/>
      <c r="AA355" s="391"/>
      <c r="AB355" s="391"/>
      <c r="AC355" s="391"/>
      <c r="AD355" s="391"/>
      <c r="AE355" s="391"/>
    </row>
    <row r="356">
      <c r="A356" s="391"/>
      <c r="B356" s="391"/>
      <c r="C356" s="391"/>
      <c r="D356" s="391"/>
      <c r="E356" s="391"/>
      <c r="F356" s="391"/>
      <c r="G356" s="391"/>
      <c r="H356" s="391"/>
      <c r="I356" s="391"/>
      <c r="J356" s="391"/>
      <c r="K356" s="391"/>
      <c r="L356" s="391"/>
      <c r="M356" s="391"/>
      <c r="N356" s="391"/>
      <c r="O356" s="391"/>
      <c r="P356" s="391"/>
      <c r="Q356" s="391"/>
      <c r="R356" s="391"/>
      <c r="S356" s="391"/>
      <c r="T356" s="391"/>
      <c r="U356" s="391"/>
      <c r="V356" s="391"/>
      <c r="W356" s="391"/>
      <c r="X356" s="391"/>
      <c r="Y356" s="391"/>
      <c r="Z356" s="391"/>
      <c r="AA356" s="391"/>
      <c r="AB356" s="391"/>
      <c r="AC356" s="391"/>
      <c r="AD356" s="391"/>
      <c r="AE356" s="391"/>
    </row>
    <row r="357">
      <c r="A357" s="391"/>
      <c r="B357" s="391"/>
      <c r="C357" s="391"/>
      <c r="D357" s="391"/>
      <c r="E357" s="391"/>
      <c r="F357" s="391"/>
      <c r="G357" s="391"/>
      <c r="H357" s="391"/>
      <c r="I357" s="391"/>
      <c r="J357" s="391"/>
      <c r="K357" s="391"/>
      <c r="L357" s="391"/>
      <c r="M357" s="391"/>
      <c r="N357" s="391"/>
      <c r="O357" s="391"/>
      <c r="P357" s="391"/>
      <c r="Q357" s="391"/>
      <c r="R357" s="391"/>
      <c r="S357" s="391"/>
      <c r="T357" s="391"/>
      <c r="U357" s="391"/>
      <c r="V357" s="391"/>
      <c r="W357" s="391"/>
      <c r="X357" s="391"/>
      <c r="Y357" s="391"/>
      <c r="Z357" s="391"/>
      <c r="AA357" s="391"/>
      <c r="AB357" s="391"/>
      <c r="AC357" s="391"/>
      <c r="AD357" s="391"/>
      <c r="AE357" s="391"/>
    </row>
    <row r="358">
      <c r="A358" s="391"/>
      <c r="B358" s="391"/>
      <c r="C358" s="391"/>
      <c r="D358" s="391"/>
      <c r="E358" s="391"/>
      <c r="F358" s="391"/>
      <c r="G358" s="391"/>
      <c r="H358" s="391"/>
      <c r="I358" s="391"/>
      <c r="J358" s="391"/>
      <c r="K358" s="391"/>
      <c r="L358" s="391"/>
      <c r="M358" s="391"/>
      <c r="N358" s="391"/>
      <c r="O358" s="391"/>
      <c r="P358" s="391"/>
      <c r="Q358" s="391"/>
      <c r="R358" s="391"/>
      <c r="S358" s="391"/>
      <c r="T358" s="391"/>
      <c r="U358" s="391"/>
      <c r="V358" s="391"/>
      <c r="W358" s="391"/>
      <c r="X358" s="391"/>
      <c r="Y358" s="391"/>
      <c r="Z358" s="391"/>
      <c r="AA358" s="391"/>
      <c r="AB358" s="391"/>
      <c r="AC358" s="391"/>
      <c r="AD358" s="391"/>
      <c r="AE358" s="391"/>
    </row>
    <row r="359">
      <c r="A359" s="391"/>
      <c r="B359" s="391"/>
      <c r="C359" s="391"/>
      <c r="D359" s="391"/>
      <c r="E359" s="391"/>
      <c r="F359" s="391"/>
      <c r="G359" s="391"/>
      <c r="H359" s="391"/>
      <c r="I359" s="391"/>
      <c r="J359" s="391"/>
      <c r="K359" s="391"/>
      <c r="L359" s="391"/>
      <c r="M359" s="391"/>
      <c r="N359" s="391"/>
      <c r="O359" s="391"/>
      <c r="P359" s="391"/>
      <c r="Q359" s="391"/>
      <c r="R359" s="391"/>
      <c r="S359" s="391"/>
      <c r="T359" s="391"/>
      <c r="U359" s="391"/>
      <c r="V359" s="391"/>
      <c r="W359" s="391"/>
      <c r="X359" s="391"/>
      <c r="Y359" s="391"/>
      <c r="Z359" s="391"/>
      <c r="AA359" s="391"/>
      <c r="AB359" s="391"/>
      <c r="AC359" s="391"/>
      <c r="AD359" s="391"/>
      <c r="AE359" s="391"/>
    </row>
    <row r="360">
      <c r="A360" s="391"/>
      <c r="B360" s="391"/>
      <c r="C360" s="391"/>
      <c r="D360" s="391"/>
      <c r="E360" s="391"/>
      <c r="F360" s="391"/>
      <c r="G360" s="391"/>
      <c r="H360" s="391"/>
      <c r="I360" s="391"/>
      <c r="J360" s="391"/>
      <c r="K360" s="391"/>
      <c r="L360" s="391"/>
      <c r="M360" s="391"/>
      <c r="N360" s="391"/>
      <c r="O360" s="391"/>
      <c r="P360" s="391"/>
      <c r="Q360" s="391"/>
      <c r="R360" s="391"/>
      <c r="S360" s="391"/>
      <c r="T360" s="391"/>
      <c r="U360" s="391"/>
      <c r="V360" s="391"/>
      <c r="W360" s="391"/>
      <c r="X360" s="391"/>
      <c r="Y360" s="391"/>
      <c r="Z360" s="391"/>
      <c r="AA360" s="391"/>
      <c r="AB360" s="391"/>
      <c r="AC360" s="391"/>
      <c r="AD360" s="391"/>
      <c r="AE360" s="391"/>
    </row>
    <row r="361">
      <c r="A361" s="391"/>
      <c r="B361" s="391"/>
      <c r="C361" s="391"/>
      <c r="D361" s="391"/>
      <c r="E361" s="391"/>
      <c r="F361" s="391"/>
      <c r="G361" s="391"/>
      <c r="H361" s="391"/>
      <c r="I361" s="391"/>
      <c r="J361" s="391"/>
      <c r="K361" s="391"/>
      <c r="L361" s="391"/>
      <c r="M361" s="391"/>
      <c r="N361" s="391"/>
      <c r="O361" s="391"/>
      <c r="P361" s="391"/>
      <c r="Q361" s="391"/>
      <c r="R361" s="391"/>
      <c r="S361" s="391"/>
      <c r="T361" s="391"/>
      <c r="U361" s="391"/>
      <c r="V361" s="391"/>
      <c r="W361" s="391"/>
      <c r="X361" s="391"/>
      <c r="Y361" s="391"/>
      <c r="Z361" s="391"/>
      <c r="AA361" s="391"/>
      <c r="AB361" s="391"/>
      <c r="AC361" s="391"/>
      <c r="AD361" s="391"/>
      <c r="AE361" s="391"/>
    </row>
    <row r="362">
      <c r="A362" s="391"/>
      <c r="B362" s="391"/>
      <c r="C362" s="391"/>
      <c r="D362" s="391"/>
      <c r="E362" s="391"/>
      <c r="F362" s="391"/>
      <c r="G362" s="391"/>
      <c r="H362" s="391"/>
      <c r="I362" s="391"/>
      <c r="J362" s="391"/>
      <c r="K362" s="391"/>
      <c r="L362" s="391"/>
      <c r="M362" s="391"/>
      <c r="N362" s="391"/>
      <c r="O362" s="391"/>
      <c r="P362" s="391"/>
      <c r="Q362" s="391"/>
      <c r="R362" s="391"/>
      <c r="S362" s="391"/>
      <c r="T362" s="391"/>
      <c r="U362" s="391"/>
      <c r="V362" s="391"/>
      <c r="W362" s="391"/>
      <c r="X362" s="391"/>
      <c r="Y362" s="391"/>
      <c r="Z362" s="391"/>
      <c r="AA362" s="391"/>
      <c r="AB362" s="391"/>
      <c r="AC362" s="391"/>
      <c r="AD362" s="391"/>
      <c r="AE362" s="391"/>
    </row>
    <row r="363">
      <c r="A363" s="391"/>
      <c r="B363" s="391"/>
      <c r="C363" s="391"/>
      <c r="D363" s="391"/>
      <c r="E363" s="391"/>
      <c r="F363" s="391"/>
      <c r="G363" s="391"/>
      <c r="H363" s="391"/>
      <c r="I363" s="391"/>
      <c r="J363" s="391"/>
      <c r="K363" s="391"/>
      <c r="L363" s="391"/>
      <c r="M363" s="391"/>
      <c r="N363" s="391"/>
      <c r="O363" s="391"/>
      <c r="P363" s="391"/>
      <c r="Q363" s="391"/>
      <c r="R363" s="391"/>
      <c r="S363" s="391"/>
      <c r="T363" s="391"/>
      <c r="U363" s="391"/>
      <c r="V363" s="391"/>
      <c r="W363" s="391"/>
      <c r="X363" s="391"/>
      <c r="Y363" s="391"/>
      <c r="Z363" s="391"/>
      <c r="AA363" s="391"/>
      <c r="AB363" s="391"/>
      <c r="AC363" s="391"/>
      <c r="AD363" s="391"/>
      <c r="AE363" s="391"/>
    </row>
    <row r="364">
      <c r="A364" s="391"/>
      <c r="B364" s="391"/>
      <c r="C364" s="391"/>
      <c r="D364" s="391"/>
      <c r="E364" s="391"/>
      <c r="F364" s="391"/>
      <c r="G364" s="391"/>
      <c r="H364" s="391"/>
      <c r="I364" s="391"/>
      <c r="J364" s="391"/>
      <c r="K364" s="391"/>
      <c r="L364" s="391"/>
      <c r="M364" s="391"/>
      <c r="N364" s="391"/>
      <c r="O364" s="391"/>
      <c r="P364" s="391"/>
      <c r="Q364" s="391"/>
      <c r="R364" s="391"/>
      <c r="S364" s="391"/>
      <c r="T364" s="391"/>
      <c r="U364" s="391"/>
      <c r="V364" s="391"/>
      <c r="W364" s="391"/>
      <c r="X364" s="391"/>
      <c r="Y364" s="391"/>
      <c r="Z364" s="391"/>
      <c r="AA364" s="391"/>
      <c r="AB364" s="391"/>
      <c r="AC364" s="391"/>
      <c r="AD364" s="391"/>
      <c r="AE364" s="391"/>
    </row>
    <row r="365">
      <c r="A365" s="391"/>
      <c r="B365" s="391"/>
      <c r="C365" s="391"/>
      <c r="D365" s="391"/>
      <c r="E365" s="391"/>
      <c r="F365" s="391"/>
      <c r="G365" s="391"/>
      <c r="H365" s="391"/>
      <c r="I365" s="391"/>
      <c r="J365" s="391"/>
      <c r="K365" s="391"/>
      <c r="L365" s="391"/>
      <c r="M365" s="391"/>
      <c r="N365" s="391"/>
      <c r="O365" s="391"/>
      <c r="P365" s="391"/>
      <c r="Q365" s="391"/>
      <c r="R365" s="391"/>
      <c r="S365" s="391"/>
      <c r="T365" s="391"/>
      <c r="U365" s="391"/>
      <c r="V365" s="391"/>
      <c r="W365" s="391"/>
      <c r="X365" s="391"/>
      <c r="Y365" s="391"/>
      <c r="Z365" s="391"/>
      <c r="AA365" s="391"/>
      <c r="AB365" s="391"/>
      <c r="AC365" s="391"/>
      <c r="AD365" s="391"/>
      <c r="AE365" s="391"/>
    </row>
    <row r="366">
      <c r="A366" s="391"/>
      <c r="B366" s="391"/>
      <c r="C366" s="391"/>
      <c r="D366" s="391"/>
      <c r="E366" s="391"/>
      <c r="F366" s="391"/>
      <c r="G366" s="391"/>
      <c r="H366" s="391"/>
      <c r="I366" s="391"/>
      <c r="J366" s="391"/>
      <c r="K366" s="391"/>
      <c r="L366" s="391"/>
      <c r="M366" s="391"/>
      <c r="N366" s="391"/>
      <c r="O366" s="391"/>
      <c r="P366" s="391"/>
      <c r="Q366" s="391"/>
      <c r="R366" s="391"/>
      <c r="S366" s="391"/>
      <c r="T366" s="391"/>
      <c r="U366" s="391"/>
      <c r="V366" s="391"/>
      <c r="W366" s="391"/>
      <c r="X366" s="391"/>
      <c r="Y366" s="391"/>
      <c r="Z366" s="391"/>
      <c r="AA366" s="391"/>
      <c r="AB366" s="391"/>
      <c r="AC366" s="391"/>
      <c r="AD366" s="391"/>
      <c r="AE366" s="391"/>
    </row>
    <row r="367">
      <c r="A367" s="391"/>
      <c r="B367" s="391"/>
      <c r="C367" s="391"/>
      <c r="D367" s="391"/>
      <c r="E367" s="391"/>
      <c r="F367" s="391"/>
      <c r="G367" s="391"/>
      <c r="H367" s="391"/>
      <c r="I367" s="391"/>
      <c r="J367" s="391"/>
      <c r="K367" s="391"/>
      <c r="L367" s="391"/>
      <c r="M367" s="391"/>
      <c r="N367" s="391"/>
      <c r="O367" s="391"/>
      <c r="P367" s="391"/>
      <c r="Q367" s="391"/>
      <c r="R367" s="391"/>
      <c r="S367" s="391"/>
      <c r="T367" s="391"/>
      <c r="U367" s="391"/>
      <c r="V367" s="391"/>
      <c r="W367" s="391"/>
      <c r="X367" s="391"/>
      <c r="Y367" s="391"/>
      <c r="Z367" s="391"/>
      <c r="AA367" s="391"/>
      <c r="AB367" s="391"/>
      <c r="AC367" s="391"/>
      <c r="AD367" s="391"/>
      <c r="AE367" s="391"/>
    </row>
    <row r="368">
      <c r="A368" s="391"/>
      <c r="B368" s="391"/>
      <c r="C368" s="391"/>
      <c r="D368" s="391"/>
      <c r="E368" s="391"/>
      <c r="F368" s="391"/>
      <c r="G368" s="391"/>
      <c r="H368" s="391"/>
      <c r="I368" s="391"/>
      <c r="J368" s="391"/>
      <c r="K368" s="391"/>
      <c r="L368" s="391"/>
      <c r="M368" s="391"/>
      <c r="N368" s="391"/>
      <c r="O368" s="391"/>
      <c r="P368" s="391"/>
      <c r="Q368" s="391"/>
      <c r="R368" s="391"/>
      <c r="S368" s="391"/>
      <c r="T368" s="391"/>
      <c r="U368" s="391"/>
      <c r="V368" s="391"/>
      <c r="W368" s="391"/>
      <c r="X368" s="391"/>
      <c r="Y368" s="391"/>
      <c r="Z368" s="391"/>
      <c r="AA368" s="391"/>
      <c r="AB368" s="391"/>
      <c r="AC368" s="391"/>
      <c r="AD368" s="391"/>
      <c r="AE368" s="391"/>
    </row>
    <row r="369">
      <c r="A369" s="391"/>
      <c r="B369" s="391"/>
      <c r="C369" s="391"/>
      <c r="D369" s="391"/>
      <c r="E369" s="391"/>
      <c r="F369" s="391"/>
      <c r="G369" s="391"/>
      <c r="H369" s="391"/>
      <c r="I369" s="391"/>
      <c r="J369" s="391"/>
      <c r="K369" s="391"/>
      <c r="L369" s="391"/>
      <c r="M369" s="391"/>
      <c r="N369" s="391"/>
      <c r="O369" s="391"/>
      <c r="P369" s="391"/>
      <c r="Q369" s="391"/>
      <c r="R369" s="391"/>
      <c r="S369" s="391"/>
      <c r="T369" s="391"/>
      <c r="U369" s="391"/>
      <c r="V369" s="391"/>
      <c r="W369" s="391"/>
      <c r="X369" s="391"/>
      <c r="Y369" s="391"/>
      <c r="Z369" s="391"/>
      <c r="AA369" s="391"/>
      <c r="AB369" s="391"/>
      <c r="AC369" s="391"/>
      <c r="AD369" s="391"/>
      <c r="AE369" s="391"/>
    </row>
    <row r="370">
      <c r="A370" s="391"/>
      <c r="B370" s="391"/>
      <c r="C370" s="391"/>
      <c r="D370" s="391"/>
      <c r="E370" s="391"/>
      <c r="F370" s="391"/>
      <c r="G370" s="391"/>
      <c r="H370" s="391"/>
      <c r="I370" s="391"/>
      <c r="J370" s="391"/>
      <c r="K370" s="391"/>
      <c r="L370" s="391"/>
      <c r="M370" s="391"/>
      <c r="N370" s="391"/>
      <c r="O370" s="391"/>
      <c r="P370" s="391"/>
      <c r="Q370" s="391"/>
      <c r="R370" s="391"/>
      <c r="S370" s="391"/>
      <c r="T370" s="391"/>
      <c r="U370" s="391"/>
      <c r="V370" s="391"/>
      <c r="W370" s="391"/>
      <c r="X370" s="391"/>
      <c r="Y370" s="391"/>
      <c r="Z370" s="391"/>
      <c r="AA370" s="391"/>
      <c r="AB370" s="391"/>
      <c r="AC370" s="391"/>
      <c r="AD370" s="391"/>
      <c r="AE370" s="391"/>
    </row>
    <row r="371">
      <c r="A371" s="391"/>
      <c r="B371" s="391"/>
      <c r="C371" s="391"/>
      <c r="D371" s="391"/>
      <c r="E371" s="391"/>
      <c r="F371" s="391"/>
      <c r="G371" s="391"/>
      <c r="H371" s="391"/>
      <c r="I371" s="391"/>
      <c r="J371" s="391"/>
      <c r="K371" s="391"/>
      <c r="L371" s="391"/>
      <c r="M371" s="391"/>
      <c r="N371" s="391"/>
      <c r="O371" s="391"/>
      <c r="P371" s="391"/>
      <c r="Q371" s="391"/>
      <c r="R371" s="391"/>
      <c r="S371" s="391"/>
      <c r="T371" s="391"/>
      <c r="U371" s="391"/>
      <c r="V371" s="391"/>
      <c r="W371" s="391"/>
      <c r="X371" s="391"/>
      <c r="Y371" s="391"/>
      <c r="Z371" s="391"/>
      <c r="AA371" s="391"/>
      <c r="AB371" s="391"/>
      <c r="AC371" s="391"/>
      <c r="AD371" s="391"/>
      <c r="AE371" s="391"/>
    </row>
    <row r="372">
      <c r="A372" s="391"/>
      <c r="B372" s="391"/>
      <c r="C372" s="391"/>
      <c r="D372" s="391"/>
      <c r="E372" s="391"/>
      <c r="F372" s="391"/>
      <c r="G372" s="391"/>
      <c r="H372" s="391"/>
      <c r="I372" s="391"/>
      <c r="J372" s="391"/>
      <c r="K372" s="391"/>
      <c r="L372" s="391"/>
      <c r="M372" s="391"/>
      <c r="N372" s="391"/>
      <c r="O372" s="391"/>
      <c r="P372" s="391"/>
      <c r="Q372" s="391"/>
      <c r="R372" s="391"/>
      <c r="S372" s="391"/>
      <c r="T372" s="391"/>
      <c r="U372" s="391"/>
      <c r="V372" s="391"/>
      <c r="W372" s="391"/>
      <c r="X372" s="391"/>
      <c r="Y372" s="391"/>
      <c r="Z372" s="391"/>
      <c r="AA372" s="391"/>
      <c r="AB372" s="391"/>
      <c r="AC372" s="391"/>
      <c r="AD372" s="391"/>
      <c r="AE372" s="391"/>
    </row>
    <row r="373">
      <c r="A373" s="391"/>
      <c r="B373" s="391"/>
      <c r="C373" s="391"/>
      <c r="D373" s="391"/>
      <c r="E373" s="391"/>
      <c r="F373" s="391"/>
      <c r="G373" s="391"/>
      <c r="H373" s="391"/>
      <c r="I373" s="391"/>
      <c r="J373" s="391"/>
      <c r="K373" s="391"/>
      <c r="L373" s="391"/>
      <c r="M373" s="391"/>
      <c r="N373" s="391"/>
      <c r="O373" s="391"/>
      <c r="P373" s="391"/>
      <c r="Q373" s="391"/>
      <c r="R373" s="391"/>
      <c r="S373" s="391"/>
      <c r="T373" s="391"/>
      <c r="U373" s="391"/>
      <c r="V373" s="391"/>
      <c r="W373" s="391"/>
      <c r="X373" s="391"/>
      <c r="Y373" s="391"/>
      <c r="Z373" s="391"/>
      <c r="AA373" s="391"/>
      <c r="AB373" s="391"/>
      <c r="AC373" s="391"/>
      <c r="AD373" s="391"/>
      <c r="AE373" s="391"/>
    </row>
    <row r="374">
      <c r="A374" s="391"/>
      <c r="B374" s="391"/>
      <c r="C374" s="391"/>
      <c r="D374" s="391"/>
      <c r="E374" s="391"/>
      <c r="F374" s="391"/>
      <c r="G374" s="391"/>
      <c r="H374" s="391"/>
      <c r="I374" s="391"/>
      <c r="J374" s="391"/>
      <c r="K374" s="391"/>
      <c r="L374" s="391"/>
      <c r="M374" s="391"/>
      <c r="N374" s="391"/>
      <c r="O374" s="391"/>
      <c r="P374" s="391"/>
      <c r="Q374" s="391"/>
      <c r="R374" s="391"/>
      <c r="S374" s="391"/>
      <c r="T374" s="391"/>
      <c r="U374" s="391"/>
      <c r="V374" s="391"/>
      <c r="W374" s="391"/>
      <c r="X374" s="391"/>
      <c r="Y374" s="391"/>
      <c r="Z374" s="391"/>
      <c r="AA374" s="391"/>
      <c r="AB374" s="391"/>
      <c r="AC374" s="391"/>
      <c r="AD374" s="391"/>
      <c r="AE374" s="391"/>
    </row>
    <row r="375">
      <c r="A375" s="391"/>
      <c r="B375" s="391"/>
      <c r="C375" s="391"/>
      <c r="D375" s="391"/>
      <c r="E375" s="391"/>
      <c r="F375" s="391"/>
      <c r="G375" s="391"/>
      <c r="H375" s="391"/>
      <c r="I375" s="391"/>
      <c r="J375" s="391"/>
      <c r="K375" s="391"/>
      <c r="L375" s="391"/>
      <c r="M375" s="391"/>
      <c r="N375" s="391"/>
      <c r="O375" s="391"/>
      <c r="P375" s="391"/>
      <c r="Q375" s="391"/>
      <c r="R375" s="391"/>
      <c r="S375" s="391"/>
      <c r="T375" s="391"/>
      <c r="U375" s="391"/>
      <c r="V375" s="391"/>
      <c r="W375" s="391"/>
      <c r="X375" s="391"/>
      <c r="Y375" s="391"/>
      <c r="Z375" s="391"/>
      <c r="AA375" s="391"/>
      <c r="AB375" s="391"/>
      <c r="AC375" s="391"/>
      <c r="AD375" s="391"/>
      <c r="AE375" s="391"/>
    </row>
    <row r="376">
      <c r="A376" s="391"/>
      <c r="B376" s="391"/>
      <c r="C376" s="391"/>
      <c r="D376" s="391"/>
      <c r="E376" s="391"/>
      <c r="F376" s="391"/>
      <c r="G376" s="391"/>
      <c r="H376" s="391"/>
      <c r="I376" s="391"/>
      <c r="J376" s="391"/>
      <c r="K376" s="391"/>
      <c r="L376" s="391"/>
      <c r="M376" s="391"/>
      <c r="N376" s="391"/>
      <c r="O376" s="391"/>
      <c r="P376" s="391"/>
      <c r="Q376" s="391"/>
      <c r="R376" s="391"/>
      <c r="S376" s="391"/>
      <c r="T376" s="391"/>
      <c r="U376" s="391"/>
      <c r="V376" s="391"/>
      <c r="W376" s="391"/>
      <c r="X376" s="391"/>
      <c r="Y376" s="391"/>
      <c r="Z376" s="391"/>
      <c r="AA376" s="391"/>
      <c r="AB376" s="391"/>
      <c r="AC376" s="391"/>
      <c r="AD376" s="391"/>
      <c r="AE376" s="391"/>
    </row>
    <row r="377">
      <c r="A377" s="391"/>
      <c r="B377" s="391"/>
      <c r="C377" s="391"/>
      <c r="D377" s="391"/>
      <c r="E377" s="391"/>
      <c r="F377" s="391"/>
      <c r="G377" s="391"/>
      <c r="H377" s="391"/>
      <c r="I377" s="391"/>
      <c r="J377" s="391"/>
      <c r="K377" s="391"/>
      <c r="L377" s="391"/>
      <c r="M377" s="391"/>
      <c r="N377" s="391"/>
      <c r="O377" s="391"/>
      <c r="P377" s="391"/>
      <c r="Q377" s="391"/>
      <c r="R377" s="391"/>
      <c r="S377" s="391"/>
      <c r="T377" s="391"/>
      <c r="U377" s="391"/>
      <c r="V377" s="391"/>
      <c r="W377" s="391"/>
      <c r="X377" s="391"/>
      <c r="Y377" s="391"/>
      <c r="Z377" s="391"/>
      <c r="AA377" s="391"/>
      <c r="AB377" s="391"/>
      <c r="AC377" s="391"/>
      <c r="AD377" s="391"/>
      <c r="AE377" s="391"/>
    </row>
    <row r="378">
      <c r="A378" s="391"/>
      <c r="B378" s="391"/>
      <c r="C378" s="391"/>
      <c r="D378" s="391"/>
      <c r="E378" s="391"/>
      <c r="F378" s="391"/>
      <c r="G378" s="391"/>
      <c r="H378" s="391"/>
      <c r="I378" s="391"/>
      <c r="J378" s="391"/>
      <c r="K378" s="391"/>
      <c r="L378" s="391"/>
      <c r="M378" s="391"/>
      <c r="N378" s="391"/>
      <c r="O378" s="391"/>
      <c r="P378" s="391"/>
      <c r="Q378" s="391"/>
      <c r="R378" s="391"/>
      <c r="S378" s="391"/>
      <c r="T378" s="391"/>
      <c r="U378" s="391"/>
      <c r="V378" s="391"/>
      <c r="W378" s="391"/>
      <c r="X378" s="391"/>
      <c r="Y378" s="391"/>
      <c r="Z378" s="391"/>
      <c r="AA378" s="391"/>
      <c r="AB378" s="391"/>
      <c r="AC378" s="391"/>
      <c r="AD378" s="391"/>
      <c r="AE378" s="391"/>
    </row>
    <row r="379">
      <c r="A379" s="391"/>
      <c r="B379" s="391"/>
      <c r="C379" s="391"/>
      <c r="D379" s="391"/>
      <c r="E379" s="391"/>
      <c r="F379" s="391"/>
      <c r="G379" s="391"/>
      <c r="H379" s="391"/>
      <c r="I379" s="391"/>
      <c r="J379" s="391"/>
      <c r="K379" s="391"/>
      <c r="L379" s="391"/>
      <c r="M379" s="391"/>
      <c r="N379" s="391"/>
      <c r="O379" s="391"/>
      <c r="P379" s="391"/>
      <c r="Q379" s="391"/>
      <c r="R379" s="391"/>
      <c r="S379" s="391"/>
      <c r="T379" s="391"/>
      <c r="U379" s="391"/>
      <c r="V379" s="391"/>
      <c r="W379" s="391"/>
      <c r="X379" s="391"/>
      <c r="Y379" s="391"/>
      <c r="Z379" s="391"/>
      <c r="AA379" s="391"/>
      <c r="AB379" s="391"/>
      <c r="AC379" s="391"/>
      <c r="AD379" s="391"/>
      <c r="AE379" s="391"/>
    </row>
    <row r="380">
      <c r="A380" s="391"/>
      <c r="B380" s="391"/>
      <c r="C380" s="391"/>
      <c r="D380" s="391"/>
      <c r="E380" s="391"/>
      <c r="F380" s="391"/>
      <c r="G380" s="391"/>
      <c r="H380" s="391"/>
      <c r="I380" s="391"/>
      <c r="J380" s="391"/>
      <c r="K380" s="391"/>
      <c r="L380" s="391"/>
      <c r="M380" s="391"/>
      <c r="N380" s="391"/>
      <c r="O380" s="391"/>
      <c r="P380" s="391"/>
      <c r="Q380" s="391"/>
      <c r="R380" s="391"/>
      <c r="S380" s="391"/>
      <c r="T380" s="391"/>
      <c r="U380" s="391"/>
      <c r="V380" s="391"/>
      <c r="W380" s="391"/>
      <c r="X380" s="391"/>
      <c r="Y380" s="391"/>
      <c r="Z380" s="391"/>
      <c r="AA380" s="391"/>
      <c r="AB380" s="391"/>
      <c r="AC380" s="391"/>
      <c r="AD380" s="391"/>
      <c r="AE380" s="391"/>
    </row>
    <row r="381">
      <c r="A381" s="391"/>
      <c r="B381" s="391"/>
      <c r="C381" s="391"/>
      <c r="D381" s="391"/>
      <c r="E381" s="391"/>
      <c r="F381" s="391"/>
      <c r="G381" s="391"/>
      <c r="H381" s="391"/>
      <c r="I381" s="391"/>
      <c r="J381" s="391"/>
      <c r="K381" s="391"/>
      <c r="L381" s="391"/>
      <c r="M381" s="391"/>
      <c r="N381" s="391"/>
      <c r="O381" s="391"/>
      <c r="P381" s="391"/>
      <c r="Q381" s="391"/>
      <c r="R381" s="391"/>
      <c r="S381" s="391"/>
      <c r="T381" s="391"/>
      <c r="U381" s="391"/>
      <c r="V381" s="391"/>
      <c r="W381" s="391"/>
      <c r="X381" s="391"/>
      <c r="Y381" s="391"/>
      <c r="Z381" s="391"/>
      <c r="AA381" s="391"/>
      <c r="AB381" s="391"/>
      <c r="AC381" s="391"/>
      <c r="AD381" s="391"/>
      <c r="AE381" s="391"/>
    </row>
    <row r="382">
      <c r="A382" s="391"/>
      <c r="B382" s="391"/>
      <c r="C382" s="391"/>
      <c r="D382" s="391"/>
      <c r="E382" s="391"/>
      <c r="F382" s="391"/>
      <c r="G382" s="391"/>
      <c r="H382" s="391"/>
      <c r="I382" s="391"/>
      <c r="J382" s="391"/>
      <c r="K382" s="391"/>
      <c r="L382" s="391"/>
      <c r="M382" s="391"/>
      <c r="N382" s="391"/>
      <c r="O382" s="391"/>
      <c r="P382" s="391"/>
      <c r="Q382" s="391"/>
      <c r="R382" s="391"/>
      <c r="S382" s="391"/>
      <c r="T382" s="391"/>
      <c r="U382" s="391"/>
      <c r="V382" s="391"/>
      <c r="W382" s="391"/>
      <c r="X382" s="391"/>
      <c r="Y382" s="391"/>
      <c r="Z382" s="391"/>
      <c r="AA382" s="391"/>
      <c r="AB382" s="391"/>
      <c r="AC382" s="391"/>
      <c r="AD382" s="391"/>
      <c r="AE382" s="391"/>
    </row>
    <row r="383">
      <c r="A383" s="391"/>
      <c r="B383" s="391"/>
      <c r="C383" s="391"/>
      <c r="D383" s="391"/>
      <c r="E383" s="391"/>
      <c r="F383" s="391"/>
      <c r="G383" s="391"/>
      <c r="H383" s="391"/>
      <c r="I383" s="391"/>
      <c r="J383" s="391"/>
      <c r="K383" s="391"/>
      <c r="L383" s="391"/>
      <c r="M383" s="391"/>
      <c r="N383" s="391"/>
      <c r="O383" s="391"/>
      <c r="P383" s="391"/>
      <c r="Q383" s="391"/>
      <c r="R383" s="391"/>
      <c r="S383" s="391"/>
      <c r="T383" s="391"/>
      <c r="U383" s="391"/>
      <c r="V383" s="391"/>
      <c r="W383" s="391"/>
      <c r="X383" s="391"/>
      <c r="Y383" s="391"/>
      <c r="Z383" s="391"/>
      <c r="AA383" s="391"/>
      <c r="AB383" s="391"/>
      <c r="AC383" s="391"/>
      <c r="AD383" s="391"/>
      <c r="AE383" s="391"/>
    </row>
    <row r="384">
      <c r="A384" s="391"/>
      <c r="B384" s="391"/>
      <c r="C384" s="391"/>
      <c r="D384" s="391"/>
      <c r="E384" s="391"/>
      <c r="F384" s="391"/>
      <c r="G384" s="391"/>
      <c r="H384" s="391"/>
      <c r="I384" s="391"/>
      <c r="J384" s="391"/>
      <c r="K384" s="391"/>
      <c r="L384" s="391"/>
      <c r="M384" s="391"/>
      <c r="N384" s="391"/>
      <c r="O384" s="391"/>
      <c r="P384" s="391"/>
      <c r="Q384" s="391"/>
      <c r="R384" s="391"/>
      <c r="S384" s="391"/>
      <c r="T384" s="391"/>
      <c r="U384" s="391"/>
      <c r="V384" s="391"/>
      <c r="W384" s="391"/>
      <c r="X384" s="391"/>
      <c r="Y384" s="391"/>
      <c r="Z384" s="391"/>
      <c r="AA384" s="391"/>
      <c r="AB384" s="391"/>
      <c r="AC384" s="391"/>
      <c r="AD384" s="391"/>
      <c r="AE384" s="391"/>
    </row>
    <row r="385">
      <c r="A385" s="391"/>
      <c r="B385" s="391"/>
      <c r="C385" s="391"/>
      <c r="D385" s="391"/>
      <c r="E385" s="391"/>
      <c r="F385" s="391"/>
      <c r="G385" s="391"/>
      <c r="H385" s="391"/>
      <c r="I385" s="391"/>
      <c r="J385" s="391"/>
      <c r="K385" s="391"/>
      <c r="L385" s="391"/>
      <c r="M385" s="391"/>
      <c r="N385" s="391"/>
      <c r="O385" s="391"/>
      <c r="P385" s="391"/>
      <c r="Q385" s="391"/>
      <c r="R385" s="391"/>
      <c r="S385" s="391"/>
      <c r="T385" s="391"/>
      <c r="U385" s="391"/>
      <c r="V385" s="391"/>
      <c r="W385" s="391"/>
      <c r="X385" s="391"/>
      <c r="Y385" s="391"/>
      <c r="Z385" s="391"/>
      <c r="AA385" s="391"/>
      <c r="AB385" s="391"/>
      <c r="AC385" s="391"/>
      <c r="AD385" s="391"/>
      <c r="AE385" s="391"/>
    </row>
    <row r="386">
      <c r="A386" s="391"/>
      <c r="B386" s="391"/>
      <c r="C386" s="391"/>
      <c r="D386" s="391"/>
      <c r="E386" s="391"/>
      <c r="F386" s="391"/>
      <c r="G386" s="391"/>
      <c r="H386" s="391"/>
      <c r="I386" s="391"/>
      <c r="J386" s="391"/>
      <c r="K386" s="391"/>
      <c r="L386" s="391"/>
      <c r="M386" s="391"/>
      <c r="N386" s="391"/>
      <c r="O386" s="391"/>
      <c r="P386" s="391"/>
      <c r="Q386" s="391"/>
      <c r="R386" s="391"/>
      <c r="S386" s="391"/>
      <c r="T386" s="391"/>
      <c r="U386" s="391"/>
      <c r="V386" s="391"/>
      <c r="W386" s="391"/>
      <c r="X386" s="391"/>
      <c r="Y386" s="391"/>
      <c r="Z386" s="391"/>
      <c r="AA386" s="391"/>
      <c r="AB386" s="391"/>
      <c r="AC386" s="391"/>
      <c r="AD386" s="391"/>
      <c r="AE386" s="391"/>
    </row>
    <row r="387">
      <c r="A387" s="391"/>
      <c r="B387" s="391"/>
      <c r="C387" s="391"/>
      <c r="D387" s="391"/>
      <c r="E387" s="391"/>
      <c r="F387" s="391"/>
      <c r="G387" s="391"/>
      <c r="H387" s="391"/>
      <c r="I387" s="391"/>
      <c r="J387" s="391"/>
      <c r="K387" s="391"/>
      <c r="L387" s="391"/>
      <c r="M387" s="391"/>
      <c r="N387" s="391"/>
      <c r="O387" s="391"/>
      <c r="P387" s="391"/>
      <c r="Q387" s="391"/>
      <c r="R387" s="391"/>
      <c r="S387" s="391"/>
      <c r="T387" s="391"/>
      <c r="U387" s="391"/>
      <c r="V387" s="391"/>
      <c r="W387" s="391"/>
      <c r="X387" s="391"/>
      <c r="Y387" s="391"/>
      <c r="Z387" s="391"/>
      <c r="AA387" s="391"/>
      <c r="AB387" s="391"/>
      <c r="AC387" s="391"/>
      <c r="AD387" s="391"/>
      <c r="AE387" s="391"/>
    </row>
    <row r="388">
      <c r="A388" s="391"/>
      <c r="B388" s="391"/>
      <c r="C388" s="391"/>
      <c r="D388" s="391"/>
      <c r="E388" s="391"/>
      <c r="F388" s="391"/>
      <c r="G388" s="391"/>
      <c r="H388" s="391"/>
      <c r="I388" s="391"/>
      <c r="J388" s="391"/>
      <c r="K388" s="391"/>
      <c r="L388" s="391"/>
      <c r="M388" s="391"/>
      <c r="N388" s="391"/>
      <c r="O388" s="391"/>
      <c r="P388" s="391"/>
      <c r="Q388" s="391"/>
      <c r="R388" s="391"/>
      <c r="S388" s="391"/>
      <c r="T388" s="391"/>
      <c r="U388" s="391"/>
      <c r="V388" s="391"/>
      <c r="W388" s="391"/>
      <c r="X388" s="391"/>
      <c r="Y388" s="391"/>
      <c r="Z388" s="391"/>
      <c r="AA388" s="391"/>
      <c r="AB388" s="391"/>
      <c r="AC388" s="391"/>
      <c r="AD388" s="391"/>
      <c r="AE388" s="391"/>
    </row>
    <row r="389">
      <c r="A389" s="391"/>
      <c r="B389" s="391"/>
      <c r="C389" s="391"/>
      <c r="D389" s="391"/>
      <c r="E389" s="391"/>
      <c r="F389" s="391"/>
      <c r="G389" s="391"/>
      <c r="H389" s="391"/>
      <c r="I389" s="391"/>
      <c r="J389" s="391"/>
      <c r="K389" s="391"/>
      <c r="L389" s="391"/>
      <c r="M389" s="391"/>
      <c r="N389" s="391"/>
      <c r="O389" s="391"/>
      <c r="P389" s="391"/>
      <c r="Q389" s="391"/>
      <c r="R389" s="391"/>
      <c r="S389" s="391"/>
      <c r="T389" s="391"/>
      <c r="U389" s="391"/>
      <c r="V389" s="391"/>
      <c r="W389" s="391"/>
      <c r="X389" s="391"/>
      <c r="Y389" s="391"/>
      <c r="Z389" s="391"/>
      <c r="AA389" s="391"/>
      <c r="AB389" s="391"/>
      <c r="AC389" s="391"/>
      <c r="AD389" s="391"/>
      <c r="AE389" s="391"/>
    </row>
    <row r="390">
      <c r="A390" s="391"/>
      <c r="B390" s="391"/>
      <c r="C390" s="391"/>
      <c r="D390" s="391"/>
      <c r="E390" s="391"/>
      <c r="F390" s="391"/>
      <c r="G390" s="391"/>
      <c r="H390" s="391"/>
      <c r="I390" s="391"/>
      <c r="J390" s="391"/>
      <c r="K390" s="391"/>
      <c r="L390" s="391"/>
      <c r="M390" s="391"/>
      <c r="N390" s="391"/>
      <c r="O390" s="391"/>
      <c r="P390" s="391"/>
      <c r="Q390" s="391"/>
      <c r="R390" s="391"/>
      <c r="S390" s="391"/>
      <c r="T390" s="391"/>
      <c r="U390" s="391"/>
      <c r="V390" s="391"/>
      <c r="W390" s="391"/>
      <c r="X390" s="391"/>
      <c r="Y390" s="391"/>
      <c r="Z390" s="391"/>
      <c r="AA390" s="391"/>
      <c r="AB390" s="391"/>
      <c r="AC390" s="391"/>
      <c r="AD390" s="391"/>
      <c r="AE390" s="391"/>
    </row>
    <row r="391">
      <c r="A391" s="391"/>
      <c r="B391" s="391"/>
      <c r="C391" s="391"/>
      <c r="D391" s="391"/>
      <c r="E391" s="391"/>
      <c r="F391" s="391"/>
      <c r="G391" s="391"/>
      <c r="H391" s="391"/>
      <c r="I391" s="391"/>
      <c r="J391" s="391"/>
      <c r="K391" s="391"/>
      <c r="L391" s="391"/>
      <c r="M391" s="391"/>
      <c r="N391" s="391"/>
      <c r="O391" s="391"/>
      <c r="P391" s="391"/>
      <c r="Q391" s="391"/>
      <c r="R391" s="391"/>
      <c r="S391" s="391"/>
      <c r="T391" s="391"/>
      <c r="U391" s="391"/>
      <c r="V391" s="391"/>
      <c r="W391" s="391"/>
      <c r="X391" s="391"/>
      <c r="Y391" s="391"/>
      <c r="Z391" s="391"/>
      <c r="AA391" s="391"/>
      <c r="AB391" s="391"/>
      <c r="AC391" s="391"/>
      <c r="AD391" s="391"/>
      <c r="AE391" s="391"/>
    </row>
    <row r="392">
      <c r="A392" s="391"/>
      <c r="B392" s="391"/>
      <c r="C392" s="391"/>
      <c r="D392" s="391"/>
      <c r="E392" s="391"/>
      <c r="F392" s="391"/>
      <c r="G392" s="391"/>
      <c r="H392" s="391"/>
      <c r="I392" s="391"/>
      <c r="J392" s="391"/>
      <c r="K392" s="391"/>
      <c r="L392" s="391"/>
      <c r="M392" s="391"/>
      <c r="N392" s="391"/>
      <c r="O392" s="391"/>
      <c r="P392" s="391"/>
      <c r="Q392" s="391"/>
      <c r="R392" s="391"/>
      <c r="S392" s="391"/>
      <c r="T392" s="391"/>
      <c r="U392" s="391"/>
      <c r="V392" s="391"/>
      <c r="W392" s="391"/>
      <c r="X392" s="391"/>
      <c r="Y392" s="391"/>
      <c r="Z392" s="391"/>
      <c r="AA392" s="391"/>
      <c r="AB392" s="391"/>
      <c r="AC392" s="391"/>
      <c r="AD392" s="391"/>
      <c r="AE392" s="391"/>
    </row>
    <row r="393">
      <c r="A393" s="391"/>
      <c r="B393" s="391"/>
      <c r="C393" s="391"/>
      <c r="D393" s="391"/>
      <c r="E393" s="391"/>
      <c r="F393" s="391"/>
      <c r="G393" s="391"/>
      <c r="H393" s="391"/>
      <c r="I393" s="391"/>
      <c r="J393" s="391"/>
      <c r="K393" s="391"/>
      <c r="L393" s="391"/>
      <c r="M393" s="391"/>
      <c r="N393" s="391"/>
      <c r="O393" s="391"/>
      <c r="P393" s="391"/>
      <c r="Q393" s="391"/>
      <c r="R393" s="391"/>
      <c r="S393" s="391"/>
      <c r="T393" s="391"/>
      <c r="U393" s="391"/>
      <c r="V393" s="391"/>
      <c r="W393" s="391"/>
      <c r="X393" s="391"/>
      <c r="Y393" s="391"/>
      <c r="Z393" s="391"/>
      <c r="AA393" s="391"/>
      <c r="AB393" s="391"/>
      <c r="AC393" s="391"/>
      <c r="AD393" s="391"/>
      <c r="AE393" s="391"/>
    </row>
    <row r="394">
      <c r="A394" s="391"/>
      <c r="B394" s="391"/>
      <c r="C394" s="391"/>
      <c r="D394" s="391"/>
      <c r="E394" s="391"/>
      <c r="F394" s="391"/>
      <c r="G394" s="391"/>
      <c r="H394" s="391"/>
      <c r="I394" s="391"/>
      <c r="J394" s="391"/>
      <c r="K394" s="391"/>
      <c r="L394" s="391"/>
      <c r="M394" s="391"/>
      <c r="N394" s="391"/>
      <c r="O394" s="391"/>
      <c r="P394" s="391"/>
      <c r="Q394" s="391"/>
      <c r="R394" s="391"/>
      <c r="S394" s="391"/>
      <c r="T394" s="391"/>
      <c r="U394" s="391"/>
      <c r="V394" s="391"/>
      <c r="W394" s="391"/>
      <c r="X394" s="391"/>
      <c r="Y394" s="391"/>
      <c r="Z394" s="391"/>
      <c r="AA394" s="391"/>
      <c r="AB394" s="391"/>
      <c r="AC394" s="391"/>
      <c r="AD394" s="391"/>
      <c r="AE394" s="391"/>
    </row>
    <row r="395">
      <c r="A395" s="391"/>
      <c r="B395" s="391"/>
      <c r="C395" s="391"/>
      <c r="D395" s="391"/>
      <c r="E395" s="391"/>
      <c r="F395" s="391"/>
      <c r="G395" s="391"/>
      <c r="H395" s="391"/>
      <c r="I395" s="391"/>
      <c r="J395" s="391"/>
      <c r="K395" s="391"/>
      <c r="L395" s="391"/>
      <c r="M395" s="391"/>
      <c r="N395" s="391"/>
      <c r="O395" s="391"/>
      <c r="P395" s="391"/>
      <c r="Q395" s="391"/>
      <c r="R395" s="391"/>
      <c r="S395" s="391"/>
      <c r="T395" s="391"/>
      <c r="U395" s="391"/>
      <c r="V395" s="391"/>
      <c r="W395" s="391"/>
      <c r="X395" s="391"/>
      <c r="Y395" s="391"/>
      <c r="Z395" s="391"/>
      <c r="AA395" s="391"/>
      <c r="AB395" s="391"/>
      <c r="AC395" s="391"/>
      <c r="AD395" s="391"/>
      <c r="AE395" s="391"/>
    </row>
    <row r="396">
      <c r="A396" s="391"/>
      <c r="B396" s="391"/>
      <c r="C396" s="391"/>
      <c r="D396" s="391"/>
      <c r="E396" s="391"/>
      <c r="F396" s="391"/>
      <c r="G396" s="391"/>
      <c r="H396" s="391"/>
      <c r="I396" s="391"/>
      <c r="J396" s="391"/>
      <c r="K396" s="391"/>
      <c r="L396" s="391"/>
      <c r="M396" s="391"/>
      <c r="N396" s="391"/>
      <c r="O396" s="391"/>
      <c r="P396" s="391"/>
      <c r="Q396" s="391"/>
      <c r="R396" s="391"/>
      <c r="S396" s="391"/>
      <c r="T396" s="391"/>
      <c r="U396" s="391"/>
      <c r="V396" s="391"/>
      <c r="W396" s="391"/>
      <c r="X396" s="391"/>
      <c r="Y396" s="391"/>
      <c r="Z396" s="391"/>
      <c r="AA396" s="391"/>
      <c r="AB396" s="391"/>
      <c r="AC396" s="391"/>
      <c r="AD396" s="391"/>
      <c r="AE396" s="391"/>
    </row>
    <row r="397">
      <c r="A397" s="391"/>
      <c r="B397" s="391"/>
      <c r="C397" s="391"/>
      <c r="D397" s="391"/>
      <c r="E397" s="391"/>
      <c r="F397" s="391"/>
      <c r="G397" s="391"/>
      <c r="H397" s="391"/>
      <c r="I397" s="391"/>
      <c r="J397" s="391"/>
      <c r="K397" s="391"/>
      <c r="L397" s="391"/>
      <c r="M397" s="391"/>
      <c r="N397" s="391"/>
      <c r="O397" s="391"/>
      <c r="P397" s="391"/>
      <c r="Q397" s="391"/>
      <c r="R397" s="391"/>
      <c r="S397" s="391"/>
      <c r="T397" s="391"/>
      <c r="U397" s="391"/>
      <c r="V397" s="391"/>
      <c r="W397" s="391"/>
      <c r="X397" s="391"/>
      <c r="Y397" s="391"/>
      <c r="Z397" s="391"/>
      <c r="AA397" s="391"/>
      <c r="AB397" s="391"/>
      <c r="AC397" s="391"/>
      <c r="AD397" s="391"/>
      <c r="AE397" s="391"/>
    </row>
    <row r="398">
      <c r="A398" s="391"/>
      <c r="B398" s="391"/>
      <c r="C398" s="391"/>
      <c r="D398" s="391"/>
      <c r="E398" s="391"/>
      <c r="F398" s="391"/>
      <c r="G398" s="391"/>
      <c r="H398" s="391"/>
      <c r="I398" s="391"/>
      <c r="J398" s="391"/>
      <c r="K398" s="391"/>
      <c r="L398" s="391"/>
      <c r="M398" s="391"/>
      <c r="N398" s="391"/>
      <c r="O398" s="391"/>
      <c r="P398" s="391"/>
      <c r="Q398" s="391"/>
      <c r="R398" s="391"/>
      <c r="S398" s="391"/>
      <c r="T398" s="391"/>
      <c r="U398" s="391"/>
      <c r="V398" s="391"/>
      <c r="W398" s="391"/>
      <c r="X398" s="391"/>
      <c r="Y398" s="391"/>
      <c r="Z398" s="391"/>
      <c r="AA398" s="391"/>
      <c r="AB398" s="391"/>
      <c r="AC398" s="391"/>
      <c r="AD398" s="391"/>
      <c r="AE398" s="391"/>
    </row>
    <row r="399">
      <c r="A399" s="391"/>
      <c r="B399" s="391"/>
      <c r="C399" s="391"/>
      <c r="D399" s="391"/>
      <c r="E399" s="391"/>
      <c r="F399" s="391"/>
      <c r="G399" s="391"/>
      <c r="H399" s="391"/>
      <c r="I399" s="391"/>
      <c r="J399" s="391"/>
      <c r="K399" s="391"/>
      <c r="L399" s="391"/>
      <c r="M399" s="391"/>
      <c r="N399" s="391"/>
      <c r="O399" s="391"/>
      <c r="P399" s="391"/>
      <c r="Q399" s="391"/>
      <c r="R399" s="391"/>
      <c r="S399" s="391"/>
      <c r="T399" s="391"/>
      <c r="U399" s="391"/>
      <c r="V399" s="391"/>
      <c r="W399" s="391"/>
      <c r="X399" s="391"/>
      <c r="Y399" s="391"/>
      <c r="Z399" s="391"/>
      <c r="AA399" s="391"/>
      <c r="AB399" s="391"/>
      <c r="AC399" s="391"/>
      <c r="AD399" s="391"/>
      <c r="AE399" s="391"/>
    </row>
    <row r="400">
      <c r="A400" s="391"/>
      <c r="B400" s="391"/>
      <c r="C400" s="391"/>
      <c r="D400" s="391"/>
      <c r="E400" s="391"/>
      <c r="F400" s="391"/>
      <c r="G400" s="391"/>
      <c r="H400" s="391"/>
      <c r="I400" s="391"/>
      <c r="J400" s="391"/>
      <c r="K400" s="391"/>
      <c r="L400" s="391"/>
      <c r="M400" s="391"/>
      <c r="N400" s="391"/>
      <c r="O400" s="391"/>
      <c r="P400" s="391"/>
      <c r="Q400" s="391"/>
      <c r="R400" s="391"/>
      <c r="S400" s="391"/>
      <c r="T400" s="391"/>
      <c r="U400" s="391"/>
      <c r="V400" s="391"/>
      <c r="W400" s="391"/>
      <c r="X400" s="391"/>
      <c r="Y400" s="391"/>
      <c r="Z400" s="391"/>
      <c r="AA400" s="391"/>
      <c r="AB400" s="391"/>
      <c r="AC400" s="391"/>
      <c r="AD400" s="391"/>
      <c r="AE400" s="391"/>
    </row>
    <row r="401">
      <c r="A401" s="391"/>
      <c r="B401" s="391"/>
      <c r="C401" s="391"/>
      <c r="D401" s="391"/>
      <c r="E401" s="391"/>
      <c r="F401" s="391"/>
      <c r="G401" s="391"/>
      <c r="H401" s="391"/>
      <c r="I401" s="391"/>
      <c r="J401" s="391"/>
      <c r="K401" s="391"/>
      <c r="L401" s="391"/>
      <c r="M401" s="391"/>
      <c r="N401" s="391"/>
      <c r="O401" s="391"/>
      <c r="P401" s="391"/>
      <c r="Q401" s="391"/>
      <c r="R401" s="391"/>
      <c r="S401" s="391"/>
      <c r="T401" s="391"/>
      <c r="U401" s="391"/>
      <c r="V401" s="391"/>
      <c r="W401" s="391"/>
      <c r="X401" s="391"/>
      <c r="Y401" s="391"/>
      <c r="Z401" s="391"/>
      <c r="AA401" s="391"/>
      <c r="AB401" s="391"/>
      <c r="AC401" s="391"/>
      <c r="AD401" s="391"/>
      <c r="AE401" s="391"/>
    </row>
    <row r="402">
      <c r="A402" s="391"/>
      <c r="B402" s="391"/>
      <c r="C402" s="391"/>
      <c r="D402" s="391"/>
      <c r="E402" s="391"/>
      <c r="F402" s="391"/>
      <c r="G402" s="391"/>
      <c r="H402" s="391"/>
      <c r="I402" s="391"/>
      <c r="J402" s="391"/>
      <c r="K402" s="391"/>
      <c r="L402" s="391"/>
      <c r="M402" s="391"/>
      <c r="N402" s="391"/>
      <c r="O402" s="391"/>
      <c r="P402" s="391"/>
      <c r="Q402" s="391"/>
      <c r="R402" s="391"/>
      <c r="S402" s="391"/>
      <c r="T402" s="391"/>
      <c r="U402" s="391"/>
      <c r="V402" s="391"/>
      <c r="W402" s="391"/>
      <c r="X402" s="391"/>
      <c r="Y402" s="391"/>
      <c r="Z402" s="391"/>
      <c r="AA402" s="391"/>
      <c r="AB402" s="391"/>
      <c r="AC402" s="391"/>
      <c r="AD402" s="391"/>
      <c r="AE402" s="391"/>
    </row>
    <row r="403">
      <c r="A403" s="391"/>
      <c r="B403" s="391"/>
      <c r="C403" s="391"/>
      <c r="D403" s="391"/>
      <c r="E403" s="391"/>
      <c r="F403" s="391"/>
      <c r="G403" s="391"/>
      <c r="H403" s="391"/>
      <c r="I403" s="391"/>
      <c r="J403" s="391"/>
      <c r="K403" s="391"/>
      <c r="L403" s="391"/>
      <c r="M403" s="391"/>
      <c r="N403" s="391"/>
      <c r="O403" s="391"/>
      <c r="P403" s="391"/>
      <c r="Q403" s="391"/>
      <c r="R403" s="391"/>
      <c r="S403" s="391"/>
      <c r="T403" s="391"/>
      <c r="U403" s="391"/>
      <c r="V403" s="391"/>
      <c r="W403" s="391"/>
      <c r="X403" s="391"/>
      <c r="Y403" s="391"/>
      <c r="Z403" s="391"/>
      <c r="AA403" s="391"/>
      <c r="AB403" s="391"/>
      <c r="AC403" s="391"/>
      <c r="AD403" s="391"/>
      <c r="AE403" s="391"/>
    </row>
    <row r="404">
      <c r="A404" s="391"/>
      <c r="B404" s="391"/>
      <c r="C404" s="391"/>
      <c r="D404" s="391"/>
      <c r="E404" s="391"/>
      <c r="F404" s="391"/>
      <c r="G404" s="391"/>
      <c r="H404" s="391"/>
      <c r="I404" s="391"/>
      <c r="J404" s="391"/>
      <c r="K404" s="391"/>
      <c r="L404" s="391"/>
      <c r="M404" s="391"/>
      <c r="N404" s="391"/>
      <c r="O404" s="391"/>
      <c r="P404" s="391"/>
      <c r="Q404" s="391"/>
      <c r="R404" s="391"/>
      <c r="S404" s="391"/>
      <c r="T404" s="391"/>
      <c r="U404" s="391"/>
      <c r="V404" s="391"/>
      <c r="W404" s="391"/>
      <c r="X404" s="391"/>
      <c r="Y404" s="391"/>
      <c r="Z404" s="391"/>
      <c r="AA404" s="391"/>
      <c r="AB404" s="391"/>
      <c r="AC404" s="391"/>
      <c r="AD404" s="391"/>
      <c r="AE404" s="391"/>
    </row>
    <row r="405">
      <c r="A405" s="391"/>
      <c r="B405" s="391"/>
      <c r="C405" s="391"/>
      <c r="D405" s="391"/>
      <c r="E405" s="391"/>
      <c r="F405" s="391"/>
      <c r="G405" s="391"/>
      <c r="H405" s="391"/>
      <c r="I405" s="391"/>
      <c r="J405" s="391"/>
      <c r="K405" s="391"/>
      <c r="L405" s="391"/>
      <c r="M405" s="391"/>
      <c r="N405" s="391"/>
      <c r="O405" s="391"/>
      <c r="P405" s="391"/>
      <c r="Q405" s="391"/>
      <c r="R405" s="391"/>
      <c r="S405" s="391"/>
      <c r="T405" s="391"/>
      <c r="U405" s="391"/>
      <c r="V405" s="391"/>
      <c r="W405" s="391"/>
      <c r="X405" s="391"/>
      <c r="Y405" s="391"/>
      <c r="Z405" s="391"/>
      <c r="AA405" s="391"/>
      <c r="AB405" s="391"/>
      <c r="AC405" s="391"/>
      <c r="AD405" s="391"/>
      <c r="AE405" s="391"/>
    </row>
    <row r="406">
      <c r="A406" s="391"/>
      <c r="B406" s="391"/>
      <c r="C406" s="391"/>
      <c r="D406" s="391"/>
      <c r="E406" s="391"/>
      <c r="F406" s="391"/>
      <c r="G406" s="391"/>
      <c r="H406" s="391"/>
      <c r="I406" s="391"/>
      <c r="J406" s="391"/>
      <c r="K406" s="391"/>
      <c r="L406" s="391"/>
      <c r="M406" s="391"/>
      <c r="N406" s="391"/>
      <c r="O406" s="391"/>
      <c r="P406" s="391"/>
      <c r="Q406" s="391"/>
      <c r="R406" s="391"/>
      <c r="S406" s="391"/>
      <c r="T406" s="391"/>
      <c r="U406" s="391"/>
      <c r="V406" s="391"/>
      <c r="W406" s="391"/>
      <c r="X406" s="391"/>
      <c r="Y406" s="391"/>
      <c r="Z406" s="391"/>
      <c r="AA406" s="391"/>
      <c r="AB406" s="391"/>
      <c r="AC406" s="391"/>
      <c r="AD406" s="391"/>
      <c r="AE406" s="391"/>
    </row>
    <row r="407">
      <c r="A407" s="391"/>
      <c r="B407" s="391"/>
      <c r="C407" s="391"/>
      <c r="D407" s="391"/>
      <c r="E407" s="391"/>
      <c r="F407" s="391"/>
      <c r="G407" s="391"/>
      <c r="H407" s="391"/>
      <c r="I407" s="391"/>
      <c r="J407" s="391"/>
      <c r="K407" s="391"/>
      <c r="L407" s="391"/>
      <c r="M407" s="391"/>
      <c r="N407" s="391"/>
      <c r="O407" s="391"/>
      <c r="P407" s="391"/>
      <c r="Q407" s="391"/>
      <c r="R407" s="391"/>
      <c r="S407" s="391"/>
      <c r="T407" s="391"/>
      <c r="U407" s="391"/>
      <c r="V407" s="391"/>
      <c r="W407" s="391"/>
      <c r="X407" s="391"/>
      <c r="Y407" s="391"/>
      <c r="Z407" s="391"/>
      <c r="AA407" s="391"/>
      <c r="AB407" s="391"/>
      <c r="AC407" s="391"/>
      <c r="AD407" s="391"/>
      <c r="AE407" s="391"/>
    </row>
    <row r="408">
      <c r="A408" s="391"/>
      <c r="B408" s="391"/>
      <c r="C408" s="391"/>
      <c r="D408" s="391"/>
      <c r="E408" s="391"/>
      <c r="F408" s="391"/>
      <c r="G408" s="391"/>
      <c r="H408" s="391"/>
      <c r="I408" s="391"/>
      <c r="J408" s="391"/>
      <c r="K408" s="391"/>
      <c r="L408" s="391"/>
      <c r="M408" s="391"/>
      <c r="N408" s="391"/>
      <c r="O408" s="391"/>
      <c r="P408" s="391"/>
      <c r="Q408" s="391"/>
      <c r="R408" s="391"/>
      <c r="S408" s="391"/>
      <c r="T408" s="391"/>
      <c r="U408" s="391"/>
      <c r="V408" s="391"/>
      <c r="W408" s="391"/>
      <c r="X408" s="391"/>
      <c r="Y408" s="391"/>
      <c r="Z408" s="391"/>
      <c r="AA408" s="391"/>
      <c r="AB408" s="391"/>
      <c r="AC408" s="391"/>
      <c r="AD408" s="391"/>
      <c r="AE408" s="391"/>
    </row>
    <row r="409">
      <c r="A409" s="391"/>
      <c r="B409" s="391"/>
      <c r="C409" s="391"/>
      <c r="D409" s="391"/>
      <c r="E409" s="391"/>
      <c r="F409" s="391"/>
      <c r="G409" s="391"/>
      <c r="H409" s="391"/>
      <c r="I409" s="391"/>
      <c r="J409" s="391"/>
      <c r="K409" s="391"/>
      <c r="L409" s="391"/>
      <c r="M409" s="391"/>
      <c r="N409" s="391"/>
      <c r="O409" s="391"/>
      <c r="P409" s="391"/>
      <c r="Q409" s="391"/>
      <c r="R409" s="391"/>
      <c r="S409" s="391"/>
      <c r="T409" s="391"/>
      <c r="U409" s="391"/>
      <c r="V409" s="391"/>
      <c r="W409" s="391"/>
      <c r="X409" s="391"/>
      <c r="Y409" s="391"/>
      <c r="Z409" s="391"/>
      <c r="AA409" s="391"/>
      <c r="AB409" s="391"/>
      <c r="AC409" s="391"/>
      <c r="AD409" s="391"/>
      <c r="AE409" s="391"/>
    </row>
    <row r="410">
      <c r="A410" s="391"/>
      <c r="B410" s="391"/>
      <c r="C410" s="391"/>
      <c r="D410" s="391"/>
      <c r="E410" s="391"/>
      <c r="F410" s="391"/>
      <c r="G410" s="391"/>
      <c r="H410" s="391"/>
      <c r="I410" s="391"/>
      <c r="J410" s="391"/>
      <c r="K410" s="391"/>
      <c r="L410" s="391"/>
      <c r="M410" s="391"/>
      <c r="N410" s="391"/>
      <c r="O410" s="391"/>
      <c r="P410" s="391"/>
      <c r="Q410" s="391"/>
      <c r="R410" s="391"/>
      <c r="S410" s="391"/>
      <c r="T410" s="391"/>
      <c r="U410" s="391"/>
      <c r="V410" s="391"/>
      <c r="W410" s="391"/>
      <c r="X410" s="391"/>
      <c r="Y410" s="391"/>
      <c r="Z410" s="391"/>
      <c r="AA410" s="391"/>
      <c r="AB410" s="391"/>
      <c r="AC410" s="391"/>
      <c r="AD410" s="391"/>
      <c r="AE410" s="391"/>
    </row>
    <row r="411">
      <c r="A411" s="391"/>
      <c r="B411" s="391"/>
      <c r="C411" s="391"/>
      <c r="D411" s="391"/>
      <c r="E411" s="391"/>
      <c r="F411" s="391"/>
      <c r="G411" s="391"/>
      <c r="H411" s="391"/>
      <c r="I411" s="391"/>
      <c r="J411" s="391"/>
      <c r="K411" s="391"/>
      <c r="L411" s="391"/>
      <c r="M411" s="391"/>
      <c r="N411" s="391"/>
      <c r="O411" s="391"/>
      <c r="P411" s="391"/>
      <c r="Q411" s="391"/>
      <c r="R411" s="391"/>
      <c r="S411" s="391"/>
      <c r="T411" s="391"/>
      <c r="U411" s="391"/>
      <c r="V411" s="391"/>
      <c r="W411" s="391"/>
      <c r="X411" s="391"/>
      <c r="Y411" s="391"/>
      <c r="Z411" s="391"/>
      <c r="AA411" s="391"/>
      <c r="AB411" s="391"/>
      <c r="AC411" s="391"/>
      <c r="AD411" s="391"/>
      <c r="AE411" s="391"/>
    </row>
    <row r="412">
      <c r="A412" s="391"/>
      <c r="B412" s="391"/>
      <c r="C412" s="391"/>
      <c r="D412" s="391"/>
      <c r="E412" s="391"/>
      <c r="F412" s="391"/>
      <c r="G412" s="391"/>
      <c r="H412" s="391"/>
      <c r="I412" s="391"/>
      <c r="J412" s="391"/>
      <c r="K412" s="391"/>
      <c r="L412" s="391"/>
      <c r="M412" s="391"/>
      <c r="N412" s="391"/>
      <c r="O412" s="391"/>
      <c r="P412" s="391"/>
      <c r="Q412" s="391"/>
      <c r="R412" s="391"/>
      <c r="S412" s="391"/>
      <c r="T412" s="391"/>
      <c r="U412" s="391"/>
      <c r="V412" s="391"/>
      <c r="W412" s="391"/>
      <c r="X412" s="391"/>
      <c r="Y412" s="391"/>
      <c r="Z412" s="391"/>
      <c r="AA412" s="391"/>
      <c r="AB412" s="391"/>
      <c r="AC412" s="391"/>
      <c r="AD412" s="391"/>
      <c r="AE412" s="391"/>
    </row>
    <row r="413">
      <c r="A413" s="391"/>
      <c r="B413" s="391"/>
      <c r="C413" s="391"/>
      <c r="D413" s="391"/>
      <c r="E413" s="391"/>
      <c r="F413" s="391"/>
      <c r="G413" s="391"/>
      <c r="H413" s="391"/>
      <c r="I413" s="391"/>
      <c r="J413" s="391"/>
      <c r="K413" s="391"/>
      <c r="L413" s="391"/>
      <c r="M413" s="391"/>
      <c r="N413" s="391"/>
      <c r="O413" s="391"/>
      <c r="P413" s="391"/>
      <c r="Q413" s="391"/>
      <c r="R413" s="391"/>
      <c r="S413" s="391"/>
      <c r="T413" s="391"/>
      <c r="U413" s="391"/>
      <c r="V413" s="391"/>
      <c r="W413" s="391"/>
      <c r="X413" s="391"/>
      <c r="Y413" s="391"/>
      <c r="Z413" s="391"/>
      <c r="AA413" s="391"/>
      <c r="AB413" s="391"/>
      <c r="AC413" s="391"/>
      <c r="AD413" s="391"/>
      <c r="AE413" s="391"/>
    </row>
    <row r="414">
      <c r="A414" s="391"/>
      <c r="B414" s="391"/>
      <c r="C414" s="391"/>
      <c r="D414" s="391"/>
      <c r="E414" s="391"/>
      <c r="F414" s="391"/>
      <c r="G414" s="391"/>
      <c r="H414" s="391"/>
      <c r="I414" s="391"/>
      <c r="J414" s="391"/>
      <c r="K414" s="391"/>
      <c r="L414" s="391"/>
      <c r="M414" s="391"/>
      <c r="N414" s="391"/>
      <c r="O414" s="391"/>
      <c r="P414" s="391"/>
      <c r="Q414" s="391"/>
      <c r="R414" s="391"/>
      <c r="S414" s="391"/>
      <c r="T414" s="391"/>
      <c r="U414" s="391"/>
      <c r="V414" s="391"/>
      <c r="W414" s="391"/>
      <c r="X414" s="391"/>
      <c r="Y414" s="391"/>
      <c r="Z414" s="391"/>
      <c r="AA414" s="391"/>
      <c r="AB414" s="391"/>
      <c r="AC414" s="391"/>
      <c r="AD414" s="391"/>
      <c r="AE414" s="391"/>
    </row>
    <row r="415">
      <c r="A415" s="391"/>
      <c r="B415" s="391"/>
      <c r="C415" s="391"/>
      <c r="D415" s="391"/>
      <c r="E415" s="391"/>
      <c r="F415" s="391"/>
      <c r="G415" s="391"/>
      <c r="H415" s="391"/>
      <c r="I415" s="391"/>
      <c r="J415" s="391"/>
      <c r="K415" s="391"/>
      <c r="L415" s="391"/>
      <c r="M415" s="391"/>
      <c r="N415" s="391"/>
      <c r="O415" s="391"/>
      <c r="P415" s="391"/>
      <c r="Q415" s="391"/>
      <c r="R415" s="391"/>
      <c r="S415" s="391"/>
      <c r="T415" s="391"/>
      <c r="U415" s="391"/>
      <c r="V415" s="391"/>
      <c r="W415" s="391"/>
      <c r="X415" s="391"/>
      <c r="Y415" s="391"/>
      <c r="Z415" s="391"/>
      <c r="AA415" s="391"/>
      <c r="AB415" s="391"/>
      <c r="AC415" s="391"/>
      <c r="AD415" s="391"/>
      <c r="AE415" s="391"/>
    </row>
    <row r="416">
      <c r="A416" s="391"/>
      <c r="B416" s="391"/>
      <c r="C416" s="391"/>
      <c r="D416" s="391"/>
      <c r="E416" s="391"/>
      <c r="F416" s="391"/>
      <c r="G416" s="391"/>
      <c r="H416" s="391"/>
      <c r="I416" s="391"/>
      <c r="J416" s="391"/>
      <c r="K416" s="391"/>
      <c r="L416" s="391"/>
      <c r="M416" s="391"/>
      <c r="N416" s="391"/>
      <c r="O416" s="391"/>
      <c r="P416" s="391"/>
      <c r="Q416" s="391"/>
      <c r="R416" s="391"/>
      <c r="S416" s="391"/>
      <c r="T416" s="391"/>
      <c r="U416" s="391"/>
      <c r="V416" s="391"/>
      <c r="W416" s="391"/>
      <c r="X416" s="391"/>
      <c r="Y416" s="391"/>
      <c r="Z416" s="391"/>
      <c r="AA416" s="391"/>
      <c r="AB416" s="391"/>
      <c r="AC416" s="391"/>
      <c r="AD416" s="391"/>
      <c r="AE416" s="391"/>
    </row>
    <row r="417">
      <c r="A417" s="391"/>
      <c r="B417" s="391"/>
      <c r="C417" s="391"/>
      <c r="D417" s="391"/>
      <c r="E417" s="391"/>
      <c r="F417" s="391"/>
      <c r="G417" s="391"/>
      <c r="H417" s="391"/>
      <c r="I417" s="391"/>
      <c r="J417" s="391"/>
      <c r="K417" s="391"/>
      <c r="L417" s="391"/>
      <c r="M417" s="391"/>
      <c r="N417" s="391"/>
      <c r="O417" s="391"/>
      <c r="P417" s="391"/>
      <c r="Q417" s="391"/>
      <c r="R417" s="391"/>
      <c r="S417" s="391"/>
      <c r="T417" s="391"/>
      <c r="U417" s="391"/>
      <c r="V417" s="391"/>
      <c r="W417" s="391"/>
      <c r="X417" s="391"/>
      <c r="Y417" s="391"/>
      <c r="Z417" s="391"/>
      <c r="AA417" s="391"/>
      <c r="AB417" s="391"/>
      <c r="AC417" s="391"/>
      <c r="AD417" s="391"/>
      <c r="AE417" s="391"/>
    </row>
    <row r="418">
      <c r="A418" s="391"/>
      <c r="B418" s="391"/>
      <c r="C418" s="391"/>
      <c r="D418" s="391"/>
      <c r="E418" s="391"/>
      <c r="F418" s="391"/>
      <c r="G418" s="391"/>
      <c r="H418" s="391"/>
      <c r="I418" s="391"/>
      <c r="J418" s="391"/>
      <c r="K418" s="391"/>
      <c r="L418" s="391"/>
      <c r="M418" s="391"/>
      <c r="N418" s="391"/>
      <c r="O418" s="391"/>
      <c r="P418" s="391"/>
      <c r="Q418" s="391"/>
      <c r="R418" s="391"/>
      <c r="S418" s="391"/>
      <c r="T418" s="391"/>
      <c r="U418" s="391"/>
      <c r="V418" s="391"/>
      <c r="W418" s="391"/>
      <c r="X418" s="391"/>
      <c r="Y418" s="391"/>
      <c r="Z418" s="391"/>
      <c r="AA418" s="391"/>
      <c r="AB418" s="391"/>
      <c r="AC418" s="391"/>
      <c r="AD418" s="391"/>
      <c r="AE418" s="391"/>
    </row>
    <row r="419">
      <c r="A419" s="391"/>
      <c r="B419" s="391"/>
      <c r="C419" s="391"/>
      <c r="D419" s="391"/>
      <c r="E419" s="391"/>
      <c r="F419" s="391"/>
      <c r="G419" s="391"/>
      <c r="H419" s="391"/>
      <c r="I419" s="391"/>
      <c r="J419" s="391"/>
      <c r="K419" s="391"/>
      <c r="L419" s="391"/>
      <c r="M419" s="391"/>
      <c r="N419" s="391"/>
      <c r="O419" s="391"/>
      <c r="P419" s="391"/>
      <c r="Q419" s="391"/>
      <c r="R419" s="391"/>
      <c r="S419" s="391"/>
      <c r="T419" s="391"/>
      <c r="U419" s="391"/>
      <c r="V419" s="391"/>
      <c r="W419" s="391"/>
      <c r="X419" s="391"/>
      <c r="Y419" s="391"/>
      <c r="Z419" s="391"/>
      <c r="AA419" s="391"/>
      <c r="AB419" s="391"/>
      <c r="AC419" s="391"/>
      <c r="AD419" s="391"/>
      <c r="AE419" s="391"/>
    </row>
    <row r="420">
      <c r="A420" s="391"/>
      <c r="B420" s="391"/>
      <c r="C420" s="391"/>
      <c r="D420" s="391"/>
      <c r="E420" s="391"/>
      <c r="F420" s="391"/>
      <c r="G420" s="391"/>
      <c r="H420" s="391"/>
      <c r="I420" s="391"/>
      <c r="J420" s="391"/>
      <c r="K420" s="391"/>
      <c r="L420" s="391"/>
      <c r="M420" s="391"/>
      <c r="N420" s="391"/>
      <c r="O420" s="391"/>
      <c r="P420" s="391"/>
      <c r="Q420" s="391"/>
      <c r="R420" s="391"/>
      <c r="S420" s="391"/>
      <c r="T420" s="391"/>
      <c r="U420" s="391"/>
      <c r="V420" s="391"/>
      <c r="W420" s="391"/>
      <c r="X420" s="391"/>
      <c r="Y420" s="391"/>
      <c r="Z420" s="391"/>
      <c r="AA420" s="391"/>
      <c r="AB420" s="391"/>
      <c r="AC420" s="391"/>
      <c r="AD420" s="391"/>
      <c r="AE420" s="391"/>
    </row>
    <row r="421">
      <c r="A421" s="391"/>
      <c r="B421" s="391"/>
      <c r="C421" s="391"/>
      <c r="D421" s="391"/>
      <c r="E421" s="391"/>
      <c r="F421" s="391"/>
      <c r="G421" s="391"/>
      <c r="H421" s="391"/>
      <c r="I421" s="391"/>
      <c r="J421" s="391"/>
      <c r="K421" s="391"/>
      <c r="L421" s="391"/>
      <c r="M421" s="391"/>
      <c r="N421" s="391"/>
      <c r="O421" s="391"/>
      <c r="P421" s="391"/>
      <c r="Q421" s="391"/>
      <c r="R421" s="391"/>
      <c r="S421" s="391"/>
      <c r="T421" s="391"/>
      <c r="U421" s="391"/>
      <c r="V421" s="391"/>
      <c r="W421" s="391"/>
      <c r="X421" s="391"/>
      <c r="Y421" s="391"/>
      <c r="Z421" s="391"/>
      <c r="AA421" s="391"/>
      <c r="AB421" s="391"/>
      <c r="AC421" s="391"/>
      <c r="AD421" s="391"/>
      <c r="AE421" s="391"/>
    </row>
    <row r="422">
      <c r="A422" s="391"/>
      <c r="B422" s="391"/>
      <c r="C422" s="391"/>
      <c r="D422" s="391"/>
      <c r="E422" s="391"/>
      <c r="F422" s="391"/>
      <c r="G422" s="391"/>
      <c r="H422" s="391"/>
      <c r="I422" s="391"/>
      <c r="J422" s="391"/>
      <c r="K422" s="391"/>
      <c r="L422" s="391"/>
      <c r="M422" s="391"/>
      <c r="N422" s="391"/>
      <c r="O422" s="391"/>
      <c r="P422" s="391"/>
      <c r="Q422" s="391"/>
      <c r="R422" s="391"/>
      <c r="S422" s="391"/>
      <c r="T422" s="391"/>
      <c r="U422" s="391"/>
      <c r="V422" s="391"/>
      <c r="W422" s="391"/>
      <c r="X422" s="391"/>
      <c r="Y422" s="391"/>
      <c r="Z422" s="391"/>
      <c r="AA422" s="391"/>
      <c r="AB422" s="391"/>
      <c r="AC422" s="391"/>
      <c r="AD422" s="391"/>
      <c r="AE422" s="391"/>
    </row>
    <row r="423">
      <c r="A423" s="391"/>
      <c r="B423" s="391"/>
      <c r="C423" s="391"/>
      <c r="D423" s="391"/>
      <c r="E423" s="391"/>
      <c r="F423" s="391"/>
      <c r="G423" s="391"/>
      <c r="H423" s="391"/>
      <c r="I423" s="391"/>
      <c r="J423" s="391"/>
      <c r="K423" s="391"/>
      <c r="L423" s="391"/>
      <c r="M423" s="391"/>
      <c r="N423" s="391"/>
      <c r="O423" s="391"/>
      <c r="P423" s="391"/>
      <c r="Q423" s="391"/>
      <c r="R423" s="391"/>
      <c r="S423" s="391"/>
      <c r="T423" s="391"/>
      <c r="U423" s="391"/>
      <c r="V423" s="391"/>
      <c r="W423" s="391"/>
      <c r="X423" s="391"/>
      <c r="Y423" s="391"/>
      <c r="Z423" s="391"/>
      <c r="AA423" s="391"/>
      <c r="AB423" s="391"/>
      <c r="AC423" s="391"/>
      <c r="AD423" s="391"/>
      <c r="AE423" s="391"/>
    </row>
    <row r="424">
      <c r="A424" s="391"/>
      <c r="B424" s="391"/>
      <c r="C424" s="391"/>
      <c r="D424" s="391"/>
      <c r="E424" s="391"/>
      <c r="F424" s="391"/>
      <c r="G424" s="391"/>
      <c r="H424" s="391"/>
      <c r="I424" s="391"/>
      <c r="J424" s="391"/>
      <c r="K424" s="391"/>
      <c r="L424" s="391"/>
      <c r="M424" s="391"/>
      <c r="N424" s="391"/>
      <c r="O424" s="391"/>
      <c r="P424" s="391"/>
      <c r="Q424" s="391"/>
      <c r="R424" s="391"/>
      <c r="S424" s="391"/>
      <c r="T424" s="391"/>
      <c r="U424" s="391"/>
      <c r="V424" s="391"/>
      <c r="W424" s="391"/>
      <c r="X424" s="391"/>
      <c r="Y424" s="391"/>
      <c r="Z424" s="391"/>
      <c r="AA424" s="391"/>
      <c r="AB424" s="391"/>
      <c r="AC424" s="391"/>
      <c r="AD424" s="391"/>
      <c r="AE424" s="391"/>
    </row>
    <row r="425">
      <c r="A425" s="391"/>
      <c r="B425" s="391"/>
      <c r="C425" s="391"/>
      <c r="D425" s="391"/>
      <c r="E425" s="391"/>
      <c r="F425" s="391"/>
      <c r="G425" s="391"/>
      <c r="H425" s="391"/>
      <c r="I425" s="391"/>
      <c r="J425" s="391"/>
      <c r="K425" s="391"/>
      <c r="L425" s="391"/>
      <c r="M425" s="391"/>
      <c r="N425" s="391"/>
      <c r="O425" s="391"/>
      <c r="P425" s="391"/>
      <c r="Q425" s="391"/>
      <c r="R425" s="391"/>
      <c r="S425" s="391"/>
      <c r="T425" s="391"/>
      <c r="U425" s="391"/>
      <c r="V425" s="391"/>
      <c r="W425" s="391"/>
      <c r="X425" s="391"/>
      <c r="Y425" s="391"/>
      <c r="Z425" s="391"/>
      <c r="AA425" s="391"/>
      <c r="AB425" s="391"/>
      <c r="AC425" s="391"/>
      <c r="AD425" s="391"/>
      <c r="AE425" s="391"/>
    </row>
    <row r="426">
      <c r="A426" s="391"/>
      <c r="B426" s="391"/>
      <c r="C426" s="391"/>
      <c r="D426" s="391"/>
      <c r="E426" s="391"/>
      <c r="F426" s="391"/>
      <c r="G426" s="391"/>
      <c r="H426" s="391"/>
      <c r="I426" s="391"/>
      <c r="J426" s="391"/>
      <c r="K426" s="391"/>
      <c r="L426" s="391"/>
      <c r="M426" s="391"/>
      <c r="N426" s="391"/>
      <c r="O426" s="391"/>
      <c r="P426" s="391"/>
      <c r="Q426" s="391"/>
      <c r="R426" s="391"/>
      <c r="S426" s="391"/>
      <c r="T426" s="391"/>
      <c r="U426" s="391"/>
      <c r="V426" s="391"/>
      <c r="W426" s="391"/>
      <c r="X426" s="391"/>
      <c r="Y426" s="391"/>
      <c r="Z426" s="391"/>
      <c r="AA426" s="391"/>
      <c r="AB426" s="391"/>
      <c r="AC426" s="391"/>
      <c r="AD426" s="391"/>
      <c r="AE426" s="391"/>
    </row>
    <row r="427">
      <c r="A427" s="391"/>
      <c r="B427" s="391"/>
      <c r="C427" s="391"/>
      <c r="D427" s="391"/>
      <c r="E427" s="391"/>
      <c r="F427" s="391"/>
      <c r="G427" s="391"/>
      <c r="H427" s="391"/>
      <c r="I427" s="391"/>
      <c r="J427" s="391"/>
      <c r="K427" s="391"/>
      <c r="L427" s="391"/>
      <c r="M427" s="391"/>
      <c r="N427" s="391"/>
      <c r="O427" s="391"/>
      <c r="P427" s="391"/>
      <c r="Q427" s="391"/>
      <c r="R427" s="391"/>
      <c r="S427" s="391"/>
      <c r="T427" s="391"/>
      <c r="U427" s="391"/>
      <c r="V427" s="391"/>
      <c r="W427" s="391"/>
      <c r="X427" s="391"/>
      <c r="Y427" s="391"/>
      <c r="Z427" s="391"/>
      <c r="AA427" s="391"/>
      <c r="AB427" s="391"/>
      <c r="AC427" s="391"/>
      <c r="AD427" s="391"/>
      <c r="AE427" s="391"/>
    </row>
    <row r="428">
      <c r="A428" s="391"/>
      <c r="B428" s="391"/>
      <c r="C428" s="391"/>
      <c r="D428" s="391"/>
      <c r="E428" s="391"/>
      <c r="F428" s="391"/>
      <c r="G428" s="391"/>
      <c r="H428" s="391"/>
      <c r="I428" s="391"/>
      <c r="J428" s="391"/>
      <c r="K428" s="391"/>
      <c r="L428" s="391"/>
      <c r="M428" s="391"/>
      <c r="N428" s="391"/>
      <c r="O428" s="391"/>
      <c r="P428" s="391"/>
      <c r="Q428" s="391"/>
      <c r="R428" s="391"/>
      <c r="S428" s="391"/>
      <c r="T428" s="391"/>
      <c r="U428" s="391"/>
      <c r="V428" s="391"/>
      <c r="W428" s="391"/>
      <c r="X428" s="391"/>
      <c r="Y428" s="391"/>
      <c r="Z428" s="391"/>
      <c r="AA428" s="391"/>
      <c r="AB428" s="391"/>
      <c r="AC428" s="391"/>
      <c r="AD428" s="391"/>
      <c r="AE428" s="391"/>
    </row>
    <row r="429">
      <c r="A429" s="391"/>
      <c r="B429" s="391"/>
      <c r="C429" s="391"/>
      <c r="D429" s="391"/>
      <c r="E429" s="391"/>
      <c r="F429" s="391"/>
      <c r="G429" s="391"/>
      <c r="H429" s="391"/>
      <c r="I429" s="391"/>
      <c r="J429" s="391"/>
      <c r="K429" s="391"/>
      <c r="L429" s="391"/>
      <c r="M429" s="391"/>
      <c r="N429" s="391"/>
      <c r="O429" s="391"/>
      <c r="P429" s="391"/>
      <c r="Q429" s="391"/>
      <c r="R429" s="391"/>
      <c r="S429" s="391"/>
      <c r="T429" s="391"/>
      <c r="U429" s="391"/>
      <c r="V429" s="391"/>
      <c r="W429" s="391"/>
      <c r="X429" s="391"/>
      <c r="Y429" s="391"/>
      <c r="Z429" s="391"/>
      <c r="AA429" s="391"/>
      <c r="AB429" s="391"/>
      <c r="AC429" s="391"/>
      <c r="AD429" s="391"/>
      <c r="AE429" s="391"/>
    </row>
    <row r="430">
      <c r="A430" s="391"/>
      <c r="B430" s="391"/>
      <c r="C430" s="391"/>
      <c r="D430" s="391"/>
      <c r="E430" s="391"/>
      <c r="F430" s="391"/>
      <c r="G430" s="391"/>
      <c r="H430" s="391"/>
      <c r="I430" s="391"/>
      <c r="J430" s="391"/>
      <c r="K430" s="391"/>
      <c r="L430" s="391"/>
      <c r="M430" s="391"/>
      <c r="N430" s="391"/>
      <c r="O430" s="391"/>
      <c r="P430" s="391"/>
      <c r="Q430" s="391"/>
      <c r="R430" s="391"/>
      <c r="S430" s="391"/>
      <c r="T430" s="391"/>
      <c r="U430" s="391"/>
      <c r="V430" s="391"/>
      <c r="W430" s="391"/>
      <c r="X430" s="391"/>
      <c r="Y430" s="391"/>
      <c r="Z430" s="391"/>
      <c r="AA430" s="391"/>
      <c r="AB430" s="391"/>
      <c r="AC430" s="391"/>
      <c r="AD430" s="391"/>
      <c r="AE430" s="391"/>
    </row>
    <row r="431">
      <c r="A431" s="391"/>
      <c r="B431" s="391"/>
      <c r="C431" s="391"/>
      <c r="D431" s="391"/>
      <c r="E431" s="391"/>
      <c r="F431" s="391"/>
      <c r="G431" s="391"/>
      <c r="H431" s="391"/>
      <c r="I431" s="391"/>
      <c r="J431" s="391"/>
      <c r="K431" s="391"/>
      <c r="L431" s="391"/>
      <c r="M431" s="391"/>
      <c r="N431" s="391"/>
      <c r="O431" s="391"/>
      <c r="P431" s="391"/>
      <c r="Q431" s="391"/>
      <c r="R431" s="391"/>
      <c r="S431" s="391"/>
      <c r="T431" s="391"/>
      <c r="U431" s="391"/>
      <c r="V431" s="391"/>
      <c r="W431" s="391"/>
      <c r="X431" s="391"/>
      <c r="Y431" s="391"/>
      <c r="Z431" s="391"/>
      <c r="AA431" s="391"/>
      <c r="AB431" s="391"/>
      <c r="AC431" s="391"/>
      <c r="AD431" s="391"/>
      <c r="AE431" s="391"/>
    </row>
    <row r="432">
      <c r="A432" s="391"/>
      <c r="B432" s="391"/>
      <c r="C432" s="391"/>
      <c r="D432" s="391"/>
      <c r="E432" s="391"/>
      <c r="F432" s="391"/>
      <c r="G432" s="391"/>
      <c r="H432" s="391"/>
      <c r="I432" s="391"/>
      <c r="J432" s="391"/>
      <c r="K432" s="391"/>
      <c r="L432" s="391"/>
      <c r="M432" s="391"/>
      <c r="N432" s="391"/>
      <c r="O432" s="391"/>
      <c r="P432" s="391"/>
      <c r="Q432" s="391"/>
      <c r="R432" s="391"/>
      <c r="S432" s="391"/>
      <c r="T432" s="391"/>
      <c r="U432" s="391"/>
      <c r="V432" s="391"/>
      <c r="W432" s="391"/>
      <c r="X432" s="391"/>
      <c r="Y432" s="391"/>
      <c r="Z432" s="391"/>
      <c r="AA432" s="391"/>
      <c r="AB432" s="391"/>
      <c r="AC432" s="391"/>
      <c r="AD432" s="391"/>
      <c r="AE432" s="391"/>
    </row>
    <row r="433">
      <c r="A433" s="391"/>
      <c r="B433" s="391"/>
      <c r="C433" s="391"/>
      <c r="D433" s="391"/>
      <c r="E433" s="391"/>
      <c r="F433" s="391"/>
      <c r="G433" s="391"/>
      <c r="H433" s="391"/>
      <c r="I433" s="391"/>
      <c r="J433" s="391"/>
      <c r="K433" s="391"/>
      <c r="L433" s="391"/>
      <c r="M433" s="391"/>
      <c r="N433" s="391"/>
      <c r="O433" s="391"/>
      <c r="P433" s="391"/>
      <c r="Q433" s="391"/>
      <c r="R433" s="391"/>
      <c r="S433" s="391"/>
      <c r="T433" s="391"/>
      <c r="U433" s="391"/>
      <c r="V433" s="391"/>
      <c r="W433" s="391"/>
      <c r="X433" s="391"/>
      <c r="Y433" s="391"/>
      <c r="Z433" s="391"/>
      <c r="AA433" s="391"/>
      <c r="AB433" s="391"/>
      <c r="AC433" s="391"/>
      <c r="AD433" s="391"/>
      <c r="AE433" s="391"/>
    </row>
    <row r="434">
      <c r="A434" s="391"/>
      <c r="B434" s="391"/>
      <c r="C434" s="391"/>
      <c r="D434" s="391"/>
      <c r="E434" s="391"/>
      <c r="F434" s="391"/>
      <c r="G434" s="391"/>
      <c r="H434" s="391"/>
      <c r="I434" s="391"/>
      <c r="J434" s="391"/>
      <c r="K434" s="391"/>
      <c r="L434" s="391"/>
      <c r="M434" s="391"/>
      <c r="N434" s="391"/>
      <c r="O434" s="391"/>
      <c r="P434" s="391"/>
      <c r="Q434" s="391"/>
      <c r="R434" s="391"/>
      <c r="S434" s="391"/>
      <c r="T434" s="391"/>
      <c r="U434" s="391"/>
      <c r="V434" s="391"/>
      <c r="W434" s="391"/>
      <c r="X434" s="391"/>
      <c r="Y434" s="391"/>
      <c r="Z434" s="391"/>
      <c r="AA434" s="391"/>
      <c r="AB434" s="391"/>
      <c r="AC434" s="391"/>
      <c r="AD434" s="391"/>
      <c r="AE434" s="391"/>
    </row>
    <row r="435">
      <c r="A435" s="391"/>
      <c r="B435" s="391"/>
      <c r="C435" s="391"/>
      <c r="D435" s="391"/>
      <c r="E435" s="391"/>
      <c r="F435" s="391"/>
      <c r="G435" s="391"/>
      <c r="H435" s="391"/>
      <c r="I435" s="391"/>
      <c r="J435" s="391"/>
      <c r="K435" s="391"/>
      <c r="L435" s="391"/>
      <c r="M435" s="391"/>
      <c r="N435" s="391"/>
      <c r="O435" s="391"/>
      <c r="P435" s="391"/>
      <c r="Q435" s="391"/>
      <c r="R435" s="391"/>
      <c r="S435" s="391"/>
      <c r="T435" s="391"/>
      <c r="U435" s="391"/>
      <c r="V435" s="391"/>
      <c r="W435" s="391"/>
      <c r="X435" s="391"/>
      <c r="Y435" s="391"/>
      <c r="Z435" s="391"/>
      <c r="AA435" s="391"/>
      <c r="AB435" s="391"/>
      <c r="AC435" s="391"/>
      <c r="AD435" s="391"/>
      <c r="AE435" s="391"/>
    </row>
    <row r="436">
      <c r="A436" s="391"/>
      <c r="B436" s="391"/>
      <c r="C436" s="391"/>
      <c r="D436" s="391"/>
      <c r="E436" s="391"/>
      <c r="F436" s="391"/>
      <c r="G436" s="391"/>
      <c r="H436" s="391"/>
      <c r="I436" s="391"/>
      <c r="J436" s="391"/>
      <c r="K436" s="391"/>
      <c r="L436" s="391"/>
      <c r="M436" s="391"/>
      <c r="N436" s="391"/>
      <c r="O436" s="391"/>
      <c r="P436" s="391"/>
      <c r="Q436" s="391"/>
      <c r="R436" s="391"/>
      <c r="S436" s="391"/>
      <c r="T436" s="391"/>
      <c r="U436" s="391"/>
      <c r="V436" s="391"/>
      <c r="W436" s="391"/>
      <c r="X436" s="391"/>
      <c r="Y436" s="391"/>
      <c r="Z436" s="391"/>
      <c r="AA436" s="391"/>
      <c r="AB436" s="391"/>
      <c r="AC436" s="391"/>
      <c r="AD436" s="391"/>
      <c r="AE436" s="391"/>
    </row>
    <row r="437">
      <c r="A437" s="391"/>
      <c r="B437" s="391"/>
      <c r="C437" s="391"/>
      <c r="D437" s="391"/>
      <c r="E437" s="391"/>
      <c r="F437" s="391"/>
      <c r="G437" s="391"/>
      <c r="H437" s="391"/>
      <c r="I437" s="391"/>
      <c r="J437" s="391"/>
      <c r="K437" s="391"/>
      <c r="L437" s="391"/>
      <c r="M437" s="391"/>
      <c r="N437" s="391"/>
      <c r="O437" s="391"/>
      <c r="P437" s="391"/>
      <c r="Q437" s="391"/>
      <c r="R437" s="391"/>
      <c r="S437" s="391"/>
      <c r="T437" s="391"/>
      <c r="U437" s="391"/>
      <c r="V437" s="391"/>
      <c r="W437" s="391"/>
      <c r="X437" s="391"/>
      <c r="Y437" s="391"/>
      <c r="Z437" s="391"/>
      <c r="AA437" s="391"/>
      <c r="AB437" s="391"/>
      <c r="AC437" s="391"/>
      <c r="AD437" s="391"/>
      <c r="AE437" s="391"/>
    </row>
    <row r="438">
      <c r="A438" s="391"/>
      <c r="B438" s="391"/>
      <c r="C438" s="391"/>
      <c r="D438" s="391"/>
      <c r="E438" s="391"/>
      <c r="F438" s="391"/>
      <c r="G438" s="391"/>
      <c r="H438" s="391"/>
      <c r="I438" s="391"/>
      <c r="J438" s="391"/>
      <c r="K438" s="391"/>
      <c r="L438" s="391"/>
      <c r="M438" s="391"/>
      <c r="N438" s="391"/>
      <c r="O438" s="391"/>
      <c r="P438" s="391"/>
      <c r="Q438" s="391"/>
      <c r="R438" s="391"/>
      <c r="S438" s="391"/>
      <c r="T438" s="391"/>
      <c r="U438" s="391"/>
      <c r="V438" s="391"/>
      <c r="W438" s="391"/>
      <c r="X438" s="391"/>
      <c r="Y438" s="391"/>
      <c r="Z438" s="391"/>
      <c r="AA438" s="391"/>
      <c r="AB438" s="391"/>
      <c r="AC438" s="391"/>
      <c r="AD438" s="391"/>
      <c r="AE438" s="391"/>
    </row>
    <row r="439">
      <c r="A439" s="391"/>
      <c r="B439" s="391"/>
      <c r="C439" s="391"/>
      <c r="D439" s="391"/>
      <c r="E439" s="391"/>
      <c r="F439" s="391"/>
      <c r="G439" s="391"/>
      <c r="H439" s="391"/>
      <c r="I439" s="391"/>
      <c r="J439" s="391"/>
      <c r="K439" s="391"/>
      <c r="L439" s="391"/>
      <c r="M439" s="391"/>
      <c r="N439" s="391"/>
      <c r="O439" s="391"/>
      <c r="P439" s="391"/>
      <c r="Q439" s="391"/>
      <c r="R439" s="391"/>
      <c r="S439" s="391"/>
      <c r="T439" s="391"/>
      <c r="U439" s="391"/>
      <c r="V439" s="391"/>
      <c r="W439" s="391"/>
      <c r="X439" s="391"/>
      <c r="Y439" s="391"/>
      <c r="Z439" s="391"/>
      <c r="AA439" s="391"/>
      <c r="AB439" s="391"/>
      <c r="AC439" s="391"/>
      <c r="AD439" s="391"/>
      <c r="AE439" s="391"/>
    </row>
    <row r="440">
      <c r="A440" s="391"/>
      <c r="B440" s="391"/>
      <c r="C440" s="391"/>
      <c r="D440" s="391"/>
      <c r="E440" s="391"/>
      <c r="F440" s="391"/>
      <c r="G440" s="391"/>
      <c r="H440" s="391"/>
      <c r="I440" s="391"/>
      <c r="J440" s="391"/>
      <c r="K440" s="391"/>
      <c r="L440" s="391"/>
      <c r="M440" s="391"/>
      <c r="N440" s="391"/>
      <c r="O440" s="391"/>
      <c r="P440" s="391"/>
      <c r="Q440" s="391"/>
      <c r="R440" s="391"/>
      <c r="S440" s="391"/>
      <c r="T440" s="391"/>
      <c r="U440" s="391"/>
      <c r="V440" s="391"/>
      <c r="W440" s="391"/>
      <c r="X440" s="391"/>
      <c r="Y440" s="391"/>
      <c r="Z440" s="391"/>
      <c r="AA440" s="391"/>
      <c r="AB440" s="391"/>
      <c r="AC440" s="391"/>
      <c r="AD440" s="391"/>
      <c r="AE440" s="391"/>
    </row>
    <row r="441">
      <c r="A441" s="391"/>
      <c r="B441" s="391"/>
      <c r="C441" s="391"/>
      <c r="D441" s="391"/>
      <c r="E441" s="391"/>
      <c r="F441" s="391"/>
      <c r="G441" s="391"/>
      <c r="H441" s="391"/>
      <c r="I441" s="391"/>
      <c r="J441" s="391"/>
      <c r="K441" s="391"/>
      <c r="L441" s="391"/>
      <c r="M441" s="391"/>
      <c r="N441" s="391"/>
      <c r="O441" s="391"/>
      <c r="P441" s="391"/>
      <c r="Q441" s="391"/>
      <c r="R441" s="391"/>
      <c r="S441" s="391"/>
      <c r="T441" s="391"/>
      <c r="U441" s="391"/>
      <c r="V441" s="391"/>
      <c r="W441" s="391"/>
      <c r="X441" s="391"/>
      <c r="Y441" s="391"/>
      <c r="Z441" s="391"/>
      <c r="AA441" s="391"/>
      <c r="AB441" s="391"/>
      <c r="AC441" s="391"/>
      <c r="AD441" s="391"/>
      <c r="AE441" s="391"/>
    </row>
    <row r="442">
      <c r="A442" s="391"/>
      <c r="B442" s="391"/>
      <c r="C442" s="391"/>
      <c r="D442" s="391"/>
      <c r="E442" s="391"/>
      <c r="F442" s="391"/>
      <c r="G442" s="391"/>
      <c r="H442" s="391"/>
      <c r="I442" s="391"/>
      <c r="J442" s="391"/>
      <c r="K442" s="391"/>
      <c r="L442" s="391"/>
      <c r="M442" s="391"/>
      <c r="N442" s="391"/>
      <c r="O442" s="391"/>
      <c r="P442" s="391"/>
      <c r="Q442" s="391"/>
      <c r="R442" s="391"/>
      <c r="S442" s="391"/>
      <c r="T442" s="391"/>
      <c r="U442" s="391"/>
      <c r="V442" s="391"/>
      <c r="W442" s="391"/>
      <c r="X442" s="391"/>
      <c r="Y442" s="391"/>
      <c r="Z442" s="391"/>
      <c r="AA442" s="391"/>
      <c r="AB442" s="391"/>
      <c r="AC442" s="391"/>
      <c r="AD442" s="391"/>
      <c r="AE442" s="391"/>
    </row>
    <row r="443">
      <c r="A443" s="391"/>
      <c r="B443" s="391"/>
      <c r="C443" s="391"/>
      <c r="D443" s="391"/>
      <c r="E443" s="391"/>
      <c r="F443" s="391"/>
      <c r="G443" s="391"/>
      <c r="H443" s="391"/>
      <c r="I443" s="391"/>
      <c r="J443" s="391"/>
      <c r="K443" s="391"/>
      <c r="L443" s="391"/>
      <c r="M443" s="391"/>
      <c r="N443" s="391"/>
      <c r="O443" s="391"/>
      <c r="P443" s="391"/>
      <c r="Q443" s="391"/>
      <c r="R443" s="391"/>
      <c r="S443" s="391"/>
      <c r="T443" s="391"/>
      <c r="U443" s="391"/>
      <c r="V443" s="391"/>
      <c r="W443" s="391"/>
      <c r="X443" s="391"/>
      <c r="Y443" s="391"/>
      <c r="Z443" s="391"/>
      <c r="AA443" s="391"/>
      <c r="AB443" s="391"/>
      <c r="AC443" s="391"/>
      <c r="AD443" s="391"/>
      <c r="AE443" s="391"/>
    </row>
    <row r="444">
      <c r="A444" s="391"/>
      <c r="B444" s="391"/>
      <c r="C444" s="391"/>
      <c r="D444" s="391"/>
      <c r="E444" s="391"/>
      <c r="F444" s="391"/>
      <c r="G444" s="391"/>
      <c r="H444" s="391"/>
      <c r="I444" s="391"/>
      <c r="J444" s="391"/>
      <c r="K444" s="391"/>
      <c r="L444" s="391"/>
      <c r="M444" s="391"/>
      <c r="N444" s="391"/>
      <c r="O444" s="391"/>
      <c r="P444" s="391"/>
      <c r="Q444" s="391"/>
      <c r="R444" s="391"/>
      <c r="S444" s="391"/>
      <c r="T444" s="391"/>
      <c r="U444" s="391"/>
      <c r="V444" s="391"/>
      <c r="W444" s="391"/>
      <c r="X444" s="391"/>
      <c r="Y444" s="391"/>
      <c r="Z444" s="391"/>
      <c r="AA444" s="391"/>
      <c r="AB444" s="391"/>
      <c r="AC444" s="391"/>
      <c r="AD444" s="391"/>
      <c r="AE444" s="391"/>
    </row>
    <row r="445">
      <c r="A445" s="391"/>
      <c r="B445" s="391"/>
      <c r="C445" s="391"/>
      <c r="D445" s="391"/>
      <c r="E445" s="391"/>
      <c r="F445" s="391"/>
      <c r="G445" s="391"/>
      <c r="H445" s="391"/>
      <c r="I445" s="391"/>
      <c r="J445" s="391"/>
      <c r="K445" s="391"/>
      <c r="L445" s="391"/>
      <c r="M445" s="391"/>
      <c r="N445" s="391"/>
      <c r="O445" s="391"/>
      <c r="P445" s="391"/>
      <c r="Q445" s="391"/>
      <c r="R445" s="391"/>
      <c r="S445" s="391"/>
      <c r="T445" s="391"/>
      <c r="U445" s="391"/>
      <c r="V445" s="391"/>
      <c r="W445" s="391"/>
      <c r="X445" s="391"/>
      <c r="Y445" s="391"/>
      <c r="Z445" s="391"/>
      <c r="AA445" s="391"/>
      <c r="AB445" s="391"/>
      <c r="AC445" s="391"/>
      <c r="AD445" s="391"/>
      <c r="AE445" s="391"/>
    </row>
    <row r="446">
      <c r="A446" s="391"/>
      <c r="B446" s="391"/>
      <c r="C446" s="391"/>
      <c r="D446" s="391"/>
      <c r="E446" s="391"/>
      <c r="F446" s="391"/>
      <c r="G446" s="391"/>
      <c r="H446" s="391"/>
      <c r="I446" s="391"/>
      <c r="J446" s="391"/>
      <c r="K446" s="391"/>
      <c r="L446" s="391"/>
      <c r="M446" s="391"/>
      <c r="N446" s="391"/>
      <c r="O446" s="391"/>
      <c r="P446" s="391"/>
      <c r="Q446" s="391"/>
      <c r="R446" s="391"/>
      <c r="S446" s="391"/>
      <c r="T446" s="391"/>
      <c r="U446" s="391"/>
      <c r="V446" s="391"/>
      <c r="W446" s="391"/>
      <c r="X446" s="391"/>
      <c r="Y446" s="391"/>
      <c r="Z446" s="391"/>
      <c r="AA446" s="391"/>
      <c r="AB446" s="391"/>
      <c r="AC446" s="391"/>
      <c r="AD446" s="391"/>
      <c r="AE446" s="391"/>
    </row>
    <row r="447">
      <c r="A447" s="391"/>
      <c r="B447" s="391"/>
      <c r="C447" s="391"/>
      <c r="D447" s="391"/>
      <c r="E447" s="391"/>
      <c r="F447" s="391"/>
      <c r="G447" s="391"/>
      <c r="H447" s="391"/>
      <c r="I447" s="391"/>
      <c r="J447" s="391"/>
      <c r="K447" s="391"/>
      <c r="L447" s="391"/>
      <c r="M447" s="391"/>
      <c r="N447" s="391"/>
      <c r="O447" s="391"/>
      <c r="P447" s="391"/>
      <c r="Q447" s="391"/>
      <c r="R447" s="391"/>
      <c r="S447" s="391"/>
      <c r="T447" s="391"/>
      <c r="U447" s="391"/>
      <c r="V447" s="391"/>
      <c r="W447" s="391"/>
      <c r="X447" s="391"/>
      <c r="Y447" s="391"/>
      <c r="Z447" s="391"/>
      <c r="AA447" s="391"/>
      <c r="AB447" s="391"/>
      <c r="AC447" s="391"/>
      <c r="AD447" s="391"/>
      <c r="AE447" s="391"/>
    </row>
    <row r="448">
      <c r="A448" s="391"/>
      <c r="B448" s="391"/>
      <c r="C448" s="391"/>
      <c r="D448" s="391"/>
      <c r="E448" s="391"/>
      <c r="F448" s="391"/>
      <c r="G448" s="391"/>
      <c r="H448" s="391"/>
      <c r="I448" s="391"/>
      <c r="J448" s="391"/>
      <c r="K448" s="391"/>
      <c r="L448" s="391"/>
      <c r="M448" s="391"/>
      <c r="N448" s="391"/>
      <c r="O448" s="391"/>
      <c r="P448" s="391"/>
      <c r="Q448" s="391"/>
      <c r="R448" s="391"/>
      <c r="S448" s="391"/>
      <c r="T448" s="391"/>
      <c r="U448" s="391"/>
      <c r="V448" s="391"/>
      <c r="W448" s="391"/>
      <c r="X448" s="391"/>
      <c r="Y448" s="391"/>
      <c r="Z448" s="391"/>
      <c r="AA448" s="391"/>
      <c r="AB448" s="391"/>
      <c r="AC448" s="391"/>
      <c r="AD448" s="391"/>
      <c r="AE448" s="391"/>
    </row>
    <row r="449">
      <c r="A449" s="391"/>
      <c r="B449" s="391"/>
      <c r="C449" s="391"/>
      <c r="D449" s="391"/>
      <c r="E449" s="391"/>
      <c r="F449" s="391"/>
      <c r="G449" s="391"/>
      <c r="H449" s="391"/>
      <c r="I449" s="391"/>
      <c r="J449" s="391"/>
      <c r="K449" s="391"/>
      <c r="L449" s="391"/>
      <c r="M449" s="391"/>
      <c r="N449" s="391"/>
      <c r="O449" s="391"/>
      <c r="P449" s="391"/>
      <c r="Q449" s="391"/>
      <c r="R449" s="391"/>
      <c r="S449" s="391"/>
      <c r="T449" s="391"/>
      <c r="U449" s="391"/>
      <c r="V449" s="391"/>
      <c r="W449" s="391"/>
      <c r="X449" s="391"/>
      <c r="Y449" s="391"/>
      <c r="Z449" s="391"/>
      <c r="AA449" s="391"/>
      <c r="AB449" s="391"/>
      <c r="AC449" s="391"/>
      <c r="AD449" s="391"/>
      <c r="AE449" s="391"/>
    </row>
    <row r="450">
      <c r="A450" s="391"/>
      <c r="B450" s="391"/>
      <c r="C450" s="391"/>
      <c r="D450" s="391"/>
      <c r="E450" s="391"/>
      <c r="F450" s="391"/>
      <c r="G450" s="391"/>
      <c r="H450" s="391"/>
      <c r="I450" s="391"/>
      <c r="J450" s="391"/>
      <c r="K450" s="391"/>
      <c r="L450" s="391"/>
      <c r="M450" s="391"/>
      <c r="N450" s="391"/>
      <c r="O450" s="391"/>
      <c r="P450" s="391"/>
      <c r="Q450" s="391"/>
      <c r="R450" s="391"/>
      <c r="S450" s="391"/>
      <c r="T450" s="391"/>
      <c r="U450" s="391"/>
      <c r="V450" s="391"/>
      <c r="W450" s="391"/>
      <c r="X450" s="391"/>
      <c r="Y450" s="391"/>
      <c r="Z450" s="391"/>
      <c r="AA450" s="391"/>
      <c r="AB450" s="391"/>
      <c r="AC450" s="391"/>
      <c r="AD450" s="391"/>
      <c r="AE450" s="391"/>
    </row>
    <row r="451">
      <c r="A451" s="391"/>
      <c r="B451" s="391"/>
      <c r="C451" s="391"/>
      <c r="D451" s="391"/>
      <c r="E451" s="391"/>
      <c r="F451" s="391"/>
      <c r="G451" s="391"/>
      <c r="H451" s="391"/>
      <c r="I451" s="391"/>
      <c r="J451" s="391"/>
      <c r="K451" s="391"/>
      <c r="L451" s="391"/>
      <c r="M451" s="391"/>
      <c r="N451" s="391"/>
      <c r="O451" s="391"/>
      <c r="P451" s="391"/>
      <c r="Q451" s="391"/>
      <c r="R451" s="391"/>
      <c r="S451" s="391"/>
      <c r="T451" s="391"/>
      <c r="U451" s="391"/>
      <c r="V451" s="391"/>
      <c r="W451" s="391"/>
      <c r="X451" s="391"/>
      <c r="Y451" s="391"/>
      <c r="Z451" s="391"/>
      <c r="AA451" s="391"/>
      <c r="AB451" s="391"/>
      <c r="AC451" s="391"/>
      <c r="AD451" s="391"/>
      <c r="AE451" s="391"/>
    </row>
    <row r="452">
      <c r="A452" s="391"/>
      <c r="B452" s="391"/>
      <c r="C452" s="391"/>
      <c r="D452" s="391"/>
      <c r="E452" s="391"/>
      <c r="F452" s="391"/>
      <c r="G452" s="391"/>
      <c r="H452" s="391"/>
      <c r="I452" s="391"/>
      <c r="J452" s="391"/>
      <c r="K452" s="391"/>
      <c r="L452" s="391"/>
      <c r="M452" s="391"/>
      <c r="N452" s="391"/>
      <c r="O452" s="391"/>
      <c r="P452" s="391"/>
      <c r="Q452" s="391"/>
      <c r="R452" s="391"/>
      <c r="S452" s="391"/>
      <c r="T452" s="391"/>
      <c r="U452" s="391"/>
      <c r="V452" s="391"/>
      <c r="W452" s="391"/>
      <c r="X452" s="391"/>
      <c r="Y452" s="391"/>
      <c r="Z452" s="391"/>
      <c r="AA452" s="391"/>
      <c r="AB452" s="391"/>
      <c r="AC452" s="391"/>
      <c r="AD452" s="391"/>
      <c r="AE452" s="391"/>
    </row>
    <row r="453">
      <c r="A453" s="391"/>
      <c r="B453" s="391"/>
      <c r="C453" s="391"/>
      <c r="D453" s="391"/>
      <c r="E453" s="391"/>
      <c r="F453" s="391"/>
      <c r="G453" s="391"/>
      <c r="H453" s="391"/>
      <c r="I453" s="391"/>
      <c r="J453" s="391"/>
      <c r="K453" s="391"/>
      <c r="L453" s="391"/>
      <c r="M453" s="391"/>
      <c r="N453" s="391"/>
      <c r="O453" s="391"/>
      <c r="P453" s="391"/>
      <c r="Q453" s="391"/>
      <c r="R453" s="391"/>
      <c r="S453" s="391"/>
      <c r="T453" s="391"/>
      <c r="U453" s="391"/>
      <c r="V453" s="391"/>
      <c r="W453" s="391"/>
      <c r="X453" s="391"/>
      <c r="Y453" s="391"/>
      <c r="Z453" s="391"/>
      <c r="AA453" s="391"/>
      <c r="AB453" s="391"/>
      <c r="AC453" s="391"/>
      <c r="AD453" s="391"/>
      <c r="AE453" s="391"/>
    </row>
    <row r="454">
      <c r="A454" s="391"/>
      <c r="B454" s="391"/>
      <c r="C454" s="391"/>
      <c r="D454" s="391"/>
      <c r="E454" s="391"/>
      <c r="F454" s="391"/>
      <c r="G454" s="391"/>
      <c r="H454" s="391"/>
      <c r="I454" s="391"/>
      <c r="J454" s="391"/>
      <c r="K454" s="391"/>
      <c r="L454" s="391"/>
      <c r="M454" s="391"/>
      <c r="N454" s="391"/>
      <c r="O454" s="391"/>
      <c r="P454" s="391"/>
      <c r="Q454" s="391"/>
      <c r="R454" s="391"/>
      <c r="S454" s="391"/>
      <c r="T454" s="391"/>
      <c r="U454" s="391"/>
      <c r="V454" s="391"/>
      <c r="W454" s="391"/>
      <c r="X454" s="391"/>
      <c r="Y454" s="391"/>
      <c r="Z454" s="391"/>
      <c r="AA454" s="391"/>
      <c r="AB454" s="391"/>
      <c r="AC454" s="391"/>
      <c r="AD454" s="391"/>
      <c r="AE454" s="391"/>
    </row>
    <row r="455">
      <c r="A455" s="391"/>
      <c r="B455" s="391"/>
      <c r="C455" s="391"/>
      <c r="D455" s="391"/>
      <c r="E455" s="391"/>
      <c r="F455" s="391"/>
      <c r="G455" s="391"/>
      <c r="H455" s="391"/>
      <c r="I455" s="391"/>
      <c r="J455" s="391"/>
      <c r="K455" s="391"/>
      <c r="L455" s="391"/>
      <c r="M455" s="391"/>
      <c r="N455" s="391"/>
      <c r="O455" s="391"/>
      <c r="P455" s="391"/>
      <c r="Q455" s="391"/>
      <c r="R455" s="391"/>
      <c r="S455" s="391"/>
      <c r="T455" s="391"/>
      <c r="U455" s="391"/>
      <c r="V455" s="391"/>
      <c r="W455" s="391"/>
      <c r="X455" s="391"/>
      <c r="Y455" s="391"/>
      <c r="Z455" s="391"/>
      <c r="AA455" s="391"/>
      <c r="AB455" s="391"/>
      <c r="AC455" s="391"/>
      <c r="AD455" s="391"/>
      <c r="AE455" s="391"/>
    </row>
    <row r="456">
      <c r="A456" s="391"/>
      <c r="B456" s="391"/>
      <c r="C456" s="391"/>
      <c r="D456" s="391"/>
      <c r="E456" s="391"/>
      <c r="F456" s="391"/>
      <c r="G456" s="391"/>
      <c r="H456" s="391"/>
      <c r="I456" s="391"/>
      <c r="J456" s="391"/>
      <c r="K456" s="391"/>
      <c r="L456" s="391"/>
      <c r="M456" s="391"/>
      <c r="N456" s="391"/>
      <c r="O456" s="391"/>
      <c r="P456" s="391"/>
      <c r="Q456" s="391"/>
      <c r="R456" s="391"/>
      <c r="S456" s="391"/>
      <c r="T456" s="391"/>
      <c r="U456" s="391"/>
      <c r="V456" s="391"/>
      <c r="W456" s="391"/>
      <c r="X456" s="391"/>
      <c r="Y456" s="391"/>
      <c r="Z456" s="391"/>
      <c r="AA456" s="391"/>
      <c r="AB456" s="391"/>
      <c r="AC456" s="391"/>
      <c r="AD456" s="391"/>
      <c r="AE456" s="391"/>
    </row>
    <row r="457">
      <c r="A457" s="391"/>
      <c r="B457" s="391"/>
      <c r="C457" s="391"/>
      <c r="D457" s="391"/>
      <c r="E457" s="391"/>
      <c r="F457" s="391"/>
      <c r="G457" s="391"/>
      <c r="H457" s="391"/>
      <c r="I457" s="391"/>
      <c r="J457" s="391"/>
      <c r="K457" s="391"/>
      <c r="L457" s="391"/>
      <c r="M457" s="391"/>
      <c r="N457" s="391"/>
      <c r="O457" s="391"/>
      <c r="P457" s="391"/>
      <c r="Q457" s="391"/>
      <c r="R457" s="391"/>
      <c r="S457" s="391"/>
      <c r="T457" s="391"/>
      <c r="U457" s="391"/>
      <c r="V457" s="391"/>
      <c r="W457" s="391"/>
      <c r="X457" s="391"/>
      <c r="Y457" s="391"/>
      <c r="Z457" s="391"/>
      <c r="AA457" s="391"/>
      <c r="AB457" s="391"/>
      <c r="AC457" s="391"/>
      <c r="AD457" s="391"/>
      <c r="AE457" s="391"/>
    </row>
    <row r="458">
      <c r="A458" s="391"/>
      <c r="B458" s="391"/>
      <c r="C458" s="391"/>
      <c r="D458" s="391"/>
      <c r="E458" s="391"/>
      <c r="F458" s="391"/>
      <c r="G458" s="391"/>
      <c r="H458" s="391"/>
      <c r="I458" s="391"/>
      <c r="J458" s="391"/>
      <c r="K458" s="391"/>
      <c r="L458" s="391"/>
      <c r="M458" s="391"/>
      <c r="N458" s="391"/>
      <c r="O458" s="391"/>
      <c r="P458" s="391"/>
      <c r="Q458" s="391"/>
      <c r="R458" s="391"/>
      <c r="S458" s="391"/>
      <c r="T458" s="391"/>
      <c r="U458" s="391"/>
      <c r="V458" s="391"/>
      <c r="W458" s="391"/>
      <c r="X458" s="391"/>
      <c r="Y458" s="391"/>
      <c r="Z458" s="391"/>
      <c r="AA458" s="391"/>
      <c r="AB458" s="391"/>
      <c r="AC458" s="391"/>
      <c r="AD458" s="391"/>
      <c r="AE458" s="391"/>
    </row>
    <row r="459">
      <c r="A459" s="391"/>
      <c r="B459" s="391"/>
      <c r="C459" s="391"/>
      <c r="D459" s="391"/>
      <c r="E459" s="391"/>
      <c r="F459" s="391"/>
      <c r="G459" s="391"/>
      <c r="H459" s="391"/>
      <c r="I459" s="391"/>
      <c r="J459" s="391"/>
      <c r="K459" s="391"/>
      <c r="L459" s="391"/>
      <c r="M459" s="391"/>
      <c r="N459" s="391"/>
      <c r="O459" s="391"/>
      <c r="P459" s="391"/>
      <c r="Q459" s="391"/>
      <c r="R459" s="391"/>
      <c r="S459" s="391"/>
      <c r="T459" s="391"/>
      <c r="U459" s="391"/>
      <c r="V459" s="391"/>
      <c r="W459" s="391"/>
      <c r="X459" s="391"/>
      <c r="Y459" s="391"/>
      <c r="Z459" s="391"/>
      <c r="AA459" s="391"/>
      <c r="AB459" s="391"/>
      <c r="AC459" s="391"/>
      <c r="AD459" s="391"/>
      <c r="AE459" s="391"/>
    </row>
    <row r="460">
      <c r="A460" s="391"/>
      <c r="B460" s="391"/>
      <c r="C460" s="391"/>
      <c r="D460" s="391"/>
      <c r="E460" s="391"/>
      <c r="F460" s="391"/>
      <c r="G460" s="391"/>
      <c r="H460" s="391"/>
      <c r="I460" s="391"/>
      <c r="J460" s="391"/>
      <c r="K460" s="391"/>
      <c r="L460" s="391"/>
      <c r="M460" s="391"/>
      <c r="N460" s="391"/>
      <c r="O460" s="391"/>
      <c r="P460" s="391"/>
      <c r="Q460" s="391"/>
      <c r="R460" s="391"/>
      <c r="S460" s="391"/>
      <c r="T460" s="391"/>
      <c r="U460" s="391"/>
      <c r="V460" s="391"/>
      <c r="W460" s="391"/>
      <c r="X460" s="391"/>
      <c r="Y460" s="391"/>
      <c r="Z460" s="391"/>
      <c r="AA460" s="391"/>
      <c r="AB460" s="391"/>
      <c r="AC460" s="391"/>
      <c r="AD460" s="391"/>
      <c r="AE460" s="391"/>
    </row>
    <row r="461">
      <c r="A461" s="391"/>
      <c r="B461" s="391"/>
      <c r="C461" s="391"/>
      <c r="D461" s="391"/>
      <c r="E461" s="391"/>
      <c r="F461" s="391"/>
      <c r="G461" s="391"/>
      <c r="H461" s="391"/>
      <c r="I461" s="391"/>
      <c r="J461" s="391"/>
      <c r="K461" s="391"/>
      <c r="L461" s="391"/>
      <c r="M461" s="391"/>
      <c r="N461" s="391"/>
      <c r="O461" s="391"/>
      <c r="P461" s="391"/>
      <c r="Q461" s="391"/>
      <c r="R461" s="391"/>
      <c r="S461" s="391"/>
      <c r="T461" s="391"/>
      <c r="U461" s="391"/>
      <c r="V461" s="391"/>
      <c r="W461" s="391"/>
      <c r="X461" s="391"/>
      <c r="Y461" s="391"/>
      <c r="Z461" s="391"/>
      <c r="AA461" s="391"/>
      <c r="AB461" s="391"/>
      <c r="AC461" s="391"/>
      <c r="AD461" s="391"/>
      <c r="AE461" s="391"/>
    </row>
    <row r="462">
      <c r="A462" s="391"/>
      <c r="B462" s="391"/>
      <c r="C462" s="391"/>
      <c r="D462" s="391"/>
      <c r="E462" s="391"/>
      <c r="F462" s="391"/>
      <c r="G462" s="391"/>
      <c r="H462" s="391"/>
      <c r="I462" s="391"/>
      <c r="J462" s="391"/>
      <c r="K462" s="391"/>
      <c r="L462" s="391"/>
      <c r="M462" s="391"/>
      <c r="N462" s="391"/>
      <c r="O462" s="391"/>
      <c r="P462" s="391"/>
      <c r="Q462" s="391"/>
      <c r="R462" s="391"/>
      <c r="S462" s="391"/>
      <c r="T462" s="391"/>
      <c r="U462" s="391"/>
      <c r="V462" s="391"/>
      <c r="W462" s="391"/>
      <c r="X462" s="391"/>
      <c r="Y462" s="391"/>
      <c r="Z462" s="391"/>
      <c r="AA462" s="391"/>
      <c r="AB462" s="391"/>
      <c r="AC462" s="391"/>
      <c r="AD462" s="391"/>
      <c r="AE462" s="391"/>
    </row>
    <row r="463">
      <c r="A463" s="391"/>
      <c r="B463" s="391"/>
      <c r="C463" s="391"/>
      <c r="D463" s="391"/>
      <c r="E463" s="391"/>
      <c r="F463" s="391"/>
      <c r="G463" s="391"/>
      <c r="H463" s="391"/>
      <c r="I463" s="391"/>
      <c r="J463" s="391"/>
      <c r="K463" s="391"/>
      <c r="L463" s="391"/>
      <c r="M463" s="391"/>
      <c r="N463" s="391"/>
      <c r="O463" s="391"/>
      <c r="P463" s="391"/>
      <c r="Q463" s="391"/>
      <c r="R463" s="391"/>
      <c r="S463" s="391"/>
      <c r="T463" s="391"/>
      <c r="U463" s="391"/>
      <c r="V463" s="391"/>
      <c r="W463" s="391"/>
      <c r="X463" s="391"/>
      <c r="Y463" s="391"/>
      <c r="Z463" s="391"/>
      <c r="AA463" s="391"/>
      <c r="AB463" s="391"/>
      <c r="AC463" s="391"/>
      <c r="AD463" s="391"/>
      <c r="AE463" s="391"/>
    </row>
    <row r="464">
      <c r="A464" s="391"/>
      <c r="B464" s="391"/>
      <c r="C464" s="391"/>
      <c r="D464" s="391"/>
      <c r="E464" s="391"/>
      <c r="F464" s="391"/>
      <c r="G464" s="391"/>
      <c r="H464" s="391"/>
      <c r="I464" s="391"/>
      <c r="J464" s="391"/>
      <c r="K464" s="391"/>
      <c r="L464" s="391"/>
      <c r="M464" s="391"/>
      <c r="N464" s="391"/>
      <c r="O464" s="391"/>
      <c r="P464" s="391"/>
      <c r="Q464" s="391"/>
      <c r="R464" s="391"/>
      <c r="S464" s="391"/>
      <c r="T464" s="391"/>
      <c r="U464" s="391"/>
      <c r="V464" s="391"/>
      <c r="W464" s="391"/>
      <c r="X464" s="391"/>
      <c r="Y464" s="391"/>
      <c r="Z464" s="391"/>
      <c r="AA464" s="391"/>
      <c r="AB464" s="391"/>
      <c r="AC464" s="391"/>
      <c r="AD464" s="391"/>
      <c r="AE464" s="391"/>
    </row>
    <row r="465">
      <c r="A465" s="391"/>
      <c r="B465" s="391"/>
      <c r="C465" s="391"/>
      <c r="D465" s="391"/>
      <c r="E465" s="391"/>
      <c r="F465" s="391"/>
      <c r="G465" s="391"/>
      <c r="H465" s="391"/>
      <c r="I465" s="391"/>
      <c r="J465" s="391"/>
      <c r="K465" s="391"/>
      <c r="L465" s="391"/>
      <c r="M465" s="391"/>
      <c r="N465" s="391"/>
      <c r="O465" s="391"/>
      <c r="P465" s="391"/>
      <c r="Q465" s="391"/>
      <c r="R465" s="391"/>
      <c r="S465" s="391"/>
      <c r="T465" s="391"/>
      <c r="U465" s="391"/>
      <c r="V465" s="391"/>
      <c r="W465" s="391"/>
      <c r="X465" s="391"/>
      <c r="Y465" s="391"/>
      <c r="Z465" s="391"/>
      <c r="AA465" s="391"/>
      <c r="AB465" s="391"/>
      <c r="AC465" s="391"/>
      <c r="AD465" s="391"/>
      <c r="AE465" s="391"/>
    </row>
    <row r="466">
      <c r="A466" s="391"/>
      <c r="B466" s="391"/>
      <c r="C466" s="391"/>
      <c r="D466" s="391"/>
      <c r="E466" s="391"/>
      <c r="F466" s="391"/>
      <c r="G466" s="391"/>
      <c r="H466" s="391"/>
      <c r="I466" s="391"/>
      <c r="J466" s="391"/>
      <c r="K466" s="391"/>
      <c r="L466" s="391"/>
      <c r="M466" s="391"/>
      <c r="N466" s="391"/>
      <c r="O466" s="391"/>
      <c r="P466" s="391"/>
      <c r="Q466" s="391"/>
      <c r="R466" s="391"/>
      <c r="S466" s="391"/>
      <c r="T466" s="391"/>
      <c r="U466" s="391"/>
      <c r="V466" s="391"/>
      <c r="W466" s="391"/>
      <c r="X466" s="391"/>
      <c r="Y466" s="391"/>
      <c r="Z466" s="391"/>
      <c r="AA466" s="391"/>
      <c r="AB466" s="391"/>
      <c r="AC466" s="391"/>
      <c r="AD466" s="391"/>
      <c r="AE466" s="391"/>
    </row>
    <row r="467">
      <c r="A467" s="391"/>
      <c r="B467" s="391"/>
      <c r="C467" s="391"/>
      <c r="D467" s="391"/>
      <c r="E467" s="391"/>
      <c r="F467" s="391"/>
      <c r="G467" s="391"/>
      <c r="H467" s="391"/>
      <c r="I467" s="391"/>
      <c r="J467" s="391"/>
      <c r="K467" s="391"/>
      <c r="L467" s="391"/>
      <c r="M467" s="391"/>
      <c r="N467" s="391"/>
      <c r="O467" s="391"/>
      <c r="P467" s="391"/>
      <c r="Q467" s="391"/>
      <c r="R467" s="391"/>
      <c r="S467" s="391"/>
      <c r="T467" s="391"/>
      <c r="U467" s="391"/>
      <c r="V467" s="391"/>
      <c r="W467" s="391"/>
      <c r="X467" s="391"/>
      <c r="Y467" s="391"/>
      <c r="Z467" s="391"/>
      <c r="AA467" s="391"/>
      <c r="AB467" s="391"/>
      <c r="AC467" s="391"/>
      <c r="AD467" s="391"/>
      <c r="AE467" s="391"/>
    </row>
    <row r="468">
      <c r="A468" s="391"/>
      <c r="B468" s="391"/>
      <c r="C468" s="391"/>
      <c r="D468" s="391"/>
      <c r="E468" s="391"/>
      <c r="F468" s="391"/>
      <c r="G468" s="391"/>
      <c r="H468" s="391"/>
      <c r="I468" s="391"/>
      <c r="J468" s="391"/>
      <c r="K468" s="391"/>
      <c r="L468" s="391"/>
      <c r="M468" s="391"/>
      <c r="N468" s="391"/>
      <c r="O468" s="391"/>
      <c r="P468" s="391"/>
      <c r="Q468" s="391"/>
      <c r="R468" s="391"/>
      <c r="S468" s="391"/>
      <c r="T468" s="391"/>
      <c r="U468" s="391"/>
      <c r="V468" s="391"/>
      <c r="W468" s="391"/>
      <c r="X468" s="391"/>
      <c r="Y468" s="391"/>
      <c r="Z468" s="391"/>
      <c r="AA468" s="391"/>
      <c r="AB468" s="391"/>
      <c r="AC468" s="391"/>
      <c r="AD468" s="391"/>
      <c r="AE468" s="391"/>
    </row>
    <row r="469">
      <c r="A469" s="391"/>
      <c r="B469" s="391"/>
      <c r="C469" s="391"/>
      <c r="D469" s="391"/>
      <c r="E469" s="391"/>
      <c r="F469" s="391"/>
      <c r="G469" s="391"/>
      <c r="H469" s="391"/>
      <c r="I469" s="391"/>
      <c r="J469" s="391"/>
      <c r="K469" s="391"/>
      <c r="L469" s="391"/>
      <c r="M469" s="391"/>
      <c r="N469" s="391"/>
      <c r="O469" s="391"/>
      <c r="P469" s="391"/>
      <c r="Q469" s="391"/>
      <c r="R469" s="391"/>
      <c r="S469" s="391"/>
      <c r="T469" s="391"/>
      <c r="U469" s="391"/>
      <c r="V469" s="391"/>
      <c r="W469" s="391"/>
      <c r="X469" s="391"/>
      <c r="Y469" s="391"/>
      <c r="Z469" s="391"/>
      <c r="AA469" s="391"/>
      <c r="AB469" s="391"/>
      <c r="AC469" s="391"/>
      <c r="AD469" s="391"/>
      <c r="AE469" s="391"/>
    </row>
    <row r="470">
      <c r="A470" s="391"/>
      <c r="B470" s="391"/>
      <c r="C470" s="391"/>
      <c r="D470" s="391"/>
      <c r="E470" s="391"/>
      <c r="F470" s="391"/>
      <c r="G470" s="391"/>
      <c r="H470" s="391"/>
      <c r="I470" s="391"/>
      <c r="J470" s="391"/>
      <c r="K470" s="391"/>
      <c r="L470" s="391"/>
      <c r="M470" s="391"/>
      <c r="N470" s="391"/>
      <c r="O470" s="391"/>
      <c r="P470" s="391"/>
      <c r="Q470" s="391"/>
      <c r="R470" s="391"/>
      <c r="S470" s="391"/>
      <c r="T470" s="391"/>
      <c r="U470" s="391"/>
      <c r="V470" s="391"/>
      <c r="W470" s="391"/>
      <c r="X470" s="391"/>
      <c r="Y470" s="391"/>
      <c r="Z470" s="391"/>
      <c r="AA470" s="391"/>
      <c r="AB470" s="391"/>
      <c r="AC470" s="391"/>
      <c r="AD470" s="391"/>
      <c r="AE470" s="391"/>
    </row>
    <row r="471">
      <c r="A471" s="391"/>
      <c r="B471" s="391"/>
      <c r="C471" s="391"/>
      <c r="D471" s="391"/>
      <c r="E471" s="391"/>
      <c r="F471" s="391"/>
      <c r="G471" s="391"/>
      <c r="H471" s="391"/>
      <c r="I471" s="391"/>
      <c r="J471" s="391"/>
      <c r="K471" s="391"/>
      <c r="L471" s="391"/>
      <c r="M471" s="391"/>
      <c r="N471" s="391"/>
      <c r="O471" s="391"/>
      <c r="P471" s="391"/>
      <c r="Q471" s="391"/>
      <c r="R471" s="391"/>
      <c r="S471" s="391"/>
      <c r="T471" s="391"/>
      <c r="U471" s="391"/>
      <c r="V471" s="391"/>
      <c r="W471" s="391"/>
      <c r="X471" s="391"/>
      <c r="Y471" s="391"/>
      <c r="Z471" s="391"/>
      <c r="AA471" s="391"/>
      <c r="AB471" s="391"/>
      <c r="AC471" s="391"/>
      <c r="AD471" s="391"/>
      <c r="AE471" s="391"/>
    </row>
    <row r="472">
      <c r="A472" s="391"/>
      <c r="B472" s="391"/>
      <c r="C472" s="391"/>
      <c r="D472" s="391"/>
      <c r="E472" s="391"/>
      <c r="F472" s="391"/>
      <c r="G472" s="391"/>
      <c r="H472" s="391"/>
      <c r="I472" s="391"/>
      <c r="J472" s="391"/>
      <c r="K472" s="391"/>
      <c r="L472" s="391"/>
      <c r="M472" s="391"/>
      <c r="N472" s="391"/>
      <c r="O472" s="391"/>
      <c r="P472" s="391"/>
      <c r="Q472" s="391"/>
      <c r="R472" s="391"/>
      <c r="S472" s="391"/>
      <c r="T472" s="391"/>
      <c r="U472" s="391"/>
      <c r="V472" s="391"/>
      <c r="W472" s="391"/>
      <c r="X472" s="391"/>
      <c r="Y472" s="391"/>
      <c r="Z472" s="391"/>
      <c r="AA472" s="391"/>
      <c r="AB472" s="391"/>
      <c r="AC472" s="391"/>
      <c r="AD472" s="391"/>
      <c r="AE472" s="391"/>
    </row>
    <row r="473">
      <c r="A473" s="391"/>
      <c r="B473" s="391"/>
      <c r="C473" s="391"/>
      <c r="D473" s="391"/>
      <c r="E473" s="391"/>
      <c r="F473" s="391"/>
      <c r="G473" s="391"/>
      <c r="H473" s="391"/>
      <c r="I473" s="391"/>
      <c r="J473" s="391"/>
      <c r="K473" s="391"/>
      <c r="L473" s="391"/>
      <c r="M473" s="391"/>
      <c r="N473" s="391"/>
      <c r="O473" s="391"/>
      <c r="P473" s="391"/>
      <c r="Q473" s="391"/>
      <c r="R473" s="391"/>
      <c r="S473" s="391"/>
      <c r="T473" s="391"/>
      <c r="U473" s="391"/>
      <c r="V473" s="391"/>
      <c r="W473" s="391"/>
      <c r="X473" s="391"/>
      <c r="Y473" s="391"/>
      <c r="Z473" s="391"/>
      <c r="AA473" s="391"/>
      <c r="AB473" s="391"/>
      <c r="AC473" s="391"/>
      <c r="AD473" s="391"/>
      <c r="AE473" s="391"/>
    </row>
    <row r="474">
      <c r="A474" s="391"/>
      <c r="B474" s="391"/>
      <c r="C474" s="391"/>
      <c r="D474" s="391"/>
      <c r="E474" s="391"/>
      <c r="F474" s="391"/>
      <c r="G474" s="391"/>
      <c r="H474" s="391"/>
      <c r="I474" s="391"/>
      <c r="J474" s="391"/>
      <c r="K474" s="391"/>
      <c r="L474" s="391"/>
      <c r="M474" s="391"/>
      <c r="N474" s="391"/>
      <c r="O474" s="391"/>
      <c r="P474" s="391"/>
      <c r="Q474" s="391"/>
      <c r="R474" s="391"/>
      <c r="S474" s="391"/>
      <c r="T474" s="391"/>
      <c r="U474" s="391"/>
      <c r="V474" s="391"/>
      <c r="W474" s="391"/>
      <c r="X474" s="391"/>
      <c r="Y474" s="391"/>
      <c r="Z474" s="391"/>
      <c r="AA474" s="391"/>
      <c r="AB474" s="391"/>
      <c r="AC474" s="391"/>
      <c r="AD474" s="391"/>
      <c r="AE474" s="391"/>
    </row>
    <row r="475">
      <c r="A475" s="391"/>
      <c r="B475" s="391"/>
      <c r="C475" s="391"/>
      <c r="D475" s="391"/>
      <c r="E475" s="391"/>
      <c r="F475" s="391"/>
      <c r="G475" s="391"/>
      <c r="H475" s="391"/>
      <c r="I475" s="391"/>
      <c r="J475" s="391"/>
      <c r="K475" s="391"/>
      <c r="L475" s="391"/>
      <c r="M475" s="391"/>
      <c r="N475" s="391"/>
      <c r="O475" s="391"/>
      <c r="P475" s="391"/>
      <c r="Q475" s="391"/>
      <c r="R475" s="391"/>
      <c r="S475" s="391"/>
      <c r="T475" s="391"/>
      <c r="U475" s="391"/>
      <c r="V475" s="391"/>
      <c r="W475" s="391"/>
      <c r="X475" s="391"/>
      <c r="Y475" s="391"/>
      <c r="Z475" s="391"/>
      <c r="AA475" s="391"/>
      <c r="AB475" s="391"/>
      <c r="AC475" s="391"/>
      <c r="AD475" s="391"/>
      <c r="AE475" s="391"/>
    </row>
    <row r="476">
      <c r="A476" s="391"/>
      <c r="B476" s="391"/>
      <c r="C476" s="391"/>
      <c r="D476" s="391"/>
      <c r="E476" s="391"/>
      <c r="F476" s="391"/>
      <c r="G476" s="391"/>
      <c r="H476" s="391"/>
      <c r="I476" s="391"/>
      <c r="J476" s="391"/>
      <c r="K476" s="391"/>
      <c r="L476" s="391"/>
      <c r="M476" s="391"/>
      <c r="N476" s="391"/>
      <c r="O476" s="391"/>
      <c r="P476" s="391"/>
      <c r="Q476" s="391"/>
      <c r="R476" s="391"/>
      <c r="S476" s="391"/>
      <c r="T476" s="391"/>
      <c r="U476" s="391"/>
      <c r="V476" s="391"/>
      <c r="W476" s="391"/>
      <c r="X476" s="391"/>
      <c r="Y476" s="391"/>
      <c r="Z476" s="391"/>
      <c r="AA476" s="391"/>
      <c r="AB476" s="391"/>
      <c r="AC476" s="391"/>
      <c r="AD476" s="391"/>
      <c r="AE476" s="391"/>
    </row>
    <row r="477">
      <c r="A477" s="391"/>
      <c r="B477" s="391"/>
      <c r="C477" s="391"/>
      <c r="D477" s="391"/>
      <c r="E477" s="391"/>
      <c r="F477" s="391"/>
      <c r="G477" s="391"/>
      <c r="H477" s="391"/>
      <c r="I477" s="391"/>
      <c r="J477" s="391"/>
      <c r="K477" s="391"/>
      <c r="L477" s="391"/>
      <c r="M477" s="391"/>
      <c r="N477" s="391"/>
      <c r="O477" s="391"/>
      <c r="P477" s="391"/>
      <c r="Q477" s="391"/>
      <c r="R477" s="391"/>
      <c r="S477" s="391"/>
      <c r="T477" s="391"/>
      <c r="U477" s="391"/>
      <c r="V477" s="391"/>
      <c r="W477" s="391"/>
      <c r="X477" s="391"/>
      <c r="Y477" s="391"/>
      <c r="Z477" s="391"/>
      <c r="AA477" s="391"/>
      <c r="AB477" s="391"/>
      <c r="AC477" s="391"/>
      <c r="AD477" s="391"/>
      <c r="AE477" s="391"/>
    </row>
    <row r="478">
      <c r="A478" s="391"/>
      <c r="B478" s="391"/>
      <c r="C478" s="391"/>
      <c r="D478" s="391"/>
      <c r="E478" s="391"/>
      <c r="F478" s="391"/>
      <c r="G478" s="391"/>
      <c r="H478" s="391"/>
      <c r="I478" s="391"/>
      <c r="J478" s="391"/>
      <c r="K478" s="391"/>
      <c r="L478" s="391"/>
      <c r="M478" s="391"/>
      <c r="N478" s="391"/>
      <c r="O478" s="391"/>
      <c r="P478" s="391"/>
      <c r="Q478" s="391"/>
      <c r="R478" s="391"/>
      <c r="S478" s="391"/>
      <c r="T478" s="391"/>
      <c r="U478" s="391"/>
      <c r="V478" s="391"/>
      <c r="W478" s="391"/>
      <c r="X478" s="391"/>
      <c r="Y478" s="391"/>
      <c r="Z478" s="391"/>
      <c r="AA478" s="391"/>
      <c r="AB478" s="391"/>
      <c r="AC478" s="391"/>
      <c r="AD478" s="391"/>
      <c r="AE478" s="391"/>
    </row>
    <row r="479">
      <c r="A479" s="391"/>
      <c r="B479" s="391"/>
      <c r="C479" s="391"/>
      <c r="D479" s="391"/>
      <c r="E479" s="391"/>
      <c r="F479" s="391"/>
      <c r="G479" s="391"/>
      <c r="H479" s="391"/>
      <c r="I479" s="391"/>
      <c r="J479" s="391"/>
      <c r="K479" s="391"/>
      <c r="L479" s="391"/>
      <c r="M479" s="391"/>
      <c r="N479" s="391"/>
      <c r="O479" s="391"/>
      <c r="P479" s="391"/>
      <c r="Q479" s="391"/>
      <c r="R479" s="391"/>
      <c r="S479" s="391"/>
      <c r="T479" s="391"/>
      <c r="U479" s="391"/>
      <c r="V479" s="391"/>
      <c r="W479" s="391"/>
      <c r="X479" s="391"/>
      <c r="Y479" s="391"/>
      <c r="Z479" s="391"/>
      <c r="AA479" s="391"/>
      <c r="AB479" s="391"/>
      <c r="AC479" s="391"/>
      <c r="AD479" s="391"/>
      <c r="AE479" s="391"/>
    </row>
    <row r="480">
      <c r="A480" s="391"/>
      <c r="B480" s="391"/>
      <c r="C480" s="391"/>
      <c r="D480" s="391"/>
      <c r="E480" s="391"/>
      <c r="F480" s="391"/>
      <c r="G480" s="391"/>
      <c r="H480" s="391"/>
      <c r="I480" s="391"/>
      <c r="J480" s="391"/>
      <c r="K480" s="391"/>
      <c r="L480" s="391"/>
      <c r="M480" s="391"/>
      <c r="N480" s="391"/>
      <c r="O480" s="391"/>
      <c r="P480" s="391"/>
      <c r="Q480" s="391"/>
      <c r="R480" s="391"/>
      <c r="S480" s="391"/>
      <c r="T480" s="391"/>
      <c r="U480" s="391"/>
      <c r="V480" s="391"/>
      <c r="W480" s="391"/>
      <c r="X480" s="391"/>
      <c r="Y480" s="391"/>
      <c r="Z480" s="391"/>
      <c r="AA480" s="391"/>
      <c r="AB480" s="391"/>
      <c r="AC480" s="391"/>
      <c r="AD480" s="391"/>
      <c r="AE480" s="391"/>
    </row>
    <row r="481">
      <c r="A481" s="391"/>
      <c r="B481" s="391"/>
      <c r="C481" s="391"/>
      <c r="D481" s="391"/>
      <c r="E481" s="391"/>
      <c r="F481" s="391"/>
      <c r="G481" s="391"/>
      <c r="H481" s="391"/>
      <c r="I481" s="391"/>
      <c r="J481" s="391"/>
      <c r="K481" s="391"/>
      <c r="L481" s="391"/>
      <c r="M481" s="391"/>
      <c r="N481" s="391"/>
      <c r="O481" s="391"/>
      <c r="P481" s="391"/>
      <c r="Q481" s="391"/>
      <c r="R481" s="391"/>
      <c r="S481" s="391"/>
      <c r="T481" s="391"/>
      <c r="U481" s="391"/>
      <c r="V481" s="391"/>
      <c r="W481" s="391"/>
      <c r="X481" s="391"/>
      <c r="Y481" s="391"/>
      <c r="Z481" s="391"/>
      <c r="AA481" s="391"/>
      <c r="AB481" s="391"/>
      <c r="AC481" s="391"/>
      <c r="AD481" s="391"/>
      <c r="AE481" s="391"/>
    </row>
    <row r="482">
      <c r="A482" s="391"/>
      <c r="B482" s="391"/>
      <c r="C482" s="391"/>
      <c r="D482" s="391"/>
      <c r="E482" s="391"/>
      <c r="F482" s="391"/>
      <c r="G482" s="391"/>
      <c r="H482" s="391"/>
      <c r="I482" s="391"/>
      <c r="J482" s="391"/>
      <c r="K482" s="391"/>
      <c r="L482" s="391"/>
      <c r="M482" s="391"/>
      <c r="N482" s="391"/>
      <c r="O482" s="391"/>
      <c r="P482" s="391"/>
      <c r="Q482" s="391"/>
      <c r="R482" s="391"/>
      <c r="S482" s="391"/>
      <c r="T482" s="391"/>
      <c r="U482" s="391"/>
      <c r="V482" s="391"/>
      <c r="W482" s="391"/>
      <c r="X482" s="391"/>
      <c r="Y482" s="391"/>
      <c r="Z482" s="391"/>
      <c r="AA482" s="391"/>
      <c r="AB482" s="391"/>
      <c r="AC482" s="391"/>
      <c r="AD482" s="391"/>
      <c r="AE482" s="391"/>
    </row>
    <row r="483">
      <c r="A483" s="391"/>
      <c r="B483" s="391"/>
      <c r="C483" s="391"/>
      <c r="D483" s="391"/>
      <c r="E483" s="391"/>
      <c r="F483" s="391"/>
      <c r="G483" s="391"/>
      <c r="H483" s="391"/>
      <c r="I483" s="391"/>
      <c r="J483" s="391"/>
      <c r="K483" s="391"/>
      <c r="L483" s="391"/>
      <c r="M483" s="391"/>
      <c r="N483" s="391"/>
      <c r="O483" s="391"/>
      <c r="P483" s="391"/>
      <c r="Q483" s="391"/>
      <c r="R483" s="391"/>
      <c r="S483" s="391"/>
      <c r="T483" s="391"/>
      <c r="U483" s="391"/>
      <c r="V483" s="391"/>
      <c r="W483" s="391"/>
      <c r="X483" s="391"/>
      <c r="Y483" s="391"/>
      <c r="Z483" s="391"/>
      <c r="AA483" s="391"/>
      <c r="AB483" s="391"/>
      <c r="AC483" s="391"/>
      <c r="AD483" s="391"/>
      <c r="AE483" s="391"/>
    </row>
    <row r="484">
      <c r="A484" s="391"/>
      <c r="B484" s="391"/>
      <c r="C484" s="391"/>
      <c r="D484" s="391"/>
      <c r="E484" s="391"/>
      <c r="F484" s="391"/>
      <c r="G484" s="391"/>
      <c r="H484" s="391"/>
      <c r="I484" s="391"/>
      <c r="J484" s="391"/>
      <c r="K484" s="391"/>
      <c r="L484" s="391"/>
      <c r="M484" s="391"/>
      <c r="N484" s="391"/>
      <c r="O484" s="391"/>
      <c r="P484" s="391"/>
      <c r="Q484" s="391"/>
      <c r="R484" s="391"/>
      <c r="S484" s="391"/>
      <c r="T484" s="391"/>
      <c r="U484" s="391"/>
      <c r="V484" s="391"/>
      <c r="W484" s="391"/>
      <c r="X484" s="391"/>
      <c r="Y484" s="391"/>
      <c r="Z484" s="391"/>
      <c r="AA484" s="391"/>
      <c r="AB484" s="391"/>
      <c r="AC484" s="391"/>
      <c r="AD484" s="391"/>
      <c r="AE484" s="391"/>
    </row>
    <row r="485">
      <c r="A485" s="391"/>
      <c r="B485" s="391"/>
      <c r="C485" s="391"/>
      <c r="D485" s="391"/>
      <c r="E485" s="391"/>
      <c r="F485" s="391"/>
      <c r="G485" s="391"/>
      <c r="H485" s="391"/>
      <c r="I485" s="391"/>
      <c r="J485" s="391"/>
      <c r="K485" s="391"/>
      <c r="L485" s="391"/>
      <c r="M485" s="391"/>
      <c r="N485" s="391"/>
      <c r="O485" s="391"/>
      <c r="P485" s="391"/>
      <c r="Q485" s="391"/>
      <c r="R485" s="391"/>
      <c r="S485" s="391"/>
      <c r="T485" s="391"/>
      <c r="U485" s="391"/>
      <c r="V485" s="391"/>
      <c r="W485" s="391"/>
      <c r="X485" s="391"/>
      <c r="Y485" s="391"/>
      <c r="Z485" s="391"/>
      <c r="AA485" s="391"/>
      <c r="AB485" s="391"/>
      <c r="AC485" s="391"/>
      <c r="AD485" s="391"/>
      <c r="AE485" s="391"/>
    </row>
    <row r="486">
      <c r="A486" s="391"/>
      <c r="B486" s="391"/>
      <c r="C486" s="391"/>
      <c r="D486" s="391"/>
      <c r="E486" s="391"/>
      <c r="F486" s="391"/>
      <c r="G486" s="391"/>
      <c r="H486" s="391"/>
      <c r="I486" s="391"/>
      <c r="J486" s="391"/>
      <c r="K486" s="391"/>
      <c r="L486" s="391"/>
      <c r="M486" s="391"/>
      <c r="N486" s="391"/>
      <c r="O486" s="391"/>
      <c r="P486" s="391"/>
      <c r="Q486" s="391"/>
      <c r="R486" s="391"/>
      <c r="S486" s="391"/>
      <c r="T486" s="391"/>
      <c r="U486" s="391"/>
      <c r="V486" s="391"/>
      <c r="W486" s="391"/>
      <c r="X486" s="391"/>
      <c r="Y486" s="391"/>
      <c r="Z486" s="391"/>
      <c r="AA486" s="391"/>
      <c r="AB486" s="391"/>
      <c r="AC486" s="391"/>
      <c r="AD486" s="391"/>
      <c r="AE486" s="391"/>
    </row>
    <row r="487">
      <c r="A487" s="391"/>
      <c r="B487" s="391"/>
      <c r="C487" s="391"/>
      <c r="D487" s="391"/>
      <c r="E487" s="391"/>
      <c r="F487" s="391"/>
      <c r="G487" s="391"/>
      <c r="H487" s="391"/>
      <c r="I487" s="391"/>
      <c r="J487" s="391"/>
      <c r="K487" s="391"/>
      <c r="L487" s="391"/>
      <c r="M487" s="391"/>
      <c r="N487" s="391"/>
      <c r="O487" s="391"/>
      <c r="P487" s="391"/>
      <c r="Q487" s="391"/>
      <c r="R487" s="391"/>
      <c r="S487" s="391"/>
      <c r="T487" s="391"/>
      <c r="U487" s="391"/>
      <c r="V487" s="391"/>
      <c r="W487" s="391"/>
      <c r="X487" s="391"/>
      <c r="Y487" s="391"/>
      <c r="Z487" s="391"/>
      <c r="AA487" s="391"/>
      <c r="AB487" s="391"/>
      <c r="AC487" s="391"/>
      <c r="AD487" s="391"/>
      <c r="AE487" s="391"/>
    </row>
    <row r="488">
      <c r="A488" s="391"/>
      <c r="B488" s="391"/>
      <c r="C488" s="391"/>
      <c r="D488" s="391"/>
      <c r="E488" s="391"/>
      <c r="F488" s="391"/>
      <c r="G488" s="391"/>
      <c r="H488" s="391"/>
      <c r="I488" s="391"/>
      <c r="J488" s="391"/>
      <c r="K488" s="391"/>
      <c r="L488" s="391"/>
      <c r="M488" s="391"/>
      <c r="N488" s="391"/>
      <c r="O488" s="391"/>
      <c r="P488" s="391"/>
      <c r="Q488" s="391"/>
      <c r="R488" s="391"/>
      <c r="S488" s="391"/>
      <c r="T488" s="391"/>
      <c r="U488" s="391"/>
      <c r="V488" s="391"/>
      <c r="W488" s="391"/>
      <c r="X488" s="391"/>
      <c r="Y488" s="391"/>
      <c r="Z488" s="391"/>
      <c r="AA488" s="391"/>
      <c r="AB488" s="391"/>
      <c r="AC488" s="391"/>
      <c r="AD488" s="391"/>
      <c r="AE488" s="391"/>
    </row>
    <row r="489">
      <c r="A489" s="391"/>
      <c r="B489" s="391"/>
      <c r="C489" s="391"/>
      <c r="D489" s="391"/>
      <c r="E489" s="391"/>
      <c r="F489" s="391"/>
      <c r="G489" s="391"/>
      <c r="H489" s="391"/>
      <c r="I489" s="391"/>
      <c r="J489" s="391"/>
      <c r="K489" s="391"/>
      <c r="L489" s="391"/>
      <c r="M489" s="391"/>
      <c r="N489" s="391"/>
      <c r="O489" s="391"/>
      <c r="P489" s="391"/>
      <c r="Q489" s="391"/>
      <c r="R489" s="391"/>
      <c r="S489" s="391"/>
      <c r="T489" s="391"/>
      <c r="U489" s="391"/>
      <c r="V489" s="391"/>
      <c r="W489" s="391"/>
      <c r="X489" s="391"/>
      <c r="Y489" s="391"/>
      <c r="Z489" s="391"/>
      <c r="AA489" s="391"/>
      <c r="AB489" s="391"/>
      <c r="AC489" s="391"/>
      <c r="AD489" s="391"/>
      <c r="AE489" s="391"/>
    </row>
    <row r="490">
      <c r="A490" s="391"/>
      <c r="B490" s="391"/>
      <c r="C490" s="391"/>
      <c r="D490" s="391"/>
      <c r="E490" s="391"/>
      <c r="F490" s="391"/>
      <c r="G490" s="391"/>
      <c r="H490" s="391"/>
      <c r="I490" s="391"/>
      <c r="J490" s="391"/>
      <c r="K490" s="391"/>
      <c r="L490" s="391"/>
      <c r="M490" s="391"/>
      <c r="N490" s="391"/>
      <c r="O490" s="391"/>
      <c r="P490" s="391"/>
      <c r="Q490" s="391"/>
      <c r="R490" s="391"/>
      <c r="S490" s="391"/>
      <c r="T490" s="391"/>
      <c r="U490" s="391"/>
      <c r="V490" s="391"/>
      <c r="W490" s="391"/>
      <c r="X490" s="391"/>
      <c r="Y490" s="391"/>
      <c r="Z490" s="391"/>
      <c r="AA490" s="391"/>
      <c r="AB490" s="391"/>
      <c r="AC490" s="391"/>
      <c r="AD490" s="391"/>
      <c r="AE490" s="391"/>
    </row>
    <row r="491">
      <c r="A491" s="391"/>
      <c r="B491" s="391"/>
      <c r="C491" s="391"/>
      <c r="D491" s="391"/>
      <c r="E491" s="391"/>
      <c r="F491" s="391"/>
      <c r="G491" s="391"/>
      <c r="H491" s="391"/>
      <c r="I491" s="391"/>
      <c r="J491" s="391"/>
      <c r="K491" s="391"/>
      <c r="L491" s="391"/>
      <c r="M491" s="391"/>
      <c r="N491" s="391"/>
      <c r="O491" s="391"/>
      <c r="P491" s="391"/>
      <c r="Q491" s="391"/>
      <c r="R491" s="391"/>
      <c r="S491" s="391"/>
      <c r="T491" s="391"/>
      <c r="U491" s="391"/>
      <c r="V491" s="391"/>
      <c r="W491" s="391"/>
      <c r="X491" s="391"/>
      <c r="Y491" s="391"/>
      <c r="Z491" s="391"/>
      <c r="AA491" s="391"/>
      <c r="AB491" s="391"/>
      <c r="AC491" s="391"/>
      <c r="AD491" s="391"/>
      <c r="AE491" s="391"/>
    </row>
    <row r="492">
      <c r="A492" s="391"/>
      <c r="B492" s="391"/>
      <c r="C492" s="391"/>
      <c r="D492" s="391"/>
      <c r="E492" s="391"/>
      <c r="F492" s="391"/>
      <c r="G492" s="391"/>
      <c r="H492" s="391"/>
      <c r="I492" s="391"/>
      <c r="J492" s="391"/>
      <c r="K492" s="391"/>
      <c r="L492" s="391"/>
      <c r="M492" s="391"/>
      <c r="N492" s="391"/>
      <c r="O492" s="391"/>
      <c r="P492" s="391"/>
      <c r="Q492" s="391"/>
      <c r="R492" s="391"/>
      <c r="S492" s="391"/>
      <c r="T492" s="391"/>
      <c r="U492" s="391"/>
      <c r="V492" s="391"/>
      <c r="W492" s="391"/>
      <c r="X492" s="391"/>
      <c r="Y492" s="391"/>
      <c r="Z492" s="391"/>
      <c r="AA492" s="391"/>
      <c r="AB492" s="391"/>
      <c r="AC492" s="391"/>
      <c r="AD492" s="391"/>
      <c r="AE492" s="391"/>
    </row>
    <row r="493">
      <c r="A493" s="391"/>
      <c r="B493" s="391"/>
      <c r="C493" s="391"/>
      <c r="D493" s="391"/>
      <c r="E493" s="391"/>
      <c r="F493" s="391"/>
      <c r="G493" s="391"/>
      <c r="H493" s="391"/>
      <c r="I493" s="391"/>
      <c r="J493" s="391"/>
      <c r="K493" s="391"/>
      <c r="L493" s="391"/>
      <c r="M493" s="391"/>
      <c r="N493" s="391"/>
      <c r="O493" s="391"/>
      <c r="P493" s="391"/>
      <c r="Q493" s="391"/>
      <c r="R493" s="391"/>
      <c r="S493" s="391"/>
      <c r="T493" s="391"/>
      <c r="U493" s="391"/>
      <c r="V493" s="391"/>
      <c r="W493" s="391"/>
      <c r="X493" s="391"/>
      <c r="Y493" s="391"/>
      <c r="Z493" s="391"/>
      <c r="AA493" s="391"/>
      <c r="AB493" s="391"/>
      <c r="AC493" s="391"/>
      <c r="AD493" s="391"/>
      <c r="AE493" s="391"/>
    </row>
    <row r="494">
      <c r="A494" s="391"/>
      <c r="B494" s="391"/>
      <c r="C494" s="391"/>
      <c r="D494" s="391"/>
      <c r="E494" s="391"/>
      <c r="F494" s="391"/>
      <c r="G494" s="391"/>
      <c r="H494" s="391"/>
      <c r="I494" s="391"/>
      <c r="J494" s="391"/>
      <c r="K494" s="391"/>
      <c r="L494" s="391"/>
      <c r="M494" s="391"/>
      <c r="N494" s="391"/>
      <c r="O494" s="391"/>
      <c r="P494" s="391"/>
      <c r="Q494" s="391"/>
      <c r="R494" s="391"/>
      <c r="S494" s="391"/>
      <c r="T494" s="391"/>
      <c r="U494" s="391"/>
      <c r="V494" s="391"/>
      <c r="W494" s="391"/>
      <c r="X494" s="391"/>
      <c r="Y494" s="391"/>
      <c r="Z494" s="391"/>
      <c r="AA494" s="391"/>
      <c r="AB494" s="391"/>
      <c r="AC494" s="391"/>
      <c r="AD494" s="391"/>
      <c r="AE494" s="391"/>
    </row>
    <row r="495">
      <c r="A495" s="391"/>
      <c r="B495" s="391"/>
      <c r="C495" s="391"/>
      <c r="D495" s="391"/>
      <c r="E495" s="391"/>
      <c r="F495" s="391"/>
      <c r="G495" s="391"/>
      <c r="H495" s="391"/>
      <c r="I495" s="391"/>
      <c r="J495" s="391"/>
      <c r="K495" s="391"/>
      <c r="L495" s="391"/>
      <c r="M495" s="391"/>
      <c r="N495" s="391"/>
      <c r="O495" s="391"/>
      <c r="P495" s="391"/>
      <c r="Q495" s="391"/>
      <c r="R495" s="391"/>
      <c r="S495" s="391"/>
      <c r="T495" s="391"/>
      <c r="U495" s="391"/>
      <c r="V495" s="391"/>
      <c r="W495" s="391"/>
      <c r="X495" s="391"/>
      <c r="Y495" s="391"/>
      <c r="Z495" s="391"/>
      <c r="AA495" s="391"/>
      <c r="AB495" s="391"/>
      <c r="AC495" s="391"/>
      <c r="AD495" s="391"/>
      <c r="AE495" s="391"/>
    </row>
    <row r="496">
      <c r="A496" s="391"/>
      <c r="B496" s="391"/>
      <c r="C496" s="391"/>
      <c r="D496" s="391"/>
      <c r="E496" s="391"/>
      <c r="F496" s="391"/>
      <c r="G496" s="391"/>
      <c r="H496" s="391"/>
      <c r="I496" s="391"/>
      <c r="J496" s="391"/>
      <c r="K496" s="391"/>
      <c r="L496" s="391"/>
      <c r="M496" s="391"/>
      <c r="N496" s="391"/>
      <c r="O496" s="391"/>
      <c r="P496" s="391"/>
      <c r="Q496" s="391"/>
      <c r="R496" s="391"/>
      <c r="S496" s="391"/>
      <c r="T496" s="391"/>
      <c r="U496" s="391"/>
      <c r="V496" s="391"/>
      <c r="W496" s="391"/>
      <c r="X496" s="391"/>
      <c r="Y496" s="391"/>
      <c r="Z496" s="391"/>
      <c r="AA496" s="391"/>
      <c r="AB496" s="391"/>
      <c r="AC496" s="391"/>
      <c r="AD496" s="391"/>
      <c r="AE496" s="391"/>
    </row>
    <row r="497">
      <c r="A497" s="391"/>
      <c r="B497" s="391"/>
      <c r="C497" s="391"/>
      <c r="D497" s="391"/>
      <c r="E497" s="391"/>
      <c r="F497" s="391"/>
      <c r="G497" s="391"/>
      <c r="H497" s="391"/>
      <c r="I497" s="391"/>
      <c r="J497" s="391"/>
      <c r="K497" s="391"/>
      <c r="L497" s="391"/>
      <c r="M497" s="391"/>
      <c r="N497" s="391"/>
      <c r="O497" s="391"/>
      <c r="P497" s="391"/>
      <c r="Q497" s="391"/>
      <c r="R497" s="391"/>
      <c r="S497" s="391"/>
      <c r="T497" s="391"/>
      <c r="U497" s="391"/>
      <c r="V497" s="391"/>
      <c r="W497" s="391"/>
      <c r="X497" s="391"/>
      <c r="Y497" s="391"/>
      <c r="Z497" s="391"/>
      <c r="AA497" s="391"/>
      <c r="AB497" s="391"/>
      <c r="AC497" s="391"/>
      <c r="AD497" s="391"/>
      <c r="AE497" s="391"/>
    </row>
    <row r="498">
      <c r="A498" s="391"/>
      <c r="B498" s="391"/>
      <c r="C498" s="391"/>
      <c r="D498" s="391"/>
      <c r="E498" s="391"/>
      <c r="F498" s="391"/>
      <c r="G498" s="391"/>
      <c r="H498" s="391"/>
      <c r="I498" s="391"/>
      <c r="J498" s="391"/>
      <c r="K498" s="391"/>
      <c r="L498" s="391"/>
      <c r="M498" s="391"/>
      <c r="N498" s="391"/>
      <c r="O498" s="391"/>
      <c r="P498" s="391"/>
      <c r="Q498" s="391"/>
      <c r="R498" s="391"/>
      <c r="S498" s="391"/>
      <c r="T498" s="391"/>
      <c r="U498" s="391"/>
      <c r="V498" s="391"/>
      <c r="W498" s="391"/>
      <c r="X498" s="391"/>
      <c r="Y498" s="391"/>
      <c r="Z498" s="391"/>
      <c r="AA498" s="391"/>
      <c r="AB498" s="391"/>
      <c r="AC498" s="391"/>
      <c r="AD498" s="391"/>
      <c r="AE498" s="391"/>
    </row>
    <row r="499">
      <c r="A499" s="391"/>
      <c r="B499" s="391"/>
      <c r="C499" s="391"/>
      <c r="D499" s="391"/>
      <c r="E499" s="391"/>
      <c r="F499" s="391"/>
      <c r="G499" s="391"/>
      <c r="H499" s="391"/>
      <c r="I499" s="391"/>
      <c r="J499" s="391"/>
      <c r="K499" s="391"/>
      <c r="L499" s="391"/>
      <c r="M499" s="391"/>
      <c r="N499" s="391"/>
      <c r="O499" s="391"/>
      <c r="P499" s="391"/>
      <c r="Q499" s="391"/>
      <c r="R499" s="391"/>
      <c r="S499" s="391"/>
      <c r="T499" s="391"/>
      <c r="U499" s="391"/>
      <c r="V499" s="391"/>
      <c r="W499" s="391"/>
      <c r="X499" s="391"/>
      <c r="Y499" s="391"/>
      <c r="Z499" s="391"/>
      <c r="AA499" s="391"/>
      <c r="AB499" s="391"/>
      <c r="AC499" s="391"/>
      <c r="AD499" s="391"/>
      <c r="AE499" s="391"/>
    </row>
    <row r="500">
      <c r="A500" s="391"/>
      <c r="B500" s="391"/>
      <c r="C500" s="391"/>
      <c r="D500" s="391"/>
      <c r="E500" s="391"/>
      <c r="F500" s="391"/>
      <c r="G500" s="391"/>
      <c r="H500" s="391"/>
      <c r="I500" s="391"/>
      <c r="J500" s="391"/>
      <c r="K500" s="391"/>
      <c r="L500" s="391"/>
      <c r="M500" s="391"/>
      <c r="N500" s="391"/>
      <c r="O500" s="391"/>
      <c r="P500" s="391"/>
      <c r="Q500" s="391"/>
      <c r="R500" s="391"/>
      <c r="S500" s="391"/>
      <c r="T500" s="391"/>
      <c r="U500" s="391"/>
      <c r="V500" s="391"/>
      <c r="W500" s="391"/>
      <c r="X500" s="391"/>
      <c r="Y500" s="391"/>
      <c r="Z500" s="391"/>
      <c r="AA500" s="391"/>
      <c r="AB500" s="391"/>
      <c r="AC500" s="391"/>
      <c r="AD500" s="391"/>
      <c r="AE500" s="391"/>
    </row>
    <row r="501">
      <c r="A501" s="391"/>
      <c r="B501" s="391"/>
      <c r="C501" s="391"/>
      <c r="D501" s="391"/>
      <c r="E501" s="391"/>
      <c r="F501" s="391"/>
      <c r="G501" s="391"/>
      <c r="H501" s="391"/>
      <c r="I501" s="391"/>
      <c r="J501" s="391"/>
      <c r="K501" s="391"/>
      <c r="L501" s="391"/>
      <c r="M501" s="391"/>
      <c r="N501" s="391"/>
      <c r="O501" s="391"/>
      <c r="P501" s="391"/>
      <c r="Q501" s="391"/>
      <c r="R501" s="391"/>
      <c r="S501" s="391"/>
      <c r="T501" s="391"/>
      <c r="U501" s="391"/>
      <c r="V501" s="391"/>
      <c r="W501" s="391"/>
      <c r="X501" s="391"/>
      <c r="Y501" s="391"/>
      <c r="Z501" s="391"/>
      <c r="AA501" s="391"/>
      <c r="AB501" s="391"/>
      <c r="AC501" s="391"/>
      <c r="AD501" s="391"/>
      <c r="AE501" s="391"/>
    </row>
    <row r="502">
      <c r="A502" s="391"/>
      <c r="B502" s="391"/>
      <c r="C502" s="391"/>
      <c r="D502" s="391"/>
      <c r="E502" s="391"/>
      <c r="F502" s="391"/>
      <c r="G502" s="391"/>
      <c r="H502" s="391"/>
      <c r="I502" s="391"/>
      <c r="J502" s="391"/>
      <c r="K502" s="391"/>
      <c r="L502" s="391"/>
      <c r="M502" s="391"/>
      <c r="N502" s="391"/>
      <c r="O502" s="391"/>
      <c r="P502" s="391"/>
      <c r="Q502" s="391"/>
      <c r="R502" s="391"/>
      <c r="S502" s="391"/>
      <c r="T502" s="391"/>
      <c r="U502" s="391"/>
      <c r="V502" s="391"/>
      <c r="W502" s="391"/>
      <c r="X502" s="391"/>
      <c r="Y502" s="391"/>
      <c r="Z502" s="391"/>
      <c r="AA502" s="391"/>
      <c r="AB502" s="391"/>
      <c r="AC502" s="391"/>
      <c r="AD502" s="391"/>
      <c r="AE502" s="391"/>
    </row>
    <row r="503">
      <c r="A503" s="391"/>
      <c r="B503" s="391"/>
      <c r="C503" s="391"/>
      <c r="D503" s="391"/>
      <c r="E503" s="391"/>
      <c r="F503" s="391"/>
      <c r="G503" s="391"/>
      <c r="H503" s="391"/>
      <c r="I503" s="391"/>
      <c r="J503" s="391"/>
      <c r="K503" s="391"/>
      <c r="L503" s="391"/>
      <c r="M503" s="391"/>
      <c r="N503" s="391"/>
      <c r="O503" s="391"/>
      <c r="P503" s="391"/>
      <c r="Q503" s="391"/>
      <c r="R503" s="391"/>
      <c r="S503" s="391"/>
      <c r="T503" s="391"/>
      <c r="U503" s="391"/>
      <c r="V503" s="391"/>
      <c r="W503" s="391"/>
      <c r="X503" s="391"/>
      <c r="Y503" s="391"/>
      <c r="Z503" s="391"/>
      <c r="AA503" s="391"/>
      <c r="AB503" s="391"/>
      <c r="AC503" s="391"/>
      <c r="AD503" s="391"/>
      <c r="AE503" s="391"/>
    </row>
    <row r="504">
      <c r="A504" s="391"/>
      <c r="B504" s="391"/>
      <c r="C504" s="391"/>
      <c r="D504" s="391"/>
      <c r="E504" s="391"/>
      <c r="F504" s="391"/>
      <c r="G504" s="391"/>
      <c r="H504" s="391"/>
      <c r="I504" s="391"/>
      <c r="J504" s="391"/>
      <c r="K504" s="391"/>
      <c r="L504" s="391"/>
      <c r="M504" s="391"/>
      <c r="N504" s="391"/>
      <c r="O504" s="391"/>
      <c r="P504" s="391"/>
      <c r="Q504" s="391"/>
      <c r="R504" s="391"/>
      <c r="S504" s="391"/>
      <c r="T504" s="391"/>
      <c r="U504" s="391"/>
      <c r="V504" s="391"/>
      <c r="W504" s="391"/>
      <c r="X504" s="391"/>
      <c r="Y504" s="391"/>
      <c r="Z504" s="391"/>
      <c r="AA504" s="391"/>
      <c r="AB504" s="391"/>
      <c r="AC504" s="391"/>
      <c r="AD504" s="391"/>
      <c r="AE504" s="391"/>
    </row>
    <row r="505">
      <c r="A505" s="391"/>
      <c r="B505" s="391"/>
      <c r="C505" s="391"/>
      <c r="D505" s="391"/>
      <c r="E505" s="391"/>
      <c r="F505" s="391"/>
      <c r="G505" s="391"/>
      <c r="H505" s="391"/>
      <c r="I505" s="391"/>
      <c r="J505" s="391"/>
      <c r="K505" s="391"/>
      <c r="L505" s="391"/>
      <c r="M505" s="391"/>
      <c r="N505" s="391"/>
      <c r="O505" s="391"/>
      <c r="P505" s="391"/>
      <c r="Q505" s="391"/>
      <c r="R505" s="391"/>
      <c r="S505" s="391"/>
      <c r="T505" s="391"/>
      <c r="U505" s="391"/>
      <c r="V505" s="391"/>
      <c r="W505" s="391"/>
      <c r="X505" s="391"/>
      <c r="Y505" s="391"/>
      <c r="Z505" s="391"/>
      <c r="AA505" s="391"/>
      <c r="AB505" s="391"/>
      <c r="AC505" s="391"/>
      <c r="AD505" s="391"/>
      <c r="AE505" s="391"/>
    </row>
    <row r="506">
      <c r="A506" s="391"/>
      <c r="B506" s="391"/>
      <c r="C506" s="391"/>
      <c r="D506" s="391"/>
      <c r="E506" s="391"/>
      <c r="F506" s="391"/>
      <c r="G506" s="391"/>
      <c r="H506" s="391"/>
      <c r="I506" s="391"/>
      <c r="J506" s="391"/>
      <c r="K506" s="391"/>
      <c r="L506" s="391"/>
      <c r="M506" s="391"/>
      <c r="N506" s="391"/>
      <c r="O506" s="391"/>
      <c r="P506" s="391"/>
      <c r="Q506" s="391"/>
      <c r="R506" s="391"/>
      <c r="S506" s="391"/>
      <c r="T506" s="391"/>
      <c r="U506" s="391"/>
      <c r="V506" s="391"/>
      <c r="W506" s="391"/>
      <c r="X506" s="391"/>
      <c r="Y506" s="391"/>
      <c r="Z506" s="391"/>
      <c r="AA506" s="391"/>
      <c r="AB506" s="391"/>
      <c r="AC506" s="391"/>
      <c r="AD506" s="391"/>
      <c r="AE506" s="391"/>
    </row>
    <row r="507">
      <c r="A507" s="391"/>
      <c r="B507" s="391"/>
      <c r="C507" s="391"/>
      <c r="D507" s="391"/>
      <c r="E507" s="391"/>
      <c r="F507" s="391"/>
      <c r="G507" s="391"/>
      <c r="H507" s="391"/>
      <c r="I507" s="391"/>
      <c r="J507" s="391"/>
      <c r="K507" s="391"/>
      <c r="L507" s="391"/>
      <c r="M507" s="391"/>
      <c r="N507" s="391"/>
      <c r="O507" s="391"/>
      <c r="P507" s="391"/>
      <c r="Q507" s="391"/>
      <c r="R507" s="391"/>
      <c r="S507" s="391"/>
      <c r="T507" s="391"/>
      <c r="U507" s="391"/>
      <c r="V507" s="391"/>
      <c r="W507" s="391"/>
      <c r="X507" s="391"/>
      <c r="Y507" s="391"/>
      <c r="Z507" s="391"/>
      <c r="AA507" s="391"/>
      <c r="AB507" s="391"/>
      <c r="AC507" s="391"/>
      <c r="AD507" s="391"/>
      <c r="AE507" s="391"/>
    </row>
    <row r="508">
      <c r="A508" s="391"/>
      <c r="B508" s="391"/>
      <c r="C508" s="391"/>
      <c r="D508" s="391"/>
      <c r="E508" s="391"/>
      <c r="F508" s="391"/>
      <c r="G508" s="391"/>
      <c r="H508" s="391"/>
      <c r="I508" s="391"/>
      <c r="J508" s="391"/>
      <c r="K508" s="391"/>
      <c r="L508" s="391"/>
      <c r="M508" s="391"/>
      <c r="N508" s="391"/>
      <c r="O508" s="391"/>
      <c r="P508" s="391"/>
      <c r="Q508" s="391"/>
      <c r="R508" s="391"/>
      <c r="S508" s="391"/>
      <c r="T508" s="391"/>
      <c r="U508" s="391"/>
      <c r="V508" s="391"/>
      <c r="W508" s="391"/>
      <c r="X508" s="391"/>
      <c r="Y508" s="391"/>
      <c r="Z508" s="391"/>
      <c r="AA508" s="391"/>
      <c r="AB508" s="391"/>
      <c r="AC508" s="391"/>
      <c r="AD508" s="391"/>
      <c r="AE508" s="391"/>
    </row>
    <row r="509">
      <c r="A509" s="391"/>
      <c r="B509" s="391"/>
      <c r="C509" s="391"/>
      <c r="D509" s="391"/>
      <c r="E509" s="391"/>
      <c r="F509" s="391"/>
      <c r="G509" s="391"/>
      <c r="H509" s="391"/>
      <c r="I509" s="391"/>
      <c r="J509" s="391"/>
      <c r="K509" s="391"/>
      <c r="L509" s="391"/>
      <c r="M509" s="391"/>
      <c r="N509" s="391"/>
      <c r="O509" s="391"/>
      <c r="P509" s="391"/>
      <c r="Q509" s="391"/>
      <c r="R509" s="391"/>
      <c r="S509" s="391"/>
      <c r="T509" s="391"/>
      <c r="U509" s="391"/>
      <c r="V509" s="391"/>
      <c r="W509" s="391"/>
      <c r="X509" s="391"/>
      <c r="Y509" s="391"/>
      <c r="Z509" s="391"/>
      <c r="AA509" s="391"/>
      <c r="AB509" s="391"/>
      <c r="AC509" s="391"/>
      <c r="AD509" s="391"/>
      <c r="AE509" s="391"/>
    </row>
    <row r="510">
      <c r="A510" s="391"/>
      <c r="B510" s="391"/>
      <c r="C510" s="391"/>
      <c r="D510" s="391"/>
      <c r="E510" s="391"/>
      <c r="F510" s="391"/>
      <c r="G510" s="391"/>
      <c r="H510" s="391"/>
      <c r="I510" s="391"/>
      <c r="J510" s="391"/>
      <c r="K510" s="391"/>
      <c r="L510" s="391"/>
      <c r="M510" s="391"/>
      <c r="N510" s="391"/>
      <c r="O510" s="391"/>
      <c r="P510" s="391"/>
      <c r="Q510" s="391"/>
      <c r="R510" s="391"/>
      <c r="S510" s="391"/>
      <c r="T510" s="391"/>
      <c r="U510" s="391"/>
      <c r="V510" s="391"/>
      <c r="W510" s="391"/>
      <c r="X510" s="391"/>
      <c r="Y510" s="391"/>
      <c r="Z510" s="391"/>
      <c r="AA510" s="391"/>
      <c r="AB510" s="391"/>
      <c r="AC510" s="391"/>
      <c r="AD510" s="391"/>
      <c r="AE510" s="391"/>
    </row>
    <row r="511">
      <c r="A511" s="391"/>
      <c r="B511" s="391"/>
      <c r="C511" s="391"/>
      <c r="D511" s="391"/>
      <c r="E511" s="391"/>
      <c r="F511" s="391"/>
      <c r="G511" s="391"/>
      <c r="H511" s="391"/>
      <c r="I511" s="391"/>
      <c r="J511" s="391"/>
      <c r="K511" s="391"/>
      <c r="L511" s="391"/>
      <c r="M511" s="391"/>
      <c r="N511" s="391"/>
      <c r="O511" s="391"/>
      <c r="P511" s="391"/>
      <c r="Q511" s="391"/>
      <c r="R511" s="391"/>
      <c r="S511" s="391"/>
      <c r="T511" s="391"/>
      <c r="U511" s="391"/>
      <c r="V511" s="391"/>
      <c r="W511" s="391"/>
      <c r="X511" s="391"/>
      <c r="Y511" s="391"/>
      <c r="Z511" s="391"/>
      <c r="AA511" s="391"/>
      <c r="AB511" s="391"/>
      <c r="AC511" s="391"/>
      <c r="AD511" s="391"/>
      <c r="AE511" s="391"/>
    </row>
    <row r="512">
      <c r="A512" s="391"/>
      <c r="B512" s="391"/>
      <c r="C512" s="391"/>
      <c r="D512" s="391"/>
      <c r="E512" s="391"/>
      <c r="F512" s="391"/>
      <c r="G512" s="391"/>
      <c r="H512" s="391"/>
      <c r="I512" s="391"/>
      <c r="J512" s="391"/>
      <c r="K512" s="391"/>
      <c r="L512" s="391"/>
      <c r="M512" s="391"/>
      <c r="N512" s="391"/>
      <c r="O512" s="391"/>
      <c r="P512" s="391"/>
      <c r="Q512" s="391"/>
      <c r="R512" s="391"/>
      <c r="S512" s="391"/>
      <c r="T512" s="391"/>
      <c r="U512" s="391"/>
      <c r="V512" s="391"/>
      <c r="W512" s="391"/>
      <c r="X512" s="391"/>
      <c r="Y512" s="391"/>
      <c r="Z512" s="391"/>
      <c r="AA512" s="391"/>
      <c r="AB512" s="391"/>
      <c r="AC512" s="391"/>
      <c r="AD512" s="391"/>
      <c r="AE512" s="391"/>
    </row>
    <row r="513">
      <c r="A513" s="391"/>
      <c r="B513" s="391"/>
      <c r="C513" s="391"/>
      <c r="D513" s="391"/>
      <c r="E513" s="391"/>
      <c r="F513" s="391"/>
      <c r="G513" s="391"/>
      <c r="H513" s="391"/>
      <c r="I513" s="391"/>
      <c r="J513" s="391"/>
      <c r="K513" s="391"/>
      <c r="L513" s="391"/>
      <c r="M513" s="391"/>
      <c r="N513" s="391"/>
      <c r="O513" s="391"/>
      <c r="P513" s="391"/>
      <c r="Q513" s="391"/>
      <c r="R513" s="391"/>
      <c r="S513" s="391"/>
      <c r="T513" s="391"/>
      <c r="U513" s="391"/>
      <c r="V513" s="391"/>
      <c r="W513" s="391"/>
      <c r="X513" s="391"/>
      <c r="Y513" s="391"/>
      <c r="Z513" s="391"/>
      <c r="AA513" s="391"/>
      <c r="AB513" s="391"/>
      <c r="AC513" s="391"/>
      <c r="AD513" s="391"/>
      <c r="AE513" s="391"/>
    </row>
    <row r="514">
      <c r="A514" s="391"/>
      <c r="B514" s="391"/>
      <c r="C514" s="391"/>
      <c r="D514" s="391"/>
      <c r="E514" s="391"/>
      <c r="F514" s="391"/>
      <c r="G514" s="391"/>
      <c r="H514" s="391"/>
      <c r="I514" s="391"/>
      <c r="J514" s="391"/>
      <c r="K514" s="391"/>
      <c r="L514" s="391"/>
      <c r="M514" s="391"/>
      <c r="N514" s="391"/>
      <c r="O514" s="391"/>
      <c r="P514" s="391"/>
      <c r="Q514" s="391"/>
      <c r="R514" s="391"/>
      <c r="S514" s="391"/>
      <c r="T514" s="391"/>
      <c r="U514" s="391"/>
      <c r="V514" s="391"/>
      <c r="W514" s="391"/>
      <c r="X514" s="391"/>
      <c r="Y514" s="391"/>
      <c r="Z514" s="391"/>
      <c r="AA514" s="391"/>
      <c r="AB514" s="391"/>
      <c r="AC514" s="391"/>
      <c r="AD514" s="391"/>
      <c r="AE514" s="391"/>
    </row>
    <row r="515">
      <c r="A515" s="391"/>
      <c r="B515" s="391"/>
      <c r="C515" s="391"/>
      <c r="D515" s="391"/>
      <c r="E515" s="391"/>
      <c r="F515" s="391"/>
      <c r="G515" s="391"/>
      <c r="H515" s="391"/>
      <c r="I515" s="391"/>
      <c r="J515" s="391"/>
      <c r="K515" s="391"/>
      <c r="L515" s="391"/>
      <c r="M515" s="391"/>
      <c r="N515" s="391"/>
      <c r="O515" s="391"/>
      <c r="P515" s="391"/>
      <c r="Q515" s="391"/>
      <c r="R515" s="391"/>
      <c r="S515" s="391"/>
      <c r="T515" s="391"/>
      <c r="U515" s="391"/>
      <c r="V515" s="391"/>
      <c r="W515" s="391"/>
      <c r="X515" s="391"/>
      <c r="Y515" s="391"/>
      <c r="Z515" s="391"/>
      <c r="AA515" s="391"/>
      <c r="AB515" s="391"/>
      <c r="AC515" s="391"/>
      <c r="AD515" s="391"/>
      <c r="AE515" s="391"/>
    </row>
    <row r="516">
      <c r="A516" s="391"/>
      <c r="B516" s="391"/>
      <c r="C516" s="391"/>
      <c r="D516" s="391"/>
      <c r="E516" s="391"/>
      <c r="F516" s="391"/>
      <c r="G516" s="391"/>
      <c r="H516" s="391"/>
      <c r="I516" s="391"/>
      <c r="J516" s="391"/>
      <c r="K516" s="391"/>
      <c r="L516" s="391"/>
      <c r="M516" s="391"/>
      <c r="N516" s="391"/>
      <c r="O516" s="391"/>
      <c r="P516" s="391"/>
      <c r="Q516" s="391"/>
      <c r="R516" s="391"/>
      <c r="S516" s="391"/>
      <c r="T516" s="391"/>
      <c r="U516" s="391"/>
      <c r="V516" s="391"/>
      <c r="W516" s="391"/>
      <c r="X516" s="391"/>
      <c r="Y516" s="391"/>
      <c r="Z516" s="391"/>
      <c r="AA516" s="391"/>
      <c r="AB516" s="391"/>
      <c r="AC516" s="391"/>
      <c r="AD516" s="391"/>
      <c r="AE516" s="391"/>
    </row>
    <row r="517">
      <c r="A517" s="391"/>
      <c r="B517" s="391"/>
      <c r="C517" s="391"/>
      <c r="D517" s="391"/>
      <c r="E517" s="391"/>
      <c r="F517" s="391"/>
      <c r="G517" s="391"/>
      <c r="H517" s="391"/>
      <c r="I517" s="391"/>
      <c r="J517" s="391"/>
      <c r="K517" s="391"/>
      <c r="L517" s="391"/>
      <c r="M517" s="391"/>
      <c r="N517" s="391"/>
      <c r="O517" s="391"/>
      <c r="P517" s="391"/>
      <c r="Q517" s="391"/>
      <c r="R517" s="391"/>
      <c r="S517" s="391"/>
      <c r="T517" s="391"/>
      <c r="U517" s="391"/>
      <c r="V517" s="391"/>
      <c r="W517" s="391"/>
      <c r="X517" s="391"/>
      <c r="Y517" s="391"/>
      <c r="Z517" s="391"/>
      <c r="AA517" s="391"/>
      <c r="AB517" s="391"/>
      <c r="AC517" s="391"/>
      <c r="AD517" s="391"/>
      <c r="AE517" s="391"/>
    </row>
    <row r="518">
      <c r="A518" s="391"/>
      <c r="B518" s="391"/>
      <c r="C518" s="391"/>
      <c r="D518" s="391"/>
      <c r="E518" s="391"/>
      <c r="F518" s="391"/>
      <c r="G518" s="391"/>
      <c r="H518" s="391"/>
      <c r="I518" s="391"/>
      <c r="J518" s="391"/>
      <c r="K518" s="391"/>
      <c r="L518" s="391"/>
      <c r="M518" s="391"/>
      <c r="N518" s="391"/>
      <c r="O518" s="391"/>
      <c r="P518" s="391"/>
      <c r="Q518" s="391"/>
      <c r="R518" s="391"/>
      <c r="S518" s="391"/>
      <c r="T518" s="391"/>
      <c r="U518" s="391"/>
      <c r="V518" s="391"/>
      <c r="W518" s="391"/>
      <c r="X518" s="391"/>
      <c r="Y518" s="391"/>
      <c r="Z518" s="391"/>
      <c r="AA518" s="391"/>
      <c r="AB518" s="391"/>
      <c r="AC518" s="391"/>
      <c r="AD518" s="391"/>
      <c r="AE518" s="391"/>
    </row>
    <row r="519">
      <c r="A519" s="391"/>
      <c r="B519" s="391"/>
      <c r="C519" s="391"/>
      <c r="D519" s="391"/>
      <c r="E519" s="391"/>
      <c r="F519" s="391"/>
      <c r="G519" s="391"/>
      <c r="H519" s="391"/>
      <c r="I519" s="391"/>
      <c r="J519" s="391"/>
      <c r="K519" s="391"/>
      <c r="L519" s="391"/>
      <c r="M519" s="391"/>
      <c r="N519" s="391"/>
      <c r="O519" s="391"/>
      <c r="P519" s="391"/>
      <c r="Q519" s="391"/>
      <c r="R519" s="391"/>
      <c r="S519" s="391"/>
      <c r="T519" s="391"/>
      <c r="U519" s="391"/>
      <c r="V519" s="391"/>
      <c r="W519" s="391"/>
      <c r="X519" s="391"/>
      <c r="Y519" s="391"/>
      <c r="Z519" s="391"/>
      <c r="AA519" s="391"/>
      <c r="AB519" s="391"/>
      <c r="AC519" s="391"/>
      <c r="AD519" s="391"/>
      <c r="AE519" s="391"/>
    </row>
    <row r="520">
      <c r="A520" s="391"/>
      <c r="B520" s="391"/>
      <c r="C520" s="391"/>
      <c r="D520" s="391"/>
      <c r="E520" s="391"/>
      <c r="F520" s="391"/>
      <c r="G520" s="391"/>
      <c r="H520" s="391"/>
      <c r="I520" s="391"/>
      <c r="J520" s="391"/>
      <c r="K520" s="391"/>
      <c r="L520" s="391"/>
      <c r="M520" s="391"/>
      <c r="N520" s="391"/>
      <c r="O520" s="391"/>
      <c r="P520" s="391"/>
      <c r="Q520" s="391"/>
      <c r="R520" s="391"/>
      <c r="S520" s="391"/>
      <c r="T520" s="391"/>
      <c r="U520" s="391"/>
      <c r="V520" s="391"/>
      <c r="W520" s="391"/>
      <c r="X520" s="391"/>
      <c r="Y520" s="391"/>
      <c r="Z520" s="391"/>
      <c r="AA520" s="391"/>
      <c r="AB520" s="391"/>
      <c r="AC520" s="391"/>
      <c r="AD520" s="391"/>
      <c r="AE520" s="391"/>
    </row>
    <row r="521">
      <c r="A521" s="391"/>
      <c r="B521" s="391"/>
      <c r="C521" s="391"/>
      <c r="D521" s="391"/>
      <c r="E521" s="391"/>
      <c r="F521" s="391"/>
      <c r="G521" s="391"/>
      <c r="H521" s="391"/>
      <c r="I521" s="391"/>
      <c r="J521" s="391"/>
      <c r="K521" s="391"/>
      <c r="L521" s="391"/>
      <c r="M521" s="391"/>
      <c r="N521" s="391"/>
      <c r="O521" s="391"/>
      <c r="P521" s="391"/>
      <c r="Q521" s="391"/>
      <c r="R521" s="391"/>
      <c r="S521" s="391"/>
      <c r="T521" s="391"/>
      <c r="U521" s="391"/>
      <c r="V521" s="391"/>
      <c r="W521" s="391"/>
      <c r="X521" s="391"/>
      <c r="Y521" s="391"/>
      <c r="Z521" s="391"/>
      <c r="AA521" s="391"/>
      <c r="AB521" s="391"/>
      <c r="AC521" s="391"/>
      <c r="AD521" s="391"/>
      <c r="AE521" s="391"/>
    </row>
    <row r="522">
      <c r="A522" s="391"/>
      <c r="B522" s="391"/>
      <c r="C522" s="391"/>
      <c r="D522" s="391"/>
      <c r="E522" s="391"/>
      <c r="F522" s="391"/>
      <c r="G522" s="391"/>
      <c r="H522" s="391"/>
      <c r="I522" s="391"/>
      <c r="J522" s="391"/>
      <c r="K522" s="391"/>
      <c r="L522" s="391"/>
      <c r="M522" s="391"/>
      <c r="N522" s="391"/>
      <c r="O522" s="391"/>
      <c r="P522" s="391"/>
      <c r="Q522" s="391"/>
      <c r="R522" s="391"/>
      <c r="S522" s="391"/>
      <c r="T522" s="391"/>
      <c r="U522" s="391"/>
      <c r="V522" s="391"/>
      <c r="W522" s="391"/>
      <c r="X522" s="391"/>
      <c r="Y522" s="391"/>
      <c r="Z522" s="391"/>
      <c r="AA522" s="391"/>
      <c r="AB522" s="391"/>
      <c r="AC522" s="391"/>
      <c r="AD522" s="391"/>
      <c r="AE522" s="391"/>
    </row>
    <row r="523">
      <c r="A523" s="391"/>
      <c r="B523" s="391"/>
      <c r="C523" s="391"/>
      <c r="D523" s="391"/>
      <c r="E523" s="391"/>
      <c r="F523" s="391"/>
      <c r="G523" s="391"/>
      <c r="H523" s="391"/>
      <c r="I523" s="391"/>
      <c r="J523" s="391"/>
      <c r="K523" s="391"/>
      <c r="L523" s="391"/>
      <c r="M523" s="391"/>
      <c r="N523" s="391"/>
      <c r="O523" s="391"/>
      <c r="P523" s="391"/>
      <c r="Q523" s="391"/>
      <c r="R523" s="391"/>
      <c r="S523" s="391"/>
      <c r="T523" s="391"/>
      <c r="U523" s="391"/>
      <c r="V523" s="391"/>
      <c r="W523" s="391"/>
      <c r="X523" s="391"/>
      <c r="Y523" s="391"/>
      <c r="Z523" s="391"/>
      <c r="AA523" s="391"/>
      <c r="AB523" s="391"/>
      <c r="AC523" s="391"/>
      <c r="AD523" s="391"/>
      <c r="AE523" s="391"/>
    </row>
    <row r="524">
      <c r="A524" s="391"/>
      <c r="B524" s="391"/>
      <c r="C524" s="391"/>
      <c r="D524" s="391"/>
      <c r="E524" s="391"/>
      <c r="F524" s="391"/>
      <c r="G524" s="391"/>
      <c r="H524" s="391"/>
      <c r="I524" s="391"/>
      <c r="J524" s="391"/>
      <c r="K524" s="391"/>
      <c r="L524" s="391"/>
      <c r="M524" s="391"/>
      <c r="N524" s="391"/>
      <c r="O524" s="391"/>
      <c r="P524" s="391"/>
      <c r="Q524" s="391"/>
      <c r="R524" s="391"/>
      <c r="S524" s="391"/>
      <c r="T524" s="391"/>
      <c r="U524" s="391"/>
      <c r="V524" s="391"/>
      <c r="W524" s="391"/>
      <c r="X524" s="391"/>
      <c r="Y524" s="391"/>
      <c r="Z524" s="391"/>
      <c r="AA524" s="391"/>
      <c r="AB524" s="391"/>
      <c r="AC524" s="391"/>
      <c r="AD524" s="391"/>
      <c r="AE524" s="391"/>
    </row>
    <row r="525">
      <c r="A525" s="391"/>
      <c r="B525" s="391"/>
      <c r="C525" s="391"/>
      <c r="D525" s="391"/>
      <c r="E525" s="391"/>
      <c r="F525" s="391"/>
      <c r="G525" s="391"/>
      <c r="H525" s="391"/>
      <c r="I525" s="391"/>
      <c r="J525" s="391"/>
      <c r="K525" s="391"/>
      <c r="L525" s="391"/>
      <c r="M525" s="391"/>
      <c r="N525" s="391"/>
      <c r="O525" s="391"/>
      <c r="P525" s="391"/>
      <c r="Q525" s="391"/>
      <c r="R525" s="391"/>
      <c r="S525" s="391"/>
      <c r="T525" s="391"/>
      <c r="U525" s="391"/>
      <c r="V525" s="391"/>
      <c r="W525" s="391"/>
      <c r="X525" s="391"/>
      <c r="Y525" s="391"/>
      <c r="Z525" s="391"/>
      <c r="AA525" s="391"/>
      <c r="AB525" s="391"/>
      <c r="AC525" s="391"/>
      <c r="AD525" s="391"/>
      <c r="AE525" s="391"/>
    </row>
    <row r="526">
      <c r="A526" s="391"/>
      <c r="B526" s="391"/>
      <c r="C526" s="391"/>
      <c r="D526" s="391"/>
      <c r="E526" s="391"/>
      <c r="F526" s="391"/>
      <c r="G526" s="391"/>
      <c r="H526" s="391"/>
      <c r="I526" s="391"/>
      <c r="J526" s="391"/>
      <c r="K526" s="391"/>
      <c r="L526" s="391"/>
      <c r="M526" s="391"/>
      <c r="N526" s="391"/>
      <c r="O526" s="391"/>
      <c r="P526" s="391"/>
      <c r="Q526" s="391"/>
      <c r="R526" s="391"/>
      <c r="S526" s="391"/>
      <c r="T526" s="391"/>
      <c r="U526" s="391"/>
      <c r="V526" s="391"/>
      <c r="W526" s="391"/>
      <c r="X526" s="391"/>
      <c r="Y526" s="391"/>
      <c r="Z526" s="391"/>
      <c r="AA526" s="391"/>
      <c r="AB526" s="391"/>
      <c r="AC526" s="391"/>
      <c r="AD526" s="391"/>
      <c r="AE526" s="391"/>
    </row>
    <row r="527">
      <c r="A527" s="391"/>
      <c r="B527" s="391"/>
      <c r="C527" s="391"/>
      <c r="D527" s="391"/>
      <c r="E527" s="391"/>
      <c r="F527" s="391"/>
      <c r="G527" s="391"/>
      <c r="H527" s="391"/>
      <c r="I527" s="391"/>
      <c r="J527" s="391"/>
      <c r="K527" s="391"/>
      <c r="L527" s="391"/>
      <c r="M527" s="391"/>
      <c r="N527" s="391"/>
      <c r="O527" s="391"/>
      <c r="P527" s="391"/>
      <c r="Q527" s="391"/>
      <c r="R527" s="391"/>
      <c r="S527" s="391"/>
      <c r="T527" s="391"/>
      <c r="U527" s="391"/>
      <c r="V527" s="391"/>
      <c r="W527" s="391"/>
      <c r="X527" s="391"/>
      <c r="Y527" s="391"/>
      <c r="Z527" s="391"/>
      <c r="AA527" s="391"/>
      <c r="AB527" s="391"/>
      <c r="AC527" s="391"/>
      <c r="AD527" s="391"/>
      <c r="AE527" s="391"/>
    </row>
    <row r="528">
      <c r="A528" s="391"/>
      <c r="B528" s="391"/>
      <c r="C528" s="391"/>
      <c r="D528" s="391"/>
      <c r="E528" s="391"/>
      <c r="F528" s="391"/>
      <c r="G528" s="391"/>
      <c r="H528" s="391"/>
      <c r="I528" s="391"/>
      <c r="J528" s="391"/>
      <c r="K528" s="391"/>
      <c r="L528" s="391"/>
      <c r="M528" s="391"/>
      <c r="N528" s="391"/>
      <c r="O528" s="391"/>
      <c r="P528" s="391"/>
      <c r="Q528" s="391"/>
      <c r="R528" s="391"/>
      <c r="S528" s="391"/>
      <c r="T528" s="391"/>
      <c r="U528" s="391"/>
      <c r="V528" s="391"/>
      <c r="W528" s="391"/>
      <c r="X528" s="391"/>
      <c r="Y528" s="391"/>
      <c r="Z528" s="391"/>
      <c r="AA528" s="391"/>
      <c r="AB528" s="391"/>
      <c r="AC528" s="391"/>
      <c r="AD528" s="391"/>
      <c r="AE528" s="391"/>
    </row>
    <row r="529">
      <c r="A529" s="391"/>
      <c r="B529" s="391"/>
      <c r="C529" s="391"/>
      <c r="D529" s="391"/>
      <c r="E529" s="391"/>
      <c r="F529" s="391"/>
      <c r="G529" s="391"/>
      <c r="H529" s="391"/>
      <c r="I529" s="391"/>
      <c r="J529" s="391"/>
      <c r="K529" s="391"/>
      <c r="L529" s="391"/>
      <c r="M529" s="391"/>
      <c r="N529" s="391"/>
      <c r="O529" s="391"/>
      <c r="P529" s="391"/>
      <c r="Q529" s="391"/>
      <c r="R529" s="391"/>
      <c r="S529" s="391"/>
      <c r="T529" s="391"/>
      <c r="U529" s="391"/>
      <c r="V529" s="391"/>
      <c r="W529" s="391"/>
      <c r="X529" s="391"/>
      <c r="Y529" s="391"/>
      <c r="Z529" s="391"/>
      <c r="AA529" s="391"/>
      <c r="AB529" s="391"/>
      <c r="AC529" s="391"/>
      <c r="AD529" s="391"/>
      <c r="AE529" s="391"/>
    </row>
    <row r="530">
      <c r="A530" s="391"/>
      <c r="B530" s="391"/>
      <c r="C530" s="391"/>
      <c r="D530" s="391"/>
      <c r="E530" s="391"/>
      <c r="F530" s="391"/>
      <c r="G530" s="391"/>
      <c r="H530" s="391"/>
      <c r="I530" s="391"/>
      <c r="J530" s="391"/>
      <c r="K530" s="391"/>
      <c r="L530" s="391"/>
      <c r="M530" s="391"/>
      <c r="N530" s="391"/>
      <c r="O530" s="391"/>
      <c r="P530" s="391"/>
      <c r="Q530" s="391"/>
      <c r="R530" s="391"/>
      <c r="S530" s="391"/>
      <c r="T530" s="391"/>
      <c r="U530" s="391"/>
      <c r="V530" s="391"/>
      <c r="W530" s="391"/>
      <c r="X530" s="391"/>
      <c r="Y530" s="391"/>
      <c r="Z530" s="391"/>
      <c r="AA530" s="391"/>
      <c r="AB530" s="391"/>
      <c r="AC530" s="391"/>
      <c r="AD530" s="391"/>
      <c r="AE530" s="391"/>
    </row>
    <row r="531">
      <c r="A531" s="391"/>
      <c r="B531" s="391"/>
      <c r="C531" s="391"/>
      <c r="D531" s="391"/>
      <c r="E531" s="391"/>
      <c r="F531" s="391"/>
      <c r="G531" s="391"/>
      <c r="H531" s="391"/>
      <c r="I531" s="391"/>
      <c r="J531" s="391"/>
      <c r="K531" s="391"/>
      <c r="L531" s="391"/>
      <c r="M531" s="391"/>
      <c r="N531" s="391"/>
      <c r="O531" s="391"/>
      <c r="P531" s="391"/>
      <c r="Q531" s="391"/>
      <c r="R531" s="391"/>
      <c r="S531" s="391"/>
      <c r="T531" s="391"/>
      <c r="U531" s="391"/>
      <c r="V531" s="391"/>
      <c r="W531" s="391"/>
      <c r="X531" s="391"/>
      <c r="Y531" s="391"/>
      <c r="Z531" s="391"/>
      <c r="AA531" s="391"/>
      <c r="AB531" s="391"/>
      <c r="AC531" s="391"/>
      <c r="AD531" s="391"/>
      <c r="AE531" s="391"/>
    </row>
    <row r="532">
      <c r="A532" s="391"/>
      <c r="B532" s="391"/>
      <c r="C532" s="391"/>
      <c r="D532" s="391"/>
      <c r="E532" s="391"/>
      <c r="F532" s="391"/>
      <c r="G532" s="391"/>
      <c r="H532" s="391"/>
      <c r="I532" s="391"/>
      <c r="J532" s="391"/>
      <c r="K532" s="391"/>
      <c r="L532" s="391"/>
      <c r="M532" s="391"/>
      <c r="N532" s="391"/>
      <c r="O532" s="391"/>
      <c r="P532" s="391"/>
      <c r="Q532" s="391"/>
      <c r="R532" s="391"/>
      <c r="S532" s="391"/>
      <c r="T532" s="391"/>
      <c r="U532" s="391"/>
      <c r="V532" s="391"/>
      <c r="W532" s="391"/>
      <c r="X532" s="391"/>
      <c r="Y532" s="391"/>
      <c r="Z532" s="391"/>
      <c r="AA532" s="391"/>
      <c r="AB532" s="391"/>
      <c r="AC532" s="391"/>
      <c r="AD532" s="391"/>
      <c r="AE532" s="391"/>
    </row>
    <row r="533">
      <c r="A533" s="391"/>
      <c r="B533" s="391"/>
      <c r="C533" s="391"/>
      <c r="D533" s="391"/>
      <c r="E533" s="391"/>
      <c r="F533" s="391"/>
      <c r="G533" s="391"/>
      <c r="H533" s="391"/>
      <c r="I533" s="391"/>
      <c r="J533" s="391"/>
      <c r="K533" s="391"/>
      <c r="L533" s="391"/>
      <c r="M533" s="391"/>
      <c r="N533" s="391"/>
      <c r="O533" s="391"/>
      <c r="P533" s="391"/>
      <c r="Q533" s="391"/>
      <c r="R533" s="391"/>
      <c r="S533" s="391"/>
      <c r="T533" s="391"/>
      <c r="U533" s="391"/>
      <c r="V533" s="391"/>
      <c r="W533" s="391"/>
      <c r="X533" s="391"/>
      <c r="Y533" s="391"/>
      <c r="Z533" s="391"/>
      <c r="AA533" s="391"/>
      <c r="AB533" s="391"/>
      <c r="AC533" s="391"/>
      <c r="AD533" s="391"/>
      <c r="AE533" s="391"/>
    </row>
    <row r="534">
      <c r="A534" s="391"/>
      <c r="B534" s="391"/>
      <c r="C534" s="391"/>
      <c r="D534" s="391"/>
      <c r="E534" s="391"/>
      <c r="F534" s="391"/>
      <c r="G534" s="391"/>
      <c r="H534" s="391"/>
      <c r="I534" s="391"/>
      <c r="J534" s="391"/>
      <c r="K534" s="391"/>
      <c r="L534" s="391"/>
      <c r="M534" s="391"/>
      <c r="N534" s="391"/>
      <c r="O534" s="391"/>
      <c r="P534" s="391"/>
      <c r="Q534" s="391"/>
      <c r="R534" s="391"/>
      <c r="S534" s="391"/>
      <c r="T534" s="391"/>
      <c r="U534" s="391"/>
      <c r="V534" s="391"/>
      <c r="W534" s="391"/>
      <c r="X534" s="391"/>
      <c r="Y534" s="391"/>
      <c r="Z534" s="391"/>
      <c r="AA534" s="391"/>
      <c r="AB534" s="391"/>
      <c r="AC534" s="391"/>
      <c r="AD534" s="391"/>
      <c r="AE534" s="391"/>
    </row>
    <row r="535">
      <c r="A535" s="391"/>
      <c r="B535" s="391"/>
      <c r="C535" s="391"/>
      <c r="D535" s="391"/>
      <c r="E535" s="391"/>
      <c r="F535" s="391"/>
      <c r="G535" s="391"/>
      <c r="H535" s="391"/>
      <c r="I535" s="391"/>
      <c r="J535" s="391"/>
      <c r="K535" s="391"/>
      <c r="L535" s="391"/>
      <c r="M535" s="391"/>
      <c r="N535" s="391"/>
      <c r="O535" s="391"/>
      <c r="P535" s="391"/>
      <c r="Q535" s="391"/>
      <c r="R535" s="391"/>
      <c r="S535" s="391"/>
      <c r="T535" s="391"/>
      <c r="U535" s="391"/>
      <c r="V535" s="391"/>
      <c r="W535" s="391"/>
      <c r="X535" s="391"/>
      <c r="Y535" s="391"/>
      <c r="Z535" s="391"/>
      <c r="AA535" s="391"/>
      <c r="AB535" s="391"/>
      <c r="AC535" s="391"/>
      <c r="AD535" s="391"/>
      <c r="AE535" s="391"/>
    </row>
    <row r="536">
      <c r="A536" s="391"/>
      <c r="B536" s="391"/>
      <c r="C536" s="391"/>
      <c r="D536" s="391"/>
      <c r="E536" s="391"/>
      <c r="F536" s="391"/>
      <c r="G536" s="391"/>
      <c r="H536" s="391"/>
      <c r="I536" s="391"/>
      <c r="J536" s="391"/>
      <c r="K536" s="391"/>
      <c r="L536" s="391"/>
      <c r="M536" s="391"/>
      <c r="N536" s="391"/>
      <c r="O536" s="391"/>
      <c r="P536" s="391"/>
      <c r="Q536" s="391"/>
      <c r="R536" s="391"/>
      <c r="S536" s="391"/>
      <c r="T536" s="391"/>
      <c r="U536" s="391"/>
      <c r="V536" s="391"/>
      <c r="W536" s="391"/>
      <c r="X536" s="391"/>
      <c r="Y536" s="391"/>
      <c r="Z536" s="391"/>
      <c r="AA536" s="391"/>
      <c r="AB536" s="391"/>
      <c r="AC536" s="391"/>
      <c r="AD536" s="391"/>
      <c r="AE536" s="391"/>
    </row>
    <row r="537">
      <c r="A537" s="391"/>
      <c r="B537" s="391"/>
      <c r="C537" s="391"/>
      <c r="D537" s="391"/>
      <c r="E537" s="391"/>
      <c r="F537" s="391"/>
      <c r="G537" s="391"/>
      <c r="H537" s="391"/>
      <c r="I537" s="391"/>
      <c r="J537" s="391"/>
      <c r="K537" s="391"/>
      <c r="L537" s="391"/>
      <c r="M537" s="391"/>
      <c r="N537" s="391"/>
      <c r="O537" s="391"/>
      <c r="P537" s="391"/>
      <c r="Q537" s="391"/>
      <c r="R537" s="391"/>
      <c r="S537" s="391"/>
      <c r="T537" s="391"/>
      <c r="U537" s="391"/>
      <c r="V537" s="391"/>
      <c r="W537" s="391"/>
      <c r="X537" s="391"/>
      <c r="Y537" s="391"/>
      <c r="Z537" s="391"/>
      <c r="AA537" s="391"/>
      <c r="AB537" s="391"/>
      <c r="AC537" s="391"/>
      <c r="AD537" s="391"/>
      <c r="AE537" s="391"/>
    </row>
    <row r="538">
      <c r="A538" s="391"/>
      <c r="B538" s="391"/>
      <c r="C538" s="391"/>
      <c r="D538" s="391"/>
      <c r="E538" s="391"/>
      <c r="F538" s="391"/>
      <c r="G538" s="391"/>
      <c r="H538" s="391"/>
      <c r="I538" s="391"/>
      <c r="J538" s="391"/>
      <c r="K538" s="391"/>
      <c r="L538" s="391"/>
      <c r="M538" s="391"/>
      <c r="N538" s="391"/>
      <c r="O538" s="391"/>
      <c r="P538" s="391"/>
      <c r="Q538" s="391"/>
      <c r="R538" s="391"/>
      <c r="S538" s="391"/>
      <c r="T538" s="391"/>
      <c r="U538" s="391"/>
      <c r="V538" s="391"/>
      <c r="W538" s="391"/>
      <c r="X538" s="391"/>
      <c r="Y538" s="391"/>
      <c r="Z538" s="391"/>
      <c r="AA538" s="391"/>
      <c r="AB538" s="391"/>
      <c r="AC538" s="391"/>
      <c r="AD538" s="391"/>
      <c r="AE538" s="391"/>
    </row>
    <row r="539">
      <c r="A539" s="391"/>
      <c r="B539" s="391"/>
      <c r="C539" s="391"/>
      <c r="D539" s="391"/>
      <c r="E539" s="391"/>
      <c r="F539" s="391"/>
      <c r="G539" s="391"/>
      <c r="H539" s="391"/>
      <c r="I539" s="391"/>
      <c r="J539" s="391"/>
      <c r="K539" s="391"/>
      <c r="L539" s="391"/>
      <c r="M539" s="391"/>
      <c r="N539" s="391"/>
      <c r="O539" s="391"/>
      <c r="P539" s="391"/>
      <c r="Q539" s="391"/>
      <c r="R539" s="391"/>
      <c r="S539" s="391"/>
      <c r="T539" s="391"/>
      <c r="U539" s="391"/>
      <c r="V539" s="391"/>
      <c r="W539" s="391"/>
      <c r="X539" s="391"/>
      <c r="Y539" s="391"/>
      <c r="Z539" s="391"/>
      <c r="AA539" s="391"/>
      <c r="AB539" s="391"/>
      <c r="AC539" s="391"/>
      <c r="AD539" s="391"/>
      <c r="AE539" s="391"/>
    </row>
    <row r="540">
      <c r="A540" s="391"/>
      <c r="B540" s="391"/>
      <c r="C540" s="391"/>
      <c r="D540" s="391"/>
      <c r="E540" s="391"/>
      <c r="F540" s="391"/>
      <c r="G540" s="391"/>
      <c r="H540" s="391"/>
      <c r="I540" s="391"/>
      <c r="J540" s="391"/>
      <c r="K540" s="391"/>
      <c r="L540" s="391"/>
      <c r="M540" s="391"/>
      <c r="N540" s="391"/>
      <c r="O540" s="391"/>
      <c r="P540" s="391"/>
      <c r="Q540" s="391"/>
      <c r="R540" s="391"/>
      <c r="S540" s="391"/>
      <c r="T540" s="391"/>
      <c r="U540" s="391"/>
      <c r="V540" s="391"/>
      <c r="W540" s="391"/>
      <c r="X540" s="391"/>
      <c r="Y540" s="391"/>
      <c r="Z540" s="391"/>
      <c r="AA540" s="391"/>
      <c r="AB540" s="391"/>
      <c r="AC540" s="391"/>
      <c r="AD540" s="391"/>
      <c r="AE540" s="391"/>
    </row>
    <row r="541">
      <c r="A541" s="391"/>
      <c r="B541" s="391"/>
      <c r="C541" s="391"/>
      <c r="D541" s="391"/>
      <c r="E541" s="391"/>
      <c r="F541" s="391"/>
      <c r="G541" s="391"/>
      <c r="H541" s="391"/>
      <c r="I541" s="391"/>
      <c r="J541" s="391"/>
      <c r="K541" s="391"/>
      <c r="L541" s="391"/>
      <c r="M541" s="391"/>
      <c r="N541" s="391"/>
      <c r="O541" s="391"/>
      <c r="P541" s="391"/>
      <c r="Q541" s="391"/>
      <c r="R541" s="391"/>
      <c r="S541" s="391"/>
      <c r="T541" s="391"/>
      <c r="U541" s="391"/>
      <c r="V541" s="391"/>
      <c r="W541" s="391"/>
      <c r="X541" s="391"/>
      <c r="Y541" s="391"/>
      <c r="Z541" s="391"/>
      <c r="AA541" s="391"/>
      <c r="AB541" s="391"/>
      <c r="AC541" s="391"/>
      <c r="AD541" s="391"/>
      <c r="AE541" s="391"/>
    </row>
    <row r="542">
      <c r="A542" s="391"/>
      <c r="B542" s="391"/>
      <c r="C542" s="391"/>
      <c r="D542" s="391"/>
      <c r="E542" s="391"/>
      <c r="F542" s="391"/>
      <c r="G542" s="391"/>
      <c r="H542" s="391"/>
      <c r="I542" s="391"/>
      <c r="J542" s="391"/>
      <c r="K542" s="391"/>
      <c r="L542" s="391"/>
      <c r="M542" s="391"/>
      <c r="N542" s="391"/>
      <c r="O542" s="391"/>
      <c r="P542" s="391"/>
      <c r="Q542" s="391"/>
      <c r="R542" s="391"/>
      <c r="S542" s="391"/>
      <c r="T542" s="391"/>
      <c r="U542" s="391"/>
      <c r="V542" s="391"/>
      <c r="W542" s="391"/>
      <c r="X542" s="391"/>
      <c r="Y542" s="391"/>
      <c r="Z542" s="391"/>
      <c r="AA542" s="391"/>
      <c r="AB542" s="391"/>
      <c r="AC542" s="391"/>
      <c r="AD542" s="391"/>
      <c r="AE542" s="391"/>
    </row>
    <row r="543">
      <c r="A543" s="391"/>
      <c r="B543" s="391"/>
      <c r="C543" s="391"/>
      <c r="D543" s="391"/>
      <c r="E543" s="391"/>
      <c r="F543" s="391"/>
      <c r="G543" s="391"/>
      <c r="H543" s="391"/>
      <c r="I543" s="391"/>
      <c r="J543" s="391"/>
      <c r="K543" s="391"/>
      <c r="L543" s="391"/>
      <c r="M543" s="391"/>
      <c r="N543" s="391"/>
      <c r="O543" s="391"/>
      <c r="P543" s="391"/>
      <c r="Q543" s="391"/>
      <c r="R543" s="391"/>
      <c r="S543" s="391"/>
      <c r="T543" s="391"/>
      <c r="U543" s="391"/>
      <c r="V543" s="391"/>
      <c r="W543" s="391"/>
      <c r="X543" s="391"/>
      <c r="Y543" s="391"/>
      <c r="Z543" s="391"/>
      <c r="AA543" s="391"/>
      <c r="AB543" s="391"/>
      <c r="AC543" s="391"/>
      <c r="AD543" s="391"/>
      <c r="AE543" s="391"/>
    </row>
    <row r="544">
      <c r="A544" s="391"/>
      <c r="B544" s="391"/>
      <c r="C544" s="391"/>
      <c r="D544" s="391"/>
      <c r="E544" s="391"/>
      <c r="F544" s="391"/>
      <c r="G544" s="391"/>
      <c r="H544" s="391"/>
      <c r="I544" s="391"/>
      <c r="J544" s="391"/>
      <c r="K544" s="391"/>
      <c r="L544" s="391"/>
      <c r="M544" s="391"/>
      <c r="N544" s="391"/>
      <c r="O544" s="391"/>
      <c r="P544" s="391"/>
      <c r="Q544" s="391"/>
      <c r="R544" s="391"/>
      <c r="S544" s="391"/>
      <c r="T544" s="391"/>
      <c r="U544" s="391"/>
      <c r="V544" s="391"/>
      <c r="W544" s="391"/>
      <c r="X544" s="391"/>
      <c r="Y544" s="391"/>
      <c r="Z544" s="391"/>
      <c r="AA544" s="391"/>
      <c r="AB544" s="391"/>
      <c r="AC544" s="391"/>
      <c r="AD544" s="391"/>
      <c r="AE544" s="391"/>
    </row>
    <row r="545">
      <c r="A545" s="391"/>
      <c r="B545" s="391"/>
      <c r="C545" s="391"/>
      <c r="D545" s="391"/>
      <c r="E545" s="391"/>
      <c r="F545" s="391"/>
      <c r="G545" s="391"/>
      <c r="H545" s="391"/>
      <c r="I545" s="391"/>
      <c r="J545" s="391"/>
      <c r="K545" s="391"/>
      <c r="L545" s="391"/>
      <c r="M545" s="391"/>
      <c r="N545" s="391"/>
      <c r="O545" s="391"/>
      <c r="P545" s="391"/>
      <c r="Q545" s="391"/>
      <c r="R545" s="391"/>
      <c r="S545" s="391"/>
      <c r="T545" s="391"/>
      <c r="U545" s="391"/>
      <c r="V545" s="391"/>
      <c r="W545" s="391"/>
      <c r="X545" s="391"/>
      <c r="Y545" s="391"/>
      <c r="Z545" s="391"/>
      <c r="AA545" s="391"/>
      <c r="AB545" s="391"/>
      <c r="AC545" s="391"/>
      <c r="AD545" s="391"/>
      <c r="AE545" s="391"/>
    </row>
    <row r="546">
      <c r="A546" s="391"/>
      <c r="B546" s="391"/>
      <c r="C546" s="391"/>
      <c r="D546" s="391"/>
      <c r="E546" s="391"/>
      <c r="F546" s="391"/>
      <c r="G546" s="391"/>
      <c r="H546" s="391"/>
      <c r="I546" s="391"/>
      <c r="J546" s="391"/>
      <c r="K546" s="391"/>
      <c r="L546" s="391"/>
      <c r="M546" s="391"/>
      <c r="N546" s="391"/>
      <c r="O546" s="391"/>
      <c r="P546" s="391"/>
      <c r="Q546" s="391"/>
      <c r="R546" s="391"/>
      <c r="S546" s="391"/>
      <c r="T546" s="391"/>
      <c r="U546" s="391"/>
      <c r="V546" s="391"/>
      <c r="W546" s="391"/>
      <c r="X546" s="391"/>
      <c r="Y546" s="391"/>
      <c r="Z546" s="391"/>
      <c r="AA546" s="391"/>
      <c r="AB546" s="391"/>
      <c r="AC546" s="391"/>
      <c r="AD546" s="391"/>
      <c r="AE546" s="391"/>
    </row>
    <row r="547">
      <c r="A547" s="391"/>
      <c r="B547" s="391"/>
      <c r="C547" s="391"/>
      <c r="D547" s="391"/>
      <c r="E547" s="391"/>
      <c r="F547" s="391"/>
      <c r="G547" s="391"/>
      <c r="H547" s="391"/>
      <c r="I547" s="391"/>
      <c r="J547" s="391"/>
      <c r="K547" s="391"/>
      <c r="L547" s="391"/>
      <c r="M547" s="391"/>
      <c r="N547" s="391"/>
      <c r="O547" s="391"/>
      <c r="P547" s="391"/>
      <c r="Q547" s="391"/>
      <c r="R547" s="391"/>
      <c r="S547" s="391"/>
      <c r="T547" s="391"/>
      <c r="U547" s="391"/>
      <c r="V547" s="391"/>
      <c r="W547" s="391"/>
      <c r="X547" s="391"/>
      <c r="Y547" s="391"/>
      <c r="Z547" s="391"/>
      <c r="AA547" s="391"/>
      <c r="AB547" s="391"/>
      <c r="AC547" s="391"/>
      <c r="AD547" s="391"/>
      <c r="AE547" s="391"/>
    </row>
    <row r="548">
      <c r="A548" s="391"/>
      <c r="B548" s="391"/>
      <c r="C548" s="391"/>
      <c r="D548" s="391"/>
      <c r="E548" s="391"/>
      <c r="F548" s="391"/>
      <c r="G548" s="391"/>
      <c r="H548" s="391"/>
      <c r="I548" s="391"/>
      <c r="J548" s="391"/>
      <c r="K548" s="391"/>
      <c r="L548" s="391"/>
      <c r="M548" s="391"/>
      <c r="N548" s="391"/>
      <c r="O548" s="391"/>
      <c r="P548" s="391"/>
      <c r="Q548" s="391"/>
      <c r="R548" s="391"/>
      <c r="S548" s="391"/>
      <c r="T548" s="391"/>
      <c r="U548" s="391"/>
      <c r="V548" s="391"/>
      <c r="W548" s="391"/>
      <c r="X548" s="391"/>
      <c r="Y548" s="391"/>
      <c r="Z548" s="391"/>
      <c r="AA548" s="391"/>
      <c r="AB548" s="391"/>
      <c r="AC548" s="391"/>
      <c r="AD548" s="391"/>
      <c r="AE548" s="391"/>
    </row>
    <row r="549">
      <c r="A549" s="391"/>
      <c r="B549" s="391"/>
      <c r="C549" s="391"/>
      <c r="D549" s="391"/>
      <c r="E549" s="391"/>
      <c r="F549" s="391"/>
      <c r="G549" s="391"/>
      <c r="H549" s="391"/>
      <c r="I549" s="391"/>
      <c r="J549" s="391"/>
      <c r="K549" s="391"/>
      <c r="L549" s="391"/>
      <c r="M549" s="391"/>
      <c r="N549" s="391"/>
      <c r="O549" s="391"/>
      <c r="P549" s="391"/>
      <c r="Q549" s="391"/>
      <c r="R549" s="391"/>
      <c r="S549" s="391"/>
      <c r="T549" s="391"/>
      <c r="U549" s="391"/>
      <c r="V549" s="391"/>
      <c r="W549" s="391"/>
      <c r="X549" s="391"/>
      <c r="Y549" s="391"/>
      <c r="Z549" s="391"/>
      <c r="AA549" s="391"/>
      <c r="AB549" s="391"/>
      <c r="AC549" s="391"/>
      <c r="AD549" s="391"/>
      <c r="AE549" s="391"/>
    </row>
    <row r="550">
      <c r="A550" s="391"/>
      <c r="B550" s="391"/>
      <c r="C550" s="391"/>
      <c r="D550" s="391"/>
      <c r="E550" s="391"/>
      <c r="F550" s="391"/>
      <c r="G550" s="391"/>
      <c r="H550" s="391"/>
      <c r="I550" s="391"/>
      <c r="J550" s="391"/>
      <c r="K550" s="391"/>
      <c r="L550" s="391"/>
      <c r="M550" s="391"/>
      <c r="N550" s="391"/>
      <c r="O550" s="391"/>
      <c r="P550" s="391"/>
      <c r="Q550" s="391"/>
      <c r="R550" s="391"/>
      <c r="S550" s="391"/>
      <c r="T550" s="391"/>
      <c r="U550" s="391"/>
      <c r="V550" s="391"/>
      <c r="W550" s="391"/>
      <c r="X550" s="391"/>
      <c r="Y550" s="391"/>
      <c r="Z550" s="391"/>
      <c r="AA550" s="391"/>
      <c r="AB550" s="391"/>
      <c r="AC550" s="391"/>
      <c r="AD550" s="391"/>
      <c r="AE550" s="391"/>
    </row>
    <row r="551">
      <c r="A551" s="391"/>
      <c r="B551" s="391"/>
      <c r="C551" s="391"/>
      <c r="D551" s="391"/>
      <c r="E551" s="391"/>
      <c r="F551" s="391"/>
      <c r="G551" s="391"/>
      <c r="H551" s="391"/>
      <c r="I551" s="391"/>
      <c r="J551" s="391"/>
      <c r="K551" s="391"/>
      <c r="L551" s="391"/>
      <c r="M551" s="391"/>
      <c r="N551" s="391"/>
      <c r="O551" s="391"/>
      <c r="P551" s="391"/>
      <c r="Q551" s="391"/>
      <c r="R551" s="391"/>
      <c r="S551" s="391"/>
      <c r="T551" s="391"/>
      <c r="U551" s="391"/>
      <c r="V551" s="391"/>
      <c r="W551" s="391"/>
      <c r="X551" s="391"/>
      <c r="Y551" s="391"/>
      <c r="Z551" s="391"/>
      <c r="AA551" s="391"/>
      <c r="AB551" s="391"/>
      <c r="AC551" s="391"/>
      <c r="AD551" s="391"/>
      <c r="AE551" s="391"/>
    </row>
    <row r="552">
      <c r="A552" s="391"/>
      <c r="B552" s="391"/>
      <c r="C552" s="391"/>
      <c r="D552" s="391"/>
      <c r="E552" s="391"/>
      <c r="F552" s="391"/>
      <c r="G552" s="391"/>
      <c r="H552" s="391"/>
      <c r="I552" s="391"/>
      <c r="J552" s="391"/>
      <c r="K552" s="391"/>
      <c r="L552" s="391"/>
      <c r="M552" s="391"/>
      <c r="N552" s="391"/>
      <c r="O552" s="391"/>
      <c r="P552" s="391"/>
      <c r="Q552" s="391"/>
      <c r="R552" s="391"/>
      <c r="S552" s="391"/>
      <c r="T552" s="391"/>
      <c r="U552" s="391"/>
      <c r="V552" s="391"/>
      <c r="W552" s="391"/>
      <c r="X552" s="391"/>
      <c r="Y552" s="391"/>
      <c r="Z552" s="391"/>
      <c r="AA552" s="391"/>
      <c r="AB552" s="391"/>
      <c r="AC552" s="391"/>
      <c r="AD552" s="391"/>
      <c r="AE552" s="391"/>
    </row>
    <row r="553">
      <c r="A553" s="391"/>
      <c r="B553" s="391"/>
      <c r="C553" s="391"/>
      <c r="D553" s="391"/>
      <c r="E553" s="391"/>
      <c r="F553" s="391"/>
      <c r="G553" s="391"/>
      <c r="H553" s="391"/>
      <c r="I553" s="391"/>
      <c r="J553" s="391"/>
      <c r="K553" s="391"/>
      <c r="L553" s="391"/>
      <c r="M553" s="391"/>
      <c r="N553" s="391"/>
      <c r="O553" s="391"/>
      <c r="P553" s="391"/>
      <c r="Q553" s="391"/>
      <c r="R553" s="391"/>
      <c r="S553" s="391"/>
      <c r="T553" s="391"/>
      <c r="U553" s="391"/>
      <c r="V553" s="391"/>
      <c r="W553" s="391"/>
      <c r="X553" s="391"/>
      <c r="Y553" s="391"/>
      <c r="Z553" s="391"/>
      <c r="AA553" s="391"/>
      <c r="AB553" s="391"/>
      <c r="AC553" s="391"/>
      <c r="AD553" s="391"/>
      <c r="AE553" s="391"/>
    </row>
    <row r="554">
      <c r="A554" s="391"/>
      <c r="B554" s="391"/>
      <c r="C554" s="391"/>
      <c r="D554" s="391"/>
      <c r="E554" s="391"/>
      <c r="F554" s="391"/>
      <c r="G554" s="391"/>
      <c r="H554" s="391"/>
      <c r="I554" s="391"/>
      <c r="J554" s="391"/>
      <c r="K554" s="391"/>
      <c r="L554" s="391"/>
      <c r="M554" s="391"/>
      <c r="N554" s="391"/>
      <c r="O554" s="391"/>
      <c r="P554" s="391"/>
      <c r="Q554" s="391"/>
      <c r="R554" s="391"/>
      <c r="S554" s="391"/>
      <c r="T554" s="391"/>
      <c r="U554" s="391"/>
      <c r="V554" s="391"/>
      <c r="W554" s="391"/>
      <c r="X554" s="391"/>
      <c r="Y554" s="391"/>
      <c r="Z554" s="391"/>
      <c r="AA554" s="391"/>
      <c r="AB554" s="391"/>
      <c r="AC554" s="391"/>
      <c r="AD554" s="391"/>
      <c r="AE554" s="391"/>
    </row>
    <row r="555">
      <c r="A555" s="391"/>
      <c r="B555" s="391"/>
      <c r="C555" s="391"/>
      <c r="D555" s="391"/>
      <c r="E555" s="391"/>
      <c r="F555" s="391"/>
      <c r="G555" s="391"/>
      <c r="H555" s="391"/>
      <c r="I555" s="391"/>
      <c r="J555" s="391"/>
      <c r="K555" s="391"/>
      <c r="L555" s="391"/>
      <c r="M555" s="391"/>
      <c r="N555" s="391"/>
      <c r="O555" s="391"/>
      <c r="P555" s="391"/>
      <c r="Q555" s="391"/>
      <c r="R555" s="391"/>
      <c r="S555" s="391"/>
      <c r="T555" s="391"/>
      <c r="U555" s="391"/>
      <c r="V555" s="391"/>
      <c r="W555" s="391"/>
      <c r="X555" s="391"/>
      <c r="Y555" s="391"/>
      <c r="Z555" s="391"/>
      <c r="AA555" s="391"/>
      <c r="AB555" s="391"/>
      <c r="AC555" s="391"/>
      <c r="AD555" s="391"/>
      <c r="AE555" s="391"/>
    </row>
    <row r="556">
      <c r="A556" s="391"/>
      <c r="B556" s="391"/>
      <c r="C556" s="391"/>
      <c r="D556" s="391"/>
      <c r="E556" s="391"/>
      <c r="F556" s="391"/>
      <c r="G556" s="391"/>
      <c r="H556" s="391"/>
      <c r="I556" s="391"/>
      <c r="J556" s="391"/>
      <c r="K556" s="391"/>
      <c r="L556" s="391"/>
      <c r="M556" s="391"/>
      <c r="N556" s="391"/>
      <c r="O556" s="391"/>
      <c r="P556" s="391"/>
      <c r="Q556" s="391"/>
      <c r="R556" s="391"/>
      <c r="S556" s="391"/>
      <c r="T556" s="391"/>
      <c r="U556" s="391"/>
      <c r="V556" s="391"/>
      <c r="W556" s="391"/>
      <c r="X556" s="391"/>
      <c r="Y556" s="391"/>
      <c r="Z556" s="391"/>
      <c r="AA556" s="391"/>
      <c r="AB556" s="391"/>
      <c r="AC556" s="391"/>
      <c r="AD556" s="391"/>
      <c r="AE556" s="391"/>
    </row>
    <row r="557">
      <c r="A557" s="391"/>
      <c r="B557" s="391"/>
      <c r="C557" s="391"/>
      <c r="D557" s="391"/>
      <c r="E557" s="391"/>
      <c r="F557" s="391"/>
      <c r="G557" s="391"/>
      <c r="H557" s="391"/>
      <c r="I557" s="391"/>
      <c r="J557" s="391"/>
      <c r="K557" s="391"/>
      <c r="L557" s="391"/>
      <c r="M557" s="391"/>
      <c r="N557" s="391"/>
      <c r="O557" s="391"/>
      <c r="P557" s="391"/>
      <c r="Q557" s="391"/>
      <c r="R557" s="391"/>
      <c r="S557" s="391"/>
      <c r="T557" s="391"/>
      <c r="U557" s="391"/>
      <c r="V557" s="391"/>
      <c r="W557" s="391"/>
      <c r="X557" s="391"/>
      <c r="Y557" s="391"/>
      <c r="Z557" s="391"/>
      <c r="AA557" s="391"/>
      <c r="AB557" s="391"/>
      <c r="AC557" s="391"/>
      <c r="AD557" s="391"/>
      <c r="AE557" s="391"/>
    </row>
    <row r="558">
      <c r="A558" s="391"/>
      <c r="B558" s="391"/>
      <c r="C558" s="391"/>
      <c r="D558" s="391"/>
      <c r="E558" s="391"/>
      <c r="F558" s="391"/>
      <c r="G558" s="391"/>
      <c r="H558" s="391"/>
      <c r="I558" s="391"/>
      <c r="J558" s="391"/>
      <c r="K558" s="391"/>
      <c r="L558" s="391"/>
      <c r="M558" s="391"/>
      <c r="N558" s="391"/>
      <c r="O558" s="391"/>
      <c r="P558" s="391"/>
      <c r="Q558" s="391"/>
      <c r="R558" s="391"/>
      <c r="S558" s="391"/>
      <c r="T558" s="391"/>
      <c r="U558" s="391"/>
      <c r="V558" s="391"/>
      <c r="W558" s="391"/>
      <c r="X558" s="391"/>
      <c r="Y558" s="391"/>
      <c r="Z558" s="391"/>
      <c r="AA558" s="391"/>
      <c r="AB558" s="391"/>
      <c r="AC558" s="391"/>
      <c r="AD558" s="391"/>
      <c r="AE558" s="391"/>
    </row>
    <row r="559">
      <c r="A559" s="391"/>
      <c r="B559" s="391"/>
      <c r="C559" s="391"/>
      <c r="D559" s="391"/>
      <c r="E559" s="391"/>
      <c r="F559" s="391"/>
      <c r="G559" s="391"/>
      <c r="H559" s="391"/>
      <c r="I559" s="391"/>
      <c r="J559" s="391"/>
      <c r="K559" s="391"/>
      <c r="L559" s="391"/>
      <c r="M559" s="391"/>
      <c r="N559" s="391"/>
      <c r="O559" s="391"/>
      <c r="P559" s="391"/>
      <c r="Q559" s="391"/>
      <c r="R559" s="391"/>
      <c r="S559" s="391"/>
      <c r="T559" s="391"/>
      <c r="U559" s="391"/>
      <c r="V559" s="391"/>
      <c r="W559" s="391"/>
      <c r="X559" s="391"/>
      <c r="Y559" s="391"/>
      <c r="Z559" s="391"/>
      <c r="AA559" s="391"/>
      <c r="AB559" s="391"/>
      <c r="AC559" s="391"/>
      <c r="AD559" s="391"/>
      <c r="AE559" s="391"/>
    </row>
    <row r="560">
      <c r="A560" s="391"/>
      <c r="B560" s="391"/>
      <c r="C560" s="391"/>
      <c r="D560" s="391"/>
      <c r="E560" s="391"/>
      <c r="F560" s="391"/>
      <c r="G560" s="391"/>
      <c r="H560" s="391"/>
      <c r="I560" s="391"/>
      <c r="J560" s="391"/>
      <c r="K560" s="391"/>
      <c r="L560" s="391"/>
      <c r="M560" s="391"/>
      <c r="N560" s="391"/>
      <c r="O560" s="391"/>
      <c r="P560" s="391"/>
      <c r="Q560" s="391"/>
      <c r="R560" s="391"/>
      <c r="S560" s="391"/>
      <c r="T560" s="391"/>
      <c r="U560" s="391"/>
      <c r="V560" s="391"/>
      <c r="W560" s="391"/>
      <c r="X560" s="391"/>
      <c r="Y560" s="391"/>
      <c r="Z560" s="391"/>
      <c r="AA560" s="391"/>
      <c r="AB560" s="391"/>
      <c r="AC560" s="391"/>
      <c r="AD560" s="391"/>
      <c r="AE560" s="391"/>
    </row>
    <row r="561">
      <c r="A561" s="391"/>
      <c r="B561" s="391"/>
      <c r="C561" s="391"/>
      <c r="D561" s="391"/>
      <c r="E561" s="391"/>
      <c r="F561" s="391"/>
      <c r="G561" s="391"/>
      <c r="H561" s="391"/>
      <c r="I561" s="391"/>
      <c r="J561" s="391"/>
      <c r="K561" s="391"/>
      <c r="L561" s="391"/>
      <c r="M561" s="391"/>
      <c r="N561" s="391"/>
      <c r="O561" s="391"/>
      <c r="P561" s="391"/>
      <c r="Q561" s="391"/>
      <c r="R561" s="391"/>
      <c r="S561" s="391"/>
      <c r="T561" s="391"/>
      <c r="U561" s="391"/>
      <c r="V561" s="391"/>
      <c r="W561" s="391"/>
      <c r="X561" s="391"/>
      <c r="Y561" s="391"/>
      <c r="Z561" s="391"/>
      <c r="AA561" s="391"/>
      <c r="AB561" s="391"/>
      <c r="AC561" s="391"/>
      <c r="AD561" s="391"/>
      <c r="AE561" s="391"/>
    </row>
    <row r="562">
      <c r="A562" s="391"/>
      <c r="B562" s="391"/>
      <c r="C562" s="391"/>
      <c r="D562" s="391"/>
      <c r="E562" s="391"/>
      <c r="F562" s="391"/>
      <c r="G562" s="391"/>
      <c r="H562" s="391"/>
      <c r="I562" s="391"/>
      <c r="J562" s="391"/>
      <c r="K562" s="391"/>
      <c r="L562" s="391"/>
      <c r="M562" s="391"/>
      <c r="N562" s="391"/>
      <c r="O562" s="391"/>
      <c r="P562" s="391"/>
      <c r="Q562" s="391"/>
      <c r="R562" s="391"/>
      <c r="S562" s="391"/>
      <c r="T562" s="391"/>
      <c r="U562" s="391"/>
      <c r="V562" s="391"/>
      <c r="W562" s="391"/>
      <c r="X562" s="391"/>
      <c r="Y562" s="391"/>
      <c r="Z562" s="391"/>
      <c r="AA562" s="391"/>
      <c r="AB562" s="391"/>
      <c r="AC562" s="391"/>
      <c r="AD562" s="391"/>
      <c r="AE562" s="391"/>
    </row>
    <row r="563">
      <c r="A563" s="391"/>
      <c r="B563" s="391"/>
      <c r="C563" s="391"/>
      <c r="D563" s="391"/>
      <c r="E563" s="391"/>
      <c r="F563" s="391"/>
      <c r="G563" s="391"/>
      <c r="H563" s="391"/>
      <c r="I563" s="391"/>
      <c r="J563" s="391"/>
      <c r="K563" s="391"/>
      <c r="L563" s="391"/>
      <c r="M563" s="391"/>
      <c r="N563" s="391"/>
      <c r="O563" s="391"/>
      <c r="P563" s="391"/>
      <c r="Q563" s="391"/>
      <c r="R563" s="391"/>
      <c r="S563" s="391"/>
      <c r="T563" s="391"/>
      <c r="U563" s="391"/>
      <c r="V563" s="391"/>
      <c r="W563" s="391"/>
      <c r="X563" s="391"/>
      <c r="Y563" s="391"/>
      <c r="Z563" s="391"/>
      <c r="AA563" s="391"/>
      <c r="AB563" s="391"/>
      <c r="AC563" s="391"/>
      <c r="AD563" s="391"/>
      <c r="AE563" s="391"/>
    </row>
    <row r="564">
      <c r="A564" s="391"/>
      <c r="B564" s="391"/>
      <c r="C564" s="391"/>
      <c r="D564" s="391"/>
      <c r="E564" s="391"/>
      <c r="F564" s="391"/>
      <c r="G564" s="391"/>
      <c r="H564" s="391"/>
      <c r="I564" s="391"/>
      <c r="J564" s="391"/>
      <c r="K564" s="391"/>
      <c r="L564" s="391"/>
      <c r="M564" s="391"/>
      <c r="N564" s="391"/>
      <c r="O564" s="391"/>
      <c r="P564" s="391"/>
      <c r="Q564" s="391"/>
      <c r="R564" s="391"/>
      <c r="S564" s="391"/>
      <c r="T564" s="391"/>
      <c r="U564" s="391"/>
      <c r="V564" s="391"/>
      <c r="W564" s="391"/>
      <c r="X564" s="391"/>
      <c r="Y564" s="391"/>
      <c r="Z564" s="391"/>
      <c r="AA564" s="391"/>
      <c r="AB564" s="391"/>
      <c r="AC564" s="391"/>
      <c r="AD564" s="391"/>
      <c r="AE564" s="391"/>
    </row>
    <row r="565">
      <c r="A565" s="391"/>
      <c r="B565" s="391"/>
      <c r="C565" s="391"/>
      <c r="D565" s="391"/>
      <c r="E565" s="391"/>
      <c r="F565" s="391"/>
      <c r="G565" s="391"/>
      <c r="H565" s="391"/>
      <c r="I565" s="391"/>
      <c r="J565" s="391"/>
      <c r="K565" s="391"/>
      <c r="L565" s="391"/>
      <c r="M565" s="391"/>
      <c r="N565" s="391"/>
      <c r="O565" s="391"/>
      <c r="P565" s="391"/>
      <c r="Q565" s="391"/>
      <c r="R565" s="391"/>
      <c r="S565" s="391"/>
      <c r="T565" s="391"/>
      <c r="U565" s="391"/>
      <c r="V565" s="391"/>
      <c r="W565" s="391"/>
      <c r="X565" s="391"/>
      <c r="Y565" s="391"/>
      <c r="Z565" s="391"/>
      <c r="AA565" s="391"/>
      <c r="AB565" s="391"/>
      <c r="AC565" s="391"/>
      <c r="AD565" s="391"/>
      <c r="AE565" s="391"/>
    </row>
    <row r="566">
      <c r="A566" s="391"/>
      <c r="B566" s="391"/>
      <c r="C566" s="391"/>
      <c r="D566" s="391"/>
      <c r="E566" s="391"/>
      <c r="F566" s="391"/>
      <c r="G566" s="391"/>
      <c r="H566" s="391"/>
      <c r="I566" s="391"/>
      <c r="J566" s="391"/>
      <c r="K566" s="391"/>
      <c r="L566" s="391"/>
      <c r="M566" s="391"/>
      <c r="N566" s="391"/>
      <c r="O566" s="391"/>
      <c r="P566" s="391"/>
      <c r="Q566" s="391"/>
      <c r="R566" s="391"/>
      <c r="S566" s="391"/>
      <c r="T566" s="391"/>
      <c r="U566" s="391"/>
      <c r="V566" s="391"/>
      <c r="W566" s="391"/>
      <c r="X566" s="391"/>
      <c r="Y566" s="391"/>
      <c r="Z566" s="391"/>
      <c r="AA566" s="391"/>
      <c r="AB566" s="391"/>
      <c r="AC566" s="391"/>
      <c r="AD566" s="391"/>
      <c r="AE566" s="391"/>
    </row>
    <row r="567">
      <c r="A567" s="391"/>
      <c r="B567" s="391"/>
      <c r="C567" s="391"/>
      <c r="D567" s="391"/>
      <c r="E567" s="391"/>
      <c r="F567" s="391"/>
      <c r="G567" s="391"/>
      <c r="H567" s="391"/>
      <c r="I567" s="391"/>
      <c r="J567" s="391"/>
      <c r="K567" s="391"/>
      <c r="L567" s="391"/>
      <c r="M567" s="391"/>
      <c r="N567" s="391"/>
      <c r="O567" s="391"/>
      <c r="P567" s="391"/>
      <c r="Q567" s="391"/>
      <c r="R567" s="391"/>
      <c r="S567" s="391"/>
      <c r="T567" s="391"/>
      <c r="U567" s="391"/>
      <c r="V567" s="391"/>
      <c r="W567" s="391"/>
      <c r="X567" s="391"/>
      <c r="Y567" s="391"/>
      <c r="Z567" s="391"/>
      <c r="AA567" s="391"/>
      <c r="AB567" s="391"/>
      <c r="AC567" s="391"/>
      <c r="AD567" s="391"/>
      <c r="AE567" s="391"/>
    </row>
    <row r="568">
      <c r="A568" s="391"/>
      <c r="B568" s="391"/>
      <c r="C568" s="391"/>
      <c r="D568" s="391"/>
      <c r="E568" s="391"/>
      <c r="F568" s="391"/>
      <c r="G568" s="391"/>
      <c r="H568" s="391"/>
      <c r="I568" s="391"/>
      <c r="J568" s="391"/>
      <c r="K568" s="391"/>
      <c r="L568" s="391"/>
      <c r="M568" s="391"/>
      <c r="N568" s="391"/>
      <c r="O568" s="391"/>
      <c r="P568" s="391"/>
      <c r="Q568" s="391"/>
      <c r="R568" s="391"/>
      <c r="S568" s="391"/>
      <c r="T568" s="391"/>
      <c r="U568" s="391"/>
      <c r="V568" s="391"/>
      <c r="W568" s="391"/>
      <c r="X568" s="391"/>
      <c r="Y568" s="391"/>
      <c r="Z568" s="391"/>
      <c r="AA568" s="391"/>
      <c r="AB568" s="391"/>
      <c r="AC568" s="391"/>
      <c r="AD568" s="391"/>
      <c r="AE568" s="391"/>
    </row>
    <row r="569">
      <c r="A569" s="391"/>
      <c r="B569" s="391"/>
      <c r="C569" s="391"/>
      <c r="D569" s="391"/>
      <c r="E569" s="391"/>
      <c r="F569" s="391"/>
      <c r="G569" s="391"/>
      <c r="H569" s="391"/>
      <c r="I569" s="391"/>
      <c r="J569" s="391"/>
      <c r="K569" s="391"/>
      <c r="L569" s="391"/>
      <c r="M569" s="391"/>
      <c r="N569" s="391"/>
      <c r="O569" s="391"/>
      <c r="P569" s="391"/>
      <c r="Q569" s="391"/>
      <c r="R569" s="391"/>
      <c r="S569" s="391"/>
      <c r="T569" s="391"/>
      <c r="U569" s="391"/>
      <c r="V569" s="391"/>
      <c r="W569" s="391"/>
      <c r="X569" s="391"/>
      <c r="Y569" s="391"/>
      <c r="Z569" s="391"/>
      <c r="AA569" s="391"/>
      <c r="AB569" s="391"/>
      <c r="AC569" s="391"/>
      <c r="AD569" s="391"/>
      <c r="AE569" s="391"/>
    </row>
    <row r="570">
      <c r="A570" s="391"/>
      <c r="B570" s="391"/>
      <c r="C570" s="391"/>
      <c r="D570" s="391"/>
      <c r="E570" s="391"/>
      <c r="F570" s="391"/>
      <c r="G570" s="391"/>
      <c r="H570" s="391"/>
      <c r="I570" s="391"/>
      <c r="J570" s="391"/>
      <c r="K570" s="391"/>
      <c r="L570" s="391"/>
      <c r="M570" s="391"/>
      <c r="N570" s="391"/>
      <c r="O570" s="391"/>
      <c r="P570" s="391"/>
      <c r="Q570" s="391"/>
      <c r="R570" s="391"/>
      <c r="S570" s="391"/>
      <c r="T570" s="391"/>
      <c r="U570" s="391"/>
      <c r="V570" s="391"/>
      <c r="W570" s="391"/>
      <c r="X570" s="391"/>
      <c r="Y570" s="391"/>
      <c r="Z570" s="391"/>
      <c r="AA570" s="391"/>
      <c r="AB570" s="391"/>
      <c r="AC570" s="391"/>
      <c r="AD570" s="391"/>
      <c r="AE570" s="391"/>
    </row>
    <row r="571">
      <c r="A571" s="391"/>
      <c r="B571" s="391"/>
      <c r="C571" s="391"/>
      <c r="D571" s="391"/>
      <c r="E571" s="391"/>
      <c r="F571" s="391"/>
      <c r="G571" s="391"/>
      <c r="H571" s="391"/>
      <c r="I571" s="391"/>
      <c r="J571" s="391"/>
      <c r="K571" s="391"/>
      <c r="L571" s="391"/>
      <c r="M571" s="391"/>
      <c r="N571" s="391"/>
      <c r="O571" s="391"/>
      <c r="P571" s="391"/>
      <c r="Q571" s="391"/>
      <c r="R571" s="391"/>
      <c r="S571" s="391"/>
      <c r="T571" s="391"/>
      <c r="U571" s="391"/>
      <c r="V571" s="391"/>
      <c r="W571" s="391"/>
      <c r="X571" s="391"/>
      <c r="Y571" s="391"/>
      <c r="Z571" s="391"/>
      <c r="AA571" s="391"/>
      <c r="AB571" s="391"/>
      <c r="AC571" s="391"/>
      <c r="AD571" s="391"/>
      <c r="AE571" s="391"/>
    </row>
    <row r="572">
      <c r="A572" s="391"/>
      <c r="B572" s="391"/>
      <c r="C572" s="391"/>
      <c r="D572" s="391"/>
      <c r="E572" s="391"/>
      <c r="F572" s="391"/>
      <c r="G572" s="391"/>
      <c r="H572" s="391"/>
      <c r="I572" s="391"/>
      <c r="J572" s="391"/>
      <c r="K572" s="391"/>
      <c r="L572" s="391"/>
      <c r="M572" s="391"/>
      <c r="N572" s="391"/>
      <c r="O572" s="391"/>
      <c r="P572" s="391"/>
      <c r="Q572" s="391"/>
      <c r="R572" s="391"/>
      <c r="S572" s="391"/>
      <c r="T572" s="391"/>
      <c r="U572" s="391"/>
      <c r="V572" s="391"/>
      <c r="W572" s="391"/>
      <c r="X572" s="391"/>
      <c r="Y572" s="391"/>
      <c r="Z572" s="391"/>
      <c r="AA572" s="391"/>
      <c r="AB572" s="391"/>
      <c r="AC572" s="391"/>
      <c r="AD572" s="391"/>
      <c r="AE572" s="391"/>
    </row>
    <row r="573">
      <c r="A573" s="391"/>
      <c r="B573" s="391"/>
      <c r="C573" s="391"/>
      <c r="D573" s="391"/>
      <c r="E573" s="391"/>
      <c r="F573" s="391"/>
      <c r="G573" s="391"/>
      <c r="H573" s="391"/>
      <c r="I573" s="391"/>
      <c r="J573" s="391"/>
      <c r="K573" s="391"/>
      <c r="L573" s="391"/>
      <c r="M573" s="391"/>
      <c r="N573" s="391"/>
      <c r="O573" s="391"/>
      <c r="P573" s="391"/>
      <c r="Q573" s="391"/>
      <c r="R573" s="391"/>
      <c r="S573" s="391"/>
      <c r="T573" s="391"/>
      <c r="U573" s="391"/>
      <c r="V573" s="391"/>
      <c r="W573" s="391"/>
      <c r="X573" s="391"/>
      <c r="Y573" s="391"/>
      <c r="Z573" s="391"/>
      <c r="AA573" s="391"/>
      <c r="AB573" s="391"/>
      <c r="AC573" s="391"/>
      <c r="AD573" s="391"/>
      <c r="AE573" s="391"/>
    </row>
    <row r="574">
      <c r="A574" s="391"/>
      <c r="B574" s="391"/>
      <c r="C574" s="391"/>
      <c r="D574" s="391"/>
      <c r="E574" s="391"/>
      <c r="F574" s="391"/>
      <c r="G574" s="391"/>
      <c r="H574" s="391"/>
      <c r="I574" s="391"/>
      <c r="J574" s="391"/>
      <c r="K574" s="391"/>
      <c r="L574" s="391"/>
      <c r="M574" s="391"/>
      <c r="N574" s="391"/>
      <c r="O574" s="391"/>
      <c r="P574" s="391"/>
      <c r="Q574" s="391"/>
      <c r="R574" s="391"/>
      <c r="S574" s="391"/>
      <c r="T574" s="391"/>
      <c r="U574" s="391"/>
      <c r="V574" s="391"/>
      <c r="W574" s="391"/>
      <c r="X574" s="391"/>
      <c r="Y574" s="391"/>
      <c r="Z574" s="391"/>
      <c r="AA574" s="391"/>
      <c r="AB574" s="391"/>
      <c r="AC574" s="391"/>
      <c r="AD574" s="391"/>
      <c r="AE574" s="391"/>
    </row>
    <row r="575">
      <c r="A575" s="391"/>
      <c r="B575" s="391"/>
      <c r="C575" s="391"/>
      <c r="D575" s="391"/>
      <c r="E575" s="391"/>
      <c r="F575" s="391"/>
      <c r="G575" s="391"/>
      <c r="H575" s="391"/>
      <c r="I575" s="391"/>
      <c r="J575" s="391"/>
      <c r="K575" s="391"/>
      <c r="L575" s="391"/>
      <c r="M575" s="391"/>
      <c r="N575" s="391"/>
      <c r="O575" s="391"/>
      <c r="P575" s="391"/>
      <c r="Q575" s="391"/>
      <c r="R575" s="391"/>
      <c r="S575" s="391"/>
      <c r="T575" s="391"/>
      <c r="U575" s="391"/>
      <c r="V575" s="391"/>
      <c r="W575" s="391"/>
      <c r="X575" s="391"/>
      <c r="Y575" s="391"/>
      <c r="Z575" s="391"/>
      <c r="AA575" s="391"/>
      <c r="AB575" s="391"/>
      <c r="AC575" s="391"/>
      <c r="AD575" s="391"/>
      <c r="AE575" s="391"/>
    </row>
    <row r="576">
      <c r="A576" s="391"/>
      <c r="B576" s="391"/>
      <c r="C576" s="391"/>
      <c r="D576" s="391"/>
      <c r="E576" s="391"/>
      <c r="F576" s="391"/>
      <c r="G576" s="391"/>
      <c r="H576" s="391"/>
      <c r="I576" s="391"/>
      <c r="J576" s="391"/>
      <c r="K576" s="391"/>
      <c r="L576" s="391"/>
      <c r="M576" s="391"/>
      <c r="N576" s="391"/>
      <c r="O576" s="391"/>
      <c r="P576" s="391"/>
      <c r="Q576" s="391"/>
      <c r="R576" s="391"/>
      <c r="S576" s="391"/>
      <c r="T576" s="391"/>
      <c r="U576" s="391"/>
      <c r="V576" s="391"/>
      <c r="W576" s="391"/>
      <c r="X576" s="391"/>
      <c r="Y576" s="391"/>
      <c r="Z576" s="391"/>
      <c r="AA576" s="391"/>
      <c r="AB576" s="391"/>
      <c r="AC576" s="391"/>
      <c r="AD576" s="391"/>
      <c r="AE576" s="391"/>
    </row>
    <row r="577">
      <c r="A577" s="391"/>
      <c r="B577" s="391"/>
      <c r="C577" s="391"/>
      <c r="D577" s="391"/>
      <c r="E577" s="391"/>
      <c r="F577" s="391"/>
      <c r="G577" s="391"/>
      <c r="H577" s="391"/>
      <c r="I577" s="391"/>
      <c r="J577" s="391"/>
      <c r="K577" s="391"/>
      <c r="L577" s="391"/>
      <c r="M577" s="391"/>
      <c r="N577" s="391"/>
      <c r="O577" s="391"/>
      <c r="P577" s="391"/>
      <c r="Q577" s="391"/>
      <c r="R577" s="391"/>
      <c r="S577" s="391"/>
      <c r="T577" s="391"/>
      <c r="U577" s="391"/>
      <c r="V577" s="391"/>
      <c r="W577" s="391"/>
      <c r="X577" s="391"/>
      <c r="Y577" s="391"/>
      <c r="Z577" s="391"/>
      <c r="AA577" s="391"/>
      <c r="AB577" s="391"/>
      <c r="AC577" s="391"/>
      <c r="AD577" s="391"/>
      <c r="AE577" s="391"/>
    </row>
    <row r="578">
      <c r="A578" s="391"/>
      <c r="B578" s="391"/>
      <c r="C578" s="391"/>
      <c r="D578" s="391"/>
      <c r="E578" s="391"/>
      <c r="F578" s="391"/>
      <c r="G578" s="391"/>
      <c r="H578" s="391"/>
      <c r="I578" s="391"/>
      <c r="J578" s="391"/>
      <c r="K578" s="391"/>
      <c r="L578" s="391"/>
      <c r="M578" s="391"/>
      <c r="N578" s="391"/>
      <c r="O578" s="391"/>
      <c r="P578" s="391"/>
      <c r="Q578" s="391"/>
      <c r="R578" s="391"/>
      <c r="S578" s="391"/>
      <c r="T578" s="391"/>
      <c r="U578" s="391"/>
      <c r="V578" s="391"/>
      <c r="W578" s="391"/>
      <c r="X578" s="391"/>
      <c r="Y578" s="391"/>
      <c r="Z578" s="391"/>
      <c r="AA578" s="391"/>
      <c r="AB578" s="391"/>
      <c r="AC578" s="391"/>
      <c r="AD578" s="391"/>
      <c r="AE578" s="391"/>
    </row>
    <row r="579">
      <c r="A579" s="391"/>
      <c r="B579" s="391"/>
      <c r="C579" s="391"/>
      <c r="D579" s="391"/>
      <c r="E579" s="391"/>
      <c r="F579" s="391"/>
      <c r="G579" s="391"/>
      <c r="H579" s="391"/>
      <c r="I579" s="391"/>
      <c r="J579" s="391"/>
      <c r="K579" s="391"/>
      <c r="L579" s="391"/>
      <c r="M579" s="391"/>
      <c r="N579" s="391"/>
      <c r="O579" s="391"/>
      <c r="P579" s="391"/>
      <c r="Q579" s="391"/>
      <c r="R579" s="391"/>
      <c r="S579" s="391"/>
      <c r="T579" s="391"/>
      <c r="U579" s="391"/>
      <c r="V579" s="391"/>
      <c r="W579" s="391"/>
      <c r="X579" s="391"/>
      <c r="Y579" s="391"/>
      <c r="Z579" s="391"/>
      <c r="AA579" s="391"/>
      <c r="AB579" s="391"/>
      <c r="AC579" s="391"/>
      <c r="AD579" s="391"/>
      <c r="AE579" s="391"/>
    </row>
    <row r="580">
      <c r="A580" s="391"/>
      <c r="B580" s="391"/>
      <c r="C580" s="391"/>
      <c r="D580" s="391"/>
      <c r="E580" s="391"/>
      <c r="F580" s="391"/>
      <c r="G580" s="391"/>
      <c r="H580" s="391"/>
      <c r="I580" s="391"/>
      <c r="J580" s="391"/>
      <c r="K580" s="391"/>
      <c r="L580" s="391"/>
      <c r="M580" s="391"/>
      <c r="N580" s="391"/>
      <c r="O580" s="391"/>
      <c r="P580" s="391"/>
      <c r="Q580" s="391"/>
      <c r="R580" s="391"/>
      <c r="S580" s="391"/>
      <c r="T580" s="391"/>
      <c r="U580" s="391"/>
      <c r="V580" s="391"/>
      <c r="W580" s="391"/>
      <c r="X580" s="391"/>
      <c r="Y580" s="391"/>
      <c r="Z580" s="391"/>
      <c r="AA580" s="391"/>
      <c r="AB580" s="391"/>
      <c r="AC580" s="391"/>
      <c r="AD580" s="391"/>
      <c r="AE580" s="391"/>
    </row>
    <row r="581">
      <c r="A581" s="391"/>
      <c r="B581" s="391"/>
      <c r="C581" s="391"/>
      <c r="D581" s="391"/>
      <c r="E581" s="391"/>
      <c r="F581" s="391"/>
      <c r="G581" s="391"/>
      <c r="H581" s="391"/>
      <c r="I581" s="391"/>
      <c r="J581" s="391"/>
      <c r="K581" s="391"/>
      <c r="L581" s="391"/>
      <c r="M581" s="391"/>
      <c r="N581" s="391"/>
      <c r="O581" s="391"/>
      <c r="P581" s="391"/>
      <c r="Q581" s="391"/>
      <c r="R581" s="391"/>
      <c r="S581" s="391"/>
      <c r="T581" s="391"/>
      <c r="U581" s="391"/>
      <c r="V581" s="391"/>
      <c r="W581" s="391"/>
      <c r="X581" s="391"/>
      <c r="Y581" s="391"/>
      <c r="Z581" s="391"/>
      <c r="AA581" s="391"/>
      <c r="AB581" s="391"/>
      <c r="AC581" s="391"/>
      <c r="AD581" s="391"/>
      <c r="AE581" s="391"/>
    </row>
    <row r="582">
      <c r="A582" s="391"/>
      <c r="B582" s="391"/>
      <c r="C582" s="391"/>
      <c r="D582" s="391"/>
      <c r="E582" s="391"/>
      <c r="F582" s="391"/>
      <c r="G582" s="391"/>
      <c r="H582" s="391"/>
      <c r="I582" s="391"/>
      <c r="J582" s="391"/>
      <c r="K582" s="391"/>
      <c r="L582" s="391"/>
      <c r="M582" s="391"/>
      <c r="N582" s="391"/>
      <c r="O582" s="391"/>
      <c r="P582" s="391"/>
      <c r="Q582" s="391"/>
      <c r="R582" s="391"/>
      <c r="S582" s="391"/>
      <c r="T582" s="391"/>
      <c r="U582" s="391"/>
      <c r="V582" s="391"/>
      <c r="W582" s="391"/>
      <c r="X582" s="391"/>
      <c r="Y582" s="391"/>
      <c r="Z582" s="391"/>
      <c r="AA582" s="391"/>
      <c r="AB582" s="391"/>
      <c r="AC582" s="391"/>
      <c r="AD582" s="391"/>
      <c r="AE582" s="391"/>
    </row>
    <row r="583">
      <c r="A583" s="391"/>
      <c r="B583" s="391"/>
      <c r="C583" s="391"/>
      <c r="D583" s="391"/>
      <c r="E583" s="391"/>
      <c r="F583" s="391"/>
      <c r="G583" s="391"/>
      <c r="H583" s="391"/>
      <c r="I583" s="391"/>
      <c r="J583" s="391"/>
      <c r="K583" s="391"/>
      <c r="L583" s="391"/>
      <c r="M583" s="391"/>
      <c r="N583" s="391"/>
      <c r="O583" s="391"/>
      <c r="P583" s="391"/>
      <c r="Q583" s="391"/>
      <c r="R583" s="391"/>
      <c r="S583" s="391"/>
      <c r="T583" s="391"/>
      <c r="U583" s="391"/>
      <c r="V583" s="391"/>
      <c r="W583" s="391"/>
      <c r="X583" s="391"/>
      <c r="Y583" s="391"/>
      <c r="Z583" s="391"/>
      <c r="AA583" s="391"/>
      <c r="AB583" s="391"/>
      <c r="AC583" s="391"/>
      <c r="AD583" s="391"/>
      <c r="AE583" s="391"/>
    </row>
    <row r="584">
      <c r="A584" s="391"/>
      <c r="B584" s="391"/>
      <c r="C584" s="391"/>
      <c r="D584" s="391"/>
      <c r="E584" s="391"/>
      <c r="F584" s="391"/>
      <c r="G584" s="391"/>
      <c r="H584" s="391"/>
      <c r="I584" s="391"/>
      <c r="J584" s="391"/>
      <c r="K584" s="391"/>
      <c r="L584" s="391"/>
      <c r="M584" s="391"/>
      <c r="N584" s="391"/>
      <c r="O584" s="391"/>
      <c r="P584" s="391"/>
      <c r="Q584" s="391"/>
      <c r="R584" s="391"/>
      <c r="S584" s="391"/>
      <c r="T584" s="391"/>
      <c r="U584" s="391"/>
      <c r="V584" s="391"/>
      <c r="W584" s="391"/>
      <c r="X584" s="391"/>
      <c r="Y584" s="391"/>
      <c r="Z584" s="391"/>
      <c r="AA584" s="391"/>
      <c r="AB584" s="391"/>
      <c r="AC584" s="391"/>
      <c r="AD584" s="391"/>
      <c r="AE584" s="391"/>
    </row>
    <row r="585">
      <c r="A585" s="391"/>
      <c r="B585" s="391"/>
      <c r="C585" s="391"/>
      <c r="D585" s="391"/>
      <c r="E585" s="391"/>
      <c r="F585" s="391"/>
      <c r="G585" s="391"/>
      <c r="H585" s="391"/>
      <c r="I585" s="391"/>
      <c r="J585" s="391"/>
      <c r="K585" s="391"/>
      <c r="L585" s="391"/>
      <c r="M585" s="391"/>
      <c r="N585" s="391"/>
      <c r="O585" s="391"/>
      <c r="P585" s="391"/>
      <c r="Q585" s="391"/>
      <c r="R585" s="391"/>
      <c r="S585" s="391"/>
      <c r="T585" s="391"/>
      <c r="U585" s="391"/>
      <c r="V585" s="391"/>
      <c r="W585" s="391"/>
      <c r="X585" s="391"/>
      <c r="Y585" s="391"/>
      <c r="Z585" s="391"/>
      <c r="AA585" s="391"/>
      <c r="AB585" s="391"/>
      <c r="AC585" s="391"/>
      <c r="AD585" s="391"/>
      <c r="AE585" s="391"/>
    </row>
    <row r="586">
      <c r="A586" s="391"/>
      <c r="B586" s="391"/>
      <c r="C586" s="391"/>
      <c r="D586" s="391"/>
      <c r="E586" s="391"/>
      <c r="F586" s="391"/>
      <c r="G586" s="391"/>
      <c r="H586" s="391"/>
      <c r="I586" s="391"/>
      <c r="J586" s="391"/>
      <c r="K586" s="391"/>
      <c r="L586" s="391"/>
      <c r="M586" s="391"/>
      <c r="N586" s="391"/>
      <c r="O586" s="391"/>
      <c r="P586" s="391"/>
      <c r="Q586" s="391"/>
      <c r="R586" s="391"/>
      <c r="S586" s="391"/>
      <c r="T586" s="391"/>
      <c r="U586" s="391"/>
      <c r="V586" s="391"/>
      <c r="W586" s="391"/>
      <c r="X586" s="391"/>
      <c r="Y586" s="391"/>
      <c r="Z586" s="391"/>
      <c r="AA586" s="391"/>
      <c r="AB586" s="391"/>
      <c r="AC586" s="391"/>
      <c r="AD586" s="391"/>
      <c r="AE586" s="391"/>
    </row>
    <row r="587">
      <c r="A587" s="391"/>
      <c r="B587" s="391"/>
      <c r="C587" s="391"/>
      <c r="D587" s="391"/>
      <c r="E587" s="391"/>
      <c r="F587" s="391"/>
      <c r="G587" s="391"/>
      <c r="H587" s="391"/>
      <c r="I587" s="391"/>
      <c r="J587" s="391"/>
      <c r="K587" s="391"/>
      <c r="L587" s="391"/>
      <c r="M587" s="391"/>
      <c r="N587" s="391"/>
      <c r="O587" s="391"/>
      <c r="P587" s="391"/>
      <c r="Q587" s="391"/>
      <c r="R587" s="391"/>
      <c r="S587" s="391"/>
      <c r="T587" s="391"/>
      <c r="U587" s="391"/>
      <c r="V587" s="391"/>
      <c r="W587" s="391"/>
      <c r="X587" s="391"/>
      <c r="Y587" s="391"/>
      <c r="Z587" s="391"/>
      <c r="AA587" s="391"/>
      <c r="AB587" s="391"/>
      <c r="AC587" s="391"/>
      <c r="AD587" s="391"/>
      <c r="AE587" s="391"/>
    </row>
    <row r="588">
      <c r="A588" s="391"/>
      <c r="B588" s="391"/>
      <c r="C588" s="391"/>
      <c r="D588" s="391"/>
      <c r="E588" s="391"/>
      <c r="F588" s="391"/>
      <c r="G588" s="391"/>
      <c r="H588" s="391"/>
      <c r="I588" s="391"/>
      <c r="J588" s="391"/>
      <c r="K588" s="391"/>
      <c r="L588" s="391"/>
      <c r="M588" s="391"/>
      <c r="N588" s="391"/>
      <c r="O588" s="391"/>
      <c r="P588" s="391"/>
      <c r="Q588" s="391"/>
      <c r="R588" s="391"/>
      <c r="S588" s="391"/>
      <c r="T588" s="391"/>
      <c r="U588" s="391"/>
      <c r="V588" s="391"/>
      <c r="W588" s="391"/>
      <c r="X588" s="391"/>
      <c r="Y588" s="391"/>
      <c r="Z588" s="391"/>
      <c r="AA588" s="391"/>
      <c r="AB588" s="391"/>
      <c r="AC588" s="391"/>
      <c r="AD588" s="391"/>
      <c r="AE588" s="391"/>
    </row>
    <row r="589">
      <c r="A589" s="391"/>
      <c r="B589" s="391"/>
      <c r="C589" s="391"/>
      <c r="D589" s="391"/>
      <c r="E589" s="391"/>
      <c r="F589" s="391"/>
      <c r="G589" s="391"/>
      <c r="H589" s="391"/>
      <c r="I589" s="391"/>
      <c r="J589" s="391"/>
      <c r="K589" s="391"/>
      <c r="L589" s="391"/>
      <c r="M589" s="391"/>
      <c r="N589" s="391"/>
      <c r="O589" s="391"/>
      <c r="P589" s="391"/>
      <c r="Q589" s="391"/>
      <c r="R589" s="391"/>
      <c r="S589" s="391"/>
      <c r="T589" s="391"/>
      <c r="U589" s="391"/>
      <c r="V589" s="391"/>
      <c r="W589" s="391"/>
      <c r="X589" s="391"/>
      <c r="Y589" s="391"/>
      <c r="Z589" s="391"/>
      <c r="AA589" s="391"/>
      <c r="AB589" s="391"/>
      <c r="AC589" s="391"/>
      <c r="AD589" s="391"/>
      <c r="AE589" s="391"/>
    </row>
    <row r="590">
      <c r="A590" s="391"/>
      <c r="B590" s="391"/>
      <c r="C590" s="391"/>
      <c r="D590" s="391"/>
      <c r="E590" s="391"/>
      <c r="F590" s="391"/>
      <c r="G590" s="391"/>
      <c r="H590" s="391"/>
      <c r="I590" s="391"/>
      <c r="J590" s="391"/>
      <c r="K590" s="391"/>
      <c r="L590" s="391"/>
      <c r="M590" s="391"/>
      <c r="N590" s="391"/>
      <c r="O590" s="391"/>
      <c r="P590" s="391"/>
      <c r="Q590" s="391"/>
      <c r="R590" s="391"/>
      <c r="S590" s="391"/>
      <c r="T590" s="391"/>
      <c r="U590" s="391"/>
      <c r="V590" s="391"/>
      <c r="W590" s="391"/>
      <c r="X590" s="391"/>
      <c r="Y590" s="391"/>
      <c r="Z590" s="391"/>
      <c r="AA590" s="391"/>
      <c r="AB590" s="391"/>
      <c r="AC590" s="391"/>
      <c r="AD590" s="391"/>
      <c r="AE590" s="391"/>
    </row>
    <row r="591">
      <c r="A591" s="391"/>
      <c r="B591" s="391"/>
      <c r="C591" s="391"/>
      <c r="D591" s="391"/>
      <c r="E591" s="391"/>
      <c r="F591" s="391"/>
      <c r="G591" s="391"/>
      <c r="H591" s="391"/>
      <c r="I591" s="391"/>
      <c r="J591" s="391"/>
      <c r="K591" s="391"/>
      <c r="L591" s="391"/>
      <c r="M591" s="391"/>
      <c r="N591" s="391"/>
      <c r="O591" s="391"/>
      <c r="P591" s="391"/>
      <c r="Q591" s="391"/>
      <c r="R591" s="391"/>
      <c r="S591" s="391"/>
      <c r="T591" s="391"/>
      <c r="U591" s="391"/>
      <c r="V591" s="391"/>
      <c r="W591" s="391"/>
      <c r="X591" s="391"/>
      <c r="Y591" s="391"/>
      <c r="Z591" s="391"/>
      <c r="AA591" s="391"/>
      <c r="AB591" s="391"/>
      <c r="AC591" s="391"/>
      <c r="AD591" s="391"/>
      <c r="AE591" s="391"/>
    </row>
    <row r="592">
      <c r="A592" s="391"/>
      <c r="B592" s="391"/>
      <c r="C592" s="391"/>
      <c r="D592" s="391"/>
      <c r="E592" s="391"/>
      <c r="F592" s="391"/>
      <c r="G592" s="391"/>
      <c r="H592" s="391"/>
      <c r="I592" s="391"/>
      <c r="J592" s="391"/>
      <c r="K592" s="391"/>
      <c r="L592" s="391"/>
      <c r="M592" s="391"/>
      <c r="N592" s="391"/>
      <c r="O592" s="391"/>
      <c r="P592" s="391"/>
      <c r="Q592" s="391"/>
      <c r="R592" s="391"/>
      <c r="S592" s="391"/>
      <c r="T592" s="391"/>
      <c r="U592" s="391"/>
      <c r="V592" s="391"/>
      <c r="W592" s="391"/>
      <c r="X592" s="391"/>
      <c r="Y592" s="391"/>
      <c r="Z592" s="391"/>
      <c r="AA592" s="391"/>
      <c r="AB592" s="391"/>
      <c r="AC592" s="391"/>
      <c r="AD592" s="391"/>
      <c r="AE592" s="391"/>
    </row>
    <row r="593">
      <c r="A593" s="391"/>
      <c r="B593" s="391"/>
      <c r="C593" s="391"/>
      <c r="D593" s="391"/>
      <c r="E593" s="391"/>
      <c r="F593" s="391"/>
      <c r="G593" s="391"/>
      <c r="H593" s="391"/>
      <c r="I593" s="391"/>
      <c r="J593" s="391"/>
      <c r="K593" s="391"/>
      <c r="L593" s="391"/>
      <c r="M593" s="391"/>
      <c r="N593" s="391"/>
      <c r="O593" s="391"/>
      <c r="P593" s="391"/>
      <c r="Q593" s="391"/>
      <c r="R593" s="391"/>
      <c r="S593" s="391"/>
      <c r="T593" s="391"/>
      <c r="U593" s="391"/>
      <c r="V593" s="391"/>
      <c r="W593" s="391"/>
      <c r="X593" s="391"/>
      <c r="Y593" s="391"/>
      <c r="Z593" s="391"/>
      <c r="AA593" s="391"/>
      <c r="AB593" s="391"/>
      <c r="AC593" s="391"/>
      <c r="AD593" s="391"/>
      <c r="AE593" s="391"/>
    </row>
    <row r="594">
      <c r="A594" s="391"/>
      <c r="B594" s="391"/>
      <c r="C594" s="391"/>
      <c r="D594" s="391"/>
      <c r="E594" s="391"/>
      <c r="F594" s="391"/>
      <c r="G594" s="391"/>
      <c r="H594" s="391"/>
      <c r="I594" s="391"/>
      <c r="J594" s="391"/>
      <c r="K594" s="391"/>
      <c r="L594" s="391"/>
      <c r="M594" s="391"/>
      <c r="N594" s="391"/>
      <c r="O594" s="391"/>
      <c r="P594" s="391"/>
      <c r="Q594" s="391"/>
      <c r="R594" s="391"/>
      <c r="S594" s="391"/>
      <c r="T594" s="391"/>
      <c r="U594" s="391"/>
      <c r="V594" s="391"/>
      <c r="W594" s="391"/>
      <c r="X594" s="391"/>
      <c r="Y594" s="391"/>
      <c r="Z594" s="391"/>
      <c r="AA594" s="391"/>
      <c r="AB594" s="391"/>
      <c r="AC594" s="391"/>
      <c r="AD594" s="391"/>
      <c r="AE594" s="391"/>
    </row>
    <row r="595">
      <c r="A595" s="391"/>
      <c r="B595" s="391"/>
      <c r="C595" s="391"/>
      <c r="D595" s="391"/>
      <c r="E595" s="391"/>
      <c r="F595" s="391"/>
      <c r="G595" s="391"/>
      <c r="H595" s="391"/>
      <c r="I595" s="391"/>
      <c r="J595" s="391"/>
      <c r="K595" s="391"/>
      <c r="L595" s="391"/>
      <c r="M595" s="391"/>
      <c r="N595" s="391"/>
      <c r="O595" s="391"/>
      <c r="P595" s="391"/>
      <c r="Q595" s="391"/>
      <c r="R595" s="391"/>
      <c r="S595" s="391"/>
      <c r="T595" s="391"/>
      <c r="U595" s="391"/>
      <c r="V595" s="391"/>
      <c r="W595" s="391"/>
      <c r="X595" s="391"/>
      <c r="Y595" s="391"/>
      <c r="Z595" s="391"/>
      <c r="AA595" s="391"/>
      <c r="AB595" s="391"/>
      <c r="AC595" s="391"/>
      <c r="AD595" s="391"/>
      <c r="AE595" s="391"/>
    </row>
    <row r="596">
      <c r="A596" s="391"/>
      <c r="B596" s="391"/>
      <c r="C596" s="391"/>
      <c r="D596" s="391"/>
      <c r="E596" s="391"/>
      <c r="F596" s="391"/>
      <c r="G596" s="391"/>
      <c r="H596" s="391"/>
      <c r="I596" s="391"/>
      <c r="J596" s="391"/>
      <c r="K596" s="391"/>
      <c r="L596" s="391"/>
      <c r="M596" s="391"/>
      <c r="N596" s="391"/>
      <c r="O596" s="391"/>
      <c r="P596" s="391"/>
      <c r="Q596" s="391"/>
      <c r="R596" s="391"/>
      <c r="S596" s="391"/>
      <c r="T596" s="391"/>
      <c r="U596" s="391"/>
      <c r="V596" s="391"/>
      <c r="W596" s="391"/>
      <c r="X596" s="391"/>
      <c r="Y596" s="391"/>
      <c r="Z596" s="391"/>
      <c r="AA596" s="391"/>
      <c r="AB596" s="391"/>
      <c r="AC596" s="391"/>
      <c r="AD596" s="391"/>
      <c r="AE596" s="391"/>
    </row>
    <row r="597">
      <c r="A597" s="391"/>
      <c r="B597" s="391"/>
      <c r="C597" s="391"/>
      <c r="D597" s="391"/>
      <c r="E597" s="391"/>
      <c r="F597" s="391"/>
      <c r="G597" s="391"/>
      <c r="H597" s="391"/>
      <c r="I597" s="391"/>
      <c r="J597" s="391"/>
      <c r="K597" s="391"/>
      <c r="L597" s="391"/>
      <c r="M597" s="391"/>
      <c r="N597" s="391"/>
      <c r="O597" s="391"/>
      <c r="P597" s="391"/>
      <c r="Q597" s="391"/>
      <c r="R597" s="391"/>
      <c r="S597" s="391"/>
      <c r="T597" s="391"/>
      <c r="U597" s="391"/>
      <c r="V597" s="391"/>
      <c r="W597" s="391"/>
      <c r="X597" s="391"/>
      <c r="Y597" s="391"/>
      <c r="Z597" s="391"/>
      <c r="AA597" s="391"/>
      <c r="AB597" s="391"/>
      <c r="AC597" s="391"/>
      <c r="AD597" s="391"/>
      <c r="AE597" s="391"/>
    </row>
    <row r="598">
      <c r="A598" s="391"/>
      <c r="B598" s="391"/>
      <c r="C598" s="391"/>
      <c r="D598" s="391"/>
      <c r="E598" s="391"/>
      <c r="F598" s="391"/>
      <c r="G598" s="391"/>
      <c r="H598" s="391"/>
      <c r="I598" s="391"/>
      <c r="J598" s="391"/>
      <c r="K598" s="391"/>
      <c r="L598" s="391"/>
      <c r="M598" s="391"/>
      <c r="N598" s="391"/>
      <c r="O598" s="391"/>
      <c r="P598" s="391"/>
      <c r="Q598" s="391"/>
      <c r="R598" s="391"/>
      <c r="S598" s="391"/>
      <c r="T598" s="391"/>
      <c r="U598" s="391"/>
      <c r="V598" s="391"/>
      <c r="W598" s="391"/>
      <c r="X598" s="391"/>
      <c r="Y598" s="391"/>
      <c r="Z598" s="391"/>
      <c r="AA598" s="391"/>
      <c r="AB598" s="391"/>
      <c r="AC598" s="391"/>
      <c r="AD598" s="391"/>
      <c r="AE598" s="391"/>
    </row>
    <row r="599">
      <c r="A599" s="391"/>
      <c r="B599" s="391"/>
      <c r="C599" s="391"/>
      <c r="D599" s="391"/>
      <c r="E599" s="391"/>
      <c r="F599" s="391"/>
      <c r="G599" s="391"/>
      <c r="H599" s="391"/>
      <c r="I599" s="391"/>
      <c r="J599" s="391"/>
      <c r="K599" s="391"/>
      <c r="L599" s="391"/>
      <c r="M599" s="391"/>
      <c r="N599" s="391"/>
      <c r="O599" s="391"/>
      <c r="P599" s="391"/>
      <c r="Q599" s="391"/>
      <c r="R599" s="391"/>
      <c r="S599" s="391"/>
      <c r="T599" s="391"/>
      <c r="U599" s="391"/>
      <c r="V599" s="391"/>
      <c r="W599" s="391"/>
      <c r="X599" s="391"/>
      <c r="Y599" s="391"/>
      <c r="Z599" s="391"/>
      <c r="AA599" s="391"/>
      <c r="AB599" s="391"/>
      <c r="AC599" s="391"/>
      <c r="AD599" s="391"/>
      <c r="AE599" s="391"/>
    </row>
    <row r="600">
      <c r="A600" s="391"/>
      <c r="B600" s="391"/>
      <c r="C600" s="391"/>
      <c r="D600" s="391"/>
      <c r="E600" s="391"/>
      <c r="F600" s="391"/>
      <c r="G600" s="391"/>
      <c r="H600" s="391"/>
      <c r="I600" s="391"/>
      <c r="J600" s="391"/>
      <c r="K600" s="391"/>
      <c r="L600" s="391"/>
      <c r="M600" s="391"/>
      <c r="N600" s="391"/>
      <c r="O600" s="391"/>
      <c r="P600" s="391"/>
      <c r="Q600" s="391"/>
      <c r="R600" s="391"/>
      <c r="S600" s="391"/>
      <c r="T600" s="391"/>
      <c r="U600" s="391"/>
      <c r="V600" s="391"/>
      <c r="W600" s="391"/>
      <c r="X600" s="391"/>
      <c r="Y600" s="391"/>
      <c r="Z600" s="391"/>
      <c r="AA600" s="391"/>
      <c r="AB600" s="391"/>
      <c r="AC600" s="391"/>
      <c r="AD600" s="391"/>
      <c r="AE600" s="391"/>
    </row>
    <row r="601">
      <c r="A601" s="391"/>
      <c r="B601" s="391"/>
      <c r="C601" s="391"/>
      <c r="D601" s="391"/>
      <c r="E601" s="391"/>
      <c r="F601" s="391"/>
      <c r="G601" s="391"/>
      <c r="H601" s="391"/>
      <c r="I601" s="391"/>
      <c r="J601" s="391"/>
      <c r="K601" s="391"/>
      <c r="L601" s="391"/>
      <c r="M601" s="391"/>
      <c r="N601" s="391"/>
      <c r="O601" s="391"/>
      <c r="P601" s="391"/>
      <c r="Q601" s="391"/>
      <c r="R601" s="391"/>
      <c r="S601" s="391"/>
      <c r="T601" s="391"/>
      <c r="U601" s="391"/>
      <c r="V601" s="391"/>
      <c r="W601" s="391"/>
      <c r="X601" s="391"/>
      <c r="Y601" s="391"/>
      <c r="Z601" s="391"/>
      <c r="AA601" s="391"/>
      <c r="AB601" s="391"/>
      <c r="AC601" s="391"/>
      <c r="AD601" s="391"/>
      <c r="AE601" s="391"/>
    </row>
    <row r="602">
      <c r="A602" s="391"/>
      <c r="B602" s="391"/>
      <c r="C602" s="391"/>
      <c r="D602" s="391"/>
      <c r="E602" s="391"/>
      <c r="F602" s="391"/>
      <c r="G602" s="391"/>
      <c r="H602" s="391"/>
      <c r="I602" s="391"/>
      <c r="J602" s="391"/>
      <c r="K602" s="391"/>
      <c r="L602" s="391"/>
      <c r="M602" s="391"/>
      <c r="N602" s="391"/>
      <c r="O602" s="391"/>
      <c r="P602" s="391"/>
      <c r="Q602" s="391"/>
      <c r="R602" s="391"/>
      <c r="S602" s="391"/>
      <c r="T602" s="391"/>
      <c r="U602" s="391"/>
      <c r="V602" s="391"/>
      <c r="W602" s="391"/>
      <c r="X602" s="391"/>
      <c r="Y602" s="391"/>
      <c r="Z602" s="391"/>
      <c r="AA602" s="391"/>
      <c r="AB602" s="391"/>
      <c r="AC602" s="391"/>
      <c r="AD602" s="391"/>
      <c r="AE602" s="391"/>
    </row>
    <row r="603">
      <c r="A603" s="391"/>
      <c r="B603" s="391"/>
      <c r="C603" s="391"/>
      <c r="D603" s="391"/>
      <c r="E603" s="391"/>
      <c r="F603" s="391"/>
      <c r="G603" s="391"/>
      <c r="H603" s="391"/>
      <c r="I603" s="391"/>
      <c r="J603" s="391"/>
      <c r="K603" s="391"/>
      <c r="L603" s="391"/>
      <c r="M603" s="391"/>
      <c r="N603" s="391"/>
      <c r="O603" s="391"/>
      <c r="P603" s="391"/>
      <c r="Q603" s="391"/>
      <c r="R603" s="391"/>
      <c r="S603" s="391"/>
      <c r="T603" s="391"/>
      <c r="U603" s="391"/>
      <c r="V603" s="391"/>
      <c r="W603" s="391"/>
      <c r="X603" s="391"/>
      <c r="Y603" s="391"/>
      <c r="Z603" s="391"/>
      <c r="AA603" s="391"/>
      <c r="AB603" s="391"/>
      <c r="AC603" s="391"/>
      <c r="AD603" s="391"/>
      <c r="AE603" s="391"/>
    </row>
    <row r="604">
      <c r="A604" s="391"/>
      <c r="B604" s="391"/>
      <c r="C604" s="391"/>
      <c r="D604" s="391"/>
      <c r="E604" s="391"/>
      <c r="F604" s="391"/>
      <c r="G604" s="391"/>
      <c r="H604" s="391"/>
      <c r="I604" s="391"/>
      <c r="J604" s="391"/>
      <c r="K604" s="391"/>
      <c r="L604" s="391"/>
      <c r="M604" s="391"/>
      <c r="N604" s="391"/>
      <c r="O604" s="391"/>
      <c r="P604" s="391"/>
      <c r="Q604" s="391"/>
      <c r="R604" s="391"/>
      <c r="S604" s="391"/>
      <c r="T604" s="391"/>
      <c r="U604" s="391"/>
      <c r="V604" s="391"/>
      <c r="W604" s="391"/>
      <c r="X604" s="391"/>
      <c r="Y604" s="391"/>
      <c r="Z604" s="391"/>
      <c r="AA604" s="391"/>
      <c r="AB604" s="391"/>
      <c r="AC604" s="391"/>
      <c r="AD604" s="391"/>
      <c r="AE604" s="391"/>
    </row>
    <row r="605">
      <c r="A605" s="391"/>
      <c r="B605" s="391"/>
      <c r="C605" s="391"/>
      <c r="D605" s="391"/>
      <c r="E605" s="391"/>
      <c r="F605" s="391"/>
      <c r="G605" s="391"/>
      <c r="H605" s="391"/>
      <c r="I605" s="391"/>
      <c r="J605" s="391"/>
      <c r="K605" s="391"/>
      <c r="L605" s="391"/>
      <c r="M605" s="391"/>
      <c r="N605" s="391"/>
      <c r="O605" s="391"/>
      <c r="P605" s="391"/>
      <c r="Q605" s="391"/>
      <c r="R605" s="391"/>
      <c r="S605" s="391"/>
      <c r="T605" s="391"/>
      <c r="U605" s="391"/>
      <c r="V605" s="391"/>
      <c r="W605" s="391"/>
      <c r="X605" s="391"/>
      <c r="Y605" s="391"/>
      <c r="Z605" s="391"/>
      <c r="AA605" s="391"/>
      <c r="AB605" s="391"/>
      <c r="AC605" s="391"/>
      <c r="AD605" s="391"/>
      <c r="AE605" s="391"/>
    </row>
    <row r="606">
      <c r="A606" s="391"/>
      <c r="B606" s="391"/>
      <c r="C606" s="391"/>
      <c r="D606" s="391"/>
      <c r="E606" s="391"/>
      <c r="F606" s="391"/>
      <c r="G606" s="391"/>
      <c r="H606" s="391"/>
      <c r="I606" s="391"/>
      <c r="J606" s="391"/>
      <c r="K606" s="391"/>
      <c r="L606" s="391"/>
      <c r="M606" s="391"/>
      <c r="N606" s="391"/>
      <c r="O606" s="391"/>
      <c r="P606" s="391"/>
      <c r="Q606" s="391"/>
      <c r="R606" s="391"/>
      <c r="S606" s="391"/>
      <c r="T606" s="391"/>
      <c r="U606" s="391"/>
      <c r="V606" s="391"/>
      <c r="W606" s="391"/>
      <c r="X606" s="391"/>
      <c r="Y606" s="391"/>
      <c r="Z606" s="391"/>
      <c r="AA606" s="391"/>
      <c r="AB606" s="391"/>
      <c r="AC606" s="391"/>
      <c r="AD606" s="391"/>
      <c r="AE606" s="391"/>
    </row>
    <row r="607">
      <c r="A607" s="391"/>
      <c r="B607" s="391"/>
      <c r="C607" s="391"/>
      <c r="D607" s="391"/>
      <c r="E607" s="391"/>
      <c r="F607" s="391"/>
      <c r="G607" s="391"/>
      <c r="H607" s="391"/>
      <c r="I607" s="391"/>
      <c r="J607" s="391"/>
      <c r="K607" s="391"/>
      <c r="L607" s="391"/>
      <c r="M607" s="391"/>
      <c r="N607" s="391"/>
      <c r="O607" s="391"/>
      <c r="P607" s="391"/>
      <c r="Q607" s="391"/>
      <c r="R607" s="391"/>
      <c r="S607" s="391"/>
      <c r="T607" s="391"/>
      <c r="U607" s="391"/>
      <c r="V607" s="391"/>
      <c r="W607" s="391"/>
      <c r="X607" s="391"/>
      <c r="Y607" s="391"/>
      <c r="Z607" s="391"/>
      <c r="AA607" s="391"/>
      <c r="AB607" s="391"/>
      <c r="AC607" s="391"/>
      <c r="AD607" s="391"/>
      <c r="AE607" s="391"/>
    </row>
    <row r="608">
      <c r="A608" s="391"/>
      <c r="B608" s="391"/>
      <c r="C608" s="391"/>
      <c r="D608" s="391"/>
      <c r="E608" s="391"/>
      <c r="F608" s="391"/>
      <c r="G608" s="391"/>
      <c r="H608" s="391"/>
      <c r="I608" s="391"/>
      <c r="J608" s="391"/>
      <c r="K608" s="391"/>
      <c r="L608" s="391"/>
      <c r="M608" s="391"/>
      <c r="N608" s="391"/>
      <c r="O608" s="391"/>
      <c r="P608" s="391"/>
      <c r="Q608" s="391"/>
      <c r="R608" s="391"/>
      <c r="S608" s="391"/>
      <c r="T608" s="391"/>
      <c r="U608" s="391"/>
      <c r="V608" s="391"/>
      <c r="W608" s="391"/>
      <c r="X608" s="391"/>
      <c r="Y608" s="391"/>
      <c r="Z608" s="391"/>
      <c r="AA608" s="391"/>
      <c r="AB608" s="391"/>
      <c r="AC608" s="391"/>
      <c r="AD608" s="391"/>
      <c r="AE608" s="391"/>
    </row>
    <row r="609">
      <c r="A609" s="391"/>
      <c r="B609" s="391"/>
      <c r="C609" s="391"/>
      <c r="D609" s="391"/>
      <c r="E609" s="391"/>
      <c r="F609" s="391"/>
      <c r="G609" s="391"/>
      <c r="H609" s="391"/>
      <c r="I609" s="391"/>
      <c r="J609" s="391"/>
      <c r="K609" s="391"/>
      <c r="L609" s="391"/>
      <c r="M609" s="391"/>
      <c r="N609" s="391"/>
      <c r="O609" s="391"/>
      <c r="P609" s="391"/>
      <c r="Q609" s="391"/>
      <c r="R609" s="391"/>
      <c r="S609" s="391"/>
      <c r="T609" s="391"/>
      <c r="U609" s="391"/>
      <c r="V609" s="391"/>
      <c r="W609" s="391"/>
      <c r="X609" s="391"/>
      <c r="Y609" s="391"/>
      <c r="Z609" s="391"/>
      <c r="AA609" s="391"/>
      <c r="AB609" s="391"/>
      <c r="AC609" s="391"/>
      <c r="AD609" s="391"/>
      <c r="AE609" s="391"/>
    </row>
    <row r="610">
      <c r="A610" s="391"/>
      <c r="B610" s="391"/>
      <c r="C610" s="391"/>
      <c r="D610" s="391"/>
      <c r="E610" s="391"/>
      <c r="F610" s="391"/>
      <c r="G610" s="391"/>
      <c r="H610" s="391"/>
      <c r="I610" s="391"/>
      <c r="J610" s="391"/>
      <c r="K610" s="391"/>
      <c r="L610" s="391"/>
      <c r="M610" s="391"/>
      <c r="N610" s="391"/>
      <c r="O610" s="391"/>
      <c r="P610" s="391"/>
      <c r="Q610" s="391"/>
      <c r="R610" s="391"/>
      <c r="S610" s="391"/>
      <c r="T610" s="391"/>
      <c r="U610" s="391"/>
      <c r="V610" s="391"/>
      <c r="W610" s="391"/>
      <c r="X610" s="391"/>
      <c r="Y610" s="391"/>
      <c r="Z610" s="391"/>
      <c r="AA610" s="391"/>
      <c r="AB610" s="391"/>
      <c r="AC610" s="391"/>
      <c r="AD610" s="391"/>
      <c r="AE610" s="391"/>
    </row>
    <row r="611">
      <c r="A611" s="391"/>
      <c r="B611" s="391"/>
      <c r="C611" s="391"/>
      <c r="D611" s="391"/>
      <c r="E611" s="391"/>
      <c r="F611" s="391"/>
      <c r="G611" s="391"/>
      <c r="H611" s="391"/>
      <c r="I611" s="391"/>
      <c r="J611" s="391"/>
      <c r="K611" s="391"/>
      <c r="L611" s="391"/>
      <c r="M611" s="391"/>
      <c r="N611" s="391"/>
      <c r="O611" s="391"/>
      <c r="P611" s="391"/>
      <c r="Q611" s="391"/>
      <c r="R611" s="391"/>
      <c r="S611" s="391"/>
      <c r="T611" s="391"/>
      <c r="U611" s="391"/>
      <c r="V611" s="391"/>
      <c r="W611" s="391"/>
      <c r="X611" s="391"/>
      <c r="Y611" s="391"/>
      <c r="Z611" s="391"/>
      <c r="AA611" s="391"/>
      <c r="AB611" s="391"/>
      <c r="AC611" s="391"/>
      <c r="AD611" s="391"/>
      <c r="AE611" s="391"/>
    </row>
    <row r="612">
      <c r="A612" s="391"/>
      <c r="B612" s="391"/>
      <c r="C612" s="391"/>
      <c r="D612" s="391"/>
      <c r="E612" s="391"/>
      <c r="F612" s="391"/>
      <c r="G612" s="391"/>
      <c r="H612" s="391"/>
      <c r="I612" s="391"/>
      <c r="J612" s="391"/>
      <c r="K612" s="391"/>
      <c r="L612" s="391"/>
      <c r="M612" s="391"/>
      <c r="N612" s="391"/>
      <c r="O612" s="391"/>
      <c r="P612" s="391"/>
      <c r="Q612" s="391"/>
      <c r="R612" s="391"/>
      <c r="S612" s="391"/>
      <c r="T612" s="391"/>
      <c r="U612" s="391"/>
      <c r="V612" s="391"/>
      <c r="W612" s="391"/>
      <c r="X612" s="391"/>
      <c r="Y612" s="391"/>
      <c r="Z612" s="391"/>
      <c r="AA612" s="391"/>
      <c r="AB612" s="391"/>
      <c r="AC612" s="391"/>
      <c r="AD612" s="391"/>
      <c r="AE612" s="391"/>
    </row>
    <row r="613">
      <c r="A613" s="391"/>
      <c r="B613" s="391"/>
      <c r="C613" s="391"/>
      <c r="D613" s="391"/>
      <c r="E613" s="391"/>
      <c r="F613" s="391"/>
      <c r="G613" s="391"/>
      <c r="H613" s="391"/>
      <c r="I613" s="391"/>
      <c r="J613" s="391"/>
      <c r="K613" s="391"/>
      <c r="L613" s="391"/>
      <c r="M613" s="391"/>
      <c r="N613" s="391"/>
      <c r="O613" s="391"/>
      <c r="P613" s="391"/>
      <c r="Q613" s="391"/>
      <c r="R613" s="391"/>
      <c r="S613" s="391"/>
      <c r="T613" s="391"/>
      <c r="U613" s="391"/>
      <c r="V613" s="391"/>
      <c r="W613" s="391"/>
      <c r="X613" s="391"/>
      <c r="Y613" s="391"/>
      <c r="Z613" s="391"/>
      <c r="AA613" s="391"/>
      <c r="AB613" s="391"/>
      <c r="AC613" s="391"/>
      <c r="AD613" s="391"/>
      <c r="AE613" s="391"/>
    </row>
    <row r="614">
      <c r="A614" s="391"/>
      <c r="B614" s="391"/>
      <c r="C614" s="391"/>
      <c r="D614" s="391"/>
      <c r="E614" s="391"/>
      <c r="F614" s="391"/>
      <c r="G614" s="391"/>
      <c r="H614" s="391"/>
      <c r="I614" s="391"/>
      <c r="J614" s="391"/>
      <c r="K614" s="391"/>
      <c r="L614" s="391"/>
      <c r="M614" s="391"/>
      <c r="N614" s="391"/>
      <c r="O614" s="391"/>
      <c r="P614" s="391"/>
      <c r="Q614" s="391"/>
      <c r="R614" s="391"/>
      <c r="S614" s="391"/>
      <c r="T614" s="391"/>
      <c r="U614" s="391"/>
      <c r="V614" s="391"/>
      <c r="W614" s="391"/>
      <c r="X614" s="391"/>
      <c r="Y614" s="391"/>
      <c r="Z614" s="391"/>
      <c r="AA614" s="391"/>
      <c r="AB614" s="391"/>
      <c r="AC614" s="391"/>
      <c r="AD614" s="391"/>
      <c r="AE614" s="391"/>
    </row>
    <row r="615">
      <c r="A615" s="391"/>
      <c r="B615" s="391"/>
      <c r="C615" s="391"/>
      <c r="D615" s="391"/>
      <c r="E615" s="391"/>
      <c r="F615" s="391"/>
      <c r="G615" s="391"/>
      <c r="H615" s="391"/>
      <c r="I615" s="391"/>
      <c r="J615" s="391"/>
      <c r="K615" s="391"/>
      <c r="L615" s="391"/>
      <c r="M615" s="391"/>
      <c r="N615" s="391"/>
      <c r="O615" s="391"/>
      <c r="P615" s="391"/>
      <c r="Q615" s="391"/>
      <c r="R615" s="391"/>
      <c r="S615" s="391"/>
      <c r="T615" s="391"/>
      <c r="U615" s="391"/>
      <c r="V615" s="391"/>
      <c r="W615" s="391"/>
      <c r="X615" s="391"/>
      <c r="Y615" s="391"/>
      <c r="Z615" s="391"/>
      <c r="AA615" s="391"/>
      <c r="AB615" s="391"/>
      <c r="AC615" s="391"/>
      <c r="AD615" s="391"/>
      <c r="AE615" s="391"/>
    </row>
    <row r="616">
      <c r="A616" s="391"/>
      <c r="B616" s="391"/>
      <c r="C616" s="391"/>
      <c r="D616" s="391"/>
      <c r="E616" s="391"/>
      <c r="F616" s="391"/>
      <c r="G616" s="391"/>
      <c r="H616" s="391"/>
      <c r="I616" s="391"/>
      <c r="J616" s="391"/>
      <c r="K616" s="391"/>
      <c r="L616" s="391"/>
      <c r="M616" s="391"/>
      <c r="N616" s="391"/>
      <c r="O616" s="391"/>
      <c r="P616" s="391"/>
      <c r="Q616" s="391"/>
      <c r="R616" s="391"/>
      <c r="S616" s="391"/>
      <c r="T616" s="391"/>
      <c r="U616" s="391"/>
      <c r="V616" s="391"/>
      <c r="W616" s="391"/>
      <c r="X616" s="391"/>
      <c r="Y616" s="391"/>
      <c r="Z616" s="391"/>
      <c r="AA616" s="391"/>
      <c r="AB616" s="391"/>
      <c r="AC616" s="391"/>
      <c r="AD616" s="391"/>
      <c r="AE616" s="391"/>
    </row>
    <row r="617">
      <c r="A617" s="391"/>
      <c r="B617" s="391"/>
      <c r="C617" s="391"/>
      <c r="D617" s="391"/>
      <c r="E617" s="391"/>
      <c r="F617" s="391"/>
      <c r="G617" s="391"/>
      <c r="H617" s="391"/>
      <c r="I617" s="391"/>
      <c r="J617" s="391"/>
      <c r="K617" s="391"/>
      <c r="L617" s="391"/>
      <c r="M617" s="391"/>
      <c r="N617" s="391"/>
      <c r="O617" s="391"/>
      <c r="P617" s="391"/>
      <c r="Q617" s="391"/>
      <c r="R617" s="391"/>
      <c r="S617" s="391"/>
      <c r="T617" s="391"/>
      <c r="U617" s="391"/>
      <c r="V617" s="391"/>
      <c r="W617" s="391"/>
      <c r="X617" s="391"/>
      <c r="Y617" s="391"/>
      <c r="Z617" s="391"/>
      <c r="AA617" s="391"/>
      <c r="AB617" s="391"/>
      <c r="AC617" s="391"/>
      <c r="AD617" s="391"/>
      <c r="AE617" s="391"/>
    </row>
    <row r="618">
      <c r="A618" s="391"/>
      <c r="B618" s="391"/>
      <c r="C618" s="391"/>
      <c r="D618" s="391"/>
      <c r="E618" s="391"/>
      <c r="F618" s="391"/>
      <c r="G618" s="391"/>
      <c r="H618" s="391"/>
      <c r="I618" s="391"/>
      <c r="J618" s="391"/>
      <c r="K618" s="391"/>
      <c r="L618" s="391"/>
      <c r="M618" s="391"/>
      <c r="N618" s="391"/>
      <c r="O618" s="391"/>
      <c r="P618" s="391"/>
      <c r="Q618" s="391"/>
      <c r="R618" s="391"/>
      <c r="S618" s="391"/>
      <c r="T618" s="391"/>
      <c r="U618" s="391"/>
      <c r="V618" s="391"/>
      <c r="W618" s="391"/>
      <c r="X618" s="391"/>
      <c r="Y618" s="391"/>
      <c r="Z618" s="391"/>
      <c r="AA618" s="391"/>
      <c r="AB618" s="391"/>
      <c r="AC618" s="391"/>
      <c r="AD618" s="391"/>
      <c r="AE618" s="391"/>
    </row>
    <row r="619">
      <c r="A619" s="391"/>
      <c r="B619" s="391"/>
      <c r="C619" s="391"/>
      <c r="D619" s="391"/>
      <c r="E619" s="391"/>
      <c r="F619" s="391"/>
      <c r="G619" s="391"/>
      <c r="H619" s="391"/>
      <c r="I619" s="391"/>
      <c r="J619" s="391"/>
      <c r="K619" s="391"/>
      <c r="L619" s="391"/>
      <c r="M619" s="391"/>
      <c r="N619" s="391"/>
      <c r="O619" s="391"/>
      <c r="P619" s="391"/>
      <c r="Q619" s="391"/>
      <c r="R619" s="391"/>
      <c r="S619" s="391"/>
      <c r="T619" s="391"/>
      <c r="U619" s="391"/>
      <c r="V619" s="391"/>
      <c r="W619" s="391"/>
      <c r="X619" s="391"/>
      <c r="Y619" s="391"/>
      <c r="Z619" s="391"/>
      <c r="AA619" s="391"/>
      <c r="AB619" s="391"/>
      <c r="AC619" s="391"/>
      <c r="AD619" s="391"/>
      <c r="AE619" s="391"/>
    </row>
    <row r="620">
      <c r="A620" s="391"/>
      <c r="B620" s="391"/>
      <c r="C620" s="391"/>
      <c r="D620" s="391"/>
      <c r="E620" s="391"/>
      <c r="F620" s="391"/>
      <c r="G620" s="391"/>
      <c r="H620" s="391"/>
      <c r="I620" s="391"/>
      <c r="J620" s="391"/>
      <c r="K620" s="391"/>
      <c r="L620" s="391"/>
      <c r="M620" s="391"/>
      <c r="N620" s="391"/>
      <c r="O620" s="391"/>
      <c r="P620" s="391"/>
      <c r="Q620" s="391"/>
      <c r="R620" s="391"/>
      <c r="S620" s="391"/>
      <c r="T620" s="391"/>
      <c r="U620" s="391"/>
      <c r="V620" s="391"/>
      <c r="W620" s="391"/>
      <c r="X620" s="391"/>
      <c r="Y620" s="391"/>
      <c r="Z620" s="391"/>
      <c r="AA620" s="391"/>
      <c r="AB620" s="391"/>
      <c r="AC620" s="391"/>
      <c r="AD620" s="391"/>
      <c r="AE620" s="391"/>
    </row>
    <row r="621">
      <c r="A621" s="391"/>
      <c r="B621" s="391"/>
      <c r="C621" s="391"/>
      <c r="D621" s="391"/>
      <c r="E621" s="391"/>
      <c r="F621" s="391"/>
      <c r="G621" s="391"/>
      <c r="H621" s="391"/>
      <c r="I621" s="391"/>
      <c r="J621" s="391"/>
      <c r="K621" s="391"/>
      <c r="L621" s="391"/>
      <c r="M621" s="391"/>
      <c r="N621" s="391"/>
      <c r="O621" s="391"/>
      <c r="P621" s="391"/>
      <c r="Q621" s="391"/>
      <c r="R621" s="391"/>
      <c r="S621" s="391"/>
      <c r="T621" s="391"/>
      <c r="U621" s="391"/>
      <c r="V621" s="391"/>
      <c r="W621" s="391"/>
      <c r="X621" s="391"/>
      <c r="Y621" s="391"/>
      <c r="Z621" s="391"/>
      <c r="AA621" s="391"/>
      <c r="AB621" s="391"/>
      <c r="AC621" s="391"/>
      <c r="AD621" s="391"/>
      <c r="AE621" s="391"/>
    </row>
    <row r="622">
      <c r="A622" s="391"/>
      <c r="B622" s="391"/>
      <c r="C622" s="391"/>
      <c r="D622" s="391"/>
      <c r="E622" s="391"/>
      <c r="F622" s="391"/>
      <c r="G622" s="391"/>
      <c r="H622" s="391"/>
      <c r="I622" s="391"/>
      <c r="J622" s="391"/>
      <c r="K622" s="391"/>
      <c r="L622" s="391"/>
      <c r="M622" s="391"/>
      <c r="N622" s="391"/>
      <c r="O622" s="391"/>
      <c r="P622" s="391"/>
      <c r="Q622" s="391"/>
      <c r="R622" s="391"/>
      <c r="S622" s="391"/>
      <c r="T622" s="391"/>
      <c r="U622" s="391"/>
      <c r="V622" s="391"/>
      <c r="W622" s="391"/>
      <c r="X622" s="391"/>
      <c r="Y622" s="391"/>
      <c r="Z622" s="391"/>
      <c r="AA622" s="391"/>
      <c r="AB622" s="391"/>
      <c r="AC622" s="391"/>
      <c r="AD622" s="391"/>
      <c r="AE622" s="391"/>
    </row>
    <row r="623">
      <c r="A623" s="391"/>
      <c r="B623" s="391"/>
      <c r="C623" s="391"/>
      <c r="D623" s="391"/>
      <c r="E623" s="391"/>
      <c r="F623" s="391"/>
      <c r="G623" s="391"/>
      <c r="H623" s="391"/>
      <c r="I623" s="391"/>
      <c r="J623" s="391"/>
      <c r="K623" s="391"/>
      <c r="L623" s="391"/>
      <c r="M623" s="391"/>
      <c r="N623" s="391"/>
      <c r="O623" s="391"/>
      <c r="P623" s="391"/>
      <c r="Q623" s="391"/>
      <c r="R623" s="391"/>
      <c r="S623" s="391"/>
      <c r="T623" s="391"/>
      <c r="U623" s="391"/>
      <c r="V623" s="391"/>
      <c r="W623" s="391"/>
      <c r="X623" s="391"/>
      <c r="Y623" s="391"/>
      <c r="Z623" s="391"/>
      <c r="AA623" s="391"/>
      <c r="AB623" s="391"/>
      <c r="AC623" s="391"/>
      <c r="AD623" s="391"/>
      <c r="AE623" s="391"/>
    </row>
    <row r="624">
      <c r="A624" s="391"/>
      <c r="B624" s="391"/>
      <c r="C624" s="391"/>
      <c r="D624" s="391"/>
      <c r="E624" s="391"/>
      <c r="F624" s="391"/>
      <c r="G624" s="391"/>
      <c r="H624" s="391"/>
      <c r="I624" s="391"/>
      <c r="J624" s="391"/>
      <c r="K624" s="391"/>
      <c r="L624" s="391"/>
      <c r="M624" s="391"/>
      <c r="N624" s="391"/>
      <c r="O624" s="391"/>
      <c r="P624" s="391"/>
      <c r="Q624" s="391"/>
      <c r="R624" s="391"/>
      <c r="S624" s="391"/>
      <c r="T624" s="391"/>
      <c r="U624" s="391"/>
      <c r="V624" s="391"/>
      <c r="W624" s="391"/>
      <c r="X624" s="391"/>
      <c r="Y624" s="391"/>
      <c r="Z624" s="391"/>
      <c r="AA624" s="391"/>
      <c r="AB624" s="391"/>
      <c r="AC624" s="391"/>
      <c r="AD624" s="391"/>
      <c r="AE624" s="391"/>
    </row>
    <row r="625">
      <c r="A625" s="391"/>
      <c r="B625" s="391"/>
      <c r="C625" s="391"/>
      <c r="D625" s="391"/>
      <c r="E625" s="391"/>
      <c r="F625" s="391"/>
      <c r="G625" s="391"/>
      <c r="H625" s="391"/>
      <c r="I625" s="391"/>
      <c r="J625" s="391"/>
      <c r="K625" s="391"/>
      <c r="L625" s="391"/>
      <c r="M625" s="391"/>
      <c r="N625" s="391"/>
      <c r="O625" s="391"/>
      <c r="P625" s="391"/>
      <c r="Q625" s="391"/>
      <c r="R625" s="391"/>
      <c r="S625" s="391"/>
      <c r="T625" s="391"/>
      <c r="U625" s="391"/>
      <c r="V625" s="391"/>
      <c r="W625" s="391"/>
      <c r="X625" s="391"/>
      <c r="Y625" s="391"/>
      <c r="Z625" s="391"/>
      <c r="AA625" s="391"/>
      <c r="AB625" s="391"/>
      <c r="AC625" s="391"/>
      <c r="AD625" s="391"/>
      <c r="AE625" s="391"/>
    </row>
    <row r="626">
      <c r="A626" s="391"/>
      <c r="B626" s="391"/>
      <c r="C626" s="391"/>
      <c r="D626" s="391"/>
      <c r="E626" s="391"/>
      <c r="F626" s="391"/>
      <c r="G626" s="391"/>
      <c r="H626" s="391"/>
      <c r="I626" s="391"/>
      <c r="J626" s="391"/>
      <c r="K626" s="391"/>
      <c r="L626" s="391"/>
      <c r="M626" s="391"/>
      <c r="N626" s="391"/>
      <c r="O626" s="391"/>
      <c r="P626" s="391"/>
      <c r="Q626" s="391"/>
      <c r="R626" s="391"/>
      <c r="S626" s="391"/>
      <c r="T626" s="391"/>
      <c r="U626" s="391"/>
      <c r="V626" s="391"/>
      <c r="W626" s="391"/>
      <c r="X626" s="391"/>
      <c r="Y626" s="391"/>
      <c r="Z626" s="391"/>
      <c r="AA626" s="391"/>
      <c r="AB626" s="391"/>
      <c r="AC626" s="391"/>
      <c r="AD626" s="391"/>
      <c r="AE626" s="391"/>
    </row>
    <row r="627">
      <c r="A627" s="391"/>
      <c r="B627" s="391"/>
      <c r="C627" s="391"/>
      <c r="D627" s="391"/>
      <c r="E627" s="391"/>
      <c r="F627" s="391"/>
      <c r="G627" s="391"/>
      <c r="H627" s="391"/>
      <c r="I627" s="391"/>
      <c r="J627" s="391"/>
      <c r="K627" s="391"/>
      <c r="L627" s="391"/>
      <c r="M627" s="391"/>
      <c r="N627" s="391"/>
      <c r="O627" s="391"/>
      <c r="P627" s="391"/>
      <c r="Q627" s="391"/>
      <c r="R627" s="391"/>
      <c r="S627" s="391"/>
      <c r="T627" s="391"/>
      <c r="U627" s="391"/>
      <c r="V627" s="391"/>
      <c r="W627" s="391"/>
      <c r="X627" s="391"/>
      <c r="Y627" s="391"/>
      <c r="Z627" s="391"/>
      <c r="AA627" s="391"/>
      <c r="AB627" s="391"/>
      <c r="AC627" s="391"/>
      <c r="AD627" s="391"/>
      <c r="AE627" s="391"/>
    </row>
    <row r="628">
      <c r="A628" s="391"/>
      <c r="B628" s="391"/>
      <c r="C628" s="391"/>
      <c r="D628" s="391"/>
      <c r="E628" s="391"/>
      <c r="F628" s="391"/>
      <c r="G628" s="391"/>
      <c r="H628" s="391"/>
      <c r="I628" s="391"/>
      <c r="J628" s="391"/>
      <c r="K628" s="391"/>
      <c r="L628" s="391"/>
      <c r="M628" s="391"/>
      <c r="N628" s="391"/>
      <c r="O628" s="391"/>
      <c r="P628" s="391"/>
      <c r="Q628" s="391"/>
      <c r="R628" s="391"/>
      <c r="S628" s="391"/>
      <c r="T628" s="391"/>
      <c r="U628" s="391"/>
      <c r="V628" s="391"/>
      <c r="W628" s="391"/>
      <c r="X628" s="391"/>
      <c r="Y628" s="391"/>
      <c r="Z628" s="391"/>
      <c r="AA628" s="391"/>
      <c r="AB628" s="391"/>
      <c r="AC628" s="391"/>
      <c r="AD628" s="391"/>
      <c r="AE628" s="391"/>
    </row>
    <row r="629">
      <c r="A629" s="391"/>
      <c r="B629" s="391"/>
      <c r="C629" s="391"/>
      <c r="D629" s="391"/>
      <c r="E629" s="391"/>
      <c r="F629" s="391"/>
      <c r="G629" s="391"/>
      <c r="H629" s="391"/>
      <c r="I629" s="391"/>
      <c r="J629" s="391"/>
      <c r="K629" s="391"/>
      <c r="L629" s="391"/>
      <c r="M629" s="391"/>
      <c r="N629" s="391"/>
      <c r="O629" s="391"/>
      <c r="P629" s="391"/>
      <c r="Q629" s="391"/>
      <c r="R629" s="391"/>
      <c r="S629" s="391"/>
      <c r="T629" s="391"/>
      <c r="U629" s="391"/>
      <c r="V629" s="391"/>
      <c r="W629" s="391"/>
      <c r="X629" s="391"/>
      <c r="Y629" s="391"/>
      <c r="Z629" s="391"/>
      <c r="AA629" s="391"/>
      <c r="AB629" s="391"/>
      <c r="AC629" s="391"/>
      <c r="AD629" s="391"/>
      <c r="AE629" s="391"/>
    </row>
    <row r="630">
      <c r="A630" s="391"/>
      <c r="B630" s="391"/>
      <c r="C630" s="391"/>
      <c r="D630" s="391"/>
      <c r="E630" s="391"/>
      <c r="F630" s="391"/>
      <c r="G630" s="391"/>
      <c r="H630" s="391"/>
      <c r="I630" s="391"/>
      <c r="J630" s="391"/>
      <c r="K630" s="391"/>
      <c r="L630" s="391"/>
      <c r="M630" s="391"/>
      <c r="N630" s="391"/>
      <c r="O630" s="391"/>
      <c r="P630" s="391"/>
      <c r="Q630" s="391"/>
      <c r="R630" s="391"/>
      <c r="S630" s="391"/>
      <c r="T630" s="391"/>
      <c r="U630" s="391"/>
      <c r="V630" s="391"/>
      <c r="W630" s="391"/>
      <c r="X630" s="391"/>
      <c r="Y630" s="391"/>
      <c r="Z630" s="391"/>
      <c r="AA630" s="391"/>
      <c r="AB630" s="391"/>
      <c r="AC630" s="391"/>
      <c r="AD630" s="391"/>
      <c r="AE630" s="391"/>
    </row>
    <row r="631">
      <c r="A631" s="391"/>
      <c r="B631" s="391"/>
      <c r="C631" s="391"/>
      <c r="D631" s="391"/>
      <c r="E631" s="391"/>
      <c r="F631" s="391"/>
      <c r="G631" s="391"/>
      <c r="H631" s="391"/>
      <c r="I631" s="391"/>
      <c r="J631" s="391"/>
      <c r="K631" s="391"/>
      <c r="L631" s="391"/>
      <c r="M631" s="391"/>
      <c r="N631" s="391"/>
      <c r="O631" s="391"/>
      <c r="P631" s="391"/>
      <c r="Q631" s="391"/>
      <c r="R631" s="391"/>
      <c r="S631" s="391"/>
      <c r="T631" s="391"/>
      <c r="U631" s="391"/>
      <c r="V631" s="391"/>
      <c r="W631" s="391"/>
      <c r="X631" s="391"/>
      <c r="Y631" s="391"/>
      <c r="Z631" s="391"/>
      <c r="AA631" s="391"/>
      <c r="AB631" s="391"/>
      <c r="AC631" s="391"/>
      <c r="AD631" s="391"/>
      <c r="AE631" s="391"/>
    </row>
    <row r="632">
      <c r="A632" s="391"/>
      <c r="B632" s="391"/>
      <c r="C632" s="391"/>
      <c r="D632" s="391"/>
      <c r="E632" s="391"/>
      <c r="F632" s="391"/>
      <c r="G632" s="391"/>
      <c r="H632" s="391"/>
      <c r="I632" s="391"/>
      <c r="J632" s="391"/>
      <c r="K632" s="391"/>
      <c r="L632" s="391"/>
      <c r="M632" s="391"/>
      <c r="N632" s="391"/>
      <c r="O632" s="391"/>
      <c r="P632" s="391"/>
      <c r="Q632" s="391"/>
      <c r="R632" s="391"/>
      <c r="S632" s="391"/>
      <c r="T632" s="391"/>
      <c r="U632" s="391"/>
      <c r="V632" s="391"/>
      <c r="W632" s="391"/>
      <c r="X632" s="391"/>
      <c r="Y632" s="391"/>
      <c r="Z632" s="391"/>
      <c r="AA632" s="391"/>
      <c r="AB632" s="391"/>
      <c r="AC632" s="391"/>
      <c r="AD632" s="391"/>
      <c r="AE632" s="391"/>
    </row>
    <row r="633">
      <c r="A633" s="391"/>
      <c r="B633" s="391"/>
      <c r="C633" s="391"/>
      <c r="D633" s="391"/>
      <c r="E633" s="391"/>
      <c r="F633" s="391"/>
      <c r="G633" s="391"/>
      <c r="H633" s="391"/>
      <c r="I633" s="391"/>
      <c r="J633" s="391"/>
      <c r="K633" s="391"/>
      <c r="L633" s="391"/>
      <c r="M633" s="391"/>
      <c r="N633" s="391"/>
      <c r="O633" s="391"/>
      <c r="P633" s="391"/>
      <c r="Q633" s="391"/>
      <c r="R633" s="391"/>
      <c r="S633" s="391"/>
      <c r="T633" s="391"/>
      <c r="U633" s="391"/>
      <c r="V633" s="391"/>
      <c r="W633" s="391"/>
      <c r="X633" s="391"/>
      <c r="Y633" s="391"/>
      <c r="Z633" s="391"/>
      <c r="AA633" s="391"/>
      <c r="AB633" s="391"/>
      <c r="AC633" s="391"/>
      <c r="AD633" s="391"/>
      <c r="AE633" s="391"/>
    </row>
    <row r="634">
      <c r="A634" s="391"/>
      <c r="B634" s="391"/>
      <c r="C634" s="391"/>
      <c r="D634" s="391"/>
      <c r="E634" s="391"/>
      <c r="F634" s="391"/>
      <c r="G634" s="391"/>
      <c r="H634" s="391"/>
      <c r="I634" s="391"/>
      <c r="J634" s="391"/>
      <c r="K634" s="391"/>
      <c r="L634" s="391"/>
      <c r="M634" s="391"/>
      <c r="N634" s="391"/>
      <c r="O634" s="391"/>
      <c r="P634" s="391"/>
      <c r="Q634" s="391"/>
      <c r="R634" s="391"/>
      <c r="S634" s="391"/>
      <c r="T634" s="391"/>
      <c r="U634" s="391"/>
      <c r="V634" s="391"/>
      <c r="W634" s="391"/>
      <c r="X634" s="391"/>
      <c r="Y634" s="391"/>
      <c r="Z634" s="391"/>
      <c r="AA634" s="391"/>
      <c r="AB634" s="391"/>
      <c r="AC634" s="391"/>
      <c r="AD634" s="391"/>
      <c r="AE634" s="391"/>
    </row>
    <row r="635">
      <c r="A635" s="391"/>
      <c r="B635" s="391"/>
      <c r="C635" s="391"/>
      <c r="D635" s="391"/>
      <c r="E635" s="391"/>
      <c r="F635" s="391"/>
      <c r="G635" s="391"/>
      <c r="H635" s="391"/>
      <c r="I635" s="391"/>
      <c r="J635" s="391"/>
      <c r="K635" s="391"/>
      <c r="L635" s="391"/>
      <c r="M635" s="391"/>
      <c r="N635" s="391"/>
      <c r="O635" s="391"/>
      <c r="P635" s="391"/>
      <c r="Q635" s="391"/>
      <c r="R635" s="391"/>
      <c r="S635" s="391"/>
      <c r="T635" s="391"/>
      <c r="U635" s="391"/>
      <c r="V635" s="391"/>
      <c r="W635" s="391"/>
      <c r="X635" s="391"/>
      <c r="Y635" s="391"/>
      <c r="Z635" s="391"/>
      <c r="AA635" s="391"/>
      <c r="AB635" s="391"/>
      <c r="AC635" s="391"/>
      <c r="AD635" s="391"/>
      <c r="AE635" s="391"/>
    </row>
    <row r="636">
      <c r="A636" s="391"/>
      <c r="B636" s="391"/>
      <c r="C636" s="391"/>
      <c r="D636" s="391"/>
      <c r="E636" s="391"/>
      <c r="F636" s="391"/>
      <c r="G636" s="391"/>
      <c r="H636" s="391"/>
      <c r="I636" s="391"/>
      <c r="J636" s="391"/>
      <c r="K636" s="391"/>
      <c r="L636" s="391"/>
      <c r="M636" s="391"/>
      <c r="N636" s="391"/>
      <c r="O636" s="391"/>
      <c r="P636" s="391"/>
      <c r="Q636" s="391"/>
      <c r="R636" s="391"/>
      <c r="S636" s="391"/>
      <c r="T636" s="391"/>
      <c r="U636" s="391"/>
      <c r="V636" s="391"/>
      <c r="W636" s="391"/>
      <c r="X636" s="391"/>
      <c r="Y636" s="391"/>
      <c r="Z636" s="391"/>
      <c r="AA636" s="391"/>
      <c r="AB636" s="391"/>
      <c r="AC636" s="391"/>
      <c r="AD636" s="391"/>
      <c r="AE636" s="391"/>
    </row>
    <row r="637">
      <c r="A637" s="391"/>
      <c r="B637" s="391"/>
      <c r="C637" s="391"/>
      <c r="D637" s="391"/>
      <c r="E637" s="391"/>
      <c r="F637" s="391"/>
      <c r="G637" s="391"/>
      <c r="H637" s="391"/>
      <c r="I637" s="391"/>
      <c r="J637" s="391"/>
      <c r="K637" s="391"/>
      <c r="L637" s="391"/>
      <c r="M637" s="391"/>
      <c r="N637" s="391"/>
      <c r="O637" s="391"/>
      <c r="P637" s="391"/>
      <c r="Q637" s="391"/>
      <c r="R637" s="391"/>
      <c r="S637" s="391"/>
      <c r="T637" s="391"/>
      <c r="U637" s="391"/>
      <c r="V637" s="391"/>
      <c r="W637" s="391"/>
      <c r="X637" s="391"/>
      <c r="Y637" s="391"/>
      <c r="Z637" s="391"/>
      <c r="AA637" s="391"/>
      <c r="AB637" s="391"/>
      <c r="AC637" s="391"/>
      <c r="AD637" s="391"/>
      <c r="AE637" s="391"/>
    </row>
    <row r="638">
      <c r="A638" s="391"/>
      <c r="B638" s="391"/>
      <c r="C638" s="391"/>
      <c r="D638" s="391"/>
      <c r="E638" s="391"/>
      <c r="F638" s="391"/>
      <c r="G638" s="391"/>
      <c r="H638" s="391"/>
      <c r="I638" s="391"/>
      <c r="J638" s="391"/>
      <c r="K638" s="391"/>
      <c r="L638" s="391"/>
      <c r="M638" s="391"/>
      <c r="N638" s="391"/>
      <c r="O638" s="391"/>
      <c r="P638" s="391"/>
      <c r="Q638" s="391"/>
      <c r="R638" s="391"/>
      <c r="S638" s="391"/>
      <c r="T638" s="391"/>
      <c r="U638" s="391"/>
      <c r="V638" s="391"/>
      <c r="W638" s="391"/>
      <c r="X638" s="391"/>
      <c r="Y638" s="391"/>
      <c r="Z638" s="391"/>
      <c r="AA638" s="391"/>
      <c r="AB638" s="391"/>
      <c r="AC638" s="391"/>
      <c r="AD638" s="391"/>
      <c r="AE638" s="391"/>
    </row>
    <row r="639">
      <c r="A639" s="391"/>
      <c r="B639" s="391"/>
      <c r="C639" s="391"/>
      <c r="D639" s="391"/>
      <c r="E639" s="391"/>
      <c r="F639" s="391"/>
      <c r="G639" s="391"/>
      <c r="H639" s="391"/>
      <c r="I639" s="391"/>
      <c r="J639" s="391"/>
      <c r="K639" s="391"/>
      <c r="L639" s="391"/>
      <c r="M639" s="391"/>
      <c r="N639" s="391"/>
      <c r="O639" s="391"/>
      <c r="P639" s="391"/>
      <c r="Q639" s="391"/>
      <c r="R639" s="391"/>
      <c r="S639" s="391"/>
      <c r="T639" s="391"/>
      <c r="U639" s="391"/>
      <c r="V639" s="391"/>
      <c r="W639" s="391"/>
      <c r="X639" s="391"/>
      <c r="Y639" s="391"/>
      <c r="Z639" s="391"/>
      <c r="AA639" s="391"/>
      <c r="AB639" s="391"/>
      <c r="AC639" s="391"/>
      <c r="AD639" s="391"/>
      <c r="AE639" s="391"/>
    </row>
    <row r="640">
      <c r="A640" s="391"/>
      <c r="B640" s="391"/>
      <c r="C640" s="391"/>
      <c r="D640" s="391"/>
      <c r="E640" s="391"/>
      <c r="F640" s="391"/>
      <c r="G640" s="391"/>
      <c r="H640" s="391"/>
      <c r="I640" s="391"/>
      <c r="J640" s="391"/>
      <c r="K640" s="391"/>
      <c r="L640" s="391"/>
      <c r="M640" s="391"/>
      <c r="N640" s="391"/>
      <c r="O640" s="391"/>
      <c r="P640" s="391"/>
      <c r="Q640" s="391"/>
      <c r="R640" s="391"/>
      <c r="S640" s="391"/>
      <c r="T640" s="391"/>
      <c r="U640" s="391"/>
      <c r="V640" s="391"/>
      <c r="W640" s="391"/>
      <c r="X640" s="391"/>
      <c r="Y640" s="391"/>
      <c r="Z640" s="391"/>
      <c r="AA640" s="391"/>
      <c r="AB640" s="391"/>
      <c r="AC640" s="391"/>
      <c r="AD640" s="391"/>
      <c r="AE640" s="391"/>
    </row>
    <row r="641">
      <c r="A641" s="391"/>
      <c r="B641" s="391"/>
      <c r="C641" s="391"/>
      <c r="D641" s="391"/>
      <c r="E641" s="391"/>
      <c r="F641" s="391"/>
      <c r="G641" s="391"/>
      <c r="H641" s="391"/>
      <c r="I641" s="391"/>
      <c r="J641" s="391"/>
      <c r="K641" s="391"/>
      <c r="L641" s="391"/>
      <c r="M641" s="391"/>
      <c r="N641" s="391"/>
      <c r="O641" s="391"/>
      <c r="P641" s="391"/>
      <c r="Q641" s="391"/>
      <c r="R641" s="391"/>
      <c r="S641" s="391"/>
      <c r="T641" s="391"/>
      <c r="U641" s="391"/>
      <c r="V641" s="391"/>
      <c r="W641" s="391"/>
      <c r="X641" s="391"/>
      <c r="Y641" s="391"/>
      <c r="Z641" s="391"/>
      <c r="AA641" s="391"/>
      <c r="AB641" s="391"/>
      <c r="AC641" s="391"/>
      <c r="AD641" s="391"/>
      <c r="AE641" s="391"/>
    </row>
    <row r="642">
      <c r="A642" s="391"/>
      <c r="B642" s="391"/>
      <c r="C642" s="391"/>
      <c r="D642" s="391"/>
      <c r="E642" s="391"/>
      <c r="F642" s="391"/>
      <c r="G642" s="391"/>
      <c r="H642" s="391"/>
      <c r="I642" s="391"/>
      <c r="J642" s="391"/>
      <c r="K642" s="391"/>
      <c r="L642" s="391"/>
      <c r="M642" s="391"/>
      <c r="N642" s="391"/>
      <c r="O642" s="391"/>
      <c r="P642" s="391"/>
      <c r="Q642" s="391"/>
      <c r="R642" s="391"/>
      <c r="S642" s="391"/>
      <c r="T642" s="391"/>
      <c r="U642" s="391"/>
      <c r="V642" s="391"/>
      <c r="W642" s="391"/>
      <c r="X642" s="391"/>
      <c r="Y642" s="391"/>
      <c r="Z642" s="391"/>
      <c r="AA642" s="391"/>
      <c r="AB642" s="391"/>
      <c r="AC642" s="391"/>
      <c r="AD642" s="391"/>
      <c r="AE642" s="391"/>
    </row>
    <row r="643">
      <c r="A643" s="391"/>
      <c r="B643" s="391"/>
      <c r="C643" s="391"/>
      <c r="D643" s="391"/>
      <c r="E643" s="391"/>
      <c r="F643" s="391"/>
      <c r="G643" s="391"/>
      <c r="H643" s="391"/>
      <c r="I643" s="391"/>
      <c r="J643" s="391"/>
      <c r="K643" s="391"/>
      <c r="L643" s="391"/>
      <c r="M643" s="391"/>
      <c r="N643" s="391"/>
      <c r="O643" s="391"/>
      <c r="P643" s="391"/>
      <c r="Q643" s="391"/>
      <c r="R643" s="391"/>
      <c r="S643" s="391"/>
      <c r="T643" s="391"/>
      <c r="U643" s="391"/>
      <c r="V643" s="391"/>
      <c r="W643" s="391"/>
      <c r="X643" s="391"/>
      <c r="Y643" s="391"/>
      <c r="Z643" s="391"/>
      <c r="AA643" s="391"/>
      <c r="AB643" s="391"/>
      <c r="AC643" s="391"/>
      <c r="AD643" s="391"/>
      <c r="AE643" s="391"/>
    </row>
    <row r="644">
      <c r="A644" s="391"/>
      <c r="B644" s="391"/>
      <c r="C644" s="391"/>
      <c r="D644" s="391"/>
      <c r="E644" s="391"/>
      <c r="F644" s="391"/>
      <c r="G644" s="391"/>
      <c r="H644" s="391"/>
      <c r="I644" s="391"/>
      <c r="J644" s="391"/>
      <c r="K644" s="391"/>
      <c r="L644" s="391"/>
      <c r="M644" s="391"/>
      <c r="N644" s="391"/>
      <c r="O644" s="391"/>
      <c r="P644" s="391"/>
      <c r="Q644" s="391"/>
      <c r="R644" s="391"/>
      <c r="S644" s="391"/>
      <c r="T644" s="391"/>
      <c r="U644" s="391"/>
      <c r="V644" s="391"/>
      <c r="W644" s="391"/>
      <c r="X644" s="391"/>
      <c r="Y644" s="391"/>
      <c r="Z644" s="391"/>
      <c r="AA644" s="391"/>
      <c r="AB644" s="391"/>
      <c r="AC644" s="391"/>
      <c r="AD644" s="391"/>
      <c r="AE644" s="391"/>
    </row>
    <row r="645">
      <c r="A645" s="391"/>
      <c r="B645" s="391"/>
      <c r="C645" s="391"/>
      <c r="D645" s="391"/>
      <c r="E645" s="391"/>
      <c r="F645" s="391"/>
      <c r="G645" s="391"/>
      <c r="H645" s="391"/>
      <c r="I645" s="391"/>
      <c r="J645" s="391"/>
      <c r="K645" s="391"/>
      <c r="L645" s="391"/>
      <c r="M645" s="391"/>
      <c r="N645" s="391"/>
      <c r="O645" s="391"/>
      <c r="P645" s="391"/>
      <c r="Q645" s="391"/>
      <c r="R645" s="391"/>
      <c r="S645" s="391"/>
      <c r="T645" s="391"/>
      <c r="U645" s="391"/>
      <c r="V645" s="391"/>
      <c r="W645" s="391"/>
      <c r="X645" s="391"/>
      <c r="Y645" s="391"/>
      <c r="Z645" s="391"/>
      <c r="AA645" s="391"/>
      <c r="AB645" s="391"/>
      <c r="AC645" s="391"/>
      <c r="AD645" s="391"/>
      <c r="AE645" s="391"/>
    </row>
    <row r="646">
      <c r="A646" s="391"/>
      <c r="B646" s="391"/>
      <c r="C646" s="391"/>
      <c r="D646" s="391"/>
      <c r="E646" s="391"/>
      <c r="F646" s="391"/>
      <c r="G646" s="391"/>
      <c r="H646" s="391"/>
      <c r="I646" s="391"/>
      <c r="J646" s="391"/>
      <c r="K646" s="391"/>
      <c r="L646" s="391"/>
      <c r="M646" s="391"/>
      <c r="N646" s="391"/>
      <c r="O646" s="391"/>
      <c r="P646" s="391"/>
      <c r="Q646" s="391"/>
      <c r="R646" s="391"/>
      <c r="S646" s="391"/>
      <c r="T646" s="391"/>
      <c r="U646" s="391"/>
      <c r="V646" s="391"/>
      <c r="W646" s="391"/>
      <c r="X646" s="391"/>
      <c r="Y646" s="391"/>
      <c r="Z646" s="391"/>
      <c r="AA646" s="391"/>
      <c r="AB646" s="391"/>
      <c r="AC646" s="391"/>
      <c r="AD646" s="391"/>
      <c r="AE646" s="391"/>
    </row>
    <row r="647">
      <c r="A647" s="391"/>
      <c r="B647" s="391"/>
      <c r="C647" s="391"/>
      <c r="D647" s="391"/>
      <c r="E647" s="391"/>
      <c r="F647" s="391"/>
      <c r="G647" s="391"/>
      <c r="H647" s="391"/>
      <c r="I647" s="391"/>
      <c r="J647" s="391"/>
      <c r="K647" s="391"/>
      <c r="L647" s="391"/>
      <c r="M647" s="391"/>
      <c r="N647" s="391"/>
      <c r="O647" s="391"/>
      <c r="P647" s="391"/>
      <c r="Q647" s="391"/>
      <c r="R647" s="391"/>
      <c r="S647" s="391"/>
      <c r="T647" s="391"/>
      <c r="U647" s="391"/>
      <c r="V647" s="391"/>
      <c r="W647" s="391"/>
      <c r="X647" s="391"/>
      <c r="Y647" s="391"/>
      <c r="Z647" s="391"/>
      <c r="AA647" s="391"/>
      <c r="AB647" s="391"/>
      <c r="AC647" s="391"/>
      <c r="AD647" s="391"/>
      <c r="AE647" s="391"/>
    </row>
    <row r="648">
      <c r="A648" s="391"/>
      <c r="B648" s="391"/>
      <c r="C648" s="391"/>
      <c r="D648" s="391"/>
      <c r="E648" s="391"/>
      <c r="F648" s="391"/>
      <c r="G648" s="391"/>
      <c r="H648" s="391"/>
      <c r="I648" s="391"/>
      <c r="J648" s="391"/>
      <c r="K648" s="391"/>
      <c r="L648" s="391"/>
      <c r="M648" s="391"/>
      <c r="N648" s="391"/>
      <c r="O648" s="391"/>
      <c r="P648" s="391"/>
      <c r="Q648" s="391"/>
      <c r="R648" s="391"/>
      <c r="S648" s="391"/>
      <c r="T648" s="391"/>
      <c r="U648" s="391"/>
      <c r="V648" s="391"/>
      <c r="W648" s="391"/>
      <c r="X648" s="391"/>
      <c r="Y648" s="391"/>
      <c r="Z648" s="391"/>
      <c r="AA648" s="391"/>
      <c r="AB648" s="391"/>
      <c r="AC648" s="391"/>
      <c r="AD648" s="391"/>
      <c r="AE648" s="391"/>
    </row>
    <row r="649">
      <c r="A649" s="391"/>
      <c r="B649" s="391"/>
      <c r="C649" s="391"/>
      <c r="D649" s="391"/>
      <c r="E649" s="391"/>
      <c r="F649" s="391"/>
      <c r="G649" s="391"/>
      <c r="H649" s="391"/>
      <c r="I649" s="391"/>
      <c r="J649" s="391"/>
      <c r="K649" s="391"/>
      <c r="L649" s="391"/>
      <c r="M649" s="391"/>
      <c r="N649" s="391"/>
      <c r="O649" s="391"/>
      <c r="P649" s="391"/>
      <c r="Q649" s="391"/>
      <c r="R649" s="391"/>
      <c r="S649" s="391"/>
      <c r="T649" s="391"/>
      <c r="U649" s="391"/>
      <c r="V649" s="391"/>
      <c r="W649" s="391"/>
      <c r="X649" s="391"/>
      <c r="Y649" s="391"/>
      <c r="Z649" s="391"/>
      <c r="AA649" s="391"/>
      <c r="AB649" s="391"/>
      <c r="AC649" s="391"/>
      <c r="AD649" s="391"/>
      <c r="AE649" s="391"/>
    </row>
    <row r="650">
      <c r="A650" s="391"/>
      <c r="B650" s="391"/>
      <c r="C650" s="391"/>
      <c r="D650" s="391"/>
      <c r="E650" s="391"/>
      <c r="F650" s="391"/>
      <c r="G650" s="391"/>
      <c r="H650" s="391"/>
      <c r="I650" s="391"/>
      <c r="J650" s="391"/>
      <c r="K650" s="391"/>
      <c r="L650" s="391"/>
      <c r="M650" s="391"/>
      <c r="N650" s="391"/>
      <c r="O650" s="391"/>
      <c r="P650" s="391"/>
      <c r="Q650" s="391"/>
      <c r="R650" s="391"/>
      <c r="S650" s="391"/>
      <c r="T650" s="391"/>
      <c r="U650" s="391"/>
      <c r="V650" s="391"/>
      <c r="W650" s="391"/>
      <c r="X650" s="391"/>
      <c r="Y650" s="391"/>
      <c r="Z650" s="391"/>
      <c r="AA650" s="391"/>
      <c r="AB650" s="391"/>
      <c r="AC650" s="391"/>
      <c r="AD650" s="391"/>
      <c r="AE650" s="391"/>
    </row>
    <row r="651">
      <c r="A651" s="391"/>
      <c r="B651" s="391"/>
      <c r="C651" s="391"/>
      <c r="D651" s="391"/>
      <c r="E651" s="391"/>
      <c r="F651" s="391"/>
      <c r="G651" s="391"/>
      <c r="H651" s="391"/>
      <c r="I651" s="391"/>
      <c r="J651" s="391"/>
      <c r="K651" s="391"/>
      <c r="L651" s="391"/>
      <c r="M651" s="391"/>
      <c r="N651" s="391"/>
      <c r="O651" s="391"/>
      <c r="P651" s="391"/>
      <c r="Q651" s="391"/>
      <c r="R651" s="391"/>
      <c r="S651" s="391"/>
      <c r="T651" s="391"/>
      <c r="U651" s="391"/>
      <c r="V651" s="391"/>
      <c r="W651" s="391"/>
      <c r="X651" s="391"/>
      <c r="Y651" s="391"/>
      <c r="Z651" s="391"/>
      <c r="AA651" s="391"/>
      <c r="AB651" s="391"/>
      <c r="AC651" s="391"/>
      <c r="AD651" s="391"/>
      <c r="AE651" s="391"/>
    </row>
    <row r="652">
      <c r="A652" s="391"/>
      <c r="B652" s="391"/>
      <c r="C652" s="391"/>
      <c r="D652" s="391"/>
      <c r="E652" s="391"/>
      <c r="F652" s="391"/>
      <c r="G652" s="391"/>
      <c r="H652" s="391"/>
      <c r="I652" s="391"/>
      <c r="J652" s="391"/>
      <c r="K652" s="391"/>
      <c r="L652" s="391"/>
      <c r="M652" s="391"/>
      <c r="N652" s="391"/>
      <c r="O652" s="391"/>
      <c r="P652" s="391"/>
      <c r="Q652" s="391"/>
      <c r="R652" s="391"/>
      <c r="S652" s="391"/>
      <c r="T652" s="391"/>
      <c r="U652" s="391"/>
      <c r="V652" s="391"/>
      <c r="W652" s="391"/>
      <c r="X652" s="391"/>
      <c r="Y652" s="391"/>
      <c r="Z652" s="391"/>
      <c r="AA652" s="391"/>
      <c r="AB652" s="391"/>
      <c r="AC652" s="391"/>
      <c r="AD652" s="391"/>
      <c r="AE652" s="391"/>
    </row>
    <row r="653">
      <c r="A653" s="391"/>
      <c r="B653" s="391"/>
      <c r="C653" s="391"/>
      <c r="D653" s="391"/>
      <c r="E653" s="391"/>
      <c r="F653" s="391"/>
      <c r="G653" s="391"/>
      <c r="H653" s="391"/>
      <c r="I653" s="391"/>
      <c r="J653" s="391"/>
      <c r="K653" s="391"/>
      <c r="L653" s="391"/>
      <c r="M653" s="391"/>
      <c r="N653" s="391"/>
      <c r="O653" s="391"/>
      <c r="P653" s="391"/>
      <c r="Q653" s="391"/>
      <c r="R653" s="391"/>
      <c r="S653" s="391"/>
      <c r="T653" s="391"/>
      <c r="U653" s="391"/>
      <c r="V653" s="391"/>
      <c r="W653" s="391"/>
      <c r="X653" s="391"/>
      <c r="Y653" s="391"/>
      <c r="Z653" s="391"/>
      <c r="AA653" s="391"/>
      <c r="AB653" s="391"/>
      <c r="AC653" s="391"/>
      <c r="AD653" s="391"/>
      <c r="AE653" s="391"/>
    </row>
    <row r="654">
      <c r="A654" s="391"/>
      <c r="B654" s="391"/>
      <c r="C654" s="391"/>
      <c r="D654" s="391"/>
      <c r="E654" s="391"/>
      <c r="F654" s="391"/>
      <c r="G654" s="391"/>
      <c r="H654" s="391"/>
      <c r="I654" s="391"/>
      <c r="J654" s="391"/>
      <c r="K654" s="391"/>
      <c r="L654" s="391"/>
      <c r="M654" s="391"/>
      <c r="N654" s="391"/>
      <c r="O654" s="391"/>
      <c r="P654" s="391"/>
      <c r="Q654" s="391"/>
      <c r="R654" s="391"/>
      <c r="S654" s="391"/>
      <c r="T654" s="391"/>
      <c r="U654" s="391"/>
      <c r="V654" s="391"/>
      <c r="W654" s="391"/>
      <c r="X654" s="391"/>
      <c r="Y654" s="391"/>
      <c r="Z654" s="391"/>
      <c r="AA654" s="391"/>
      <c r="AB654" s="391"/>
      <c r="AC654" s="391"/>
      <c r="AD654" s="391"/>
      <c r="AE654" s="391"/>
    </row>
    <row r="655">
      <c r="A655" s="391"/>
      <c r="B655" s="391"/>
      <c r="C655" s="391"/>
      <c r="D655" s="391"/>
      <c r="E655" s="391"/>
      <c r="F655" s="391"/>
      <c r="G655" s="391"/>
      <c r="H655" s="391"/>
      <c r="I655" s="391"/>
      <c r="J655" s="391"/>
      <c r="K655" s="391"/>
      <c r="L655" s="391"/>
      <c r="M655" s="391"/>
      <c r="N655" s="391"/>
      <c r="O655" s="391"/>
      <c r="P655" s="391"/>
      <c r="Q655" s="391"/>
      <c r="R655" s="391"/>
      <c r="S655" s="391"/>
      <c r="T655" s="391"/>
      <c r="U655" s="391"/>
      <c r="V655" s="391"/>
      <c r="W655" s="391"/>
      <c r="X655" s="391"/>
      <c r="Y655" s="391"/>
      <c r="Z655" s="391"/>
      <c r="AA655" s="391"/>
      <c r="AB655" s="391"/>
      <c r="AC655" s="391"/>
      <c r="AD655" s="391"/>
      <c r="AE655" s="391"/>
    </row>
    <row r="656">
      <c r="A656" s="391"/>
      <c r="B656" s="391"/>
      <c r="C656" s="391"/>
      <c r="D656" s="391"/>
      <c r="E656" s="391"/>
      <c r="F656" s="391"/>
      <c r="G656" s="391"/>
      <c r="H656" s="391"/>
      <c r="I656" s="391"/>
      <c r="J656" s="391"/>
      <c r="K656" s="391"/>
      <c r="L656" s="391"/>
      <c r="M656" s="391"/>
      <c r="N656" s="391"/>
      <c r="O656" s="391"/>
      <c r="P656" s="391"/>
      <c r="Q656" s="391"/>
      <c r="R656" s="391"/>
      <c r="S656" s="391"/>
      <c r="T656" s="391"/>
      <c r="U656" s="391"/>
      <c r="V656" s="391"/>
      <c r="W656" s="391"/>
      <c r="X656" s="391"/>
      <c r="Y656" s="391"/>
      <c r="Z656" s="391"/>
      <c r="AA656" s="391"/>
      <c r="AB656" s="391"/>
      <c r="AC656" s="391"/>
      <c r="AD656" s="391"/>
      <c r="AE656" s="391"/>
    </row>
    <row r="657">
      <c r="A657" s="391"/>
      <c r="B657" s="391"/>
      <c r="C657" s="391"/>
      <c r="D657" s="391"/>
      <c r="E657" s="391"/>
      <c r="F657" s="391"/>
      <c r="G657" s="391"/>
      <c r="H657" s="391"/>
      <c r="I657" s="391"/>
      <c r="J657" s="391"/>
      <c r="K657" s="391"/>
      <c r="L657" s="391"/>
      <c r="M657" s="391"/>
      <c r="N657" s="391"/>
      <c r="O657" s="391"/>
      <c r="P657" s="391"/>
      <c r="Q657" s="391"/>
      <c r="R657" s="391"/>
      <c r="S657" s="391"/>
      <c r="T657" s="391"/>
      <c r="U657" s="391"/>
      <c r="V657" s="391"/>
      <c r="W657" s="391"/>
      <c r="X657" s="391"/>
      <c r="Y657" s="391"/>
      <c r="Z657" s="391"/>
      <c r="AA657" s="391"/>
      <c r="AB657" s="391"/>
      <c r="AC657" s="391"/>
      <c r="AD657" s="391"/>
      <c r="AE657" s="391"/>
    </row>
    <row r="658">
      <c r="A658" s="391"/>
      <c r="B658" s="391"/>
      <c r="C658" s="391"/>
      <c r="D658" s="391"/>
      <c r="E658" s="391"/>
      <c r="F658" s="391"/>
      <c r="G658" s="391"/>
      <c r="H658" s="391"/>
      <c r="I658" s="391"/>
      <c r="J658" s="391"/>
      <c r="K658" s="391"/>
      <c r="L658" s="391"/>
      <c r="M658" s="391"/>
      <c r="N658" s="391"/>
      <c r="O658" s="391"/>
      <c r="P658" s="391"/>
      <c r="Q658" s="391"/>
      <c r="R658" s="391"/>
      <c r="S658" s="391"/>
      <c r="T658" s="391"/>
      <c r="U658" s="391"/>
      <c r="V658" s="391"/>
      <c r="W658" s="391"/>
      <c r="X658" s="391"/>
      <c r="Y658" s="391"/>
      <c r="Z658" s="391"/>
      <c r="AA658" s="391"/>
      <c r="AB658" s="391"/>
      <c r="AC658" s="391"/>
      <c r="AD658" s="391"/>
      <c r="AE658" s="391"/>
    </row>
    <row r="659">
      <c r="A659" s="391"/>
      <c r="B659" s="391"/>
      <c r="C659" s="391"/>
      <c r="D659" s="391"/>
      <c r="E659" s="391"/>
      <c r="F659" s="391"/>
      <c r="G659" s="391"/>
      <c r="H659" s="391"/>
      <c r="I659" s="391"/>
      <c r="J659" s="391"/>
      <c r="K659" s="391"/>
      <c r="L659" s="391"/>
      <c r="M659" s="391"/>
      <c r="N659" s="391"/>
      <c r="O659" s="391"/>
      <c r="P659" s="391"/>
      <c r="Q659" s="391"/>
      <c r="R659" s="391"/>
      <c r="S659" s="391"/>
      <c r="T659" s="391"/>
      <c r="U659" s="391"/>
      <c r="V659" s="391"/>
      <c r="W659" s="391"/>
      <c r="X659" s="391"/>
      <c r="Y659" s="391"/>
      <c r="Z659" s="391"/>
      <c r="AA659" s="391"/>
      <c r="AB659" s="391"/>
      <c r="AC659" s="391"/>
      <c r="AD659" s="391"/>
      <c r="AE659" s="391"/>
    </row>
    <row r="660">
      <c r="A660" s="391"/>
      <c r="B660" s="391"/>
      <c r="C660" s="391"/>
      <c r="D660" s="391"/>
      <c r="E660" s="391"/>
      <c r="F660" s="391"/>
      <c r="G660" s="391"/>
      <c r="H660" s="391"/>
      <c r="I660" s="391"/>
      <c r="J660" s="391"/>
      <c r="K660" s="391"/>
      <c r="L660" s="391"/>
      <c r="M660" s="391"/>
      <c r="N660" s="391"/>
      <c r="O660" s="391"/>
      <c r="P660" s="391"/>
      <c r="Q660" s="391"/>
      <c r="R660" s="391"/>
      <c r="S660" s="391"/>
      <c r="T660" s="391"/>
      <c r="U660" s="391"/>
      <c r="V660" s="391"/>
      <c r="W660" s="391"/>
      <c r="X660" s="391"/>
      <c r="Y660" s="391"/>
      <c r="Z660" s="391"/>
      <c r="AA660" s="391"/>
      <c r="AB660" s="391"/>
      <c r="AC660" s="391"/>
      <c r="AD660" s="391"/>
      <c r="AE660" s="391"/>
    </row>
    <row r="661">
      <c r="A661" s="391"/>
      <c r="B661" s="391"/>
      <c r="C661" s="391"/>
      <c r="D661" s="391"/>
      <c r="E661" s="391"/>
      <c r="F661" s="391"/>
      <c r="G661" s="391"/>
      <c r="H661" s="391"/>
      <c r="I661" s="391"/>
      <c r="J661" s="391"/>
      <c r="K661" s="391"/>
      <c r="L661" s="391"/>
      <c r="M661" s="391"/>
      <c r="N661" s="391"/>
      <c r="O661" s="391"/>
      <c r="P661" s="391"/>
      <c r="Q661" s="391"/>
      <c r="R661" s="391"/>
      <c r="S661" s="391"/>
      <c r="T661" s="391"/>
      <c r="U661" s="391"/>
      <c r="V661" s="391"/>
      <c r="W661" s="391"/>
      <c r="X661" s="391"/>
      <c r="Y661" s="391"/>
      <c r="Z661" s="391"/>
      <c r="AA661" s="391"/>
      <c r="AB661" s="391"/>
      <c r="AC661" s="391"/>
      <c r="AD661" s="391"/>
      <c r="AE661" s="391"/>
    </row>
    <row r="662">
      <c r="A662" s="391"/>
      <c r="B662" s="391"/>
      <c r="C662" s="391"/>
      <c r="D662" s="391"/>
      <c r="E662" s="391"/>
      <c r="F662" s="391"/>
      <c r="G662" s="391"/>
      <c r="H662" s="391"/>
      <c r="I662" s="391"/>
      <c r="J662" s="391"/>
      <c r="K662" s="391"/>
      <c r="L662" s="391"/>
      <c r="M662" s="391"/>
      <c r="N662" s="391"/>
      <c r="O662" s="391"/>
      <c r="P662" s="391"/>
      <c r="Q662" s="391"/>
      <c r="R662" s="391"/>
      <c r="S662" s="391"/>
      <c r="T662" s="391"/>
      <c r="U662" s="391"/>
      <c r="V662" s="391"/>
      <c r="W662" s="391"/>
      <c r="X662" s="391"/>
      <c r="Y662" s="391"/>
      <c r="Z662" s="391"/>
      <c r="AA662" s="391"/>
      <c r="AB662" s="391"/>
      <c r="AC662" s="391"/>
      <c r="AD662" s="391"/>
      <c r="AE662" s="391"/>
    </row>
    <row r="663">
      <c r="A663" s="391"/>
      <c r="B663" s="391"/>
      <c r="C663" s="391"/>
      <c r="D663" s="391"/>
      <c r="E663" s="391"/>
      <c r="F663" s="391"/>
      <c r="G663" s="391"/>
      <c r="H663" s="391"/>
      <c r="I663" s="391"/>
      <c r="J663" s="391"/>
      <c r="K663" s="391"/>
      <c r="L663" s="391"/>
      <c r="M663" s="391"/>
      <c r="N663" s="391"/>
      <c r="O663" s="391"/>
      <c r="P663" s="391"/>
      <c r="Q663" s="391"/>
      <c r="R663" s="391"/>
      <c r="S663" s="391"/>
      <c r="T663" s="391"/>
      <c r="U663" s="391"/>
      <c r="V663" s="391"/>
      <c r="W663" s="391"/>
      <c r="X663" s="391"/>
      <c r="Y663" s="391"/>
      <c r="Z663" s="391"/>
      <c r="AA663" s="391"/>
      <c r="AB663" s="391"/>
      <c r="AC663" s="391"/>
      <c r="AD663" s="391"/>
      <c r="AE663" s="391"/>
    </row>
    <row r="664">
      <c r="A664" s="391"/>
      <c r="B664" s="391"/>
      <c r="C664" s="391"/>
      <c r="D664" s="391"/>
      <c r="E664" s="391"/>
      <c r="F664" s="391"/>
      <c r="G664" s="391"/>
      <c r="H664" s="391"/>
      <c r="I664" s="391"/>
      <c r="J664" s="391"/>
      <c r="K664" s="391"/>
      <c r="L664" s="391"/>
      <c r="M664" s="391"/>
      <c r="N664" s="391"/>
      <c r="O664" s="391"/>
      <c r="P664" s="391"/>
      <c r="Q664" s="391"/>
      <c r="R664" s="391"/>
      <c r="S664" s="391"/>
      <c r="T664" s="391"/>
      <c r="U664" s="391"/>
      <c r="V664" s="391"/>
      <c r="W664" s="391"/>
      <c r="X664" s="391"/>
      <c r="Y664" s="391"/>
      <c r="Z664" s="391"/>
      <c r="AA664" s="391"/>
      <c r="AB664" s="391"/>
      <c r="AC664" s="391"/>
      <c r="AD664" s="391"/>
      <c r="AE664" s="391"/>
    </row>
    <row r="665">
      <c r="A665" s="391"/>
      <c r="B665" s="391"/>
      <c r="C665" s="391"/>
      <c r="D665" s="391"/>
      <c r="E665" s="391"/>
      <c r="F665" s="391"/>
      <c r="G665" s="391"/>
      <c r="H665" s="391"/>
      <c r="I665" s="391"/>
      <c r="J665" s="391"/>
      <c r="K665" s="391"/>
      <c r="L665" s="391"/>
      <c r="M665" s="391"/>
      <c r="N665" s="391"/>
      <c r="O665" s="391"/>
      <c r="P665" s="391"/>
      <c r="Q665" s="391"/>
      <c r="R665" s="391"/>
      <c r="S665" s="391"/>
      <c r="T665" s="391"/>
      <c r="U665" s="391"/>
      <c r="V665" s="391"/>
      <c r="W665" s="391"/>
      <c r="X665" s="391"/>
      <c r="Y665" s="391"/>
      <c r="Z665" s="391"/>
      <c r="AA665" s="391"/>
      <c r="AB665" s="391"/>
      <c r="AC665" s="391"/>
      <c r="AD665" s="391"/>
      <c r="AE665" s="391"/>
    </row>
    <row r="666">
      <c r="A666" s="391"/>
      <c r="B666" s="391"/>
      <c r="C666" s="391"/>
      <c r="D666" s="391"/>
      <c r="E666" s="391"/>
      <c r="F666" s="391"/>
      <c r="G666" s="391"/>
      <c r="H666" s="391"/>
      <c r="I666" s="391"/>
      <c r="J666" s="391"/>
      <c r="K666" s="391"/>
      <c r="L666" s="391"/>
      <c r="M666" s="391"/>
      <c r="N666" s="391"/>
      <c r="O666" s="391"/>
      <c r="P666" s="391"/>
      <c r="Q666" s="391"/>
      <c r="R666" s="391"/>
      <c r="S666" s="391"/>
      <c r="T666" s="391"/>
      <c r="U666" s="391"/>
      <c r="V666" s="391"/>
      <c r="W666" s="391"/>
      <c r="X666" s="391"/>
      <c r="Y666" s="391"/>
      <c r="Z666" s="391"/>
      <c r="AA666" s="391"/>
      <c r="AB666" s="391"/>
      <c r="AC666" s="391"/>
      <c r="AD666" s="391"/>
      <c r="AE666" s="391"/>
    </row>
    <row r="667">
      <c r="A667" s="391"/>
      <c r="B667" s="391"/>
      <c r="C667" s="391"/>
      <c r="D667" s="391"/>
      <c r="E667" s="391"/>
      <c r="F667" s="391"/>
      <c r="G667" s="391"/>
      <c r="H667" s="391"/>
      <c r="I667" s="391"/>
      <c r="J667" s="391"/>
      <c r="K667" s="391"/>
      <c r="L667" s="391"/>
      <c r="M667" s="391"/>
      <c r="N667" s="391"/>
      <c r="O667" s="391"/>
      <c r="P667" s="391"/>
      <c r="Q667" s="391"/>
      <c r="R667" s="391"/>
      <c r="S667" s="391"/>
      <c r="T667" s="391"/>
      <c r="U667" s="391"/>
      <c r="V667" s="391"/>
      <c r="W667" s="391"/>
      <c r="X667" s="391"/>
      <c r="Y667" s="391"/>
      <c r="Z667" s="391"/>
      <c r="AA667" s="391"/>
      <c r="AB667" s="391"/>
      <c r="AC667" s="391"/>
      <c r="AD667" s="391"/>
      <c r="AE667" s="391"/>
    </row>
    <row r="668">
      <c r="A668" s="391"/>
      <c r="B668" s="391"/>
      <c r="C668" s="391"/>
      <c r="D668" s="391"/>
      <c r="E668" s="391"/>
      <c r="F668" s="391"/>
      <c r="G668" s="391"/>
      <c r="H668" s="391"/>
      <c r="I668" s="391"/>
      <c r="J668" s="391"/>
      <c r="K668" s="391"/>
      <c r="L668" s="391"/>
      <c r="M668" s="391"/>
      <c r="N668" s="391"/>
      <c r="O668" s="391"/>
      <c r="P668" s="391"/>
      <c r="Q668" s="391"/>
      <c r="R668" s="391"/>
      <c r="S668" s="391"/>
      <c r="T668" s="391"/>
      <c r="U668" s="391"/>
      <c r="V668" s="391"/>
      <c r="W668" s="391"/>
      <c r="X668" s="391"/>
      <c r="Y668" s="391"/>
      <c r="Z668" s="391"/>
      <c r="AA668" s="391"/>
      <c r="AB668" s="391"/>
      <c r="AC668" s="391"/>
      <c r="AD668" s="391"/>
      <c r="AE668" s="391"/>
    </row>
    <row r="669">
      <c r="A669" s="391"/>
      <c r="B669" s="391"/>
      <c r="C669" s="391"/>
      <c r="D669" s="391"/>
      <c r="E669" s="391"/>
      <c r="F669" s="391"/>
      <c r="G669" s="391"/>
      <c r="H669" s="391"/>
      <c r="I669" s="391"/>
      <c r="J669" s="391"/>
      <c r="K669" s="391"/>
      <c r="L669" s="391"/>
      <c r="M669" s="391"/>
      <c r="N669" s="391"/>
      <c r="O669" s="391"/>
      <c r="P669" s="391"/>
      <c r="Q669" s="391"/>
      <c r="R669" s="391"/>
      <c r="S669" s="391"/>
      <c r="T669" s="391"/>
      <c r="U669" s="391"/>
      <c r="V669" s="391"/>
      <c r="W669" s="391"/>
      <c r="X669" s="391"/>
      <c r="Y669" s="391"/>
      <c r="Z669" s="391"/>
      <c r="AA669" s="391"/>
      <c r="AB669" s="391"/>
      <c r="AC669" s="391"/>
      <c r="AD669" s="391"/>
      <c r="AE669" s="391"/>
    </row>
    <row r="670">
      <c r="A670" s="391"/>
      <c r="B670" s="391"/>
      <c r="C670" s="391"/>
      <c r="D670" s="391"/>
      <c r="E670" s="391"/>
      <c r="F670" s="391"/>
      <c r="G670" s="391"/>
      <c r="H670" s="391"/>
      <c r="I670" s="391"/>
      <c r="J670" s="391"/>
      <c r="K670" s="391"/>
      <c r="L670" s="391"/>
      <c r="M670" s="391"/>
      <c r="N670" s="391"/>
      <c r="O670" s="391"/>
      <c r="P670" s="391"/>
      <c r="Q670" s="391"/>
      <c r="R670" s="391"/>
      <c r="S670" s="391"/>
      <c r="T670" s="391"/>
      <c r="U670" s="391"/>
      <c r="V670" s="391"/>
      <c r="W670" s="391"/>
      <c r="X670" s="391"/>
      <c r="Y670" s="391"/>
      <c r="Z670" s="391"/>
      <c r="AA670" s="391"/>
      <c r="AB670" s="391"/>
      <c r="AC670" s="391"/>
      <c r="AD670" s="391"/>
      <c r="AE670" s="391"/>
    </row>
    <row r="671">
      <c r="A671" s="391"/>
      <c r="B671" s="391"/>
      <c r="C671" s="391"/>
      <c r="D671" s="391"/>
      <c r="E671" s="391"/>
      <c r="F671" s="391"/>
      <c r="G671" s="391"/>
      <c r="H671" s="391"/>
      <c r="I671" s="391"/>
      <c r="J671" s="391"/>
      <c r="K671" s="391"/>
      <c r="L671" s="391"/>
      <c r="M671" s="391"/>
      <c r="N671" s="391"/>
      <c r="O671" s="391"/>
      <c r="P671" s="391"/>
      <c r="Q671" s="391"/>
      <c r="R671" s="391"/>
      <c r="S671" s="391"/>
      <c r="T671" s="391"/>
      <c r="U671" s="391"/>
      <c r="V671" s="391"/>
      <c r="W671" s="391"/>
      <c r="X671" s="391"/>
      <c r="Y671" s="391"/>
      <c r="Z671" s="391"/>
      <c r="AA671" s="391"/>
      <c r="AB671" s="391"/>
      <c r="AC671" s="391"/>
      <c r="AD671" s="391"/>
      <c r="AE671" s="391"/>
    </row>
    <row r="672">
      <c r="A672" s="391"/>
      <c r="B672" s="391"/>
      <c r="C672" s="391"/>
      <c r="D672" s="391"/>
      <c r="E672" s="391"/>
      <c r="F672" s="391"/>
      <c r="G672" s="391"/>
      <c r="H672" s="391"/>
      <c r="I672" s="391"/>
      <c r="J672" s="391"/>
      <c r="K672" s="391"/>
      <c r="L672" s="391"/>
      <c r="M672" s="391"/>
      <c r="N672" s="391"/>
      <c r="O672" s="391"/>
      <c r="P672" s="391"/>
      <c r="Q672" s="391"/>
      <c r="R672" s="391"/>
      <c r="S672" s="391"/>
      <c r="T672" s="391"/>
      <c r="U672" s="391"/>
      <c r="V672" s="391"/>
      <c r="W672" s="391"/>
      <c r="X672" s="391"/>
      <c r="Y672" s="391"/>
      <c r="Z672" s="391"/>
      <c r="AA672" s="391"/>
      <c r="AB672" s="391"/>
      <c r="AC672" s="391"/>
      <c r="AD672" s="391"/>
      <c r="AE672" s="391"/>
    </row>
    <row r="673">
      <c r="A673" s="391"/>
      <c r="B673" s="391"/>
      <c r="C673" s="391"/>
      <c r="D673" s="391"/>
      <c r="E673" s="391"/>
      <c r="F673" s="391"/>
      <c r="G673" s="391"/>
      <c r="H673" s="391"/>
      <c r="I673" s="391"/>
      <c r="J673" s="391"/>
      <c r="K673" s="391"/>
      <c r="L673" s="391"/>
      <c r="M673" s="391"/>
      <c r="N673" s="391"/>
      <c r="O673" s="391"/>
      <c r="P673" s="391"/>
      <c r="Q673" s="391"/>
      <c r="R673" s="391"/>
      <c r="S673" s="391"/>
      <c r="T673" s="391"/>
      <c r="U673" s="391"/>
      <c r="V673" s="391"/>
      <c r="W673" s="391"/>
      <c r="X673" s="391"/>
      <c r="Y673" s="391"/>
      <c r="Z673" s="391"/>
      <c r="AA673" s="391"/>
      <c r="AB673" s="391"/>
      <c r="AC673" s="391"/>
      <c r="AD673" s="391"/>
      <c r="AE673" s="391"/>
    </row>
    <row r="674">
      <c r="A674" s="391"/>
      <c r="B674" s="391"/>
      <c r="C674" s="391"/>
      <c r="D674" s="391"/>
      <c r="E674" s="391"/>
      <c r="F674" s="391"/>
      <c r="G674" s="391"/>
      <c r="H674" s="391"/>
      <c r="I674" s="391"/>
      <c r="J674" s="391"/>
      <c r="K674" s="391"/>
      <c r="L674" s="391"/>
      <c r="M674" s="391"/>
      <c r="N674" s="391"/>
      <c r="O674" s="391"/>
      <c r="P674" s="391"/>
      <c r="Q674" s="391"/>
      <c r="R674" s="391"/>
      <c r="S674" s="391"/>
      <c r="T674" s="391"/>
      <c r="U674" s="391"/>
      <c r="V674" s="391"/>
      <c r="W674" s="391"/>
      <c r="X674" s="391"/>
      <c r="Y674" s="391"/>
      <c r="Z674" s="391"/>
      <c r="AA674" s="391"/>
      <c r="AB674" s="391"/>
      <c r="AC674" s="391"/>
      <c r="AD674" s="391"/>
      <c r="AE674" s="391"/>
    </row>
    <row r="675">
      <c r="A675" s="391"/>
      <c r="B675" s="391"/>
      <c r="C675" s="391"/>
      <c r="D675" s="391"/>
      <c r="E675" s="391"/>
      <c r="F675" s="391"/>
      <c r="G675" s="391"/>
      <c r="H675" s="391"/>
      <c r="I675" s="391"/>
      <c r="J675" s="391"/>
      <c r="K675" s="391"/>
      <c r="L675" s="391"/>
      <c r="M675" s="391"/>
      <c r="N675" s="391"/>
      <c r="O675" s="391"/>
      <c r="P675" s="391"/>
      <c r="Q675" s="391"/>
      <c r="R675" s="391"/>
      <c r="S675" s="391"/>
      <c r="T675" s="391"/>
      <c r="U675" s="391"/>
      <c r="V675" s="391"/>
      <c r="W675" s="391"/>
      <c r="X675" s="391"/>
      <c r="Y675" s="391"/>
      <c r="Z675" s="391"/>
      <c r="AA675" s="391"/>
      <c r="AB675" s="391"/>
      <c r="AC675" s="391"/>
      <c r="AD675" s="391"/>
      <c r="AE675" s="391"/>
    </row>
    <row r="676">
      <c r="A676" s="391"/>
      <c r="B676" s="391"/>
      <c r="C676" s="391"/>
      <c r="D676" s="391"/>
      <c r="E676" s="391"/>
      <c r="F676" s="391"/>
      <c r="G676" s="391"/>
      <c r="H676" s="391"/>
      <c r="I676" s="391"/>
      <c r="J676" s="391"/>
      <c r="K676" s="391"/>
      <c r="L676" s="391"/>
      <c r="M676" s="391"/>
      <c r="N676" s="391"/>
      <c r="O676" s="391"/>
      <c r="P676" s="391"/>
      <c r="Q676" s="391"/>
      <c r="R676" s="391"/>
      <c r="S676" s="391"/>
      <c r="T676" s="391"/>
      <c r="U676" s="391"/>
      <c r="V676" s="391"/>
      <c r="W676" s="391"/>
      <c r="X676" s="391"/>
      <c r="Y676" s="391"/>
      <c r="Z676" s="391"/>
      <c r="AA676" s="391"/>
      <c r="AB676" s="391"/>
      <c r="AC676" s="391"/>
      <c r="AD676" s="391"/>
      <c r="AE676" s="391"/>
    </row>
    <row r="677">
      <c r="A677" s="391"/>
      <c r="B677" s="391"/>
      <c r="C677" s="391"/>
      <c r="D677" s="391"/>
      <c r="E677" s="391"/>
      <c r="F677" s="391"/>
      <c r="G677" s="391"/>
      <c r="H677" s="391"/>
      <c r="I677" s="391"/>
      <c r="J677" s="391"/>
      <c r="K677" s="391"/>
      <c r="L677" s="391"/>
      <c r="M677" s="391"/>
      <c r="N677" s="391"/>
      <c r="O677" s="391"/>
      <c r="P677" s="391"/>
      <c r="Q677" s="391"/>
      <c r="R677" s="391"/>
      <c r="S677" s="391"/>
      <c r="T677" s="391"/>
      <c r="U677" s="391"/>
      <c r="V677" s="391"/>
      <c r="W677" s="391"/>
      <c r="X677" s="391"/>
      <c r="Y677" s="391"/>
      <c r="Z677" s="391"/>
      <c r="AA677" s="391"/>
      <c r="AB677" s="391"/>
      <c r="AC677" s="391"/>
      <c r="AD677" s="391"/>
      <c r="AE677" s="391"/>
    </row>
    <row r="678">
      <c r="A678" s="391"/>
      <c r="B678" s="391"/>
      <c r="C678" s="391"/>
      <c r="D678" s="391"/>
      <c r="E678" s="391"/>
      <c r="F678" s="391"/>
      <c r="G678" s="391"/>
      <c r="H678" s="391"/>
      <c r="I678" s="391"/>
      <c r="J678" s="391"/>
      <c r="K678" s="391"/>
      <c r="L678" s="391"/>
      <c r="M678" s="391"/>
      <c r="N678" s="391"/>
      <c r="O678" s="391"/>
      <c r="P678" s="391"/>
      <c r="Q678" s="391"/>
      <c r="R678" s="391"/>
      <c r="S678" s="391"/>
      <c r="T678" s="391"/>
      <c r="U678" s="391"/>
      <c r="V678" s="391"/>
      <c r="W678" s="391"/>
      <c r="X678" s="391"/>
      <c r="Y678" s="391"/>
      <c r="Z678" s="391"/>
      <c r="AA678" s="391"/>
      <c r="AB678" s="391"/>
      <c r="AC678" s="391"/>
      <c r="AD678" s="391"/>
      <c r="AE678" s="391"/>
    </row>
    <row r="679">
      <c r="A679" s="391"/>
      <c r="B679" s="391"/>
      <c r="C679" s="391"/>
      <c r="D679" s="391"/>
      <c r="E679" s="391"/>
      <c r="F679" s="391"/>
      <c r="G679" s="391"/>
      <c r="H679" s="391"/>
      <c r="I679" s="391"/>
      <c r="J679" s="391"/>
      <c r="K679" s="391"/>
      <c r="L679" s="391"/>
      <c r="M679" s="391"/>
      <c r="N679" s="391"/>
      <c r="O679" s="391"/>
      <c r="P679" s="391"/>
      <c r="Q679" s="391"/>
      <c r="R679" s="391"/>
      <c r="S679" s="391"/>
      <c r="T679" s="391"/>
      <c r="U679" s="391"/>
      <c r="V679" s="391"/>
      <c r="W679" s="391"/>
      <c r="X679" s="391"/>
      <c r="Y679" s="391"/>
      <c r="Z679" s="391"/>
      <c r="AA679" s="391"/>
      <c r="AB679" s="391"/>
      <c r="AC679" s="391"/>
      <c r="AD679" s="391"/>
      <c r="AE679" s="391"/>
    </row>
    <row r="680">
      <c r="A680" s="391"/>
      <c r="B680" s="391"/>
      <c r="C680" s="391"/>
      <c r="D680" s="391"/>
      <c r="E680" s="391"/>
      <c r="F680" s="391"/>
      <c r="G680" s="391"/>
      <c r="H680" s="391"/>
      <c r="I680" s="391"/>
      <c r="J680" s="391"/>
      <c r="K680" s="391"/>
      <c r="L680" s="391"/>
      <c r="M680" s="391"/>
      <c r="N680" s="391"/>
      <c r="O680" s="391"/>
      <c r="P680" s="391"/>
      <c r="Q680" s="391"/>
      <c r="R680" s="391"/>
      <c r="S680" s="391"/>
      <c r="T680" s="391"/>
      <c r="U680" s="391"/>
      <c r="V680" s="391"/>
      <c r="W680" s="391"/>
      <c r="X680" s="391"/>
      <c r="Y680" s="391"/>
      <c r="Z680" s="391"/>
      <c r="AA680" s="391"/>
      <c r="AB680" s="391"/>
      <c r="AC680" s="391"/>
      <c r="AD680" s="391"/>
      <c r="AE680" s="391"/>
    </row>
    <row r="681">
      <c r="A681" s="391"/>
      <c r="B681" s="391"/>
      <c r="C681" s="391"/>
      <c r="D681" s="391"/>
      <c r="E681" s="391"/>
      <c r="F681" s="391"/>
      <c r="G681" s="391"/>
      <c r="H681" s="391"/>
      <c r="I681" s="391"/>
      <c r="J681" s="391"/>
      <c r="K681" s="391"/>
      <c r="L681" s="391"/>
      <c r="M681" s="391"/>
      <c r="N681" s="391"/>
      <c r="O681" s="391"/>
      <c r="P681" s="391"/>
      <c r="Q681" s="391"/>
      <c r="R681" s="391"/>
      <c r="S681" s="391"/>
      <c r="T681" s="391"/>
      <c r="U681" s="391"/>
      <c r="V681" s="391"/>
      <c r="W681" s="391"/>
      <c r="X681" s="391"/>
      <c r="Y681" s="391"/>
      <c r="Z681" s="391"/>
      <c r="AA681" s="391"/>
      <c r="AB681" s="391"/>
      <c r="AC681" s="391"/>
      <c r="AD681" s="391"/>
      <c r="AE681" s="391"/>
    </row>
    <row r="682">
      <c r="A682" s="391"/>
      <c r="B682" s="391"/>
      <c r="C682" s="391"/>
      <c r="D682" s="391"/>
      <c r="E682" s="391"/>
      <c r="F682" s="391"/>
      <c r="G682" s="391"/>
      <c r="H682" s="391"/>
      <c r="I682" s="391"/>
      <c r="J682" s="391"/>
      <c r="K682" s="391"/>
      <c r="L682" s="391"/>
      <c r="M682" s="391"/>
      <c r="N682" s="391"/>
      <c r="O682" s="391"/>
      <c r="P682" s="391"/>
      <c r="Q682" s="391"/>
      <c r="R682" s="391"/>
      <c r="S682" s="391"/>
      <c r="T682" s="391"/>
      <c r="U682" s="391"/>
      <c r="V682" s="391"/>
      <c r="W682" s="391"/>
      <c r="X682" s="391"/>
      <c r="Y682" s="391"/>
      <c r="Z682" s="391"/>
      <c r="AA682" s="391"/>
      <c r="AB682" s="391"/>
      <c r="AC682" s="391"/>
      <c r="AD682" s="391"/>
      <c r="AE682" s="391"/>
    </row>
    <row r="683">
      <c r="A683" s="391"/>
      <c r="B683" s="391"/>
      <c r="C683" s="391"/>
      <c r="D683" s="391"/>
      <c r="E683" s="391"/>
      <c r="F683" s="391"/>
      <c r="G683" s="391"/>
      <c r="H683" s="391"/>
      <c r="I683" s="391"/>
      <c r="J683" s="391"/>
      <c r="K683" s="391"/>
      <c r="L683" s="391"/>
      <c r="M683" s="391"/>
      <c r="N683" s="391"/>
      <c r="O683" s="391"/>
      <c r="P683" s="391"/>
      <c r="Q683" s="391"/>
      <c r="R683" s="391"/>
      <c r="S683" s="391"/>
      <c r="T683" s="391"/>
      <c r="U683" s="391"/>
      <c r="V683" s="391"/>
      <c r="W683" s="391"/>
      <c r="X683" s="391"/>
      <c r="Y683" s="391"/>
      <c r="Z683" s="391"/>
      <c r="AA683" s="391"/>
      <c r="AB683" s="391"/>
      <c r="AC683" s="391"/>
      <c r="AD683" s="391"/>
      <c r="AE683" s="391"/>
    </row>
    <row r="684">
      <c r="A684" s="391"/>
      <c r="B684" s="391"/>
      <c r="C684" s="391"/>
      <c r="D684" s="391"/>
      <c r="E684" s="391"/>
      <c r="F684" s="391"/>
      <c r="G684" s="391"/>
      <c r="H684" s="391"/>
      <c r="I684" s="391"/>
      <c r="J684" s="391"/>
      <c r="K684" s="391"/>
      <c r="L684" s="391"/>
      <c r="M684" s="391"/>
      <c r="N684" s="391"/>
      <c r="O684" s="391"/>
      <c r="P684" s="391"/>
      <c r="Q684" s="391"/>
      <c r="R684" s="391"/>
      <c r="S684" s="391"/>
      <c r="T684" s="391"/>
      <c r="U684" s="391"/>
      <c r="V684" s="391"/>
      <c r="W684" s="391"/>
      <c r="X684" s="391"/>
      <c r="Y684" s="391"/>
      <c r="Z684" s="391"/>
      <c r="AA684" s="391"/>
      <c r="AB684" s="391"/>
      <c r="AC684" s="391"/>
      <c r="AD684" s="391"/>
      <c r="AE684" s="391"/>
    </row>
    <row r="685">
      <c r="A685" s="391"/>
      <c r="B685" s="391"/>
      <c r="C685" s="391"/>
      <c r="D685" s="391"/>
      <c r="E685" s="391"/>
      <c r="F685" s="391"/>
      <c r="G685" s="391"/>
      <c r="H685" s="391"/>
      <c r="I685" s="391"/>
      <c r="J685" s="391"/>
      <c r="K685" s="391"/>
      <c r="L685" s="391"/>
      <c r="M685" s="391"/>
      <c r="N685" s="391"/>
      <c r="O685" s="391"/>
      <c r="P685" s="391"/>
      <c r="Q685" s="391"/>
      <c r="R685" s="391"/>
      <c r="S685" s="391"/>
      <c r="T685" s="391"/>
      <c r="U685" s="391"/>
      <c r="V685" s="391"/>
      <c r="W685" s="391"/>
      <c r="X685" s="391"/>
      <c r="Y685" s="391"/>
      <c r="Z685" s="391"/>
      <c r="AA685" s="391"/>
      <c r="AB685" s="391"/>
      <c r="AC685" s="391"/>
      <c r="AD685" s="391"/>
      <c r="AE685" s="391"/>
    </row>
    <row r="686">
      <c r="A686" s="391"/>
      <c r="B686" s="391"/>
      <c r="C686" s="391"/>
      <c r="D686" s="391"/>
      <c r="E686" s="391"/>
      <c r="F686" s="391"/>
      <c r="G686" s="391"/>
      <c r="H686" s="391"/>
      <c r="I686" s="391"/>
      <c r="J686" s="391"/>
      <c r="K686" s="391"/>
      <c r="L686" s="391"/>
      <c r="M686" s="391"/>
      <c r="N686" s="391"/>
      <c r="O686" s="391"/>
      <c r="P686" s="391"/>
      <c r="Q686" s="391"/>
      <c r="R686" s="391"/>
      <c r="S686" s="391"/>
      <c r="T686" s="391"/>
      <c r="U686" s="391"/>
      <c r="V686" s="391"/>
      <c r="W686" s="391"/>
      <c r="X686" s="391"/>
      <c r="Y686" s="391"/>
      <c r="Z686" s="391"/>
      <c r="AA686" s="391"/>
      <c r="AB686" s="391"/>
      <c r="AC686" s="391"/>
      <c r="AD686" s="391"/>
      <c r="AE686" s="391"/>
    </row>
    <row r="687">
      <c r="A687" s="391"/>
      <c r="B687" s="391"/>
      <c r="C687" s="391"/>
      <c r="D687" s="391"/>
      <c r="E687" s="391"/>
      <c r="F687" s="391"/>
      <c r="G687" s="391"/>
      <c r="H687" s="391"/>
      <c r="I687" s="391"/>
      <c r="J687" s="391"/>
      <c r="K687" s="391"/>
      <c r="L687" s="391"/>
      <c r="M687" s="391"/>
      <c r="N687" s="391"/>
      <c r="O687" s="391"/>
      <c r="P687" s="391"/>
      <c r="Q687" s="391"/>
      <c r="R687" s="391"/>
      <c r="S687" s="391"/>
      <c r="T687" s="391"/>
      <c r="U687" s="391"/>
      <c r="V687" s="391"/>
      <c r="W687" s="391"/>
      <c r="X687" s="391"/>
      <c r="Y687" s="391"/>
      <c r="Z687" s="391"/>
      <c r="AA687" s="391"/>
      <c r="AB687" s="391"/>
      <c r="AC687" s="391"/>
      <c r="AD687" s="391"/>
      <c r="AE687" s="391"/>
    </row>
    <row r="688">
      <c r="A688" s="391"/>
      <c r="B688" s="391"/>
      <c r="C688" s="391"/>
      <c r="D688" s="391"/>
      <c r="E688" s="391"/>
      <c r="F688" s="391"/>
      <c r="G688" s="391"/>
      <c r="H688" s="391"/>
      <c r="I688" s="391"/>
      <c r="J688" s="391"/>
      <c r="K688" s="391"/>
      <c r="L688" s="391"/>
      <c r="M688" s="391"/>
      <c r="N688" s="391"/>
      <c r="O688" s="391"/>
      <c r="P688" s="391"/>
      <c r="Q688" s="391"/>
      <c r="R688" s="391"/>
      <c r="S688" s="391"/>
      <c r="T688" s="391"/>
      <c r="U688" s="391"/>
      <c r="V688" s="391"/>
      <c r="W688" s="391"/>
      <c r="X688" s="391"/>
      <c r="Y688" s="391"/>
      <c r="Z688" s="391"/>
      <c r="AA688" s="391"/>
      <c r="AB688" s="391"/>
      <c r="AC688" s="391"/>
      <c r="AD688" s="391"/>
      <c r="AE688" s="391"/>
    </row>
    <row r="689">
      <c r="A689" s="391"/>
      <c r="B689" s="391"/>
      <c r="C689" s="391"/>
      <c r="D689" s="391"/>
      <c r="E689" s="391"/>
      <c r="F689" s="391"/>
      <c r="G689" s="391"/>
      <c r="H689" s="391"/>
      <c r="I689" s="391"/>
      <c r="J689" s="391"/>
      <c r="K689" s="391"/>
      <c r="L689" s="391"/>
      <c r="M689" s="391"/>
      <c r="N689" s="391"/>
      <c r="O689" s="391"/>
      <c r="P689" s="391"/>
      <c r="Q689" s="391"/>
      <c r="R689" s="391"/>
      <c r="S689" s="391"/>
      <c r="T689" s="391"/>
      <c r="U689" s="391"/>
      <c r="V689" s="391"/>
      <c r="W689" s="391"/>
      <c r="X689" s="391"/>
      <c r="Y689" s="391"/>
      <c r="Z689" s="391"/>
      <c r="AA689" s="391"/>
      <c r="AB689" s="391"/>
      <c r="AC689" s="391"/>
      <c r="AD689" s="391"/>
      <c r="AE689" s="391"/>
    </row>
    <row r="690">
      <c r="A690" s="391"/>
      <c r="B690" s="391"/>
      <c r="C690" s="391"/>
      <c r="D690" s="391"/>
      <c r="E690" s="391"/>
      <c r="F690" s="391"/>
      <c r="G690" s="391"/>
      <c r="H690" s="391"/>
      <c r="I690" s="391"/>
      <c r="J690" s="391"/>
      <c r="K690" s="391"/>
      <c r="L690" s="391"/>
      <c r="M690" s="391"/>
      <c r="N690" s="391"/>
      <c r="O690" s="391"/>
      <c r="P690" s="391"/>
      <c r="Q690" s="391"/>
      <c r="R690" s="391"/>
      <c r="S690" s="391"/>
      <c r="T690" s="391"/>
      <c r="U690" s="391"/>
      <c r="V690" s="391"/>
      <c r="W690" s="391"/>
      <c r="X690" s="391"/>
      <c r="Y690" s="391"/>
      <c r="Z690" s="391"/>
      <c r="AA690" s="391"/>
      <c r="AB690" s="391"/>
      <c r="AC690" s="391"/>
      <c r="AD690" s="391"/>
      <c r="AE690" s="391"/>
    </row>
    <row r="691">
      <c r="A691" s="391"/>
      <c r="B691" s="391"/>
      <c r="C691" s="391"/>
      <c r="D691" s="391"/>
      <c r="E691" s="391"/>
      <c r="F691" s="391"/>
      <c r="G691" s="391"/>
      <c r="H691" s="391"/>
      <c r="I691" s="391"/>
      <c r="J691" s="391"/>
      <c r="K691" s="391"/>
      <c r="L691" s="391"/>
      <c r="M691" s="391"/>
      <c r="N691" s="391"/>
      <c r="O691" s="391"/>
      <c r="P691" s="391"/>
      <c r="Q691" s="391"/>
      <c r="R691" s="391"/>
      <c r="S691" s="391"/>
      <c r="T691" s="391"/>
      <c r="U691" s="391"/>
      <c r="V691" s="391"/>
      <c r="W691" s="391"/>
      <c r="X691" s="391"/>
      <c r="Y691" s="391"/>
      <c r="Z691" s="391"/>
      <c r="AA691" s="391"/>
      <c r="AB691" s="391"/>
      <c r="AC691" s="391"/>
      <c r="AD691" s="391"/>
      <c r="AE691" s="391"/>
    </row>
    <row r="692">
      <c r="A692" s="391"/>
      <c r="B692" s="391"/>
      <c r="C692" s="391"/>
      <c r="D692" s="391"/>
      <c r="E692" s="391"/>
      <c r="F692" s="391"/>
      <c r="G692" s="391"/>
      <c r="H692" s="391"/>
      <c r="I692" s="391"/>
      <c r="J692" s="391"/>
      <c r="K692" s="391"/>
      <c r="L692" s="391"/>
      <c r="M692" s="391"/>
      <c r="N692" s="391"/>
      <c r="O692" s="391"/>
      <c r="P692" s="391"/>
      <c r="Q692" s="391"/>
      <c r="R692" s="391"/>
      <c r="S692" s="391"/>
      <c r="T692" s="391"/>
      <c r="U692" s="391"/>
      <c r="V692" s="391"/>
      <c r="W692" s="391"/>
      <c r="X692" s="391"/>
      <c r="Y692" s="391"/>
      <c r="Z692" s="391"/>
      <c r="AA692" s="391"/>
      <c r="AB692" s="391"/>
      <c r="AC692" s="391"/>
      <c r="AD692" s="391"/>
      <c r="AE692" s="391"/>
    </row>
    <row r="693">
      <c r="A693" s="391"/>
      <c r="B693" s="391"/>
      <c r="C693" s="391"/>
      <c r="D693" s="391"/>
      <c r="E693" s="391"/>
      <c r="F693" s="391"/>
      <c r="G693" s="391"/>
      <c r="H693" s="391"/>
      <c r="I693" s="391"/>
      <c r="J693" s="391"/>
      <c r="K693" s="391"/>
      <c r="L693" s="391"/>
      <c r="M693" s="391"/>
      <c r="N693" s="391"/>
      <c r="O693" s="391"/>
      <c r="P693" s="391"/>
      <c r="Q693" s="391"/>
      <c r="R693" s="391"/>
      <c r="S693" s="391"/>
      <c r="T693" s="391"/>
      <c r="U693" s="391"/>
      <c r="V693" s="391"/>
      <c r="W693" s="391"/>
      <c r="X693" s="391"/>
      <c r="Y693" s="391"/>
      <c r="Z693" s="391"/>
      <c r="AA693" s="391"/>
      <c r="AB693" s="391"/>
      <c r="AC693" s="391"/>
      <c r="AD693" s="391"/>
      <c r="AE693" s="391"/>
    </row>
    <row r="694">
      <c r="A694" s="391"/>
      <c r="B694" s="391"/>
      <c r="C694" s="391"/>
      <c r="D694" s="391"/>
      <c r="E694" s="391"/>
      <c r="F694" s="391"/>
      <c r="G694" s="391"/>
      <c r="H694" s="391"/>
      <c r="I694" s="391"/>
      <c r="J694" s="391"/>
      <c r="K694" s="391"/>
      <c r="L694" s="391"/>
      <c r="M694" s="391"/>
      <c r="N694" s="391"/>
      <c r="O694" s="391"/>
      <c r="P694" s="391"/>
      <c r="Q694" s="391"/>
      <c r="R694" s="391"/>
      <c r="S694" s="391"/>
      <c r="T694" s="391"/>
      <c r="U694" s="391"/>
      <c r="V694" s="391"/>
      <c r="W694" s="391"/>
      <c r="X694" s="391"/>
      <c r="Y694" s="391"/>
      <c r="Z694" s="391"/>
      <c r="AA694" s="391"/>
      <c r="AB694" s="391"/>
      <c r="AC694" s="391"/>
      <c r="AD694" s="391"/>
      <c r="AE694" s="391"/>
    </row>
    <row r="695">
      <c r="A695" s="391"/>
      <c r="B695" s="391"/>
      <c r="C695" s="391"/>
      <c r="D695" s="391"/>
      <c r="E695" s="391"/>
      <c r="F695" s="391"/>
      <c r="G695" s="391"/>
      <c r="H695" s="391"/>
      <c r="I695" s="391"/>
      <c r="J695" s="391"/>
      <c r="K695" s="391"/>
      <c r="L695" s="391"/>
      <c r="M695" s="391"/>
      <c r="N695" s="391"/>
      <c r="O695" s="391"/>
      <c r="P695" s="391"/>
      <c r="Q695" s="391"/>
      <c r="R695" s="391"/>
      <c r="S695" s="391"/>
      <c r="T695" s="391"/>
      <c r="U695" s="391"/>
      <c r="V695" s="391"/>
      <c r="W695" s="391"/>
      <c r="X695" s="391"/>
      <c r="Y695" s="391"/>
      <c r="Z695" s="391"/>
      <c r="AA695" s="391"/>
      <c r="AB695" s="391"/>
      <c r="AC695" s="391"/>
      <c r="AD695" s="391"/>
      <c r="AE695" s="391"/>
    </row>
    <row r="696">
      <c r="A696" s="391"/>
      <c r="B696" s="391"/>
      <c r="C696" s="391"/>
      <c r="D696" s="391"/>
      <c r="E696" s="391"/>
      <c r="F696" s="391"/>
      <c r="G696" s="391"/>
      <c r="H696" s="391"/>
      <c r="I696" s="391"/>
      <c r="J696" s="391"/>
      <c r="K696" s="391"/>
      <c r="L696" s="391"/>
      <c r="M696" s="391"/>
      <c r="N696" s="391"/>
      <c r="O696" s="391"/>
      <c r="P696" s="391"/>
      <c r="Q696" s="391"/>
      <c r="R696" s="391"/>
      <c r="S696" s="391"/>
      <c r="T696" s="391"/>
      <c r="U696" s="391"/>
      <c r="V696" s="391"/>
      <c r="W696" s="391"/>
      <c r="X696" s="391"/>
      <c r="Y696" s="391"/>
      <c r="Z696" s="391"/>
      <c r="AA696" s="391"/>
      <c r="AB696" s="391"/>
      <c r="AC696" s="391"/>
      <c r="AD696" s="391"/>
      <c r="AE696" s="391"/>
    </row>
    <row r="697">
      <c r="A697" s="391"/>
      <c r="B697" s="391"/>
      <c r="C697" s="391"/>
      <c r="D697" s="391"/>
      <c r="E697" s="391"/>
      <c r="F697" s="391"/>
      <c r="G697" s="391"/>
      <c r="H697" s="391"/>
      <c r="I697" s="391"/>
      <c r="J697" s="391"/>
      <c r="K697" s="391"/>
      <c r="L697" s="391"/>
      <c r="M697" s="391"/>
      <c r="N697" s="391"/>
      <c r="O697" s="391"/>
      <c r="P697" s="391"/>
      <c r="Q697" s="391"/>
      <c r="R697" s="391"/>
      <c r="S697" s="391"/>
      <c r="T697" s="391"/>
      <c r="U697" s="391"/>
      <c r="V697" s="391"/>
      <c r="W697" s="391"/>
      <c r="X697" s="391"/>
      <c r="Y697" s="391"/>
      <c r="Z697" s="391"/>
      <c r="AA697" s="391"/>
      <c r="AB697" s="391"/>
      <c r="AC697" s="391"/>
      <c r="AD697" s="391"/>
      <c r="AE697" s="391"/>
    </row>
    <row r="698">
      <c r="A698" s="391"/>
      <c r="B698" s="391"/>
      <c r="C698" s="391"/>
      <c r="D698" s="391"/>
      <c r="E698" s="391"/>
      <c r="F698" s="391"/>
      <c r="G698" s="391"/>
      <c r="H698" s="391"/>
      <c r="I698" s="391"/>
      <c r="J698" s="391"/>
      <c r="K698" s="391"/>
      <c r="L698" s="391"/>
      <c r="M698" s="391"/>
      <c r="N698" s="391"/>
      <c r="O698" s="391"/>
      <c r="P698" s="391"/>
      <c r="Q698" s="391"/>
      <c r="R698" s="391"/>
      <c r="S698" s="391"/>
      <c r="T698" s="391"/>
      <c r="U698" s="391"/>
      <c r="V698" s="391"/>
      <c r="W698" s="391"/>
      <c r="X698" s="391"/>
      <c r="Y698" s="391"/>
      <c r="Z698" s="391"/>
      <c r="AA698" s="391"/>
      <c r="AB698" s="391"/>
      <c r="AC698" s="391"/>
      <c r="AD698" s="391"/>
      <c r="AE698" s="391"/>
    </row>
    <row r="699">
      <c r="A699" s="391"/>
      <c r="B699" s="391"/>
      <c r="C699" s="391"/>
      <c r="D699" s="391"/>
      <c r="E699" s="391"/>
      <c r="F699" s="391"/>
      <c r="G699" s="391"/>
      <c r="H699" s="391"/>
      <c r="I699" s="391"/>
      <c r="J699" s="391"/>
      <c r="K699" s="391"/>
      <c r="L699" s="391"/>
      <c r="M699" s="391"/>
      <c r="N699" s="391"/>
      <c r="O699" s="391"/>
      <c r="P699" s="391"/>
      <c r="Q699" s="391"/>
      <c r="R699" s="391"/>
      <c r="S699" s="391"/>
      <c r="T699" s="391"/>
      <c r="U699" s="391"/>
      <c r="V699" s="391"/>
      <c r="W699" s="391"/>
      <c r="X699" s="391"/>
      <c r="Y699" s="391"/>
      <c r="Z699" s="391"/>
      <c r="AA699" s="391"/>
      <c r="AB699" s="391"/>
      <c r="AC699" s="391"/>
      <c r="AD699" s="391"/>
      <c r="AE699" s="391"/>
    </row>
    <row r="700">
      <c r="A700" s="391"/>
      <c r="B700" s="391"/>
      <c r="C700" s="391"/>
      <c r="D700" s="391"/>
      <c r="E700" s="391"/>
      <c r="F700" s="391"/>
      <c r="G700" s="391"/>
      <c r="H700" s="391"/>
      <c r="I700" s="391"/>
      <c r="J700" s="391"/>
      <c r="K700" s="391"/>
      <c r="L700" s="391"/>
      <c r="M700" s="391"/>
      <c r="N700" s="391"/>
      <c r="O700" s="391"/>
      <c r="P700" s="391"/>
      <c r="Q700" s="391"/>
      <c r="R700" s="391"/>
      <c r="S700" s="391"/>
      <c r="T700" s="391"/>
      <c r="U700" s="391"/>
      <c r="V700" s="391"/>
      <c r="W700" s="391"/>
      <c r="X700" s="391"/>
      <c r="Y700" s="391"/>
      <c r="Z700" s="391"/>
      <c r="AA700" s="391"/>
      <c r="AB700" s="391"/>
      <c r="AC700" s="391"/>
      <c r="AD700" s="391"/>
      <c r="AE700" s="391"/>
    </row>
    <row r="701">
      <c r="A701" s="391"/>
      <c r="B701" s="391"/>
      <c r="C701" s="391"/>
      <c r="D701" s="391"/>
      <c r="E701" s="391"/>
      <c r="F701" s="391"/>
      <c r="G701" s="391"/>
      <c r="H701" s="391"/>
      <c r="I701" s="391"/>
      <c r="J701" s="391"/>
      <c r="K701" s="391"/>
      <c r="L701" s="391"/>
      <c r="M701" s="391"/>
      <c r="N701" s="391"/>
      <c r="O701" s="391"/>
      <c r="P701" s="391"/>
      <c r="Q701" s="391"/>
      <c r="R701" s="391"/>
      <c r="S701" s="391"/>
      <c r="T701" s="391"/>
      <c r="U701" s="391"/>
      <c r="V701" s="391"/>
      <c r="W701" s="391"/>
      <c r="X701" s="391"/>
      <c r="Y701" s="391"/>
      <c r="Z701" s="391"/>
      <c r="AA701" s="391"/>
      <c r="AB701" s="391"/>
      <c r="AC701" s="391"/>
      <c r="AD701" s="391"/>
      <c r="AE701" s="391"/>
    </row>
    <row r="702">
      <c r="A702" s="391"/>
      <c r="B702" s="391"/>
      <c r="C702" s="391"/>
      <c r="D702" s="391"/>
      <c r="E702" s="391"/>
      <c r="F702" s="391"/>
      <c r="G702" s="391"/>
      <c r="H702" s="391"/>
      <c r="I702" s="391"/>
      <c r="J702" s="391"/>
      <c r="K702" s="391"/>
      <c r="L702" s="391"/>
      <c r="M702" s="391"/>
      <c r="N702" s="391"/>
      <c r="O702" s="391"/>
      <c r="P702" s="391"/>
      <c r="Q702" s="391"/>
      <c r="R702" s="391"/>
      <c r="S702" s="391"/>
      <c r="T702" s="391"/>
      <c r="U702" s="391"/>
      <c r="V702" s="391"/>
      <c r="W702" s="391"/>
      <c r="X702" s="391"/>
      <c r="Y702" s="391"/>
      <c r="Z702" s="391"/>
      <c r="AA702" s="391"/>
      <c r="AB702" s="391"/>
      <c r="AC702" s="391"/>
      <c r="AD702" s="391"/>
      <c r="AE702" s="391"/>
    </row>
    <row r="703">
      <c r="A703" s="391"/>
      <c r="B703" s="391"/>
      <c r="C703" s="391"/>
      <c r="D703" s="391"/>
      <c r="E703" s="391"/>
      <c r="F703" s="391"/>
      <c r="G703" s="391"/>
      <c r="H703" s="391"/>
      <c r="I703" s="391"/>
      <c r="J703" s="391"/>
      <c r="K703" s="391"/>
      <c r="L703" s="391"/>
      <c r="M703" s="391"/>
      <c r="N703" s="391"/>
      <c r="O703" s="391"/>
      <c r="P703" s="391"/>
      <c r="Q703" s="391"/>
      <c r="R703" s="391"/>
      <c r="S703" s="391"/>
      <c r="T703" s="391"/>
      <c r="U703" s="391"/>
      <c r="V703" s="391"/>
      <c r="W703" s="391"/>
      <c r="X703" s="391"/>
      <c r="Y703" s="391"/>
      <c r="Z703" s="391"/>
      <c r="AA703" s="391"/>
      <c r="AB703" s="391"/>
      <c r="AC703" s="391"/>
      <c r="AD703" s="391"/>
      <c r="AE703" s="391"/>
    </row>
    <row r="704">
      <c r="A704" s="391"/>
      <c r="B704" s="391"/>
      <c r="C704" s="391"/>
      <c r="D704" s="391"/>
      <c r="E704" s="391"/>
      <c r="F704" s="391"/>
      <c r="G704" s="391"/>
      <c r="H704" s="391"/>
      <c r="I704" s="391"/>
      <c r="J704" s="391"/>
      <c r="K704" s="391"/>
      <c r="L704" s="391"/>
      <c r="M704" s="391"/>
      <c r="N704" s="391"/>
      <c r="O704" s="391"/>
      <c r="P704" s="391"/>
      <c r="Q704" s="391"/>
      <c r="R704" s="391"/>
      <c r="S704" s="391"/>
      <c r="T704" s="391"/>
      <c r="U704" s="391"/>
      <c r="V704" s="391"/>
      <c r="W704" s="391"/>
      <c r="X704" s="391"/>
      <c r="Y704" s="391"/>
      <c r="Z704" s="391"/>
      <c r="AA704" s="391"/>
      <c r="AB704" s="391"/>
      <c r="AC704" s="391"/>
      <c r="AD704" s="391"/>
      <c r="AE704" s="391"/>
    </row>
    <row r="705">
      <c r="A705" s="391"/>
      <c r="B705" s="391"/>
      <c r="C705" s="391"/>
      <c r="D705" s="391"/>
      <c r="E705" s="391"/>
      <c r="F705" s="391"/>
      <c r="G705" s="391"/>
      <c r="H705" s="391"/>
      <c r="I705" s="391"/>
      <c r="J705" s="391"/>
      <c r="K705" s="391"/>
      <c r="L705" s="391"/>
      <c r="M705" s="391"/>
      <c r="N705" s="391"/>
      <c r="O705" s="391"/>
      <c r="P705" s="391"/>
      <c r="Q705" s="391"/>
      <c r="R705" s="391"/>
      <c r="S705" s="391"/>
      <c r="T705" s="391"/>
      <c r="U705" s="391"/>
      <c r="V705" s="391"/>
      <c r="W705" s="391"/>
      <c r="X705" s="391"/>
      <c r="Y705" s="391"/>
      <c r="Z705" s="391"/>
      <c r="AA705" s="391"/>
      <c r="AB705" s="391"/>
      <c r="AC705" s="391"/>
      <c r="AD705" s="391"/>
      <c r="AE705" s="391"/>
    </row>
    <row r="706">
      <c r="A706" s="391"/>
      <c r="B706" s="391"/>
      <c r="C706" s="391"/>
      <c r="D706" s="391"/>
      <c r="E706" s="391"/>
      <c r="F706" s="391"/>
      <c r="G706" s="391"/>
      <c r="H706" s="391"/>
      <c r="I706" s="391"/>
      <c r="J706" s="391"/>
      <c r="K706" s="391"/>
      <c r="L706" s="391"/>
      <c r="M706" s="391"/>
      <c r="N706" s="391"/>
      <c r="O706" s="391"/>
      <c r="P706" s="391"/>
      <c r="Q706" s="391"/>
      <c r="R706" s="391"/>
      <c r="S706" s="391"/>
      <c r="T706" s="391"/>
      <c r="U706" s="391"/>
      <c r="V706" s="391"/>
      <c r="W706" s="391"/>
      <c r="X706" s="391"/>
      <c r="Y706" s="391"/>
      <c r="Z706" s="391"/>
      <c r="AA706" s="391"/>
      <c r="AB706" s="391"/>
      <c r="AC706" s="391"/>
      <c r="AD706" s="391"/>
      <c r="AE706" s="391"/>
    </row>
    <row r="707">
      <c r="A707" s="391"/>
      <c r="B707" s="391"/>
      <c r="C707" s="391"/>
      <c r="D707" s="391"/>
      <c r="E707" s="391"/>
      <c r="F707" s="391"/>
      <c r="G707" s="391"/>
      <c r="H707" s="391"/>
      <c r="I707" s="391"/>
      <c r="J707" s="391"/>
      <c r="K707" s="391"/>
      <c r="L707" s="391"/>
      <c r="M707" s="391"/>
      <c r="N707" s="391"/>
      <c r="O707" s="391"/>
      <c r="P707" s="391"/>
      <c r="Q707" s="391"/>
      <c r="R707" s="391"/>
      <c r="S707" s="391"/>
      <c r="T707" s="391"/>
      <c r="U707" s="391"/>
      <c r="V707" s="391"/>
      <c r="W707" s="391"/>
      <c r="X707" s="391"/>
      <c r="Y707" s="391"/>
      <c r="Z707" s="391"/>
      <c r="AA707" s="391"/>
      <c r="AB707" s="391"/>
      <c r="AC707" s="391"/>
      <c r="AD707" s="391"/>
      <c r="AE707" s="391"/>
    </row>
    <row r="708">
      <c r="A708" s="391"/>
      <c r="B708" s="391"/>
      <c r="C708" s="391"/>
      <c r="D708" s="391"/>
      <c r="E708" s="391"/>
      <c r="F708" s="391"/>
      <c r="G708" s="391"/>
      <c r="H708" s="391"/>
      <c r="I708" s="391"/>
      <c r="J708" s="391"/>
      <c r="K708" s="391"/>
      <c r="L708" s="391"/>
      <c r="M708" s="391"/>
      <c r="N708" s="391"/>
      <c r="O708" s="391"/>
      <c r="P708" s="391"/>
      <c r="Q708" s="391"/>
      <c r="R708" s="391"/>
      <c r="S708" s="391"/>
      <c r="T708" s="391"/>
      <c r="U708" s="391"/>
      <c r="V708" s="391"/>
      <c r="W708" s="391"/>
      <c r="X708" s="391"/>
      <c r="Y708" s="391"/>
      <c r="Z708" s="391"/>
      <c r="AA708" s="391"/>
      <c r="AB708" s="391"/>
      <c r="AC708" s="391"/>
      <c r="AD708" s="391"/>
      <c r="AE708" s="391"/>
    </row>
    <row r="709">
      <c r="A709" s="391"/>
      <c r="B709" s="391"/>
      <c r="C709" s="391"/>
      <c r="D709" s="391"/>
      <c r="E709" s="391"/>
      <c r="F709" s="391"/>
      <c r="G709" s="391"/>
      <c r="H709" s="391"/>
      <c r="I709" s="391"/>
      <c r="J709" s="391"/>
      <c r="K709" s="391"/>
      <c r="L709" s="391"/>
      <c r="M709" s="391"/>
      <c r="N709" s="391"/>
      <c r="O709" s="391"/>
      <c r="P709" s="391"/>
      <c r="Q709" s="391"/>
      <c r="R709" s="391"/>
      <c r="S709" s="391"/>
      <c r="T709" s="391"/>
      <c r="U709" s="391"/>
      <c r="V709" s="391"/>
      <c r="W709" s="391"/>
      <c r="X709" s="391"/>
      <c r="Y709" s="391"/>
      <c r="Z709" s="391"/>
      <c r="AA709" s="391"/>
      <c r="AB709" s="391"/>
      <c r="AC709" s="391"/>
      <c r="AD709" s="391"/>
      <c r="AE709" s="391"/>
    </row>
    <row r="710">
      <c r="A710" s="391"/>
      <c r="B710" s="391"/>
      <c r="C710" s="391"/>
      <c r="D710" s="391"/>
      <c r="E710" s="391"/>
      <c r="F710" s="391"/>
      <c r="G710" s="391"/>
      <c r="H710" s="391"/>
      <c r="I710" s="391"/>
      <c r="J710" s="391"/>
      <c r="K710" s="391"/>
      <c r="L710" s="391"/>
      <c r="M710" s="391"/>
      <c r="N710" s="391"/>
      <c r="O710" s="391"/>
      <c r="P710" s="391"/>
      <c r="Q710" s="391"/>
      <c r="R710" s="391"/>
      <c r="S710" s="391"/>
      <c r="T710" s="391"/>
      <c r="U710" s="391"/>
      <c r="V710" s="391"/>
      <c r="W710" s="391"/>
      <c r="X710" s="391"/>
      <c r="Y710" s="391"/>
      <c r="Z710" s="391"/>
      <c r="AA710" s="391"/>
      <c r="AB710" s="391"/>
      <c r="AC710" s="391"/>
      <c r="AD710" s="391"/>
      <c r="AE710" s="391"/>
    </row>
    <row r="711">
      <c r="A711" s="391"/>
      <c r="B711" s="391"/>
      <c r="C711" s="391"/>
      <c r="D711" s="391"/>
      <c r="E711" s="391"/>
      <c r="F711" s="391"/>
      <c r="G711" s="391"/>
      <c r="H711" s="391"/>
      <c r="I711" s="391"/>
      <c r="J711" s="391"/>
      <c r="K711" s="391"/>
      <c r="L711" s="391"/>
      <c r="M711" s="391"/>
      <c r="N711" s="391"/>
      <c r="O711" s="391"/>
      <c r="P711" s="391"/>
      <c r="Q711" s="391"/>
      <c r="R711" s="391"/>
      <c r="S711" s="391"/>
      <c r="T711" s="391"/>
      <c r="U711" s="391"/>
      <c r="V711" s="391"/>
      <c r="W711" s="391"/>
      <c r="X711" s="391"/>
      <c r="Y711" s="391"/>
      <c r="Z711" s="391"/>
      <c r="AA711" s="391"/>
      <c r="AB711" s="391"/>
      <c r="AC711" s="391"/>
      <c r="AD711" s="391"/>
      <c r="AE711" s="391"/>
    </row>
    <row r="712">
      <c r="A712" s="391"/>
      <c r="B712" s="391"/>
      <c r="C712" s="391"/>
      <c r="D712" s="391"/>
      <c r="E712" s="391"/>
      <c r="F712" s="391"/>
      <c r="G712" s="391"/>
      <c r="H712" s="391"/>
      <c r="I712" s="391"/>
      <c r="J712" s="391"/>
      <c r="K712" s="391"/>
      <c r="L712" s="391"/>
      <c r="M712" s="391"/>
      <c r="N712" s="391"/>
      <c r="O712" s="391"/>
      <c r="P712" s="391"/>
      <c r="Q712" s="391"/>
      <c r="R712" s="391"/>
      <c r="S712" s="391"/>
      <c r="T712" s="391"/>
      <c r="U712" s="391"/>
      <c r="V712" s="391"/>
      <c r="W712" s="391"/>
      <c r="X712" s="391"/>
      <c r="Y712" s="391"/>
      <c r="Z712" s="391"/>
      <c r="AA712" s="391"/>
      <c r="AB712" s="391"/>
      <c r="AC712" s="391"/>
      <c r="AD712" s="391"/>
      <c r="AE712" s="391"/>
    </row>
    <row r="713">
      <c r="A713" s="391"/>
      <c r="B713" s="391"/>
      <c r="C713" s="391"/>
      <c r="D713" s="391"/>
      <c r="E713" s="391"/>
      <c r="F713" s="391"/>
      <c r="G713" s="391"/>
      <c r="H713" s="391"/>
      <c r="I713" s="391"/>
      <c r="J713" s="391"/>
      <c r="K713" s="391"/>
      <c r="L713" s="391"/>
      <c r="M713" s="391"/>
      <c r="N713" s="391"/>
      <c r="O713" s="391"/>
      <c r="P713" s="391"/>
      <c r="Q713" s="391"/>
      <c r="R713" s="391"/>
      <c r="S713" s="391"/>
      <c r="T713" s="391"/>
      <c r="U713" s="391"/>
      <c r="V713" s="391"/>
      <c r="W713" s="391"/>
      <c r="X713" s="391"/>
      <c r="Y713" s="391"/>
      <c r="Z713" s="391"/>
      <c r="AA713" s="391"/>
      <c r="AB713" s="391"/>
      <c r="AC713" s="391"/>
      <c r="AD713" s="391"/>
      <c r="AE713" s="391"/>
    </row>
    <row r="714">
      <c r="A714" s="391"/>
      <c r="B714" s="391"/>
      <c r="C714" s="391"/>
      <c r="D714" s="391"/>
      <c r="E714" s="391"/>
      <c r="F714" s="391"/>
      <c r="G714" s="391"/>
      <c r="H714" s="391"/>
      <c r="I714" s="391"/>
      <c r="J714" s="391"/>
      <c r="K714" s="391"/>
      <c r="L714" s="391"/>
      <c r="M714" s="391"/>
      <c r="N714" s="391"/>
      <c r="O714" s="391"/>
      <c r="P714" s="391"/>
      <c r="Q714" s="391"/>
      <c r="R714" s="391"/>
      <c r="S714" s="391"/>
      <c r="T714" s="391"/>
      <c r="U714" s="391"/>
      <c r="V714" s="391"/>
      <c r="W714" s="391"/>
      <c r="X714" s="391"/>
      <c r="Y714" s="391"/>
      <c r="Z714" s="391"/>
      <c r="AA714" s="391"/>
      <c r="AB714" s="391"/>
      <c r="AC714" s="391"/>
      <c r="AD714" s="391"/>
      <c r="AE714" s="391"/>
    </row>
    <row r="715">
      <c r="A715" s="391"/>
      <c r="B715" s="391"/>
      <c r="C715" s="391"/>
      <c r="D715" s="391"/>
      <c r="E715" s="391"/>
      <c r="F715" s="391"/>
      <c r="G715" s="391"/>
      <c r="H715" s="391"/>
      <c r="I715" s="391"/>
      <c r="J715" s="391"/>
      <c r="K715" s="391"/>
      <c r="L715" s="391"/>
      <c r="M715" s="391"/>
      <c r="N715" s="391"/>
      <c r="O715" s="391"/>
      <c r="P715" s="391"/>
      <c r="Q715" s="391"/>
      <c r="R715" s="391"/>
      <c r="S715" s="391"/>
      <c r="T715" s="391"/>
      <c r="U715" s="391"/>
      <c r="V715" s="391"/>
      <c r="W715" s="391"/>
      <c r="X715" s="391"/>
      <c r="Y715" s="391"/>
      <c r="Z715" s="391"/>
      <c r="AA715" s="391"/>
      <c r="AB715" s="391"/>
      <c r="AC715" s="391"/>
      <c r="AD715" s="391"/>
      <c r="AE715" s="391"/>
    </row>
    <row r="716">
      <c r="A716" s="391"/>
      <c r="B716" s="391"/>
      <c r="C716" s="391"/>
      <c r="D716" s="391"/>
      <c r="E716" s="391"/>
      <c r="F716" s="391"/>
      <c r="G716" s="391"/>
      <c r="H716" s="391"/>
      <c r="I716" s="391"/>
      <c r="J716" s="391"/>
      <c r="K716" s="391"/>
      <c r="L716" s="391"/>
      <c r="M716" s="391"/>
      <c r="N716" s="391"/>
      <c r="O716" s="391"/>
      <c r="P716" s="391"/>
      <c r="Q716" s="391"/>
      <c r="R716" s="391"/>
      <c r="S716" s="391"/>
      <c r="T716" s="391"/>
      <c r="U716" s="391"/>
      <c r="V716" s="391"/>
      <c r="W716" s="391"/>
      <c r="X716" s="391"/>
      <c r="Y716" s="391"/>
      <c r="Z716" s="391"/>
      <c r="AA716" s="391"/>
      <c r="AB716" s="391"/>
      <c r="AC716" s="391"/>
      <c r="AD716" s="391"/>
      <c r="AE716" s="391"/>
    </row>
    <row r="717">
      <c r="A717" s="391"/>
      <c r="B717" s="391"/>
      <c r="C717" s="391"/>
      <c r="D717" s="391"/>
      <c r="E717" s="391"/>
      <c r="F717" s="391"/>
      <c r="G717" s="391"/>
      <c r="H717" s="391"/>
      <c r="I717" s="391"/>
      <c r="J717" s="391"/>
      <c r="K717" s="391"/>
      <c r="L717" s="391"/>
      <c r="M717" s="391"/>
      <c r="N717" s="391"/>
      <c r="O717" s="391"/>
      <c r="P717" s="391"/>
      <c r="Q717" s="391"/>
      <c r="R717" s="391"/>
      <c r="S717" s="391"/>
      <c r="T717" s="391"/>
      <c r="U717" s="391"/>
      <c r="V717" s="391"/>
      <c r="W717" s="391"/>
      <c r="X717" s="391"/>
      <c r="Y717" s="391"/>
      <c r="Z717" s="391"/>
      <c r="AA717" s="391"/>
      <c r="AB717" s="391"/>
      <c r="AC717" s="391"/>
      <c r="AD717" s="391"/>
      <c r="AE717" s="391"/>
    </row>
    <row r="718">
      <c r="A718" s="391"/>
      <c r="B718" s="391"/>
      <c r="C718" s="391"/>
      <c r="D718" s="391"/>
      <c r="E718" s="391"/>
      <c r="F718" s="391"/>
      <c r="G718" s="391"/>
      <c r="H718" s="391"/>
      <c r="I718" s="391"/>
      <c r="J718" s="391"/>
      <c r="K718" s="391"/>
      <c r="L718" s="391"/>
      <c r="M718" s="391"/>
      <c r="N718" s="391"/>
      <c r="O718" s="391"/>
      <c r="P718" s="391"/>
      <c r="Q718" s="391"/>
      <c r="R718" s="391"/>
      <c r="S718" s="391"/>
      <c r="T718" s="391"/>
      <c r="U718" s="391"/>
      <c r="V718" s="391"/>
      <c r="W718" s="391"/>
      <c r="X718" s="391"/>
      <c r="Y718" s="391"/>
      <c r="Z718" s="391"/>
      <c r="AA718" s="391"/>
      <c r="AB718" s="391"/>
      <c r="AC718" s="391"/>
      <c r="AD718" s="391"/>
      <c r="AE718" s="391"/>
    </row>
    <row r="719">
      <c r="A719" s="391"/>
      <c r="B719" s="391"/>
      <c r="C719" s="391"/>
      <c r="D719" s="391"/>
      <c r="E719" s="391"/>
      <c r="F719" s="391"/>
      <c r="G719" s="391"/>
      <c r="H719" s="391"/>
      <c r="I719" s="391"/>
      <c r="J719" s="391"/>
      <c r="K719" s="391"/>
      <c r="L719" s="391"/>
      <c r="M719" s="391"/>
      <c r="N719" s="391"/>
      <c r="O719" s="391"/>
      <c r="P719" s="391"/>
      <c r="Q719" s="391"/>
      <c r="R719" s="391"/>
      <c r="S719" s="391"/>
      <c r="T719" s="391"/>
      <c r="U719" s="391"/>
      <c r="V719" s="391"/>
      <c r="W719" s="391"/>
      <c r="X719" s="391"/>
      <c r="Y719" s="391"/>
      <c r="Z719" s="391"/>
      <c r="AA719" s="391"/>
      <c r="AB719" s="391"/>
      <c r="AC719" s="391"/>
      <c r="AD719" s="391"/>
      <c r="AE719" s="391"/>
    </row>
    <row r="720">
      <c r="A720" s="391"/>
      <c r="B720" s="391"/>
      <c r="C720" s="391"/>
      <c r="D720" s="391"/>
      <c r="E720" s="391"/>
      <c r="F720" s="391"/>
      <c r="G720" s="391"/>
      <c r="H720" s="391"/>
      <c r="I720" s="391"/>
      <c r="J720" s="391"/>
      <c r="K720" s="391"/>
      <c r="L720" s="391"/>
      <c r="M720" s="391"/>
      <c r="N720" s="391"/>
      <c r="O720" s="391"/>
      <c r="P720" s="391"/>
      <c r="Q720" s="391"/>
      <c r="R720" s="391"/>
      <c r="S720" s="391"/>
      <c r="T720" s="391"/>
      <c r="U720" s="391"/>
      <c r="V720" s="391"/>
      <c r="W720" s="391"/>
      <c r="X720" s="391"/>
      <c r="Y720" s="391"/>
      <c r="Z720" s="391"/>
      <c r="AA720" s="391"/>
      <c r="AB720" s="391"/>
      <c r="AC720" s="391"/>
      <c r="AD720" s="391"/>
      <c r="AE720" s="391"/>
    </row>
    <row r="721">
      <c r="A721" s="391"/>
      <c r="B721" s="391"/>
      <c r="C721" s="391"/>
      <c r="D721" s="391"/>
      <c r="E721" s="391"/>
      <c r="F721" s="391"/>
      <c r="G721" s="391"/>
      <c r="H721" s="391"/>
      <c r="I721" s="391"/>
      <c r="J721" s="391"/>
      <c r="K721" s="391"/>
      <c r="L721" s="391"/>
      <c r="M721" s="391"/>
      <c r="N721" s="391"/>
      <c r="O721" s="391"/>
      <c r="P721" s="391"/>
      <c r="Q721" s="391"/>
      <c r="R721" s="391"/>
      <c r="S721" s="391"/>
      <c r="T721" s="391"/>
      <c r="U721" s="391"/>
      <c r="V721" s="391"/>
      <c r="W721" s="391"/>
      <c r="X721" s="391"/>
      <c r="Y721" s="391"/>
      <c r="Z721" s="391"/>
      <c r="AA721" s="391"/>
      <c r="AB721" s="391"/>
      <c r="AC721" s="391"/>
      <c r="AD721" s="391"/>
      <c r="AE721" s="391"/>
    </row>
    <row r="722">
      <c r="A722" s="391"/>
      <c r="B722" s="391"/>
      <c r="C722" s="391"/>
      <c r="D722" s="391"/>
      <c r="E722" s="391"/>
      <c r="F722" s="391"/>
      <c r="G722" s="391"/>
      <c r="H722" s="391"/>
      <c r="I722" s="391"/>
      <c r="J722" s="391"/>
      <c r="K722" s="391"/>
      <c r="L722" s="391"/>
      <c r="M722" s="391"/>
      <c r="N722" s="391"/>
      <c r="O722" s="391"/>
      <c r="P722" s="391"/>
      <c r="Q722" s="391"/>
      <c r="R722" s="391"/>
      <c r="S722" s="391"/>
      <c r="T722" s="391"/>
      <c r="U722" s="391"/>
      <c r="V722" s="391"/>
      <c r="W722" s="391"/>
      <c r="X722" s="391"/>
      <c r="Y722" s="391"/>
      <c r="Z722" s="391"/>
      <c r="AA722" s="391"/>
      <c r="AB722" s="391"/>
      <c r="AC722" s="391"/>
      <c r="AD722" s="391"/>
      <c r="AE722" s="391"/>
    </row>
    <row r="723">
      <c r="A723" s="391"/>
      <c r="B723" s="391"/>
      <c r="C723" s="391"/>
      <c r="D723" s="391"/>
      <c r="E723" s="391"/>
      <c r="F723" s="391"/>
      <c r="G723" s="391"/>
      <c r="H723" s="391"/>
      <c r="I723" s="391"/>
      <c r="J723" s="391"/>
      <c r="K723" s="391"/>
      <c r="L723" s="391"/>
      <c r="M723" s="391"/>
      <c r="N723" s="391"/>
      <c r="O723" s="391"/>
      <c r="P723" s="391"/>
      <c r="Q723" s="391"/>
      <c r="R723" s="391"/>
      <c r="S723" s="391"/>
      <c r="T723" s="391"/>
      <c r="U723" s="391"/>
      <c r="V723" s="391"/>
      <c r="W723" s="391"/>
      <c r="X723" s="391"/>
      <c r="Y723" s="391"/>
      <c r="Z723" s="391"/>
      <c r="AA723" s="391"/>
      <c r="AB723" s="391"/>
      <c r="AC723" s="391"/>
      <c r="AD723" s="391"/>
      <c r="AE723" s="391"/>
    </row>
    <row r="724">
      <c r="A724" s="391"/>
      <c r="B724" s="391"/>
      <c r="C724" s="391"/>
      <c r="D724" s="391"/>
      <c r="E724" s="391"/>
      <c r="F724" s="391"/>
      <c r="G724" s="391"/>
      <c r="H724" s="391"/>
      <c r="I724" s="391"/>
      <c r="J724" s="391"/>
      <c r="K724" s="391"/>
      <c r="L724" s="391"/>
      <c r="M724" s="391"/>
      <c r="N724" s="391"/>
      <c r="O724" s="391"/>
      <c r="P724" s="391"/>
      <c r="Q724" s="391"/>
      <c r="R724" s="391"/>
      <c r="S724" s="391"/>
      <c r="T724" s="391"/>
      <c r="U724" s="391"/>
      <c r="V724" s="391"/>
      <c r="W724" s="391"/>
      <c r="X724" s="391"/>
      <c r="Y724" s="391"/>
      <c r="Z724" s="391"/>
      <c r="AA724" s="391"/>
      <c r="AB724" s="391"/>
      <c r="AC724" s="391"/>
      <c r="AD724" s="391"/>
      <c r="AE724" s="391"/>
    </row>
    <row r="725">
      <c r="A725" s="391"/>
      <c r="B725" s="391"/>
      <c r="C725" s="391"/>
      <c r="D725" s="391"/>
      <c r="E725" s="391"/>
      <c r="F725" s="391"/>
      <c r="G725" s="391"/>
      <c r="H725" s="391"/>
      <c r="I725" s="391"/>
      <c r="J725" s="391"/>
      <c r="K725" s="391"/>
      <c r="L725" s="391"/>
      <c r="M725" s="391"/>
      <c r="N725" s="391"/>
      <c r="O725" s="391"/>
      <c r="P725" s="391"/>
      <c r="Q725" s="391"/>
      <c r="R725" s="391"/>
      <c r="S725" s="391"/>
      <c r="T725" s="391"/>
      <c r="U725" s="391"/>
      <c r="V725" s="391"/>
      <c r="W725" s="391"/>
      <c r="X725" s="391"/>
      <c r="Y725" s="391"/>
      <c r="Z725" s="391"/>
      <c r="AA725" s="391"/>
      <c r="AB725" s="391"/>
      <c r="AC725" s="391"/>
      <c r="AD725" s="391"/>
      <c r="AE725" s="391"/>
    </row>
    <row r="726">
      <c r="A726" s="391"/>
      <c r="B726" s="391"/>
      <c r="C726" s="391"/>
      <c r="D726" s="391"/>
      <c r="E726" s="391"/>
      <c r="F726" s="391"/>
      <c r="G726" s="391"/>
      <c r="H726" s="391"/>
      <c r="I726" s="391"/>
      <c r="J726" s="391"/>
      <c r="K726" s="391"/>
      <c r="L726" s="391"/>
      <c r="M726" s="391"/>
      <c r="N726" s="391"/>
      <c r="O726" s="391"/>
      <c r="P726" s="391"/>
      <c r="Q726" s="391"/>
      <c r="R726" s="391"/>
      <c r="S726" s="391"/>
      <c r="T726" s="391"/>
      <c r="U726" s="391"/>
      <c r="V726" s="391"/>
      <c r="W726" s="391"/>
      <c r="X726" s="391"/>
      <c r="Y726" s="391"/>
      <c r="Z726" s="391"/>
      <c r="AA726" s="391"/>
      <c r="AB726" s="391"/>
      <c r="AC726" s="391"/>
      <c r="AD726" s="391"/>
      <c r="AE726" s="391"/>
    </row>
    <row r="727">
      <c r="A727" s="391"/>
      <c r="B727" s="391"/>
      <c r="C727" s="391"/>
      <c r="D727" s="391"/>
      <c r="E727" s="391"/>
      <c r="F727" s="391"/>
      <c r="G727" s="391"/>
      <c r="H727" s="391"/>
      <c r="I727" s="391"/>
      <c r="J727" s="391"/>
      <c r="K727" s="391"/>
      <c r="L727" s="391"/>
      <c r="M727" s="391"/>
      <c r="N727" s="391"/>
      <c r="O727" s="391"/>
      <c r="P727" s="391"/>
      <c r="Q727" s="391"/>
      <c r="R727" s="391"/>
      <c r="S727" s="391"/>
      <c r="T727" s="391"/>
      <c r="U727" s="391"/>
      <c r="V727" s="391"/>
      <c r="W727" s="391"/>
      <c r="X727" s="391"/>
      <c r="Y727" s="391"/>
      <c r="Z727" s="391"/>
      <c r="AA727" s="391"/>
      <c r="AB727" s="391"/>
      <c r="AC727" s="391"/>
      <c r="AD727" s="391"/>
      <c r="AE727" s="391"/>
    </row>
    <row r="728">
      <c r="A728" s="391"/>
      <c r="B728" s="391"/>
      <c r="C728" s="391"/>
      <c r="D728" s="391"/>
      <c r="E728" s="391"/>
      <c r="F728" s="391"/>
      <c r="G728" s="391"/>
      <c r="H728" s="391"/>
      <c r="I728" s="391"/>
      <c r="J728" s="391"/>
      <c r="K728" s="391"/>
      <c r="L728" s="391"/>
      <c r="M728" s="391"/>
      <c r="N728" s="391"/>
      <c r="O728" s="391"/>
      <c r="P728" s="391"/>
      <c r="Q728" s="391"/>
      <c r="R728" s="391"/>
      <c r="S728" s="391"/>
      <c r="T728" s="391"/>
      <c r="U728" s="391"/>
      <c r="V728" s="391"/>
      <c r="W728" s="391"/>
      <c r="X728" s="391"/>
      <c r="Y728" s="391"/>
      <c r="Z728" s="391"/>
      <c r="AA728" s="391"/>
      <c r="AB728" s="391"/>
      <c r="AC728" s="391"/>
      <c r="AD728" s="391"/>
      <c r="AE728" s="391"/>
    </row>
    <row r="729">
      <c r="A729" s="391"/>
      <c r="B729" s="391"/>
      <c r="C729" s="391"/>
      <c r="D729" s="391"/>
      <c r="E729" s="391"/>
      <c r="F729" s="391"/>
      <c r="G729" s="391"/>
      <c r="H729" s="391"/>
      <c r="I729" s="391"/>
      <c r="J729" s="391"/>
      <c r="K729" s="391"/>
      <c r="L729" s="391"/>
      <c r="M729" s="391"/>
      <c r="N729" s="391"/>
      <c r="O729" s="391"/>
      <c r="P729" s="391"/>
      <c r="Q729" s="391"/>
      <c r="R729" s="391"/>
      <c r="S729" s="391"/>
      <c r="T729" s="391"/>
      <c r="U729" s="391"/>
      <c r="V729" s="391"/>
      <c r="W729" s="391"/>
      <c r="X729" s="391"/>
      <c r="Y729" s="391"/>
      <c r="Z729" s="391"/>
      <c r="AA729" s="391"/>
      <c r="AB729" s="391"/>
      <c r="AC729" s="391"/>
      <c r="AD729" s="391"/>
      <c r="AE729" s="391"/>
    </row>
    <row r="730">
      <c r="A730" s="391"/>
      <c r="B730" s="391"/>
      <c r="C730" s="391"/>
      <c r="D730" s="391"/>
      <c r="E730" s="391"/>
      <c r="F730" s="391"/>
      <c r="G730" s="391"/>
      <c r="H730" s="391"/>
      <c r="I730" s="391"/>
      <c r="J730" s="391"/>
      <c r="K730" s="391"/>
      <c r="L730" s="391"/>
      <c r="M730" s="391"/>
      <c r="N730" s="391"/>
      <c r="O730" s="391"/>
      <c r="P730" s="391"/>
      <c r="Q730" s="391"/>
      <c r="R730" s="391"/>
      <c r="S730" s="391"/>
      <c r="T730" s="391"/>
      <c r="U730" s="391"/>
      <c r="V730" s="391"/>
      <c r="W730" s="391"/>
      <c r="X730" s="391"/>
      <c r="Y730" s="391"/>
      <c r="Z730" s="391"/>
      <c r="AA730" s="391"/>
      <c r="AB730" s="391"/>
      <c r="AC730" s="391"/>
      <c r="AD730" s="391"/>
      <c r="AE730" s="391"/>
    </row>
    <row r="731">
      <c r="A731" s="391"/>
      <c r="B731" s="391"/>
      <c r="C731" s="391"/>
      <c r="D731" s="391"/>
      <c r="E731" s="391"/>
      <c r="F731" s="391"/>
      <c r="G731" s="391"/>
      <c r="H731" s="391"/>
      <c r="I731" s="391"/>
      <c r="J731" s="391"/>
      <c r="K731" s="391"/>
      <c r="L731" s="391"/>
      <c r="M731" s="391"/>
      <c r="N731" s="391"/>
      <c r="O731" s="391"/>
      <c r="P731" s="391"/>
      <c r="Q731" s="391"/>
      <c r="R731" s="391"/>
      <c r="S731" s="391"/>
      <c r="T731" s="391"/>
      <c r="U731" s="391"/>
      <c r="V731" s="391"/>
      <c r="W731" s="391"/>
      <c r="X731" s="391"/>
      <c r="Y731" s="391"/>
      <c r="Z731" s="391"/>
      <c r="AA731" s="391"/>
      <c r="AB731" s="391"/>
      <c r="AC731" s="391"/>
      <c r="AD731" s="391"/>
      <c r="AE731" s="391"/>
    </row>
    <row r="732">
      <c r="A732" s="391"/>
      <c r="B732" s="391"/>
      <c r="C732" s="391"/>
      <c r="D732" s="391"/>
      <c r="E732" s="391"/>
      <c r="F732" s="391"/>
      <c r="G732" s="391"/>
      <c r="H732" s="391"/>
      <c r="I732" s="391"/>
      <c r="J732" s="391"/>
      <c r="K732" s="391"/>
      <c r="L732" s="391"/>
      <c r="M732" s="391"/>
      <c r="N732" s="391"/>
      <c r="O732" s="391"/>
      <c r="P732" s="391"/>
      <c r="Q732" s="391"/>
      <c r="R732" s="391"/>
      <c r="S732" s="391"/>
      <c r="T732" s="391"/>
      <c r="U732" s="391"/>
      <c r="V732" s="391"/>
      <c r="W732" s="391"/>
      <c r="X732" s="391"/>
      <c r="Y732" s="391"/>
      <c r="Z732" s="391"/>
      <c r="AA732" s="391"/>
      <c r="AB732" s="391"/>
      <c r="AC732" s="391"/>
      <c r="AD732" s="391"/>
      <c r="AE732" s="391"/>
    </row>
    <row r="733">
      <c r="A733" s="391"/>
      <c r="B733" s="391"/>
      <c r="C733" s="391"/>
      <c r="D733" s="391"/>
      <c r="E733" s="391"/>
      <c r="F733" s="391"/>
      <c r="G733" s="391"/>
      <c r="H733" s="391"/>
      <c r="I733" s="391"/>
      <c r="J733" s="391"/>
      <c r="K733" s="391"/>
      <c r="L733" s="391"/>
      <c r="M733" s="391"/>
      <c r="N733" s="391"/>
      <c r="O733" s="391"/>
      <c r="P733" s="391"/>
      <c r="Q733" s="391"/>
      <c r="R733" s="391"/>
      <c r="S733" s="391"/>
      <c r="T733" s="391"/>
      <c r="U733" s="391"/>
      <c r="V733" s="391"/>
      <c r="W733" s="391"/>
      <c r="X733" s="391"/>
      <c r="Y733" s="391"/>
      <c r="Z733" s="391"/>
      <c r="AA733" s="391"/>
      <c r="AB733" s="391"/>
      <c r="AC733" s="391"/>
      <c r="AD733" s="391"/>
      <c r="AE733" s="391"/>
    </row>
    <row r="734">
      <c r="A734" s="391"/>
      <c r="B734" s="391"/>
      <c r="C734" s="391"/>
      <c r="D734" s="391"/>
      <c r="E734" s="391"/>
      <c r="F734" s="391"/>
      <c r="G734" s="391"/>
      <c r="H734" s="391"/>
      <c r="I734" s="391"/>
      <c r="J734" s="391"/>
      <c r="K734" s="391"/>
      <c r="L734" s="391"/>
      <c r="M734" s="391"/>
      <c r="N734" s="391"/>
      <c r="O734" s="391"/>
      <c r="P734" s="391"/>
      <c r="Q734" s="391"/>
      <c r="R734" s="391"/>
      <c r="S734" s="391"/>
      <c r="T734" s="391"/>
      <c r="U734" s="391"/>
      <c r="V734" s="391"/>
      <c r="W734" s="391"/>
      <c r="X734" s="391"/>
      <c r="Y734" s="391"/>
      <c r="Z734" s="391"/>
      <c r="AA734" s="391"/>
      <c r="AB734" s="391"/>
      <c r="AC734" s="391"/>
      <c r="AD734" s="391"/>
      <c r="AE734" s="391"/>
    </row>
    <row r="735">
      <c r="A735" s="391"/>
      <c r="B735" s="391"/>
      <c r="C735" s="391"/>
      <c r="D735" s="391"/>
      <c r="E735" s="391"/>
      <c r="F735" s="391"/>
      <c r="G735" s="391"/>
      <c r="H735" s="391"/>
      <c r="I735" s="391"/>
      <c r="J735" s="391"/>
      <c r="K735" s="391"/>
      <c r="L735" s="391"/>
      <c r="M735" s="391"/>
      <c r="N735" s="391"/>
      <c r="O735" s="391"/>
      <c r="P735" s="391"/>
      <c r="Q735" s="391"/>
      <c r="R735" s="391"/>
      <c r="S735" s="391"/>
      <c r="T735" s="391"/>
      <c r="U735" s="391"/>
      <c r="V735" s="391"/>
      <c r="W735" s="391"/>
      <c r="X735" s="391"/>
      <c r="Y735" s="391"/>
      <c r="Z735" s="391"/>
      <c r="AA735" s="391"/>
      <c r="AB735" s="391"/>
      <c r="AC735" s="391"/>
      <c r="AD735" s="391"/>
      <c r="AE735" s="391"/>
    </row>
    <row r="736">
      <c r="A736" s="391"/>
      <c r="B736" s="391"/>
      <c r="C736" s="391"/>
      <c r="D736" s="391"/>
      <c r="E736" s="391"/>
      <c r="F736" s="391"/>
      <c r="G736" s="391"/>
      <c r="H736" s="391"/>
      <c r="I736" s="391"/>
      <c r="J736" s="391"/>
      <c r="K736" s="391"/>
      <c r="L736" s="391"/>
      <c r="M736" s="391"/>
      <c r="N736" s="391"/>
      <c r="O736" s="391"/>
      <c r="P736" s="391"/>
      <c r="Q736" s="391"/>
      <c r="R736" s="391"/>
      <c r="S736" s="391"/>
      <c r="T736" s="391"/>
      <c r="U736" s="391"/>
      <c r="V736" s="391"/>
      <c r="W736" s="391"/>
      <c r="X736" s="391"/>
      <c r="Y736" s="391"/>
      <c r="Z736" s="391"/>
      <c r="AA736" s="391"/>
      <c r="AB736" s="391"/>
      <c r="AC736" s="391"/>
      <c r="AD736" s="391"/>
      <c r="AE736" s="391"/>
    </row>
    <row r="737">
      <c r="A737" s="391"/>
      <c r="B737" s="391"/>
      <c r="C737" s="391"/>
      <c r="D737" s="391"/>
      <c r="E737" s="391"/>
      <c r="F737" s="391"/>
      <c r="G737" s="391"/>
      <c r="H737" s="391"/>
      <c r="I737" s="391"/>
      <c r="J737" s="391"/>
      <c r="K737" s="391"/>
      <c r="L737" s="391"/>
      <c r="M737" s="391"/>
      <c r="N737" s="391"/>
      <c r="O737" s="391"/>
      <c r="P737" s="391"/>
      <c r="Q737" s="391"/>
      <c r="R737" s="391"/>
      <c r="S737" s="391"/>
      <c r="T737" s="391"/>
      <c r="U737" s="391"/>
      <c r="V737" s="391"/>
      <c r="W737" s="391"/>
      <c r="X737" s="391"/>
      <c r="Y737" s="391"/>
      <c r="Z737" s="391"/>
      <c r="AA737" s="391"/>
      <c r="AB737" s="391"/>
      <c r="AC737" s="391"/>
      <c r="AD737" s="391"/>
      <c r="AE737" s="391"/>
    </row>
    <row r="738">
      <c r="A738" s="391"/>
      <c r="B738" s="391"/>
      <c r="C738" s="391"/>
      <c r="D738" s="391"/>
      <c r="E738" s="391"/>
      <c r="F738" s="391"/>
      <c r="G738" s="391"/>
      <c r="H738" s="391"/>
      <c r="I738" s="391"/>
      <c r="J738" s="391"/>
      <c r="K738" s="391"/>
      <c r="L738" s="391"/>
      <c r="M738" s="391"/>
      <c r="N738" s="391"/>
      <c r="O738" s="391"/>
      <c r="P738" s="391"/>
      <c r="Q738" s="391"/>
      <c r="R738" s="391"/>
      <c r="S738" s="391"/>
      <c r="T738" s="391"/>
      <c r="U738" s="391"/>
      <c r="V738" s="391"/>
      <c r="W738" s="391"/>
      <c r="X738" s="391"/>
      <c r="Y738" s="391"/>
      <c r="Z738" s="391"/>
      <c r="AA738" s="391"/>
      <c r="AB738" s="391"/>
      <c r="AC738" s="391"/>
      <c r="AD738" s="391"/>
      <c r="AE738" s="391"/>
    </row>
    <row r="739">
      <c r="A739" s="391"/>
      <c r="B739" s="391"/>
      <c r="C739" s="391"/>
      <c r="D739" s="391"/>
      <c r="E739" s="391"/>
      <c r="F739" s="391"/>
      <c r="G739" s="391"/>
      <c r="H739" s="391"/>
      <c r="I739" s="391"/>
      <c r="J739" s="391"/>
      <c r="K739" s="391"/>
      <c r="L739" s="391"/>
      <c r="M739" s="391"/>
      <c r="N739" s="391"/>
      <c r="O739" s="391"/>
      <c r="P739" s="391"/>
      <c r="Q739" s="391"/>
      <c r="R739" s="391"/>
      <c r="S739" s="391"/>
      <c r="T739" s="391"/>
      <c r="U739" s="391"/>
      <c r="V739" s="391"/>
      <c r="W739" s="391"/>
      <c r="X739" s="391"/>
      <c r="Y739" s="391"/>
      <c r="Z739" s="391"/>
      <c r="AA739" s="391"/>
      <c r="AB739" s="391"/>
      <c r="AC739" s="391"/>
      <c r="AD739" s="391"/>
      <c r="AE739" s="391"/>
    </row>
    <row r="740">
      <c r="A740" s="391"/>
      <c r="B740" s="391"/>
      <c r="C740" s="391"/>
      <c r="D740" s="391"/>
      <c r="E740" s="391"/>
      <c r="F740" s="391"/>
      <c r="G740" s="391"/>
      <c r="H740" s="391"/>
      <c r="I740" s="391"/>
      <c r="J740" s="391"/>
      <c r="K740" s="391"/>
      <c r="L740" s="391"/>
      <c r="M740" s="391"/>
      <c r="N740" s="391"/>
      <c r="O740" s="391"/>
      <c r="P740" s="391"/>
      <c r="Q740" s="391"/>
      <c r="R740" s="391"/>
      <c r="S740" s="391"/>
      <c r="T740" s="391"/>
      <c r="U740" s="391"/>
      <c r="V740" s="391"/>
      <c r="W740" s="391"/>
      <c r="X740" s="391"/>
      <c r="Y740" s="391"/>
      <c r="Z740" s="391"/>
      <c r="AA740" s="391"/>
      <c r="AB740" s="391"/>
      <c r="AC740" s="391"/>
      <c r="AD740" s="391"/>
      <c r="AE740" s="391"/>
    </row>
    <row r="741">
      <c r="A741" s="391"/>
      <c r="B741" s="391"/>
      <c r="C741" s="391"/>
      <c r="D741" s="391"/>
      <c r="E741" s="391"/>
      <c r="F741" s="391"/>
      <c r="G741" s="391"/>
      <c r="H741" s="391"/>
      <c r="I741" s="391"/>
      <c r="J741" s="391"/>
      <c r="K741" s="391"/>
      <c r="L741" s="391"/>
      <c r="M741" s="391"/>
      <c r="N741" s="391"/>
      <c r="O741" s="391"/>
      <c r="P741" s="391"/>
      <c r="Q741" s="391"/>
      <c r="R741" s="391"/>
      <c r="S741" s="391"/>
      <c r="T741" s="391"/>
      <c r="U741" s="391"/>
      <c r="V741" s="391"/>
      <c r="W741" s="391"/>
      <c r="X741" s="391"/>
      <c r="Y741" s="391"/>
      <c r="Z741" s="391"/>
      <c r="AA741" s="391"/>
      <c r="AB741" s="391"/>
      <c r="AC741" s="391"/>
      <c r="AD741" s="391"/>
      <c r="AE741" s="391"/>
    </row>
    <row r="742">
      <c r="A742" s="391"/>
      <c r="B742" s="391"/>
      <c r="C742" s="391"/>
      <c r="D742" s="391"/>
      <c r="E742" s="391"/>
      <c r="F742" s="391"/>
      <c r="G742" s="391"/>
      <c r="H742" s="391"/>
      <c r="I742" s="391"/>
      <c r="J742" s="391"/>
      <c r="K742" s="391"/>
      <c r="L742" s="391"/>
      <c r="M742" s="391"/>
      <c r="N742" s="391"/>
      <c r="O742" s="391"/>
      <c r="P742" s="391"/>
      <c r="Q742" s="391"/>
      <c r="R742" s="391"/>
      <c r="S742" s="391"/>
      <c r="T742" s="391"/>
      <c r="U742" s="391"/>
      <c r="V742" s="391"/>
      <c r="W742" s="391"/>
      <c r="X742" s="391"/>
      <c r="Y742" s="391"/>
      <c r="Z742" s="391"/>
      <c r="AA742" s="391"/>
      <c r="AB742" s="391"/>
      <c r="AC742" s="391"/>
      <c r="AD742" s="391"/>
      <c r="AE742" s="391"/>
    </row>
    <row r="743">
      <c r="A743" s="391"/>
      <c r="B743" s="391"/>
      <c r="C743" s="391"/>
      <c r="D743" s="391"/>
      <c r="E743" s="391"/>
      <c r="F743" s="391"/>
      <c r="G743" s="391"/>
      <c r="H743" s="391"/>
      <c r="I743" s="391"/>
      <c r="J743" s="391"/>
      <c r="K743" s="391"/>
      <c r="L743" s="391"/>
      <c r="M743" s="391"/>
      <c r="N743" s="391"/>
      <c r="O743" s="391"/>
      <c r="P743" s="391"/>
      <c r="Q743" s="391"/>
      <c r="R743" s="391"/>
      <c r="S743" s="391"/>
      <c r="T743" s="391"/>
      <c r="U743" s="391"/>
      <c r="V743" s="391"/>
      <c r="W743" s="391"/>
      <c r="X743" s="391"/>
      <c r="Y743" s="391"/>
      <c r="Z743" s="391"/>
      <c r="AA743" s="391"/>
      <c r="AB743" s="391"/>
      <c r="AC743" s="391"/>
      <c r="AD743" s="391"/>
      <c r="AE743" s="391"/>
    </row>
    <row r="744">
      <c r="A744" s="391"/>
      <c r="B744" s="391"/>
      <c r="C744" s="391"/>
      <c r="D744" s="391"/>
      <c r="E744" s="391"/>
      <c r="F744" s="391"/>
      <c r="G744" s="391"/>
      <c r="H744" s="391"/>
      <c r="I744" s="391"/>
      <c r="J744" s="391"/>
      <c r="K744" s="391"/>
      <c r="L744" s="391"/>
      <c r="M744" s="391"/>
      <c r="N744" s="391"/>
      <c r="O744" s="391"/>
      <c r="P744" s="391"/>
      <c r="Q744" s="391"/>
      <c r="R744" s="391"/>
      <c r="S744" s="391"/>
      <c r="T744" s="391"/>
      <c r="U744" s="391"/>
      <c r="V744" s="391"/>
      <c r="W744" s="391"/>
      <c r="X744" s="391"/>
      <c r="Y744" s="391"/>
      <c r="Z744" s="391"/>
      <c r="AA744" s="391"/>
      <c r="AB744" s="391"/>
      <c r="AC744" s="391"/>
      <c r="AD744" s="391"/>
      <c r="AE744" s="391"/>
    </row>
    <row r="745">
      <c r="A745" s="391"/>
      <c r="B745" s="391"/>
      <c r="C745" s="391"/>
      <c r="D745" s="391"/>
      <c r="E745" s="391"/>
      <c r="F745" s="391"/>
      <c r="G745" s="391"/>
      <c r="H745" s="391"/>
      <c r="I745" s="391"/>
      <c r="J745" s="391"/>
      <c r="K745" s="391"/>
      <c r="L745" s="391"/>
      <c r="M745" s="391"/>
      <c r="N745" s="391"/>
      <c r="O745" s="391"/>
      <c r="P745" s="391"/>
      <c r="Q745" s="391"/>
      <c r="R745" s="391"/>
      <c r="S745" s="391"/>
      <c r="T745" s="391"/>
      <c r="U745" s="391"/>
      <c r="V745" s="391"/>
      <c r="W745" s="391"/>
      <c r="X745" s="391"/>
      <c r="Y745" s="391"/>
      <c r="Z745" s="391"/>
      <c r="AA745" s="391"/>
      <c r="AB745" s="391"/>
      <c r="AC745" s="391"/>
      <c r="AD745" s="391"/>
      <c r="AE745" s="391"/>
    </row>
    <row r="746">
      <c r="A746" s="391"/>
      <c r="B746" s="391"/>
      <c r="C746" s="391"/>
      <c r="D746" s="391"/>
      <c r="E746" s="391"/>
      <c r="F746" s="391"/>
      <c r="G746" s="391"/>
      <c r="H746" s="391"/>
      <c r="I746" s="391"/>
      <c r="J746" s="391"/>
      <c r="K746" s="391"/>
      <c r="L746" s="391"/>
      <c r="M746" s="391"/>
      <c r="N746" s="391"/>
      <c r="O746" s="391"/>
      <c r="P746" s="391"/>
      <c r="Q746" s="391"/>
      <c r="R746" s="391"/>
      <c r="S746" s="391"/>
      <c r="T746" s="391"/>
      <c r="U746" s="391"/>
      <c r="V746" s="391"/>
      <c r="W746" s="391"/>
      <c r="X746" s="391"/>
      <c r="Y746" s="391"/>
      <c r="Z746" s="391"/>
      <c r="AA746" s="391"/>
      <c r="AB746" s="391"/>
      <c r="AC746" s="391"/>
      <c r="AD746" s="391"/>
      <c r="AE746" s="391"/>
    </row>
    <row r="747">
      <c r="A747" s="391"/>
      <c r="B747" s="391"/>
      <c r="C747" s="391"/>
      <c r="D747" s="391"/>
      <c r="E747" s="391"/>
      <c r="F747" s="391"/>
      <c r="G747" s="391"/>
      <c r="H747" s="391"/>
      <c r="I747" s="391"/>
      <c r="J747" s="391"/>
      <c r="K747" s="391"/>
      <c r="L747" s="391"/>
      <c r="M747" s="391"/>
      <c r="N747" s="391"/>
      <c r="O747" s="391"/>
      <c r="P747" s="391"/>
      <c r="Q747" s="391"/>
      <c r="R747" s="391"/>
      <c r="S747" s="391"/>
      <c r="T747" s="391"/>
      <c r="U747" s="391"/>
      <c r="V747" s="391"/>
      <c r="W747" s="391"/>
      <c r="X747" s="391"/>
      <c r="Y747" s="391"/>
      <c r="Z747" s="391"/>
      <c r="AA747" s="391"/>
      <c r="AB747" s="391"/>
      <c r="AC747" s="391"/>
      <c r="AD747" s="391"/>
      <c r="AE747" s="391"/>
    </row>
    <row r="748">
      <c r="A748" s="391"/>
      <c r="B748" s="391"/>
      <c r="C748" s="391"/>
      <c r="D748" s="391"/>
      <c r="E748" s="391"/>
      <c r="F748" s="391"/>
      <c r="G748" s="391"/>
      <c r="H748" s="391"/>
      <c r="I748" s="391"/>
      <c r="J748" s="391"/>
      <c r="K748" s="391"/>
      <c r="L748" s="391"/>
      <c r="M748" s="391"/>
      <c r="N748" s="391"/>
      <c r="O748" s="391"/>
      <c r="P748" s="391"/>
      <c r="Q748" s="391"/>
      <c r="R748" s="391"/>
      <c r="S748" s="391"/>
      <c r="T748" s="391"/>
      <c r="U748" s="391"/>
      <c r="V748" s="391"/>
      <c r="W748" s="391"/>
      <c r="X748" s="391"/>
      <c r="Y748" s="391"/>
      <c r="Z748" s="391"/>
      <c r="AA748" s="391"/>
      <c r="AB748" s="391"/>
      <c r="AC748" s="391"/>
      <c r="AD748" s="391"/>
      <c r="AE748" s="391"/>
    </row>
    <row r="749">
      <c r="A749" s="391"/>
      <c r="B749" s="391"/>
      <c r="C749" s="391"/>
      <c r="D749" s="391"/>
      <c r="E749" s="391"/>
      <c r="F749" s="391"/>
      <c r="G749" s="391"/>
      <c r="H749" s="391"/>
      <c r="I749" s="391"/>
      <c r="J749" s="391"/>
      <c r="K749" s="391"/>
      <c r="L749" s="391"/>
      <c r="M749" s="391"/>
      <c r="N749" s="391"/>
      <c r="O749" s="391"/>
      <c r="P749" s="391"/>
      <c r="Q749" s="391"/>
      <c r="R749" s="391"/>
      <c r="S749" s="391"/>
      <c r="T749" s="391"/>
      <c r="U749" s="391"/>
      <c r="V749" s="391"/>
      <c r="W749" s="391"/>
      <c r="X749" s="391"/>
      <c r="Y749" s="391"/>
      <c r="Z749" s="391"/>
      <c r="AA749" s="391"/>
      <c r="AB749" s="391"/>
      <c r="AC749" s="391"/>
      <c r="AD749" s="391"/>
      <c r="AE749" s="391"/>
    </row>
    <row r="750">
      <c r="A750" s="391"/>
      <c r="B750" s="391"/>
      <c r="C750" s="391"/>
      <c r="D750" s="391"/>
      <c r="E750" s="391"/>
      <c r="F750" s="391"/>
      <c r="G750" s="391"/>
      <c r="H750" s="391"/>
      <c r="I750" s="391"/>
      <c r="J750" s="391"/>
      <c r="K750" s="391"/>
      <c r="L750" s="391"/>
      <c r="M750" s="391"/>
      <c r="N750" s="391"/>
      <c r="O750" s="391"/>
      <c r="P750" s="391"/>
      <c r="Q750" s="391"/>
      <c r="R750" s="391"/>
      <c r="S750" s="391"/>
      <c r="T750" s="391"/>
      <c r="U750" s="391"/>
      <c r="V750" s="391"/>
      <c r="W750" s="391"/>
      <c r="X750" s="391"/>
      <c r="Y750" s="391"/>
      <c r="Z750" s="391"/>
      <c r="AA750" s="391"/>
      <c r="AB750" s="391"/>
      <c r="AC750" s="391"/>
      <c r="AD750" s="391"/>
      <c r="AE750" s="391"/>
    </row>
    <row r="751">
      <c r="A751" s="391"/>
      <c r="B751" s="391"/>
      <c r="C751" s="391"/>
      <c r="D751" s="391"/>
      <c r="E751" s="391"/>
      <c r="F751" s="391"/>
      <c r="G751" s="391"/>
      <c r="H751" s="391"/>
      <c r="I751" s="391"/>
      <c r="J751" s="391"/>
      <c r="K751" s="391"/>
      <c r="L751" s="391"/>
      <c r="M751" s="391"/>
      <c r="N751" s="391"/>
      <c r="O751" s="391"/>
      <c r="P751" s="391"/>
      <c r="Q751" s="391"/>
      <c r="R751" s="391"/>
      <c r="S751" s="391"/>
      <c r="T751" s="391"/>
      <c r="U751" s="391"/>
      <c r="V751" s="391"/>
      <c r="W751" s="391"/>
      <c r="X751" s="391"/>
      <c r="Y751" s="391"/>
      <c r="Z751" s="391"/>
      <c r="AA751" s="391"/>
      <c r="AB751" s="391"/>
      <c r="AC751" s="391"/>
      <c r="AD751" s="391"/>
      <c r="AE751" s="391"/>
    </row>
    <row r="752">
      <c r="A752" s="391"/>
      <c r="B752" s="391"/>
      <c r="C752" s="391"/>
      <c r="D752" s="391"/>
      <c r="E752" s="391"/>
      <c r="F752" s="391"/>
      <c r="G752" s="391"/>
      <c r="H752" s="391"/>
      <c r="I752" s="391"/>
      <c r="J752" s="391"/>
      <c r="K752" s="391"/>
      <c r="L752" s="391"/>
      <c r="M752" s="391"/>
      <c r="N752" s="391"/>
      <c r="O752" s="391"/>
      <c r="P752" s="391"/>
      <c r="Q752" s="391"/>
      <c r="R752" s="391"/>
      <c r="S752" s="391"/>
      <c r="T752" s="391"/>
      <c r="U752" s="391"/>
      <c r="V752" s="391"/>
      <c r="W752" s="391"/>
      <c r="X752" s="391"/>
      <c r="Y752" s="391"/>
      <c r="Z752" s="391"/>
      <c r="AA752" s="391"/>
      <c r="AB752" s="391"/>
      <c r="AC752" s="391"/>
      <c r="AD752" s="391"/>
      <c r="AE752" s="391"/>
    </row>
    <row r="753">
      <c r="A753" s="391"/>
      <c r="B753" s="391"/>
      <c r="C753" s="391"/>
      <c r="D753" s="391"/>
      <c r="E753" s="391"/>
      <c r="F753" s="391"/>
      <c r="G753" s="391"/>
      <c r="H753" s="391"/>
      <c r="I753" s="391"/>
      <c r="J753" s="391"/>
      <c r="K753" s="391"/>
      <c r="L753" s="391"/>
      <c r="M753" s="391"/>
      <c r="N753" s="391"/>
      <c r="O753" s="391"/>
      <c r="P753" s="391"/>
      <c r="Q753" s="391"/>
      <c r="R753" s="391"/>
      <c r="S753" s="391"/>
      <c r="T753" s="391"/>
      <c r="U753" s="391"/>
      <c r="V753" s="391"/>
      <c r="W753" s="391"/>
      <c r="X753" s="391"/>
      <c r="Y753" s="391"/>
      <c r="Z753" s="391"/>
      <c r="AA753" s="391"/>
      <c r="AB753" s="391"/>
      <c r="AC753" s="391"/>
      <c r="AD753" s="391"/>
      <c r="AE753" s="391"/>
    </row>
    <row r="754">
      <c r="A754" s="391"/>
      <c r="B754" s="391"/>
      <c r="C754" s="391"/>
      <c r="D754" s="391"/>
      <c r="E754" s="391"/>
      <c r="F754" s="391"/>
      <c r="G754" s="391"/>
      <c r="H754" s="391"/>
      <c r="I754" s="391"/>
      <c r="J754" s="391"/>
      <c r="K754" s="391"/>
      <c r="L754" s="391"/>
      <c r="M754" s="391"/>
      <c r="N754" s="391"/>
      <c r="O754" s="391"/>
      <c r="P754" s="391"/>
      <c r="Q754" s="391"/>
      <c r="R754" s="391"/>
      <c r="S754" s="391"/>
      <c r="T754" s="391"/>
      <c r="U754" s="391"/>
      <c r="V754" s="391"/>
      <c r="W754" s="391"/>
      <c r="X754" s="391"/>
      <c r="Y754" s="391"/>
      <c r="Z754" s="391"/>
      <c r="AA754" s="391"/>
      <c r="AB754" s="391"/>
      <c r="AC754" s="391"/>
      <c r="AD754" s="391"/>
      <c r="AE754" s="391"/>
    </row>
    <row r="755">
      <c r="A755" s="391"/>
      <c r="B755" s="391"/>
      <c r="C755" s="391"/>
      <c r="D755" s="391"/>
      <c r="E755" s="391"/>
      <c r="F755" s="391"/>
      <c r="G755" s="391"/>
      <c r="H755" s="391"/>
      <c r="I755" s="391"/>
      <c r="J755" s="391"/>
      <c r="K755" s="391"/>
      <c r="L755" s="391"/>
      <c r="M755" s="391"/>
      <c r="N755" s="391"/>
      <c r="O755" s="391"/>
      <c r="P755" s="391"/>
      <c r="Q755" s="391"/>
      <c r="R755" s="391"/>
      <c r="S755" s="391"/>
      <c r="T755" s="391"/>
      <c r="U755" s="391"/>
      <c r="V755" s="391"/>
      <c r="W755" s="391"/>
      <c r="X755" s="391"/>
      <c r="Y755" s="391"/>
      <c r="Z755" s="391"/>
      <c r="AA755" s="391"/>
      <c r="AB755" s="391"/>
      <c r="AC755" s="391"/>
      <c r="AD755" s="391"/>
      <c r="AE755" s="391"/>
    </row>
    <row r="756">
      <c r="A756" s="391"/>
      <c r="B756" s="391"/>
      <c r="C756" s="391"/>
      <c r="D756" s="391"/>
      <c r="E756" s="391"/>
      <c r="F756" s="391"/>
      <c r="G756" s="391"/>
      <c r="H756" s="391"/>
      <c r="I756" s="391"/>
      <c r="J756" s="391"/>
      <c r="K756" s="391"/>
      <c r="L756" s="391"/>
      <c r="M756" s="391"/>
      <c r="N756" s="391"/>
      <c r="O756" s="391"/>
      <c r="P756" s="391"/>
      <c r="Q756" s="391"/>
      <c r="R756" s="391"/>
      <c r="S756" s="391"/>
      <c r="T756" s="391"/>
      <c r="U756" s="391"/>
      <c r="V756" s="391"/>
      <c r="W756" s="391"/>
      <c r="X756" s="391"/>
      <c r="Y756" s="391"/>
      <c r="Z756" s="391"/>
      <c r="AA756" s="391"/>
      <c r="AB756" s="391"/>
      <c r="AC756" s="391"/>
      <c r="AD756" s="391"/>
      <c r="AE756" s="391"/>
    </row>
    <row r="757">
      <c r="A757" s="391"/>
      <c r="B757" s="391"/>
      <c r="C757" s="391"/>
      <c r="D757" s="391"/>
      <c r="E757" s="391"/>
      <c r="F757" s="391"/>
      <c r="G757" s="391"/>
      <c r="H757" s="391"/>
      <c r="I757" s="391"/>
      <c r="J757" s="391"/>
      <c r="K757" s="391"/>
      <c r="L757" s="391"/>
      <c r="M757" s="391"/>
      <c r="N757" s="391"/>
      <c r="O757" s="391"/>
      <c r="P757" s="391"/>
      <c r="Q757" s="391"/>
      <c r="R757" s="391"/>
      <c r="S757" s="391"/>
      <c r="T757" s="391"/>
      <c r="U757" s="391"/>
      <c r="V757" s="391"/>
      <c r="W757" s="391"/>
      <c r="X757" s="391"/>
      <c r="Y757" s="391"/>
      <c r="Z757" s="391"/>
      <c r="AA757" s="391"/>
      <c r="AB757" s="391"/>
      <c r="AC757" s="391"/>
      <c r="AD757" s="391"/>
      <c r="AE757" s="391"/>
    </row>
    <row r="758">
      <c r="A758" s="391"/>
      <c r="B758" s="391"/>
      <c r="C758" s="391"/>
      <c r="D758" s="391"/>
      <c r="E758" s="391"/>
      <c r="F758" s="391"/>
      <c r="G758" s="391"/>
      <c r="H758" s="391"/>
      <c r="I758" s="391"/>
      <c r="J758" s="391"/>
      <c r="K758" s="391"/>
      <c r="L758" s="391"/>
      <c r="M758" s="391"/>
      <c r="N758" s="391"/>
      <c r="O758" s="391"/>
      <c r="P758" s="391"/>
      <c r="Q758" s="391"/>
      <c r="R758" s="391"/>
      <c r="S758" s="391"/>
      <c r="T758" s="391"/>
      <c r="U758" s="391"/>
      <c r="V758" s="391"/>
      <c r="W758" s="391"/>
      <c r="X758" s="391"/>
      <c r="Y758" s="391"/>
      <c r="Z758" s="391"/>
      <c r="AA758" s="391"/>
      <c r="AB758" s="391"/>
      <c r="AC758" s="391"/>
      <c r="AD758" s="391"/>
      <c r="AE758" s="391"/>
    </row>
    <row r="759">
      <c r="A759" s="391"/>
      <c r="B759" s="391"/>
      <c r="C759" s="391"/>
      <c r="D759" s="391"/>
      <c r="E759" s="391"/>
      <c r="F759" s="391"/>
      <c r="G759" s="391"/>
      <c r="H759" s="391"/>
      <c r="I759" s="391"/>
      <c r="J759" s="391"/>
      <c r="K759" s="391"/>
      <c r="L759" s="391"/>
      <c r="M759" s="391"/>
      <c r="N759" s="391"/>
      <c r="O759" s="391"/>
      <c r="P759" s="391"/>
      <c r="Q759" s="391"/>
      <c r="R759" s="391"/>
      <c r="S759" s="391"/>
      <c r="T759" s="391"/>
      <c r="U759" s="391"/>
      <c r="V759" s="391"/>
      <c r="W759" s="391"/>
      <c r="X759" s="391"/>
      <c r="Y759" s="391"/>
      <c r="Z759" s="391"/>
      <c r="AA759" s="391"/>
      <c r="AB759" s="391"/>
      <c r="AC759" s="391"/>
      <c r="AD759" s="391"/>
      <c r="AE759" s="391"/>
    </row>
    <row r="760">
      <c r="A760" s="391"/>
      <c r="B760" s="391"/>
      <c r="C760" s="391"/>
      <c r="D760" s="391"/>
      <c r="E760" s="391"/>
      <c r="F760" s="391"/>
      <c r="G760" s="391"/>
      <c r="H760" s="391"/>
      <c r="I760" s="391"/>
      <c r="J760" s="391"/>
      <c r="K760" s="391"/>
      <c r="L760" s="391"/>
      <c r="M760" s="391"/>
      <c r="N760" s="391"/>
      <c r="O760" s="391"/>
      <c r="P760" s="391"/>
      <c r="Q760" s="391"/>
      <c r="R760" s="391"/>
      <c r="S760" s="391"/>
      <c r="T760" s="391"/>
      <c r="U760" s="391"/>
      <c r="V760" s="391"/>
      <c r="W760" s="391"/>
      <c r="X760" s="391"/>
      <c r="Y760" s="391"/>
      <c r="Z760" s="391"/>
      <c r="AA760" s="391"/>
      <c r="AB760" s="391"/>
      <c r="AC760" s="391"/>
      <c r="AD760" s="391"/>
      <c r="AE760" s="391"/>
    </row>
    <row r="761">
      <c r="A761" s="391"/>
      <c r="B761" s="391"/>
      <c r="C761" s="391"/>
      <c r="D761" s="391"/>
      <c r="E761" s="391"/>
      <c r="F761" s="391"/>
      <c r="G761" s="391"/>
      <c r="H761" s="391"/>
      <c r="I761" s="391"/>
      <c r="J761" s="391"/>
      <c r="K761" s="391"/>
      <c r="L761" s="391"/>
      <c r="M761" s="391"/>
      <c r="N761" s="391"/>
      <c r="O761" s="391"/>
      <c r="P761" s="391"/>
      <c r="Q761" s="391"/>
      <c r="R761" s="391"/>
      <c r="S761" s="391"/>
      <c r="T761" s="391"/>
      <c r="U761" s="391"/>
      <c r="V761" s="391"/>
      <c r="W761" s="391"/>
      <c r="X761" s="391"/>
      <c r="Y761" s="391"/>
      <c r="Z761" s="391"/>
      <c r="AA761" s="391"/>
      <c r="AB761" s="391"/>
      <c r="AC761" s="391"/>
      <c r="AD761" s="391"/>
      <c r="AE761" s="391"/>
    </row>
    <row r="762">
      <c r="A762" s="391"/>
      <c r="B762" s="391"/>
      <c r="C762" s="391"/>
      <c r="D762" s="391"/>
      <c r="E762" s="391"/>
      <c r="F762" s="391"/>
      <c r="G762" s="391"/>
      <c r="H762" s="391"/>
      <c r="I762" s="391"/>
      <c r="J762" s="391"/>
      <c r="K762" s="391"/>
      <c r="L762" s="391"/>
      <c r="M762" s="391"/>
      <c r="N762" s="391"/>
      <c r="O762" s="391"/>
      <c r="P762" s="391"/>
      <c r="Q762" s="391"/>
      <c r="R762" s="391"/>
      <c r="S762" s="391"/>
      <c r="T762" s="391"/>
      <c r="U762" s="391"/>
      <c r="V762" s="391"/>
      <c r="W762" s="391"/>
      <c r="X762" s="391"/>
      <c r="Y762" s="391"/>
      <c r="Z762" s="391"/>
      <c r="AA762" s="391"/>
      <c r="AB762" s="391"/>
      <c r="AC762" s="391"/>
      <c r="AD762" s="391"/>
      <c r="AE762" s="391"/>
    </row>
    <row r="763">
      <c r="A763" s="391"/>
      <c r="B763" s="391"/>
      <c r="C763" s="391"/>
      <c r="D763" s="391"/>
      <c r="E763" s="391"/>
      <c r="F763" s="391"/>
      <c r="G763" s="391"/>
      <c r="H763" s="391"/>
      <c r="I763" s="391"/>
      <c r="J763" s="391"/>
      <c r="K763" s="391"/>
      <c r="L763" s="391"/>
      <c r="M763" s="391"/>
      <c r="N763" s="391"/>
      <c r="O763" s="391"/>
      <c r="P763" s="391"/>
      <c r="Q763" s="391"/>
      <c r="R763" s="391"/>
      <c r="S763" s="391"/>
      <c r="T763" s="391"/>
      <c r="U763" s="391"/>
      <c r="V763" s="391"/>
      <c r="W763" s="391"/>
      <c r="X763" s="391"/>
      <c r="Y763" s="391"/>
      <c r="Z763" s="391"/>
      <c r="AA763" s="391"/>
      <c r="AB763" s="391"/>
      <c r="AC763" s="391"/>
      <c r="AD763" s="391"/>
      <c r="AE763" s="391"/>
    </row>
    <row r="764">
      <c r="A764" s="391"/>
      <c r="B764" s="391"/>
      <c r="C764" s="391"/>
      <c r="D764" s="391"/>
      <c r="E764" s="391"/>
      <c r="F764" s="391"/>
      <c r="G764" s="391"/>
      <c r="H764" s="391"/>
      <c r="I764" s="391"/>
      <c r="J764" s="391"/>
      <c r="K764" s="391"/>
      <c r="L764" s="391"/>
      <c r="M764" s="391"/>
      <c r="N764" s="391"/>
      <c r="O764" s="391"/>
      <c r="P764" s="391"/>
      <c r="Q764" s="391"/>
      <c r="R764" s="391"/>
      <c r="S764" s="391"/>
      <c r="T764" s="391"/>
      <c r="U764" s="391"/>
      <c r="V764" s="391"/>
      <c r="W764" s="391"/>
      <c r="X764" s="391"/>
      <c r="Y764" s="391"/>
      <c r="Z764" s="391"/>
      <c r="AA764" s="391"/>
      <c r="AB764" s="391"/>
      <c r="AC764" s="391"/>
      <c r="AD764" s="391"/>
      <c r="AE764" s="391"/>
    </row>
    <row r="765">
      <c r="A765" s="391"/>
      <c r="B765" s="391"/>
      <c r="C765" s="391"/>
      <c r="D765" s="391"/>
      <c r="E765" s="391"/>
      <c r="F765" s="391"/>
      <c r="G765" s="391"/>
      <c r="H765" s="391"/>
      <c r="I765" s="391"/>
      <c r="J765" s="391"/>
      <c r="K765" s="391"/>
      <c r="L765" s="391"/>
      <c r="M765" s="391"/>
      <c r="N765" s="391"/>
      <c r="O765" s="391"/>
      <c r="P765" s="391"/>
      <c r="Q765" s="391"/>
      <c r="R765" s="391"/>
      <c r="S765" s="391"/>
      <c r="T765" s="391"/>
      <c r="U765" s="391"/>
      <c r="V765" s="391"/>
      <c r="W765" s="391"/>
      <c r="X765" s="391"/>
      <c r="Y765" s="391"/>
      <c r="Z765" s="391"/>
      <c r="AA765" s="391"/>
      <c r="AB765" s="391"/>
      <c r="AC765" s="391"/>
      <c r="AD765" s="391"/>
      <c r="AE765" s="391"/>
    </row>
    <row r="766">
      <c r="A766" s="391"/>
      <c r="B766" s="391"/>
      <c r="C766" s="391"/>
      <c r="D766" s="391"/>
      <c r="E766" s="391"/>
      <c r="F766" s="391"/>
      <c r="G766" s="391"/>
      <c r="H766" s="391"/>
      <c r="I766" s="391"/>
      <c r="J766" s="391"/>
      <c r="K766" s="391"/>
      <c r="L766" s="391"/>
      <c r="M766" s="391"/>
      <c r="N766" s="391"/>
      <c r="O766" s="391"/>
      <c r="P766" s="391"/>
      <c r="Q766" s="391"/>
      <c r="R766" s="391"/>
      <c r="S766" s="391"/>
      <c r="T766" s="391"/>
      <c r="U766" s="391"/>
      <c r="V766" s="391"/>
      <c r="W766" s="391"/>
      <c r="X766" s="391"/>
      <c r="Y766" s="391"/>
      <c r="Z766" s="391"/>
      <c r="AA766" s="391"/>
      <c r="AB766" s="391"/>
      <c r="AC766" s="391"/>
      <c r="AD766" s="391"/>
      <c r="AE766" s="391"/>
    </row>
    <row r="767">
      <c r="A767" s="391"/>
      <c r="B767" s="391"/>
      <c r="C767" s="391"/>
      <c r="D767" s="391"/>
      <c r="E767" s="391"/>
      <c r="F767" s="391"/>
      <c r="G767" s="391"/>
      <c r="H767" s="391"/>
      <c r="I767" s="391"/>
      <c r="J767" s="391"/>
      <c r="K767" s="391"/>
      <c r="L767" s="391"/>
      <c r="M767" s="391"/>
      <c r="N767" s="391"/>
      <c r="O767" s="391"/>
      <c r="P767" s="391"/>
      <c r="Q767" s="391"/>
      <c r="R767" s="391"/>
      <c r="S767" s="391"/>
      <c r="T767" s="391"/>
      <c r="U767" s="391"/>
      <c r="V767" s="391"/>
      <c r="W767" s="391"/>
      <c r="X767" s="391"/>
      <c r="Y767" s="391"/>
      <c r="Z767" s="391"/>
      <c r="AA767" s="391"/>
      <c r="AB767" s="391"/>
      <c r="AC767" s="391"/>
      <c r="AD767" s="391"/>
      <c r="AE767" s="391"/>
    </row>
    <row r="768">
      <c r="A768" s="391"/>
      <c r="B768" s="391"/>
      <c r="C768" s="391"/>
      <c r="D768" s="391"/>
      <c r="E768" s="391"/>
      <c r="F768" s="391"/>
      <c r="G768" s="391"/>
      <c r="H768" s="391"/>
      <c r="I768" s="391"/>
      <c r="J768" s="391"/>
      <c r="K768" s="391"/>
      <c r="L768" s="391"/>
      <c r="M768" s="391"/>
      <c r="N768" s="391"/>
      <c r="O768" s="391"/>
      <c r="P768" s="391"/>
      <c r="Q768" s="391"/>
      <c r="R768" s="391"/>
      <c r="S768" s="391"/>
      <c r="T768" s="391"/>
      <c r="U768" s="391"/>
      <c r="V768" s="391"/>
      <c r="W768" s="391"/>
      <c r="X768" s="391"/>
      <c r="Y768" s="391"/>
      <c r="Z768" s="391"/>
      <c r="AA768" s="391"/>
      <c r="AB768" s="391"/>
      <c r="AC768" s="391"/>
      <c r="AD768" s="391"/>
      <c r="AE768" s="391"/>
    </row>
    <row r="769">
      <c r="A769" s="391"/>
      <c r="B769" s="391"/>
      <c r="C769" s="391"/>
      <c r="D769" s="391"/>
      <c r="E769" s="391"/>
      <c r="F769" s="391"/>
      <c r="G769" s="391"/>
      <c r="H769" s="391"/>
      <c r="I769" s="391"/>
      <c r="J769" s="391"/>
      <c r="K769" s="391"/>
      <c r="L769" s="391"/>
      <c r="M769" s="391"/>
      <c r="N769" s="391"/>
      <c r="O769" s="391"/>
      <c r="P769" s="391"/>
      <c r="Q769" s="391"/>
      <c r="R769" s="391"/>
      <c r="S769" s="391"/>
      <c r="T769" s="391"/>
      <c r="U769" s="391"/>
      <c r="V769" s="391"/>
      <c r="W769" s="391"/>
      <c r="X769" s="391"/>
      <c r="Y769" s="391"/>
      <c r="Z769" s="391"/>
      <c r="AA769" s="391"/>
      <c r="AB769" s="391"/>
      <c r="AC769" s="391"/>
      <c r="AD769" s="391"/>
      <c r="AE769" s="391"/>
    </row>
    <row r="770">
      <c r="A770" s="391"/>
      <c r="B770" s="391"/>
      <c r="C770" s="391"/>
      <c r="D770" s="391"/>
      <c r="E770" s="391"/>
      <c r="F770" s="391"/>
      <c r="G770" s="391"/>
      <c r="H770" s="391"/>
      <c r="I770" s="391"/>
      <c r="J770" s="391"/>
      <c r="K770" s="391"/>
      <c r="L770" s="391"/>
      <c r="M770" s="391"/>
      <c r="N770" s="391"/>
      <c r="O770" s="391"/>
      <c r="P770" s="391"/>
      <c r="Q770" s="391"/>
      <c r="R770" s="391"/>
      <c r="S770" s="391"/>
      <c r="T770" s="391"/>
      <c r="U770" s="391"/>
      <c r="V770" s="391"/>
      <c r="W770" s="391"/>
      <c r="X770" s="391"/>
      <c r="Y770" s="391"/>
      <c r="Z770" s="391"/>
      <c r="AA770" s="391"/>
      <c r="AB770" s="391"/>
      <c r="AC770" s="391"/>
      <c r="AD770" s="391"/>
      <c r="AE770" s="391"/>
    </row>
    <row r="771">
      <c r="A771" s="391"/>
      <c r="B771" s="391"/>
      <c r="C771" s="391"/>
      <c r="D771" s="391"/>
      <c r="E771" s="391"/>
      <c r="F771" s="391"/>
      <c r="G771" s="391"/>
      <c r="H771" s="391"/>
      <c r="I771" s="391"/>
      <c r="J771" s="391"/>
      <c r="K771" s="391"/>
      <c r="L771" s="391"/>
      <c r="M771" s="391"/>
      <c r="N771" s="391"/>
      <c r="O771" s="391"/>
      <c r="P771" s="391"/>
      <c r="Q771" s="391"/>
      <c r="R771" s="391"/>
      <c r="S771" s="391"/>
      <c r="T771" s="391"/>
      <c r="U771" s="391"/>
      <c r="V771" s="391"/>
      <c r="W771" s="391"/>
      <c r="X771" s="391"/>
      <c r="Y771" s="391"/>
      <c r="Z771" s="391"/>
      <c r="AA771" s="391"/>
      <c r="AB771" s="391"/>
      <c r="AC771" s="391"/>
      <c r="AD771" s="391"/>
      <c r="AE771" s="391"/>
    </row>
    <row r="772">
      <c r="A772" s="391"/>
      <c r="B772" s="391"/>
      <c r="C772" s="391"/>
      <c r="D772" s="391"/>
      <c r="E772" s="391"/>
      <c r="F772" s="391"/>
      <c r="G772" s="391"/>
      <c r="H772" s="391"/>
      <c r="I772" s="391"/>
      <c r="J772" s="391"/>
      <c r="K772" s="391"/>
      <c r="L772" s="391"/>
      <c r="M772" s="391"/>
      <c r="N772" s="391"/>
      <c r="O772" s="391"/>
      <c r="P772" s="391"/>
      <c r="Q772" s="391"/>
      <c r="R772" s="391"/>
      <c r="S772" s="391"/>
      <c r="T772" s="391"/>
      <c r="U772" s="391"/>
      <c r="V772" s="391"/>
      <c r="W772" s="391"/>
      <c r="X772" s="391"/>
      <c r="Y772" s="391"/>
      <c r="Z772" s="391"/>
      <c r="AA772" s="391"/>
      <c r="AB772" s="391"/>
      <c r="AC772" s="391"/>
      <c r="AD772" s="391"/>
      <c r="AE772" s="391"/>
    </row>
    <row r="773">
      <c r="A773" s="391"/>
      <c r="B773" s="391"/>
      <c r="C773" s="391"/>
      <c r="D773" s="391"/>
      <c r="E773" s="391"/>
      <c r="F773" s="391"/>
      <c r="G773" s="391"/>
      <c r="H773" s="391"/>
      <c r="I773" s="391"/>
      <c r="J773" s="391"/>
      <c r="K773" s="391"/>
      <c r="L773" s="391"/>
      <c r="M773" s="391"/>
      <c r="N773" s="391"/>
      <c r="O773" s="391"/>
      <c r="P773" s="391"/>
      <c r="Q773" s="391"/>
      <c r="R773" s="391"/>
      <c r="S773" s="391"/>
      <c r="T773" s="391"/>
      <c r="U773" s="391"/>
      <c r="V773" s="391"/>
      <c r="W773" s="391"/>
      <c r="X773" s="391"/>
      <c r="Y773" s="391"/>
      <c r="Z773" s="391"/>
      <c r="AA773" s="391"/>
      <c r="AB773" s="391"/>
      <c r="AC773" s="391"/>
      <c r="AD773" s="391"/>
      <c r="AE773" s="391"/>
    </row>
    <row r="774">
      <c r="A774" s="391"/>
      <c r="B774" s="391"/>
      <c r="C774" s="391"/>
      <c r="D774" s="391"/>
      <c r="E774" s="391"/>
      <c r="F774" s="391"/>
      <c r="G774" s="391"/>
      <c r="H774" s="391"/>
      <c r="I774" s="391"/>
      <c r="J774" s="391"/>
      <c r="K774" s="391"/>
      <c r="L774" s="391"/>
      <c r="M774" s="391"/>
      <c r="N774" s="391"/>
      <c r="O774" s="391"/>
      <c r="P774" s="391"/>
      <c r="Q774" s="391"/>
      <c r="R774" s="391"/>
      <c r="S774" s="391"/>
      <c r="T774" s="391"/>
      <c r="U774" s="391"/>
      <c r="V774" s="391"/>
      <c r="W774" s="391"/>
      <c r="X774" s="391"/>
      <c r="Y774" s="391"/>
      <c r="Z774" s="391"/>
      <c r="AA774" s="391"/>
      <c r="AB774" s="391"/>
      <c r="AC774" s="391"/>
      <c r="AD774" s="391"/>
      <c r="AE774" s="391"/>
    </row>
    <row r="775">
      <c r="A775" s="391"/>
      <c r="B775" s="391"/>
      <c r="C775" s="391"/>
      <c r="D775" s="391"/>
      <c r="E775" s="391"/>
      <c r="F775" s="391"/>
      <c r="G775" s="391"/>
      <c r="H775" s="391"/>
      <c r="I775" s="391"/>
      <c r="J775" s="391"/>
      <c r="K775" s="391"/>
      <c r="L775" s="391"/>
      <c r="M775" s="391"/>
      <c r="N775" s="391"/>
      <c r="O775" s="391"/>
      <c r="P775" s="391"/>
      <c r="Q775" s="391"/>
      <c r="R775" s="391"/>
      <c r="S775" s="391"/>
      <c r="T775" s="391"/>
      <c r="U775" s="391"/>
      <c r="V775" s="391"/>
      <c r="W775" s="391"/>
      <c r="X775" s="391"/>
      <c r="Y775" s="391"/>
      <c r="Z775" s="391"/>
      <c r="AA775" s="391"/>
      <c r="AB775" s="391"/>
      <c r="AC775" s="391"/>
      <c r="AD775" s="391"/>
      <c r="AE775" s="391"/>
    </row>
    <row r="776">
      <c r="A776" s="391"/>
      <c r="B776" s="391"/>
      <c r="C776" s="391"/>
      <c r="D776" s="391"/>
      <c r="E776" s="391"/>
      <c r="F776" s="391"/>
      <c r="G776" s="391"/>
      <c r="H776" s="391"/>
      <c r="I776" s="391"/>
      <c r="J776" s="391"/>
      <c r="K776" s="391"/>
      <c r="L776" s="391"/>
      <c r="M776" s="391"/>
      <c r="N776" s="391"/>
      <c r="O776" s="391"/>
      <c r="P776" s="391"/>
      <c r="Q776" s="391"/>
      <c r="R776" s="391"/>
      <c r="S776" s="391"/>
      <c r="T776" s="391"/>
      <c r="U776" s="391"/>
      <c r="V776" s="391"/>
      <c r="W776" s="391"/>
      <c r="X776" s="391"/>
      <c r="Y776" s="391"/>
      <c r="Z776" s="391"/>
      <c r="AA776" s="391"/>
      <c r="AB776" s="391"/>
      <c r="AC776" s="391"/>
      <c r="AD776" s="391"/>
      <c r="AE776" s="391"/>
    </row>
    <row r="777">
      <c r="A777" s="391"/>
      <c r="B777" s="391"/>
      <c r="C777" s="391"/>
      <c r="D777" s="391"/>
      <c r="E777" s="391"/>
      <c r="F777" s="391"/>
      <c r="G777" s="391"/>
      <c r="H777" s="391"/>
      <c r="I777" s="391"/>
      <c r="J777" s="391"/>
      <c r="K777" s="391"/>
      <c r="L777" s="391"/>
      <c r="M777" s="391"/>
      <c r="N777" s="391"/>
      <c r="O777" s="391"/>
      <c r="P777" s="391"/>
      <c r="Q777" s="391"/>
      <c r="R777" s="391"/>
      <c r="S777" s="391"/>
      <c r="T777" s="391"/>
      <c r="U777" s="391"/>
      <c r="V777" s="391"/>
      <c r="W777" s="391"/>
      <c r="X777" s="391"/>
      <c r="Y777" s="391"/>
      <c r="Z777" s="391"/>
      <c r="AA777" s="391"/>
      <c r="AB777" s="391"/>
      <c r="AC777" s="391"/>
      <c r="AD777" s="391"/>
      <c r="AE777" s="391"/>
    </row>
    <row r="778">
      <c r="A778" s="391"/>
      <c r="B778" s="391"/>
      <c r="C778" s="391"/>
      <c r="D778" s="391"/>
      <c r="E778" s="391"/>
      <c r="F778" s="391"/>
      <c r="G778" s="391"/>
      <c r="H778" s="391"/>
      <c r="I778" s="391"/>
      <c r="J778" s="391"/>
      <c r="K778" s="391"/>
      <c r="L778" s="391"/>
      <c r="M778" s="391"/>
      <c r="N778" s="391"/>
      <c r="O778" s="391"/>
      <c r="P778" s="391"/>
      <c r="Q778" s="391"/>
      <c r="R778" s="391"/>
      <c r="S778" s="391"/>
      <c r="T778" s="391"/>
      <c r="U778" s="391"/>
      <c r="V778" s="391"/>
      <c r="W778" s="391"/>
      <c r="X778" s="391"/>
      <c r="Y778" s="391"/>
      <c r="Z778" s="391"/>
      <c r="AA778" s="391"/>
      <c r="AB778" s="391"/>
      <c r="AC778" s="391"/>
      <c r="AD778" s="391"/>
      <c r="AE778" s="391"/>
    </row>
    <row r="779">
      <c r="A779" s="391"/>
      <c r="B779" s="391"/>
      <c r="C779" s="391"/>
      <c r="D779" s="391"/>
      <c r="E779" s="391"/>
      <c r="F779" s="391"/>
      <c r="G779" s="391"/>
      <c r="H779" s="391"/>
      <c r="I779" s="391"/>
      <c r="J779" s="391"/>
      <c r="K779" s="391"/>
      <c r="L779" s="391"/>
      <c r="M779" s="391"/>
      <c r="N779" s="391"/>
      <c r="O779" s="391"/>
      <c r="P779" s="391"/>
      <c r="Q779" s="391"/>
      <c r="R779" s="391"/>
      <c r="S779" s="391"/>
      <c r="T779" s="391"/>
      <c r="U779" s="391"/>
      <c r="V779" s="391"/>
      <c r="W779" s="391"/>
      <c r="X779" s="391"/>
      <c r="Y779" s="391"/>
      <c r="Z779" s="391"/>
      <c r="AA779" s="391"/>
      <c r="AB779" s="391"/>
      <c r="AC779" s="391"/>
      <c r="AD779" s="391"/>
      <c r="AE779" s="391"/>
    </row>
    <row r="780">
      <c r="A780" s="391"/>
      <c r="B780" s="391"/>
      <c r="C780" s="391"/>
      <c r="D780" s="391"/>
      <c r="E780" s="391"/>
      <c r="F780" s="391"/>
      <c r="G780" s="391"/>
      <c r="H780" s="391"/>
      <c r="I780" s="391"/>
      <c r="J780" s="391"/>
      <c r="K780" s="391"/>
      <c r="L780" s="391"/>
      <c r="M780" s="391"/>
      <c r="N780" s="391"/>
      <c r="O780" s="391"/>
      <c r="P780" s="391"/>
      <c r="Q780" s="391"/>
      <c r="R780" s="391"/>
      <c r="S780" s="391"/>
      <c r="T780" s="391"/>
      <c r="U780" s="391"/>
      <c r="V780" s="391"/>
      <c r="W780" s="391"/>
      <c r="X780" s="391"/>
      <c r="Y780" s="391"/>
      <c r="Z780" s="391"/>
      <c r="AA780" s="391"/>
      <c r="AB780" s="391"/>
      <c r="AC780" s="391"/>
      <c r="AD780" s="391"/>
      <c r="AE780" s="391"/>
    </row>
    <row r="781">
      <c r="A781" s="391"/>
      <c r="B781" s="391"/>
      <c r="C781" s="391"/>
      <c r="D781" s="391"/>
      <c r="E781" s="391"/>
      <c r="F781" s="391"/>
      <c r="G781" s="391"/>
      <c r="H781" s="391"/>
      <c r="I781" s="391"/>
      <c r="J781" s="391"/>
      <c r="K781" s="391"/>
      <c r="L781" s="391"/>
      <c r="M781" s="391"/>
      <c r="N781" s="391"/>
      <c r="O781" s="391"/>
      <c r="P781" s="391"/>
      <c r="Q781" s="391"/>
      <c r="R781" s="391"/>
      <c r="S781" s="391"/>
      <c r="T781" s="391"/>
      <c r="U781" s="391"/>
      <c r="V781" s="391"/>
      <c r="W781" s="391"/>
      <c r="X781" s="391"/>
      <c r="Y781" s="391"/>
      <c r="Z781" s="391"/>
      <c r="AA781" s="391"/>
      <c r="AB781" s="391"/>
      <c r="AC781" s="391"/>
      <c r="AD781" s="391"/>
      <c r="AE781" s="391"/>
    </row>
    <row r="782">
      <c r="A782" s="391"/>
      <c r="B782" s="391"/>
      <c r="C782" s="391"/>
      <c r="D782" s="391"/>
      <c r="E782" s="391"/>
      <c r="F782" s="391"/>
      <c r="G782" s="391"/>
      <c r="H782" s="391"/>
      <c r="I782" s="391"/>
      <c r="J782" s="391"/>
      <c r="K782" s="391"/>
      <c r="L782" s="391"/>
      <c r="M782" s="391"/>
      <c r="N782" s="391"/>
      <c r="O782" s="391"/>
      <c r="P782" s="391"/>
      <c r="Q782" s="391"/>
      <c r="R782" s="391"/>
      <c r="S782" s="391"/>
      <c r="T782" s="391"/>
      <c r="U782" s="391"/>
      <c r="V782" s="391"/>
      <c r="W782" s="391"/>
      <c r="X782" s="391"/>
      <c r="Y782" s="391"/>
      <c r="Z782" s="391"/>
      <c r="AA782" s="391"/>
      <c r="AB782" s="391"/>
      <c r="AC782" s="391"/>
      <c r="AD782" s="391"/>
      <c r="AE782" s="391"/>
    </row>
    <row r="783">
      <c r="A783" s="391"/>
      <c r="B783" s="391"/>
      <c r="C783" s="391"/>
      <c r="D783" s="391"/>
      <c r="E783" s="391"/>
      <c r="F783" s="391"/>
      <c r="G783" s="391"/>
      <c r="H783" s="391"/>
      <c r="I783" s="391"/>
      <c r="J783" s="391"/>
      <c r="K783" s="391"/>
      <c r="L783" s="391"/>
      <c r="M783" s="391"/>
      <c r="N783" s="391"/>
      <c r="O783" s="391"/>
      <c r="P783" s="391"/>
      <c r="Q783" s="391"/>
      <c r="R783" s="391"/>
      <c r="S783" s="391"/>
      <c r="T783" s="391"/>
      <c r="U783" s="391"/>
      <c r="V783" s="391"/>
      <c r="W783" s="391"/>
      <c r="X783" s="391"/>
      <c r="Y783" s="391"/>
      <c r="Z783" s="391"/>
      <c r="AA783" s="391"/>
      <c r="AB783" s="391"/>
      <c r="AC783" s="391"/>
      <c r="AD783" s="391"/>
      <c r="AE783" s="391"/>
    </row>
    <row r="784">
      <c r="A784" s="391"/>
      <c r="B784" s="391"/>
      <c r="C784" s="391"/>
      <c r="D784" s="391"/>
      <c r="E784" s="391"/>
      <c r="F784" s="391"/>
      <c r="G784" s="391"/>
      <c r="H784" s="391"/>
      <c r="I784" s="391"/>
      <c r="J784" s="391"/>
      <c r="K784" s="391"/>
      <c r="L784" s="391"/>
      <c r="M784" s="391"/>
      <c r="N784" s="391"/>
      <c r="O784" s="391"/>
      <c r="P784" s="391"/>
      <c r="Q784" s="391"/>
      <c r="R784" s="391"/>
      <c r="S784" s="391"/>
      <c r="T784" s="391"/>
      <c r="U784" s="391"/>
      <c r="V784" s="391"/>
      <c r="W784" s="391"/>
      <c r="X784" s="391"/>
      <c r="Y784" s="391"/>
      <c r="Z784" s="391"/>
      <c r="AA784" s="391"/>
      <c r="AB784" s="391"/>
      <c r="AC784" s="391"/>
      <c r="AD784" s="391"/>
      <c r="AE784" s="391"/>
    </row>
    <row r="785">
      <c r="A785" s="391"/>
      <c r="B785" s="391"/>
      <c r="C785" s="391"/>
      <c r="D785" s="391"/>
      <c r="E785" s="391"/>
      <c r="F785" s="391"/>
      <c r="G785" s="391"/>
      <c r="H785" s="391"/>
      <c r="I785" s="391"/>
      <c r="J785" s="391"/>
      <c r="K785" s="391"/>
      <c r="L785" s="391"/>
      <c r="M785" s="391"/>
      <c r="N785" s="391"/>
      <c r="O785" s="391"/>
      <c r="P785" s="391"/>
      <c r="Q785" s="391"/>
      <c r="R785" s="391"/>
      <c r="S785" s="391"/>
      <c r="T785" s="391"/>
      <c r="U785" s="391"/>
      <c r="V785" s="391"/>
      <c r="W785" s="391"/>
      <c r="X785" s="391"/>
      <c r="Y785" s="391"/>
      <c r="Z785" s="391"/>
      <c r="AA785" s="391"/>
      <c r="AB785" s="391"/>
      <c r="AC785" s="391"/>
      <c r="AD785" s="391"/>
      <c r="AE785" s="391"/>
    </row>
    <row r="786">
      <c r="A786" s="391"/>
      <c r="B786" s="391"/>
      <c r="C786" s="391"/>
      <c r="D786" s="391"/>
      <c r="E786" s="391"/>
      <c r="F786" s="391"/>
      <c r="G786" s="391"/>
      <c r="H786" s="391"/>
      <c r="I786" s="391"/>
      <c r="J786" s="391"/>
      <c r="K786" s="391"/>
      <c r="L786" s="391"/>
      <c r="M786" s="391"/>
      <c r="N786" s="391"/>
      <c r="O786" s="391"/>
      <c r="P786" s="391"/>
      <c r="Q786" s="391"/>
      <c r="R786" s="391"/>
      <c r="S786" s="391"/>
      <c r="T786" s="391"/>
      <c r="U786" s="391"/>
      <c r="V786" s="391"/>
      <c r="W786" s="391"/>
      <c r="X786" s="391"/>
      <c r="Y786" s="391"/>
      <c r="Z786" s="391"/>
      <c r="AA786" s="391"/>
      <c r="AB786" s="391"/>
      <c r="AC786" s="391"/>
      <c r="AD786" s="391"/>
      <c r="AE786" s="391"/>
    </row>
    <row r="787">
      <c r="A787" s="391"/>
      <c r="B787" s="391"/>
      <c r="C787" s="391"/>
      <c r="D787" s="391"/>
      <c r="E787" s="391"/>
      <c r="F787" s="391"/>
      <c r="G787" s="391"/>
      <c r="H787" s="391"/>
      <c r="I787" s="391"/>
      <c r="J787" s="391"/>
      <c r="K787" s="391"/>
      <c r="L787" s="391"/>
      <c r="M787" s="391"/>
      <c r="N787" s="391"/>
      <c r="O787" s="391"/>
      <c r="P787" s="391"/>
      <c r="Q787" s="391"/>
      <c r="R787" s="391"/>
      <c r="S787" s="391"/>
      <c r="T787" s="391"/>
      <c r="U787" s="391"/>
      <c r="V787" s="391"/>
      <c r="W787" s="391"/>
      <c r="X787" s="391"/>
      <c r="Y787" s="391"/>
      <c r="Z787" s="391"/>
      <c r="AA787" s="391"/>
      <c r="AB787" s="391"/>
      <c r="AC787" s="391"/>
      <c r="AD787" s="391"/>
      <c r="AE787" s="391"/>
    </row>
    <row r="788">
      <c r="A788" s="391"/>
      <c r="B788" s="391"/>
      <c r="C788" s="391"/>
      <c r="D788" s="391"/>
      <c r="E788" s="391"/>
      <c r="F788" s="391"/>
      <c r="G788" s="391"/>
      <c r="H788" s="391"/>
      <c r="I788" s="391"/>
      <c r="J788" s="391"/>
      <c r="K788" s="391"/>
      <c r="L788" s="391"/>
      <c r="M788" s="391"/>
      <c r="N788" s="391"/>
      <c r="O788" s="391"/>
      <c r="P788" s="391"/>
      <c r="Q788" s="391"/>
      <c r="R788" s="391"/>
      <c r="S788" s="391"/>
      <c r="T788" s="391"/>
      <c r="U788" s="391"/>
      <c r="V788" s="391"/>
      <c r="W788" s="391"/>
      <c r="X788" s="391"/>
      <c r="Y788" s="391"/>
      <c r="Z788" s="391"/>
      <c r="AA788" s="391"/>
      <c r="AB788" s="391"/>
      <c r="AC788" s="391"/>
      <c r="AD788" s="391"/>
      <c r="AE788" s="391"/>
    </row>
    <row r="789">
      <c r="A789" s="391"/>
      <c r="B789" s="391"/>
      <c r="C789" s="391"/>
      <c r="D789" s="391"/>
      <c r="E789" s="391"/>
      <c r="F789" s="391"/>
      <c r="G789" s="391"/>
      <c r="H789" s="391"/>
      <c r="I789" s="391"/>
      <c r="J789" s="391"/>
      <c r="K789" s="391"/>
      <c r="L789" s="391"/>
      <c r="M789" s="391"/>
      <c r="N789" s="391"/>
      <c r="O789" s="391"/>
      <c r="P789" s="391"/>
      <c r="Q789" s="391"/>
      <c r="R789" s="391"/>
      <c r="S789" s="391"/>
      <c r="T789" s="391"/>
      <c r="U789" s="391"/>
      <c r="V789" s="391"/>
      <c r="W789" s="391"/>
      <c r="X789" s="391"/>
      <c r="Y789" s="391"/>
      <c r="Z789" s="391"/>
      <c r="AA789" s="391"/>
      <c r="AB789" s="391"/>
      <c r="AC789" s="391"/>
      <c r="AD789" s="391"/>
      <c r="AE789" s="391"/>
    </row>
    <row r="790">
      <c r="A790" s="391"/>
      <c r="B790" s="391"/>
      <c r="C790" s="391"/>
      <c r="D790" s="391"/>
      <c r="E790" s="391"/>
      <c r="F790" s="391"/>
      <c r="G790" s="391"/>
      <c r="H790" s="391"/>
      <c r="I790" s="391"/>
      <c r="J790" s="391"/>
      <c r="K790" s="391"/>
      <c r="L790" s="391"/>
      <c r="M790" s="391"/>
      <c r="N790" s="391"/>
      <c r="O790" s="391"/>
      <c r="P790" s="391"/>
      <c r="Q790" s="391"/>
      <c r="R790" s="391"/>
      <c r="S790" s="391"/>
      <c r="T790" s="391"/>
      <c r="U790" s="391"/>
      <c r="V790" s="391"/>
      <c r="W790" s="391"/>
      <c r="X790" s="391"/>
      <c r="Y790" s="391"/>
      <c r="Z790" s="391"/>
      <c r="AA790" s="391"/>
      <c r="AB790" s="391"/>
      <c r="AC790" s="391"/>
      <c r="AD790" s="391"/>
      <c r="AE790" s="391"/>
    </row>
    <row r="791">
      <c r="A791" s="391"/>
      <c r="B791" s="391"/>
      <c r="C791" s="391"/>
      <c r="D791" s="391"/>
      <c r="E791" s="391"/>
      <c r="F791" s="391"/>
      <c r="G791" s="391"/>
      <c r="H791" s="391"/>
      <c r="I791" s="391"/>
      <c r="J791" s="391"/>
      <c r="K791" s="391"/>
      <c r="L791" s="391"/>
      <c r="M791" s="391"/>
      <c r="N791" s="391"/>
      <c r="O791" s="391"/>
      <c r="P791" s="391"/>
      <c r="Q791" s="391"/>
      <c r="R791" s="391"/>
      <c r="S791" s="391"/>
      <c r="T791" s="391"/>
      <c r="U791" s="391"/>
      <c r="V791" s="391"/>
      <c r="W791" s="391"/>
      <c r="X791" s="391"/>
      <c r="Y791" s="391"/>
      <c r="Z791" s="391"/>
      <c r="AA791" s="391"/>
      <c r="AB791" s="391"/>
      <c r="AC791" s="391"/>
      <c r="AD791" s="391"/>
      <c r="AE791" s="391"/>
    </row>
    <row r="792">
      <c r="A792" s="391"/>
      <c r="B792" s="391"/>
      <c r="C792" s="391"/>
      <c r="D792" s="391"/>
      <c r="E792" s="391"/>
      <c r="F792" s="391"/>
      <c r="G792" s="391"/>
      <c r="H792" s="391"/>
      <c r="I792" s="391"/>
      <c r="J792" s="391"/>
      <c r="K792" s="391"/>
      <c r="L792" s="391"/>
      <c r="M792" s="391"/>
      <c r="N792" s="391"/>
      <c r="O792" s="391"/>
      <c r="P792" s="391"/>
      <c r="Q792" s="391"/>
      <c r="R792" s="391"/>
      <c r="S792" s="391"/>
      <c r="T792" s="391"/>
      <c r="U792" s="391"/>
      <c r="V792" s="391"/>
      <c r="W792" s="391"/>
      <c r="X792" s="391"/>
      <c r="Y792" s="391"/>
      <c r="Z792" s="391"/>
      <c r="AA792" s="391"/>
      <c r="AB792" s="391"/>
      <c r="AC792" s="391"/>
      <c r="AD792" s="391"/>
      <c r="AE792" s="391"/>
    </row>
    <row r="793">
      <c r="A793" s="391"/>
      <c r="B793" s="391"/>
      <c r="C793" s="391"/>
      <c r="D793" s="391"/>
      <c r="E793" s="391"/>
      <c r="F793" s="391"/>
      <c r="G793" s="391"/>
      <c r="H793" s="391"/>
      <c r="I793" s="391"/>
      <c r="J793" s="391"/>
      <c r="K793" s="391"/>
      <c r="L793" s="391"/>
      <c r="M793" s="391"/>
      <c r="N793" s="391"/>
      <c r="O793" s="391"/>
      <c r="P793" s="391"/>
      <c r="Q793" s="391"/>
      <c r="R793" s="391"/>
      <c r="S793" s="391"/>
      <c r="T793" s="391"/>
      <c r="U793" s="391"/>
      <c r="V793" s="391"/>
      <c r="W793" s="391"/>
      <c r="X793" s="391"/>
      <c r="Y793" s="391"/>
      <c r="Z793" s="391"/>
      <c r="AA793" s="391"/>
      <c r="AB793" s="391"/>
      <c r="AC793" s="391"/>
      <c r="AD793" s="391"/>
      <c r="AE793" s="391"/>
    </row>
    <row r="794">
      <c r="A794" s="391"/>
      <c r="B794" s="391"/>
      <c r="C794" s="391"/>
      <c r="D794" s="391"/>
      <c r="E794" s="391"/>
      <c r="F794" s="391"/>
      <c r="G794" s="391"/>
      <c r="H794" s="391"/>
      <c r="I794" s="391"/>
      <c r="J794" s="391"/>
      <c r="K794" s="391"/>
      <c r="L794" s="391"/>
      <c r="M794" s="391"/>
      <c r="N794" s="391"/>
      <c r="O794" s="391"/>
      <c r="P794" s="391"/>
      <c r="Q794" s="391"/>
      <c r="R794" s="391"/>
      <c r="S794" s="391"/>
      <c r="T794" s="391"/>
      <c r="U794" s="391"/>
      <c r="V794" s="391"/>
      <c r="W794" s="391"/>
      <c r="X794" s="391"/>
      <c r="Y794" s="391"/>
      <c r="Z794" s="391"/>
      <c r="AA794" s="391"/>
      <c r="AB794" s="391"/>
      <c r="AC794" s="391"/>
      <c r="AD794" s="391"/>
      <c r="AE794" s="391"/>
    </row>
    <row r="795">
      <c r="A795" s="391"/>
      <c r="B795" s="391"/>
      <c r="C795" s="391"/>
      <c r="D795" s="391"/>
      <c r="E795" s="391"/>
      <c r="F795" s="391"/>
      <c r="G795" s="391"/>
      <c r="H795" s="391"/>
      <c r="I795" s="391"/>
      <c r="J795" s="391"/>
      <c r="K795" s="391"/>
      <c r="L795" s="391"/>
      <c r="M795" s="391"/>
      <c r="N795" s="391"/>
      <c r="O795" s="391"/>
      <c r="P795" s="391"/>
      <c r="Q795" s="391"/>
      <c r="R795" s="391"/>
      <c r="S795" s="391"/>
      <c r="T795" s="391"/>
      <c r="U795" s="391"/>
      <c r="V795" s="391"/>
      <c r="W795" s="391"/>
      <c r="X795" s="391"/>
      <c r="Y795" s="391"/>
      <c r="Z795" s="391"/>
      <c r="AA795" s="391"/>
      <c r="AB795" s="391"/>
      <c r="AC795" s="391"/>
      <c r="AD795" s="391"/>
      <c r="AE795" s="391"/>
    </row>
    <row r="796">
      <c r="A796" s="391"/>
      <c r="B796" s="391"/>
      <c r="C796" s="391"/>
      <c r="D796" s="391"/>
      <c r="E796" s="391"/>
      <c r="F796" s="391"/>
      <c r="G796" s="391"/>
      <c r="H796" s="391"/>
      <c r="I796" s="391"/>
      <c r="J796" s="391"/>
      <c r="K796" s="391"/>
      <c r="L796" s="391"/>
      <c r="M796" s="391"/>
      <c r="N796" s="391"/>
      <c r="O796" s="391"/>
      <c r="P796" s="391"/>
      <c r="Q796" s="391"/>
      <c r="R796" s="391"/>
      <c r="S796" s="391"/>
      <c r="T796" s="391"/>
      <c r="U796" s="391"/>
      <c r="V796" s="391"/>
      <c r="W796" s="391"/>
      <c r="X796" s="391"/>
      <c r="Y796" s="391"/>
      <c r="Z796" s="391"/>
      <c r="AA796" s="391"/>
      <c r="AB796" s="391"/>
      <c r="AC796" s="391"/>
      <c r="AD796" s="391"/>
      <c r="AE796" s="391"/>
    </row>
    <row r="797">
      <c r="A797" s="391"/>
      <c r="B797" s="391"/>
      <c r="C797" s="391"/>
      <c r="D797" s="391"/>
      <c r="E797" s="391"/>
      <c r="F797" s="391"/>
      <c r="G797" s="391"/>
      <c r="H797" s="391"/>
      <c r="I797" s="391"/>
      <c r="J797" s="391"/>
      <c r="K797" s="391"/>
      <c r="L797" s="391"/>
      <c r="M797" s="391"/>
      <c r="N797" s="391"/>
      <c r="O797" s="391"/>
      <c r="P797" s="391"/>
      <c r="Q797" s="391"/>
      <c r="R797" s="391"/>
      <c r="S797" s="391"/>
      <c r="T797" s="391"/>
      <c r="U797" s="391"/>
      <c r="V797" s="391"/>
      <c r="W797" s="391"/>
      <c r="X797" s="391"/>
      <c r="Y797" s="391"/>
      <c r="Z797" s="391"/>
      <c r="AA797" s="391"/>
      <c r="AB797" s="391"/>
      <c r="AC797" s="391"/>
      <c r="AD797" s="391"/>
      <c r="AE797" s="391"/>
    </row>
    <row r="798">
      <c r="A798" s="391"/>
      <c r="B798" s="391"/>
      <c r="C798" s="391"/>
      <c r="D798" s="391"/>
      <c r="E798" s="391"/>
      <c r="F798" s="391"/>
      <c r="G798" s="391"/>
      <c r="H798" s="391"/>
      <c r="I798" s="391"/>
      <c r="J798" s="391"/>
      <c r="K798" s="391"/>
      <c r="L798" s="391"/>
      <c r="M798" s="391"/>
      <c r="N798" s="391"/>
      <c r="O798" s="391"/>
      <c r="P798" s="391"/>
      <c r="Q798" s="391"/>
      <c r="R798" s="391"/>
      <c r="S798" s="391"/>
      <c r="T798" s="391"/>
      <c r="U798" s="391"/>
      <c r="V798" s="391"/>
      <c r="W798" s="391"/>
      <c r="X798" s="391"/>
      <c r="Y798" s="391"/>
      <c r="Z798" s="391"/>
      <c r="AA798" s="391"/>
      <c r="AB798" s="391"/>
      <c r="AC798" s="391"/>
      <c r="AD798" s="391"/>
      <c r="AE798" s="391"/>
    </row>
    <row r="799">
      <c r="A799" s="391"/>
      <c r="B799" s="391"/>
      <c r="C799" s="391"/>
      <c r="D799" s="391"/>
      <c r="E799" s="391"/>
      <c r="F799" s="391"/>
      <c r="G799" s="391"/>
      <c r="H799" s="391"/>
      <c r="I799" s="391"/>
      <c r="J799" s="391"/>
      <c r="K799" s="391"/>
      <c r="L799" s="391"/>
      <c r="M799" s="391"/>
      <c r="N799" s="391"/>
      <c r="O799" s="391"/>
      <c r="P799" s="391"/>
      <c r="Q799" s="391"/>
      <c r="R799" s="391"/>
      <c r="S799" s="391"/>
      <c r="T799" s="391"/>
      <c r="U799" s="391"/>
      <c r="V799" s="391"/>
      <c r="W799" s="391"/>
      <c r="X799" s="391"/>
      <c r="Y799" s="391"/>
      <c r="Z799" s="391"/>
      <c r="AA799" s="391"/>
      <c r="AB799" s="391"/>
      <c r="AC799" s="391"/>
      <c r="AD799" s="391"/>
      <c r="AE799" s="391"/>
    </row>
    <row r="800">
      <c r="A800" s="391"/>
      <c r="B800" s="391"/>
      <c r="C800" s="391"/>
      <c r="D800" s="391"/>
      <c r="E800" s="391"/>
      <c r="F800" s="391"/>
      <c r="G800" s="391"/>
      <c r="H800" s="391"/>
      <c r="I800" s="391"/>
      <c r="J800" s="391"/>
      <c r="K800" s="391"/>
      <c r="L800" s="391"/>
      <c r="M800" s="391"/>
      <c r="N800" s="391"/>
      <c r="O800" s="391"/>
      <c r="P800" s="391"/>
      <c r="Q800" s="391"/>
      <c r="R800" s="391"/>
      <c r="S800" s="391"/>
      <c r="T800" s="391"/>
      <c r="U800" s="391"/>
      <c r="V800" s="391"/>
      <c r="W800" s="391"/>
      <c r="X800" s="391"/>
      <c r="Y800" s="391"/>
      <c r="Z800" s="391"/>
      <c r="AA800" s="391"/>
      <c r="AB800" s="391"/>
      <c r="AC800" s="391"/>
      <c r="AD800" s="391"/>
      <c r="AE800" s="391"/>
    </row>
    <row r="801">
      <c r="A801" s="391"/>
      <c r="B801" s="391"/>
      <c r="C801" s="391"/>
      <c r="D801" s="391"/>
      <c r="E801" s="391"/>
      <c r="F801" s="391"/>
      <c r="G801" s="391"/>
      <c r="H801" s="391"/>
      <c r="I801" s="391"/>
      <c r="J801" s="391"/>
      <c r="K801" s="391"/>
      <c r="L801" s="391"/>
      <c r="M801" s="391"/>
      <c r="N801" s="391"/>
      <c r="O801" s="391"/>
      <c r="P801" s="391"/>
      <c r="Q801" s="391"/>
      <c r="R801" s="391"/>
      <c r="S801" s="391"/>
      <c r="T801" s="391"/>
      <c r="U801" s="391"/>
      <c r="V801" s="391"/>
      <c r="W801" s="391"/>
      <c r="X801" s="391"/>
      <c r="Y801" s="391"/>
      <c r="Z801" s="391"/>
      <c r="AA801" s="391"/>
      <c r="AB801" s="391"/>
      <c r="AC801" s="391"/>
      <c r="AD801" s="391"/>
      <c r="AE801" s="391"/>
    </row>
    <row r="802">
      <c r="A802" s="391"/>
      <c r="B802" s="391"/>
      <c r="C802" s="391"/>
      <c r="D802" s="391"/>
      <c r="E802" s="391"/>
      <c r="F802" s="391"/>
      <c r="G802" s="391"/>
      <c r="H802" s="391"/>
      <c r="I802" s="391"/>
      <c r="J802" s="391"/>
      <c r="K802" s="391"/>
      <c r="L802" s="391"/>
      <c r="M802" s="391"/>
      <c r="N802" s="391"/>
      <c r="O802" s="391"/>
      <c r="P802" s="391"/>
      <c r="Q802" s="391"/>
      <c r="R802" s="391"/>
      <c r="S802" s="391"/>
      <c r="T802" s="391"/>
      <c r="U802" s="391"/>
      <c r="V802" s="391"/>
      <c r="W802" s="391"/>
      <c r="X802" s="391"/>
      <c r="Y802" s="391"/>
      <c r="Z802" s="391"/>
      <c r="AA802" s="391"/>
      <c r="AB802" s="391"/>
      <c r="AC802" s="391"/>
      <c r="AD802" s="391"/>
      <c r="AE802" s="391"/>
    </row>
    <row r="803">
      <c r="A803" s="391"/>
      <c r="B803" s="391"/>
      <c r="C803" s="391"/>
      <c r="D803" s="391"/>
      <c r="E803" s="391"/>
      <c r="F803" s="391"/>
      <c r="G803" s="391"/>
      <c r="H803" s="391"/>
      <c r="I803" s="391"/>
      <c r="J803" s="391"/>
      <c r="K803" s="391"/>
      <c r="L803" s="391"/>
      <c r="M803" s="391"/>
      <c r="N803" s="391"/>
      <c r="O803" s="391"/>
      <c r="P803" s="391"/>
      <c r="Q803" s="391"/>
      <c r="R803" s="391"/>
      <c r="S803" s="391"/>
      <c r="T803" s="391"/>
      <c r="U803" s="391"/>
      <c r="V803" s="391"/>
      <c r="W803" s="391"/>
      <c r="X803" s="391"/>
      <c r="Y803" s="391"/>
      <c r="Z803" s="391"/>
      <c r="AA803" s="391"/>
      <c r="AB803" s="391"/>
      <c r="AC803" s="391"/>
      <c r="AD803" s="391"/>
      <c r="AE803" s="391"/>
    </row>
    <row r="804">
      <c r="A804" s="391"/>
      <c r="B804" s="391"/>
      <c r="C804" s="391"/>
      <c r="D804" s="391"/>
      <c r="E804" s="391"/>
      <c r="F804" s="391"/>
      <c r="G804" s="391"/>
      <c r="H804" s="391"/>
      <c r="I804" s="391"/>
      <c r="J804" s="391"/>
      <c r="K804" s="391"/>
      <c r="L804" s="391"/>
      <c r="M804" s="391"/>
      <c r="N804" s="391"/>
      <c r="O804" s="391"/>
      <c r="P804" s="391"/>
      <c r="Q804" s="391"/>
      <c r="R804" s="391"/>
      <c r="S804" s="391"/>
      <c r="T804" s="391"/>
      <c r="U804" s="391"/>
      <c r="V804" s="391"/>
      <c r="W804" s="391"/>
      <c r="X804" s="391"/>
      <c r="Y804" s="391"/>
      <c r="Z804" s="391"/>
      <c r="AA804" s="391"/>
      <c r="AB804" s="391"/>
      <c r="AC804" s="391"/>
      <c r="AD804" s="391"/>
      <c r="AE804" s="391"/>
    </row>
    <row r="805">
      <c r="A805" s="391"/>
      <c r="B805" s="391"/>
      <c r="C805" s="391"/>
      <c r="D805" s="391"/>
      <c r="E805" s="391"/>
      <c r="F805" s="391"/>
      <c r="G805" s="391"/>
      <c r="H805" s="391"/>
      <c r="I805" s="391"/>
      <c r="J805" s="391"/>
      <c r="K805" s="391"/>
      <c r="L805" s="391"/>
      <c r="M805" s="391"/>
      <c r="N805" s="391"/>
      <c r="O805" s="391"/>
      <c r="P805" s="391"/>
      <c r="Q805" s="391"/>
      <c r="R805" s="391"/>
      <c r="S805" s="391"/>
      <c r="T805" s="391"/>
      <c r="U805" s="391"/>
      <c r="V805" s="391"/>
      <c r="W805" s="391"/>
      <c r="X805" s="391"/>
      <c r="Y805" s="391"/>
      <c r="Z805" s="391"/>
      <c r="AA805" s="391"/>
      <c r="AB805" s="391"/>
      <c r="AC805" s="391"/>
      <c r="AD805" s="391"/>
      <c r="AE805" s="391"/>
    </row>
    <row r="806">
      <c r="A806" s="391"/>
      <c r="B806" s="391"/>
      <c r="C806" s="391"/>
      <c r="D806" s="391"/>
      <c r="E806" s="391"/>
      <c r="F806" s="391"/>
      <c r="G806" s="391"/>
      <c r="H806" s="391"/>
      <c r="I806" s="391"/>
      <c r="J806" s="391"/>
      <c r="K806" s="391"/>
      <c r="L806" s="391"/>
      <c r="M806" s="391"/>
      <c r="N806" s="391"/>
      <c r="O806" s="391"/>
      <c r="P806" s="391"/>
      <c r="Q806" s="391"/>
      <c r="R806" s="391"/>
      <c r="S806" s="391"/>
      <c r="T806" s="391"/>
      <c r="U806" s="391"/>
      <c r="V806" s="391"/>
      <c r="W806" s="391"/>
      <c r="X806" s="391"/>
      <c r="Y806" s="391"/>
      <c r="Z806" s="391"/>
      <c r="AA806" s="391"/>
      <c r="AB806" s="391"/>
      <c r="AC806" s="391"/>
      <c r="AD806" s="391"/>
      <c r="AE806" s="391"/>
    </row>
    <row r="807">
      <c r="A807" s="391"/>
      <c r="B807" s="391"/>
      <c r="C807" s="391"/>
      <c r="D807" s="391"/>
      <c r="E807" s="391"/>
      <c r="F807" s="391"/>
      <c r="G807" s="391"/>
      <c r="H807" s="391"/>
      <c r="I807" s="391"/>
      <c r="J807" s="391"/>
      <c r="K807" s="391"/>
      <c r="L807" s="391"/>
      <c r="M807" s="391"/>
      <c r="N807" s="391"/>
      <c r="O807" s="391"/>
      <c r="P807" s="391"/>
      <c r="Q807" s="391"/>
      <c r="R807" s="391"/>
      <c r="S807" s="391"/>
      <c r="T807" s="391"/>
      <c r="U807" s="391"/>
      <c r="V807" s="391"/>
      <c r="W807" s="391"/>
      <c r="X807" s="391"/>
      <c r="Y807" s="391"/>
      <c r="Z807" s="391"/>
      <c r="AA807" s="391"/>
      <c r="AB807" s="391"/>
      <c r="AC807" s="391"/>
      <c r="AD807" s="391"/>
      <c r="AE807" s="391"/>
    </row>
    <row r="808">
      <c r="A808" s="391"/>
      <c r="B808" s="391"/>
      <c r="C808" s="391"/>
      <c r="D808" s="391"/>
      <c r="E808" s="391"/>
      <c r="F808" s="391"/>
      <c r="G808" s="391"/>
      <c r="H808" s="391"/>
      <c r="I808" s="391"/>
      <c r="J808" s="391"/>
      <c r="K808" s="391"/>
      <c r="L808" s="391"/>
      <c r="M808" s="391"/>
      <c r="N808" s="391"/>
      <c r="O808" s="391"/>
      <c r="P808" s="391"/>
      <c r="Q808" s="391"/>
      <c r="R808" s="391"/>
      <c r="S808" s="391"/>
      <c r="T808" s="391"/>
      <c r="U808" s="391"/>
      <c r="V808" s="391"/>
      <c r="W808" s="391"/>
      <c r="X808" s="391"/>
      <c r="Y808" s="391"/>
      <c r="Z808" s="391"/>
      <c r="AA808" s="391"/>
      <c r="AB808" s="391"/>
      <c r="AC808" s="391"/>
      <c r="AD808" s="391"/>
      <c r="AE808" s="391"/>
    </row>
    <row r="809">
      <c r="A809" s="391"/>
      <c r="B809" s="391"/>
      <c r="C809" s="391"/>
      <c r="D809" s="391"/>
      <c r="E809" s="391"/>
      <c r="F809" s="391"/>
      <c r="G809" s="391"/>
      <c r="H809" s="391"/>
      <c r="I809" s="391"/>
      <c r="J809" s="391"/>
      <c r="K809" s="391"/>
      <c r="L809" s="391"/>
      <c r="M809" s="391"/>
      <c r="N809" s="391"/>
      <c r="O809" s="391"/>
      <c r="P809" s="391"/>
      <c r="Q809" s="391"/>
      <c r="R809" s="391"/>
      <c r="S809" s="391"/>
      <c r="T809" s="391"/>
      <c r="U809" s="391"/>
      <c r="V809" s="391"/>
      <c r="W809" s="391"/>
      <c r="X809" s="391"/>
      <c r="Y809" s="391"/>
      <c r="Z809" s="391"/>
      <c r="AA809" s="391"/>
      <c r="AB809" s="391"/>
      <c r="AC809" s="391"/>
      <c r="AD809" s="391"/>
      <c r="AE809" s="391"/>
    </row>
    <row r="810">
      <c r="A810" s="391"/>
      <c r="B810" s="391"/>
      <c r="C810" s="391"/>
      <c r="D810" s="391"/>
      <c r="E810" s="391"/>
      <c r="F810" s="391"/>
      <c r="G810" s="391"/>
      <c r="H810" s="391"/>
      <c r="I810" s="391"/>
      <c r="J810" s="391"/>
      <c r="K810" s="391"/>
      <c r="L810" s="391"/>
      <c r="M810" s="391"/>
      <c r="N810" s="391"/>
      <c r="O810" s="391"/>
      <c r="P810" s="391"/>
      <c r="Q810" s="391"/>
      <c r="R810" s="391"/>
      <c r="S810" s="391"/>
      <c r="T810" s="391"/>
      <c r="U810" s="391"/>
      <c r="V810" s="391"/>
      <c r="W810" s="391"/>
      <c r="X810" s="391"/>
      <c r="Y810" s="391"/>
      <c r="Z810" s="391"/>
      <c r="AA810" s="391"/>
      <c r="AB810" s="391"/>
      <c r="AC810" s="391"/>
      <c r="AD810" s="391"/>
      <c r="AE810" s="391"/>
    </row>
    <row r="811">
      <c r="A811" s="391"/>
      <c r="B811" s="391"/>
      <c r="C811" s="391"/>
      <c r="D811" s="391"/>
      <c r="E811" s="391"/>
      <c r="F811" s="391"/>
      <c r="G811" s="391"/>
      <c r="H811" s="391"/>
      <c r="I811" s="391"/>
      <c r="J811" s="391"/>
      <c r="K811" s="391"/>
      <c r="L811" s="391"/>
      <c r="M811" s="391"/>
      <c r="N811" s="391"/>
      <c r="O811" s="391"/>
      <c r="P811" s="391"/>
      <c r="Q811" s="391"/>
      <c r="R811" s="391"/>
      <c r="S811" s="391"/>
      <c r="T811" s="391"/>
      <c r="U811" s="391"/>
      <c r="V811" s="391"/>
      <c r="W811" s="391"/>
      <c r="X811" s="391"/>
      <c r="Y811" s="391"/>
      <c r="Z811" s="391"/>
      <c r="AA811" s="391"/>
      <c r="AB811" s="391"/>
      <c r="AC811" s="391"/>
      <c r="AD811" s="391"/>
      <c r="AE811" s="391"/>
    </row>
    <row r="812">
      <c r="A812" s="391"/>
      <c r="B812" s="391"/>
      <c r="C812" s="391"/>
      <c r="D812" s="391"/>
      <c r="E812" s="391"/>
      <c r="F812" s="391"/>
      <c r="G812" s="391"/>
      <c r="H812" s="391"/>
      <c r="I812" s="391"/>
      <c r="J812" s="391"/>
      <c r="K812" s="391"/>
      <c r="L812" s="391"/>
      <c r="M812" s="391"/>
      <c r="N812" s="391"/>
      <c r="O812" s="391"/>
      <c r="P812" s="391"/>
      <c r="Q812" s="391"/>
      <c r="R812" s="391"/>
      <c r="S812" s="391"/>
      <c r="T812" s="391"/>
      <c r="U812" s="391"/>
      <c r="V812" s="391"/>
      <c r="W812" s="391"/>
      <c r="X812" s="391"/>
      <c r="Y812" s="391"/>
      <c r="Z812" s="391"/>
      <c r="AA812" s="391"/>
      <c r="AB812" s="391"/>
      <c r="AC812" s="391"/>
      <c r="AD812" s="391"/>
      <c r="AE812" s="391"/>
    </row>
    <row r="813">
      <c r="A813" s="391"/>
      <c r="B813" s="391"/>
      <c r="C813" s="391"/>
      <c r="D813" s="391"/>
      <c r="E813" s="391"/>
      <c r="F813" s="391"/>
      <c r="G813" s="391"/>
      <c r="H813" s="391"/>
      <c r="I813" s="391"/>
      <c r="J813" s="391"/>
      <c r="K813" s="391"/>
      <c r="L813" s="391"/>
      <c r="M813" s="391"/>
      <c r="N813" s="391"/>
      <c r="O813" s="391"/>
      <c r="P813" s="391"/>
      <c r="Q813" s="391"/>
      <c r="R813" s="391"/>
      <c r="S813" s="391"/>
      <c r="T813" s="391"/>
      <c r="U813" s="391"/>
      <c r="V813" s="391"/>
      <c r="W813" s="391"/>
      <c r="X813" s="391"/>
      <c r="Y813" s="391"/>
      <c r="Z813" s="391"/>
      <c r="AA813" s="391"/>
      <c r="AB813" s="391"/>
      <c r="AC813" s="391"/>
      <c r="AD813" s="391"/>
      <c r="AE813" s="391"/>
    </row>
    <row r="814">
      <c r="A814" s="391"/>
      <c r="B814" s="391"/>
      <c r="C814" s="391"/>
      <c r="D814" s="391"/>
      <c r="E814" s="391"/>
      <c r="F814" s="391"/>
      <c r="G814" s="391"/>
      <c r="H814" s="391"/>
      <c r="I814" s="391"/>
      <c r="J814" s="391"/>
      <c r="K814" s="391"/>
      <c r="L814" s="391"/>
      <c r="M814" s="391"/>
      <c r="N814" s="391"/>
      <c r="O814" s="391"/>
      <c r="P814" s="391"/>
      <c r="Q814" s="391"/>
      <c r="R814" s="391"/>
      <c r="S814" s="391"/>
      <c r="T814" s="391"/>
      <c r="U814" s="391"/>
      <c r="V814" s="391"/>
      <c r="W814" s="391"/>
      <c r="X814" s="391"/>
      <c r="Y814" s="391"/>
      <c r="Z814" s="391"/>
      <c r="AA814" s="391"/>
      <c r="AB814" s="391"/>
      <c r="AC814" s="391"/>
      <c r="AD814" s="391"/>
      <c r="AE814" s="391"/>
    </row>
    <row r="815">
      <c r="A815" s="391"/>
      <c r="B815" s="391"/>
      <c r="C815" s="391"/>
      <c r="D815" s="391"/>
      <c r="E815" s="391"/>
      <c r="F815" s="391"/>
      <c r="G815" s="391"/>
      <c r="H815" s="391"/>
      <c r="I815" s="391"/>
      <c r="J815" s="391"/>
      <c r="K815" s="391"/>
      <c r="L815" s="391"/>
      <c r="M815" s="391"/>
      <c r="N815" s="391"/>
      <c r="O815" s="391"/>
      <c r="P815" s="391"/>
      <c r="Q815" s="391"/>
      <c r="R815" s="391"/>
      <c r="S815" s="391"/>
      <c r="T815" s="391"/>
      <c r="U815" s="391"/>
      <c r="V815" s="391"/>
      <c r="W815" s="391"/>
      <c r="X815" s="391"/>
      <c r="Y815" s="391"/>
      <c r="Z815" s="391"/>
      <c r="AA815" s="391"/>
      <c r="AB815" s="391"/>
      <c r="AC815" s="391"/>
      <c r="AD815" s="391"/>
      <c r="AE815" s="391"/>
    </row>
    <row r="816">
      <c r="A816" s="391"/>
      <c r="B816" s="391"/>
      <c r="C816" s="391"/>
      <c r="D816" s="391"/>
      <c r="E816" s="391"/>
      <c r="F816" s="391"/>
      <c r="G816" s="391"/>
      <c r="H816" s="391"/>
      <c r="I816" s="391"/>
      <c r="J816" s="391"/>
      <c r="K816" s="391"/>
      <c r="L816" s="391"/>
      <c r="M816" s="391"/>
      <c r="N816" s="391"/>
      <c r="O816" s="391"/>
      <c r="P816" s="391"/>
      <c r="Q816" s="391"/>
      <c r="R816" s="391"/>
      <c r="S816" s="391"/>
      <c r="T816" s="391"/>
      <c r="U816" s="391"/>
      <c r="V816" s="391"/>
      <c r="W816" s="391"/>
      <c r="X816" s="391"/>
      <c r="Y816" s="391"/>
      <c r="Z816" s="391"/>
      <c r="AA816" s="391"/>
      <c r="AB816" s="391"/>
      <c r="AC816" s="391"/>
      <c r="AD816" s="391"/>
      <c r="AE816" s="391"/>
    </row>
    <row r="817">
      <c r="A817" s="391"/>
      <c r="B817" s="391"/>
      <c r="C817" s="391"/>
      <c r="D817" s="391"/>
      <c r="E817" s="391"/>
      <c r="F817" s="391"/>
      <c r="G817" s="391"/>
      <c r="H817" s="391"/>
      <c r="I817" s="391"/>
      <c r="J817" s="391"/>
      <c r="K817" s="391"/>
      <c r="L817" s="391"/>
      <c r="M817" s="391"/>
      <c r="N817" s="391"/>
      <c r="O817" s="391"/>
      <c r="P817" s="391"/>
      <c r="Q817" s="391"/>
      <c r="R817" s="391"/>
      <c r="S817" s="391"/>
      <c r="T817" s="391"/>
      <c r="U817" s="391"/>
      <c r="V817" s="391"/>
      <c r="W817" s="391"/>
      <c r="X817" s="391"/>
      <c r="Y817" s="391"/>
      <c r="Z817" s="391"/>
      <c r="AA817" s="391"/>
      <c r="AB817" s="391"/>
      <c r="AC817" s="391"/>
      <c r="AD817" s="391"/>
      <c r="AE817" s="391"/>
    </row>
    <row r="818">
      <c r="A818" s="391"/>
      <c r="B818" s="391"/>
      <c r="C818" s="391"/>
      <c r="D818" s="391"/>
      <c r="E818" s="391"/>
      <c r="F818" s="391"/>
      <c r="G818" s="391"/>
      <c r="H818" s="391"/>
      <c r="I818" s="391"/>
      <c r="J818" s="391"/>
      <c r="K818" s="391"/>
      <c r="L818" s="391"/>
      <c r="M818" s="391"/>
      <c r="N818" s="391"/>
      <c r="O818" s="391"/>
      <c r="P818" s="391"/>
      <c r="Q818" s="391"/>
      <c r="R818" s="391"/>
      <c r="S818" s="391"/>
      <c r="T818" s="391"/>
      <c r="U818" s="391"/>
      <c r="V818" s="391"/>
      <c r="W818" s="391"/>
      <c r="X818" s="391"/>
      <c r="Y818" s="391"/>
      <c r="Z818" s="391"/>
      <c r="AA818" s="391"/>
      <c r="AB818" s="391"/>
      <c r="AC818" s="391"/>
      <c r="AD818" s="391"/>
      <c r="AE818" s="391"/>
    </row>
    <row r="819">
      <c r="A819" s="391"/>
      <c r="B819" s="391"/>
      <c r="C819" s="391"/>
      <c r="D819" s="391"/>
      <c r="E819" s="391"/>
      <c r="F819" s="391"/>
      <c r="G819" s="391"/>
      <c r="H819" s="391"/>
      <c r="I819" s="391"/>
      <c r="J819" s="391"/>
      <c r="K819" s="391"/>
      <c r="L819" s="391"/>
      <c r="M819" s="391"/>
      <c r="N819" s="391"/>
      <c r="O819" s="391"/>
      <c r="P819" s="391"/>
      <c r="Q819" s="391"/>
      <c r="R819" s="391"/>
      <c r="S819" s="391"/>
      <c r="T819" s="391"/>
      <c r="U819" s="391"/>
      <c r="V819" s="391"/>
      <c r="W819" s="391"/>
      <c r="X819" s="391"/>
      <c r="Y819" s="391"/>
      <c r="Z819" s="391"/>
      <c r="AA819" s="391"/>
      <c r="AB819" s="391"/>
      <c r="AC819" s="391"/>
      <c r="AD819" s="391"/>
      <c r="AE819" s="391"/>
    </row>
    <row r="820">
      <c r="A820" s="391"/>
      <c r="B820" s="391"/>
      <c r="C820" s="391"/>
      <c r="D820" s="391"/>
      <c r="E820" s="391"/>
      <c r="F820" s="391"/>
      <c r="G820" s="391"/>
      <c r="H820" s="391"/>
      <c r="I820" s="391"/>
      <c r="J820" s="391"/>
      <c r="K820" s="391"/>
      <c r="L820" s="391"/>
      <c r="M820" s="391"/>
      <c r="N820" s="391"/>
      <c r="O820" s="391"/>
      <c r="P820" s="391"/>
      <c r="Q820" s="391"/>
      <c r="R820" s="391"/>
      <c r="S820" s="391"/>
      <c r="T820" s="391"/>
      <c r="U820" s="391"/>
      <c r="V820" s="391"/>
      <c r="W820" s="391"/>
      <c r="X820" s="391"/>
      <c r="Y820" s="391"/>
      <c r="Z820" s="391"/>
      <c r="AA820" s="391"/>
      <c r="AB820" s="391"/>
      <c r="AC820" s="391"/>
      <c r="AD820" s="391"/>
      <c r="AE820" s="391"/>
    </row>
    <row r="821">
      <c r="A821" s="391"/>
      <c r="B821" s="391"/>
      <c r="C821" s="391"/>
      <c r="D821" s="391"/>
      <c r="E821" s="391"/>
      <c r="F821" s="391"/>
      <c r="G821" s="391"/>
      <c r="H821" s="391"/>
      <c r="I821" s="391"/>
      <c r="J821" s="391"/>
      <c r="K821" s="391"/>
      <c r="L821" s="391"/>
      <c r="M821" s="391"/>
      <c r="N821" s="391"/>
      <c r="O821" s="391"/>
      <c r="P821" s="391"/>
      <c r="Q821" s="391"/>
      <c r="R821" s="391"/>
      <c r="S821" s="391"/>
      <c r="T821" s="391"/>
      <c r="U821" s="391"/>
      <c r="V821" s="391"/>
      <c r="W821" s="391"/>
      <c r="X821" s="391"/>
      <c r="Y821" s="391"/>
      <c r="Z821" s="391"/>
      <c r="AA821" s="391"/>
      <c r="AB821" s="391"/>
      <c r="AC821" s="391"/>
      <c r="AD821" s="391"/>
      <c r="AE821" s="391"/>
    </row>
    <row r="822">
      <c r="A822" s="391"/>
      <c r="B822" s="391"/>
      <c r="C822" s="391"/>
      <c r="D822" s="391"/>
      <c r="E822" s="391"/>
      <c r="F822" s="391"/>
      <c r="G822" s="391"/>
      <c r="H822" s="391"/>
      <c r="I822" s="391"/>
      <c r="J822" s="391"/>
      <c r="K822" s="391"/>
      <c r="L822" s="391"/>
      <c r="M822" s="391"/>
      <c r="N822" s="391"/>
      <c r="O822" s="391"/>
      <c r="P822" s="391"/>
      <c r="Q822" s="391"/>
      <c r="R822" s="391"/>
      <c r="S822" s="391"/>
      <c r="T822" s="391"/>
      <c r="U822" s="391"/>
      <c r="V822" s="391"/>
      <c r="W822" s="391"/>
      <c r="X822" s="391"/>
      <c r="Y822" s="391"/>
      <c r="Z822" s="391"/>
      <c r="AA822" s="391"/>
      <c r="AB822" s="391"/>
      <c r="AC822" s="391"/>
      <c r="AD822" s="391"/>
      <c r="AE822" s="391"/>
    </row>
    <row r="823">
      <c r="A823" s="391"/>
      <c r="B823" s="391"/>
      <c r="C823" s="391"/>
      <c r="D823" s="391"/>
      <c r="E823" s="391"/>
      <c r="F823" s="391"/>
      <c r="G823" s="391"/>
      <c r="H823" s="391"/>
      <c r="I823" s="391"/>
      <c r="J823" s="391"/>
      <c r="K823" s="391"/>
      <c r="L823" s="391"/>
      <c r="M823" s="391"/>
      <c r="N823" s="391"/>
      <c r="O823" s="391"/>
      <c r="P823" s="391"/>
      <c r="Q823" s="391"/>
      <c r="R823" s="391"/>
      <c r="S823" s="391"/>
      <c r="T823" s="391"/>
      <c r="U823" s="391"/>
      <c r="V823" s="391"/>
      <c r="W823" s="391"/>
      <c r="X823" s="391"/>
      <c r="Y823" s="391"/>
      <c r="Z823" s="391"/>
      <c r="AA823" s="391"/>
      <c r="AB823" s="391"/>
      <c r="AC823" s="391"/>
      <c r="AD823" s="391"/>
      <c r="AE823" s="391"/>
    </row>
    <row r="824">
      <c r="A824" s="391"/>
      <c r="B824" s="391"/>
      <c r="C824" s="391"/>
      <c r="D824" s="391"/>
      <c r="E824" s="391"/>
      <c r="F824" s="391"/>
      <c r="G824" s="391"/>
      <c r="H824" s="391"/>
      <c r="I824" s="391"/>
      <c r="J824" s="391"/>
      <c r="K824" s="391"/>
      <c r="L824" s="391"/>
      <c r="M824" s="391"/>
      <c r="N824" s="391"/>
      <c r="O824" s="391"/>
      <c r="P824" s="391"/>
      <c r="Q824" s="391"/>
      <c r="R824" s="391"/>
      <c r="S824" s="391"/>
      <c r="T824" s="391"/>
      <c r="U824" s="391"/>
      <c r="V824" s="391"/>
      <c r="W824" s="391"/>
      <c r="X824" s="391"/>
      <c r="Y824" s="391"/>
      <c r="Z824" s="391"/>
      <c r="AA824" s="391"/>
      <c r="AB824" s="391"/>
      <c r="AC824" s="391"/>
      <c r="AD824" s="391"/>
      <c r="AE824" s="391"/>
    </row>
    <row r="825">
      <c r="A825" s="391"/>
      <c r="B825" s="391"/>
      <c r="C825" s="391"/>
      <c r="D825" s="391"/>
      <c r="E825" s="391"/>
      <c r="F825" s="391"/>
      <c r="G825" s="391"/>
      <c r="H825" s="391"/>
      <c r="I825" s="391"/>
      <c r="J825" s="391"/>
      <c r="K825" s="391"/>
      <c r="L825" s="391"/>
      <c r="M825" s="391"/>
      <c r="N825" s="391"/>
      <c r="O825" s="391"/>
      <c r="P825" s="391"/>
      <c r="Q825" s="391"/>
      <c r="R825" s="391"/>
      <c r="S825" s="391"/>
      <c r="T825" s="391"/>
      <c r="U825" s="391"/>
      <c r="V825" s="391"/>
      <c r="W825" s="391"/>
      <c r="X825" s="391"/>
      <c r="Y825" s="391"/>
      <c r="Z825" s="391"/>
      <c r="AA825" s="391"/>
      <c r="AB825" s="391"/>
      <c r="AC825" s="391"/>
      <c r="AD825" s="391"/>
      <c r="AE825" s="391"/>
    </row>
    <row r="826">
      <c r="A826" s="391"/>
      <c r="B826" s="391"/>
      <c r="C826" s="391"/>
      <c r="D826" s="391"/>
      <c r="E826" s="391"/>
      <c r="F826" s="391"/>
      <c r="G826" s="391"/>
      <c r="H826" s="391"/>
      <c r="I826" s="391"/>
      <c r="J826" s="391"/>
      <c r="K826" s="391"/>
      <c r="L826" s="391"/>
      <c r="M826" s="391"/>
      <c r="N826" s="391"/>
      <c r="O826" s="391"/>
      <c r="P826" s="391"/>
      <c r="Q826" s="391"/>
      <c r="R826" s="391"/>
      <c r="S826" s="391"/>
      <c r="T826" s="391"/>
      <c r="U826" s="391"/>
      <c r="V826" s="391"/>
      <c r="W826" s="391"/>
      <c r="X826" s="391"/>
      <c r="Y826" s="391"/>
      <c r="Z826" s="391"/>
      <c r="AA826" s="391"/>
      <c r="AB826" s="391"/>
      <c r="AC826" s="391"/>
      <c r="AD826" s="391"/>
      <c r="AE826" s="391"/>
    </row>
    <row r="827">
      <c r="A827" s="391"/>
      <c r="B827" s="391"/>
      <c r="C827" s="391"/>
      <c r="D827" s="391"/>
      <c r="E827" s="391"/>
      <c r="F827" s="391"/>
      <c r="G827" s="391"/>
      <c r="H827" s="391"/>
      <c r="I827" s="391"/>
      <c r="J827" s="391"/>
      <c r="K827" s="391"/>
      <c r="L827" s="391"/>
      <c r="M827" s="391"/>
      <c r="N827" s="391"/>
      <c r="O827" s="391"/>
      <c r="P827" s="391"/>
      <c r="Q827" s="391"/>
      <c r="R827" s="391"/>
      <c r="S827" s="391"/>
      <c r="T827" s="391"/>
      <c r="U827" s="391"/>
      <c r="V827" s="391"/>
      <c r="W827" s="391"/>
      <c r="X827" s="391"/>
      <c r="Y827" s="391"/>
      <c r="Z827" s="391"/>
      <c r="AA827" s="391"/>
      <c r="AB827" s="391"/>
      <c r="AC827" s="391"/>
      <c r="AD827" s="391"/>
      <c r="AE827" s="391"/>
    </row>
    <row r="828">
      <c r="A828" s="391"/>
      <c r="B828" s="391"/>
      <c r="C828" s="391"/>
      <c r="D828" s="391"/>
      <c r="E828" s="391"/>
      <c r="F828" s="391"/>
      <c r="G828" s="391"/>
      <c r="H828" s="391"/>
      <c r="I828" s="391"/>
      <c r="J828" s="391"/>
      <c r="K828" s="391"/>
      <c r="L828" s="391"/>
      <c r="M828" s="391"/>
      <c r="N828" s="391"/>
      <c r="O828" s="391"/>
      <c r="P828" s="391"/>
      <c r="Q828" s="391"/>
      <c r="R828" s="391"/>
      <c r="S828" s="391"/>
      <c r="T828" s="391"/>
      <c r="U828" s="391"/>
      <c r="V828" s="391"/>
      <c r="W828" s="391"/>
      <c r="X828" s="391"/>
      <c r="Y828" s="391"/>
      <c r="Z828" s="391"/>
      <c r="AA828" s="391"/>
      <c r="AB828" s="391"/>
      <c r="AC828" s="391"/>
      <c r="AD828" s="391"/>
      <c r="AE828" s="391"/>
    </row>
    <row r="829">
      <c r="A829" s="391"/>
      <c r="B829" s="391"/>
      <c r="C829" s="391"/>
      <c r="D829" s="391"/>
      <c r="E829" s="391"/>
      <c r="F829" s="391"/>
      <c r="G829" s="391"/>
      <c r="H829" s="391"/>
      <c r="I829" s="391"/>
      <c r="J829" s="391"/>
      <c r="K829" s="391"/>
      <c r="L829" s="391"/>
      <c r="M829" s="391"/>
      <c r="N829" s="391"/>
      <c r="O829" s="391"/>
      <c r="P829" s="391"/>
      <c r="Q829" s="391"/>
      <c r="R829" s="391"/>
      <c r="S829" s="391"/>
      <c r="T829" s="391"/>
      <c r="U829" s="391"/>
      <c r="V829" s="391"/>
      <c r="W829" s="391"/>
      <c r="X829" s="391"/>
      <c r="Y829" s="391"/>
      <c r="Z829" s="391"/>
      <c r="AA829" s="391"/>
      <c r="AB829" s="391"/>
      <c r="AC829" s="391"/>
      <c r="AD829" s="391"/>
      <c r="AE829" s="391"/>
    </row>
    <row r="830">
      <c r="A830" s="391"/>
      <c r="B830" s="391"/>
      <c r="C830" s="391"/>
      <c r="D830" s="391"/>
      <c r="E830" s="391"/>
      <c r="F830" s="391"/>
      <c r="G830" s="391"/>
      <c r="H830" s="391"/>
      <c r="I830" s="391"/>
      <c r="J830" s="391"/>
      <c r="K830" s="391"/>
      <c r="L830" s="391"/>
      <c r="M830" s="391"/>
      <c r="N830" s="391"/>
      <c r="O830" s="391"/>
      <c r="P830" s="391"/>
      <c r="Q830" s="391"/>
      <c r="R830" s="391"/>
      <c r="S830" s="391"/>
      <c r="T830" s="391"/>
      <c r="U830" s="391"/>
      <c r="V830" s="391"/>
      <c r="W830" s="391"/>
      <c r="X830" s="391"/>
      <c r="Y830" s="391"/>
      <c r="Z830" s="391"/>
      <c r="AA830" s="391"/>
      <c r="AB830" s="391"/>
      <c r="AC830" s="391"/>
      <c r="AD830" s="391"/>
      <c r="AE830" s="391"/>
    </row>
    <row r="831">
      <c r="A831" s="391"/>
      <c r="B831" s="391"/>
      <c r="C831" s="391"/>
      <c r="D831" s="391"/>
      <c r="E831" s="391"/>
      <c r="F831" s="391"/>
      <c r="G831" s="391"/>
      <c r="H831" s="391"/>
      <c r="I831" s="391"/>
      <c r="J831" s="391"/>
      <c r="K831" s="391"/>
      <c r="L831" s="391"/>
      <c r="M831" s="391"/>
      <c r="N831" s="391"/>
      <c r="O831" s="391"/>
      <c r="P831" s="391"/>
      <c r="Q831" s="391"/>
      <c r="R831" s="391"/>
      <c r="S831" s="391"/>
      <c r="T831" s="391"/>
      <c r="U831" s="391"/>
      <c r="V831" s="391"/>
      <c r="W831" s="391"/>
      <c r="X831" s="391"/>
      <c r="Y831" s="391"/>
      <c r="Z831" s="391"/>
      <c r="AA831" s="391"/>
      <c r="AB831" s="391"/>
      <c r="AC831" s="391"/>
      <c r="AD831" s="391"/>
      <c r="AE831" s="391"/>
    </row>
    <row r="832">
      <c r="A832" s="391"/>
      <c r="B832" s="391"/>
      <c r="C832" s="391"/>
      <c r="D832" s="391"/>
      <c r="E832" s="391"/>
      <c r="F832" s="391"/>
      <c r="G832" s="391"/>
      <c r="H832" s="391"/>
      <c r="I832" s="391"/>
      <c r="J832" s="391"/>
      <c r="K832" s="391"/>
      <c r="L832" s="391"/>
      <c r="M832" s="391"/>
      <c r="N832" s="391"/>
      <c r="O832" s="391"/>
      <c r="P832" s="391"/>
      <c r="Q832" s="391"/>
      <c r="R832" s="391"/>
      <c r="S832" s="391"/>
      <c r="T832" s="391"/>
      <c r="U832" s="391"/>
      <c r="V832" s="391"/>
      <c r="W832" s="391"/>
      <c r="X832" s="391"/>
      <c r="Y832" s="391"/>
      <c r="Z832" s="391"/>
      <c r="AA832" s="391"/>
      <c r="AB832" s="391"/>
      <c r="AC832" s="391"/>
      <c r="AD832" s="391"/>
      <c r="AE832" s="391"/>
    </row>
    <row r="833">
      <c r="A833" s="391"/>
      <c r="B833" s="391"/>
      <c r="C833" s="391"/>
      <c r="D833" s="391"/>
      <c r="E833" s="391"/>
      <c r="F833" s="391"/>
      <c r="G833" s="391"/>
      <c r="H833" s="391"/>
      <c r="I833" s="391"/>
      <c r="J833" s="391"/>
      <c r="K833" s="391"/>
      <c r="L833" s="391"/>
      <c r="M833" s="391"/>
      <c r="N833" s="391"/>
      <c r="O833" s="391"/>
      <c r="P833" s="391"/>
      <c r="Q833" s="391"/>
      <c r="R833" s="391"/>
      <c r="S833" s="391"/>
      <c r="T833" s="391"/>
      <c r="U833" s="391"/>
      <c r="V833" s="391"/>
      <c r="W833" s="391"/>
      <c r="X833" s="391"/>
      <c r="Y833" s="391"/>
      <c r="Z833" s="391"/>
      <c r="AA833" s="391"/>
      <c r="AB833" s="391"/>
      <c r="AC833" s="391"/>
      <c r="AD833" s="391"/>
      <c r="AE833" s="391"/>
    </row>
    <row r="834">
      <c r="A834" s="391"/>
      <c r="B834" s="391"/>
      <c r="C834" s="391"/>
      <c r="D834" s="391"/>
      <c r="E834" s="391"/>
      <c r="F834" s="391"/>
      <c r="G834" s="391"/>
      <c r="H834" s="391"/>
      <c r="I834" s="391"/>
      <c r="J834" s="391"/>
      <c r="K834" s="391"/>
      <c r="L834" s="391"/>
      <c r="M834" s="391"/>
      <c r="N834" s="391"/>
      <c r="O834" s="391"/>
      <c r="P834" s="391"/>
      <c r="Q834" s="391"/>
      <c r="R834" s="391"/>
      <c r="S834" s="391"/>
      <c r="T834" s="391"/>
      <c r="U834" s="391"/>
      <c r="V834" s="391"/>
      <c r="W834" s="391"/>
      <c r="X834" s="391"/>
      <c r="Y834" s="391"/>
      <c r="Z834" s="391"/>
      <c r="AA834" s="391"/>
      <c r="AB834" s="391"/>
      <c r="AC834" s="391"/>
      <c r="AD834" s="391"/>
      <c r="AE834" s="391"/>
    </row>
    <row r="835">
      <c r="A835" s="391"/>
      <c r="B835" s="391"/>
      <c r="C835" s="391"/>
      <c r="D835" s="391"/>
      <c r="E835" s="391"/>
      <c r="F835" s="391"/>
      <c r="G835" s="391"/>
      <c r="H835" s="391"/>
      <c r="I835" s="391"/>
      <c r="J835" s="391"/>
      <c r="K835" s="391"/>
      <c r="L835" s="391"/>
      <c r="M835" s="391"/>
      <c r="N835" s="391"/>
      <c r="O835" s="391"/>
      <c r="P835" s="391"/>
      <c r="Q835" s="391"/>
      <c r="R835" s="391"/>
      <c r="S835" s="391"/>
      <c r="T835" s="391"/>
      <c r="U835" s="391"/>
      <c r="V835" s="391"/>
      <c r="W835" s="391"/>
      <c r="X835" s="391"/>
      <c r="Y835" s="391"/>
      <c r="Z835" s="391"/>
      <c r="AA835" s="391"/>
      <c r="AB835" s="391"/>
      <c r="AC835" s="391"/>
      <c r="AD835" s="391"/>
      <c r="AE835" s="391"/>
    </row>
    <row r="836">
      <c r="A836" s="391"/>
      <c r="B836" s="391"/>
      <c r="C836" s="391"/>
      <c r="D836" s="391"/>
      <c r="E836" s="391"/>
      <c r="F836" s="391"/>
      <c r="G836" s="391"/>
      <c r="H836" s="391"/>
      <c r="I836" s="391"/>
      <c r="J836" s="391"/>
      <c r="K836" s="391"/>
      <c r="L836" s="391"/>
      <c r="M836" s="391"/>
      <c r="N836" s="391"/>
      <c r="O836" s="391"/>
      <c r="P836" s="391"/>
      <c r="Q836" s="391"/>
      <c r="R836" s="391"/>
      <c r="S836" s="391"/>
      <c r="T836" s="391"/>
      <c r="U836" s="391"/>
      <c r="V836" s="391"/>
      <c r="W836" s="391"/>
      <c r="X836" s="391"/>
      <c r="Y836" s="391"/>
      <c r="Z836" s="391"/>
      <c r="AA836" s="391"/>
      <c r="AB836" s="391"/>
      <c r="AC836" s="391"/>
      <c r="AD836" s="391"/>
      <c r="AE836" s="391"/>
    </row>
    <row r="837">
      <c r="A837" s="391"/>
      <c r="B837" s="391"/>
      <c r="C837" s="391"/>
      <c r="D837" s="391"/>
      <c r="E837" s="391"/>
      <c r="F837" s="391"/>
      <c r="G837" s="391"/>
      <c r="H837" s="391"/>
      <c r="I837" s="391"/>
      <c r="J837" s="391"/>
      <c r="K837" s="391"/>
      <c r="L837" s="391"/>
      <c r="M837" s="391"/>
      <c r="N837" s="391"/>
      <c r="O837" s="391"/>
      <c r="P837" s="391"/>
      <c r="Q837" s="391"/>
      <c r="R837" s="391"/>
      <c r="S837" s="391"/>
      <c r="T837" s="391"/>
      <c r="U837" s="391"/>
      <c r="V837" s="391"/>
      <c r="W837" s="391"/>
      <c r="X837" s="391"/>
      <c r="Y837" s="391"/>
      <c r="Z837" s="391"/>
      <c r="AA837" s="391"/>
      <c r="AB837" s="391"/>
      <c r="AC837" s="391"/>
      <c r="AD837" s="391"/>
      <c r="AE837" s="391"/>
    </row>
    <row r="838">
      <c r="A838" s="391"/>
      <c r="B838" s="391"/>
      <c r="C838" s="391"/>
      <c r="D838" s="391"/>
      <c r="E838" s="391"/>
      <c r="F838" s="391"/>
      <c r="G838" s="391"/>
      <c r="H838" s="391"/>
      <c r="I838" s="391"/>
      <c r="J838" s="391"/>
      <c r="K838" s="391"/>
      <c r="L838" s="391"/>
      <c r="M838" s="391"/>
      <c r="N838" s="391"/>
      <c r="O838" s="391"/>
      <c r="P838" s="391"/>
      <c r="Q838" s="391"/>
      <c r="R838" s="391"/>
      <c r="S838" s="391"/>
      <c r="T838" s="391"/>
      <c r="U838" s="391"/>
      <c r="V838" s="391"/>
      <c r="W838" s="391"/>
      <c r="X838" s="391"/>
      <c r="Y838" s="391"/>
      <c r="Z838" s="391"/>
      <c r="AA838" s="391"/>
      <c r="AB838" s="391"/>
      <c r="AC838" s="391"/>
      <c r="AD838" s="391"/>
      <c r="AE838" s="391"/>
    </row>
    <row r="839">
      <c r="A839" s="391"/>
      <c r="B839" s="391"/>
      <c r="C839" s="391"/>
      <c r="D839" s="391"/>
      <c r="E839" s="391"/>
      <c r="F839" s="391"/>
      <c r="G839" s="391"/>
      <c r="H839" s="391"/>
      <c r="I839" s="391"/>
      <c r="J839" s="391"/>
      <c r="K839" s="391"/>
      <c r="L839" s="391"/>
      <c r="M839" s="391"/>
      <c r="N839" s="391"/>
      <c r="O839" s="391"/>
      <c r="P839" s="391"/>
      <c r="Q839" s="391"/>
      <c r="R839" s="391"/>
      <c r="S839" s="391"/>
      <c r="T839" s="391"/>
      <c r="U839" s="391"/>
      <c r="V839" s="391"/>
      <c r="W839" s="391"/>
      <c r="X839" s="391"/>
      <c r="Y839" s="391"/>
      <c r="Z839" s="391"/>
      <c r="AA839" s="391"/>
      <c r="AB839" s="391"/>
      <c r="AC839" s="391"/>
      <c r="AD839" s="391"/>
      <c r="AE839" s="391"/>
    </row>
    <row r="840">
      <c r="A840" s="391"/>
      <c r="B840" s="391"/>
      <c r="C840" s="391"/>
      <c r="D840" s="391"/>
      <c r="E840" s="391"/>
      <c r="F840" s="391"/>
      <c r="G840" s="391"/>
      <c r="H840" s="391"/>
      <c r="I840" s="391"/>
      <c r="J840" s="391"/>
      <c r="K840" s="391"/>
      <c r="L840" s="391"/>
      <c r="M840" s="391"/>
      <c r="N840" s="391"/>
      <c r="O840" s="391"/>
      <c r="P840" s="391"/>
      <c r="Q840" s="391"/>
      <c r="R840" s="391"/>
      <c r="S840" s="391"/>
      <c r="T840" s="391"/>
      <c r="U840" s="391"/>
      <c r="V840" s="391"/>
      <c r="W840" s="391"/>
      <c r="X840" s="391"/>
      <c r="Y840" s="391"/>
      <c r="Z840" s="391"/>
      <c r="AA840" s="391"/>
      <c r="AB840" s="391"/>
      <c r="AC840" s="391"/>
      <c r="AD840" s="391"/>
      <c r="AE840" s="391"/>
    </row>
    <row r="841">
      <c r="A841" s="391"/>
      <c r="B841" s="391"/>
      <c r="C841" s="391"/>
      <c r="D841" s="391"/>
      <c r="E841" s="391"/>
      <c r="F841" s="391"/>
      <c r="G841" s="391"/>
      <c r="H841" s="391"/>
      <c r="I841" s="391"/>
      <c r="J841" s="391"/>
      <c r="K841" s="391"/>
      <c r="L841" s="391"/>
      <c r="M841" s="391"/>
      <c r="N841" s="391"/>
      <c r="O841" s="391"/>
      <c r="P841" s="391"/>
      <c r="Q841" s="391"/>
      <c r="R841" s="391"/>
      <c r="S841" s="391"/>
      <c r="T841" s="391"/>
      <c r="U841" s="391"/>
      <c r="V841" s="391"/>
      <c r="W841" s="391"/>
      <c r="X841" s="391"/>
      <c r="Y841" s="391"/>
      <c r="Z841" s="391"/>
      <c r="AA841" s="391"/>
      <c r="AB841" s="391"/>
      <c r="AC841" s="391"/>
      <c r="AD841" s="391"/>
      <c r="AE841" s="391"/>
    </row>
    <row r="842">
      <c r="A842" s="391"/>
      <c r="B842" s="391"/>
      <c r="C842" s="391"/>
      <c r="D842" s="391"/>
      <c r="E842" s="391"/>
      <c r="F842" s="391"/>
      <c r="G842" s="391"/>
      <c r="H842" s="391"/>
      <c r="I842" s="391"/>
      <c r="J842" s="391"/>
      <c r="K842" s="391"/>
      <c r="L842" s="391"/>
      <c r="M842" s="391"/>
      <c r="N842" s="391"/>
      <c r="O842" s="391"/>
      <c r="P842" s="391"/>
      <c r="Q842" s="391"/>
      <c r="R842" s="391"/>
      <c r="S842" s="391"/>
      <c r="T842" s="391"/>
      <c r="U842" s="391"/>
      <c r="V842" s="391"/>
      <c r="W842" s="391"/>
      <c r="X842" s="391"/>
      <c r="Y842" s="391"/>
      <c r="Z842" s="391"/>
      <c r="AA842" s="391"/>
      <c r="AB842" s="391"/>
      <c r="AC842" s="391"/>
      <c r="AD842" s="391"/>
      <c r="AE842" s="391"/>
    </row>
    <row r="843">
      <c r="A843" s="391"/>
      <c r="B843" s="391"/>
      <c r="C843" s="391"/>
      <c r="D843" s="391"/>
      <c r="E843" s="391"/>
      <c r="F843" s="391"/>
      <c r="G843" s="391"/>
      <c r="H843" s="391"/>
      <c r="I843" s="391"/>
      <c r="J843" s="391"/>
      <c r="K843" s="391"/>
      <c r="L843" s="391"/>
      <c r="M843" s="391"/>
      <c r="N843" s="391"/>
      <c r="O843" s="391"/>
      <c r="P843" s="391"/>
      <c r="Q843" s="391"/>
      <c r="R843" s="391"/>
      <c r="S843" s="391"/>
      <c r="T843" s="391"/>
      <c r="U843" s="391"/>
      <c r="V843" s="391"/>
      <c r="W843" s="391"/>
      <c r="X843" s="391"/>
      <c r="Y843" s="391"/>
      <c r="Z843" s="391"/>
      <c r="AA843" s="391"/>
      <c r="AB843" s="391"/>
      <c r="AC843" s="391"/>
      <c r="AD843" s="391"/>
      <c r="AE843" s="391"/>
    </row>
    <row r="844">
      <c r="A844" s="391"/>
      <c r="B844" s="391"/>
      <c r="C844" s="391"/>
      <c r="D844" s="391"/>
      <c r="E844" s="391"/>
      <c r="F844" s="391"/>
      <c r="G844" s="391"/>
      <c r="H844" s="391"/>
      <c r="I844" s="391"/>
      <c r="J844" s="391"/>
      <c r="K844" s="391"/>
      <c r="L844" s="391"/>
      <c r="M844" s="391"/>
      <c r="N844" s="391"/>
      <c r="O844" s="391"/>
      <c r="P844" s="391"/>
      <c r="Q844" s="391"/>
      <c r="R844" s="391"/>
      <c r="S844" s="391"/>
      <c r="T844" s="391"/>
      <c r="U844" s="391"/>
      <c r="V844" s="391"/>
      <c r="W844" s="391"/>
      <c r="X844" s="391"/>
      <c r="Y844" s="391"/>
      <c r="Z844" s="391"/>
      <c r="AA844" s="391"/>
      <c r="AB844" s="391"/>
      <c r="AC844" s="391"/>
      <c r="AD844" s="391"/>
      <c r="AE844" s="391"/>
    </row>
    <row r="845">
      <c r="A845" s="391"/>
      <c r="B845" s="391"/>
      <c r="C845" s="391"/>
      <c r="D845" s="391"/>
      <c r="E845" s="391"/>
      <c r="F845" s="391"/>
      <c r="G845" s="391"/>
      <c r="H845" s="391"/>
      <c r="I845" s="391"/>
      <c r="J845" s="391"/>
      <c r="K845" s="391"/>
      <c r="L845" s="391"/>
      <c r="M845" s="391"/>
      <c r="N845" s="391"/>
      <c r="O845" s="391"/>
      <c r="P845" s="391"/>
      <c r="Q845" s="391"/>
      <c r="R845" s="391"/>
      <c r="S845" s="391"/>
      <c r="T845" s="391"/>
      <c r="U845" s="391"/>
      <c r="V845" s="391"/>
      <c r="W845" s="391"/>
      <c r="X845" s="391"/>
      <c r="Y845" s="391"/>
      <c r="Z845" s="391"/>
      <c r="AA845" s="391"/>
      <c r="AB845" s="391"/>
      <c r="AC845" s="391"/>
      <c r="AD845" s="391"/>
      <c r="AE845" s="391"/>
    </row>
    <row r="846">
      <c r="A846" s="391"/>
      <c r="B846" s="391"/>
      <c r="C846" s="391"/>
      <c r="D846" s="391"/>
      <c r="E846" s="391"/>
      <c r="F846" s="391"/>
      <c r="G846" s="391"/>
      <c r="H846" s="391"/>
      <c r="I846" s="391"/>
      <c r="J846" s="391"/>
      <c r="K846" s="391"/>
      <c r="L846" s="391"/>
      <c r="M846" s="391"/>
      <c r="N846" s="391"/>
      <c r="O846" s="391"/>
      <c r="P846" s="391"/>
      <c r="Q846" s="391"/>
      <c r="R846" s="391"/>
      <c r="S846" s="391"/>
      <c r="T846" s="391"/>
      <c r="U846" s="391"/>
      <c r="V846" s="391"/>
      <c r="W846" s="391"/>
      <c r="X846" s="391"/>
      <c r="Y846" s="391"/>
      <c r="Z846" s="391"/>
      <c r="AA846" s="391"/>
      <c r="AB846" s="391"/>
      <c r="AC846" s="391"/>
      <c r="AD846" s="391"/>
      <c r="AE846" s="391"/>
    </row>
    <row r="847">
      <c r="A847" s="391"/>
      <c r="B847" s="391"/>
      <c r="C847" s="391"/>
      <c r="D847" s="391"/>
      <c r="E847" s="391"/>
      <c r="F847" s="391"/>
      <c r="G847" s="391"/>
      <c r="H847" s="391"/>
      <c r="I847" s="391"/>
      <c r="J847" s="391"/>
      <c r="K847" s="391"/>
      <c r="L847" s="391"/>
      <c r="M847" s="391"/>
      <c r="N847" s="391"/>
      <c r="O847" s="391"/>
      <c r="P847" s="391"/>
      <c r="Q847" s="391"/>
      <c r="R847" s="391"/>
      <c r="S847" s="391"/>
      <c r="T847" s="391"/>
      <c r="U847" s="391"/>
      <c r="V847" s="391"/>
      <c r="W847" s="391"/>
      <c r="X847" s="391"/>
      <c r="Y847" s="391"/>
      <c r="Z847" s="391"/>
      <c r="AA847" s="391"/>
      <c r="AB847" s="391"/>
      <c r="AC847" s="391"/>
      <c r="AD847" s="391"/>
      <c r="AE847" s="391"/>
    </row>
    <row r="848">
      <c r="A848" s="391"/>
      <c r="B848" s="391"/>
      <c r="C848" s="391"/>
      <c r="D848" s="391"/>
      <c r="E848" s="391"/>
      <c r="F848" s="391"/>
      <c r="G848" s="391"/>
      <c r="H848" s="391"/>
      <c r="I848" s="391"/>
      <c r="J848" s="391"/>
      <c r="K848" s="391"/>
      <c r="L848" s="391"/>
      <c r="M848" s="391"/>
      <c r="N848" s="391"/>
      <c r="O848" s="391"/>
      <c r="P848" s="391"/>
      <c r="Q848" s="391"/>
      <c r="R848" s="391"/>
      <c r="S848" s="391"/>
      <c r="T848" s="391"/>
      <c r="U848" s="391"/>
      <c r="V848" s="391"/>
      <c r="W848" s="391"/>
      <c r="X848" s="391"/>
      <c r="Y848" s="391"/>
      <c r="Z848" s="391"/>
      <c r="AA848" s="391"/>
      <c r="AB848" s="391"/>
      <c r="AC848" s="391"/>
      <c r="AD848" s="391"/>
      <c r="AE848" s="391"/>
    </row>
    <row r="849">
      <c r="A849" s="391"/>
      <c r="B849" s="391"/>
      <c r="C849" s="391"/>
      <c r="D849" s="391"/>
      <c r="E849" s="391"/>
      <c r="F849" s="391"/>
      <c r="G849" s="391"/>
      <c r="H849" s="391"/>
      <c r="I849" s="391"/>
      <c r="J849" s="391"/>
      <c r="K849" s="391"/>
      <c r="L849" s="391"/>
      <c r="M849" s="391"/>
      <c r="N849" s="391"/>
      <c r="O849" s="391"/>
      <c r="P849" s="391"/>
      <c r="Q849" s="391"/>
      <c r="R849" s="391"/>
      <c r="S849" s="391"/>
      <c r="T849" s="391"/>
      <c r="U849" s="391"/>
      <c r="V849" s="391"/>
      <c r="W849" s="391"/>
      <c r="X849" s="391"/>
      <c r="Y849" s="391"/>
      <c r="Z849" s="391"/>
      <c r="AA849" s="391"/>
      <c r="AB849" s="391"/>
      <c r="AC849" s="391"/>
      <c r="AD849" s="391"/>
      <c r="AE849" s="391"/>
    </row>
    <row r="850">
      <c r="A850" s="391"/>
      <c r="B850" s="391"/>
      <c r="C850" s="391"/>
      <c r="D850" s="391"/>
      <c r="E850" s="391"/>
      <c r="F850" s="391"/>
      <c r="G850" s="391"/>
      <c r="H850" s="391"/>
      <c r="I850" s="391"/>
      <c r="J850" s="391"/>
      <c r="K850" s="391"/>
      <c r="L850" s="391"/>
      <c r="M850" s="391"/>
      <c r="N850" s="391"/>
      <c r="O850" s="391"/>
      <c r="P850" s="391"/>
      <c r="Q850" s="391"/>
      <c r="R850" s="391"/>
      <c r="S850" s="391"/>
      <c r="T850" s="391"/>
      <c r="U850" s="391"/>
      <c r="V850" s="391"/>
      <c r="W850" s="391"/>
      <c r="X850" s="391"/>
      <c r="Y850" s="391"/>
      <c r="Z850" s="391"/>
      <c r="AA850" s="391"/>
      <c r="AB850" s="391"/>
      <c r="AC850" s="391"/>
      <c r="AD850" s="391"/>
      <c r="AE850" s="391"/>
    </row>
    <row r="851">
      <c r="A851" s="391"/>
      <c r="B851" s="391"/>
      <c r="C851" s="391"/>
      <c r="D851" s="391"/>
      <c r="E851" s="391"/>
      <c r="F851" s="391"/>
      <c r="G851" s="391"/>
      <c r="H851" s="391"/>
      <c r="I851" s="391"/>
      <c r="J851" s="391"/>
      <c r="K851" s="391"/>
      <c r="L851" s="391"/>
      <c r="M851" s="391"/>
      <c r="N851" s="391"/>
      <c r="O851" s="391"/>
      <c r="P851" s="391"/>
      <c r="Q851" s="391"/>
      <c r="R851" s="391"/>
      <c r="S851" s="391"/>
      <c r="T851" s="391"/>
      <c r="U851" s="391"/>
      <c r="V851" s="391"/>
      <c r="W851" s="391"/>
      <c r="X851" s="391"/>
      <c r="Y851" s="391"/>
      <c r="Z851" s="391"/>
      <c r="AA851" s="391"/>
      <c r="AB851" s="391"/>
      <c r="AC851" s="391"/>
      <c r="AD851" s="391"/>
      <c r="AE851" s="391"/>
    </row>
    <row r="852">
      <c r="A852" s="391"/>
      <c r="B852" s="391"/>
      <c r="C852" s="391"/>
      <c r="D852" s="391"/>
      <c r="E852" s="391"/>
      <c r="F852" s="391"/>
      <c r="G852" s="391"/>
      <c r="H852" s="391"/>
      <c r="I852" s="391"/>
      <c r="J852" s="391"/>
      <c r="K852" s="391"/>
      <c r="L852" s="391"/>
      <c r="M852" s="391"/>
      <c r="N852" s="391"/>
      <c r="O852" s="391"/>
      <c r="P852" s="391"/>
      <c r="Q852" s="391"/>
      <c r="R852" s="391"/>
      <c r="S852" s="391"/>
      <c r="T852" s="391"/>
      <c r="U852" s="391"/>
      <c r="V852" s="391"/>
      <c r="W852" s="391"/>
      <c r="X852" s="391"/>
      <c r="Y852" s="391"/>
      <c r="Z852" s="391"/>
      <c r="AA852" s="391"/>
      <c r="AB852" s="391"/>
      <c r="AC852" s="391"/>
      <c r="AD852" s="391"/>
      <c r="AE852" s="391"/>
    </row>
    <row r="853">
      <c r="A853" s="391"/>
      <c r="B853" s="391"/>
      <c r="C853" s="391"/>
      <c r="D853" s="391"/>
      <c r="E853" s="391"/>
      <c r="F853" s="391"/>
      <c r="G853" s="391"/>
      <c r="H853" s="391"/>
      <c r="I853" s="391"/>
      <c r="J853" s="391"/>
      <c r="K853" s="391"/>
      <c r="L853" s="391"/>
      <c r="M853" s="391"/>
      <c r="N853" s="391"/>
      <c r="O853" s="391"/>
      <c r="P853" s="391"/>
      <c r="Q853" s="391"/>
      <c r="R853" s="391"/>
      <c r="S853" s="391"/>
      <c r="T853" s="391"/>
      <c r="U853" s="391"/>
      <c r="V853" s="391"/>
      <c r="W853" s="391"/>
      <c r="X853" s="391"/>
      <c r="Y853" s="391"/>
      <c r="Z853" s="391"/>
      <c r="AA853" s="391"/>
      <c r="AB853" s="391"/>
      <c r="AC853" s="391"/>
      <c r="AD853" s="391"/>
      <c r="AE853" s="391"/>
    </row>
    <row r="854">
      <c r="A854" s="391"/>
      <c r="B854" s="391"/>
      <c r="C854" s="391"/>
      <c r="D854" s="391"/>
      <c r="E854" s="391"/>
      <c r="F854" s="391"/>
      <c r="G854" s="391"/>
      <c r="H854" s="391"/>
      <c r="I854" s="391"/>
      <c r="J854" s="391"/>
      <c r="K854" s="391"/>
      <c r="L854" s="391"/>
      <c r="M854" s="391"/>
      <c r="N854" s="391"/>
      <c r="O854" s="391"/>
      <c r="P854" s="391"/>
      <c r="Q854" s="391"/>
      <c r="R854" s="391"/>
      <c r="S854" s="391"/>
      <c r="T854" s="391"/>
      <c r="U854" s="391"/>
      <c r="V854" s="391"/>
      <c r="W854" s="391"/>
      <c r="X854" s="391"/>
      <c r="Y854" s="391"/>
      <c r="Z854" s="391"/>
      <c r="AA854" s="391"/>
      <c r="AB854" s="391"/>
      <c r="AC854" s="391"/>
      <c r="AD854" s="391"/>
      <c r="AE854" s="391"/>
    </row>
    <row r="855">
      <c r="A855" s="391"/>
      <c r="B855" s="391"/>
      <c r="C855" s="391"/>
      <c r="D855" s="391"/>
      <c r="E855" s="391"/>
      <c r="F855" s="391"/>
      <c r="G855" s="391"/>
      <c r="H855" s="391"/>
      <c r="I855" s="391"/>
      <c r="J855" s="391"/>
      <c r="K855" s="391"/>
      <c r="L855" s="391"/>
      <c r="M855" s="391"/>
      <c r="N855" s="391"/>
      <c r="O855" s="391"/>
      <c r="P855" s="391"/>
      <c r="Q855" s="391"/>
      <c r="R855" s="391"/>
      <c r="S855" s="391"/>
      <c r="T855" s="391"/>
      <c r="U855" s="391"/>
      <c r="V855" s="391"/>
      <c r="W855" s="391"/>
      <c r="X855" s="391"/>
      <c r="Y855" s="391"/>
      <c r="Z855" s="391"/>
      <c r="AA855" s="391"/>
      <c r="AB855" s="391"/>
      <c r="AC855" s="391"/>
      <c r="AD855" s="391"/>
      <c r="AE855" s="391"/>
    </row>
    <row r="856">
      <c r="A856" s="391"/>
      <c r="B856" s="391"/>
      <c r="C856" s="391"/>
      <c r="D856" s="391"/>
      <c r="E856" s="391"/>
      <c r="F856" s="391"/>
      <c r="G856" s="391"/>
      <c r="H856" s="391"/>
      <c r="I856" s="391"/>
      <c r="J856" s="391"/>
      <c r="K856" s="391"/>
      <c r="L856" s="391"/>
      <c r="M856" s="391"/>
      <c r="N856" s="391"/>
      <c r="O856" s="391"/>
      <c r="P856" s="391"/>
      <c r="Q856" s="391"/>
      <c r="R856" s="391"/>
      <c r="S856" s="391"/>
      <c r="T856" s="391"/>
      <c r="U856" s="391"/>
      <c r="V856" s="391"/>
      <c r="W856" s="391"/>
      <c r="X856" s="391"/>
      <c r="Y856" s="391"/>
      <c r="Z856" s="391"/>
      <c r="AA856" s="391"/>
      <c r="AB856" s="391"/>
      <c r="AC856" s="391"/>
      <c r="AD856" s="391"/>
      <c r="AE856" s="391"/>
    </row>
    <row r="857">
      <c r="A857" s="391"/>
      <c r="B857" s="391"/>
      <c r="C857" s="391"/>
      <c r="D857" s="391"/>
      <c r="E857" s="391"/>
      <c r="F857" s="391"/>
      <c r="G857" s="391"/>
      <c r="H857" s="391"/>
      <c r="I857" s="391"/>
      <c r="J857" s="391"/>
      <c r="K857" s="391"/>
      <c r="L857" s="391"/>
      <c r="M857" s="391"/>
      <c r="N857" s="391"/>
      <c r="O857" s="391"/>
      <c r="P857" s="391"/>
      <c r="Q857" s="391"/>
      <c r="R857" s="391"/>
      <c r="S857" s="391"/>
      <c r="T857" s="391"/>
      <c r="U857" s="391"/>
      <c r="V857" s="391"/>
      <c r="W857" s="391"/>
      <c r="X857" s="391"/>
      <c r="Y857" s="391"/>
      <c r="Z857" s="391"/>
      <c r="AA857" s="391"/>
      <c r="AB857" s="391"/>
      <c r="AC857" s="391"/>
      <c r="AD857" s="391"/>
      <c r="AE857" s="391"/>
    </row>
    <row r="858">
      <c r="A858" s="391"/>
      <c r="B858" s="391"/>
      <c r="C858" s="391"/>
      <c r="D858" s="391"/>
      <c r="E858" s="391"/>
      <c r="F858" s="391"/>
      <c r="G858" s="391"/>
      <c r="H858" s="391"/>
      <c r="I858" s="391"/>
      <c r="J858" s="391"/>
      <c r="K858" s="391"/>
      <c r="L858" s="391"/>
      <c r="M858" s="391"/>
      <c r="N858" s="391"/>
      <c r="O858" s="391"/>
      <c r="P858" s="391"/>
      <c r="Q858" s="391"/>
      <c r="R858" s="391"/>
      <c r="S858" s="391"/>
      <c r="T858" s="391"/>
      <c r="U858" s="391"/>
      <c r="V858" s="391"/>
      <c r="W858" s="391"/>
      <c r="X858" s="391"/>
      <c r="Y858" s="391"/>
      <c r="Z858" s="391"/>
      <c r="AA858" s="391"/>
      <c r="AB858" s="391"/>
      <c r="AC858" s="391"/>
      <c r="AD858" s="391"/>
      <c r="AE858" s="391"/>
    </row>
    <row r="859">
      <c r="A859" s="391"/>
      <c r="B859" s="391"/>
      <c r="C859" s="391"/>
      <c r="D859" s="391"/>
      <c r="E859" s="391"/>
      <c r="F859" s="391"/>
      <c r="G859" s="391"/>
      <c r="H859" s="391"/>
      <c r="I859" s="391"/>
      <c r="J859" s="391"/>
      <c r="K859" s="391"/>
      <c r="L859" s="391"/>
      <c r="M859" s="391"/>
      <c r="N859" s="391"/>
      <c r="O859" s="391"/>
      <c r="P859" s="391"/>
      <c r="Q859" s="391"/>
      <c r="R859" s="391"/>
      <c r="S859" s="391"/>
      <c r="T859" s="391"/>
      <c r="U859" s="391"/>
      <c r="V859" s="391"/>
      <c r="W859" s="391"/>
      <c r="X859" s="391"/>
      <c r="Y859" s="391"/>
      <c r="Z859" s="391"/>
      <c r="AA859" s="391"/>
      <c r="AB859" s="391"/>
      <c r="AC859" s="391"/>
      <c r="AD859" s="391"/>
      <c r="AE859" s="391"/>
    </row>
    <row r="860">
      <c r="A860" s="391"/>
      <c r="B860" s="391"/>
      <c r="C860" s="391"/>
      <c r="D860" s="391"/>
      <c r="E860" s="391"/>
      <c r="F860" s="391"/>
      <c r="G860" s="391"/>
      <c r="H860" s="391"/>
      <c r="I860" s="391"/>
      <c r="J860" s="391"/>
      <c r="K860" s="391"/>
      <c r="L860" s="391"/>
      <c r="M860" s="391"/>
      <c r="N860" s="391"/>
      <c r="O860" s="391"/>
      <c r="P860" s="391"/>
      <c r="Q860" s="391"/>
      <c r="R860" s="391"/>
      <c r="S860" s="391"/>
      <c r="T860" s="391"/>
      <c r="U860" s="391"/>
      <c r="V860" s="391"/>
      <c r="W860" s="391"/>
      <c r="X860" s="391"/>
      <c r="Y860" s="391"/>
      <c r="Z860" s="391"/>
      <c r="AA860" s="391"/>
      <c r="AB860" s="391"/>
      <c r="AC860" s="391"/>
      <c r="AD860" s="391"/>
      <c r="AE860" s="391"/>
    </row>
    <row r="861">
      <c r="A861" s="391"/>
      <c r="B861" s="391"/>
      <c r="C861" s="391"/>
      <c r="D861" s="391"/>
      <c r="E861" s="391"/>
      <c r="F861" s="391"/>
      <c r="G861" s="391"/>
      <c r="H861" s="391"/>
      <c r="I861" s="391"/>
      <c r="J861" s="391"/>
      <c r="K861" s="391"/>
      <c r="L861" s="391"/>
      <c r="M861" s="391"/>
      <c r="N861" s="391"/>
      <c r="O861" s="391"/>
      <c r="P861" s="391"/>
      <c r="Q861" s="391"/>
      <c r="R861" s="391"/>
      <c r="S861" s="391"/>
      <c r="T861" s="391"/>
      <c r="U861" s="391"/>
      <c r="V861" s="391"/>
      <c r="W861" s="391"/>
      <c r="X861" s="391"/>
      <c r="Y861" s="391"/>
      <c r="Z861" s="391"/>
      <c r="AA861" s="391"/>
      <c r="AB861" s="391"/>
      <c r="AC861" s="391"/>
      <c r="AD861" s="391"/>
      <c r="AE861" s="391"/>
    </row>
    <row r="862">
      <c r="A862" s="391"/>
      <c r="B862" s="391"/>
      <c r="C862" s="391"/>
      <c r="D862" s="391"/>
      <c r="E862" s="391"/>
      <c r="F862" s="391"/>
      <c r="G862" s="391"/>
      <c r="H862" s="391"/>
      <c r="I862" s="391"/>
      <c r="J862" s="391"/>
      <c r="K862" s="391"/>
      <c r="L862" s="391"/>
      <c r="M862" s="391"/>
      <c r="N862" s="391"/>
      <c r="O862" s="391"/>
      <c r="P862" s="391"/>
      <c r="Q862" s="391"/>
      <c r="R862" s="391"/>
      <c r="S862" s="391"/>
      <c r="T862" s="391"/>
      <c r="U862" s="391"/>
      <c r="V862" s="391"/>
      <c r="W862" s="391"/>
      <c r="X862" s="391"/>
      <c r="Y862" s="391"/>
      <c r="Z862" s="391"/>
      <c r="AA862" s="391"/>
      <c r="AB862" s="391"/>
      <c r="AC862" s="391"/>
      <c r="AD862" s="391"/>
      <c r="AE862" s="391"/>
    </row>
    <row r="863">
      <c r="A863" s="391"/>
      <c r="B863" s="391"/>
      <c r="C863" s="391"/>
      <c r="D863" s="391"/>
      <c r="E863" s="391"/>
      <c r="F863" s="391"/>
      <c r="G863" s="391"/>
      <c r="H863" s="391"/>
      <c r="I863" s="391"/>
      <c r="J863" s="391"/>
      <c r="K863" s="391"/>
      <c r="L863" s="391"/>
      <c r="M863" s="391"/>
      <c r="N863" s="391"/>
      <c r="O863" s="391"/>
      <c r="P863" s="391"/>
      <c r="Q863" s="391"/>
      <c r="R863" s="391"/>
      <c r="S863" s="391"/>
      <c r="T863" s="391"/>
      <c r="U863" s="391"/>
      <c r="V863" s="391"/>
      <c r="W863" s="391"/>
      <c r="X863" s="391"/>
      <c r="Y863" s="391"/>
      <c r="Z863" s="391"/>
      <c r="AA863" s="391"/>
      <c r="AB863" s="391"/>
      <c r="AC863" s="391"/>
      <c r="AD863" s="391"/>
      <c r="AE863" s="391"/>
    </row>
    <row r="864">
      <c r="A864" s="391"/>
      <c r="B864" s="391"/>
      <c r="C864" s="391"/>
      <c r="D864" s="391"/>
      <c r="E864" s="391"/>
      <c r="F864" s="391"/>
      <c r="G864" s="391"/>
      <c r="H864" s="391"/>
      <c r="I864" s="391"/>
      <c r="J864" s="391"/>
      <c r="K864" s="391"/>
      <c r="L864" s="391"/>
      <c r="M864" s="391"/>
      <c r="N864" s="391"/>
      <c r="O864" s="391"/>
      <c r="P864" s="391"/>
      <c r="Q864" s="391"/>
      <c r="R864" s="391"/>
      <c r="S864" s="391"/>
      <c r="T864" s="391"/>
      <c r="U864" s="391"/>
      <c r="V864" s="391"/>
      <c r="W864" s="391"/>
      <c r="X864" s="391"/>
      <c r="Y864" s="391"/>
      <c r="Z864" s="391"/>
      <c r="AA864" s="391"/>
      <c r="AB864" s="391"/>
      <c r="AC864" s="391"/>
      <c r="AD864" s="391"/>
      <c r="AE864" s="391"/>
    </row>
    <row r="865">
      <c r="A865" s="391"/>
      <c r="B865" s="391"/>
      <c r="C865" s="391"/>
      <c r="D865" s="391"/>
      <c r="E865" s="391"/>
      <c r="F865" s="391"/>
      <c r="G865" s="391"/>
      <c r="H865" s="391"/>
      <c r="I865" s="391"/>
      <c r="J865" s="391"/>
      <c r="K865" s="391"/>
      <c r="L865" s="391"/>
      <c r="M865" s="391"/>
      <c r="N865" s="391"/>
      <c r="O865" s="391"/>
      <c r="P865" s="391"/>
      <c r="Q865" s="391"/>
      <c r="R865" s="391"/>
      <c r="S865" s="391"/>
      <c r="T865" s="391"/>
      <c r="U865" s="391"/>
      <c r="V865" s="391"/>
      <c r="W865" s="391"/>
      <c r="X865" s="391"/>
      <c r="Y865" s="391"/>
      <c r="Z865" s="391"/>
      <c r="AA865" s="391"/>
      <c r="AB865" s="391"/>
      <c r="AC865" s="391"/>
      <c r="AD865" s="391"/>
      <c r="AE865" s="391"/>
    </row>
    <row r="866">
      <c r="A866" s="391"/>
      <c r="B866" s="391"/>
      <c r="C866" s="391"/>
      <c r="D866" s="391"/>
      <c r="E866" s="391"/>
      <c r="F866" s="391"/>
      <c r="G866" s="391"/>
      <c r="H866" s="391"/>
      <c r="I866" s="391"/>
      <c r="J866" s="391"/>
      <c r="K866" s="391"/>
      <c r="L866" s="391"/>
      <c r="M866" s="391"/>
      <c r="N866" s="391"/>
      <c r="O866" s="391"/>
      <c r="P866" s="391"/>
      <c r="Q866" s="391"/>
      <c r="R866" s="391"/>
      <c r="S866" s="391"/>
      <c r="T866" s="391"/>
      <c r="U866" s="391"/>
      <c r="V866" s="391"/>
      <c r="W866" s="391"/>
      <c r="X866" s="391"/>
      <c r="Y866" s="391"/>
      <c r="Z866" s="391"/>
      <c r="AA866" s="391"/>
      <c r="AB866" s="391"/>
      <c r="AC866" s="391"/>
      <c r="AD866" s="391"/>
      <c r="AE866" s="391"/>
    </row>
    <row r="867">
      <c r="A867" s="391"/>
      <c r="B867" s="391"/>
      <c r="C867" s="391"/>
      <c r="D867" s="391"/>
      <c r="E867" s="391"/>
      <c r="F867" s="391"/>
      <c r="G867" s="391"/>
      <c r="H867" s="391"/>
      <c r="I867" s="391"/>
      <c r="J867" s="391"/>
      <c r="K867" s="391"/>
      <c r="L867" s="391"/>
      <c r="M867" s="391"/>
      <c r="N867" s="391"/>
      <c r="O867" s="391"/>
      <c r="P867" s="391"/>
      <c r="Q867" s="391"/>
      <c r="R867" s="391"/>
      <c r="S867" s="391"/>
      <c r="T867" s="391"/>
      <c r="U867" s="391"/>
      <c r="V867" s="391"/>
      <c r="W867" s="391"/>
      <c r="X867" s="391"/>
      <c r="Y867" s="391"/>
      <c r="Z867" s="391"/>
      <c r="AA867" s="391"/>
      <c r="AB867" s="391"/>
      <c r="AC867" s="391"/>
      <c r="AD867" s="391"/>
      <c r="AE867" s="391"/>
    </row>
    <row r="868">
      <c r="A868" s="391"/>
      <c r="B868" s="391"/>
      <c r="C868" s="391"/>
      <c r="D868" s="391"/>
      <c r="E868" s="391"/>
      <c r="F868" s="391"/>
      <c r="G868" s="391"/>
      <c r="H868" s="391"/>
      <c r="I868" s="391"/>
      <c r="J868" s="391"/>
      <c r="K868" s="391"/>
      <c r="L868" s="391"/>
      <c r="M868" s="391"/>
      <c r="N868" s="391"/>
      <c r="O868" s="391"/>
      <c r="P868" s="391"/>
      <c r="Q868" s="391"/>
      <c r="R868" s="391"/>
      <c r="S868" s="391"/>
      <c r="T868" s="391"/>
      <c r="U868" s="391"/>
      <c r="V868" s="391"/>
      <c r="W868" s="391"/>
      <c r="X868" s="391"/>
      <c r="Y868" s="391"/>
      <c r="Z868" s="391"/>
      <c r="AA868" s="391"/>
      <c r="AB868" s="391"/>
      <c r="AC868" s="391"/>
      <c r="AD868" s="391"/>
      <c r="AE868" s="391"/>
    </row>
    <row r="869">
      <c r="A869" s="391"/>
      <c r="B869" s="391"/>
      <c r="C869" s="391"/>
      <c r="D869" s="391"/>
      <c r="E869" s="391"/>
      <c r="F869" s="391"/>
      <c r="G869" s="391"/>
      <c r="H869" s="391"/>
      <c r="I869" s="391"/>
      <c r="J869" s="391"/>
      <c r="K869" s="391"/>
      <c r="L869" s="391"/>
      <c r="M869" s="391"/>
      <c r="N869" s="391"/>
      <c r="O869" s="391"/>
      <c r="P869" s="391"/>
      <c r="Q869" s="391"/>
      <c r="R869" s="391"/>
      <c r="S869" s="391"/>
      <c r="T869" s="391"/>
      <c r="U869" s="391"/>
      <c r="V869" s="391"/>
      <c r="W869" s="391"/>
      <c r="X869" s="391"/>
      <c r="Y869" s="391"/>
      <c r="Z869" s="391"/>
      <c r="AA869" s="391"/>
      <c r="AB869" s="391"/>
      <c r="AC869" s="391"/>
      <c r="AD869" s="391"/>
      <c r="AE869" s="391"/>
    </row>
    <row r="870">
      <c r="A870" s="391"/>
      <c r="B870" s="391"/>
      <c r="C870" s="391"/>
      <c r="D870" s="391"/>
      <c r="E870" s="391"/>
      <c r="F870" s="391"/>
      <c r="G870" s="391"/>
      <c r="H870" s="391"/>
      <c r="I870" s="391"/>
      <c r="J870" s="391"/>
      <c r="K870" s="391"/>
      <c r="L870" s="391"/>
      <c r="M870" s="391"/>
      <c r="N870" s="391"/>
      <c r="O870" s="391"/>
      <c r="P870" s="391"/>
      <c r="Q870" s="391"/>
      <c r="R870" s="391"/>
      <c r="S870" s="391"/>
      <c r="T870" s="391"/>
      <c r="U870" s="391"/>
      <c r="V870" s="391"/>
      <c r="W870" s="391"/>
      <c r="X870" s="391"/>
      <c r="Y870" s="391"/>
      <c r="Z870" s="391"/>
      <c r="AA870" s="391"/>
      <c r="AB870" s="391"/>
      <c r="AC870" s="391"/>
      <c r="AD870" s="391"/>
      <c r="AE870" s="391"/>
    </row>
    <row r="871">
      <c r="A871" s="391"/>
      <c r="B871" s="391"/>
      <c r="C871" s="391"/>
      <c r="D871" s="391"/>
      <c r="E871" s="391"/>
      <c r="F871" s="391"/>
      <c r="G871" s="391"/>
      <c r="H871" s="391"/>
      <c r="I871" s="391"/>
      <c r="J871" s="391"/>
      <c r="K871" s="391"/>
      <c r="L871" s="391"/>
      <c r="M871" s="391"/>
      <c r="N871" s="391"/>
      <c r="O871" s="391"/>
      <c r="P871" s="391"/>
      <c r="Q871" s="391"/>
      <c r="R871" s="391"/>
      <c r="S871" s="391"/>
      <c r="T871" s="391"/>
      <c r="U871" s="391"/>
      <c r="V871" s="391"/>
      <c r="W871" s="391"/>
      <c r="X871" s="391"/>
      <c r="Y871" s="391"/>
      <c r="Z871" s="391"/>
      <c r="AA871" s="391"/>
      <c r="AB871" s="391"/>
      <c r="AC871" s="391"/>
      <c r="AD871" s="391"/>
      <c r="AE871" s="391"/>
    </row>
    <row r="872">
      <c r="A872" s="391"/>
      <c r="B872" s="391"/>
      <c r="C872" s="391"/>
      <c r="D872" s="391"/>
      <c r="E872" s="391"/>
      <c r="F872" s="391"/>
      <c r="G872" s="391"/>
      <c r="H872" s="391"/>
      <c r="I872" s="391"/>
      <c r="J872" s="391"/>
      <c r="K872" s="391"/>
      <c r="L872" s="391"/>
      <c r="M872" s="391"/>
      <c r="N872" s="391"/>
      <c r="O872" s="391"/>
      <c r="P872" s="391"/>
      <c r="Q872" s="391"/>
      <c r="R872" s="391"/>
      <c r="S872" s="391"/>
      <c r="T872" s="391"/>
      <c r="U872" s="391"/>
      <c r="V872" s="391"/>
      <c r="W872" s="391"/>
      <c r="X872" s="391"/>
      <c r="Y872" s="391"/>
      <c r="Z872" s="391"/>
      <c r="AA872" s="391"/>
      <c r="AB872" s="391"/>
      <c r="AC872" s="391"/>
      <c r="AD872" s="391"/>
      <c r="AE872" s="391"/>
    </row>
    <row r="873">
      <c r="A873" s="391"/>
      <c r="B873" s="391"/>
      <c r="C873" s="391"/>
      <c r="D873" s="391"/>
      <c r="E873" s="391"/>
      <c r="F873" s="391"/>
      <c r="G873" s="391"/>
      <c r="H873" s="391"/>
      <c r="I873" s="391"/>
      <c r="J873" s="391"/>
      <c r="K873" s="391"/>
      <c r="L873" s="391"/>
      <c r="M873" s="391"/>
      <c r="N873" s="391"/>
      <c r="O873" s="391"/>
      <c r="P873" s="391"/>
      <c r="Q873" s="391"/>
      <c r="R873" s="391"/>
      <c r="S873" s="391"/>
      <c r="T873" s="391"/>
      <c r="U873" s="391"/>
      <c r="V873" s="391"/>
      <c r="W873" s="391"/>
      <c r="X873" s="391"/>
      <c r="Y873" s="391"/>
      <c r="Z873" s="391"/>
      <c r="AA873" s="391"/>
      <c r="AB873" s="391"/>
      <c r="AC873" s="391"/>
      <c r="AD873" s="391"/>
      <c r="AE873" s="391"/>
    </row>
    <row r="874">
      <c r="A874" s="391"/>
      <c r="B874" s="391"/>
      <c r="C874" s="391"/>
      <c r="D874" s="391"/>
      <c r="E874" s="391"/>
      <c r="F874" s="391"/>
      <c r="G874" s="391"/>
      <c r="H874" s="391"/>
      <c r="I874" s="391"/>
      <c r="J874" s="391"/>
      <c r="K874" s="391"/>
      <c r="L874" s="391"/>
      <c r="M874" s="391"/>
      <c r="N874" s="391"/>
      <c r="O874" s="391"/>
      <c r="P874" s="391"/>
      <c r="Q874" s="391"/>
      <c r="R874" s="391"/>
      <c r="S874" s="391"/>
      <c r="T874" s="391"/>
      <c r="U874" s="391"/>
      <c r="V874" s="391"/>
      <c r="W874" s="391"/>
      <c r="X874" s="391"/>
      <c r="Y874" s="391"/>
      <c r="Z874" s="391"/>
      <c r="AA874" s="391"/>
      <c r="AB874" s="391"/>
      <c r="AC874" s="391"/>
      <c r="AD874" s="391"/>
      <c r="AE874" s="391"/>
    </row>
    <row r="875">
      <c r="A875" s="391"/>
      <c r="B875" s="391"/>
      <c r="C875" s="391"/>
      <c r="D875" s="391"/>
      <c r="E875" s="391"/>
      <c r="F875" s="391"/>
      <c r="G875" s="391"/>
      <c r="H875" s="391"/>
      <c r="I875" s="391"/>
      <c r="J875" s="391"/>
      <c r="K875" s="391"/>
      <c r="L875" s="391"/>
      <c r="M875" s="391"/>
      <c r="N875" s="391"/>
      <c r="O875" s="391"/>
      <c r="P875" s="391"/>
      <c r="Q875" s="391"/>
      <c r="R875" s="391"/>
      <c r="S875" s="391"/>
      <c r="T875" s="391"/>
      <c r="U875" s="391"/>
      <c r="V875" s="391"/>
      <c r="W875" s="391"/>
      <c r="X875" s="391"/>
      <c r="Y875" s="391"/>
      <c r="Z875" s="391"/>
      <c r="AA875" s="391"/>
      <c r="AB875" s="391"/>
      <c r="AC875" s="391"/>
      <c r="AD875" s="391"/>
      <c r="AE875" s="391"/>
    </row>
    <row r="876">
      <c r="A876" s="391"/>
      <c r="B876" s="391"/>
      <c r="C876" s="391"/>
      <c r="D876" s="391"/>
      <c r="E876" s="391"/>
      <c r="F876" s="391"/>
      <c r="G876" s="391"/>
      <c r="H876" s="391"/>
      <c r="I876" s="391"/>
      <c r="J876" s="391"/>
      <c r="K876" s="391"/>
      <c r="L876" s="391"/>
      <c r="M876" s="391"/>
      <c r="N876" s="391"/>
      <c r="O876" s="391"/>
      <c r="P876" s="391"/>
      <c r="Q876" s="391"/>
      <c r="R876" s="391"/>
      <c r="S876" s="391"/>
      <c r="T876" s="391"/>
      <c r="U876" s="391"/>
      <c r="V876" s="391"/>
      <c r="W876" s="391"/>
      <c r="X876" s="391"/>
      <c r="Y876" s="391"/>
      <c r="Z876" s="391"/>
      <c r="AA876" s="391"/>
      <c r="AB876" s="391"/>
      <c r="AC876" s="391"/>
      <c r="AD876" s="391"/>
      <c r="AE876" s="391"/>
    </row>
    <row r="877">
      <c r="A877" s="391"/>
      <c r="B877" s="391"/>
      <c r="C877" s="391"/>
      <c r="D877" s="391"/>
      <c r="E877" s="391"/>
      <c r="F877" s="391"/>
      <c r="G877" s="391"/>
      <c r="H877" s="391"/>
      <c r="I877" s="391"/>
      <c r="J877" s="391"/>
      <c r="K877" s="391"/>
      <c r="L877" s="391"/>
      <c r="M877" s="391"/>
      <c r="N877" s="391"/>
      <c r="O877" s="391"/>
      <c r="P877" s="391"/>
      <c r="Q877" s="391"/>
      <c r="R877" s="391"/>
      <c r="S877" s="391"/>
      <c r="T877" s="391"/>
      <c r="U877" s="391"/>
      <c r="V877" s="391"/>
      <c r="W877" s="391"/>
      <c r="X877" s="391"/>
      <c r="Y877" s="391"/>
      <c r="Z877" s="391"/>
      <c r="AA877" s="391"/>
      <c r="AB877" s="391"/>
      <c r="AC877" s="391"/>
      <c r="AD877" s="391"/>
      <c r="AE877" s="391"/>
    </row>
    <row r="878">
      <c r="A878" s="391"/>
      <c r="B878" s="391"/>
      <c r="C878" s="391"/>
      <c r="D878" s="391"/>
      <c r="E878" s="391"/>
      <c r="F878" s="391"/>
      <c r="G878" s="391"/>
      <c r="H878" s="391"/>
      <c r="I878" s="391"/>
      <c r="J878" s="391"/>
      <c r="K878" s="391"/>
      <c r="L878" s="391"/>
      <c r="M878" s="391"/>
      <c r="N878" s="391"/>
      <c r="O878" s="391"/>
      <c r="P878" s="391"/>
      <c r="Q878" s="391"/>
      <c r="R878" s="391"/>
      <c r="S878" s="391"/>
      <c r="T878" s="391"/>
      <c r="U878" s="391"/>
      <c r="V878" s="391"/>
      <c r="W878" s="391"/>
      <c r="X878" s="391"/>
      <c r="Y878" s="391"/>
      <c r="Z878" s="391"/>
      <c r="AA878" s="391"/>
      <c r="AB878" s="391"/>
      <c r="AC878" s="391"/>
      <c r="AD878" s="391"/>
      <c r="AE878" s="391"/>
    </row>
    <row r="879">
      <c r="A879" s="391"/>
      <c r="B879" s="391"/>
      <c r="C879" s="391"/>
      <c r="D879" s="391"/>
      <c r="E879" s="391"/>
      <c r="F879" s="391"/>
      <c r="G879" s="391"/>
      <c r="H879" s="391"/>
      <c r="I879" s="391"/>
      <c r="J879" s="391"/>
      <c r="K879" s="391"/>
      <c r="L879" s="391"/>
      <c r="M879" s="391"/>
      <c r="N879" s="391"/>
      <c r="O879" s="391"/>
      <c r="P879" s="391"/>
      <c r="Q879" s="391"/>
      <c r="R879" s="391"/>
      <c r="S879" s="391"/>
      <c r="T879" s="391"/>
      <c r="U879" s="391"/>
      <c r="V879" s="391"/>
      <c r="W879" s="391"/>
      <c r="X879" s="391"/>
      <c r="Y879" s="391"/>
      <c r="Z879" s="391"/>
      <c r="AA879" s="391"/>
      <c r="AB879" s="391"/>
      <c r="AC879" s="391"/>
      <c r="AD879" s="391"/>
      <c r="AE879" s="391"/>
    </row>
    <row r="880">
      <c r="A880" s="391"/>
      <c r="B880" s="391"/>
      <c r="C880" s="391"/>
      <c r="D880" s="391"/>
      <c r="E880" s="391"/>
      <c r="F880" s="391"/>
      <c r="G880" s="391"/>
      <c r="H880" s="391"/>
      <c r="I880" s="391"/>
      <c r="J880" s="391"/>
      <c r="K880" s="391"/>
      <c r="L880" s="391"/>
      <c r="M880" s="391"/>
      <c r="N880" s="391"/>
      <c r="O880" s="391"/>
      <c r="P880" s="391"/>
      <c r="Q880" s="391"/>
      <c r="R880" s="391"/>
      <c r="S880" s="391"/>
      <c r="T880" s="391"/>
      <c r="U880" s="391"/>
      <c r="V880" s="391"/>
      <c r="W880" s="391"/>
      <c r="X880" s="391"/>
      <c r="Y880" s="391"/>
      <c r="Z880" s="391"/>
      <c r="AA880" s="391"/>
      <c r="AB880" s="391"/>
      <c r="AC880" s="391"/>
      <c r="AD880" s="391"/>
      <c r="AE880" s="391"/>
    </row>
    <row r="881">
      <c r="A881" s="391"/>
      <c r="B881" s="391"/>
      <c r="C881" s="391"/>
      <c r="D881" s="391"/>
      <c r="E881" s="391"/>
      <c r="F881" s="391"/>
      <c r="G881" s="391"/>
      <c r="H881" s="391"/>
      <c r="I881" s="391"/>
      <c r="J881" s="391"/>
      <c r="K881" s="391"/>
      <c r="L881" s="391"/>
      <c r="M881" s="391"/>
      <c r="N881" s="391"/>
      <c r="O881" s="391"/>
      <c r="P881" s="391"/>
      <c r="Q881" s="391"/>
      <c r="R881" s="391"/>
      <c r="S881" s="391"/>
      <c r="T881" s="391"/>
      <c r="U881" s="391"/>
      <c r="V881" s="391"/>
      <c r="W881" s="391"/>
      <c r="X881" s="391"/>
      <c r="Y881" s="391"/>
      <c r="Z881" s="391"/>
      <c r="AA881" s="391"/>
      <c r="AB881" s="391"/>
      <c r="AC881" s="391"/>
      <c r="AD881" s="391"/>
      <c r="AE881" s="391"/>
    </row>
    <row r="882">
      <c r="A882" s="391"/>
      <c r="B882" s="391"/>
      <c r="C882" s="391"/>
      <c r="D882" s="391"/>
      <c r="E882" s="391"/>
      <c r="F882" s="391"/>
      <c r="G882" s="391"/>
      <c r="H882" s="391"/>
      <c r="I882" s="391"/>
      <c r="J882" s="391"/>
      <c r="K882" s="391"/>
      <c r="L882" s="391"/>
      <c r="M882" s="391"/>
      <c r="N882" s="391"/>
      <c r="O882" s="391"/>
      <c r="P882" s="391"/>
      <c r="Q882" s="391"/>
      <c r="R882" s="391"/>
      <c r="S882" s="391"/>
      <c r="T882" s="391"/>
      <c r="U882" s="391"/>
      <c r="V882" s="391"/>
      <c r="W882" s="391"/>
      <c r="X882" s="391"/>
      <c r="Y882" s="391"/>
      <c r="Z882" s="391"/>
      <c r="AA882" s="391"/>
      <c r="AB882" s="391"/>
      <c r="AC882" s="391"/>
      <c r="AD882" s="391"/>
      <c r="AE882" s="391"/>
    </row>
    <row r="883">
      <c r="A883" s="391"/>
      <c r="B883" s="391"/>
      <c r="C883" s="391"/>
      <c r="D883" s="391"/>
      <c r="E883" s="391"/>
      <c r="F883" s="391"/>
      <c r="G883" s="391"/>
      <c r="H883" s="391"/>
      <c r="I883" s="391"/>
      <c r="J883" s="391"/>
      <c r="K883" s="391"/>
      <c r="L883" s="391"/>
      <c r="M883" s="391"/>
      <c r="N883" s="391"/>
      <c r="O883" s="391"/>
      <c r="P883" s="391"/>
      <c r="Q883" s="391"/>
      <c r="R883" s="391"/>
      <c r="S883" s="391"/>
      <c r="T883" s="391"/>
      <c r="U883" s="391"/>
      <c r="V883" s="391"/>
      <c r="W883" s="391"/>
      <c r="X883" s="391"/>
      <c r="Y883" s="391"/>
      <c r="Z883" s="391"/>
      <c r="AA883" s="391"/>
      <c r="AB883" s="391"/>
      <c r="AC883" s="391"/>
      <c r="AD883" s="391"/>
      <c r="AE883" s="391"/>
    </row>
    <row r="884">
      <c r="A884" s="391"/>
      <c r="B884" s="391"/>
      <c r="C884" s="391"/>
      <c r="D884" s="391"/>
      <c r="E884" s="391"/>
      <c r="F884" s="391"/>
      <c r="G884" s="391"/>
      <c r="H884" s="391"/>
      <c r="I884" s="391"/>
      <c r="J884" s="391"/>
      <c r="K884" s="391"/>
      <c r="L884" s="391"/>
      <c r="M884" s="391"/>
      <c r="N884" s="391"/>
      <c r="O884" s="391"/>
      <c r="P884" s="391"/>
      <c r="Q884" s="391"/>
      <c r="R884" s="391"/>
      <c r="S884" s="391"/>
      <c r="T884" s="391"/>
      <c r="U884" s="391"/>
      <c r="V884" s="391"/>
      <c r="W884" s="391"/>
      <c r="X884" s="391"/>
      <c r="Y884" s="391"/>
      <c r="Z884" s="391"/>
      <c r="AA884" s="391"/>
      <c r="AB884" s="391"/>
      <c r="AC884" s="391"/>
      <c r="AD884" s="391"/>
      <c r="AE884" s="391"/>
    </row>
    <row r="885">
      <c r="A885" s="391"/>
      <c r="B885" s="391"/>
      <c r="C885" s="391"/>
      <c r="D885" s="391"/>
      <c r="E885" s="391"/>
      <c r="F885" s="391"/>
      <c r="G885" s="391"/>
      <c r="H885" s="391"/>
      <c r="I885" s="391"/>
      <c r="J885" s="391"/>
      <c r="K885" s="391"/>
      <c r="L885" s="391"/>
      <c r="M885" s="391"/>
      <c r="N885" s="391"/>
      <c r="O885" s="391"/>
      <c r="P885" s="391"/>
      <c r="Q885" s="391"/>
      <c r="R885" s="391"/>
      <c r="S885" s="391"/>
      <c r="T885" s="391"/>
      <c r="U885" s="391"/>
      <c r="V885" s="391"/>
      <c r="W885" s="391"/>
      <c r="X885" s="391"/>
      <c r="Y885" s="391"/>
      <c r="Z885" s="391"/>
      <c r="AA885" s="391"/>
      <c r="AB885" s="391"/>
      <c r="AC885" s="391"/>
      <c r="AD885" s="391"/>
      <c r="AE885" s="391"/>
    </row>
    <row r="886">
      <c r="A886" s="391"/>
      <c r="B886" s="391"/>
      <c r="C886" s="391"/>
      <c r="D886" s="391"/>
      <c r="E886" s="391"/>
      <c r="F886" s="391"/>
      <c r="G886" s="391"/>
      <c r="H886" s="391"/>
      <c r="I886" s="391"/>
      <c r="J886" s="391"/>
      <c r="K886" s="391"/>
      <c r="L886" s="391"/>
      <c r="M886" s="391"/>
      <c r="N886" s="391"/>
      <c r="O886" s="391"/>
      <c r="P886" s="391"/>
      <c r="Q886" s="391"/>
      <c r="R886" s="391"/>
      <c r="S886" s="391"/>
      <c r="T886" s="391"/>
      <c r="U886" s="391"/>
      <c r="V886" s="391"/>
      <c r="W886" s="391"/>
      <c r="X886" s="391"/>
      <c r="Y886" s="391"/>
      <c r="Z886" s="391"/>
      <c r="AA886" s="391"/>
      <c r="AB886" s="391"/>
      <c r="AC886" s="391"/>
      <c r="AD886" s="391"/>
      <c r="AE886" s="391"/>
    </row>
    <row r="887">
      <c r="A887" s="391"/>
      <c r="B887" s="391"/>
      <c r="C887" s="391"/>
      <c r="D887" s="391"/>
      <c r="E887" s="391"/>
      <c r="F887" s="391"/>
      <c r="G887" s="391"/>
      <c r="H887" s="391"/>
      <c r="I887" s="391"/>
      <c r="J887" s="391"/>
      <c r="K887" s="391"/>
      <c r="L887" s="391"/>
      <c r="M887" s="391"/>
      <c r="N887" s="391"/>
      <c r="O887" s="391"/>
      <c r="P887" s="391"/>
      <c r="Q887" s="391"/>
      <c r="R887" s="391"/>
      <c r="S887" s="391"/>
      <c r="T887" s="391"/>
      <c r="U887" s="391"/>
      <c r="V887" s="391"/>
      <c r="W887" s="391"/>
      <c r="X887" s="391"/>
      <c r="Y887" s="391"/>
      <c r="Z887" s="391"/>
      <c r="AA887" s="391"/>
      <c r="AB887" s="391"/>
      <c r="AC887" s="391"/>
      <c r="AD887" s="391"/>
      <c r="AE887" s="391"/>
    </row>
    <row r="888">
      <c r="A888" s="391"/>
      <c r="B888" s="391"/>
      <c r="C888" s="391"/>
      <c r="D888" s="391"/>
      <c r="E888" s="391"/>
      <c r="F888" s="391"/>
      <c r="G888" s="391"/>
      <c r="H888" s="391"/>
      <c r="I888" s="391"/>
      <c r="J888" s="391"/>
      <c r="K888" s="391"/>
      <c r="L888" s="391"/>
      <c r="M888" s="391"/>
      <c r="N888" s="391"/>
      <c r="O888" s="391"/>
      <c r="P888" s="391"/>
      <c r="Q888" s="391"/>
      <c r="R888" s="391"/>
      <c r="S888" s="391"/>
      <c r="T888" s="391"/>
      <c r="U888" s="391"/>
      <c r="V888" s="391"/>
      <c r="W888" s="391"/>
      <c r="X888" s="391"/>
      <c r="Y888" s="391"/>
      <c r="Z888" s="391"/>
      <c r="AA888" s="391"/>
      <c r="AB888" s="391"/>
      <c r="AC888" s="391"/>
      <c r="AD888" s="391"/>
      <c r="AE888" s="391"/>
    </row>
    <row r="889">
      <c r="A889" s="391"/>
      <c r="B889" s="391"/>
      <c r="C889" s="391"/>
      <c r="D889" s="391"/>
      <c r="E889" s="391"/>
      <c r="F889" s="391"/>
      <c r="G889" s="391"/>
      <c r="H889" s="391"/>
      <c r="I889" s="391"/>
      <c r="J889" s="391"/>
      <c r="K889" s="391"/>
      <c r="L889" s="391"/>
      <c r="M889" s="391"/>
      <c r="N889" s="391"/>
      <c r="O889" s="391"/>
      <c r="P889" s="391"/>
      <c r="Q889" s="391"/>
      <c r="R889" s="391"/>
      <c r="S889" s="391"/>
      <c r="T889" s="391"/>
      <c r="U889" s="391"/>
      <c r="V889" s="391"/>
      <c r="W889" s="391"/>
      <c r="X889" s="391"/>
      <c r="Y889" s="391"/>
      <c r="Z889" s="391"/>
      <c r="AA889" s="391"/>
      <c r="AB889" s="391"/>
      <c r="AC889" s="391"/>
      <c r="AD889" s="391"/>
      <c r="AE889" s="391"/>
    </row>
    <row r="890">
      <c r="A890" s="391"/>
      <c r="B890" s="391"/>
      <c r="C890" s="391"/>
      <c r="D890" s="391"/>
      <c r="E890" s="391"/>
      <c r="F890" s="391"/>
      <c r="G890" s="391"/>
      <c r="H890" s="391"/>
      <c r="I890" s="391"/>
      <c r="J890" s="391"/>
      <c r="K890" s="391"/>
      <c r="L890" s="391"/>
      <c r="M890" s="391"/>
      <c r="N890" s="391"/>
      <c r="O890" s="391"/>
      <c r="P890" s="391"/>
      <c r="Q890" s="391"/>
      <c r="R890" s="391"/>
      <c r="S890" s="391"/>
      <c r="T890" s="391"/>
      <c r="U890" s="391"/>
      <c r="V890" s="391"/>
      <c r="W890" s="391"/>
      <c r="X890" s="391"/>
      <c r="Y890" s="391"/>
      <c r="Z890" s="391"/>
      <c r="AA890" s="391"/>
      <c r="AB890" s="391"/>
      <c r="AC890" s="391"/>
      <c r="AD890" s="391"/>
      <c r="AE890" s="391"/>
    </row>
    <row r="891">
      <c r="A891" s="391"/>
      <c r="B891" s="391"/>
      <c r="C891" s="391"/>
      <c r="D891" s="391"/>
      <c r="E891" s="391"/>
      <c r="F891" s="391"/>
      <c r="G891" s="391"/>
      <c r="H891" s="391"/>
      <c r="I891" s="391"/>
      <c r="J891" s="391"/>
      <c r="K891" s="391"/>
      <c r="L891" s="391"/>
      <c r="M891" s="391"/>
      <c r="N891" s="391"/>
      <c r="O891" s="391"/>
      <c r="P891" s="391"/>
      <c r="Q891" s="391"/>
      <c r="R891" s="391"/>
      <c r="S891" s="391"/>
      <c r="T891" s="391"/>
      <c r="U891" s="391"/>
      <c r="V891" s="391"/>
      <c r="W891" s="391"/>
      <c r="X891" s="391"/>
      <c r="Y891" s="391"/>
      <c r="Z891" s="391"/>
      <c r="AA891" s="391"/>
      <c r="AB891" s="391"/>
      <c r="AC891" s="391"/>
      <c r="AD891" s="391"/>
      <c r="AE891" s="391"/>
    </row>
    <row r="892">
      <c r="A892" s="391"/>
      <c r="B892" s="391"/>
      <c r="C892" s="391"/>
      <c r="D892" s="391"/>
      <c r="E892" s="391"/>
      <c r="F892" s="391"/>
      <c r="G892" s="391"/>
      <c r="H892" s="391"/>
      <c r="I892" s="391"/>
      <c r="J892" s="391"/>
      <c r="K892" s="391"/>
      <c r="L892" s="391"/>
      <c r="M892" s="391"/>
      <c r="N892" s="391"/>
      <c r="O892" s="391"/>
      <c r="P892" s="391"/>
      <c r="Q892" s="391"/>
      <c r="R892" s="391"/>
      <c r="S892" s="391"/>
      <c r="T892" s="391"/>
      <c r="U892" s="391"/>
      <c r="V892" s="391"/>
      <c r="W892" s="391"/>
      <c r="X892" s="391"/>
      <c r="Y892" s="391"/>
      <c r="Z892" s="391"/>
      <c r="AA892" s="391"/>
      <c r="AB892" s="391"/>
      <c r="AC892" s="391"/>
      <c r="AD892" s="391"/>
      <c r="AE892" s="391"/>
    </row>
    <row r="893">
      <c r="A893" s="391"/>
      <c r="B893" s="391"/>
      <c r="C893" s="391"/>
      <c r="D893" s="391"/>
      <c r="E893" s="391"/>
      <c r="F893" s="391"/>
      <c r="G893" s="391"/>
      <c r="H893" s="391"/>
      <c r="I893" s="391"/>
      <c r="J893" s="391"/>
      <c r="K893" s="391"/>
      <c r="L893" s="391"/>
      <c r="M893" s="391"/>
      <c r="N893" s="391"/>
      <c r="O893" s="391"/>
      <c r="P893" s="391"/>
      <c r="Q893" s="391"/>
      <c r="R893" s="391"/>
      <c r="S893" s="391"/>
      <c r="T893" s="391"/>
      <c r="U893" s="391"/>
      <c r="V893" s="391"/>
      <c r="W893" s="391"/>
      <c r="X893" s="391"/>
      <c r="Y893" s="391"/>
      <c r="Z893" s="391"/>
      <c r="AA893" s="391"/>
      <c r="AB893" s="391"/>
      <c r="AC893" s="391"/>
      <c r="AD893" s="391"/>
      <c r="AE893" s="391"/>
    </row>
    <row r="894">
      <c r="A894" s="391"/>
      <c r="B894" s="391"/>
      <c r="C894" s="391"/>
      <c r="D894" s="391"/>
      <c r="E894" s="391"/>
      <c r="F894" s="391"/>
      <c r="G894" s="391"/>
      <c r="H894" s="391"/>
      <c r="I894" s="391"/>
      <c r="J894" s="391"/>
      <c r="K894" s="391"/>
      <c r="L894" s="391"/>
      <c r="M894" s="391"/>
      <c r="N894" s="391"/>
      <c r="O894" s="391"/>
      <c r="P894" s="391"/>
      <c r="Q894" s="391"/>
      <c r="R894" s="391"/>
      <c r="S894" s="391"/>
      <c r="T894" s="391"/>
      <c r="U894" s="391"/>
      <c r="V894" s="391"/>
      <c r="W894" s="391"/>
      <c r="X894" s="391"/>
      <c r="Y894" s="391"/>
      <c r="Z894" s="391"/>
      <c r="AA894" s="391"/>
      <c r="AB894" s="391"/>
      <c r="AC894" s="391"/>
      <c r="AD894" s="391"/>
      <c r="AE894" s="391"/>
    </row>
    <row r="895">
      <c r="A895" s="391"/>
      <c r="B895" s="391"/>
      <c r="C895" s="391"/>
      <c r="D895" s="391"/>
      <c r="E895" s="391"/>
      <c r="F895" s="391"/>
      <c r="G895" s="391"/>
      <c r="H895" s="391"/>
      <c r="I895" s="391"/>
      <c r="J895" s="391"/>
      <c r="K895" s="391"/>
      <c r="L895" s="391"/>
      <c r="M895" s="391"/>
      <c r="N895" s="391"/>
      <c r="O895" s="391"/>
      <c r="P895" s="391"/>
      <c r="Q895" s="391"/>
      <c r="R895" s="391"/>
      <c r="S895" s="391"/>
      <c r="T895" s="391"/>
      <c r="U895" s="391"/>
      <c r="V895" s="391"/>
      <c r="W895" s="391"/>
      <c r="X895" s="391"/>
      <c r="Y895" s="391"/>
      <c r="Z895" s="391"/>
      <c r="AA895" s="391"/>
      <c r="AB895" s="391"/>
      <c r="AC895" s="391"/>
      <c r="AD895" s="391"/>
      <c r="AE895" s="391"/>
    </row>
    <row r="896">
      <c r="A896" s="391"/>
      <c r="B896" s="391"/>
      <c r="C896" s="391"/>
      <c r="D896" s="391"/>
      <c r="E896" s="391"/>
      <c r="F896" s="391"/>
      <c r="G896" s="391"/>
      <c r="H896" s="391"/>
      <c r="I896" s="391"/>
      <c r="J896" s="391"/>
      <c r="K896" s="391"/>
      <c r="L896" s="391"/>
      <c r="M896" s="391"/>
      <c r="N896" s="391"/>
      <c r="O896" s="391"/>
      <c r="P896" s="391"/>
      <c r="Q896" s="391"/>
      <c r="R896" s="391"/>
      <c r="S896" s="391"/>
      <c r="T896" s="391"/>
      <c r="U896" s="391"/>
      <c r="V896" s="391"/>
      <c r="W896" s="391"/>
      <c r="X896" s="391"/>
      <c r="Y896" s="391"/>
      <c r="Z896" s="391"/>
      <c r="AA896" s="391"/>
      <c r="AB896" s="391"/>
      <c r="AC896" s="391"/>
      <c r="AD896" s="391"/>
      <c r="AE896" s="391"/>
    </row>
    <row r="897">
      <c r="A897" s="391"/>
      <c r="B897" s="391"/>
      <c r="C897" s="391"/>
      <c r="D897" s="391"/>
      <c r="E897" s="391"/>
      <c r="F897" s="391"/>
      <c r="G897" s="391"/>
      <c r="H897" s="391"/>
      <c r="I897" s="391"/>
      <c r="J897" s="391"/>
      <c r="K897" s="391"/>
      <c r="L897" s="391"/>
      <c r="M897" s="391"/>
      <c r="N897" s="391"/>
      <c r="O897" s="391"/>
      <c r="P897" s="391"/>
      <c r="Q897" s="391"/>
      <c r="R897" s="391"/>
      <c r="S897" s="391"/>
      <c r="T897" s="391"/>
      <c r="U897" s="391"/>
      <c r="V897" s="391"/>
      <c r="W897" s="391"/>
      <c r="X897" s="391"/>
      <c r="Y897" s="391"/>
      <c r="Z897" s="391"/>
      <c r="AA897" s="391"/>
      <c r="AB897" s="391"/>
      <c r="AC897" s="391"/>
      <c r="AD897" s="391"/>
      <c r="AE897" s="391"/>
    </row>
    <row r="898">
      <c r="A898" s="391"/>
      <c r="B898" s="391"/>
      <c r="C898" s="391"/>
      <c r="D898" s="391"/>
      <c r="E898" s="391"/>
      <c r="F898" s="391"/>
      <c r="G898" s="391"/>
      <c r="H898" s="391"/>
      <c r="I898" s="391"/>
      <c r="J898" s="391"/>
      <c r="K898" s="391"/>
      <c r="L898" s="391"/>
      <c r="M898" s="391"/>
      <c r="N898" s="391"/>
      <c r="O898" s="391"/>
      <c r="P898" s="391"/>
      <c r="Q898" s="391"/>
      <c r="R898" s="391"/>
      <c r="S898" s="391"/>
      <c r="T898" s="391"/>
      <c r="U898" s="391"/>
      <c r="V898" s="391"/>
      <c r="W898" s="391"/>
      <c r="X898" s="391"/>
      <c r="Y898" s="391"/>
      <c r="Z898" s="391"/>
      <c r="AA898" s="391"/>
      <c r="AB898" s="391"/>
      <c r="AC898" s="391"/>
      <c r="AD898" s="391"/>
      <c r="AE898" s="391"/>
    </row>
    <row r="899">
      <c r="A899" s="391"/>
      <c r="B899" s="391"/>
      <c r="C899" s="391"/>
      <c r="D899" s="391"/>
      <c r="E899" s="391"/>
      <c r="F899" s="391"/>
      <c r="G899" s="391"/>
      <c r="H899" s="391"/>
      <c r="I899" s="391"/>
      <c r="J899" s="391"/>
      <c r="K899" s="391"/>
      <c r="L899" s="391"/>
      <c r="M899" s="391"/>
      <c r="N899" s="391"/>
      <c r="O899" s="391"/>
      <c r="P899" s="391"/>
      <c r="Q899" s="391"/>
      <c r="R899" s="391"/>
      <c r="S899" s="391"/>
      <c r="T899" s="391"/>
      <c r="U899" s="391"/>
      <c r="V899" s="391"/>
      <c r="W899" s="391"/>
      <c r="X899" s="391"/>
      <c r="Y899" s="391"/>
      <c r="Z899" s="391"/>
      <c r="AA899" s="391"/>
      <c r="AB899" s="391"/>
      <c r="AC899" s="391"/>
      <c r="AD899" s="391"/>
      <c r="AE899" s="391"/>
    </row>
    <row r="900">
      <c r="A900" s="391"/>
      <c r="B900" s="391"/>
      <c r="C900" s="391"/>
      <c r="D900" s="391"/>
      <c r="E900" s="391"/>
      <c r="F900" s="391"/>
      <c r="G900" s="391"/>
      <c r="H900" s="391"/>
      <c r="I900" s="391"/>
      <c r="J900" s="391"/>
      <c r="K900" s="391"/>
      <c r="L900" s="391"/>
      <c r="M900" s="391"/>
      <c r="N900" s="391"/>
      <c r="O900" s="391"/>
      <c r="P900" s="391"/>
      <c r="Q900" s="391"/>
      <c r="R900" s="391"/>
      <c r="S900" s="391"/>
      <c r="T900" s="391"/>
      <c r="U900" s="391"/>
      <c r="V900" s="391"/>
      <c r="W900" s="391"/>
      <c r="X900" s="391"/>
      <c r="Y900" s="391"/>
      <c r="Z900" s="391"/>
      <c r="AA900" s="391"/>
      <c r="AB900" s="391"/>
      <c r="AC900" s="391"/>
      <c r="AD900" s="391"/>
      <c r="AE900" s="391"/>
    </row>
    <row r="901">
      <c r="A901" s="391"/>
      <c r="B901" s="391"/>
      <c r="C901" s="391"/>
      <c r="D901" s="391"/>
      <c r="E901" s="391"/>
      <c r="F901" s="391"/>
      <c r="G901" s="391"/>
      <c r="H901" s="391"/>
      <c r="I901" s="391"/>
      <c r="J901" s="391"/>
      <c r="K901" s="391"/>
      <c r="L901" s="391"/>
      <c r="M901" s="391"/>
      <c r="N901" s="391"/>
      <c r="O901" s="391"/>
      <c r="P901" s="391"/>
      <c r="Q901" s="391"/>
      <c r="R901" s="391"/>
      <c r="S901" s="391"/>
      <c r="T901" s="391"/>
      <c r="U901" s="391"/>
      <c r="V901" s="391"/>
      <c r="W901" s="391"/>
      <c r="X901" s="391"/>
      <c r="Y901" s="391"/>
      <c r="Z901" s="391"/>
      <c r="AA901" s="391"/>
      <c r="AB901" s="391"/>
      <c r="AC901" s="391"/>
      <c r="AD901" s="391"/>
      <c r="AE901" s="391"/>
    </row>
    <row r="902">
      <c r="A902" s="391"/>
      <c r="B902" s="391"/>
      <c r="C902" s="391"/>
      <c r="D902" s="391"/>
      <c r="E902" s="391"/>
      <c r="F902" s="391"/>
      <c r="G902" s="391"/>
      <c r="H902" s="391"/>
      <c r="I902" s="391"/>
      <c r="J902" s="391"/>
      <c r="K902" s="391"/>
      <c r="L902" s="391"/>
      <c r="M902" s="391"/>
      <c r="N902" s="391"/>
      <c r="O902" s="391"/>
      <c r="P902" s="391"/>
      <c r="Q902" s="391"/>
      <c r="R902" s="391"/>
      <c r="S902" s="391"/>
      <c r="T902" s="391"/>
      <c r="U902" s="391"/>
      <c r="V902" s="391"/>
      <c r="W902" s="391"/>
      <c r="X902" s="391"/>
      <c r="Y902" s="391"/>
      <c r="Z902" s="391"/>
      <c r="AA902" s="391"/>
      <c r="AB902" s="391"/>
      <c r="AC902" s="391"/>
      <c r="AD902" s="391"/>
      <c r="AE902" s="391"/>
    </row>
    <row r="903">
      <c r="A903" s="391"/>
      <c r="B903" s="391"/>
      <c r="C903" s="391"/>
      <c r="D903" s="391"/>
      <c r="E903" s="391"/>
      <c r="F903" s="391"/>
      <c r="G903" s="391"/>
      <c r="H903" s="391"/>
      <c r="I903" s="391"/>
      <c r="J903" s="391"/>
      <c r="K903" s="391"/>
      <c r="L903" s="391"/>
      <c r="M903" s="391"/>
      <c r="N903" s="391"/>
      <c r="O903" s="391"/>
      <c r="P903" s="391"/>
      <c r="Q903" s="391"/>
      <c r="R903" s="391"/>
      <c r="S903" s="391"/>
      <c r="T903" s="391"/>
      <c r="U903" s="391"/>
      <c r="V903" s="391"/>
      <c r="W903" s="391"/>
      <c r="X903" s="391"/>
      <c r="Y903" s="391"/>
      <c r="Z903" s="391"/>
      <c r="AA903" s="391"/>
      <c r="AB903" s="391"/>
      <c r="AC903" s="391"/>
      <c r="AD903" s="391"/>
      <c r="AE903" s="391"/>
    </row>
    <row r="904">
      <c r="A904" s="391"/>
      <c r="B904" s="391"/>
      <c r="C904" s="391"/>
      <c r="D904" s="391"/>
      <c r="E904" s="391"/>
      <c r="F904" s="391"/>
      <c r="G904" s="391"/>
      <c r="H904" s="391"/>
      <c r="I904" s="391"/>
      <c r="J904" s="391"/>
      <c r="K904" s="391"/>
      <c r="L904" s="391"/>
      <c r="M904" s="391"/>
      <c r="N904" s="391"/>
      <c r="O904" s="391"/>
      <c r="P904" s="391"/>
      <c r="Q904" s="391"/>
      <c r="R904" s="391"/>
      <c r="S904" s="391"/>
      <c r="T904" s="391"/>
      <c r="U904" s="391"/>
      <c r="V904" s="391"/>
      <c r="W904" s="391"/>
      <c r="X904" s="391"/>
      <c r="Y904" s="391"/>
      <c r="Z904" s="391"/>
      <c r="AA904" s="391"/>
      <c r="AB904" s="391"/>
      <c r="AC904" s="391"/>
      <c r="AD904" s="391"/>
      <c r="AE904" s="391"/>
    </row>
    <row r="905">
      <c r="A905" s="391"/>
      <c r="B905" s="391"/>
      <c r="C905" s="391"/>
      <c r="D905" s="391"/>
      <c r="E905" s="391"/>
      <c r="F905" s="391"/>
      <c r="G905" s="391"/>
      <c r="H905" s="391"/>
      <c r="I905" s="391"/>
      <c r="J905" s="391"/>
      <c r="K905" s="391"/>
      <c r="L905" s="391"/>
      <c r="M905" s="391"/>
      <c r="N905" s="391"/>
      <c r="O905" s="391"/>
      <c r="P905" s="391"/>
      <c r="Q905" s="391"/>
      <c r="R905" s="391"/>
      <c r="S905" s="391"/>
      <c r="T905" s="391"/>
      <c r="U905" s="391"/>
      <c r="V905" s="391"/>
      <c r="W905" s="391"/>
      <c r="X905" s="391"/>
      <c r="Y905" s="391"/>
      <c r="Z905" s="391"/>
      <c r="AA905" s="391"/>
      <c r="AB905" s="391"/>
      <c r="AC905" s="391"/>
      <c r="AD905" s="391"/>
      <c r="AE905" s="391"/>
    </row>
    <row r="906">
      <c r="A906" s="391"/>
      <c r="B906" s="391"/>
      <c r="C906" s="391"/>
      <c r="D906" s="391"/>
      <c r="E906" s="391"/>
      <c r="F906" s="391"/>
      <c r="G906" s="391"/>
      <c r="H906" s="391"/>
      <c r="I906" s="391"/>
      <c r="J906" s="391"/>
      <c r="K906" s="391"/>
      <c r="L906" s="391"/>
      <c r="M906" s="391"/>
      <c r="N906" s="391"/>
      <c r="O906" s="391"/>
      <c r="P906" s="391"/>
      <c r="Q906" s="391"/>
      <c r="R906" s="391"/>
      <c r="S906" s="391"/>
      <c r="T906" s="391"/>
      <c r="U906" s="391"/>
      <c r="V906" s="391"/>
      <c r="W906" s="391"/>
      <c r="X906" s="391"/>
      <c r="Y906" s="391"/>
      <c r="Z906" s="391"/>
      <c r="AA906" s="391"/>
      <c r="AB906" s="391"/>
      <c r="AC906" s="391"/>
      <c r="AD906" s="391"/>
      <c r="AE906" s="391"/>
    </row>
    <row r="907">
      <c r="A907" s="391"/>
      <c r="B907" s="391"/>
      <c r="C907" s="391"/>
      <c r="D907" s="391"/>
      <c r="E907" s="391"/>
      <c r="F907" s="391"/>
      <c r="G907" s="391"/>
      <c r="H907" s="391"/>
      <c r="I907" s="391"/>
      <c r="J907" s="391"/>
      <c r="K907" s="391"/>
      <c r="L907" s="391"/>
      <c r="M907" s="391"/>
      <c r="N907" s="391"/>
      <c r="O907" s="391"/>
      <c r="P907" s="391"/>
      <c r="Q907" s="391"/>
      <c r="R907" s="391"/>
      <c r="S907" s="391"/>
      <c r="T907" s="391"/>
      <c r="U907" s="391"/>
      <c r="V907" s="391"/>
      <c r="W907" s="391"/>
      <c r="X907" s="391"/>
      <c r="Y907" s="391"/>
      <c r="Z907" s="391"/>
      <c r="AA907" s="391"/>
      <c r="AB907" s="391"/>
      <c r="AC907" s="391"/>
      <c r="AD907" s="391"/>
      <c r="AE907" s="391"/>
    </row>
    <row r="908">
      <c r="A908" s="391"/>
      <c r="B908" s="391"/>
      <c r="C908" s="391"/>
      <c r="D908" s="391"/>
      <c r="E908" s="391"/>
      <c r="F908" s="391"/>
      <c r="G908" s="391"/>
      <c r="H908" s="391"/>
      <c r="I908" s="391"/>
      <c r="J908" s="391"/>
      <c r="K908" s="391"/>
      <c r="L908" s="391"/>
      <c r="M908" s="391"/>
      <c r="N908" s="391"/>
      <c r="O908" s="391"/>
      <c r="P908" s="391"/>
      <c r="Q908" s="391"/>
      <c r="R908" s="391"/>
      <c r="S908" s="391"/>
      <c r="T908" s="391"/>
      <c r="U908" s="391"/>
      <c r="V908" s="391"/>
      <c r="W908" s="391"/>
      <c r="X908" s="391"/>
      <c r="Y908" s="391"/>
      <c r="Z908" s="391"/>
      <c r="AA908" s="391"/>
      <c r="AB908" s="391"/>
      <c r="AC908" s="391"/>
      <c r="AD908" s="391"/>
      <c r="AE908" s="391"/>
    </row>
    <row r="909">
      <c r="A909" s="391"/>
      <c r="B909" s="391"/>
      <c r="C909" s="391"/>
      <c r="D909" s="391"/>
      <c r="E909" s="391"/>
      <c r="F909" s="391"/>
      <c r="G909" s="391"/>
      <c r="H909" s="391"/>
      <c r="I909" s="391"/>
      <c r="J909" s="391"/>
      <c r="K909" s="391"/>
      <c r="L909" s="391"/>
      <c r="M909" s="391"/>
      <c r="N909" s="391"/>
      <c r="O909" s="391"/>
      <c r="P909" s="391"/>
      <c r="Q909" s="391"/>
      <c r="R909" s="391"/>
      <c r="S909" s="391"/>
      <c r="T909" s="391"/>
      <c r="U909" s="391"/>
      <c r="V909" s="391"/>
      <c r="W909" s="391"/>
      <c r="X909" s="391"/>
      <c r="Y909" s="391"/>
      <c r="Z909" s="391"/>
      <c r="AA909" s="391"/>
      <c r="AB909" s="391"/>
      <c r="AC909" s="391"/>
      <c r="AD909" s="391"/>
      <c r="AE909" s="391"/>
    </row>
    <row r="910">
      <c r="A910" s="391"/>
      <c r="B910" s="391"/>
      <c r="C910" s="391"/>
      <c r="D910" s="391"/>
      <c r="E910" s="391"/>
      <c r="F910" s="391"/>
      <c r="G910" s="391"/>
      <c r="H910" s="391"/>
      <c r="I910" s="391"/>
      <c r="J910" s="391"/>
      <c r="K910" s="391"/>
      <c r="L910" s="391"/>
      <c r="M910" s="391"/>
      <c r="N910" s="391"/>
      <c r="O910" s="391"/>
      <c r="P910" s="391"/>
      <c r="Q910" s="391"/>
      <c r="R910" s="391"/>
      <c r="S910" s="391"/>
      <c r="T910" s="391"/>
      <c r="U910" s="391"/>
      <c r="V910" s="391"/>
      <c r="W910" s="391"/>
      <c r="X910" s="391"/>
      <c r="Y910" s="391"/>
      <c r="Z910" s="391"/>
      <c r="AA910" s="391"/>
      <c r="AB910" s="391"/>
      <c r="AC910" s="391"/>
      <c r="AD910" s="391"/>
      <c r="AE910" s="391"/>
    </row>
    <row r="911">
      <c r="A911" s="391"/>
      <c r="B911" s="391"/>
      <c r="C911" s="391"/>
      <c r="D911" s="391"/>
      <c r="E911" s="391"/>
      <c r="F911" s="391"/>
      <c r="G911" s="391"/>
      <c r="H911" s="391"/>
      <c r="I911" s="391"/>
      <c r="J911" s="391"/>
      <c r="K911" s="391"/>
      <c r="L911" s="391"/>
      <c r="M911" s="391"/>
      <c r="N911" s="391"/>
      <c r="O911" s="391"/>
      <c r="P911" s="391"/>
      <c r="Q911" s="391"/>
      <c r="R911" s="391"/>
      <c r="S911" s="391"/>
      <c r="T911" s="391"/>
      <c r="U911" s="391"/>
      <c r="V911" s="391"/>
      <c r="W911" s="391"/>
      <c r="X911" s="391"/>
      <c r="Y911" s="391"/>
      <c r="Z911" s="391"/>
      <c r="AA911" s="391"/>
      <c r="AB911" s="391"/>
      <c r="AC911" s="391"/>
      <c r="AD911" s="391"/>
      <c r="AE911" s="391"/>
    </row>
    <row r="912">
      <c r="A912" s="391"/>
      <c r="B912" s="391"/>
      <c r="C912" s="391"/>
      <c r="D912" s="391"/>
      <c r="E912" s="391"/>
      <c r="F912" s="391"/>
      <c r="G912" s="391"/>
      <c r="H912" s="391"/>
      <c r="I912" s="391"/>
      <c r="J912" s="391"/>
      <c r="K912" s="391"/>
      <c r="L912" s="391"/>
      <c r="M912" s="391"/>
      <c r="N912" s="391"/>
      <c r="O912" s="391"/>
      <c r="P912" s="391"/>
      <c r="Q912" s="391"/>
      <c r="R912" s="391"/>
      <c r="S912" s="391"/>
      <c r="T912" s="391"/>
      <c r="U912" s="391"/>
      <c r="V912" s="391"/>
      <c r="W912" s="391"/>
      <c r="X912" s="391"/>
      <c r="Y912" s="391"/>
      <c r="Z912" s="391"/>
      <c r="AA912" s="391"/>
      <c r="AB912" s="391"/>
      <c r="AC912" s="391"/>
      <c r="AD912" s="391"/>
      <c r="AE912" s="391"/>
    </row>
    <row r="913">
      <c r="A913" s="391"/>
      <c r="B913" s="391"/>
      <c r="C913" s="391"/>
      <c r="D913" s="391"/>
      <c r="E913" s="391"/>
      <c r="F913" s="391"/>
      <c r="G913" s="391"/>
      <c r="H913" s="391"/>
      <c r="I913" s="391"/>
      <c r="J913" s="391"/>
      <c r="K913" s="391"/>
      <c r="L913" s="391"/>
      <c r="M913" s="391"/>
      <c r="N913" s="391"/>
      <c r="O913" s="391"/>
      <c r="P913" s="391"/>
      <c r="Q913" s="391"/>
      <c r="R913" s="391"/>
      <c r="S913" s="391"/>
      <c r="T913" s="391"/>
      <c r="U913" s="391"/>
      <c r="V913" s="391"/>
      <c r="W913" s="391"/>
      <c r="X913" s="391"/>
      <c r="Y913" s="391"/>
      <c r="Z913" s="391"/>
      <c r="AA913" s="391"/>
      <c r="AB913" s="391"/>
      <c r="AC913" s="391"/>
      <c r="AD913" s="391"/>
      <c r="AE913" s="391"/>
    </row>
    <row r="914">
      <c r="A914" s="391"/>
      <c r="B914" s="391"/>
      <c r="C914" s="391"/>
      <c r="D914" s="391"/>
      <c r="E914" s="391"/>
      <c r="F914" s="391"/>
      <c r="G914" s="391"/>
      <c r="H914" s="391"/>
      <c r="I914" s="391"/>
      <c r="J914" s="391"/>
      <c r="K914" s="391"/>
      <c r="L914" s="391"/>
      <c r="M914" s="391"/>
      <c r="N914" s="391"/>
      <c r="O914" s="391"/>
      <c r="P914" s="391"/>
      <c r="Q914" s="391"/>
      <c r="R914" s="391"/>
      <c r="S914" s="391"/>
      <c r="T914" s="391"/>
      <c r="U914" s="391"/>
      <c r="V914" s="391"/>
      <c r="W914" s="391"/>
      <c r="X914" s="391"/>
      <c r="Y914" s="391"/>
      <c r="Z914" s="391"/>
      <c r="AA914" s="391"/>
      <c r="AB914" s="391"/>
      <c r="AC914" s="391"/>
      <c r="AD914" s="391"/>
      <c r="AE914" s="391"/>
    </row>
    <row r="915">
      <c r="A915" s="391"/>
      <c r="B915" s="391"/>
      <c r="C915" s="391"/>
      <c r="D915" s="391"/>
      <c r="E915" s="391"/>
      <c r="F915" s="391"/>
      <c r="G915" s="391"/>
      <c r="H915" s="391"/>
      <c r="I915" s="391"/>
      <c r="J915" s="391"/>
      <c r="K915" s="391"/>
      <c r="L915" s="391"/>
      <c r="M915" s="391"/>
      <c r="N915" s="391"/>
      <c r="O915" s="391"/>
      <c r="P915" s="391"/>
      <c r="Q915" s="391"/>
      <c r="R915" s="391"/>
      <c r="S915" s="391"/>
      <c r="T915" s="391"/>
      <c r="U915" s="391"/>
      <c r="V915" s="391"/>
      <c r="W915" s="391"/>
      <c r="X915" s="391"/>
      <c r="Y915" s="391"/>
      <c r="Z915" s="391"/>
      <c r="AA915" s="391"/>
      <c r="AB915" s="391"/>
      <c r="AC915" s="391"/>
      <c r="AD915" s="391"/>
      <c r="AE915" s="391"/>
    </row>
    <row r="916">
      <c r="A916" s="391"/>
      <c r="B916" s="391"/>
      <c r="C916" s="391"/>
      <c r="D916" s="391"/>
      <c r="E916" s="391"/>
      <c r="F916" s="391"/>
      <c r="G916" s="391"/>
      <c r="H916" s="391"/>
      <c r="I916" s="391"/>
      <c r="J916" s="391"/>
      <c r="K916" s="391"/>
      <c r="L916" s="391"/>
      <c r="M916" s="391"/>
      <c r="N916" s="391"/>
      <c r="O916" s="391"/>
      <c r="P916" s="391"/>
      <c r="Q916" s="391"/>
      <c r="R916" s="391"/>
      <c r="S916" s="391"/>
      <c r="T916" s="391"/>
      <c r="U916" s="391"/>
      <c r="V916" s="391"/>
      <c r="W916" s="391"/>
      <c r="X916" s="391"/>
      <c r="Y916" s="391"/>
      <c r="Z916" s="391"/>
      <c r="AA916" s="391"/>
      <c r="AB916" s="391"/>
      <c r="AC916" s="391"/>
      <c r="AD916" s="391"/>
      <c r="AE916" s="391"/>
    </row>
    <row r="917">
      <c r="A917" s="391"/>
      <c r="B917" s="391"/>
      <c r="C917" s="391"/>
      <c r="D917" s="391"/>
      <c r="E917" s="391"/>
      <c r="F917" s="391"/>
      <c r="G917" s="391"/>
      <c r="H917" s="391"/>
      <c r="I917" s="391"/>
      <c r="J917" s="391"/>
      <c r="K917" s="391"/>
      <c r="L917" s="391"/>
      <c r="M917" s="391"/>
      <c r="N917" s="391"/>
      <c r="O917" s="391"/>
      <c r="P917" s="391"/>
      <c r="Q917" s="391"/>
      <c r="R917" s="391"/>
      <c r="S917" s="391"/>
      <c r="T917" s="391"/>
      <c r="U917" s="391"/>
      <c r="V917" s="391"/>
      <c r="W917" s="391"/>
      <c r="X917" s="391"/>
      <c r="Y917" s="391"/>
      <c r="Z917" s="391"/>
      <c r="AA917" s="391"/>
      <c r="AB917" s="391"/>
      <c r="AC917" s="391"/>
      <c r="AD917" s="391"/>
      <c r="AE917" s="391"/>
    </row>
    <row r="918">
      <c r="A918" s="391"/>
      <c r="B918" s="391"/>
      <c r="C918" s="391"/>
      <c r="D918" s="391"/>
      <c r="E918" s="391"/>
      <c r="F918" s="391"/>
      <c r="G918" s="391"/>
      <c r="H918" s="391"/>
      <c r="I918" s="391"/>
      <c r="J918" s="391"/>
      <c r="K918" s="391"/>
      <c r="L918" s="391"/>
      <c r="M918" s="391"/>
      <c r="N918" s="391"/>
      <c r="O918" s="391"/>
      <c r="P918" s="391"/>
      <c r="Q918" s="391"/>
      <c r="R918" s="391"/>
      <c r="S918" s="391"/>
      <c r="T918" s="391"/>
      <c r="U918" s="391"/>
      <c r="V918" s="391"/>
      <c r="W918" s="391"/>
      <c r="X918" s="391"/>
      <c r="Y918" s="391"/>
      <c r="Z918" s="391"/>
      <c r="AA918" s="391"/>
      <c r="AB918" s="391"/>
      <c r="AC918" s="391"/>
      <c r="AD918" s="391"/>
      <c r="AE918" s="391"/>
    </row>
    <row r="919">
      <c r="A919" s="391"/>
      <c r="B919" s="391"/>
      <c r="C919" s="391"/>
      <c r="D919" s="391"/>
      <c r="E919" s="391"/>
      <c r="F919" s="391"/>
      <c r="G919" s="391"/>
      <c r="H919" s="391"/>
      <c r="I919" s="391"/>
      <c r="J919" s="391"/>
      <c r="K919" s="391"/>
      <c r="L919" s="391"/>
      <c r="M919" s="391"/>
      <c r="N919" s="391"/>
      <c r="O919" s="391"/>
      <c r="P919" s="391"/>
      <c r="Q919" s="391"/>
      <c r="R919" s="391"/>
      <c r="S919" s="391"/>
      <c r="T919" s="391"/>
      <c r="U919" s="391"/>
      <c r="V919" s="391"/>
      <c r="W919" s="391"/>
      <c r="X919" s="391"/>
      <c r="Y919" s="391"/>
      <c r="Z919" s="391"/>
      <c r="AA919" s="391"/>
      <c r="AB919" s="391"/>
      <c r="AC919" s="391"/>
      <c r="AD919" s="391"/>
      <c r="AE919" s="391"/>
    </row>
    <row r="920">
      <c r="A920" s="391"/>
      <c r="B920" s="391"/>
      <c r="C920" s="391"/>
      <c r="D920" s="391"/>
      <c r="E920" s="391"/>
      <c r="F920" s="391"/>
      <c r="G920" s="391"/>
      <c r="H920" s="391"/>
      <c r="I920" s="391"/>
      <c r="J920" s="391"/>
      <c r="K920" s="391"/>
      <c r="L920" s="391"/>
      <c r="M920" s="391"/>
      <c r="N920" s="391"/>
      <c r="O920" s="391"/>
      <c r="P920" s="391"/>
      <c r="Q920" s="391"/>
      <c r="R920" s="391"/>
      <c r="S920" s="391"/>
      <c r="T920" s="391"/>
      <c r="U920" s="391"/>
      <c r="V920" s="391"/>
      <c r="W920" s="391"/>
      <c r="X920" s="391"/>
      <c r="Y920" s="391"/>
      <c r="Z920" s="391"/>
      <c r="AA920" s="391"/>
      <c r="AB920" s="391"/>
      <c r="AC920" s="391"/>
      <c r="AD920" s="391"/>
      <c r="AE920" s="391"/>
    </row>
    <row r="921">
      <c r="A921" s="391"/>
      <c r="B921" s="391"/>
      <c r="C921" s="391"/>
      <c r="D921" s="391"/>
      <c r="E921" s="391"/>
      <c r="F921" s="391"/>
      <c r="G921" s="391"/>
      <c r="H921" s="391"/>
      <c r="I921" s="391"/>
      <c r="J921" s="391"/>
      <c r="K921" s="391"/>
      <c r="L921" s="391"/>
      <c r="M921" s="391"/>
      <c r="N921" s="391"/>
      <c r="O921" s="391"/>
      <c r="P921" s="391"/>
      <c r="Q921" s="391"/>
      <c r="R921" s="391"/>
      <c r="S921" s="391"/>
      <c r="T921" s="391"/>
      <c r="U921" s="391"/>
      <c r="V921" s="391"/>
      <c r="W921" s="391"/>
      <c r="X921" s="391"/>
      <c r="Y921" s="391"/>
      <c r="Z921" s="391"/>
      <c r="AA921" s="391"/>
      <c r="AB921" s="391"/>
      <c r="AC921" s="391"/>
      <c r="AD921" s="391"/>
      <c r="AE921" s="391"/>
    </row>
    <row r="922">
      <c r="A922" s="391"/>
      <c r="B922" s="391"/>
      <c r="C922" s="391"/>
      <c r="D922" s="391"/>
      <c r="E922" s="391"/>
      <c r="F922" s="391"/>
      <c r="G922" s="391"/>
      <c r="H922" s="391"/>
      <c r="I922" s="391"/>
      <c r="J922" s="391"/>
      <c r="K922" s="391"/>
      <c r="L922" s="391"/>
      <c r="M922" s="391"/>
      <c r="N922" s="391"/>
      <c r="O922" s="391"/>
      <c r="P922" s="391"/>
      <c r="Q922" s="391"/>
      <c r="R922" s="391"/>
      <c r="S922" s="391"/>
      <c r="T922" s="391"/>
      <c r="U922" s="391"/>
      <c r="V922" s="391"/>
      <c r="W922" s="391"/>
      <c r="X922" s="391"/>
      <c r="Y922" s="391"/>
      <c r="Z922" s="391"/>
      <c r="AA922" s="391"/>
      <c r="AB922" s="391"/>
      <c r="AC922" s="391"/>
      <c r="AD922" s="391"/>
      <c r="AE922" s="391"/>
    </row>
    <row r="923">
      <c r="A923" s="391"/>
      <c r="B923" s="391"/>
      <c r="C923" s="391"/>
      <c r="D923" s="391"/>
      <c r="E923" s="391"/>
      <c r="F923" s="391"/>
      <c r="G923" s="391"/>
      <c r="H923" s="391"/>
      <c r="I923" s="391"/>
      <c r="J923" s="391"/>
      <c r="K923" s="391"/>
      <c r="L923" s="391"/>
      <c r="M923" s="391"/>
      <c r="N923" s="391"/>
      <c r="O923" s="391"/>
      <c r="P923" s="391"/>
      <c r="Q923" s="391"/>
      <c r="R923" s="391"/>
      <c r="S923" s="391"/>
      <c r="T923" s="391"/>
      <c r="U923" s="391"/>
      <c r="V923" s="391"/>
      <c r="W923" s="391"/>
      <c r="X923" s="391"/>
      <c r="Y923" s="391"/>
      <c r="Z923" s="391"/>
      <c r="AA923" s="391"/>
      <c r="AB923" s="391"/>
      <c r="AC923" s="391"/>
      <c r="AD923" s="391"/>
      <c r="AE923" s="391"/>
    </row>
    <row r="924">
      <c r="A924" s="391"/>
      <c r="B924" s="391"/>
      <c r="C924" s="391"/>
      <c r="D924" s="391"/>
      <c r="E924" s="391"/>
      <c r="F924" s="391"/>
      <c r="G924" s="391"/>
      <c r="H924" s="391"/>
      <c r="I924" s="391"/>
      <c r="J924" s="391"/>
      <c r="K924" s="391"/>
      <c r="L924" s="391"/>
      <c r="M924" s="391"/>
      <c r="N924" s="391"/>
      <c r="O924" s="391"/>
      <c r="P924" s="391"/>
      <c r="Q924" s="391"/>
      <c r="R924" s="391"/>
      <c r="S924" s="391"/>
      <c r="T924" s="391"/>
      <c r="U924" s="391"/>
      <c r="V924" s="391"/>
      <c r="W924" s="391"/>
      <c r="X924" s="391"/>
      <c r="Y924" s="391"/>
      <c r="Z924" s="391"/>
      <c r="AA924" s="391"/>
      <c r="AB924" s="391"/>
      <c r="AC924" s="391"/>
      <c r="AD924" s="391"/>
      <c r="AE924" s="391"/>
    </row>
    <row r="925">
      <c r="A925" s="391"/>
      <c r="B925" s="391"/>
      <c r="C925" s="391"/>
      <c r="D925" s="391"/>
      <c r="E925" s="391"/>
      <c r="F925" s="391"/>
      <c r="G925" s="391"/>
      <c r="H925" s="391"/>
      <c r="I925" s="391"/>
      <c r="J925" s="391"/>
      <c r="K925" s="391"/>
      <c r="L925" s="391"/>
      <c r="M925" s="391"/>
      <c r="N925" s="391"/>
      <c r="O925" s="391"/>
      <c r="P925" s="391"/>
      <c r="Q925" s="391"/>
      <c r="R925" s="391"/>
      <c r="S925" s="391"/>
      <c r="T925" s="391"/>
      <c r="U925" s="391"/>
      <c r="V925" s="391"/>
      <c r="W925" s="391"/>
      <c r="X925" s="391"/>
      <c r="Y925" s="391"/>
      <c r="Z925" s="391"/>
      <c r="AA925" s="391"/>
      <c r="AB925" s="391"/>
      <c r="AC925" s="391"/>
      <c r="AD925" s="391"/>
      <c r="AE925" s="391"/>
    </row>
    <row r="926">
      <c r="A926" s="391"/>
      <c r="B926" s="391"/>
      <c r="C926" s="391"/>
      <c r="D926" s="391"/>
      <c r="E926" s="391"/>
      <c r="F926" s="391"/>
      <c r="G926" s="391"/>
      <c r="H926" s="391"/>
      <c r="I926" s="391"/>
      <c r="J926" s="391"/>
      <c r="K926" s="391"/>
      <c r="L926" s="391"/>
      <c r="M926" s="391"/>
      <c r="N926" s="391"/>
      <c r="O926" s="391"/>
      <c r="P926" s="391"/>
      <c r="Q926" s="391"/>
      <c r="R926" s="391"/>
      <c r="S926" s="391"/>
      <c r="T926" s="391"/>
      <c r="U926" s="391"/>
      <c r="V926" s="391"/>
      <c r="W926" s="391"/>
      <c r="X926" s="391"/>
      <c r="Y926" s="391"/>
      <c r="Z926" s="391"/>
      <c r="AA926" s="391"/>
      <c r="AB926" s="391"/>
      <c r="AC926" s="391"/>
      <c r="AD926" s="391"/>
      <c r="AE926" s="391"/>
    </row>
    <row r="927">
      <c r="A927" s="391"/>
      <c r="B927" s="391"/>
      <c r="C927" s="391"/>
      <c r="D927" s="391"/>
      <c r="E927" s="391"/>
      <c r="F927" s="391"/>
      <c r="G927" s="391"/>
      <c r="H927" s="391"/>
      <c r="I927" s="391"/>
      <c r="J927" s="391"/>
      <c r="K927" s="391"/>
      <c r="L927" s="391"/>
      <c r="M927" s="391"/>
      <c r="N927" s="391"/>
      <c r="O927" s="391"/>
      <c r="P927" s="391"/>
      <c r="Q927" s="391"/>
      <c r="R927" s="391"/>
      <c r="S927" s="391"/>
      <c r="T927" s="391"/>
      <c r="U927" s="391"/>
      <c r="V927" s="391"/>
      <c r="W927" s="391"/>
      <c r="X927" s="391"/>
      <c r="Y927" s="391"/>
      <c r="Z927" s="391"/>
      <c r="AA927" s="391"/>
      <c r="AB927" s="391"/>
      <c r="AC927" s="391"/>
      <c r="AD927" s="391"/>
      <c r="AE927" s="391"/>
    </row>
    <row r="928">
      <c r="A928" s="391"/>
      <c r="B928" s="391"/>
      <c r="C928" s="391"/>
      <c r="D928" s="391"/>
      <c r="E928" s="391"/>
      <c r="F928" s="391"/>
      <c r="G928" s="391"/>
      <c r="H928" s="391"/>
      <c r="I928" s="391"/>
      <c r="J928" s="391"/>
      <c r="K928" s="391"/>
      <c r="L928" s="391"/>
      <c r="M928" s="391"/>
      <c r="N928" s="391"/>
      <c r="O928" s="391"/>
      <c r="P928" s="391"/>
      <c r="Q928" s="391"/>
      <c r="R928" s="391"/>
      <c r="S928" s="391"/>
      <c r="T928" s="391"/>
      <c r="U928" s="391"/>
      <c r="V928" s="391"/>
      <c r="W928" s="391"/>
      <c r="X928" s="391"/>
      <c r="Y928" s="391"/>
      <c r="Z928" s="391"/>
      <c r="AA928" s="391"/>
      <c r="AB928" s="391"/>
      <c r="AC928" s="391"/>
      <c r="AD928" s="391"/>
      <c r="AE928" s="391"/>
    </row>
    <row r="929">
      <c r="A929" s="391"/>
      <c r="B929" s="391"/>
      <c r="C929" s="391"/>
      <c r="D929" s="391"/>
      <c r="E929" s="391"/>
      <c r="F929" s="391"/>
      <c r="G929" s="391"/>
      <c r="H929" s="391"/>
      <c r="I929" s="391"/>
      <c r="J929" s="391"/>
      <c r="K929" s="391"/>
      <c r="L929" s="391"/>
      <c r="M929" s="391"/>
      <c r="N929" s="391"/>
      <c r="O929" s="391"/>
      <c r="P929" s="391"/>
      <c r="Q929" s="391"/>
      <c r="R929" s="391"/>
      <c r="S929" s="391"/>
      <c r="T929" s="391"/>
      <c r="U929" s="391"/>
      <c r="V929" s="391"/>
      <c r="W929" s="391"/>
      <c r="X929" s="391"/>
      <c r="Y929" s="391"/>
      <c r="Z929" s="391"/>
      <c r="AA929" s="391"/>
      <c r="AB929" s="391"/>
      <c r="AC929" s="391"/>
      <c r="AD929" s="391"/>
      <c r="AE929" s="391"/>
    </row>
    <row r="930">
      <c r="A930" s="391"/>
      <c r="B930" s="391"/>
      <c r="C930" s="391"/>
      <c r="D930" s="391"/>
      <c r="E930" s="391"/>
      <c r="F930" s="391"/>
      <c r="G930" s="391"/>
      <c r="H930" s="391"/>
      <c r="I930" s="391"/>
      <c r="J930" s="391"/>
      <c r="K930" s="391"/>
      <c r="L930" s="391"/>
      <c r="M930" s="391"/>
      <c r="N930" s="391"/>
      <c r="O930" s="391"/>
      <c r="P930" s="391"/>
      <c r="Q930" s="391"/>
      <c r="R930" s="391"/>
      <c r="S930" s="391"/>
      <c r="T930" s="391"/>
      <c r="U930" s="391"/>
      <c r="V930" s="391"/>
      <c r="W930" s="391"/>
      <c r="X930" s="391"/>
      <c r="Y930" s="391"/>
      <c r="Z930" s="391"/>
      <c r="AA930" s="391"/>
      <c r="AB930" s="391"/>
      <c r="AC930" s="391"/>
      <c r="AD930" s="391"/>
      <c r="AE930" s="391"/>
    </row>
    <row r="931">
      <c r="A931" s="391"/>
      <c r="B931" s="391"/>
      <c r="C931" s="391"/>
      <c r="D931" s="391"/>
      <c r="E931" s="391"/>
      <c r="F931" s="391"/>
      <c r="G931" s="391"/>
      <c r="H931" s="391"/>
      <c r="I931" s="391"/>
      <c r="J931" s="391"/>
      <c r="K931" s="391"/>
      <c r="L931" s="391"/>
      <c r="M931" s="391"/>
      <c r="N931" s="391"/>
      <c r="O931" s="391"/>
      <c r="P931" s="391"/>
      <c r="Q931" s="391"/>
      <c r="R931" s="391"/>
      <c r="S931" s="391"/>
      <c r="T931" s="391"/>
      <c r="U931" s="391"/>
      <c r="V931" s="391"/>
      <c r="W931" s="391"/>
      <c r="X931" s="391"/>
      <c r="Y931" s="391"/>
      <c r="Z931" s="391"/>
      <c r="AA931" s="391"/>
      <c r="AB931" s="391"/>
      <c r="AC931" s="391"/>
      <c r="AD931" s="391"/>
      <c r="AE931" s="391"/>
    </row>
    <row r="932">
      <c r="A932" s="391"/>
      <c r="B932" s="391"/>
      <c r="C932" s="391"/>
      <c r="D932" s="391"/>
      <c r="E932" s="391"/>
      <c r="F932" s="391"/>
      <c r="G932" s="391"/>
      <c r="H932" s="391"/>
      <c r="I932" s="391"/>
      <c r="J932" s="391"/>
      <c r="K932" s="391"/>
      <c r="L932" s="391"/>
      <c r="M932" s="391"/>
      <c r="N932" s="391"/>
      <c r="O932" s="391"/>
      <c r="P932" s="391"/>
      <c r="Q932" s="391"/>
      <c r="R932" s="391"/>
      <c r="S932" s="391"/>
      <c r="T932" s="391"/>
      <c r="U932" s="391"/>
      <c r="V932" s="391"/>
      <c r="W932" s="391"/>
      <c r="X932" s="391"/>
      <c r="Y932" s="391"/>
      <c r="Z932" s="391"/>
      <c r="AA932" s="391"/>
      <c r="AB932" s="391"/>
      <c r="AC932" s="391"/>
      <c r="AD932" s="391"/>
      <c r="AE932" s="391"/>
    </row>
    <row r="933">
      <c r="A933" s="391"/>
      <c r="B933" s="391"/>
      <c r="C933" s="391"/>
      <c r="D933" s="391"/>
      <c r="E933" s="391"/>
      <c r="F933" s="391"/>
      <c r="G933" s="391"/>
      <c r="H933" s="391"/>
      <c r="I933" s="391"/>
      <c r="J933" s="391"/>
      <c r="K933" s="391"/>
      <c r="L933" s="391"/>
      <c r="M933" s="391"/>
      <c r="N933" s="391"/>
      <c r="O933" s="391"/>
      <c r="P933" s="391"/>
      <c r="Q933" s="391"/>
      <c r="R933" s="391"/>
      <c r="S933" s="391"/>
      <c r="T933" s="391"/>
      <c r="U933" s="391"/>
      <c r="V933" s="391"/>
      <c r="W933" s="391"/>
      <c r="X933" s="391"/>
      <c r="Y933" s="391"/>
      <c r="Z933" s="391"/>
      <c r="AA933" s="391"/>
      <c r="AB933" s="391"/>
      <c r="AC933" s="391"/>
      <c r="AD933" s="391"/>
      <c r="AE933" s="391"/>
    </row>
    <row r="934">
      <c r="A934" s="391"/>
      <c r="B934" s="391"/>
      <c r="C934" s="391"/>
      <c r="D934" s="391"/>
      <c r="E934" s="391"/>
      <c r="F934" s="391"/>
      <c r="G934" s="391"/>
      <c r="H934" s="391"/>
      <c r="I934" s="391"/>
      <c r="J934" s="391"/>
      <c r="K934" s="391"/>
      <c r="L934" s="391"/>
      <c r="M934" s="391"/>
      <c r="N934" s="391"/>
      <c r="O934" s="391"/>
      <c r="P934" s="391"/>
      <c r="Q934" s="391"/>
      <c r="R934" s="391"/>
      <c r="S934" s="391"/>
      <c r="T934" s="391"/>
      <c r="U934" s="391"/>
      <c r="V934" s="391"/>
      <c r="W934" s="391"/>
      <c r="X934" s="391"/>
      <c r="Y934" s="391"/>
      <c r="Z934" s="391"/>
      <c r="AA934" s="391"/>
      <c r="AB934" s="391"/>
      <c r="AC934" s="391"/>
      <c r="AD934" s="391"/>
      <c r="AE934" s="391"/>
    </row>
    <row r="935">
      <c r="A935" s="391"/>
      <c r="B935" s="391"/>
      <c r="C935" s="391"/>
      <c r="D935" s="391"/>
      <c r="E935" s="391"/>
      <c r="F935" s="391"/>
      <c r="G935" s="391"/>
      <c r="H935" s="391"/>
      <c r="I935" s="391"/>
      <c r="J935" s="391"/>
      <c r="K935" s="391"/>
      <c r="L935" s="391"/>
      <c r="M935" s="391"/>
      <c r="N935" s="391"/>
      <c r="O935" s="391"/>
      <c r="P935" s="391"/>
      <c r="Q935" s="391"/>
      <c r="R935" s="391"/>
      <c r="S935" s="391"/>
      <c r="T935" s="391"/>
      <c r="U935" s="391"/>
      <c r="V935" s="391"/>
      <c r="W935" s="391"/>
      <c r="X935" s="391"/>
      <c r="Y935" s="391"/>
      <c r="Z935" s="391"/>
      <c r="AA935" s="391"/>
      <c r="AB935" s="391"/>
      <c r="AC935" s="391"/>
      <c r="AD935" s="391"/>
      <c r="AE935" s="391"/>
    </row>
    <row r="936">
      <c r="A936" s="391"/>
      <c r="B936" s="391"/>
      <c r="C936" s="391"/>
      <c r="D936" s="391"/>
      <c r="E936" s="391"/>
      <c r="F936" s="391"/>
      <c r="G936" s="391"/>
      <c r="H936" s="391"/>
      <c r="I936" s="391"/>
      <c r="J936" s="391"/>
      <c r="K936" s="391"/>
      <c r="L936" s="391"/>
      <c r="M936" s="391"/>
      <c r="N936" s="391"/>
      <c r="O936" s="391"/>
      <c r="P936" s="391"/>
      <c r="Q936" s="391"/>
      <c r="R936" s="391"/>
      <c r="S936" s="391"/>
      <c r="T936" s="391"/>
      <c r="U936" s="391"/>
      <c r="V936" s="391"/>
      <c r="W936" s="391"/>
      <c r="X936" s="391"/>
      <c r="Y936" s="391"/>
      <c r="Z936" s="391"/>
      <c r="AA936" s="391"/>
      <c r="AB936" s="391"/>
      <c r="AC936" s="391"/>
      <c r="AD936" s="391"/>
      <c r="AE936" s="391"/>
    </row>
    <row r="937">
      <c r="A937" s="391"/>
      <c r="B937" s="391"/>
      <c r="C937" s="391"/>
      <c r="D937" s="391"/>
      <c r="E937" s="391"/>
      <c r="F937" s="391"/>
      <c r="G937" s="391"/>
      <c r="H937" s="391"/>
      <c r="I937" s="391"/>
      <c r="J937" s="391"/>
      <c r="K937" s="391"/>
      <c r="L937" s="391"/>
      <c r="M937" s="391"/>
      <c r="N937" s="391"/>
      <c r="O937" s="391"/>
      <c r="P937" s="391"/>
      <c r="Q937" s="391"/>
      <c r="R937" s="391"/>
      <c r="S937" s="391"/>
      <c r="T937" s="391"/>
      <c r="U937" s="391"/>
      <c r="V937" s="391"/>
      <c r="W937" s="391"/>
      <c r="X937" s="391"/>
      <c r="Y937" s="391"/>
      <c r="Z937" s="391"/>
      <c r="AA937" s="391"/>
      <c r="AB937" s="391"/>
      <c r="AC937" s="391"/>
      <c r="AD937" s="391"/>
      <c r="AE937" s="391"/>
    </row>
    <row r="938">
      <c r="A938" s="391"/>
      <c r="B938" s="391"/>
      <c r="C938" s="391"/>
      <c r="D938" s="391"/>
      <c r="E938" s="391"/>
      <c r="F938" s="391"/>
      <c r="G938" s="391"/>
      <c r="H938" s="391"/>
      <c r="I938" s="391"/>
      <c r="J938" s="391"/>
      <c r="K938" s="391"/>
      <c r="L938" s="391"/>
      <c r="M938" s="391"/>
      <c r="N938" s="391"/>
      <c r="O938" s="391"/>
      <c r="P938" s="391"/>
      <c r="Q938" s="391"/>
      <c r="R938" s="391"/>
      <c r="S938" s="391"/>
      <c r="T938" s="391"/>
      <c r="U938" s="391"/>
      <c r="V938" s="391"/>
      <c r="W938" s="391"/>
      <c r="X938" s="391"/>
      <c r="Y938" s="391"/>
      <c r="Z938" s="391"/>
      <c r="AA938" s="391"/>
      <c r="AB938" s="391"/>
      <c r="AC938" s="391"/>
      <c r="AD938" s="391"/>
      <c r="AE938" s="391"/>
    </row>
    <row r="939">
      <c r="A939" s="391"/>
      <c r="B939" s="391"/>
      <c r="C939" s="391"/>
      <c r="D939" s="391"/>
      <c r="E939" s="391"/>
      <c r="F939" s="391"/>
      <c r="G939" s="391"/>
      <c r="H939" s="391"/>
      <c r="I939" s="391"/>
      <c r="J939" s="391"/>
      <c r="K939" s="391"/>
      <c r="L939" s="391"/>
      <c r="M939" s="391"/>
      <c r="N939" s="391"/>
      <c r="O939" s="391"/>
      <c r="P939" s="391"/>
      <c r="Q939" s="391"/>
      <c r="R939" s="391"/>
      <c r="S939" s="391"/>
      <c r="T939" s="391"/>
      <c r="U939" s="391"/>
      <c r="V939" s="391"/>
      <c r="W939" s="391"/>
      <c r="X939" s="391"/>
      <c r="Y939" s="391"/>
      <c r="Z939" s="391"/>
      <c r="AA939" s="391"/>
      <c r="AB939" s="391"/>
      <c r="AC939" s="391"/>
      <c r="AD939" s="391"/>
      <c r="AE939" s="391"/>
    </row>
    <row r="940">
      <c r="A940" s="391"/>
      <c r="B940" s="391"/>
      <c r="C940" s="391"/>
      <c r="D940" s="391"/>
      <c r="E940" s="391"/>
      <c r="F940" s="391"/>
      <c r="G940" s="391"/>
      <c r="H940" s="391"/>
      <c r="I940" s="391"/>
      <c r="J940" s="391"/>
      <c r="K940" s="391"/>
      <c r="L940" s="391"/>
      <c r="M940" s="391"/>
      <c r="N940" s="391"/>
      <c r="O940" s="391"/>
      <c r="P940" s="391"/>
      <c r="Q940" s="391"/>
      <c r="R940" s="391"/>
      <c r="S940" s="391"/>
      <c r="T940" s="391"/>
      <c r="U940" s="391"/>
      <c r="V940" s="391"/>
      <c r="W940" s="391"/>
      <c r="X940" s="391"/>
      <c r="Y940" s="391"/>
      <c r="Z940" s="391"/>
      <c r="AA940" s="391"/>
      <c r="AB940" s="391"/>
      <c r="AC940" s="391"/>
      <c r="AD940" s="391"/>
      <c r="AE940" s="391"/>
    </row>
    <row r="941">
      <c r="A941" s="391"/>
      <c r="B941" s="391"/>
      <c r="C941" s="391"/>
      <c r="D941" s="391"/>
      <c r="E941" s="391"/>
      <c r="F941" s="391"/>
      <c r="G941" s="391"/>
      <c r="H941" s="391"/>
      <c r="I941" s="391"/>
      <c r="J941" s="391"/>
      <c r="K941" s="391"/>
      <c r="L941" s="391"/>
      <c r="M941" s="391"/>
      <c r="N941" s="391"/>
      <c r="O941" s="391"/>
      <c r="P941" s="391"/>
      <c r="Q941" s="391"/>
      <c r="R941" s="391"/>
      <c r="S941" s="391"/>
      <c r="T941" s="391"/>
      <c r="U941" s="391"/>
      <c r="V941" s="391"/>
      <c r="W941" s="391"/>
      <c r="X941" s="391"/>
      <c r="Y941" s="391"/>
      <c r="Z941" s="391"/>
      <c r="AA941" s="391"/>
      <c r="AB941" s="391"/>
      <c r="AC941" s="391"/>
      <c r="AD941" s="391"/>
      <c r="AE941" s="391"/>
    </row>
    <row r="942">
      <c r="A942" s="391"/>
      <c r="B942" s="391"/>
      <c r="C942" s="391"/>
      <c r="D942" s="391"/>
      <c r="E942" s="391"/>
      <c r="F942" s="391"/>
      <c r="G942" s="391"/>
      <c r="H942" s="391"/>
      <c r="I942" s="391"/>
      <c r="J942" s="391"/>
      <c r="K942" s="391"/>
      <c r="L942" s="391"/>
      <c r="M942" s="391"/>
      <c r="N942" s="391"/>
      <c r="O942" s="391"/>
      <c r="P942" s="391"/>
      <c r="Q942" s="391"/>
      <c r="R942" s="391"/>
      <c r="S942" s="391"/>
      <c r="T942" s="391"/>
      <c r="U942" s="391"/>
      <c r="V942" s="391"/>
      <c r="W942" s="391"/>
      <c r="X942" s="391"/>
      <c r="Y942" s="391"/>
      <c r="Z942" s="391"/>
      <c r="AA942" s="391"/>
      <c r="AB942" s="391"/>
      <c r="AC942" s="391"/>
      <c r="AD942" s="391"/>
      <c r="AE942" s="391"/>
    </row>
    <row r="943">
      <c r="A943" s="391"/>
      <c r="B943" s="391"/>
      <c r="C943" s="391"/>
      <c r="D943" s="391"/>
      <c r="E943" s="391"/>
      <c r="F943" s="391"/>
      <c r="G943" s="391"/>
      <c r="H943" s="391"/>
      <c r="I943" s="391"/>
      <c r="J943" s="391"/>
      <c r="K943" s="391"/>
      <c r="L943" s="391"/>
      <c r="M943" s="391"/>
      <c r="N943" s="391"/>
      <c r="O943" s="391"/>
      <c r="P943" s="391"/>
      <c r="Q943" s="391"/>
      <c r="R943" s="391"/>
      <c r="S943" s="391"/>
      <c r="T943" s="391"/>
      <c r="U943" s="391"/>
      <c r="V943" s="391"/>
      <c r="W943" s="391"/>
      <c r="X943" s="391"/>
      <c r="Y943" s="391"/>
      <c r="Z943" s="391"/>
      <c r="AA943" s="391"/>
      <c r="AB943" s="391"/>
      <c r="AC943" s="391"/>
      <c r="AD943" s="391"/>
      <c r="AE943" s="391"/>
    </row>
    <row r="944">
      <c r="A944" s="391"/>
      <c r="B944" s="391"/>
      <c r="C944" s="391"/>
      <c r="D944" s="391"/>
      <c r="E944" s="391"/>
      <c r="F944" s="391"/>
      <c r="G944" s="391"/>
      <c r="H944" s="391"/>
      <c r="I944" s="391"/>
      <c r="J944" s="391"/>
      <c r="K944" s="391"/>
      <c r="L944" s="391"/>
      <c r="M944" s="391"/>
      <c r="N944" s="391"/>
      <c r="O944" s="391"/>
      <c r="P944" s="391"/>
      <c r="Q944" s="391"/>
      <c r="R944" s="391"/>
      <c r="S944" s="391"/>
      <c r="T944" s="391"/>
      <c r="U944" s="391"/>
      <c r="V944" s="391"/>
      <c r="W944" s="391"/>
      <c r="X944" s="391"/>
      <c r="Y944" s="391"/>
      <c r="Z944" s="391"/>
      <c r="AA944" s="391"/>
      <c r="AB944" s="391"/>
      <c r="AC944" s="391"/>
      <c r="AD944" s="391"/>
      <c r="AE944" s="391"/>
    </row>
    <row r="945">
      <c r="A945" s="391"/>
      <c r="B945" s="391"/>
      <c r="C945" s="391"/>
      <c r="D945" s="391"/>
      <c r="E945" s="391"/>
      <c r="F945" s="391"/>
      <c r="G945" s="391"/>
      <c r="H945" s="391"/>
      <c r="I945" s="391"/>
      <c r="J945" s="391"/>
      <c r="K945" s="391"/>
      <c r="L945" s="391"/>
      <c r="M945" s="391"/>
      <c r="N945" s="391"/>
      <c r="O945" s="391"/>
      <c r="P945" s="391"/>
      <c r="Q945" s="391"/>
      <c r="R945" s="391"/>
      <c r="S945" s="391"/>
      <c r="T945" s="391"/>
      <c r="U945" s="391"/>
      <c r="V945" s="391"/>
      <c r="W945" s="391"/>
      <c r="X945" s="391"/>
      <c r="Y945" s="391"/>
      <c r="Z945" s="391"/>
      <c r="AA945" s="391"/>
      <c r="AB945" s="391"/>
      <c r="AC945" s="391"/>
      <c r="AD945" s="391"/>
      <c r="AE945" s="391"/>
    </row>
    <row r="946">
      <c r="A946" s="391"/>
      <c r="B946" s="391"/>
      <c r="C946" s="391"/>
      <c r="D946" s="391"/>
      <c r="E946" s="391"/>
      <c r="F946" s="391"/>
      <c r="G946" s="391"/>
      <c r="H946" s="391"/>
      <c r="I946" s="391"/>
      <c r="J946" s="391"/>
      <c r="K946" s="391"/>
      <c r="L946" s="391"/>
      <c r="M946" s="391"/>
      <c r="N946" s="391"/>
      <c r="O946" s="391"/>
      <c r="P946" s="391"/>
      <c r="Q946" s="391"/>
      <c r="R946" s="391"/>
      <c r="S946" s="391"/>
      <c r="T946" s="391"/>
      <c r="U946" s="391"/>
      <c r="V946" s="391"/>
      <c r="W946" s="391"/>
      <c r="X946" s="391"/>
      <c r="Y946" s="391"/>
      <c r="Z946" s="391"/>
      <c r="AA946" s="391"/>
      <c r="AB946" s="391"/>
      <c r="AC946" s="391"/>
      <c r="AD946" s="391"/>
      <c r="AE946" s="391"/>
    </row>
    <row r="947">
      <c r="A947" s="391"/>
      <c r="B947" s="391"/>
      <c r="C947" s="391"/>
      <c r="D947" s="391"/>
      <c r="E947" s="391"/>
      <c r="F947" s="391"/>
      <c r="G947" s="391"/>
      <c r="H947" s="391"/>
      <c r="I947" s="391"/>
      <c r="J947" s="391"/>
      <c r="K947" s="391"/>
      <c r="L947" s="391"/>
      <c r="M947" s="391"/>
      <c r="N947" s="391"/>
      <c r="O947" s="391"/>
      <c r="P947" s="391"/>
      <c r="Q947" s="391"/>
      <c r="R947" s="391"/>
      <c r="S947" s="391"/>
      <c r="T947" s="391"/>
      <c r="U947" s="391"/>
      <c r="V947" s="391"/>
      <c r="W947" s="391"/>
      <c r="X947" s="391"/>
      <c r="Y947" s="391"/>
      <c r="Z947" s="391"/>
      <c r="AA947" s="391"/>
      <c r="AB947" s="391"/>
      <c r="AC947" s="391"/>
      <c r="AD947" s="391"/>
      <c r="AE947" s="391"/>
    </row>
    <row r="948">
      <c r="A948" s="391"/>
      <c r="B948" s="391"/>
      <c r="C948" s="391"/>
      <c r="D948" s="391"/>
      <c r="E948" s="391"/>
      <c r="F948" s="391"/>
      <c r="G948" s="391"/>
      <c r="H948" s="391"/>
      <c r="I948" s="391"/>
      <c r="J948" s="391"/>
      <c r="K948" s="391"/>
      <c r="L948" s="391"/>
      <c r="M948" s="391"/>
      <c r="N948" s="391"/>
      <c r="O948" s="391"/>
      <c r="P948" s="391"/>
      <c r="Q948" s="391"/>
      <c r="R948" s="391"/>
      <c r="S948" s="391"/>
      <c r="T948" s="391"/>
      <c r="U948" s="391"/>
      <c r="V948" s="391"/>
      <c r="W948" s="391"/>
      <c r="X948" s="391"/>
      <c r="Y948" s="391"/>
      <c r="Z948" s="391"/>
      <c r="AA948" s="391"/>
      <c r="AB948" s="391"/>
      <c r="AC948" s="391"/>
      <c r="AD948" s="391"/>
      <c r="AE948" s="391"/>
    </row>
    <row r="949">
      <c r="A949" s="391"/>
      <c r="B949" s="391"/>
      <c r="C949" s="391"/>
      <c r="D949" s="391"/>
      <c r="E949" s="391"/>
      <c r="F949" s="391"/>
      <c r="G949" s="391"/>
      <c r="H949" s="391"/>
      <c r="I949" s="391"/>
      <c r="J949" s="391"/>
      <c r="K949" s="391"/>
      <c r="L949" s="391"/>
      <c r="M949" s="391"/>
      <c r="N949" s="391"/>
      <c r="O949" s="391"/>
      <c r="P949" s="391"/>
      <c r="Q949" s="391"/>
      <c r="R949" s="391"/>
      <c r="S949" s="391"/>
      <c r="T949" s="391"/>
      <c r="U949" s="391"/>
      <c r="V949" s="391"/>
      <c r="W949" s="391"/>
      <c r="X949" s="391"/>
      <c r="Y949" s="391"/>
      <c r="Z949" s="391"/>
      <c r="AA949" s="391"/>
      <c r="AB949" s="391"/>
      <c r="AC949" s="391"/>
      <c r="AD949" s="391"/>
      <c r="AE949" s="391"/>
    </row>
    <row r="950">
      <c r="A950" s="391"/>
      <c r="B950" s="391"/>
      <c r="C950" s="391"/>
      <c r="D950" s="391"/>
      <c r="E950" s="391"/>
      <c r="F950" s="391"/>
      <c r="G950" s="391"/>
      <c r="H950" s="391"/>
      <c r="I950" s="391"/>
      <c r="J950" s="391"/>
      <c r="K950" s="391"/>
      <c r="L950" s="391"/>
      <c r="M950" s="391"/>
      <c r="N950" s="391"/>
      <c r="O950" s="391"/>
      <c r="P950" s="391"/>
      <c r="Q950" s="391"/>
      <c r="R950" s="391"/>
      <c r="S950" s="391"/>
      <c r="T950" s="391"/>
      <c r="U950" s="391"/>
      <c r="V950" s="391"/>
      <c r="W950" s="391"/>
      <c r="X950" s="391"/>
      <c r="Y950" s="391"/>
      <c r="Z950" s="391"/>
      <c r="AA950" s="391"/>
      <c r="AB950" s="391"/>
      <c r="AC950" s="391"/>
      <c r="AD950" s="391"/>
      <c r="AE950" s="391"/>
    </row>
    <row r="951">
      <c r="A951" s="391"/>
      <c r="B951" s="391"/>
      <c r="C951" s="391"/>
      <c r="D951" s="391"/>
      <c r="E951" s="391"/>
      <c r="F951" s="391"/>
      <c r="G951" s="391"/>
      <c r="H951" s="391"/>
      <c r="I951" s="391"/>
      <c r="J951" s="391"/>
      <c r="K951" s="391"/>
      <c r="L951" s="391"/>
      <c r="M951" s="391"/>
      <c r="N951" s="391"/>
      <c r="O951" s="391"/>
      <c r="P951" s="391"/>
      <c r="Q951" s="391"/>
      <c r="R951" s="391"/>
      <c r="S951" s="391"/>
      <c r="T951" s="391"/>
      <c r="U951" s="391"/>
      <c r="V951" s="391"/>
      <c r="W951" s="391"/>
      <c r="X951" s="391"/>
      <c r="Y951" s="391"/>
      <c r="Z951" s="391"/>
      <c r="AA951" s="391"/>
      <c r="AB951" s="391"/>
      <c r="AC951" s="391"/>
      <c r="AD951" s="391"/>
      <c r="AE951" s="391"/>
    </row>
    <row r="952">
      <c r="A952" s="391"/>
      <c r="B952" s="391"/>
      <c r="C952" s="391"/>
      <c r="D952" s="391"/>
      <c r="E952" s="391"/>
      <c r="F952" s="391"/>
      <c r="G952" s="391"/>
      <c r="H952" s="391"/>
      <c r="I952" s="391"/>
      <c r="J952" s="391"/>
      <c r="K952" s="391"/>
      <c r="L952" s="391"/>
      <c r="M952" s="391"/>
      <c r="N952" s="391"/>
      <c r="O952" s="391"/>
      <c r="P952" s="391"/>
      <c r="Q952" s="391"/>
      <c r="R952" s="391"/>
      <c r="S952" s="391"/>
      <c r="T952" s="391"/>
      <c r="U952" s="391"/>
      <c r="V952" s="391"/>
      <c r="W952" s="391"/>
      <c r="X952" s="391"/>
      <c r="Y952" s="391"/>
      <c r="Z952" s="391"/>
      <c r="AA952" s="391"/>
      <c r="AB952" s="391"/>
      <c r="AC952" s="391"/>
      <c r="AD952" s="391"/>
      <c r="AE952" s="391"/>
    </row>
    <row r="953">
      <c r="A953" s="391"/>
      <c r="B953" s="391"/>
      <c r="C953" s="391"/>
      <c r="D953" s="391"/>
      <c r="E953" s="391"/>
      <c r="F953" s="391"/>
      <c r="G953" s="391"/>
      <c r="H953" s="391"/>
      <c r="I953" s="391"/>
      <c r="J953" s="391"/>
      <c r="K953" s="391"/>
      <c r="L953" s="391"/>
      <c r="M953" s="391"/>
      <c r="N953" s="391"/>
      <c r="O953" s="391"/>
      <c r="P953" s="391"/>
      <c r="Q953" s="391"/>
      <c r="R953" s="391"/>
      <c r="S953" s="391"/>
      <c r="T953" s="391"/>
      <c r="U953" s="391"/>
      <c r="V953" s="391"/>
      <c r="W953" s="391"/>
      <c r="X953" s="391"/>
      <c r="Y953" s="391"/>
      <c r="Z953" s="391"/>
      <c r="AA953" s="391"/>
      <c r="AB953" s="391"/>
      <c r="AC953" s="391"/>
      <c r="AD953" s="391"/>
      <c r="AE953" s="391"/>
    </row>
    <row r="954">
      <c r="A954" s="391"/>
      <c r="B954" s="391"/>
      <c r="C954" s="391"/>
      <c r="D954" s="391"/>
      <c r="E954" s="391"/>
      <c r="F954" s="391"/>
      <c r="G954" s="391"/>
      <c r="H954" s="391"/>
      <c r="I954" s="391"/>
      <c r="J954" s="391"/>
      <c r="K954" s="391"/>
      <c r="L954" s="391"/>
      <c r="M954" s="391"/>
      <c r="N954" s="391"/>
      <c r="O954" s="391"/>
      <c r="P954" s="391"/>
      <c r="Q954" s="391"/>
      <c r="R954" s="391"/>
      <c r="S954" s="391"/>
      <c r="T954" s="391"/>
      <c r="U954" s="391"/>
      <c r="V954" s="391"/>
      <c r="W954" s="391"/>
      <c r="X954" s="391"/>
      <c r="Y954" s="391"/>
      <c r="Z954" s="391"/>
      <c r="AA954" s="391"/>
      <c r="AB954" s="391"/>
      <c r="AC954" s="391"/>
      <c r="AD954" s="391"/>
      <c r="AE954" s="391"/>
    </row>
    <row r="955">
      <c r="A955" s="391"/>
      <c r="B955" s="391"/>
      <c r="C955" s="391"/>
      <c r="D955" s="391"/>
      <c r="E955" s="391"/>
      <c r="F955" s="391"/>
      <c r="G955" s="391"/>
      <c r="H955" s="391"/>
      <c r="I955" s="391"/>
      <c r="J955" s="391"/>
      <c r="K955" s="391"/>
      <c r="L955" s="391"/>
      <c r="M955" s="391"/>
      <c r="N955" s="391"/>
      <c r="O955" s="391"/>
      <c r="P955" s="391"/>
      <c r="Q955" s="391"/>
      <c r="R955" s="391"/>
      <c r="S955" s="391"/>
      <c r="T955" s="391"/>
      <c r="U955" s="391"/>
      <c r="V955" s="391"/>
      <c r="W955" s="391"/>
      <c r="X955" s="391"/>
      <c r="Y955" s="391"/>
      <c r="Z955" s="391"/>
      <c r="AA955" s="391"/>
      <c r="AB955" s="391"/>
      <c r="AC955" s="391"/>
      <c r="AD955" s="391"/>
      <c r="AE955" s="391"/>
    </row>
    <row r="956">
      <c r="A956" s="391"/>
      <c r="B956" s="391"/>
      <c r="C956" s="391"/>
      <c r="D956" s="391"/>
      <c r="E956" s="391"/>
      <c r="F956" s="391"/>
      <c r="G956" s="391"/>
      <c r="H956" s="391"/>
      <c r="I956" s="391"/>
      <c r="J956" s="391"/>
      <c r="K956" s="391"/>
      <c r="L956" s="391"/>
      <c r="M956" s="391"/>
      <c r="N956" s="391"/>
      <c r="O956" s="391"/>
      <c r="P956" s="391"/>
      <c r="Q956" s="391"/>
      <c r="R956" s="391"/>
      <c r="S956" s="391"/>
      <c r="T956" s="391"/>
      <c r="U956" s="391"/>
      <c r="V956" s="391"/>
      <c r="W956" s="391"/>
      <c r="X956" s="391"/>
      <c r="Y956" s="391"/>
      <c r="Z956" s="391"/>
      <c r="AA956" s="391"/>
      <c r="AB956" s="391"/>
      <c r="AC956" s="391"/>
      <c r="AD956" s="391"/>
      <c r="AE956" s="391"/>
    </row>
    <row r="957">
      <c r="A957" s="391"/>
      <c r="B957" s="391"/>
      <c r="C957" s="391"/>
      <c r="D957" s="391"/>
      <c r="E957" s="391"/>
      <c r="F957" s="391"/>
      <c r="G957" s="391"/>
      <c r="H957" s="391"/>
      <c r="I957" s="391"/>
      <c r="J957" s="391"/>
      <c r="K957" s="391"/>
      <c r="L957" s="391"/>
      <c r="M957" s="391"/>
      <c r="N957" s="391"/>
      <c r="O957" s="391"/>
      <c r="P957" s="391"/>
      <c r="Q957" s="391"/>
      <c r="R957" s="391"/>
      <c r="S957" s="391"/>
      <c r="T957" s="391"/>
      <c r="U957" s="391"/>
      <c r="V957" s="391"/>
      <c r="W957" s="391"/>
      <c r="X957" s="391"/>
      <c r="Y957" s="391"/>
      <c r="Z957" s="391"/>
      <c r="AA957" s="391"/>
      <c r="AB957" s="391"/>
      <c r="AC957" s="391"/>
      <c r="AD957" s="391"/>
      <c r="AE957" s="391"/>
    </row>
    <row r="958">
      <c r="A958" s="391"/>
      <c r="B958" s="391"/>
      <c r="C958" s="391"/>
      <c r="D958" s="391"/>
      <c r="E958" s="391"/>
      <c r="F958" s="391"/>
      <c r="G958" s="391"/>
      <c r="H958" s="391"/>
      <c r="I958" s="391"/>
      <c r="J958" s="391"/>
      <c r="K958" s="391"/>
      <c r="L958" s="391"/>
      <c r="M958" s="391"/>
      <c r="N958" s="391"/>
      <c r="O958" s="391"/>
      <c r="P958" s="391"/>
      <c r="Q958" s="391"/>
      <c r="R958" s="391"/>
      <c r="S958" s="391"/>
      <c r="T958" s="391"/>
      <c r="U958" s="391"/>
      <c r="V958" s="391"/>
      <c r="W958" s="391"/>
      <c r="X958" s="391"/>
      <c r="Y958" s="391"/>
      <c r="Z958" s="391"/>
      <c r="AA958" s="391"/>
      <c r="AB958" s="391"/>
      <c r="AC958" s="391"/>
      <c r="AD958" s="391"/>
      <c r="AE958" s="391"/>
    </row>
    <row r="959">
      <c r="A959" s="391"/>
      <c r="B959" s="391"/>
      <c r="C959" s="391"/>
      <c r="D959" s="391"/>
      <c r="E959" s="391"/>
      <c r="F959" s="391"/>
      <c r="G959" s="391"/>
      <c r="H959" s="391"/>
      <c r="I959" s="391"/>
      <c r="J959" s="391"/>
      <c r="K959" s="391"/>
      <c r="L959" s="391"/>
      <c r="M959" s="391"/>
      <c r="N959" s="391"/>
      <c r="O959" s="391"/>
      <c r="P959" s="391"/>
      <c r="Q959" s="391"/>
      <c r="R959" s="391"/>
      <c r="S959" s="391"/>
      <c r="T959" s="391"/>
      <c r="U959" s="391"/>
      <c r="V959" s="391"/>
      <c r="W959" s="391"/>
      <c r="X959" s="391"/>
      <c r="Y959" s="391"/>
      <c r="Z959" s="391"/>
      <c r="AA959" s="391"/>
      <c r="AB959" s="391"/>
      <c r="AC959" s="391"/>
      <c r="AD959" s="391"/>
      <c r="AE959" s="391"/>
    </row>
    <row r="960">
      <c r="A960" s="391"/>
      <c r="B960" s="391"/>
      <c r="C960" s="391"/>
      <c r="D960" s="391"/>
      <c r="E960" s="391"/>
      <c r="F960" s="391"/>
      <c r="G960" s="391"/>
      <c r="H960" s="391"/>
      <c r="I960" s="391"/>
      <c r="J960" s="391"/>
      <c r="K960" s="391"/>
      <c r="L960" s="391"/>
      <c r="M960" s="391"/>
      <c r="N960" s="391"/>
      <c r="O960" s="391"/>
      <c r="P960" s="391"/>
      <c r="Q960" s="391"/>
      <c r="R960" s="391"/>
      <c r="S960" s="391"/>
      <c r="T960" s="391"/>
      <c r="U960" s="391"/>
      <c r="V960" s="391"/>
      <c r="W960" s="391"/>
      <c r="X960" s="391"/>
      <c r="Y960" s="391"/>
      <c r="Z960" s="391"/>
      <c r="AA960" s="391"/>
      <c r="AB960" s="391"/>
      <c r="AC960" s="391"/>
      <c r="AD960" s="391"/>
      <c r="AE960" s="391"/>
    </row>
    <row r="961">
      <c r="A961" s="391"/>
      <c r="B961" s="391"/>
      <c r="C961" s="391"/>
      <c r="D961" s="391"/>
      <c r="E961" s="391"/>
      <c r="F961" s="391"/>
      <c r="G961" s="391"/>
      <c r="H961" s="391"/>
      <c r="I961" s="391"/>
      <c r="J961" s="391"/>
      <c r="K961" s="391"/>
      <c r="L961" s="391"/>
      <c r="M961" s="391"/>
      <c r="N961" s="391"/>
      <c r="O961" s="391"/>
      <c r="P961" s="391"/>
      <c r="Q961" s="391"/>
      <c r="R961" s="391"/>
      <c r="S961" s="391"/>
      <c r="T961" s="391"/>
      <c r="U961" s="391"/>
      <c r="V961" s="391"/>
      <c r="W961" s="391"/>
      <c r="X961" s="391"/>
      <c r="Y961" s="391"/>
      <c r="Z961" s="391"/>
      <c r="AA961" s="391"/>
      <c r="AB961" s="391"/>
      <c r="AC961" s="391"/>
      <c r="AD961" s="391"/>
      <c r="AE961" s="391"/>
    </row>
    <row r="962">
      <c r="A962" s="391"/>
      <c r="B962" s="391"/>
      <c r="C962" s="391"/>
      <c r="D962" s="391"/>
      <c r="E962" s="391"/>
      <c r="F962" s="391"/>
      <c r="G962" s="391"/>
      <c r="H962" s="391"/>
      <c r="I962" s="391"/>
      <c r="J962" s="391"/>
      <c r="K962" s="391"/>
      <c r="L962" s="391"/>
      <c r="M962" s="391"/>
      <c r="N962" s="391"/>
      <c r="O962" s="391"/>
      <c r="P962" s="391"/>
      <c r="Q962" s="391"/>
      <c r="R962" s="391"/>
      <c r="S962" s="391"/>
      <c r="T962" s="391"/>
      <c r="U962" s="391"/>
      <c r="V962" s="391"/>
      <c r="W962" s="391"/>
      <c r="X962" s="391"/>
      <c r="Y962" s="391"/>
      <c r="Z962" s="391"/>
      <c r="AA962" s="391"/>
      <c r="AB962" s="391"/>
      <c r="AC962" s="391"/>
      <c r="AD962" s="391"/>
      <c r="AE962" s="391"/>
    </row>
    <row r="963">
      <c r="A963" s="391"/>
      <c r="B963" s="391"/>
      <c r="C963" s="391"/>
      <c r="D963" s="391"/>
      <c r="E963" s="391"/>
      <c r="F963" s="391"/>
      <c r="G963" s="391"/>
      <c r="H963" s="391"/>
      <c r="I963" s="391"/>
      <c r="J963" s="391"/>
      <c r="K963" s="391"/>
      <c r="L963" s="391"/>
      <c r="M963" s="391"/>
      <c r="N963" s="391"/>
      <c r="O963" s="391"/>
      <c r="P963" s="391"/>
      <c r="Q963" s="391"/>
      <c r="R963" s="391"/>
      <c r="S963" s="391"/>
      <c r="T963" s="391"/>
      <c r="U963" s="391"/>
      <c r="V963" s="391"/>
      <c r="W963" s="391"/>
      <c r="X963" s="391"/>
      <c r="Y963" s="391"/>
      <c r="Z963" s="391"/>
      <c r="AA963" s="391"/>
      <c r="AB963" s="391"/>
      <c r="AC963" s="391"/>
      <c r="AD963" s="391"/>
      <c r="AE963" s="391"/>
    </row>
    <row r="964">
      <c r="A964" s="391"/>
      <c r="B964" s="391"/>
      <c r="C964" s="391"/>
      <c r="D964" s="391"/>
      <c r="E964" s="391"/>
      <c r="F964" s="391"/>
      <c r="G964" s="391"/>
      <c r="H964" s="391"/>
      <c r="I964" s="391"/>
      <c r="J964" s="391"/>
      <c r="K964" s="391"/>
      <c r="L964" s="391"/>
      <c r="M964" s="391"/>
      <c r="N964" s="391"/>
      <c r="O964" s="391"/>
      <c r="P964" s="391"/>
      <c r="Q964" s="391"/>
      <c r="R964" s="391"/>
      <c r="S964" s="391"/>
      <c r="T964" s="391"/>
      <c r="U964" s="391"/>
      <c r="V964" s="391"/>
      <c r="W964" s="391"/>
      <c r="X964" s="391"/>
      <c r="Y964" s="391"/>
      <c r="Z964" s="391"/>
      <c r="AA964" s="391"/>
      <c r="AB964" s="391"/>
      <c r="AC964" s="391"/>
      <c r="AD964" s="391"/>
      <c r="AE964" s="391"/>
    </row>
    <row r="965">
      <c r="A965" s="391"/>
      <c r="B965" s="391"/>
      <c r="C965" s="391"/>
      <c r="D965" s="391"/>
      <c r="E965" s="391"/>
      <c r="F965" s="391"/>
      <c r="G965" s="391"/>
      <c r="H965" s="391"/>
      <c r="I965" s="391"/>
      <c r="J965" s="391"/>
      <c r="K965" s="391"/>
      <c r="L965" s="391"/>
      <c r="M965" s="391"/>
      <c r="N965" s="391"/>
      <c r="O965" s="391"/>
      <c r="P965" s="391"/>
      <c r="Q965" s="391"/>
      <c r="R965" s="391"/>
      <c r="S965" s="391"/>
      <c r="T965" s="391"/>
      <c r="U965" s="391"/>
      <c r="V965" s="391"/>
      <c r="W965" s="391"/>
      <c r="X965" s="391"/>
      <c r="Y965" s="391"/>
      <c r="Z965" s="391"/>
      <c r="AA965" s="391"/>
      <c r="AB965" s="391"/>
      <c r="AC965" s="391"/>
      <c r="AD965" s="391"/>
      <c r="AE965" s="391"/>
    </row>
    <row r="966">
      <c r="A966" s="391"/>
      <c r="B966" s="391"/>
      <c r="C966" s="391"/>
      <c r="D966" s="391"/>
      <c r="E966" s="391"/>
      <c r="F966" s="391"/>
      <c r="G966" s="391"/>
      <c r="H966" s="391"/>
      <c r="I966" s="391"/>
      <c r="J966" s="391"/>
      <c r="K966" s="391"/>
      <c r="L966" s="391"/>
      <c r="M966" s="391"/>
      <c r="N966" s="391"/>
      <c r="O966" s="391"/>
      <c r="P966" s="391"/>
      <c r="Q966" s="391"/>
      <c r="R966" s="391"/>
      <c r="S966" s="391"/>
      <c r="T966" s="391"/>
      <c r="U966" s="391"/>
      <c r="V966" s="391"/>
      <c r="W966" s="391"/>
      <c r="X966" s="391"/>
      <c r="Y966" s="391"/>
      <c r="Z966" s="391"/>
      <c r="AA966" s="391"/>
      <c r="AB966" s="391"/>
      <c r="AC966" s="391"/>
      <c r="AD966" s="391"/>
      <c r="AE966" s="391"/>
    </row>
    <row r="967">
      <c r="A967" s="391"/>
      <c r="B967" s="391"/>
      <c r="C967" s="391"/>
      <c r="D967" s="391"/>
      <c r="E967" s="391"/>
      <c r="F967" s="391"/>
      <c r="G967" s="391"/>
      <c r="H967" s="391"/>
      <c r="I967" s="391"/>
      <c r="J967" s="391"/>
      <c r="K967" s="391"/>
      <c r="L967" s="391"/>
      <c r="M967" s="391"/>
      <c r="N967" s="391"/>
      <c r="O967" s="391"/>
      <c r="P967" s="391"/>
      <c r="Q967" s="391"/>
      <c r="R967" s="391"/>
      <c r="S967" s="391"/>
      <c r="T967" s="391"/>
      <c r="U967" s="391"/>
      <c r="V967" s="391"/>
      <c r="W967" s="391"/>
      <c r="X967" s="391"/>
      <c r="Y967" s="391"/>
      <c r="Z967" s="391"/>
      <c r="AA967" s="391"/>
      <c r="AB967" s="391"/>
      <c r="AC967" s="391"/>
      <c r="AD967" s="391"/>
      <c r="AE967" s="391"/>
    </row>
    <row r="968">
      <c r="A968" s="391"/>
      <c r="B968" s="391"/>
      <c r="C968" s="391"/>
      <c r="D968" s="391"/>
      <c r="E968" s="391"/>
      <c r="F968" s="391"/>
      <c r="G968" s="391"/>
      <c r="H968" s="391"/>
      <c r="I968" s="391"/>
      <c r="J968" s="391"/>
      <c r="K968" s="391"/>
      <c r="L968" s="391"/>
      <c r="M968" s="391"/>
      <c r="N968" s="391"/>
      <c r="O968" s="391"/>
      <c r="P968" s="391"/>
      <c r="Q968" s="391"/>
      <c r="R968" s="391"/>
      <c r="S968" s="391"/>
      <c r="T968" s="391"/>
      <c r="U968" s="391"/>
      <c r="V968" s="391"/>
      <c r="W968" s="391"/>
      <c r="X968" s="391"/>
      <c r="Y968" s="391"/>
      <c r="Z968" s="391"/>
      <c r="AA968" s="391"/>
      <c r="AB968" s="391"/>
      <c r="AC968" s="391"/>
      <c r="AD968" s="391"/>
      <c r="AE968" s="391"/>
    </row>
    <row r="969">
      <c r="A969" s="391"/>
      <c r="B969" s="391"/>
      <c r="C969" s="391"/>
      <c r="D969" s="391"/>
      <c r="E969" s="391"/>
      <c r="F969" s="391"/>
      <c r="G969" s="391"/>
      <c r="H969" s="391"/>
      <c r="I969" s="391"/>
      <c r="J969" s="391"/>
      <c r="K969" s="391"/>
      <c r="L969" s="391"/>
      <c r="M969" s="391"/>
      <c r="N969" s="391"/>
      <c r="O969" s="391"/>
      <c r="P969" s="391"/>
      <c r="Q969" s="391"/>
      <c r="R969" s="391"/>
      <c r="S969" s="391"/>
      <c r="T969" s="391"/>
      <c r="U969" s="391"/>
      <c r="V969" s="391"/>
      <c r="W969" s="391"/>
      <c r="X969" s="391"/>
      <c r="Y969" s="391"/>
      <c r="Z969" s="391"/>
      <c r="AA969" s="391"/>
      <c r="AB969" s="391"/>
      <c r="AC969" s="391"/>
      <c r="AD969" s="391"/>
      <c r="AE969" s="391"/>
    </row>
    <row r="970">
      <c r="A970" s="391"/>
      <c r="B970" s="391"/>
      <c r="C970" s="391"/>
      <c r="D970" s="391"/>
      <c r="E970" s="391"/>
      <c r="F970" s="391"/>
      <c r="G970" s="391"/>
      <c r="H970" s="391"/>
      <c r="I970" s="391"/>
      <c r="J970" s="391"/>
      <c r="K970" s="391"/>
      <c r="L970" s="391"/>
      <c r="M970" s="391"/>
      <c r="N970" s="391"/>
      <c r="O970" s="391"/>
      <c r="P970" s="391"/>
      <c r="Q970" s="391"/>
      <c r="R970" s="391"/>
      <c r="S970" s="391"/>
      <c r="T970" s="391"/>
      <c r="U970" s="391"/>
      <c r="V970" s="391"/>
      <c r="W970" s="391"/>
      <c r="X970" s="391"/>
      <c r="Y970" s="391"/>
      <c r="Z970" s="391"/>
      <c r="AA970" s="391"/>
      <c r="AB970" s="391"/>
      <c r="AC970" s="391"/>
      <c r="AD970" s="391"/>
      <c r="AE970" s="391"/>
    </row>
    <row r="971">
      <c r="A971" s="391"/>
      <c r="B971" s="391"/>
      <c r="C971" s="391"/>
      <c r="D971" s="391"/>
      <c r="E971" s="391"/>
      <c r="F971" s="391"/>
      <c r="G971" s="391"/>
      <c r="H971" s="391"/>
      <c r="I971" s="391"/>
      <c r="J971" s="391"/>
      <c r="K971" s="391"/>
      <c r="L971" s="391"/>
      <c r="M971" s="391"/>
      <c r="N971" s="391"/>
      <c r="O971" s="391"/>
      <c r="P971" s="391"/>
      <c r="Q971" s="391"/>
      <c r="R971" s="391"/>
      <c r="S971" s="391"/>
      <c r="T971" s="391"/>
      <c r="U971" s="391"/>
      <c r="V971" s="391"/>
      <c r="W971" s="391"/>
      <c r="X971" s="391"/>
      <c r="Y971" s="391"/>
      <c r="Z971" s="391"/>
      <c r="AA971" s="391"/>
      <c r="AB971" s="391"/>
      <c r="AC971" s="391"/>
      <c r="AD971" s="391"/>
      <c r="AE971" s="391"/>
    </row>
    <row r="972">
      <c r="A972" s="391"/>
      <c r="B972" s="391"/>
      <c r="C972" s="391"/>
      <c r="D972" s="391"/>
      <c r="E972" s="391"/>
      <c r="F972" s="391"/>
      <c r="G972" s="391"/>
      <c r="H972" s="391"/>
      <c r="I972" s="391"/>
      <c r="J972" s="391"/>
      <c r="K972" s="391"/>
      <c r="L972" s="391"/>
      <c r="M972" s="391"/>
      <c r="N972" s="391"/>
      <c r="O972" s="391"/>
      <c r="P972" s="391"/>
      <c r="Q972" s="391"/>
      <c r="R972" s="391"/>
      <c r="S972" s="391"/>
      <c r="T972" s="391"/>
      <c r="U972" s="391"/>
      <c r="V972" s="391"/>
      <c r="W972" s="391"/>
      <c r="X972" s="391"/>
      <c r="Y972" s="391"/>
      <c r="Z972" s="391"/>
      <c r="AA972" s="391"/>
      <c r="AB972" s="391"/>
      <c r="AC972" s="391"/>
      <c r="AD972" s="391"/>
      <c r="AE972" s="391"/>
    </row>
    <row r="973">
      <c r="A973" s="391"/>
      <c r="B973" s="391"/>
      <c r="C973" s="391"/>
      <c r="D973" s="391"/>
      <c r="E973" s="391"/>
      <c r="F973" s="391"/>
      <c r="G973" s="391"/>
      <c r="H973" s="391"/>
      <c r="I973" s="391"/>
      <c r="J973" s="391"/>
      <c r="K973" s="391"/>
      <c r="L973" s="391"/>
      <c r="M973" s="391"/>
      <c r="N973" s="391"/>
      <c r="O973" s="391"/>
      <c r="P973" s="391"/>
      <c r="Q973" s="391"/>
      <c r="R973" s="391"/>
      <c r="S973" s="391"/>
      <c r="T973" s="391"/>
      <c r="U973" s="391"/>
      <c r="V973" s="391"/>
      <c r="W973" s="391"/>
      <c r="X973" s="391"/>
      <c r="Y973" s="391"/>
      <c r="Z973" s="391"/>
      <c r="AA973" s="391"/>
      <c r="AB973" s="391"/>
      <c r="AC973" s="391"/>
      <c r="AD973" s="391"/>
      <c r="AE973" s="391"/>
    </row>
    <row r="974">
      <c r="A974" s="391"/>
      <c r="B974" s="391"/>
      <c r="C974" s="391"/>
      <c r="D974" s="391"/>
      <c r="E974" s="391"/>
      <c r="F974" s="391"/>
      <c r="G974" s="391"/>
      <c r="H974" s="391"/>
      <c r="I974" s="391"/>
      <c r="J974" s="391"/>
      <c r="K974" s="391"/>
      <c r="L974" s="391"/>
      <c r="M974" s="391"/>
      <c r="N974" s="391"/>
      <c r="O974" s="391"/>
      <c r="P974" s="391"/>
      <c r="Q974" s="391"/>
      <c r="R974" s="391"/>
      <c r="S974" s="391"/>
      <c r="T974" s="391"/>
      <c r="U974" s="391"/>
      <c r="V974" s="391"/>
      <c r="W974" s="391"/>
      <c r="X974" s="391"/>
      <c r="Y974" s="391"/>
      <c r="Z974" s="391"/>
      <c r="AA974" s="391"/>
      <c r="AB974" s="391"/>
      <c r="AC974" s="391"/>
      <c r="AD974" s="391"/>
      <c r="AE974" s="391"/>
    </row>
    <row r="975">
      <c r="A975" s="391"/>
      <c r="B975" s="391"/>
      <c r="C975" s="391"/>
      <c r="D975" s="391"/>
      <c r="E975" s="391"/>
      <c r="F975" s="391"/>
      <c r="G975" s="391"/>
      <c r="H975" s="391"/>
      <c r="I975" s="391"/>
      <c r="J975" s="391"/>
      <c r="K975" s="391"/>
      <c r="L975" s="391"/>
      <c r="M975" s="391"/>
      <c r="N975" s="391"/>
      <c r="O975" s="391"/>
      <c r="P975" s="391"/>
      <c r="Q975" s="391"/>
      <c r="R975" s="391"/>
      <c r="S975" s="391"/>
      <c r="T975" s="391"/>
      <c r="U975" s="391"/>
      <c r="V975" s="391"/>
      <c r="W975" s="391"/>
      <c r="X975" s="391"/>
      <c r="Y975" s="391"/>
      <c r="Z975" s="391"/>
      <c r="AA975" s="391"/>
      <c r="AB975" s="391"/>
      <c r="AC975" s="391"/>
      <c r="AD975" s="391"/>
      <c r="AE975" s="391"/>
    </row>
    <row r="976">
      <c r="A976" s="391"/>
      <c r="B976" s="391"/>
      <c r="C976" s="391"/>
      <c r="D976" s="391"/>
      <c r="E976" s="391"/>
      <c r="F976" s="391"/>
      <c r="G976" s="391"/>
      <c r="H976" s="391"/>
      <c r="I976" s="391"/>
      <c r="J976" s="391"/>
      <c r="K976" s="391"/>
      <c r="L976" s="391"/>
      <c r="M976" s="391"/>
      <c r="N976" s="391"/>
      <c r="O976" s="391"/>
      <c r="P976" s="391"/>
      <c r="Q976" s="391"/>
      <c r="R976" s="391"/>
      <c r="S976" s="391"/>
      <c r="T976" s="391"/>
      <c r="U976" s="391"/>
      <c r="V976" s="391"/>
      <c r="W976" s="391"/>
      <c r="X976" s="391"/>
      <c r="Y976" s="391"/>
      <c r="Z976" s="391"/>
      <c r="AA976" s="391"/>
      <c r="AB976" s="391"/>
      <c r="AC976" s="391"/>
      <c r="AD976" s="391"/>
      <c r="AE976" s="391"/>
    </row>
    <row r="977">
      <c r="A977" s="391"/>
      <c r="B977" s="391"/>
      <c r="C977" s="391"/>
      <c r="D977" s="391"/>
      <c r="E977" s="391"/>
      <c r="F977" s="391"/>
      <c r="G977" s="391"/>
      <c r="H977" s="391"/>
      <c r="I977" s="391"/>
      <c r="J977" s="391"/>
      <c r="K977" s="391"/>
      <c r="L977" s="391"/>
      <c r="M977" s="391"/>
      <c r="N977" s="391"/>
      <c r="O977" s="391"/>
      <c r="P977" s="391"/>
      <c r="Q977" s="391"/>
      <c r="R977" s="391"/>
      <c r="S977" s="391"/>
      <c r="T977" s="391"/>
      <c r="U977" s="391"/>
      <c r="V977" s="391"/>
      <c r="W977" s="391"/>
      <c r="X977" s="391"/>
      <c r="Y977" s="391"/>
      <c r="Z977" s="391"/>
      <c r="AA977" s="391"/>
      <c r="AB977" s="391"/>
      <c r="AC977" s="391"/>
      <c r="AD977" s="391"/>
      <c r="AE977" s="391"/>
    </row>
    <row r="978">
      <c r="A978" s="391"/>
      <c r="B978" s="391"/>
      <c r="C978" s="391"/>
      <c r="D978" s="391"/>
      <c r="E978" s="391"/>
      <c r="F978" s="391"/>
      <c r="G978" s="391"/>
      <c r="H978" s="391"/>
      <c r="I978" s="391"/>
      <c r="J978" s="391"/>
      <c r="K978" s="391"/>
      <c r="L978" s="391"/>
      <c r="M978" s="391"/>
      <c r="N978" s="391"/>
      <c r="O978" s="391"/>
      <c r="P978" s="391"/>
      <c r="Q978" s="391"/>
      <c r="R978" s="391"/>
      <c r="S978" s="391"/>
      <c r="T978" s="391"/>
      <c r="U978" s="391"/>
      <c r="V978" s="391"/>
      <c r="W978" s="391"/>
      <c r="X978" s="391"/>
      <c r="Y978" s="391"/>
      <c r="Z978" s="391"/>
      <c r="AA978" s="391"/>
      <c r="AB978" s="391"/>
      <c r="AC978" s="391"/>
      <c r="AD978" s="391"/>
      <c r="AE978" s="391"/>
    </row>
    <row r="979">
      <c r="A979" s="391"/>
      <c r="B979" s="391"/>
      <c r="C979" s="391"/>
      <c r="D979" s="391"/>
      <c r="E979" s="391"/>
      <c r="F979" s="391"/>
      <c r="G979" s="391"/>
      <c r="H979" s="391"/>
      <c r="I979" s="391"/>
      <c r="J979" s="391"/>
      <c r="K979" s="391"/>
      <c r="L979" s="391"/>
      <c r="M979" s="391"/>
      <c r="N979" s="391"/>
      <c r="O979" s="391"/>
      <c r="P979" s="391"/>
      <c r="Q979" s="391"/>
      <c r="R979" s="391"/>
      <c r="S979" s="391"/>
      <c r="T979" s="391"/>
      <c r="U979" s="391"/>
      <c r="V979" s="391"/>
      <c r="W979" s="391"/>
      <c r="X979" s="391"/>
      <c r="Y979" s="391"/>
      <c r="Z979" s="391"/>
      <c r="AA979" s="391"/>
      <c r="AB979" s="391"/>
      <c r="AC979" s="391"/>
      <c r="AD979" s="391"/>
      <c r="AE979" s="391"/>
    </row>
    <row r="980">
      <c r="A980" s="391"/>
      <c r="B980" s="391"/>
      <c r="C980" s="391"/>
      <c r="D980" s="391"/>
      <c r="E980" s="391"/>
      <c r="F980" s="391"/>
      <c r="G980" s="391"/>
      <c r="H980" s="391"/>
      <c r="I980" s="391"/>
      <c r="J980" s="391"/>
      <c r="K980" s="391"/>
      <c r="L980" s="391"/>
      <c r="M980" s="391"/>
      <c r="N980" s="391"/>
      <c r="O980" s="391"/>
      <c r="P980" s="391"/>
      <c r="Q980" s="391"/>
      <c r="R980" s="391"/>
      <c r="S980" s="391"/>
      <c r="T980" s="391"/>
      <c r="U980" s="391"/>
      <c r="V980" s="391"/>
      <c r="W980" s="391"/>
      <c r="X980" s="391"/>
      <c r="Y980" s="391"/>
      <c r="Z980" s="391"/>
      <c r="AA980" s="391"/>
      <c r="AB980" s="391"/>
      <c r="AC980" s="391"/>
      <c r="AD980" s="391"/>
      <c r="AE980" s="391"/>
    </row>
    <row r="981">
      <c r="A981" s="391"/>
      <c r="B981" s="391"/>
      <c r="C981" s="391"/>
      <c r="D981" s="391"/>
      <c r="E981" s="391"/>
      <c r="F981" s="391"/>
      <c r="G981" s="391"/>
      <c r="H981" s="391"/>
      <c r="I981" s="391"/>
      <c r="J981" s="391"/>
      <c r="K981" s="391"/>
      <c r="L981" s="391"/>
      <c r="M981" s="391"/>
      <c r="N981" s="391"/>
      <c r="O981" s="391"/>
      <c r="P981" s="391"/>
      <c r="Q981" s="391"/>
      <c r="R981" s="391"/>
      <c r="S981" s="391"/>
      <c r="T981" s="391"/>
      <c r="U981" s="391"/>
      <c r="V981" s="391"/>
      <c r="W981" s="391"/>
      <c r="X981" s="391"/>
      <c r="Y981" s="391"/>
      <c r="Z981" s="391"/>
      <c r="AA981" s="391"/>
      <c r="AB981" s="391"/>
      <c r="AC981" s="391"/>
      <c r="AD981" s="391"/>
      <c r="AE981" s="391"/>
    </row>
    <row r="982">
      <c r="A982" s="391"/>
      <c r="B982" s="391"/>
      <c r="C982" s="391"/>
      <c r="D982" s="391"/>
      <c r="E982" s="391"/>
      <c r="F982" s="391"/>
      <c r="G982" s="391"/>
      <c r="H982" s="391"/>
      <c r="I982" s="391"/>
      <c r="J982" s="391"/>
      <c r="K982" s="391"/>
      <c r="L982" s="391"/>
      <c r="M982" s="391"/>
      <c r="N982" s="391"/>
      <c r="O982" s="391"/>
      <c r="P982" s="391"/>
      <c r="Q982" s="391"/>
      <c r="R982" s="391"/>
      <c r="S982" s="391"/>
      <c r="T982" s="391"/>
      <c r="U982" s="391"/>
      <c r="V982" s="391"/>
      <c r="W982" s="391"/>
      <c r="X982" s="391"/>
      <c r="Y982" s="391"/>
      <c r="Z982" s="391"/>
      <c r="AA982" s="391"/>
      <c r="AB982" s="391"/>
      <c r="AC982" s="391"/>
      <c r="AD982" s="391"/>
      <c r="AE982" s="391"/>
    </row>
    <row r="983">
      <c r="A983" s="391"/>
      <c r="B983" s="391"/>
      <c r="C983" s="391"/>
      <c r="D983" s="391"/>
      <c r="E983" s="391"/>
      <c r="F983" s="391"/>
      <c r="G983" s="391"/>
      <c r="H983" s="391"/>
      <c r="I983" s="391"/>
      <c r="J983" s="391"/>
      <c r="K983" s="391"/>
      <c r="L983" s="391"/>
      <c r="M983" s="391"/>
      <c r="N983" s="391"/>
      <c r="O983" s="391"/>
      <c r="P983" s="391"/>
      <c r="Q983" s="391"/>
      <c r="R983" s="391"/>
      <c r="S983" s="391"/>
      <c r="T983" s="391"/>
      <c r="U983" s="391"/>
      <c r="V983" s="391"/>
      <c r="W983" s="391"/>
      <c r="X983" s="391"/>
      <c r="Y983" s="391"/>
      <c r="Z983" s="391"/>
      <c r="AA983" s="391"/>
      <c r="AB983" s="391"/>
      <c r="AC983" s="391"/>
      <c r="AD983" s="391"/>
      <c r="AE983" s="391"/>
    </row>
    <row r="984">
      <c r="A984" s="391"/>
      <c r="B984" s="391"/>
      <c r="C984" s="391"/>
      <c r="D984" s="391"/>
      <c r="E984" s="391"/>
      <c r="F984" s="391"/>
      <c r="G984" s="391"/>
      <c r="H984" s="391"/>
      <c r="I984" s="391"/>
      <c r="J984" s="391"/>
      <c r="K984" s="391"/>
      <c r="L984" s="391"/>
      <c r="M984" s="391"/>
      <c r="N984" s="391"/>
      <c r="O984" s="391"/>
      <c r="P984" s="391"/>
      <c r="Q984" s="391"/>
      <c r="R984" s="391"/>
      <c r="S984" s="391"/>
      <c r="T984" s="391"/>
      <c r="U984" s="391"/>
      <c r="V984" s="391"/>
      <c r="W984" s="391"/>
      <c r="X984" s="391"/>
      <c r="Y984" s="391"/>
      <c r="Z984" s="391"/>
      <c r="AA984" s="391"/>
      <c r="AB984" s="391"/>
      <c r="AC984" s="391"/>
      <c r="AD984" s="391"/>
      <c r="AE984" s="391"/>
    </row>
    <row r="985">
      <c r="A985" s="391"/>
      <c r="B985" s="391"/>
      <c r="C985" s="391"/>
      <c r="D985" s="391"/>
      <c r="E985" s="391"/>
      <c r="F985" s="391"/>
      <c r="G985" s="391"/>
      <c r="H985" s="391"/>
      <c r="I985" s="391"/>
      <c r="J985" s="391"/>
      <c r="K985" s="391"/>
      <c r="L985" s="391"/>
      <c r="M985" s="391"/>
      <c r="N985" s="391"/>
      <c r="O985" s="391"/>
      <c r="P985" s="391"/>
      <c r="Q985" s="391"/>
      <c r="R985" s="391"/>
      <c r="S985" s="391"/>
      <c r="T985" s="391"/>
      <c r="U985" s="391"/>
      <c r="V985" s="391"/>
      <c r="W985" s="391"/>
      <c r="X985" s="391"/>
      <c r="Y985" s="391"/>
      <c r="Z985" s="391"/>
      <c r="AA985" s="391"/>
      <c r="AB985" s="391"/>
      <c r="AC985" s="391"/>
      <c r="AD985" s="391"/>
      <c r="AE985" s="391"/>
    </row>
    <row r="986">
      <c r="A986" s="391"/>
      <c r="B986" s="391"/>
      <c r="C986" s="391"/>
      <c r="D986" s="391"/>
      <c r="E986" s="391"/>
      <c r="F986" s="391"/>
      <c r="G986" s="391"/>
      <c r="H986" s="391"/>
      <c r="I986" s="391"/>
      <c r="J986" s="391"/>
      <c r="K986" s="391"/>
      <c r="L986" s="391"/>
      <c r="M986" s="391"/>
      <c r="N986" s="391"/>
      <c r="O986" s="391"/>
      <c r="P986" s="391"/>
      <c r="Q986" s="391"/>
      <c r="R986" s="391"/>
      <c r="S986" s="391"/>
      <c r="T986" s="391"/>
      <c r="U986" s="391"/>
      <c r="V986" s="391"/>
      <c r="W986" s="391"/>
      <c r="X986" s="391"/>
      <c r="Y986" s="391"/>
      <c r="Z986" s="391"/>
      <c r="AA986" s="391"/>
      <c r="AB986" s="391"/>
      <c r="AC986" s="391"/>
      <c r="AD986" s="391"/>
      <c r="AE986" s="391"/>
    </row>
    <row r="987">
      <c r="A987" s="391"/>
      <c r="B987" s="391"/>
      <c r="C987" s="391"/>
      <c r="D987" s="391"/>
      <c r="E987" s="391"/>
      <c r="F987" s="391"/>
      <c r="G987" s="391"/>
      <c r="H987" s="391"/>
      <c r="I987" s="391"/>
      <c r="J987" s="391"/>
      <c r="K987" s="391"/>
      <c r="L987" s="391"/>
      <c r="M987" s="391"/>
      <c r="N987" s="391"/>
      <c r="O987" s="391"/>
      <c r="P987" s="391"/>
      <c r="Q987" s="391"/>
      <c r="R987" s="391"/>
      <c r="S987" s="391"/>
      <c r="T987" s="391"/>
      <c r="U987" s="391"/>
      <c r="V987" s="391"/>
      <c r="W987" s="391"/>
      <c r="X987" s="391"/>
      <c r="Y987" s="391"/>
      <c r="Z987" s="391"/>
      <c r="AA987" s="391"/>
      <c r="AB987" s="391"/>
      <c r="AC987" s="391"/>
      <c r="AD987" s="391"/>
      <c r="AE987" s="391"/>
    </row>
    <row r="988">
      <c r="A988" s="391"/>
      <c r="B988" s="391"/>
      <c r="C988" s="391"/>
      <c r="D988" s="391"/>
      <c r="E988" s="391"/>
      <c r="F988" s="391"/>
      <c r="G988" s="391"/>
      <c r="H988" s="391"/>
      <c r="I988" s="391"/>
      <c r="J988" s="391"/>
      <c r="K988" s="391"/>
      <c r="L988" s="391"/>
      <c r="M988" s="391"/>
      <c r="N988" s="391"/>
      <c r="O988" s="391"/>
      <c r="P988" s="391"/>
      <c r="Q988" s="391"/>
      <c r="R988" s="391"/>
      <c r="S988" s="391"/>
      <c r="T988" s="391"/>
      <c r="U988" s="391"/>
      <c r="V988" s="391"/>
      <c r="W988" s="391"/>
      <c r="X988" s="391"/>
      <c r="Y988" s="391"/>
      <c r="Z988" s="391"/>
      <c r="AA988" s="391"/>
      <c r="AB988" s="391"/>
      <c r="AC988" s="391"/>
      <c r="AD988" s="391"/>
      <c r="AE988" s="391"/>
    </row>
    <row r="989">
      <c r="A989" s="391"/>
      <c r="B989" s="391"/>
      <c r="C989" s="391"/>
      <c r="D989" s="391"/>
      <c r="E989" s="391"/>
      <c r="F989" s="391"/>
      <c r="G989" s="391"/>
      <c r="H989" s="391"/>
      <c r="I989" s="391"/>
      <c r="J989" s="391"/>
      <c r="K989" s="391"/>
      <c r="L989" s="391"/>
      <c r="M989" s="391"/>
      <c r="N989" s="391"/>
      <c r="O989" s="391"/>
      <c r="P989" s="391"/>
      <c r="Q989" s="391"/>
      <c r="R989" s="391"/>
      <c r="S989" s="391"/>
      <c r="T989" s="391"/>
      <c r="U989" s="391"/>
      <c r="V989" s="391"/>
      <c r="W989" s="391"/>
      <c r="X989" s="391"/>
      <c r="Y989" s="391"/>
      <c r="Z989" s="391"/>
      <c r="AA989" s="391"/>
      <c r="AB989" s="391"/>
      <c r="AC989" s="391"/>
      <c r="AD989" s="391"/>
      <c r="AE989" s="391"/>
    </row>
    <row r="990">
      <c r="A990" s="391"/>
      <c r="B990" s="391"/>
      <c r="C990" s="391"/>
      <c r="D990" s="391"/>
      <c r="E990" s="391"/>
      <c r="F990" s="391"/>
      <c r="G990" s="391"/>
      <c r="H990" s="391"/>
      <c r="I990" s="391"/>
      <c r="J990" s="391"/>
      <c r="K990" s="391"/>
      <c r="L990" s="391"/>
      <c r="M990" s="391"/>
      <c r="N990" s="391"/>
      <c r="O990" s="391"/>
      <c r="P990" s="391"/>
      <c r="Q990" s="391"/>
      <c r="R990" s="391"/>
      <c r="S990" s="391"/>
      <c r="T990" s="391"/>
      <c r="U990" s="391"/>
      <c r="V990" s="391"/>
      <c r="W990" s="391"/>
      <c r="X990" s="391"/>
      <c r="Y990" s="391"/>
      <c r="Z990" s="391"/>
      <c r="AA990" s="391"/>
      <c r="AB990" s="391"/>
      <c r="AC990" s="391"/>
      <c r="AD990" s="391"/>
      <c r="AE990" s="391"/>
    </row>
    <row r="991">
      <c r="A991" s="391"/>
      <c r="B991" s="391"/>
      <c r="C991" s="391"/>
      <c r="D991" s="391"/>
      <c r="E991" s="391"/>
      <c r="F991" s="391"/>
      <c r="G991" s="391"/>
      <c r="H991" s="391"/>
      <c r="I991" s="391"/>
      <c r="J991" s="391"/>
      <c r="K991" s="391"/>
      <c r="L991" s="391"/>
      <c r="M991" s="391"/>
      <c r="N991" s="391"/>
      <c r="O991" s="391"/>
      <c r="P991" s="391"/>
      <c r="Q991" s="391"/>
      <c r="R991" s="391"/>
      <c r="S991" s="391"/>
      <c r="T991" s="391"/>
      <c r="U991" s="391"/>
      <c r="V991" s="391"/>
      <c r="W991" s="391"/>
      <c r="X991" s="391"/>
      <c r="Y991" s="391"/>
      <c r="Z991" s="391"/>
      <c r="AA991" s="391"/>
      <c r="AB991" s="391"/>
      <c r="AC991" s="391"/>
      <c r="AD991" s="391"/>
      <c r="AE991" s="391"/>
    </row>
    <row r="992">
      <c r="A992" s="391"/>
      <c r="B992" s="391"/>
      <c r="C992" s="391"/>
      <c r="D992" s="391"/>
      <c r="E992" s="391"/>
      <c r="F992" s="391"/>
      <c r="G992" s="391"/>
      <c r="H992" s="391"/>
      <c r="I992" s="391"/>
      <c r="J992" s="391"/>
      <c r="K992" s="391"/>
      <c r="L992" s="391"/>
      <c r="M992" s="391"/>
      <c r="N992" s="391"/>
      <c r="O992" s="391"/>
      <c r="P992" s="391"/>
      <c r="Q992" s="391"/>
      <c r="R992" s="391"/>
      <c r="S992" s="391"/>
      <c r="T992" s="391"/>
      <c r="U992" s="391"/>
      <c r="V992" s="391"/>
      <c r="W992" s="391"/>
      <c r="X992" s="391"/>
      <c r="Y992" s="391"/>
      <c r="Z992" s="391"/>
      <c r="AA992" s="391"/>
      <c r="AB992" s="391"/>
      <c r="AC992" s="391"/>
      <c r="AD992" s="391"/>
      <c r="AE992" s="391"/>
    </row>
    <row r="993">
      <c r="A993" s="391"/>
      <c r="B993" s="391"/>
      <c r="C993" s="391"/>
      <c r="D993" s="391"/>
      <c r="E993" s="391"/>
      <c r="F993" s="391"/>
      <c r="G993" s="391"/>
      <c r="H993" s="391"/>
      <c r="I993" s="391"/>
      <c r="J993" s="391"/>
      <c r="K993" s="391"/>
      <c r="L993" s="391"/>
      <c r="M993" s="391"/>
      <c r="N993" s="391"/>
      <c r="O993" s="391"/>
      <c r="P993" s="391"/>
      <c r="Q993" s="391"/>
      <c r="R993" s="391"/>
      <c r="S993" s="391"/>
      <c r="T993" s="391"/>
      <c r="U993" s="391"/>
      <c r="V993" s="391"/>
      <c r="W993" s="391"/>
      <c r="X993" s="391"/>
      <c r="Y993" s="391"/>
      <c r="Z993" s="391"/>
      <c r="AA993" s="391"/>
      <c r="AB993" s="391"/>
      <c r="AC993" s="391"/>
      <c r="AD993" s="391"/>
      <c r="AE993" s="391"/>
    </row>
    <row r="994">
      <c r="A994" s="391"/>
      <c r="B994" s="391"/>
      <c r="C994" s="391"/>
      <c r="D994" s="391"/>
      <c r="E994" s="391"/>
      <c r="F994" s="391"/>
      <c r="G994" s="391"/>
      <c r="H994" s="391"/>
      <c r="I994" s="391"/>
      <c r="J994" s="391"/>
      <c r="K994" s="391"/>
      <c r="L994" s="391"/>
      <c r="M994" s="391"/>
      <c r="N994" s="391"/>
      <c r="O994" s="391"/>
      <c r="P994" s="391"/>
      <c r="Q994" s="391"/>
      <c r="R994" s="391"/>
      <c r="S994" s="391"/>
      <c r="T994" s="391"/>
      <c r="U994" s="391"/>
      <c r="V994" s="391"/>
      <c r="W994" s="391"/>
      <c r="X994" s="391"/>
      <c r="Y994" s="391"/>
      <c r="Z994" s="391"/>
      <c r="AA994" s="391"/>
      <c r="AB994" s="391"/>
      <c r="AC994" s="391"/>
      <c r="AD994" s="391"/>
      <c r="AE994" s="391"/>
    </row>
    <row r="995">
      <c r="A995" s="391"/>
      <c r="B995" s="391"/>
      <c r="C995" s="391"/>
      <c r="D995" s="391"/>
      <c r="E995" s="391"/>
      <c r="F995" s="391"/>
      <c r="G995" s="391"/>
      <c r="H995" s="391"/>
      <c r="I995" s="391"/>
      <c r="J995" s="391"/>
      <c r="K995" s="391"/>
      <c r="L995" s="391"/>
      <c r="M995" s="391"/>
      <c r="N995" s="391"/>
      <c r="O995" s="391"/>
      <c r="P995" s="391"/>
      <c r="Q995" s="391"/>
      <c r="R995" s="391"/>
      <c r="S995" s="391"/>
      <c r="T995" s="391"/>
      <c r="U995" s="391"/>
      <c r="V995" s="391"/>
      <c r="W995" s="391"/>
      <c r="X995" s="391"/>
      <c r="Y995" s="391"/>
      <c r="Z995" s="391"/>
      <c r="AA995" s="391"/>
      <c r="AB995" s="391"/>
      <c r="AC995" s="391"/>
      <c r="AD995" s="391"/>
      <c r="AE995" s="391"/>
    </row>
    <row r="996">
      <c r="A996" s="391"/>
      <c r="B996" s="391"/>
      <c r="C996" s="391"/>
      <c r="D996" s="391"/>
      <c r="E996" s="391"/>
      <c r="F996" s="391"/>
      <c r="G996" s="391"/>
      <c r="H996" s="391"/>
      <c r="I996" s="391"/>
      <c r="J996" s="391"/>
      <c r="K996" s="391"/>
      <c r="L996" s="391"/>
      <c r="M996" s="391"/>
      <c r="N996" s="391"/>
      <c r="O996" s="391"/>
      <c r="P996" s="391"/>
      <c r="Q996" s="391"/>
      <c r="R996" s="391"/>
      <c r="S996" s="391"/>
      <c r="T996" s="391"/>
      <c r="U996" s="391"/>
      <c r="V996" s="391"/>
      <c r="W996" s="391"/>
      <c r="X996" s="391"/>
      <c r="Y996" s="391"/>
      <c r="Z996" s="391"/>
      <c r="AA996" s="391"/>
      <c r="AB996" s="391"/>
      <c r="AC996" s="391"/>
      <c r="AD996" s="391"/>
      <c r="AE996" s="391"/>
    </row>
    <row r="997">
      <c r="A997" s="391"/>
      <c r="B997" s="391"/>
      <c r="C997" s="391"/>
      <c r="D997" s="391"/>
      <c r="E997" s="391"/>
      <c r="F997" s="391"/>
      <c r="G997" s="391"/>
      <c r="H997" s="391"/>
      <c r="I997" s="391"/>
      <c r="J997" s="391"/>
      <c r="K997" s="391"/>
      <c r="L997" s="391"/>
      <c r="M997" s="391"/>
      <c r="N997" s="391"/>
      <c r="O997" s="391"/>
      <c r="P997" s="391"/>
      <c r="Q997" s="391"/>
      <c r="R997" s="391"/>
      <c r="S997" s="391"/>
      <c r="T997" s="391"/>
      <c r="U997" s="391"/>
      <c r="V997" s="391"/>
      <c r="W997" s="391"/>
      <c r="X997" s="391"/>
      <c r="Y997" s="391"/>
      <c r="Z997" s="391"/>
      <c r="AA997" s="391"/>
      <c r="AB997" s="391"/>
      <c r="AC997" s="391"/>
      <c r="AD997" s="391"/>
      <c r="AE997" s="391"/>
    </row>
    <row r="998">
      <c r="A998" s="391"/>
      <c r="B998" s="391"/>
      <c r="C998" s="391"/>
      <c r="D998" s="391"/>
      <c r="E998" s="391"/>
      <c r="F998" s="391"/>
      <c r="G998" s="391"/>
      <c r="H998" s="391"/>
      <c r="I998" s="391"/>
      <c r="J998" s="391"/>
      <c r="K998" s="391"/>
      <c r="L998" s="391"/>
      <c r="M998" s="391"/>
      <c r="N998" s="391"/>
      <c r="O998" s="391"/>
      <c r="P998" s="391"/>
      <c r="Q998" s="391"/>
      <c r="R998" s="391"/>
      <c r="S998" s="391"/>
      <c r="T998" s="391"/>
      <c r="U998" s="391"/>
      <c r="V998" s="391"/>
      <c r="W998" s="391"/>
      <c r="X998" s="391"/>
      <c r="Y998" s="391"/>
      <c r="Z998" s="391"/>
      <c r="AA998" s="391"/>
      <c r="AB998" s="391"/>
      <c r="AC998" s="391"/>
      <c r="AD998" s="391"/>
      <c r="AE998" s="391"/>
    </row>
    <row r="999">
      <c r="A999" s="391"/>
      <c r="B999" s="391"/>
      <c r="C999" s="391"/>
      <c r="D999" s="391"/>
      <c r="E999" s="391"/>
      <c r="F999" s="391"/>
      <c r="G999" s="391"/>
      <c r="H999" s="391"/>
      <c r="I999" s="391"/>
      <c r="J999" s="391"/>
      <c r="K999" s="391"/>
      <c r="L999" s="391"/>
      <c r="M999" s="391"/>
      <c r="N999" s="391"/>
      <c r="O999" s="391"/>
      <c r="P999" s="391"/>
      <c r="Q999" s="391"/>
      <c r="R999" s="391"/>
      <c r="S999" s="391"/>
      <c r="T999" s="391"/>
      <c r="U999" s="391"/>
      <c r="V999" s="391"/>
      <c r="W999" s="391"/>
      <c r="X999" s="391"/>
      <c r="Y999" s="391"/>
      <c r="Z999" s="391"/>
      <c r="AA999" s="391"/>
      <c r="AB999" s="391"/>
      <c r="AC999" s="391"/>
      <c r="AD999" s="391"/>
      <c r="AE999" s="391"/>
    </row>
    <row r="1000">
      <c r="A1000" s="391"/>
      <c r="B1000" s="391"/>
      <c r="C1000" s="391"/>
      <c r="D1000" s="391"/>
      <c r="E1000" s="391"/>
      <c r="F1000" s="391"/>
      <c r="G1000" s="391"/>
      <c r="H1000" s="391"/>
      <c r="I1000" s="391"/>
      <c r="J1000" s="391"/>
      <c r="K1000" s="391"/>
      <c r="L1000" s="391"/>
      <c r="M1000" s="391"/>
      <c r="N1000" s="391"/>
      <c r="O1000" s="391"/>
      <c r="P1000" s="391"/>
      <c r="Q1000" s="391"/>
      <c r="R1000" s="391"/>
      <c r="S1000" s="391"/>
      <c r="T1000" s="391"/>
      <c r="U1000" s="391"/>
      <c r="V1000" s="391"/>
      <c r="W1000" s="391"/>
      <c r="X1000" s="391"/>
      <c r="Y1000" s="391"/>
      <c r="Z1000" s="391"/>
      <c r="AA1000" s="391"/>
      <c r="AB1000" s="391"/>
      <c r="AC1000" s="391"/>
      <c r="AD1000" s="391"/>
      <c r="AE1000" s="391"/>
    </row>
    <row r="1001">
      <c r="A1001" s="391"/>
      <c r="B1001" s="391"/>
      <c r="C1001" s="391"/>
      <c r="D1001" s="391"/>
      <c r="E1001" s="391"/>
      <c r="F1001" s="391"/>
      <c r="G1001" s="391"/>
      <c r="H1001" s="391"/>
      <c r="I1001" s="391"/>
      <c r="J1001" s="391"/>
      <c r="K1001" s="391"/>
      <c r="L1001" s="391"/>
      <c r="M1001" s="391"/>
      <c r="N1001" s="391"/>
      <c r="O1001" s="391"/>
      <c r="P1001" s="391"/>
      <c r="Q1001" s="391"/>
      <c r="R1001" s="391"/>
      <c r="S1001" s="391"/>
      <c r="T1001" s="391"/>
      <c r="U1001" s="391"/>
      <c r="V1001" s="391"/>
      <c r="W1001" s="391"/>
      <c r="X1001" s="391"/>
      <c r="Y1001" s="391"/>
      <c r="Z1001" s="391"/>
      <c r="AA1001" s="391"/>
      <c r="AB1001" s="391"/>
      <c r="AC1001" s="391"/>
      <c r="AD1001" s="391"/>
      <c r="AE1001" s="391"/>
    </row>
    <row r="1002">
      <c r="A1002" s="391"/>
      <c r="B1002" s="391"/>
      <c r="C1002" s="391"/>
      <c r="D1002" s="391"/>
      <c r="E1002" s="391"/>
      <c r="F1002" s="391"/>
      <c r="G1002" s="391"/>
      <c r="H1002" s="391"/>
      <c r="I1002" s="391"/>
      <c r="J1002" s="391"/>
      <c r="K1002" s="391"/>
      <c r="L1002" s="391"/>
      <c r="M1002" s="391"/>
      <c r="N1002" s="391"/>
      <c r="O1002" s="391"/>
      <c r="P1002" s="391"/>
      <c r="Q1002" s="391"/>
      <c r="R1002" s="391"/>
      <c r="S1002" s="391"/>
      <c r="T1002" s="391"/>
      <c r="U1002" s="391"/>
      <c r="V1002" s="391"/>
      <c r="W1002" s="391"/>
      <c r="X1002" s="391"/>
      <c r="Y1002" s="391"/>
      <c r="Z1002" s="391"/>
      <c r="AA1002" s="391"/>
      <c r="AB1002" s="391"/>
      <c r="AC1002" s="391"/>
      <c r="AD1002" s="391"/>
      <c r="AE1002" s="391"/>
    </row>
    <row r="1003">
      <c r="A1003" s="391"/>
      <c r="B1003" s="391"/>
      <c r="C1003" s="391"/>
      <c r="D1003" s="391"/>
      <c r="E1003" s="391"/>
      <c r="F1003" s="391"/>
      <c r="G1003" s="391"/>
      <c r="H1003" s="391"/>
      <c r="I1003" s="391"/>
      <c r="J1003" s="391"/>
      <c r="K1003" s="391"/>
      <c r="L1003" s="391"/>
      <c r="M1003" s="391"/>
      <c r="N1003" s="391"/>
      <c r="O1003" s="391"/>
      <c r="P1003" s="391"/>
      <c r="Q1003" s="391"/>
      <c r="R1003" s="391"/>
      <c r="S1003" s="391"/>
      <c r="T1003" s="391"/>
      <c r="U1003" s="391"/>
      <c r="V1003" s="391"/>
      <c r="W1003" s="391"/>
      <c r="X1003" s="391"/>
      <c r="Y1003" s="391"/>
      <c r="Z1003" s="391"/>
      <c r="AA1003" s="391"/>
      <c r="AB1003" s="391"/>
      <c r="AC1003" s="391"/>
      <c r="AD1003" s="391"/>
      <c r="AE1003" s="391"/>
    </row>
  </sheetData>
  <mergeCells count="1">
    <mergeCell ref="J2:J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9"/>
      <c r="B1" s="409"/>
      <c r="C1" s="410" t="s">
        <v>7653</v>
      </c>
      <c r="D1" s="410" t="s">
        <v>7654</v>
      </c>
      <c r="E1" s="410" t="s">
        <v>13</v>
      </c>
      <c r="F1" s="410" t="s">
        <v>7655</v>
      </c>
      <c r="G1" s="410"/>
      <c r="H1" s="410" t="s">
        <v>7656</v>
      </c>
      <c r="I1" s="411" t="s">
        <v>7657</v>
      </c>
      <c r="J1" s="412" t="s">
        <v>18</v>
      </c>
      <c r="K1" s="410" t="s">
        <v>7658</v>
      </c>
      <c r="L1" s="412" t="s">
        <v>7659</v>
      </c>
      <c r="M1" s="410" t="s">
        <v>7660</v>
      </c>
      <c r="N1" s="412"/>
      <c r="O1" s="412" t="s">
        <v>7661</v>
      </c>
      <c r="P1" s="412"/>
      <c r="Q1" s="412" t="s">
        <v>7662</v>
      </c>
      <c r="R1" s="412"/>
      <c r="S1" s="412" t="s">
        <v>3747</v>
      </c>
      <c r="T1" s="352"/>
      <c r="U1" s="352"/>
      <c r="V1" s="352"/>
      <c r="W1" s="352"/>
      <c r="X1" s="352"/>
      <c r="Y1" s="352"/>
    </row>
    <row r="2" hidden="1">
      <c r="A2" s="300">
        <f t="array" ref="A2">XLOOKUP(B2,'High School Players'!D:D,'High School Players'!K:K,"",0,1)</f>
        <v>0.1</v>
      </c>
      <c r="B2" s="300" t="s">
        <v>2827</v>
      </c>
      <c r="C2" s="300" t="s">
        <v>589</v>
      </c>
      <c r="D2" s="300" t="s">
        <v>2828</v>
      </c>
      <c r="E2" s="300">
        <v>2027.0</v>
      </c>
      <c r="F2" s="300">
        <v>0.1</v>
      </c>
      <c r="G2" s="300"/>
      <c r="H2" s="300" t="s">
        <v>109</v>
      </c>
      <c r="I2" s="300">
        <v>9.0</v>
      </c>
      <c r="J2" s="300" t="s">
        <v>1550</v>
      </c>
      <c r="K2" s="300" t="s">
        <v>7663</v>
      </c>
      <c r="L2" s="300" t="s">
        <v>240</v>
      </c>
      <c r="M2" s="300" t="s">
        <v>7664</v>
      </c>
      <c r="Q2" s="300" t="s">
        <v>7665</v>
      </c>
      <c r="R2" s="300"/>
      <c r="S2" s="300" t="s">
        <v>7666</v>
      </c>
    </row>
    <row r="3">
      <c r="A3" s="300">
        <f t="array" ref="A3">XLOOKUP(B3,'High School Players'!D:D,'High School Players'!K:K,"",0,1)</f>
        <v>2</v>
      </c>
      <c r="B3" s="300" t="s">
        <v>3326</v>
      </c>
      <c r="C3" s="300" t="s">
        <v>747</v>
      </c>
      <c r="D3" s="300" t="s">
        <v>3327</v>
      </c>
      <c r="E3" s="300">
        <v>2027.0</v>
      </c>
      <c r="F3" s="300">
        <v>1.0</v>
      </c>
      <c r="G3" s="300"/>
      <c r="H3" s="300" t="s">
        <v>1519</v>
      </c>
      <c r="J3" s="300" t="s">
        <v>1550</v>
      </c>
      <c r="K3" s="300" t="s">
        <v>3328</v>
      </c>
      <c r="L3" s="300" t="s">
        <v>731</v>
      </c>
      <c r="M3" s="300" t="s">
        <v>3329</v>
      </c>
      <c r="N3" s="300"/>
      <c r="O3" s="300">
        <v>4.57</v>
      </c>
      <c r="P3" s="300"/>
      <c r="Q3" s="300" t="s">
        <v>3330</v>
      </c>
      <c r="R3" s="300" t="s">
        <v>2821</v>
      </c>
      <c r="S3" s="300" t="s">
        <v>7667</v>
      </c>
    </row>
    <row r="4">
      <c r="A4" s="300" t="str">
        <f t="array" ref="A4">XLOOKUP(B4,'High School Players'!D:D,'High School Players'!K:K,"",0,1)</f>
        <v>XX</v>
      </c>
      <c r="B4" s="300" t="s">
        <v>5314</v>
      </c>
      <c r="C4" s="300" t="s">
        <v>472</v>
      </c>
      <c r="D4" s="300" t="s">
        <v>5315</v>
      </c>
      <c r="E4" s="300">
        <v>2027.0</v>
      </c>
      <c r="F4" s="300">
        <v>1.0</v>
      </c>
      <c r="G4" s="300"/>
      <c r="H4" s="300" t="s">
        <v>48</v>
      </c>
      <c r="J4" s="300" t="s">
        <v>1989</v>
      </c>
      <c r="K4" s="300" t="s">
        <v>5317</v>
      </c>
      <c r="L4" s="300" t="s">
        <v>731</v>
      </c>
      <c r="M4" s="300" t="s">
        <v>2269</v>
      </c>
      <c r="N4" s="300"/>
      <c r="O4" s="300">
        <v>3.87</v>
      </c>
      <c r="P4" s="300"/>
      <c r="Q4" s="300" t="s">
        <v>5318</v>
      </c>
      <c r="R4" s="300" t="s">
        <v>2821</v>
      </c>
      <c r="S4" s="300" t="s">
        <v>7668</v>
      </c>
    </row>
    <row r="5">
      <c r="A5" s="300" t="str">
        <f t="array" ref="A5">XLOOKUP(B5,'High School Players'!D:D,'High School Players'!K:K,"",0,1)</f>
        <v>XX</v>
      </c>
      <c r="B5" s="300" t="s">
        <v>5739</v>
      </c>
      <c r="C5" s="300" t="s">
        <v>517</v>
      </c>
      <c r="D5" s="300" t="s">
        <v>5740</v>
      </c>
      <c r="E5" s="300">
        <v>2027.0</v>
      </c>
      <c r="F5" s="300">
        <v>1.0</v>
      </c>
      <c r="G5" s="300"/>
      <c r="H5" s="300" t="s">
        <v>63</v>
      </c>
      <c r="J5" s="300" t="s">
        <v>1550</v>
      </c>
      <c r="K5" s="300" t="s">
        <v>4822</v>
      </c>
      <c r="L5" s="300" t="s">
        <v>731</v>
      </c>
      <c r="M5" s="300" t="s">
        <v>4822</v>
      </c>
      <c r="N5" s="300"/>
      <c r="O5" s="300">
        <v>3.87</v>
      </c>
      <c r="P5" s="300"/>
      <c r="Q5" s="300" t="s">
        <v>5741</v>
      </c>
      <c r="R5" s="300" t="s">
        <v>2821</v>
      </c>
      <c r="S5" s="300" t="s">
        <v>7669</v>
      </c>
    </row>
    <row r="6">
      <c r="A6" s="300">
        <f t="array" ref="A6">XLOOKUP(B6,'High School Players'!D:D,'High School Players'!K:K,"",0,1)</f>
        <v>0.1</v>
      </c>
      <c r="B6" s="300" t="s">
        <v>2818</v>
      </c>
      <c r="C6" s="300" t="s">
        <v>2513</v>
      </c>
      <c r="D6" s="300" t="s">
        <v>228</v>
      </c>
      <c r="E6" s="300">
        <v>2027.0</v>
      </c>
      <c r="F6" s="300">
        <v>1.0</v>
      </c>
      <c r="G6" s="300"/>
      <c r="H6" s="300" t="s">
        <v>63</v>
      </c>
      <c r="J6" s="300" t="s">
        <v>1550</v>
      </c>
      <c r="K6" s="300" t="s">
        <v>2819</v>
      </c>
      <c r="L6" s="300" t="s">
        <v>731</v>
      </c>
      <c r="M6" s="300" t="s">
        <v>2819</v>
      </c>
      <c r="N6" s="300"/>
      <c r="O6" s="300">
        <v>4.6</v>
      </c>
      <c r="P6" s="300"/>
      <c r="Q6" s="300" t="s">
        <v>2820</v>
      </c>
      <c r="R6" s="300" t="s">
        <v>2821</v>
      </c>
    </row>
    <row r="7">
      <c r="A7" s="300" t="str">
        <f t="array" ref="A7">XLOOKUP(B7,'High School Players'!D:D,'High School Players'!K:K,"",0,1)</f>
        <v>XX</v>
      </c>
      <c r="B7" s="300" t="s">
        <v>5157</v>
      </c>
      <c r="C7" s="300" t="s">
        <v>682</v>
      </c>
      <c r="D7" s="300" t="s">
        <v>5158</v>
      </c>
      <c r="E7" s="300">
        <v>2027.0</v>
      </c>
      <c r="F7" s="300">
        <v>1.0</v>
      </c>
      <c r="G7" s="300"/>
      <c r="H7" s="300" t="s">
        <v>1519</v>
      </c>
      <c r="J7" s="300" t="s">
        <v>1989</v>
      </c>
      <c r="K7" s="300" t="s">
        <v>5159</v>
      </c>
      <c r="L7" s="300" t="s">
        <v>731</v>
      </c>
      <c r="M7" s="300" t="s">
        <v>5160</v>
      </c>
      <c r="N7" s="300"/>
      <c r="O7" s="300">
        <v>4.0</v>
      </c>
      <c r="P7" s="300"/>
      <c r="Q7" s="300" t="s">
        <v>5161</v>
      </c>
      <c r="R7" s="300" t="s">
        <v>2821</v>
      </c>
      <c r="S7" s="300" t="s">
        <v>7670</v>
      </c>
    </row>
    <row r="8">
      <c r="A8" s="300" t="str">
        <f t="array" ref="A8">XLOOKUP(B8,'High School Players'!D:D,'High School Players'!K:K,"",0,1)</f>
        <v>XX</v>
      </c>
      <c r="B8" s="300" t="s">
        <v>5504</v>
      </c>
      <c r="C8" s="300" t="s">
        <v>1536</v>
      </c>
      <c r="D8" s="300" t="s">
        <v>5505</v>
      </c>
      <c r="E8" s="300">
        <v>2027.0</v>
      </c>
      <c r="F8" s="300">
        <v>1.0</v>
      </c>
      <c r="G8" s="300"/>
      <c r="H8" s="300" t="s">
        <v>63</v>
      </c>
      <c r="J8" s="300" t="s">
        <v>1550</v>
      </c>
      <c r="K8" s="300" t="s">
        <v>5506</v>
      </c>
      <c r="L8" s="300" t="s">
        <v>731</v>
      </c>
      <c r="M8" s="300" t="s">
        <v>5506</v>
      </c>
      <c r="N8" s="300"/>
      <c r="O8" s="300">
        <v>3.8</v>
      </c>
      <c r="P8" s="300"/>
      <c r="Q8" s="300" t="s">
        <v>5507</v>
      </c>
      <c r="R8" s="300" t="s">
        <v>2821</v>
      </c>
      <c r="S8" s="300" t="s">
        <v>7671</v>
      </c>
    </row>
    <row r="9">
      <c r="A9" s="300" t="str">
        <f t="array" ref="A9">XLOOKUP(B9,'High School Players'!D:D,'High School Players'!K:K,"",0,1)</f>
        <v>XX</v>
      </c>
      <c r="B9" s="300" t="s">
        <v>4821</v>
      </c>
      <c r="C9" s="300" t="s">
        <v>4456</v>
      </c>
      <c r="D9" s="300" t="s">
        <v>605</v>
      </c>
      <c r="E9" s="300">
        <v>2027.0</v>
      </c>
      <c r="F9" s="300">
        <v>1.0</v>
      </c>
      <c r="G9" s="300"/>
      <c r="H9" s="300" t="s">
        <v>63</v>
      </c>
      <c r="J9" s="300" t="s">
        <v>1550</v>
      </c>
      <c r="K9" s="300" t="s">
        <v>4823</v>
      </c>
      <c r="L9" s="300" t="s">
        <v>731</v>
      </c>
      <c r="M9" s="300" t="s">
        <v>2516</v>
      </c>
      <c r="N9" s="300"/>
      <c r="O9" s="300">
        <v>4.2</v>
      </c>
      <c r="P9" s="300"/>
      <c r="Q9" s="300" t="s">
        <v>4824</v>
      </c>
      <c r="R9" s="300" t="s">
        <v>2821</v>
      </c>
      <c r="S9" s="300" t="s">
        <v>7672</v>
      </c>
    </row>
    <row r="10">
      <c r="A10" s="300" t="str">
        <f t="array" ref="A10">XLOOKUP(B10,'High School Players'!D:D,'High School Players'!K:K,"",0,1)</f>
        <v>XX</v>
      </c>
      <c r="B10" s="300" t="s">
        <v>5650</v>
      </c>
      <c r="C10" s="300" t="s">
        <v>2995</v>
      </c>
      <c r="D10" s="300" t="s">
        <v>5651</v>
      </c>
      <c r="E10" s="300">
        <v>2027.0</v>
      </c>
      <c r="F10" s="300">
        <v>1.0</v>
      </c>
      <c r="G10" s="300"/>
      <c r="H10" s="300" t="s">
        <v>63</v>
      </c>
      <c r="J10" s="300" t="s">
        <v>1550</v>
      </c>
      <c r="K10" s="300" t="s">
        <v>3630</v>
      </c>
      <c r="L10" s="300" t="s">
        <v>319</v>
      </c>
      <c r="M10" s="300" t="s">
        <v>5653</v>
      </c>
      <c r="N10" s="300"/>
      <c r="O10" s="300">
        <v>3.77</v>
      </c>
      <c r="P10" s="300"/>
      <c r="Q10" s="300" t="s">
        <v>5654</v>
      </c>
      <c r="R10" s="300" t="s">
        <v>2821</v>
      </c>
      <c r="S10" s="300" t="s">
        <v>7673</v>
      </c>
    </row>
    <row r="11">
      <c r="A11" s="300">
        <f t="array" ref="A11">XLOOKUP(B11,'High School Players'!D:D,'High School Players'!K:K,"",0,1)</f>
        <v>0.1</v>
      </c>
      <c r="B11" s="300" t="s">
        <v>2856</v>
      </c>
      <c r="C11" s="300" t="s">
        <v>2857</v>
      </c>
      <c r="D11" s="300" t="s">
        <v>2858</v>
      </c>
      <c r="E11" s="300">
        <v>2027.0</v>
      </c>
      <c r="F11" s="300">
        <v>1.0</v>
      </c>
      <c r="G11" s="300"/>
      <c r="H11" s="300" t="s">
        <v>51</v>
      </c>
      <c r="J11" s="300" t="s">
        <v>1550</v>
      </c>
      <c r="K11" s="300" t="s">
        <v>2859</v>
      </c>
      <c r="L11" s="300" t="s">
        <v>52</v>
      </c>
      <c r="M11" s="300" t="s">
        <v>2860</v>
      </c>
      <c r="N11" s="300"/>
      <c r="O11" s="300">
        <v>4.0</v>
      </c>
      <c r="P11" s="300"/>
      <c r="Q11" s="300" t="s">
        <v>2861</v>
      </c>
      <c r="R11" s="300" t="s">
        <v>2821</v>
      </c>
      <c r="S11" s="300" t="s">
        <v>7674</v>
      </c>
    </row>
    <row r="12">
      <c r="A12" s="300" t="str">
        <f t="array" ref="A12">XLOOKUP(B12,'High School Players'!D:D,'High School Players'!K:K,"",0,1)</f>
        <v>XX</v>
      </c>
      <c r="B12" s="300" t="s">
        <v>5183</v>
      </c>
      <c r="C12" s="300" t="s">
        <v>233</v>
      </c>
      <c r="D12" s="300" t="s">
        <v>5184</v>
      </c>
      <c r="E12" s="300">
        <v>2027.0</v>
      </c>
      <c r="F12" s="300">
        <v>1.0</v>
      </c>
      <c r="G12" s="300"/>
      <c r="H12" s="300" t="s">
        <v>1398</v>
      </c>
      <c r="J12" s="300" t="s">
        <v>1550</v>
      </c>
      <c r="K12" s="300" t="s">
        <v>5185</v>
      </c>
      <c r="L12" s="300" t="s">
        <v>52</v>
      </c>
      <c r="M12" s="300" t="s">
        <v>5186</v>
      </c>
      <c r="N12" s="300"/>
      <c r="O12" s="300">
        <v>4.0</v>
      </c>
      <c r="P12" s="300"/>
      <c r="Q12" s="300" t="s">
        <v>5187</v>
      </c>
      <c r="R12" s="300" t="s">
        <v>2821</v>
      </c>
      <c r="S12" s="300" t="s">
        <v>7675</v>
      </c>
    </row>
    <row r="13">
      <c r="A13" s="300" t="str">
        <f t="array" ref="A13">XLOOKUP(B13,'High School Players'!D:D,'High School Players'!K:K,"",0,1)</f>
        <v>XX</v>
      </c>
      <c r="B13" s="300" t="s">
        <v>5145</v>
      </c>
      <c r="C13" s="300" t="s">
        <v>5146</v>
      </c>
      <c r="D13" s="300" t="s">
        <v>5147</v>
      </c>
      <c r="E13" s="300">
        <v>2027.0</v>
      </c>
      <c r="F13" s="300">
        <v>1.0</v>
      </c>
      <c r="G13" s="300"/>
      <c r="H13" s="300" t="s">
        <v>122</v>
      </c>
      <c r="J13" s="300" t="s">
        <v>1556</v>
      </c>
      <c r="K13" s="300" t="s">
        <v>5149</v>
      </c>
      <c r="L13" s="300" t="s">
        <v>52</v>
      </c>
      <c r="M13" s="300" t="s">
        <v>5150</v>
      </c>
      <c r="Q13" s="300" t="s">
        <v>5151</v>
      </c>
      <c r="R13" s="300" t="s">
        <v>2821</v>
      </c>
      <c r="S13" s="300" t="s">
        <v>7676</v>
      </c>
    </row>
    <row r="14">
      <c r="A14" s="300" t="str">
        <f t="array" ref="A14">XLOOKUP(B14,'High School Players'!D:D,'High School Players'!K:K,"",0,1)</f>
        <v>XX</v>
      </c>
      <c r="B14" s="300" t="s">
        <v>4775</v>
      </c>
      <c r="C14" s="300" t="s">
        <v>4776</v>
      </c>
      <c r="D14" s="300" t="s">
        <v>4777</v>
      </c>
      <c r="E14" s="300">
        <v>2027.0</v>
      </c>
      <c r="F14" s="300">
        <v>1.0</v>
      </c>
      <c r="G14" s="300"/>
      <c r="H14" s="300" t="s">
        <v>63</v>
      </c>
      <c r="J14" s="300" t="s">
        <v>1550</v>
      </c>
      <c r="K14" s="300" t="s">
        <v>4778</v>
      </c>
      <c r="L14" s="300" t="s">
        <v>52</v>
      </c>
      <c r="M14" s="300" t="s">
        <v>4778</v>
      </c>
      <c r="R14" s="300" t="s">
        <v>2821</v>
      </c>
    </row>
    <row r="15">
      <c r="A15" s="300" t="str">
        <f t="array" ref="A15">XLOOKUP(B15,'High School Players'!D:D,'High School Players'!K:K,"",0,1)</f>
        <v>XX</v>
      </c>
      <c r="B15" s="300" t="s">
        <v>5454</v>
      </c>
      <c r="C15" s="300" t="s">
        <v>5455</v>
      </c>
      <c r="D15" s="300" t="s">
        <v>386</v>
      </c>
      <c r="E15" s="300">
        <v>2027.0</v>
      </c>
      <c r="F15" s="300">
        <v>1.0</v>
      </c>
      <c r="G15" s="300"/>
      <c r="H15" s="300" t="s">
        <v>1398</v>
      </c>
      <c r="J15" s="300" t="s">
        <v>1989</v>
      </c>
      <c r="K15" s="300" t="s">
        <v>5456</v>
      </c>
      <c r="L15" s="300" t="s">
        <v>52</v>
      </c>
      <c r="M15" s="300" t="s">
        <v>5457</v>
      </c>
      <c r="N15" s="300"/>
      <c r="O15" s="300">
        <v>4.3</v>
      </c>
      <c r="P15" s="300"/>
      <c r="Q15" s="300" t="s">
        <v>5458</v>
      </c>
      <c r="R15" s="300" t="s">
        <v>2821</v>
      </c>
      <c r="S15" s="300" t="s">
        <v>7677</v>
      </c>
    </row>
    <row r="16">
      <c r="A16" s="300" t="str">
        <f t="array" ref="A16">XLOOKUP(B16,'High School Players'!D:D,'High School Players'!K:K,"",0,1)</f>
        <v>1</v>
      </c>
      <c r="B16" s="300" t="s">
        <v>4613</v>
      </c>
      <c r="C16" s="300" t="s">
        <v>1042</v>
      </c>
      <c r="D16" s="300" t="s">
        <v>4614</v>
      </c>
      <c r="E16" s="300">
        <v>2027.0</v>
      </c>
      <c r="F16" s="300">
        <v>1.0</v>
      </c>
      <c r="G16" s="300"/>
      <c r="H16" s="300" t="s">
        <v>109</v>
      </c>
      <c r="J16" s="300" t="s">
        <v>1989</v>
      </c>
      <c r="K16" s="300" t="s">
        <v>1765</v>
      </c>
      <c r="L16" s="300" t="s">
        <v>52</v>
      </c>
      <c r="M16" s="300" t="s">
        <v>1471</v>
      </c>
      <c r="N16" s="300"/>
      <c r="O16" s="300">
        <v>4.25</v>
      </c>
      <c r="P16" s="300"/>
      <c r="Q16" s="300" t="s">
        <v>4615</v>
      </c>
      <c r="R16" s="300" t="s">
        <v>2821</v>
      </c>
      <c r="S16" s="300" t="s">
        <v>7678</v>
      </c>
    </row>
    <row r="17">
      <c r="A17" s="300" t="str">
        <f t="array" ref="A17">XLOOKUP(B17,'High School Players'!D:D,'High School Players'!K:K,"",0,1)</f>
        <v>XX</v>
      </c>
      <c r="B17" s="300" t="s">
        <v>5084</v>
      </c>
      <c r="C17" s="300" t="s">
        <v>971</v>
      </c>
      <c r="D17" s="300" t="s">
        <v>5085</v>
      </c>
      <c r="E17" s="300">
        <v>2027.0</v>
      </c>
      <c r="F17" s="300">
        <v>1.0</v>
      </c>
      <c r="G17" s="300"/>
      <c r="H17" s="300" t="s">
        <v>1398</v>
      </c>
      <c r="J17" s="300" t="s">
        <v>1550</v>
      </c>
      <c r="K17" s="300" t="s">
        <v>1765</v>
      </c>
      <c r="L17" s="300" t="s">
        <v>52</v>
      </c>
      <c r="M17" s="300" t="s">
        <v>3234</v>
      </c>
      <c r="N17" s="300"/>
      <c r="O17" s="300">
        <v>4.2</v>
      </c>
      <c r="P17" s="300"/>
      <c r="Q17" s="300" t="s">
        <v>5086</v>
      </c>
      <c r="R17" s="300" t="s">
        <v>2821</v>
      </c>
      <c r="S17" s="300" t="s">
        <v>7679</v>
      </c>
    </row>
    <row r="18">
      <c r="A18" s="300" t="str">
        <f t="array" ref="A18">XLOOKUP(B18,'High School Players'!D:D,'High School Players'!K:K,"",0,1)</f>
        <v>XX</v>
      </c>
      <c r="B18" s="300" t="s">
        <v>5360</v>
      </c>
      <c r="C18" s="300" t="s">
        <v>1595</v>
      </c>
      <c r="D18" s="300" t="s">
        <v>5361</v>
      </c>
      <c r="E18" s="300">
        <v>2027.0</v>
      </c>
      <c r="F18" s="300">
        <v>1.0</v>
      </c>
      <c r="G18" s="300"/>
      <c r="H18" s="300" t="s">
        <v>1398</v>
      </c>
      <c r="J18" s="300" t="s">
        <v>1989</v>
      </c>
      <c r="K18" s="300" t="s">
        <v>5363</v>
      </c>
      <c r="L18" s="300" t="s">
        <v>52</v>
      </c>
      <c r="M18" s="300" t="s">
        <v>1370</v>
      </c>
      <c r="Q18" s="300" t="s">
        <v>5364</v>
      </c>
      <c r="R18" s="300" t="s">
        <v>2821</v>
      </c>
      <c r="S18" s="300" t="s">
        <v>7680</v>
      </c>
    </row>
    <row r="19">
      <c r="A19" s="300" t="str">
        <f t="array" ref="A19">XLOOKUP(B19,'High School Players'!D:D,'High School Players'!K:K,"",0,1)</f>
        <v>XX</v>
      </c>
      <c r="B19" s="300" t="s">
        <v>4920</v>
      </c>
      <c r="C19" s="300" t="s">
        <v>4921</v>
      </c>
      <c r="D19" s="300" t="s">
        <v>1659</v>
      </c>
      <c r="E19" s="300">
        <v>2027.0</v>
      </c>
      <c r="F19" s="300">
        <v>1.0</v>
      </c>
      <c r="G19" s="300"/>
      <c r="H19" s="300" t="s">
        <v>63</v>
      </c>
      <c r="J19" s="300" t="s">
        <v>1550</v>
      </c>
      <c r="K19" s="300" t="s">
        <v>4922</v>
      </c>
      <c r="L19" s="300" t="s">
        <v>52</v>
      </c>
      <c r="M19" s="300" t="s">
        <v>2527</v>
      </c>
      <c r="N19" s="300"/>
      <c r="O19" s="300">
        <v>3.7</v>
      </c>
      <c r="P19" s="300"/>
      <c r="Q19" s="300" t="s">
        <v>4923</v>
      </c>
      <c r="R19" s="300" t="s">
        <v>2821</v>
      </c>
      <c r="S19" s="300" t="s">
        <v>7681</v>
      </c>
    </row>
    <row r="20">
      <c r="A20" s="300" t="str">
        <f t="array" ref="A20">XLOOKUP(B20,'High School Players'!D:D,'High School Players'!K:K,"",0,1)</f>
        <v>XX</v>
      </c>
      <c r="B20" s="300" t="s">
        <v>5696</v>
      </c>
      <c r="C20" s="300" t="s">
        <v>599</v>
      </c>
      <c r="D20" s="300" t="s">
        <v>5697</v>
      </c>
      <c r="E20" s="300">
        <v>2027.0</v>
      </c>
      <c r="F20" s="300">
        <v>1.0</v>
      </c>
      <c r="G20" s="300"/>
      <c r="H20" s="300" t="s">
        <v>103</v>
      </c>
      <c r="J20" s="300" t="s">
        <v>1550</v>
      </c>
      <c r="K20" s="300" t="s">
        <v>5698</v>
      </c>
      <c r="L20" s="300" t="s">
        <v>52</v>
      </c>
      <c r="M20" s="300" t="s">
        <v>5698</v>
      </c>
      <c r="Q20" s="300" t="s">
        <v>5699</v>
      </c>
      <c r="R20" s="300" t="s">
        <v>2821</v>
      </c>
      <c r="S20" s="300" t="s">
        <v>7682</v>
      </c>
    </row>
    <row r="21">
      <c r="A21" s="300" t="str">
        <f t="array" ref="A21">XLOOKUP(B21,'High School Players'!D:D,'High School Players'!K:K,"",0,1)</f>
        <v>XX</v>
      </c>
      <c r="B21" s="300" t="s">
        <v>5954</v>
      </c>
      <c r="C21" s="300" t="s">
        <v>457</v>
      </c>
      <c r="D21" s="300" t="s">
        <v>5955</v>
      </c>
      <c r="E21" s="300">
        <v>2027.0</v>
      </c>
      <c r="F21" s="300">
        <v>1.0</v>
      </c>
      <c r="G21" s="300"/>
      <c r="H21" s="300" t="s">
        <v>63</v>
      </c>
      <c r="J21" s="300" t="s">
        <v>1550</v>
      </c>
      <c r="K21" s="300" t="s">
        <v>5956</v>
      </c>
      <c r="L21" s="300" t="s">
        <v>52</v>
      </c>
      <c r="M21" s="300" t="s">
        <v>5957</v>
      </c>
      <c r="N21" s="300"/>
      <c r="O21" s="300">
        <v>4.0</v>
      </c>
      <c r="P21" s="300"/>
      <c r="Q21" s="300" t="s">
        <v>5958</v>
      </c>
      <c r="R21" s="300" t="s">
        <v>2821</v>
      </c>
      <c r="S21" s="300" t="s">
        <v>7683</v>
      </c>
    </row>
    <row r="22">
      <c r="A22" s="300" t="str">
        <f t="array" ref="A22">XLOOKUP(B22,'High School Players'!D:D,'High School Players'!K:K,"",0,1)</f>
        <v>XX</v>
      </c>
      <c r="B22" s="300" t="s">
        <v>4755</v>
      </c>
      <c r="C22" s="300" t="s">
        <v>432</v>
      </c>
      <c r="D22" s="300" t="s">
        <v>4756</v>
      </c>
      <c r="E22" s="300">
        <v>2027.0</v>
      </c>
      <c r="F22" s="300">
        <v>1.0</v>
      </c>
      <c r="G22" s="300"/>
      <c r="H22" s="300" t="s">
        <v>1519</v>
      </c>
      <c r="J22" s="300" t="s">
        <v>1550</v>
      </c>
      <c r="K22" s="300" t="s">
        <v>4757</v>
      </c>
      <c r="L22" s="300" t="s">
        <v>174</v>
      </c>
      <c r="M22" s="300" t="s">
        <v>1849</v>
      </c>
      <c r="N22" s="300"/>
      <c r="O22" s="300">
        <v>3.75</v>
      </c>
      <c r="P22" s="300"/>
      <c r="Q22" s="300" t="s">
        <v>4758</v>
      </c>
      <c r="R22" s="300" t="s">
        <v>2821</v>
      </c>
      <c r="S22" s="300" t="s">
        <v>7684</v>
      </c>
    </row>
    <row r="23">
      <c r="A23" s="300" t="str">
        <f t="array" ref="A23">XLOOKUP(B23,'High School Players'!D:D,'High School Players'!K:K,"",0,1)</f>
        <v>XX</v>
      </c>
      <c r="B23" s="300" t="s">
        <v>5787</v>
      </c>
      <c r="C23" s="300" t="s">
        <v>432</v>
      </c>
      <c r="D23" s="300" t="s">
        <v>1782</v>
      </c>
      <c r="E23" s="300">
        <v>2027.0</v>
      </c>
      <c r="F23" s="300">
        <v>1.0</v>
      </c>
      <c r="G23" s="300"/>
      <c r="H23" s="300" t="s">
        <v>1519</v>
      </c>
      <c r="J23" s="300" t="s">
        <v>1550</v>
      </c>
      <c r="K23" s="300" t="s">
        <v>5788</v>
      </c>
      <c r="L23" s="300" t="s">
        <v>174</v>
      </c>
      <c r="M23" s="300" t="s">
        <v>579</v>
      </c>
      <c r="Q23" s="300" t="s">
        <v>5789</v>
      </c>
      <c r="R23" s="300" t="s">
        <v>2821</v>
      </c>
      <c r="S23" s="300" t="s">
        <v>7685</v>
      </c>
    </row>
    <row r="24">
      <c r="A24" s="300" t="str">
        <f t="array" ref="A24">XLOOKUP(B24,'High School Players'!D:D,'High School Players'!K:K,"",0,1)</f>
        <v>XX</v>
      </c>
      <c r="B24" s="300" t="s">
        <v>5375</v>
      </c>
      <c r="C24" s="300" t="s">
        <v>850</v>
      </c>
      <c r="D24" s="300" t="s">
        <v>4625</v>
      </c>
      <c r="E24" s="300">
        <v>2027.0</v>
      </c>
      <c r="F24" s="300">
        <v>1.0</v>
      </c>
      <c r="G24" s="300"/>
      <c r="H24" s="300" t="s">
        <v>63</v>
      </c>
      <c r="J24" s="300" t="s">
        <v>1550</v>
      </c>
      <c r="K24" s="300" t="s">
        <v>5376</v>
      </c>
      <c r="L24" s="300" t="s">
        <v>174</v>
      </c>
      <c r="M24" s="300" t="s">
        <v>5376</v>
      </c>
      <c r="Q24" s="300" t="s">
        <v>5377</v>
      </c>
      <c r="R24" s="300" t="s">
        <v>2821</v>
      </c>
      <c r="S24" s="300" t="s">
        <v>7686</v>
      </c>
    </row>
    <row r="25">
      <c r="A25" s="300" t="str">
        <f t="array" ref="A25">XLOOKUP(B25,'High School Players'!D:D,'High School Players'!K:K,"",0,1)</f>
        <v>XX</v>
      </c>
      <c r="B25" s="300" t="s">
        <v>5945</v>
      </c>
      <c r="C25" s="300" t="s">
        <v>136</v>
      </c>
      <c r="D25" s="300" t="s">
        <v>5946</v>
      </c>
      <c r="E25" s="300">
        <v>2027.0</v>
      </c>
      <c r="F25" s="300">
        <v>1.0</v>
      </c>
      <c r="G25" s="300"/>
      <c r="H25" s="300" t="s">
        <v>63</v>
      </c>
      <c r="J25" s="300" t="s">
        <v>1550</v>
      </c>
      <c r="K25" s="300" t="s">
        <v>5947</v>
      </c>
      <c r="L25" s="300" t="s">
        <v>174</v>
      </c>
      <c r="M25" s="300" t="s">
        <v>280</v>
      </c>
      <c r="N25" s="300"/>
      <c r="O25" s="300">
        <v>3.8</v>
      </c>
      <c r="P25" s="300"/>
      <c r="Q25" s="300" t="s">
        <v>5948</v>
      </c>
      <c r="R25" s="300" t="s">
        <v>2821</v>
      </c>
    </row>
    <row r="26">
      <c r="A26" s="300" t="str">
        <f t="array" ref="A26">XLOOKUP(B26,'High School Players'!D:D,'High School Players'!K:K,"",0,1)</f>
        <v>XX</v>
      </c>
      <c r="B26" s="300" t="s">
        <v>5689</v>
      </c>
      <c r="C26" s="300" t="s">
        <v>432</v>
      </c>
      <c r="D26" s="300" t="s">
        <v>5690</v>
      </c>
      <c r="E26" s="300">
        <v>2027.0</v>
      </c>
      <c r="F26" s="300">
        <v>1.0</v>
      </c>
      <c r="G26" s="300"/>
      <c r="H26" s="300" t="s">
        <v>63</v>
      </c>
      <c r="J26" s="300" t="s">
        <v>1550</v>
      </c>
      <c r="K26" s="300" t="s">
        <v>1595</v>
      </c>
      <c r="L26" s="300" t="s">
        <v>174</v>
      </c>
      <c r="M26" s="300" t="s">
        <v>5691</v>
      </c>
      <c r="N26" s="300"/>
      <c r="O26" s="300">
        <v>3.9</v>
      </c>
      <c r="P26" s="300"/>
      <c r="Q26" s="300" t="s">
        <v>5692</v>
      </c>
      <c r="R26" s="300" t="s">
        <v>2821</v>
      </c>
      <c r="S26" s="300" t="s">
        <v>7687</v>
      </c>
    </row>
    <row r="27">
      <c r="A27" s="300" t="str">
        <f t="array" ref="A27">XLOOKUP(B27,'High School Players'!D:D,'High School Players'!K:K,"",0,1)</f>
        <v>XX</v>
      </c>
      <c r="B27" s="300" t="s">
        <v>4949</v>
      </c>
      <c r="C27" s="300" t="s">
        <v>432</v>
      </c>
      <c r="D27" s="300" t="s">
        <v>4950</v>
      </c>
      <c r="E27" s="300">
        <v>2027.0</v>
      </c>
      <c r="F27" s="300">
        <v>1.0</v>
      </c>
      <c r="G27" s="300"/>
      <c r="H27" s="300" t="s">
        <v>103</v>
      </c>
      <c r="J27" s="300" t="s">
        <v>1556</v>
      </c>
      <c r="K27" s="300" t="s">
        <v>3191</v>
      </c>
      <c r="L27" s="300" t="s">
        <v>174</v>
      </c>
      <c r="M27" s="300" t="s">
        <v>3073</v>
      </c>
      <c r="N27" s="300"/>
      <c r="O27" s="300">
        <v>3.8</v>
      </c>
      <c r="P27" s="300"/>
      <c r="Q27" s="300" t="s">
        <v>4951</v>
      </c>
      <c r="R27" s="300" t="s">
        <v>2821</v>
      </c>
      <c r="S27" s="300" t="s">
        <v>7688</v>
      </c>
    </row>
    <row r="28">
      <c r="A28" s="300" t="str">
        <f t="array" ref="A28">XLOOKUP(B28,'High School Players'!D:D,'High School Players'!K:K,"",0,1)</f>
        <v>XX</v>
      </c>
      <c r="B28" s="300" t="s">
        <v>5622</v>
      </c>
      <c r="C28" s="300" t="s">
        <v>1206</v>
      </c>
      <c r="D28" s="300" t="s">
        <v>5623</v>
      </c>
      <c r="E28" s="300">
        <v>2027.0</v>
      </c>
      <c r="F28" s="300">
        <v>1.0</v>
      </c>
      <c r="G28" s="300"/>
      <c r="H28" s="300" t="s">
        <v>63</v>
      </c>
      <c r="J28" s="300" t="s">
        <v>1550</v>
      </c>
      <c r="K28" s="300" t="s">
        <v>5624</v>
      </c>
      <c r="L28" s="300" t="s">
        <v>174</v>
      </c>
      <c r="M28" s="300" t="s">
        <v>1849</v>
      </c>
      <c r="N28" s="300"/>
      <c r="O28" s="300">
        <v>3.9</v>
      </c>
      <c r="P28" s="300"/>
      <c r="Q28" s="300" t="s">
        <v>5625</v>
      </c>
      <c r="R28" s="300" t="s">
        <v>2821</v>
      </c>
      <c r="S28" s="300" t="s">
        <v>7689</v>
      </c>
    </row>
    <row r="29" hidden="1">
      <c r="A29" s="300" t="str">
        <f t="array" ref="A29">XLOOKUP(B29,'High School Players'!D:D,'High School Players'!K:K,"",0,1)</f>
        <v>XX</v>
      </c>
      <c r="B29" s="300" t="s">
        <v>4868</v>
      </c>
      <c r="C29" s="300" t="s">
        <v>284</v>
      </c>
      <c r="D29" s="300" t="s">
        <v>4869</v>
      </c>
      <c r="E29" s="300">
        <v>2027.0</v>
      </c>
      <c r="F29" s="300">
        <v>1.0</v>
      </c>
      <c r="G29" s="300"/>
      <c r="H29" s="300" t="s">
        <v>103</v>
      </c>
      <c r="I29" s="300">
        <v>16.0</v>
      </c>
      <c r="J29" s="300" t="s">
        <v>1550</v>
      </c>
      <c r="K29" s="300" t="s">
        <v>7690</v>
      </c>
      <c r="L29" s="300" t="s">
        <v>160</v>
      </c>
      <c r="M29" s="300" t="s">
        <v>7691</v>
      </c>
      <c r="N29" s="300"/>
      <c r="O29" s="300">
        <v>3.7</v>
      </c>
      <c r="P29" s="300"/>
      <c r="Q29" s="300" t="s">
        <v>7584</v>
      </c>
      <c r="R29" s="300"/>
      <c r="S29" s="300" t="s">
        <v>7692</v>
      </c>
    </row>
    <row r="30" hidden="1">
      <c r="A30" s="300" t="str">
        <f t="array" ref="A30">XLOOKUP(B30,'High School Players'!D:D,'High School Players'!K:K,"",0,1)</f>
        <v>XX</v>
      </c>
      <c r="B30" s="300" t="s">
        <v>4799</v>
      </c>
      <c r="C30" s="300" t="s">
        <v>385</v>
      </c>
      <c r="D30" s="300" t="s">
        <v>4800</v>
      </c>
      <c r="E30" s="300">
        <v>2027.0</v>
      </c>
      <c r="F30" s="300">
        <v>1.0</v>
      </c>
      <c r="G30" s="300"/>
      <c r="H30" s="300" t="s">
        <v>1972</v>
      </c>
      <c r="I30" s="300">
        <v>10.0</v>
      </c>
      <c r="J30" s="300" t="s">
        <v>2324</v>
      </c>
      <c r="K30" s="300" t="s">
        <v>7693</v>
      </c>
      <c r="L30" s="300" t="s">
        <v>43</v>
      </c>
      <c r="M30" s="300" t="s">
        <v>4802</v>
      </c>
      <c r="N30" s="300"/>
      <c r="O30" s="300">
        <v>4.1</v>
      </c>
      <c r="P30" s="300"/>
      <c r="Q30" s="300" t="s">
        <v>7466</v>
      </c>
    </row>
    <row r="31">
      <c r="A31" s="300" t="str">
        <f t="array" ref="A31">XLOOKUP(B31,'High School Players'!D:D,'High School Players'!K:K,"",0,1)</f>
        <v>XX</v>
      </c>
      <c r="B31" s="300" t="s">
        <v>5885</v>
      </c>
      <c r="C31" s="300" t="s">
        <v>457</v>
      </c>
      <c r="D31" s="300" t="s">
        <v>5886</v>
      </c>
      <c r="E31" s="300">
        <v>2027.0</v>
      </c>
      <c r="F31" s="300">
        <v>1.0</v>
      </c>
      <c r="G31" s="300"/>
      <c r="H31" s="300" t="s">
        <v>106</v>
      </c>
      <c r="J31" s="300" t="s">
        <v>1550</v>
      </c>
      <c r="K31" s="300" t="s">
        <v>5888</v>
      </c>
      <c r="L31" s="300" t="s">
        <v>307</v>
      </c>
      <c r="M31" s="300" t="s">
        <v>5888</v>
      </c>
      <c r="N31" s="300"/>
      <c r="O31" s="300">
        <v>4.5</v>
      </c>
      <c r="P31" s="300"/>
      <c r="Q31" s="300" t="s">
        <v>5889</v>
      </c>
      <c r="R31" s="300" t="s">
        <v>2821</v>
      </c>
      <c r="S31" s="300" t="s">
        <v>7694</v>
      </c>
    </row>
    <row r="32">
      <c r="A32" s="300" t="str">
        <f t="array" ref="A32">XLOOKUP(B32,'High School Players'!D:D,'High School Players'!K:K,"",0,1)</f>
        <v>XX</v>
      </c>
      <c r="B32" s="300" t="s">
        <v>5524</v>
      </c>
      <c r="C32" s="300" t="s">
        <v>1057</v>
      </c>
      <c r="D32" s="300" t="s">
        <v>5525</v>
      </c>
      <c r="E32" s="300">
        <v>2027.0</v>
      </c>
      <c r="F32" s="300">
        <v>1.0</v>
      </c>
      <c r="G32" s="300"/>
      <c r="H32" s="300" t="s">
        <v>109</v>
      </c>
      <c r="J32" s="300" t="s">
        <v>1550</v>
      </c>
      <c r="K32" s="300" t="s">
        <v>3069</v>
      </c>
      <c r="L32" s="300" t="s">
        <v>153</v>
      </c>
      <c r="M32" s="300" t="s">
        <v>5526</v>
      </c>
      <c r="N32" s="300"/>
      <c r="O32" s="300">
        <v>4.0</v>
      </c>
      <c r="P32" s="300"/>
      <c r="Q32" s="300" t="s">
        <v>5527</v>
      </c>
      <c r="R32" s="300" t="s">
        <v>2821</v>
      </c>
      <c r="S32" s="300" t="s">
        <v>7695</v>
      </c>
    </row>
    <row r="33">
      <c r="A33" s="300" t="str">
        <f t="array" ref="A33">XLOOKUP(B33,'High School Players'!D:D,'High School Players'!K:K,"",0,1)</f>
        <v>XX</v>
      </c>
      <c r="B33" s="300" t="s">
        <v>4992</v>
      </c>
      <c r="C33" s="300" t="s">
        <v>1020</v>
      </c>
      <c r="D33" s="300" t="s">
        <v>4993</v>
      </c>
      <c r="E33" s="300">
        <v>2027.0</v>
      </c>
      <c r="F33" s="300">
        <v>1.0</v>
      </c>
      <c r="G33" s="300"/>
      <c r="H33" s="300" t="s">
        <v>51</v>
      </c>
      <c r="J33" s="300" t="s">
        <v>1550</v>
      </c>
      <c r="K33" s="300" t="s">
        <v>4994</v>
      </c>
      <c r="L33" s="300" t="s">
        <v>153</v>
      </c>
      <c r="M33" s="300" t="s">
        <v>2314</v>
      </c>
      <c r="N33" s="300"/>
      <c r="O33" s="300">
        <v>3.7</v>
      </c>
      <c r="P33" s="300"/>
      <c r="Q33" s="300" t="s">
        <v>4995</v>
      </c>
      <c r="R33" s="300" t="s">
        <v>2821</v>
      </c>
      <c r="S33" s="300" t="s">
        <v>7696</v>
      </c>
    </row>
    <row r="34" hidden="1">
      <c r="A34" s="300" t="str">
        <f t="array" ref="A34">XLOOKUP(B34,'High School Players'!D:D,'High School Players'!K:K,"",0,1)</f>
        <v>XX</v>
      </c>
      <c r="B34" s="300" t="s">
        <v>5421</v>
      </c>
      <c r="C34" s="300" t="s">
        <v>5422</v>
      </c>
      <c r="D34" s="300" t="s">
        <v>5423</v>
      </c>
      <c r="E34" s="300">
        <v>2027.0</v>
      </c>
      <c r="F34" s="300">
        <v>1.0</v>
      </c>
      <c r="G34" s="300"/>
      <c r="H34" s="300" t="s">
        <v>1398</v>
      </c>
      <c r="I34" s="300">
        <v>2.0</v>
      </c>
      <c r="J34" s="300" t="s">
        <v>1989</v>
      </c>
      <c r="K34" s="300" t="s">
        <v>5587</v>
      </c>
      <c r="L34" s="300" t="s">
        <v>112</v>
      </c>
      <c r="M34" s="300" t="s">
        <v>5588</v>
      </c>
      <c r="Q34" s="300" t="s">
        <v>7697</v>
      </c>
      <c r="R34" s="300"/>
      <c r="S34" s="300" t="s">
        <v>7698</v>
      </c>
    </row>
    <row r="35">
      <c r="A35" s="300" t="str">
        <f t="array" ref="A35">XLOOKUP(B35,'High School Players'!D:D,'High School Players'!K:K,"",0,1)</f>
        <v>XX</v>
      </c>
      <c r="B35" s="300" t="s">
        <v>5677</v>
      </c>
      <c r="C35" s="300" t="s">
        <v>172</v>
      </c>
      <c r="D35" s="300" t="s">
        <v>452</v>
      </c>
      <c r="E35" s="300">
        <v>2027.0</v>
      </c>
      <c r="F35" s="300">
        <v>1.0</v>
      </c>
      <c r="G35" s="300"/>
      <c r="H35" s="300" t="s">
        <v>1398</v>
      </c>
      <c r="J35" s="300" t="s">
        <v>1989</v>
      </c>
      <c r="K35" s="300" t="s">
        <v>3539</v>
      </c>
      <c r="L35" s="300" t="s">
        <v>543</v>
      </c>
      <c r="M35" s="300" t="s">
        <v>5679</v>
      </c>
      <c r="N35" s="300"/>
      <c r="O35" s="300">
        <v>4.0</v>
      </c>
      <c r="P35" s="300"/>
      <c r="Q35" s="300" t="s">
        <v>5680</v>
      </c>
      <c r="R35" s="300" t="s">
        <v>2821</v>
      </c>
      <c r="S35" s="300" t="s">
        <v>7699</v>
      </c>
    </row>
    <row r="36" hidden="1">
      <c r="A36" s="300" t="str">
        <f t="array" ref="A36">XLOOKUP(B36,'High School Players'!D:D,'High School Players'!K:K,"",0,1)</f>
        <v>XX</v>
      </c>
      <c r="B36" s="300" t="s">
        <v>5515</v>
      </c>
      <c r="C36" s="300" t="s">
        <v>1678</v>
      </c>
      <c r="D36" s="300" t="s">
        <v>5516</v>
      </c>
      <c r="E36" s="300">
        <v>2027.0</v>
      </c>
      <c r="F36" s="300">
        <v>1.0</v>
      </c>
      <c r="G36" s="300"/>
      <c r="H36" s="300" t="s">
        <v>122</v>
      </c>
      <c r="I36" s="300">
        <v>14.0</v>
      </c>
      <c r="J36" s="300" t="s">
        <v>3667</v>
      </c>
      <c r="K36" s="300" t="s">
        <v>2780</v>
      </c>
      <c r="L36" s="300" t="s">
        <v>543</v>
      </c>
      <c r="M36" s="300" t="s">
        <v>2680</v>
      </c>
      <c r="N36" s="300"/>
      <c r="O36" s="300">
        <v>5.3</v>
      </c>
      <c r="P36" s="300"/>
      <c r="Q36" s="300" t="s">
        <v>7700</v>
      </c>
      <c r="R36" s="300"/>
      <c r="S36" s="300" t="s">
        <v>7701</v>
      </c>
    </row>
    <row r="37">
      <c r="A37" s="300">
        <f t="array" ref="A37">XLOOKUP(B37,'High School Players'!D:D,'High School Players'!K:K,"",0,1)</f>
        <v>2</v>
      </c>
      <c r="B37" s="300" t="s">
        <v>3438</v>
      </c>
      <c r="C37" s="300" t="s">
        <v>3439</v>
      </c>
      <c r="D37" s="300" t="s">
        <v>409</v>
      </c>
      <c r="E37" s="300">
        <v>2027.0</v>
      </c>
      <c r="F37" s="300">
        <v>1.0</v>
      </c>
      <c r="G37" s="300"/>
      <c r="H37" s="300" t="s">
        <v>1972</v>
      </c>
      <c r="J37" s="300" t="s">
        <v>1556</v>
      </c>
      <c r="K37" s="300" t="s">
        <v>3440</v>
      </c>
      <c r="L37" s="300" t="s">
        <v>543</v>
      </c>
      <c r="M37" s="300" t="s">
        <v>3441</v>
      </c>
      <c r="N37" s="300"/>
      <c r="O37" s="300">
        <v>4.3</v>
      </c>
      <c r="P37" s="300"/>
      <c r="Q37" s="300" t="s">
        <v>3443</v>
      </c>
      <c r="R37" s="300" t="s">
        <v>2821</v>
      </c>
      <c r="S37" s="300" t="s">
        <v>7702</v>
      </c>
    </row>
    <row r="38">
      <c r="A38" s="300" t="str">
        <f t="array" ref="A38">XLOOKUP(B38,'High School Players'!D:D,'High School Players'!K:K,"",0,1)</f>
        <v>XX</v>
      </c>
      <c r="B38" s="300" t="s">
        <v>5230</v>
      </c>
      <c r="C38" s="300" t="s">
        <v>805</v>
      </c>
      <c r="D38" s="300" t="s">
        <v>816</v>
      </c>
      <c r="E38" s="300">
        <v>2027.0</v>
      </c>
      <c r="F38" s="300">
        <v>1.0</v>
      </c>
      <c r="G38" s="300"/>
      <c r="H38" s="300" t="s">
        <v>63</v>
      </c>
      <c r="J38" s="300" t="s">
        <v>1550</v>
      </c>
      <c r="K38" s="300" t="s">
        <v>5231</v>
      </c>
      <c r="L38" s="300" t="s">
        <v>543</v>
      </c>
      <c r="M38" s="300" t="s">
        <v>5232</v>
      </c>
      <c r="N38" s="300"/>
      <c r="O38" s="300">
        <v>4.0</v>
      </c>
      <c r="P38" s="300"/>
      <c r="Q38" s="300" t="s">
        <v>5233</v>
      </c>
      <c r="R38" s="300" t="s">
        <v>2821</v>
      </c>
      <c r="S38" s="300" t="s">
        <v>7703</v>
      </c>
    </row>
    <row r="39">
      <c r="A39" s="300" t="str">
        <f t="array" ref="A39">XLOOKUP(B39,'High School Players'!D:D,'High School Players'!K:K,"",0,1)</f>
        <v>XX</v>
      </c>
      <c r="B39" s="300" t="s">
        <v>5566</v>
      </c>
      <c r="C39" s="300" t="s">
        <v>5567</v>
      </c>
      <c r="D39" s="300" t="s">
        <v>5568</v>
      </c>
      <c r="E39" s="300">
        <v>2027.0</v>
      </c>
      <c r="F39" s="300">
        <v>1.0</v>
      </c>
      <c r="G39" s="300"/>
      <c r="H39" s="300" t="s">
        <v>103</v>
      </c>
      <c r="J39" s="300" t="s">
        <v>1550</v>
      </c>
      <c r="K39" s="300" t="s">
        <v>5570</v>
      </c>
      <c r="L39" s="300" t="s">
        <v>543</v>
      </c>
      <c r="M39" s="300" t="s">
        <v>5571</v>
      </c>
      <c r="N39" s="300"/>
      <c r="O39" s="300">
        <v>4.0</v>
      </c>
      <c r="P39" s="300"/>
      <c r="Q39" s="300" t="s">
        <v>5572</v>
      </c>
      <c r="R39" s="300" t="s">
        <v>2821</v>
      </c>
      <c r="S39" s="300" t="s">
        <v>7704</v>
      </c>
    </row>
    <row r="40">
      <c r="A40" s="300" t="str">
        <f t="array" ref="A40">XLOOKUP(B40,'High School Players'!D:D,'High School Players'!K:K,"",0,1)</f>
        <v>XX</v>
      </c>
      <c r="B40" s="300" t="s">
        <v>5037</v>
      </c>
      <c r="C40" s="300" t="s">
        <v>5038</v>
      </c>
      <c r="D40" s="300" t="s">
        <v>5039</v>
      </c>
      <c r="E40" s="300">
        <v>2027.0</v>
      </c>
      <c r="F40" s="300">
        <v>1.0</v>
      </c>
      <c r="G40" s="300"/>
      <c r="H40" s="300" t="s">
        <v>63</v>
      </c>
      <c r="J40" s="300" t="s">
        <v>1550</v>
      </c>
      <c r="K40" s="300" t="s">
        <v>5041</v>
      </c>
      <c r="L40" s="300" t="s">
        <v>240</v>
      </c>
      <c r="M40" s="300" t="s">
        <v>5042</v>
      </c>
      <c r="N40" s="300"/>
      <c r="O40" s="300">
        <v>3.73</v>
      </c>
      <c r="P40" s="300"/>
      <c r="Q40" s="300" t="s">
        <v>5043</v>
      </c>
      <c r="R40" s="300" t="s">
        <v>2821</v>
      </c>
      <c r="S40" s="300" t="s">
        <v>7705</v>
      </c>
    </row>
    <row r="41">
      <c r="A41" s="300" t="str">
        <f t="array" ref="A41">XLOOKUP(B41,'High School Players'!D:D,'High School Players'!K:K,"",0,1)</f>
        <v>XX</v>
      </c>
      <c r="B41" s="300" t="s">
        <v>5800</v>
      </c>
      <c r="C41" s="300" t="s">
        <v>5801</v>
      </c>
      <c r="D41" s="300" t="s">
        <v>5802</v>
      </c>
      <c r="E41" s="300">
        <v>2027.0</v>
      </c>
      <c r="F41" s="300">
        <v>1.0</v>
      </c>
      <c r="G41" s="300"/>
      <c r="H41" s="300" t="s">
        <v>1398</v>
      </c>
      <c r="J41" s="300" t="s">
        <v>1550</v>
      </c>
      <c r="K41" s="300" t="s">
        <v>5803</v>
      </c>
      <c r="L41" s="300" t="s">
        <v>195</v>
      </c>
      <c r="M41" s="300" t="s">
        <v>5804</v>
      </c>
      <c r="N41" s="300"/>
      <c r="O41" s="300">
        <v>3.8</v>
      </c>
      <c r="P41" s="300"/>
      <c r="Q41" s="300" t="s">
        <v>5805</v>
      </c>
      <c r="R41" s="300" t="s">
        <v>2821</v>
      </c>
      <c r="S41" s="300" t="s">
        <v>7706</v>
      </c>
    </row>
    <row r="42">
      <c r="A42" s="300">
        <f t="array" ref="A42">XLOOKUP(B42,'High School Players'!D:D,'High School Players'!K:K,"",0,1)</f>
        <v>2</v>
      </c>
      <c r="B42" s="300" t="s">
        <v>3014</v>
      </c>
      <c r="C42" s="300" t="s">
        <v>594</v>
      </c>
      <c r="D42" s="300" t="s">
        <v>3015</v>
      </c>
      <c r="E42" s="300">
        <v>2027.0</v>
      </c>
      <c r="F42" s="300">
        <v>1.0</v>
      </c>
      <c r="G42" s="300"/>
      <c r="H42" s="300" t="s">
        <v>103</v>
      </c>
      <c r="J42" s="300" t="s">
        <v>1550</v>
      </c>
      <c r="K42" s="300" t="s">
        <v>2908</v>
      </c>
      <c r="L42" s="300" t="s">
        <v>85</v>
      </c>
      <c r="M42" s="300" t="s">
        <v>3016</v>
      </c>
      <c r="N42" s="300"/>
      <c r="O42" s="300">
        <v>3.95</v>
      </c>
      <c r="P42" s="300"/>
      <c r="Q42" s="300" t="s">
        <v>3017</v>
      </c>
      <c r="R42" s="300" t="s">
        <v>2821</v>
      </c>
      <c r="S42" s="300" t="s">
        <v>7707</v>
      </c>
    </row>
    <row r="43" hidden="1">
      <c r="A43" s="300" t="str">
        <f t="array" ref="A43">XLOOKUP(B43,'High School Players'!D:D,'High School Players'!K:K,"",0,1)</f>
        <v>XX</v>
      </c>
      <c r="B43" s="300" t="s">
        <v>5762</v>
      </c>
      <c r="C43" s="300" t="s">
        <v>151</v>
      </c>
      <c r="D43" s="300" t="s">
        <v>5763</v>
      </c>
      <c r="E43" s="300">
        <v>2027.0</v>
      </c>
      <c r="F43" s="300">
        <v>1.0</v>
      </c>
      <c r="G43" s="300"/>
      <c r="H43" s="300" t="s">
        <v>1398</v>
      </c>
      <c r="I43" s="300">
        <v>4.0</v>
      </c>
      <c r="J43" s="300" t="s">
        <v>1550</v>
      </c>
      <c r="K43" s="300" t="s">
        <v>642</v>
      </c>
      <c r="L43" s="300" t="s">
        <v>85</v>
      </c>
      <c r="M43" s="300" t="s">
        <v>7708</v>
      </c>
      <c r="N43" s="300"/>
      <c r="O43" s="300">
        <v>3.8</v>
      </c>
      <c r="P43" s="300"/>
      <c r="Q43" s="300" t="s">
        <v>7709</v>
      </c>
      <c r="R43" s="300"/>
      <c r="S43" s="300" t="s">
        <v>7710</v>
      </c>
    </row>
    <row r="44" hidden="1">
      <c r="A44" s="300" t="str">
        <f t="array" ref="A44">XLOOKUP(B44,'High School Players'!D:D,'High School Players'!K:K,"",0,1)</f>
        <v>XX</v>
      </c>
      <c r="B44" s="300" t="s">
        <v>4851</v>
      </c>
      <c r="C44" s="300" t="s">
        <v>70</v>
      </c>
      <c r="D44" s="300" t="s">
        <v>4852</v>
      </c>
      <c r="E44" s="300">
        <v>2027.0</v>
      </c>
      <c r="F44" s="300">
        <v>1.0</v>
      </c>
      <c r="G44" s="300"/>
      <c r="H44" s="300" t="s">
        <v>109</v>
      </c>
      <c r="I44" s="300">
        <v>7.0</v>
      </c>
      <c r="J44" s="300" t="s">
        <v>2324</v>
      </c>
      <c r="K44" s="300" t="s">
        <v>7711</v>
      </c>
      <c r="L44" s="300" t="s">
        <v>85</v>
      </c>
      <c r="M44" s="300" t="s">
        <v>86</v>
      </c>
      <c r="Q44" s="300" t="s">
        <v>7712</v>
      </c>
    </row>
    <row r="45" hidden="1">
      <c r="A45" s="300" t="str">
        <f t="array" ref="A45">XLOOKUP(B45,'High School Players'!D:D,'High School Players'!K:K,"",0,1)</f>
        <v>XX</v>
      </c>
      <c r="B45" s="300" t="s">
        <v>5094</v>
      </c>
      <c r="C45" s="300" t="s">
        <v>432</v>
      </c>
      <c r="D45" s="300" t="s">
        <v>5095</v>
      </c>
      <c r="E45" s="300">
        <v>2027.0</v>
      </c>
      <c r="F45" s="300">
        <v>1.0</v>
      </c>
      <c r="G45" s="300"/>
      <c r="H45" s="300" t="s">
        <v>103</v>
      </c>
      <c r="I45" s="300">
        <v>12.0</v>
      </c>
      <c r="J45" s="300" t="s">
        <v>1989</v>
      </c>
      <c r="K45" s="300" t="s">
        <v>7713</v>
      </c>
      <c r="L45" s="300" t="s">
        <v>85</v>
      </c>
      <c r="M45" s="300" t="s">
        <v>7714</v>
      </c>
      <c r="N45" s="300"/>
      <c r="O45" s="300">
        <v>3.68</v>
      </c>
      <c r="P45" s="300"/>
      <c r="Q45" s="300" t="s">
        <v>7715</v>
      </c>
      <c r="R45" s="300"/>
      <c r="S45" s="300" t="s">
        <v>7716</v>
      </c>
    </row>
    <row r="46">
      <c r="A46" s="300" t="str">
        <f t="array" ref="A46">XLOOKUP(B46,'High School Players'!D:D,'High School Players'!K:K,"",0,1)</f>
        <v>XX</v>
      </c>
      <c r="B46" s="300" t="s">
        <v>4970</v>
      </c>
      <c r="C46" s="300" t="s">
        <v>2294</v>
      </c>
      <c r="D46" s="300" t="s">
        <v>4971</v>
      </c>
      <c r="E46" s="300">
        <v>2027.0</v>
      </c>
      <c r="F46" s="300">
        <v>1.0</v>
      </c>
      <c r="G46" s="300"/>
      <c r="H46" s="300" t="s">
        <v>1398</v>
      </c>
      <c r="J46" s="300" t="s">
        <v>1550</v>
      </c>
      <c r="K46" s="300" t="s">
        <v>4972</v>
      </c>
      <c r="L46" s="300" t="s">
        <v>614</v>
      </c>
      <c r="M46" s="300" t="s">
        <v>4973</v>
      </c>
      <c r="N46" s="300"/>
      <c r="O46" s="300">
        <v>3.96</v>
      </c>
      <c r="P46" s="300"/>
      <c r="Q46" s="300" t="s">
        <v>4974</v>
      </c>
      <c r="R46" s="300" t="s">
        <v>2821</v>
      </c>
      <c r="S46" s="300" t="s">
        <v>7717</v>
      </c>
    </row>
    <row r="47">
      <c r="A47" s="300" t="str">
        <f t="array" ref="A47">XLOOKUP(B47,'High School Players'!D:D,'High School Players'!K:K,"",0,1)</f>
        <v>XX</v>
      </c>
      <c r="B47" s="300" t="s">
        <v>5642</v>
      </c>
      <c r="C47" s="300" t="s">
        <v>881</v>
      </c>
      <c r="D47" s="300" t="s">
        <v>5643</v>
      </c>
      <c r="E47" s="300">
        <v>2027.0</v>
      </c>
      <c r="F47" s="300">
        <v>1.0</v>
      </c>
      <c r="G47" s="300"/>
      <c r="H47" s="300" t="s">
        <v>51</v>
      </c>
      <c r="J47" s="300" t="s">
        <v>1550</v>
      </c>
      <c r="K47" s="300" t="s">
        <v>5644</v>
      </c>
      <c r="L47" s="300" t="s">
        <v>360</v>
      </c>
      <c r="M47" s="300" t="s">
        <v>5645</v>
      </c>
      <c r="N47" s="300"/>
      <c r="O47" s="300">
        <v>4.0</v>
      </c>
      <c r="P47" s="300"/>
      <c r="Q47" s="300" t="s">
        <v>5646</v>
      </c>
      <c r="R47" s="300" t="s">
        <v>2821</v>
      </c>
      <c r="S47" s="300" t="s">
        <v>7718</v>
      </c>
    </row>
    <row r="48">
      <c r="A48" s="300" t="str">
        <f t="array" ref="A48">XLOOKUP(B48,'High School Players'!D:D,'High School Players'!K:K,"",0,1)</f>
        <v>XX</v>
      </c>
      <c r="B48" s="300" t="s">
        <v>5545</v>
      </c>
      <c r="C48" s="300" t="s">
        <v>822</v>
      </c>
      <c r="D48" s="300" t="s">
        <v>5546</v>
      </c>
      <c r="E48" s="300">
        <v>2027.0</v>
      </c>
      <c r="F48" s="300">
        <v>1.0</v>
      </c>
      <c r="G48" s="300"/>
      <c r="H48" s="300" t="s">
        <v>63</v>
      </c>
      <c r="J48" s="300" t="s">
        <v>1550</v>
      </c>
      <c r="K48" s="300" t="s">
        <v>5547</v>
      </c>
      <c r="L48" s="300" t="s">
        <v>360</v>
      </c>
      <c r="M48" s="300" t="s">
        <v>5548</v>
      </c>
      <c r="N48" s="300"/>
      <c r="O48" s="300">
        <v>4.0</v>
      </c>
      <c r="P48" s="300"/>
      <c r="Q48" s="300" t="s">
        <v>5549</v>
      </c>
      <c r="R48" s="300" t="s">
        <v>2821</v>
      </c>
      <c r="S48" s="300" t="s">
        <v>7719</v>
      </c>
    </row>
    <row r="49">
      <c r="A49" s="300" t="str">
        <f t="array" ref="A49">XLOOKUP(B49,'High School Players'!D:D,'High School Players'!K:K,"",0,1)</f>
        <v>XX</v>
      </c>
      <c r="B49" s="300" t="s">
        <v>5194</v>
      </c>
      <c r="C49" s="300" t="s">
        <v>5195</v>
      </c>
      <c r="D49" s="300" t="s">
        <v>5196</v>
      </c>
      <c r="E49" s="300">
        <v>2027.0</v>
      </c>
      <c r="F49" s="300">
        <v>1.0</v>
      </c>
      <c r="G49" s="300"/>
      <c r="H49" s="300" t="s">
        <v>122</v>
      </c>
      <c r="J49" s="300" t="s">
        <v>1556</v>
      </c>
      <c r="K49" s="300" t="s">
        <v>5197</v>
      </c>
      <c r="L49" s="300" t="s">
        <v>448</v>
      </c>
      <c r="M49" s="300" t="s">
        <v>5198</v>
      </c>
      <c r="N49" s="300"/>
      <c r="O49" s="300">
        <v>3.8</v>
      </c>
      <c r="P49" s="300"/>
      <c r="Q49" s="300" t="s">
        <v>5199</v>
      </c>
      <c r="R49" s="300" t="s">
        <v>2821</v>
      </c>
      <c r="S49" s="300" t="s">
        <v>7720</v>
      </c>
    </row>
    <row r="50">
      <c r="A50" s="300" t="str">
        <f t="array" ref="A50">XLOOKUP(B50,'High School Players'!D:D,'High School Players'!K:K,"",0,1)</f>
        <v>XX</v>
      </c>
      <c r="B50" s="300" t="s">
        <v>4911</v>
      </c>
      <c r="C50" s="300" t="s">
        <v>3504</v>
      </c>
      <c r="D50" s="300" t="s">
        <v>4912</v>
      </c>
      <c r="E50" s="300">
        <v>2027.0</v>
      </c>
      <c r="F50" s="300">
        <v>1.0</v>
      </c>
      <c r="G50" s="300"/>
      <c r="H50" s="300" t="s">
        <v>1398</v>
      </c>
      <c r="J50" s="300" t="s">
        <v>1550</v>
      </c>
      <c r="K50" s="300" t="s">
        <v>4913</v>
      </c>
      <c r="L50" s="300" t="s">
        <v>448</v>
      </c>
      <c r="M50" s="300" t="s">
        <v>4914</v>
      </c>
      <c r="N50" s="300"/>
      <c r="O50" s="300">
        <v>3.92</v>
      </c>
      <c r="P50" s="300"/>
      <c r="Q50" s="300" t="s">
        <v>4915</v>
      </c>
      <c r="R50" s="300" t="s">
        <v>2821</v>
      </c>
      <c r="S50" s="300" t="s">
        <v>7721</v>
      </c>
    </row>
    <row r="51">
      <c r="A51" s="300" t="str">
        <f t="array" ref="A51">XLOOKUP(B51,'High School Players'!D:D,'High School Players'!K:K,"",0,1)</f>
        <v>XX</v>
      </c>
      <c r="B51" s="300" t="s">
        <v>4787</v>
      </c>
      <c r="C51" s="300" t="s">
        <v>4788</v>
      </c>
      <c r="D51" s="300" t="s">
        <v>4789</v>
      </c>
      <c r="E51" s="300">
        <v>2027.0</v>
      </c>
      <c r="F51" s="300">
        <v>1.0</v>
      </c>
      <c r="G51" s="300"/>
      <c r="H51" s="300" t="s">
        <v>103</v>
      </c>
      <c r="J51" s="300" t="s">
        <v>1556</v>
      </c>
      <c r="K51" s="300" t="s">
        <v>4790</v>
      </c>
      <c r="L51" s="300" t="s">
        <v>4791</v>
      </c>
      <c r="M51" s="300" t="s">
        <v>4792</v>
      </c>
      <c r="N51" s="300"/>
      <c r="O51" s="300">
        <v>3.8</v>
      </c>
      <c r="P51" s="300"/>
      <c r="Q51" s="300" t="s">
        <v>4793</v>
      </c>
      <c r="R51" s="300" t="s">
        <v>2821</v>
      </c>
      <c r="S51" s="300" t="s">
        <v>7722</v>
      </c>
    </row>
    <row r="52">
      <c r="A52" s="300" t="str">
        <f t="array" ref="A52">XLOOKUP(B52,'High School Players'!D:D,'High School Players'!K:K,"",0,1)</f>
        <v>XX</v>
      </c>
      <c r="B52" s="300" t="s">
        <v>4964</v>
      </c>
      <c r="C52" s="300" t="s">
        <v>4965</v>
      </c>
      <c r="D52" s="300" t="s">
        <v>4966</v>
      </c>
      <c r="E52" s="300">
        <v>2027.0</v>
      </c>
      <c r="F52" s="300">
        <v>1.0</v>
      </c>
      <c r="G52" s="300"/>
      <c r="H52" s="300" t="s">
        <v>63</v>
      </c>
      <c r="J52" s="300" t="s">
        <v>1550</v>
      </c>
      <c r="K52" s="300" t="s">
        <v>4967</v>
      </c>
      <c r="L52" s="300" t="s">
        <v>448</v>
      </c>
      <c r="M52" s="300" t="s">
        <v>4968</v>
      </c>
      <c r="N52" s="300"/>
      <c r="O52" s="300">
        <v>4.09</v>
      </c>
      <c r="P52" s="300"/>
      <c r="Q52" s="300" t="s">
        <v>4969</v>
      </c>
      <c r="R52" s="300" t="s">
        <v>2821</v>
      </c>
      <c r="S52" s="300" t="s">
        <v>7723</v>
      </c>
    </row>
    <row r="53">
      <c r="A53" s="300" t="str">
        <f t="array" ref="A53">XLOOKUP(B53,'High School Players'!D:D,'High School Players'!K:K,"",0,1)</f>
        <v>XX</v>
      </c>
      <c r="B53" s="300" t="s">
        <v>5167</v>
      </c>
      <c r="C53" s="300" t="s">
        <v>788</v>
      </c>
      <c r="D53" s="300" t="s">
        <v>5168</v>
      </c>
      <c r="E53" s="300">
        <v>2027.0</v>
      </c>
      <c r="F53" s="300">
        <v>1.0</v>
      </c>
      <c r="G53" s="300"/>
      <c r="H53" s="300" t="s">
        <v>103</v>
      </c>
      <c r="J53" s="300" t="s">
        <v>1550</v>
      </c>
      <c r="K53" s="300" t="s">
        <v>5170</v>
      </c>
      <c r="L53" s="300" t="s">
        <v>448</v>
      </c>
      <c r="M53" s="300" t="s">
        <v>5171</v>
      </c>
      <c r="N53" s="300"/>
      <c r="O53" s="300">
        <v>3.9</v>
      </c>
      <c r="P53" s="300"/>
      <c r="Q53" s="300" t="s">
        <v>5172</v>
      </c>
      <c r="R53" s="300" t="s">
        <v>2821</v>
      </c>
      <c r="S53" s="300" t="s">
        <v>7724</v>
      </c>
    </row>
    <row r="54">
      <c r="A54" s="300">
        <f t="array" ref="A54">XLOOKUP(B54,'High School Players'!D:D,'High School Players'!K:K,"",0,1)</f>
        <v>2</v>
      </c>
      <c r="B54" s="300" t="s">
        <v>2905</v>
      </c>
      <c r="C54" s="300" t="s">
        <v>1315</v>
      </c>
      <c r="D54" s="300" t="s">
        <v>2906</v>
      </c>
      <c r="E54" s="300">
        <v>2027.0</v>
      </c>
      <c r="F54" s="300">
        <v>1.0</v>
      </c>
      <c r="G54" s="300"/>
      <c r="H54" s="300" t="s">
        <v>103</v>
      </c>
      <c r="J54" s="300" t="s">
        <v>1550</v>
      </c>
      <c r="K54" s="300" t="s">
        <v>2908</v>
      </c>
      <c r="L54" s="300" t="s">
        <v>585</v>
      </c>
      <c r="M54" s="300" t="s">
        <v>2909</v>
      </c>
      <c r="N54" s="300"/>
      <c r="O54" s="300">
        <v>3.85</v>
      </c>
      <c r="P54" s="300"/>
      <c r="Q54" s="300" t="s">
        <v>7725</v>
      </c>
      <c r="R54" s="300" t="s">
        <v>2821</v>
      </c>
      <c r="S54" s="300" t="s">
        <v>7726</v>
      </c>
    </row>
    <row r="55">
      <c r="A55" s="300" t="str">
        <f t="array" ref="A55">XLOOKUP(B55,'High School Players'!D:D,'High School Players'!K:K,"",0,1)</f>
        <v>XX</v>
      </c>
      <c r="B55" s="300" t="s">
        <v>5756</v>
      </c>
      <c r="C55" s="300" t="s">
        <v>1595</v>
      </c>
      <c r="D55" s="300" t="s">
        <v>5757</v>
      </c>
      <c r="E55" s="300">
        <v>2027.0</v>
      </c>
      <c r="F55" s="300">
        <v>1.0</v>
      </c>
      <c r="G55" s="300"/>
      <c r="H55" s="300" t="s">
        <v>63</v>
      </c>
      <c r="J55" s="300" t="s">
        <v>1550</v>
      </c>
      <c r="K55" s="300" t="s">
        <v>5759</v>
      </c>
      <c r="L55" s="300" t="s">
        <v>585</v>
      </c>
      <c r="M55" s="300" t="s">
        <v>5760</v>
      </c>
      <c r="N55" s="300"/>
      <c r="O55" s="300">
        <v>4.0</v>
      </c>
      <c r="P55" s="300"/>
      <c r="Q55" s="300" t="s">
        <v>5761</v>
      </c>
      <c r="R55" s="300" t="s">
        <v>2821</v>
      </c>
      <c r="S55" s="300" t="s">
        <v>7727</v>
      </c>
    </row>
    <row r="56">
      <c r="A56" s="300" t="str">
        <f t="array" ref="A56">XLOOKUP(B56,'High School Players'!D:D,'High School Players'!K:K,"",0,1)</f>
        <v>XX</v>
      </c>
      <c r="B56" s="300" t="s">
        <v>5864</v>
      </c>
      <c r="C56" s="300" t="s">
        <v>328</v>
      </c>
      <c r="D56" s="300" t="s">
        <v>5865</v>
      </c>
      <c r="E56" s="300">
        <v>2027.0</v>
      </c>
      <c r="F56" s="300">
        <v>1.0</v>
      </c>
      <c r="G56" s="300"/>
      <c r="H56" s="300" t="s">
        <v>7728</v>
      </c>
      <c r="J56" s="300" t="s">
        <v>1556</v>
      </c>
      <c r="K56" s="300" t="s">
        <v>5866</v>
      </c>
      <c r="L56" s="300" t="s">
        <v>585</v>
      </c>
      <c r="M56" s="300" t="s">
        <v>5866</v>
      </c>
      <c r="N56" s="300"/>
      <c r="O56" s="300">
        <v>4.2</v>
      </c>
      <c r="P56" s="300"/>
      <c r="Q56" s="300" t="s">
        <v>5867</v>
      </c>
      <c r="R56" s="300" t="s">
        <v>2821</v>
      </c>
      <c r="S56" s="300" t="s">
        <v>7729</v>
      </c>
    </row>
    <row r="57">
      <c r="A57" s="300" t="str">
        <f t="array" ref="A57">XLOOKUP(B57,'High School Players'!D:D,'High School Players'!K:K,"",0,1)</f>
        <v>XX</v>
      </c>
      <c r="B57" s="300" t="s">
        <v>6037</v>
      </c>
      <c r="C57" s="300" t="s">
        <v>517</v>
      </c>
      <c r="D57" s="300" t="s">
        <v>6038</v>
      </c>
      <c r="E57" s="300">
        <v>2027.0</v>
      </c>
      <c r="F57" s="300">
        <v>1.0</v>
      </c>
      <c r="G57" s="300"/>
      <c r="H57" s="300" t="s">
        <v>1519</v>
      </c>
      <c r="J57" s="300" t="s">
        <v>1550</v>
      </c>
      <c r="K57" s="300" t="s">
        <v>2839</v>
      </c>
      <c r="L57" s="300" t="s">
        <v>585</v>
      </c>
      <c r="M57" s="300" t="s">
        <v>6040</v>
      </c>
      <c r="N57" s="300"/>
      <c r="O57" s="300">
        <v>4.25</v>
      </c>
      <c r="P57" s="300"/>
      <c r="Q57" s="300" t="s">
        <v>6041</v>
      </c>
      <c r="R57" s="300" t="s">
        <v>2821</v>
      </c>
      <c r="S57" s="300" t="s">
        <v>7730</v>
      </c>
    </row>
    <row r="58">
      <c r="A58" s="300" t="str">
        <f t="array" ref="A58">XLOOKUP(B58,'High School Players'!D:D,'High School Players'!K:K,"",0,1)</f>
        <v>XX</v>
      </c>
      <c r="B58" s="300" t="s">
        <v>5705</v>
      </c>
      <c r="C58" s="300" t="s">
        <v>988</v>
      </c>
      <c r="D58" s="300" t="s">
        <v>5706</v>
      </c>
      <c r="E58" s="300">
        <v>2027.0</v>
      </c>
      <c r="F58" s="300">
        <v>1.0</v>
      </c>
      <c r="G58" s="300"/>
      <c r="H58" s="300" t="s">
        <v>51</v>
      </c>
      <c r="J58" s="300" t="s">
        <v>1550</v>
      </c>
      <c r="K58" s="300" t="s">
        <v>5708</v>
      </c>
      <c r="L58" s="300" t="s">
        <v>1968</v>
      </c>
      <c r="M58" s="300" t="s">
        <v>5709</v>
      </c>
      <c r="N58" s="300"/>
      <c r="O58" s="300">
        <v>4.0</v>
      </c>
      <c r="P58" s="300"/>
      <c r="Q58" s="300" t="s">
        <v>5710</v>
      </c>
      <c r="R58" s="300" t="s">
        <v>2821</v>
      </c>
      <c r="S58" s="300" t="s">
        <v>7731</v>
      </c>
    </row>
    <row r="59">
      <c r="A59" s="300" t="str">
        <f t="array" ref="A59">XLOOKUP(B59,'High School Players'!D:D,'High School Players'!K:K,"",0,1)</f>
        <v>XX</v>
      </c>
      <c r="B59" s="300" t="s">
        <v>5105</v>
      </c>
      <c r="C59" s="300" t="s">
        <v>5106</v>
      </c>
      <c r="D59" s="300" t="s">
        <v>5107</v>
      </c>
      <c r="E59" s="300">
        <v>2027.0</v>
      </c>
      <c r="F59" s="300">
        <v>1.0</v>
      </c>
      <c r="G59" s="300"/>
      <c r="H59" s="300" t="s">
        <v>103</v>
      </c>
      <c r="I59" s="300" t="s">
        <v>122</v>
      </c>
      <c r="J59" s="300" t="s">
        <v>3667</v>
      </c>
      <c r="K59" s="300" t="s">
        <v>1249</v>
      </c>
      <c r="L59" s="300" t="s">
        <v>502</v>
      </c>
      <c r="M59" s="300" t="s">
        <v>3065</v>
      </c>
      <c r="N59" s="300"/>
      <c r="O59" s="300">
        <v>3.9</v>
      </c>
      <c r="P59" s="300"/>
      <c r="Q59" s="300" t="s">
        <v>5109</v>
      </c>
      <c r="R59" s="300" t="s">
        <v>2821</v>
      </c>
      <c r="S59" s="300" t="s">
        <v>7732</v>
      </c>
    </row>
    <row r="60" hidden="1">
      <c r="A60" s="300" t="str">
        <f t="array" ref="A60">XLOOKUP(B60,'High School Players'!D:D,'High School Players'!K:K,"",0,1)</f>
        <v>XX</v>
      </c>
      <c r="B60" s="300" t="s">
        <v>5487</v>
      </c>
      <c r="C60" s="300" t="s">
        <v>3666</v>
      </c>
      <c r="D60" s="300" t="s">
        <v>5488</v>
      </c>
      <c r="E60" s="300">
        <v>2027.0</v>
      </c>
      <c r="F60" s="300">
        <v>1.0</v>
      </c>
      <c r="G60" s="300"/>
      <c r="H60" s="300" t="s">
        <v>63</v>
      </c>
      <c r="I60" s="300">
        <v>11.0</v>
      </c>
      <c r="J60" s="300" t="s">
        <v>1550</v>
      </c>
      <c r="K60" s="300" t="s">
        <v>7733</v>
      </c>
      <c r="L60" s="300" t="s">
        <v>502</v>
      </c>
      <c r="M60" s="300" t="s">
        <v>3065</v>
      </c>
      <c r="Q60" s="300" t="s">
        <v>7434</v>
      </c>
      <c r="R60" s="300"/>
      <c r="S60" s="300" t="s">
        <v>7734</v>
      </c>
    </row>
    <row r="61">
      <c r="A61" s="300" t="str">
        <f t="array" ref="A61">XLOOKUP(B61,'High School Players'!D:D,'High School Players'!K:K,"",0,1)</f>
        <v>XX</v>
      </c>
      <c r="B61" s="300" t="s">
        <v>5463</v>
      </c>
      <c r="C61" s="300" t="s">
        <v>5464</v>
      </c>
      <c r="D61" s="300" t="s">
        <v>5465</v>
      </c>
      <c r="E61" s="300">
        <v>2027.0</v>
      </c>
      <c r="F61" s="300">
        <v>1.0</v>
      </c>
      <c r="G61" s="300"/>
      <c r="H61" s="300" t="s">
        <v>63</v>
      </c>
      <c r="J61" s="300" t="s">
        <v>1550</v>
      </c>
      <c r="K61" s="300" t="s">
        <v>5466</v>
      </c>
      <c r="L61" s="300" t="s">
        <v>502</v>
      </c>
      <c r="M61" s="300" t="s">
        <v>3065</v>
      </c>
      <c r="N61" s="300"/>
      <c r="O61" s="300">
        <v>4.1</v>
      </c>
      <c r="P61" s="300"/>
      <c r="Q61" s="300" t="s">
        <v>5467</v>
      </c>
      <c r="R61" s="300" t="s">
        <v>2821</v>
      </c>
      <c r="S61" s="300" t="s">
        <v>7735</v>
      </c>
    </row>
    <row r="62">
      <c r="A62" s="300" t="str">
        <f t="array" ref="A62">XLOOKUP(B62,'High School Players'!D:D,'High School Players'!K:K,"",0,1)</f>
        <v>XX</v>
      </c>
      <c r="B62" s="300" t="s">
        <v>5672</v>
      </c>
      <c r="C62" s="300" t="s">
        <v>5673</v>
      </c>
      <c r="D62" s="300" t="s">
        <v>5674</v>
      </c>
      <c r="E62" s="300">
        <v>2027.0</v>
      </c>
      <c r="F62" s="300">
        <v>1.0</v>
      </c>
      <c r="G62" s="300"/>
      <c r="H62" s="300" t="s">
        <v>63</v>
      </c>
      <c r="J62" s="300" t="s">
        <v>1550</v>
      </c>
      <c r="K62" s="300" t="s">
        <v>5675</v>
      </c>
      <c r="L62" s="300" t="s">
        <v>502</v>
      </c>
      <c r="M62" s="300" t="s">
        <v>3065</v>
      </c>
      <c r="N62" s="300"/>
      <c r="O62" s="300">
        <v>3.6</v>
      </c>
      <c r="P62" s="300"/>
      <c r="Q62" s="300" t="s">
        <v>5676</v>
      </c>
      <c r="R62" s="300" t="s">
        <v>2821</v>
      </c>
      <c r="S62" s="300" t="s">
        <v>7736</v>
      </c>
    </row>
    <row r="63" hidden="1">
      <c r="A63" s="300" t="str">
        <f t="array" ref="A63">XLOOKUP(B63,'High School Players'!D:D,'High School Players'!K:K,"",0,1)</f>
        <v>XX</v>
      </c>
      <c r="B63" s="300" t="s">
        <v>5430</v>
      </c>
      <c r="C63" s="300" t="s">
        <v>1123</v>
      </c>
      <c r="D63" s="300" t="s">
        <v>5431</v>
      </c>
      <c r="E63" s="300">
        <v>2027.0</v>
      </c>
      <c r="F63" s="300">
        <v>1.0</v>
      </c>
      <c r="G63" s="300"/>
      <c r="H63" s="300" t="s">
        <v>63</v>
      </c>
      <c r="I63" s="300">
        <v>23.0</v>
      </c>
      <c r="J63" s="300" t="s">
        <v>1550</v>
      </c>
      <c r="K63" s="300" t="s">
        <v>5433</v>
      </c>
      <c r="L63" s="300" t="s">
        <v>502</v>
      </c>
      <c r="M63" s="300" t="s">
        <v>5433</v>
      </c>
      <c r="Q63" s="300" t="s">
        <v>7381</v>
      </c>
      <c r="R63" s="300"/>
      <c r="S63" s="300" t="s">
        <v>7737</v>
      </c>
    </row>
    <row r="64" hidden="1">
      <c r="A64" s="300" t="str">
        <f t="array" ref="A64">XLOOKUP(B64,'High School Players'!D:D,'High School Players'!K:K,"",0,1)</f>
        <v>XX</v>
      </c>
      <c r="B64" s="300" t="s">
        <v>5669</v>
      </c>
      <c r="C64" s="300" t="s">
        <v>517</v>
      </c>
      <c r="D64" s="300" t="s">
        <v>3152</v>
      </c>
      <c r="E64" s="300">
        <v>2027.0</v>
      </c>
      <c r="F64" s="300">
        <v>1.0</v>
      </c>
      <c r="G64" s="300"/>
      <c r="H64" s="300" t="s">
        <v>63</v>
      </c>
      <c r="I64" s="300">
        <v>2.0</v>
      </c>
      <c r="J64" s="300" t="s">
        <v>2324</v>
      </c>
      <c r="K64" s="300" t="s">
        <v>7738</v>
      </c>
      <c r="L64" s="300" t="s">
        <v>255</v>
      </c>
      <c r="M64" s="300" t="s">
        <v>5670</v>
      </c>
      <c r="N64" s="300"/>
      <c r="O64" s="300">
        <v>4.0</v>
      </c>
      <c r="P64" s="300"/>
      <c r="Q64" s="300" t="s">
        <v>7739</v>
      </c>
      <c r="R64" s="300"/>
      <c r="S64" s="300" t="s">
        <v>7740</v>
      </c>
    </row>
    <row r="65" hidden="1">
      <c r="A65" s="300">
        <f t="array" ref="A65">XLOOKUP(B65,'High School Players'!D:D,'High School Players'!K:K,"",0,1)</f>
        <v>0.1</v>
      </c>
      <c r="B65" s="300" t="s">
        <v>2812</v>
      </c>
      <c r="C65" s="300" t="s">
        <v>2813</v>
      </c>
      <c r="D65" s="300" t="s">
        <v>2814</v>
      </c>
      <c r="E65" s="300">
        <v>2027.0</v>
      </c>
      <c r="F65" s="300">
        <v>1.0</v>
      </c>
      <c r="G65" s="300"/>
      <c r="H65" s="300" t="s">
        <v>63</v>
      </c>
      <c r="I65" s="300">
        <v>7.0</v>
      </c>
      <c r="J65" s="300" t="s">
        <v>1550</v>
      </c>
      <c r="K65" s="300" t="s">
        <v>3735</v>
      </c>
      <c r="L65" s="300" t="s">
        <v>255</v>
      </c>
      <c r="M65" s="300" t="s">
        <v>7741</v>
      </c>
      <c r="N65" s="300"/>
      <c r="O65" s="300">
        <v>4.0</v>
      </c>
      <c r="P65" s="300"/>
      <c r="Q65" s="300" t="s">
        <v>7742</v>
      </c>
      <c r="R65" s="300"/>
      <c r="S65" s="300" t="s">
        <v>7743</v>
      </c>
    </row>
    <row r="66">
      <c r="A66" s="300">
        <f t="array" ref="A66">XLOOKUP(B66,'High School Players'!D:D,'High School Players'!K:K,"",0,1)</f>
        <v>2</v>
      </c>
      <c r="B66" s="300" t="s">
        <v>3075</v>
      </c>
      <c r="C66" s="300" t="s">
        <v>151</v>
      </c>
      <c r="D66" s="300" t="s">
        <v>3076</v>
      </c>
      <c r="E66" s="300">
        <v>2027.0</v>
      </c>
      <c r="F66" s="300">
        <v>1.0</v>
      </c>
      <c r="G66" s="300"/>
      <c r="H66" s="300" t="s">
        <v>103</v>
      </c>
      <c r="J66" s="300" t="s">
        <v>1550</v>
      </c>
      <c r="K66" s="300" t="s">
        <v>3077</v>
      </c>
      <c r="L66" s="300" t="s">
        <v>255</v>
      </c>
      <c r="M66" s="300" t="s">
        <v>3077</v>
      </c>
      <c r="Q66" s="300" t="s">
        <v>3078</v>
      </c>
      <c r="R66" s="300" t="s">
        <v>2821</v>
      </c>
      <c r="S66" s="300" t="s">
        <v>7744</v>
      </c>
    </row>
    <row r="67" hidden="1">
      <c r="A67" s="300" t="str">
        <f t="array" ref="A67">XLOOKUP(B67,'High School Players'!D:D,'High School Players'!K:K,"",0,1)</f>
        <v>XX</v>
      </c>
      <c r="B67" s="300" t="s">
        <v>4735</v>
      </c>
      <c r="C67" s="300" t="s">
        <v>696</v>
      </c>
      <c r="D67" s="300" t="s">
        <v>4736</v>
      </c>
      <c r="E67" s="300">
        <v>2027.0</v>
      </c>
      <c r="F67" s="300">
        <v>1.0</v>
      </c>
      <c r="G67" s="300"/>
      <c r="H67" s="300" t="s">
        <v>63</v>
      </c>
      <c r="I67" s="300">
        <v>17.0</v>
      </c>
      <c r="J67" s="300" t="s">
        <v>1550</v>
      </c>
      <c r="K67" s="300" t="s">
        <v>7745</v>
      </c>
      <c r="L67" s="300" t="s">
        <v>255</v>
      </c>
      <c r="M67" s="300" t="s">
        <v>7745</v>
      </c>
      <c r="N67" s="300"/>
      <c r="O67" s="300">
        <v>4.0</v>
      </c>
      <c r="P67" s="300"/>
      <c r="Q67" s="300" t="s">
        <v>7596</v>
      </c>
      <c r="R67" s="300"/>
      <c r="S67" s="300" t="s">
        <v>7746</v>
      </c>
    </row>
    <row r="68">
      <c r="A68" s="300">
        <f t="array" ref="A68">XLOOKUP(B68,'High School Players'!D:D,'High School Players'!K:K,"",0,1)</f>
        <v>1</v>
      </c>
      <c r="B68" s="300" t="s">
        <v>2910</v>
      </c>
      <c r="C68" s="300" t="s">
        <v>1595</v>
      </c>
      <c r="D68" s="300" t="s">
        <v>2911</v>
      </c>
      <c r="E68" s="300">
        <v>2027.0</v>
      </c>
      <c r="F68" s="300">
        <v>1.0</v>
      </c>
      <c r="G68" s="300"/>
      <c r="H68" s="300" t="s">
        <v>109</v>
      </c>
      <c r="J68" s="300" t="s">
        <v>1989</v>
      </c>
      <c r="K68" s="300" t="s">
        <v>2912</v>
      </c>
      <c r="L68" s="300" t="s">
        <v>73</v>
      </c>
      <c r="M68" s="300" t="s">
        <v>2913</v>
      </c>
      <c r="N68" s="300"/>
      <c r="O68" s="300">
        <v>4.0</v>
      </c>
      <c r="P68" s="300"/>
      <c r="Q68" s="300" t="s">
        <v>2914</v>
      </c>
      <c r="R68" s="300" t="s">
        <v>2821</v>
      </c>
      <c r="S68" s="300" t="s">
        <v>7747</v>
      </c>
    </row>
    <row r="69">
      <c r="A69" s="300" t="str">
        <f t="array" ref="A69">XLOOKUP(B69,'High School Players'!D:D,'High School Players'!K:K,"",0,1)</f>
        <v>XX</v>
      </c>
      <c r="B69" s="300" t="s">
        <v>6034</v>
      </c>
      <c r="C69" s="300" t="s">
        <v>1271</v>
      </c>
      <c r="D69" s="300" t="s">
        <v>6035</v>
      </c>
      <c r="E69" s="300">
        <v>2027.0</v>
      </c>
      <c r="F69" s="300">
        <v>1.0</v>
      </c>
      <c r="G69" s="300"/>
      <c r="H69" s="300" t="s">
        <v>63</v>
      </c>
      <c r="J69" s="300" t="s">
        <v>1550</v>
      </c>
      <c r="K69" s="300" t="s">
        <v>5792</v>
      </c>
      <c r="L69" s="300" t="s">
        <v>73</v>
      </c>
      <c r="M69" s="300" t="s">
        <v>5793</v>
      </c>
      <c r="N69" s="300"/>
      <c r="O69" s="300">
        <v>3.6</v>
      </c>
      <c r="P69" s="300"/>
      <c r="Q69" s="300" t="s">
        <v>6036</v>
      </c>
      <c r="R69" s="300" t="s">
        <v>2821</v>
      </c>
      <c r="S69" s="300" t="s">
        <v>7748</v>
      </c>
    </row>
    <row r="70">
      <c r="A70" s="300" t="str">
        <f t="array" ref="A70">XLOOKUP(B70,'High School Players'!D:D,'High School Players'!K:K,"",0,1)</f>
        <v>XX</v>
      </c>
      <c r="B70" s="300" t="s">
        <v>5396</v>
      </c>
      <c r="C70" s="300" t="s">
        <v>1302</v>
      </c>
      <c r="D70" s="300" t="s">
        <v>5397</v>
      </c>
      <c r="E70" s="300">
        <v>2027.0</v>
      </c>
      <c r="F70" s="300">
        <v>1.0</v>
      </c>
      <c r="G70" s="300"/>
      <c r="H70" s="300" t="s">
        <v>42</v>
      </c>
      <c r="J70" s="300" t="s">
        <v>1550</v>
      </c>
      <c r="K70" s="300" t="s">
        <v>5399</v>
      </c>
      <c r="L70" s="300" t="s">
        <v>73</v>
      </c>
      <c r="M70" s="300" t="s">
        <v>5400</v>
      </c>
      <c r="N70" s="300"/>
      <c r="O70" s="300">
        <v>3.7</v>
      </c>
      <c r="P70" s="300"/>
      <c r="Q70" s="300" t="s">
        <v>5401</v>
      </c>
      <c r="R70" s="300" t="s">
        <v>2821</v>
      </c>
      <c r="S70" s="300" t="s">
        <v>7749</v>
      </c>
    </row>
    <row r="71">
      <c r="A71" s="300" t="str">
        <f t="array" ref="A71">XLOOKUP(B71,'High School Players'!D:D,'High School Players'!K:K,"",0,1)</f>
        <v>XX</v>
      </c>
      <c r="B71" s="300" t="s">
        <v>6046</v>
      </c>
      <c r="C71" s="300" t="s">
        <v>1206</v>
      </c>
      <c r="D71" s="300" t="s">
        <v>6047</v>
      </c>
      <c r="E71" s="300">
        <v>2027.0</v>
      </c>
      <c r="F71" s="300">
        <v>1.0</v>
      </c>
      <c r="G71" s="300"/>
      <c r="H71" s="300" t="s">
        <v>1519</v>
      </c>
      <c r="J71" s="300" t="s">
        <v>1989</v>
      </c>
      <c r="K71" s="300" t="s">
        <v>6048</v>
      </c>
      <c r="L71" s="300" t="s">
        <v>529</v>
      </c>
      <c r="M71" s="300" t="s">
        <v>6049</v>
      </c>
      <c r="Q71" s="300" t="s">
        <v>6050</v>
      </c>
      <c r="R71" s="300" t="s">
        <v>2821</v>
      </c>
      <c r="S71" s="300" t="s">
        <v>7750</v>
      </c>
    </row>
    <row r="72">
      <c r="A72" s="300" t="str">
        <f t="array" ref="A72">XLOOKUP(B72,'High School Players'!D:D,'High School Players'!K:K,"",0,1)</f>
        <v>XX</v>
      </c>
      <c r="B72" s="300" t="s">
        <v>5024</v>
      </c>
      <c r="C72" s="300" t="s">
        <v>5025</v>
      </c>
      <c r="D72" s="300" t="s">
        <v>5026</v>
      </c>
      <c r="E72" s="300">
        <v>2027.0</v>
      </c>
      <c r="F72" s="300">
        <v>1.0</v>
      </c>
      <c r="G72" s="300"/>
      <c r="H72" s="300" t="s">
        <v>1398</v>
      </c>
      <c r="J72" s="300" t="s">
        <v>1550</v>
      </c>
      <c r="K72" s="300" t="s">
        <v>2067</v>
      </c>
      <c r="L72" s="300" t="s">
        <v>529</v>
      </c>
      <c r="M72" s="300" t="s">
        <v>5028</v>
      </c>
      <c r="N72" s="300"/>
      <c r="O72" s="300">
        <v>4.0</v>
      </c>
      <c r="P72" s="300"/>
      <c r="Q72" s="300" t="s">
        <v>5029</v>
      </c>
      <c r="R72" s="300" t="s">
        <v>2821</v>
      </c>
      <c r="S72" s="300" t="s">
        <v>7751</v>
      </c>
    </row>
    <row r="73">
      <c r="A73" s="300" t="str">
        <f t="array" ref="A73">XLOOKUP(B73,'High School Players'!D:D,'High School Players'!K:K,"",0,1)</f>
        <v>XX</v>
      </c>
      <c r="B73" s="300" t="s">
        <v>5781</v>
      </c>
      <c r="C73" s="300" t="s">
        <v>432</v>
      </c>
      <c r="D73" s="300" t="s">
        <v>5782</v>
      </c>
      <c r="E73" s="300">
        <v>2027.0</v>
      </c>
      <c r="F73" s="300">
        <v>1.0</v>
      </c>
      <c r="G73" s="300"/>
      <c r="H73" s="300" t="s">
        <v>109</v>
      </c>
      <c r="J73" s="300" t="s">
        <v>1550</v>
      </c>
      <c r="K73" s="300" t="s">
        <v>5784</v>
      </c>
      <c r="L73" s="300" t="s">
        <v>529</v>
      </c>
      <c r="M73" s="300" t="s">
        <v>5785</v>
      </c>
      <c r="N73" s="300"/>
      <c r="O73" s="300">
        <v>3.8</v>
      </c>
      <c r="P73" s="300"/>
      <c r="Q73" s="300" t="s">
        <v>5786</v>
      </c>
      <c r="R73" s="300" t="s">
        <v>2821</v>
      </c>
      <c r="S73" s="300" t="s">
        <v>7752</v>
      </c>
    </row>
    <row r="74">
      <c r="A74" s="300" t="str">
        <f t="array" ref="A74">XLOOKUP(B74,'High School Players'!D:D,'High School Players'!K:K,"",0,1)</f>
        <v>XX</v>
      </c>
      <c r="B74" s="300" t="s">
        <v>4815</v>
      </c>
      <c r="C74" s="300" t="s">
        <v>1979</v>
      </c>
      <c r="D74" s="300" t="s">
        <v>4816</v>
      </c>
      <c r="E74" s="300">
        <v>2027.0</v>
      </c>
      <c r="F74" s="300">
        <v>1.0</v>
      </c>
      <c r="G74" s="300"/>
      <c r="H74" s="300" t="s">
        <v>109</v>
      </c>
      <c r="J74" s="300" t="s">
        <v>1550</v>
      </c>
      <c r="K74" s="300" t="s">
        <v>4818</v>
      </c>
      <c r="L74" s="300" t="s">
        <v>1575</v>
      </c>
      <c r="M74" s="300" t="s">
        <v>4819</v>
      </c>
      <c r="N74" s="300"/>
      <c r="O74" s="300">
        <v>3.99</v>
      </c>
      <c r="P74" s="300"/>
      <c r="Q74" s="300" t="s">
        <v>4820</v>
      </c>
      <c r="R74" s="300" t="s">
        <v>2821</v>
      </c>
      <c r="S74" s="300" t="s">
        <v>7753</v>
      </c>
    </row>
    <row r="75">
      <c r="A75" s="300" t="str">
        <f t="array" ref="A75">XLOOKUP(B75,'High School Players'!D:D,'High School Players'!K:K,"",0,1)</f>
        <v>XX</v>
      </c>
      <c r="B75" s="300" t="s">
        <v>5508</v>
      </c>
      <c r="C75" s="300" t="s">
        <v>696</v>
      </c>
      <c r="D75" s="300" t="s">
        <v>5509</v>
      </c>
      <c r="E75" s="300">
        <v>2027.0</v>
      </c>
      <c r="F75" s="300">
        <v>1.0</v>
      </c>
      <c r="G75" s="300"/>
      <c r="H75" s="300" t="s">
        <v>1398</v>
      </c>
      <c r="J75" s="300" t="s">
        <v>1550</v>
      </c>
      <c r="K75" s="300" t="s">
        <v>5511</v>
      </c>
      <c r="L75" s="300" t="s">
        <v>1575</v>
      </c>
      <c r="M75" s="300" t="s">
        <v>5512</v>
      </c>
      <c r="N75" s="300"/>
      <c r="O75" s="300">
        <v>3.8</v>
      </c>
      <c r="P75" s="300"/>
      <c r="Q75" s="300" t="s">
        <v>5513</v>
      </c>
      <c r="R75" s="300" t="s">
        <v>2821</v>
      </c>
      <c r="S75" s="300" t="s">
        <v>7754</v>
      </c>
    </row>
    <row r="76">
      <c r="A76" s="300" t="str">
        <f t="array" ref="A76">XLOOKUP(B76,'High School Players'!D:D,'High School Players'!K:K,"",0,1)</f>
        <v>XX</v>
      </c>
      <c r="B76" s="300" t="s">
        <v>5842</v>
      </c>
      <c r="C76" s="300" t="s">
        <v>1281</v>
      </c>
      <c r="D76" s="300" t="s">
        <v>5843</v>
      </c>
      <c r="E76" s="300">
        <v>2027.0</v>
      </c>
      <c r="F76" s="300">
        <v>1.0</v>
      </c>
      <c r="G76" s="300"/>
      <c r="H76" s="300" t="s">
        <v>109</v>
      </c>
      <c r="J76" s="300" t="s">
        <v>1550</v>
      </c>
      <c r="K76" s="300" t="s">
        <v>5845</v>
      </c>
      <c r="L76" s="300" t="s">
        <v>240</v>
      </c>
      <c r="M76" s="300" t="s">
        <v>5846</v>
      </c>
      <c r="N76" s="300"/>
      <c r="O76" s="300">
        <v>4.3</v>
      </c>
      <c r="P76" s="300"/>
      <c r="Q76" s="300" t="s">
        <v>5847</v>
      </c>
      <c r="R76" s="300" t="s">
        <v>2821</v>
      </c>
      <c r="S76" s="300" t="s">
        <v>7755</v>
      </c>
    </row>
    <row r="77">
      <c r="A77" s="300" t="str">
        <f t="array" ref="A77">XLOOKUP(B77,'High School Players'!D:D,'High School Players'!K:K,"",0,1)</f>
        <v>XX</v>
      </c>
      <c r="B77" s="300" t="s">
        <v>5964</v>
      </c>
      <c r="C77" s="300" t="s">
        <v>822</v>
      </c>
      <c r="D77" s="300" t="s">
        <v>5965</v>
      </c>
      <c r="E77" s="300">
        <v>2027.0</v>
      </c>
      <c r="F77" s="300">
        <v>1.0</v>
      </c>
      <c r="G77" s="300"/>
      <c r="H77" s="300" t="s">
        <v>63</v>
      </c>
      <c r="J77" s="300" t="s">
        <v>1550</v>
      </c>
      <c r="K77" s="300" t="s">
        <v>3999</v>
      </c>
      <c r="L77" s="300" t="s">
        <v>240</v>
      </c>
      <c r="M77" s="300" t="s">
        <v>5966</v>
      </c>
      <c r="N77" s="300"/>
      <c r="O77" s="300">
        <v>3.8</v>
      </c>
      <c r="P77" s="300"/>
      <c r="Q77" s="300" t="s">
        <v>5967</v>
      </c>
      <c r="R77" s="300" t="s">
        <v>2821</v>
      </c>
      <c r="S77" s="300" t="s">
        <v>7756</v>
      </c>
    </row>
    <row r="78">
      <c r="A78" s="300" t="str">
        <f t="array" ref="A78">XLOOKUP(B78,'High School Players'!D:D,'High School Players'!K:K,"",0,1)</f>
        <v>XX</v>
      </c>
      <c r="B78" s="300" t="s">
        <v>4938</v>
      </c>
      <c r="C78" s="300" t="s">
        <v>4939</v>
      </c>
      <c r="D78" s="300" t="s">
        <v>4940</v>
      </c>
      <c r="E78" s="300">
        <v>2027.0</v>
      </c>
      <c r="F78" s="300">
        <v>1.0</v>
      </c>
      <c r="G78" s="300"/>
      <c r="H78" s="300" t="s">
        <v>63</v>
      </c>
      <c r="J78" s="300" t="s">
        <v>1550</v>
      </c>
      <c r="K78" s="300" t="s">
        <v>4941</v>
      </c>
      <c r="L78" s="300" t="s">
        <v>240</v>
      </c>
      <c r="M78" s="300" t="s">
        <v>4942</v>
      </c>
      <c r="N78" s="300"/>
      <c r="O78" s="300">
        <v>4.0</v>
      </c>
      <c r="P78" s="300"/>
      <c r="Q78" s="300" t="s">
        <v>4943</v>
      </c>
      <c r="R78" s="300" t="s">
        <v>2821</v>
      </c>
      <c r="S78" s="300" t="s">
        <v>7757</v>
      </c>
    </row>
    <row r="79">
      <c r="A79" s="300" t="str">
        <f t="array" ref="A79">XLOOKUP(B79,'High School Players'!D:D,'High School Players'!K:K,"",0,1)</f>
        <v>XX</v>
      </c>
      <c r="B79" s="300" t="s">
        <v>5380</v>
      </c>
      <c r="C79" s="300" t="s">
        <v>136</v>
      </c>
      <c r="D79" s="300" t="s">
        <v>951</v>
      </c>
      <c r="E79" s="300">
        <v>2027.0</v>
      </c>
      <c r="F79" s="300">
        <v>1.0</v>
      </c>
      <c r="G79" s="300"/>
      <c r="H79" s="300" t="s">
        <v>1398</v>
      </c>
      <c r="J79" s="300" t="s">
        <v>1550</v>
      </c>
      <c r="K79" s="300" t="s">
        <v>5381</v>
      </c>
      <c r="L79" s="300" t="s">
        <v>698</v>
      </c>
      <c r="M79" s="300" t="s">
        <v>5382</v>
      </c>
      <c r="N79" s="300"/>
      <c r="O79" s="300">
        <v>3.6</v>
      </c>
      <c r="P79" s="300"/>
      <c r="Q79" s="300" t="s">
        <v>5383</v>
      </c>
      <c r="R79" s="300" t="s">
        <v>2821</v>
      </c>
      <c r="S79" s="300" t="s">
        <v>7758</v>
      </c>
    </row>
    <row r="80" hidden="1">
      <c r="A80" s="300" t="str">
        <f t="array" ref="A80">XLOOKUP(B80,'High School Players'!D:D,'High School Players'!K:K,"",0,1)</f>
        <v>XX</v>
      </c>
      <c r="B80" s="300" t="s">
        <v>5721</v>
      </c>
      <c r="C80" s="300" t="s">
        <v>1158</v>
      </c>
      <c r="D80" s="300" t="s">
        <v>5722</v>
      </c>
      <c r="E80" s="300">
        <v>2027.0</v>
      </c>
      <c r="F80" s="300">
        <v>1.0</v>
      </c>
      <c r="G80" s="300"/>
      <c r="H80" s="300" t="s">
        <v>7759</v>
      </c>
      <c r="I80" s="300">
        <v>20.0</v>
      </c>
      <c r="J80" s="300" t="s">
        <v>1556</v>
      </c>
      <c r="K80" s="300" t="s">
        <v>7760</v>
      </c>
      <c r="L80" s="300" t="s">
        <v>307</v>
      </c>
      <c r="M80" s="300" t="s">
        <v>7761</v>
      </c>
      <c r="Q80" s="300" t="s">
        <v>7762</v>
      </c>
      <c r="R80" s="300"/>
      <c r="S80" s="300" t="s">
        <v>7763</v>
      </c>
    </row>
    <row r="81">
      <c r="A81" s="300" t="str">
        <f t="array" ref="A81">XLOOKUP(B81,'High School Players'!D:D,'High School Players'!K:K,"",0,1)</f>
        <v>XX</v>
      </c>
      <c r="B81" s="300" t="s">
        <v>5595</v>
      </c>
      <c r="C81" s="300" t="s">
        <v>1051</v>
      </c>
      <c r="D81" s="300" t="s">
        <v>2958</v>
      </c>
      <c r="E81" s="300">
        <v>2027.0</v>
      </c>
      <c r="F81" s="300">
        <v>1.0</v>
      </c>
      <c r="G81" s="300"/>
      <c r="H81" s="300" t="s">
        <v>48</v>
      </c>
      <c r="J81" s="300" t="s">
        <v>1550</v>
      </c>
      <c r="K81" s="300" t="s">
        <v>5596</v>
      </c>
      <c r="L81" s="300" t="s">
        <v>286</v>
      </c>
      <c r="M81" s="300" t="s">
        <v>482</v>
      </c>
      <c r="Q81" s="300" t="s">
        <v>5597</v>
      </c>
      <c r="R81" s="300" t="s">
        <v>2821</v>
      </c>
      <c r="S81" s="300" t="s">
        <v>7764</v>
      </c>
    </row>
    <row r="82">
      <c r="A82" s="300" t="str">
        <f t="array" ref="A82">XLOOKUP(B82,'High School Players'!D:D,'High School Players'!K:K,"",0,1)</f>
        <v>XX</v>
      </c>
      <c r="B82" s="300" t="s">
        <v>5959</v>
      </c>
      <c r="C82" s="300" t="s">
        <v>682</v>
      </c>
      <c r="D82" s="300" t="s">
        <v>409</v>
      </c>
      <c r="E82" s="300">
        <v>2027.0</v>
      </c>
      <c r="F82" s="300">
        <v>1.0</v>
      </c>
      <c r="G82" s="300"/>
      <c r="H82" s="300" t="s">
        <v>122</v>
      </c>
      <c r="J82" s="300" t="s">
        <v>1556</v>
      </c>
      <c r="K82" s="300" t="s">
        <v>5961</v>
      </c>
      <c r="L82" s="300" t="s">
        <v>286</v>
      </c>
      <c r="M82" s="300" t="s">
        <v>5962</v>
      </c>
      <c r="Q82" s="300" t="s">
        <v>5963</v>
      </c>
      <c r="R82" s="300" t="s">
        <v>2821</v>
      </c>
      <c r="S82" s="300" t="s">
        <v>7765</v>
      </c>
    </row>
    <row r="83">
      <c r="A83" s="300" t="str">
        <f t="array" ref="A83">XLOOKUP(B83,'High School Players'!D:D,'High School Players'!K:K,"",0,1)</f>
        <v>XX</v>
      </c>
      <c r="B83" s="300" t="s">
        <v>6000</v>
      </c>
      <c r="C83" s="300" t="s">
        <v>1042</v>
      </c>
      <c r="D83" s="300" t="s">
        <v>6001</v>
      </c>
      <c r="E83" s="300">
        <v>2027.0</v>
      </c>
      <c r="F83" s="300">
        <v>1.0</v>
      </c>
      <c r="G83" s="300"/>
      <c r="H83" s="300" t="s">
        <v>1398</v>
      </c>
      <c r="J83" s="300" t="s">
        <v>1550</v>
      </c>
      <c r="K83" s="300" t="s">
        <v>1973</v>
      </c>
      <c r="L83" s="300" t="s">
        <v>43</v>
      </c>
      <c r="M83" s="300" t="s">
        <v>6003</v>
      </c>
      <c r="N83" s="300"/>
      <c r="O83" s="300">
        <v>4.46</v>
      </c>
      <c r="P83" s="300"/>
      <c r="Q83" s="300" t="s">
        <v>6005</v>
      </c>
      <c r="R83" s="300" t="s">
        <v>2821</v>
      </c>
      <c r="S83" s="300" t="s">
        <v>7766</v>
      </c>
    </row>
    <row r="84">
      <c r="A84" s="300" t="str">
        <f t="array" ref="A84">XLOOKUP(B84,'High School Players'!D:D,'High School Players'!K:K,"",0,1)</f>
        <v>XX</v>
      </c>
      <c r="B84" s="300" t="s">
        <v>4738</v>
      </c>
      <c r="C84" s="300" t="s">
        <v>556</v>
      </c>
      <c r="D84" s="300" t="s">
        <v>4739</v>
      </c>
      <c r="E84" s="300">
        <v>2027.0</v>
      </c>
      <c r="F84" s="300">
        <v>1.0</v>
      </c>
      <c r="G84" s="300"/>
      <c r="H84" s="300" t="s">
        <v>103</v>
      </c>
      <c r="J84" s="300" t="s">
        <v>1989</v>
      </c>
      <c r="K84" s="300" t="s">
        <v>4741</v>
      </c>
      <c r="L84" s="300" t="s">
        <v>66</v>
      </c>
      <c r="M84" s="300" t="s">
        <v>4742</v>
      </c>
      <c r="N84" s="300"/>
      <c r="O84" s="300">
        <v>3.9</v>
      </c>
      <c r="P84" s="300"/>
      <c r="Q84" s="300" t="s">
        <v>4743</v>
      </c>
      <c r="R84" s="300" t="s">
        <v>2821</v>
      </c>
      <c r="S84" s="300" t="s">
        <v>7767</v>
      </c>
    </row>
    <row r="85">
      <c r="A85" s="300" t="str">
        <f t="array" ref="A85">XLOOKUP(B85,'High School Players'!D:D,'High School Players'!K:K,"",0,1)</f>
        <v>XX</v>
      </c>
      <c r="B85" s="300" t="s">
        <v>5259</v>
      </c>
      <c r="C85" s="300" t="s">
        <v>2732</v>
      </c>
      <c r="D85" s="300" t="s">
        <v>111</v>
      </c>
      <c r="E85" s="300">
        <v>2027.0</v>
      </c>
      <c r="F85" s="300">
        <v>1.0</v>
      </c>
      <c r="G85" s="300"/>
      <c r="H85" s="300" t="s">
        <v>1398</v>
      </c>
      <c r="J85" s="300" t="s">
        <v>1550</v>
      </c>
      <c r="K85" s="300" t="s">
        <v>5261</v>
      </c>
      <c r="L85" s="300" t="s">
        <v>66</v>
      </c>
      <c r="M85" s="300" t="s">
        <v>5262</v>
      </c>
      <c r="N85" s="300"/>
      <c r="O85" s="300">
        <v>4.0</v>
      </c>
      <c r="P85" s="300"/>
      <c r="Q85" s="300" t="s">
        <v>5263</v>
      </c>
      <c r="R85" s="300" t="s">
        <v>2821</v>
      </c>
      <c r="S85" s="300" t="s">
        <v>7768</v>
      </c>
    </row>
    <row r="86">
      <c r="A86" s="300" t="str">
        <f t="array" ref="A86">XLOOKUP(B86,'High School Players'!D:D,'High School Players'!K:K,"",0,1)</f>
        <v>XX</v>
      </c>
      <c r="B86" s="300" t="s">
        <v>5578</v>
      </c>
      <c r="C86" s="300" t="s">
        <v>921</v>
      </c>
      <c r="D86" s="300" t="s">
        <v>4259</v>
      </c>
      <c r="E86" s="300">
        <v>2027.0</v>
      </c>
      <c r="F86" s="300">
        <v>1.0</v>
      </c>
      <c r="G86" s="300"/>
      <c r="H86" s="300" t="s">
        <v>109</v>
      </c>
      <c r="J86" s="300" t="s">
        <v>1550</v>
      </c>
      <c r="K86" s="300" t="s">
        <v>5580</v>
      </c>
      <c r="L86" s="300" t="s">
        <v>66</v>
      </c>
      <c r="M86" s="300" t="s">
        <v>5581</v>
      </c>
      <c r="Q86" s="300" t="s">
        <v>5582</v>
      </c>
      <c r="R86" s="300" t="s">
        <v>2821</v>
      </c>
      <c r="S86" s="300" t="s">
        <v>7769</v>
      </c>
    </row>
    <row r="87">
      <c r="A87" s="300" t="str">
        <f t="array" ref="A87">XLOOKUP(B87,'High School Players'!D:D,'High School Players'!K:K,"",0,1)</f>
        <v>XX</v>
      </c>
      <c r="B87" s="300" t="s">
        <v>5130</v>
      </c>
      <c r="C87" s="300" t="s">
        <v>3732</v>
      </c>
      <c r="D87" s="300" t="s">
        <v>5131</v>
      </c>
      <c r="E87" s="300">
        <v>2027.0</v>
      </c>
      <c r="F87" s="300">
        <v>1.0</v>
      </c>
      <c r="G87" s="300"/>
      <c r="H87" s="300" t="s">
        <v>1519</v>
      </c>
      <c r="J87" s="300" t="s">
        <v>1550</v>
      </c>
      <c r="K87" s="300" t="s">
        <v>3506</v>
      </c>
      <c r="L87" s="300" t="s">
        <v>66</v>
      </c>
      <c r="M87" s="300" t="s">
        <v>5133</v>
      </c>
      <c r="N87" s="300"/>
      <c r="O87" s="300">
        <v>3.8</v>
      </c>
      <c r="P87" s="300"/>
      <c r="Q87" s="300" t="s">
        <v>5134</v>
      </c>
      <c r="R87" s="300" t="s">
        <v>2821</v>
      </c>
      <c r="S87" s="300" t="s">
        <v>7770</v>
      </c>
    </row>
    <row r="88">
      <c r="A88" s="300" t="str">
        <f t="array" ref="A88">XLOOKUP(B88,'High School Players'!D:D,'High School Players'!K:K,"",0,1)</f>
        <v>XX</v>
      </c>
      <c r="B88" s="300" t="s">
        <v>5910</v>
      </c>
      <c r="C88" s="300" t="s">
        <v>1595</v>
      </c>
      <c r="D88" s="300" t="s">
        <v>5911</v>
      </c>
      <c r="E88" s="300">
        <v>2027.0</v>
      </c>
      <c r="F88" s="300">
        <v>1.0</v>
      </c>
      <c r="G88" s="300"/>
      <c r="H88" s="300" t="s">
        <v>63</v>
      </c>
      <c r="J88" s="300" t="s">
        <v>1550</v>
      </c>
      <c r="K88" s="300" t="s">
        <v>3430</v>
      </c>
      <c r="L88" s="300" t="s">
        <v>330</v>
      </c>
      <c r="M88" s="300" t="s">
        <v>3430</v>
      </c>
      <c r="Q88" s="300" t="s">
        <v>5913</v>
      </c>
      <c r="R88" s="300" t="s">
        <v>2821</v>
      </c>
    </row>
    <row r="89">
      <c r="A89" s="300" t="str">
        <f t="array" ref="A89">XLOOKUP(B89,'High School Players'!D:D,'High School Players'!K:K,"",0,1)</f>
        <v>XX</v>
      </c>
      <c r="B89" s="300" t="s">
        <v>4878</v>
      </c>
      <c r="C89" s="300" t="s">
        <v>4879</v>
      </c>
      <c r="D89" s="300" t="s">
        <v>4880</v>
      </c>
      <c r="E89" s="300">
        <v>2027.0</v>
      </c>
      <c r="F89" s="300">
        <v>1.0</v>
      </c>
      <c r="G89" s="300"/>
      <c r="H89" s="300" t="s">
        <v>1398</v>
      </c>
      <c r="J89" s="300" t="s">
        <v>1989</v>
      </c>
      <c r="K89" s="300" t="s">
        <v>4881</v>
      </c>
      <c r="L89" s="300" t="s">
        <v>180</v>
      </c>
      <c r="M89" s="300" t="s">
        <v>3751</v>
      </c>
      <c r="N89" s="300"/>
      <c r="O89" s="300">
        <v>4.0</v>
      </c>
      <c r="P89" s="300"/>
      <c r="Q89" s="300" t="s">
        <v>4882</v>
      </c>
      <c r="R89" s="300" t="s">
        <v>2821</v>
      </c>
      <c r="S89" s="300" t="s">
        <v>7771</v>
      </c>
    </row>
    <row r="90">
      <c r="A90" s="300" t="str">
        <f t="array" ref="A90">XLOOKUP(B90,'High School Players'!D:D,'High School Players'!K:K,"",0,1)</f>
        <v>XX</v>
      </c>
      <c r="B90" s="300" t="s">
        <v>4959</v>
      </c>
      <c r="C90" s="300" t="s">
        <v>249</v>
      </c>
      <c r="D90" s="300" t="s">
        <v>4960</v>
      </c>
      <c r="E90" s="300">
        <v>2027.0</v>
      </c>
      <c r="F90" s="300">
        <v>1.0</v>
      </c>
      <c r="G90" s="300"/>
      <c r="H90" s="300" t="s">
        <v>109</v>
      </c>
      <c r="J90" s="300" t="s">
        <v>1550</v>
      </c>
      <c r="K90" s="300" t="s">
        <v>4962</v>
      </c>
      <c r="L90" s="300" t="s">
        <v>180</v>
      </c>
      <c r="M90" s="300" t="s">
        <v>4962</v>
      </c>
      <c r="N90" s="300"/>
      <c r="O90" s="300">
        <v>4.0</v>
      </c>
      <c r="P90" s="300"/>
      <c r="Q90" s="300" t="s">
        <v>4963</v>
      </c>
      <c r="R90" s="300" t="s">
        <v>2821</v>
      </c>
      <c r="S90" s="300" t="s">
        <v>7772</v>
      </c>
    </row>
    <row r="91">
      <c r="A91" s="300" t="str">
        <f t="array" ref="A91">XLOOKUP(B91,'High School Players'!D:D,'High School Players'!K:K,"",0,1)</f>
        <v>XX</v>
      </c>
      <c r="B91" s="300" t="s">
        <v>5816</v>
      </c>
      <c r="C91" s="300" t="s">
        <v>278</v>
      </c>
      <c r="D91" s="300" t="s">
        <v>5817</v>
      </c>
      <c r="E91" s="300">
        <v>2027.0</v>
      </c>
      <c r="F91" s="300">
        <v>1.0</v>
      </c>
      <c r="G91" s="300"/>
      <c r="H91" s="300" t="s">
        <v>1398</v>
      </c>
      <c r="J91" s="300" t="s">
        <v>1989</v>
      </c>
      <c r="K91" s="300" t="s">
        <v>5818</v>
      </c>
      <c r="L91" s="300" t="s">
        <v>180</v>
      </c>
      <c r="M91" s="300" t="s">
        <v>5818</v>
      </c>
      <c r="Q91" s="300" t="s">
        <v>5819</v>
      </c>
      <c r="R91" s="300" t="s">
        <v>2821</v>
      </c>
      <c r="S91" s="300" t="s">
        <v>7773</v>
      </c>
    </row>
    <row r="92">
      <c r="A92" s="300" t="str">
        <f t="array" ref="A92">XLOOKUP(B92,'High School Players'!D:D,'High School Players'!K:K,"",0,1)</f>
        <v>XX</v>
      </c>
      <c r="B92" s="300" t="s">
        <v>5417</v>
      </c>
      <c r="C92" s="300" t="s">
        <v>227</v>
      </c>
      <c r="D92" s="300" t="s">
        <v>5418</v>
      </c>
      <c r="E92" s="300">
        <v>2027.0</v>
      </c>
      <c r="F92" s="300">
        <v>1.0</v>
      </c>
      <c r="G92" s="300"/>
      <c r="H92" s="300" t="s">
        <v>122</v>
      </c>
      <c r="J92" s="300" t="s">
        <v>3667</v>
      </c>
      <c r="K92" s="300" t="s">
        <v>5419</v>
      </c>
      <c r="L92" s="300" t="s">
        <v>180</v>
      </c>
      <c r="M92" s="300" t="s">
        <v>426</v>
      </c>
      <c r="Q92" s="300" t="s">
        <v>5420</v>
      </c>
      <c r="R92" s="300" t="s">
        <v>2821</v>
      </c>
      <c r="S92" s="300" t="s">
        <v>7774</v>
      </c>
    </row>
    <row r="93">
      <c r="A93" s="300" t="str">
        <f t="array" ref="A93">XLOOKUP(B93,'High School Players'!D:D,'High School Players'!K:K,"",0,1)</f>
        <v>XX</v>
      </c>
      <c r="B93" s="300" t="s">
        <v>5285</v>
      </c>
      <c r="C93" s="300" t="s">
        <v>136</v>
      </c>
      <c r="D93" s="300" t="s">
        <v>5286</v>
      </c>
      <c r="E93" s="300">
        <v>2027.0</v>
      </c>
      <c r="F93" s="300">
        <v>1.0</v>
      </c>
      <c r="G93" s="300"/>
      <c r="H93" s="300" t="s">
        <v>122</v>
      </c>
      <c r="J93" s="300" t="s">
        <v>1556</v>
      </c>
      <c r="K93" s="300" t="s">
        <v>5287</v>
      </c>
      <c r="L93" s="300" t="s">
        <v>180</v>
      </c>
      <c r="M93" s="300" t="s">
        <v>5287</v>
      </c>
      <c r="Q93" s="300" t="s">
        <v>5288</v>
      </c>
      <c r="R93" s="300" t="s">
        <v>2821</v>
      </c>
      <c r="S93" s="300" t="s">
        <v>7775</v>
      </c>
    </row>
    <row r="94">
      <c r="A94" s="300" t="str">
        <f t="array" ref="A94">XLOOKUP(B94,'High School Players'!D:D,'High School Players'!K:K,"",0,1)</f>
        <v>XX</v>
      </c>
      <c r="B94" s="300" t="s">
        <v>5077</v>
      </c>
      <c r="C94" s="300" t="s">
        <v>419</v>
      </c>
      <c r="D94" s="300" t="s">
        <v>518</v>
      </c>
      <c r="E94" s="300">
        <v>2027.0</v>
      </c>
      <c r="F94" s="300">
        <v>1.0</v>
      </c>
      <c r="G94" s="300"/>
      <c r="H94" s="300" t="s">
        <v>63</v>
      </c>
      <c r="J94" s="300" t="s">
        <v>1550</v>
      </c>
      <c r="K94" s="300" t="s">
        <v>5078</v>
      </c>
      <c r="L94" s="300" t="s">
        <v>180</v>
      </c>
      <c r="M94" s="300" t="s">
        <v>5078</v>
      </c>
      <c r="Q94" s="300" t="s">
        <v>5079</v>
      </c>
      <c r="R94" s="300" t="s">
        <v>2821</v>
      </c>
      <c r="S94" s="300" t="s">
        <v>7776</v>
      </c>
    </row>
    <row r="95">
      <c r="A95" s="300" t="str">
        <f t="array" ref="A95">XLOOKUP(B95,'High School Players'!D:D,'High School Players'!K:K,"",0,1)</f>
        <v>XX</v>
      </c>
      <c r="B95" s="300" t="s">
        <v>4975</v>
      </c>
      <c r="C95" s="300" t="s">
        <v>1678</v>
      </c>
      <c r="D95" s="300" t="s">
        <v>4976</v>
      </c>
      <c r="E95" s="300">
        <v>2027.0</v>
      </c>
      <c r="F95" s="300">
        <v>1.0</v>
      </c>
      <c r="G95" s="300"/>
      <c r="H95" s="300" t="s">
        <v>1398</v>
      </c>
      <c r="J95" s="300" t="s">
        <v>1550</v>
      </c>
      <c r="K95" s="300" t="s">
        <v>3620</v>
      </c>
      <c r="L95" s="300" t="s">
        <v>180</v>
      </c>
      <c r="M95" s="300" t="s">
        <v>3620</v>
      </c>
      <c r="N95" s="300"/>
      <c r="O95" s="300">
        <v>5.3</v>
      </c>
      <c r="P95" s="300"/>
      <c r="Q95" s="300" t="s">
        <v>4977</v>
      </c>
      <c r="R95" s="300" t="s">
        <v>2821</v>
      </c>
      <c r="S95" s="300" t="s">
        <v>7777</v>
      </c>
    </row>
    <row r="96">
      <c r="A96" s="300" t="str">
        <f t="array" ref="A96">XLOOKUP(B96,'High School Players'!D:D,'High School Players'!K:K,"",0,1)</f>
        <v>XX</v>
      </c>
      <c r="B96" s="300" t="s">
        <v>5366</v>
      </c>
      <c r="C96" s="300" t="s">
        <v>284</v>
      </c>
      <c r="D96" s="300" t="s">
        <v>5367</v>
      </c>
      <c r="E96" s="300">
        <v>2027.0</v>
      </c>
      <c r="F96" s="300">
        <v>1.0</v>
      </c>
      <c r="G96" s="300"/>
      <c r="H96" s="300" t="s">
        <v>63</v>
      </c>
      <c r="J96" s="300" t="s">
        <v>1550</v>
      </c>
      <c r="K96" s="300" t="s">
        <v>5369</v>
      </c>
      <c r="L96" s="300" t="s">
        <v>180</v>
      </c>
      <c r="M96" s="300" t="s">
        <v>5370</v>
      </c>
      <c r="N96" s="300"/>
      <c r="O96" s="300">
        <v>3.7</v>
      </c>
      <c r="P96" s="300"/>
      <c r="Q96" s="300" t="s">
        <v>5371</v>
      </c>
      <c r="R96" s="300" t="s">
        <v>2821</v>
      </c>
      <c r="S96" s="300" t="s">
        <v>7778</v>
      </c>
    </row>
    <row r="97">
      <c r="A97" s="300" t="str">
        <f t="array" ref="A97">XLOOKUP(B97,'High School Players'!D:D,'High School Players'!K:K,"",0,1)</f>
        <v>XX</v>
      </c>
      <c r="B97" s="300" t="s">
        <v>5700</v>
      </c>
      <c r="C97" s="300" t="s">
        <v>5701</v>
      </c>
      <c r="D97" s="300" t="s">
        <v>5702</v>
      </c>
      <c r="E97" s="300">
        <v>2027.0</v>
      </c>
      <c r="F97" s="300">
        <v>1.0</v>
      </c>
      <c r="G97" s="300"/>
      <c r="H97" s="300" t="s">
        <v>1398</v>
      </c>
      <c r="J97" s="300" t="s">
        <v>1989</v>
      </c>
      <c r="K97" s="300" t="s">
        <v>1783</v>
      </c>
      <c r="L97" s="300" t="s">
        <v>180</v>
      </c>
      <c r="M97" s="300" t="s">
        <v>5703</v>
      </c>
      <c r="N97" s="300"/>
      <c r="O97" s="300">
        <v>4.0</v>
      </c>
      <c r="P97" s="300"/>
      <c r="Q97" s="300" t="s">
        <v>5704</v>
      </c>
      <c r="R97" s="300" t="s">
        <v>2821</v>
      </c>
    </row>
    <row r="98">
      <c r="A98" s="300" t="str">
        <f t="array" ref="A98">XLOOKUP(B98,'High School Players'!D:D,'High School Players'!K:K,"",0,1)</f>
        <v>XX</v>
      </c>
      <c r="B98" s="300" t="s">
        <v>4883</v>
      </c>
      <c r="C98" s="300" t="s">
        <v>4884</v>
      </c>
      <c r="D98" s="300" t="s">
        <v>4885</v>
      </c>
      <c r="E98" s="300">
        <v>2027.0</v>
      </c>
      <c r="F98" s="300">
        <v>1.0</v>
      </c>
      <c r="G98" s="300"/>
      <c r="H98" s="300" t="s">
        <v>72</v>
      </c>
      <c r="J98" s="300" t="s">
        <v>1550</v>
      </c>
      <c r="K98" s="300" t="s">
        <v>4887</v>
      </c>
      <c r="L98" s="300" t="s">
        <v>180</v>
      </c>
      <c r="M98" s="300" t="s">
        <v>4888</v>
      </c>
      <c r="N98" s="300"/>
      <c r="O98" s="300">
        <v>4.0</v>
      </c>
      <c r="P98" s="300"/>
      <c r="Q98" s="300" t="s">
        <v>4889</v>
      </c>
      <c r="R98" s="300" t="s">
        <v>2821</v>
      </c>
      <c r="S98" s="300" t="s">
        <v>7779</v>
      </c>
    </row>
    <row r="99">
      <c r="A99" s="300" t="str">
        <f t="array" ref="A99">XLOOKUP(B99,'High School Players'!D:D,'High School Players'!K:K,"",0,1)</f>
        <v>XX</v>
      </c>
      <c r="B99" s="300" t="s">
        <v>5450</v>
      </c>
      <c r="C99" s="300" t="s">
        <v>1997</v>
      </c>
      <c r="D99" s="300" t="s">
        <v>5451</v>
      </c>
      <c r="E99" s="300">
        <v>2027.0</v>
      </c>
      <c r="F99" s="300">
        <v>1.0</v>
      </c>
      <c r="G99" s="300"/>
      <c r="H99" s="300" t="s">
        <v>63</v>
      </c>
      <c r="J99" s="300" t="s">
        <v>1550</v>
      </c>
      <c r="K99" s="300" t="s">
        <v>5452</v>
      </c>
      <c r="L99" s="300" t="s">
        <v>180</v>
      </c>
      <c r="M99" s="300" t="s">
        <v>5452</v>
      </c>
      <c r="N99" s="300"/>
      <c r="O99" s="300">
        <v>3.8</v>
      </c>
      <c r="P99" s="300"/>
      <c r="Q99" s="300" t="s">
        <v>5453</v>
      </c>
      <c r="R99" s="300" t="s">
        <v>2821</v>
      </c>
      <c r="S99" s="300" t="s">
        <v>7780</v>
      </c>
    </row>
    <row r="100">
      <c r="A100" s="300" t="str">
        <f t="array" ref="A100">XLOOKUP(B100,'High School Players'!D:D,'High School Players'!K:K,"",0,1)</f>
        <v>XX</v>
      </c>
      <c r="B100" s="300" t="s">
        <v>5050</v>
      </c>
      <c r="C100" s="300" t="s">
        <v>881</v>
      </c>
      <c r="D100" s="300" t="s">
        <v>5051</v>
      </c>
      <c r="E100" s="300">
        <v>2027.0</v>
      </c>
      <c r="F100" s="300">
        <v>1.0</v>
      </c>
      <c r="G100" s="300"/>
      <c r="H100" s="300" t="s">
        <v>63</v>
      </c>
      <c r="I100" s="300" t="s">
        <v>1398</v>
      </c>
      <c r="J100" s="300" t="s">
        <v>1550</v>
      </c>
      <c r="K100" s="300" t="s">
        <v>5052</v>
      </c>
      <c r="L100" s="300" t="s">
        <v>636</v>
      </c>
      <c r="M100" s="300" t="s">
        <v>5053</v>
      </c>
      <c r="N100" s="300"/>
      <c r="O100" s="300">
        <v>3.98</v>
      </c>
      <c r="P100" s="300"/>
      <c r="Q100" s="300" t="s">
        <v>5054</v>
      </c>
      <c r="R100" s="300" t="s">
        <v>2821</v>
      </c>
      <c r="S100" s="300" t="s">
        <v>7781</v>
      </c>
    </row>
    <row r="101">
      <c r="A101" s="300" t="str">
        <f t="array" ref="A101">XLOOKUP(B101,'High School Players'!D:D,'High School Players'!K:K,"",0,1)</f>
        <v>XX</v>
      </c>
      <c r="B101" s="300" t="s">
        <v>5923</v>
      </c>
      <c r="C101" s="300" t="s">
        <v>5924</v>
      </c>
      <c r="D101" s="300" t="s">
        <v>2751</v>
      </c>
      <c r="E101" s="300">
        <v>2027.0</v>
      </c>
      <c r="F101" s="300">
        <v>1.0</v>
      </c>
      <c r="G101" s="300"/>
      <c r="H101" s="300" t="s">
        <v>103</v>
      </c>
      <c r="J101" s="300" t="s">
        <v>3667</v>
      </c>
      <c r="K101" s="300" t="s">
        <v>5594</v>
      </c>
      <c r="L101" s="300" t="s">
        <v>636</v>
      </c>
      <c r="M101" s="300" t="s">
        <v>5594</v>
      </c>
      <c r="N101" s="300"/>
      <c r="O101" s="300">
        <v>3.8</v>
      </c>
      <c r="P101" s="300"/>
      <c r="Q101" s="300" t="s">
        <v>5925</v>
      </c>
      <c r="R101" s="300" t="s">
        <v>2821</v>
      </c>
      <c r="S101" s="300" t="s">
        <v>7782</v>
      </c>
    </row>
    <row r="102">
      <c r="A102" s="300">
        <f t="array" ref="A102">XLOOKUP(B102,'High School Players'!D:D,'High School Players'!K:K,"",0,1)</f>
        <v>2</v>
      </c>
      <c r="B102" s="300" t="s">
        <v>3057</v>
      </c>
      <c r="C102" s="300" t="s">
        <v>3058</v>
      </c>
      <c r="D102" s="300" t="s">
        <v>222</v>
      </c>
      <c r="E102" s="300">
        <v>2027.0</v>
      </c>
      <c r="F102" s="300">
        <v>1.0</v>
      </c>
      <c r="G102" s="300"/>
      <c r="H102" s="300" t="s">
        <v>1398</v>
      </c>
      <c r="J102" s="300" t="s">
        <v>1550</v>
      </c>
      <c r="K102" s="300" t="s">
        <v>3059</v>
      </c>
      <c r="L102" s="300" t="s">
        <v>125</v>
      </c>
      <c r="M102" s="300" t="s">
        <v>3060</v>
      </c>
      <c r="N102" s="300"/>
      <c r="O102" s="300">
        <v>4.1</v>
      </c>
      <c r="P102" s="300"/>
      <c r="Q102" s="300" t="s">
        <v>3061</v>
      </c>
      <c r="R102" s="300" t="s">
        <v>2821</v>
      </c>
      <c r="S102" s="300" t="s">
        <v>7783</v>
      </c>
    </row>
    <row r="103">
      <c r="A103" s="300" t="str">
        <f t="array" ref="A103">XLOOKUP(B103,'High School Players'!D:D,'High School Players'!K:K,"",0,1)</f>
        <v/>
      </c>
      <c r="B103" s="300" t="s">
        <v>7784</v>
      </c>
      <c r="C103" s="300" t="s">
        <v>4852</v>
      </c>
      <c r="D103" s="300" t="s">
        <v>7785</v>
      </c>
      <c r="E103" s="300">
        <v>2027.0</v>
      </c>
      <c r="F103" s="300">
        <v>1.0</v>
      </c>
      <c r="G103" s="300"/>
      <c r="H103" s="300" t="s">
        <v>109</v>
      </c>
      <c r="J103" s="300" t="s">
        <v>1989</v>
      </c>
      <c r="K103" s="300" t="s">
        <v>7786</v>
      </c>
      <c r="L103" s="300" t="s">
        <v>125</v>
      </c>
      <c r="M103" s="300" t="s">
        <v>7787</v>
      </c>
      <c r="Q103" s="300" t="s">
        <v>7788</v>
      </c>
      <c r="R103" s="300" t="s">
        <v>2821</v>
      </c>
    </row>
    <row r="104">
      <c r="A104" s="300" t="str">
        <f t="array" ref="A104">XLOOKUP(B104,'High School Players'!D:D,'High School Players'!K:K,"",0,1)</f>
        <v>XX</v>
      </c>
      <c r="B104" s="300" t="s">
        <v>5536</v>
      </c>
      <c r="C104" s="300" t="s">
        <v>419</v>
      </c>
      <c r="D104" s="300" t="s">
        <v>5537</v>
      </c>
      <c r="E104" s="300">
        <v>2027.0</v>
      </c>
      <c r="F104" s="300">
        <v>1.0</v>
      </c>
      <c r="G104" s="300"/>
      <c r="H104" s="300" t="s">
        <v>1519</v>
      </c>
      <c r="J104" s="300" t="s">
        <v>1550</v>
      </c>
      <c r="K104" s="300" t="s">
        <v>5539</v>
      </c>
      <c r="L104" s="300" t="s">
        <v>125</v>
      </c>
      <c r="M104" s="300" t="s">
        <v>5540</v>
      </c>
      <c r="Q104" s="300" t="s">
        <v>5541</v>
      </c>
      <c r="R104" s="300" t="s">
        <v>2821</v>
      </c>
      <c r="S104" s="300" t="s">
        <v>7789</v>
      </c>
    </row>
    <row r="105">
      <c r="A105" s="300">
        <f t="array" ref="A105">XLOOKUP(B105,'High School Players'!D:D,'High School Players'!K:K,"",0,1)</f>
        <v>2</v>
      </c>
      <c r="B105" s="300" t="s">
        <v>3134</v>
      </c>
      <c r="C105" s="300" t="s">
        <v>3135</v>
      </c>
      <c r="D105" s="300" t="s">
        <v>3136</v>
      </c>
      <c r="E105" s="300">
        <v>2027.0</v>
      </c>
      <c r="F105" s="300">
        <v>2.0</v>
      </c>
      <c r="G105" s="300"/>
      <c r="H105" s="300" t="s">
        <v>109</v>
      </c>
      <c r="J105" s="300" t="s">
        <v>1550</v>
      </c>
      <c r="K105" s="300" t="s">
        <v>2859</v>
      </c>
      <c r="L105" s="300" t="s">
        <v>52</v>
      </c>
      <c r="M105" s="300" t="s">
        <v>3137</v>
      </c>
      <c r="N105" s="300"/>
      <c r="O105" s="300">
        <v>3.7</v>
      </c>
      <c r="P105" s="300"/>
      <c r="Q105" s="300" t="s">
        <v>3138</v>
      </c>
      <c r="R105" s="300" t="s">
        <v>2821</v>
      </c>
      <c r="S105" s="300" t="s">
        <v>7790</v>
      </c>
    </row>
    <row r="106">
      <c r="A106" s="300" t="str">
        <f t="array" ref="A106">XLOOKUP(B106,'High School Players'!D:D,'High School Players'!K:K,"",0,1)</f>
        <v>XX</v>
      </c>
      <c r="B106" s="300" t="s">
        <v>5289</v>
      </c>
      <c r="C106" s="300" t="s">
        <v>1187</v>
      </c>
      <c r="D106" s="300" t="s">
        <v>432</v>
      </c>
      <c r="E106" s="300">
        <v>2027.0</v>
      </c>
      <c r="F106" s="300">
        <v>2.0</v>
      </c>
      <c r="G106" s="300"/>
      <c r="H106" s="300" t="s">
        <v>48</v>
      </c>
      <c r="J106" s="300" t="s">
        <v>1989</v>
      </c>
      <c r="K106" s="300" t="s">
        <v>5291</v>
      </c>
      <c r="L106" s="300" t="s">
        <v>52</v>
      </c>
      <c r="M106" s="300" t="s">
        <v>5292</v>
      </c>
      <c r="N106" s="300"/>
      <c r="O106" s="300">
        <v>4.0</v>
      </c>
      <c r="P106" s="300"/>
      <c r="Q106" s="300" t="s">
        <v>5293</v>
      </c>
      <c r="R106" s="300" t="s">
        <v>2821</v>
      </c>
      <c r="S106" s="300" t="s">
        <v>7791</v>
      </c>
    </row>
    <row r="107">
      <c r="A107" s="300" t="str">
        <f t="array" ref="A107">XLOOKUP(B107,'High School Players'!D:D,'High School Players'!K:K,"",0,1)</f>
        <v>XX</v>
      </c>
      <c r="B107" s="300" t="s">
        <v>4794</v>
      </c>
      <c r="C107" s="300" t="s">
        <v>517</v>
      </c>
      <c r="D107" s="300" t="s">
        <v>4795</v>
      </c>
      <c r="E107" s="300">
        <v>2027.0</v>
      </c>
      <c r="F107" s="300">
        <v>2.0</v>
      </c>
      <c r="G107" s="300"/>
      <c r="H107" s="300" t="s">
        <v>48</v>
      </c>
      <c r="J107" s="300" t="s">
        <v>1989</v>
      </c>
      <c r="K107" s="300" t="s">
        <v>4796</v>
      </c>
      <c r="L107" s="300" t="s">
        <v>174</v>
      </c>
      <c r="M107" s="300" t="s">
        <v>4797</v>
      </c>
      <c r="N107" s="300"/>
      <c r="O107" s="300">
        <v>4.0</v>
      </c>
      <c r="P107" s="300"/>
      <c r="Q107" s="300" t="s">
        <v>4798</v>
      </c>
      <c r="R107" s="300" t="s">
        <v>2821</v>
      </c>
      <c r="S107" s="300" t="s">
        <v>7792</v>
      </c>
    </row>
    <row r="108">
      <c r="A108" s="300">
        <f t="array" ref="A108">XLOOKUP(B108,'High School Players'!D:D,'High School Players'!K:K,"",0,1)</f>
        <v>2</v>
      </c>
      <c r="B108" s="300" t="s">
        <v>3070</v>
      </c>
      <c r="C108" s="300" t="s">
        <v>227</v>
      </c>
      <c r="D108" s="300" t="s">
        <v>3071</v>
      </c>
      <c r="E108" s="300">
        <v>2027.0</v>
      </c>
      <c r="F108" s="300">
        <v>2.0</v>
      </c>
      <c r="G108" s="300"/>
      <c r="H108" s="300" t="s">
        <v>63</v>
      </c>
      <c r="J108" s="300" t="s">
        <v>1550</v>
      </c>
      <c r="K108" s="300" t="s">
        <v>3072</v>
      </c>
      <c r="L108" s="300" t="s">
        <v>174</v>
      </c>
      <c r="M108" s="300" t="s">
        <v>3073</v>
      </c>
      <c r="Q108" s="300" t="s">
        <v>7491</v>
      </c>
      <c r="R108" s="300" t="s">
        <v>2821</v>
      </c>
    </row>
    <row r="109">
      <c r="A109" s="300">
        <f t="array" ref="A109">XLOOKUP(B109,'High School Players'!D:D,'High School Players'!K:K,"",0,1)</f>
        <v>2</v>
      </c>
      <c r="B109" s="300" t="s">
        <v>3115</v>
      </c>
      <c r="C109" s="300" t="s">
        <v>1328</v>
      </c>
      <c r="D109" s="300" t="s">
        <v>3116</v>
      </c>
      <c r="E109" s="300">
        <v>2027.0</v>
      </c>
      <c r="F109" s="300">
        <v>2.0</v>
      </c>
      <c r="G109" s="300"/>
      <c r="H109" s="300" t="s">
        <v>63</v>
      </c>
      <c r="J109" s="300" t="s">
        <v>1550</v>
      </c>
      <c r="K109" s="300" t="s">
        <v>3117</v>
      </c>
      <c r="L109" s="300" t="s">
        <v>174</v>
      </c>
      <c r="M109" s="300" t="s">
        <v>1849</v>
      </c>
      <c r="N109" s="300"/>
      <c r="O109" s="300">
        <v>3.9</v>
      </c>
      <c r="P109" s="300"/>
      <c r="Q109" s="300" t="s">
        <v>3118</v>
      </c>
      <c r="R109" s="300" t="s">
        <v>2821</v>
      </c>
      <c r="S109" s="300" t="s">
        <v>7793</v>
      </c>
    </row>
    <row r="110">
      <c r="A110" s="300">
        <f t="array" ref="A110">XLOOKUP(B110,'High School Players'!D:D,'High School Players'!K:K,"",0,1)</f>
        <v>2</v>
      </c>
      <c r="B110" s="300" t="s">
        <v>3190</v>
      </c>
      <c r="C110" s="300" t="s">
        <v>110</v>
      </c>
      <c r="D110" s="300" t="s">
        <v>1927</v>
      </c>
      <c r="E110" s="300">
        <v>2027.0</v>
      </c>
      <c r="F110" s="300">
        <v>2.0</v>
      </c>
      <c r="G110" s="300"/>
      <c r="H110" s="300" t="s">
        <v>63</v>
      </c>
      <c r="J110" s="300" t="s">
        <v>1550</v>
      </c>
      <c r="K110" s="300" t="s">
        <v>3191</v>
      </c>
      <c r="L110" s="300" t="s">
        <v>174</v>
      </c>
      <c r="M110" s="300" t="s">
        <v>3192</v>
      </c>
      <c r="Q110" s="300" t="s">
        <v>3193</v>
      </c>
      <c r="R110" s="300" t="s">
        <v>2821</v>
      </c>
      <c r="S110" s="300" t="s">
        <v>7794</v>
      </c>
    </row>
    <row r="111">
      <c r="A111" s="300">
        <f t="array" ref="A111">XLOOKUP(B111,'High School Players'!D:D,'High School Players'!K:K,"",0,1)</f>
        <v>2</v>
      </c>
      <c r="B111" s="300" t="s">
        <v>3276</v>
      </c>
      <c r="C111" s="300" t="s">
        <v>594</v>
      </c>
      <c r="D111" s="300" t="s">
        <v>3277</v>
      </c>
      <c r="E111" s="300">
        <v>2027.0</v>
      </c>
      <c r="F111" s="300">
        <v>2.0</v>
      </c>
      <c r="G111" s="300"/>
      <c r="H111" s="300" t="s">
        <v>109</v>
      </c>
      <c r="J111" s="300" t="s">
        <v>1550</v>
      </c>
      <c r="K111" s="300" t="s">
        <v>3278</v>
      </c>
      <c r="L111" s="300" t="s">
        <v>174</v>
      </c>
      <c r="M111" s="300" t="s">
        <v>3279</v>
      </c>
      <c r="N111" s="300"/>
      <c r="O111" s="300">
        <v>4.39</v>
      </c>
      <c r="P111" s="300"/>
      <c r="Q111" s="300" t="s">
        <v>3280</v>
      </c>
      <c r="R111" s="300" t="s">
        <v>2821</v>
      </c>
    </row>
    <row r="112">
      <c r="A112" s="300" t="str">
        <f t="array" ref="A112">XLOOKUP(B112,'High School Players'!D:D,'High School Players'!K:K,"",0,1)</f>
        <v>XX</v>
      </c>
      <c r="B112" s="300" t="s">
        <v>5664</v>
      </c>
      <c r="C112" s="300" t="s">
        <v>5659</v>
      </c>
      <c r="D112" s="300" t="s">
        <v>5665</v>
      </c>
      <c r="E112" s="300">
        <v>2027.0</v>
      </c>
      <c r="F112" s="300">
        <v>2.0</v>
      </c>
      <c r="G112" s="300"/>
      <c r="H112" s="300" t="s">
        <v>103</v>
      </c>
      <c r="K112" s="300" t="s">
        <v>5666</v>
      </c>
      <c r="L112" s="300" t="s">
        <v>255</v>
      </c>
      <c r="M112" s="300" t="s">
        <v>5667</v>
      </c>
      <c r="N112" s="300"/>
      <c r="O112" s="300">
        <v>4.0</v>
      </c>
      <c r="P112" s="300"/>
      <c r="Q112" s="300" t="s">
        <v>5668</v>
      </c>
      <c r="R112" s="300" t="s">
        <v>2821</v>
      </c>
      <c r="S112" s="300" t="s">
        <v>7795</v>
      </c>
    </row>
    <row r="113">
      <c r="A113" s="300">
        <f t="array" ref="A113">XLOOKUP(B113,'High School Players'!D:D,'High School Players'!K:K,"",0,1)</f>
        <v>2</v>
      </c>
      <c r="B113" s="300" t="s">
        <v>3315</v>
      </c>
      <c r="C113" s="300" t="s">
        <v>2587</v>
      </c>
      <c r="D113" s="300" t="s">
        <v>3316</v>
      </c>
      <c r="E113" s="300">
        <v>2027.0</v>
      </c>
      <c r="F113" s="300">
        <v>2.0</v>
      </c>
      <c r="G113" s="300"/>
      <c r="H113" s="300" t="s">
        <v>63</v>
      </c>
      <c r="J113" s="300" t="s">
        <v>1550</v>
      </c>
      <c r="K113" s="300" t="s">
        <v>3317</v>
      </c>
      <c r="L113" s="300" t="s">
        <v>160</v>
      </c>
      <c r="M113" s="300" t="s">
        <v>3318</v>
      </c>
      <c r="N113" s="300"/>
      <c r="O113" s="300">
        <v>4.2</v>
      </c>
      <c r="P113" s="300"/>
      <c r="Q113" s="300" t="s">
        <v>3319</v>
      </c>
      <c r="R113" s="300" t="s">
        <v>2821</v>
      </c>
      <c r="S113" s="300" t="s">
        <v>7796</v>
      </c>
    </row>
    <row r="114">
      <c r="A114" s="300" t="str">
        <f t="array" ref="A114">XLOOKUP(B114,'High School Players'!D:D,'High School Players'!K:K,"",0,1)</f>
        <v>XX</v>
      </c>
      <c r="B114" s="300" t="s">
        <v>5234</v>
      </c>
      <c r="C114" s="300" t="s">
        <v>629</v>
      </c>
      <c r="D114" s="300" t="s">
        <v>5235</v>
      </c>
      <c r="E114" s="300">
        <v>2027.0</v>
      </c>
      <c r="F114" s="300">
        <v>2.0</v>
      </c>
      <c r="G114" s="300"/>
      <c r="H114" s="300" t="s">
        <v>63</v>
      </c>
      <c r="J114" s="300" t="s">
        <v>1550</v>
      </c>
      <c r="K114" s="300" t="s">
        <v>7457</v>
      </c>
      <c r="L114" s="300" t="s">
        <v>153</v>
      </c>
      <c r="M114" s="300" t="s">
        <v>7458</v>
      </c>
      <c r="N114" s="300"/>
      <c r="O114" s="300">
        <v>4.0</v>
      </c>
      <c r="P114" s="300"/>
      <c r="Q114" s="300" t="s">
        <v>7459</v>
      </c>
      <c r="R114" s="300" t="s">
        <v>2821</v>
      </c>
      <c r="S114" s="300" t="s">
        <v>7797</v>
      </c>
    </row>
    <row r="115" hidden="1">
      <c r="A115" s="300">
        <f t="array" ref="A115">XLOOKUP(B115,'High School Players'!D:D,'High School Players'!K:K,"",0,1)</f>
        <v>2</v>
      </c>
      <c r="B115" s="300" t="s">
        <v>150</v>
      </c>
      <c r="C115" s="300" t="s">
        <v>151</v>
      </c>
      <c r="D115" s="300" t="s">
        <v>152</v>
      </c>
      <c r="E115" s="300">
        <v>2027.0</v>
      </c>
      <c r="F115" s="300">
        <v>2.0</v>
      </c>
      <c r="G115" s="300"/>
      <c r="H115" s="300" t="s">
        <v>63</v>
      </c>
      <c r="I115" s="300">
        <v>15.0</v>
      </c>
      <c r="J115" s="300" t="s">
        <v>1550</v>
      </c>
      <c r="K115" s="300" t="s">
        <v>781</v>
      </c>
      <c r="L115" s="300" t="s">
        <v>153</v>
      </c>
      <c r="M115" s="300" t="s">
        <v>781</v>
      </c>
      <c r="Q115" s="300" t="s">
        <v>7798</v>
      </c>
      <c r="R115" s="300"/>
      <c r="S115" s="300" t="s">
        <v>7799</v>
      </c>
    </row>
    <row r="116">
      <c r="A116" s="300" t="str">
        <f t="array" ref="A116">XLOOKUP(B116,'High School Players'!D:D,'High School Players'!K:K,"",0,1)</f>
        <v>XX</v>
      </c>
      <c r="B116" s="300" t="s">
        <v>6051</v>
      </c>
      <c r="C116" s="300" t="s">
        <v>673</v>
      </c>
      <c r="D116" s="300" t="s">
        <v>6052</v>
      </c>
      <c r="E116" s="300">
        <v>2027.0</v>
      </c>
      <c r="F116" s="300">
        <v>2.0</v>
      </c>
      <c r="G116" s="300"/>
      <c r="H116" s="300" t="s">
        <v>109</v>
      </c>
      <c r="J116" s="300" t="s">
        <v>1550</v>
      </c>
      <c r="K116" s="300" t="s">
        <v>6054</v>
      </c>
      <c r="L116" s="300" t="s">
        <v>112</v>
      </c>
      <c r="M116" s="300" t="s">
        <v>6055</v>
      </c>
      <c r="N116" s="300"/>
      <c r="O116" s="300">
        <v>4.0</v>
      </c>
      <c r="P116" s="300"/>
      <c r="Q116" s="300" t="s">
        <v>6056</v>
      </c>
      <c r="R116" s="300" t="s">
        <v>2821</v>
      </c>
      <c r="S116" s="300" t="s">
        <v>7800</v>
      </c>
    </row>
    <row r="117">
      <c r="A117" s="300">
        <f t="array" ref="A117">XLOOKUP(B117,'High School Players'!D:D,'High School Players'!K:K,"",0,1)</f>
        <v>2</v>
      </c>
      <c r="B117" s="300" t="s">
        <v>3311</v>
      </c>
      <c r="C117" s="300" t="s">
        <v>249</v>
      </c>
      <c r="D117" s="300" t="s">
        <v>3312</v>
      </c>
      <c r="E117" s="300">
        <v>2027.0</v>
      </c>
      <c r="F117" s="300">
        <v>2.0</v>
      </c>
      <c r="G117" s="300"/>
      <c r="H117" s="300" t="s">
        <v>51</v>
      </c>
      <c r="J117" s="300" t="s">
        <v>2324</v>
      </c>
      <c r="K117" s="300" t="s">
        <v>3286</v>
      </c>
      <c r="L117" s="300" t="s">
        <v>112</v>
      </c>
      <c r="M117" s="300" t="s">
        <v>3313</v>
      </c>
      <c r="Q117" s="300" t="s">
        <v>3314</v>
      </c>
      <c r="R117" s="300" t="s">
        <v>2821</v>
      </c>
      <c r="S117" s="300" t="s">
        <v>7801</v>
      </c>
    </row>
    <row r="118">
      <c r="A118" s="300" t="str">
        <f t="array" ref="A118">XLOOKUP(B118,'High School Players'!D:D,'High School Players'!K:K,"",0,1)</f>
        <v>XX</v>
      </c>
      <c r="B118" s="300" t="s">
        <v>3284</v>
      </c>
      <c r="C118" s="300" t="s">
        <v>682</v>
      </c>
      <c r="D118" s="300" t="s">
        <v>3285</v>
      </c>
      <c r="E118" s="300">
        <v>2027.0</v>
      </c>
      <c r="F118" s="300">
        <v>2.0</v>
      </c>
      <c r="G118" s="300"/>
      <c r="H118" s="300" t="s">
        <v>1398</v>
      </c>
      <c r="J118" s="300" t="s">
        <v>1550</v>
      </c>
      <c r="K118" s="300" t="s">
        <v>3286</v>
      </c>
      <c r="L118" s="300" t="s">
        <v>112</v>
      </c>
      <c r="M118" s="300" t="s">
        <v>2564</v>
      </c>
      <c r="N118" s="300"/>
      <c r="O118" s="300">
        <v>4.0</v>
      </c>
      <c r="P118" s="300"/>
      <c r="Q118" s="300" t="s">
        <v>3287</v>
      </c>
      <c r="R118" s="300" t="s">
        <v>2821</v>
      </c>
      <c r="S118" s="300" t="s">
        <v>7802</v>
      </c>
    </row>
    <row r="119">
      <c r="A119" s="300">
        <f t="array" ref="A119">XLOOKUP(B119,'High School Players'!D:D,'High School Players'!K:K,"",0,1)</f>
        <v>1</v>
      </c>
      <c r="B119" s="300" t="s">
        <v>3382</v>
      </c>
      <c r="C119" s="300" t="s">
        <v>604</v>
      </c>
      <c r="D119" s="300" t="s">
        <v>3383</v>
      </c>
      <c r="E119" s="300">
        <v>2027.0</v>
      </c>
      <c r="F119" s="300">
        <v>2.0</v>
      </c>
      <c r="G119" s="300"/>
      <c r="H119" s="300" t="s">
        <v>103</v>
      </c>
      <c r="J119" s="300" t="s">
        <v>1550</v>
      </c>
      <c r="K119" s="300" t="s">
        <v>3384</v>
      </c>
      <c r="L119" s="300" t="s">
        <v>112</v>
      </c>
      <c r="M119" s="300" t="s">
        <v>3385</v>
      </c>
      <c r="N119" s="300"/>
      <c r="O119" s="300">
        <v>4.4</v>
      </c>
      <c r="P119" s="300"/>
      <c r="Q119" s="300" t="s">
        <v>3386</v>
      </c>
      <c r="R119" s="300" t="s">
        <v>2821</v>
      </c>
      <c r="S119" s="300" t="s">
        <v>7803</v>
      </c>
    </row>
    <row r="120">
      <c r="A120" s="300">
        <f t="array" ref="A120">XLOOKUP(B120,'High School Players'!D:D,'High School Players'!K:K,"",0,1)</f>
        <v>2</v>
      </c>
      <c r="B120" s="300" t="s">
        <v>3416</v>
      </c>
      <c r="C120" s="300" t="s">
        <v>3417</v>
      </c>
      <c r="D120" s="300" t="s">
        <v>2082</v>
      </c>
      <c r="E120" s="300">
        <v>2027.0</v>
      </c>
      <c r="F120" s="300">
        <v>2.0</v>
      </c>
      <c r="G120" s="300"/>
      <c r="H120" s="300" t="s">
        <v>1519</v>
      </c>
      <c r="J120" s="300" t="s">
        <v>1989</v>
      </c>
      <c r="K120" s="300" t="s">
        <v>3418</v>
      </c>
      <c r="L120" s="300" t="s">
        <v>543</v>
      </c>
      <c r="M120" s="300" t="s">
        <v>3419</v>
      </c>
      <c r="N120" s="300"/>
      <c r="O120" s="300">
        <v>4.0</v>
      </c>
      <c r="P120" s="300"/>
      <c r="Q120" s="300" t="s">
        <v>3420</v>
      </c>
      <c r="R120" s="300" t="s">
        <v>2821</v>
      </c>
      <c r="S120" s="300" t="s">
        <v>7804</v>
      </c>
    </row>
    <row r="121">
      <c r="A121" s="300">
        <f t="array" ref="A121">XLOOKUP(B121,'High School Players'!D:D,'High School Players'!K:K,"",0,1)</f>
        <v>2</v>
      </c>
      <c r="B121" s="300" t="s">
        <v>3344</v>
      </c>
      <c r="C121" s="300" t="s">
        <v>104</v>
      </c>
      <c r="D121" s="300" t="s">
        <v>3345</v>
      </c>
      <c r="E121" s="300">
        <v>2027.0</v>
      </c>
      <c r="F121" s="300">
        <v>2.0</v>
      </c>
      <c r="G121" s="300"/>
      <c r="H121" s="300" t="s">
        <v>63</v>
      </c>
      <c r="J121" s="300" t="s">
        <v>1550</v>
      </c>
      <c r="K121" s="300" t="s">
        <v>3346</v>
      </c>
      <c r="L121" s="300" t="s">
        <v>337</v>
      </c>
      <c r="M121" s="300" t="s">
        <v>3346</v>
      </c>
      <c r="N121" s="300"/>
      <c r="O121" s="300">
        <v>3.85</v>
      </c>
      <c r="P121" s="300"/>
      <c r="Q121" s="300" t="s">
        <v>3347</v>
      </c>
      <c r="R121" s="300" t="s">
        <v>2821</v>
      </c>
      <c r="S121" s="300" t="s">
        <v>7805</v>
      </c>
    </row>
    <row r="122">
      <c r="A122" s="300" t="str">
        <f t="array" ref="A122">XLOOKUP(B122,'High School Players'!D:D,'High School Players'!K:K,"",0,1)</f>
        <v>XX</v>
      </c>
      <c r="B122" s="300" t="s">
        <v>4952</v>
      </c>
      <c r="C122" s="300" t="s">
        <v>1042</v>
      </c>
      <c r="D122" s="300" t="s">
        <v>4950</v>
      </c>
      <c r="E122" s="300">
        <v>2027.0</v>
      </c>
      <c r="F122" s="300">
        <v>2.0</v>
      </c>
      <c r="G122" s="300"/>
      <c r="H122" s="300" t="s">
        <v>109</v>
      </c>
      <c r="J122" s="300" t="s">
        <v>1989</v>
      </c>
      <c r="K122" s="300" t="s">
        <v>4953</v>
      </c>
      <c r="L122" s="300" t="s">
        <v>195</v>
      </c>
      <c r="M122" s="300" t="s">
        <v>4954</v>
      </c>
      <c r="N122" s="300"/>
      <c r="O122" s="300">
        <v>4.0</v>
      </c>
      <c r="P122" s="300"/>
      <c r="Q122" s="300" t="s">
        <v>4955</v>
      </c>
      <c r="R122" s="300" t="s">
        <v>2821</v>
      </c>
      <c r="S122" s="300" t="s">
        <v>7806</v>
      </c>
    </row>
    <row r="123" hidden="1">
      <c r="A123" s="300" t="str">
        <f t="array" ref="A123">XLOOKUP(B123,'High School Players'!D:D,'High School Players'!K:K,"",0,1)</f>
        <v>XX</v>
      </c>
      <c r="B123" s="300" t="s">
        <v>5918</v>
      </c>
      <c r="C123" s="300" t="s">
        <v>788</v>
      </c>
      <c r="D123" s="300" t="s">
        <v>5919</v>
      </c>
      <c r="E123" s="300">
        <v>2027.0</v>
      </c>
      <c r="F123" s="300">
        <v>2.0</v>
      </c>
      <c r="G123" s="300"/>
      <c r="H123" s="300" t="s">
        <v>63</v>
      </c>
      <c r="I123" s="300">
        <v>8.0</v>
      </c>
      <c r="J123" s="300" t="s">
        <v>1550</v>
      </c>
      <c r="K123" s="300" t="s">
        <v>7807</v>
      </c>
      <c r="L123" s="300" t="s">
        <v>85</v>
      </c>
      <c r="M123" s="300" t="s">
        <v>7808</v>
      </c>
      <c r="N123" s="300"/>
      <c r="O123" s="300">
        <v>3.8</v>
      </c>
      <c r="P123" s="300"/>
      <c r="Q123" s="300" t="s">
        <v>7564</v>
      </c>
      <c r="R123" s="300"/>
      <c r="S123" s="300" t="s">
        <v>7809</v>
      </c>
    </row>
    <row r="124" hidden="1">
      <c r="A124" s="300" t="str">
        <f t="array" ref="A124">XLOOKUP(B124,'High School Players'!D:D,'High School Players'!K:K,"",0,1)</f>
        <v>XX</v>
      </c>
      <c r="B124" s="300" t="s">
        <v>4779</v>
      </c>
      <c r="C124" s="300" t="s">
        <v>1997</v>
      </c>
      <c r="D124" s="300" t="s">
        <v>4780</v>
      </c>
      <c r="E124" s="300">
        <v>2027.0</v>
      </c>
      <c r="F124" s="300">
        <v>2.0</v>
      </c>
      <c r="G124" s="300"/>
      <c r="H124" s="300" t="s">
        <v>63</v>
      </c>
      <c r="I124" s="300">
        <v>15.0</v>
      </c>
      <c r="J124" s="300" t="s">
        <v>1550</v>
      </c>
      <c r="K124" s="300" t="s">
        <v>3627</v>
      </c>
      <c r="L124" s="300" t="s">
        <v>85</v>
      </c>
      <c r="M124" s="300" t="s">
        <v>3627</v>
      </c>
      <c r="N124" s="300"/>
      <c r="O124" s="300">
        <v>4.0</v>
      </c>
      <c r="P124" s="300"/>
      <c r="Q124" s="300" t="s">
        <v>7577</v>
      </c>
    </row>
    <row r="125">
      <c r="A125" s="300" t="str">
        <f t="array" ref="A125">XLOOKUP(B125,'High School Players'!D:D,'High School Players'!K:K,"",0,1)</f>
        <v>XX</v>
      </c>
      <c r="B125" s="300" t="s">
        <v>5177</v>
      </c>
      <c r="C125" s="300" t="s">
        <v>5178</v>
      </c>
      <c r="D125" s="300" t="s">
        <v>5179</v>
      </c>
      <c r="E125" s="300">
        <v>2027.0</v>
      </c>
      <c r="F125" s="300">
        <v>2.0</v>
      </c>
      <c r="G125" s="300"/>
      <c r="H125" s="300" t="s">
        <v>109</v>
      </c>
      <c r="J125" s="300" t="s">
        <v>1989</v>
      </c>
      <c r="K125" s="300" t="s">
        <v>5181</v>
      </c>
      <c r="L125" s="300" t="s">
        <v>614</v>
      </c>
      <c r="M125" s="300" t="s">
        <v>5181</v>
      </c>
      <c r="N125" s="300"/>
      <c r="O125" s="300">
        <v>3.95</v>
      </c>
      <c r="P125" s="300"/>
      <c r="Q125" s="300" t="s">
        <v>5182</v>
      </c>
      <c r="R125" s="300" t="s">
        <v>2821</v>
      </c>
      <c r="S125" s="300" t="s">
        <v>7810</v>
      </c>
    </row>
    <row r="126">
      <c r="A126" s="300" t="str">
        <f t="array" ref="A126">XLOOKUP(B126,'High School Players'!D:D,'High School Players'!K:K,"",0,1)</f>
        <v>XX</v>
      </c>
      <c r="B126" s="300" t="s">
        <v>5812</v>
      </c>
      <c r="C126" s="300" t="s">
        <v>517</v>
      </c>
      <c r="D126" s="300" t="s">
        <v>1338</v>
      </c>
      <c r="E126" s="300">
        <v>2027.0</v>
      </c>
      <c r="F126" s="300">
        <v>2.0</v>
      </c>
      <c r="G126" s="300"/>
      <c r="H126" s="300" t="s">
        <v>63</v>
      </c>
      <c r="J126" s="300" t="s">
        <v>1550</v>
      </c>
      <c r="K126" s="300" t="s">
        <v>5813</v>
      </c>
      <c r="L126" s="300" t="s">
        <v>360</v>
      </c>
      <c r="M126" s="300" t="s">
        <v>5814</v>
      </c>
      <c r="N126" s="300"/>
      <c r="O126" s="300">
        <v>3.9</v>
      </c>
      <c r="P126" s="300"/>
      <c r="Q126" s="300" t="s">
        <v>5815</v>
      </c>
      <c r="R126" s="300" t="s">
        <v>2821</v>
      </c>
      <c r="S126" s="300" t="s">
        <v>7811</v>
      </c>
    </row>
    <row r="127">
      <c r="A127" s="300" t="str">
        <f t="array" ref="A127">XLOOKUP(B127,'High School Players'!D:D,'High School Players'!K:K,"",0,1)</f>
        <v>XX</v>
      </c>
      <c r="B127" s="300" t="s">
        <v>5871</v>
      </c>
      <c r="C127" s="300" t="s">
        <v>512</v>
      </c>
      <c r="D127" s="300" t="s">
        <v>5872</v>
      </c>
      <c r="E127" s="300">
        <v>2027.0</v>
      </c>
      <c r="F127" s="300">
        <v>2.0</v>
      </c>
      <c r="G127" s="300"/>
      <c r="H127" s="300" t="s">
        <v>103</v>
      </c>
      <c r="J127" s="300" t="s">
        <v>1556</v>
      </c>
      <c r="K127" s="300" t="s">
        <v>5874</v>
      </c>
      <c r="L127" s="300" t="s">
        <v>519</v>
      </c>
      <c r="M127" s="300" t="s">
        <v>5875</v>
      </c>
      <c r="N127" s="300"/>
      <c r="O127" s="300">
        <v>3.7</v>
      </c>
      <c r="P127" s="300"/>
      <c r="Q127" s="300" t="s">
        <v>5876</v>
      </c>
      <c r="R127" s="300" t="s">
        <v>2821</v>
      </c>
      <c r="S127" s="300" t="s">
        <v>7812</v>
      </c>
    </row>
    <row r="128">
      <c r="A128" s="300" t="str">
        <f t="array" ref="A128">XLOOKUP(B128,'High School Players'!D:D,'High School Players'!K:K,"",0,1)</f>
        <v>XX</v>
      </c>
      <c r="B128" s="300" t="s">
        <v>5729</v>
      </c>
      <c r="C128" s="300" t="s">
        <v>424</v>
      </c>
      <c r="D128" s="300" t="s">
        <v>5730</v>
      </c>
      <c r="E128" s="300">
        <v>2027.0</v>
      </c>
      <c r="F128" s="300">
        <v>2.0</v>
      </c>
      <c r="G128" s="300"/>
      <c r="H128" s="300" t="s">
        <v>7813</v>
      </c>
      <c r="J128" s="300" t="s">
        <v>1989</v>
      </c>
      <c r="K128" s="300" t="s">
        <v>5732</v>
      </c>
      <c r="L128" s="300" t="s">
        <v>448</v>
      </c>
      <c r="M128" s="300" t="s">
        <v>5733</v>
      </c>
      <c r="N128" s="300"/>
      <c r="O128" s="300">
        <v>4.0</v>
      </c>
      <c r="P128" s="300"/>
      <c r="Q128" s="300" t="s">
        <v>5734</v>
      </c>
      <c r="R128" s="300" t="s">
        <v>2821</v>
      </c>
      <c r="S128" s="300" t="s">
        <v>7814</v>
      </c>
    </row>
    <row r="129">
      <c r="A129" s="300" t="str">
        <f t="array" ref="A129">XLOOKUP(B129,'High School Players'!D:D,'High School Players'!K:K,"",0,1)</f>
        <v>XX</v>
      </c>
      <c r="B129" s="300" t="s">
        <v>5711</v>
      </c>
      <c r="C129" s="300" t="s">
        <v>2587</v>
      </c>
      <c r="D129" s="300" t="s">
        <v>5712</v>
      </c>
      <c r="E129" s="300">
        <v>2027.0</v>
      </c>
      <c r="F129" s="300">
        <v>2.0</v>
      </c>
      <c r="G129" s="300"/>
      <c r="H129" s="300" t="s">
        <v>1398</v>
      </c>
      <c r="J129" s="300" t="s">
        <v>1550</v>
      </c>
      <c r="K129" s="300" t="s">
        <v>5714</v>
      </c>
      <c r="L129" s="300" t="s">
        <v>448</v>
      </c>
      <c r="M129" s="300" t="s">
        <v>5715</v>
      </c>
      <c r="N129" s="300"/>
      <c r="O129" s="300">
        <v>3.75</v>
      </c>
      <c r="P129" s="300"/>
      <c r="Q129" s="300" t="s">
        <v>5716</v>
      </c>
      <c r="R129" s="300" t="s">
        <v>2821</v>
      </c>
      <c r="S129" s="300" t="s">
        <v>7815</v>
      </c>
    </row>
    <row r="130" hidden="1">
      <c r="A130" s="300" t="str">
        <f t="array" ref="A130">XLOOKUP(B130,'High School Players'!D:D,'High School Players'!K:K,"",0,1)</f>
        <v>XX</v>
      </c>
      <c r="B130" s="300" t="s">
        <v>5630</v>
      </c>
      <c r="C130" s="300" t="s">
        <v>1141</v>
      </c>
      <c r="D130" s="300" t="s">
        <v>5631</v>
      </c>
      <c r="E130" s="300">
        <v>2027.0</v>
      </c>
      <c r="F130" s="300">
        <v>2.0</v>
      </c>
      <c r="G130" s="300"/>
      <c r="H130" s="300" t="s">
        <v>1398</v>
      </c>
      <c r="I130" s="300">
        <v>6.0</v>
      </c>
      <c r="J130" s="300" t="s">
        <v>1550</v>
      </c>
      <c r="K130" s="300" t="s">
        <v>3286</v>
      </c>
      <c r="L130" s="300" t="s">
        <v>585</v>
      </c>
      <c r="M130" s="300" t="s">
        <v>5632</v>
      </c>
      <c r="Q130" s="300" t="s">
        <v>7529</v>
      </c>
      <c r="R130" s="300"/>
      <c r="S130" s="300" t="s">
        <v>7816</v>
      </c>
    </row>
    <row r="131">
      <c r="A131" s="300" t="str">
        <f t="array" ref="A131">XLOOKUP(B131,'High School Players'!D:D,'High School Players'!K:K,"",0,1)</f>
        <v>XX</v>
      </c>
      <c r="B131" s="300" t="s">
        <v>5934</v>
      </c>
      <c r="C131" s="300" t="s">
        <v>5935</v>
      </c>
      <c r="D131" s="300" t="s">
        <v>5936</v>
      </c>
      <c r="E131" s="300">
        <v>2027.0</v>
      </c>
      <c r="F131" s="300">
        <v>2.0</v>
      </c>
      <c r="G131" s="300"/>
      <c r="H131" s="300" t="s">
        <v>103</v>
      </c>
      <c r="J131" s="300" t="s">
        <v>1550</v>
      </c>
      <c r="K131" s="300" t="s">
        <v>5937</v>
      </c>
      <c r="L131" s="300" t="s">
        <v>502</v>
      </c>
      <c r="M131" s="300" t="s">
        <v>7537</v>
      </c>
      <c r="Q131" s="300" t="s">
        <v>7538</v>
      </c>
      <c r="R131" s="300" t="s">
        <v>2821</v>
      </c>
      <c r="S131" s="300" t="s">
        <v>7817</v>
      </c>
    </row>
    <row r="132">
      <c r="A132" s="300">
        <f t="array" ref="A132">XLOOKUP(B132,'High School Players'!D:D,'High School Players'!K:K,"",0,1)</f>
        <v>2</v>
      </c>
      <c r="B132" s="300" t="s">
        <v>3246</v>
      </c>
      <c r="C132" s="300" t="s">
        <v>3247</v>
      </c>
      <c r="D132" s="300" t="s">
        <v>3248</v>
      </c>
      <c r="E132" s="300">
        <v>2027.0</v>
      </c>
      <c r="F132" s="300">
        <v>2.0</v>
      </c>
      <c r="G132" s="300"/>
      <c r="H132" s="300" t="s">
        <v>1398</v>
      </c>
      <c r="J132" s="300" t="s">
        <v>1550</v>
      </c>
      <c r="K132" s="300" t="s">
        <v>3249</v>
      </c>
      <c r="L132" s="300" t="s">
        <v>255</v>
      </c>
      <c r="M132" s="300" t="s">
        <v>3250</v>
      </c>
      <c r="N132" s="300"/>
      <c r="O132" s="300">
        <v>4.0</v>
      </c>
      <c r="P132" s="300"/>
      <c r="Q132" s="300" t="s">
        <v>3251</v>
      </c>
      <c r="R132" s="300" t="s">
        <v>2821</v>
      </c>
      <c r="S132" s="300" t="s">
        <v>7818</v>
      </c>
    </row>
    <row r="133">
      <c r="A133" s="300" t="str">
        <f t="array" ref="A133">XLOOKUP(B133,'High School Players'!D:D,'High School Players'!K:K,"",0,1)</f>
        <v>XX</v>
      </c>
      <c r="B133" s="300" t="s">
        <v>4744</v>
      </c>
      <c r="C133" s="300" t="s">
        <v>629</v>
      </c>
      <c r="D133" s="300" t="s">
        <v>4745</v>
      </c>
      <c r="E133" s="300">
        <v>2027.0</v>
      </c>
      <c r="F133" s="300">
        <v>2.0</v>
      </c>
      <c r="G133" s="300"/>
      <c r="H133" s="300" t="s">
        <v>51</v>
      </c>
      <c r="J133" s="300" t="s">
        <v>1989</v>
      </c>
      <c r="K133" s="300" t="s">
        <v>4746</v>
      </c>
      <c r="L133" s="300" t="s">
        <v>73</v>
      </c>
      <c r="M133" s="300" t="s">
        <v>4747</v>
      </c>
      <c r="N133" s="300"/>
      <c r="O133" s="300">
        <v>3.87</v>
      </c>
      <c r="P133" s="300"/>
      <c r="Q133" s="300" t="s">
        <v>7419</v>
      </c>
      <c r="R133" s="300" t="s">
        <v>2821</v>
      </c>
      <c r="S133" s="300" t="s">
        <v>7819</v>
      </c>
    </row>
    <row r="134">
      <c r="A134" s="300" t="str">
        <f t="array" ref="A134">XLOOKUP(B134,'High School Players'!D:D,'High School Players'!K:K,"",0,1)</f>
        <v>XX</v>
      </c>
      <c r="B134" s="300" t="s">
        <v>5391</v>
      </c>
      <c r="C134" s="300" t="s">
        <v>589</v>
      </c>
      <c r="D134" s="300" t="s">
        <v>5392</v>
      </c>
      <c r="E134" s="300">
        <v>2027.0</v>
      </c>
      <c r="F134" s="300">
        <v>2.0</v>
      </c>
      <c r="G134" s="300"/>
      <c r="H134" s="300" t="s">
        <v>103</v>
      </c>
      <c r="J134" s="300" t="s">
        <v>1989</v>
      </c>
      <c r="K134" s="300" t="s">
        <v>5393</v>
      </c>
      <c r="L134" s="300" t="s">
        <v>73</v>
      </c>
      <c r="M134" s="300" t="s">
        <v>5394</v>
      </c>
      <c r="N134" s="300"/>
      <c r="O134" s="300">
        <v>3.6</v>
      </c>
      <c r="P134" s="300"/>
      <c r="Q134" s="300" t="s">
        <v>5395</v>
      </c>
      <c r="R134" s="300" t="s">
        <v>2821</v>
      </c>
      <c r="S134" s="300" t="s">
        <v>7820</v>
      </c>
    </row>
    <row r="135" hidden="1">
      <c r="A135" s="300">
        <f t="array" ref="A135">XLOOKUP(B135,'High School Players'!D:D,'High School Players'!K:K,"",0,1)</f>
        <v>0.1</v>
      </c>
      <c r="B135" s="300" t="s">
        <v>2863</v>
      </c>
      <c r="C135" s="300" t="s">
        <v>266</v>
      </c>
      <c r="D135" s="300" t="s">
        <v>2864</v>
      </c>
      <c r="E135" s="300">
        <v>2027.0</v>
      </c>
      <c r="F135" s="300">
        <v>2.0</v>
      </c>
      <c r="G135" s="300"/>
      <c r="H135" s="300" t="s">
        <v>63</v>
      </c>
      <c r="I135" s="300">
        <v>10.0</v>
      </c>
      <c r="J135" s="300" t="s">
        <v>1550</v>
      </c>
      <c r="K135" s="300" t="s">
        <v>4365</v>
      </c>
      <c r="L135" s="300" t="s">
        <v>73</v>
      </c>
      <c r="M135" s="300" t="s">
        <v>2865</v>
      </c>
      <c r="N135" s="300"/>
      <c r="O135" s="300">
        <v>4.2</v>
      </c>
      <c r="P135" s="300"/>
      <c r="Q135" s="300" t="s">
        <v>7821</v>
      </c>
      <c r="R135" s="300"/>
      <c r="S135" s="300" t="s">
        <v>7822</v>
      </c>
    </row>
    <row r="136">
      <c r="A136" s="300" t="str">
        <f t="array" ref="A136">XLOOKUP(B136,'High School Players'!D:D,'High School Players'!K:K,"",0,1)</f>
        <v>XX</v>
      </c>
      <c r="B136" s="300" t="s">
        <v>4859</v>
      </c>
      <c r="C136" s="300" t="s">
        <v>1521</v>
      </c>
      <c r="D136" s="300" t="s">
        <v>4860</v>
      </c>
      <c r="E136" s="300">
        <v>2027.0</v>
      </c>
      <c r="F136" s="300">
        <v>2.0</v>
      </c>
      <c r="G136" s="300"/>
      <c r="H136" s="300" t="s">
        <v>103</v>
      </c>
      <c r="J136" s="300" t="s">
        <v>1556</v>
      </c>
      <c r="K136" s="300" t="s">
        <v>4861</v>
      </c>
      <c r="L136" s="300" t="s">
        <v>529</v>
      </c>
      <c r="M136" s="300" t="s">
        <v>4862</v>
      </c>
      <c r="N136" s="300"/>
      <c r="O136" s="300">
        <v>4.0</v>
      </c>
      <c r="P136" s="300"/>
      <c r="Q136" s="300" t="s">
        <v>4863</v>
      </c>
      <c r="R136" s="300" t="s">
        <v>2821</v>
      </c>
      <c r="S136" s="300" t="s">
        <v>7823</v>
      </c>
    </row>
    <row r="137">
      <c r="A137" s="300">
        <f t="array" ref="A137">XLOOKUP(B137,'High School Players'!D:D,'High School Players'!K:K,"",0,1)</f>
        <v>2</v>
      </c>
      <c r="B137" s="300" t="s">
        <v>3237</v>
      </c>
      <c r="C137" s="300" t="s">
        <v>1016</v>
      </c>
      <c r="D137" s="300" t="s">
        <v>3238</v>
      </c>
      <c r="E137" s="300">
        <v>2027.0</v>
      </c>
      <c r="F137" s="300">
        <v>2.0</v>
      </c>
      <c r="G137" s="300"/>
      <c r="H137" s="300" t="s">
        <v>109</v>
      </c>
      <c r="J137" s="300" t="s">
        <v>1550</v>
      </c>
      <c r="K137" s="300" t="s">
        <v>3239</v>
      </c>
      <c r="L137" s="300" t="s">
        <v>1575</v>
      </c>
      <c r="M137" s="300" t="s">
        <v>3240</v>
      </c>
      <c r="N137" s="300"/>
      <c r="O137" s="300">
        <v>4.0</v>
      </c>
      <c r="P137" s="300"/>
      <c r="Q137" s="300" t="s">
        <v>3241</v>
      </c>
      <c r="R137" s="300" t="s">
        <v>2821</v>
      </c>
      <c r="S137" s="300" t="s">
        <v>7824</v>
      </c>
    </row>
    <row r="138">
      <c r="A138" s="300" t="str">
        <f t="array" ref="A138">XLOOKUP(B138,'High School Players'!D:D,'High School Players'!K:K,"",0,1)</f>
        <v>XX</v>
      </c>
      <c r="B138" s="300" t="s">
        <v>5241</v>
      </c>
      <c r="C138" s="300" t="s">
        <v>696</v>
      </c>
      <c r="D138" s="300" t="s">
        <v>5242</v>
      </c>
      <c r="E138" s="300">
        <v>2027.0</v>
      </c>
      <c r="F138" s="300">
        <v>2.0</v>
      </c>
      <c r="G138" s="300"/>
      <c r="H138" s="300" t="s">
        <v>1398</v>
      </c>
      <c r="J138" s="300" t="s">
        <v>1550</v>
      </c>
      <c r="K138" s="300" t="s">
        <v>3249</v>
      </c>
      <c r="L138" s="300" t="s">
        <v>240</v>
      </c>
      <c r="M138" s="300" t="s">
        <v>5243</v>
      </c>
      <c r="N138" s="300"/>
      <c r="O138" s="300">
        <v>4.1</v>
      </c>
      <c r="P138" s="300"/>
      <c r="Q138" s="300" t="s">
        <v>5244</v>
      </c>
      <c r="R138" s="300" t="s">
        <v>2821</v>
      </c>
      <c r="S138" s="300" t="s">
        <v>7825</v>
      </c>
    </row>
    <row r="139">
      <c r="A139" s="300" t="str">
        <f t="array" ref="A139">XLOOKUP(B139,'High School Players'!D:D,'High School Players'!K:K,"",0,1)</f>
        <v>XX</v>
      </c>
      <c r="B139" s="300" t="s">
        <v>5557</v>
      </c>
      <c r="C139" s="300" t="s">
        <v>822</v>
      </c>
      <c r="D139" s="300" t="s">
        <v>5558</v>
      </c>
      <c r="E139" s="300">
        <v>2027.0</v>
      </c>
      <c r="F139" s="300">
        <v>2.0</v>
      </c>
      <c r="G139" s="300"/>
      <c r="H139" s="300" t="s">
        <v>103</v>
      </c>
      <c r="J139" s="300" t="s">
        <v>1550</v>
      </c>
      <c r="K139" s="300" t="s">
        <v>5560</v>
      </c>
      <c r="L139" s="300" t="s">
        <v>240</v>
      </c>
      <c r="M139" s="300" t="s">
        <v>5561</v>
      </c>
      <c r="N139" s="300"/>
      <c r="O139" s="300">
        <v>4.4</v>
      </c>
      <c r="P139" s="300"/>
      <c r="Q139" s="300" t="s">
        <v>5562</v>
      </c>
      <c r="R139" s="300" t="s">
        <v>2821</v>
      </c>
      <c r="S139" s="300" t="s">
        <v>7826</v>
      </c>
    </row>
    <row r="140">
      <c r="A140" s="300" t="str">
        <f t="array" ref="A140">XLOOKUP(B140,'High School Players'!D:D,'High School Players'!K:K,"",0,1)</f>
        <v>XX</v>
      </c>
      <c r="B140" s="300" t="s">
        <v>5684</v>
      </c>
      <c r="C140" s="300" t="s">
        <v>5685</v>
      </c>
      <c r="D140" s="300" t="s">
        <v>5686</v>
      </c>
      <c r="E140" s="300">
        <v>2027.0</v>
      </c>
      <c r="F140" s="300">
        <v>2.0</v>
      </c>
      <c r="G140" s="300"/>
      <c r="H140" s="300" t="s">
        <v>63</v>
      </c>
      <c r="J140" s="300" t="s">
        <v>1550</v>
      </c>
      <c r="K140" s="300" t="s">
        <v>5687</v>
      </c>
      <c r="L140" s="300" t="s">
        <v>240</v>
      </c>
      <c r="M140" s="300" t="s">
        <v>5687</v>
      </c>
      <c r="Q140" s="300" t="s">
        <v>5688</v>
      </c>
      <c r="R140" s="300" t="s">
        <v>2821</v>
      </c>
    </row>
    <row r="141">
      <c r="A141" s="300">
        <f t="array" ref="A141">XLOOKUP(B141,'High School Players'!D:D,'High School Players'!K:K,"",0,1)</f>
        <v>2</v>
      </c>
      <c r="B141" s="300" t="s">
        <v>3143</v>
      </c>
      <c r="C141" s="300" t="s">
        <v>599</v>
      </c>
      <c r="D141" s="300" t="s">
        <v>3144</v>
      </c>
      <c r="E141" s="300">
        <v>2027.0</v>
      </c>
      <c r="F141" s="300">
        <v>2.0</v>
      </c>
      <c r="G141" s="300"/>
      <c r="H141" s="300" t="s">
        <v>63</v>
      </c>
      <c r="J141" s="300" t="s">
        <v>1550</v>
      </c>
      <c r="K141" s="300" t="s">
        <v>3145</v>
      </c>
      <c r="L141" s="300" t="s">
        <v>240</v>
      </c>
      <c r="M141" s="300" t="s">
        <v>3146</v>
      </c>
      <c r="N141" s="300"/>
      <c r="O141" s="300">
        <v>4.82</v>
      </c>
      <c r="P141" s="300"/>
      <c r="Q141" s="300" t="s">
        <v>3147</v>
      </c>
      <c r="R141" s="300" t="s">
        <v>2821</v>
      </c>
      <c r="S141" s="300" t="s">
        <v>7827</v>
      </c>
    </row>
    <row r="142">
      <c r="A142" s="300">
        <f t="array" ref="A142">XLOOKUP(B142,'High School Players'!D:D,'High School Players'!K:K,"",0,1)</f>
        <v>3</v>
      </c>
      <c r="B142" s="300" t="s">
        <v>3446</v>
      </c>
      <c r="C142" s="300" t="s">
        <v>3447</v>
      </c>
      <c r="D142" s="300" t="s">
        <v>3448</v>
      </c>
      <c r="E142" s="300">
        <v>2027.0</v>
      </c>
      <c r="F142" s="300">
        <v>2.0</v>
      </c>
      <c r="G142" s="300"/>
      <c r="H142" s="300" t="s">
        <v>106</v>
      </c>
      <c r="J142" s="300" t="s">
        <v>1556</v>
      </c>
      <c r="K142" s="300" t="s">
        <v>3449</v>
      </c>
      <c r="L142" s="300" t="s">
        <v>307</v>
      </c>
      <c r="M142" s="300" t="s">
        <v>3450</v>
      </c>
      <c r="N142" s="300"/>
      <c r="O142" s="300">
        <v>3.75</v>
      </c>
      <c r="P142" s="300"/>
      <c r="Q142" s="300" t="s">
        <v>3451</v>
      </c>
      <c r="R142" s="300" t="s">
        <v>2821</v>
      </c>
      <c r="S142" s="300" t="s">
        <v>7828</v>
      </c>
    </row>
    <row r="143">
      <c r="A143" s="300" t="str">
        <f t="array" ref="A143">XLOOKUP(B143,'High School Players'!D:D,'High School Players'!K:K,"",0,1)</f>
        <v>XX</v>
      </c>
      <c r="B143" s="300" t="s">
        <v>6042</v>
      </c>
      <c r="C143" s="300" t="s">
        <v>2088</v>
      </c>
      <c r="D143" s="300" t="s">
        <v>6043</v>
      </c>
      <c r="E143" s="300">
        <v>2027.0</v>
      </c>
      <c r="F143" s="300">
        <v>2.0</v>
      </c>
      <c r="G143" s="300"/>
      <c r="H143" s="300" t="s">
        <v>1398</v>
      </c>
      <c r="J143" s="300" t="s">
        <v>1989</v>
      </c>
      <c r="K143" s="300" t="s">
        <v>4465</v>
      </c>
      <c r="L143" s="300" t="s">
        <v>585</v>
      </c>
      <c r="M143" s="300" t="s">
        <v>6044</v>
      </c>
      <c r="N143" s="300"/>
      <c r="O143" s="300">
        <v>3.8</v>
      </c>
      <c r="P143" s="300"/>
      <c r="Q143" s="300" t="s">
        <v>6045</v>
      </c>
      <c r="R143" s="300" t="s">
        <v>2821</v>
      </c>
      <c r="S143" s="300" t="s">
        <v>7829</v>
      </c>
    </row>
    <row r="144">
      <c r="A144" s="300" t="str">
        <f t="array" ref="A144">XLOOKUP(B144,'High School Players'!D:D,'High School Players'!K:K,"",0,1)</f>
        <v>XX</v>
      </c>
      <c r="B144" s="300" t="s">
        <v>5439</v>
      </c>
      <c r="C144" s="300" t="s">
        <v>5440</v>
      </c>
      <c r="D144" s="300" t="s">
        <v>5441</v>
      </c>
      <c r="E144" s="300">
        <v>2027.0</v>
      </c>
      <c r="F144" s="300">
        <v>2.0</v>
      </c>
      <c r="G144" s="300"/>
      <c r="H144" s="300" t="s">
        <v>42</v>
      </c>
      <c r="J144" s="300" t="s">
        <v>1550</v>
      </c>
      <c r="K144" s="300" t="s">
        <v>5443</v>
      </c>
      <c r="L144" s="300" t="s">
        <v>240</v>
      </c>
      <c r="M144" s="300" t="s">
        <v>5444</v>
      </c>
      <c r="N144" s="300"/>
      <c r="O144" s="300">
        <v>3.8</v>
      </c>
      <c r="P144" s="300"/>
      <c r="Q144" s="300" t="s">
        <v>5445</v>
      </c>
      <c r="R144" s="300" t="s">
        <v>2821</v>
      </c>
      <c r="S144" s="300" t="s">
        <v>7830</v>
      </c>
    </row>
    <row r="145">
      <c r="A145" s="300" t="str">
        <f t="array" ref="A145">XLOOKUP(B145,'High School Players'!D:D,'High School Players'!K:K,"",0,1)</f>
        <v>XX</v>
      </c>
      <c r="B145" s="300" t="s">
        <v>3358</v>
      </c>
      <c r="C145" s="300" t="s">
        <v>3359</v>
      </c>
      <c r="D145" s="300" t="s">
        <v>3360</v>
      </c>
      <c r="E145" s="300">
        <v>2027.0</v>
      </c>
      <c r="F145" s="300">
        <v>2.0</v>
      </c>
      <c r="G145" s="300"/>
      <c r="H145" s="300" t="s">
        <v>51</v>
      </c>
      <c r="J145" s="300" t="s">
        <v>1550</v>
      </c>
      <c r="K145" s="300" t="s">
        <v>3361</v>
      </c>
      <c r="L145" s="300" t="s">
        <v>585</v>
      </c>
      <c r="M145" s="300" t="s">
        <v>3362</v>
      </c>
      <c r="N145" s="300"/>
      <c r="O145" s="300">
        <v>3.6</v>
      </c>
      <c r="P145" s="300"/>
      <c r="Q145" s="300" t="s">
        <v>3363</v>
      </c>
      <c r="R145" s="300" t="s">
        <v>2821</v>
      </c>
      <c r="S145" s="300" t="s">
        <v>7831</v>
      </c>
    </row>
    <row r="146">
      <c r="A146" s="300" t="str">
        <f t="array" ref="A146">XLOOKUP(B146,'High School Players'!D:D,'High School Players'!K:K,"",0,1)</f>
        <v>XX</v>
      </c>
      <c r="B146" s="300" t="s">
        <v>5479</v>
      </c>
      <c r="C146" s="300" t="s">
        <v>1042</v>
      </c>
      <c r="D146" s="300" t="s">
        <v>2312</v>
      </c>
      <c r="E146" s="300">
        <v>2027.0</v>
      </c>
      <c r="F146" s="300">
        <v>2.0</v>
      </c>
      <c r="G146" s="300"/>
      <c r="H146" s="300" t="s">
        <v>109</v>
      </c>
      <c r="J146" s="300" t="s">
        <v>1550</v>
      </c>
      <c r="K146" s="300" t="s">
        <v>5480</v>
      </c>
      <c r="L146" s="300" t="s">
        <v>585</v>
      </c>
      <c r="M146" s="300" t="s">
        <v>5481</v>
      </c>
      <c r="N146" s="300"/>
      <c r="O146" s="300">
        <v>3.7</v>
      </c>
      <c r="P146" s="300"/>
      <c r="Q146" s="300" t="s">
        <v>5482</v>
      </c>
      <c r="R146" s="300" t="s">
        <v>2821</v>
      </c>
      <c r="S146" s="300" t="s">
        <v>7832</v>
      </c>
    </row>
    <row r="147" hidden="1">
      <c r="A147" s="300" t="str">
        <f t="array" ref="A147">XLOOKUP(B147,'High School Players'!D:D,'High School Players'!K:K,"",0,1)</f>
        <v>XX</v>
      </c>
      <c r="B147" s="300" t="s">
        <v>5618</v>
      </c>
      <c r="C147" s="300" t="s">
        <v>682</v>
      </c>
      <c r="D147" s="300" t="s">
        <v>5619</v>
      </c>
      <c r="E147" s="300">
        <v>2027.0</v>
      </c>
      <c r="F147" s="300">
        <v>2.0</v>
      </c>
      <c r="G147" s="300"/>
      <c r="H147" s="300" t="s">
        <v>63</v>
      </c>
      <c r="I147" s="300">
        <v>15.0</v>
      </c>
      <c r="J147" s="300" t="s">
        <v>1550</v>
      </c>
      <c r="K147" s="300" t="s">
        <v>7833</v>
      </c>
      <c r="L147" s="300" t="s">
        <v>240</v>
      </c>
      <c r="M147" s="300" t="s">
        <v>7834</v>
      </c>
      <c r="N147" s="300"/>
      <c r="O147" s="300">
        <v>4.43</v>
      </c>
      <c r="P147" s="300"/>
      <c r="Q147" s="300" t="s">
        <v>7516</v>
      </c>
      <c r="R147" s="300"/>
      <c r="S147" s="300" t="s">
        <v>7835</v>
      </c>
    </row>
    <row r="148">
      <c r="A148" s="300" t="str">
        <f t="array" ref="A148">XLOOKUP(B148,'High School Players'!D:D,'High School Players'!K:K,"",0,1)</f>
        <v>XX</v>
      </c>
      <c r="B148" s="300" t="s">
        <v>5308</v>
      </c>
      <c r="C148" s="300" t="s">
        <v>604</v>
      </c>
      <c r="D148" s="300" t="s">
        <v>5309</v>
      </c>
      <c r="E148" s="300">
        <v>2027.0</v>
      </c>
      <c r="F148" s="300">
        <v>2.0</v>
      </c>
      <c r="G148" s="300"/>
      <c r="H148" s="300" t="s">
        <v>48</v>
      </c>
      <c r="J148" s="300" t="s">
        <v>1989</v>
      </c>
      <c r="K148" s="300" t="s">
        <v>5311</v>
      </c>
      <c r="L148" s="300" t="s">
        <v>286</v>
      </c>
      <c r="M148" s="300" t="s">
        <v>5312</v>
      </c>
      <c r="N148" s="300"/>
      <c r="O148" s="300">
        <v>4.0</v>
      </c>
      <c r="P148" s="300"/>
      <c r="Q148" s="300" t="s">
        <v>5313</v>
      </c>
      <c r="R148" s="300" t="s">
        <v>2821</v>
      </c>
      <c r="S148" s="300" t="s">
        <v>7836</v>
      </c>
    </row>
    <row r="149">
      <c r="A149" s="300" t="str">
        <f t="array" ref="A149">XLOOKUP(B149,'High School Players'!D:D,'High School Players'!K:K,"",0,1)</f>
        <v>XX</v>
      </c>
      <c r="B149" s="300" t="s">
        <v>4727</v>
      </c>
      <c r="C149" s="300" t="s">
        <v>3058</v>
      </c>
      <c r="D149" s="300" t="s">
        <v>4728</v>
      </c>
      <c r="E149" s="300">
        <v>2027.0</v>
      </c>
      <c r="F149" s="300">
        <v>2.0</v>
      </c>
      <c r="G149" s="300"/>
      <c r="H149" s="300" t="s">
        <v>48</v>
      </c>
      <c r="J149" s="300" t="s">
        <v>1550</v>
      </c>
      <c r="K149" s="300" t="s">
        <v>1654</v>
      </c>
      <c r="L149" s="300" t="s">
        <v>286</v>
      </c>
      <c r="M149" s="300" t="s">
        <v>4729</v>
      </c>
      <c r="Q149" s="300" t="s">
        <v>4730</v>
      </c>
      <c r="R149" s="300" t="s">
        <v>2821</v>
      </c>
      <c r="S149" s="300" t="s">
        <v>7837</v>
      </c>
    </row>
    <row r="150" hidden="1">
      <c r="A150" s="300">
        <f t="array" ref="A150">XLOOKUP(B150,'High School Players'!D:D,'High School Players'!K:K,"",0,1)</f>
        <v>3</v>
      </c>
      <c r="B150" s="300" t="s">
        <v>3468</v>
      </c>
      <c r="C150" s="300" t="s">
        <v>3469</v>
      </c>
      <c r="D150" s="300" t="s">
        <v>3470</v>
      </c>
      <c r="E150" s="300">
        <v>2027.0</v>
      </c>
      <c r="F150" s="300">
        <v>2.0</v>
      </c>
      <c r="G150" s="300"/>
      <c r="H150" s="300" t="s">
        <v>109</v>
      </c>
      <c r="I150" s="300">
        <v>15.0</v>
      </c>
      <c r="J150" s="300" t="s">
        <v>1989</v>
      </c>
      <c r="K150" s="300" t="s">
        <v>3986</v>
      </c>
      <c r="L150" s="300" t="s">
        <v>286</v>
      </c>
      <c r="M150" s="300" t="s">
        <v>7838</v>
      </c>
      <c r="N150" s="300"/>
      <c r="O150" s="300">
        <v>4.65</v>
      </c>
      <c r="P150" s="300"/>
      <c r="Q150" s="300" t="s">
        <v>7421</v>
      </c>
      <c r="R150" s="300"/>
      <c r="S150" s="300" t="s">
        <v>7839</v>
      </c>
    </row>
    <row r="151">
      <c r="A151" s="300" t="str">
        <f t="array" ref="A151">XLOOKUP(B151,'High School Players'!D:D,'High School Players'!K:K,"",0,1)</f>
        <v>XX</v>
      </c>
      <c r="B151" s="300" t="s">
        <v>4831</v>
      </c>
      <c r="C151" s="300" t="s">
        <v>599</v>
      </c>
      <c r="D151" s="300" t="s">
        <v>4832</v>
      </c>
      <c r="E151" s="300">
        <v>2027.0</v>
      </c>
      <c r="F151" s="300">
        <v>2.0</v>
      </c>
      <c r="G151" s="300"/>
      <c r="H151" s="300" t="s">
        <v>103</v>
      </c>
      <c r="J151" s="300" t="s">
        <v>1556</v>
      </c>
      <c r="K151" s="300" t="s">
        <v>4834</v>
      </c>
      <c r="L151" s="300" t="s">
        <v>43</v>
      </c>
      <c r="M151" s="300" t="s">
        <v>4835</v>
      </c>
      <c r="N151" s="300"/>
      <c r="O151" s="300">
        <v>4.0</v>
      </c>
      <c r="P151" s="300"/>
      <c r="Q151" s="300" t="s">
        <v>4836</v>
      </c>
      <c r="R151" s="300" t="s">
        <v>2821</v>
      </c>
      <c r="S151" s="300" t="s">
        <v>7840</v>
      </c>
    </row>
    <row r="152">
      <c r="A152" s="300">
        <f t="array" ref="A152">XLOOKUP(B152,'High School Players'!D:D,'High School Players'!K:K,"",0,1)</f>
        <v>2</v>
      </c>
      <c r="B152" s="300" t="s">
        <v>3168</v>
      </c>
      <c r="C152" s="300" t="s">
        <v>3169</v>
      </c>
      <c r="D152" s="300" t="s">
        <v>3170</v>
      </c>
      <c r="E152" s="300">
        <v>2027.0</v>
      </c>
      <c r="F152" s="300">
        <v>2.0</v>
      </c>
      <c r="G152" s="300"/>
      <c r="H152" s="300" t="s">
        <v>1972</v>
      </c>
      <c r="J152" s="300" t="s">
        <v>1556</v>
      </c>
      <c r="K152" s="300" t="s">
        <v>3171</v>
      </c>
      <c r="L152" s="300" t="s">
        <v>330</v>
      </c>
      <c r="M152" s="300" t="s">
        <v>3172</v>
      </c>
      <c r="N152" s="300"/>
      <c r="O152" s="300">
        <v>4.0</v>
      </c>
      <c r="P152" s="300"/>
      <c r="Q152" s="300" t="s">
        <v>3173</v>
      </c>
      <c r="R152" s="300" t="s">
        <v>2821</v>
      </c>
    </row>
    <row r="153">
      <c r="A153" s="300" t="str">
        <f t="array" ref="A153">XLOOKUP(B153,'High School Players'!D:D,'High School Players'!K:K,"",0,1)</f>
        <v>XX</v>
      </c>
      <c r="B153" s="300" t="s">
        <v>4854</v>
      </c>
      <c r="C153" s="300" t="s">
        <v>4855</v>
      </c>
      <c r="D153" s="300" t="s">
        <v>2589</v>
      </c>
      <c r="E153" s="300">
        <v>2027.0</v>
      </c>
      <c r="F153" s="300">
        <v>2.0</v>
      </c>
      <c r="G153" s="300"/>
      <c r="H153" s="300" t="s">
        <v>103</v>
      </c>
      <c r="J153" s="300" t="s">
        <v>1550</v>
      </c>
      <c r="K153" s="300" t="s">
        <v>4856</v>
      </c>
      <c r="L153" s="300" t="s">
        <v>180</v>
      </c>
      <c r="M153" s="300" t="s">
        <v>4857</v>
      </c>
      <c r="Q153" s="300" t="s">
        <v>4858</v>
      </c>
      <c r="R153" s="300" t="s">
        <v>2821</v>
      </c>
      <c r="S153" s="300" t="s">
        <v>7841</v>
      </c>
    </row>
    <row r="154">
      <c r="A154" s="300" t="str">
        <f t="array" ref="A154">XLOOKUP(B154,'High School Players'!D:D,'High School Players'!K:K,"",0,1)</f>
        <v>XX</v>
      </c>
      <c r="B154" s="300" t="s">
        <v>5112</v>
      </c>
      <c r="C154" s="300" t="s">
        <v>5113</v>
      </c>
      <c r="D154" s="300" t="s">
        <v>781</v>
      </c>
      <c r="E154" s="300">
        <v>2027.0</v>
      </c>
      <c r="F154" s="300">
        <v>2.0</v>
      </c>
      <c r="G154" s="300"/>
      <c r="H154" s="300" t="s">
        <v>1398</v>
      </c>
      <c r="J154" s="300" t="s">
        <v>1550</v>
      </c>
      <c r="K154" s="300" t="s">
        <v>3842</v>
      </c>
      <c r="L154" s="300" t="s">
        <v>180</v>
      </c>
      <c r="M154" s="300" t="s">
        <v>5114</v>
      </c>
      <c r="Q154" s="300" t="s">
        <v>5115</v>
      </c>
      <c r="R154" s="300" t="s">
        <v>2821</v>
      </c>
      <c r="S154" s="300" t="s">
        <v>7842</v>
      </c>
    </row>
    <row r="155">
      <c r="A155" s="300" t="str">
        <f t="array" ref="A155">XLOOKUP(B155,'High School Players'!D:D,'High School Players'!K:K,"",0,1)</f>
        <v>XX</v>
      </c>
      <c r="B155" s="300" t="s">
        <v>5603</v>
      </c>
      <c r="C155" s="300" t="s">
        <v>424</v>
      </c>
      <c r="D155" s="300" t="s">
        <v>5604</v>
      </c>
      <c r="E155" s="300">
        <v>2027.0</v>
      </c>
      <c r="F155" s="300">
        <v>2.0</v>
      </c>
      <c r="G155" s="300"/>
      <c r="H155" s="300" t="s">
        <v>103</v>
      </c>
      <c r="J155" s="300" t="s">
        <v>1989</v>
      </c>
      <c r="K155" s="300" t="s">
        <v>5052</v>
      </c>
      <c r="L155" s="300" t="s">
        <v>636</v>
      </c>
      <c r="M155" s="300" t="s">
        <v>5053</v>
      </c>
      <c r="N155" s="300"/>
      <c r="O155" s="300">
        <v>3.87</v>
      </c>
      <c r="P155" s="300"/>
      <c r="Q155" s="300" t="s">
        <v>5606</v>
      </c>
      <c r="R155" s="300" t="s">
        <v>2821</v>
      </c>
      <c r="S155" s="300" t="s">
        <v>7843</v>
      </c>
    </row>
    <row r="156">
      <c r="A156" s="300">
        <f t="array" ref="A156">XLOOKUP(B156,'High School Players'!D:D,'High School Players'!K:K,"",0,1)</f>
        <v>2</v>
      </c>
      <c r="B156" s="300" t="s">
        <v>3350</v>
      </c>
      <c r="C156" s="300" t="s">
        <v>3351</v>
      </c>
      <c r="D156" s="300" t="s">
        <v>3352</v>
      </c>
      <c r="E156" s="300">
        <v>2027.0</v>
      </c>
      <c r="F156" s="300">
        <v>2.0</v>
      </c>
      <c r="G156" s="300"/>
      <c r="H156" s="300" t="s">
        <v>122</v>
      </c>
      <c r="J156" s="300" t="s">
        <v>1556</v>
      </c>
      <c r="K156" s="300" t="s">
        <v>3353</v>
      </c>
      <c r="L156" s="300" t="s">
        <v>636</v>
      </c>
      <c r="M156" s="300" t="s">
        <v>3354</v>
      </c>
      <c r="N156" s="300"/>
      <c r="O156" s="300">
        <v>3.86</v>
      </c>
      <c r="P156" s="300"/>
      <c r="Q156" s="300" t="s">
        <v>3355</v>
      </c>
      <c r="R156" s="300" t="s">
        <v>2821</v>
      </c>
      <c r="S156" s="300" t="s">
        <v>7844</v>
      </c>
    </row>
    <row r="157">
      <c r="A157" s="300">
        <f t="array" ref="A157">XLOOKUP(B157,'High School Players'!D:D,'High School Players'!K:K,"",0,1)</f>
        <v>2</v>
      </c>
      <c r="B157" s="300" t="s">
        <v>3099</v>
      </c>
      <c r="C157" s="300" t="s">
        <v>3100</v>
      </c>
      <c r="D157" s="300" t="s">
        <v>3101</v>
      </c>
      <c r="E157" s="300">
        <v>2027.0</v>
      </c>
      <c r="F157" s="300">
        <v>2.0</v>
      </c>
      <c r="G157" s="300"/>
      <c r="H157" s="300" t="s">
        <v>1398</v>
      </c>
      <c r="J157" s="300" t="s">
        <v>1989</v>
      </c>
      <c r="K157" s="300" t="s">
        <v>3102</v>
      </c>
      <c r="L157" s="300" t="s">
        <v>636</v>
      </c>
      <c r="M157" s="300" t="s">
        <v>3103</v>
      </c>
      <c r="N157" s="300"/>
      <c r="O157" s="300">
        <v>3.7</v>
      </c>
      <c r="P157" s="300"/>
      <c r="Q157" s="300" t="s">
        <v>3104</v>
      </c>
      <c r="R157" s="300" t="s">
        <v>2821</v>
      </c>
      <c r="S157" s="300" t="s">
        <v>7845</v>
      </c>
    </row>
    <row r="158">
      <c r="A158" s="300" t="str">
        <f t="array" ref="A158">XLOOKUP(B158,'High School Players'!D:D,'High School Players'!K:K,"",0,1)</f>
        <v>XX</v>
      </c>
      <c r="B158" s="300" t="s">
        <v>5353</v>
      </c>
      <c r="C158" s="300" t="s">
        <v>385</v>
      </c>
      <c r="D158" s="300" t="s">
        <v>433</v>
      </c>
      <c r="E158" s="300">
        <v>2027.0</v>
      </c>
      <c r="F158" s="300">
        <v>2.0</v>
      </c>
      <c r="G158" s="300"/>
      <c r="H158" s="300" t="s">
        <v>103</v>
      </c>
      <c r="J158" s="300" t="s">
        <v>1556</v>
      </c>
      <c r="K158" s="300" t="s">
        <v>3663</v>
      </c>
      <c r="L158" s="300" t="s">
        <v>125</v>
      </c>
      <c r="M158" s="300" t="s">
        <v>5355</v>
      </c>
      <c r="N158" s="300"/>
      <c r="O158" s="300">
        <v>3.8</v>
      </c>
      <c r="P158" s="300"/>
      <c r="Q158" s="300" t="s">
        <v>5356</v>
      </c>
      <c r="R158" s="300" t="s">
        <v>2821</v>
      </c>
      <c r="S158" s="300" t="s">
        <v>7846</v>
      </c>
    </row>
    <row r="159">
      <c r="A159" s="300" t="str">
        <f t="array" ref="A159">XLOOKUP(B159,'High School Players'!D:D,'High School Players'!K:K,"",0,1)</f>
        <v>XX</v>
      </c>
      <c r="B159" s="300" t="s">
        <v>4719</v>
      </c>
      <c r="C159" s="300" t="s">
        <v>284</v>
      </c>
      <c r="D159" s="300" t="s">
        <v>4720</v>
      </c>
      <c r="E159" s="300">
        <v>2027.0</v>
      </c>
      <c r="F159" s="300">
        <v>2.0</v>
      </c>
      <c r="G159" s="300"/>
      <c r="H159" s="300" t="s">
        <v>51</v>
      </c>
      <c r="J159" s="300" t="s">
        <v>1550</v>
      </c>
      <c r="K159" s="300" t="s">
        <v>3297</v>
      </c>
      <c r="L159" s="300" t="s">
        <v>125</v>
      </c>
      <c r="M159" s="300" t="s">
        <v>126</v>
      </c>
      <c r="N159" s="300"/>
      <c r="O159" s="300">
        <v>4.0</v>
      </c>
      <c r="P159" s="300"/>
      <c r="Q159" s="300" t="s">
        <v>4722</v>
      </c>
      <c r="R159" s="300" t="s">
        <v>2821</v>
      </c>
      <c r="S159" s="300" t="s">
        <v>7847</v>
      </c>
    </row>
    <row r="160">
      <c r="A160" s="300">
        <f t="array" ref="A160">XLOOKUP(B160,'High School Players'!D:D,'High School Players'!K:K,"",0,1)</f>
        <v>3</v>
      </c>
      <c r="B160" s="300" t="s">
        <v>3591</v>
      </c>
      <c r="C160" s="300" t="s">
        <v>1082</v>
      </c>
      <c r="D160" s="300" t="s">
        <v>433</v>
      </c>
      <c r="E160" s="300">
        <v>2027.0</v>
      </c>
      <c r="F160" s="300">
        <v>3.0</v>
      </c>
      <c r="G160" s="300"/>
      <c r="H160" s="300" t="s">
        <v>103</v>
      </c>
      <c r="J160" s="300" t="s">
        <v>2324</v>
      </c>
      <c r="K160" s="300" t="s">
        <v>3592</v>
      </c>
      <c r="L160" s="300" t="s">
        <v>52</v>
      </c>
      <c r="M160" s="300" t="s">
        <v>3593</v>
      </c>
      <c r="N160" s="300"/>
      <c r="O160" s="300">
        <v>4.0</v>
      </c>
      <c r="P160" s="300"/>
      <c r="Q160" s="300" t="s">
        <v>3594</v>
      </c>
      <c r="R160" s="300" t="s">
        <v>2821</v>
      </c>
      <c r="S160" s="300" t="s">
        <v>7848</v>
      </c>
    </row>
    <row r="161">
      <c r="A161" s="300">
        <f t="array" ref="A161">XLOOKUP(B161,'High School Players'!D:D,'High School Players'!K:K,"",0,1)</f>
        <v>3</v>
      </c>
      <c r="B161" s="300" t="s">
        <v>3611</v>
      </c>
      <c r="C161" s="300" t="s">
        <v>3612</v>
      </c>
      <c r="D161" s="300" t="s">
        <v>3613</v>
      </c>
      <c r="E161" s="300">
        <v>2027.0</v>
      </c>
      <c r="F161" s="300">
        <v>3.0</v>
      </c>
      <c r="G161" s="300"/>
      <c r="H161" s="300" t="s">
        <v>109</v>
      </c>
      <c r="J161" s="300" t="s">
        <v>1989</v>
      </c>
      <c r="K161" s="300" t="s">
        <v>3614</v>
      </c>
      <c r="L161" s="300" t="s">
        <v>174</v>
      </c>
      <c r="M161" s="300" t="s">
        <v>3614</v>
      </c>
      <c r="Q161" s="300" t="s">
        <v>3615</v>
      </c>
      <c r="R161" s="300" t="s">
        <v>2821</v>
      </c>
      <c r="S161" s="300" t="s">
        <v>7849</v>
      </c>
    </row>
    <row r="162" hidden="1">
      <c r="A162" s="300" t="str">
        <f t="array" ref="A162">XLOOKUP(B162,'High School Players'!D:D,'High School Players'!K:K,"",0,1)</f>
        <v>XX</v>
      </c>
      <c r="B162" s="300" t="s">
        <v>5030</v>
      </c>
      <c r="C162" s="300" t="s">
        <v>3612</v>
      </c>
      <c r="D162" s="300" t="s">
        <v>5031</v>
      </c>
      <c r="E162" s="300">
        <v>2027.0</v>
      </c>
      <c r="F162" s="300">
        <v>3.0</v>
      </c>
      <c r="G162" s="300"/>
      <c r="H162" s="300" t="s">
        <v>103</v>
      </c>
      <c r="I162" s="300">
        <v>2.0</v>
      </c>
      <c r="J162" s="300" t="s">
        <v>1989</v>
      </c>
      <c r="K162" s="300" t="s">
        <v>7850</v>
      </c>
      <c r="L162" s="300" t="s">
        <v>160</v>
      </c>
      <c r="M162" s="300" t="s">
        <v>7691</v>
      </c>
      <c r="N162" s="300"/>
      <c r="O162" s="300">
        <v>4.3</v>
      </c>
      <c r="P162" s="300"/>
      <c r="Q162" s="300" t="s">
        <v>7851</v>
      </c>
      <c r="R162" s="300"/>
      <c r="S162" s="300" t="s">
        <v>7852</v>
      </c>
    </row>
    <row r="163">
      <c r="A163" s="300" t="str">
        <f t="array" ref="A163">XLOOKUP(B163,'High School Players'!D:D,'High School Players'!K:K,"",0,1)</f>
        <v>XX</v>
      </c>
      <c r="B163" s="300" t="s">
        <v>4840</v>
      </c>
      <c r="C163" s="300" t="s">
        <v>1057</v>
      </c>
      <c r="D163" s="300" t="s">
        <v>4841</v>
      </c>
      <c r="E163" s="300">
        <v>2027.0</v>
      </c>
      <c r="F163" s="300">
        <v>3.0</v>
      </c>
      <c r="G163" s="300"/>
      <c r="H163" s="300" t="s">
        <v>63</v>
      </c>
      <c r="J163" s="300" t="s">
        <v>1550</v>
      </c>
      <c r="K163" s="300" t="s">
        <v>4843</v>
      </c>
      <c r="L163" s="300" t="s">
        <v>307</v>
      </c>
      <c r="M163" s="300" t="s">
        <v>4843</v>
      </c>
      <c r="N163" s="300"/>
      <c r="O163" s="300">
        <v>3.83</v>
      </c>
      <c r="P163" s="300"/>
      <c r="Q163" s="300" t="s">
        <v>4844</v>
      </c>
      <c r="R163" s="300" t="s">
        <v>2821</v>
      </c>
      <c r="S163" s="300" t="s">
        <v>7853</v>
      </c>
    </row>
    <row r="164">
      <c r="A164" s="300" t="str">
        <f t="array" ref="A164">XLOOKUP(B164,'High School Players'!D:D,'High School Players'!K:K,"",0,1)</f>
        <v>XX</v>
      </c>
      <c r="B164" s="300" t="s">
        <v>5586</v>
      </c>
      <c r="C164" s="300" t="s">
        <v>768</v>
      </c>
      <c r="D164" s="300" t="s">
        <v>2049</v>
      </c>
      <c r="E164" s="300">
        <v>2027.0</v>
      </c>
      <c r="F164" s="300">
        <v>3.0</v>
      </c>
      <c r="G164" s="300"/>
      <c r="H164" s="300" t="s">
        <v>1519</v>
      </c>
      <c r="J164" s="300" t="s">
        <v>1550</v>
      </c>
      <c r="K164" s="300" t="s">
        <v>5587</v>
      </c>
      <c r="L164" s="300" t="s">
        <v>112</v>
      </c>
      <c r="M164" s="300" t="s">
        <v>5588</v>
      </c>
      <c r="N164" s="300"/>
      <c r="O164" s="300">
        <v>4.0</v>
      </c>
      <c r="P164" s="300"/>
      <c r="Q164" s="300" t="s">
        <v>5589</v>
      </c>
      <c r="R164" s="300" t="s">
        <v>2821</v>
      </c>
      <c r="S164" s="300" t="s">
        <v>7854</v>
      </c>
    </row>
    <row r="165">
      <c r="A165" s="300">
        <f t="array" ref="A165">XLOOKUP(B165,'High School Players'!D:D,'High School Players'!K:K,"",0,1)</f>
        <v>3</v>
      </c>
      <c r="B165" s="300" t="s">
        <v>3509</v>
      </c>
      <c r="C165" s="300" t="s">
        <v>3510</v>
      </c>
      <c r="D165" s="300" t="s">
        <v>245</v>
      </c>
      <c r="E165" s="300">
        <v>2027.0</v>
      </c>
      <c r="F165" s="300">
        <v>3.0</v>
      </c>
      <c r="G165" s="300"/>
      <c r="H165" s="300" t="s">
        <v>109</v>
      </c>
      <c r="J165" s="300" t="s">
        <v>1550</v>
      </c>
      <c r="K165" s="300" t="s">
        <v>2908</v>
      </c>
      <c r="L165" s="300" t="s">
        <v>543</v>
      </c>
      <c r="M165" s="300" t="s">
        <v>3511</v>
      </c>
      <c r="N165" s="300"/>
      <c r="O165" s="300">
        <v>4.0</v>
      </c>
      <c r="P165" s="300"/>
      <c r="Q165" s="300" t="s">
        <v>3512</v>
      </c>
      <c r="R165" s="300" t="s">
        <v>2821</v>
      </c>
      <c r="S165" s="300" t="s">
        <v>7855</v>
      </c>
    </row>
    <row r="166">
      <c r="A166" s="300" t="str">
        <f t="array" ref="A166">XLOOKUP(B166,'High School Players'!D:D,'High School Players'!K:K,"",0,1)</f>
        <v>XX</v>
      </c>
      <c r="B166" s="300" t="s">
        <v>5898</v>
      </c>
      <c r="C166" s="300" t="s">
        <v>49</v>
      </c>
      <c r="D166" s="300" t="s">
        <v>1797</v>
      </c>
      <c r="E166" s="300">
        <v>2027.0</v>
      </c>
      <c r="F166" s="300">
        <v>3.0</v>
      </c>
      <c r="G166" s="300"/>
      <c r="H166" s="300" t="s">
        <v>1398</v>
      </c>
      <c r="J166" s="300" t="s">
        <v>1989</v>
      </c>
      <c r="K166" s="300" t="s">
        <v>5185</v>
      </c>
      <c r="L166" s="300" t="s">
        <v>508</v>
      </c>
      <c r="M166" s="300" t="s">
        <v>5899</v>
      </c>
      <c r="Q166" s="300" t="s">
        <v>5900</v>
      </c>
      <c r="R166" s="300" t="s">
        <v>2821</v>
      </c>
      <c r="S166" s="300" t="s">
        <v>7856</v>
      </c>
    </row>
    <row r="167">
      <c r="A167" s="300" t="str">
        <f t="array" ref="A167">XLOOKUP(B167,'High School Players'!D:D,'High School Players'!K:K,"",0,1)</f>
        <v/>
      </c>
      <c r="B167" s="300" t="s">
        <v>7857</v>
      </c>
      <c r="C167" s="300" t="s">
        <v>7858</v>
      </c>
      <c r="D167" s="300" t="s">
        <v>3538</v>
      </c>
      <c r="E167" s="300">
        <v>2027.0</v>
      </c>
      <c r="F167" s="300">
        <v>3.0</v>
      </c>
      <c r="G167" s="300"/>
      <c r="H167" s="300" t="s">
        <v>122</v>
      </c>
      <c r="J167" s="300" t="s">
        <v>1556</v>
      </c>
      <c r="K167" s="300" t="s">
        <v>3539</v>
      </c>
      <c r="L167" s="300" t="s">
        <v>85</v>
      </c>
      <c r="M167" s="300" t="s">
        <v>3540</v>
      </c>
      <c r="Q167" s="300" t="s">
        <v>3541</v>
      </c>
      <c r="R167" s="300" t="s">
        <v>2821</v>
      </c>
      <c r="S167" s="300" t="s">
        <v>7859</v>
      </c>
    </row>
    <row r="168" hidden="1">
      <c r="A168" s="300">
        <f t="array" ref="A168">XLOOKUP(B168,'High School Players'!D:D,'High School Players'!K:K,"",0,1)</f>
        <v>3</v>
      </c>
      <c r="B168" s="300" t="s">
        <v>3625</v>
      </c>
      <c r="C168" s="300" t="s">
        <v>424</v>
      </c>
      <c r="D168" s="300" t="s">
        <v>3626</v>
      </c>
      <c r="E168" s="300">
        <v>2027.0</v>
      </c>
      <c r="F168" s="300">
        <v>3.0</v>
      </c>
      <c r="G168" s="300"/>
      <c r="H168" s="300" t="s">
        <v>63</v>
      </c>
      <c r="I168" s="300">
        <v>21.0</v>
      </c>
      <c r="J168" s="300" t="s">
        <v>1550</v>
      </c>
      <c r="K168" s="300" t="s">
        <v>3627</v>
      </c>
      <c r="L168" s="300" t="s">
        <v>85</v>
      </c>
      <c r="M168" s="300" t="s">
        <v>3627</v>
      </c>
      <c r="N168" s="300"/>
      <c r="O168" s="300">
        <v>4.8</v>
      </c>
      <c r="P168" s="300"/>
      <c r="Q168" s="300" t="s">
        <v>7860</v>
      </c>
    </row>
    <row r="169">
      <c r="A169" s="300">
        <f t="array" ref="A169">XLOOKUP(B169,'High School Players'!D:D,'High School Players'!K:K,"",0,1)</f>
        <v>3</v>
      </c>
      <c r="B169" s="300" t="s">
        <v>3531</v>
      </c>
      <c r="C169" s="300" t="s">
        <v>3532</v>
      </c>
      <c r="D169" s="300" t="s">
        <v>3533</v>
      </c>
      <c r="E169" s="300">
        <v>2027.0</v>
      </c>
      <c r="F169" s="300">
        <v>3.0</v>
      </c>
      <c r="G169" s="300"/>
      <c r="H169" s="300" t="s">
        <v>51</v>
      </c>
      <c r="J169" s="300" t="s">
        <v>1550</v>
      </c>
      <c r="K169" s="300" t="s">
        <v>3534</v>
      </c>
      <c r="L169" s="300" t="s">
        <v>614</v>
      </c>
      <c r="M169" s="300" t="s">
        <v>3535</v>
      </c>
      <c r="N169" s="300"/>
      <c r="O169" s="300">
        <v>3.9</v>
      </c>
      <c r="P169" s="300"/>
      <c r="Q169" s="300" t="s">
        <v>3536</v>
      </c>
      <c r="R169" s="300" t="s">
        <v>2821</v>
      </c>
      <c r="S169" s="300" t="s">
        <v>7861</v>
      </c>
    </row>
    <row r="170">
      <c r="A170" s="300">
        <f t="array" ref="A170">XLOOKUP(B170,'High School Players'!D:D,'High School Players'!K:K,"",0,1)</f>
        <v>3</v>
      </c>
      <c r="B170" s="300" t="s">
        <v>3675</v>
      </c>
      <c r="C170" s="300" t="s">
        <v>3676</v>
      </c>
      <c r="D170" s="300" t="s">
        <v>3677</v>
      </c>
      <c r="E170" s="300">
        <v>2027.0</v>
      </c>
      <c r="F170" s="300">
        <v>3.0</v>
      </c>
      <c r="G170" s="300"/>
      <c r="H170" s="300" t="s">
        <v>109</v>
      </c>
      <c r="J170" s="300" t="s">
        <v>1550</v>
      </c>
      <c r="K170" s="300" t="s">
        <v>3678</v>
      </c>
      <c r="L170" s="300" t="s">
        <v>255</v>
      </c>
      <c r="M170" s="300" t="s">
        <v>3679</v>
      </c>
      <c r="N170" s="300"/>
      <c r="O170" s="300">
        <v>4.0</v>
      </c>
      <c r="P170" s="300"/>
      <c r="Q170" s="300" t="s">
        <v>3680</v>
      </c>
      <c r="R170" s="300" t="s">
        <v>2821</v>
      </c>
      <c r="S170" s="300" t="s">
        <v>7862</v>
      </c>
    </row>
    <row r="171" hidden="1">
      <c r="A171" s="300">
        <f t="array" ref="A171">XLOOKUP(B171,'High School Players'!D:D,'High School Players'!K:K,"",0,1)</f>
        <v>3</v>
      </c>
      <c r="B171" s="300" t="s">
        <v>3567</v>
      </c>
      <c r="C171" s="300" t="s">
        <v>1206</v>
      </c>
      <c r="D171" s="300" t="s">
        <v>3568</v>
      </c>
      <c r="E171" s="300">
        <v>2027.0</v>
      </c>
      <c r="F171" s="300">
        <v>3.0</v>
      </c>
      <c r="G171" s="300"/>
      <c r="H171" s="300" t="s">
        <v>1972</v>
      </c>
      <c r="I171" s="300">
        <v>25.0</v>
      </c>
      <c r="J171" s="300" t="s">
        <v>1550</v>
      </c>
      <c r="K171" s="300" t="s">
        <v>7863</v>
      </c>
      <c r="L171" s="300" t="s">
        <v>255</v>
      </c>
      <c r="M171" s="300" t="s">
        <v>7864</v>
      </c>
      <c r="Q171" s="300" t="s">
        <v>7865</v>
      </c>
      <c r="R171" s="300"/>
      <c r="S171" s="300" t="s">
        <v>7866</v>
      </c>
    </row>
    <row r="172">
      <c r="A172" s="300" t="str">
        <f t="array" ref="A172">XLOOKUP(B172,'High School Players'!D:D,'High School Players'!K:K,"",0,1)</f>
        <v>XX</v>
      </c>
      <c r="B172" s="300" t="s">
        <v>4845</v>
      </c>
      <c r="C172" s="300" t="s">
        <v>729</v>
      </c>
      <c r="D172" s="300" t="s">
        <v>4846</v>
      </c>
      <c r="E172" s="300">
        <v>2027.0</v>
      </c>
      <c r="F172" s="300">
        <v>3.0</v>
      </c>
      <c r="G172" s="300"/>
      <c r="H172" s="300" t="s">
        <v>103</v>
      </c>
      <c r="J172" s="300" t="s">
        <v>1989</v>
      </c>
      <c r="K172" s="300" t="s">
        <v>4848</v>
      </c>
      <c r="L172" s="300" t="s">
        <v>180</v>
      </c>
      <c r="M172" s="300" t="s">
        <v>4849</v>
      </c>
      <c r="Q172" s="300" t="s">
        <v>4850</v>
      </c>
      <c r="R172" s="300" t="s">
        <v>2821</v>
      </c>
      <c r="S172" s="300" t="s">
        <v>7867</v>
      </c>
    </row>
    <row r="173">
      <c r="A173" s="300">
        <f t="array" ref="A173">XLOOKUP(B173,'High School Players'!D:D,'High School Players'!K:K,"",0,1)</f>
        <v>3</v>
      </c>
      <c r="B173" s="300" t="s">
        <v>3482</v>
      </c>
      <c r="C173" s="300" t="s">
        <v>187</v>
      </c>
      <c r="D173" s="300" t="s">
        <v>640</v>
      </c>
      <c r="E173" s="300">
        <v>2027.0</v>
      </c>
      <c r="F173" s="300">
        <v>3.0</v>
      </c>
      <c r="G173" s="300"/>
      <c r="H173" s="300" t="s">
        <v>122</v>
      </c>
      <c r="J173" s="300" t="s">
        <v>1556</v>
      </c>
      <c r="K173" s="300" t="s">
        <v>2430</v>
      </c>
      <c r="L173" s="300" t="s">
        <v>636</v>
      </c>
      <c r="M173" s="300" t="s">
        <v>3483</v>
      </c>
      <c r="N173" s="300"/>
      <c r="O173" s="300">
        <v>3.7</v>
      </c>
      <c r="P173" s="300"/>
      <c r="Q173" s="300" t="s">
        <v>3484</v>
      </c>
      <c r="R173" s="300" t="s">
        <v>2821</v>
      </c>
      <c r="S173" s="300" t="s">
        <v>7868</v>
      </c>
    </row>
    <row r="174">
      <c r="A174" s="300" t="str">
        <f t="array" ref="A174">XLOOKUP(B174,'High School Players'!D:D,'High School Players'!K:K,"",0,1)</f>
        <v>XX</v>
      </c>
      <c r="B174" s="300" t="s">
        <v>6024</v>
      </c>
      <c r="C174" s="300" t="s">
        <v>3666</v>
      </c>
      <c r="D174" s="300" t="s">
        <v>6025</v>
      </c>
      <c r="E174" s="300">
        <v>2027.0</v>
      </c>
      <c r="F174" s="300">
        <v>4.0</v>
      </c>
      <c r="G174" s="300"/>
      <c r="H174" s="300" t="s">
        <v>1398</v>
      </c>
      <c r="J174" s="300" t="s">
        <v>1550</v>
      </c>
      <c r="K174" s="300" t="s">
        <v>5257</v>
      </c>
      <c r="L174" s="300" t="s">
        <v>319</v>
      </c>
      <c r="M174" s="300" t="s">
        <v>6027</v>
      </c>
      <c r="N174" s="300"/>
      <c r="O174" s="300">
        <v>4.44</v>
      </c>
      <c r="P174" s="300"/>
      <c r="Q174" s="300" t="s">
        <v>6028</v>
      </c>
      <c r="R174" s="300" t="s">
        <v>2821</v>
      </c>
      <c r="S174" s="300" t="s">
        <v>7869</v>
      </c>
    </row>
    <row r="175">
      <c r="A175" s="300" t="str">
        <f t="array" ref="A175">XLOOKUP(B175,'High School Players'!D:D,'High School Players'!K:K,"",0,1)</f>
        <v>XX</v>
      </c>
      <c r="B175" s="300" t="s">
        <v>4128</v>
      </c>
      <c r="C175" s="300" t="s">
        <v>988</v>
      </c>
      <c r="D175" s="300" t="s">
        <v>4129</v>
      </c>
      <c r="E175" s="300">
        <v>2027.0</v>
      </c>
      <c r="F175" s="300">
        <v>4.0</v>
      </c>
      <c r="G175" s="300"/>
      <c r="H175" s="300" t="s">
        <v>1519</v>
      </c>
      <c r="J175" s="300" t="s">
        <v>1550</v>
      </c>
      <c r="K175" s="300" t="s">
        <v>4131</v>
      </c>
      <c r="L175" s="300" t="s">
        <v>52</v>
      </c>
      <c r="M175" s="300" t="s">
        <v>4132</v>
      </c>
      <c r="N175" s="300"/>
      <c r="O175" s="300">
        <v>3.91</v>
      </c>
      <c r="P175" s="300"/>
      <c r="Q175" s="300" t="s">
        <v>4133</v>
      </c>
      <c r="R175" s="300" t="s">
        <v>2821</v>
      </c>
      <c r="S175" s="300" t="s">
        <v>7870</v>
      </c>
    </row>
    <row r="176">
      <c r="A176" s="300" t="str">
        <f t="array" ref="A176">XLOOKUP(B176,'High School Players'!D:D,'High School Players'!K:K,"",0,1)</f>
        <v>XX</v>
      </c>
      <c r="B176" s="300" t="s">
        <v>4387</v>
      </c>
      <c r="C176" s="300" t="s">
        <v>599</v>
      </c>
      <c r="D176" s="300" t="s">
        <v>3647</v>
      </c>
      <c r="E176" s="300">
        <v>2027.0</v>
      </c>
      <c r="F176" s="300">
        <v>4.0</v>
      </c>
      <c r="G176" s="300"/>
      <c r="H176" s="300" t="s">
        <v>2838</v>
      </c>
      <c r="J176" s="300" t="s">
        <v>1550</v>
      </c>
      <c r="K176" s="300" t="s">
        <v>675</v>
      </c>
      <c r="L176" s="300" t="s">
        <v>43</v>
      </c>
      <c r="M176" s="300" t="s">
        <v>675</v>
      </c>
      <c r="Q176" s="300" t="s">
        <v>4388</v>
      </c>
      <c r="R176" s="300" t="s">
        <v>2821</v>
      </c>
      <c r="S176" s="300" t="s">
        <v>7871</v>
      </c>
    </row>
    <row r="177">
      <c r="A177" s="300" t="str">
        <f t="array" ref="A177">XLOOKUP(B177,'High School Players'!D:D,'High School Players'!K:K,"",0,1)</f>
        <v/>
      </c>
      <c r="B177" s="300" t="s">
        <v>7872</v>
      </c>
      <c r="C177" s="300" t="s">
        <v>3666</v>
      </c>
      <c r="D177" s="300" t="s">
        <v>5687</v>
      </c>
      <c r="E177" s="300">
        <v>2027.0</v>
      </c>
      <c r="F177" s="300">
        <v>4.0</v>
      </c>
      <c r="G177" s="300"/>
      <c r="H177" s="300" t="s">
        <v>109</v>
      </c>
      <c r="J177" s="300" t="s">
        <v>1989</v>
      </c>
      <c r="K177" s="300" t="s">
        <v>1973</v>
      </c>
      <c r="L177" s="300" t="s">
        <v>43</v>
      </c>
      <c r="M177" s="300" t="s">
        <v>4260</v>
      </c>
      <c r="N177" s="300"/>
      <c r="O177" s="300">
        <v>4.25</v>
      </c>
      <c r="P177" s="300"/>
      <c r="Q177" s="300" t="s">
        <v>4261</v>
      </c>
      <c r="R177" s="300" t="s">
        <v>2821</v>
      </c>
      <c r="S177" s="300" t="s">
        <v>7873</v>
      </c>
    </row>
    <row r="178">
      <c r="A178" s="300" t="str">
        <f t="array" ref="A178">XLOOKUP(B178,'High School Players'!D:D,'High School Players'!K:K,"",0,1)</f>
        <v>XX</v>
      </c>
      <c r="B178" s="300" t="s">
        <v>4930</v>
      </c>
      <c r="C178" s="300" t="s">
        <v>1020</v>
      </c>
      <c r="D178" s="300" t="s">
        <v>4931</v>
      </c>
      <c r="E178" s="300">
        <v>2027.0</v>
      </c>
      <c r="F178" s="300">
        <v>4.0</v>
      </c>
      <c r="G178" s="300"/>
      <c r="H178" s="300" t="s">
        <v>103</v>
      </c>
      <c r="J178" s="300" t="s">
        <v>1556</v>
      </c>
      <c r="K178" s="300" t="s">
        <v>4933</v>
      </c>
      <c r="L178" s="300" t="s">
        <v>43</v>
      </c>
      <c r="M178" s="300" t="s">
        <v>4934</v>
      </c>
      <c r="N178" s="300"/>
      <c r="O178" s="300">
        <v>4.2</v>
      </c>
      <c r="P178" s="300"/>
      <c r="Q178" s="300" t="s">
        <v>4935</v>
      </c>
      <c r="R178" s="300" t="s">
        <v>2821</v>
      </c>
      <c r="S178" s="300" t="s">
        <v>7874</v>
      </c>
    </row>
    <row r="179">
      <c r="A179" s="300" t="str">
        <f t="array" ref="A179">XLOOKUP(B179,'High School Players'!D:D,'High School Players'!K:K,"",0,1)</f>
        <v>XX</v>
      </c>
      <c r="B179" s="300" t="s">
        <v>4864</v>
      </c>
      <c r="C179" s="300" t="s">
        <v>187</v>
      </c>
      <c r="D179" s="300" t="s">
        <v>4865</v>
      </c>
      <c r="E179" s="300">
        <v>2027.0</v>
      </c>
      <c r="F179" s="300">
        <v>4.0</v>
      </c>
      <c r="G179" s="300"/>
      <c r="H179" s="300" t="s">
        <v>1972</v>
      </c>
      <c r="J179" s="300" t="s">
        <v>1989</v>
      </c>
      <c r="K179" s="300" t="s">
        <v>2538</v>
      </c>
      <c r="L179" s="300" t="s">
        <v>483</v>
      </c>
      <c r="M179" s="300" t="s">
        <v>434</v>
      </c>
      <c r="N179" s="300"/>
      <c r="O179" s="300">
        <v>4.0</v>
      </c>
      <c r="P179" s="300"/>
      <c r="Q179" s="300" t="s">
        <v>4867</v>
      </c>
      <c r="R179" s="300" t="s">
        <v>2821</v>
      </c>
      <c r="S179" s="300" t="s">
        <v>7875</v>
      </c>
    </row>
    <row r="180">
      <c r="A180" s="300" t="str">
        <f t="array" ref="A180">XLOOKUP(B180,'High School Players'!D:D,'High School Players'!K:K,"",0,1)</f>
        <v>XX</v>
      </c>
      <c r="B180" s="300" t="s">
        <v>3718</v>
      </c>
      <c r="C180" s="300" t="s">
        <v>3086</v>
      </c>
      <c r="D180" s="300" t="s">
        <v>3719</v>
      </c>
      <c r="E180" s="300">
        <v>2027.0</v>
      </c>
      <c r="F180" s="300">
        <v>4.0</v>
      </c>
      <c r="G180" s="300"/>
      <c r="H180" s="300" t="s">
        <v>103</v>
      </c>
      <c r="J180" s="300" t="s">
        <v>1556</v>
      </c>
      <c r="K180" s="300" t="s">
        <v>3720</v>
      </c>
      <c r="L180" s="300" t="s">
        <v>483</v>
      </c>
      <c r="M180" s="300" t="s">
        <v>3721</v>
      </c>
      <c r="N180" s="300"/>
      <c r="O180" s="300">
        <v>3.8</v>
      </c>
      <c r="P180" s="300"/>
      <c r="Q180" s="300" t="s">
        <v>3722</v>
      </c>
      <c r="R180" s="300" t="s">
        <v>2821</v>
      </c>
      <c r="S180" s="300" t="s">
        <v>7876</v>
      </c>
    </row>
    <row r="181">
      <c r="A181" s="300" t="str">
        <f t="array" ref="A181">XLOOKUP(B181,'High School Players'!D:D,'High School Players'!K:K,"",0,1)</f>
        <v>XX</v>
      </c>
      <c r="B181" s="300" t="s">
        <v>5494</v>
      </c>
      <c r="C181" s="300" t="s">
        <v>1302</v>
      </c>
      <c r="D181" s="300" t="s">
        <v>5495</v>
      </c>
      <c r="E181" s="300">
        <v>2027.0</v>
      </c>
      <c r="F181" s="300">
        <v>4.0</v>
      </c>
      <c r="G181" s="300"/>
      <c r="H181" s="300" t="s">
        <v>109</v>
      </c>
      <c r="J181" s="300" t="s">
        <v>1550</v>
      </c>
      <c r="K181" s="300" t="s">
        <v>5497</v>
      </c>
      <c r="L181" s="300" t="s">
        <v>483</v>
      </c>
      <c r="M181" s="300" t="s">
        <v>5498</v>
      </c>
      <c r="N181" s="300"/>
      <c r="O181" s="300">
        <v>4.0</v>
      </c>
      <c r="P181" s="300"/>
      <c r="Q181" s="300" t="s">
        <v>5499</v>
      </c>
      <c r="R181" s="300" t="s">
        <v>2821</v>
      </c>
      <c r="S181" s="300" t="s">
        <v>7877</v>
      </c>
    </row>
    <row r="182">
      <c r="A182" s="300" t="str">
        <f t="array" ref="A182">XLOOKUP(B182,'High School Players'!D:D,'High School Players'!K:K,"",0,1)</f>
        <v>XX</v>
      </c>
      <c r="B182" s="300" t="s">
        <v>4326</v>
      </c>
      <c r="C182" s="300" t="s">
        <v>4327</v>
      </c>
      <c r="D182" s="300" t="s">
        <v>4328</v>
      </c>
      <c r="E182" s="300">
        <v>2027.0</v>
      </c>
      <c r="F182" s="300">
        <v>4.0</v>
      </c>
      <c r="G182" s="300"/>
      <c r="H182" s="300" t="s">
        <v>1398</v>
      </c>
      <c r="J182" s="300" t="s">
        <v>1550</v>
      </c>
      <c r="K182" s="300" t="s">
        <v>2074</v>
      </c>
      <c r="L182" s="300" t="s">
        <v>483</v>
      </c>
      <c r="M182" s="300" t="s">
        <v>4329</v>
      </c>
      <c r="N182" s="300"/>
      <c r="O182" s="300">
        <v>3.9</v>
      </c>
      <c r="P182" s="300"/>
      <c r="Q182" s="300" t="s">
        <v>4330</v>
      </c>
      <c r="R182" s="300" t="s">
        <v>2821</v>
      </c>
      <c r="S182" s="300" t="s">
        <v>7878</v>
      </c>
    </row>
    <row r="183">
      <c r="A183" s="300">
        <f t="array" ref="A183">XLOOKUP(B183,'High School Players'!D:D,'High School Players'!K:K,"",0,1)</f>
        <v>4</v>
      </c>
      <c r="B183" s="300" t="s">
        <v>3859</v>
      </c>
      <c r="C183" s="300" t="s">
        <v>551</v>
      </c>
      <c r="D183" s="300" t="s">
        <v>3860</v>
      </c>
      <c r="E183" s="300">
        <v>2027.0</v>
      </c>
      <c r="F183" s="300">
        <v>4.0</v>
      </c>
      <c r="G183" s="300"/>
      <c r="H183" s="300" t="s">
        <v>109</v>
      </c>
      <c r="J183" s="300" t="s">
        <v>1550</v>
      </c>
      <c r="K183" s="300" t="s">
        <v>3861</v>
      </c>
      <c r="L183" s="300" t="s">
        <v>698</v>
      </c>
      <c r="M183" s="300" t="s">
        <v>3862</v>
      </c>
      <c r="N183" s="300"/>
      <c r="O183" s="300">
        <v>4.0</v>
      </c>
      <c r="P183" s="300"/>
      <c r="Q183" s="300" t="s">
        <v>3863</v>
      </c>
      <c r="R183" s="300" t="s">
        <v>2821</v>
      </c>
      <c r="S183" s="300" t="s">
        <v>7879</v>
      </c>
    </row>
    <row r="184">
      <c r="A184" s="300" t="str">
        <f t="array" ref="A184">XLOOKUP(B184,'High School Players'!D:D,'High School Players'!K:K,"",0,1)</f>
        <v>XX</v>
      </c>
      <c r="B184" s="300" t="s">
        <v>5822</v>
      </c>
      <c r="C184" s="300" t="s">
        <v>3707</v>
      </c>
      <c r="D184" s="300" t="s">
        <v>5823</v>
      </c>
      <c r="E184" s="300">
        <v>2027.0</v>
      </c>
      <c r="F184" s="300">
        <v>4.0</v>
      </c>
      <c r="G184" s="300"/>
      <c r="H184" s="300" t="s">
        <v>103</v>
      </c>
      <c r="J184" s="300" t="s">
        <v>2324</v>
      </c>
      <c r="K184" s="300" t="s">
        <v>3861</v>
      </c>
      <c r="L184" s="300" t="s">
        <v>698</v>
      </c>
      <c r="M184" s="300" t="s">
        <v>3861</v>
      </c>
      <c r="N184" s="300"/>
      <c r="O184" s="300">
        <v>4.1</v>
      </c>
      <c r="P184" s="300"/>
      <c r="Q184" s="300" t="s">
        <v>5825</v>
      </c>
      <c r="R184" s="300" t="s">
        <v>2821</v>
      </c>
      <c r="S184" s="300" t="s">
        <v>7880</v>
      </c>
    </row>
    <row r="185">
      <c r="A185" s="300">
        <f t="array" ref="A185">XLOOKUP(B185,'High School Players'!D:D,'High School Players'!K:K,"",0,1)</f>
        <v>4</v>
      </c>
      <c r="B185" s="300" t="s">
        <v>4123</v>
      </c>
      <c r="C185" s="300" t="s">
        <v>3085</v>
      </c>
      <c r="D185" s="300" t="s">
        <v>4124</v>
      </c>
      <c r="E185" s="300">
        <v>2027.0</v>
      </c>
      <c r="F185" s="300">
        <v>4.0</v>
      </c>
      <c r="G185" s="300"/>
      <c r="H185" s="300" t="s">
        <v>1398</v>
      </c>
      <c r="J185" s="300" t="s">
        <v>1550</v>
      </c>
      <c r="K185" s="300" t="s">
        <v>4125</v>
      </c>
      <c r="L185" s="300" t="s">
        <v>698</v>
      </c>
      <c r="M185" s="300" t="s">
        <v>4126</v>
      </c>
      <c r="N185" s="300"/>
      <c r="O185" s="300">
        <v>4.0</v>
      </c>
      <c r="P185" s="300"/>
      <c r="Q185" s="300" t="s">
        <v>4127</v>
      </c>
      <c r="R185" s="300" t="s">
        <v>2821</v>
      </c>
      <c r="S185" s="300" t="s">
        <v>7881</v>
      </c>
    </row>
    <row r="186">
      <c r="A186" s="300" t="str">
        <f t="array" ref="A186">XLOOKUP(B186,'High School Players'!D:D,'High School Players'!K:K,"",0,1)</f>
        <v>XX</v>
      </c>
      <c r="B186" s="300" t="s">
        <v>5348</v>
      </c>
      <c r="C186" s="300" t="s">
        <v>1042</v>
      </c>
      <c r="D186" s="300" t="s">
        <v>3498</v>
      </c>
      <c r="E186" s="300">
        <v>2027.0</v>
      </c>
      <c r="F186" s="300">
        <v>4.0</v>
      </c>
      <c r="G186" s="300"/>
      <c r="H186" s="300" t="s">
        <v>1398</v>
      </c>
      <c r="J186" s="300" t="s">
        <v>1550</v>
      </c>
      <c r="K186" s="300" t="s">
        <v>5350</v>
      </c>
      <c r="L186" s="300" t="s">
        <v>330</v>
      </c>
      <c r="M186" s="300" t="s">
        <v>5351</v>
      </c>
      <c r="Q186" s="300" t="s">
        <v>5352</v>
      </c>
      <c r="R186" s="300" t="s">
        <v>2821</v>
      </c>
      <c r="S186" s="300" t="s">
        <v>7882</v>
      </c>
    </row>
    <row r="187">
      <c r="A187" s="300" t="str">
        <f t="array" ref="A187">XLOOKUP(B187,'High School Players'!D:D,'High School Players'!K:K,"",0,1)</f>
        <v>XX</v>
      </c>
      <c r="B187" s="300" t="s">
        <v>5209</v>
      </c>
      <c r="C187" s="300" t="s">
        <v>2088</v>
      </c>
      <c r="D187" s="300" t="s">
        <v>5210</v>
      </c>
      <c r="E187" s="300">
        <v>2027.0</v>
      </c>
      <c r="F187" s="300">
        <v>4.0</v>
      </c>
      <c r="G187" s="300"/>
      <c r="H187" s="300" t="s">
        <v>1972</v>
      </c>
      <c r="J187" s="300" t="s">
        <v>1556</v>
      </c>
      <c r="K187" s="300" t="s">
        <v>1591</v>
      </c>
      <c r="L187" s="300" t="s">
        <v>330</v>
      </c>
      <c r="M187" s="300" t="s">
        <v>5212</v>
      </c>
      <c r="N187" s="300"/>
      <c r="O187" s="300">
        <v>3.93</v>
      </c>
      <c r="P187" s="300"/>
      <c r="Q187" s="300" t="s">
        <v>5213</v>
      </c>
      <c r="R187" s="300" t="s">
        <v>2821</v>
      </c>
      <c r="S187" s="300" t="s">
        <v>7883</v>
      </c>
    </row>
    <row r="188">
      <c r="A188" s="300">
        <f t="array" ref="A188">XLOOKUP(B188,'High School Players'!D:D,'High School Players'!K:K,"",0,1)</f>
        <v>3</v>
      </c>
      <c r="B188" s="300" t="s">
        <v>3661</v>
      </c>
      <c r="C188" s="300" t="s">
        <v>1654</v>
      </c>
      <c r="D188" s="300" t="s">
        <v>3662</v>
      </c>
      <c r="E188" s="300">
        <v>2027.0</v>
      </c>
      <c r="F188" s="300">
        <v>4.0</v>
      </c>
      <c r="G188" s="300"/>
      <c r="H188" s="300" t="s">
        <v>51</v>
      </c>
      <c r="J188" s="300" t="s">
        <v>1550</v>
      </c>
      <c r="K188" s="300" t="s">
        <v>3663</v>
      </c>
      <c r="L188" s="300" t="s">
        <v>125</v>
      </c>
      <c r="M188" s="300" t="s">
        <v>2269</v>
      </c>
      <c r="N188" s="300"/>
      <c r="O188" s="300">
        <v>4.0</v>
      </c>
      <c r="P188" s="300"/>
      <c r="Q188" s="300" t="s">
        <v>3664</v>
      </c>
      <c r="R188" s="300" t="s">
        <v>2821</v>
      </c>
      <c r="S188" s="300" t="s">
        <v>7884</v>
      </c>
    </row>
    <row r="189">
      <c r="A189" s="300" t="str">
        <f t="array" ref="A189">XLOOKUP(B189,'High School Players'!D:D,'High School Players'!K:K,"",0,1)</f>
        <v>XX</v>
      </c>
      <c r="B189" s="300" t="s">
        <v>5836</v>
      </c>
      <c r="C189" s="300" t="s">
        <v>5837</v>
      </c>
      <c r="D189" s="300" t="s">
        <v>5838</v>
      </c>
      <c r="E189" s="300">
        <v>2027.0</v>
      </c>
      <c r="F189" s="300">
        <v>4.0</v>
      </c>
      <c r="G189" s="300"/>
      <c r="H189" s="300" t="s">
        <v>1398</v>
      </c>
      <c r="J189" s="300" t="s">
        <v>1989</v>
      </c>
      <c r="K189" s="300" t="s">
        <v>5839</v>
      </c>
      <c r="L189" s="300" t="s">
        <v>1153</v>
      </c>
      <c r="M189" s="300" t="s">
        <v>5840</v>
      </c>
      <c r="N189" s="300"/>
      <c r="O189" s="300">
        <v>4.05</v>
      </c>
      <c r="P189" s="300"/>
      <c r="Q189" s="300" t="s">
        <v>5841</v>
      </c>
      <c r="R189" s="300" t="s">
        <v>2821</v>
      </c>
      <c r="S189" s="300" t="s">
        <v>7885</v>
      </c>
    </row>
    <row r="190">
      <c r="A190" s="300" t="str">
        <f t="array" ref="A190">XLOOKUP(B190,'High School Players'!D:D,'High School Players'!K:K,"",0,1)</f>
        <v>XX</v>
      </c>
      <c r="B190" s="300" t="s">
        <v>5806</v>
      </c>
      <c r="C190" s="300" t="s">
        <v>696</v>
      </c>
      <c r="D190" s="300" t="s">
        <v>5807</v>
      </c>
      <c r="E190" s="300">
        <v>2027.0</v>
      </c>
      <c r="F190" s="300">
        <v>4.0</v>
      </c>
      <c r="G190" s="300"/>
      <c r="H190" s="300" t="s">
        <v>1398</v>
      </c>
      <c r="J190" s="300" t="s">
        <v>1550</v>
      </c>
      <c r="K190" s="300" t="s">
        <v>5809</v>
      </c>
      <c r="L190" s="300" t="s">
        <v>1153</v>
      </c>
      <c r="M190" s="300" t="s">
        <v>5810</v>
      </c>
      <c r="N190" s="300"/>
      <c r="O190" s="300">
        <v>4.0</v>
      </c>
      <c r="P190" s="300"/>
      <c r="Q190" s="300" t="s">
        <v>5811</v>
      </c>
      <c r="R190" s="300" t="s">
        <v>2821</v>
      </c>
      <c r="S190" s="300" t="s">
        <v>7886</v>
      </c>
    </row>
    <row r="191">
      <c r="A191" s="300" t="str">
        <f t="array" ref="A191">XLOOKUP(B191,'High School Players'!D:D,'High School Players'!K:K,"",0,1)</f>
        <v>XX</v>
      </c>
      <c r="B191" s="300" t="s">
        <v>5750</v>
      </c>
      <c r="C191" s="300" t="s">
        <v>5751</v>
      </c>
      <c r="D191" s="300" t="s">
        <v>5752</v>
      </c>
      <c r="E191" s="300">
        <v>2027.0</v>
      </c>
      <c r="F191" s="300">
        <v>1.0</v>
      </c>
      <c r="G191" s="300"/>
      <c r="H191" s="300" t="s">
        <v>63</v>
      </c>
      <c r="J191" s="300" t="s">
        <v>1989</v>
      </c>
      <c r="K191" s="300" t="s">
        <v>5753</v>
      </c>
      <c r="L191" s="300" t="s">
        <v>125</v>
      </c>
      <c r="M191" s="300" t="s">
        <v>5754</v>
      </c>
      <c r="N191" s="300"/>
      <c r="O191" s="300">
        <v>4.0</v>
      </c>
      <c r="P191" s="300"/>
      <c r="Q191" s="300" t="s">
        <v>5755</v>
      </c>
      <c r="R191" s="300" t="s">
        <v>2821</v>
      </c>
      <c r="S191" s="300" t="s">
        <v>7887</v>
      </c>
    </row>
    <row r="192" hidden="1">
      <c r="A192" s="300" t="str">
        <f t="array" ref="A192">XLOOKUP(B192,'High School Players'!D:D,'High School Players'!K:K,"",0,1)</f>
        <v>XX</v>
      </c>
      <c r="B192" s="300" t="s">
        <v>7888</v>
      </c>
      <c r="C192" s="300" t="s">
        <v>5344</v>
      </c>
      <c r="D192" s="300" t="s">
        <v>7601</v>
      </c>
      <c r="E192" s="300">
        <v>2027.0</v>
      </c>
      <c r="F192" s="300" t="s">
        <v>410</v>
      </c>
      <c r="I192" s="300">
        <v>11.0</v>
      </c>
      <c r="J192" s="300" t="s">
        <v>1989</v>
      </c>
      <c r="K192" s="300" t="s">
        <v>2941</v>
      </c>
      <c r="L192" s="300" t="s">
        <v>52</v>
      </c>
      <c r="M192" s="300" t="s">
        <v>4753</v>
      </c>
      <c r="N192" s="300"/>
      <c r="O192" s="300">
        <v>3.9</v>
      </c>
      <c r="P192" s="300"/>
      <c r="Q192" s="300" t="s">
        <v>7602</v>
      </c>
      <c r="R192" s="300"/>
      <c r="S192" s="300" t="s">
        <v>7889</v>
      </c>
    </row>
    <row r="193" hidden="1">
      <c r="A193" s="300" t="str">
        <f t="array" ref="A193">XLOOKUP(B193,'High School Players'!D:D,'High School Players'!K:K,"",0,1)</f>
        <v>XX</v>
      </c>
      <c r="B193" s="300" t="s">
        <v>4936</v>
      </c>
      <c r="C193" s="300" t="s">
        <v>517</v>
      </c>
      <c r="D193" s="300" t="s">
        <v>152</v>
      </c>
      <c r="E193" s="300">
        <v>2027.0</v>
      </c>
      <c r="F193" s="300" t="s">
        <v>410</v>
      </c>
      <c r="I193" s="300">
        <v>5.0</v>
      </c>
      <c r="J193" s="300" t="s">
        <v>1550</v>
      </c>
      <c r="K193" s="300" t="s">
        <v>7890</v>
      </c>
      <c r="L193" s="300" t="s">
        <v>1611</v>
      </c>
      <c r="M193" s="300" t="s">
        <v>4937</v>
      </c>
      <c r="N193" s="300"/>
      <c r="O193" s="300">
        <v>3.94</v>
      </c>
      <c r="P193" s="300"/>
      <c r="Q193" s="300" t="s">
        <v>7891</v>
      </c>
      <c r="R193" s="300"/>
      <c r="S193" s="300" t="s">
        <v>7892</v>
      </c>
    </row>
    <row r="194" hidden="1">
      <c r="A194" s="300" t="str">
        <f t="array" ref="A194">XLOOKUP(B194,'High School Players'!D:D,'High School Players'!K:K,"",0,1)</f>
        <v>XX</v>
      </c>
      <c r="B194" s="300" t="s">
        <v>5908</v>
      </c>
      <c r="C194" s="300" t="s">
        <v>457</v>
      </c>
      <c r="D194" s="300" t="s">
        <v>5909</v>
      </c>
      <c r="E194" s="300">
        <v>2027.0</v>
      </c>
      <c r="F194" s="300" t="s">
        <v>410</v>
      </c>
      <c r="I194" s="300">
        <v>18.0</v>
      </c>
      <c r="J194" s="300" t="s">
        <v>1550</v>
      </c>
      <c r="K194" s="300" t="s">
        <v>4077</v>
      </c>
      <c r="L194" s="300" t="s">
        <v>160</v>
      </c>
      <c r="M194" s="300" t="s">
        <v>4077</v>
      </c>
      <c r="N194" s="300"/>
      <c r="O194" s="300">
        <v>3.4</v>
      </c>
      <c r="P194" s="300"/>
      <c r="Q194" s="300" t="s">
        <v>7893</v>
      </c>
      <c r="R194" s="300"/>
      <c r="S194" s="300" t="s">
        <v>7894</v>
      </c>
    </row>
    <row r="195" hidden="1">
      <c r="A195" s="300" t="str">
        <f t="array" ref="A195">XLOOKUP(B195,'High School Players'!D:D,'High School Players'!K:K,"",0,1)</f>
        <v>XX</v>
      </c>
      <c r="B195" s="300" t="s">
        <v>5890</v>
      </c>
      <c r="C195" s="300" t="s">
        <v>472</v>
      </c>
      <c r="D195" s="300" t="s">
        <v>5891</v>
      </c>
      <c r="E195" s="300">
        <v>2027.0</v>
      </c>
      <c r="F195" s="300" t="s">
        <v>410</v>
      </c>
      <c r="I195" s="300">
        <v>6.0</v>
      </c>
      <c r="J195" s="300" t="s">
        <v>1550</v>
      </c>
      <c r="K195" s="300" t="s">
        <v>1973</v>
      </c>
      <c r="L195" s="300" t="s">
        <v>43</v>
      </c>
      <c r="M195" s="300" t="s">
        <v>5892</v>
      </c>
      <c r="N195" s="300"/>
      <c r="O195" s="300">
        <v>3.9</v>
      </c>
      <c r="P195" s="300"/>
      <c r="Q195" s="300" t="s">
        <v>7895</v>
      </c>
      <c r="R195" s="300"/>
      <c r="S195" s="300" t="s">
        <v>7896</v>
      </c>
    </row>
    <row r="196" hidden="1">
      <c r="A196" s="300" t="str">
        <f t="array" ref="A196">XLOOKUP(B196,'High School Players'!D:D,'High School Players'!K:K,"",0,1)</f>
        <v>XX</v>
      </c>
      <c r="B196" s="300" t="s">
        <v>5156</v>
      </c>
      <c r="C196" s="300" t="s">
        <v>921</v>
      </c>
      <c r="D196" s="300" t="s">
        <v>1537</v>
      </c>
      <c r="E196" s="300">
        <v>2027.0</v>
      </c>
      <c r="F196" s="300" t="s">
        <v>410</v>
      </c>
      <c r="I196" s="300">
        <v>19.0</v>
      </c>
      <c r="J196" s="300" t="s">
        <v>1556</v>
      </c>
      <c r="K196" s="300" t="s">
        <v>729</v>
      </c>
      <c r="L196" s="300" t="s">
        <v>85</v>
      </c>
      <c r="M196" s="300" t="s">
        <v>3912</v>
      </c>
      <c r="N196" s="300"/>
      <c r="O196" s="300">
        <v>3.5</v>
      </c>
      <c r="P196" s="300"/>
      <c r="Q196" s="300" t="s">
        <v>7897</v>
      </c>
      <c r="R196" s="300"/>
      <c r="S196" s="300" t="s">
        <v>7898</v>
      </c>
    </row>
    <row r="197" hidden="1">
      <c r="A197" s="300" t="str">
        <f t="array" ref="A197">XLOOKUP(B197,'High School Players'!D:D,'High School Players'!K:K,"",0,1)</f>
        <v>XX</v>
      </c>
      <c r="B197" s="300" t="s">
        <v>5110</v>
      </c>
      <c r="C197" s="300" t="s">
        <v>424</v>
      </c>
      <c r="D197" s="300" t="s">
        <v>5111</v>
      </c>
      <c r="E197" s="300">
        <v>2027.0</v>
      </c>
      <c r="F197" s="300" t="s">
        <v>410</v>
      </c>
      <c r="I197" s="300">
        <v>20.0</v>
      </c>
      <c r="J197" s="300" t="s">
        <v>1550</v>
      </c>
      <c r="K197" s="300" t="s">
        <v>7899</v>
      </c>
      <c r="L197" s="300" t="s">
        <v>85</v>
      </c>
      <c r="M197" s="300" t="s">
        <v>3540</v>
      </c>
      <c r="N197" s="300"/>
      <c r="O197" s="300">
        <v>3.4</v>
      </c>
      <c r="P197" s="300"/>
      <c r="Q197" s="300" t="s">
        <v>7900</v>
      </c>
      <c r="R197" s="300"/>
      <c r="S197" s="300" t="s">
        <v>7901</v>
      </c>
    </row>
    <row r="198" hidden="1">
      <c r="A198" s="300" t="str">
        <f t="array" ref="A198">XLOOKUP(B198,'High School Players'!D:D,'High School Players'!K:K,"",0,1)</f>
        <v>XX</v>
      </c>
      <c r="B198" s="300" t="s">
        <v>5005</v>
      </c>
      <c r="C198" s="300" t="s">
        <v>1104</v>
      </c>
      <c r="D198" s="300" t="s">
        <v>5006</v>
      </c>
      <c r="E198" s="300">
        <v>2027.0</v>
      </c>
      <c r="F198" s="300" t="s">
        <v>410</v>
      </c>
      <c r="I198" s="300">
        <v>22.0</v>
      </c>
      <c r="J198" s="300" t="s">
        <v>1989</v>
      </c>
      <c r="K198" s="300" t="s">
        <v>7902</v>
      </c>
      <c r="L198" s="300" t="s">
        <v>942</v>
      </c>
      <c r="M198" s="300" t="s">
        <v>7903</v>
      </c>
      <c r="N198" s="300"/>
      <c r="O198" s="300">
        <v>3.6</v>
      </c>
      <c r="P198" s="300"/>
      <c r="Q198" s="300" t="s">
        <v>7904</v>
      </c>
      <c r="R198" s="300"/>
      <c r="S198" s="300" t="s">
        <v>7905</v>
      </c>
    </row>
    <row r="199" hidden="1">
      <c r="A199" s="300" t="str">
        <f t="array" ref="A199">XLOOKUP(B199,'High School Players'!D:D,'High School Players'!K:K,"",0,1)</f>
        <v>XX</v>
      </c>
      <c r="B199" s="300" t="s">
        <v>5091</v>
      </c>
      <c r="C199" s="300" t="s">
        <v>5092</v>
      </c>
      <c r="D199" s="300" t="s">
        <v>5093</v>
      </c>
      <c r="E199" s="300">
        <v>2027.0</v>
      </c>
      <c r="F199" s="300" t="s">
        <v>410</v>
      </c>
      <c r="I199" s="300">
        <v>23.0</v>
      </c>
      <c r="J199" s="300" t="s">
        <v>1550</v>
      </c>
      <c r="K199" s="300" t="s">
        <v>7906</v>
      </c>
      <c r="L199" s="300" t="s">
        <v>85</v>
      </c>
      <c r="M199" s="300" t="s">
        <v>7907</v>
      </c>
      <c r="N199" s="300"/>
      <c r="O199" s="300">
        <v>3.5</v>
      </c>
      <c r="P199" s="300"/>
      <c r="Q199" s="300" t="s">
        <v>7908</v>
      </c>
      <c r="R199" s="300"/>
      <c r="S199" s="300" t="s">
        <v>7909</v>
      </c>
    </row>
    <row r="200" hidden="1">
      <c r="A200" s="300" t="str">
        <f t="array" ref="A200">XLOOKUP(B200,'High School Players'!D:D,'High School Players'!K:K,"",0,1)</f>
        <v>XX</v>
      </c>
      <c r="B200" s="300" t="s">
        <v>5008</v>
      </c>
      <c r="C200" s="300" t="s">
        <v>954</v>
      </c>
      <c r="D200" s="300" t="s">
        <v>5009</v>
      </c>
      <c r="E200" s="300">
        <v>2027.0</v>
      </c>
      <c r="F200" s="300" t="s">
        <v>410</v>
      </c>
      <c r="I200" s="300">
        <v>13.0</v>
      </c>
      <c r="J200" s="300" t="s">
        <v>1550</v>
      </c>
      <c r="K200" s="300" t="s">
        <v>7910</v>
      </c>
      <c r="L200" s="300" t="s">
        <v>502</v>
      </c>
      <c r="M200" s="300" t="s">
        <v>5010</v>
      </c>
      <c r="N200" s="300"/>
      <c r="O200" s="300">
        <v>4.2</v>
      </c>
      <c r="P200" s="300"/>
      <c r="Q200" s="300" t="s">
        <v>7911</v>
      </c>
      <c r="R200" s="300"/>
      <c r="S200" s="300" t="s">
        <v>7912</v>
      </c>
    </row>
    <row r="201" hidden="1">
      <c r="A201" s="300" t="str">
        <f t="array" ref="A201">XLOOKUP(B201,'High School Players'!D:D,'High School Players'!K:K,"",0,1)</f>
        <v>XX</v>
      </c>
      <c r="B201" s="300" t="s">
        <v>5647</v>
      </c>
      <c r="C201" s="300" t="s">
        <v>5648</v>
      </c>
      <c r="D201" s="300" t="s">
        <v>5649</v>
      </c>
      <c r="E201" s="300">
        <v>2027.0</v>
      </c>
      <c r="F201" s="300" t="s">
        <v>410</v>
      </c>
      <c r="I201" s="300">
        <v>20.0</v>
      </c>
      <c r="J201" s="300" t="s">
        <v>1550</v>
      </c>
      <c r="K201" s="300" t="s">
        <v>7913</v>
      </c>
      <c r="L201" s="300" t="s">
        <v>502</v>
      </c>
      <c r="M201" s="300" t="s">
        <v>3065</v>
      </c>
      <c r="N201" s="300"/>
      <c r="O201" s="300">
        <v>3.7</v>
      </c>
      <c r="P201" s="300"/>
      <c r="Q201" s="300" t="s">
        <v>7914</v>
      </c>
      <c r="R201" s="300"/>
      <c r="S201" s="300" t="s">
        <v>7915</v>
      </c>
    </row>
    <row r="202" hidden="1">
      <c r="A202" s="300" t="str">
        <f t="array" ref="A202">XLOOKUP(B202,'High School Players'!D:D,'High School Players'!K:K,"",0,1)</f>
        <v>XX</v>
      </c>
      <c r="B202" s="300" t="s">
        <v>5074</v>
      </c>
      <c r="C202" s="300" t="s">
        <v>158</v>
      </c>
      <c r="D202" s="300" t="s">
        <v>5075</v>
      </c>
      <c r="E202" s="300">
        <v>2027.0</v>
      </c>
      <c r="F202" s="300" t="s">
        <v>410</v>
      </c>
      <c r="I202" s="300">
        <v>24.0</v>
      </c>
      <c r="J202" s="300" t="s">
        <v>1550</v>
      </c>
      <c r="K202" s="300" t="s">
        <v>4224</v>
      </c>
      <c r="L202" s="300" t="s">
        <v>502</v>
      </c>
      <c r="M202" s="300" t="s">
        <v>5076</v>
      </c>
      <c r="Q202" s="300" t="s">
        <v>7916</v>
      </c>
      <c r="R202" s="300"/>
      <c r="S202" s="300" t="s">
        <v>7917</v>
      </c>
    </row>
    <row r="203" hidden="1">
      <c r="A203" s="300" t="str">
        <f t="array" ref="A203">XLOOKUP(B203,'High School Players'!D:D,'High School Players'!K:K,"",0,1)</f>
        <v>XX</v>
      </c>
      <c r="B203" s="300" t="s">
        <v>4897</v>
      </c>
      <c r="C203" s="300" t="s">
        <v>284</v>
      </c>
      <c r="D203" s="300" t="s">
        <v>4898</v>
      </c>
      <c r="E203" s="300">
        <v>2027.0</v>
      </c>
      <c r="F203" s="300" t="s">
        <v>410</v>
      </c>
      <c r="I203" s="300">
        <v>15.0</v>
      </c>
      <c r="J203" s="300" t="s">
        <v>1550</v>
      </c>
      <c r="K203" s="300" t="s">
        <v>3249</v>
      </c>
      <c r="L203" s="300" t="s">
        <v>240</v>
      </c>
      <c r="M203" s="300" t="s">
        <v>7918</v>
      </c>
      <c r="N203" s="300"/>
      <c r="O203" s="300">
        <v>4.0</v>
      </c>
      <c r="P203" s="300"/>
      <c r="Q203" s="300" t="s">
        <v>7919</v>
      </c>
      <c r="R203" s="300"/>
      <c r="S203" s="300" t="s">
        <v>7920</v>
      </c>
    </row>
    <row r="204" hidden="1">
      <c r="A204" s="300" t="str">
        <f t="array" ref="A204">XLOOKUP(B204,'High School Players'!D:D,'High School Players'!K:K,"",0,1)</f>
        <v>XX</v>
      </c>
      <c r="B204" s="300" t="s">
        <v>2462</v>
      </c>
      <c r="C204" s="300" t="s">
        <v>432</v>
      </c>
      <c r="D204" s="300" t="s">
        <v>2463</v>
      </c>
      <c r="E204" s="300">
        <v>2027.0</v>
      </c>
      <c r="F204" s="300" t="s">
        <v>410</v>
      </c>
      <c r="I204" s="300">
        <v>4.0</v>
      </c>
      <c r="J204" s="300" t="s">
        <v>1550</v>
      </c>
      <c r="K204" s="300" t="s">
        <v>5539</v>
      </c>
      <c r="L204" s="300" t="s">
        <v>125</v>
      </c>
      <c r="M204" s="300" t="s">
        <v>1184</v>
      </c>
      <c r="N204" s="300"/>
      <c r="O204" s="300">
        <v>3.4</v>
      </c>
      <c r="P204" s="300"/>
      <c r="Q204" s="300" t="s">
        <v>7921</v>
      </c>
      <c r="R204" s="300"/>
      <c r="S204" s="300" t="s">
        <v>7922</v>
      </c>
    </row>
  </sheetData>
  <autoFilter ref="$A$1:$S$204">
    <filterColumn colId="0">
      <filters blank="1">
        <filter val="4"/>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2" max="22" width="32.5"/>
    <col customWidth="1" min="24" max="24" width="34.38"/>
  </cols>
  <sheetData>
    <row r="1">
      <c r="A1" s="413" t="s">
        <v>11</v>
      </c>
      <c r="B1" s="414" t="s">
        <v>12</v>
      </c>
      <c r="C1" s="415"/>
      <c r="D1" s="416" t="s">
        <v>13</v>
      </c>
      <c r="E1" s="415"/>
      <c r="F1" s="417" t="s">
        <v>5</v>
      </c>
      <c r="G1" s="418" t="s">
        <v>14</v>
      </c>
      <c r="H1" s="416" t="s">
        <v>4085</v>
      </c>
      <c r="I1" s="416" t="s">
        <v>7923</v>
      </c>
      <c r="J1" s="415"/>
      <c r="K1" s="416" t="s">
        <v>16</v>
      </c>
      <c r="L1" s="416" t="s">
        <v>17</v>
      </c>
      <c r="M1" s="416" t="s">
        <v>18</v>
      </c>
      <c r="N1" s="415"/>
      <c r="O1" s="415"/>
      <c r="P1" s="415"/>
      <c r="Q1" s="415"/>
      <c r="R1" s="416" t="s">
        <v>19</v>
      </c>
      <c r="S1" s="416" t="s">
        <v>19</v>
      </c>
      <c r="T1" s="416" t="s">
        <v>20</v>
      </c>
      <c r="U1" s="416" t="s">
        <v>21</v>
      </c>
      <c r="V1" s="416" t="s">
        <v>22</v>
      </c>
      <c r="W1" s="415"/>
      <c r="X1" s="416" t="s">
        <v>26</v>
      </c>
    </row>
    <row r="2" hidden="1">
      <c r="A2" s="419"/>
      <c r="B2" s="420"/>
      <c r="C2" s="360"/>
      <c r="D2" s="421"/>
      <c r="E2" s="360"/>
      <c r="F2" s="421"/>
      <c r="G2" s="421"/>
      <c r="H2" s="360"/>
      <c r="I2" s="360"/>
      <c r="J2" s="360"/>
      <c r="K2" s="421"/>
      <c r="L2" s="421"/>
      <c r="M2" s="422"/>
      <c r="N2" s="360"/>
      <c r="O2" s="360"/>
      <c r="P2" s="360"/>
      <c r="Q2" s="360"/>
      <c r="R2" s="360"/>
      <c r="S2" s="360"/>
      <c r="T2" s="421"/>
      <c r="U2" s="360"/>
      <c r="V2" s="421"/>
      <c r="W2" s="360"/>
      <c r="X2" s="423"/>
    </row>
    <row r="3" hidden="1">
      <c r="A3" s="424"/>
      <c r="B3" s="425"/>
      <c r="C3" s="426"/>
      <c r="D3" s="427"/>
      <c r="E3" s="426"/>
      <c r="F3" s="427"/>
      <c r="G3" s="427"/>
      <c r="H3" s="426"/>
      <c r="I3" s="426"/>
      <c r="J3" s="426"/>
      <c r="K3" s="427"/>
      <c r="L3" s="426"/>
      <c r="M3" s="427"/>
      <c r="N3" s="426"/>
      <c r="O3" s="426"/>
      <c r="P3" s="426"/>
      <c r="Q3" s="426"/>
      <c r="R3" s="426"/>
      <c r="S3" s="426"/>
      <c r="T3" s="427"/>
      <c r="U3" s="427"/>
      <c r="V3" s="427"/>
      <c r="W3" s="426"/>
      <c r="X3" s="428"/>
    </row>
    <row r="4" hidden="1">
      <c r="A4" s="419"/>
      <c r="B4" s="420"/>
      <c r="C4" s="360"/>
      <c r="D4" s="421"/>
      <c r="E4" s="360"/>
      <c r="F4" s="421"/>
      <c r="G4" s="421"/>
      <c r="H4" s="360"/>
      <c r="I4" s="360"/>
      <c r="J4" s="360"/>
      <c r="K4" s="421"/>
      <c r="L4" s="360"/>
      <c r="M4" s="421"/>
      <c r="N4" s="360"/>
      <c r="O4" s="360"/>
      <c r="P4" s="360"/>
      <c r="Q4" s="360"/>
      <c r="R4" s="360"/>
      <c r="S4" s="360"/>
      <c r="T4" s="421"/>
      <c r="U4" s="421"/>
      <c r="V4" s="421"/>
      <c r="W4" s="360"/>
      <c r="X4" s="423"/>
    </row>
    <row r="5" hidden="1">
      <c r="A5" s="424"/>
      <c r="B5" s="425"/>
      <c r="C5" s="426"/>
      <c r="D5" s="427"/>
      <c r="E5" s="426"/>
      <c r="F5" s="427"/>
      <c r="G5" s="427"/>
      <c r="H5" s="426"/>
      <c r="I5" s="426"/>
      <c r="J5" s="426"/>
      <c r="K5" s="427"/>
      <c r="L5" s="426"/>
      <c r="M5" s="427"/>
      <c r="N5" s="426"/>
      <c r="O5" s="426"/>
      <c r="P5" s="426"/>
      <c r="Q5" s="426"/>
      <c r="R5" s="426"/>
      <c r="S5" s="426"/>
      <c r="T5" s="427"/>
      <c r="U5" s="427"/>
      <c r="V5" s="427"/>
      <c r="W5" s="426"/>
      <c r="X5" s="428"/>
    </row>
    <row r="6" hidden="1">
      <c r="A6" s="419"/>
      <c r="B6" s="420"/>
      <c r="C6" s="360"/>
      <c r="D6" s="421"/>
      <c r="E6" s="360"/>
      <c r="F6" s="421"/>
      <c r="G6" s="421"/>
      <c r="H6" s="360"/>
      <c r="I6" s="360"/>
      <c r="J6" s="360"/>
      <c r="K6" s="422"/>
      <c r="L6" s="360"/>
      <c r="M6" s="422"/>
      <c r="N6" s="360"/>
      <c r="O6" s="360"/>
      <c r="P6" s="360"/>
      <c r="Q6" s="360"/>
      <c r="R6" s="360"/>
      <c r="S6" s="360"/>
      <c r="T6" s="421"/>
      <c r="U6" s="360"/>
      <c r="V6" s="421"/>
      <c r="W6" s="360"/>
      <c r="X6" s="423"/>
    </row>
    <row r="7" hidden="1">
      <c r="A7" s="424"/>
      <c r="B7" s="425"/>
      <c r="C7" s="426"/>
      <c r="D7" s="427"/>
      <c r="E7" s="426"/>
      <c r="F7" s="427"/>
      <c r="G7" s="427"/>
      <c r="H7" s="426"/>
      <c r="I7" s="426"/>
      <c r="J7" s="426"/>
      <c r="K7" s="427"/>
      <c r="L7" s="426"/>
      <c r="M7" s="429"/>
      <c r="N7" s="426"/>
      <c r="O7" s="426"/>
      <c r="P7" s="426"/>
      <c r="Q7" s="426"/>
      <c r="R7" s="426"/>
      <c r="S7" s="426"/>
      <c r="T7" s="427"/>
      <c r="U7" s="426"/>
      <c r="V7" s="426"/>
      <c r="W7" s="426"/>
      <c r="X7" s="426"/>
    </row>
    <row r="8" hidden="1">
      <c r="A8" s="419"/>
      <c r="B8" s="420"/>
      <c r="C8" s="360"/>
      <c r="D8" s="421"/>
      <c r="E8" s="360"/>
      <c r="F8" s="421"/>
      <c r="G8" s="421"/>
      <c r="H8" s="360"/>
      <c r="I8" s="360"/>
      <c r="J8" s="360"/>
      <c r="K8" s="421"/>
      <c r="L8" s="360"/>
      <c r="M8" s="421"/>
      <c r="N8" s="360"/>
      <c r="O8" s="360"/>
      <c r="P8" s="360"/>
      <c r="Q8" s="360"/>
      <c r="R8" s="360"/>
      <c r="S8" s="360"/>
      <c r="T8" s="421"/>
      <c r="U8" s="421"/>
      <c r="V8" s="421"/>
      <c r="W8" s="360"/>
      <c r="X8" s="360"/>
    </row>
    <row r="9" hidden="1">
      <c r="A9" s="424" t="s">
        <v>7924</v>
      </c>
      <c r="B9" s="425" t="s">
        <v>420</v>
      </c>
      <c r="C9" s="426"/>
      <c r="D9" s="427">
        <v>2026.0</v>
      </c>
      <c r="E9" s="426"/>
      <c r="F9" s="427">
        <v>1.0</v>
      </c>
      <c r="G9" s="427">
        <v>1.0</v>
      </c>
      <c r="H9" s="426"/>
      <c r="I9" s="426"/>
      <c r="J9" s="426"/>
      <c r="K9" s="427" t="s">
        <v>109</v>
      </c>
      <c r="L9" s="427" t="s">
        <v>72</v>
      </c>
      <c r="M9" s="427" t="s">
        <v>1550</v>
      </c>
      <c r="N9" s="426"/>
      <c r="O9" s="426"/>
      <c r="P9" s="426"/>
      <c r="Q9" s="426"/>
      <c r="R9" s="426"/>
      <c r="S9" s="426"/>
      <c r="T9" s="427" t="s">
        <v>180</v>
      </c>
      <c r="U9" s="427" t="s">
        <v>7925</v>
      </c>
      <c r="V9" s="427"/>
      <c r="W9" s="426"/>
      <c r="X9" s="426"/>
    </row>
    <row r="10" hidden="1">
      <c r="A10" s="419"/>
      <c r="B10" s="420"/>
      <c r="C10" s="360"/>
      <c r="D10" s="421"/>
      <c r="E10" s="360"/>
      <c r="F10" s="421"/>
      <c r="G10" s="421"/>
      <c r="H10" s="360"/>
      <c r="I10" s="360"/>
      <c r="J10" s="360"/>
      <c r="K10" s="421"/>
      <c r="L10" s="360"/>
      <c r="M10" s="421"/>
      <c r="N10" s="360"/>
      <c r="O10" s="360"/>
      <c r="P10" s="360"/>
      <c r="Q10" s="360"/>
      <c r="R10" s="360"/>
      <c r="S10" s="360"/>
      <c r="T10" s="421"/>
      <c r="U10" s="421"/>
      <c r="V10" s="421"/>
      <c r="W10" s="360"/>
      <c r="X10" s="423"/>
    </row>
    <row r="11" hidden="1">
      <c r="A11" s="424"/>
      <c r="B11" s="425"/>
      <c r="C11" s="426"/>
      <c r="D11" s="427"/>
      <c r="E11" s="426"/>
      <c r="F11" s="427"/>
      <c r="G11" s="427"/>
      <c r="H11" s="426"/>
      <c r="I11" s="426"/>
      <c r="J11" s="426"/>
      <c r="K11" s="427"/>
      <c r="L11" s="426"/>
      <c r="M11" s="427"/>
      <c r="N11" s="426"/>
      <c r="O11" s="426"/>
      <c r="P11" s="426"/>
      <c r="Q11" s="426"/>
      <c r="R11" s="426"/>
      <c r="S11" s="426"/>
      <c r="T11" s="427"/>
      <c r="U11" s="427"/>
      <c r="V11" s="426"/>
      <c r="W11" s="426"/>
      <c r="X11" s="428"/>
    </row>
    <row r="12" hidden="1">
      <c r="A12" s="419"/>
      <c r="B12" s="420"/>
      <c r="C12" s="360"/>
      <c r="D12" s="421"/>
      <c r="E12" s="360"/>
      <c r="F12" s="421"/>
      <c r="G12" s="421"/>
      <c r="H12" s="360"/>
      <c r="I12" s="360"/>
      <c r="J12" s="360"/>
      <c r="K12" s="421"/>
      <c r="L12" s="360"/>
      <c r="M12" s="421"/>
      <c r="N12" s="360"/>
      <c r="O12" s="360"/>
      <c r="P12" s="360"/>
      <c r="Q12" s="360"/>
      <c r="R12" s="360"/>
      <c r="S12" s="421"/>
      <c r="T12" s="421"/>
      <c r="U12" s="421"/>
      <c r="V12" s="360"/>
      <c r="W12" s="360"/>
      <c r="X12" s="423"/>
    </row>
    <row r="13" hidden="1">
      <c r="A13" s="424" t="s">
        <v>324</v>
      </c>
      <c r="B13" s="425" t="s">
        <v>7926</v>
      </c>
      <c r="C13" s="426"/>
      <c r="D13" s="427">
        <v>2026.0</v>
      </c>
      <c r="E13" s="426"/>
      <c r="F13" s="427">
        <v>1.0</v>
      </c>
      <c r="G13" s="427">
        <v>1.0</v>
      </c>
      <c r="H13" s="426"/>
      <c r="I13" s="426"/>
      <c r="J13" s="426"/>
      <c r="K13" s="427" t="s">
        <v>109</v>
      </c>
      <c r="L13" s="426"/>
      <c r="M13" s="427" t="s">
        <v>1550</v>
      </c>
      <c r="N13" s="426"/>
      <c r="O13" s="426"/>
      <c r="P13" s="426"/>
      <c r="Q13" s="426"/>
      <c r="R13" s="426"/>
      <c r="S13" s="427" t="s">
        <v>7927</v>
      </c>
      <c r="T13" s="427" t="s">
        <v>174</v>
      </c>
      <c r="U13" s="427" t="s">
        <v>7928</v>
      </c>
      <c r="V13" s="426"/>
      <c r="W13" s="426"/>
      <c r="X13" s="426"/>
    </row>
    <row r="14" hidden="1">
      <c r="A14" s="419" t="s">
        <v>359</v>
      </c>
      <c r="B14" s="420" t="s">
        <v>7929</v>
      </c>
      <c r="C14" s="360"/>
      <c r="D14" s="421">
        <v>2026.0</v>
      </c>
      <c r="E14" s="360"/>
      <c r="F14" s="421">
        <v>1.0</v>
      </c>
      <c r="G14" s="421">
        <v>1.0</v>
      </c>
      <c r="H14" s="360"/>
      <c r="I14" s="360"/>
      <c r="J14" s="360"/>
      <c r="K14" s="421" t="s">
        <v>42</v>
      </c>
      <c r="L14" s="360"/>
      <c r="M14" s="421" t="s">
        <v>1550</v>
      </c>
      <c r="N14" s="360"/>
      <c r="O14" s="360"/>
      <c r="P14" s="360"/>
      <c r="Q14" s="360"/>
      <c r="R14" s="360"/>
      <c r="S14" s="360"/>
      <c r="T14" s="421" t="s">
        <v>43</v>
      </c>
      <c r="U14" s="421" t="s">
        <v>44</v>
      </c>
      <c r="V14" s="360"/>
      <c r="W14" s="360"/>
      <c r="X14" s="360"/>
    </row>
    <row r="15" hidden="1">
      <c r="A15" s="424" t="s">
        <v>2350</v>
      </c>
      <c r="B15" s="425" t="s">
        <v>2351</v>
      </c>
      <c r="C15" s="426"/>
      <c r="D15" s="427">
        <v>2026.0</v>
      </c>
      <c r="E15" s="426"/>
      <c r="F15" s="427">
        <v>1.0</v>
      </c>
      <c r="G15" s="427">
        <v>1.0</v>
      </c>
      <c r="H15" s="426"/>
      <c r="I15" s="426"/>
      <c r="J15" s="426"/>
      <c r="K15" s="427" t="s">
        <v>42</v>
      </c>
      <c r="L15" s="427" t="s">
        <v>106</v>
      </c>
      <c r="M15" s="427" t="s">
        <v>1550</v>
      </c>
      <c r="N15" s="426"/>
      <c r="O15" s="426"/>
      <c r="P15" s="426"/>
      <c r="Q15" s="426"/>
      <c r="R15" s="426"/>
      <c r="S15" s="427" t="s">
        <v>7930</v>
      </c>
      <c r="T15" s="427" t="s">
        <v>43</v>
      </c>
      <c r="U15" s="427" t="s">
        <v>1686</v>
      </c>
      <c r="V15" s="426"/>
      <c r="W15" s="426"/>
      <c r="X15" s="426"/>
    </row>
    <row r="16" hidden="1">
      <c r="A16" s="419" t="s">
        <v>7931</v>
      </c>
      <c r="B16" s="420" t="s">
        <v>7932</v>
      </c>
      <c r="C16" s="360"/>
      <c r="D16" s="421">
        <v>2026.0</v>
      </c>
      <c r="E16" s="360"/>
      <c r="F16" s="421">
        <v>1.0</v>
      </c>
      <c r="G16" s="421">
        <v>1.0</v>
      </c>
      <c r="H16" s="360"/>
      <c r="I16" s="360"/>
      <c r="J16" s="360"/>
      <c r="K16" s="421" t="s">
        <v>109</v>
      </c>
      <c r="L16" s="421" t="s">
        <v>42</v>
      </c>
      <c r="M16" s="422" t="s">
        <v>1989</v>
      </c>
      <c r="N16" s="360"/>
      <c r="O16" s="360"/>
      <c r="P16" s="360"/>
      <c r="Q16" s="360"/>
      <c r="R16" s="360"/>
      <c r="S16" s="421" t="s">
        <v>7933</v>
      </c>
      <c r="T16" s="421" t="s">
        <v>195</v>
      </c>
      <c r="U16" s="421" t="s">
        <v>5804</v>
      </c>
      <c r="V16" s="360"/>
      <c r="W16" s="360"/>
      <c r="X16" s="360"/>
    </row>
    <row r="17" hidden="1">
      <c r="A17" s="424" t="s">
        <v>599</v>
      </c>
      <c r="B17" s="425" t="s">
        <v>1012</v>
      </c>
      <c r="C17" s="426"/>
      <c r="D17" s="427">
        <v>2026.0</v>
      </c>
      <c r="E17" s="426"/>
      <c r="F17" s="427">
        <v>1.0</v>
      </c>
      <c r="G17" s="427">
        <v>1.0</v>
      </c>
      <c r="H17" s="426"/>
      <c r="I17" s="426"/>
      <c r="J17" s="426"/>
      <c r="K17" s="427" t="s">
        <v>42</v>
      </c>
      <c r="L17" s="429" t="s">
        <v>122</v>
      </c>
      <c r="M17" s="429" t="s">
        <v>1556</v>
      </c>
      <c r="N17" s="426"/>
      <c r="O17" s="426"/>
      <c r="P17" s="426"/>
      <c r="Q17" s="426"/>
      <c r="R17" s="426"/>
      <c r="S17" s="427" t="s">
        <v>7934</v>
      </c>
      <c r="T17" s="427" t="s">
        <v>448</v>
      </c>
      <c r="U17" s="426"/>
      <c r="V17" s="426"/>
      <c r="W17" s="426"/>
      <c r="X17" s="426"/>
    </row>
    <row r="18" hidden="1">
      <c r="A18" s="419" t="s">
        <v>376</v>
      </c>
      <c r="B18" s="420" t="s">
        <v>7935</v>
      </c>
      <c r="C18" s="360"/>
      <c r="D18" s="421">
        <v>2026.0</v>
      </c>
      <c r="E18" s="360"/>
      <c r="F18" s="421">
        <v>1.0</v>
      </c>
      <c r="G18" s="421">
        <v>1.0</v>
      </c>
      <c r="H18" s="360"/>
      <c r="I18" s="360"/>
      <c r="J18" s="360"/>
      <c r="K18" s="421" t="s">
        <v>109</v>
      </c>
      <c r="L18" s="421" t="s">
        <v>51</v>
      </c>
      <c r="M18" s="422" t="s">
        <v>1989</v>
      </c>
      <c r="N18" s="360"/>
      <c r="O18" s="360"/>
      <c r="P18" s="360"/>
      <c r="Q18" s="360"/>
      <c r="R18" s="360"/>
      <c r="S18" s="421" t="s">
        <v>7936</v>
      </c>
      <c r="T18" s="421" t="s">
        <v>502</v>
      </c>
      <c r="U18" s="421" t="s">
        <v>7937</v>
      </c>
      <c r="V18" s="360"/>
      <c r="W18" s="360"/>
      <c r="X18" s="360"/>
    </row>
    <row r="19" hidden="1">
      <c r="A19" s="424" t="s">
        <v>1057</v>
      </c>
      <c r="B19" s="425" t="s">
        <v>1861</v>
      </c>
      <c r="C19" s="426"/>
      <c r="D19" s="427">
        <v>2026.0</v>
      </c>
      <c r="E19" s="426"/>
      <c r="F19" s="427">
        <v>1.0</v>
      </c>
      <c r="G19" s="427">
        <v>1.0</v>
      </c>
      <c r="H19" s="426"/>
      <c r="I19" s="426"/>
      <c r="J19" s="426"/>
      <c r="K19" s="427" t="s">
        <v>106</v>
      </c>
      <c r="L19" s="427" t="s">
        <v>51</v>
      </c>
      <c r="M19" s="429" t="s">
        <v>1989</v>
      </c>
      <c r="N19" s="426"/>
      <c r="O19" s="426"/>
      <c r="P19" s="426"/>
      <c r="Q19" s="426"/>
      <c r="R19" s="426"/>
      <c r="S19" s="427" t="s">
        <v>7938</v>
      </c>
      <c r="T19" s="427" t="s">
        <v>502</v>
      </c>
      <c r="U19" s="427" t="s">
        <v>802</v>
      </c>
      <c r="V19" s="426"/>
      <c r="W19" s="426"/>
      <c r="X19" s="426"/>
    </row>
    <row r="20" hidden="1">
      <c r="A20" s="419" t="s">
        <v>1441</v>
      </c>
      <c r="B20" s="420" t="s">
        <v>1442</v>
      </c>
      <c r="C20" s="360"/>
      <c r="D20" s="421">
        <v>2026.0</v>
      </c>
      <c r="E20" s="360"/>
      <c r="F20" s="421">
        <v>1.0</v>
      </c>
      <c r="G20" s="421">
        <v>1.0</v>
      </c>
      <c r="H20" s="360"/>
      <c r="I20" s="360"/>
      <c r="J20" s="360"/>
      <c r="K20" s="421" t="s">
        <v>109</v>
      </c>
      <c r="L20" s="360"/>
      <c r="M20" s="422" t="s">
        <v>1989</v>
      </c>
      <c r="N20" s="360"/>
      <c r="O20" s="360"/>
      <c r="P20" s="360"/>
      <c r="Q20" s="360"/>
      <c r="R20" s="360"/>
      <c r="S20" s="421" t="s">
        <v>2032</v>
      </c>
      <c r="T20" s="421" t="s">
        <v>529</v>
      </c>
      <c r="U20" s="360"/>
      <c r="V20" s="360"/>
      <c r="W20" s="360"/>
      <c r="X20" s="360"/>
    </row>
    <row r="21" hidden="1">
      <c r="A21" s="424" t="s">
        <v>136</v>
      </c>
      <c r="B21" s="425" t="s">
        <v>7939</v>
      </c>
      <c r="C21" s="426"/>
      <c r="D21" s="427">
        <v>2026.0</v>
      </c>
      <c r="E21" s="426"/>
      <c r="F21" s="427">
        <v>1.0</v>
      </c>
      <c r="G21" s="427">
        <v>1.0</v>
      </c>
      <c r="H21" s="426"/>
      <c r="I21" s="426"/>
      <c r="J21" s="426"/>
      <c r="K21" s="427" t="s">
        <v>106</v>
      </c>
      <c r="L21" s="426"/>
      <c r="M21" s="429" t="s">
        <v>1556</v>
      </c>
      <c r="N21" s="426"/>
      <c r="O21" s="426"/>
      <c r="P21" s="426"/>
      <c r="Q21" s="426"/>
      <c r="R21" s="426"/>
      <c r="S21" s="426"/>
      <c r="T21" s="427" t="s">
        <v>180</v>
      </c>
      <c r="U21" s="427" t="s">
        <v>7940</v>
      </c>
      <c r="V21" s="426"/>
      <c r="W21" s="426"/>
      <c r="X21" s="426"/>
    </row>
    <row r="22" hidden="1">
      <c r="A22" s="419" t="s">
        <v>98</v>
      </c>
      <c r="B22" s="420" t="s">
        <v>5215</v>
      </c>
      <c r="C22" s="360"/>
      <c r="D22" s="421">
        <v>2026.0</v>
      </c>
      <c r="E22" s="360"/>
      <c r="F22" s="421">
        <v>1.0</v>
      </c>
      <c r="G22" s="421">
        <v>1.0</v>
      </c>
      <c r="H22" s="360"/>
      <c r="I22" s="360"/>
      <c r="J22" s="360"/>
      <c r="K22" s="421" t="s">
        <v>106</v>
      </c>
      <c r="L22" s="360"/>
      <c r="M22" s="421" t="s">
        <v>1550</v>
      </c>
      <c r="N22" s="360"/>
      <c r="O22" s="360"/>
      <c r="P22" s="360"/>
      <c r="Q22" s="360"/>
      <c r="R22" s="360"/>
      <c r="S22" s="360"/>
      <c r="T22" s="421" t="s">
        <v>180</v>
      </c>
      <c r="U22" s="421" t="s">
        <v>6336</v>
      </c>
      <c r="V22" s="360"/>
      <c r="W22" s="360"/>
      <c r="X22" s="360"/>
    </row>
    <row r="23" hidden="1">
      <c r="A23" s="430" t="s">
        <v>49</v>
      </c>
      <c r="B23" s="425" t="s">
        <v>7941</v>
      </c>
      <c r="C23" s="426"/>
      <c r="D23" s="427">
        <v>2026.0</v>
      </c>
      <c r="E23" s="426"/>
      <c r="F23" s="427">
        <v>1.0</v>
      </c>
      <c r="G23" s="427">
        <v>1.0</v>
      </c>
      <c r="H23" s="426"/>
      <c r="I23" s="426"/>
      <c r="J23" s="426"/>
      <c r="K23" s="427" t="s">
        <v>1972</v>
      </c>
      <c r="L23" s="426"/>
      <c r="M23" s="427" t="s">
        <v>1550</v>
      </c>
      <c r="N23" s="426"/>
      <c r="O23" s="426"/>
      <c r="P23" s="426"/>
      <c r="Q23" s="426"/>
      <c r="R23" s="426"/>
      <c r="S23" s="426"/>
      <c r="T23" s="427" t="s">
        <v>125</v>
      </c>
      <c r="U23" s="426"/>
      <c r="V23" s="426"/>
      <c r="W23" s="426"/>
      <c r="X23" s="426"/>
    </row>
    <row r="24" hidden="1">
      <c r="A24" s="419" t="s">
        <v>1042</v>
      </c>
      <c r="B24" s="420" t="s">
        <v>7942</v>
      </c>
      <c r="C24" s="360"/>
      <c r="D24" s="421">
        <v>2026.0</v>
      </c>
      <c r="E24" s="360"/>
      <c r="F24" s="421">
        <v>1.0</v>
      </c>
      <c r="G24" s="421">
        <v>1.0</v>
      </c>
      <c r="H24" s="360"/>
      <c r="I24" s="360"/>
      <c r="J24" s="360"/>
      <c r="K24" s="421" t="s">
        <v>109</v>
      </c>
      <c r="L24" s="360"/>
      <c r="M24" s="422" t="s">
        <v>1989</v>
      </c>
      <c r="N24" s="360"/>
      <c r="O24" s="360"/>
      <c r="P24" s="360"/>
      <c r="Q24" s="360"/>
      <c r="R24" s="360"/>
      <c r="S24" s="360"/>
      <c r="T24" s="421" t="s">
        <v>52</v>
      </c>
      <c r="U24" s="421" t="s">
        <v>7943</v>
      </c>
      <c r="V24" s="431"/>
      <c r="W24" s="360"/>
      <c r="X24" s="423" t="s">
        <v>7586</v>
      </c>
    </row>
    <row r="25" hidden="1">
      <c r="A25" s="424" t="s">
        <v>1141</v>
      </c>
      <c r="B25" s="425" t="s">
        <v>432</v>
      </c>
      <c r="C25" s="426"/>
      <c r="D25" s="427">
        <v>2026.0</v>
      </c>
      <c r="E25" s="426"/>
      <c r="F25" s="427">
        <v>1.0</v>
      </c>
      <c r="G25" s="427">
        <v>1.0</v>
      </c>
      <c r="H25" s="426"/>
      <c r="I25" s="426"/>
      <c r="J25" s="426"/>
      <c r="K25" s="427" t="s">
        <v>63</v>
      </c>
      <c r="L25" s="426"/>
      <c r="M25" s="427" t="s">
        <v>1550</v>
      </c>
      <c r="N25" s="426"/>
      <c r="O25" s="426"/>
      <c r="P25" s="426"/>
      <c r="Q25" s="426"/>
      <c r="R25" s="426"/>
      <c r="S25" s="426"/>
      <c r="T25" s="427" t="s">
        <v>52</v>
      </c>
      <c r="U25" s="426"/>
      <c r="V25" s="432" t="s">
        <v>2621</v>
      </c>
      <c r="W25" s="426"/>
      <c r="X25" s="428" t="s">
        <v>7586</v>
      </c>
    </row>
    <row r="26" hidden="1">
      <c r="A26" s="419" t="s">
        <v>556</v>
      </c>
      <c r="B26" s="420" t="s">
        <v>7944</v>
      </c>
      <c r="C26" s="360"/>
      <c r="D26" s="421">
        <v>2026.0</v>
      </c>
      <c r="E26" s="360"/>
      <c r="F26" s="421">
        <v>1.0</v>
      </c>
      <c r="G26" s="421">
        <v>1.0</v>
      </c>
      <c r="H26" s="360"/>
      <c r="I26" s="360"/>
      <c r="J26" s="360"/>
      <c r="K26" s="422" t="s">
        <v>122</v>
      </c>
      <c r="L26" s="421" t="s">
        <v>1972</v>
      </c>
      <c r="M26" s="422" t="s">
        <v>1556</v>
      </c>
      <c r="N26" s="360"/>
      <c r="O26" s="360"/>
      <c r="P26" s="360"/>
      <c r="Q26" s="360"/>
      <c r="R26" s="360"/>
      <c r="S26" s="360"/>
      <c r="T26" s="421" t="s">
        <v>52</v>
      </c>
      <c r="U26" s="421" t="s">
        <v>7945</v>
      </c>
      <c r="V26" s="421"/>
      <c r="W26" s="360"/>
      <c r="X26" s="423" t="s">
        <v>54</v>
      </c>
    </row>
    <row r="27" hidden="1">
      <c r="A27" s="424" t="s">
        <v>7946</v>
      </c>
      <c r="B27" s="425" t="s">
        <v>7947</v>
      </c>
      <c r="C27" s="426"/>
      <c r="D27" s="427">
        <v>2026.0</v>
      </c>
      <c r="E27" s="426"/>
      <c r="F27" s="427">
        <v>1.0</v>
      </c>
      <c r="G27" s="427">
        <v>1.0</v>
      </c>
      <c r="H27" s="426"/>
      <c r="I27" s="426"/>
      <c r="J27" s="426"/>
      <c r="K27" s="427" t="s">
        <v>109</v>
      </c>
      <c r="L27" s="426"/>
      <c r="M27" s="427" t="s">
        <v>1550</v>
      </c>
      <c r="N27" s="426"/>
      <c r="O27" s="426"/>
      <c r="P27" s="426"/>
      <c r="Q27" s="426"/>
      <c r="R27" s="426"/>
      <c r="S27" s="426"/>
      <c r="T27" s="427" t="s">
        <v>636</v>
      </c>
      <c r="U27" s="427" t="s">
        <v>7948</v>
      </c>
      <c r="V27" s="426"/>
      <c r="W27" s="426"/>
      <c r="X27" s="428" t="s">
        <v>7949</v>
      </c>
    </row>
    <row r="28" hidden="1">
      <c r="A28" s="419" t="s">
        <v>696</v>
      </c>
      <c r="B28" s="420" t="s">
        <v>7950</v>
      </c>
      <c r="C28" s="360"/>
      <c r="D28" s="421">
        <v>2026.0</v>
      </c>
      <c r="E28" s="360"/>
      <c r="F28" s="421">
        <v>1.0</v>
      </c>
      <c r="G28" s="421">
        <v>1.0</v>
      </c>
      <c r="H28" s="360"/>
      <c r="I28" s="360"/>
      <c r="J28" s="360"/>
      <c r="K28" s="422" t="s">
        <v>122</v>
      </c>
      <c r="L28" s="360"/>
      <c r="M28" s="422" t="s">
        <v>1556</v>
      </c>
      <c r="N28" s="360"/>
      <c r="O28" s="360"/>
      <c r="P28" s="360"/>
      <c r="Q28" s="360"/>
      <c r="R28" s="360"/>
      <c r="S28" s="360"/>
      <c r="T28" s="421" t="s">
        <v>73</v>
      </c>
      <c r="U28" s="421" t="s">
        <v>7951</v>
      </c>
      <c r="V28" s="431"/>
      <c r="W28" s="360"/>
      <c r="X28" s="423" t="s">
        <v>3747</v>
      </c>
    </row>
    <row r="29" hidden="1">
      <c r="A29" s="424" t="s">
        <v>70</v>
      </c>
      <c r="B29" s="425" t="s">
        <v>7952</v>
      </c>
      <c r="C29" s="426"/>
      <c r="D29" s="427">
        <v>2026.0</v>
      </c>
      <c r="E29" s="426"/>
      <c r="F29" s="427">
        <v>1.0</v>
      </c>
      <c r="G29" s="427">
        <v>1.0</v>
      </c>
      <c r="H29" s="426"/>
      <c r="I29" s="426"/>
      <c r="J29" s="426"/>
      <c r="K29" s="429" t="s">
        <v>122</v>
      </c>
      <c r="L29" s="426"/>
      <c r="M29" s="429" t="s">
        <v>1556</v>
      </c>
      <c r="N29" s="426"/>
      <c r="O29" s="426"/>
      <c r="P29" s="426"/>
      <c r="Q29" s="426"/>
      <c r="R29" s="426"/>
      <c r="S29" s="426"/>
      <c r="T29" s="427" t="s">
        <v>160</v>
      </c>
      <c r="U29" s="427" t="s">
        <v>7953</v>
      </c>
      <c r="V29" s="432"/>
      <c r="W29" s="426"/>
      <c r="X29" s="428" t="s">
        <v>7954</v>
      </c>
    </row>
    <row r="30" hidden="1">
      <c r="A30" s="419" t="s">
        <v>7955</v>
      </c>
      <c r="B30" s="420" t="s">
        <v>7956</v>
      </c>
      <c r="C30" s="360"/>
      <c r="D30" s="421">
        <v>2026.0</v>
      </c>
      <c r="E30" s="360"/>
      <c r="F30" s="421">
        <v>1.0</v>
      </c>
      <c r="G30" s="421">
        <v>1.0</v>
      </c>
      <c r="H30" s="360"/>
      <c r="I30" s="360"/>
      <c r="J30" s="360"/>
      <c r="K30" s="421" t="s">
        <v>106</v>
      </c>
      <c r="L30" s="421" t="s">
        <v>1972</v>
      </c>
      <c r="M30" s="422" t="s">
        <v>1989</v>
      </c>
      <c r="N30" s="360"/>
      <c r="O30" s="360"/>
      <c r="P30" s="360"/>
      <c r="Q30" s="360"/>
      <c r="R30" s="360"/>
      <c r="S30" s="360"/>
      <c r="T30" s="421" t="s">
        <v>180</v>
      </c>
      <c r="U30" s="421" t="s">
        <v>7957</v>
      </c>
      <c r="V30" s="421" t="s">
        <v>4480</v>
      </c>
      <c r="W30" s="360"/>
      <c r="X30" s="423" t="s">
        <v>3747</v>
      </c>
    </row>
    <row r="31" hidden="1">
      <c r="A31" s="424" t="s">
        <v>7958</v>
      </c>
      <c r="B31" s="425" t="s">
        <v>4033</v>
      </c>
      <c r="C31" s="426"/>
      <c r="D31" s="427">
        <v>2026.0</v>
      </c>
      <c r="E31" s="426"/>
      <c r="F31" s="427">
        <v>1.0</v>
      </c>
      <c r="G31" s="427">
        <v>1.0</v>
      </c>
      <c r="H31" s="426"/>
      <c r="I31" s="426"/>
      <c r="J31" s="426"/>
      <c r="K31" s="427" t="s">
        <v>51</v>
      </c>
      <c r="L31" s="426"/>
      <c r="M31" s="427" t="s">
        <v>1550</v>
      </c>
      <c r="N31" s="426"/>
      <c r="O31" s="426"/>
      <c r="P31" s="426"/>
      <c r="Q31" s="426"/>
      <c r="R31" s="426"/>
      <c r="S31" s="426"/>
      <c r="T31" s="427" t="s">
        <v>240</v>
      </c>
      <c r="U31" s="427" t="s">
        <v>7959</v>
      </c>
      <c r="V31" s="432"/>
      <c r="W31" s="426"/>
      <c r="X31" s="428" t="s">
        <v>7960</v>
      </c>
    </row>
    <row r="32" hidden="1">
      <c r="A32" s="419" t="s">
        <v>7961</v>
      </c>
      <c r="B32" s="420" t="s">
        <v>7962</v>
      </c>
      <c r="C32" s="360"/>
      <c r="D32" s="421">
        <v>2026.0</v>
      </c>
      <c r="E32" s="360"/>
      <c r="F32" s="421">
        <v>1.0</v>
      </c>
      <c r="G32" s="421">
        <v>1.0</v>
      </c>
      <c r="H32" s="360"/>
      <c r="I32" s="360"/>
      <c r="J32" s="360"/>
      <c r="K32" s="421" t="s">
        <v>109</v>
      </c>
      <c r="L32" s="421" t="s">
        <v>72</v>
      </c>
      <c r="M32" s="421" t="s">
        <v>1550</v>
      </c>
      <c r="N32" s="360"/>
      <c r="O32" s="360"/>
      <c r="P32" s="360"/>
      <c r="Q32" s="360"/>
      <c r="R32" s="360"/>
      <c r="S32" s="360"/>
      <c r="T32" s="421" t="s">
        <v>330</v>
      </c>
      <c r="U32" s="421" t="s">
        <v>7963</v>
      </c>
      <c r="V32" s="421"/>
      <c r="W32" s="360"/>
      <c r="X32" s="423" t="s">
        <v>7960</v>
      </c>
    </row>
    <row r="33" hidden="1">
      <c r="A33" s="424" t="s">
        <v>1841</v>
      </c>
      <c r="B33" s="425" t="s">
        <v>267</v>
      </c>
      <c r="C33" s="426"/>
      <c r="D33" s="427">
        <v>2026.0</v>
      </c>
      <c r="E33" s="426"/>
      <c r="F33" s="427">
        <v>1.0</v>
      </c>
      <c r="G33" s="427">
        <v>1.0</v>
      </c>
      <c r="H33" s="426"/>
      <c r="I33" s="426"/>
      <c r="J33" s="426"/>
      <c r="K33" s="427" t="s">
        <v>109</v>
      </c>
      <c r="L33" s="426"/>
      <c r="M33" s="429" t="s">
        <v>1989</v>
      </c>
      <c r="N33" s="426"/>
      <c r="O33" s="426"/>
      <c r="P33" s="426"/>
      <c r="Q33" s="426"/>
      <c r="R33" s="426"/>
      <c r="S33" s="426"/>
      <c r="T33" s="427" t="s">
        <v>240</v>
      </c>
      <c r="U33" s="427" t="s">
        <v>7964</v>
      </c>
      <c r="V33" s="432"/>
      <c r="W33" s="426"/>
      <c r="X33" s="428" t="s">
        <v>7965</v>
      </c>
    </row>
    <row r="34" hidden="1">
      <c r="A34" s="419" t="s">
        <v>1768</v>
      </c>
      <c r="B34" s="420" t="s">
        <v>1769</v>
      </c>
      <c r="C34" s="360"/>
      <c r="D34" s="421">
        <v>2026.0</v>
      </c>
      <c r="E34" s="360"/>
      <c r="F34" s="421">
        <v>1.0</v>
      </c>
      <c r="G34" s="421">
        <v>1.0</v>
      </c>
      <c r="H34" s="360"/>
      <c r="I34" s="360"/>
      <c r="J34" s="360"/>
      <c r="K34" s="422" t="s">
        <v>122</v>
      </c>
      <c r="L34" s="360"/>
      <c r="M34" s="422" t="s">
        <v>1556</v>
      </c>
      <c r="N34" s="360"/>
      <c r="O34" s="360"/>
      <c r="P34" s="360"/>
      <c r="Q34" s="360"/>
      <c r="R34" s="360"/>
      <c r="S34" s="360"/>
      <c r="T34" s="421" t="s">
        <v>66</v>
      </c>
      <c r="U34" s="421" t="s">
        <v>4663</v>
      </c>
      <c r="V34" s="431" t="s">
        <v>1770</v>
      </c>
      <c r="W34" s="360"/>
      <c r="X34" s="423" t="s">
        <v>7960</v>
      </c>
    </row>
    <row r="35" hidden="1">
      <c r="A35" s="424" t="s">
        <v>535</v>
      </c>
      <c r="B35" s="425" t="s">
        <v>7966</v>
      </c>
      <c r="C35" s="426"/>
      <c r="D35" s="427">
        <v>2026.0</v>
      </c>
      <c r="E35" s="426"/>
      <c r="F35" s="427">
        <v>1.0</v>
      </c>
      <c r="G35" s="427">
        <v>1.0</v>
      </c>
      <c r="H35" s="426"/>
      <c r="I35" s="426"/>
      <c r="J35" s="426"/>
      <c r="K35" s="429" t="s">
        <v>122</v>
      </c>
      <c r="L35" s="426"/>
      <c r="M35" s="429" t="s">
        <v>1556</v>
      </c>
      <c r="N35" s="426"/>
      <c r="O35" s="426"/>
      <c r="P35" s="426"/>
      <c r="Q35" s="426"/>
      <c r="R35" s="426"/>
      <c r="S35" s="426"/>
      <c r="T35" s="427" t="s">
        <v>52</v>
      </c>
      <c r="U35" s="427" t="s">
        <v>4115</v>
      </c>
      <c r="V35" s="427"/>
      <c r="W35" s="426"/>
      <c r="X35" s="428" t="s">
        <v>24</v>
      </c>
    </row>
    <row r="36" hidden="1">
      <c r="A36" s="419" t="s">
        <v>49</v>
      </c>
      <c r="B36" s="420" t="s">
        <v>7967</v>
      </c>
      <c r="C36" s="360"/>
      <c r="D36" s="421">
        <v>2026.0</v>
      </c>
      <c r="E36" s="360"/>
      <c r="F36" s="421">
        <v>1.0</v>
      </c>
      <c r="G36" s="421">
        <v>1.0</v>
      </c>
      <c r="H36" s="360"/>
      <c r="I36" s="360"/>
      <c r="J36" s="360"/>
      <c r="K36" s="422" t="s">
        <v>122</v>
      </c>
      <c r="L36" s="360"/>
      <c r="M36" s="422" t="s">
        <v>1556</v>
      </c>
      <c r="N36" s="360"/>
      <c r="O36" s="360"/>
      <c r="P36" s="360"/>
      <c r="Q36" s="360"/>
      <c r="R36" s="360"/>
      <c r="S36" s="360"/>
      <c r="T36" s="421" t="s">
        <v>52</v>
      </c>
      <c r="U36" s="421" t="s">
        <v>2753</v>
      </c>
      <c r="V36" s="431"/>
      <c r="W36" s="360"/>
      <c r="X36" s="423" t="s">
        <v>7968</v>
      </c>
    </row>
    <row r="37" hidden="1">
      <c r="A37" s="424" t="s">
        <v>1042</v>
      </c>
      <c r="B37" s="425" t="s">
        <v>1819</v>
      </c>
      <c r="C37" s="426"/>
      <c r="D37" s="427">
        <v>2026.0</v>
      </c>
      <c r="E37" s="426"/>
      <c r="F37" s="427">
        <v>1.0</v>
      </c>
      <c r="G37" s="427">
        <v>1.0</v>
      </c>
      <c r="H37" s="426"/>
      <c r="I37" s="426"/>
      <c r="J37" s="426"/>
      <c r="K37" s="427" t="s">
        <v>109</v>
      </c>
      <c r="L37" s="426"/>
      <c r="M37" s="427" t="s">
        <v>1550</v>
      </c>
      <c r="N37" s="426"/>
      <c r="O37" s="426"/>
      <c r="P37" s="426"/>
      <c r="Q37" s="426"/>
      <c r="R37" s="426"/>
      <c r="S37" s="426"/>
      <c r="T37" s="427" t="s">
        <v>286</v>
      </c>
      <c r="U37" s="427" t="s">
        <v>7733</v>
      </c>
      <c r="V37" s="432" t="s">
        <v>1820</v>
      </c>
      <c r="W37" s="426"/>
      <c r="X37" s="428" t="s">
        <v>7364</v>
      </c>
    </row>
    <row r="38" hidden="1">
      <c r="A38" s="419" t="s">
        <v>284</v>
      </c>
      <c r="B38" s="420" t="s">
        <v>822</v>
      </c>
      <c r="C38" s="360"/>
      <c r="D38" s="421">
        <v>2026.0</v>
      </c>
      <c r="E38" s="360"/>
      <c r="F38" s="421">
        <v>1.0</v>
      </c>
      <c r="G38" s="421">
        <v>1.0</v>
      </c>
      <c r="H38" s="360"/>
      <c r="I38" s="360"/>
      <c r="J38" s="360"/>
      <c r="K38" s="421" t="s">
        <v>106</v>
      </c>
      <c r="L38" s="360"/>
      <c r="M38" s="422" t="s">
        <v>1989</v>
      </c>
      <c r="N38" s="360"/>
      <c r="O38" s="360"/>
      <c r="P38" s="360"/>
      <c r="Q38" s="360"/>
      <c r="R38" s="360"/>
      <c r="S38" s="421" t="s">
        <v>7969</v>
      </c>
      <c r="T38" s="421" t="s">
        <v>240</v>
      </c>
      <c r="U38" s="421" t="s">
        <v>7970</v>
      </c>
      <c r="V38" s="421" t="s">
        <v>7971</v>
      </c>
      <c r="W38" s="360"/>
      <c r="X38" s="423" t="s">
        <v>7972</v>
      </c>
    </row>
    <row r="39" hidden="1">
      <c r="A39" s="424" t="s">
        <v>3359</v>
      </c>
      <c r="B39" s="425" t="s">
        <v>7973</v>
      </c>
      <c r="C39" s="426"/>
      <c r="D39" s="427">
        <v>2026.0</v>
      </c>
      <c r="E39" s="426"/>
      <c r="F39" s="427">
        <v>1.0</v>
      </c>
      <c r="G39" s="427">
        <v>1.0</v>
      </c>
      <c r="H39" s="426"/>
      <c r="I39" s="426"/>
      <c r="J39" s="426"/>
      <c r="K39" s="427" t="s">
        <v>1972</v>
      </c>
      <c r="L39" s="429" t="s">
        <v>122</v>
      </c>
      <c r="M39" s="429" t="s">
        <v>1556</v>
      </c>
      <c r="N39" s="426"/>
      <c r="O39" s="426"/>
      <c r="P39" s="426"/>
      <c r="Q39" s="426"/>
      <c r="R39" s="426"/>
      <c r="S39" s="426"/>
      <c r="T39" s="427" t="s">
        <v>180</v>
      </c>
      <c r="U39" s="427" t="s">
        <v>7974</v>
      </c>
      <c r="V39" s="427" t="s">
        <v>7975</v>
      </c>
      <c r="W39" s="426"/>
      <c r="X39" s="428" t="s">
        <v>7976</v>
      </c>
    </row>
    <row r="40" hidden="1">
      <c r="A40" s="419" t="s">
        <v>3498</v>
      </c>
      <c r="B40" s="420" t="s">
        <v>7977</v>
      </c>
      <c r="C40" s="360"/>
      <c r="D40" s="421">
        <v>2026.0</v>
      </c>
      <c r="E40" s="360"/>
      <c r="F40" s="421">
        <v>1.0</v>
      </c>
      <c r="G40" s="421">
        <v>1.0</v>
      </c>
      <c r="H40" s="360"/>
      <c r="I40" s="360"/>
      <c r="J40" s="360"/>
      <c r="K40" s="421" t="s">
        <v>51</v>
      </c>
      <c r="L40" s="421" t="s">
        <v>63</v>
      </c>
      <c r="M40" s="421" t="s">
        <v>1550</v>
      </c>
      <c r="N40" s="360"/>
      <c r="O40" s="360"/>
      <c r="P40" s="360"/>
      <c r="Q40" s="360"/>
      <c r="R40" s="360"/>
      <c r="S40" s="360"/>
      <c r="T40" s="421" t="s">
        <v>180</v>
      </c>
      <c r="U40" s="421" t="s">
        <v>7974</v>
      </c>
      <c r="V40" s="431"/>
      <c r="W40" s="360"/>
      <c r="X40" s="423" t="s">
        <v>7976</v>
      </c>
    </row>
    <row r="41" hidden="1">
      <c r="A41" s="424" t="s">
        <v>49</v>
      </c>
      <c r="B41" s="425" t="s">
        <v>5321</v>
      </c>
      <c r="C41" s="426"/>
      <c r="D41" s="427">
        <v>2026.0</v>
      </c>
      <c r="E41" s="426"/>
      <c r="F41" s="427">
        <v>1.0</v>
      </c>
      <c r="G41" s="427">
        <v>1.0</v>
      </c>
      <c r="H41" s="426"/>
      <c r="I41" s="426"/>
      <c r="J41" s="426"/>
      <c r="K41" s="427" t="s">
        <v>106</v>
      </c>
      <c r="L41" s="427" t="s">
        <v>42</v>
      </c>
      <c r="M41" s="427" t="s">
        <v>1550</v>
      </c>
      <c r="N41" s="426"/>
      <c r="O41" s="426"/>
      <c r="P41" s="426"/>
      <c r="Q41" s="426"/>
      <c r="R41" s="426"/>
      <c r="S41" s="426"/>
      <c r="T41" s="427" t="s">
        <v>255</v>
      </c>
      <c r="U41" s="427" t="s">
        <v>3521</v>
      </c>
      <c r="V41" s="427" t="s">
        <v>3916</v>
      </c>
      <c r="W41" s="426"/>
      <c r="X41" s="428" t="s">
        <v>7978</v>
      </c>
    </row>
    <row r="42" hidden="1">
      <c r="A42" s="419" t="s">
        <v>7979</v>
      </c>
      <c r="B42" s="420" t="s">
        <v>7980</v>
      </c>
      <c r="C42" s="360"/>
      <c r="D42" s="421">
        <v>2026.0</v>
      </c>
      <c r="E42" s="360"/>
      <c r="F42" s="421">
        <v>1.0</v>
      </c>
      <c r="G42" s="421">
        <v>1.0</v>
      </c>
      <c r="H42" s="360"/>
      <c r="I42" s="360"/>
      <c r="J42" s="360"/>
      <c r="K42" s="421" t="s">
        <v>72</v>
      </c>
      <c r="L42" s="421" t="s">
        <v>63</v>
      </c>
      <c r="M42" s="421" t="s">
        <v>1550</v>
      </c>
      <c r="N42" s="360"/>
      <c r="O42" s="360"/>
      <c r="P42" s="360"/>
      <c r="Q42" s="360"/>
      <c r="R42" s="360"/>
      <c r="S42" s="360"/>
      <c r="T42" s="421" t="s">
        <v>255</v>
      </c>
      <c r="U42" s="421" t="s">
        <v>3570</v>
      </c>
      <c r="V42" s="421" t="s">
        <v>4111</v>
      </c>
      <c r="W42" s="360"/>
      <c r="X42" s="423" t="s">
        <v>7981</v>
      </c>
    </row>
    <row r="43" hidden="1">
      <c r="A43" s="424" t="s">
        <v>696</v>
      </c>
      <c r="B43" s="425" t="s">
        <v>7982</v>
      </c>
      <c r="C43" s="426"/>
      <c r="D43" s="427">
        <v>2026.0</v>
      </c>
      <c r="E43" s="426"/>
      <c r="F43" s="427">
        <v>1.0</v>
      </c>
      <c r="G43" s="427">
        <v>1.0</v>
      </c>
      <c r="H43" s="426"/>
      <c r="I43" s="426"/>
      <c r="J43" s="426"/>
      <c r="K43" s="427" t="s">
        <v>51</v>
      </c>
      <c r="L43" s="426"/>
      <c r="M43" s="427" t="s">
        <v>1550</v>
      </c>
      <c r="N43" s="426"/>
      <c r="O43" s="426"/>
      <c r="P43" s="426"/>
      <c r="Q43" s="426"/>
      <c r="R43" s="426"/>
      <c r="S43" s="426"/>
      <c r="T43" s="427" t="s">
        <v>529</v>
      </c>
      <c r="U43" s="427" t="s">
        <v>7983</v>
      </c>
      <c r="V43" s="432"/>
      <c r="W43" s="426"/>
      <c r="X43" s="428" t="s">
        <v>7984</v>
      </c>
    </row>
    <row r="44" hidden="1">
      <c r="A44" s="419" t="s">
        <v>805</v>
      </c>
      <c r="B44" s="420" t="s">
        <v>7985</v>
      </c>
      <c r="C44" s="360"/>
      <c r="D44" s="421">
        <v>2026.0</v>
      </c>
      <c r="E44" s="360"/>
      <c r="F44" s="421">
        <v>1.0</v>
      </c>
      <c r="G44" s="421">
        <v>1.0</v>
      </c>
      <c r="H44" s="360"/>
      <c r="I44" s="360"/>
      <c r="J44" s="360"/>
      <c r="K44" s="421" t="s">
        <v>63</v>
      </c>
      <c r="L44" s="421" t="s">
        <v>42</v>
      </c>
      <c r="M44" s="421" t="s">
        <v>1550</v>
      </c>
      <c r="N44" s="360"/>
      <c r="O44" s="360"/>
      <c r="P44" s="360"/>
      <c r="Q44" s="360"/>
      <c r="R44" s="360"/>
      <c r="S44" s="360"/>
      <c r="T44" s="421" t="s">
        <v>180</v>
      </c>
      <c r="U44" s="421" t="s">
        <v>7986</v>
      </c>
      <c r="V44" s="431"/>
      <c r="W44" s="360"/>
      <c r="X44" s="423" t="s">
        <v>2432</v>
      </c>
    </row>
    <row r="45" hidden="1">
      <c r="A45" s="424" t="s">
        <v>376</v>
      </c>
      <c r="B45" s="425" t="s">
        <v>7987</v>
      </c>
      <c r="C45" s="426"/>
      <c r="D45" s="427">
        <v>2026.0</v>
      </c>
      <c r="E45" s="426"/>
      <c r="F45" s="427">
        <v>1.0</v>
      </c>
      <c r="G45" s="427">
        <v>1.0</v>
      </c>
      <c r="H45" s="426"/>
      <c r="I45" s="426"/>
      <c r="J45" s="426"/>
      <c r="K45" s="427" t="s">
        <v>63</v>
      </c>
      <c r="L45" s="427" t="s">
        <v>1972</v>
      </c>
      <c r="M45" s="429" t="s">
        <v>1989</v>
      </c>
      <c r="N45" s="426"/>
      <c r="O45" s="426"/>
      <c r="P45" s="426"/>
      <c r="Q45" s="426"/>
      <c r="R45" s="426"/>
      <c r="S45" s="426"/>
      <c r="T45" s="427" t="s">
        <v>240</v>
      </c>
      <c r="U45" s="427" t="s">
        <v>729</v>
      </c>
      <c r="V45" s="432"/>
      <c r="W45" s="426"/>
      <c r="X45" s="428" t="s">
        <v>7988</v>
      </c>
    </row>
    <row r="46" hidden="1">
      <c r="A46" s="419" t="s">
        <v>1822</v>
      </c>
      <c r="B46" s="420" t="s">
        <v>1823</v>
      </c>
      <c r="C46" s="360"/>
      <c r="D46" s="421">
        <v>2026.0</v>
      </c>
      <c r="E46" s="360"/>
      <c r="F46" s="421">
        <v>1.0</v>
      </c>
      <c r="G46" s="421">
        <v>1.0</v>
      </c>
      <c r="H46" s="360"/>
      <c r="I46" s="360"/>
      <c r="J46" s="360"/>
      <c r="K46" s="421" t="s">
        <v>109</v>
      </c>
      <c r="L46" s="360"/>
      <c r="M46" s="421" t="s">
        <v>1550</v>
      </c>
      <c r="N46" s="360"/>
      <c r="O46" s="360"/>
      <c r="P46" s="360"/>
      <c r="Q46" s="360"/>
      <c r="R46" s="360"/>
      <c r="S46" s="360"/>
      <c r="T46" s="421" t="s">
        <v>180</v>
      </c>
      <c r="U46" s="421" t="s">
        <v>1991</v>
      </c>
      <c r="V46" s="431" t="s">
        <v>1824</v>
      </c>
      <c r="W46" s="360"/>
      <c r="X46" s="423" t="s">
        <v>7989</v>
      </c>
    </row>
    <row r="47" hidden="1">
      <c r="A47" s="424" t="s">
        <v>2367</v>
      </c>
      <c r="B47" s="425" t="s">
        <v>2368</v>
      </c>
      <c r="C47" s="426"/>
      <c r="D47" s="427">
        <v>2026.0</v>
      </c>
      <c r="E47" s="426"/>
      <c r="F47" s="427">
        <v>1.0</v>
      </c>
      <c r="G47" s="427">
        <v>1.0</v>
      </c>
      <c r="H47" s="426"/>
      <c r="I47" s="426"/>
      <c r="J47" s="426"/>
      <c r="K47" s="427" t="s">
        <v>63</v>
      </c>
      <c r="L47" s="426"/>
      <c r="M47" s="427" t="s">
        <v>1550</v>
      </c>
      <c r="N47" s="426"/>
      <c r="O47" s="426"/>
      <c r="P47" s="426"/>
      <c r="Q47" s="426"/>
      <c r="R47" s="426"/>
      <c r="S47" s="426"/>
      <c r="T47" s="427" t="s">
        <v>73</v>
      </c>
      <c r="U47" s="427" t="s">
        <v>7990</v>
      </c>
      <c r="V47" s="432"/>
      <c r="W47" s="426"/>
      <c r="X47" s="428" t="s">
        <v>7991</v>
      </c>
    </row>
    <row r="48" hidden="1">
      <c r="A48" s="419" t="s">
        <v>110</v>
      </c>
      <c r="B48" s="420" t="s">
        <v>7992</v>
      </c>
      <c r="C48" s="360"/>
      <c r="D48" s="421">
        <v>2026.0</v>
      </c>
      <c r="E48" s="360"/>
      <c r="F48" s="421">
        <v>1.0</v>
      </c>
      <c r="G48" s="421">
        <v>1.0</v>
      </c>
      <c r="H48" s="360"/>
      <c r="I48" s="360"/>
      <c r="J48" s="360"/>
      <c r="K48" s="421" t="s">
        <v>106</v>
      </c>
      <c r="L48" s="360"/>
      <c r="M48" s="421" t="s">
        <v>1550</v>
      </c>
      <c r="N48" s="360"/>
      <c r="O48" s="360"/>
      <c r="P48" s="360"/>
      <c r="Q48" s="360"/>
      <c r="R48" s="360"/>
      <c r="S48" s="360"/>
      <c r="T48" s="421" t="s">
        <v>52</v>
      </c>
      <c r="U48" s="421" t="s">
        <v>7993</v>
      </c>
      <c r="V48" s="421" t="s">
        <v>6323</v>
      </c>
      <c r="W48" s="360"/>
      <c r="X48" s="423" t="s">
        <v>7994</v>
      </c>
    </row>
    <row r="49" hidden="1">
      <c r="A49" s="424" t="s">
        <v>1778</v>
      </c>
      <c r="B49" s="425" t="s">
        <v>1779</v>
      </c>
      <c r="C49" s="426"/>
      <c r="D49" s="427">
        <v>2026.0</v>
      </c>
      <c r="E49" s="426"/>
      <c r="F49" s="427">
        <v>1.0</v>
      </c>
      <c r="G49" s="427">
        <v>1.0</v>
      </c>
      <c r="H49" s="426"/>
      <c r="I49" s="426"/>
      <c r="J49" s="426"/>
      <c r="K49" s="427" t="s">
        <v>51</v>
      </c>
      <c r="L49" s="426"/>
      <c r="M49" s="427" t="s">
        <v>1550</v>
      </c>
      <c r="N49" s="426"/>
      <c r="O49" s="426"/>
      <c r="P49" s="426"/>
      <c r="Q49" s="426"/>
      <c r="R49" s="426"/>
      <c r="S49" s="426"/>
      <c r="T49" s="427" t="s">
        <v>125</v>
      </c>
      <c r="U49" s="427" t="s">
        <v>7995</v>
      </c>
      <c r="V49" s="432" t="s">
        <v>1766</v>
      </c>
      <c r="W49" s="426"/>
      <c r="X49" s="428" t="s">
        <v>7996</v>
      </c>
    </row>
    <row r="50" hidden="1">
      <c r="A50" s="419" t="s">
        <v>7997</v>
      </c>
      <c r="B50" s="420" t="s">
        <v>7998</v>
      </c>
      <c r="C50" s="360"/>
      <c r="D50" s="421">
        <v>2026.0</v>
      </c>
      <c r="E50" s="360"/>
      <c r="F50" s="421">
        <v>1.0</v>
      </c>
      <c r="G50" s="421">
        <v>1.0</v>
      </c>
      <c r="H50" s="360"/>
      <c r="I50" s="360"/>
      <c r="J50" s="360"/>
      <c r="K50" s="421" t="s">
        <v>106</v>
      </c>
      <c r="L50" s="360"/>
      <c r="M50" s="421" t="s">
        <v>1550</v>
      </c>
      <c r="N50" s="360"/>
      <c r="O50" s="360"/>
      <c r="P50" s="360"/>
      <c r="Q50" s="360"/>
      <c r="R50" s="360"/>
      <c r="S50" s="360"/>
      <c r="T50" s="421" t="s">
        <v>66</v>
      </c>
      <c r="U50" s="421" t="s">
        <v>7999</v>
      </c>
      <c r="V50" s="360"/>
      <c r="W50" s="360"/>
      <c r="X50" s="360"/>
    </row>
    <row r="51" hidden="1">
      <c r="A51" s="424" t="s">
        <v>8000</v>
      </c>
      <c r="B51" s="425" t="s">
        <v>8001</v>
      </c>
      <c r="C51" s="426"/>
      <c r="D51" s="427">
        <v>2026.0</v>
      </c>
      <c r="E51" s="426"/>
      <c r="F51" s="427">
        <v>1.0</v>
      </c>
      <c r="G51" s="427">
        <v>1.0</v>
      </c>
      <c r="H51" s="426"/>
      <c r="I51" s="426"/>
      <c r="J51" s="426"/>
      <c r="K51" s="427" t="s">
        <v>63</v>
      </c>
      <c r="L51" s="426"/>
      <c r="M51" s="427" t="s">
        <v>1550</v>
      </c>
      <c r="N51" s="426"/>
      <c r="O51" s="426"/>
      <c r="P51" s="426"/>
      <c r="Q51" s="426"/>
      <c r="R51" s="426"/>
      <c r="S51" s="426"/>
      <c r="T51" s="427" t="s">
        <v>360</v>
      </c>
      <c r="U51" s="427" t="s">
        <v>8002</v>
      </c>
      <c r="V51" s="426"/>
      <c r="W51" s="426"/>
      <c r="X51" s="428" t="s">
        <v>8003</v>
      </c>
    </row>
    <row r="52" hidden="1">
      <c r="A52" s="419" t="s">
        <v>110</v>
      </c>
      <c r="B52" s="420" t="s">
        <v>1329</v>
      </c>
      <c r="C52" s="360"/>
      <c r="D52" s="421">
        <v>2026.0</v>
      </c>
      <c r="E52" s="360"/>
      <c r="F52" s="421">
        <v>1.0</v>
      </c>
      <c r="G52" s="421">
        <v>1.0</v>
      </c>
      <c r="H52" s="360"/>
      <c r="I52" s="360"/>
      <c r="J52" s="360"/>
      <c r="K52" s="421" t="s">
        <v>42</v>
      </c>
      <c r="L52" s="421" t="s">
        <v>42</v>
      </c>
      <c r="M52" s="421" t="s">
        <v>1550</v>
      </c>
      <c r="N52" s="360"/>
      <c r="O52" s="360"/>
      <c r="P52" s="360"/>
      <c r="Q52" s="360"/>
      <c r="R52" s="360"/>
      <c r="S52" s="360"/>
      <c r="T52" s="421" t="s">
        <v>286</v>
      </c>
      <c r="U52" s="421" t="s">
        <v>8004</v>
      </c>
      <c r="V52" s="421" t="s">
        <v>1632</v>
      </c>
      <c r="W52" s="360"/>
      <c r="X52" s="423" t="s">
        <v>7364</v>
      </c>
    </row>
    <row r="53" hidden="1">
      <c r="A53" s="424" t="s">
        <v>8005</v>
      </c>
      <c r="B53" s="425" t="s">
        <v>8006</v>
      </c>
      <c r="C53" s="426"/>
      <c r="D53" s="427">
        <v>2026.0</v>
      </c>
      <c r="E53" s="426"/>
      <c r="F53" s="427">
        <v>1.0</v>
      </c>
      <c r="G53" s="427">
        <v>1.0</v>
      </c>
      <c r="H53" s="426"/>
      <c r="I53" s="426"/>
      <c r="J53" s="426"/>
      <c r="K53" s="427" t="s">
        <v>42</v>
      </c>
      <c r="L53" s="427" t="s">
        <v>63</v>
      </c>
      <c r="M53" s="427" t="s">
        <v>1550</v>
      </c>
      <c r="N53" s="426"/>
      <c r="O53" s="426"/>
      <c r="P53" s="426"/>
      <c r="Q53" s="426"/>
      <c r="R53" s="426"/>
      <c r="S53" s="426"/>
      <c r="T53" s="427" t="s">
        <v>43</v>
      </c>
      <c r="U53" s="427" t="s">
        <v>2251</v>
      </c>
      <c r="V53" s="427" t="s">
        <v>1350</v>
      </c>
      <c r="W53" s="426"/>
      <c r="X53" s="426"/>
    </row>
    <row r="54">
      <c r="A54" s="419" t="s">
        <v>8007</v>
      </c>
      <c r="B54" s="420" t="s">
        <v>8008</v>
      </c>
      <c r="C54" s="360"/>
      <c r="D54" s="421">
        <v>2027.0</v>
      </c>
      <c r="E54" s="360"/>
      <c r="F54" s="421">
        <v>1.0</v>
      </c>
      <c r="G54" s="421">
        <v>1.0</v>
      </c>
      <c r="H54" s="360"/>
      <c r="I54" s="360"/>
      <c r="J54" s="360"/>
      <c r="K54" s="422" t="s">
        <v>122</v>
      </c>
      <c r="L54" s="421" t="s">
        <v>42</v>
      </c>
      <c r="M54" s="422" t="s">
        <v>1556</v>
      </c>
      <c r="N54" s="360"/>
      <c r="O54" s="360"/>
      <c r="P54" s="360"/>
      <c r="Q54" s="360"/>
      <c r="R54" s="360"/>
      <c r="S54" s="360"/>
      <c r="T54" s="421" t="s">
        <v>52</v>
      </c>
      <c r="U54" s="421" t="s">
        <v>8009</v>
      </c>
      <c r="V54" s="360"/>
      <c r="W54" s="360"/>
      <c r="X54" s="423" t="s">
        <v>7586</v>
      </c>
    </row>
    <row r="55">
      <c r="A55" s="424" t="s">
        <v>8010</v>
      </c>
      <c r="B55" s="425" t="s">
        <v>1001</v>
      </c>
      <c r="C55" s="426"/>
      <c r="D55" s="427">
        <v>2027.0</v>
      </c>
      <c r="E55" s="426"/>
      <c r="F55" s="427">
        <v>1.0</v>
      </c>
      <c r="G55" s="427">
        <v>1.0</v>
      </c>
      <c r="H55" s="426"/>
      <c r="I55" s="426"/>
      <c r="J55" s="426"/>
      <c r="K55" s="427" t="s">
        <v>51</v>
      </c>
      <c r="L55" s="427" t="s">
        <v>109</v>
      </c>
      <c r="M55" s="427" t="s">
        <v>2324</v>
      </c>
      <c r="N55" s="426"/>
      <c r="O55" s="426"/>
      <c r="P55" s="426"/>
      <c r="Q55" s="426"/>
      <c r="R55" s="426"/>
      <c r="S55" s="426"/>
      <c r="T55" s="427" t="s">
        <v>52</v>
      </c>
      <c r="U55" s="427" t="s">
        <v>8011</v>
      </c>
      <c r="V55" s="427" t="s">
        <v>54</v>
      </c>
      <c r="W55" s="426"/>
      <c r="X55" s="428" t="s">
        <v>7586</v>
      </c>
    </row>
    <row r="56">
      <c r="A56" s="419" t="s">
        <v>4891</v>
      </c>
      <c r="B56" s="420" t="s">
        <v>4892</v>
      </c>
      <c r="C56" s="360"/>
      <c r="D56" s="421">
        <v>2027.0</v>
      </c>
      <c r="E56" s="360"/>
      <c r="F56" s="421">
        <v>1.0</v>
      </c>
      <c r="G56" s="421">
        <v>1.0</v>
      </c>
      <c r="H56" s="360"/>
      <c r="I56" s="360"/>
      <c r="J56" s="360"/>
      <c r="K56" s="421" t="s">
        <v>72</v>
      </c>
      <c r="L56" s="360"/>
      <c r="M56" s="421" t="s">
        <v>1550</v>
      </c>
      <c r="N56" s="360"/>
      <c r="O56" s="360"/>
      <c r="P56" s="360"/>
      <c r="Q56" s="360"/>
      <c r="R56" s="360"/>
      <c r="S56" s="360"/>
      <c r="T56" s="421" t="s">
        <v>52</v>
      </c>
      <c r="U56" s="421" t="s">
        <v>8012</v>
      </c>
      <c r="V56" s="421" t="s">
        <v>3829</v>
      </c>
      <c r="W56" s="360"/>
      <c r="X56" s="423" t="s">
        <v>7586</v>
      </c>
    </row>
    <row r="57">
      <c r="A57" s="424" t="s">
        <v>5455</v>
      </c>
      <c r="B57" s="425" t="s">
        <v>386</v>
      </c>
      <c r="C57" s="426"/>
      <c r="D57" s="427">
        <v>2027.0</v>
      </c>
      <c r="E57" s="426"/>
      <c r="F57" s="427">
        <v>1.0</v>
      </c>
      <c r="G57" s="427">
        <v>1.0</v>
      </c>
      <c r="H57" s="426"/>
      <c r="I57" s="426"/>
      <c r="J57" s="426"/>
      <c r="K57" s="427" t="s">
        <v>51</v>
      </c>
      <c r="L57" s="426"/>
      <c r="M57" s="429" t="s">
        <v>1989</v>
      </c>
      <c r="N57" s="426"/>
      <c r="O57" s="426"/>
      <c r="P57" s="426"/>
      <c r="Q57" s="426"/>
      <c r="R57" s="426"/>
      <c r="S57" s="426"/>
      <c r="T57" s="427" t="s">
        <v>52</v>
      </c>
      <c r="U57" s="427" t="s">
        <v>8013</v>
      </c>
      <c r="V57" s="427" t="s">
        <v>54</v>
      </c>
      <c r="W57" s="426"/>
      <c r="X57" s="428" t="s">
        <v>54</v>
      </c>
    </row>
    <row r="58">
      <c r="A58" s="419" t="s">
        <v>8014</v>
      </c>
      <c r="B58" s="420" t="s">
        <v>8015</v>
      </c>
      <c r="C58" s="360"/>
      <c r="D58" s="421">
        <v>2027.0</v>
      </c>
      <c r="E58" s="360"/>
      <c r="F58" s="421">
        <v>1.0</v>
      </c>
      <c r="G58" s="421">
        <v>1.0</v>
      </c>
      <c r="H58" s="360"/>
      <c r="I58" s="360"/>
      <c r="J58" s="360"/>
      <c r="K58" s="421" t="s">
        <v>109</v>
      </c>
      <c r="L58" s="421" t="s">
        <v>72</v>
      </c>
      <c r="M58" s="422" t="s">
        <v>1989</v>
      </c>
      <c r="N58" s="360"/>
      <c r="O58" s="360"/>
      <c r="P58" s="360"/>
      <c r="Q58" s="360"/>
      <c r="R58" s="360"/>
      <c r="S58" s="360"/>
      <c r="T58" s="421" t="s">
        <v>52</v>
      </c>
      <c r="U58" s="421" t="s">
        <v>4115</v>
      </c>
      <c r="V58" s="421" t="s">
        <v>54</v>
      </c>
      <c r="W58" s="360"/>
      <c r="X58" s="423" t="s">
        <v>54</v>
      </c>
    </row>
    <row r="59">
      <c r="A59" s="424" t="s">
        <v>1822</v>
      </c>
      <c r="B59" s="425" t="s">
        <v>3888</v>
      </c>
      <c r="C59" s="426"/>
      <c r="D59" s="427">
        <v>2027.0</v>
      </c>
      <c r="E59" s="426"/>
      <c r="F59" s="427">
        <v>1.0</v>
      </c>
      <c r="G59" s="427">
        <v>1.0</v>
      </c>
      <c r="H59" s="426"/>
      <c r="I59" s="426"/>
      <c r="J59" s="426"/>
      <c r="K59" s="429" t="s">
        <v>122</v>
      </c>
      <c r="L59" s="427" t="s">
        <v>42</v>
      </c>
      <c r="M59" s="429" t="s">
        <v>1556</v>
      </c>
      <c r="N59" s="426"/>
      <c r="O59" s="426"/>
      <c r="P59" s="426"/>
      <c r="Q59" s="426"/>
      <c r="R59" s="426"/>
      <c r="S59" s="426"/>
      <c r="T59" s="427" t="s">
        <v>85</v>
      </c>
      <c r="U59" s="427" t="s">
        <v>3794</v>
      </c>
      <c r="V59" s="427" t="s">
        <v>1424</v>
      </c>
      <c r="W59" s="426"/>
      <c r="X59" s="428" t="s">
        <v>8016</v>
      </c>
    </row>
    <row r="60">
      <c r="A60" s="419" t="s">
        <v>1997</v>
      </c>
      <c r="B60" s="420" t="s">
        <v>4780</v>
      </c>
      <c r="C60" s="360"/>
      <c r="D60" s="421">
        <v>2027.0</v>
      </c>
      <c r="E60" s="360"/>
      <c r="F60" s="421">
        <v>1.0</v>
      </c>
      <c r="G60" s="421">
        <v>1.0</v>
      </c>
      <c r="H60" s="360"/>
      <c r="I60" s="360"/>
      <c r="J60" s="360"/>
      <c r="K60" s="421" t="s">
        <v>63</v>
      </c>
      <c r="L60" s="421" t="s">
        <v>72</v>
      </c>
      <c r="M60" s="421" t="s">
        <v>1550</v>
      </c>
      <c r="N60" s="360"/>
      <c r="O60" s="360"/>
      <c r="P60" s="360"/>
      <c r="Q60" s="360"/>
      <c r="R60" s="360"/>
      <c r="S60" s="360"/>
      <c r="T60" s="421" t="s">
        <v>85</v>
      </c>
      <c r="U60" s="421" t="s">
        <v>8017</v>
      </c>
      <c r="V60" s="421" t="s">
        <v>87</v>
      </c>
      <c r="W60" s="360"/>
      <c r="X60" s="423" t="s">
        <v>8016</v>
      </c>
    </row>
    <row r="61">
      <c r="A61" s="424" t="s">
        <v>8018</v>
      </c>
      <c r="B61" s="425" t="s">
        <v>3626</v>
      </c>
      <c r="C61" s="426"/>
      <c r="D61" s="427">
        <v>2027.0</v>
      </c>
      <c r="E61" s="426"/>
      <c r="F61" s="427">
        <v>1.0</v>
      </c>
      <c r="G61" s="427">
        <v>1.0</v>
      </c>
      <c r="H61" s="426"/>
      <c r="I61" s="426"/>
      <c r="J61" s="426"/>
      <c r="K61" s="427" t="s">
        <v>63</v>
      </c>
      <c r="L61" s="426"/>
      <c r="M61" s="427" t="s">
        <v>1550</v>
      </c>
      <c r="N61" s="426"/>
      <c r="O61" s="426"/>
      <c r="P61" s="426"/>
      <c r="Q61" s="426"/>
      <c r="R61" s="426"/>
      <c r="S61" s="426"/>
      <c r="T61" s="427" t="s">
        <v>85</v>
      </c>
      <c r="U61" s="427" t="s">
        <v>8017</v>
      </c>
      <c r="V61" s="427" t="s">
        <v>87</v>
      </c>
      <c r="W61" s="426"/>
      <c r="X61" s="428" t="s">
        <v>8016</v>
      </c>
    </row>
    <row r="62">
      <c r="A62" s="419" t="s">
        <v>409</v>
      </c>
      <c r="B62" s="420" t="s">
        <v>2891</v>
      </c>
      <c r="C62" s="360"/>
      <c r="D62" s="421">
        <v>2027.0</v>
      </c>
      <c r="E62" s="360"/>
      <c r="F62" s="421">
        <v>1.0</v>
      </c>
      <c r="G62" s="421">
        <v>1.0</v>
      </c>
      <c r="H62" s="360"/>
      <c r="I62" s="360"/>
      <c r="J62" s="360"/>
      <c r="K62" s="421" t="s">
        <v>106</v>
      </c>
      <c r="L62" s="421" t="s">
        <v>72</v>
      </c>
      <c r="M62" s="421" t="s">
        <v>1550</v>
      </c>
      <c r="N62" s="360"/>
      <c r="O62" s="360"/>
      <c r="P62" s="360"/>
      <c r="Q62" s="360"/>
      <c r="R62" s="360"/>
      <c r="S62" s="360"/>
      <c r="T62" s="421" t="s">
        <v>255</v>
      </c>
      <c r="U62" s="421" t="s">
        <v>8019</v>
      </c>
      <c r="V62" s="421" t="s">
        <v>2341</v>
      </c>
      <c r="W62" s="360"/>
      <c r="X62" s="423" t="s">
        <v>8020</v>
      </c>
    </row>
    <row r="63">
      <c r="A63" s="424" t="s">
        <v>8021</v>
      </c>
      <c r="B63" s="425" t="s">
        <v>8022</v>
      </c>
      <c r="C63" s="426"/>
      <c r="D63" s="427">
        <v>2027.0</v>
      </c>
      <c r="E63" s="426"/>
      <c r="F63" s="427">
        <v>1.0</v>
      </c>
      <c r="G63" s="427">
        <v>1.0</v>
      </c>
      <c r="H63" s="426"/>
      <c r="I63" s="426"/>
      <c r="J63" s="426"/>
      <c r="K63" s="427" t="s">
        <v>63</v>
      </c>
      <c r="L63" s="426"/>
      <c r="M63" s="427" t="s">
        <v>1550</v>
      </c>
      <c r="N63" s="426"/>
      <c r="O63" s="426"/>
      <c r="P63" s="426"/>
      <c r="Q63" s="426"/>
      <c r="R63" s="426"/>
      <c r="S63" s="426"/>
      <c r="T63" s="427" t="s">
        <v>8023</v>
      </c>
      <c r="U63" s="427" t="s">
        <v>8024</v>
      </c>
      <c r="V63" s="427" t="s">
        <v>4111</v>
      </c>
      <c r="W63" s="426"/>
      <c r="X63" s="426"/>
    </row>
    <row r="64">
      <c r="A64" s="419" t="s">
        <v>2016</v>
      </c>
      <c r="B64" s="420" t="s">
        <v>6397</v>
      </c>
      <c r="C64" s="360"/>
      <c r="D64" s="421">
        <v>2027.0</v>
      </c>
      <c r="E64" s="360"/>
      <c r="F64" s="421">
        <v>1.0</v>
      </c>
      <c r="G64" s="421">
        <v>1.0</v>
      </c>
      <c r="H64" s="360"/>
      <c r="I64" s="360"/>
      <c r="J64" s="360"/>
      <c r="K64" s="422" t="s">
        <v>122</v>
      </c>
      <c r="L64" s="360"/>
      <c r="M64" s="422" t="s">
        <v>1556</v>
      </c>
      <c r="N64" s="360"/>
      <c r="O64" s="360"/>
      <c r="P64" s="360"/>
      <c r="Q64" s="360"/>
      <c r="R64" s="360"/>
      <c r="S64" s="421" t="s">
        <v>8025</v>
      </c>
      <c r="T64" s="421" t="s">
        <v>66</v>
      </c>
      <c r="U64" s="421" t="s">
        <v>8026</v>
      </c>
      <c r="V64" s="421" t="s">
        <v>100</v>
      </c>
      <c r="W64" s="360"/>
      <c r="X64" s="423" t="s">
        <v>3747</v>
      </c>
    </row>
    <row r="65">
      <c r="A65" s="424" t="s">
        <v>467</v>
      </c>
      <c r="B65" s="425" t="s">
        <v>8027</v>
      </c>
      <c r="C65" s="426"/>
      <c r="D65" s="427">
        <v>2027.0</v>
      </c>
      <c r="E65" s="426"/>
      <c r="F65" s="427">
        <v>1.0</v>
      </c>
      <c r="G65" s="427">
        <v>1.0</v>
      </c>
      <c r="H65" s="426"/>
      <c r="I65" s="426"/>
      <c r="J65" s="426"/>
      <c r="K65" s="429" t="s">
        <v>122</v>
      </c>
      <c r="L65" s="426"/>
      <c r="M65" s="426"/>
      <c r="N65" s="426"/>
      <c r="O65" s="426"/>
      <c r="P65" s="426"/>
      <c r="Q65" s="426"/>
      <c r="R65" s="426"/>
      <c r="S65" s="427" t="s">
        <v>8028</v>
      </c>
      <c r="T65" s="427" t="s">
        <v>66</v>
      </c>
      <c r="U65" s="427" t="s">
        <v>8029</v>
      </c>
      <c r="V65" s="427" t="s">
        <v>1827</v>
      </c>
      <c r="W65" s="426"/>
      <c r="X65" s="428" t="s">
        <v>3747</v>
      </c>
    </row>
    <row r="66">
      <c r="A66" s="419" t="s">
        <v>8030</v>
      </c>
      <c r="B66" s="420" t="s">
        <v>5107</v>
      </c>
      <c r="C66" s="360"/>
      <c r="D66" s="421">
        <v>2027.0</v>
      </c>
      <c r="E66" s="360"/>
      <c r="F66" s="421">
        <v>1.0</v>
      </c>
      <c r="G66" s="421">
        <v>1.0</v>
      </c>
      <c r="H66" s="360"/>
      <c r="I66" s="360"/>
      <c r="J66" s="360"/>
      <c r="K66" s="422" t="s">
        <v>122</v>
      </c>
      <c r="L66" s="421" t="s">
        <v>42</v>
      </c>
      <c r="M66" s="422" t="s">
        <v>1989</v>
      </c>
      <c r="N66" s="360"/>
      <c r="O66" s="360"/>
      <c r="P66" s="360"/>
      <c r="Q66" s="360"/>
      <c r="R66" s="360"/>
      <c r="S66" s="360"/>
      <c r="T66" s="421" t="s">
        <v>502</v>
      </c>
      <c r="U66" s="421" t="s">
        <v>8031</v>
      </c>
      <c r="V66" s="421" t="s">
        <v>8032</v>
      </c>
      <c r="W66" s="360"/>
      <c r="X66" s="423" t="s">
        <v>8033</v>
      </c>
    </row>
    <row r="67">
      <c r="A67" s="424" t="s">
        <v>432</v>
      </c>
      <c r="B67" s="425" t="s">
        <v>4053</v>
      </c>
      <c r="C67" s="426"/>
      <c r="D67" s="427">
        <v>2027.0</v>
      </c>
      <c r="E67" s="426"/>
      <c r="F67" s="427">
        <v>1.0</v>
      </c>
      <c r="G67" s="427">
        <v>1.0</v>
      </c>
      <c r="H67" s="426"/>
      <c r="I67" s="426"/>
      <c r="J67" s="426"/>
      <c r="K67" s="427" t="s">
        <v>63</v>
      </c>
      <c r="L67" s="427" t="s">
        <v>42</v>
      </c>
      <c r="M67" s="427" t="s">
        <v>1550</v>
      </c>
      <c r="N67" s="426"/>
      <c r="O67" s="426"/>
      <c r="P67" s="426"/>
      <c r="Q67" s="426"/>
      <c r="R67" s="426"/>
      <c r="S67" s="426"/>
      <c r="T67" s="427" t="s">
        <v>240</v>
      </c>
      <c r="U67" s="427" t="s">
        <v>8034</v>
      </c>
      <c r="V67" s="427" t="s">
        <v>3066</v>
      </c>
      <c r="W67" s="426"/>
      <c r="X67" s="428" t="s">
        <v>3747</v>
      </c>
    </row>
    <row r="68">
      <c r="A68" s="419" t="s">
        <v>8035</v>
      </c>
      <c r="B68" s="420" t="s">
        <v>8036</v>
      </c>
      <c r="C68" s="360"/>
      <c r="D68" s="421">
        <v>2027.0</v>
      </c>
      <c r="E68" s="360"/>
      <c r="F68" s="421">
        <v>1.0</v>
      </c>
      <c r="G68" s="421">
        <v>1.0</v>
      </c>
      <c r="H68" s="360"/>
      <c r="I68" s="360"/>
      <c r="J68" s="360"/>
      <c r="K68" s="421" t="s">
        <v>51</v>
      </c>
      <c r="L68" s="421" t="s">
        <v>63</v>
      </c>
      <c r="M68" s="421" t="s">
        <v>1550</v>
      </c>
      <c r="N68" s="360"/>
      <c r="O68" s="360"/>
      <c r="P68" s="360"/>
      <c r="Q68" s="360"/>
      <c r="R68" s="360"/>
      <c r="S68" s="360"/>
      <c r="T68" s="421" t="s">
        <v>195</v>
      </c>
      <c r="U68" s="421" t="s">
        <v>8037</v>
      </c>
      <c r="V68" s="421" t="s">
        <v>8038</v>
      </c>
      <c r="W68" s="360"/>
      <c r="X68" s="423" t="s">
        <v>8039</v>
      </c>
    </row>
    <row r="69">
      <c r="A69" s="424" t="s">
        <v>104</v>
      </c>
      <c r="B69" s="425" t="s">
        <v>2017</v>
      </c>
      <c r="C69" s="426"/>
      <c r="D69" s="427">
        <v>2027.0</v>
      </c>
      <c r="E69" s="426"/>
      <c r="F69" s="427">
        <v>1.0</v>
      </c>
      <c r="G69" s="427">
        <v>1.0</v>
      </c>
      <c r="H69" s="426"/>
      <c r="I69" s="426"/>
      <c r="J69" s="426"/>
      <c r="K69" s="427" t="s">
        <v>63</v>
      </c>
      <c r="L69" s="426"/>
      <c r="M69" s="427" t="s">
        <v>1550</v>
      </c>
      <c r="N69" s="426"/>
      <c r="O69" s="426"/>
      <c r="P69" s="426"/>
      <c r="Q69" s="426"/>
      <c r="R69" s="426"/>
      <c r="S69" s="426"/>
      <c r="T69" s="427" t="s">
        <v>2224</v>
      </c>
      <c r="U69" s="427" t="s">
        <v>8040</v>
      </c>
      <c r="V69" s="427" t="s">
        <v>1424</v>
      </c>
      <c r="W69" s="426"/>
      <c r="X69" s="428" t="s">
        <v>8041</v>
      </c>
    </row>
    <row r="70">
      <c r="A70" s="419" t="s">
        <v>8042</v>
      </c>
      <c r="B70" s="420" t="s">
        <v>5488</v>
      </c>
      <c r="C70" s="360"/>
      <c r="D70" s="421">
        <v>2027.0</v>
      </c>
      <c r="E70" s="360"/>
      <c r="F70" s="421">
        <v>1.0</v>
      </c>
      <c r="G70" s="421">
        <v>1.0</v>
      </c>
      <c r="H70" s="360"/>
      <c r="I70" s="360"/>
      <c r="J70" s="360"/>
      <c r="K70" s="421" t="s">
        <v>63</v>
      </c>
      <c r="L70" s="360"/>
      <c r="M70" s="421" t="s">
        <v>1550</v>
      </c>
      <c r="N70" s="360"/>
      <c r="O70" s="360"/>
      <c r="P70" s="360"/>
      <c r="Q70" s="360"/>
      <c r="R70" s="360"/>
      <c r="S70" s="360"/>
      <c r="T70" s="421" t="s">
        <v>502</v>
      </c>
      <c r="U70" s="421" t="s">
        <v>8031</v>
      </c>
      <c r="V70" s="421" t="s">
        <v>8043</v>
      </c>
      <c r="W70" s="360"/>
      <c r="X70" s="423" t="s">
        <v>8044</v>
      </c>
    </row>
    <row r="71">
      <c r="A71" s="424" t="s">
        <v>1302</v>
      </c>
      <c r="B71" s="425" t="s">
        <v>8045</v>
      </c>
      <c r="C71" s="426"/>
      <c r="D71" s="427">
        <v>2027.0</v>
      </c>
      <c r="E71" s="426"/>
      <c r="F71" s="427">
        <v>1.0</v>
      </c>
      <c r="G71" s="427">
        <v>1.0</v>
      </c>
      <c r="H71" s="426"/>
      <c r="I71" s="426"/>
      <c r="J71" s="426"/>
      <c r="K71" s="427" t="s">
        <v>63</v>
      </c>
      <c r="L71" s="426"/>
      <c r="M71" s="427" t="s">
        <v>1550</v>
      </c>
      <c r="N71" s="426"/>
      <c r="O71" s="426"/>
      <c r="P71" s="426"/>
      <c r="Q71" s="426"/>
      <c r="R71" s="426"/>
      <c r="S71" s="426"/>
      <c r="T71" s="427" t="s">
        <v>255</v>
      </c>
      <c r="U71" s="427" t="s">
        <v>872</v>
      </c>
      <c r="V71" s="427" t="s">
        <v>2575</v>
      </c>
      <c r="W71" s="426"/>
      <c r="X71" s="428" t="s">
        <v>8046</v>
      </c>
    </row>
    <row r="72">
      <c r="A72" s="419" t="s">
        <v>8047</v>
      </c>
      <c r="B72" s="420" t="s">
        <v>4852</v>
      </c>
      <c r="C72" s="360"/>
      <c r="D72" s="421">
        <v>2027.0</v>
      </c>
      <c r="E72" s="360"/>
      <c r="F72" s="421">
        <v>1.0</v>
      </c>
      <c r="G72" s="421">
        <v>1.0</v>
      </c>
      <c r="H72" s="360"/>
      <c r="I72" s="360"/>
      <c r="J72" s="360"/>
      <c r="K72" s="421" t="s">
        <v>72</v>
      </c>
      <c r="L72" s="421" t="s">
        <v>63</v>
      </c>
      <c r="M72" s="421" t="s">
        <v>1550</v>
      </c>
      <c r="N72" s="360"/>
      <c r="O72" s="360"/>
      <c r="P72" s="360"/>
      <c r="Q72" s="360"/>
      <c r="R72" s="360"/>
      <c r="S72" s="360"/>
      <c r="T72" s="421" t="s">
        <v>85</v>
      </c>
      <c r="U72" s="421" t="s">
        <v>86</v>
      </c>
      <c r="V72" s="421" t="s">
        <v>2486</v>
      </c>
      <c r="W72" s="360"/>
      <c r="X72" s="423" t="s">
        <v>8048</v>
      </c>
    </row>
    <row r="73">
      <c r="A73" s="424" t="s">
        <v>104</v>
      </c>
      <c r="B73" s="425" t="s">
        <v>3588</v>
      </c>
      <c r="C73" s="426"/>
      <c r="D73" s="427">
        <v>2027.0</v>
      </c>
      <c r="E73" s="426"/>
      <c r="F73" s="427">
        <v>1.0</v>
      </c>
      <c r="G73" s="427">
        <v>1.0</v>
      </c>
      <c r="H73" s="426"/>
      <c r="I73" s="426"/>
      <c r="J73" s="426"/>
      <c r="K73" s="427" t="s">
        <v>51</v>
      </c>
      <c r="L73" s="426"/>
      <c r="M73" s="427" t="s">
        <v>1550</v>
      </c>
      <c r="N73" s="426"/>
      <c r="O73" s="426"/>
      <c r="P73" s="426"/>
      <c r="Q73" s="426"/>
      <c r="R73" s="426"/>
      <c r="S73" s="426"/>
      <c r="T73" s="427" t="s">
        <v>85</v>
      </c>
      <c r="U73" s="427" t="s">
        <v>86</v>
      </c>
      <c r="V73" s="427" t="s">
        <v>2486</v>
      </c>
      <c r="W73" s="426"/>
      <c r="X73" s="428" t="s">
        <v>8048</v>
      </c>
    </row>
    <row r="74">
      <c r="A74" s="419" t="s">
        <v>8049</v>
      </c>
      <c r="B74" s="420" t="s">
        <v>3015</v>
      </c>
      <c r="C74" s="360"/>
      <c r="D74" s="421">
        <v>2027.0</v>
      </c>
      <c r="E74" s="360"/>
      <c r="F74" s="421">
        <v>1.0</v>
      </c>
      <c r="G74" s="421">
        <v>1.0</v>
      </c>
      <c r="H74" s="360"/>
      <c r="I74" s="360"/>
      <c r="J74" s="360"/>
      <c r="K74" s="421" t="s">
        <v>106</v>
      </c>
      <c r="L74" s="360"/>
      <c r="M74" s="421" t="s">
        <v>1550</v>
      </c>
      <c r="N74" s="360"/>
      <c r="O74" s="360"/>
      <c r="P74" s="360"/>
      <c r="Q74" s="360"/>
      <c r="R74" s="360"/>
      <c r="S74" s="360"/>
      <c r="T74" s="421" t="s">
        <v>85</v>
      </c>
      <c r="U74" s="421" t="s">
        <v>8050</v>
      </c>
      <c r="V74" s="421" t="s">
        <v>87</v>
      </c>
      <c r="W74" s="360"/>
      <c r="X74" s="423" t="s">
        <v>8051</v>
      </c>
    </row>
    <row r="75" hidden="1">
      <c r="A75" s="424" t="s">
        <v>8052</v>
      </c>
      <c r="B75" s="425" t="s">
        <v>2879</v>
      </c>
      <c r="C75" s="426"/>
      <c r="D75" s="427">
        <v>2028.0</v>
      </c>
      <c r="E75" s="426"/>
      <c r="F75" s="427">
        <v>1.0</v>
      </c>
      <c r="G75" s="427">
        <v>1.0</v>
      </c>
      <c r="H75" s="426"/>
      <c r="I75" s="426"/>
      <c r="J75" s="426"/>
      <c r="K75" s="429" t="s">
        <v>122</v>
      </c>
      <c r="L75" s="427" t="s">
        <v>72</v>
      </c>
      <c r="M75" s="429" t="s">
        <v>1556</v>
      </c>
      <c r="N75" s="426"/>
      <c r="O75" s="426"/>
      <c r="P75" s="426"/>
      <c r="Q75" s="426"/>
      <c r="R75" s="426"/>
      <c r="S75" s="426"/>
      <c r="T75" s="427" t="s">
        <v>85</v>
      </c>
      <c r="U75" s="427" t="s">
        <v>86</v>
      </c>
      <c r="V75" s="427" t="s">
        <v>2989</v>
      </c>
      <c r="W75" s="426"/>
      <c r="X75" s="428" t="s">
        <v>8048</v>
      </c>
    </row>
    <row r="76" hidden="1">
      <c r="A76" s="419" t="s">
        <v>8052</v>
      </c>
      <c r="B76" s="420" t="s">
        <v>2879</v>
      </c>
      <c r="C76" s="360"/>
      <c r="D76" s="421">
        <v>2028.0</v>
      </c>
      <c r="E76" s="360"/>
      <c r="F76" s="421">
        <v>1.0</v>
      </c>
      <c r="G76" s="421">
        <v>1.0</v>
      </c>
      <c r="H76" s="360"/>
      <c r="I76" s="360"/>
      <c r="J76" s="360"/>
      <c r="K76" s="421" t="s">
        <v>1972</v>
      </c>
      <c r="L76" s="422" t="s">
        <v>122</v>
      </c>
      <c r="M76" s="422" t="s">
        <v>1556</v>
      </c>
      <c r="N76" s="360"/>
      <c r="O76" s="360"/>
      <c r="P76" s="360"/>
      <c r="Q76" s="360"/>
      <c r="R76" s="360"/>
      <c r="S76" s="360"/>
      <c r="T76" s="421" t="s">
        <v>85</v>
      </c>
      <c r="U76" s="421" t="s">
        <v>86</v>
      </c>
      <c r="V76" s="421" t="s">
        <v>1827</v>
      </c>
      <c r="W76" s="360"/>
      <c r="X76" s="423" t="s">
        <v>8048</v>
      </c>
    </row>
    <row r="77" hidden="1">
      <c r="A77" s="424" t="s">
        <v>3126</v>
      </c>
      <c r="B77" s="425" t="s">
        <v>3127</v>
      </c>
      <c r="C77" s="426"/>
      <c r="D77" s="427">
        <v>2028.0</v>
      </c>
      <c r="E77" s="426"/>
      <c r="F77" s="427">
        <v>1.0</v>
      </c>
      <c r="G77" s="427">
        <v>1.0</v>
      </c>
      <c r="H77" s="426"/>
      <c r="I77" s="426"/>
      <c r="J77" s="426"/>
      <c r="K77" s="429" t="s">
        <v>122</v>
      </c>
      <c r="L77" s="426"/>
      <c r="M77" s="429" t="s">
        <v>1556</v>
      </c>
      <c r="N77" s="426"/>
      <c r="O77" s="426"/>
      <c r="P77" s="426"/>
      <c r="Q77" s="426"/>
      <c r="R77" s="426"/>
      <c r="S77" s="426"/>
      <c r="T77" s="427" t="s">
        <v>85</v>
      </c>
      <c r="U77" s="427" t="s">
        <v>86</v>
      </c>
      <c r="V77" s="427" t="s">
        <v>1827</v>
      </c>
      <c r="W77" s="426"/>
      <c r="X77" s="428" t="s">
        <v>8048</v>
      </c>
    </row>
    <row r="78" hidden="1">
      <c r="A78" s="419" t="s">
        <v>2995</v>
      </c>
      <c r="B78" s="420" t="s">
        <v>2996</v>
      </c>
      <c r="C78" s="360"/>
      <c r="D78" s="421">
        <v>2028.0</v>
      </c>
      <c r="E78" s="360"/>
      <c r="F78" s="421">
        <v>1.0</v>
      </c>
      <c r="G78" s="421">
        <v>1.0</v>
      </c>
      <c r="H78" s="360"/>
      <c r="I78" s="360"/>
      <c r="J78" s="360"/>
      <c r="K78" s="421" t="s">
        <v>51</v>
      </c>
      <c r="L78" s="360"/>
      <c r="M78" s="421" t="s">
        <v>1550</v>
      </c>
      <c r="N78" s="360"/>
      <c r="O78" s="360"/>
      <c r="P78" s="360"/>
      <c r="Q78" s="360"/>
      <c r="R78" s="360"/>
      <c r="S78" s="360"/>
      <c r="T78" s="421" t="s">
        <v>85</v>
      </c>
      <c r="U78" s="421" t="s">
        <v>86</v>
      </c>
      <c r="V78" s="421" t="s">
        <v>2874</v>
      </c>
      <c r="W78" s="360"/>
      <c r="X78" s="423" t="s">
        <v>8048</v>
      </c>
    </row>
    <row r="79" hidden="1">
      <c r="A79" s="424" t="s">
        <v>926</v>
      </c>
      <c r="B79" s="425" t="s">
        <v>8053</v>
      </c>
      <c r="C79" s="426"/>
      <c r="D79" s="427">
        <v>2026.0</v>
      </c>
      <c r="E79" s="426"/>
      <c r="F79" s="427">
        <v>1.0</v>
      </c>
      <c r="G79" s="427">
        <v>1.0</v>
      </c>
      <c r="H79" s="426"/>
      <c r="I79" s="426"/>
      <c r="J79" s="426"/>
      <c r="K79" s="429" t="s">
        <v>122</v>
      </c>
      <c r="L79" s="426"/>
      <c r="M79" s="429" t="s">
        <v>1556</v>
      </c>
      <c r="N79" s="426"/>
      <c r="O79" s="426"/>
      <c r="P79" s="426"/>
      <c r="Q79" s="426"/>
      <c r="R79" s="426"/>
      <c r="S79" s="426"/>
      <c r="T79" s="427" t="s">
        <v>52</v>
      </c>
      <c r="U79" s="427" t="s">
        <v>876</v>
      </c>
      <c r="V79" s="427"/>
      <c r="W79" s="426"/>
      <c r="X79" s="428" t="s">
        <v>3747</v>
      </c>
    </row>
    <row r="80" hidden="1">
      <c r="A80" s="419" t="s">
        <v>8054</v>
      </c>
      <c r="B80" s="420" t="s">
        <v>6154</v>
      </c>
      <c r="C80" s="360"/>
      <c r="D80" s="421">
        <v>2026.0</v>
      </c>
      <c r="E80" s="360"/>
      <c r="F80" s="421">
        <v>1.0</v>
      </c>
      <c r="G80" s="421">
        <v>1.0</v>
      </c>
      <c r="H80" s="360"/>
      <c r="I80" s="360"/>
      <c r="J80" s="360"/>
      <c r="K80" s="422" t="s">
        <v>122</v>
      </c>
      <c r="L80" s="360"/>
      <c r="M80" s="422" t="s">
        <v>1556</v>
      </c>
      <c r="N80" s="360"/>
      <c r="O80" s="360"/>
      <c r="P80" s="360"/>
      <c r="Q80" s="360"/>
      <c r="R80" s="360"/>
      <c r="S80" s="360"/>
      <c r="T80" s="421" t="s">
        <v>66</v>
      </c>
      <c r="U80" s="421" t="s">
        <v>3037</v>
      </c>
      <c r="V80" s="431"/>
      <c r="W80" s="360"/>
      <c r="X80" s="423" t="s">
        <v>8055</v>
      </c>
    </row>
    <row r="81" hidden="1">
      <c r="A81" s="424" t="s">
        <v>8056</v>
      </c>
      <c r="B81" s="425" t="s">
        <v>2891</v>
      </c>
      <c r="C81" s="426"/>
      <c r="D81" s="427">
        <v>2028.0</v>
      </c>
      <c r="E81" s="426"/>
      <c r="F81" s="427">
        <v>1.0</v>
      </c>
      <c r="G81" s="427">
        <v>1.0</v>
      </c>
      <c r="H81" s="426"/>
      <c r="I81" s="426"/>
      <c r="J81" s="426"/>
      <c r="K81" s="427" t="s">
        <v>63</v>
      </c>
      <c r="L81" s="427" t="s">
        <v>72</v>
      </c>
      <c r="M81" s="427" t="s">
        <v>1550</v>
      </c>
      <c r="N81" s="426"/>
      <c r="O81" s="426"/>
      <c r="P81" s="426"/>
      <c r="Q81" s="426"/>
      <c r="R81" s="426"/>
      <c r="S81" s="427" t="s">
        <v>2892</v>
      </c>
      <c r="T81" s="427" t="s">
        <v>85</v>
      </c>
      <c r="U81" s="427" t="s">
        <v>2801</v>
      </c>
      <c r="V81" s="427" t="s">
        <v>6617</v>
      </c>
      <c r="W81" s="426"/>
      <c r="X81" s="428" t="s">
        <v>8048</v>
      </c>
    </row>
    <row r="82" hidden="1">
      <c r="A82" s="419"/>
      <c r="B82" s="420"/>
      <c r="C82" s="360"/>
      <c r="D82" s="421"/>
      <c r="E82" s="360"/>
      <c r="F82" s="421"/>
      <c r="G82" s="421"/>
      <c r="H82" s="360"/>
      <c r="I82" s="360"/>
      <c r="J82" s="360"/>
      <c r="K82" s="421"/>
      <c r="L82" s="360"/>
      <c r="M82" s="421"/>
      <c r="N82" s="360"/>
      <c r="O82" s="360"/>
      <c r="P82" s="360"/>
      <c r="Q82" s="360"/>
      <c r="R82" s="360"/>
      <c r="S82" s="360"/>
      <c r="T82" s="421"/>
      <c r="U82" s="421"/>
      <c r="V82" s="421"/>
      <c r="W82" s="360"/>
      <c r="X82" s="423"/>
    </row>
    <row r="83">
      <c r="A83" s="424" t="s">
        <v>1997</v>
      </c>
      <c r="B83" s="425" t="s">
        <v>8057</v>
      </c>
      <c r="C83" s="426"/>
      <c r="D83" s="427">
        <v>2027.0</v>
      </c>
      <c r="E83" s="426"/>
      <c r="F83" s="427">
        <v>1.0</v>
      </c>
      <c r="G83" s="427">
        <v>1.0</v>
      </c>
      <c r="H83" s="426"/>
      <c r="I83" s="426"/>
      <c r="J83" s="426"/>
      <c r="K83" s="427" t="s">
        <v>63</v>
      </c>
      <c r="L83" s="426"/>
      <c r="M83" s="427" t="s">
        <v>1550</v>
      </c>
      <c r="N83" s="426"/>
      <c r="O83" s="426"/>
      <c r="P83" s="426"/>
      <c r="Q83" s="426"/>
      <c r="R83" s="426"/>
      <c r="S83" s="426"/>
      <c r="T83" s="427" t="s">
        <v>8058</v>
      </c>
      <c r="U83" s="427" t="s">
        <v>8059</v>
      </c>
      <c r="V83" s="427" t="s">
        <v>7290</v>
      </c>
      <c r="W83" s="426"/>
      <c r="X83" s="428" t="s">
        <v>8060</v>
      </c>
    </row>
    <row r="84" hidden="1">
      <c r="A84" s="419" t="s">
        <v>8061</v>
      </c>
      <c r="B84" s="420" t="s">
        <v>8062</v>
      </c>
      <c r="C84" s="360"/>
      <c r="D84" s="421">
        <v>2026.0</v>
      </c>
      <c r="E84" s="360"/>
      <c r="F84" s="421">
        <v>1.0</v>
      </c>
      <c r="G84" s="421">
        <v>1.0</v>
      </c>
      <c r="H84" s="360"/>
      <c r="I84" s="360"/>
      <c r="J84" s="360"/>
      <c r="K84" s="421" t="s">
        <v>109</v>
      </c>
      <c r="L84" s="360"/>
      <c r="M84" s="421" t="s">
        <v>1550</v>
      </c>
      <c r="N84" s="360"/>
      <c r="O84" s="360"/>
      <c r="P84" s="360"/>
      <c r="Q84" s="360"/>
      <c r="R84" s="360"/>
      <c r="S84" s="421" t="s">
        <v>8063</v>
      </c>
      <c r="T84" s="421" t="s">
        <v>52</v>
      </c>
      <c r="U84" s="421" t="s">
        <v>8064</v>
      </c>
      <c r="V84" s="431"/>
      <c r="W84" s="360"/>
      <c r="X84" s="423" t="s">
        <v>8065</v>
      </c>
    </row>
    <row r="85">
      <c r="A85" s="424" t="s">
        <v>1243</v>
      </c>
      <c r="B85" s="425" t="s">
        <v>1383</v>
      </c>
      <c r="C85" s="426"/>
      <c r="D85" s="427">
        <v>2027.0</v>
      </c>
      <c r="E85" s="426"/>
      <c r="F85" s="427">
        <v>1.0</v>
      </c>
      <c r="G85" s="427">
        <v>1.0</v>
      </c>
      <c r="H85" s="426"/>
      <c r="I85" s="426"/>
      <c r="J85" s="426"/>
      <c r="K85" s="427" t="s">
        <v>109</v>
      </c>
      <c r="L85" s="426"/>
      <c r="M85" s="427" t="s">
        <v>1550</v>
      </c>
      <c r="N85" s="426"/>
      <c r="O85" s="426"/>
      <c r="P85" s="426"/>
      <c r="Q85" s="426"/>
      <c r="R85" s="426"/>
      <c r="S85" s="426"/>
      <c r="T85" s="427" t="s">
        <v>52</v>
      </c>
      <c r="U85" s="427" t="s">
        <v>8066</v>
      </c>
      <c r="V85" s="427" t="s">
        <v>8067</v>
      </c>
      <c r="W85" s="426"/>
      <c r="X85" s="428" t="s">
        <v>7968</v>
      </c>
    </row>
    <row r="86" hidden="1">
      <c r="A86" s="419" t="s">
        <v>682</v>
      </c>
      <c r="B86" s="420" t="s">
        <v>2243</v>
      </c>
      <c r="C86" s="360"/>
      <c r="D86" s="421">
        <v>2026.0</v>
      </c>
      <c r="E86" s="360"/>
      <c r="F86" s="421">
        <v>1.0</v>
      </c>
      <c r="G86" s="421">
        <v>1.0</v>
      </c>
      <c r="H86" s="360"/>
      <c r="I86" s="360"/>
      <c r="J86" s="360"/>
      <c r="K86" s="421" t="s">
        <v>8068</v>
      </c>
      <c r="L86" s="421" t="s">
        <v>63</v>
      </c>
      <c r="M86" s="421" t="s">
        <v>1550</v>
      </c>
      <c r="N86" s="360"/>
      <c r="O86" s="360"/>
      <c r="P86" s="360"/>
      <c r="Q86" s="360"/>
      <c r="R86" s="360"/>
      <c r="S86" s="360"/>
      <c r="T86" s="421" t="s">
        <v>153</v>
      </c>
      <c r="U86" s="421" t="s">
        <v>8069</v>
      </c>
      <c r="V86" s="421" t="s">
        <v>263</v>
      </c>
      <c r="W86" s="360"/>
      <c r="X86" s="423" t="s">
        <v>8070</v>
      </c>
    </row>
    <row r="87" hidden="1">
      <c r="A87" s="424" t="s">
        <v>629</v>
      </c>
      <c r="B87" s="425" t="s">
        <v>4993</v>
      </c>
      <c r="C87" s="426"/>
      <c r="D87" s="427">
        <v>2026.0</v>
      </c>
      <c r="E87" s="426"/>
      <c r="F87" s="427">
        <v>1.0</v>
      </c>
      <c r="G87" s="427">
        <v>1.0</v>
      </c>
      <c r="H87" s="426"/>
      <c r="I87" s="426"/>
      <c r="J87" s="426"/>
      <c r="K87" s="427" t="s">
        <v>42</v>
      </c>
      <c r="L87" s="427" t="s">
        <v>1972</v>
      </c>
      <c r="M87" s="429" t="s">
        <v>1556</v>
      </c>
      <c r="N87" s="426"/>
      <c r="O87" s="426"/>
      <c r="P87" s="426"/>
      <c r="Q87" s="426"/>
      <c r="R87" s="426"/>
      <c r="S87" s="426"/>
      <c r="T87" s="427" t="s">
        <v>43</v>
      </c>
      <c r="U87" s="427" t="s">
        <v>8071</v>
      </c>
      <c r="V87" s="427" t="s">
        <v>3829</v>
      </c>
      <c r="W87" s="426"/>
      <c r="X87" s="428" t="s">
        <v>3747</v>
      </c>
    </row>
    <row r="88">
      <c r="A88" s="419" t="s">
        <v>4137</v>
      </c>
      <c r="B88" s="420" t="s">
        <v>8072</v>
      </c>
      <c r="C88" s="360"/>
      <c r="D88" s="421">
        <v>2027.0</v>
      </c>
      <c r="E88" s="360"/>
      <c r="F88" s="421">
        <v>1.0</v>
      </c>
      <c r="G88" s="421">
        <v>1.0</v>
      </c>
      <c r="H88" s="360"/>
      <c r="I88" s="360"/>
      <c r="J88" s="360"/>
      <c r="K88" s="422" t="s">
        <v>122</v>
      </c>
      <c r="L88" s="360"/>
      <c r="M88" s="422" t="s">
        <v>1556</v>
      </c>
      <c r="N88" s="360"/>
      <c r="O88" s="360"/>
      <c r="P88" s="360"/>
      <c r="Q88" s="360"/>
      <c r="R88" s="360"/>
      <c r="S88" s="360"/>
      <c r="T88" s="421" t="s">
        <v>180</v>
      </c>
      <c r="U88" s="421" t="s">
        <v>8073</v>
      </c>
      <c r="V88" s="421" t="s">
        <v>927</v>
      </c>
      <c r="W88" s="360"/>
      <c r="X88" s="423" t="s">
        <v>8074</v>
      </c>
    </row>
    <row r="89" hidden="1">
      <c r="A89" s="424" t="s">
        <v>1712</v>
      </c>
      <c r="B89" s="425" t="s">
        <v>1829</v>
      </c>
      <c r="C89" s="426"/>
      <c r="D89" s="427">
        <v>2026.0</v>
      </c>
      <c r="E89" s="426"/>
      <c r="F89" s="427">
        <v>1.0</v>
      </c>
      <c r="G89" s="427">
        <v>1.0</v>
      </c>
      <c r="H89" s="426"/>
      <c r="I89" s="426"/>
      <c r="J89" s="426"/>
      <c r="K89" s="427" t="s">
        <v>109</v>
      </c>
      <c r="L89" s="426"/>
      <c r="M89" s="427" t="s">
        <v>1550</v>
      </c>
      <c r="N89" s="426"/>
      <c r="O89" s="426"/>
      <c r="P89" s="426"/>
      <c r="Q89" s="426"/>
      <c r="R89" s="426"/>
      <c r="S89" s="426"/>
      <c r="T89" s="427" t="s">
        <v>255</v>
      </c>
      <c r="U89" s="427" t="s">
        <v>8075</v>
      </c>
      <c r="V89" s="432"/>
      <c r="W89" s="426"/>
      <c r="X89" s="428" t="s">
        <v>6549</v>
      </c>
    </row>
    <row r="90" hidden="1">
      <c r="A90" s="419" t="s">
        <v>284</v>
      </c>
      <c r="B90" s="420" t="s">
        <v>6286</v>
      </c>
      <c r="C90" s="360"/>
      <c r="D90" s="421">
        <v>2026.0</v>
      </c>
      <c r="E90" s="360"/>
      <c r="F90" s="421">
        <v>1.0</v>
      </c>
      <c r="G90" s="421">
        <v>1.0</v>
      </c>
      <c r="H90" s="360"/>
      <c r="I90" s="360"/>
      <c r="J90" s="360"/>
      <c r="K90" s="421" t="s">
        <v>42</v>
      </c>
      <c r="L90" s="421" t="s">
        <v>63</v>
      </c>
      <c r="M90" s="421" t="s">
        <v>1550</v>
      </c>
      <c r="N90" s="360"/>
      <c r="O90" s="360"/>
      <c r="P90" s="360"/>
      <c r="Q90" s="360"/>
      <c r="R90" s="360"/>
      <c r="S90" s="360"/>
      <c r="T90" s="421" t="s">
        <v>43</v>
      </c>
      <c r="U90" s="421" t="s">
        <v>8076</v>
      </c>
      <c r="V90" s="421" t="s">
        <v>8077</v>
      </c>
      <c r="W90" s="360"/>
      <c r="X90" s="423" t="s">
        <v>8078</v>
      </c>
    </row>
    <row r="91" hidden="1">
      <c r="A91" s="424" t="s">
        <v>8079</v>
      </c>
      <c r="B91" s="425" t="s">
        <v>8080</v>
      </c>
      <c r="C91" s="426"/>
      <c r="D91" s="427">
        <v>2026.0</v>
      </c>
      <c r="E91" s="426"/>
      <c r="F91" s="427">
        <v>1.0</v>
      </c>
      <c r="G91" s="427">
        <v>1.0</v>
      </c>
      <c r="H91" s="426"/>
      <c r="I91" s="426"/>
      <c r="J91" s="426"/>
      <c r="K91" s="427" t="s">
        <v>63</v>
      </c>
      <c r="L91" s="426"/>
      <c r="M91" s="427" t="s">
        <v>1550</v>
      </c>
      <c r="N91" s="426"/>
      <c r="O91" s="426"/>
      <c r="P91" s="426"/>
      <c r="Q91" s="426"/>
      <c r="R91" s="426"/>
      <c r="S91" s="426"/>
      <c r="T91" s="427" t="s">
        <v>112</v>
      </c>
      <c r="U91" s="427" t="s">
        <v>2564</v>
      </c>
      <c r="V91" s="432"/>
      <c r="W91" s="426"/>
      <c r="X91" s="428" t="s">
        <v>6547</v>
      </c>
    </row>
    <row r="92">
      <c r="A92" s="419" t="s">
        <v>599</v>
      </c>
      <c r="B92" s="420" t="s">
        <v>5591</v>
      </c>
      <c r="C92" s="360"/>
      <c r="D92" s="421">
        <v>2027.0</v>
      </c>
      <c r="E92" s="360"/>
      <c r="F92" s="421">
        <v>1.0</v>
      </c>
      <c r="G92" s="421">
        <v>1.0</v>
      </c>
      <c r="H92" s="360"/>
      <c r="I92" s="360"/>
      <c r="J92" s="360"/>
      <c r="K92" s="421" t="s">
        <v>63</v>
      </c>
      <c r="L92" s="360"/>
      <c r="M92" s="421" t="s">
        <v>1550</v>
      </c>
      <c r="N92" s="360"/>
      <c r="O92" s="360"/>
      <c r="P92" s="360"/>
      <c r="Q92" s="360"/>
      <c r="R92" s="360"/>
      <c r="S92" s="360"/>
      <c r="T92" s="421" t="s">
        <v>180</v>
      </c>
      <c r="U92" s="421" t="s">
        <v>4707</v>
      </c>
      <c r="V92" s="421" t="s">
        <v>8081</v>
      </c>
      <c r="W92" s="360"/>
      <c r="X92" s="423" t="s">
        <v>6547</v>
      </c>
    </row>
    <row r="93" hidden="1">
      <c r="A93" s="424" t="s">
        <v>747</v>
      </c>
      <c r="B93" s="425" t="s">
        <v>2300</v>
      </c>
      <c r="C93" s="426"/>
      <c r="D93" s="427">
        <v>2026.0</v>
      </c>
      <c r="E93" s="426"/>
      <c r="F93" s="427">
        <v>1.0</v>
      </c>
      <c r="G93" s="427">
        <v>1.0</v>
      </c>
      <c r="H93" s="426"/>
      <c r="I93" s="426"/>
      <c r="J93" s="426"/>
      <c r="K93" s="427" t="s">
        <v>109</v>
      </c>
      <c r="L93" s="426"/>
      <c r="M93" s="427" t="s">
        <v>1550</v>
      </c>
      <c r="N93" s="426"/>
      <c r="O93" s="426"/>
      <c r="P93" s="426"/>
      <c r="Q93" s="426"/>
      <c r="R93" s="426"/>
      <c r="S93" s="426"/>
      <c r="T93" s="427" t="s">
        <v>543</v>
      </c>
      <c r="U93" s="427" t="s">
        <v>8082</v>
      </c>
      <c r="V93" s="427" t="s">
        <v>263</v>
      </c>
      <c r="W93" s="426"/>
      <c r="X93" s="428" t="s">
        <v>6547</v>
      </c>
    </row>
    <row r="94">
      <c r="A94" s="419" t="s">
        <v>8083</v>
      </c>
      <c r="B94" s="420" t="s">
        <v>8084</v>
      </c>
      <c r="C94" s="360"/>
      <c r="D94" s="421">
        <v>2027.0</v>
      </c>
      <c r="E94" s="360"/>
      <c r="F94" s="421">
        <v>1.0</v>
      </c>
      <c r="G94" s="421">
        <v>1.0</v>
      </c>
      <c r="H94" s="360"/>
      <c r="I94" s="360"/>
      <c r="J94" s="360"/>
      <c r="K94" s="421" t="s">
        <v>42</v>
      </c>
      <c r="L94" s="421" t="s">
        <v>51</v>
      </c>
      <c r="M94" s="421" t="s">
        <v>1550</v>
      </c>
      <c r="N94" s="360"/>
      <c r="O94" s="360"/>
      <c r="P94" s="360"/>
      <c r="Q94" s="360"/>
      <c r="R94" s="360"/>
      <c r="S94" s="360"/>
      <c r="T94" s="421" t="s">
        <v>240</v>
      </c>
      <c r="U94" s="421" t="s">
        <v>378</v>
      </c>
      <c r="V94" s="421" t="s">
        <v>197</v>
      </c>
      <c r="W94" s="360"/>
      <c r="X94" s="423" t="s">
        <v>8085</v>
      </c>
    </row>
    <row r="95">
      <c r="A95" s="424" t="s">
        <v>5440</v>
      </c>
      <c r="B95" s="425" t="s">
        <v>5441</v>
      </c>
      <c r="C95" s="426"/>
      <c r="D95" s="427">
        <v>2027.0</v>
      </c>
      <c r="E95" s="426"/>
      <c r="F95" s="427">
        <v>1.0</v>
      </c>
      <c r="G95" s="427">
        <v>1.0</v>
      </c>
      <c r="H95" s="426"/>
      <c r="I95" s="426"/>
      <c r="J95" s="426"/>
      <c r="K95" s="427" t="s">
        <v>42</v>
      </c>
      <c r="L95" s="427" t="s">
        <v>72</v>
      </c>
      <c r="M95" s="427" t="s">
        <v>1550</v>
      </c>
      <c r="N95" s="426"/>
      <c r="O95" s="426"/>
      <c r="P95" s="426"/>
      <c r="Q95" s="426"/>
      <c r="R95" s="426"/>
      <c r="S95" s="426"/>
      <c r="T95" s="427" t="s">
        <v>240</v>
      </c>
      <c r="U95" s="427" t="s">
        <v>8086</v>
      </c>
      <c r="V95" s="427" t="s">
        <v>809</v>
      </c>
      <c r="W95" s="426"/>
      <c r="X95" s="428" t="s">
        <v>8085</v>
      </c>
    </row>
    <row r="96">
      <c r="A96" s="419" t="s">
        <v>8087</v>
      </c>
      <c r="B96" s="420" t="s">
        <v>8088</v>
      </c>
      <c r="C96" s="360"/>
      <c r="D96" s="421">
        <v>2027.0</v>
      </c>
      <c r="E96" s="360"/>
      <c r="F96" s="421">
        <v>1.0</v>
      </c>
      <c r="G96" s="421">
        <v>1.0</v>
      </c>
      <c r="H96" s="360"/>
      <c r="I96" s="360"/>
      <c r="J96" s="360"/>
      <c r="K96" s="421" t="s">
        <v>63</v>
      </c>
      <c r="L96" s="360"/>
      <c r="M96" s="421" t="s">
        <v>1550</v>
      </c>
      <c r="N96" s="360"/>
      <c r="O96" s="360"/>
      <c r="P96" s="360"/>
      <c r="Q96" s="360"/>
      <c r="R96" s="360"/>
      <c r="S96" s="360"/>
      <c r="T96" s="421" t="s">
        <v>240</v>
      </c>
      <c r="U96" s="421" t="s">
        <v>8089</v>
      </c>
      <c r="V96" s="421" t="s">
        <v>197</v>
      </c>
      <c r="W96" s="360"/>
      <c r="X96" s="423" t="s">
        <v>8085</v>
      </c>
    </row>
    <row r="97">
      <c r="A97" s="424" t="s">
        <v>8090</v>
      </c>
      <c r="B97" s="425" t="s">
        <v>8091</v>
      </c>
      <c r="C97" s="426"/>
      <c r="D97" s="427">
        <v>2027.0</v>
      </c>
      <c r="E97" s="426"/>
      <c r="F97" s="427">
        <v>1.0</v>
      </c>
      <c r="G97" s="427">
        <v>1.0</v>
      </c>
      <c r="H97" s="426"/>
      <c r="I97" s="426"/>
      <c r="J97" s="426"/>
      <c r="K97" s="427" t="s">
        <v>51</v>
      </c>
      <c r="L97" s="427" t="s">
        <v>42</v>
      </c>
      <c r="M97" s="427" t="s">
        <v>1550</v>
      </c>
      <c r="N97" s="426"/>
      <c r="O97" s="426"/>
      <c r="P97" s="426"/>
      <c r="Q97" s="426"/>
      <c r="R97" s="426"/>
      <c r="S97" s="426"/>
      <c r="T97" s="427" t="s">
        <v>240</v>
      </c>
      <c r="U97" s="427" t="s">
        <v>8092</v>
      </c>
      <c r="V97" s="427" t="s">
        <v>7275</v>
      </c>
      <c r="W97" s="426"/>
      <c r="X97" s="428" t="s">
        <v>8085</v>
      </c>
    </row>
    <row r="98">
      <c r="A98" s="419" t="s">
        <v>3089</v>
      </c>
      <c r="B98" s="420" t="s">
        <v>5769</v>
      </c>
      <c r="C98" s="360"/>
      <c r="D98" s="421">
        <v>2027.0</v>
      </c>
      <c r="E98" s="360"/>
      <c r="F98" s="421">
        <v>1.0</v>
      </c>
      <c r="G98" s="421">
        <v>1.0</v>
      </c>
      <c r="H98" s="360"/>
      <c r="I98" s="360"/>
      <c r="J98" s="360"/>
      <c r="K98" s="421" t="s">
        <v>63</v>
      </c>
      <c r="L98" s="360"/>
      <c r="M98" s="421" t="s">
        <v>1550</v>
      </c>
      <c r="N98" s="360"/>
      <c r="O98" s="360"/>
      <c r="P98" s="360"/>
      <c r="Q98" s="360"/>
      <c r="R98" s="360"/>
      <c r="S98" s="360"/>
      <c r="T98" s="421" t="s">
        <v>240</v>
      </c>
      <c r="U98" s="421" t="s">
        <v>5771</v>
      </c>
      <c r="V98" s="360"/>
      <c r="W98" s="360"/>
      <c r="X98" s="423" t="s">
        <v>8085</v>
      </c>
    </row>
    <row r="99">
      <c r="A99" s="424" t="s">
        <v>4939</v>
      </c>
      <c r="B99" s="425" t="s">
        <v>4940</v>
      </c>
      <c r="C99" s="426"/>
      <c r="D99" s="427">
        <v>2027.0</v>
      </c>
      <c r="E99" s="426"/>
      <c r="F99" s="427">
        <v>1.0</v>
      </c>
      <c r="G99" s="427">
        <v>1.0</v>
      </c>
      <c r="H99" s="426"/>
      <c r="I99" s="426"/>
      <c r="J99" s="426"/>
      <c r="K99" s="427" t="s">
        <v>63</v>
      </c>
      <c r="L99" s="426"/>
      <c r="M99" s="427" t="s">
        <v>1550</v>
      </c>
      <c r="N99" s="426"/>
      <c r="O99" s="426"/>
      <c r="P99" s="426"/>
      <c r="Q99" s="426"/>
      <c r="R99" s="426"/>
      <c r="S99" s="426"/>
      <c r="T99" s="427" t="s">
        <v>240</v>
      </c>
      <c r="U99" s="427" t="s">
        <v>8093</v>
      </c>
      <c r="V99" s="426"/>
      <c r="W99" s="426"/>
      <c r="X99" s="428" t="s">
        <v>8085</v>
      </c>
    </row>
    <row r="100">
      <c r="A100" s="419" t="s">
        <v>517</v>
      </c>
      <c r="B100" s="420" t="s">
        <v>8094</v>
      </c>
      <c r="C100" s="360"/>
      <c r="D100" s="421">
        <v>2027.0</v>
      </c>
      <c r="E100" s="360"/>
      <c r="F100" s="421">
        <v>1.0</v>
      </c>
      <c r="G100" s="421">
        <v>1.0</v>
      </c>
      <c r="H100" s="360"/>
      <c r="I100" s="360"/>
      <c r="J100" s="360"/>
      <c r="K100" s="422" t="s">
        <v>122</v>
      </c>
      <c r="L100" s="421" t="s">
        <v>42</v>
      </c>
      <c r="M100" s="422" t="s">
        <v>1556</v>
      </c>
      <c r="N100" s="360"/>
      <c r="O100" s="360"/>
      <c r="P100" s="360"/>
      <c r="Q100" s="360"/>
      <c r="R100" s="360"/>
      <c r="S100" s="360"/>
      <c r="T100" s="421" t="s">
        <v>240</v>
      </c>
      <c r="U100" s="421" t="s">
        <v>8095</v>
      </c>
      <c r="V100" s="421" t="s">
        <v>2575</v>
      </c>
      <c r="W100" s="360"/>
      <c r="X100" s="423" t="s">
        <v>8085</v>
      </c>
    </row>
    <row r="101">
      <c r="A101" s="424" t="s">
        <v>324</v>
      </c>
      <c r="B101" s="425" t="s">
        <v>8096</v>
      </c>
      <c r="C101" s="426"/>
      <c r="D101" s="427">
        <v>2027.0</v>
      </c>
      <c r="E101" s="426"/>
      <c r="F101" s="427">
        <v>1.0</v>
      </c>
      <c r="G101" s="427">
        <v>1.0</v>
      </c>
      <c r="H101" s="426"/>
      <c r="I101" s="426"/>
      <c r="J101" s="426"/>
      <c r="K101" s="427" t="s">
        <v>63</v>
      </c>
      <c r="L101" s="426"/>
      <c r="M101" s="427" t="s">
        <v>1550</v>
      </c>
      <c r="N101" s="426"/>
      <c r="O101" s="426"/>
      <c r="P101" s="426"/>
      <c r="Q101" s="426"/>
      <c r="R101" s="426"/>
      <c r="S101" s="426"/>
      <c r="T101" s="427" t="s">
        <v>240</v>
      </c>
      <c r="U101" s="427" t="s">
        <v>8089</v>
      </c>
      <c r="V101" s="427" t="s">
        <v>8097</v>
      </c>
      <c r="W101" s="426"/>
      <c r="X101" s="428" t="s">
        <v>8085</v>
      </c>
    </row>
    <row r="102" hidden="1">
      <c r="A102" s="419" t="s">
        <v>335</v>
      </c>
      <c r="B102" s="420" t="s">
        <v>152</v>
      </c>
      <c r="C102" s="360"/>
      <c r="D102" s="421">
        <v>2026.0</v>
      </c>
      <c r="E102" s="360"/>
      <c r="F102" s="421">
        <v>1.0</v>
      </c>
      <c r="G102" s="421">
        <v>1.0</v>
      </c>
      <c r="H102" s="360"/>
      <c r="I102" s="360"/>
      <c r="J102" s="360"/>
      <c r="K102" s="422" t="s">
        <v>122</v>
      </c>
      <c r="L102" s="421" t="s">
        <v>42</v>
      </c>
      <c r="M102" s="422" t="s">
        <v>1556</v>
      </c>
      <c r="N102" s="360"/>
      <c r="O102" s="360"/>
      <c r="P102" s="360"/>
      <c r="Q102" s="360"/>
      <c r="R102" s="360"/>
      <c r="S102" s="360"/>
      <c r="T102" s="421" t="s">
        <v>502</v>
      </c>
      <c r="U102" s="421" t="s">
        <v>7937</v>
      </c>
      <c r="V102" s="421"/>
      <c r="W102" s="360"/>
      <c r="X102" s="423" t="s">
        <v>8098</v>
      </c>
    </row>
    <row r="103">
      <c r="A103" s="424" t="s">
        <v>8099</v>
      </c>
      <c r="B103" s="425" t="s">
        <v>5431</v>
      </c>
      <c r="C103" s="426"/>
      <c r="D103" s="427">
        <v>2027.0</v>
      </c>
      <c r="E103" s="426"/>
      <c r="F103" s="427">
        <v>1.0</v>
      </c>
      <c r="G103" s="427">
        <v>1.0</v>
      </c>
      <c r="H103" s="426"/>
      <c r="I103" s="426"/>
      <c r="J103" s="426"/>
      <c r="K103" s="427" t="s">
        <v>63</v>
      </c>
      <c r="L103" s="426"/>
      <c r="M103" s="427" t="s">
        <v>1550</v>
      </c>
      <c r="N103" s="426"/>
      <c r="O103" s="426"/>
      <c r="P103" s="426"/>
      <c r="Q103" s="426"/>
      <c r="R103" s="426"/>
      <c r="S103" s="426"/>
      <c r="T103" s="427" t="s">
        <v>502</v>
      </c>
      <c r="U103" s="427" t="s">
        <v>8100</v>
      </c>
      <c r="V103" s="427" t="s">
        <v>5434</v>
      </c>
      <c r="W103" s="426"/>
      <c r="X103" s="428" t="s">
        <v>8098</v>
      </c>
    </row>
    <row r="104">
      <c r="A104" s="419" t="s">
        <v>8101</v>
      </c>
      <c r="B104" s="420" t="s">
        <v>8102</v>
      </c>
      <c r="C104" s="360"/>
      <c r="D104" s="421">
        <v>2027.0</v>
      </c>
      <c r="E104" s="360"/>
      <c r="F104" s="421">
        <v>1.0</v>
      </c>
      <c r="G104" s="421">
        <v>1.0</v>
      </c>
      <c r="H104" s="360"/>
      <c r="I104" s="360"/>
      <c r="J104" s="360"/>
      <c r="K104" s="421" t="s">
        <v>109</v>
      </c>
      <c r="L104" s="360"/>
      <c r="M104" s="421" t="s">
        <v>1550</v>
      </c>
      <c r="N104" s="360"/>
      <c r="O104" s="360"/>
      <c r="P104" s="360"/>
      <c r="Q104" s="360"/>
      <c r="R104" s="360"/>
      <c r="S104" s="360"/>
      <c r="T104" s="421" t="s">
        <v>502</v>
      </c>
      <c r="U104" s="421" t="s">
        <v>3570</v>
      </c>
      <c r="V104" s="421" t="s">
        <v>3066</v>
      </c>
      <c r="W104" s="360"/>
      <c r="X104" s="423" t="s">
        <v>8103</v>
      </c>
    </row>
    <row r="105" hidden="1">
      <c r="A105" s="424" t="s">
        <v>8104</v>
      </c>
      <c r="B105" s="425" t="s">
        <v>8105</v>
      </c>
      <c r="C105" s="426"/>
      <c r="D105" s="427">
        <v>2026.0</v>
      </c>
      <c r="E105" s="426"/>
      <c r="F105" s="427">
        <v>1.0</v>
      </c>
      <c r="G105" s="427">
        <v>1.0</v>
      </c>
      <c r="H105" s="426"/>
      <c r="I105" s="426"/>
      <c r="J105" s="426"/>
      <c r="K105" s="427" t="s">
        <v>109</v>
      </c>
      <c r="L105" s="426"/>
      <c r="M105" s="427" t="s">
        <v>1550</v>
      </c>
      <c r="N105" s="426"/>
      <c r="O105" s="426"/>
      <c r="P105" s="426"/>
      <c r="Q105" s="426"/>
      <c r="R105" s="426"/>
      <c r="S105" s="426"/>
      <c r="T105" s="427" t="s">
        <v>502</v>
      </c>
      <c r="U105" s="427" t="s">
        <v>8106</v>
      </c>
      <c r="V105" s="427"/>
      <c r="W105" s="426"/>
      <c r="X105" s="428" t="s">
        <v>6549</v>
      </c>
    </row>
    <row r="106">
      <c r="A106" s="419" t="s">
        <v>696</v>
      </c>
      <c r="B106" s="420" t="s">
        <v>4736</v>
      </c>
      <c r="C106" s="360"/>
      <c r="D106" s="421">
        <v>2027.0</v>
      </c>
      <c r="E106" s="360"/>
      <c r="F106" s="421">
        <v>1.0</v>
      </c>
      <c r="G106" s="421">
        <v>1.0</v>
      </c>
      <c r="H106" s="360"/>
      <c r="I106" s="360"/>
      <c r="J106" s="360"/>
      <c r="K106" s="421" t="s">
        <v>63</v>
      </c>
      <c r="L106" s="421" t="s">
        <v>1972</v>
      </c>
      <c r="M106" s="421" t="s">
        <v>1550</v>
      </c>
      <c r="N106" s="360"/>
      <c r="O106" s="360"/>
      <c r="P106" s="360"/>
      <c r="Q106" s="360"/>
      <c r="R106" s="360"/>
      <c r="S106" s="360"/>
      <c r="T106" s="421" t="s">
        <v>255</v>
      </c>
      <c r="U106" s="421" t="s">
        <v>8107</v>
      </c>
      <c r="V106" s="421" t="s">
        <v>2332</v>
      </c>
      <c r="W106" s="360"/>
      <c r="X106" s="423" t="s">
        <v>6549</v>
      </c>
    </row>
    <row r="107">
      <c r="A107" s="424" t="s">
        <v>432</v>
      </c>
      <c r="B107" s="425" t="s">
        <v>5834</v>
      </c>
      <c r="C107" s="426"/>
      <c r="D107" s="427">
        <v>2027.0</v>
      </c>
      <c r="E107" s="426"/>
      <c r="F107" s="427">
        <v>1.0</v>
      </c>
      <c r="G107" s="427">
        <v>1.0</v>
      </c>
      <c r="H107" s="426"/>
      <c r="I107" s="426"/>
      <c r="J107" s="426"/>
      <c r="K107" s="427" t="s">
        <v>42</v>
      </c>
      <c r="L107" s="426"/>
      <c r="M107" s="429" t="s">
        <v>1989</v>
      </c>
      <c r="N107" s="426"/>
      <c r="O107" s="426"/>
      <c r="P107" s="426"/>
      <c r="Q107" s="426"/>
      <c r="R107" s="426"/>
      <c r="S107" s="426"/>
      <c r="T107" s="427" t="s">
        <v>240</v>
      </c>
      <c r="U107" s="427" t="s">
        <v>8108</v>
      </c>
      <c r="V107" s="427" t="s">
        <v>3066</v>
      </c>
      <c r="W107" s="426"/>
      <c r="X107" s="428" t="s">
        <v>6549</v>
      </c>
    </row>
    <row r="108">
      <c r="A108" s="419" t="s">
        <v>1123</v>
      </c>
      <c r="B108" s="420" t="s">
        <v>8109</v>
      </c>
      <c r="C108" s="360"/>
      <c r="D108" s="421">
        <v>2027.0</v>
      </c>
      <c r="E108" s="360"/>
      <c r="F108" s="421">
        <v>1.0</v>
      </c>
      <c r="G108" s="421">
        <v>1.0</v>
      </c>
      <c r="H108" s="360"/>
      <c r="I108" s="360"/>
      <c r="J108" s="360"/>
      <c r="K108" s="421" t="s">
        <v>106</v>
      </c>
      <c r="L108" s="421" t="s">
        <v>42</v>
      </c>
      <c r="M108" s="421" t="s">
        <v>1550</v>
      </c>
      <c r="N108" s="360"/>
      <c r="O108" s="360"/>
      <c r="P108" s="360"/>
      <c r="Q108" s="360"/>
      <c r="R108" s="360"/>
      <c r="S108" s="360"/>
      <c r="T108" s="421" t="s">
        <v>502</v>
      </c>
      <c r="U108" s="421" t="s">
        <v>3986</v>
      </c>
      <c r="V108" s="421" t="s">
        <v>3066</v>
      </c>
      <c r="W108" s="360"/>
      <c r="X108" s="423" t="s">
        <v>8110</v>
      </c>
    </row>
    <row r="109">
      <c r="A109" s="424" t="s">
        <v>432</v>
      </c>
      <c r="B109" s="425" t="s">
        <v>4053</v>
      </c>
      <c r="C109" s="426"/>
      <c r="D109" s="427">
        <v>2027.0</v>
      </c>
      <c r="E109" s="426"/>
      <c r="F109" s="427">
        <v>1.0</v>
      </c>
      <c r="G109" s="427">
        <v>1.0</v>
      </c>
      <c r="H109" s="426"/>
      <c r="I109" s="426"/>
      <c r="J109" s="426"/>
      <c r="K109" s="427" t="s">
        <v>63</v>
      </c>
      <c r="L109" s="426"/>
      <c r="M109" s="427" t="s">
        <v>1550</v>
      </c>
      <c r="N109" s="426"/>
      <c r="O109" s="426"/>
      <c r="P109" s="426"/>
      <c r="Q109" s="426"/>
      <c r="R109" s="426"/>
      <c r="S109" s="426"/>
      <c r="T109" s="427" t="s">
        <v>240</v>
      </c>
      <c r="U109" s="427" t="s">
        <v>8034</v>
      </c>
      <c r="V109" s="427" t="s">
        <v>3066</v>
      </c>
      <c r="W109" s="426"/>
      <c r="X109" s="428" t="s">
        <v>8110</v>
      </c>
    </row>
    <row r="110">
      <c r="A110" s="419" t="s">
        <v>70</v>
      </c>
      <c r="B110" s="420" t="s">
        <v>4852</v>
      </c>
      <c r="C110" s="360"/>
      <c r="D110" s="421">
        <v>2027.0</v>
      </c>
      <c r="E110" s="360"/>
      <c r="F110" s="421">
        <v>1.0</v>
      </c>
      <c r="G110" s="421">
        <v>1.0</v>
      </c>
      <c r="H110" s="360"/>
      <c r="I110" s="360"/>
      <c r="J110" s="360"/>
      <c r="K110" s="421" t="s">
        <v>109</v>
      </c>
      <c r="L110" s="360"/>
      <c r="M110" s="421" t="s">
        <v>2324</v>
      </c>
      <c r="N110" s="360"/>
      <c r="O110" s="360"/>
      <c r="P110" s="360"/>
      <c r="Q110" s="360"/>
      <c r="R110" s="360"/>
      <c r="S110" s="360"/>
      <c r="T110" s="421" t="s">
        <v>85</v>
      </c>
      <c r="U110" s="421" t="s">
        <v>86</v>
      </c>
      <c r="V110" s="421" t="s">
        <v>2486</v>
      </c>
      <c r="W110" s="360"/>
      <c r="X110" s="423" t="s">
        <v>8111</v>
      </c>
    </row>
    <row r="111" hidden="1">
      <c r="A111" s="424" t="s">
        <v>8112</v>
      </c>
      <c r="B111" s="425" t="s">
        <v>8113</v>
      </c>
      <c r="C111" s="426"/>
      <c r="D111" s="427">
        <v>2028.0</v>
      </c>
      <c r="E111" s="426"/>
      <c r="F111" s="427">
        <v>1.0</v>
      </c>
      <c r="G111" s="427">
        <v>1.0</v>
      </c>
      <c r="H111" s="426"/>
      <c r="I111" s="426"/>
      <c r="J111" s="426"/>
      <c r="K111" s="427" t="s">
        <v>42</v>
      </c>
      <c r="L111" s="426"/>
      <c r="M111" s="429" t="s">
        <v>1989</v>
      </c>
      <c r="N111" s="426"/>
      <c r="O111" s="426"/>
      <c r="P111" s="426"/>
      <c r="Q111" s="426"/>
      <c r="R111" s="426"/>
      <c r="S111" s="426"/>
      <c r="T111" s="427" t="s">
        <v>255</v>
      </c>
      <c r="U111" s="427" t="s">
        <v>8114</v>
      </c>
      <c r="V111" s="427" t="s">
        <v>8115</v>
      </c>
      <c r="W111" s="426"/>
      <c r="X111" s="428" t="s">
        <v>8111</v>
      </c>
    </row>
    <row r="112">
      <c r="A112" s="419" t="s">
        <v>284</v>
      </c>
      <c r="B112" s="420" t="s">
        <v>4869</v>
      </c>
      <c r="C112" s="360"/>
      <c r="D112" s="421">
        <v>2027.0</v>
      </c>
      <c r="E112" s="360"/>
      <c r="F112" s="421">
        <v>1.0</v>
      </c>
      <c r="G112" s="421">
        <v>1.0</v>
      </c>
      <c r="H112" s="360"/>
      <c r="I112" s="360"/>
      <c r="J112" s="360"/>
      <c r="K112" s="421" t="s">
        <v>72</v>
      </c>
      <c r="L112" s="421" t="s">
        <v>63</v>
      </c>
      <c r="M112" s="421" t="s">
        <v>1550</v>
      </c>
      <c r="N112" s="360"/>
      <c r="O112" s="360"/>
      <c r="P112" s="360"/>
      <c r="Q112" s="360"/>
      <c r="R112" s="360"/>
      <c r="S112" s="360"/>
      <c r="T112" s="421" t="s">
        <v>160</v>
      </c>
      <c r="U112" s="421" t="s">
        <v>8116</v>
      </c>
      <c r="V112" s="421" t="s">
        <v>3377</v>
      </c>
      <c r="W112" s="360"/>
      <c r="X112" s="423" t="s">
        <v>8111</v>
      </c>
    </row>
    <row r="113" hidden="1">
      <c r="A113" s="424" t="s">
        <v>3462</v>
      </c>
      <c r="B113" s="425" t="s">
        <v>2643</v>
      </c>
      <c r="C113" s="426"/>
      <c r="D113" s="427">
        <v>2028.0</v>
      </c>
      <c r="E113" s="426"/>
      <c r="F113" s="427">
        <v>1.0</v>
      </c>
      <c r="G113" s="427">
        <v>1.0</v>
      </c>
      <c r="H113" s="426"/>
      <c r="I113" s="426"/>
      <c r="J113" s="426"/>
      <c r="K113" s="429" t="s">
        <v>122</v>
      </c>
      <c r="L113" s="426"/>
      <c r="M113" s="429" t="s">
        <v>1556</v>
      </c>
      <c r="N113" s="426"/>
      <c r="O113" s="426"/>
      <c r="P113" s="426"/>
      <c r="Q113" s="426"/>
      <c r="R113" s="426"/>
      <c r="S113" s="426"/>
      <c r="T113" s="427" t="s">
        <v>240</v>
      </c>
      <c r="U113" s="427" t="s">
        <v>8117</v>
      </c>
      <c r="V113" s="427" t="s">
        <v>8118</v>
      </c>
      <c r="W113" s="426"/>
      <c r="X113" s="428" t="s">
        <v>8119</v>
      </c>
    </row>
    <row r="114">
      <c r="A114" s="419" t="s">
        <v>432</v>
      </c>
      <c r="B114" s="420" t="s">
        <v>8120</v>
      </c>
      <c r="C114" s="360"/>
      <c r="D114" s="421">
        <v>2027.0</v>
      </c>
      <c r="E114" s="360"/>
      <c r="F114" s="421">
        <v>1.0</v>
      </c>
      <c r="G114" s="421">
        <v>1.0</v>
      </c>
      <c r="H114" s="360"/>
      <c r="I114" s="360"/>
      <c r="J114" s="360"/>
      <c r="K114" s="421" t="s">
        <v>63</v>
      </c>
      <c r="L114" s="360"/>
      <c r="M114" s="421" t="s">
        <v>1550</v>
      </c>
      <c r="N114" s="360"/>
      <c r="O114" s="360"/>
      <c r="P114" s="360"/>
      <c r="Q114" s="360"/>
      <c r="R114" s="360"/>
      <c r="S114" s="360"/>
      <c r="T114" s="421" t="s">
        <v>85</v>
      </c>
      <c r="U114" s="421" t="s">
        <v>3682</v>
      </c>
      <c r="V114" s="421" t="s">
        <v>2989</v>
      </c>
      <c r="W114" s="360"/>
      <c r="X114" s="423" t="s">
        <v>8111</v>
      </c>
    </row>
    <row r="115">
      <c r="A115" s="424" t="s">
        <v>1738</v>
      </c>
      <c r="B115" s="425" t="s">
        <v>5191</v>
      </c>
      <c r="C115" s="426"/>
      <c r="D115" s="427">
        <v>2027.0</v>
      </c>
      <c r="E115" s="426"/>
      <c r="F115" s="427">
        <v>1.0</v>
      </c>
      <c r="G115" s="427">
        <v>1.0</v>
      </c>
      <c r="H115" s="426"/>
      <c r="I115" s="426"/>
      <c r="J115" s="426"/>
      <c r="K115" s="427" t="s">
        <v>63</v>
      </c>
      <c r="L115" s="426"/>
      <c r="M115" s="427" t="s">
        <v>1550</v>
      </c>
      <c r="N115" s="426"/>
      <c r="O115" s="426"/>
      <c r="P115" s="426"/>
      <c r="Q115" s="426"/>
      <c r="R115" s="426"/>
      <c r="S115" s="426"/>
      <c r="T115" s="427" t="s">
        <v>1611</v>
      </c>
      <c r="U115" s="427" t="s">
        <v>5192</v>
      </c>
      <c r="V115" s="427" t="s">
        <v>5193</v>
      </c>
      <c r="W115" s="426"/>
      <c r="X115" s="428" t="s">
        <v>8111</v>
      </c>
    </row>
    <row r="116" hidden="1">
      <c r="A116" s="419" t="s">
        <v>1238</v>
      </c>
      <c r="B116" s="420" t="s">
        <v>8121</v>
      </c>
      <c r="C116" s="360"/>
      <c r="D116" s="421">
        <v>2026.0</v>
      </c>
      <c r="E116" s="360"/>
      <c r="F116" s="421">
        <v>1.0</v>
      </c>
      <c r="G116" s="421">
        <v>1.0</v>
      </c>
      <c r="H116" s="360"/>
      <c r="I116" s="360"/>
      <c r="J116" s="360"/>
      <c r="K116" s="421" t="s">
        <v>63</v>
      </c>
      <c r="L116" s="360"/>
      <c r="M116" s="421" t="s">
        <v>1550</v>
      </c>
      <c r="N116" s="360"/>
      <c r="O116" s="360"/>
      <c r="P116" s="360"/>
      <c r="Q116" s="360"/>
      <c r="R116" s="360"/>
      <c r="S116" s="360"/>
      <c r="T116" s="421" t="s">
        <v>174</v>
      </c>
      <c r="U116" s="421" t="s">
        <v>3073</v>
      </c>
      <c r="V116" s="431"/>
      <c r="W116" s="360"/>
      <c r="X116" s="423" t="s">
        <v>8122</v>
      </c>
    </row>
    <row r="117" hidden="1">
      <c r="A117" s="424" t="s">
        <v>2653</v>
      </c>
      <c r="B117" s="425" t="s">
        <v>2659</v>
      </c>
      <c r="C117" s="426"/>
      <c r="D117" s="427">
        <v>2026.0</v>
      </c>
      <c r="E117" s="426"/>
      <c r="F117" s="427">
        <v>1.0</v>
      </c>
      <c r="G117" s="427">
        <v>1.0</v>
      </c>
      <c r="H117" s="426"/>
      <c r="I117" s="426"/>
      <c r="J117" s="426"/>
      <c r="K117" s="427" t="s">
        <v>63</v>
      </c>
      <c r="L117" s="426"/>
      <c r="M117" s="427" t="s">
        <v>1550</v>
      </c>
      <c r="N117" s="426"/>
      <c r="O117" s="426"/>
      <c r="P117" s="426"/>
      <c r="Q117" s="426"/>
      <c r="R117" s="426"/>
      <c r="S117" s="426"/>
      <c r="T117" s="427" t="s">
        <v>307</v>
      </c>
      <c r="U117" s="427" t="s">
        <v>8123</v>
      </c>
      <c r="V117" s="427" t="s">
        <v>1827</v>
      </c>
      <c r="W117" s="426"/>
      <c r="X117" s="428" t="s">
        <v>8122</v>
      </c>
    </row>
    <row r="118" hidden="1">
      <c r="A118" s="419" t="s">
        <v>1123</v>
      </c>
      <c r="B118" s="420" t="s">
        <v>1826</v>
      </c>
      <c r="C118" s="360"/>
      <c r="D118" s="421">
        <v>2026.0</v>
      </c>
      <c r="E118" s="360"/>
      <c r="F118" s="421">
        <v>1.0</v>
      </c>
      <c r="G118" s="421">
        <v>1.0</v>
      </c>
      <c r="H118" s="360"/>
      <c r="I118" s="360"/>
      <c r="J118" s="360"/>
      <c r="K118" s="421" t="s">
        <v>63</v>
      </c>
      <c r="L118" s="360"/>
      <c r="M118" s="421" t="s">
        <v>1550</v>
      </c>
      <c r="N118" s="360"/>
      <c r="O118" s="360"/>
      <c r="P118" s="360"/>
      <c r="Q118" s="360"/>
      <c r="R118" s="360"/>
      <c r="S118" s="360"/>
      <c r="T118" s="421" t="s">
        <v>307</v>
      </c>
      <c r="U118" s="421" t="s">
        <v>8124</v>
      </c>
      <c r="V118" s="421" t="s">
        <v>1827</v>
      </c>
      <c r="W118" s="360"/>
      <c r="X118" s="423" t="s">
        <v>8122</v>
      </c>
    </row>
    <row r="119" hidden="1">
      <c r="A119" s="424" t="s">
        <v>8125</v>
      </c>
      <c r="B119" s="425" t="s">
        <v>8126</v>
      </c>
      <c r="C119" s="426"/>
      <c r="D119" s="427">
        <v>2026.0</v>
      </c>
      <c r="E119" s="426"/>
      <c r="F119" s="427">
        <v>1.0</v>
      </c>
      <c r="G119" s="427">
        <v>1.0</v>
      </c>
      <c r="H119" s="426"/>
      <c r="I119" s="426"/>
      <c r="J119" s="426"/>
      <c r="K119" s="427" t="s">
        <v>42</v>
      </c>
      <c r="L119" s="426"/>
      <c r="M119" s="429" t="s">
        <v>1556</v>
      </c>
      <c r="N119" s="426"/>
      <c r="O119" s="426"/>
      <c r="P119" s="426"/>
      <c r="Q119" s="426"/>
      <c r="R119" s="426"/>
      <c r="S119" s="426"/>
      <c r="T119" s="427" t="s">
        <v>529</v>
      </c>
      <c r="U119" s="427" t="s">
        <v>8127</v>
      </c>
      <c r="V119" s="426"/>
      <c r="W119" s="426"/>
      <c r="X119" s="428" t="s">
        <v>3747</v>
      </c>
    </row>
    <row r="120">
      <c r="A120" s="419" t="s">
        <v>517</v>
      </c>
      <c r="B120" s="420" t="s">
        <v>8128</v>
      </c>
      <c r="C120" s="360"/>
      <c r="D120" s="421">
        <v>2027.0</v>
      </c>
      <c r="E120" s="360"/>
      <c r="F120" s="421">
        <v>1.0</v>
      </c>
      <c r="G120" s="421">
        <v>1.0</v>
      </c>
      <c r="H120" s="360"/>
      <c r="I120" s="360"/>
      <c r="J120" s="360"/>
      <c r="K120" s="421" t="s">
        <v>109</v>
      </c>
      <c r="L120" s="360"/>
      <c r="M120" s="421" t="s">
        <v>1550</v>
      </c>
      <c r="N120" s="360"/>
      <c r="O120" s="360"/>
      <c r="P120" s="360"/>
      <c r="Q120" s="360"/>
      <c r="R120" s="360"/>
      <c r="S120" s="360"/>
      <c r="T120" s="421" t="s">
        <v>240</v>
      </c>
      <c r="U120" s="421" t="s">
        <v>8129</v>
      </c>
      <c r="V120" s="421" t="s">
        <v>4334</v>
      </c>
      <c r="W120" s="360"/>
      <c r="X120" s="423" t="s">
        <v>8085</v>
      </c>
    </row>
    <row r="121" hidden="1">
      <c r="A121" s="424" t="s">
        <v>8130</v>
      </c>
      <c r="B121" s="425" t="s">
        <v>8131</v>
      </c>
      <c r="C121" s="426"/>
      <c r="D121" s="427">
        <v>2028.0</v>
      </c>
      <c r="E121" s="426"/>
      <c r="F121" s="427">
        <v>1.0</v>
      </c>
      <c r="G121" s="427">
        <v>1.0</v>
      </c>
      <c r="H121" s="426"/>
      <c r="I121" s="426"/>
      <c r="J121" s="426"/>
      <c r="K121" s="429" t="s">
        <v>122</v>
      </c>
      <c r="L121" s="427" t="s">
        <v>42</v>
      </c>
      <c r="M121" s="429" t="s">
        <v>1556</v>
      </c>
      <c r="N121" s="426"/>
      <c r="O121" s="426"/>
      <c r="P121" s="426"/>
      <c r="Q121" s="426"/>
      <c r="R121" s="426"/>
      <c r="S121" s="427" t="s">
        <v>8132</v>
      </c>
      <c r="T121" s="427" t="s">
        <v>255</v>
      </c>
      <c r="U121" s="427" t="s">
        <v>8133</v>
      </c>
      <c r="V121" s="427" t="s">
        <v>6617</v>
      </c>
      <c r="W121" s="426"/>
      <c r="X121" s="428" t="s">
        <v>8111</v>
      </c>
    </row>
    <row r="122" hidden="1">
      <c r="A122" s="419" t="s">
        <v>8134</v>
      </c>
      <c r="B122" s="420" t="s">
        <v>8135</v>
      </c>
      <c r="C122" s="360"/>
      <c r="D122" s="421">
        <v>2028.0</v>
      </c>
      <c r="E122" s="360"/>
      <c r="F122" s="421">
        <v>1.0</v>
      </c>
      <c r="G122" s="421">
        <v>1.0</v>
      </c>
      <c r="H122" s="360"/>
      <c r="I122" s="360"/>
      <c r="J122" s="360"/>
      <c r="K122" s="422" t="s">
        <v>122</v>
      </c>
      <c r="L122" s="421" t="s">
        <v>42</v>
      </c>
      <c r="M122" s="422" t="s">
        <v>1556</v>
      </c>
      <c r="N122" s="360"/>
      <c r="O122" s="360"/>
      <c r="P122" s="360"/>
      <c r="Q122" s="360"/>
      <c r="R122" s="360"/>
      <c r="S122" s="421" t="s">
        <v>4255</v>
      </c>
      <c r="T122" s="421" t="s">
        <v>240</v>
      </c>
      <c r="U122" s="421" t="s">
        <v>8136</v>
      </c>
      <c r="V122" s="421" t="s">
        <v>1827</v>
      </c>
      <c r="W122" s="360"/>
      <c r="X122" s="423" t="s">
        <v>8111</v>
      </c>
    </row>
    <row r="123">
      <c r="A123" s="424" t="s">
        <v>696</v>
      </c>
      <c r="B123" s="425" t="s">
        <v>4874</v>
      </c>
      <c r="C123" s="426"/>
      <c r="D123" s="427">
        <v>2027.0</v>
      </c>
      <c r="E123" s="426"/>
      <c r="F123" s="427">
        <v>1.0</v>
      </c>
      <c r="G123" s="427">
        <v>1.0</v>
      </c>
      <c r="H123" s="426"/>
      <c r="I123" s="426"/>
      <c r="J123" s="426"/>
      <c r="K123" s="429" t="s">
        <v>122</v>
      </c>
      <c r="L123" s="426"/>
      <c r="M123" s="429" t="s">
        <v>1556</v>
      </c>
      <c r="N123" s="426"/>
      <c r="O123" s="426"/>
      <c r="P123" s="426"/>
      <c r="Q123" s="426"/>
      <c r="R123" s="426"/>
      <c r="S123" s="426"/>
      <c r="T123" s="427" t="s">
        <v>502</v>
      </c>
      <c r="U123" s="427" t="s">
        <v>8137</v>
      </c>
      <c r="V123" s="427" t="s">
        <v>4713</v>
      </c>
      <c r="W123" s="426"/>
      <c r="X123" s="428" t="s">
        <v>8111</v>
      </c>
    </row>
    <row r="124" hidden="1">
      <c r="A124" s="419" t="s">
        <v>8138</v>
      </c>
      <c r="B124" s="420" t="s">
        <v>8139</v>
      </c>
      <c r="C124" s="360"/>
      <c r="D124" s="421">
        <v>2026.0</v>
      </c>
      <c r="E124" s="360"/>
      <c r="F124" s="421">
        <v>1.0</v>
      </c>
      <c r="G124" s="421">
        <v>1.0</v>
      </c>
      <c r="H124" s="360"/>
      <c r="I124" s="360"/>
      <c r="J124" s="360"/>
      <c r="K124" s="421" t="s">
        <v>63</v>
      </c>
      <c r="L124" s="360"/>
      <c r="M124" s="421" t="s">
        <v>1550</v>
      </c>
      <c r="N124" s="360"/>
      <c r="O124" s="360"/>
      <c r="P124" s="360"/>
      <c r="Q124" s="360"/>
      <c r="R124" s="360"/>
      <c r="S124" s="421" t="s">
        <v>8140</v>
      </c>
      <c r="T124" s="421" t="s">
        <v>160</v>
      </c>
      <c r="U124" s="421" t="s">
        <v>8141</v>
      </c>
      <c r="V124" s="421"/>
      <c r="W124" s="360"/>
      <c r="X124" s="360"/>
    </row>
    <row r="125" hidden="1">
      <c r="A125" s="424" t="s">
        <v>8052</v>
      </c>
      <c r="B125" s="425" t="s">
        <v>8142</v>
      </c>
      <c r="C125" s="426"/>
      <c r="D125" s="427">
        <v>2026.0</v>
      </c>
      <c r="E125" s="426"/>
      <c r="F125" s="427">
        <v>1.0</v>
      </c>
      <c r="G125" s="427">
        <v>1.0</v>
      </c>
      <c r="H125" s="426"/>
      <c r="I125" s="426"/>
      <c r="J125" s="426"/>
      <c r="K125" s="427" t="s">
        <v>63</v>
      </c>
      <c r="L125" s="426"/>
      <c r="M125" s="427" t="s">
        <v>1550</v>
      </c>
      <c r="N125" s="426"/>
      <c r="O125" s="426"/>
      <c r="P125" s="426"/>
      <c r="Q125" s="426"/>
      <c r="R125" s="426"/>
      <c r="S125" s="426"/>
      <c r="T125" s="427" t="s">
        <v>52</v>
      </c>
      <c r="U125" s="427" t="s">
        <v>8143</v>
      </c>
      <c r="V125" s="432"/>
      <c r="W125" s="426"/>
      <c r="X125" s="428" t="s">
        <v>7968</v>
      </c>
    </row>
    <row r="126">
      <c r="A126" s="419" t="s">
        <v>457</v>
      </c>
      <c r="B126" s="420" t="s">
        <v>5774</v>
      </c>
      <c r="C126" s="360"/>
      <c r="D126" s="421">
        <v>2027.0</v>
      </c>
      <c r="E126" s="360"/>
      <c r="F126" s="421">
        <v>1.0</v>
      </c>
      <c r="G126" s="421">
        <v>1.0</v>
      </c>
      <c r="H126" s="360"/>
      <c r="I126" s="360"/>
      <c r="J126" s="360"/>
      <c r="K126" s="422" t="s">
        <v>122</v>
      </c>
      <c r="L126" s="360"/>
      <c r="M126" s="422" t="s">
        <v>1556</v>
      </c>
      <c r="N126" s="360"/>
      <c r="O126" s="360"/>
      <c r="P126" s="360"/>
      <c r="Q126" s="360"/>
      <c r="R126" s="360"/>
      <c r="S126" s="360"/>
      <c r="T126" s="421" t="s">
        <v>160</v>
      </c>
      <c r="U126" s="421" t="s">
        <v>4264</v>
      </c>
      <c r="V126" s="421" t="s">
        <v>2341</v>
      </c>
      <c r="W126" s="360"/>
      <c r="X126" s="423" t="s">
        <v>8111</v>
      </c>
    </row>
    <row r="127" hidden="1">
      <c r="A127" s="424" t="s">
        <v>1042</v>
      </c>
      <c r="B127" s="425" t="s">
        <v>8144</v>
      </c>
      <c r="C127" s="426"/>
      <c r="D127" s="427">
        <v>2026.0</v>
      </c>
      <c r="E127" s="426"/>
      <c r="F127" s="427">
        <v>1.0</v>
      </c>
      <c r="G127" s="427">
        <v>1.0</v>
      </c>
      <c r="H127" s="426"/>
      <c r="I127" s="426"/>
      <c r="J127" s="426"/>
      <c r="K127" s="427" t="s">
        <v>42</v>
      </c>
      <c r="L127" s="427" t="s">
        <v>1972</v>
      </c>
      <c r="M127" s="429" t="s">
        <v>1989</v>
      </c>
      <c r="N127" s="426"/>
      <c r="O127" s="426"/>
      <c r="P127" s="426"/>
      <c r="Q127" s="426"/>
      <c r="R127" s="426"/>
      <c r="S127" s="426"/>
      <c r="T127" s="427" t="s">
        <v>52</v>
      </c>
      <c r="U127" s="427" t="s">
        <v>8145</v>
      </c>
      <c r="V127" s="427" t="s">
        <v>5323</v>
      </c>
      <c r="W127" s="426"/>
      <c r="X127" s="428" t="s">
        <v>8146</v>
      </c>
    </row>
    <row r="128" hidden="1">
      <c r="A128" s="419" t="s">
        <v>2672</v>
      </c>
      <c r="B128" s="420" t="s">
        <v>2673</v>
      </c>
      <c r="C128" s="360"/>
      <c r="D128" s="421">
        <v>2026.0</v>
      </c>
      <c r="E128" s="360"/>
      <c r="F128" s="421">
        <v>1.0</v>
      </c>
      <c r="G128" s="421">
        <v>1.0</v>
      </c>
      <c r="H128" s="360"/>
      <c r="I128" s="360"/>
      <c r="J128" s="360"/>
      <c r="K128" s="421" t="s">
        <v>63</v>
      </c>
      <c r="L128" s="421" t="s">
        <v>72</v>
      </c>
      <c r="M128" s="421" t="s">
        <v>1550</v>
      </c>
      <c r="N128" s="360"/>
      <c r="O128" s="360"/>
      <c r="P128" s="360"/>
      <c r="Q128" s="360"/>
      <c r="R128" s="360"/>
      <c r="S128" s="360"/>
      <c r="T128" s="421" t="s">
        <v>43</v>
      </c>
      <c r="U128" s="421" t="s">
        <v>8147</v>
      </c>
      <c r="V128" s="431" t="s">
        <v>1120</v>
      </c>
      <c r="W128" s="360"/>
      <c r="X128" s="423" t="s">
        <v>8146</v>
      </c>
    </row>
    <row r="129" hidden="1">
      <c r="A129" s="424" t="s">
        <v>402</v>
      </c>
      <c r="B129" s="425" t="s">
        <v>8148</v>
      </c>
      <c r="C129" s="426"/>
      <c r="D129" s="427">
        <v>2026.0</v>
      </c>
      <c r="E129" s="426"/>
      <c r="F129" s="427">
        <v>1.0</v>
      </c>
      <c r="G129" s="427">
        <v>1.0</v>
      </c>
      <c r="H129" s="426"/>
      <c r="I129" s="426"/>
      <c r="J129" s="426"/>
      <c r="K129" s="429" t="s">
        <v>122</v>
      </c>
      <c r="L129" s="427" t="s">
        <v>1972</v>
      </c>
      <c r="M129" s="429" t="s">
        <v>1556</v>
      </c>
      <c r="N129" s="426"/>
      <c r="O129" s="426"/>
      <c r="P129" s="426"/>
      <c r="Q129" s="426"/>
      <c r="R129" s="426"/>
      <c r="S129" s="426"/>
      <c r="T129" s="427" t="s">
        <v>180</v>
      </c>
      <c r="U129" s="427" t="s">
        <v>8149</v>
      </c>
      <c r="V129" s="427"/>
      <c r="W129" s="426"/>
      <c r="X129" s="428" t="s">
        <v>8146</v>
      </c>
    </row>
    <row r="130" hidden="1">
      <c r="A130" s="419" t="s">
        <v>1315</v>
      </c>
      <c r="B130" s="420" t="s">
        <v>8150</v>
      </c>
      <c r="C130" s="360"/>
      <c r="D130" s="421">
        <v>2026.0</v>
      </c>
      <c r="E130" s="360"/>
      <c r="F130" s="421">
        <v>1.0</v>
      </c>
      <c r="G130" s="421">
        <v>1.0</v>
      </c>
      <c r="H130" s="360"/>
      <c r="I130" s="360"/>
      <c r="J130" s="360"/>
      <c r="K130" s="421" t="s">
        <v>51</v>
      </c>
      <c r="L130" s="421" t="s">
        <v>109</v>
      </c>
      <c r="M130" s="421" t="s">
        <v>2324</v>
      </c>
      <c r="N130" s="360"/>
      <c r="O130" s="360"/>
      <c r="P130" s="360"/>
      <c r="Q130" s="360"/>
      <c r="R130" s="360"/>
      <c r="S130" s="360"/>
      <c r="T130" s="421" t="s">
        <v>319</v>
      </c>
      <c r="U130" s="421" t="s">
        <v>8151</v>
      </c>
      <c r="V130" s="421"/>
      <c r="W130" s="360"/>
      <c r="X130" s="423" t="s">
        <v>8146</v>
      </c>
    </row>
    <row r="131" hidden="1">
      <c r="A131" s="424"/>
      <c r="B131" s="425"/>
      <c r="C131" s="426"/>
      <c r="D131" s="427"/>
      <c r="E131" s="426"/>
      <c r="F131" s="427"/>
      <c r="G131" s="427"/>
      <c r="H131" s="426"/>
      <c r="I131" s="426"/>
      <c r="J131" s="426"/>
      <c r="K131" s="429"/>
      <c r="L131" s="427"/>
      <c r="M131" s="429"/>
      <c r="N131" s="426"/>
      <c r="O131" s="426"/>
      <c r="P131" s="426"/>
      <c r="Q131" s="426"/>
      <c r="R131" s="426"/>
      <c r="S131" s="426"/>
      <c r="T131" s="427"/>
      <c r="U131" s="427"/>
      <c r="V131" s="426"/>
      <c r="W131" s="426"/>
      <c r="X131" s="426"/>
    </row>
    <row r="132" hidden="1">
      <c r="A132" s="419"/>
      <c r="B132" s="420"/>
      <c r="C132" s="360"/>
      <c r="D132" s="421"/>
      <c r="E132" s="360"/>
      <c r="F132" s="421"/>
      <c r="G132" s="421"/>
      <c r="H132" s="360"/>
      <c r="I132" s="360"/>
      <c r="J132" s="360"/>
      <c r="K132" s="422"/>
      <c r="L132" s="421"/>
      <c r="M132" s="422"/>
      <c r="N132" s="360"/>
      <c r="O132" s="360"/>
      <c r="P132" s="360"/>
      <c r="Q132" s="360"/>
      <c r="R132" s="360"/>
      <c r="S132" s="360"/>
      <c r="T132" s="421"/>
      <c r="U132" s="421"/>
      <c r="V132" s="421"/>
      <c r="W132" s="360"/>
      <c r="X132" s="360"/>
    </row>
    <row r="133" hidden="1">
      <c r="A133" s="424"/>
      <c r="B133" s="425"/>
      <c r="C133" s="426"/>
      <c r="D133" s="427"/>
      <c r="E133" s="426"/>
      <c r="F133" s="427"/>
      <c r="G133" s="427"/>
      <c r="H133" s="426"/>
      <c r="I133" s="426"/>
      <c r="J133" s="426"/>
      <c r="K133" s="429"/>
      <c r="L133" s="426"/>
      <c r="M133" s="429"/>
      <c r="N133" s="426"/>
      <c r="O133" s="426"/>
      <c r="P133" s="426"/>
      <c r="Q133" s="426"/>
      <c r="R133" s="426"/>
      <c r="S133" s="426"/>
      <c r="T133" s="427"/>
      <c r="U133" s="427"/>
      <c r="V133" s="427"/>
      <c r="W133" s="426"/>
      <c r="X133" s="426"/>
    </row>
    <row r="134" hidden="1">
      <c r="A134" s="419"/>
      <c r="B134" s="420"/>
      <c r="C134" s="360"/>
      <c r="D134" s="421"/>
      <c r="E134" s="360"/>
      <c r="F134" s="421"/>
      <c r="G134" s="421"/>
      <c r="H134" s="360"/>
      <c r="I134" s="360"/>
      <c r="J134" s="360"/>
      <c r="K134" s="421"/>
      <c r="L134" s="360"/>
      <c r="M134" s="421"/>
      <c r="N134" s="360"/>
      <c r="O134" s="360"/>
      <c r="P134" s="360"/>
      <c r="Q134" s="360"/>
      <c r="R134" s="360"/>
      <c r="S134" s="360"/>
      <c r="T134" s="421"/>
      <c r="U134" s="421"/>
      <c r="V134" s="421"/>
      <c r="W134" s="360"/>
      <c r="X134" s="360"/>
    </row>
    <row r="135" hidden="1">
      <c r="A135" s="424"/>
      <c r="B135" s="425"/>
      <c r="C135" s="426"/>
      <c r="D135" s="427"/>
      <c r="E135" s="426"/>
      <c r="F135" s="427"/>
      <c r="G135" s="427"/>
      <c r="H135" s="426"/>
      <c r="I135" s="426"/>
      <c r="J135" s="426"/>
      <c r="K135" s="427"/>
      <c r="L135" s="426"/>
      <c r="M135" s="427"/>
      <c r="N135" s="426"/>
      <c r="O135" s="426"/>
      <c r="P135" s="426"/>
      <c r="Q135" s="426"/>
      <c r="R135" s="426"/>
      <c r="S135" s="427"/>
      <c r="T135" s="427"/>
      <c r="U135" s="427"/>
      <c r="V135" s="427"/>
      <c r="W135" s="426"/>
      <c r="X135" s="428"/>
    </row>
    <row r="136" hidden="1">
      <c r="A136" s="419"/>
      <c r="B136" s="420"/>
      <c r="C136" s="360"/>
      <c r="D136" s="421"/>
      <c r="E136" s="360"/>
      <c r="F136" s="421"/>
      <c r="G136" s="421"/>
      <c r="H136" s="360"/>
      <c r="I136" s="360"/>
      <c r="J136" s="360"/>
      <c r="K136" s="421"/>
      <c r="L136" s="360"/>
      <c r="M136" s="421"/>
      <c r="N136" s="360"/>
      <c r="O136" s="360"/>
      <c r="P136" s="360"/>
      <c r="Q136" s="360"/>
      <c r="R136" s="360"/>
      <c r="S136" s="360"/>
      <c r="T136" s="421"/>
      <c r="U136" s="421"/>
      <c r="V136" s="421"/>
      <c r="W136" s="360"/>
      <c r="X136" s="423"/>
    </row>
    <row r="137" hidden="1">
      <c r="A137" s="424"/>
      <c r="B137" s="425"/>
      <c r="C137" s="426"/>
      <c r="D137" s="427"/>
      <c r="E137" s="426"/>
      <c r="F137" s="427"/>
      <c r="G137" s="427"/>
      <c r="H137" s="426"/>
      <c r="I137" s="426"/>
      <c r="J137" s="426"/>
      <c r="K137" s="427"/>
      <c r="L137" s="426"/>
      <c r="M137" s="427"/>
      <c r="N137" s="426"/>
      <c r="O137" s="426"/>
      <c r="P137" s="426"/>
      <c r="Q137" s="426"/>
      <c r="R137" s="426"/>
      <c r="S137" s="427"/>
      <c r="T137" s="427"/>
      <c r="U137" s="427"/>
      <c r="V137" s="426"/>
      <c r="W137" s="426"/>
      <c r="X137" s="426"/>
    </row>
    <row r="138" hidden="1">
      <c r="A138" s="419"/>
      <c r="B138" s="420"/>
      <c r="C138" s="360"/>
      <c r="D138" s="421"/>
      <c r="E138" s="360"/>
      <c r="F138" s="421"/>
      <c r="G138" s="421"/>
      <c r="H138" s="360"/>
      <c r="I138" s="360"/>
      <c r="J138" s="360"/>
      <c r="K138" s="422"/>
      <c r="L138" s="360"/>
      <c r="M138" s="422"/>
      <c r="N138" s="360"/>
      <c r="O138" s="360"/>
      <c r="P138" s="360"/>
      <c r="Q138" s="360"/>
      <c r="R138" s="360"/>
      <c r="S138" s="360"/>
      <c r="T138" s="421"/>
      <c r="U138" s="421"/>
      <c r="V138" s="421"/>
      <c r="W138" s="360"/>
      <c r="X138" s="423"/>
    </row>
    <row r="139" hidden="1">
      <c r="A139" s="424"/>
      <c r="B139" s="425"/>
      <c r="C139" s="426"/>
      <c r="D139" s="427"/>
      <c r="E139" s="426"/>
      <c r="F139" s="427"/>
      <c r="G139" s="427"/>
      <c r="H139" s="426"/>
      <c r="I139" s="426"/>
      <c r="J139" s="426"/>
      <c r="K139" s="427"/>
      <c r="L139" s="426"/>
      <c r="M139" s="427"/>
      <c r="N139" s="426"/>
      <c r="O139" s="426"/>
      <c r="P139" s="426"/>
      <c r="Q139" s="426"/>
      <c r="R139" s="426"/>
      <c r="S139" s="426"/>
      <c r="T139" s="427"/>
      <c r="U139" s="427"/>
      <c r="V139" s="427"/>
      <c r="W139" s="426"/>
      <c r="X139" s="428"/>
    </row>
    <row r="140" hidden="1">
      <c r="A140" s="419"/>
      <c r="B140" s="420"/>
      <c r="C140" s="360"/>
      <c r="D140" s="421"/>
      <c r="E140" s="360"/>
      <c r="F140" s="421"/>
      <c r="G140" s="421"/>
      <c r="H140" s="360"/>
      <c r="I140" s="360"/>
      <c r="J140" s="360"/>
      <c r="K140" s="421"/>
      <c r="L140" s="360"/>
      <c r="M140" s="422"/>
      <c r="N140" s="360"/>
      <c r="O140" s="360"/>
      <c r="P140" s="360"/>
      <c r="Q140" s="360"/>
      <c r="R140" s="360"/>
      <c r="S140" s="360"/>
      <c r="T140" s="421"/>
      <c r="U140" s="421"/>
      <c r="V140" s="421"/>
      <c r="W140" s="360"/>
      <c r="X140" s="423"/>
    </row>
    <row r="141" hidden="1">
      <c r="A141" s="424"/>
      <c r="B141" s="425"/>
      <c r="C141" s="426"/>
      <c r="D141" s="427"/>
      <c r="E141" s="426"/>
      <c r="F141" s="427"/>
      <c r="G141" s="427"/>
      <c r="H141" s="426"/>
      <c r="I141" s="426"/>
      <c r="J141" s="426"/>
      <c r="K141" s="427"/>
      <c r="L141" s="426"/>
      <c r="M141" s="427"/>
      <c r="N141" s="426"/>
      <c r="O141" s="426"/>
      <c r="P141" s="426"/>
      <c r="Q141" s="426"/>
      <c r="R141" s="426"/>
      <c r="S141" s="426"/>
      <c r="T141" s="427"/>
      <c r="U141" s="427"/>
      <c r="V141" s="427"/>
      <c r="W141" s="426"/>
      <c r="X141" s="426"/>
    </row>
    <row r="142">
      <c r="A142" s="419" t="s">
        <v>8152</v>
      </c>
      <c r="B142" s="420" t="s">
        <v>5674</v>
      </c>
      <c r="C142" s="360"/>
      <c r="D142" s="421">
        <v>2027.0</v>
      </c>
      <c r="E142" s="360"/>
      <c r="F142" s="421">
        <v>1.0</v>
      </c>
      <c r="G142" s="421">
        <v>2.0</v>
      </c>
      <c r="H142" s="360"/>
      <c r="I142" s="360"/>
      <c r="J142" s="360"/>
      <c r="K142" s="421" t="s">
        <v>63</v>
      </c>
      <c r="L142" s="360"/>
      <c r="M142" s="421" t="s">
        <v>1550</v>
      </c>
      <c r="N142" s="360"/>
      <c r="O142" s="360"/>
      <c r="P142" s="360"/>
      <c r="Q142" s="360"/>
      <c r="R142" s="360"/>
      <c r="S142" s="360"/>
      <c r="T142" s="421" t="s">
        <v>502</v>
      </c>
      <c r="U142" s="421" t="s">
        <v>8031</v>
      </c>
      <c r="V142" s="421" t="s">
        <v>2575</v>
      </c>
      <c r="W142" s="360"/>
      <c r="X142" s="423" t="s">
        <v>8098</v>
      </c>
    </row>
    <row r="143">
      <c r="A143" s="424" t="s">
        <v>3910</v>
      </c>
      <c r="B143" s="425" t="s">
        <v>8153</v>
      </c>
      <c r="C143" s="426"/>
      <c r="D143" s="427">
        <v>2027.0</v>
      </c>
      <c r="E143" s="426"/>
      <c r="F143" s="427">
        <v>1.0</v>
      </c>
      <c r="G143" s="427">
        <v>2.0</v>
      </c>
      <c r="H143" s="426"/>
      <c r="I143" s="426"/>
      <c r="J143" s="426"/>
      <c r="K143" s="427" t="s">
        <v>106</v>
      </c>
      <c r="L143" s="426"/>
      <c r="M143" s="427" t="s">
        <v>1550</v>
      </c>
      <c r="N143" s="426"/>
      <c r="O143" s="426"/>
      <c r="P143" s="426"/>
      <c r="Q143" s="426"/>
      <c r="R143" s="426"/>
      <c r="S143" s="426"/>
      <c r="T143" s="427" t="s">
        <v>85</v>
      </c>
      <c r="U143" s="427" t="s">
        <v>8154</v>
      </c>
      <c r="V143" s="427" t="s">
        <v>3704</v>
      </c>
      <c r="W143" s="426"/>
      <c r="X143" s="428" t="s">
        <v>8155</v>
      </c>
    </row>
    <row r="144">
      <c r="A144" s="419" t="s">
        <v>324</v>
      </c>
      <c r="B144" s="420" t="s">
        <v>8156</v>
      </c>
      <c r="C144" s="360"/>
      <c r="D144" s="421">
        <v>2027.0</v>
      </c>
      <c r="E144" s="360"/>
      <c r="F144" s="421">
        <v>1.0</v>
      </c>
      <c r="G144" s="421">
        <v>2.0</v>
      </c>
      <c r="H144" s="360"/>
      <c r="I144" s="360"/>
      <c r="J144" s="360"/>
      <c r="K144" s="421" t="s">
        <v>42</v>
      </c>
      <c r="L144" s="421" t="s">
        <v>106</v>
      </c>
      <c r="M144" s="421" t="s">
        <v>1550</v>
      </c>
      <c r="N144" s="360"/>
      <c r="O144" s="360"/>
      <c r="P144" s="360"/>
      <c r="Q144" s="360"/>
      <c r="R144" s="360"/>
      <c r="S144" s="360"/>
      <c r="T144" s="421" t="s">
        <v>85</v>
      </c>
      <c r="U144" s="421" t="s">
        <v>3912</v>
      </c>
      <c r="V144" s="421" t="s">
        <v>87</v>
      </c>
      <c r="W144" s="360"/>
      <c r="X144" s="423" t="s">
        <v>8048</v>
      </c>
    </row>
    <row r="145">
      <c r="A145" s="424" t="s">
        <v>8157</v>
      </c>
      <c r="B145" s="425" t="s">
        <v>8158</v>
      </c>
      <c r="C145" s="426"/>
      <c r="D145" s="427">
        <v>2027.0</v>
      </c>
      <c r="E145" s="426"/>
      <c r="F145" s="427">
        <v>1.0</v>
      </c>
      <c r="G145" s="427">
        <v>2.0</v>
      </c>
      <c r="H145" s="426"/>
      <c r="I145" s="426"/>
      <c r="J145" s="426"/>
      <c r="K145" s="427" t="s">
        <v>72</v>
      </c>
      <c r="L145" s="426"/>
      <c r="M145" s="427" t="s">
        <v>1550</v>
      </c>
      <c r="N145" s="426"/>
      <c r="O145" s="426"/>
      <c r="P145" s="426"/>
      <c r="Q145" s="426"/>
      <c r="R145" s="426"/>
      <c r="S145" s="426"/>
      <c r="T145" s="427" t="s">
        <v>85</v>
      </c>
      <c r="U145" s="427" t="s">
        <v>3794</v>
      </c>
      <c r="V145" s="427" t="s">
        <v>1424</v>
      </c>
      <c r="W145" s="426"/>
      <c r="X145" s="426"/>
    </row>
    <row r="146" hidden="1">
      <c r="A146" s="419"/>
      <c r="B146" s="420"/>
      <c r="C146" s="360"/>
      <c r="D146" s="421"/>
      <c r="E146" s="360"/>
      <c r="F146" s="421"/>
      <c r="G146" s="421"/>
      <c r="H146" s="360"/>
      <c r="I146" s="360"/>
      <c r="J146" s="360"/>
      <c r="K146" s="421"/>
      <c r="L146" s="421"/>
      <c r="M146" s="421"/>
      <c r="N146" s="360"/>
      <c r="O146" s="360"/>
      <c r="P146" s="360"/>
      <c r="Q146" s="360"/>
      <c r="R146" s="360"/>
      <c r="S146" s="360"/>
      <c r="T146" s="421"/>
      <c r="U146" s="421"/>
      <c r="V146" s="421"/>
      <c r="W146" s="360"/>
      <c r="X146" s="423"/>
    </row>
    <row r="147" hidden="1">
      <c r="A147" s="424"/>
      <c r="B147" s="425"/>
      <c r="C147" s="426"/>
      <c r="D147" s="427"/>
      <c r="E147" s="426"/>
      <c r="F147" s="427"/>
      <c r="G147" s="427"/>
      <c r="H147" s="426"/>
      <c r="I147" s="426"/>
      <c r="J147" s="426"/>
      <c r="K147" s="427"/>
      <c r="L147" s="427"/>
      <c r="M147" s="427"/>
      <c r="N147" s="426"/>
      <c r="O147" s="426"/>
      <c r="P147" s="426"/>
      <c r="Q147" s="426"/>
      <c r="R147" s="426"/>
      <c r="S147" s="427"/>
      <c r="T147" s="427"/>
      <c r="U147" s="427"/>
      <c r="V147" s="427"/>
      <c r="W147" s="426"/>
      <c r="X147" s="428"/>
    </row>
    <row r="148" hidden="1">
      <c r="A148" s="419"/>
      <c r="B148" s="420"/>
      <c r="C148" s="360"/>
      <c r="D148" s="421"/>
      <c r="E148" s="360"/>
      <c r="F148" s="421"/>
      <c r="G148" s="421"/>
      <c r="H148" s="360"/>
      <c r="I148" s="360"/>
      <c r="J148" s="360"/>
      <c r="K148" s="421"/>
      <c r="L148" s="360"/>
      <c r="M148" s="421"/>
      <c r="N148" s="360"/>
      <c r="O148" s="360"/>
      <c r="P148" s="360"/>
      <c r="Q148" s="360"/>
      <c r="R148" s="360"/>
      <c r="S148" s="360"/>
      <c r="T148" s="421"/>
      <c r="U148" s="421"/>
      <c r="V148" s="421"/>
      <c r="W148" s="360"/>
      <c r="X148" s="423"/>
    </row>
    <row r="149" hidden="1">
      <c r="A149" s="424"/>
      <c r="B149" s="425"/>
      <c r="C149" s="426"/>
      <c r="D149" s="427"/>
      <c r="E149" s="426"/>
      <c r="F149" s="427"/>
      <c r="G149" s="427"/>
      <c r="H149" s="426"/>
      <c r="I149" s="426"/>
      <c r="J149" s="426"/>
      <c r="K149" s="429"/>
      <c r="L149" s="426"/>
      <c r="M149" s="429"/>
      <c r="N149" s="426"/>
      <c r="O149" s="426"/>
      <c r="P149" s="426"/>
      <c r="Q149" s="426"/>
      <c r="R149" s="426"/>
      <c r="S149" s="426"/>
      <c r="T149" s="427"/>
      <c r="U149" s="427"/>
      <c r="V149" s="427"/>
      <c r="W149" s="426"/>
      <c r="X149" s="428"/>
    </row>
    <row r="150" hidden="1">
      <c r="A150" s="419"/>
      <c r="B150" s="420"/>
      <c r="C150" s="360"/>
      <c r="D150" s="421"/>
      <c r="E150" s="360"/>
      <c r="F150" s="421"/>
      <c r="G150" s="421"/>
      <c r="H150" s="360"/>
      <c r="I150" s="360"/>
      <c r="J150" s="360"/>
      <c r="K150" s="422"/>
      <c r="L150" s="360"/>
      <c r="M150" s="360"/>
      <c r="N150" s="360"/>
      <c r="O150" s="360"/>
      <c r="P150" s="360"/>
      <c r="Q150" s="360"/>
      <c r="R150" s="360"/>
      <c r="S150" s="421"/>
      <c r="T150" s="421"/>
      <c r="U150" s="421"/>
      <c r="V150" s="360"/>
      <c r="W150" s="360"/>
      <c r="X150" s="360"/>
    </row>
    <row r="151" hidden="1">
      <c r="A151" s="430"/>
      <c r="B151" s="425"/>
      <c r="C151" s="426"/>
      <c r="D151" s="427"/>
      <c r="E151" s="426"/>
      <c r="F151" s="427"/>
      <c r="G151" s="427"/>
      <c r="H151" s="426"/>
      <c r="I151" s="426"/>
      <c r="J151" s="426"/>
      <c r="K151" s="427"/>
      <c r="L151" s="426"/>
      <c r="M151" s="429"/>
      <c r="N151" s="426"/>
      <c r="O151" s="426"/>
      <c r="P151" s="426"/>
      <c r="Q151" s="426"/>
      <c r="R151" s="426"/>
      <c r="S151" s="426"/>
      <c r="T151" s="427"/>
      <c r="U151" s="427"/>
      <c r="V151" s="426"/>
      <c r="W151" s="426"/>
      <c r="X151" s="426"/>
    </row>
    <row r="152" hidden="1">
      <c r="A152" s="419"/>
      <c r="B152" s="420"/>
      <c r="C152" s="360"/>
      <c r="D152" s="421"/>
      <c r="E152" s="360"/>
      <c r="F152" s="421"/>
      <c r="G152" s="421"/>
      <c r="H152" s="360"/>
      <c r="I152" s="360"/>
      <c r="J152" s="360"/>
      <c r="K152" s="421"/>
      <c r="L152" s="421"/>
      <c r="M152" s="421"/>
      <c r="N152" s="360"/>
      <c r="O152" s="360"/>
      <c r="P152" s="360"/>
      <c r="Q152" s="360"/>
      <c r="R152" s="360"/>
      <c r="S152" s="360"/>
      <c r="T152" s="421"/>
      <c r="U152" s="421"/>
      <c r="V152" s="421"/>
      <c r="W152" s="360"/>
      <c r="X152" s="423"/>
    </row>
    <row r="153" hidden="1">
      <c r="A153" s="424"/>
      <c r="B153" s="425"/>
      <c r="C153" s="426"/>
      <c r="D153" s="427"/>
      <c r="E153" s="426"/>
      <c r="F153" s="427"/>
      <c r="G153" s="427"/>
      <c r="H153" s="426"/>
      <c r="I153" s="426"/>
      <c r="J153" s="426"/>
      <c r="K153" s="427"/>
      <c r="L153" s="427"/>
      <c r="M153" s="427"/>
      <c r="N153" s="426"/>
      <c r="O153" s="426"/>
      <c r="P153" s="426"/>
      <c r="Q153" s="426"/>
      <c r="R153" s="426"/>
      <c r="S153" s="426"/>
      <c r="T153" s="427"/>
      <c r="U153" s="427"/>
      <c r="V153" s="427"/>
      <c r="W153" s="426"/>
      <c r="X153" s="428"/>
    </row>
    <row r="154" hidden="1">
      <c r="A154" s="419"/>
      <c r="B154" s="420"/>
      <c r="C154" s="360"/>
      <c r="D154" s="421"/>
      <c r="E154" s="360"/>
      <c r="F154" s="421"/>
      <c r="G154" s="421"/>
      <c r="H154" s="360"/>
      <c r="I154" s="360"/>
      <c r="J154" s="360"/>
      <c r="K154" s="422"/>
      <c r="L154" s="360"/>
      <c r="M154" s="422"/>
      <c r="N154" s="360"/>
      <c r="O154" s="360"/>
      <c r="P154" s="360"/>
      <c r="Q154" s="360"/>
      <c r="R154" s="360"/>
      <c r="S154" s="421"/>
      <c r="T154" s="421"/>
      <c r="U154" s="421"/>
      <c r="V154" s="421"/>
      <c r="W154" s="360"/>
      <c r="X154" s="423"/>
    </row>
    <row r="155" hidden="1">
      <c r="A155" s="424"/>
      <c r="B155" s="425"/>
      <c r="C155" s="426"/>
      <c r="D155" s="427"/>
      <c r="E155" s="426"/>
      <c r="F155" s="427"/>
      <c r="G155" s="427"/>
      <c r="H155" s="426"/>
      <c r="I155" s="426"/>
      <c r="J155" s="426"/>
      <c r="K155" s="427"/>
      <c r="L155" s="426"/>
      <c r="M155" s="427"/>
      <c r="N155" s="426"/>
      <c r="O155" s="426"/>
      <c r="P155" s="426"/>
      <c r="Q155" s="426"/>
      <c r="R155" s="426"/>
      <c r="S155" s="427"/>
      <c r="T155" s="427"/>
      <c r="U155" s="427"/>
      <c r="V155" s="427"/>
      <c r="W155" s="426"/>
      <c r="X155" s="428"/>
    </row>
    <row r="156" hidden="1">
      <c r="A156" s="419"/>
      <c r="B156" s="420"/>
      <c r="C156" s="360"/>
      <c r="D156" s="421"/>
      <c r="E156" s="360"/>
      <c r="F156" s="421"/>
      <c r="G156" s="421"/>
      <c r="H156" s="360"/>
      <c r="I156" s="360"/>
      <c r="J156" s="360"/>
      <c r="K156" s="421"/>
      <c r="L156" s="360"/>
      <c r="M156" s="421"/>
      <c r="N156" s="360"/>
      <c r="O156" s="360"/>
      <c r="P156" s="360"/>
      <c r="Q156" s="360"/>
      <c r="R156" s="360"/>
      <c r="S156" s="421"/>
      <c r="T156" s="421"/>
      <c r="U156" s="421"/>
      <c r="V156" s="421"/>
      <c r="W156" s="360"/>
      <c r="X156" s="423"/>
    </row>
    <row r="157" hidden="1">
      <c r="A157" s="424"/>
      <c r="B157" s="425"/>
      <c r="C157" s="426"/>
      <c r="D157" s="427"/>
      <c r="E157" s="426"/>
      <c r="F157" s="427"/>
      <c r="G157" s="427"/>
      <c r="H157" s="426"/>
      <c r="I157" s="426"/>
      <c r="J157" s="426"/>
      <c r="K157" s="427"/>
      <c r="L157" s="427"/>
      <c r="M157" s="429"/>
      <c r="N157" s="426"/>
      <c r="O157" s="426"/>
      <c r="P157" s="426"/>
      <c r="Q157" s="426"/>
      <c r="R157" s="426"/>
      <c r="S157" s="426"/>
      <c r="T157" s="427"/>
      <c r="U157" s="427"/>
      <c r="V157" s="427"/>
      <c r="W157" s="426"/>
      <c r="X157" s="426"/>
    </row>
    <row r="158" hidden="1">
      <c r="A158" s="419"/>
      <c r="B158" s="420"/>
      <c r="C158" s="360"/>
      <c r="D158" s="421"/>
      <c r="E158" s="360"/>
      <c r="F158" s="421"/>
      <c r="G158" s="421"/>
      <c r="H158" s="360"/>
      <c r="I158" s="360"/>
      <c r="J158" s="360"/>
      <c r="K158" s="421"/>
      <c r="L158" s="360"/>
      <c r="M158" s="421"/>
      <c r="N158" s="360"/>
      <c r="O158" s="360"/>
      <c r="P158" s="360"/>
      <c r="Q158" s="360"/>
      <c r="R158" s="360"/>
      <c r="S158" s="421"/>
      <c r="T158" s="421"/>
      <c r="U158" s="421"/>
      <c r="V158" s="421"/>
      <c r="W158" s="360"/>
      <c r="X158" s="433"/>
    </row>
    <row r="159" hidden="1">
      <c r="A159" s="424"/>
      <c r="B159" s="425"/>
      <c r="C159" s="426"/>
      <c r="D159" s="427"/>
      <c r="E159" s="426"/>
      <c r="F159" s="427"/>
      <c r="G159" s="427"/>
      <c r="H159" s="426"/>
      <c r="I159" s="426"/>
      <c r="J159" s="426"/>
      <c r="K159" s="427"/>
      <c r="L159" s="426"/>
      <c r="M159" s="427"/>
      <c r="N159" s="426"/>
      <c r="O159" s="426"/>
      <c r="P159" s="426"/>
      <c r="Q159" s="426"/>
      <c r="R159" s="426"/>
      <c r="S159" s="426"/>
      <c r="T159" s="427"/>
      <c r="U159" s="427"/>
      <c r="V159" s="427"/>
      <c r="W159" s="426"/>
      <c r="X159" s="428"/>
    </row>
    <row r="160" hidden="1">
      <c r="A160" s="419"/>
      <c r="B160" s="420"/>
      <c r="C160" s="360"/>
      <c r="D160" s="421"/>
      <c r="E160" s="360"/>
      <c r="F160" s="421"/>
      <c r="G160" s="421"/>
      <c r="H160" s="360"/>
      <c r="I160" s="360"/>
      <c r="J160" s="360"/>
      <c r="K160" s="421"/>
      <c r="L160" s="360"/>
      <c r="M160" s="421"/>
      <c r="N160" s="360"/>
      <c r="O160" s="360"/>
      <c r="P160" s="360"/>
      <c r="Q160" s="360"/>
      <c r="R160" s="360"/>
      <c r="S160" s="360"/>
      <c r="T160" s="421"/>
      <c r="U160" s="421"/>
      <c r="V160" s="421"/>
      <c r="W160" s="360"/>
      <c r="X160" s="360"/>
    </row>
    <row r="161" hidden="1">
      <c r="A161" s="424"/>
      <c r="B161" s="425"/>
      <c r="C161" s="426"/>
      <c r="D161" s="427"/>
      <c r="E161" s="426"/>
      <c r="F161" s="427"/>
      <c r="G161" s="427"/>
      <c r="H161" s="426"/>
      <c r="I161" s="426"/>
      <c r="J161" s="426"/>
      <c r="K161" s="427"/>
      <c r="L161" s="426"/>
      <c r="M161" s="427"/>
      <c r="N161" s="426"/>
      <c r="O161" s="426"/>
      <c r="P161" s="426"/>
      <c r="Q161" s="426"/>
      <c r="R161" s="426"/>
      <c r="S161" s="427"/>
      <c r="T161" s="427"/>
      <c r="U161" s="427"/>
      <c r="V161" s="426"/>
      <c r="W161" s="426"/>
      <c r="X161" s="426"/>
    </row>
    <row r="162" hidden="1">
      <c r="A162" s="419"/>
      <c r="B162" s="420"/>
      <c r="C162" s="360"/>
      <c r="D162" s="421"/>
      <c r="E162" s="360"/>
      <c r="F162" s="421"/>
      <c r="G162" s="421"/>
      <c r="H162" s="360"/>
      <c r="I162" s="360"/>
      <c r="J162" s="360"/>
      <c r="K162" s="421"/>
      <c r="L162" s="360"/>
      <c r="M162" s="422"/>
      <c r="N162" s="360"/>
      <c r="O162" s="360"/>
      <c r="P162" s="360"/>
      <c r="Q162" s="360"/>
      <c r="R162" s="360"/>
      <c r="S162" s="421"/>
      <c r="T162" s="421"/>
      <c r="U162" s="421"/>
      <c r="V162" s="360"/>
      <c r="W162" s="360"/>
      <c r="X162" s="360"/>
    </row>
    <row r="163" hidden="1">
      <c r="A163" s="424"/>
      <c r="B163" s="425"/>
      <c r="C163" s="426"/>
      <c r="D163" s="427"/>
      <c r="E163" s="426"/>
      <c r="F163" s="427"/>
      <c r="G163" s="427"/>
      <c r="H163" s="426"/>
      <c r="I163" s="426"/>
      <c r="J163" s="426"/>
      <c r="K163" s="427"/>
      <c r="L163" s="426"/>
      <c r="M163" s="429"/>
      <c r="N163" s="426"/>
      <c r="O163" s="426"/>
      <c r="P163" s="426"/>
      <c r="Q163" s="426"/>
      <c r="R163" s="426"/>
      <c r="S163" s="427"/>
      <c r="T163" s="427"/>
      <c r="U163" s="426"/>
      <c r="V163" s="426"/>
      <c r="W163" s="426"/>
      <c r="X163" s="426"/>
    </row>
    <row r="164" hidden="1">
      <c r="A164" s="419"/>
      <c r="B164" s="420"/>
      <c r="C164" s="360"/>
      <c r="D164" s="421"/>
      <c r="E164" s="360"/>
      <c r="F164" s="421"/>
      <c r="G164" s="421"/>
      <c r="H164" s="360"/>
      <c r="I164" s="360"/>
      <c r="J164" s="360"/>
      <c r="K164" s="421"/>
      <c r="L164" s="360"/>
      <c r="M164" s="360"/>
      <c r="N164" s="360"/>
      <c r="O164" s="360"/>
      <c r="P164" s="360"/>
      <c r="Q164" s="360"/>
      <c r="R164" s="360"/>
      <c r="S164" s="421"/>
      <c r="T164" s="421"/>
      <c r="U164" s="360"/>
      <c r="V164" s="360"/>
      <c r="W164" s="360"/>
      <c r="X164" s="360"/>
    </row>
    <row r="165" hidden="1">
      <c r="A165" s="424"/>
      <c r="B165" s="425"/>
      <c r="C165" s="426"/>
      <c r="D165" s="427"/>
      <c r="E165" s="426"/>
      <c r="F165" s="427"/>
      <c r="G165" s="427"/>
      <c r="H165" s="426"/>
      <c r="I165" s="426"/>
      <c r="J165" s="426"/>
      <c r="K165" s="427"/>
      <c r="L165" s="427"/>
      <c r="M165" s="427"/>
      <c r="N165" s="426"/>
      <c r="O165" s="426"/>
      <c r="P165" s="426"/>
      <c r="Q165" s="426"/>
      <c r="R165" s="426"/>
      <c r="S165" s="426"/>
      <c r="T165" s="427"/>
      <c r="U165" s="427"/>
      <c r="V165" s="426"/>
      <c r="W165" s="426"/>
      <c r="X165" s="426"/>
    </row>
    <row r="166" hidden="1">
      <c r="A166" s="419"/>
      <c r="B166" s="420"/>
      <c r="C166" s="360"/>
      <c r="D166" s="421"/>
      <c r="E166" s="360"/>
      <c r="F166" s="421"/>
      <c r="G166" s="421"/>
      <c r="H166" s="360"/>
      <c r="I166" s="360"/>
      <c r="J166" s="360"/>
      <c r="K166" s="421"/>
      <c r="L166" s="360"/>
      <c r="M166" s="421"/>
      <c r="N166" s="360"/>
      <c r="O166" s="360"/>
      <c r="P166" s="360"/>
      <c r="Q166" s="360"/>
      <c r="R166" s="360"/>
      <c r="S166" s="360"/>
      <c r="T166" s="421"/>
      <c r="U166" s="421"/>
      <c r="V166" s="360"/>
      <c r="W166" s="360"/>
      <c r="X166" s="360"/>
    </row>
    <row r="167" hidden="1">
      <c r="A167" s="424"/>
      <c r="B167" s="425"/>
      <c r="C167" s="426"/>
      <c r="D167" s="427"/>
      <c r="E167" s="426"/>
      <c r="F167" s="427"/>
      <c r="G167" s="427"/>
      <c r="H167" s="426"/>
      <c r="I167" s="426"/>
      <c r="J167" s="426"/>
      <c r="K167" s="427"/>
      <c r="L167" s="426"/>
      <c r="M167" s="429"/>
      <c r="N167" s="426"/>
      <c r="O167" s="426"/>
      <c r="P167" s="426"/>
      <c r="Q167" s="426"/>
      <c r="R167" s="426"/>
      <c r="S167" s="426"/>
      <c r="T167" s="427"/>
      <c r="U167" s="427"/>
      <c r="V167" s="426"/>
      <c r="W167" s="426"/>
      <c r="X167" s="426"/>
    </row>
    <row r="168" hidden="1">
      <c r="A168" s="419"/>
      <c r="B168" s="420"/>
      <c r="C168" s="360"/>
      <c r="D168" s="421"/>
      <c r="E168" s="360"/>
      <c r="F168" s="421"/>
      <c r="G168" s="421"/>
      <c r="H168" s="360"/>
      <c r="I168" s="360"/>
      <c r="J168" s="360"/>
      <c r="K168" s="421"/>
      <c r="L168" s="421"/>
      <c r="M168" s="421"/>
      <c r="N168" s="360"/>
      <c r="O168" s="360"/>
      <c r="P168" s="360"/>
      <c r="Q168" s="360"/>
      <c r="R168" s="360"/>
      <c r="S168" s="421"/>
      <c r="T168" s="421"/>
      <c r="U168" s="360"/>
      <c r="V168" s="360"/>
      <c r="W168" s="360"/>
      <c r="X168" s="360"/>
    </row>
    <row r="169" hidden="1">
      <c r="A169" s="424"/>
      <c r="B169" s="425"/>
      <c r="C169" s="426"/>
      <c r="D169" s="427"/>
      <c r="E169" s="426"/>
      <c r="F169" s="427"/>
      <c r="G169" s="427"/>
      <c r="H169" s="426"/>
      <c r="I169" s="426"/>
      <c r="J169" s="426"/>
      <c r="K169" s="427"/>
      <c r="L169" s="427"/>
      <c r="M169" s="427"/>
      <c r="N169" s="426"/>
      <c r="O169" s="426"/>
      <c r="P169" s="426"/>
      <c r="Q169" s="426"/>
      <c r="R169" s="426"/>
      <c r="S169" s="426"/>
      <c r="T169" s="427"/>
      <c r="U169" s="426"/>
      <c r="V169" s="426"/>
      <c r="W169" s="426"/>
      <c r="X169" s="426"/>
    </row>
    <row r="170" hidden="1">
      <c r="A170" s="419"/>
      <c r="B170" s="420"/>
      <c r="C170" s="360"/>
      <c r="D170" s="421"/>
      <c r="E170" s="360"/>
      <c r="F170" s="421"/>
      <c r="G170" s="421"/>
      <c r="H170" s="360"/>
      <c r="I170" s="360"/>
      <c r="J170" s="360"/>
      <c r="K170" s="421"/>
      <c r="L170" s="360"/>
      <c r="M170" s="360"/>
      <c r="N170" s="360"/>
      <c r="O170" s="360"/>
      <c r="P170" s="360"/>
      <c r="Q170" s="360"/>
      <c r="R170" s="360"/>
      <c r="S170" s="421"/>
      <c r="T170" s="421"/>
      <c r="U170" s="360"/>
      <c r="V170" s="360"/>
      <c r="W170" s="360"/>
      <c r="X170" s="360"/>
    </row>
    <row r="171" hidden="1">
      <c r="A171" s="424"/>
      <c r="B171" s="425"/>
      <c r="C171" s="426"/>
      <c r="D171" s="427"/>
      <c r="E171" s="426"/>
      <c r="F171" s="427"/>
      <c r="G171" s="427"/>
      <c r="H171" s="426"/>
      <c r="I171" s="426"/>
      <c r="J171" s="426"/>
      <c r="K171" s="427"/>
      <c r="L171" s="427"/>
      <c r="M171" s="429"/>
      <c r="N171" s="426"/>
      <c r="O171" s="426"/>
      <c r="P171" s="426"/>
      <c r="Q171" s="426"/>
      <c r="R171" s="426"/>
      <c r="S171" s="427"/>
      <c r="T171" s="427"/>
      <c r="U171" s="426"/>
      <c r="V171" s="426"/>
      <c r="W171" s="426"/>
      <c r="X171" s="426"/>
    </row>
    <row r="172" hidden="1">
      <c r="A172" s="434"/>
      <c r="B172" s="420"/>
      <c r="C172" s="360"/>
      <c r="D172" s="421"/>
      <c r="E172" s="360"/>
      <c r="F172" s="421"/>
      <c r="G172" s="421"/>
      <c r="H172" s="360"/>
      <c r="I172" s="360"/>
      <c r="J172" s="360"/>
      <c r="K172" s="421"/>
      <c r="L172" s="421"/>
      <c r="M172" s="422"/>
      <c r="N172" s="360"/>
      <c r="O172" s="360"/>
      <c r="P172" s="360"/>
      <c r="Q172" s="360"/>
      <c r="R172" s="360"/>
      <c r="S172" s="360"/>
      <c r="T172" s="421"/>
      <c r="U172" s="421"/>
      <c r="V172" s="360"/>
      <c r="W172" s="360"/>
      <c r="X172" s="423"/>
    </row>
    <row r="173" hidden="1">
      <c r="A173" s="424"/>
      <c r="B173" s="425"/>
      <c r="C173" s="426"/>
      <c r="D173" s="427"/>
      <c r="E173" s="426"/>
      <c r="F173" s="427"/>
      <c r="G173" s="427"/>
      <c r="H173" s="426"/>
      <c r="I173" s="426"/>
      <c r="J173" s="426"/>
      <c r="K173" s="427"/>
      <c r="L173" s="426"/>
      <c r="M173" s="429"/>
      <c r="N173" s="426"/>
      <c r="O173" s="426"/>
      <c r="P173" s="426"/>
      <c r="Q173" s="426"/>
      <c r="R173" s="426"/>
      <c r="S173" s="426"/>
      <c r="T173" s="427"/>
      <c r="U173" s="426"/>
      <c r="V173" s="426"/>
      <c r="W173" s="426"/>
      <c r="X173" s="426"/>
    </row>
    <row r="174" hidden="1">
      <c r="A174" s="419"/>
      <c r="B174" s="420"/>
      <c r="C174" s="360"/>
      <c r="D174" s="421"/>
      <c r="E174" s="360"/>
      <c r="F174" s="421"/>
      <c r="G174" s="421"/>
      <c r="H174" s="360"/>
      <c r="I174" s="360"/>
      <c r="J174" s="360"/>
      <c r="K174" s="421"/>
      <c r="L174" s="360"/>
      <c r="M174" s="421"/>
      <c r="N174" s="360"/>
      <c r="O174" s="360"/>
      <c r="P174" s="360"/>
      <c r="Q174" s="360"/>
      <c r="R174" s="360"/>
      <c r="S174" s="360"/>
      <c r="T174" s="421"/>
      <c r="U174" s="360"/>
      <c r="V174" s="360"/>
      <c r="W174" s="360"/>
      <c r="X174" s="360"/>
    </row>
    <row r="175" hidden="1">
      <c r="A175" s="424"/>
      <c r="B175" s="425"/>
      <c r="C175" s="426"/>
      <c r="D175" s="427"/>
      <c r="E175" s="426"/>
      <c r="F175" s="427"/>
      <c r="G175" s="427"/>
      <c r="H175" s="426"/>
      <c r="I175" s="426"/>
      <c r="J175" s="426"/>
      <c r="K175" s="427"/>
      <c r="L175" s="427"/>
      <c r="M175" s="427"/>
      <c r="N175" s="426"/>
      <c r="O175" s="426"/>
      <c r="P175" s="426"/>
      <c r="Q175" s="426"/>
      <c r="R175" s="426"/>
      <c r="S175" s="426"/>
      <c r="T175" s="427"/>
      <c r="U175" s="427"/>
      <c r="V175" s="427"/>
      <c r="W175" s="426"/>
      <c r="X175" s="428"/>
    </row>
    <row r="176" hidden="1">
      <c r="A176" s="419"/>
      <c r="B176" s="420"/>
      <c r="C176" s="360"/>
      <c r="D176" s="421"/>
      <c r="E176" s="360"/>
      <c r="F176" s="421"/>
      <c r="G176" s="421"/>
      <c r="H176" s="360"/>
      <c r="I176" s="360"/>
      <c r="J176" s="360"/>
      <c r="K176" s="421"/>
      <c r="L176" s="421"/>
      <c r="M176" s="422"/>
      <c r="N176" s="360"/>
      <c r="O176" s="360"/>
      <c r="P176" s="360"/>
      <c r="Q176" s="360"/>
      <c r="R176" s="360"/>
      <c r="S176" s="360"/>
      <c r="T176" s="421"/>
      <c r="U176" s="421"/>
      <c r="V176" s="421"/>
      <c r="W176" s="360"/>
      <c r="X176" s="423"/>
    </row>
    <row r="177" hidden="1">
      <c r="A177" s="424"/>
      <c r="B177" s="425"/>
      <c r="C177" s="426"/>
      <c r="D177" s="427"/>
      <c r="E177" s="426"/>
      <c r="F177" s="427"/>
      <c r="G177" s="427"/>
      <c r="H177" s="426"/>
      <c r="I177" s="426"/>
      <c r="J177" s="426"/>
      <c r="K177" s="427"/>
      <c r="L177" s="427"/>
      <c r="M177" s="427"/>
      <c r="N177" s="426"/>
      <c r="O177" s="426"/>
      <c r="P177" s="426"/>
      <c r="Q177" s="426"/>
      <c r="R177" s="426"/>
      <c r="S177" s="426"/>
      <c r="T177" s="427"/>
      <c r="U177" s="427"/>
      <c r="V177" s="427"/>
      <c r="W177" s="426"/>
      <c r="X177" s="428"/>
    </row>
    <row r="178" hidden="1">
      <c r="A178" s="419"/>
      <c r="B178" s="420"/>
      <c r="C178" s="360"/>
      <c r="D178" s="421"/>
      <c r="E178" s="360"/>
      <c r="F178" s="421"/>
      <c r="G178" s="421"/>
      <c r="H178" s="360"/>
      <c r="I178" s="360"/>
      <c r="J178" s="360"/>
      <c r="K178" s="421"/>
      <c r="L178" s="360"/>
      <c r="M178" s="421"/>
      <c r="N178" s="360"/>
      <c r="O178" s="360"/>
      <c r="P178" s="360"/>
      <c r="Q178" s="360"/>
      <c r="R178" s="360"/>
      <c r="S178" s="360"/>
      <c r="T178" s="421"/>
      <c r="U178" s="421"/>
      <c r="V178" s="421"/>
      <c r="W178" s="360"/>
      <c r="X178" s="423"/>
    </row>
    <row r="179" hidden="1">
      <c r="A179" s="424"/>
      <c r="B179" s="425"/>
      <c r="C179" s="426"/>
      <c r="D179" s="427"/>
      <c r="E179" s="426"/>
      <c r="F179" s="427"/>
      <c r="G179" s="427"/>
      <c r="H179" s="426"/>
      <c r="I179" s="426"/>
      <c r="J179" s="426"/>
      <c r="K179" s="427"/>
      <c r="L179" s="427"/>
      <c r="M179" s="427"/>
      <c r="N179" s="426"/>
      <c r="O179" s="426"/>
      <c r="P179" s="426"/>
      <c r="Q179" s="426"/>
      <c r="R179" s="426"/>
      <c r="S179" s="426"/>
      <c r="T179" s="427"/>
      <c r="U179" s="427"/>
      <c r="V179" s="427"/>
      <c r="W179" s="426"/>
      <c r="X179" s="428"/>
    </row>
    <row r="180" hidden="1">
      <c r="A180" s="419"/>
      <c r="B180" s="420"/>
      <c r="C180" s="360"/>
      <c r="D180" s="421"/>
      <c r="E180" s="360"/>
      <c r="F180" s="421"/>
      <c r="G180" s="421"/>
      <c r="H180" s="360"/>
      <c r="I180" s="360"/>
      <c r="J180" s="360"/>
      <c r="K180" s="421"/>
      <c r="L180" s="360"/>
      <c r="M180" s="421"/>
      <c r="N180" s="360"/>
      <c r="O180" s="360"/>
      <c r="P180" s="360"/>
      <c r="Q180" s="360"/>
      <c r="R180" s="360"/>
      <c r="S180" s="360"/>
      <c r="T180" s="421"/>
      <c r="U180" s="421"/>
      <c r="V180" s="421"/>
      <c r="W180" s="360"/>
      <c r="X180" s="423"/>
    </row>
    <row r="181" hidden="1">
      <c r="A181" s="424"/>
      <c r="B181" s="425"/>
      <c r="C181" s="426"/>
      <c r="D181" s="427"/>
      <c r="E181" s="426"/>
      <c r="F181" s="427"/>
      <c r="G181" s="427"/>
      <c r="H181" s="426"/>
      <c r="I181" s="426"/>
      <c r="J181" s="426"/>
      <c r="K181" s="427"/>
      <c r="L181" s="426"/>
      <c r="M181" s="427"/>
      <c r="N181" s="426"/>
      <c r="O181" s="426"/>
      <c r="P181" s="426"/>
      <c r="Q181" s="426"/>
      <c r="R181" s="426"/>
      <c r="S181" s="426"/>
      <c r="T181" s="427"/>
      <c r="U181" s="427"/>
      <c r="V181" s="427"/>
      <c r="W181" s="426"/>
      <c r="X181" s="426"/>
    </row>
    <row r="182" hidden="1">
      <c r="A182" s="419"/>
      <c r="B182" s="420"/>
      <c r="C182" s="360"/>
      <c r="D182" s="421"/>
      <c r="E182" s="360"/>
      <c r="F182" s="421"/>
      <c r="G182" s="421"/>
      <c r="H182" s="360"/>
      <c r="I182" s="360"/>
      <c r="J182" s="360"/>
      <c r="K182" s="421"/>
      <c r="L182" s="360"/>
      <c r="M182" s="421"/>
      <c r="N182" s="360"/>
      <c r="O182" s="360"/>
      <c r="P182" s="360"/>
      <c r="Q182" s="360"/>
      <c r="R182" s="360"/>
      <c r="S182" s="360"/>
      <c r="T182" s="421"/>
      <c r="U182" s="421"/>
      <c r="V182" s="421"/>
      <c r="W182" s="360"/>
      <c r="X182" s="423"/>
    </row>
    <row r="183" hidden="1">
      <c r="A183" s="424"/>
      <c r="B183" s="425"/>
      <c r="C183" s="426"/>
      <c r="D183" s="427"/>
      <c r="E183" s="426"/>
      <c r="F183" s="427"/>
      <c r="G183" s="427"/>
      <c r="H183" s="426"/>
      <c r="I183" s="426"/>
      <c r="J183" s="426"/>
      <c r="K183" s="427"/>
      <c r="L183" s="427"/>
      <c r="M183" s="429"/>
      <c r="N183" s="426"/>
      <c r="O183" s="426"/>
      <c r="P183" s="426"/>
      <c r="Q183" s="426"/>
      <c r="R183" s="426"/>
      <c r="S183" s="426"/>
      <c r="T183" s="427"/>
      <c r="U183" s="427"/>
      <c r="V183" s="427"/>
      <c r="W183" s="426"/>
      <c r="X183" s="428"/>
    </row>
    <row r="184" hidden="1">
      <c r="A184" s="419"/>
      <c r="B184" s="420"/>
      <c r="C184" s="360"/>
      <c r="D184" s="421"/>
      <c r="E184" s="360"/>
      <c r="F184" s="421"/>
      <c r="G184" s="421"/>
      <c r="H184" s="360"/>
      <c r="I184" s="360"/>
      <c r="J184" s="360"/>
      <c r="K184" s="421"/>
      <c r="L184" s="421"/>
      <c r="M184" s="421"/>
      <c r="N184" s="360"/>
      <c r="O184" s="360"/>
      <c r="P184" s="360"/>
      <c r="Q184" s="360"/>
      <c r="R184" s="360"/>
      <c r="S184" s="360"/>
      <c r="T184" s="421"/>
      <c r="U184" s="421"/>
      <c r="V184" s="421"/>
      <c r="W184" s="360"/>
      <c r="X184" s="423"/>
    </row>
    <row r="185" hidden="1">
      <c r="A185" s="424"/>
      <c r="B185" s="425"/>
      <c r="C185" s="426"/>
      <c r="D185" s="427"/>
      <c r="E185" s="426"/>
      <c r="F185" s="427"/>
      <c r="G185" s="427"/>
      <c r="H185" s="426"/>
      <c r="I185" s="426"/>
      <c r="J185" s="426"/>
      <c r="K185" s="427"/>
      <c r="L185" s="429"/>
      <c r="M185" s="429"/>
      <c r="N185" s="426"/>
      <c r="O185" s="426"/>
      <c r="P185" s="426"/>
      <c r="Q185" s="426"/>
      <c r="R185" s="426"/>
      <c r="S185" s="426"/>
      <c r="T185" s="427"/>
      <c r="U185" s="427"/>
      <c r="V185" s="427"/>
      <c r="W185" s="426"/>
      <c r="X185" s="428"/>
    </row>
    <row r="186" hidden="1">
      <c r="A186" s="419"/>
      <c r="B186" s="420"/>
      <c r="C186" s="360"/>
      <c r="D186" s="421"/>
      <c r="E186" s="360"/>
      <c r="F186" s="421"/>
      <c r="G186" s="421"/>
      <c r="H186" s="360"/>
      <c r="I186" s="360"/>
      <c r="J186" s="360"/>
      <c r="K186" s="421"/>
      <c r="L186" s="421"/>
      <c r="M186" s="421"/>
      <c r="N186" s="360"/>
      <c r="O186" s="360"/>
      <c r="P186" s="360"/>
      <c r="Q186" s="360"/>
      <c r="R186" s="360"/>
      <c r="S186" s="360"/>
      <c r="T186" s="421"/>
      <c r="U186" s="421"/>
      <c r="V186" s="421"/>
      <c r="W186" s="360"/>
      <c r="X186" s="423"/>
    </row>
    <row r="187" hidden="1">
      <c r="A187" s="424"/>
      <c r="B187" s="425"/>
      <c r="C187" s="426"/>
      <c r="D187" s="427"/>
      <c r="E187" s="426"/>
      <c r="F187" s="427"/>
      <c r="G187" s="427"/>
      <c r="H187" s="426"/>
      <c r="I187" s="426"/>
      <c r="J187" s="426"/>
      <c r="K187" s="427"/>
      <c r="L187" s="427"/>
      <c r="M187" s="427"/>
      <c r="N187" s="426"/>
      <c r="O187" s="426"/>
      <c r="P187" s="426"/>
      <c r="Q187" s="426"/>
      <c r="R187" s="426"/>
      <c r="S187" s="426"/>
      <c r="T187" s="427"/>
      <c r="U187" s="427"/>
      <c r="V187" s="427"/>
      <c r="W187" s="426"/>
      <c r="X187" s="428"/>
    </row>
    <row r="188" hidden="1">
      <c r="A188" s="419"/>
      <c r="B188" s="420"/>
      <c r="C188" s="360"/>
      <c r="D188" s="421"/>
      <c r="E188" s="360"/>
      <c r="F188" s="421"/>
      <c r="G188" s="421"/>
      <c r="H188" s="360"/>
      <c r="I188" s="360"/>
      <c r="J188" s="360"/>
      <c r="K188" s="422"/>
      <c r="L188" s="360"/>
      <c r="M188" s="422"/>
      <c r="N188" s="360"/>
      <c r="O188" s="360"/>
      <c r="P188" s="360"/>
      <c r="Q188" s="360"/>
      <c r="R188" s="360"/>
      <c r="S188" s="360"/>
      <c r="T188" s="421"/>
      <c r="U188" s="421"/>
      <c r="V188" s="421"/>
      <c r="W188" s="360"/>
      <c r="X188" s="423"/>
    </row>
    <row r="189" hidden="1">
      <c r="A189" s="424"/>
      <c r="B189" s="425"/>
      <c r="C189" s="426"/>
      <c r="D189" s="427"/>
      <c r="E189" s="426"/>
      <c r="F189" s="427"/>
      <c r="G189" s="427"/>
      <c r="H189" s="426"/>
      <c r="I189" s="426"/>
      <c r="J189" s="426"/>
      <c r="K189" s="427"/>
      <c r="L189" s="426"/>
      <c r="M189" s="427"/>
      <c r="N189" s="426"/>
      <c r="O189" s="426"/>
      <c r="P189" s="426"/>
      <c r="Q189" s="426"/>
      <c r="R189" s="426"/>
      <c r="S189" s="426"/>
      <c r="T189" s="427"/>
      <c r="U189" s="427"/>
      <c r="V189" s="427"/>
      <c r="W189" s="426"/>
      <c r="X189" s="428"/>
    </row>
    <row r="190" hidden="1">
      <c r="A190" s="419"/>
      <c r="B190" s="420"/>
      <c r="C190" s="360"/>
      <c r="D190" s="421"/>
      <c r="E190" s="360"/>
      <c r="F190" s="421"/>
      <c r="G190" s="421"/>
      <c r="H190" s="360"/>
      <c r="I190" s="360"/>
      <c r="J190" s="360"/>
      <c r="K190" s="421"/>
      <c r="L190" s="421"/>
      <c r="M190" s="421"/>
      <c r="N190" s="360"/>
      <c r="O190" s="360"/>
      <c r="P190" s="360"/>
      <c r="Q190" s="360"/>
      <c r="R190" s="360"/>
      <c r="S190" s="360"/>
      <c r="T190" s="421"/>
      <c r="U190" s="421"/>
      <c r="V190" s="421"/>
      <c r="W190" s="360"/>
      <c r="X190" s="423"/>
    </row>
    <row r="191" hidden="1">
      <c r="A191" s="424"/>
      <c r="B191" s="425"/>
      <c r="C191" s="426"/>
      <c r="D191" s="427"/>
      <c r="E191" s="426"/>
      <c r="F191" s="427"/>
      <c r="G191" s="427"/>
      <c r="H191" s="426"/>
      <c r="I191" s="426"/>
      <c r="J191" s="426"/>
      <c r="K191" s="429"/>
      <c r="L191" s="426"/>
      <c r="M191" s="429"/>
      <c r="N191" s="426"/>
      <c r="O191" s="426"/>
      <c r="P191" s="426"/>
      <c r="Q191" s="426"/>
      <c r="R191" s="426"/>
      <c r="S191" s="426"/>
      <c r="T191" s="427"/>
      <c r="U191" s="427"/>
      <c r="V191" s="427"/>
      <c r="W191" s="426"/>
      <c r="X191" s="428"/>
    </row>
    <row r="192" hidden="1">
      <c r="A192" s="419"/>
      <c r="B192" s="420"/>
      <c r="C192" s="360"/>
      <c r="D192" s="421"/>
      <c r="E192" s="360"/>
      <c r="F192" s="421"/>
      <c r="G192" s="421"/>
      <c r="H192" s="360"/>
      <c r="I192" s="360"/>
      <c r="J192" s="360"/>
      <c r="K192" s="421"/>
      <c r="L192" s="422"/>
      <c r="M192" s="422"/>
      <c r="N192" s="360"/>
      <c r="O192" s="360"/>
      <c r="P192" s="360"/>
      <c r="Q192" s="360"/>
      <c r="R192" s="360"/>
      <c r="S192" s="360"/>
      <c r="T192" s="421"/>
      <c r="U192" s="421"/>
      <c r="V192" s="421"/>
      <c r="W192" s="360"/>
      <c r="X192" s="423"/>
    </row>
    <row r="193" hidden="1">
      <c r="A193" s="424"/>
      <c r="B193" s="425"/>
      <c r="C193" s="426"/>
      <c r="D193" s="427"/>
      <c r="E193" s="426"/>
      <c r="F193" s="427"/>
      <c r="G193" s="427"/>
      <c r="H193" s="426"/>
      <c r="I193" s="426"/>
      <c r="J193" s="426"/>
      <c r="K193" s="427"/>
      <c r="L193" s="427"/>
      <c r="M193" s="427"/>
      <c r="N193" s="426"/>
      <c r="O193" s="426"/>
      <c r="P193" s="426"/>
      <c r="Q193" s="426"/>
      <c r="R193" s="426"/>
      <c r="S193" s="426"/>
      <c r="T193" s="427"/>
      <c r="U193" s="427"/>
      <c r="V193" s="427"/>
      <c r="W193" s="426"/>
      <c r="X193" s="428"/>
    </row>
    <row r="194" hidden="1">
      <c r="A194" s="419"/>
      <c r="B194" s="420"/>
      <c r="C194" s="360"/>
      <c r="D194" s="421"/>
      <c r="E194" s="360"/>
      <c r="F194" s="421"/>
      <c r="G194" s="421"/>
      <c r="H194" s="360"/>
      <c r="I194" s="360"/>
      <c r="J194" s="360"/>
      <c r="K194" s="421"/>
      <c r="L194" s="360"/>
      <c r="M194" s="422"/>
      <c r="N194" s="360"/>
      <c r="O194" s="360"/>
      <c r="P194" s="360"/>
      <c r="Q194" s="360"/>
      <c r="R194" s="360"/>
      <c r="S194" s="360"/>
      <c r="T194" s="421"/>
      <c r="U194" s="421"/>
      <c r="V194" s="421"/>
      <c r="W194" s="360"/>
      <c r="X194" s="423"/>
    </row>
    <row r="195" hidden="1">
      <c r="A195" s="424"/>
      <c r="B195" s="425"/>
      <c r="C195" s="426"/>
      <c r="D195" s="427"/>
      <c r="E195" s="426"/>
      <c r="F195" s="427"/>
      <c r="G195" s="427"/>
      <c r="H195" s="426"/>
      <c r="I195" s="426"/>
      <c r="J195" s="426"/>
      <c r="K195" s="427"/>
      <c r="L195" s="426"/>
      <c r="M195" s="427"/>
      <c r="N195" s="426"/>
      <c r="O195" s="426"/>
      <c r="P195" s="426"/>
      <c r="Q195" s="426"/>
      <c r="R195" s="426"/>
      <c r="S195" s="426"/>
      <c r="T195" s="427"/>
      <c r="U195" s="427"/>
      <c r="V195" s="427"/>
      <c r="W195" s="426"/>
      <c r="X195" s="428"/>
    </row>
    <row r="196" hidden="1">
      <c r="A196" s="419"/>
      <c r="B196" s="420"/>
      <c r="C196" s="360"/>
      <c r="D196" s="421"/>
      <c r="E196" s="360"/>
      <c r="F196" s="421"/>
      <c r="G196" s="421"/>
      <c r="H196" s="360"/>
      <c r="I196" s="360"/>
      <c r="J196" s="360"/>
      <c r="K196" s="421"/>
      <c r="L196" s="360"/>
      <c r="M196" s="422"/>
      <c r="N196" s="360"/>
      <c r="O196" s="360"/>
      <c r="P196" s="360"/>
      <c r="Q196" s="360"/>
      <c r="R196" s="360"/>
      <c r="S196" s="360"/>
      <c r="T196" s="421"/>
      <c r="U196" s="421"/>
      <c r="V196" s="421"/>
      <c r="W196" s="360"/>
      <c r="X196" s="423"/>
    </row>
    <row r="197" hidden="1">
      <c r="A197" s="424"/>
      <c r="B197" s="425"/>
      <c r="C197" s="426"/>
      <c r="D197" s="427"/>
      <c r="E197" s="426"/>
      <c r="F197" s="427"/>
      <c r="G197" s="427"/>
      <c r="H197" s="426"/>
      <c r="I197" s="426"/>
      <c r="J197" s="426"/>
      <c r="K197" s="427"/>
      <c r="L197" s="426"/>
      <c r="M197" s="427"/>
      <c r="N197" s="426"/>
      <c r="O197" s="426"/>
      <c r="P197" s="426"/>
      <c r="Q197" s="426"/>
      <c r="R197" s="426"/>
      <c r="S197" s="426"/>
      <c r="T197" s="427"/>
      <c r="U197" s="427"/>
      <c r="V197" s="427"/>
      <c r="W197" s="426"/>
      <c r="X197" s="428"/>
    </row>
    <row r="198" hidden="1">
      <c r="A198" s="419"/>
      <c r="B198" s="420"/>
      <c r="C198" s="360"/>
      <c r="D198" s="421"/>
      <c r="E198" s="360"/>
      <c r="F198" s="421"/>
      <c r="G198" s="421"/>
      <c r="H198" s="360"/>
      <c r="I198" s="360"/>
      <c r="J198" s="360"/>
      <c r="K198" s="421"/>
      <c r="L198" s="421"/>
      <c r="M198" s="421"/>
      <c r="N198" s="360"/>
      <c r="O198" s="360"/>
      <c r="P198" s="360"/>
      <c r="Q198" s="360"/>
      <c r="R198" s="360"/>
      <c r="S198" s="360"/>
      <c r="T198" s="421"/>
      <c r="U198" s="421"/>
      <c r="V198" s="421"/>
      <c r="W198" s="360"/>
      <c r="X198" s="423"/>
    </row>
    <row r="199" hidden="1">
      <c r="A199" s="424"/>
      <c r="B199" s="425"/>
      <c r="C199" s="426"/>
      <c r="D199" s="427"/>
      <c r="E199" s="426"/>
      <c r="F199" s="427"/>
      <c r="G199" s="427"/>
      <c r="H199" s="426"/>
      <c r="I199" s="426"/>
      <c r="J199" s="426"/>
      <c r="K199" s="427"/>
      <c r="L199" s="426"/>
      <c r="M199" s="427"/>
      <c r="N199" s="426"/>
      <c r="O199" s="426"/>
      <c r="P199" s="426"/>
      <c r="Q199" s="426"/>
      <c r="R199" s="426"/>
      <c r="S199" s="426"/>
      <c r="T199" s="427"/>
      <c r="U199" s="427"/>
      <c r="V199" s="427"/>
      <c r="W199" s="426"/>
      <c r="X199" s="426"/>
    </row>
    <row r="200" hidden="1">
      <c r="A200" s="419"/>
      <c r="B200" s="420"/>
      <c r="C200" s="360"/>
      <c r="D200" s="421"/>
      <c r="E200" s="360"/>
      <c r="F200" s="421"/>
      <c r="G200" s="421"/>
      <c r="H200" s="360"/>
      <c r="I200" s="360"/>
      <c r="J200" s="360"/>
      <c r="K200" s="421"/>
      <c r="L200" s="421"/>
      <c r="M200" s="421"/>
      <c r="N200" s="360"/>
      <c r="O200" s="360"/>
      <c r="P200" s="360"/>
      <c r="Q200" s="360"/>
      <c r="R200" s="360"/>
      <c r="S200" s="360"/>
      <c r="T200" s="421"/>
      <c r="U200" s="421"/>
      <c r="V200" s="421"/>
      <c r="W200" s="360"/>
      <c r="X200" s="423"/>
    </row>
    <row r="201" hidden="1">
      <c r="A201" s="424"/>
      <c r="B201" s="425"/>
      <c r="C201" s="426"/>
      <c r="D201" s="427"/>
      <c r="E201" s="426"/>
      <c r="F201" s="427"/>
      <c r="G201" s="427"/>
      <c r="H201" s="426"/>
      <c r="I201" s="426"/>
      <c r="J201" s="426"/>
      <c r="K201" s="427"/>
      <c r="L201" s="426"/>
      <c r="M201" s="427"/>
      <c r="N201" s="426"/>
      <c r="O201" s="426"/>
      <c r="P201" s="426"/>
      <c r="Q201" s="426"/>
      <c r="R201" s="426"/>
      <c r="S201" s="427"/>
      <c r="T201" s="427"/>
      <c r="U201" s="427"/>
      <c r="V201" s="427"/>
      <c r="W201" s="426"/>
      <c r="X201" s="428"/>
    </row>
    <row r="202" hidden="1">
      <c r="A202" s="419"/>
      <c r="B202" s="420"/>
      <c r="C202" s="360"/>
      <c r="D202" s="421"/>
      <c r="E202" s="360"/>
      <c r="F202" s="421"/>
      <c r="G202" s="421"/>
      <c r="H202" s="360"/>
      <c r="I202" s="360"/>
      <c r="J202" s="360"/>
      <c r="K202" s="421"/>
      <c r="L202" s="421"/>
      <c r="M202" s="422"/>
      <c r="N202" s="360"/>
      <c r="O202" s="360"/>
      <c r="P202" s="360"/>
      <c r="Q202" s="360"/>
      <c r="R202" s="360"/>
      <c r="S202" s="360"/>
      <c r="T202" s="421"/>
      <c r="U202" s="421"/>
      <c r="V202" s="421"/>
      <c r="W202" s="360"/>
      <c r="X202" s="423"/>
    </row>
    <row r="203" hidden="1">
      <c r="A203" s="424"/>
      <c r="B203" s="425"/>
      <c r="C203" s="426"/>
      <c r="D203" s="427"/>
      <c r="E203" s="426"/>
      <c r="F203" s="427"/>
      <c r="G203" s="427"/>
      <c r="H203" s="426"/>
      <c r="I203" s="426"/>
      <c r="J203" s="426"/>
      <c r="K203" s="427"/>
      <c r="L203" s="426"/>
      <c r="M203" s="427"/>
      <c r="N203" s="426"/>
      <c r="O203" s="426"/>
      <c r="P203" s="426"/>
      <c r="Q203" s="426"/>
      <c r="R203" s="426"/>
      <c r="S203" s="426"/>
      <c r="T203" s="427"/>
      <c r="U203" s="427"/>
      <c r="V203" s="427"/>
      <c r="W203" s="426"/>
      <c r="X203" s="428"/>
    </row>
    <row r="204" hidden="1">
      <c r="A204" s="419"/>
      <c r="B204" s="420"/>
      <c r="C204" s="360"/>
      <c r="D204" s="421"/>
      <c r="E204" s="360"/>
      <c r="F204" s="421"/>
      <c r="G204" s="421"/>
      <c r="H204" s="360"/>
      <c r="I204" s="360"/>
      <c r="J204" s="360"/>
      <c r="K204" s="421"/>
      <c r="L204" s="421"/>
      <c r="M204" s="421"/>
      <c r="N204" s="360"/>
      <c r="O204" s="360"/>
      <c r="P204" s="360"/>
      <c r="Q204" s="360"/>
      <c r="R204" s="360"/>
      <c r="S204" s="360"/>
      <c r="T204" s="421"/>
      <c r="U204" s="421"/>
      <c r="V204" s="421"/>
      <c r="W204" s="360"/>
      <c r="X204" s="423"/>
    </row>
    <row r="205" hidden="1">
      <c r="A205" s="424"/>
      <c r="B205" s="425"/>
      <c r="C205" s="426"/>
      <c r="D205" s="427"/>
      <c r="E205" s="426"/>
      <c r="F205" s="427"/>
      <c r="G205" s="427"/>
      <c r="H205" s="426"/>
      <c r="I205" s="426"/>
      <c r="J205" s="426"/>
      <c r="K205" s="427"/>
      <c r="L205" s="426"/>
      <c r="M205" s="427"/>
      <c r="N205" s="426"/>
      <c r="O205" s="426"/>
      <c r="P205" s="426"/>
      <c r="Q205" s="426"/>
      <c r="R205" s="426"/>
      <c r="S205" s="426"/>
      <c r="T205" s="427"/>
      <c r="U205" s="427"/>
      <c r="V205" s="427"/>
      <c r="W205" s="426"/>
      <c r="X205" s="428"/>
    </row>
    <row r="206" hidden="1">
      <c r="A206" s="419"/>
      <c r="B206" s="420"/>
      <c r="C206" s="360"/>
      <c r="D206" s="421"/>
      <c r="E206" s="360"/>
      <c r="F206" s="421"/>
      <c r="G206" s="421"/>
      <c r="H206" s="360"/>
      <c r="I206" s="360"/>
      <c r="J206" s="360"/>
      <c r="K206" s="422"/>
      <c r="L206" s="360"/>
      <c r="M206" s="422"/>
      <c r="N206" s="360"/>
      <c r="O206" s="360"/>
      <c r="P206" s="360"/>
      <c r="Q206" s="360"/>
      <c r="R206" s="360"/>
      <c r="S206" s="360"/>
      <c r="T206" s="421"/>
      <c r="U206" s="421"/>
      <c r="V206" s="421"/>
      <c r="W206" s="360"/>
      <c r="X206" s="423"/>
    </row>
    <row r="207" hidden="1">
      <c r="A207" s="424"/>
      <c r="B207" s="425"/>
      <c r="C207" s="426"/>
      <c r="D207" s="427"/>
      <c r="E207" s="426"/>
      <c r="F207" s="427"/>
      <c r="G207" s="427"/>
      <c r="H207" s="426"/>
      <c r="I207" s="426"/>
      <c r="J207" s="426"/>
      <c r="K207" s="429"/>
      <c r="L207" s="427"/>
      <c r="M207" s="429"/>
      <c r="N207" s="426"/>
      <c r="O207" s="426"/>
      <c r="P207" s="426"/>
      <c r="Q207" s="426"/>
      <c r="R207" s="426"/>
      <c r="S207" s="426"/>
      <c r="T207" s="427"/>
      <c r="U207" s="427"/>
      <c r="V207" s="426"/>
      <c r="W207" s="426"/>
      <c r="X207" s="428"/>
    </row>
    <row r="208" hidden="1">
      <c r="A208" s="419"/>
      <c r="B208" s="420"/>
      <c r="C208" s="360"/>
      <c r="D208" s="421"/>
      <c r="E208" s="360"/>
      <c r="F208" s="421"/>
      <c r="G208" s="421"/>
      <c r="H208" s="360"/>
      <c r="I208" s="360"/>
      <c r="J208" s="360"/>
      <c r="K208" s="421"/>
      <c r="L208" s="421"/>
      <c r="M208" s="422"/>
      <c r="N208" s="360"/>
      <c r="O208" s="360"/>
      <c r="P208" s="360"/>
      <c r="Q208" s="360"/>
      <c r="R208" s="360"/>
      <c r="S208" s="360"/>
      <c r="T208" s="421"/>
      <c r="U208" s="421"/>
      <c r="V208" s="421"/>
      <c r="W208" s="360"/>
      <c r="X208" s="423"/>
    </row>
    <row r="209" hidden="1">
      <c r="A209" s="424"/>
      <c r="B209" s="425"/>
      <c r="C209" s="426"/>
      <c r="D209" s="427"/>
      <c r="E209" s="426"/>
      <c r="F209" s="427"/>
      <c r="G209" s="427"/>
      <c r="H209" s="426"/>
      <c r="I209" s="426"/>
      <c r="J209" s="426"/>
      <c r="K209" s="427"/>
      <c r="L209" s="426"/>
      <c r="M209" s="427"/>
      <c r="N209" s="426"/>
      <c r="O209" s="426"/>
      <c r="P209" s="426"/>
      <c r="Q209" s="426"/>
      <c r="R209" s="426"/>
      <c r="S209" s="426"/>
      <c r="T209" s="427"/>
      <c r="U209" s="427"/>
      <c r="V209" s="427"/>
      <c r="W209" s="426"/>
      <c r="X209" s="426"/>
    </row>
    <row r="210" hidden="1">
      <c r="A210" s="419"/>
      <c r="B210" s="420"/>
      <c r="C210" s="360"/>
      <c r="D210" s="421"/>
      <c r="E210" s="360"/>
      <c r="F210" s="421"/>
      <c r="G210" s="421"/>
      <c r="H210" s="360"/>
      <c r="I210" s="360"/>
      <c r="J210" s="360"/>
      <c r="K210" s="421"/>
      <c r="L210" s="360"/>
      <c r="M210" s="421"/>
      <c r="N210" s="360"/>
      <c r="O210" s="360"/>
      <c r="P210" s="360"/>
      <c r="Q210" s="360"/>
      <c r="R210" s="360"/>
      <c r="S210" s="360"/>
      <c r="T210" s="421"/>
      <c r="U210" s="421"/>
      <c r="V210" s="421"/>
      <c r="W210" s="360"/>
      <c r="X210" s="423"/>
    </row>
    <row r="211" hidden="1">
      <c r="A211" s="424"/>
      <c r="B211" s="425"/>
      <c r="C211" s="426"/>
      <c r="D211" s="427"/>
      <c r="E211" s="426"/>
      <c r="F211" s="427"/>
      <c r="G211" s="427"/>
      <c r="H211" s="426"/>
      <c r="I211" s="426"/>
      <c r="J211" s="426"/>
      <c r="K211" s="427"/>
      <c r="L211" s="427"/>
      <c r="M211" s="427"/>
      <c r="N211" s="426"/>
      <c r="O211" s="426"/>
      <c r="P211" s="426"/>
      <c r="Q211" s="426"/>
      <c r="R211" s="426"/>
      <c r="S211" s="426"/>
      <c r="T211" s="427"/>
      <c r="U211" s="427"/>
      <c r="V211" s="427"/>
      <c r="W211" s="426"/>
      <c r="X211" s="428"/>
    </row>
    <row r="212" hidden="1">
      <c r="A212" s="419"/>
      <c r="B212" s="420"/>
      <c r="C212" s="360"/>
      <c r="D212" s="421"/>
      <c r="E212" s="360"/>
      <c r="F212" s="421"/>
      <c r="G212" s="421"/>
      <c r="H212" s="360"/>
      <c r="I212" s="360"/>
      <c r="J212" s="360"/>
      <c r="K212" s="421"/>
      <c r="L212" s="421"/>
      <c r="M212" s="421"/>
      <c r="N212" s="360"/>
      <c r="O212" s="360"/>
      <c r="P212" s="360"/>
      <c r="Q212" s="360"/>
      <c r="R212" s="360"/>
      <c r="S212" s="360"/>
      <c r="T212" s="421"/>
      <c r="U212" s="421"/>
      <c r="V212" s="421"/>
      <c r="W212" s="360"/>
      <c r="X212" s="423"/>
    </row>
    <row r="213" hidden="1">
      <c r="A213" s="424"/>
      <c r="B213" s="425"/>
      <c r="C213" s="426"/>
      <c r="D213" s="427"/>
      <c r="E213" s="426"/>
      <c r="F213" s="427"/>
      <c r="G213" s="427"/>
      <c r="H213" s="426"/>
      <c r="I213" s="426"/>
      <c r="J213" s="426"/>
      <c r="K213" s="427"/>
      <c r="L213" s="426"/>
      <c r="M213" s="427"/>
      <c r="N213" s="426"/>
      <c r="O213" s="426"/>
      <c r="P213" s="426"/>
      <c r="Q213" s="426"/>
      <c r="R213" s="426"/>
      <c r="S213" s="426"/>
      <c r="T213" s="427"/>
      <c r="U213" s="427"/>
      <c r="V213" s="427"/>
      <c r="W213" s="426"/>
      <c r="X213" s="426"/>
    </row>
    <row r="214" hidden="1">
      <c r="A214" s="419"/>
      <c r="B214" s="420"/>
      <c r="C214" s="360"/>
      <c r="D214" s="421"/>
      <c r="E214" s="360"/>
      <c r="F214" s="421"/>
      <c r="G214" s="421"/>
      <c r="H214" s="360"/>
      <c r="I214" s="360"/>
      <c r="J214" s="360"/>
      <c r="K214" s="421"/>
      <c r="L214" s="360"/>
      <c r="M214" s="421"/>
      <c r="N214" s="360"/>
      <c r="O214" s="360"/>
      <c r="P214" s="360"/>
      <c r="Q214" s="360"/>
      <c r="R214" s="360"/>
      <c r="S214" s="360"/>
      <c r="T214" s="421"/>
      <c r="U214" s="421"/>
      <c r="V214" s="360"/>
      <c r="W214" s="360"/>
      <c r="X214" s="360"/>
    </row>
    <row r="215" hidden="1">
      <c r="A215" s="424"/>
      <c r="B215" s="425"/>
      <c r="C215" s="426"/>
      <c r="D215" s="427"/>
      <c r="E215" s="426"/>
      <c r="F215" s="427"/>
      <c r="G215" s="427"/>
      <c r="H215" s="426"/>
      <c r="I215" s="426"/>
      <c r="J215" s="426"/>
      <c r="K215" s="427"/>
      <c r="L215" s="427"/>
      <c r="M215" s="427"/>
      <c r="N215" s="426"/>
      <c r="O215" s="426"/>
      <c r="P215" s="426"/>
      <c r="Q215" s="426"/>
      <c r="R215" s="426"/>
      <c r="S215" s="426"/>
      <c r="T215" s="427"/>
      <c r="U215" s="427"/>
      <c r="V215" s="427"/>
      <c r="W215" s="426"/>
      <c r="X215" s="428"/>
    </row>
    <row r="216" hidden="1">
      <c r="A216" s="419"/>
      <c r="B216" s="420"/>
      <c r="C216" s="360"/>
      <c r="D216" s="421"/>
      <c r="E216" s="360"/>
      <c r="F216" s="421"/>
      <c r="G216" s="421"/>
      <c r="H216" s="360"/>
      <c r="I216" s="360"/>
      <c r="J216" s="360"/>
      <c r="K216" s="421"/>
      <c r="L216" s="360"/>
      <c r="M216" s="421"/>
      <c r="N216" s="360"/>
      <c r="O216" s="360"/>
      <c r="P216" s="360"/>
      <c r="Q216" s="360"/>
      <c r="R216" s="360"/>
      <c r="S216" s="360"/>
      <c r="T216" s="421"/>
      <c r="U216" s="421"/>
      <c r="V216" s="421"/>
      <c r="W216" s="360"/>
      <c r="X216" s="423"/>
    </row>
    <row r="217">
      <c r="A217" s="424" t="s">
        <v>328</v>
      </c>
      <c r="B217" s="425" t="s">
        <v>8159</v>
      </c>
      <c r="C217" s="426"/>
      <c r="D217" s="427">
        <v>2027.0</v>
      </c>
      <c r="E217" s="426"/>
      <c r="F217" s="427">
        <v>1.0</v>
      </c>
      <c r="G217" s="427">
        <v>2.0</v>
      </c>
      <c r="H217" s="426"/>
      <c r="I217" s="426"/>
      <c r="J217" s="426"/>
      <c r="K217" s="427" t="s">
        <v>42</v>
      </c>
      <c r="L217" s="426"/>
      <c r="M217" s="427" t="s">
        <v>1550</v>
      </c>
      <c r="N217" s="426"/>
      <c r="O217" s="426"/>
      <c r="P217" s="426"/>
      <c r="Q217" s="426"/>
      <c r="R217" s="426"/>
      <c r="S217" s="426"/>
      <c r="T217" s="427" t="s">
        <v>85</v>
      </c>
      <c r="U217" s="427" t="s">
        <v>3082</v>
      </c>
      <c r="V217" s="427" t="s">
        <v>1424</v>
      </c>
      <c r="W217" s="426"/>
      <c r="X217" s="428" t="s">
        <v>8048</v>
      </c>
    </row>
    <row r="218">
      <c r="A218" s="419" t="s">
        <v>8160</v>
      </c>
      <c r="B218" s="420" t="s">
        <v>8161</v>
      </c>
      <c r="C218" s="360"/>
      <c r="D218" s="421">
        <v>2027.0</v>
      </c>
      <c r="E218" s="360"/>
      <c r="F218" s="421">
        <v>1.0</v>
      </c>
      <c r="G218" s="421">
        <v>2.0</v>
      </c>
      <c r="H218" s="360"/>
      <c r="I218" s="360"/>
      <c r="J218" s="360"/>
      <c r="K218" s="421" t="s">
        <v>63</v>
      </c>
      <c r="L218" s="360"/>
      <c r="M218" s="421" t="s">
        <v>1550</v>
      </c>
      <c r="N218" s="360"/>
      <c r="O218" s="360"/>
      <c r="P218" s="360"/>
      <c r="Q218" s="360"/>
      <c r="R218" s="360"/>
      <c r="S218" s="360"/>
      <c r="T218" s="421" t="s">
        <v>66</v>
      </c>
      <c r="U218" s="421" t="s">
        <v>8162</v>
      </c>
      <c r="V218" s="421" t="s">
        <v>8163</v>
      </c>
      <c r="W218" s="360"/>
      <c r="X218" s="423" t="s">
        <v>8164</v>
      </c>
    </row>
    <row r="219">
      <c r="A219" s="424" t="s">
        <v>3941</v>
      </c>
      <c r="B219" s="425" t="s">
        <v>8165</v>
      </c>
      <c r="C219" s="426"/>
      <c r="D219" s="427">
        <v>2027.0</v>
      </c>
      <c r="E219" s="426"/>
      <c r="F219" s="427">
        <v>1.0</v>
      </c>
      <c r="G219" s="427">
        <v>2.0</v>
      </c>
      <c r="H219" s="426"/>
      <c r="I219" s="426"/>
      <c r="J219" s="426"/>
      <c r="K219" s="427" t="s">
        <v>42</v>
      </c>
      <c r="L219" s="427" t="s">
        <v>1972</v>
      </c>
      <c r="M219" s="429" t="s">
        <v>1556</v>
      </c>
      <c r="N219" s="426"/>
      <c r="O219" s="426"/>
      <c r="P219" s="426"/>
      <c r="Q219" s="426"/>
      <c r="R219" s="426"/>
      <c r="S219" s="426"/>
      <c r="T219" s="427" t="s">
        <v>255</v>
      </c>
      <c r="U219" s="427" t="s">
        <v>161</v>
      </c>
      <c r="V219" s="426"/>
      <c r="W219" s="426"/>
      <c r="X219" s="426"/>
    </row>
    <row r="220" hidden="1">
      <c r="A220" s="419"/>
      <c r="B220" s="420"/>
      <c r="C220" s="360"/>
      <c r="D220" s="421"/>
      <c r="E220" s="360"/>
      <c r="F220" s="421"/>
      <c r="G220" s="421"/>
      <c r="H220" s="360"/>
      <c r="I220" s="360"/>
      <c r="J220" s="360"/>
      <c r="K220" s="421"/>
      <c r="L220" s="360"/>
      <c r="M220" s="421"/>
      <c r="N220" s="360"/>
      <c r="O220" s="360"/>
      <c r="P220" s="360"/>
      <c r="Q220" s="360"/>
      <c r="R220" s="360"/>
      <c r="S220" s="360"/>
      <c r="T220" s="421"/>
      <c r="U220" s="421"/>
      <c r="V220" s="421"/>
      <c r="W220" s="360"/>
      <c r="X220" s="423"/>
    </row>
    <row r="221">
      <c r="A221" s="424" t="s">
        <v>6068</v>
      </c>
      <c r="B221" s="425" t="s">
        <v>8166</v>
      </c>
      <c r="C221" s="426"/>
      <c r="D221" s="427">
        <v>2027.0</v>
      </c>
      <c r="E221" s="426"/>
      <c r="F221" s="427">
        <v>1.0</v>
      </c>
      <c r="G221" s="427">
        <v>2.0</v>
      </c>
      <c r="H221" s="426"/>
      <c r="I221" s="426"/>
      <c r="J221" s="426"/>
      <c r="K221" s="427" t="s">
        <v>51</v>
      </c>
      <c r="L221" s="427" t="s">
        <v>72</v>
      </c>
      <c r="M221" s="427" t="s">
        <v>1550</v>
      </c>
      <c r="N221" s="426"/>
      <c r="O221" s="426"/>
      <c r="P221" s="426"/>
      <c r="Q221" s="426"/>
      <c r="R221" s="426"/>
      <c r="S221" s="426"/>
      <c r="T221" s="427" t="s">
        <v>85</v>
      </c>
      <c r="U221" s="427" t="s">
        <v>8167</v>
      </c>
      <c r="V221" s="427" t="s">
        <v>3709</v>
      </c>
      <c r="W221" s="426"/>
      <c r="X221" s="428" t="s">
        <v>8168</v>
      </c>
    </row>
    <row r="222">
      <c r="A222" s="419" t="s">
        <v>921</v>
      </c>
      <c r="B222" s="420" t="s">
        <v>1537</v>
      </c>
      <c r="C222" s="360"/>
      <c r="D222" s="421">
        <v>2027.0</v>
      </c>
      <c r="E222" s="360"/>
      <c r="F222" s="421">
        <v>1.0</v>
      </c>
      <c r="G222" s="421">
        <v>2.0</v>
      </c>
      <c r="H222" s="360"/>
      <c r="I222" s="360"/>
      <c r="J222" s="360"/>
      <c r="K222" s="422" t="s">
        <v>122</v>
      </c>
      <c r="L222" s="360"/>
      <c r="M222" s="422" t="s">
        <v>1556</v>
      </c>
      <c r="N222" s="360"/>
      <c r="O222" s="360"/>
      <c r="P222" s="360"/>
      <c r="Q222" s="360"/>
      <c r="R222" s="360"/>
      <c r="S222" s="360"/>
      <c r="T222" s="421" t="s">
        <v>85</v>
      </c>
      <c r="U222" s="421" t="s">
        <v>3912</v>
      </c>
      <c r="V222" s="421" t="s">
        <v>87</v>
      </c>
      <c r="W222" s="360"/>
      <c r="X222" s="423" t="s">
        <v>8048</v>
      </c>
    </row>
    <row r="223" hidden="1">
      <c r="A223" s="424"/>
      <c r="B223" s="425"/>
      <c r="C223" s="426"/>
      <c r="D223" s="427"/>
      <c r="E223" s="426"/>
      <c r="F223" s="427"/>
      <c r="G223" s="427"/>
      <c r="H223" s="426"/>
      <c r="I223" s="426"/>
      <c r="J223" s="426"/>
      <c r="K223" s="429"/>
      <c r="L223" s="426"/>
      <c r="M223" s="429"/>
      <c r="N223" s="426"/>
      <c r="O223" s="426"/>
      <c r="P223" s="426"/>
      <c r="Q223" s="426"/>
      <c r="R223" s="426"/>
      <c r="S223" s="426"/>
      <c r="T223" s="427"/>
      <c r="U223" s="427"/>
      <c r="V223" s="427"/>
      <c r="W223" s="426"/>
      <c r="X223" s="428"/>
    </row>
    <row r="224">
      <c r="A224" s="419" t="s">
        <v>1315</v>
      </c>
      <c r="B224" s="420" t="s">
        <v>2779</v>
      </c>
      <c r="C224" s="360"/>
      <c r="D224" s="421">
        <v>2027.0</v>
      </c>
      <c r="E224" s="360"/>
      <c r="F224" s="421">
        <v>1.0</v>
      </c>
      <c r="G224" s="421">
        <v>2.0</v>
      </c>
      <c r="H224" s="360"/>
      <c r="I224" s="360"/>
      <c r="J224" s="360"/>
      <c r="K224" s="421" t="s">
        <v>63</v>
      </c>
      <c r="L224" s="360"/>
      <c r="M224" s="421" t="s">
        <v>1550</v>
      </c>
      <c r="N224" s="360"/>
      <c r="O224" s="360"/>
      <c r="P224" s="360"/>
      <c r="Q224" s="360"/>
      <c r="R224" s="360"/>
      <c r="S224" s="421" t="s">
        <v>5538</v>
      </c>
      <c r="T224" s="421" t="s">
        <v>85</v>
      </c>
      <c r="U224" s="421" t="s">
        <v>2801</v>
      </c>
      <c r="V224" s="421" t="s">
        <v>538</v>
      </c>
      <c r="W224" s="360"/>
      <c r="X224" s="423" t="s">
        <v>8048</v>
      </c>
    </row>
    <row r="225">
      <c r="A225" s="424" t="s">
        <v>424</v>
      </c>
      <c r="B225" s="425" t="s">
        <v>8169</v>
      </c>
      <c r="C225" s="426"/>
      <c r="D225" s="427">
        <v>2027.0</v>
      </c>
      <c r="E225" s="426"/>
      <c r="F225" s="427">
        <v>1.0</v>
      </c>
      <c r="G225" s="427">
        <v>2.0</v>
      </c>
      <c r="H225" s="426"/>
      <c r="I225" s="426"/>
      <c r="J225" s="426"/>
      <c r="K225" s="427" t="s">
        <v>51</v>
      </c>
      <c r="L225" s="426"/>
      <c r="M225" s="427" t="s">
        <v>1550</v>
      </c>
      <c r="N225" s="426"/>
      <c r="O225" s="426"/>
      <c r="P225" s="426"/>
      <c r="Q225" s="426"/>
      <c r="R225" s="426"/>
      <c r="S225" s="426"/>
      <c r="T225" s="427" t="s">
        <v>85</v>
      </c>
      <c r="U225" s="427" t="s">
        <v>8170</v>
      </c>
      <c r="V225" s="427" t="s">
        <v>2989</v>
      </c>
      <c r="W225" s="426"/>
      <c r="X225" s="428" t="s">
        <v>8048</v>
      </c>
    </row>
    <row r="226" hidden="1">
      <c r="A226" s="419"/>
      <c r="B226" s="420"/>
      <c r="C226" s="360"/>
      <c r="D226" s="421"/>
      <c r="E226" s="360"/>
      <c r="F226" s="421"/>
      <c r="G226" s="421"/>
      <c r="H226" s="360"/>
      <c r="I226" s="360"/>
      <c r="J226" s="360"/>
      <c r="K226" s="422"/>
      <c r="L226" s="360"/>
      <c r="M226" s="422"/>
      <c r="N226" s="360"/>
      <c r="O226" s="360"/>
      <c r="P226" s="360"/>
      <c r="Q226" s="360"/>
      <c r="R226" s="360"/>
      <c r="S226" s="360"/>
      <c r="T226" s="421"/>
      <c r="U226" s="421"/>
      <c r="V226" s="421"/>
      <c r="W226" s="360"/>
      <c r="X226" s="423"/>
    </row>
    <row r="227">
      <c r="A227" s="424" t="s">
        <v>8171</v>
      </c>
      <c r="B227" s="425" t="s">
        <v>5337</v>
      </c>
      <c r="C227" s="426"/>
      <c r="D227" s="427">
        <v>2027.0</v>
      </c>
      <c r="E227" s="426"/>
      <c r="F227" s="427">
        <v>1.0</v>
      </c>
      <c r="G227" s="427">
        <v>2.0</v>
      </c>
      <c r="H227" s="426"/>
      <c r="I227" s="426"/>
      <c r="J227" s="426"/>
      <c r="K227" s="427" t="s">
        <v>51</v>
      </c>
      <c r="L227" s="427" t="s">
        <v>63</v>
      </c>
      <c r="M227" s="429" t="s">
        <v>1989</v>
      </c>
      <c r="N227" s="426"/>
      <c r="O227" s="426"/>
      <c r="P227" s="426"/>
      <c r="Q227" s="426"/>
      <c r="R227" s="426"/>
      <c r="S227" s="427" t="s">
        <v>8172</v>
      </c>
      <c r="T227" s="427" t="s">
        <v>85</v>
      </c>
      <c r="U227" s="427" t="s">
        <v>3794</v>
      </c>
      <c r="V227" s="427" t="s">
        <v>1424</v>
      </c>
      <c r="W227" s="426"/>
      <c r="X227" s="428" t="s">
        <v>8048</v>
      </c>
    </row>
    <row r="228" hidden="1">
      <c r="A228" s="419"/>
      <c r="B228" s="420"/>
      <c r="C228" s="360"/>
      <c r="D228" s="421"/>
      <c r="E228" s="360"/>
      <c r="F228" s="421"/>
      <c r="G228" s="421"/>
      <c r="H228" s="360"/>
      <c r="I228" s="360"/>
      <c r="J228" s="360"/>
      <c r="K228" s="421"/>
      <c r="L228" s="421"/>
      <c r="M228" s="422"/>
      <c r="N228" s="360"/>
      <c r="O228" s="360"/>
      <c r="P228" s="360"/>
      <c r="Q228" s="360"/>
      <c r="R228" s="360"/>
      <c r="S228" s="360"/>
      <c r="T228" s="421"/>
      <c r="U228" s="421"/>
      <c r="V228" s="421"/>
      <c r="W228" s="360"/>
      <c r="X228" s="423"/>
    </row>
    <row r="229">
      <c r="A229" s="424" t="s">
        <v>8087</v>
      </c>
      <c r="B229" s="425" t="s">
        <v>8173</v>
      </c>
      <c r="C229" s="426"/>
      <c r="D229" s="427">
        <v>2027.0</v>
      </c>
      <c r="E229" s="426"/>
      <c r="F229" s="427">
        <v>1.0</v>
      </c>
      <c r="G229" s="427">
        <v>2.0</v>
      </c>
      <c r="H229" s="426"/>
      <c r="I229" s="426"/>
      <c r="J229" s="426"/>
      <c r="K229" s="429" t="s">
        <v>122</v>
      </c>
      <c r="L229" s="426"/>
      <c r="M229" s="429" t="s">
        <v>1556</v>
      </c>
      <c r="N229" s="426"/>
      <c r="O229" s="426"/>
      <c r="P229" s="426"/>
      <c r="Q229" s="426"/>
      <c r="R229" s="426"/>
      <c r="S229" s="426"/>
      <c r="T229" s="427" t="s">
        <v>160</v>
      </c>
      <c r="U229" s="427" t="s">
        <v>8174</v>
      </c>
      <c r="V229" s="427" t="s">
        <v>3653</v>
      </c>
      <c r="W229" s="426"/>
      <c r="X229" s="428" t="s">
        <v>8070</v>
      </c>
    </row>
    <row r="230" hidden="1">
      <c r="A230" s="419"/>
      <c r="B230" s="420"/>
      <c r="C230" s="360"/>
      <c r="D230" s="421"/>
      <c r="E230" s="360"/>
      <c r="F230" s="421"/>
      <c r="G230" s="421"/>
      <c r="H230" s="360"/>
      <c r="I230" s="360"/>
      <c r="J230" s="360"/>
      <c r="K230" s="421"/>
      <c r="L230" s="360"/>
      <c r="M230" s="421"/>
      <c r="N230" s="360"/>
      <c r="O230" s="360"/>
      <c r="P230" s="360"/>
      <c r="Q230" s="360"/>
      <c r="R230" s="360"/>
      <c r="S230" s="360"/>
      <c r="T230" s="421"/>
      <c r="U230" s="421"/>
      <c r="V230" s="421"/>
      <c r="W230" s="360"/>
      <c r="X230" s="423"/>
    </row>
    <row r="231">
      <c r="A231" s="424" t="s">
        <v>556</v>
      </c>
      <c r="B231" s="425" t="s">
        <v>8175</v>
      </c>
      <c r="C231" s="426"/>
      <c r="D231" s="427">
        <v>2027.0</v>
      </c>
      <c r="E231" s="426"/>
      <c r="F231" s="427">
        <v>1.0</v>
      </c>
      <c r="G231" s="427">
        <v>2.0</v>
      </c>
      <c r="H231" s="426"/>
      <c r="I231" s="426"/>
      <c r="J231" s="426"/>
      <c r="K231" s="427" t="s">
        <v>51</v>
      </c>
      <c r="L231" s="427" t="s">
        <v>63</v>
      </c>
      <c r="M231" s="427" t="s">
        <v>1550</v>
      </c>
      <c r="N231" s="426"/>
      <c r="O231" s="426"/>
      <c r="P231" s="426"/>
      <c r="Q231" s="426"/>
      <c r="R231" s="426"/>
      <c r="S231" s="426"/>
      <c r="T231" s="427" t="s">
        <v>240</v>
      </c>
      <c r="U231" s="427" t="s">
        <v>8176</v>
      </c>
      <c r="V231" s="426"/>
      <c r="W231" s="426"/>
      <c r="X231" s="428" t="s">
        <v>8085</v>
      </c>
    </row>
    <row r="232" hidden="1">
      <c r="A232" s="419"/>
      <c r="B232" s="420"/>
      <c r="C232" s="360"/>
      <c r="D232" s="421"/>
      <c r="E232" s="360"/>
      <c r="F232" s="421"/>
      <c r="G232" s="421"/>
      <c r="H232" s="360"/>
      <c r="I232" s="360"/>
      <c r="J232" s="360"/>
      <c r="K232" s="421"/>
      <c r="L232" s="360"/>
      <c r="M232" s="421"/>
      <c r="N232" s="360"/>
      <c r="O232" s="360"/>
      <c r="P232" s="360"/>
      <c r="Q232" s="360"/>
      <c r="R232" s="360"/>
      <c r="S232" s="360"/>
      <c r="T232" s="421"/>
      <c r="U232" s="421"/>
      <c r="V232" s="360"/>
      <c r="W232" s="360"/>
      <c r="X232" s="423"/>
    </row>
    <row r="233" hidden="1">
      <c r="A233" s="424"/>
      <c r="B233" s="425"/>
      <c r="C233" s="426"/>
      <c r="D233" s="427"/>
      <c r="E233" s="426"/>
      <c r="F233" s="427"/>
      <c r="G233" s="427"/>
      <c r="H233" s="426"/>
      <c r="I233" s="426"/>
      <c r="J233" s="426"/>
      <c r="K233" s="427"/>
      <c r="L233" s="426"/>
      <c r="M233" s="427"/>
      <c r="N233" s="426"/>
      <c r="O233" s="426"/>
      <c r="P233" s="426"/>
      <c r="Q233" s="426"/>
      <c r="R233" s="426"/>
      <c r="S233" s="426"/>
      <c r="T233" s="427"/>
      <c r="U233" s="427"/>
      <c r="V233" s="427"/>
      <c r="W233" s="426"/>
      <c r="X233" s="428"/>
    </row>
    <row r="234">
      <c r="A234" s="419" t="s">
        <v>5106</v>
      </c>
      <c r="B234" s="420" t="s">
        <v>5107</v>
      </c>
      <c r="C234" s="360"/>
      <c r="D234" s="421">
        <v>2027.0</v>
      </c>
      <c r="E234" s="360"/>
      <c r="F234" s="421">
        <v>1.0</v>
      </c>
      <c r="G234" s="421">
        <v>2.0</v>
      </c>
      <c r="H234" s="360"/>
      <c r="I234" s="360"/>
      <c r="J234" s="360"/>
      <c r="K234" s="421" t="s">
        <v>106</v>
      </c>
      <c r="L234" s="422" t="s">
        <v>122</v>
      </c>
      <c r="M234" s="421" t="s">
        <v>3667</v>
      </c>
      <c r="N234" s="360"/>
      <c r="O234" s="360"/>
      <c r="P234" s="360"/>
      <c r="Q234" s="360"/>
      <c r="R234" s="360"/>
      <c r="S234" s="360"/>
      <c r="T234" s="421" t="s">
        <v>502</v>
      </c>
      <c r="U234" s="421" t="s">
        <v>3065</v>
      </c>
      <c r="V234" s="421" t="s">
        <v>8032</v>
      </c>
      <c r="W234" s="360"/>
      <c r="X234" s="423" t="s">
        <v>8098</v>
      </c>
    </row>
    <row r="235">
      <c r="A235" s="424" t="s">
        <v>2513</v>
      </c>
      <c r="B235" s="425" t="s">
        <v>1034</v>
      </c>
      <c r="C235" s="426"/>
      <c r="D235" s="427">
        <v>2027.0</v>
      </c>
      <c r="E235" s="426"/>
      <c r="F235" s="427">
        <v>1.0</v>
      </c>
      <c r="G235" s="427">
        <v>2.0</v>
      </c>
      <c r="H235" s="426"/>
      <c r="I235" s="426"/>
      <c r="J235" s="426"/>
      <c r="K235" s="427" t="s">
        <v>63</v>
      </c>
      <c r="L235" s="426"/>
      <c r="M235" s="427" t="s">
        <v>1550</v>
      </c>
      <c r="N235" s="426"/>
      <c r="O235" s="426"/>
      <c r="P235" s="426"/>
      <c r="Q235" s="426"/>
      <c r="R235" s="426"/>
      <c r="S235" s="426"/>
      <c r="T235" s="427" t="s">
        <v>502</v>
      </c>
      <c r="U235" s="427" t="s">
        <v>8177</v>
      </c>
      <c r="V235" s="427" t="s">
        <v>8178</v>
      </c>
      <c r="W235" s="426"/>
      <c r="X235" s="428" t="s">
        <v>8098</v>
      </c>
    </row>
    <row r="236" hidden="1">
      <c r="A236" s="419"/>
      <c r="B236" s="420"/>
      <c r="C236" s="360"/>
      <c r="D236" s="421"/>
      <c r="E236" s="360"/>
      <c r="F236" s="421"/>
      <c r="G236" s="421"/>
      <c r="H236" s="360"/>
      <c r="I236" s="360"/>
      <c r="J236" s="360"/>
      <c r="K236" s="421"/>
      <c r="L236" s="360"/>
      <c r="M236" s="421"/>
      <c r="N236" s="360"/>
      <c r="O236" s="360"/>
      <c r="P236" s="360"/>
      <c r="Q236" s="360"/>
      <c r="R236" s="360"/>
      <c r="S236" s="360"/>
      <c r="T236" s="421"/>
      <c r="U236" s="421"/>
      <c r="V236" s="421"/>
      <c r="W236" s="360"/>
      <c r="X236" s="423"/>
    </row>
    <row r="237">
      <c r="A237" s="424" t="s">
        <v>8179</v>
      </c>
      <c r="B237" s="425" t="s">
        <v>5021</v>
      </c>
      <c r="C237" s="426"/>
      <c r="D237" s="427">
        <v>2027.0</v>
      </c>
      <c r="E237" s="426"/>
      <c r="F237" s="427">
        <v>1.0</v>
      </c>
      <c r="G237" s="427">
        <v>2.0</v>
      </c>
      <c r="H237" s="426"/>
      <c r="I237" s="426"/>
      <c r="J237" s="426"/>
      <c r="K237" s="427" t="s">
        <v>51</v>
      </c>
      <c r="L237" s="426"/>
      <c r="M237" s="427" t="s">
        <v>1550</v>
      </c>
      <c r="N237" s="426"/>
      <c r="O237" s="426"/>
      <c r="P237" s="426"/>
      <c r="Q237" s="426"/>
      <c r="R237" s="426"/>
      <c r="S237" s="426"/>
      <c r="T237" s="427" t="s">
        <v>502</v>
      </c>
      <c r="U237" s="427" t="s">
        <v>5023</v>
      </c>
      <c r="V237" s="427" t="s">
        <v>8180</v>
      </c>
      <c r="W237" s="426"/>
      <c r="X237" s="428" t="s">
        <v>8098</v>
      </c>
    </row>
    <row r="238" hidden="1">
      <c r="A238" s="419"/>
      <c r="B238" s="420"/>
      <c r="C238" s="360"/>
      <c r="D238" s="421"/>
      <c r="E238" s="360"/>
      <c r="F238" s="421"/>
      <c r="G238" s="421"/>
      <c r="H238" s="360"/>
      <c r="I238" s="360"/>
      <c r="J238" s="360"/>
      <c r="K238" s="421"/>
      <c r="L238" s="421"/>
      <c r="M238" s="421"/>
      <c r="N238" s="360"/>
      <c r="O238" s="360"/>
      <c r="P238" s="360"/>
      <c r="Q238" s="360"/>
      <c r="R238" s="360"/>
      <c r="S238" s="360"/>
      <c r="T238" s="421"/>
      <c r="U238" s="421"/>
      <c r="V238" s="421"/>
      <c r="W238" s="360"/>
      <c r="X238" s="423"/>
    </row>
    <row r="239">
      <c r="A239" s="424" t="s">
        <v>5491</v>
      </c>
      <c r="B239" s="425" t="s">
        <v>8181</v>
      </c>
      <c r="C239" s="426"/>
      <c r="D239" s="427">
        <v>2027.0</v>
      </c>
      <c r="E239" s="426"/>
      <c r="F239" s="427">
        <v>1.0</v>
      </c>
      <c r="G239" s="427">
        <v>2.0</v>
      </c>
      <c r="H239" s="426"/>
      <c r="I239" s="426"/>
      <c r="J239" s="426"/>
      <c r="K239" s="427" t="s">
        <v>109</v>
      </c>
      <c r="L239" s="426"/>
      <c r="M239" s="427" t="s">
        <v>1550</v>
      </c>
      <c r="N239" s="426"/>
      <c r="O239" s="426"/>
      <c r="P239" s="426"/>
      <c r="Q239" s="426"/>
      <c r="R239" s="426"/>
      <c r="S239" s="426"/>
      <c r="T239" s="427" t="s">
        <v>160</v>
      </c>
      <c r="U239" s="427" t="s">
        <v>8182</v>
      </c>
      <c r="V239" s="427" t="s">
        <v>5832</v>
      </c>
      <c r="W239" s="426"/>
      <c r="X239" s="428" t="s">
        <v>6549</v>
      </c>
    </row>
    <row r="240" hidden="1">
      <c r="A240" s="419"/>
      <c r="B240" s="420"/>
      <c r="C240" s="360"/>
      <c r="D240" s="421"/>
      <c r="E240" s="360"/>
      <c r="F240" s="421"/>
      <c r="G240" s="421"/>
      <c r="H240" s="360"/>
      <c r="I240" s="360"/>
      <c r="J240" s="360"/>
      <c r="K240" s="421"/>
      <c r="L240" s="360"/>
      <c r="M240" s="421"/>
      <c r="N240" s="360"/>
      <c r="O240" s="360"/>
      <c r="P240" s="360"/>
      <c r="Q240" s="360"/>
      <c r="R240" s="360"/>
      <c r="S240" s="360"/>
      <c r="T240" s="421"/>
      <c r="U240" s="421"/>
      <c r="V240" s="421"/>
      <c r="W240" s="360"/>
      <c r="X240" s="423"/>
    </row>
    <row r="241" hidden="1">
      <c r="A241" s="424"/>
      <c r="B241" s="425"/>
      <c r="C241" s="426"/>
      <c r="D241" s="427"/>
      <c r="E241" s="426"/>
      <c r="F241" s="427"/>
      <c r="G241" s="427"/>
      <c r="H241" s="426"/>
      <c r="I241" s="426"/>
      <c r="J241" s="426"/>
      <c r="K241" s="427"/>
      <c r="L241" s="426"/>
      <c r="M241" s="426"/>
      <c r="N241" s="426"/>
      <c r="O241" s="426"/>
      <c r="P241" s="426"/>
      <c r="Q241" s="426"/>
      <c r="R241" s="426"/>
      <c r="S241" s="427"/>
      <c r="T241" s="427"/>
      <c r="U241" s="427"/>
      <c r="V241" s="426"/>
      <c r="W241" s="426"/>
      <c r="X241" s="426"/>
    </row>
    <row r="242" hidden="1">
      <c r="A242" s="419"/>
      <c r="B242" s="420"/>
      <c r="C242" s="360"/>
      <c r="D242" s="421"/>
      <c r="E242" s="360"/>
      <c r="F242" s="421"/>
      <c r="G242" s="421"/>
      <c r="H242" s="360"/>
      <c r="I242" s="360"/>
      <c r="J242" s="360"/>
      <c r="K242" s="421"/>
      <c r="L242" s="421"/>
      <c r="M242" s="421"/>
      <c r="N242" s="360"/>
      <c r="O242" s="360"/>
      <c r="P242" s="360"/>
      <c r="Q242" s="360"/>
      <c r="R242" s="360"/>
      <c r="S242" s="360"/>
      <c r="T242" s="421"/>
      <c r="U242" s="421"/>
      <c r="V242" s="421"/>
      <c r="W242" s="360"/>
      <c r="X242" s="423"/>
    </row>
    <row r="243">
      <c r="A243" s="424" t="s">
        <v>8183</v>
      </c>
      <c r="B243" s="425" t="s">
        <v>2633</v>
      </c>
      <c r="C243" s="426"/>
      <c r="D243" s="427">
        <v>2027.0</v>
      </c>
      <c r="E243" s="426"/>
      <c r="F243" s="427">
        <v>1.0</v>
      </c>
      <c r="G243" s="427">
        <v>2.0</v>
      </c>
      <c r="H243" s="426"/>
      <c r="I243" s="426"/>
      <c r="J243" s="426"/>
      <c r="K243" s="427" t="s">
        <v>63</v>
      </c>
      <c r="L243" s="427" t="s">
        <v>72</v>
      </c>
      <c r="M243" s="427" t="s">
        <v>1550</v>
      </c>
      <c r="N243" s="426"/>
      <c r="O243" s="426"/>
      <c r="P243" s="426"/>
      <c r="Q243" s="426"/>
      <c r="R243" s="426"/>
      <c r="S243" s="427" t="s">
        <v>8184</v>
      </c>
      <c r="T243" s="427" t="s">
        <v>125</v>
      </c>
      <c r="U243" s="427" t="s">
        <v>8185</v>
      </c>
      <c r="V243" s="426"/>
      <c r="W243" s="426"/>
      <c r="X243" s="428" t="s">
        <v>2432</v>
      </c>
    </row>
    <row r="244">
      <c r="A244" s="419" t="s">
        <v>8160</v>
      </c>
      <c r="B244" s="420" t="s">
        <v>3505</v>
      </c>
      <c r="C244" s="360"/>
      <c r="D244" s="421">
        <v>2027.0</v>
      </c>
      <c r="E244" s="360"/>
      <c r="F244" s="421">
        <v>1.0</v>
      </c>
      <c r="G244" s="421">
        <v>2.0</v>
      </c>
      <c r="H244" s="360"/>
      <c r="I244" s="360"/>
      <c r="J244" s="360"/>
      <c r="K244" s="421" t="s">
        <v>51</v>
      </c>
      <c r="L244" s="421" t="s">
        <v>72</v>
      </c>
      <c r="M244" s="421" t="s">
        <v>1550</v>
      </c>
      <c r="N244" s="360"/>
      <c r="O244" s="360"/>
      <c r="P244" s="360"/>
      <c r="Q244" s="360"/>
      <c r="R244" s="360"/>
      <c r="S244" s="421" t="s">
        <v>3506</v>
      </c>
      <c r="T244" s="421" t="s">
        <v>66</v>
      </c>
      <c r="U244" s="421" t="s">
        <v>3507</v>
      </c>
      <c r="V244" s="421" t="s">
        <v>8186</v>
      </c>
      <c r="W244" s="360"/>
      <c r="X244" s="423" t="s">
        <v>2432</v>
      </c>
    </row>
    <row r="245">
      <c r="A245" s="424" t="s">
        <v>8090</v>
      </c>
      <c r="B245" s="425" t="s">
        <v>8187</v>
      </c>
      <c r="C245" s="426"/>
      <c r="D245" s="427">
        <v>2027.0</v>
      </c>
      <c r="E245" s="426"/>
      <c r="F245" s="427">
        <v>1.0</v>
      </c>
      <c r="G245" s="427">
        <v>2.0</v>
      </c>
      <c r="H245" s="426"/>
      <c r="I245" s="426"/>
      <c r="J245" s="426"/>
      <c r="K245" s="427" t="s">
        <v>51</v>
      </c>
      <c r="L245" s="427" t="s">
        <v>72</v>
      </c>
      <c r="M245" s="427" t="s">
        <v>1550</v>
      </c>
      <c r="N245" s="426"/>
      <c r="O245" s="426"/>
      <c r="P245" s="426"/>
      <c r="Q245" s="426"/>
      <c r="R245" s="426"/>
      <c r="S245" s="427" t="s">
        <v>8188</v>
      </c>
      <c r="T245" s="427" t="s">
        <v>52</v>
      </c>
      <c r="U245" s="427" t="s">
        <v>8189</v>
      </c>
      <c r="V245" s="426"/>
      <c r="W245" s="426"/>
      <c r="X245" s="428" t="s">
        <v>2432</v>
      </c>
    </row>
    <row r="246" hidden="1">
      <c r="A246" s="419"/>
      <c r="B246" s="420"/>
      <c r="C246" s="360"/>
      <c r="D246" s="421"/>
      <c r="E246" s="360"/>
      <c r="F246" s="421"/>
      <c r="G246" s="421"/>
      <c r="H246" s="360"/>
      <c r="I246" s="360"/>
      <c r="J246" s="360"/>
      <c r="K246" s="422"/>
      <c r="L246" s="360"/>
      <c r="M246" s="422"/>
      <c r="N246" s="360"/>
      <c r="O246" s="360"/>
      <c r="P246" s="360"/>
      <c r="Q246" s="360"/>
      <c r="R246" s="360"/>
      <c r="S246" s="421"/>
      <c r="T246" s="421"/>
      <c r="U246" s="421"/>
      <c r="V246" s="421"/>
      <c r="W246" s="360"/>
      <c r="X246" s="423"/>
    </row>
    <row r="247" hidden="1">
      <c r="A247" s="424"/>
      <c r="B247" s="425"/>
      <c r="C247" s="426"/>
      <c r="D247" s="427"/>
      <c r="E247" s="426"/>
      <c r="F247" s="427"/>
      <c r="G247" s="427"/>
      <c r="H247" s="426"/>
      <c r="I247" s="426"/>
      <c r="J247" s="426"/>
      <c r="K247" s="427"/>
      <c r="L247" s="426"/>
      <c r="M247" s="427"/>
      <c r="N247" s="426"/>
      <c r="O247" s="426"/>
      <c r="P247" s="426"/>
      <c r="Q247" s="426"/>
      <c r="R247" s="426"/>
      <c r="S247" s="426"/>
      <c r="T247" s="427"/>
      <c r="U247" s="427"/>
      <c r="V247" s="427"/>
      <c r="W247" s="426"/>
      <c r="X247" s="428"/>
    </row>
    <row r="248" hidden="1">
      <c r="A248" s="419"/>
      <c r="B248" s="420"/>
      <c r="C248" s="360"/>
      <c r="D248" s="421"/>
      <c r="E248" s="360"/>
      <c r="F248" s="421"/>
      <c r="G248" s="421"/>
      <c r="H248" s="360"/>
      <c r="I248" s="360"/>
      <c r="J248" s="360"/>
      <c r="K248" s="421"/>
      <c r="L248" s="422"/>
      <c r="M248" s="422"/>
      <c r="N248" s="360"/>
      <c r="O248" s="360"/>
      <c r="P248" s="360"/>
      <c r="Q248" s="360"/>
      <c r="R248" s="360"/>
      <c r="S248" s="360"/>
      <c r="T248" s="421"/>
      <c r="U248" s="421"/>
      <c r="V248" s="421"/>
      <c r="W248" s="360"/>
      <c r="X248" s="423"/>
    </row>
    <row r="249" hidden="1">
      <c r="A249" s="424"/>
      <c r="B249" s="425"/>
      <c r="C249" s="426"/>
      <c r="D249" s="427"/>
      <c r="E249" s="426"/>
      <c r="F249" s="427"/>
      <c r="G249" s="427"/>
      <c r="H249" s="426"/>
      <c r="I249" s="426"/>
      <c r="J249" s="426"/>
      <c r="K249" s="427"/>
      <c r="L249" s="426"/>
      <c r="M249" s="427"/>
      <c r="N249" s="426"/>
      <c r="O249" s="426"/>
      <c r="P249" s="426"/>
      <c r="Q249" s="426"/>
      <c r="R249" s="426"/>
      <c r="S249" s="427"/>
      <c r="T249" s="427"/>
      <c r="U249" s="427"/>
      <c r="V249" s="426"/>
      <c r="W249" s="426"/>
      <c r="X249" s="426"/>
    </row>
    <row r="250" hidden="1">
      <c r="A250" s="419"/>
      <c r="B250" s="420"/>
      <c r="C250" s="360"/>
      <c r="D250" s="421"/>
      <c r="E250" s="360"/>
      <c r="F250" s="421"/>
      <c r="G250" s="421"/>
      <c r="H250" s="360"/>
      <c r="I250" s="360"/>
      <c r="J250" s="360"/>
      <c r="K250" s="421"/>
      <c r="L250" s="360"/>
      <c r="M250" s="421"/>
      <c r="N250" s="360"/>
      <c r="O250" s="360"/>
      <c r="P250" s="360"/>
      <c r="Q250" s="360"/>
      <c r="R250" s="360"/>
      <c r="S250" s="360"/>
      <c r="T250" s="421"/>
      <c r="U250" s="421"/>
      <c r="V250" s="360"/>
      <c r="W250" s="360"/>
      <c r="X250" s="360"/>
    </row>
    <row r="251" hidden="1">
      <c r="A251" s="424"/>
      <c r="B251" s="425"/>
      <c r="C251" s="426"/>
      <c r="D251" s="427"/>
      <c r="E251" s="426"/>
      <c r="F251" s="427"/>
      <c r="G251" s="427"/>
      <c r="H251" s="426"/>
      <c r="I251" s="426"/>
      <c r="J251" s="426"/>
      <c r="K251" s="429"/>
      <c r="L251" s="426"/>
      <c r="M251" s="426"/>
      <c r="N251" s="426"/>
      <c r="O251" s="426"/>
      <c r="P251" s="426"/>
      <c r="Q251" s="426"/>
      <c r="R251" s="426"/>
      <c r="S251" s="427"/>
      <c r="T251" s="427"/>
      <c r="U251" s="426"/>
      <c r="V251" s="426"/>
      <c r="W251" s="426"/>
      <c r="X251" s="426"/>
    </row>
    <row r="252" hidden="1">
      <c r="A252" s="419"/>
      <c r="B252" s="420"/>
      <c r="C252" s="360"/>
      <c r="D252" s="421"/>
      <c r="E252" s="360"/>
      <c r="F252" s="421"/>
      <c r="G252" s="421"/>
      <c r="H252" s="360"/>
      <c r="I252" s="360"/>
      <c r="J252" s="360"/>
      <c r="K252" s="422"/>
      <c r="L252" s="360"/>
      <c r="M252" s="422"/>
      <c r="N252" s="360"/>
      <c r="O252" s="360"/>
      <c r="P252" s="360"/>
      <c r="Q252" s="360"/>
      <c r="R252" s="360"/>
      <c r="S252" s="360"/>
      <c r="T252" s="421"/>
      <c r="U252" s="421"/>
      <c r="V252" s="421"/>
      <c r="W252" s="360"/>
      <c r="X252" s="423"/>
    </row>
    <row r="253" hidden="1">
      <c r="A253" s="424"/>
      <c r="B253" s="425"/>
      <c r="C253" s="426"/>
      <c r="D253" s="427"/>
      <c r="E253" s="426"/>
      <c r="F253" s="427"/>
      <c r="G253" s="427"/>
      <c r="H253" s="426"/>
      <c r="I253" s="426"/>
      <c r="J253" s="426"/>
      <c r="K253" s="427"/>
      <c r="L253" s="426"/>
      <c r="M253" s="427"/>
      <c r="N253" s="426"/>
      <c r="O253" s="426"/>
      <c r="P253" s="426"/>
      <c r="Q253" s="426"/>
      <c r="R253" s="426"/>
      <c r="S253" s="426"/>
      <c r="T253" s="427"/>
      <c r="U253" s="427"/>
      <c r="V253" s="427"/>
      <c r="W253" s="426"/>
      <c r="X253" s="428"/>
    </row>
    <row r="254" hidden="1">
      <c r="A254" s="419"/>
      <c r="B254" s="420"/>
      <c r="C254" s="360"/>
      <c r="D254" s="421"/>
      <c r="E254" s="360"/>
      <c r="F254" s="421"/>
      <c r="G254" s="421"/>
      <c r="H254" s="360"/>
      <c r="I254" s="360"/>
      <c r="J254" s="360"/>
      <c r="K254" s="421"/>
      <c r="L254" s="360"/>
      <c r="M254" s="421"/>
      <c r="N254" s="360"/>
      <c r="O254" s="360"/>
      <c r="P254" s="360"/>
      <c r="Q254" s="360"/>
      <c r="R254" s="360"/>
      <c r="S254" s="360"/>
      <c r="T254" s="421"/>
      <c r="U254" s="421"/>
      <c r="V254" s="421"/>
      <c r="W254" s="360"/>
      <c r="X254" s="423"/>
    </row>
    <row r="255" hidden="1">
      <c r="A255" s="424"/>
      <c r="B255" s="425"/>
      <c r="C255" s="426"/>
      <c r="D255" s="427"/>
      <c r="E255" s="426"/>
      <c r="F255" s="427"/>
      <c r="G255" s="427"/>
      <c r="H255" s="426"/>
      <c r="I255" s="426"/>
      <c r="J255" s="426"/>
      <c r="K255" s="427"/>
      <c r="L255" s="426"/>
      <c r="M255" s="427"/>
      <c r="N255" s="426"/>
      <c r="O255" s="426"/>
      <c r="P255" s="426"/>
      <c r="Q255" s="426"/>
      <c r="R255" s="426"/>
      <c r="S255" s="426"/>
      <c r="T255" s="427"/>
      <c r="U255" s="427"/>
      <c r="V255" s="427"/>
      <c r="W255" s="426"/>
      <c r="X255" s="428"/>
    </row>
    <row r="256" hidden="1">
      <c r="A256" s="419"/>
      <c r="B256" s="420"/>
      <c r="C256" s="360"/>
      <c r="D256" s="421"/>
      <c r="E256" s="360"/>
      <c r="F256" s="421"/>
      <c r="G256" s="421"/>
      <c r="H256" s="360"/>
      <c r="I256" s="360"/>
      <c r="J256" s="360"/>
      <c r="K256" s="421"/>
      <c r="L256" s="360"/>
      <c r="M256" s="421"/>
      <c r="N256" s="360"/>
      <c r="O256" s="360"/>
      <c r="P256" s="360"/>
      <c r="Q256" s="360"/>
      <c r="R256" s="360"/>
      <c r="S256" s="360"/>
      <c r="T256" s="421"/>
      <c r="U256" s="421"/>
      <c r="V256" s="421"/>
      <c r="W256" s="360"/>
      <c r="X256" s="360"/>
    </row>
    <row r="257" hidden="1">
      <c r="A257" s="424"/>
      <c r="B257" s="425"/>
      <c r="C257" s="426"/>
      <c r="D257" s="427"/>
      <c r="E257" s="426"/>
      <c r="F257" s="427"/>
      <c r="G257" s="427"/>
      <c r="H257" s="426"/>
      <c r="I257" s="426"/>
      <c r="J257" s="426"/>
      <c r="K257" s="427"/>
      <c r="L257" s="427"/>
      <c r="M257" s="429"/>
      <c r="N257" s="426"/>
      <c r="O257" s="426"/>
      <c r="P257" s="426"/>
      <c r="Q257" s="426"/>
      <c r="R257" s="426"/>
      <c r="S257" s="426"/>
      <c r="T257" s="427"/>
      <c r="U257" s="427"/>
      <c r="V257" s="427"/>
      <c r="W257" s="426"/>
      <c r="X257" s="428"/>
    </row>
    <row r="258" hidden="1">
      <c r="A258" s="419"/>
      <c r="B258" s="420"/>
      <c r="C258" s="360"/>
      <c r="D258" s="421"/>
      <c r="E258" s="360"/>
      <c r="F258" s="421"/>
      <c r="G258" s="421"/>
      <c r="H258" s="360"/>
      <c r="I258" s="360"/>
      <c r="J258" s="360"/>
      <c r="K258" s="421"/>
      <c r="L258" s="421"/>
      <c r="M258" s="421"/>
      <c r="N258" s="360"/>
      <c r="O258" s="360"/>
      <c r="P258" s="360"/>
      <c r="Q258" s="360"/>
      <c r="R258" s="360"/>
      <c r="S258" s="360"/>
      <c r="T258" s="421"/>
      <c r="U258" s="421"/>
      <c r="V258" s="421"/>
      <c r="W258" s="360"/>
      <c r="X258" s="423"/>
    </row>
    <row r="259" hidden="1">
      <c r="A259" s="424"/>
      <c r="B259" s="425"/>
      <c r="C259" s="426"/>
      <c r="D259" s="427"/>
      <c r="E259" s="426"/>
      <c r="F259" s="427"/>
      <c r="G259" s="427"/>
      <c r="H259" s="426"/>
      <c r="I259" s="426"/>
      <c r="J259" s="426"/>
      <c r="K259" s="429"/>
      <c r="L259" s="426"/>
      <c r="M259" s="429"/>
      <c r="N259" s="426"/>
      <c r="O259" s="426"/>
      <c r="P259" s="426"/>
      <c r="Q259" s="426"/>
      <c r="R259" s="426"/>
      <c r="S259" s="426"/>
      <c r="T259" s="427"/>
      <c r="U259" s="427"/>
      <c r="V259" s="427"/>
      <c r="W259" s="426"/>
      <c r="X259" s="428"/>
    </row>
    <row r="260">
      <c r="A260" s="419" t="s">
        <v>788</v>
      </c>
      <c r="B260" s="420" t="s">
        <v>5919</v>
      </c>
      <c r="C260" s="360"/>
      <c r="D260" s="421">
        <v>2027.0</v>
      </c>
      <c r="E260" s="360"/>
      <c r="F260" s="421">
        <v>1.0</v>
      </c>
      <c r="G260" s="421">
        <v>3.0</v>
      </c>
      <c r="H260" s="360"/>
      <c r="I260" s="360"/>
      <c r="J260" s="360"/>
      <c r="K260" s="421" t="s">
        <v>51</v>
      </c>
      <c r="L260" s="360"/>
      <c r="M260" s="421" t="s">
        <v>1550</v>
      </c>
      <c r="N260" s="360"/>
      <c r="O260" s="360"/>
      <c r="P260" s="360"/>
      <c r="Q260" s="360"/>
      <c r="R260" s="360"/>
      <c r="S260" s="360"/>
      <c r="T260" s="421" t="s">
        <v>85</v>
      </c>
      <c r="U260" s="421" t="s">
        <v>8190</v>
      </c>
      <c r="V260" s="421" t="s">
        <v>1424</v>
      </c>
      <c r="W260" s="360"/>
      <c r="X260" s="360"/>
    </row>
    <row r="261" hidden="1">
      <c r="A261" s="424"/>
      <c r="B261" s="425"/>
      <c r="C261" s="426"/>
      <c r="D261" s="427"/>
      <c r="E261" s="426"/>
      <c r="F261" s="427"/>
      <c r="G261" s="427"/>
      <c r="H261" s="426"/>
      <c r="I261" s="426"/>
      <c r="J261" s="426"/>
      <c r="K261" s="427"/>
      <c r="L261" s="426"/>
      <c r="M261" s="427"/>
      <c r="N261" s="426"/>
      <c r="O261" s="426"/>
      <c r="P261" s="426"/>
      <c r="Q261" s="426"/>
      <c r="R261" s="426"/>
      <c r="S261" s="426"/>
      <c r="T261" s="427"/>
      <c r="U261" s="427"/>
      <c r="V261" s="427"/>
      <c r="W261" s="426"/>
      <c r="X261" s="426"/>
    </row>
    <row r="262" hidden="1">
      <c r="A262" s="419"/>
      <c r="B262" s="420"/>
      <c r="C262" s="360"/>
      <c r="D262" s="421"/>
      <c r="E262" s="360"/>
      <c r="F262" s="421"/>
      <c r="G262" s="421"/>
      <c r="H262" s="360"/>
      <c r="I262" s="360"/>
      <c r="J262" s="360"/>
      <c r="K262" s="422"/>
      <c r="L262" s="360"/>
      <c r="M262" s="422"/>
      <c r="N262" s="360"/>
      <c r="O262" s="360"/>
      <c r="P262" s="360"/>
      <c r="Q262" s="360"/>
      <c r="R262" s="360"/>
      <c r="S262" s="421"/>
      <c r="T262" s="421"/>
      <c r="U262" s="421"/>
      <c r="V262" s="421"/>
      <c r="W262" s="360"/>
      <c r="X262" s="360"/>
    </row>
    <row r="263" hidden="1">
      <c r="A263" s="424"/>
      <c r="B263" s="425"/>
      <c r="C263" s="426"/>
      <c r="D263" s="427"/>
      <c r="E263" s="426"/>
      <c r="F263" s="427"/>
      <c r="G263" s="427"/>
      <c r="H263" s="426"/>
      <c r="I263" s="426"/>
      <c r="J263" s="426"/>
      <c r="K263" s="427"/>
      <c r="L263" s="426"/>
      <c r="M263" s="427"/>
      <c r="N263" s="426"/>
      <c r="O263" s="426"/>
      <c r="P263" s="426"/>
      <c r="Q263" s="426"/>
      <c r="R263" s="426"/>
      <c r="S263" s="426"/>
      <c r="T263" s="427"/>
      <c r="U263" s="427"/>
      <c r="V263" s="427"/>
      <c r="W263" s="426"/>
      <c r="X263" s="428"/>
    </row>
    <row r="264" hidden="1">
      <c r="A264" s="419"/>
      <c r="B264" s="420"/>
      <c r="C264" s="360"/>
      <c r="D264" s="421"/>
      <c r="E264" s="360"/>
      <c r="F264" s="421"/>
      <c r="G264" s="421"/>
      <c r="H264" s="360"/>
      <c r="I264" s="360"/>
      <c r="J264" s="360"/>
      <c r="K264" s="421"/>
      <c r="L264" s="421"/>
      <c r="M264" s="421"/>
      <c r="N264" s="360"/>
      <c r="O264" s="360"/>
      <c r="P264" s="360"/>
      <c r="Q264" s="360"/>
      <c r="R264" s="360"/>
      <c r="S264" s="421"/>
      <c r="T264" s="421"/>
      <c r="U264" s="421"/>
      <c r="V264" s="421"/>
      <c r="W264" s="360"/>
      <c r="X264" s="423"/>
    </row>
    <row r="265" hidden="1">
      <c r="A265" s="424"/>
      <c r="B265" s="425"/>
      <c r="C265" s="426"/>
      <c r="D265" s="427"/>
      <c r="E265" s="426"/>
      <c r="F265" s="427"/>
      <c r="G265" s="427"/>
      <c r="H265" s="426"/>
      <c r="I265" s="426"/>
      <c r="J265" s="426"/>
      <c r="K265" s="427"/>
      <c r="L265" s="426"/>
      <c r="M265" s="427"/>
      <c r="N265" s="426"/>
      <c r="O265" s="426"/>
      <c r="P265" s="426"/>
      <c r="Q265" s="426"/>
      <c r="R265" s="426"/>
      <c r="S265" s="426"/>
      <c r="T265" s="427"/>
      <c r="U265" s="427"/>
      <c r="V265" s="427"/>
      <c r="W265" s="426"/>
      <c r="X265" s="426"/>
    </row>
    <row r="266" hidden="1">
      <c r="A266" s="419"/>
      <c r="B266" s="420"/>
      <c r="C266" s="360"/>
      <c r="D266" s="421"/>
      <c r="E266" s="360"/>
      <c r="F266" s="421"/>
      <c r="G266" s="421"/>
      <c r="H266" s="360"/>
      <c r="I266" s="360"/>
      <c r="J266" s="360"/>
      <c r="K266" s="421"/>
      <c r="L266" s="421"/>
      <c r="M266" s="421"/>
      <c r="N266" s="360"/>
      <c r="O266" s="360"/>
      <c r="P266" s="360"/>
      <c r="Q266" s="360"/>
      <c r="R266" s="360"/>
      <c r="S266" s="360"/>
      <c r="T266" s="421"/>
      <c r="U266" s="421"/>
      <c r="V266" s="421"/>
      <c r="W266" s="360"/>
      <c r="X266" s="360"/>
    </row>
    <row r="267" hidden="1">
      <c r="A267" s="424"/>
      <c r="B267" s="425"/>
      <c r="C267" s="426"/>
      <c r="D267" s="427"/>
      <c r="E267" s="426"/>
      <c r="F267" s="427"/>
      <c r="G267" s="427"/>
      <c r="H267" s="426"/>
      <c r="I267" s="426"/>
      <c r="J267" s="426"/>
      <c r="K267" s="427"/>
      <c r="L267" s="427"/>
      <c r="M267" s="429"/>
      <c r="N267" s="426"/>
      <c r="O267" s="426"/>
      <c r="P267" s="426"/>
      <c r="Q267" s="426"/>
      <c r="R267" s="426"/>
      <c r="S267" s="426"/>
      <c r="T267" s="427"/>
      <c r="U267" s="427"/>
      <c r="V267" s="427"/>
      <c r="W267" s="426"/>
      <c r="X267" s="426"/>
    </row>
    <row r="268" hidden="1">
      <c r="A268" s="419"/>
      <c r="B268" s="420"/>
      <c r="C268" s="360"/>
      <c r="D268" s="421"/>
      <c r="E268" s="360"/>
      <c r="F268" s="421"/>
      <c r="G268" s="421"/>
      <c r="H268" s="360"/>
      <c r="I268" s="360"/>
      <c r="J268" s="360"/>
      <c r="K268" s="421"/>
      <c r="L268" s="421"/>
      <c r="M268" s="421"/>
      <c r="N268" s="360"/>
      <c r="O268" s="360"/>
      <c r="P268" s="360"/>
      <c r="Q268" s="360"/>
      <c r="R268" s="360"/>
      <c r="S268" s="360"/>
      <c r="T268" s="421"/>
      <c r="U268" s="421"/>
      <c r="V268" s="421"/>
      <c r="W268" s="360"/>
      <c r="X268" s="360"/>
    </row>
    <row r="269" hidden="1">
      <c r="A269" s="424"/>
      <c r="B269" s="425"/>
      <c r="C269" s="426"/>
      <c r="D269" s="427"/>
      <c r="E269" s="426"/>
      <c r="F269" s="427"/>
      <c r="G269" s="427"/>
      <c r="H269" s="426"/>
      <c r="I269" s="426"/>
      <c r="J269" s="426"/>
      <c r="K269" s="429"/>
      <c r="L269" s="426"/>
      <c r="M269" s="429"/>
      <c r="N269" s="426"/>
      <c r="O269" s="426"/>
      <c r="P269" s="426"/>
      <c r="Q269" s="426"/>
      <c r="R269" s="426"/>
      <c r="S269" s="426"/>
      <c r="T269" s="427"/>
      <c r="U269" s="427"/>
      <c r="V269" s="427"/>
      <c r="W269" s="426"/>
      <c r="X269" s="428"/>
    </row>
    <row r="270" hidden="1">
      <c r="A270" s="419"/>
      <c r="B270" s="420"/>
      <c r="C270" s="360"/>
      <c r="D270" s="421"/>
      <c r="E270" s="360"/>
      <c r="F270" s="421"/>
      <c r="G270" s="421"/>
      <c r="H270" s="360"/>
      <c r="I270" s="360"/>
      <c r="J270" s="360"/>
      <c r="K270" s="421"/>
      <c r="L270" s="421"/>
      <c r="M270" s="422"/>
      <c r="N270" s="360"/>
      <c r="O270" s="360"/>
      <c r="P270" s="360"/>
      <c r="Q270" s="360"/>
      <c r="R270" s="360"/>
      <c r="S270" s="360"/>
      <c r="T270" s="421"/>
      <c r="U270" s="421"/>
      <c r="V270" s="421"/>
      <c r="W270" s="360"/>
      <c r="X270" s="423"/>
    </row>
    <row r="271" hidden="1">
      <c r="A271" s="424"/>
      <c r="B271" s="425"/>
      <c r="C271" s="426"/>
      <c r="D271" s="427"/>
      <c r="E271" s="426"/>
      <c r="F271" s="427"/>
      <c r="G271" s="427"/>
      <c r="H271" s="426"/>
      <c r="I271" s="426"/>
      <c r="J271" s="426"/>
      <c r="K271" s="427"/>
      <c r="L271" s="427"/>
      <c r="M271" s="427"/>
      <c r="N271" s="426"/>
      <c r="O271" s="426"/>
      <c r="P271" s="426"/>
      <c r="Q271" s="426"/>
      <c r="R271" s="426"/>
      <c r="S271" s="426"/>
      <c r="T271" s="427"/>
      <c r="U271" s="427"/>
      <c r="V271" s="427"/>
      <c r="W271" s="426"/>
      <c r="X271" s="428"/>
    </row>
    <row r="272" hidden="1">
      <c r="A272" s="419"/>
      <c r="B272" s="420"/>
      <c r="C272" s="360"/>
      <c r="D272" s="421"/>
      <c r="E272" s="360"/>
      <c r="F272" s="421"/>
      <c r="G272" s="421"/>
      <c r="H272" s="360"/>
      <c r="I272" s="360"/>
      <c r="J272" s="360"/>
      <c r="K272" s="422"/>
      <c r="L272" s="421"/>
      <c r="M272" s="422"/>
      <c r="N272" s="360"/>
      <c r="O272" s="360"/>
      <c r="P272" s="360"/>
      <c r="Q272" s="360"/>
      <c r="R272" s="360"/>
      <c r="S272" s="360"/>
      <c r="T272" s="421"/>
      <c r="U272" s="421"/>
      <c r="V272" s="421"/>
      <c r="W272" s="360"/>
      <c r="X272" s="423"/>
    </row>
    <row r="273" hidden="1">
      <c r="A273" s="424"/>
      <c r="B273" s="425"/>
      <c r="C273" s="426"/>
      <c r="D273" s="427"/>
      <c r="E273" s="426"/>
      <c r="F273" s="427"/>
      <c r="G273" s="427"/>
      <c r="H273" s="426"/>
      <c r="I273" s="426"/>
      <c r="J273" s="426"/>
      <c r="K273" s="427"/>
      <c r="L273" s="426"/>
      <c r="M273" s="427"/>
      <c r="N273" s="426"/>
      <c r="O273" s="426"/>
      <c r="P273" s="426"/>
      <c r="Q273" s="426"/>
      <c r="R273" s="426"/>
      <c r="S273" s="426"/>
      <c r="T273" s="427"/>
      <c r="U273" s="427"/>
      <c r="V273" s="427"/>
      <c r="W273" s="426"/>
      <c r="X273" s="428"/>
    </row>
    <row r="274" hidden="1">
      <c r="A274" s="419"/>
      <c r="B274" s="420"/>
      <c r="C274" s="360"/>
      <c r="D274" s="421"/>
      <c r="E274" s="360"/>
      <c r="F274" s="421"/>
      <c r="G274" s="421"/>
      <c r="H274" s="360"/>
      <c r="I274" s="360"/>
      <c r="J274" s="360"/>
      <c r="K274" s="421"/>
      <c r="L274" s="421"/>
      <c r="M274" s="421"/>
      <c r="N274" s="360"/>
      <c r="O274" s="360"/>
      <c r="P274" s="360"/>
      <c r="Q274" s="360"/>
      <c r="R274" s="360"/>
      <c r="S274" s="360"/>
      <c r="T274" s="421"/>
      <c r="U274" s="421"/>
      <c r="V274" s="421"/>
      <c r="W274" s="360"/>
      <c r="X274" s="360"/>
    </row>
    <row r="275" hidden="1">
      <c r="A275" s="424"/>
      <c r="B275" s="425"/>
      <c r="C275" s="426"/>
      <c r="D275" s="427"/>
      <c r="E275" s="426"/>
      <c r="F275" s="427"/>
      <c r="G275" s="427"/>
      <c r="H275" s="426"/>
      <c r="I275" s="426"/>
      <c r="J275" s="426"/>
      <c r="K275" s="427"/>
      <c r="L275" s="426"/>
      <c r="M275" s="429"/>
      <c r="N275" s="426"/>
      <c r="O275" s="426"/>
      <c r="P275" s="426"/>
      <c r="Q275" s="426"/>
      <c r="R275" s="426"/>
      <c r="S275" s="426"/>
      <c r="T275" s="427"/>
      <c r="U275" s="427"/>
      <c r="V275" s="427"/>
      <c r="W275" s="426"/>
      <c r="X275" s="428"/>
    </row>
    <row r="276" hidden="1">
      <c r="A276" s="419"/>
      <c r="B276" s="420"/>
      <c r="C276" s="360"/>
      <c r="D276" s="421"/>
      <c r="E276" s="360"/>
      <c r="F276" s="421"/>
      <c r="G276" s="421"/>
      <c r="H276" s="360"/>
      <c r="I276" s="360"/>
      <c r="J276" s="360"/>
      <c r="K276" s="422"/>
      <c r="L276" s="360"/>
      <c r="M276" s="422"/>
      <c r="N276" s="360"/>
      <c r="O276" s="360"/>
      <c r="P276" s="360"/>
      <c r="Q276" s="360"/>
      <c r="R276" s="360"/>
      <c r="S276" s="360"/>
      <c r="T276" s="421"/>
      <c r="U276" s="421"/>
      <c r="V276" s="421"/>
      <c r="W276" s="360"/>
      <c r="X276" s="360"/>
    </row>
    <row r="277" hidden="1">
      <c r="A277" s="424"/>
      <c r="B277" s="425"/>
      <c r="C277" s="426"/>
      <c r="D277" s="427"/>
      <c r="E277" s="426"/>
      <c r="F277" s="427"/>
      <c r="G277" s="427"/>
      <c r="H277" s="426"/>
      <c r="I277" s="426"/>
      <c r="J277" s="426"/>
      <c r="K277" s="427"/>
      <c r="L277" s="426"/>
      <c r="M277" s="429"/>
      <c r="N277" s="426"/>
      <c r="O277" s="426"/>
      <c r="P277" s="426"/>
      <c r="Q277" s="426"/>
      <c r="R277" s="426"/>
      <c r="S277" s="426"/>
      <c r="T277" s="427"/>
      <c r="U277" s="427"/>
      <c r="V277" s="427"/>
      <c r="W277" s="426"/>
      <c r="X277" s="428"/>
    </row>
    <row r="278" hidden="1">
      <c r="A278" s="419"/>
      <c r="B278" s="420"/>
      <c r="C278" s="360"/>
      <c r="D278" s="421"/>
      <c r="E278" s="360"/>
      <c r="F278" s="421"/>
      <c r="G278" s="421"/>
      <c r="H278" s="360"/>
      <c r="I278" s="360"/>
      <c r="J278" s="360"/>
      <c r="K278" s="422"/>
      <c r="L278" s="360"/>
      <c r="M278" s="422"/>
      <c r="N278" s="360"/>
      <c r="O278" s="360"/>
      <c r="P278" s="360"/>
      <c r="Q278" s="360"/>
      <c r="R278" s="360"/>
      <c r="S278" s="421"/>
      <c r="T278" s="421"/>
      <c r="U278" s="421"/>
      <c r="V278" s="421"/>
      <c r="W278" s="360"/>
      <c r="X278" s="360"/>
    </row>
    <row r="279" hidden="1">
      <c r="A279" s="424"/>
      <c r="B279" s="425"/>
      <c r="C279" s="426"/>
      <c r="D279" s="427"/>
      <c r="E279" s="426"/>
      <c r="F279" s="427"/>
      <c r="G279" s="427"/>
      <c r="H279" s="426"/>
      <c r="I279" s="426"/>
      <c r="J279" s="426"/>
      <c r="K279" s="427"/>
      <c r="L279" s="426"/>
      <c r="M279" s="427"/>
      <c r="N279" s="426"/>
      <c r="O279" s="426"/>
      <c r="P279" s="426"/>
      <c r="Q279" s="426"/>
      <c r="R279" s="426"/>
      <c r="S279" s="426"/>
      <c r="T279" s="427"/>
      <c r="U279" s="427"/>
      <c r="V279" s="427"/>
      <c r="W279" s="426"/>
      <c r="X279" s="428"/>
    </row>
    <row r="280" hidden="1">
      <c r="A280" s="419"/>
      <c r="B280" s="420"/>
      <c r="C280" s="360"/>
      <c r="D280" s="421"/>
      <c r="E280" s="360"/>
      <c r="F280" s="421"/>
      <c r="G280" s="421"/>
      <c r="H280" s="360"/>
      <c r="I280" s="360"/>
      <c r="J280" s="360"/>
      <c r="K280" s="421"/>
      <c r="L280" s="421"/>
      <c r="M280" s="421"/>
      <c r="N280" s="360"/>
      <c r="O280" s="360"/>
      <c r="P280" s="360"/>
      <c r="Q280" s="360"/>
      <c r="R280" s="360"/>
      <c r="S280" s="360"/>
      <c r="T280" s="421"/>
      <c r="U280" s="421"/>
      <c r="V280" s="421"/>
      <c r="W280" s="360"/>
      <c r="X280" s="360"/>
    </row>
    <row r="281" hidden="1">
      <c r="A281" s="424"/>
      <c r="B281" s="425"/>
      <c r="C281" s="426"/>
      <c r="D281" s="427"/>
      <c r="E281" s="426"/>
      <c r="F281" s="427"/>
      <c r="G281" s="427"/>
      <c r="H281" s="426"/>
      <c r="I281" s="426"/>
      <c r="J281" s="426"/>
      <c r="K281" s="427"/>
      <c r="L281" s="427"/>
      <c r="M281" s="427"/>
      <c r="N281" s="426"/>
      <c r="O281" s="426"/>
      <c r="P281" s="426"/>
      <c r="Q281" s="426"/>
      <c r="R281" s="426"/>
      <c r="S281" s="426"/>
      <c r="T281" s="427"/>
      <c r="U281" s="427"/>
      <c r="V281" s="427"/>
      <c r="W281" s="426"/>
      <c r="X281" s="426"/>
    </row>
    <row r="282" hidden="1">
      <c r="A282" s="419"/>
      <c r="B282" s="420"/>
      <c r="C282" s="360"/>
      <c r="D282" s="421"/>
      <c r="E282" s="360"/>
      <c r="F282" s="421"/>
      <c r="G282" s="421"/>
      <c r="H282" s="360"/>
      <c r="I282" s="360"/>
      <c r="J282" s="360"/>
      <c r="K282" s="422"/>
      <c r="L282" s="421"/>
      <c r="M282" s="422"/>
      <c r="N282" s="360"/>
      <c r="O282" s="360"/>
      <c r="P282" s="360"/>
      <c r="Q282" s="360"/>
      <c r="R282" s="360"/>
      <c r="S282" s="421"/>
      <c r="T282" s="421"/>
      <c r="U282" s="421"/>
      <c r="V282" s="421"/>
      <c r="W282" s="360"/>
      <c r="X282" s="423"/>
    </row>
    <row r="283" hidden="1">
      <c r="A283" s="424"/>
      <c r="B283" s="425"/>
      <c r="C283" s="426"/>
      <c r="D283" s="427"/>
      <c r="E283" s="426"/>
      <c r="F283" s="427"/>
      <c r="G283" s="427"/>
      <c r="H283" s="426"/>
      <c r="I283" s="426"/>
      <c r="J283" s="426"/>
      <c r="K283" s="429"/>
      <c r="L283" s="426"/>
      <c r="M283" s="429"/>
      <c r="N283" s="426"/>
      <c r="O283" s="426"/>
      <c r="P283" s="426"/>
      <c r="Q283" s="426"/>
      <c r="R283" s="426"/>
      <c r="S283" s="426"/>
      <c r="T283" s="427"/>
      <c r="U283" s="427"/>
      <c r="V283" s="427"/>
      <c r="W283" s="426"/>
      <c r="X283" s="428"/>
    </row>
    <row r="284" hidden="1">
      <c r="A284" s="419"/>
      <c r="B284" s="420"/>
      <c r="C284" s="360"/>
      <c r="D284" s="421"/>
      <c r="E284" s="360"/>
      <c r="F284" s="421"/>
      <c r="G284" s="421"/>
      <c r="H284" s="360"/>
      <c r="I284" s="360"/>
      <c r="J284" s="360"/>
      <c r="K284" s="421"/>
      <c r="L284" s="360"/>
      <c r="M284" s="421"/>
      <c r="N284" s="360"/>
      <c r="O284" s="360"/>
      <c r="P284" s="360"/>
      <c r="Q284" s="360"/>
      <c r="R284" s="360"/>
      <c r="S284" s="360"/>
      <c r="T284" s="421"/>
      <c r="U284" s="421"/>
      <c r="V284" s="421"/>
      <c r="W284" s="360"/>
      <c r="X284" s="423"/>
    </row>
    <row r="285" hidden="1">
      <c r="A285" s="424"/>
      <c r="B285" s="425"/>
      <c r="C285" s="426"/>
      <c r="D285" s="427"/>
      <c r="E285" s="426"/>
      <c r="F285" s="427"/>
      <c r="G285" s="427"/>
      <c r="H285" s="426"/>
      <c r="I285" s="426"/>
      <c r="J285" s="426"/>
      <c r="K285" s="429"/>
      <c r="L285" s="426"/>
      <c r="M285" s="429"/>
      <c r="N285" s="426"/>
      <c r="O285" s="426"/>
      <c r="P285" s="426"/>
      <c r="Q285" s="426"/>
      <c r="R285" s="426"/>
      <c r="S285" s="427"/>
      <c r="T285" s="427"/>
      <c r="U285" s="427"/>
      <c r="V285" s="427"/>
      <c r="W285" s="426"/>
      <c r="X285" s="428"/>
    </row>
    <row r="286" hidden="1">
      <c r="A286" s="419"/>
      <c r="B286" s="420"/>
      <c r="C286" s="360"/>
      <c r="D286" s="421"/>
      <c r="E286" s="360"/>
      <c r="F286" s="421"/>
      <c r="G286" s="421"/>
      <c r="H286" s="360"/>
      <c r="I286" s="360"/>
      <c r="J286" s="360"/>
      <c r="K286" s="421"/>
      <c r="L286" s="422"/>
      <c r="M286" s="422"/>
      <c r="N286" s="360"/>
      <c r="O286" s="360"/>
      <c r="P286" s="360"/>
      <c r="Q286" s="360"/>
      <c r="R286" s="360"/>
      <c r="S286" s="421"/>
      <c r="T286" s="421"/>
      <c r="U286" s="421"/>
      <c r="V286" s="421"/>
      <c r="W286" s="360"/>
      <c r="X286" s="423"/>
    </row>
    <row r="287" hidden="1">
      <c r="A287" s="424"/>
      <c r="B287" s="424"/>
      <c r="C287" s="426"/>
      <c r="D287" s="427"/>
      <c r="E287" s="426"/>
      <c r="F287" s="427"/>
      <c r="G287" s="427"/>
      <c r="H287" s="426"/>
      <c r="I287" s="426"/>
      <c r="J287" s="426"/>
      <c r="K287" s="427"/>
      <c r="L287" s="429"/>
      <c r="M287" s="429"/>
      <c r="N287" s="426"/>
      <c r="O287" s="426"/>
      <c r="P287" s="426"/>
      <c r="Q287" s="426"/>
      <c r="R287" s="426"/>
      <c r="S287" s="426"/>
      <c r="T287" s="427"/>
      <c r="U287" s="427"/>
      <c r="V287" s="427"/>
      <c r="W287" s="426"/>
      <c r="X287" s="428"/>
    </row>
    <row r="288" hidden="1">
      <c r="A288" s="419"/>
      <c r="B288" s="420"/>
      <c r="C288" s="360"/>
      <c r="D288" s="421"/>
      <c r="E288" s="360"/>
      <c r="F288" s="421"/>
      <c r="G288" s="421"/>
      <c r="H288" s="360"/>
      <c r="I288" s="360"/>
      <c r="J288" s="360"/>
      <c r="K288" s="421"/>
      <c r="L288" s="360"/>
      <c r="M288" s="422"/>
      <c r="N288" s="360"/>
      <c r="O288" s="360"/>
      <c r="P288" s="360"/>
      <c r="Q288" s="360"/>
      <c r="R288" s="360"/>
      <c r="S288" s="360"/>
      <c r="T288" s="421"/>
      <c r="U288" s="421"/>
      <c r="V288" s="421"/>
      <c r="W288" s="360"/>
      <c r="X288" s="423"/>
    </row>
    <row r="289" hidden="1">
      <c r="A289" s="424"/>
      <c r="B289" s="425"/>
      <c r="C289" s="426"/>
      <c r="D289" s="427"/>
      <c r="E289" s="426"/>
      <c r="F289" s="427"/>
      <c r="G289" s="427"/>
      <c r="H289" s="426"/>
      <c r="I289" s="426"/>
      <c r="J289" s="426"/>
      <c r="K289" s="427"/>
      <c r="L289" s="426"/>
      <c r="M289" s="427"/>
      <c r="N289" s="426"/>
      <c r="O289" s="426"/>
      <c r="P289" s="426"/>
      <c r="Q289" s="426"/>
      <c r="R289" s="426"/>
      <c r="S289" s="427"/>
      <c r="T289" s="427"/>
      <c r="U289" s="427"/>
      <c r="V289" s="427"/>
      <c r="W289" s="426"/>
      <c r="X289" s="428"/>
    </row>
    <row r="290" hidden="1">
      <c r="A290" s="419"/>
      <c r="B290" s="420"/>
      <c r="C290" s="360"/>
      <c r="D290" s="421"/>
      <c r="E290" s="360"/>
      <c r="F290" s="421"/>
      <c r="G290" s="421"/>
      <c r="H290" s="360"/>
      <c r="I290" s="360"/>
      <c r="J290" s="360"/>
      <c r="K290" s="422"/>
      <c r="L290" s="360"/>
      <c r="M290" s="422"/>
      <c r="N290" s="360"/>
      <c r="O290" s="360"/>
      <c r="P290" s="360"/>
      <c r="Q290" s="360"/>
      <c r="R290" s="360"/>
      <c r="S290" s="421"/>
      <c r="T290" s="421"/>
      <c r="U290" s="421"/>
      <c r="V290" s="421"/>
      <c r="W290" s="360"/>
      <c r="X290" s="423"/>
    </row>
    <row r="291" hidden="1">
      <c r="A291" s="424"/>
      <c r="B291" s="425"/>
      <c r="C291" s="426"/>
      <c r="D291" s="427"/>
      <c r="E291" s="426"/>
      <c r="F291" s="427"/>
      <c r="G291" s="427"/>
      <c r="H291" s="426"/>
      <c r="I291" s="426"/>
      <c r="J291" s="426"/>
      <c r="K291" s="427"/>
      <c r="L291" s="427"/>
      <c r="M291" s="427"/>
      <c r="N291" s="426"/>
      <c r="O291" s="426"/>
      <c r="P291" s="426"/>
      <c r="Q291" s="426"/>
      <c r="R291" s="426"/>
      <c r="S291" s="426"/>
      <c r="T291" s="427"/>
      <c r="U291" s="427"/>
      <c r="V291" s="426"/>
      <c r="W291" s="426"/>
      <c r="X291" s="426"/>
    </row>
    <row r="292" hidden="1">
      <c r="A292" s="419"/>
      <c r="B292" s="420"/>
      <c r="C292" s="360"/>
      <c r="D292" s="421"/>
      <c r="E292" s="360"/>
      <c r="F292" s="421"/>
      <c r="G292" s="421"/>
      <c r="H292" s="360"/>
      <c r="I292" s="360"/>
      <c r="J292" s="360"/>
      <c r="K292" s="421"/>
      <c r="L292" s="360"/>
      <c r="M292" s="421"/>
      <c r="N292" s="360"/>
      <c r="O292" s="360"/>
      <c r="P292" s="360"/>
      <c r="Q292" s="360"/>
      <c r="R292" s="360"/>
      <c r="S292" s="360"/>
      <c r="T292" s="421"/>
      <c r="U292" s="421"/>
      <c r="V292" s="360"/>
      <c r="W292" s="360"/>
      <c r="X292" s="423"/>
    </row>
    <row r="293" hidden="1">
      <c r="A293" s="424"/>
      <c r="B293" s="425"/>
      <c r="C293" s="426"/>
      <c r="D293" s="427"/>
      <c r="E293" s="426"/>
      <c r="F293" s="427"/>
      <c r="G293" s="427"/>
      <c r="H293" s="426"/>
      <c r="I293" s="426"/>
      <c r="J293" s="426"/>
      <c r="K293" s="429"/>
      <c r="L293" s="426"/>
      <c r="M293" s="429"/>
      <c r="N293" s="426"/>
      <c r="O293" s="426"/>
      <c r="P293" s="426"/>
      <c r="Q293" s="426"/>
      <c r="R293" s="426"/>
      <c r="S293" s="426"/>
      <c r="T293" s="427"/>
      <c r="U293" s="427"/>
      <c r="V293" s="427"/>
      <c r="W293" s="426"/>
      <c r="X293" s="428"/>
    </row>
    <row r="294" hidden="1">
      <c r="A294" s="419"/>
      <c r="B294" s="420"/>
      <c r="C294" s="360"/>
      <c r="D294" s="421"/>
      <c r="E294" s="360"/>
      <c r="F294" s="421"/>
      <c r="G294" s="421"/>
      <c r="H294" s="360"/>
      <c r="I294" s="360"/>
      <c r="J294" s="360"/>
      <c r="K294" s="421"/>
      <c r="L294" s="421"/>
      <c r="M294" s="421"/>
      <c r="N294" s="360"/>
      <c r="O294" s="360"/>
      <c r="P294" s="360"/>
      <c r="Q294" s="360"/>
      <c r="R294" s="360"/>
      <c r="S294" s="360"/>
      <c r="T294" s="421"/>
      <c r="U294" s="421"/>
      <c r="V294" s="360"/>
      <c r="W294" s="360"/>
      <c r="X294" s="423"/>
    </row>
    <row r="295" hidden="1">
      <c r="A295" s="424"/>
      <c r="B295" s="425"/>
      <c r="C295" s="426"/>
      <c r="D295" s="427"/>
      <c r="E295" s="426"/>
      <c r="F295" s="427"/>
      <c r="G295" s="427"/>
      <c r="H295" s="426"/>
      <c r="I295" s="426"/>
      <c r="J295" s="426"/>
      <c r="K295" s="427"/>
      <c r="L295" s="427"/>
      <c r="M295" s="429"/>
      <c r="N295" s="426"/>
      <c r="O295" s="426"/>
      <c r="P295" s="426"/>
      <c r="Q295" s="426"/>
      <c r="R295" s="426"/>
      <c r="S295" s="426"/>
      <c r="T295" s="427"/>
      <c r="U295" s="427"/>
      <c r="V295" s="426"/>
      <c r="W295" s="426"/>
      <c r="X295" s="428"/>
    </row>
    <row r="296" hidden="1">
      <c r="A296" s="419"/>
      <c r="B296" s="420"/>
      <c r="C296" s="360"/>
      <c r="D296" s="421"/>
      <c r="E296" s="360"/>
      <c r="F296" s="421"/>
      <c r="G296" s="421"/>
      <c r="H296" s="360"/>
      <c r="I296" s="360"/>
      <c r="J296" s="360"/>
      <c r="K296" s="421"/>
      <c r="L296" s="421"/>
      <c r="M296" s="421"/>
      <c r="N296" s="360"/>
      <c r="O296" s="360"/>
      <c r="P296" s="360"/>
      <c r="Q296" s="360"/>
      <c r="R296" s="360"/>
      <c r="S296" s="360"/>
      <c r="T296" s="421"/>
      <c r="U296" s="421"/>
      <c r="V296" s="360"/>
      <c r="W296" s="360"/>
      <c r="X296" s="360"/>
    </row>
    <row r="297" hidden="1">
      <c r="A297" s="424"/>
      <c r="B297" s="425"/>
      <c r="C297" s="426"/>
      <c r="D297" s="427"/>
      <c r="E297" s="426"/>
      <c r="F297" s="427"/>
      <c r="G297" s="427"/>
      <c r="H297" s="426"/>
      <c r="I297" s="426"/>
      <c r="J297" s="426"/>
      <c r="K297" s="427"/>
      <c r="L297" s="427"/>
      <c r="M297" s="429"/>
      <c r="N297" s="426"/>
      <c r="O297" s="426"/>
      <c r="P297" s="426"/>
      <c r="Q297" s="426"/>
      <c r="R297" s="426"/>
      <c r="S297" s="426"/>
      <c r="T297" s="427"/>
      <c r="U297" s="427"/>
      <c r="V297" s="427"/>
      <c r="W297" s="426"/>
      <c r="X297" s="428"/>
    </row>
    <row r="298" hidden="1">
      <c r="A298" s="419"/>
      <c r="B298" s="420"/>
      <c r="C298" s="360"/>
      <c r="D298" s="421"/>
      <c r="E298" s="360"/>
      <c r="F298" s="421"/>
      <c r="G298" s="421"/>
      <c r="H298" s="360"/>
      <c r="I298" s="360"/>
      <c r="J298" s="360"/>
      <c r="K298" s="421"/>
      <c r="L298" s="421"/>
      <c r="M298" s="421"/>
      <c r="N298" s="360"/>
      <c r="O298" s="360"/>
      <c r="P298" s="360"/>
      <c r="Q298" s="360"/>
      <c r="R298" s="360"/>
      <c r="S298" s="421"/>
      <c r="T298" s="421"/>
      <c r="U298" s="421"/>
      <c r="V298" s="421"/>
      <c r="W298" s="360"/>
      <c r="X298" s="423"/>
    </row>
    <row r="299" hidden="1">
      <c r="A299" s="424"/>
      <c r="B299" s="425"/>
      <c r="C299" s="426"/>
      <c r="D299" s="427"/>
      <c r="E299" s="426"/>
      <c r="F299" s="427"/>
      <c r="G299" s="427"/>
      <c r="H299" s="426"/>
      <c r="I299" s="426"/>
      <c r="J299" s="426"/>
      <c r="K299" s="427"/>
      <c r="L299" s="426"/>
      <c r="M299" s="429"/>
      <c r="N299" s="426"/>
      <c r="O299" s="426"/>
      <c r="P299" s="426"/>
      <c r="Q299" s="426"/>
      <c r="R299" s="426"/>
      <c r="S299" s="426"/>
      <c r="T299" s="427"/>
      <c r="U299" s="427"/>
      <c r="V299" s="427"/>
      <c r="W299" s="426"/>
      <c r="X299" s="428"/>
    </row>
    <row r="300" hidden="1">
      <c r="A300" s="419"/>
      <c r="B300" s="420"/>
      <c r="C300" s="360"/>
      <c r="D300" s="421"/>
      <c r="E300" s="360"/>
      <c r="F300" s="421"/>
      <c r="G300" s="421"/>
      <c r="H300" s="360"/>
      <c r="I300" s="360"/>
      <c r="J300" s="360"/>
      <c r="K300" s="421"/>
      <c r="L300" s="360"/>
      <c r="M300" s="421"/>
      <c r="N300" s="360"/>
      <c r="O300" s="360"/>
      <c r="P300" s="360"/>
      <c r="Q300" s="360"/>
      <c r="R300" s="360"/>
      <c r="S300" s="360"/>
      <c r="T300" s="421"/>
      <c r="U300" s="421"/>
      <c r="V300" s="421"/>
      <c r="W300" s="360"/>
      <c r="X300" s="423"/>
    </row>
    <row r="301" hidden="1">
      <c r="A301" s="424"/>
      <c r="B301" s="425"/>
      <c r="C301" s="426"/>
      <c r="D301" s="427"/>
      <c r="E301" s="426"/>
      <c r="F301" s="427"/>
      <c r="G301" s="427"/>
      <c r="H301" s="426"/>
      <c r="I301" s="426"/>
      <c r="J301" s="426"/>
      <c r="K301" s="429"/>
      <c r="L301" s="426"/>
      <c r="M301" s="429"/>
      <c r="N301" s="426"/>
      <c r="O301" s="426"/>
      <c r="P301" s="426"/>
      <c r="Q301" s="426"/>
      <c r="R301" s="426"/>
      <c r="S301" s="426"/>
      <c r="T301" s="427"/>
      <c r="U301" s="427"/>
      <c r="V301" s="427"/>
      <c r="W301" s="426"/>
      <c r="X301" s="426"/>
    </row>
    <row r="302" hidden="1">
      <c r="A302" s="419"/>
      <c r="B302" s="420"/>
      <c r="C302" s="360"/>
      <c r="D302" s="421"/>
      <c r="E302" s="360"/>
      <c r="F302" s="421"/>
      <c r="G302" s="421"/>
      <c r="H302" s="360"/>
      <c r="I302" s="360"/>
      <c r="J302" s="360"/>
      <c r="K302" s="421"/>
      <c r="L302" s="421"/>
      <c r="M302" s="421"/>
      <c r="N302" s="360"/>
      <c r="O302" s="360"/>
      <c r="P302" s="360"/>
      <c r="Q302" s="360"/>
      <c r="R302" s="360"/>
      <c r="S302" s="360"/>
      <c r="T302" s="421"/>
      <c r="U302" s="421"/>
      <c r="V302" s="421"/>
      <c r="W302" s="360"/>
      <c r="X302" s="423"/>
    </row>
    <row r="303" hidden="1">
      <c r="A303" s="424"/>
      <c r="B303" s="425"/>
      <c r="C303" s="426"/>
      <c r="D303" s="427"/>
      <c r="E303" s="426"/>
      <c r="F303" s="427"/>
      <c r="G303" s="427"/>
      <c r="H303" s="426"/>
      <c r="I303" s="426"/>
      <c r="J303" s="426"/>
      <c r="K303" s="427"/>
      <c r="L303" s="427"/>
      <c r="M303" s="427"/>
      <c r="N303" s="426"/>
      <c r="O303" s="426"/>
      <c r="P303" s="426"/>
      <c r="Q303" s="426"/>
      <c r="R303" s="426"/>
      <c r="S303" s="426"/>
      <c r="T303" s="427"/>
      <c r="U303" s="427"/>
      <c r="V303" s="427"/>
      <c r="W303" s="426"/>
      <c r="X303" s="428"/>
    </row>
    <row r="304" hidden="1">
      <c r="A304" s="419"/>
      <c r="B304" s="420"/>
      <c r="C304" s="360"/>
      <c r="D304" s="421"/>
      <c r="E304" s="360"/>
      <c r="F304" s="421"/>
      <c r="G304" s="421"/>
      <c r="H304" s="360"/>
      <c r="I304" s="360"/>
      <c r="J304" s="360"/>
      <c r="K304" s="422"/>
      <c r="L304" s="421"/>
      <c r="M304" s="422"/>
      <c r="N304" s="360"/>
      <c r="O304" s="360"/>
      <c r="P304" s="360"/>
      <c r="Q304" s="360"/>
      <c r="R304" s="360"/>
      <c r="S304" s="360"/>
      <c r="T304" s="421"/>
      <c r="U304" s="421"/>
      <c r="V304" s="421"/>
      <c r="W304" s="360"/>
      <c r="X304" s="423"/>
    </row>
    <row r="305" hidden="1">
      <c r="A305" s="424"/>
      <c r="B305" s="425"/>
      <c r="C305" s="426"/>
      <c r="D305" s="427"/>
      <c r="E305" s="426"/>
      <c r="F305" s="427"/>
      <c r="G305" s="427"/>
      <c r="H305" s="426"/>
      <c r="I305" s="426"/>
      <c r="J305" s="426"/>
      <c r="K305" s="427"/>
      <c r="L305" s="426"/>
      <c r="M305" s="427"/>
      <c r="N305" s="426"/>
      <c r="O305" s="426"/>
      <c r="P305" s="426"/>
      <c r="Q305" s="426"/>
      <c r="R305" s="426"/>
      <c r="S305" s="426"/>
      <c r="T305" s="427"/>
      <c r="U305" s="427"/>
      <c r="V305" s="427"/>
      <c r="W305" s="426"/>
      <c r="X305" s="428"/>
    </row>
    <row r="306" hidden="1">
      <c r="A306" s="419"/>
      <c r="B306" s="420"/>
      <c r="C306" s="360"/>
      <c r="D306" s="421"/>
      <c r="E306" s="360"/>
      <c r="F306" s="421"/>
      <c r="G306" s="421"/>
      <c r="H306" s="360"/>
      <c r="I306" s="360"/>
      <c r="J306" s="360"/>
      <c r="K306" s="421"/>
      <c r="L306" s="360"/>
      <c r="M306" s="421"/>
      <c r="N306" s="360"/>
      <c r="O306" s="360"/>
      <c r="P306" s="360"/>
      <c r="Q306" s="360"/>
      <c r="R306" s="360"/>
      <c r="S306" s="360"/>
      <c r="T306" s="421"/>
      <c r="U306" s="421"/>
      <c r="V306" s="421"/>
      <c r="W306" s="360"/>
      <c r="X306" s="423"/>
    </row>
    <row r="307" hidden="1">
      <c r="A307" s="424"/>
      <c r="B307" s="425"/>
      <c r="C307" s="426"/>
      <c r="D307" s="427"/>
      <c r="E307" s="426"/>
      <c r="F307" s="427"/>
      <c r="G307" s="427"/>
      <c r="H307" s="426"/>
      <c r="I307" s="426"/>
      <c r="J307" s="426"/>
      <c r="K307" s="427"/>
      <c r="L307" s="426"/>
      <c r="M307" s="427"/>
      <c r="N307" s="426"/>
      <c r="O307" s="426"/>
      <c r="P307" s="426"/>
      <c r="Q307" s="426"/>
      <c r="R307" s="426"/>
      <c r="S307" s="426"/>
      <c r="T307" s="427"/>
      <c r="U307" s="427"/>
      <c r="V307" s="427"/>
      <c r="W307" s="426"/>
      <c r="X307" s="428"/>
    </row>
    <row r="308" hidden="1">
      <c r="A308" s="419"/>
      <c r="B308" s="420"/>
      <c r="C308" s="360"/>
      <c r="D308" s="421"/>
      <c r="E308" s="360"/>
      <c r="F308" s="421"/>
      <c r="G308" s="421"/>
      <c r="H308" s="360"/>
      <c r="I308" s="360"/>
      <c r="J308" s="360"/>
      <c r="K308" s="421"/>
      <c r="L308" s="360"/>
      <c r="M308" s="421"/>
      <c r="N308" s="360"/>
      <c r="O308" s="360"/>
      <c r="P308" s="360"/>
      <c r="Q308" s="360"/>
      <c r="R308" s="360"/>
      <c r="S308" s="360"/>
      <c r="T308" s="421"/>
      <c r="U308" s="421"/>
      <c r="V308" s="360"/>
      <c r="W308" s="360"/>
      <c r="X308" s="360"/>
    </row>
    <row r="309" hidden="1">
      <c r="A309" s="424"/>
      <c r="B309" s="425"/>
      <c r="C309" s="426"/>
      <c r="D309" s="427"/>
      <c r="E309" s="426"/>
      <c r="F309" s="427"/>
      <c r="G309" s="427"/>
      <c r="H309" s="426"/>
      <c r="I309" s="426"/>
      <c r="J309" s="426"/>
      <c r="K309" s="427"/>
      <c r="L309" s="426"/>
      <c r="M309" s="427"/>
      <c r="N309" s="426"/>
      <c r="O309" s="426"/>
      <c r="P309" s="426"/>
      <c r="Q309" s="426"/>
      <c r="R309" s="426"/>
      <c r="S309" s="426"/>
      <c r="T309" s="427"/>
      <c r="U309" s="427"/>
      <c r="V309" s="427"/>
      <c r="W309" s="426"/>
      <c r="X309" s="426"/>
    </row>
    <row r="310" hidden="1">
      <c r="A310" s="419"/>
      <c r="B310" s="420"/>
      <c r="C310" s="360"/>
      <c r="D310" s="421"/>
      <c r="E310" s="360"/>
      <c r="F310" s="421"/>
      <c r="G310" s="421"/>
      <c r="H310" s="360"/>
      <c r="I310" s="360"/>
      <c r="J310" s="360"/>
      <c r="K310" s="421"/>
      <c r="L310" s="360"/>
      <c r="M310" s="421"/>
      <c r="N310" s="360"/>
      <c r="O310" s="360"/>
      <c r="P310" s="360"/>
      <c r="Q310" s="360"/>
      <c r="R310" s="360"/>
      <c r="S310" s="360"/>
      <c r="T310" s="421"/>
      <c r="U310" s="421"/>
      <c r="V310" s="421"/>
      <c r="W310" s="360"/>
      <c r="X310" s="360"/>
    </row>
    <row r="311" hidden="1">
      <c r="A311" s="424"/>
      <c r="B311" s="425"/>
      <c r="C311" s="426"/>
      <c r="D311" s="427"/>
      <c r="E311" s="426"/>
      <c r="F311" s="427"/>
      <c r="G311" s="427"/>
      <c r="H311" s="426"/>
      <c r="I311" s="426"/>
      <c r="J311" s="426"/>
      <c r="K311" s="429"/>
      <c r="L311" s="427"/>
      <c r="M311" s="429"/>
      <c r="N311" s="426"/>
      <c r="O311" s="426"/>
      <c r="P311" s="426"/>
      <c r="Q311" s="426"/>
      <c r="R311" s="426"/>
      <c r="S311" s="427"/>
      <c r="T311" s="427"/>
      <c r="U311" s="427"/>
      <c r="V311" s="427"/>
      <c r="W311" s="426"/>
      <c r="X311" s="428"/>
    </row>
    <row r="312" hidden="1">
      <c r="A312" s="419"/>
      <c r="B312" s="419"/>
      <c r="C312" s="360"/>
      <c r="D312" s="421"/>
      <c r="E312" s="360"/>
      <c r="F312" s="421"/>
      <c r="G312" s="421"/>
      <c r="H312" s="360"/>
      <c r="I312" s="360"/>
      <c r="J312" s="360"/>
      <c r="K312" s="421"/>
      <c r="L312" s="360"/>
      <c r="M312" s="421"/>
      <c r="N312" s="360"/>
      <c r="O312" s="360"/>
      <c r="P312" s="360"/>
      <c r="Q312" s="360"/>
      <c r="R312" s="360"/>
      <c r="S312" s="421"/>
      <c r="T312" s="421"/>
      <c r="U312" s="421"/>
      <c r="V312" s="421"/>
      <c r="W312" s="360"/>
      <c r="X312" s="433"/>
    </row>
    <row r="313" hidden="1">
      <c r="A313" s="430"/>
      <c r="B313" s="424"/>
      <c r="C313" s="426"/>
      <c r="D313" s="427"/>
      <c r="E313" s="426"/>
      <c r="F313" s="427"/>
      <c r="G313" s="427"/>
      <c r="H313" s="426"/>
      <c r="I313" s="426"/>
      <c r="J313" s="426"/>
      <c r="K313" s="427"/>
      <c r="L313" s="426"/>
      <c r="M313" s="427"/>
      <c r="N313" s="426"/>
      <c r="O313" s="426"/>
      <c r="P313" s="426"/>
      <c r="Q313" s="426"/>
      <c r="R313" s="426"/>
      <c r="S313" s="427"/>
      <c r="T313" s="427"/>
      <c r="U313" s="427"/>
      <c r="V313" s="427"/>
      <c r="W313" s="426"/>
      <c r="X313" s="428"/>
    </row>
    <row r="314" hidden="1">
      <c r="A314" s="419"/>
      <c r="B314" s="420"/>
      <c r="C314" s="360"/>
      <c r="D314" s="421"/>
      <c r="E314" s="360"/>
      <c r="F314" s="421"/>
      <c r="G314" s="421"/>
      <c r="H314" s="360"/>
      <c r="I314" s="360"/>
      <c r="J314" s="360"/>
      <c r="K314" s="421"/>
      <c r="L314" s="360"/>
      <c r="M314" s="421"/>
      <c r="N314" s="360"/>
      <c r="O314" s="360"/>
      <c r="P314" s="360"/>
      <c r="Q314" s="360"/>
      <c r="R314" s="360"/>
      <c r="S314" s="360"/>
      <c r="T314" s="421"/>
      <c r="U314" s="421"/>
      <c r="V314" s="421"/>
      <c r="W314" s="360"/>
      <c r="X314" s="360"/>
    </row>
    <row r="315" hidden="1">
      <c r="A315" s="424"/>
      <c r="B315" s="425"/>
      <c r="C315" s="426"/>
      <c r="D315" s="427"/>
      <c r="E315" s="426"/>
      <c r="F315" s="427"/>
      <c r="G315" s="427"/>
      <c r="H315" s="426"/>
      <c r="I315" s="426"/>
      <c r="J315" s="426"/>
      <c r="K315" s="427"/>
      <c r="L315" s="426"/>
      <c r="M315" s="427"/>
      <c r="N315" s="426"/>
      <c r="O315" s="426"/>
      <c r="P315" s="426"/>
      <c r="Q315" s="426"/>
      <c r="R315" s="426"/>
      <c r="S315" s="426"/>
      <c r="T315" s="427"/>
      <c r="U315" s="427"/>
      <c r="V315" s="427"/>
      <c r="W315" s="426"/>
      <c r="X315" s="426"/>
    </row>
    <row r="316" hidden="1">
      <c r="A316" s="435"/>
      <c r="B316" s="436"/>
      <c r="C316" s="360"/>
      <c r="D316" s="437"/>
      <c r="E316" s="360"/>
      <c r="F316" s="437"/>
      <c r="G316" s="437"/>
      <c r="H316" s="360"/>
      <c r="I316" s="360"/>
      <c r="J316" s="360"/>
      <c r="K316" s="437"/>
      <c r="L316" s="360"/>
      <c r="M316" s="437"/>
      <c r="N316" s="360"/>
      <c r="O316" s="360"/>
      <c r="P316" s="360"/>
      <c r="Q316" s="360"/>
      <c r="R316" s="360"/>
      <c r="S316" s="437"/>
      <c r="T316" s="437"/>
      <c r="U316" s="360"/>
      <c r="V316" s="360"/>
      <c r="W316" s="360"/>
      <c r="X316" s="360"/>
    </row>
    <row r="317" hidden="1">
      <c r="A317" s="424"/>
      <c r="B317" s="425"/>
      <c r="C317" s="426"/>
      <c r="D317" s="427"/>
      <c r="E317" s="426"/>
      <c r="F317" s="427"/>
      <c r="G317" s="427"/>
      <c r="H317" s="426"/>
      <c r="I317" s="426"/>
      <c r="J317" s="426"/>
      <c r="K317" s="427"/>
      <c r="L317" s="427"/>
      <c r="M317" s="429"/>
      <c r="N317" s="426"/>
      <c r="O317" s="426"/>
      <c r="P317" s="426"/>
      <c r="Q317" s="426"/>
      <c r="R317" s="426"/>
      <c r="S317" s="426"/>
      <c r="T317" s="427"/>
      <c r="U317" s="427"/>
      <c r="V317" s="427"/>
      <c r="W317" s="426"/>
      <c r="X317" s="428"/>
    </row>
    <row r="318" hidden="1">
      <c r="A318" s="419"/>
      <c r="B318" s="420"/>
      <c r="C318" s="360"/>
      <c r="D318" s="421"/>
      <c r="E318" s="360"/>
      <c r="F318" s="421"/>
      <c r="G318" s="421"/>
      <c r="H318" s="360"/>
      <c r="I318" s="360"/>
      <c r="J318" s="360"/>
      <c r="K318" s="421"/>
      <c r="L318" s="360"/>
      <c r="M318" s="421"/>
      <c r="N318" s="360"/>
      <c r="O318" s="360"/>
      <c r="P318" s="360"/>
      <c r="Q318" s="360"/>
      <c r="R318" s="360"/>
      <c r="S318" s="360"/>
      <c r="T318" s="421"/>
      <c r="U318" s="421"/>
      <c r="V318" s="421"/>
      <c r="W318" s="360"/>
      <c r="X318" s="423"/>
    </row>
    <row r="319" hidden="1">
      <c r="A319" s="424"/>
      <c r="B319" s="425"/>
      <c r="C319" s="426"/>
      <c r="D319" s="427"/>
      <c r="E319" s="426"/>
      <c r="F319" s="427"/>
      <c r="G319" s="427"/>
      <c r="H319" s="426"/>
      <c r="I319" s="426"/>
      <c r="J319" s="426"/>
      <c r="K319" s="427"/>
      <c r="L319" s="426"/>
      <c r="M319" s="429"/>
      <c r="N319" s="426"/>
      <c r="O319" s="426"/>
      <c r="P319" s="426"/>
      <c r="Q319" s="426"/>
      <c r="R319" s="426"/>
      <c r="S319" s="426"/>
      <c r="T319" s="427"/>
      <c r="U319" s="427"/>
      <c r="V319" s="427"/>
      <c r="W319" s="426"/>
      <c r="X319" s="428"/>
    </row>
    <row r="320" hidden="1">
      <c r="A320" s="419"/>
      <c r="B320" s="420"/>
      <c r="C320" s="360"/>
      <c r="D320" s="421"/>
      <c r="E320" s="360"/>
      <c r="F320" s="421"/>
      <c r="G320" s="421"/>
      <c r="H320" s="360"/>
      <c r="I320" s="360"/>
      <c r="J320" s="360"/>
      <c r="K320" s="421"/>
      <c r="L320" s="360"/>
      <c r="M320" s="421"/>
      <c r="N320" s="360"/>
      <c r="O320" s="360"/>
      <c r="P320" s="360"/>
      <c r="Q320" s="360"/>
      <c r="R320" s="360"/>
      <c r="S320" s="360"/>
      <c r="T320" s="421"/>
      <c r="U320" s="421"/>
      <c r="V320" s="421"/>
      <c r="W320" s="360"/>
      <c r="X320" s="423"/>
    </row>
    <row r="321" hidden="1">
      <c r="A321" s="424"/>
      <c r="B321" s="425"/>
      <c r="C321" s="426"/>
      <c r="D321" s="427"/>
      <c r="E321" s="426"/>
      <c r="F321" s="427"/>
      <c r="G321" s="427"/>
      <c r="H321" s="426"/>
      <c r="I321" s="426"/>
      <c r="J321" s="426"/>
      <c r="K321" s="427"/>
      <c r="L321" s="426"/>
      <c r="M321" s="427"/>
      <c r="N321" s="426"/>
      <c r="O321" s="426"/>
      <c r="P321" s="426"/>
      <c r="Q321" s="426"/>
      <c r="R321" s="426"/>
      <c r="S321" s="426"/>
      <c r="T321" s="427"/>
      <c r="U321" s="426"/>
      <c r="V321" s="427"/>
      <c r="W321" s="426"/>
      <c r="X321" s="428"/>
    </row>
    <row r="322" hidden="1">
      <c r="A322" s="419"/>
      <c r="B322" s="420"/>
      <c r="C322" s="360"/>
      <c r="D322" s="421"/>
      <c r="E322" s="360"/>
      <c r="F322" s="421"/>
      <c r="G322" s="421"/>
      <c r="H322" s="360"/>
      <c r="I322" s="360"/>
      <c r="J322" s="360"/>
      <c r="K322" s="421"/>
      <c r="L322" s="360"/>
      <c r="M322" s="421"/>
      <c r="N322" s="360"/>
      <c r="O322" s="360"/>
      <c r="P322" s="360"/>
      <c r="Q322" s="360"/>
      <c r="R322" s="360"/>
      <c r="S322" s="360"/>
      <c r="T322" s="421"/>
      <c r="U322" s="421"/>
      <c r="V322" s="421"/>
      <c r="W322" s="360"/>
      <c r="X322" s="423"/>
    </row>
    <row r="323" hidden="1">
      <c r="A323" s="424"/>
      <c r="B323" s="425"/>
      <c r="C323" s="426"/>
      <c r="D323" s="427"/>
      <c r="E323" s="426"/>
      <c r="F323" s="427"/>
      <c r="G323" s="427"/>
      <c r="H323" s="426"/>
      <c r="I323" s="426"/>
      <c r="J323" s="426"/>
      <c r="K323" s="429"/>
      <c r="L323" s="426"/>
      <c r="M323" s="429"/>
      <c r="N323" s="426"/>
      <c r="O323" s="426"/>
      <c r="P323" s="426"/>
      <c r="Q323" s="426"/>
      <c r="R323" s="426"/>
      <c r="S323" s="426"/>
      <c r="T323" s="427"/>
      <c r="U323" s="427"/>
      <c r="V323" s="427"/>
      <c r="W323" s="426"/>
      <c r="X323" s="428"/>
    </row>
    <row r="324" hidden="1">
      <c r="A324" s="419"/>
      <c r="B324" s="420"/>
      <c r="C324" s="360"/>
      <c r="D324" s="421"/>
      <c r="E324" s="360"/>
      <c r="F324" s="421"/>
      <c r="G324" s="421"/>
      <c r="H324" s="360"/>
      <c r="I324" s="360"/>
      <c r="J324" s="360"/>
      <c r="K324" s="421"/>
      <c r="L324" s="421"/>
      <c r="M324" s="421"/>
      <c r="N324" s="360"/>
      <c r="O324" s="360"/>
      <c r="P324" s="360"/>
      <c r="Q324" s="360"/>
      <c r="R324" s="360"/>
      <c r="S324" s="360"/>
      <c r="T324" s="421"/>
      <c r="U324" s="421"/>
      <c r="V324" s="421"/>
      <c r="W324" s="360"/>
      <c r="X324" s="423"/>
    </row>
    <row r="325" hidden="1">
      <c r="A325" s="424"/>
      <c r="B325" s="425"/>
      <c r="C325" s="426"/>
      <c r="D325" s="427"/>
      <c r="E325" s="426"/>
      <c r="F325" s="427"/>
      <c r="G325" s="427"/>
      <c r="H325" s="426"/>
      <c r="I325" s="426"/>
      <c r="J325" s="426"/>
      <c r="K325" s="427"/>
      <c r="L325" s="426"/>
      <c r="M325" s="427"/>
      <c r="N325" s="426"/>
      <c r="O325" s="426"/>
      <c r="P325" s="426"/>
      <c r="Q325" s="426"/>
      <c r="R325" s="426"/>
      <c r="S325" s="426"/>
      <c r="T325" s="427"/>
      <c r="U325" s="427"/>
      <c r="V325" s="427"/>
      <c r="W325" s="426"/>
      <c r="X325" s="428"/>
    </row>
    <row r="326" hidden="1">
      <c r="A326" s="419"/>
      <c r="B326" s="420"/>
      <c r="C326" s="360"/>
      <c r="D326" s="421"/>
      <c r="E326" s="360"/>
      <c r="F326" s="421"/>
      <c r="G326" s="421"/>
      <c r="H326" s="360"/>
      <c r="I326" s="360"/>
      <c r="J326" s="360"/>
      <c r="K326" s="422"/>
      <c r="L326" s="360"/>
      <c r="M326" s="422"/>
      <c r="N326" s="360"/>
      <c r="O326" s="360"/>
      <c r="P326" s="360"/>
      <c r="Q326" s="360"/>
      <c r="R326" s="360"/>
      <c r="S326" s="360"/>
      <c r="T326" s="421"/>
      <c r="U326" s="421"/>
      <c r="V326" s="421"/>
      <c r="W326" s="360"/>
      <c r="X326" s="423"/>
    </row>
    <row r="327" hidden="1">
      <c r="A327" s="424"/>
      <c r="B327" s="425"/>
      <c r="C327" s="426"/>
      <c r="D327" s="427"/>
      <c r="E327" s="426"/>
      <c r="F327" s="427"/>
      <c r="G327" s="427"/>
      <c r="H327" s="426"/>
      <c r="I327" s="426"/>
      <c r="J327" s="426"/>
      <c r="K327" s="429"/>
      <c r="L327" s="426"/>
      <c r="M327" s="429"/>
      <c r="N327" s="426"/>
      <c r="O327" s="426"/>
      <c r="P327" s="426"/>
      <c r="Q327" s="426"/>
      <c r="R327" s="426"/>
      <c r="S327" s="427"/>
      <c r="T327" s="427"/>
      <c r="U327" s="427"/>
      <c r="V327" s="427"/>
      <c r="W327" s="426"/>
      <c r="X327" s="428"/>
    </row>
    <row r="328" hidden="1">
      <c r="A328" s="419"/>
      <c r="B328" s="420"/>
      <c r="C328" s="360"/>
      <c r="D328" s="421"/>
      <c r="E328" s="360"/>
      <c r="F328" s="421"/>
      <c r="G328" s="421"/>
      <c r="H328" s="360"/>
      <c r="I328" s="360"/>
      <c r="J328" s="360"/>
      <c r="K328" s="421"/>
      <c r="L328" s="421"/>
      <c r="M328" s="421"/>
      <c r="N328" s="360"/>
      <c r="O328" s="360"/>
      <c r="P328" s="360"/>
      <c r="Q328" s="360"/>
      <c r="R328" s="360"/>
      <c r="S328" s="360"/>
      <c r="T328" s="421"/>
      <c r="U328" s="421"/>
      <c r="V328" s="421"/>
      <c r="W328" s="360"/>
      <c r="X328" s="423"/>
    </row>
    <row r="329" hidden="1">
      <c r="A329" s="424"/>
      <c r="B329" s="425"/>
      <c r="C329" s="426"/>
      <c r="D329" s="427"/>
      <c r="E329" s="426"/>
      <c r="F329" s="427"/>
      <c r="G329" s="427"/>
      <c r="H329" s="426"/>
      <c r="I329" s="426"/>
      <c r="J329" s="426"/>
      <c r="K329" s="429"/>
      <c r="L329" s="427"/>
      <c r="M329" s="429"/>
      <c r="N329" s="426"/>
      <c r="O329" s="426"/>
      <c r="P329" s="426"/>
      <c r="Q329" s="426"/>
      <c r="R329" s="426"/>
      <c r="S329" s="426"/>
      <c r="T329" s="427"/>
      <c r="U329" s="427"/>
      <c r="V329" s="427"/>
      <c r="W329" s="426"/>
      <c r="X329" s="428"/>
    </row>
    <row r="330" hidden="1">
      <c r="A330" s="419"/>
      <c r="B330" s="420"/>
      <c r="C330" s="360"/>
      <c r="D330" s="421"/>
      <c r="E330" s="360"/>
      <c r="F330" s="421"/>
      <c r="G330" s="421"/>
      <c r="H330" s="360"/>
      <c r="I330" s="360"/>
      <c r="J330" s="360"/>
      <c r="K330" s="421"/>
      <c r="L330" s="421"/>
      <c r="M330" s="421"/>
      <c r="N330" s="360"/>
      <c r="O330" s="360"/>
      <c r="P330" s="360"/>
      <c r="Q330" s="360"/>
      <c r="R330" s="360"/>
      <c r="S330" s="421"/>
      <c r="T330" s="421"/>
      <c r="U330" s="421"/>
      <c r="V330" s="360"/>
      <c r="W330" s="360"/>
      <c r="X330" s="360"/>
    </row>
    <row r="331" hidden="1">
      <c r="A331" s="424"/>
      <c r="B331" s="425"/>
      <c r="C331" s="426"/>
      <c r="D331" s="427"/>
      <c r="E331" s="426"/>
      <c r="F331" s="427"/>
      <c r="G331" s="427"/>
      <c r="H331" s="426"/>
      <c r="I331" s="426"/>
      <c r="J331" s="426"/>
      <c r="K331" s="427"/>
      <c r="L331" s="426"/>
      <c r="M331" s="427"/>
      <c r="N331" s="426"/>
      <c r="O331" s="426"/>
      <c r="P331" s="426"/>
      <c r="Q331" s="426"/>
      <c r="R331" s="426"/>
      <c r="S331" s="427"/>
      <c r="T331" s="427"/>
      <c r="U331" s="427"/>
      <c r="V331" s="427"/>
      <c r="W331" s="426"/>
      <c r="X331" s="428"/>
    </row>
    <row r="332">
      <c r="V332" s="438"/>
    </row>
    <row r="333">
      <c r="V333" s="438"/>
    </row>
    <row r="334">
      <c r="V334" s="438"/>
    </row>
    <row r="335">
      <c r="V335" s="438"/>
    </row>
    <row r="336">
      <c r="V336" s="438"/>
    </row>
    <row r="337">
      <c r="V337" s="438"/>
    </row>
    <row r="338">
      <c r="V338" s="438"/>
    </row>
    <row r="339">
      <c r="V339" s="438"/>
    </row>
    <row r="340">
      <c r="V340" s="438"/>
    </row>
    <row r="341">
      <c r="V341" s="438"/>
    </row>
    <row r="342">
      <c r="V342" s="438"/>
    </row>
    <row r="343">
      <c r="V343" s="438"/>
    </row>
    <row r="344">
      <c r="V344" s="438"/>
    </row>
    <row r="345">
      <c r="V345" s="438"/>
    </row>
    <row r="346">
      <c r="V346" s="438"/>
    </row>
    <row r="347">
      <c r="V347" s="438"/>
    </row>
    <row r="348">
      <c r="V348" s="438"/>
    </row>
    <row r="349">
      <c r="V349" s="438"/>
    </row>
    <row r="350">
      <c r="V350" s="438"/>
    </row>
    <row r="351">
      <c r="V351" s="438"/>
    </row>
    <row r="352">
      <c r="V352" s="438"/>
    </row>
    <row r="353">
      <c r="V353" s="438"/>
    </row>
    <row r="354">
      <c r="V354" s="438"/>
    </row>
    <row r="355">
      <c r="V355" s="438"/>
    </row>
    <row r="356">
      <c r="V356" s="438"/>
    </row>
    <row r="357">
      <c r="V357" s="438"/>
    </row>
    <row r="358">
      <c r="V358" s="438"/>
    </row>
    <row r="359">
      <c r="V359" s="438"/>
    </row>
    <row r="360">
      <c r="V360" s="438"/>
    </row>
    <row r="361">
      <c r="V361" s="438"/>
    </row>
    <row r="362">
      <c r="V362" s="438"/>
    </row>
    <row r="363">
      <c r="V363" s="438"/>
    </row>
    <row r="364">
      <c r="V364" s="438"/>
    </row>
    <row r="365">
      <c r="V365" s="438"/>
    </row>
    <row r="366">
      <c r="V366" s="438"/>
    </row>
    <row r="367">
      <c r="V367" s="438"/>
    </row>
    <row r="368">
      <c r="V368" s="438"/>
    </row>
    <row r="369">
      <c r="V369" s="438"/>
    </row>
    <row r="370">
      <c r="V370" s="438"/>
    </row>
    <row r="371">
      <c r="V371" s="438"/>
    </row>
    <row r="372">
      <c r="V372" s="438"/>
    </row>
    <row r="373">
      <c r="V373" s="438"/>
    </row>
    <row r="374">
      <c r="V374" s="438"/>
    </row>
    <row r="375">
      <c r="V375" s="438"/>
    </row>
    <row r="376">
      <c r="V376" s="438"/>
    </row>
    <row r="377">
      <c r="V377" s="438"/>
    </row>
    <row r="378">
      <c r="V378" s="438"/>
    </row>
    <row r="379">
      <c r="V379" s="438"/>
    </row>
    <row r="380">
      <c r="V380" s="438"/>
    </row>
    <row r="381">
      <c r="V381" s="438"/>
    </row>
    <row r="382">
      <c r="V382" s="438"/>
    </row>
    <row r="383">
      <c r="V383" s="438"/>
    </row>
    <row r="384">
      <c r="V384" s="438"/>
    </row>
    <row r="385">
      <c r="V385" s="438"/>
    </row>
    <row r="386">
      <c r="V386" s="438"/>
    </row>
    <row r="387">
      <c r="V387" s="438"/>
    </row>
    <row r="388">
      <c r="V388" s="438"/>
    </row>
    <row r="389">
      <c r="V389" s="438"/>
    </row>
    <row r="390">
      <c r="V390" s="438"/>
    </row>
    <row r="391">
      <c r="V391" s="438"/>
    </row>
    <row r="392">
      <c r="V392" s="438"/>
    </row>
    <row r="393">
      <c r="V393" s="438"/>
    </row>
    <row r="394">
      <c r="V394" s="438"/>
    </row>
    <row r="395">
      <c r="V395" s="438"/>
    </row>
    <row r="396">
      <c r="V396" s="438"/>
    </row>
    <row r="397">
      <c r="V397" s="438"/>
    </row>
    <row r="398">
      <c r="V398" s="438"/>
    </row>
    <row r="399">
      <c r="V399" s="438"/>
    </row>
    <row r="400">
      <c r="V400" s="438"/>
    </row>
    <row r="401">
      <c r="V401" s="438"/>
    </row>
    <row r="402">
      <c r="V402" s="438"/>
    </row>
    <row r="403">
      <c r="V403" s="438"/>
    </row>
    <row r="404">
      <c r="V404" s="438"/>
    </row>
    <row r="405">
      <c r="V405" s="438"/>
    </row>
    <row r="406">
      <c r="V406" s="438"/>
    </row>
    <row r="407">
      <c r="V407" s="438"/>
    </row>
    <row r="408">
      <c r="V408" s="438"/>
    </row>
    <row r="409">
      <c r="V409" s="438"/>
    </row>
    <row r="410">
      <c r="V410" s="438"/>
    </row>
    <row r="411">
      <c r="V411" s="438"/>
    </row>
    <row r="412">
      <c r="V412" s="438"/>
    </row>
    <row r="413">
      <c r="V413" s="438"/>
    </row>
    <row r="414">
      <c r="V414" s="438"/>
    </row>
    <row r="415">
      <c r="V415" s="438"/>
    </row>
    <row r="416">
      <c r="V416" s="438"/>
    </row>
    <row r="417">
      <c r="V417" s="438"/>
    </row>
    <row r="418">
      <c r="V418" s="438"/>
    </row>
    <row r="419">
      <c r="V419" s="438"/>
    </row>
    <row r="420">
      <c r="V420" s="438"/>
    </row>
    <row r="421">
      <c r="V421" s="438"/>
    </row>
    <row r="422">
      <c r="V422" s="438"/>
    </row>
    <row r="423">
      <c r="V423" s="438"/>
    </row>
    <row r="424">
      <c r="V424" s="438"/>
    </row>
    <row r="425">
      <c r="V425" s="438"/>
    </row>
    <row r="426">
      <c r="V426" s="438"/>
    </row>
    <row r="427">
      <c r="V427" s="438"/>
    </row>
    <row r="428">
      <c r="V428" s="438"/>
    </row>
    <row r="429">
      <c r="V429" s="438"/>
    </row>
    <row r="430">
      <c r="V430" s="438"/>
    </row>
    <row r="431">
      <c r="V431" s="438"/>
    </row>
    <row r="432">
      <c r="V432" s="438"/>
    </row>
    <row r="433">
      <c r="V433" s="438"/>
    </row>
    <row r="434">
      <c r="V434" s="438"/>
    </row>
    <row r="435">
      <c r="V435" s="438"/>
    </row>
    <row r="436">
      <c r="V436" s="438"/>
    </row>
    <row r="437">
      <c r="V437" s="438"/>
    </row>
    <row r="438">
      <c r="V438" s="438"/>
    </row>
    <row r="439">
      <c r="V439" s="438"/>
    </row>
    <row r="440">
      <c r="V440" s="438"/>
    </row>
    <row r="441">
      <c r="V441" s="438"/>
    </row>
    <row r="442">
      <c r="V442" s="438"/>
    </row>
    <row r="443">
      <c r="V443" s="438"/>
    </row>
    <row r="444">
      <c r="V444" s="438"/>
    </row>
    <row r="445">
      <c r="V445" s="438"/>
    </row>
    <row r="446">
      <c r="V446" s="438"/>
    </row>
    <row r="447">
      <c r="V447" s="438"/>
    </row>
    <row r="448">
      <c r="V448" s="438"/>
    </row>
    <row r="449">
      <c r="V449" s="438"/>
    </row>
    <row r="450">
      <c r="V450" s="438"/>
    </row>
    <row r="451">
      <c r="V451" s="438"/>
    </row>
    <row r="452">
      <c r="V452" s="438"/>
    </row>
    <row r="453">
      <c r="V453" s="438"/>
    </row>
    <row r="454">
      <c r="V454" s="438"/>
    </row>
    <row r="455">
      <c r="V455" s="438"/>
    </row>
    <row r="456">
      <c r="V456" s="438"/>
    </row>
    <row r="457">
      <c r="V457" s="438"/>
    </row>
    <row r="458">
      <c r="V458" s="438"/>
    </row>
    <row r="459">
      <c r="V459" s="438"/>
    </row>
    <row r="460">
      <c r="V460" s="438"/>
    </row>
    <row r="461">
      <c r="V461" s="438"/>
    </row>
    <row r="462">
      <c r="V462" s="438"/>
    </row>
    <row r="463">
      <c r="V463" s="438"/>
    </row>
    <row r="464">
      <c r="V464" s="438"/>
    </row>
    <row r="465">
      <c r="V465" s="438"/>
    </row>
    <row r="466">
      <c r="V466" s="438"/>
    </row>
    <row r="467">
      <c r="V467" s="438"/>
    </row>
    <row r="468">
      <c r="V468" s="438"/>
    </row>
    <row r="469">
      <c r="V469" s="438"/>
    </row>
    <row r="470">
      <c r="V470" s="438"/>
    </row>
    <row r="471">
      <c r="V471" s="438"/>
    </row>
    <row r="472">
      <c r="V472" s="438"/>
    </row>
    <row r="473">
      <c r="V473" s="438"/>
    </row>
    <row r="474">
      <c r="V474" s="438"/>
    </row>
    <row r="475">
      <c r="V475" s="438"/>
    </row>
    <row r="476">
      <c r="V476" s="438"/>
    </row>
    <row r="477">
      <c r="V477" s="438"/>
    </row>
    <row r="478">
      <c r="V478" s="438"/>
    </row>
    <row r="479">
      <c r="V479" s="438"/>
    </row>
    <row r="480">
      <c r="V480" s="438"/>
    </row>
    <row r="481">
      <c r="V481" s="438"/>
    </row>
    <row r="482">
      <c r="V482" s="438"/>
    </row>
    <row r="483">
      <c r="V483" s="438"/>
    </row>
    <row r="484">
      <c r="V484" s="438"/>
    </row>
    <row r="485">
      <c r="V485" s="438"/>
    </row>
    <row r="486">
      <c r="V486" s="438"/>
    </row>
    <row r="487">
      <c r="V487" s="438"/>
    </row>
    <row r="488">
      <c r="V488" s="438"/>
    </row>
    <row r="489">
      <c r="V489" s="438"/>
    </row>
    <row r="490">
      <c r="V490" s="438"/>
    </row>
    <row r="491">
      <c r="V491" s="438"/>
    </row>
    <row r="492">
      <c r="V492" s="438"/>
    </row>
    <row r="493">
      <c r="V493" s="438"/>
    </row>
    <row r="494">
      <c r="V494" s="438"/>
    </row>
    <row r="495">
      <c r="V495" s="438"/>
    </row>
    <row r="496">
      <c r="V496" s="438"/>
    </row>
    <row r="497">
      <c r="V497" s="438"/>
    </row>
    <row r="498">
      <c r="V498" s="438"/>
    </row>
    <row r="499">
      <c r="V499" s="438"/>
    </row>
    <row r="500">
      <c r="V500" s="438"/>
    </row>
    <row r="501">
      <c r="V501" s="438"/>
    </row>
    <row r="502">
      <c r="V502" s="438"/>
    </row>
    <row r="503">
      <c r="V503" s="438"/>
    </row>
    <row r="504">
      <c r="V504" s="438"/>
    </row>
    <row r="505">
      <c r="V505" s="438"/>
    </row>
    <row r="506">
      <c r="V506" s="438"/>
    </row>
    <row r="507">
      <c r="V507" s="438"/>
    </row>
    <row r="508">
      <c r="V508" s="438"/>
    </row>
    <row r="509">
      <c r="V509" s="438"/>
    </row>
    <row r="510">
      <c r="V510" s="438"/>
    </row>
    <row r="511">
      <c r="V511" s="438"/>
    </row>
    <row r="512">
      <c r="V512" s="438"/>
    </row>
    <row r="513">
      <c r="V513" s="438"/>
    </row>
    <row r="514">
      <c r="V514" s="438"/>
    </row>
    <row r="515">
      <c r="V515" s="438"/>
    </row>
    <row r="516">
      <c r="V516" s="438"/>
    </row>
    <row r="517">
      <c r="V517" s="438"/>
    </row>
    <row r="518">
      <c r="V518" s="438"/>
    </row>
    <row r="519">
      <c r="V519" s="438"/>
    </row>
    <row r="520">
      <c r="V520" s="438"/>
    </row>
    <row r="521">
      <c r="V521" s="438"/>
    </row>
    <row r="522">
      <c r="V522" s="438"/>
    </row>
    <row r="523">
      <c r="V523" s="438"/>
    </row>
    <row r="524">
      <c r="V524" s="438"/>
    </row>
    <row r="525">
      <c r="V525" s="438"/>
    </row>
    <row r="526">
      <c r="V526" s="438"/>
    </row>
    <row r="527">
      <c r="V527" s="438"/>
    </row>
    <row r="528">
      <c r="V528" s="438"/>
    </row>
    <row r="529">
      <c r="V529" s="438"/>
    </row>
    <row r="530">
      <c r="V530" s="438"/>
    </row>
    <row r="531">
      <c r="V531" s="438"/>
    </row>
    <row r="532">
      <c r="V532" s="438"/>
    </row>
    <row r="533">
      <c r="V533" s="438"/>
    </row>
    <row r="534">
      <c r="V534" s="438"/>
    </row>
    <row r="535">
      <c r="V535" s="438"/>
    </row>
    <row r="536">
      <c r="V536" s="438"/>
    </row>
    <row r="537">
      <c r="V537" s="438"/>
    </row>
    <row r="538">
      <c r="V538" s="438"/>
    </row>
    <row r="539">
      <c r="V539" s="438"/>
    </row>
    <row r="540">
      <c r="V540" s="438"/>
    </row>
    <row r="541">
      <c r="V541" s="438"/>
    </row>
    <row r="542">
      <c r="V542" s="438"/>
    </row>
    <row r="543">
      <c r="V543" s="438"/>
    </row>
    <row r="544">
      <c r="V544" s="438"/>
    </row>
    <row r="545">
      <c r="V545" s="438"/>
    </row>
    <row r="546">
      <c r="V546" s="438"/>
    </row>
    <row r="547">
      <c r="V547" s="438"/>
    </row>
    <row r="548">
      <c r="V548" s="438"/>
    </row>
    <row r="549">
      <c r="V549" s="438"/>
    </row>
    <row r="550">
      <c r="V550" s="438"/>
    </row>
    <row r="551">
      <c r="V551" s="438"/>
    </row>
    <row r="552">
      <c r="V552" s="438"/>
    </row>
    <row r="553">
      <c r="V553" s="438"/>
    </row>
    <row r="554">
      <c r="V554" s="438"/>
    </row>
    <row r="555">
      <c r="V555" s="438"/>
    </row>
    <row r="556">
      <c r="V556" s="438"/>
    </row>
    <row r="557">
      <c r="V557" s="438"/>
    </row>
    <row r="558">
      <c r="V558" s="438"/>
    </row>
    <row r="559">
      <c r="V559" s="438"/>
    </row>
    <row r="560">
      <c r="V560" s="438"/>
    </row>
    <row r="561">
      <c r="V561" s="438"/>
    </row>
    <row r="562">
      <c r="V562" s="438"/>
    </row>
    <row r="563">
      <c r="V563" s="438"/>
    </row>
    <row r="564">
      <c r="V564" s="438"/>
    </row>
    <row r="565">
      <c r="V565" s="438"/>
    </row>
    <row r="566">
      <c r="V566" s="438"/>
    </row>
    <row r="567">
      <c r="V567" s="438"/>
    </row>
    <row r="568">
      <c r="V568" s="438"/>
    </row>
    <row r="569">
      <c r="V569" s="438"/>
    </row>
    <row r="570">
      <c r="V570" s="438"/>
    </row>
    <row r="571">
      <c r="V571" s="438"/>
    </row>
    <row r="572">
      <c r="V572" s="438"/>
    </row>
    <row r="573">
      <c r="V573" s="438"/>
    </row>
    <row r="574">
      <c r="V574" s="438"/>
    </row>
    <row r="575">
      <c r="V575" s="438"/>
    </row>
    <row r="576">
      <c r="V576" s="438"/>
    </row>
    <row r="577">
      <c r="V577" s="438"/>
    </row>
    <row r="578">
      <c r="V578" s="438"/>
    </row>
    <row r="579">
      <c r="V579" s="438"/>
    </row>
    <row r="580">
      <c r="V580" s="438"/>
    </row>
    <row r="581">
      <c r="V581" s="438"/>
    </row>
    <row r="582">
      <c r="V582" s="438"/>
    </row>
    <row r="583">
      <c r="V583" s="438"/>
    </row>
    <row r="584">
      <c r="V584" s="438"/>
    </row>
    <row r="585">
      <c r="V585" s="438"/>
    </row>
    <row r="586">
      <c r="V586" s="438"/>
    </row>
    <row r="587">
      <c r="V587" s="438"/>
    </row>
    <row r="588">
      <c r="V588" s="438"/>
    </row>
    <row r="589">
      <c r="V589" s="438"/>
    </row>
    <row r="590">
      <c r="V590" s="438"/>
    </row>
    <row r="591">
      <c r="V591" s="438"/>
    </row>
    <row r="592">
      <c r="V592" s="438"/>
    </row>
    <row r="593">
      <c r="V593" s="438"/>
    </row>
    <row r="594">
      <c r="V594" s="438"/>
    </row>
    <row r="595">
      <c r="V595" s="438"/>
    </row>
    <row r="596">
      <c r="V596" s="438"/>
    </row>
    <row r="597">
      <c r="V597" s="438"/>
    </row>
    <row r="598">
      <c r="V598" s="438"/>
    </row>
    <row r="599">
      <c r="V599" s="438"/>
    </row>
    <row r="600">
      <c r="V600" s="438"/>
    </row>
    <row r="601">
      <c r="V601" s="438"/>
    </row>
    <row r="602">
      <c r="V602" s="438"/>
    </row>
    <row r="603">
      <c r="V603" s="438"/>
    </row>
    <row r="604">
      <c r="V604" s="438"/>
    </row>
    <row r="605">
      <c r="V605" s="438"/>
    </row>
    <row r="606">
      <c r="V606" s="438"/>
    </row>
    <row r="607">
      <c r="V607" s="438"/>
    </row>
    <row r="608">
      <c r="V608" s="438"/>
    </row>
    <row r="609">
      <c r="V609" s="438"/>
    </row>
    <row r="610">
      <c r="V610" s="438"/>
    </row>
    <row r="611">
      <c r="V611" s="438"/>
    </row>
    <row r="612">
      <c r="V612" s="438"/>
    </row>
    <row r="613">
      <c r="V613" s="438"/>
    </row>
    <row r="614">
      <c r="V614" s="438"/>
    </row>
    <row r="615">
      <c r="V615" s="438"/>
    </row>
    <row r="616">
      <c r="V616" s="438"/>
    </row>
    <row r="617">
      <c r="V617" s="438"/>
    </row>
    <row r="618">
      <c r="V618" s="438"/>
    </row>
    <row r="619">
      <c r="V619" s="438"/>
    </row>
    <row r="620">
      <c r="V620" s="438"/>
    </row>
    <row r="621">
      <c r="V621" s="438"/>
    </row>
    <row r="622">
      <c r="V622" s="438"/>
    </row>
    <row r="623">
      <c r="V623" s="438"/>
    </row>
    <row r="624">
      <c r="V624" s="438"/>
    </row>
    <row r="625">
      <c r="V625" s="438"/>
    </row>
    <row r="626">
      <c r="V626" s="438"/>
    </row>
    <row r="627">
      <c r="V627" s="438"/>
    </row>
    <row r="628">
      <c r="V628" s="438"/>
    </row>
    <row r="629">
      <c r="V629" s="438"/>
    </row>
    <row r="630">
      <c r="V630" s="438"/>
    </row>
    <row r="631">
      <c r="V631" s="438"/>
    </row>
    <row r="632">
      <c r="V632" s="438"/>
    </row>
    <row r="633">
      <c r="V633" s="438"/>
    </row>
    <row r="634">
      <c r="V634" s="438"/>
    </row>
    <row r="635">
      <c r="V635" s="438"/>
    </row>
    <row r="636">
      <c r="V636" s="438"/>
    </row>
    <row r="637">
      <c r="V637" s="438"/>
    </row>
    <row r="638">
      <c r="V638" s="438"/>
    </row>
    <row r="639">
      <c r="V639" s="438"/>
    </row>
    <row r="640">
      <c r="V640" s="438"/>
    </row>
    <row r="641">
      <c r="V641" s="438"/>
    </row>
    <row r="642">
      <c r="V642" s="438"/>
    </row>
    <row r="643">
      <c r="V643" s="438"/>
    </row>
    <row r="644">
      <c r="V644" s="438"/>
    </row>
    <row r="645">
      <c r="V645" s="438"/>
    </row>
    <row r="646">
      <c r="V646" s="438"/>
    </row>
    <row r="647">
      <c r="V647" s="438"/>
    </row>
    <row r="648">
      <c r="V648" s="438"/>
    </row>
    <row r="649">
      <c r="V649" s="438"/>
    </row>
    <row r="650">
      <c r="V650" s="438"/>
    </row>
    <row r="651">
      <c r="V651" s="438"/>
    </row>
    <row r="652">
      <c r="V652" s="438"/>
    </row>
    <row r="653">
      <c r="V653" s="438"/>
    </row>
    <row r="654">
      <c r="V654" s="438"/>
    </row>
    <row r="655">
      <c r="V655" s="438"/>
    </row>
    <row r="656">
      <c r="V656" s="438"/>
    </row>
    <row r="657">
      <c r="V657" s="438"/>
    </row>
    <row r="658">
      <c r="V658" s="438"/>
    </row>
    <row r="659">
      <c r="V659" s="438"/>
    </row>
    <row r="660">
      <c r="V660" s="438"/>
    </row>
    <row r="661">
      <c r="V661" s="438"/>
    </row>
    <row r="662">
      <c r="V662" s="438"/>
    </row>
    <row r="663">
      <c r="V663" s="438"/>
    </row>
    <row r="664">
      <c r="V664" s="438"/>
    </row>
    <row r="665">
      <c r="V665" s="438"/>
    </row>
    <row r="666">
      <c r="V666" s="438"/>
    </row>
    <row r="667">
      <c r="V667" s="438"/>
    </row>
    <row r="668">
      <c r="V668" s="438"/>
    </row>
    <row r="669">
      <c r="V669" s="438"/>
    </row>
    <row r="670">
      <c r="V670" s="438"/>
    </row>
    <row r="671">
      <c r="V671" s="438"/>
    </row>
    <row r="672">
      <c r="V672" s="438"/>
    </row>
    <row r="673">
      <c r="V673" s="438"/>
    </row>
    <row r="674">
      <c r="V674" s="438"/>
    </row>
    <row r="675">
      <c r="V675" s="438"/>
    </row>
    <row r="676">
      <c r="V676" s="438"/>
    </row>
    <row r="677">
      <c r="V677" s="438"/>
    </row>
    <row r="678">
      <c r="V678" s="438"/>
    </row>
    <row r="679">
      <c r="V679" s="438"/>
    </row>
    <row r="680">
      <c r="V680" s="438"/>
    </row>
    <row r="681">
      <c r="V681" s="438"/>
    </row>
    <row r="682">
      <c r="V682" s="438"/>
    </row>
    <row r="683">
      <c r="V683" s="438"/>
    </row>
    <row r="684">
      <c r="V684" s="438"/>
    </row>
    <row r="685">
      <c r="V685" s="438"/>
    </row>
    <row r="686">
      <c r="V686" s="438"/>
    </row>
    <row r="687">
      <c r="V687" s="438"/>
    </row>
    <row r="688">
      <c r="V688" s="438"/>
    </row>
    <row r="689">
      <c r="V689" s="438"/>
    </row>
    <row r="690">
      <c r="V690" s="438"/>
    </row>
    <row r="691">
      <c r="V691" s="438"/>
    </row>
    <row r="692">
      <c r="V692" s="438"/>
    </row>
    <row r="693">
      <c r="V693" s="438"/>
    </row>
    <row r="694">
      <c r="V694" s="438"/>
    </row>
    <row r="695">
      <c r="V695" s="438"/>
    </row>
    <row r="696">
      <c r="V696" s="438"/>
    </row>
    <row r="697">
      <c r="V697" s="438"/>
    </row>
    <row r="698">
      <c r="V698" s="438"/>
    </row>
    <row r="699">
      <c r="V699" s="438"/>
    </row>
    <row r="700">
      <c r="V700" s="438"/>
    </row>
    <row r="701">
      <c r="V701" s="438"/>
    </row>
    <row r="702">
      <c r="V702" s="438"/>
    </row>
    <row r="703">
      <c r="V703" s="438"/>
    </row>
    <row r="704">
      <c r="V704" s="438"/>
    </row>
    <row r="705">
      <c r="V705" s="438"/>
    </row>
    <row r="706">
      <c r="V706" s="438"/>
    </row>
    <row r="707">
      <c r="V707" s="438"/>
    </row>
    <row r="708">
      <c r="V708" s="438"/>
    </row>
    <row r="709">
      <c r="V709" s="438"/>
    </row>
    <row r="710">
      <c r="V710" s="438"/>
    </row>
    <row r="711">
      <c r="V711" s="438"/>
    </row>
    <row r="712">
      <c r="V712" s="438"/>
    </row>
    <row r="713">
      <c r="V713" s="438"/>
    </row>
    <row r="714">
      <c r="V714" s="438"/>
    </row>
    <row r="715">
      <c r="V715" s="438"/>
    </row>
    <row r="716">
      <c r="V716" s="438"/>
    </row>
    <row r="717">
      <c r="V717" s="438"/>
    </row>
    <row r="718">
      <c r="V718" s="438"/>
    </row>
    <row r="719">
      <c r="V719" s="438"/>
    </row>
    <row r="720">
      <c r="V720" s="438"/>
    </row>
    <row r="721">
      <c r="V721" s="438"/>
    </row>
    <row r="722">
      <c r="V722" s="438"/>
    </row>
    <row r="723">
      <c r="V723" s="438"/>
    </row>
    <row r="724">
      <c r="V724" s="438"/>
    </row>
    <row r="725">
      <c r="V725" s="438"/>
    </row>
    <row r="726">
      <c r="V726" s="438"/>
    </row>
    <row r="727">
      <c r="V727" s="438"/>
    </row>
    <row r="728">
      <c r="V728" s="438"/>
    </row>
    <row r="729">
      <c r="V729" s="438"/>
    </row>
    <row r="730">
      <c r="V730" s="438"/>
    </row>
    <row r="731">
      <c r="V731" s="438"/>
    </row>
    <row r="732">
      <c r="V732" s="438"/>
    </row>
    <row r="733">
      <c r="V733" s="438"/>
    </row>
    <row r="734">
      <c r="V734" s="438"/>
    </row>
    <row r="735">
      <c r="V735" s="438"/>
    </row>
    <row r="736">
      <c r="V736" s="438"/>
    </row>
    <row r="737">
      <c r="V737" s="438"/>
    </row>
    <row r="738">
      <c r="V738" s="438"/>
    </row>
    <row r="739">
      <c r="V739" s="438"/>
    </row>
    <row r="740">
      <c r="V740" s="438"/>
    </row>
    <row r="741">
      <c r="V741" s="438"/>
    </row>
    <row r="742">
      <c r="V742" s="438"/>
    </row>
    <row r="743">
      <c r="V743" s="438"/>
    </row>
    <row r="744">
      <c r="V744" s="438"/>
    </row>
    <row r="745">
      <c r="V745" s="438"/>
    </row>
    <row r="746">
      <c r="V746" s="438"/>
    </row>
    <row r="747">
      <c r="V747" s="438"/>
    </row>
    <row r="748">
      <c r="V748" s="438"/>
    </row>
    <row r="749">
      <c r="V749" s="438"/>
    </row>
    <row r="750">
      <c r="V750" s="438"/>
    </row>
    <row r="751">
      <c r="V751" s="438"/>
    </row>
    <row r="752">
      <c r="V752" s="438"/>
    </row>
    <row r="753">
      <c r="V753" s="438"/>
    </row>
    <row r="754">
      <c r="V754" s="438"/>
    </row>
    <row r="755">
      <c r="V755" s="438"/>
    </row>
    <row r="756">
      <c r="V756" s="438"/>
    </row>
    <row r="757">
      <c r="V757" s="438"/>
    </row>
    <row r="758">
      <c r="V758" s="438"/>
    </row>
    <row r="759">
      <c r="V759" s="438"/>
    </row>
    <row r="760">
      <c r="V760" s="438"/>
    </row>
    <row r="761">
      <c r="V761" s="438"/>
    </row>
    <row r="762">
      <c r="V762" s="438"/>
    </row>
    <row r="763">
      <c r="V763" s="438"/>
    </row>
    <row r="764">
      <c r="V764" s="438"/>
    </row>
    <row r="765">
      <c r="V765" s="438"/>
    </row>
    <row r="766">
      <c r="V766" s="438"/>
    </row>
    <row r="767">
      <c r="V767" s="438"/>
    </row>
    <row r="768">
      <c r="V768" s="438"/>
    </row>
    <row r="769">
      <c r="V769" s="438"/>
    </row>
    <row r="770">
      <c r="V770" s="438"/>
    </row>
    <row r="771">
      <c r="V771" s="438"/>
    </row>
    <row r="772">
      <c r="V772" s="438"/>
    </row>
    <row r="773">
      <c r="V773" s="438"/>
    </row>
    <row r="774">
      <c r="V774" s="438"/>
    </row>
    <row r="775">
      <c r="V775" s="438"/>
    </row>
    <row r="776">
      <c r="V776" s="438"/>
    </row>
    <row r="777">
      <c r="V777" s="438"/>
    </row>
    <row r="778">
      <c r="V778" s="438"/>
    </row>
    <row r="779">
      <c r="V779" s="438"/>
    </row>
    <row r="780">
      <c r="V780" s="438"/>
    </row>
    <row r="781">
      <c r="V781" s="438"/>
    </row>
    <row r="782">
      <c r="V782" s="438"/>
    </row>
    <row r="783">
      <c r="V783" s="438"/>
    </row>
    <row r="784">
      <c r="V784" s="438"/>
    </row>
    <row r="785">
      <c r="V785" s="438"/>
    </row>
    <row r="786">
      <c r="V786" s="438"/>
    </row>
    <row r="787">
      <c r="V787" s="438"/>
    </row>
    <row r="788">
      <c r="V788" s="438"/>
    </row>
    <row r="789">
      <c r="V789" s="438"/>
    </row>
    <row r="790">
      <c r="V790" s="438"/>
    </row>
    <row r="791">
      <c r="V791" s="438"/>
    </row>
    <row r="792">
      <c r="V792" s="438"/>
    </row>
    <row r="793">
      <c r="V793" s="438"/>
    </row>
    <row r="794">
      <c r="V794" s="438"/>
    </row>
    <row r="795">
      <c r="V795" s="438"/>
    </row>
    <row r="796">
      <c r="V796" s="438"/>
    </row>
    <row r="797">
      <c r="V797" s="438"/>
    </row>
    <row r="798">
      <c r="V798" s="438"/>
    </row>
    <row r="799">
      <c r="V799" s="438"/>
    </row>
    <row r="800">
      <c r="V800" s="438"/>
    </row>
    <row r="801">
      <c r="V801" s="438"/>
    </row>
    <row r="802">
      <c r="V802" s="438"/>
    </row>
    <row r="803">
      <c r="V803" s="438"/>
    </row>
    <row r="804">
      <c r="V804" s="438"/>
    </row>
    <row r="805">
      <c r="V805" s="438"/>
    </row>
    <row r="806">
      <c r="V806" s="438"/>
    </row>
    <row r="807">
      <c r="V807" s="438"/>
    </row>
    <row r="808">
      <c r="V808" s="438"/>
    </row>
    <row r="809">
      <c r="V809" s="438"/>
    </row>
    <row r="810">
      <c r="V810" s="438"/>
    </row>
    <row r="811">
      <c r="V811" s="438"/>
    </row>
    <row r="812">
      <c r="V812" s="438"/>
    </row>
    <row r="813">
      <c r="V813" s="438"/>
    </row>
    <row r="814">
      <c r="V814" s="438"/>
    </row>
    <row r="815">
      <c r="V815" s="438"/>
    </row>
    <row r="816">
      <c r="V816" s="438"/>
    </row>
    <row r="817">
      <c r="V817" s="438"/>
    </row>
    <row r="818">
      <c r="V818" s="438"/>
    </row>
    <row r="819">
      <c r="V819" s="438"/>
    </row>
    <row r="820">
      <c r="V820" s="438"/>
    </row>
    <row r="821">
      <c r="V821" s="438"/>
    </row>
    <row r="822">
      <c r="V822" s="438"/>
    </row>
    <row r="823">
      <c r="V823" s="438"/>
    </row>
    <row r="824">
      <c r="V824" s="438"/>
    </row>
    <row r="825">
      <c r="V825" s="438"/>
    </row>
    <row r="826">
      <c r="V826" s="438"/>
    </row>
    <row r="827">
      <c r="V827" s="438"/>
    </row>
    <row r="828">
      <c r="V828" s="438"/>
    </row>
    <row r="829">
      <c r="V829" s="438"/>
    </row>
    <row r="830">
      <c r="V830" s="438"/>
    </row>
    <row r="831">
      <c r="V831" s="438"/>
    </row>
    <row r="832">
      <c r="V832" s="438"/>
    </row>
    <row r="833">
      <c r="V833" s="438"/>
    </row>
    <row r="834">
      <c r="V834" s="438"/>
    </row>
    <row r="835">
      <c r="V835" s="438"/>
    </row>
    <row r="836">
      <c r="V836" s="438"/>
    </row>
    <row r="837">
      <c r="V837" s="438"/>
    </row>
    <row r="838">
      <c r="V838" s="438"/>
    </row>
    <row r="839">
      <c r="V839" s="438"/>
    </row>
    <row r="840">
      <c r="V840" s="438"/>
    </row>
    <row r="841">
      <c r="V841" s="438"/>
    </row>
    <row r="842">
      <c r="V842" s="438"/>
    </row>
    <row r="843">
      <c r="V843" s="438"/>
    </row>
    <row r="844">
      <c r="V844" s="438"/>
    </row>
    <row r="845">
      <c r="V845" s="438"/>
    </row>
    <row r="846">
      <c r="V846" s="438"/>
    </row>
    <row r="847">
      <c r="V847" s="438"/>
    </row>
    <row r="848">
      <c r="V848" s="438"/>
    </row>
    <row r="849">
      <c r="V849" s="438"/>
    </row>
    <row r="850">
      <c r="V850" s="438"/>
    </row>
    <row r="851">
      <c r="V851" s="438"/>
    </row>
    <row r="852">
      <c r="V852" s="438"/>
    </row>
    <row r="853">
      <c r="V853" s="438"/>
    </row>
    <row r="854">
      <c r="V854" s="438"/>
    </row>
    <row r="855">
      <c r="V855" s="438"/>
    </row>
    <row r="856">
      <c r="V856" s="438"/>
    </row>
    <row r="857">
      <c r="V857" s="438"/>
    </row>
    <row r="858">
      <c r="V858" s="438"/>
    </row>
    <row r="859">
      <c r="V859" s="438"/>
    </row>
    <row r="860">
      <c r="V860" s="438"/>
    </row>
    <row r="861">
      <c r="V861" s="438"/>
    </row>
    <row r="862">
      <c r="V862" s="438"/>
    </row>
    <row r="863">
      <c r="V863" s="438"/>
    </row>
    <row r="864">
      <c r="V864" s="438"/>
    </row>
    <row r="865">
      <c r="V865" s="438"/>
    </row>
    <row r="866">
      <c r="V866" s="438"/>
    </row>
    <row r="867">
      <c r="V867" s="438"/>
    </row>
    <row r="868">
      <c r="V868" s="438"/>
    </row>
    <row r="869">
      <c r="V869" s="438"/>
    </row>
    <row r="870">
      <c r="V870" s="438"/>
    </row>
    <row r="871">
      <c r="V871" s="438"/>
    </row>
    <row r="872">
      <c r="V872" s="438"/>
    </row>
    <row r="873">
      <c r="V873" s="438"/>
    </row>
    <row r="874">
      <c r="V874" s="438"/>
    </row>
    <row r="875">
      <c r="V875" s="438"/>
    </row>
    <row r="876">
      <c r="V876" s="438"/>
    </row>
    <row r="877">
      <c r="V877" s="438"/>
    </row>
    <row r="878">
      <c r="V878" s="438"/>
    </row>
    <row r="879">
      <c r="V879" s="438"/>
    </row>
    <row r="880">
      <c r="V880" s="438"/>
    </row>
    <row r="881">
      <c r="V881" s="438"/>
    </row>
    <row r="882">
      <c r="V882" s="438"/>
    </row>
    <row r="883">
      <c r="V883" s="438"/>
    </row>
    <row r="884">
      <c r="V884" s="438"/>
    </row>
    <row r="885">
      <c r="V885" s="438"/>
    </row>
    <row r="886">
      <c r="V886" s="438"/>
    </row>
    <row r="887">
      <c r="V887" s="438"/>
    </row>
    <row r="888">
      <c r="V888" s="438"/>
    </row>
    <row r="889">
      <c r="V889" s="438"/>
    </row>
    <row r="890">
      <c r="V890" s="438"/>
    </row>
    <row r="891">
      <c r="V891" s="438"/>
    </row>
    <row r="892">
      <c r="V892" s="438"/>
    </row>
    <row r="893">
      <c r="V893" s="438"/>
    </row>
    <row r="894">
      <c r="V894" s="438"/>
    </row>
    <row r="895">
      <c r="V895" s="438"/>
    </row>
    <row r="896">
      <c r="V896" s="438"/>
    </row>
    <row r="897">
      <c r="V897" s="438"/>
    </row>
    <row r="898">
      <c r="V898" s="438"/>
    </row>
    <row r="899">
      <c r="V899" s="438"/>
    </row>
    <row r="900">
      <c r="V900" s="438"/>
    </row>
    <row r="901">
      <c r="V901" s="438"/>
    </row>
    <row r="902">
      <c r="V902" s="438"/>
    </row>
    <row r="903">
      <c r="V903" s="438"/>
    </row>
    <row r="904">
      <c r="V904" s="438"/>
    </row>
    <row r="905">
      <c r="V905" s="438"/>
    </row>
    <row r="906">
      <c r="V906" s="438"/>
    </row>
    <row r="907">
      <c r="V907" s="438"/>
    </row>
    <row r="908">
      <c r="V908" s="438"/>
    </row>
    <row r="909">
      <c r="V909" s="438"/>
    </row>
    <row r="910">
      <c r="V910" s="438"/>
    </row>
    <row r="911">
      <c r="V911" s="438"/>
    </row>
    <row r="912">
      <c r="V912" s="438"/>
    </row>
    <row r="913">
      <c r="V913" s="438"/>
    </row>
    <row r="914">
      <c r="V914" s="438"/>
    </row>
    <row r="915">
      <c r="V915" s="438"/>
    </row>
    <row r="916">
      <c r="V916" s="438"/>
    </row>
    <row r="917">
      <c r="V917" s="438"/>
    </row>
    <row r="918">
      <c r="V918" s="438"/>
    </row>
    <row r="919">
      <c r="V919" s="438"/>
    </row>
    <row r="920">
      <c r="V920" s="438"/>
    </row>
    <row r="921">
      <c r="V921" s="438"/>
    </row>
    <row r="922">
      <c r="V922" s="438"/>
    </row>
    <row r="923">
      <c r="V923" s="438"/>
    </row>
    <row r="924">
      <c r="V924" s="438"/>
    </row>
    <row r="925">
      <c r="V925" s="438"/>
    </row>
    <row r="926">
      <c r="V926" s="438"/>
    </row>
    <row r="927">
      <c r="V927" s="438"/>
    </row>
    <row r="928">
      <c r="V928" s="438"/>
    </row>
    <row r="929">
      <c r="V929" s="438"/>
    </row>
    <row r="930">
      <c r="V930" s="438"/>
    </row>
    <row r="931">
      <c r="V931" s="438"/>
    </row>
    <row r="932">
      <c r="V932" s="438"/>
    </row>
    <row r="933">
      <c r="V933" s="438"/>
    </row>
    <row r="934">
      <c r="V934" s="438"/>
    </row>
    <row r="935">
      <c r="V935" s="438"/>
    </row>
    <row r="936">
      <c r="V936" s="438"/>
    </row>
    <row r="937">
      <c r="V937" s="438"/>
    </row>
    <row r="938">
      <c r="V938" s="438"/>
    </row>
    <row r="939">
      <c r="V939" s="438"/>
    </row>
    <row r="940">
      <c r="V940" s="438"/>
    </row>
    <row r="941">
      <c r="V941" s="438"/>
    </row>
    <row r="942">
      <c r="V942" s="438"/>
    </row>
    <row r="943">
      <c r="V943" s="438"/>
    </row>
    <row r="944">
      <c r="V944" s="438"/>
    </row>
    <row r="945">
      <c r="V945" s="438"/>
    </row>
    <row r="946">
      <c r="V946" s="438"/>
    </row>
    <row r="947">
      <c r="V947" s="438"/>
    </row>
    <row r="948">
      <c r="V948" s="438"/>
    </row>
    <row r="949">
      <c r="V949" s="438"/>
    </row>
    <row r="950">
      <c r="V950" s="438"/>
    </row>
    <row r="951">
      <c r="V951" s="438"/>
    </row>
    <row r="952">
      <c r="V952" s="438"/>
    </row>
    <row r="953">
      <c r="V953" s="438"/>
    </row>
    <row r="954">
      <c r="V954" s="438"/>
    </row>
    <row r="955">
      <c r="V955" s="438"/>
    </row>
    <row r="956">
      <c r="V956" s="438"/>
    </row>
    <row r="957">
      <c r="V957" s="438"/>
    </row>
    <row r="958">
      <c r="V958" s="438"/>
    </row>
    <row r="959">
      <c r="V959" s="438"/>
    </row>
    <row r="960">
      <c r="V960" s="438"/>
    </row>
    <row r="961">
      <c r="V961" s="438"/>
    </row>
    <row r="962">
      <c r="V962" s="438"/>
    </row>
    <row r="963">
      <c r="V963" s="438"/>
    </row>
    <row r="964">
      <c r="V964" s="438"/>
    </row>
    <row r="965">
      <c r="V965" s="438"/>
    </row>
    <row r="966">
      <c r="V966" s="438"/>
    </row>
    <row r="967">
      <c r="V967" s="438"/>
    </row>
    <row r="968">
      <c r="V968" s="438"/>
    </row>
    <row r="969">
      <c r="V969" s="438"/>
    </row>
    <row r="970">
      <c r="V970" s="438"/>
    </row>
    <row r="971">
      <c r="V971" s="438"/>
    </row>
    <row r="972">
      <c r="V972" s="438"/>
    </row>
    <row r="973">
      <c r="V973" s="438"/>
    </row>
    <row r="974">
      <c r="V974" s="438"/>
    </row>
    <row r="975">
      <c r="V975" s="438"/>
    </row>
    <row r="976">
      <c r="V976" s="438"/>
    </row>
    <row r="977">
      <c r="V977" s="438"/>
    </row>
    <row r="978">
      <c r="V978" s="438"/>
    </row>
    <row r="979">
      <c r="V979" s="438"/>
    </row>
    <row r="980">
      <c r="V980" s="438"/>
    </row>
    <row r="981">
      <c r="V981" s="438"/>
    </row>
    <row r="982">
      <c r="V982" s="438"/>
    </row>
    <row r="983">
      <c r="V983" s="438"/>
    </row>
    <row r="984">
      <c r="V984" s="438"/>
    </row>
    <row r="985">
      <c r="V985" s="438"/>
    </row>
    <row r="986">
      <c r="V986" s="438"/>
    </row>
    <row r="987">
      <c r="V987" s="438"/>
    </row>
    <row r="988">
      <c r="V988" s="438"/>
    </row>
    <row r="989">
      <c r="V989" s="438"/>
    </row>
  </sheetData>
  <autoFilter ref="$A$1:$X$331">
    <filterColumn colId="3">
      <filters>
        <filter val="2027"/>
      </filters>
    </filterColumn>
  </autoFilter>
  <dataValidations>
    <dataValidation type="list" allowBlank="1" showErrorMessage="1" sqref="V1:V989">
      <formula1>'Event Lists'!$G:$G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5.5"/>
    <col customWidth="1" min="3" max="5" width="9.13"/>
    <col customWidth="1" hidden="1" min="6" max="6" width="9.13"/>
    <col customWidth="1" min="7" max="8" width="9.13"/>
    <col customWidth="1" hidden="1" min="9" max="9" width="9.13"/>
    <col customWidth="1" min="10" max="11" width="9.13"/>
    <col customWidth="1" hidden="1" min="12" max="12" width="9.13"/>
    <col customWidth="1" min="13" max="13" width="9.13"/>
    <col customWidth="1" min="14" max="14" width="7.25"/>
    <col customWidth="1" min="15" max="15" width="2.0"/>
    <col customWidth="1" hidden="1" min="16" max="16" width="9.13"/>
    <col customWidth="1" min="17" max="17" width="9.13"/>
    <col customWidth="1" min="18" max="18" width="7.25"/>
    <col customWidth="1" min="19" max="19" width="2.0"/>
    <col customWidth="1" hidden="1" min="20" max="20" width="9.13"/>
    <col customWidth="1" min="21" max="21" width="9.13"/>
    <col customWidth="1" min="22" max="22" width="7.25"/>
    <col customWidth="1" min="23" max="23" width="2.0"/>
    <col customWidth="1" hidden="1" min="24" max="24" width="9.13"/>
    <col customWidth="1" min="25" max="25" width="9.13"/>
    <col customWidth="1" min="26" max="26" width="7.25"/>
    <col customWidth="1" min="27" max="27" width="2.0"/>
    <col customWidth="1" hidden="1" min="28" max="28" width="9.13"/>
    <col customWidth="1" min="29" max="32" width="9.13"/>
    <col customWidth="1" min="33" max="33" width="34.63"/>
    <col customWidth="1" min="34" max="34" width="9.13"/>
    <col customWidth="1" hidden="1" min="35" max="35" width="9.13"/>
    <col customWidth="1" min="36" max="40" width="9.13"/>
  </cols>
  <sheetData>
    <row r="1" ht="16.5" customHeight="1">
      <c r="A1" s="439"/>
      <c r="B1" s="440"/>
      <c r="C1" s="439"/>
      <c r="D1" s="290"/>
      <c r="E1" s="290"/>
      <c r="F1" s="290"/>
      <c r="G1" s="441" t="s">
        <v>8191</v>
      </c>
      <c r="K1" s="442">
        <v>2026.0</v>
      </c>
      <c r="N1" s="443" t="s">
        <v>8192</v>
      </c>
      <c r="R1" s="442">
        <f>K1+1</f>
        <v>2027</v>
      </c>
      <c r="V1" s="444"/>
      <c r="W1" s="444"/>
      <c r="X1" s="444"/>
      <c r="Y1" s="444"/>
      <c r="Z1" s="445"/>
      <c r="AA1" s="445"/>
      <c r="AB1" s="445"/>
      <c r="AC1" s="439"/>
      <c r="AD1" s="439"/>
      <c r="AE1" s="439"/>
      <c r="AF1" s="439"/>
      <c r="AG1" s="439"/>
      <c r="AH1" s="439"/>
      <c r="AI1" s="439"/>
      <c r="AJ1" s="439"/>
      <c r="AK1" s="439"/>
      <c r="AL1" s="439"/>
      <c r="AM1" s="439"/>
      <c r="AN1" s="439"/>
    </row>
    <row r="2" ht="16.5" customHeight="1">
      <c r="A2" s="439"/>
      <c r="B2" s="440"/>
      <c r="C2" s="439"/>
      <c r="D2" s="290"/>
      <c r="E2" s="290"/>
      <c r="F2" s="290"/>
      <c r="V2" s="444"/>
      <c r="W2" s="444"/>
      <c r="X2" s="444"/>
      <c r="Y2" s="444"/>
      <c r="Z2" s="445"/>
      <c r="AA2" s="445"/>
      <c r="AB2" s="445"/>
      <c r="AC2" s="439"/>
      <c r="AD2" s="446"/>
      <c r="AE2" s="439"/>
      <c r="AF2" s="439"/>
      <c r="AG2" s="439"/>
      <c r="AH2" s="439"/>
      <c r="AI2" s="447" t="s">
        <v>8193</v>
      </c>
      <c r="AJ2" s="439"/>
      <c r="AK2" s="439"/>
      <c r="AL2" s="439"/>
      <c r="AM2" s="439"/>
      <c r="AN2" s="439"/>
    </row>
    <row r="3" ht="16.5" customHeight="1">
      <c r="A3" s="439"/>
      <c r="B3" s="440"/>
      <c r="C3" s="448" t="s">
        <v>6532</v>
      </c>
      <c r="D3" s="449" t="s">
        <v>63</v>
      </c>
      <c r="E3" s="249"/>
      <c r="F3" s="250"/>
      <c r="G3" s="449" t="s">
        <v>122</v>
      </c>
      <c r="H3" s="249"/>
      <c r="I3" s="250"/>
      <c r="J3" s="450" t="s">
        <v>807</v>
      </c>
      <c r="K3" s="249"/>
      <c r="L3" s="250"/>
      <c r="M3" s="451" t="s">
        <v>109</v>
      </c>
      <c r="N3" s="452"/>
      <c r="O3" s="452"/>
      <c r="P3" s="453"/>
      <c r="Q3" s="451" t="s">
        <v>51</v>
      </c>
      <c r="R3" s="452"/>
      <c r="S3" s="452"/>
      <c r="T3" s="453"/>
      <c r="U3" s="451" t="s">
        <v>72</v>
      </c>
      <c r="V3" s="452"/>
      <c r="W3" s="452"/>
      <c r="X3" s="453"/>
      <c r="Y3" s="451" t="s">
        <v>103</v>
      </c>
      <c r="Z3" s="452"/>
      <c r="AA3" s="452"/>
      <c r="AB3" s="453"/>
      <c r="AC3" s="439"/>
      <c r="AD3" s="446"/>
      <c r="AE3" s="439"/>
      <c r="AF3" s="439"/>
      <c r="AG3" s="439"/>
      <c r="AH3" s="439"/>
      <c r="AI3" s="454" t="s">
        <v>8194</v>
      </c>
      <c r="AJ3" s="439"/>
      <c r="AK3" s="439"/>
      <c r="AL3" s="439"/>
      <c r="AM3" s="439"/>
      <c r="AN3" s="439"/>
    </row>
    <row r="4" ht="16.5" customHeight="1">
      <c r="A4" s="455"/>
      <c r="B4" s="456"/>
      <c r="C4" s="401"/>
      <c r="D4" s="457" t="str">
        <f>IFERROR(__xludf.DUMMYFUNCTION("iferror(FILTER('Depth Chart Input'!$C:$C,$R$1='Depth Chart Input'!$A:$A,$D$3='Depth Chart Input'!$B:$B))"),"Aiden Healy")</f>
        <v>Aiden Healy</v>
      </c>
      <c r="E4" s="250"/>
      <c r="F4" s="458" t="str">
        <f>IFERROR(__xludf.DUMMYFUNCTION("iferror(FILTER('Depth Chart Input'!$G:$G,$R$1='Depth Chart Input'!$A:$A,$D$3='Depth Chart Input'!$B:$B))"),"Sr.")</f>
        <v>Sr.</v>
      </c>
      <c r="G4" s="457" t="str">
        <f>IFERROR(__xludf.DUMMYFUNCTION("iferror(FILTER('Depth Chart Input'!$C:$C,$R$1='Depth Chart Input'!$A:$A,$G$3='Depth Chart Input'!$B:$B))"),"Timmy Virtudes")</f>
        <v>Timmy Virtudes</v>
      </c>
      <c r="H4" s="250"/>
      <c r="I4" s="458" t="str">
        <f>IFERROR(__xludf.DUMMYFUNCTION("iferror(FILTER('Depth Chart Input'!$G:$G,$R$1='Depth Chart Input'!$A:$A,$G$3='Depth Chart Input'!$B:$B))"),"Sr.")</f>
        <v>Sr.</v>
      </c>
      <c r="J4" s="457" t="str">
        <f>IFERROR(__xludf.DUMMYFUNCTION("iferror(FILTER('Depth Chart Input'!$C:$C,$R$1='Depth Chart Input'!$A:$A,$J$3='Depth Chart Input'!$B:$B))"),"")</f>
        <v/>
      </c>
      <c r="K4" s="250"/>
      <c r="L4" s="457" t="str">
        <f>IFERROR(__xludf.DUMMYFUNCTION("iferror(FILTER('Depth Chart Input'!$G:$G,$R$1='Depth Chart Input'!$A:$A,$J$3='Depth Chart Input'!$B:$B))"),"")</f>
        <v/>
      </c>
      <c r="M4" s="457" t="str">
        <f>IFERROR(__xludf.DUMMYFUNCTION("iferror(FILTER('Depth Chart Input'!$C:$C,$R$1='Depth Chart Input'!$A:$A,$M$3='Depth Chart Input'!$B:$B))"),"Ty Deperno")</f>
        <v>Ty Deperno</v>
      </c>
      <c r="N4" s="249"/>
      <c r="O4" s="459" t="str">
        <f t="array" ref="O4">XLOOKUP(M4,'Depth Chart Input'!$C:$C,'Depth Chart Input'!$F:$F,"",0,1)</f>
        <v>R/R</v>
      </c>
      <c r="P4" s="460" t="str">
        <f>IFERROR(__xludf.DUMMYFUNCTION("iferror(FILTER('Depth Chart Input'!$G:$G,$R$1='Depth Chart Input'!$A:$A,$M$3='Depth Chart Input'!$B:$B))"),"Jr.")</f>
        <v>Jr.</v>
      </c>
      <c r="Q4" s="457" t="str">
        <f>IFERROR(__xludf.DUMMYFUNCTION("iferror(FILTER('Depth Chart Input'!$C:$C,$R$1='Depth Chart Input'!$A:$A,$Q$3='Depth Chart Input'!$B:$B))"),"Noah Ditas")</f>
        <v>Noah Ditas</v>
      </c>
      <c r="R4" s="249"/>
      <c r="S4" s="459" t="str">
        <f t="array" ref="S4">XLOOKUP(Q4,'Depth Chart Input'!$C:$C,'Depth Chart Input'!$F:$F,"",0,1)</f>
        <v>R/R</v>
      </c>
      <c r="T4" s="460" t="str">
        <f>IFERROR(__xludf.DUMMYFUNCTION("iferror(FILTER('Depth Chart Input'!$G:$G,$R$1='Depth Chart Input'!$A:$A,$Q$3='Depth Chart Input'!$B:$B))"),"Jr.")</f>
        <v>Jr.</v>
      </c>
      <c r="U4" s="460" t="str">
        <f>IFERROR(__xludf.DUMMYFUNCTION("iferror(FILTER('Depth Chart Input'!$C:$C,$R$1='Depth Chart Input'!$A:$A,$U$3='Depth Chart Input'!$B:$B))"),"Evan Brown")</f>
        <v>Evan Brown</v>
      </c>
      <c r="V4" s="249"/>
      <c r="W4" s="459" t="str">
        <f t="array" ref="W4">XLOOKUP(U4,'Depth Chart Input'!$C:$C,'Depth Chart Input'!$F:$F,"",0,1)</f>
        <v>R/R</v>
      </c>
      <c r="X4" s="460" t="str">
        <f>IFERROR(__xludf.DUMMYFUNCTION("iferror(FILTER('Depth Chart Input'!$G:$G,$R$1='Depth Chart Input'!$A:$A,$U$3='Depth Chart Input'!$B:$B))"),"Sr.")</f>
        <v>Sr.</v>
      </c>
      <c r="Y4" s="460" t="str">
        <f>IFERROR(__xludf.DUMMYFUNCTION("iferror(FILTER('Depth Chart Input'!$C:$C,$R$1='Depth Chart Input'!$A:$A,$Y$3='Depth Chart Input'!$B:$B))"),"Andrew Manning")</f>
        <v>Andrew Manning</v>
      </c>
      <c r="Z4" s="249"/>
      <c r="AA4" s="459" t="str">
        <f t="array" ref="AA4">XLOOKUP(Y4,'Depth Chart Input'!$C:$C,'Depth Chart Input'!$F:$F,"",0,1)</f>
        <v>L/R</v>
      </c>
      <c r="AB4" s="461" t="str">
        <f>IFERROR(__xludf.DUMMYFUNCTION("iferror(FILTER('Depth Chart Input'!$G:$G,$R$1='Depth Chart Input'!$A:$A,$Y$3='Depth Chart Input'!$B:$B))"),"Sr.")</f>
        <v>Sr.</v>
      </c>
      <c r="AC4" s="439"/>
      <c r="AD4" s="462" t="s">
        <v>8195</v>
      </c>
      <c r="AE4" s="250"/>
      <c r="AF4" s="463">
        <f t="shared" ref="AF4:AF7" si="1">COUNTIF($C$3:$AB$21,AI2)</f>
        <v>11</v>
      </c>
      <c r="AG4" s="439"/>
      <c r="AH4" s="439"/>
      <c r="AI4" s="454" t="s">
        <v>8196</v>
      </c>
      <c r="AJ4" s="439"/>
      <c r="AK4" s="439"/>
      <c r="AL4" s="439"/>
      <c r="AM4" s="439"/>
      <c r="AN4" s="439"/>
    </row>
    <row r="5" ht="16.5" customHeight="1">
      <c r="A5" s="455"/>
      <c r="B5" s="456"/>
      <c r="C5" s="401"/>
      <c r="D5" s="457" t="str">
        <f>IFERROR(__xludf.DUMMYFUNCTION("""COMPUTED_VALUE"""),"Brady Bendik")</f>
        <v>Brady Bendik</v>
      </c>
      <c r="E5" s="250"/>
      <c r="F5" s="458" t="str">
        <f>IFERROR(__xludf.DUMMYFUNCTION("""COMPUTED_VALUE"""),"Sr.")</f>
        <v>Sr.</v>
      </c>
      <c r="G5" s="457" t="str">
        <f>IFERROR(__xludf.DUMMYFUNCTION("""COMPUTED_VALUE"""),"Ian Brown")</f>
        <v>Ian Brown</v>
      </c>
      <c r="H5" s="250"/>
      <c r="I5" s="458" t="str">
        <f>IFERROR(__xludf.DUMMYFUNCTION("""COMPUTED_VALUE"""),"Jr.")</f>
        <v>Jr.</v>
      </c>
      <c r="J5" s="457"/>
      <c r="K5" s="250"/>
      <c r="L5" s="457"/>
      <c r="M5" s="457" t="str">
        <f>IFERROR(__xludf.DUMMYFUNCTION("""COMPUTED_VALUE"""),"Will Howard")</f>
        <v>Will Howard</v>
      </c>
      <c r="N5" s="249"/>
      <c r="O5" s="459" t="str">
        <f t="array" ref="O5">XLOOKUP(M5,'Depth Chart Input'!$C:$C,'Depth Chart Input'!$F:$F,"",0,1)</f>
        <v>R/R</v>
      </c>
      <c r="P5" s="460" t="str">
        <f>IFERROR(__xludf.DUMMYFUNCTION("""COMPUTED_VALUE"""),"So.")</f>
        <v>So.</v>
      </c>
      <c r="Q5" s="457" t="str">
        <f>IFERROR(__xludf.DUMMYFUNCTION("""COMPUTED_VALUE"""),"Noah Stead")</f>
        <v>Noah Stead</v>
      </c>
      <c r="R5" s="249"/>
      <c r="S5" s="459" t="str">
        <f t="array" ref="S5">XLOOKUP(Q5,'Depth Chart Input'!$C:$C,'Depth Chart Input'!$F:$F,"",0,1)</f>
        <v>R/R</v>
      </c>
      <c r="T5" s="460" t="str">
        <f>IFERROR(__xludf.DUMMYFUNCTION("""COMPUTED_VALUE"""),"So.")</f>
        <v>So.</v>
      </c>
      <c r="U5" s="460" t="str">
        <f>IFERROR(__xludf.DUMMYFUNCTION("""COMPUTED_VALUE"""),"Jack Killelea")</f>
        <v>Jack Killelea</v>
      </c>
      <c r="V5" s="249"/>
      <c r="W5" s="459" t="str">
        <f t="array" ref="W5">XLOOKUP(U5,'Depth Chart Input'!$C:$C,'Depth Chart Input'!$F:$F,"",0,1)</f>
        <v>R/R</v>
      </c>
      <c r="X5" s="460" t="str">
        <f>IFERROR(__xludf.DUMMYFUNCTION("""COMPUTED_VALUE"""),"Sr.")</f>
        <v>Sr.</v>
      </c>
      <c r="Y5" s="460" t="str">
        <f>IFERROR(__xludf.DUMMYFUNCTION("""COMPUTED_VALUE"""),"Tyler Bouchard")</f>
        <v>Tyler Bouchard</v>
      </c>
      <c r="Z5" s="249"/>
      <c r="AA5" s="459" t="str">
        <f t="array" ref="AA5">XLOOKUP(Y5,'Depth Chart Input'!$C:$C,'Depth Chart Input'!$F:$F,"",0,1)</f>
        <v>L/R</v>
      </c>
      <c r="AB5" s="461" t="str">
        <f>IFERROR(__xludf.DUMMYFUNCTION("""COMPUTED_VALUE"""),"Sr.")</f>
        <v>Sr.</v>
      </c>
      <c r="AC5" s="439"/>
      <c r="AD5" s="464" t="s">
        <v>8197</v>
      </c>
      <c r="AE5" s="250"/>
      <c r="AF5" s="463">
        <f t="shared" si="1"/>
        <v>10</v>
      </c>
      <c r="AG5" s="439"/>
      <c r="AH5" s="439"/>
      <c r="AI5" s="465" t="s">
        <v>8198</v>
      </c>
      <c r="AJ5" s="439"/>
      <c r="AK5" s="439"/>
      <c r="AL5" s="439"/>
      <c r="AM5" s="439"/>
      <c r="AN5" s="439"/>
    </row>
    <row r="6" ht="16.5" customHeight="1">
      <c r="A6" s="455"/>
      <c r="B6" s="456"/>
      <c r="C6" s="401"/>
      <c r="D6" s="457" t="str">
        <f>IFERROR(__xludf.DUMMYFUNCTION("""COMPUTED_VALUE"""),"Matt Archibald")</f>
        <v>Matt Archibald</v>
      </c>
      <c r="E6" s="250"/>
      <c r="F6" s="458" t="str">
        <f>IFERROR(__xludf.DUMMYFUNCTION("""COMPUTED_VALUE"""),"Sr.")</f>
        <v>Sr.</v>
      </c>
      <c r="G6" s="457" t="str">
        <f>IFERROR(__xludf.DUMMYFUNCTION("""COMPUTED_VALUE"""),"John Carroll")</f>
        <v>John Carroll</v>
      </c>
      <c r="H6" s="250"/>
      <c r="I6" s="458" t="str">
        <f>IFERROR(__xludf.DUMMYFUNCTION("""COMPUTED_VALUE"""),"Jr.")</f>
        <v>Jr.</v>
      </c>
      <c r="J6" s="457"/>
      <c r="K6" s="250"/>
      <c r="L6" s="457"/>
      <c r="M6" s="457" t="str">
        <f>IFERROR(__xludf.DUMMYFUNCTION("""COMPUTED_VALUE"""),"Keaton Bowers")</f>
        <v>Keaton Bowers</v>
      </c>
      <c r="N6" s="249"/>
      <c r="O6" s="459" t="str">
        <f t="array" ref="O6">XLOOKUP(M6,'Depth Chart Input'!$C:$C,'Depth Chart Input'!$F:$F,"",0,1)</f>
        <v>L/R</v>
      </c>
      <c r="P6" s="460" t="str">
        <f>IFERROR(__xludf.DUMMYFUNCTION("""COMPUTED_VALUE"""),"Fr.")</f>
        <v>Fr.</v>
      </c>
      <c r="Q6" s="457" t="str">
        <f>IFERROR(__xludf.DUMMYFUNCTION("""COMPUTED_VALUE"""),"Brooks Franklin")</f>
        <v>Brooks Franklin</v>
      </c>
      <c r="R6" s="249"/>
      <c r="S6" s="459" t="str">
        <f t="array" ref="S6">XLOOKUP(Q6,'Depth Chart Input'!$C:$C,'Depth Chart Input'!$F:$F,"",0,1)</f>
        <v>L/R</v>
      </c>
      <c r="T6" s="460" t="str">
        <f>IFERROR(__xludf.DUMMYFUNCTION("""COMPUTED_VALUE"""),"Fr.")</f>
        <v>Fr.</v>
      </c>
      <c r="U6" s="460" t="str">
        <f>IFERROR(__xludf.DUMMYFUNCTION("""COMPUTED_VALUE"""),"Leo Mangiamele")</f>
        <v>Leo Mangiamele</v>
      </c>
      <c r="V6" s="249"/>
      <c r="W6" s="459" t="str">
        <f t="array" ref="W6">XLOOKUP(U6,'Depth Chart Input'!$C:$C,'Depth Chart Input'!$F:$F,"",0,1)</f>
        <v>R/R</v>
      </c>
      <c r="X6" s="460" t="str">
        <f>IFERROR(__xludf.DUMMYFUNCTION("""COMPUTED_VALUE"""),"Sr.")</f>
        <v>Sr.</v>
      </c>
      <c r="Y6" s="460" t="str">
        <f>IFERROR(__xludf.DUMMYFUNCTION("""COMPUTED_VALUE"""),"Chris Klug")</f>
        <v>Chris Klug</v>
      </c>
      <c r="Z6" s="249"/>
      <c r="AA6" s="459" t="str">
        <f t="array" ref="AA6">XLOOKUP(Y6,'Depth Chart Input'!$C:$C,'Depth Chart Input'!$F:$F,"",0,1)</f>
        <v>R/R</v>
      </c>
      <c r="AB6" s="461" t="str">
        <f>IFERROR(__xludf.DUMMYFUNCTION("""COMPUTED_VALUE"""),"Jr.")</f>
        <v>Jr.</v>
      </c>
      <c r="AC6" s="439"/>
      <c r="AD6" s="466" t="s">
        <v>8199</v>
      </c>
      <c r="AE6" s="250"/>
      <c r="AF6" s="463">
        <f t="shared" si="1"/>
        <v>10</v>
      </c>
      <c r="AG6" s="439"/>
      <c r="AH6" s="439"/>
      <c r="AI6" s="439"/>
      <c r="AJ6" s="439"/>
      <c r="AK6" s="439"/>
      <c r="AL6" s="439"/>
      <c r="AM6" s="439"/>
      <c r="AN6" s="439"/>
    </row>
    <row r="7" ht="16.5" customHeight="1">
      <c r="A7" s="455"/>
      <c r="B7" s="456"/>
      <c r="C7" s="401"/>
      <c r="D7" s="457" t="str">
        <f>IFERROR(__xludf.DUMMYFUNCTION("""COMPUTED_VALUE"""),"Owen Geiger")</f>
        <v>Owen Geiger</v>
      </c>
      <c r="E7" s="250"/>
      <c r="F7" s="458" t="str">
        <f>IFERROR(__xludf.DUMMYFUNCTION("""COMPUTED_VALUE"""),"Sr.")</f>
        <v>Sr.</v>
      </c>
      <c r="G7" s="457" t="str">
        <f>IFERROR(__xludf.DUMMYFUNCTION("""COMPUTED_VALUE"""),"Kevin Maurer")</f>
        <v>Kevin Maurer</v>
      </c>
      <c r="H7" s="250"/>
      <c r="I7" s="458" t="str">
        <f>IFERROR(__xludf.DUMMYFUNCTION("""COMPUTED_VALUE"""),"Jr.")</f>
        <v>Jr.</v>
      </c>
      <c r="J7" s="457"/>
      <c r="K7" s="250"/>
      <c r="L7" s="457"/>
      <c r="M7" s="457"/>
      <c r="N7" s="249"/>
      <c r="O7" s="459" t="str">
        <f t="array" ref="O7">XLOOKUP(M7,'Depth Chart Input'!$C:$C,'Depth Chart Input'!$F:$F,"",0,1)</f>
        <v/>
      </c>
      <c r="P7" s="460"/>
      <c r="Q7" s="457" t="str">
        <f>IFERROR(__xludf.DUMMYFUNCTION("""COMPUTED_VALUE"""),"Connor Seacrist")</f>
        <v>Connor Seacrist</v>
      </c>
      <c r="R7" s="249"/>
      <c r="S7" s="459" t="str">
        <f t="array" ref="S7">XLOOKUP(Q7,'Depth Chart Input'!$C:$C,'Depth Chart Input'!$F:$F,"",0,1)</f>
        <v>R/R</v>
      </c>
      <c r="T7" s="460" t="str">
        <f>IFERROR(__xludf.DUMMYFUNCTION("""COMPUTED_VALUE"""),"Fr.")</f>
        <v>Fr.</v>
      </c>
      <c r="U7" s="460" t="str">
        <f>IFERROR(__xludf.DUMMYFUNCTION("""COMPUTED_VALUE"""),"Julian Friedman")</f>
        <v>Julian Friedman</v>
      </c>
      <c r="V7" s="249"/>
      <c r="W7" s="459" t="str">
        <f t="array" ref="W7">XLOOKUP(U7,'Depth Chart Input'!$C:$C,'Depth Chart Input'!$F:$F,"",0,1)</f>
        <v>R/R</v>
      </c>
      <c r="X7" s="460" t="str">
        <f>IFERROR(__xludf.DUMMYFUNCTION("""COMPUTED_VALUE"""),"So.")</f>
        <v>So.</v>
      </c>
      <c r="Y7" s="460" t="str">
        <f>IFERROR(__xludf.DUMMYFUNCTION("""COMPUTED_VALUE"""),"Mason Ceccarelli")</f>
        <v>Mason Ceccarelli</v>
      </c>
      <c r="Z7" s="249"/>
      <c r="AA7" s="459" t="str">
        <f t="array" ref="AA7">XLOOKUP(Y7,'Depth Chart Input'!$C:$C,'Depth Chart Input'!$F:$F,"",0,1)</f>
        <v>L/R</v>
      </c>
      <c r="AB7" s="461" t="str">
        <f>IFERROR(__xludf.DUMMYFUNCTION("""COMPUTED_VALUE"""),"Jr.")</f>
        <v>Jr.</v>
      </c>
      <c r="AC7" s="439"/>
      <c r="AD7" s="467" t="s">
        <v>8200</v>
      </c>
      <c r="AE7" s="250"/>
      <c r="AF7" s="463">
        <f t="shared" si="1"/>
        <v>12</v>
      </c>
      <c r="AG7" s="439"/>
      <c r="AH7" s="439"/>
      <c r="AI7" s="439"/>
      <c r="AJ7" s="439"/>
      <c r="AK7" s="439"/>
      <c r="AL7" s="439"/>
      <c r="AM7" s="439"/>
      <c r="AN7" s="439"/>
    </row>
    <row r="8" ht="16.5" customHeight="1">
      <c r="A8" s="455"/>
      <c r="B8" s="456"/>
      <c r="C8" s="401"/>
      <c r="D8" s="457" t="str">
        <f>IFERROR(__xludf.DUMMYFUNCTION("""COMPUTED_VALUE"""),"Ryan Bibb")</f>
        <v>Ryan Bibb</v>
      </c>
      <c r="E8" s="250"/>
      <c r="F8" s="458" t="str">
        <f>IFERROR(__xludf.DUMMYFUNCTION("""COMPUTED_VALUE"""),"Sr.")</f>
        <v>Sr.</v>
      </c>
      <c r="G8" s="457" t="str">
        <f>IFERROR(__xludf.DUMMYFUNCTION("""COMPUTED_VALUE"""),"Mike Plummer")</f>
        <v>Mike Plummer</v>
      </c>
      <c r="H8" s="250"/>
      <c r="I8" s="458" t="str">
        <f>IFERROR(__xludf.DUMMYFUNCTION("""COMPUTED_VALUE"""),"Jr.")</f>
        <v>Jr.</v>
      </c>
      <c r="J8" s="457"/>
      <c r="K8" s="250"/>
      <c r="L8" s="457"/>
      <c r="M8" s="457"/>
      <c r="N8" s="249"/>
      <c r="O8" s="459" t="str">
        <f t="array" ref="O8">XLOOKUP(M8,'Depth Chart Input'!$C:$C,'Depth Chart Input'!$F:$F,"",0,1)</f>
        <v/>
      </c>
      <c r="P8" s="460"/>
      <c r="Q8" s="457" t="str">
        <f>IFERROR(__xludf.DUMMYFUNCTION("""COMPUTED_VALUE"""),"Cory Carver")</f>
        <v>Cory Carver</v>
      </c>
      <c r="R8" s="249"/>
      <c r="S8" s="459" t="str">
        <f t="array" ref="S8">XLOOKUP(Q8,'Depth Chart Input'!$C:$C,'Depth Chart Input'!$F:$F,"",0,1)</f>
        <v>R/R</v>
      </c>
      <c r="T8" s="460" t="str">
        <f>IFERROR(__xludf.DUMMYFUNCTION("""COMPUTED_VALUE"""),"Fr.")</f>
        <v>Fr.</v>
      </c>
      <c r="U8" s="460" t="str">
        <f>IFERROR(__xludf.DUMMYFUNCTION("""COMPUTED_VALUE"""),"Patrick Walsh")</f>
        <v>Patrick Walsh</v>
      </c>
      <c r="V8" s="249"/>
      <c r="W8" s="459" t="str">
        <f t="array" ref="W8">XLOOKUP(U8,'Depth Chart Input'!$C:$C,'Depth Chart Input'!$F:$F,"",0,1)</f>
        <v>L/R</v>
      </c>
      <c r="X8" s="460" t="str">
        <f>IFERROR(__xludf.DUMMYFUNCTION("""COMPUTED_VALUE"""),"So.")</f>
        <v>So.</v>
      </c>
      <c r="Y8" s="460" t="str">
        <f>IFERROR(__xludf.DUMMYFUNCTION("""COMPUTED_VALUE"""),"Owen Peterson")</f>
        <v>Owen Peterson</v>
      </c>
      <c r="Z8" s="249"/>
      <c r="AA8" s="459" t="str">
        <f t="array" ref="AA8">XLOOKUP(Y8,'Depth Chart Input'!$C:$C,'Depth Chart Input'!$F:$F,"",0,1)</f>
        <v>L/R</v>
      </c>
      <c r="AB8" s="461" t="str">
        <f>IFERROR(__xludf.DUMMYFUNCTION("""COMPUTED_VALUE"""),"Jr.")</f>
        <v>Jr.</v>
      </c>
      <c r="AC8" s="439"/>
      <c r="AD8" s="439"/>
      <c r="AE8" s="439"/>
      <c r="AF8" s="439"/>
      <c r="AG8" s="439"/>
      <c r="AH8" s="439"/>
      <c r="AI8" s="439"/>
      <c r="AJ8" s="439"/>
      <c r="AK8" s="439"/>
      <c r="AL8" s="439"/>
      <c r="AM8" s="439"/>
      <c r="AN8" s="439"/>
    </row>
    <row r="9" ht="16.5" customHeight="1">
      <c r="A9" s="455"/>
      <c r="B9" s="456"/>
      <c r="C9" s="401"/>
      <c r="D9" s="457" t="str">
        <f>IFERROR(__xludf.DUMMYFUNCTION("""COMPUTED_VALUE"""),"David Posey")</f>
        <v>David Posey</v>
      </c>
      <c r="E9" s="250"/>
      <c r="F9" s="458" t="str">
        <f>IFERROR(__xludf.DUMMYFUNCTION("""COMPUTED_VALUE"""),"So.")</f>
        <v>So.</v>
      </c>
      <c r="G9" s="457" t="str">
        <f>IFERROR(__xludf.DUMMYFUNCTION("""COMPUTED_VALUE"""),"Spencer Stephens")</f>
        <v>Spencer Stephens</v>
      </c>
      <c r="H9" s="250"/>
      <c r="I9" s="458" t="str">
        <f>IFERROR(__xludf.DUMMYFUNCTION("""COMPUTED_VALUE"""),"Jr.")</f>
        <v>Jr.</v>
      </c>
      <c r="J9" s="457"/>
      <c r="K9" s="250"/>
      <c r="L9" s="457"/>
      <c r="M9" s="457"/>
      <c r="N9" s="249"/>
      <c r="O9" s="459" t="str">
        <f t="array" ref="O9">XLOOKUP(M9,'Depth Chart Input'!$C:$C,'Depth Chart Input'!$F:$F,"",0,1)</f>
        <v/>
      </c>
      <c r="P9" s="460"/>
      <c r="Q9" s="457" t="str">
        <f>IFERROR(__xludf.DUMMYFUNCTION("""COMPUTED_VALUE"""),"Jake Cesarz")</f>
        <v>Jake Cesarz</v>
      </c>
      <c r="R9" s="249"/>
      <c r="S9" s="459" t="str">
        <f t="array" ref="S9">XLOOKUP(Q9,'Depth Chart Input'!$C:$C,'Depth Chart Input'!$F:$F,"",0,1)</f>
        <v>R/R</v>
      </c>
      <c r="T9" s="460" t="str">
        <f>IFERROR(__xludf.DUMMYFUNCTION("""COMPUTED_VALUE"""),"Fr.")</f>
        <v>Fr.</v>
      </c>
      <c r="U9" s="460"/>
      <c r="V9" s="249"/>
      <c r="W9" s="459" t="str">
        <f t="array" ref="W9">XLOOKUP(U9,'Depth Chart Input'!$C:$C,'Depth Chart Input'!$F:$F,"",0,1)</f>
        <v/>
      </c>
      <c r="X9" s="460"/>
      <c r="Y9" s="460" t="str">
        <f>IFERROR(__xludf.DUMMYFUNCTION("""COMPUTED_VALUE"""),"Jake Hooten")</f>
        <v>Jake Hooten</v>
      </c>
      <c r="Z9" s="249"/>
      <c r="AA9" s="459" t="str">
        <f t="array" ref="AA9">XLOOKUP(Y9,'Depth Chart Input'!$C:$C,'Depth Chart Input'!$F:$F,"",0,1)</f>
        <v>R/R</v>
      </c>
      <c r="AB9" s="461" t="str">
        <f>IFERROR(__xludf.DUMMYFUNCTION("""COMPUTED_VALUE"""),"So.")</f>
        <v>So.</v>
      </c>
      <c r="AC9" s="439"/>
      <c r="AD9" s="439"/>
      <c r="AE9" s="439"/>
      <c r="AF9" s="439"/>
      <c r="AG9" s="439"/>
      <c r="AH9" s="439"/>
      <c r="AI9" s="439"/>
      <c r="AJ9" s="439"/>
      <c r="AK9" s="439"/>
      <c r="AL9" s="439"/>
      <c r="AM9" s="439"/>
      <c r="AN9" s="439"/>
    </row>
    <row r="10" ht="16.5" customHeight="1">
      <c r="A10" s="455"/>
      <c r="B10" s="456"/>
      <c r="C10" s="401"/>
      <c r="D10" s="457" t="str">
        <f>IFERROR(__xludf.DUMMYFUNCTION("""COMPUTED_VALUE"""),"Jackson Clark")</f>
        <v>Jackson Clark</v>
      </c>
      <c r="E10" s="250"/>
      <c r="F10" s="458" t="str">
        <f>IFERROR(__xludf.DUMMYFUNCTION("""COMPUTED_VALUE"""),"So.")</f>
        <v>So.</v>
      </c>
      <c r="G10" s="457" t="str">
        <f>IFERROR(__xludf.DUMMYFUNCTION("""COMPUTED_VALUE"""),"Garrison Wade")</f>
        <v>Garrison Wade</v>
      </c>
      <c r="H10" s="250"/>
      <c r="I10" s="458" t="str">
        <f>IFERROR(__xludf.DUMMYFUNCTION("""COMPUTED_VALUE"""),"Fr.")</f>
        <v>Fr.</v>
      </c>
      <c r="J10" s="457"/>
      <c r="K10" s="250"/>
      <c r="L10" s="457"/>
      <c r="M10" s="457"/>
      <c r="N10" s="249"/>
      <c r="O10" s="459" t="str">
        <f t="array" ref="O10">XLOOKUP(M10,'Depth Chart Input'!$C:$C,'Depth Chart Input'!$F:$F,"",0,1)</f>
        <v/>
      </c>
      <c r="P10" s="460"/>
      <c r="Q10" s="457"/>
      <c r="R10" s="249"/>
      <c r="S10" s="459" t="str">
        <f t="array" ref="S10">XLOOKUP(Q10,'Depth Chart Input'!$C:$C,'Depth Chart Input'!$F:$F,"",0,1)</f>
        <v/>
      </c>
      <c r="T10" s="460"/>
      <c r="U10" s="460"/>
      <c r="V10" s="249"/>
      <c r="W10" s="459" t="str">
        <f t="array" ref="W10">XLOOKUP(U10,'Depth Chart Input'!$C:$C,'Depth Chart Input'!$F:$F,"",0,1)</f>
        <v/>
      </c>
      <c r="X10" s="460"/>
      <c r="Y10" s="460" t="str">
        <f>IFERROR(__xludf.DUMMYFUNCTION("""COMPUTED_VALUE"""),"John Loudon")</f>
        <v>John Loudon</v>
      </c>
      <c r="Z10" s="249"/>
      <c r="AA10" s="459" t="str">
        <f t="array" ref="AA10">XLOOKUP(Y10,'Depth Chart Input'!$C:$C,'Depth Chart Input'!$F:$F,"",0,1)</f>
        <v>R/R</v>
      </c>
      <c r="AB10" s="461" t="str">
        <f>IFERROR(__xludf.DUMMYFUNCTION("""COMPUTED_VALUE"""),"So.")</f>
        <v>So.</v>
      </c>
      <c r="AC10" s="439"/>
      <c r="AD10" s="439"/>
      <c r="AE10" s="439"/>
      <c r="AF10" s="439"/>
      <c r="AG10" s="439"/>
      <c r="AH10" s="439"/>
      <c r="AI10" s="439"/>
      <c r="AJ10" s="439"/>
      <c r="AK10" s="439"/>
      <c r="AL10" s="439"/>
      <c r="AM10" s="439"/>
      <c r="AN10" s="439"/>
    </row>
    <row r="11" ht="16.5" customHeight="1">
      <c r="A11" s="455"/>
      <c r="B11" s="468"/>
      <c r="C11" s="401"/>
      <c r="D11" s="457" t="str">
        <f>IFERROR(__xludf.DUMMYFUNCTION("""COMPUTED_VALUE"""),"Owen Phypers")</f>
        <v>Owen Phypers</v>
      </c>
      <c r="E11" s="250"/>
      <c r="F11" s="458" t="str">
        <f>IFERROR(__xludf.DUMMYFUNCTION("""COMPUTED_VALUE"""),"So.")</f>
        <v>So.</v>
      </c>
      <c r="G11" s="457" t="str">
        <f>IFERROR(__xludf.DUMMYFUNCTION("""COMPUTED_VALUE"""),"Noah Hummel")</f>
        <v>Noah Hummel</v>
      </c>
      <c r="H11" s="250"/>
      <c r="I11" s="458" t="str">
        <f>IFERROR(__xludf.DUMMYFUNCTION("""COMPUTED_VALUE"""),"Fr.")</f>
        <v>Fr.</v>
      </c>
      <c r="J11" s="457"/>
      <c r="K11" s="250"/>
      <c r="L11" s="457"/>
      <c r="M11" s="457"/>
      <c r="N11" s="249"/>
      <c r="O11" s="459" t="str">
        <f t="array" ref="O11">XLOOKUP(M11,'Depth Chart Input'!$C:$C,'Depth Chart Input'!$F:$F,"",0,1)</f>
        <v/>
      </c>
      <c r="P11" s="460"/>
      <c r="Q11" s="457"/>
      <c r="R11" s="249"/>
      <c r="S11" s="459" t="str">
        <f t="array" ref="S11">XLOOKUP(Q11,'Depth Chart Input'!$C:$C,'Depth Chart Input'!$F:$F,"",0,1)</f>
        <v/>
      </c>
      <c r="T11" s="460"/>
      <c r="U11" s="460"/>
      <c r="V11" s="249"/>
      <c r="W11" s="459" t="str">
        <f t="array" ref="W11">XLOOKUP(U11,'Depth Chart Input'!$C:$C,'Depth Chart Input'!$F:$F,"",0,1)</f>
        <v/>
      </c>
      <c r="X11" s="460"/>
      <c r="Y11" s="460" t="str">
        <f>IFERROR(__xludf.DUMMYFUNCTION("""COMPUTED_VALUE"""),"Ace Tarango")</f>
        <v>Ace Tarango</v>
      </c>
      <c r="Z11" s="249"/>
      <c r="AA11" s="459" t="str">
        <f t="array" ref="AA11">XLOOKUP(Y11,'Depth Chart Input'!$C:$C,'Depth Chart Input'!$F:$F,"",0,1)</f>
        <v>R/R</v>
      </c>
      <c r="AB11" s="461" t="str">
        <f>IFERROR(__xludf.DUMMYFUNCTION("""COMPUTED_VALUE"""),"Fr.")</f>
        <v>Fr.</v>
      </c>
      <c r="AC11" s="439"/>
      <c r="AD11" s="439"/>
      <c r="AE11" s="439"/>
      <c r="AF11" s="439"/>
      <c r="AG11" s="439"/>
      <c r="AH11" s="439"/>
      <c r="AI11" s="439"/>
      <c r="AJ11" s="439"/>
      <c r="AK11" s="439"/>
      <c r="AL11" s="439"/>
      <c r="AM11" s="439"/>
      <c r="AN11" s="439"/>
    </row>
    <row r="12" ht="16.5" customHeight="1">
      <c r="A12" s="455"/>
      <c r="B12" s="456"/>
      <c r="C12" s="401"/>
      <c r="D12" s="457" t="str">
        <f>IFERROR(__xludf.DUMMYFUNCTION("""COMPUTED_VALUE"""),"Sachin Gopel")</f>
        <v>Sachin Gopel</v>
      </c>
      <c r="E12" s="250"/>
      <c r="F12" s="458" t="str">
        <f>IFERROR(__xludf.DUMMYFUNCTION("""COMPUTED_VALUE"""),"So.")</f>
        <v>So.</v>
      </c>
      <c r="G12" s="457"/>
      <c r="H12" s="250"/>
      <c r="I12" s="458"/>
      <c r="J12" s="457"/>
      <c r="K12" s="250"/>
      <c r="L12" s="457"/>
      <c r="M12" s="457"/>
      <c r="N12" s="249"/>
      <c r="O12" s="459" t="str">
        <f t="array" ref="O12">XLOOKUP(M12,'Depth Chart Input'!$C:$C,'Depth Chart Input'!$F:$F,"",0,1)</f>
        <v/>
      </c>
      <c r="P12" s="460"/>
      <c r="Q12" s="457"/>
      <c r="R12" s="249"/>
      <c r="S12" s="459" t="str">
        <f t="array" ref="S12">XLOOKUP(Q12,'Depth Chart Input'!$C:$C,'Depth Chart Input'!$F:$F,"",0,1)</f>
        <v/>
      </c>
      <c r="T12" s="460"/>
      <c r="U12" s="460"/>
      <c r="V12" s="249"/>
      <c r="W12" s="459" t="str">
        <f t="array" ref="W12">XLOOKUP(U12,'Depth Chart Input'!$C:$C,'Depth Chart Input'!$F:$F,"",0,1)</f>
        <v/>
      </c>
      <c r="X12" s="460"/>
      <c r="Y12" s="460"/>
      <c r="Z12" s="249"/>
      <c r="AA12" s="459" t="str">
        <f t="array" ref="AA12">XLOOKUP(Y12,'Depth Chart Input'!$C:$C,'Depth Chart Input'!$F:$F,"",0,1)</f>
        <v/>
      </c>
      <c r="AB12" s="461"/>
      <c r="AC12" s="439"/>
      <c r="AD12" s="439"/>
      <c r="AE12" s="439"/>
      <c r="AF12" s="439"/>
      <c r="AG12" s="439"/>
      <c r="AH12" s="439"/>
      <c r="AI12" s="439"/>
      <c r="AJ12" s="439"/>
      <c r="AK12" s="439"/>
      <c r="AL12" s="439"/>
      <c r="AM12" s="439"/>
      <c r="AN12" s="439"/>
    </row>
    <row r="13" ht="16.5" customHeight="1">
      <c r="A13" s="455"/>
      <c r="B13" s="456"/>
      <c r="C13" s="401"/>
      <c r="D13" s="457" t="str">
        <f>IFERROR(__xludf.DUMMYFUNCTION("""COMPUTED_VALUE"""),"Brian Mancinelli")</f>
        <v>Brian Mancinelli</v>
      </c>
      <c r="E13" s="250"/>
      <c r="F13" s="458" t="str">
        <f>IFERROR(__xludf.DUMMYFUNCTION("""COMPUTED_VALUE"""),"Fr.")</f>
        <v>Fr.</v>
      </c>
      <c r="G13" s="457"/>
      <c r="H13" s="250"/>
      <c r="I13" s="458"/>
      <c r="J13" s="457"/>
      <c r="K13" s="250"/>
      <c r="L13" s="457"/>
      <c r="M13" s="457"/>
      <c r="N13" s="249"/>
      <c r="O13" s="459" t="str">
        <f t="array" ref="O13">XLOOKUP(M13,'Depth Chart Input'!$C:$C,'Depth Chart Input'!$F:$F,"",0,1)</f>
        <v/>
      </c>
      <c r="P13" s="460"/>
      <c r="Q13" s="457"/>
      <c r="R13" s="249"/>
      <c r="S13" s="459" t="str">
        <f t="array" ref="S13">XLOOKUP(Q13,'Depth Chart Input'!$C:$C,'Depth Chart Input'!$F:$F,"",0,1)</f>
        <v/>
      </c>
      <c r="T13" s="460"/>
      <c r="U13" s="460"/>
      <c r="V13" s="249"/>
      <c r="W13" s="459" t="str">
        <f t="array" ref="W13">XLOOKUP(U13,'Depth Chart Input'!$C:$C,'Depth Chart Input'!$F:$F,"",0,1)</f>
        <v/>
      </c>
      <c r="X13" s="460"/>
      <c r="Y13" s="460"/>
      <c r="Z13" s="249"/>
      <c r="AA13" s="459" t="str">
        <f t="array" ref="AA13">XLOOKUP(Y13,'Depth Chart Input'!$C:$C,'Depth Chart Input'!$F:$F,"",0,1)</f>
        <v/>
      </c>
      <c r="AB13" s="461"/>
      <c r="AC13" s="439"/>
      <c r="AD13" s="439"/>
      <c r="AE13" s="439"/>
      <c r="AF13" s="439"/>
      <c r="AG13" s="439"/>
      <c r="AH13" s="439"/>
      <c r="AI13" s="439"/>
      <c r="AJ13" s="439"/>
      <c r="AK13" s="439"/>
      <c r="AL13" s="439"/>
      <c r="AM13" s="439"/>
      <c r="AN13" s="439"/>
    </row>
    <row r="14" ht="16.5" customHeight="1">
      <c r="A14" s="455"/>
      <c r="B14" s="456"/>
      <c r="C14" s="401"/>
      <c r="D14" s="457" t="str">
        <f>IFERROR(__xludf.DUMMYFUNCTION("""COMPUTED_VALUE"""),"Hawk Stickney")</f>
        <v>Hawk Stickney</v>
      </c>
      <c r="E14" s="250"/>
      <c r="F14" s="458" t="str">
        <f>IFERROR(__xludf.DUMMYFUNCTION("""COMPUTED_VALUE"""),"Fr.")</f>
        <v>Fr.</v>
      </c>
      <c r="G14" s="457"/>
      <c r="H14" s="250"/>
      <c r="I14" s="458"/>
      <c r="J14" s="457"/>
      <c r="K14" s="250"/>
      <c r="L14" s="457"/>
      <c r="M14" s="457"/>
      <c r="N14" s="249"/>
      <c r="O14" s="459" t="str">
        <f t="array" ref="O14">XLOOKUP(M14,'Depth Chart Input'!$C:$C,'Depth Chart Input'!$F:$F,"",0,1)</f>
        <v/>
      </c>
      <c r="P14" s="460"/>
      <c r="Q14" s="457"/>
      <c r="R14" s="249"/>
      <c r="S14" s="459" t="str">
        <f t="array" ref="S14">XLOOKUP(Q14,'Depth Chart Input'!$C:$C,'Depth Chart Input'!$F:$F,"",0,1)</f>
        <v/>
      </c>
      <c r="T14" s="460"/>
      <c r="U14" s="460"/>
      <c r="V14" s="249"/>
      <c r="W14" s="459" t="str">
        <f t="array" ref="W14">XLOOKUP(U14,'Depth Chart Input'!$C:$C,'Depth Chart Input'!$F:$F,"",0,1)</f>
        <v/>
      </c>
      <c r="X14" s="460"/>
      <c r="Y14" s="460"/>
      <c r="Z14" s="249"/>
      <c r="AA14" s="459" t="str">
        <f t="array" ref="AA14">XLOOKUP(Y14,'Depth Chart Input'!$C:$C,'Depth Chart Input'!$F:$F,"",0,1)</f>
        <v/>
      </c>
      <c r="AB14" s="461"/>
      <c r="AC14" s="439"/>
      <c r="AD14" s="439"/>
      <c r="AE14" s="439"/>
      <c r="AF14" s="439"/>
      <c r="AG14" s="439"/>
      <c r="AH14" s="439"/>
      <c r="AI14" s="439"/>
      <c r="AJ14" s="439"/>
      <c r="AK14" s="439"/>
      <c r="AL14" s="439"/>
      <c r="AM14" s="439"/>
      <c r="AN14" s="439"/>
    </row>
    <row r="15" ht="16.5" customHeight="1">
      <c r="A15" s="455"/>
      <c r="B15" s="456"/>
      <c r="C15" s="401"/>
      <c r="D15" s="457" t="str">
        <f>IFERROR(__xludf.DUMMYFUNCTION("""COMPUTED_VALUE"""),"Santiago Arismendi")</f>
        <v>Santiago Arismendi</v>
      </c>
      <c r="E15" s="250"/>
      <c r="F15" s="458" t="str">
        <f>IFERROR(__xludf.DUMMYFUNCTION("""COMPUTED_VALUE"""),"Fr.")</f>
        <v>Fr.</v>
      </c>
      <c r="G15" s="457"/>
      <c r="H15" s="250"/>
      <c r="I15" s="458"/>
      <c r="J15" s="457"/>
      <c r="K15" s="250"/>
      <c r="L15" s="457"/>
      <c r="M15" s="457"/>
      <c r="N15" s="249"/>
      <c r="O15" s="459" t="str">
        <f t="array" ref="O15">XLOOKUP(M15,'Depth Chart Input'!$C:$C,'Depth Chart Input'!$F:$F,"",0,1)</f>
        <v/>
      </c>
      <c r="P15" s="460"/>
      <c r="Q15" s="457"/>
      <c r="R15" s="249"/>
      <c r="S15" s="459" t="str">
        <f t="array" ref="S15">XLOOKUP(Q15,'Depth Chart Input'!$C:$C,'Depth Chart Input'!$F:$F,"",0,1)</f>
        <v/>
      </c>
      <c r="T15" s="460"/>
      <c r="U15" s="460"/>
      <c r="V15" s="249"/>
      <c r="W15" s="459" t="str">
        <f t="array" ref="W15">XLOOKUP(U15,'Depth Chart Input'!$C:$C,'Depth Chart Input'!$F:$F,"",0,1)</f>
        <v/>
      </c>
      <c r="X15" s="460"/>
      <c r="Y15" s="460"/>
      <c r="Z15" s="249"/>
      <c r="AA15" s="459" t="str">
        <f t="array" ref="AA15">XLOOKUP(Y15,'Depth Chart Input'!$C:$C,'Depth Chart Input'!$F:$F,"",0,1)</f>
        <v/>
      </c>
      <c r="AB15" s="461"/>
      <c r="AC15" s="439"/>
      <c r="AD15" s="439"/>
      <c r="AE15" s="439"/>
      <c r="AF15" s="439"/>
      <c r="AG15" s="439"/>
      <c r="AH15" s="439"/>
      <c r="AI15" s="439"/>
      <c r="AJ15" s="439"/>
      <c r="AK15" s="439"/>
      <c r="AL15" s="439"/>
      <c r="AM15" s="439"/>
      <c r="AN15" s="439"/>
    </row>
    <row r="16" ht="16.5" customHeight="1">
      <c r="A16" s="455"/>
      <c r="B16" s="456"/>
      <c r="C16" s="401"/>
      <c r="D16" s="457" t="str">
        <f>IFERROR(__xludf.DUMMYFUNCTION("""COMPUTED_VALUE"""),"Tyler Reeder")</f>
        <v>Tyler Reeder</v>
      </c>
      <c r="E16" s="250"/>
      <c r="F16" s="458" t="str">
        <f>IFERROR(__xludf.DUMMYFUNCTION("""COMPUTED_VALUE"""),"Fr.")</f>
        <v>Fr.</v>
      </c>
      <c r="G16" s="457"/>
      <c r="H16" s="250"/>
      <c r="I16" s="458"/>
      <c r="J16" s="457"/>
      <c r="K16" s="250"/>
      <c r="L16" s="457"/>
      <c r="M16" s="457"/>
      <c r="N16" s="249"/>
      <c r="O16" s="459" t="str">
        <f t="array" ref="O16">XLOOKUP(M16,'Depth Chart Input'!$C:$C,'Depth Chart Input'!$F:$F,"",0,1)</f>
        <v/>
      </c>
      <c r="P16" s="460"/>
      <c r="Q16" s="457"/>
      <c r="R16" s="249"/>
      <c r="S16" s="459" t="str">
        <f t="array" ref="S16">XLOOKUP(Q16,'Depth Chart Input'!$C:$C,'Depth Chart Input'!$F:$F,"",0,1)</f>
        <v/>
      </c>
      <c r="T16" s="460"/>
      <c r="U16" s="460"/>
      <c r="V16" s="249"/>
      <c r="W16" s="459" t="str">
        <f t="array" ref="W16">XLOOKUP(U16,'Depth Chart Input'!$C:$C,'Depth Chart Input'!$F:$F,"",0,1)</f>
        <v/>
      </c>
      <c r="X16" s="460"/>
      <c r="Y16" s="460"/>
      <c r="Z16" s="249"/>
      <c r="AA16" s="459" t="str">
        <f t="array" ref="AA16">XLOOKUP(Y16,'Depth Chart Input'!$C:$C,'Depth Chart Input'!$F:$F,"",0,1)</f>
        <v/>
      </c>
      <c r="AB16" s="461"/>
      <c r="AC16" s="439"/>
      <c r="AD16" s="439"/>
      <c r="AE16" s="439"/>
      <c r="AF16" s="439"/>
      <c r="AG16" s="439"/>
      <c r="AH16" s="439"/>
      <c r="AI16" s="439"/>
      <c r="AJ16" s="439"/>
      <c r="AK16" s="439"/>
      <c r="AL16" s="439"/>
      <c r="AM16" s="439"/>
      <c r="AN16" s="439"/>
    </row>
    <row r="17" ht="16.5" customHeight="1">
      <c r="A17" s="455"/>
      <c r="B17" s="456"/>
      <c r="C17" s="401"/>
      <c r="D17" s="457"/>
      <c r="E17" s="250"/>
      <c r="F17" s="458"/>
      <c r="G17" s="457"/>
      <c r="H17" s="250"/>
      <c r="I17" s="458"/>
      <c r="J17" s="457"/>
      <c r="K17" s="250"/>
      <c r="L17" s="457"/>
      <c r="M17" s="457"/>
      <c r="N17" s="249"/>
      <c r="O17" s="459" t="str">
        <f t="array" ref="O17">XLOOKUP(M17,'Depth Chart Input'!$C:$C,'Depth Chart Input'!$F:$F,"",0,1)</f>
        <v/>
      </c>
      <c r="P17" s="460"/>
      <c r="Q17" s="457"/>
      <c r="R17" s="249"/>
      <c r="S17" s="459" t="str">
        <f t="array" ref="S17">XLOOKUP(Q17,'Depth Chart Input'!$C:$C,'Depth Chart Input'!$F:$F,"",0,1)</f>
        <v/>
      </c>
      <c r="T17" s="460"/>
      <c r="U17" s="460"/>
      <c r="V17" s="249"/>
      <c r="W17" s="459" t="str">
        <f t="array" ref="W17">XLOOKUP(U17,'Depth Chart Input'!$C:$C,'Depth Chart Input'!$F:$F,"",0,1)</f>
        <v/>
      </c>
      <c r="X17" s="460"/>
      <c r="Y17" s="460"/>
      <c r="Z17" s="249"/>
      <c r="AA17" s="459" t="str">
        <f t="array" ref="AA17">XLOOKUP(Y17,'Depth Chart Input'!$C:$C,'Depth Chart Input'!$F:$F,"",0,1)</f>
        <v/>
      </c>
      <c r="AB17" s="461"/>
      <c r="AC17" s="439"/>
      <c r="AF17" s="439"/>
      <c r="AG17" s="439"/>
      <c r="AH17" s="439"/>
      <c r="AI17" s="439"/>
      <c r="AJ17" s="439"/>
      <c r="AK17" s="439"/>
      <c r="AL17" s="439"/>
      <c r="AM17" s="439"/>
      <c r="AN17" s="439"/>
    </row>
    <row r="18" ht="16.5" customHeight="1">
      <c r="A18" s="455"/>
      <c r="B18" s="456"/>
      <c r="C18" s="401"/>
      <c r="D18" s="457"/>
      <c r="E18" s="250"/>
      <c r="F18" s="458"/>
      <c r="G18" s="457"/>
      <c r="H18" s="250"/>
      <c r="I18" s="458"/>
      <c r="J18" s="457"/>
      <c r="K18" s="250"/>
      <c r="L18" s="457"/>
      <c r="M18" s="457"/>
      <c r="N18" s="249"/>
      <c r="O18" s="459" t="str">
        <f t="array" ref="O18">XLOOKUP(M18,'Depth Chart Input'!$C:$C,'Depth Chart Input'!$F:$F,"",0,1)</f>
        <v/>
      </c>
      <c r="P18" s="460"/>
      <c r="Q18" s="457"/>
      <c r="R18" s="249"/>
      <c r="S18" s="459" t="str">
        <f t="array" ref="S18">XLOOKUP(Q18,'Depth Chart Input'!$C:$C,'Depth Chart Input'!$F:$F,"",0,1)</f>
        <v/>
      </c>
      <c r="T18" s="460"/>
      <c r="U18" s="460"/>
      <c r="V18" s="249"/>
      <c r="W18" s="459" t="str">
        <f t="array" ref="W18">XLOOKUP(U18,'Depth Chart Input'!$C:$C,'Depth Chart Input'!$F:$F,"",0,1)</f>
        <v/>
      </c>
      <c r="X18" s="460"/>
      <c r="Y18" s="460"/>
      <c r="Z18" s="249"/>
      <c r="AA18" s="459" t="str">
        <f t="array" ref="AA18">XLOOKUP(Y18,'Depth Chart Input'!$C:$C,'Depth Chart Input'!$F:$F,"",0,1)</f>
        <v/>
      </c>
      <c r="AB18" s="461"/>
      <c r="AC18" s="439"/>
      <c r="AF18" s="439"/>
      <c r="AG18" s="439"/>
      <c r="AH18" s="439"/>
      <c r="AI18" s="439"/>
      <c r="AJ18" s="439"/>
      <c r="AK18" s="439"/>
      <c r="AL18" s="439"/>
      <c r="AM18" s="439"/>
      <c r="AN18" s="439"/>
    </row>
    <row r="19" ht="16.5" customHeight="1">
      <c r="A19" s="455"/>
      <c r="B19" s="456"/>
      <c r="C19" s="401"/>
      <c r="D19" s="457"/>
      <c r="E19" s="250"/>
      <c r="F19" s="458"/>
      <c r="G19" s="457"/>
      <c r="H19" s="250"/>
      <c r="I19" s="458"/>
      <c r="J19" s="457"/>
      <c r="K19" s="250"/>
      <c r="L19" s="457"/>
      <c r="M19" s="457"/>
      <c r="N19" s="249"/>
      <c r="O19" s="459" t="str">
        <f t="array" ref="O19">XLOOKUP(M19,'Depth Chart Input'!$C:$C,'Depth Chart Input'!$F:$F,"",0,1)</f>
        <v/>
      </c>
      <c r="P19" s="460"/>
      <c r="Q19" s="457"/>
      <c r="R19" s="249"/>
      <c r="S19" s="459" t="str">
        <f t="array" ref="S19">XLOOKUP(Q19,'Depth Chart Input'!$C:$C,'Depth Chart Input'!$F:$F,"",0,1)</f>
        <v/>
      </c>
      <c r="T19" s="460"/>
      <c r="U19" s="460"/>
      <c r="V19" s="249"/>
      <c r="W19" s="459" t="str">
        <f t="array" ref="W19">XLOOKUP(U19,'Depth Chart Input'!$C:$C,'Depth Chart Input'!$F:$F,"",0,1)</f>
        <v/>
      </c>
      <c r="X19" s="460"/>
      <c r="Y19" s="460"/>
      <c r="Z19" s="249"/>
      <c r="AA19" s="459" t="str">
        <f t="array" ref="AA19">XLOOKUP(Y19,'Depth Chart Input'!$C:$C,'Depth Chart Input'!$F:$F,"",0,1)</f>
        <v/>
      </c>
      <c r="AB19" s="461"/>
      <c r="AC19" s="439"/>
      <c r="AF19" s="439"/>
      <c r="AG19" s="439"/>
      <c r="AH19" s="439"/>
      <c r="AI19" s="439"/>
      <c r="AJ19" s="439"/>
      <c r="AK19" s="439"/>
      <c r="AL19" s="439"/>
      <c r="AM19" s="439"/>
      <c r="AN19" s="439"/>
    </row>
    <row r="20" ht="16.5" customHeight="1">
      <c r="A20" s="455"/>
      <c r="B20" s="456"/>
      <c r="C20" s="401"/>
      <c r="D20" s="469"/>
      <c r="E20" s="250"/>
      <c r="F20" s="470"/>
      <c r="G20" s="469"/>
      <c r="H20" s="250"/>
      <c r="I20" s="470"/>
      <c r="J20" s="469"/>
      <c r="K20" s="250"/>
      <c r="L20" s="469"/>
      <c r="M20" s="469"/>
      <c r="N20" s="249"/>
      <c r="O20" s="459" t="str">
        <f t="array" ref="O20">XLOOKUP(M20,'Depth Chart Input'!$C:$C,'Depth Chart Input'!$F:$F,"",0,1)</f>
        <v/>
      </c>
      <c r="P20" s="471"/>
      <c r="Q20" s="469"/>
      <c r="R20" s="249"/>
      <c r="S20" s="459" t="str">
        <f t="array" ref="S20">XLOOKUP(Q20,'Depth Chart Input'!$C:$C,'Depth Chart Input'!$F:$F,"",0,1)</f>
        <v/>
      </c>
      <c r="T20" s="471"/>
      <c r="U20" s="471"/>
      <c r="V20" s="249"/>
      <c r="W20" s="459" t="str">
        <f t="array" ref="W20">XLOOKUP(U20,'Depth Chart Input'!$C:$C,'Depth Chart Input'!$F:$F,"",0,1)</f>
        <v/>
      </c>
      <c r="X20" s="471"/>
      <c r="Y20" s="471"/>
      <c r="Z20" s="249"/>
      <c r="AA20" s="459" t="str">
        <f t="array" ref="AA20">XLOOKUP(Y20,'Depth Chart Input'!$C:$C,'Depth Chart Input'!$F:$F,"",0,1)</f>
        <v/>
      </c>
      <c r="AB20" s="472"/>
      <c r="AC20" s="439"/>
      <c r="AF20" s="439"/>
      <c r="AG20" s="439"/>
      <c r="AH20" s="439"/>
      <c r="AI20" s="439"/>
      <c r="AJ20" s="439"/>
      <c r="AK20" s="439"/>
      <c r="AL20" s="439"/>
      <c r="AM20" s="439"/>
      <c r="AN20" s="439"/>
    </row>
    <row r="21" ht="16.5" customHeight="1">
      <c r="A21" s="455"/>
      <c r="B21" s="456"/>
      <c r="C21" s="403"/>
      <c r="D21" s="469"/>
      <c r="E21" s="250"/>
      <c r="F21" s="470"/>
      <c r="G21" s="469"/>
      <c r="H21" s="250"/>
      <c r="I21" s="470"/>
      <c r="J21" s="469"/>
      <c r="K21" s="250"/>
      <c r="L21" s="469"/>
      <c r="M21" s="469"/>
      <c r="N21" s="249"/>
      <c r="O21" s="459" t="str">
        <f t="array" ref="O21">XLOOKUP(M21,'Depth Chart Input'!$C:$C,'Depth Chart Input'!$F:$F,"",0,1)</f>
        <v/>
      </c>
      <c r="P21" s="471"/>
      <c r="Q21" s="469"/>
      <c r="R21" s="249"/>
      <c r="S21" s="459" t="str">
        <f t="array" ref="S21">XLOOKUP(Q21,'Depth Chart Input'!$C:$C,'Depth Chart Input'!$F:$F,"",0,1)</f>
        <v/>
      </c>
      <c r="T21" s="471"/>
      <c r="U21" s="471"/>
      <c r="V21" s="249"/>
      <c r="W21" s="459" t="str">
        <f t="array" ref="W21">XLOOKUP(U21,'Depth Chart Input'!$C:$C,'Depth Chart Input'!$F:$F,"",0,1)</f>
        <v/>
      </c>
      <c r="X21" s="471"/>
      <c r="Y21" s="471"/>
      <c r="Z21" s="249"/>
      <c r="AA21" s="459" t="str">
        <f t="array" ref="AA21">XLOOKUP(Y21,'Depth Chart Input'!$C:$C,'Depth Chart Input'!$F:$F,"",0,1)</f>
        <v/>
      </c>
      <c r="AB21" s="472"/>
      <c r="AD21" s="473" t="s">
        <v>8201</v>
      </c>
      <c r="AE21" s="452"/>
      <c r="AF21" s="453"/>
      <c r="AG21" s="439"/>
      <c r="AH21" s="439"/>
      <c r="AI21" s="439"/>
      <c r="AJ21" s="439"/>
      <c r="AK21" s="439"/>
      <c r="AL21" s="439"/>
      <c r="AM21" s="439"/>
      <c r="AN21" s="439"/>
    </row>
    <row r="22" ht="16.5" customHeight="1">
      <c r="B22" s="474"/>
      <c r="C22" s="475" t="s">
        <v>8202</v>
      </c>
      <c r="D22" s="476">
        <f>COUNTA(D4:D21)</f>
        <v>13</v>
      </c>
      <c r="E22" s="250"/>
      <c r="F22" s="475"/>
      <c r="G22" s="476">
        <f>COUNTA(G4:G21)</f>
        <v>8</v>
      </c>
      <c r="H22" s="250"/>
      <c r="I22" s="475"/>
      <c r="J22" s="476">
        <f>COUNTA(J4:J21)</f>
        <v>0</v>
      </c>
      <c r="K22" s="250"/>
      <c r="L22" s="475"/>
      <c r="M22" s="477">
        <f>COUNTA(M4:M21)</f>
        <v>3</v>
      </c>
      <c r="N22" s="478"/>
      <c r="O22" s="479"/>
      <c r="P22" s="477">
        <f t="shared" ref="P22:Q22" si="2">COUNTA(P4:P21)</f>
        <v>3</v>
      </c>
      <c r="Q22" s="477">
        <f t="shared" si="2"/>
        <v>6</v>
      </c>
      <c r="R22" s="478"/>
      <c r="S22" s="479"/>
      <c r="T22" s="480"/>
      <c r="U22" s="477">
        <f>COUNTA(U4:U21)</f>
        <v>5</v>
      </c>
      <c r="V22" s="478"/>
      <c r="W22" s="479"/>
      <c r="X22" s="481"/>
      <c r="Y22" s="477">
        <f>COUNTA(Y4:Y21)</f>
        <v>8</v>
      </c>
      <c r="Z22" s="478"/>
      <c r="AA22" s="479"/>
      <c r="AB22" s="482"/>
      <c r="AD22" s="483">
        <f>SUM(D22,G22,J22,M22,Q22,U22,Y22,)</f>
        <v>43</v>
      </c>
      <c r="AE22" s="478"/>
      <c r="AF22" s="479"/>
      <c r="AG22" s="439"/>
      <c r="AH22" s="439"/>
      <c r="AI22" s="439"/>
      <c r="AJ22" s="439"/>
      <c r="AK22" s="439"/>
      <c r="AL22" s="439"/>
      <c r="AM22" s="439"/>
      <c r="AN22" s="439"/>
    </row>
    <row r="23" ht="16.5" customHeight="1">
      <c r="A23" s="484" t="s">
        <v>8203</v>
      </c>
      <c r="C23" s="446"/>
      <c r="D23" s="446"/>
      <c r="E23" s="446"/>
      <c r="F23" s="446"/>
      <c r="G23" s="446"/>
      <c r="H23" s="485"/>
      <c r="I23" s="485"/>
      <c r="J23" s="446"/>
      <c r="K23" s="446"/>
      <c r="L23" s="446"/>
      <c r="M23" s="446"/>
      <c r="N23" s="446"/>
      <c r="O23" s="446"/>
      <c r="P23" s="446"/>
      <c r="Q23" s="446"/>
      <c r="R23" s="446"/>
      <c r="S23" s="446"/>
      <c r="T23" s="446"/>
      <c r="U23" s="446"/>
      <c r="V23" s="446"/>
      <c r="W23" s="446"/>
      <c r="X23" s="446"/>
      <c r="Y23" s="446"/>
      <c r="Z23" s="446"/>
      <c r="AA23" s="446"/>
      <c r="AB23" s="446"/>
      <c r="AC23" s="446"/>
      <c r="AD23" s="446"/>
      <c r="AE23" s="446"/>
      <c r="AF23" s="446"/>
      <c r="AG23" s="446"/>
      <c r="AH23" s="446"/>
      <c r="AI23" s="446"/>
      <c r="AJ23" s="446"/>
      <c r="AK23" s="446"/>
      <c r="AL23" s="446"/>
      <c r="AM23" s="446"/>
      <c r="AN23" s="446"/>
    </row>
    <row r="24" ht="16.5" customHeight="1">
      <c r="A24" s="484" t="s">
        <v>8204</v>
      </c>
      <c r="C24" s="446"/>
      <c r="D24" s="446"/>
      <c r="E24" s="446"/>
      <c r="F24" s="446"/>
      <c r="G24" s="446"/>
      <c r="H24" s="485"/>
      <c r="I24" s="485"/>
      <c r="J24" s="446"/>
      <c r="K24" s="446"/>
      <c r="L24" s="446"/>
      <c r="M24" s="446"/>
      <c r="N24" s="446"/>
      <c r="O24" s="446"/>
      <c r="P24" s="446"/>
      <c r="Q24" s="446"/>
      <c r="R24" s="446"/>
      <c r="S24" s="446"/>
      <c r="T24" s="446"/>
      <c r="U24" s="446"/>
      <c r="V24" s="446"/>
      <c r="W24" s="446"/>
      <c r="X24" s="446"/>
      <c r="Y24" s="446"/>
      <c r="Z24" s="446"/>
      <c r="AA24" s="446"/>
      <c r="AB24" s="446"/>
      <c r="AC24" s="446"/>
      <c r="AD24" s="446"/>
      <c r="AE24" s="446"/>
      <c r="AF24" s="446"/>
      <c r="AG24" s="446"/>
      <c r="AH24" s="446"/>
      <c r="AI24" s="446"/>
      <c r="AJ24" s="446"/>
      <c r="AK24" s="446"/>
      <c r="AL24" s="446"/>
      <c r="AM24" s="446"/>
      <c r="AN24" s="446"/>
    </row>
    <row r="25" ht="16.5" customHeight="1">
      <c r="A25" s="484" t="s">
        <v>8205</v>
      </c>
      <c r="G25" s="446"/>
      <c r="H25" s="485"/>
      <c r="I25" s="485"/>
      <c r="J25" s="446"/>
      <c r="K25" s="446"/>
      <c r="L25" s="446"/>
      <c r="M25" s="446"/>
      <c r="N25" s="446"/>
      <c r="O25" s="446"/>
      <c r="P25" s="446"/>
      <c r="Q25" s="446"/>
      <c r="R25" s="446"/>
      <c r="S25" s="446"/>
      <c r="T25" s="446"/>
      <c r="U25" s="446"/>
      <c r="V25" s="446"/>
      <c r="W25" s="446"/>
      <c r="X25" s="446"/>
      <c r="Y25" s="446"/>
      <c r="Z25" s="446"/>
      <c r="AA25" s="446"/>
      <c r="AB25" s="446"/>
      <c r="AC25" s="446"/>
      <c r="AD25" s="446"/>
      <c r="AE25" s="446"/>
      <c r="AF25" s="446"/>
      <c r="AG25" s="446"/>
      <c r="AH25" s="446"/>
      <c r="AI25" s="446"/>
      <c r="AJ25" s="446"/>
      <c r="AK25" s="446"/>
      <c r="AL25" s="446"/>
      <c r="AM25" s="446"/>
      <c r="AN25" s="446"/>
    </row>
    <row r="26" ht="16.5" customHeight="1">
      <c r="A26" s="289"/>
      <c r="B26" s="486"/>
      <c r="C26" s="289"/>
      <c r="D26" s="289"/>
      <c r="E26" s="289"/>
      <c r="F26" s="289"/>
      <c r="G26" s="289"/>
      <c r="H26" s="487" t="s">
        <v>63</v>
      </c>
      <c r="I26" s="488"/>
      <c r="J26" s="488"/>
      <c r="K26" s="488"/>
      <c r="L26" s="488"/>
      <c r="M26" s="488"/>
      <c r="N26" s="488"/>
      <c r="O26" s="488"/>
      <c r="P26" s="488"/>
      <c r="Q26" s="488"/>
      <c r="R26" s="489"/>
      <c r="S26" s="490"/>
      <c r="T26" s="491"/>
      <c r="U26" s="289"/>
      <c r="V26" s="289"/>
      <c r="W26" s="289"/>
      <c r="X26" s="289"/>
      <c r="Y26" s="289"/>
      <c r="Z26" s="289"/>
      <c r="AA26" s="289"/>
      <c r="AB26" s="289"/>
      <c r="AC26" s="289"/>
      <c r="AD26" s="289"/>
      <c r="AE26" s="289"/>
      <c r="AF26" s="289"/>
      <c r="AG26" s="289"/>
      <c r="AH26" s="446"/>
      <c r="AI26" s="446"/>
      <c r="AJ26" s="446"/>
      <c r="AK26" s="446"/>
      <c r="AL26" s="446"/>
      <c r="AM26" s="446"/>
      <c r="AN26" s="446"/>
    </row>
    <row r="27" ht="16.5" customHeight="1">
      <c r="A27" s="289"/>
      <c r="B27" s="486"/>
      <c r="C27" s="289"/>
      <c r="D27" s="289"/>
      <c r="E27" s="289"/>
      <c r="F27" s="289"/>
      <c r="G27" s="289"/>
      <c r="H27" s="492"/>
      <c r="I27" s="493"/>
      <c r="J27" s="493"/>
      <c r="K27" s="493"/>
      <c r="L27" s="493"/>
      <c r="M27" s="493"/>
      <c r="N27" s="493"/>
      <c r="O27" s="493"/>
      <c r="P27" s="493"/>
      <c r="Q27" s="493"/>
      <c r="R27" s="494"/>
      <c r="S27" s="490"/>
      <c r="T27" s="491"/>
      <c r="U27" s="289"/>
      <c r="V27" s="289"/>
      <c r="W27" s="289"/>
      <c r="X27" s="289"/>
      <c r="Y27" s="289"/>
      <c r="Z27" s="289"/>
      <c r="AA27" s="289"/>
      <c r="AB27" s="289"/>
      <c r="AC27" s="289"/>
      <c r="AD27" s="289"/>
      <c r="AE27" s="289"/>
      <c r="AF27" s="289"/>
      <c r="AG27" s="289"/>
      <c r="AH27" s="446"/>
      <c r="AI27" s="446"/>
      <c r="AJ27" s="446"/>
      <c r="AK27" s="446"/>
      <c r="AL27" s="446"/>
      <c r="AM27" s="446"/>
      <c r="AN27" s="446"/>
    </row>
    <row r="28" ht="16.5" customHeight="1">
      <c r="A28" s="495" t="s">
        <v>14</v>
      </c>
      <c r="B28" s="496"/>
      <c r="C28" s="495" t="s">
        <v>7</v>
      </c>
      <c r="F28" s="495"/>
      <c r="G28" s="495" t="s">
        <v>15</v>
      </c>
      <c r="H28" s="495" t="s">
        <v>8206</v>
      </c>
      <c r="I28" s="495"/>
      <c r="J28" s="495" t="s">
        <v>8207</v>
      </c>
      <c r="P28" s="495"/>
      <c r="Q28" s="497" t="s">
        <v>23</v>
      </c>
      <c r="S28" s="497"/>
      <c r="T28" s="497"/>
      <c r="U28" s="495" t="s">
        <v>27</v>
      </c>
      <c r="V28" s="495" t="s">
        <v>28</v>
      </c>
      <c r="X28" s="495"/>
      <c r="Y28" s="495" t="s">
        <v>30</v>
      </c>
      <c r="AF28" s="495" t="s">
        <v>29</v>
      </c>
      <c r="AH28" s="446"/>
      <c r="AI28" s="446"/>
      <c r="AJ28" s="446"/>
      <c r="AK28" s="446"/>
      <c r="AL28" s="446"/>
      <c r="AM28" s="446"/>
      <c r="AN28" s="446"/>
    </row>
    <row r="29">
      <c r="A29" s="498">
        <f>IFERROR(__xludf.DUMMYFUNCTION("iferror(FILTER('High School Players'!$K:$K,$K$1='High School Players'!$J:$J,H26='High School Players'!$E:$E))"),0.1)</f>
        <v>0.1</v>
      </c>
      <c r="B29" s="499" t="str">
        <f t="array" ref="B29">XLOOKUP(C29,'High School Players'!$D:$D,'High School Players'!$E:$E,"--",0,1)&amp;" "&amp;XLOOKUP(C29,'High School Players'!$D:$D,'High School Players'!$N:$N,"--",0,1)</f>
        <v>RHP </v>
      </c>
      <c r="C29" s="500" t="str">
        <f>IFERROR(__xludf.DUMMYFUNCTION("iferror(FILTER('High School Players'!$D:$D,$K$1='High School Players'!$J:$J,H26='High School Players'!$E:$E))"),"Brian Mancinelli")</f>
        <v>Brian Mancinelli</v>
      </c>
      <c r="D29" s="249"/>
      <c r="E29" s="250"/>
      <c r="F29" s="501"/>
      <c r="G29" s="502" t="str">
        <f>IFERROR(__xludf.DUMMYFUNCTION("iferror(FILTER('High School Players'!$L:$L,$K$1='High School Players'!$J:$J,H26='High School Players'!$E:$E))"),"NAVY")</f>
        <v>NAVY</v>
      </c>
      <c r="H29" s="503" t="str">
        <f>IFERROR(__xludf.DUMMYFUNCTION("iferror(FILTER('High School Players'!$Q:$Q,$K$1='High School Players'!$J:$J,H26='High School Players'!$E:$E))"),"MA")</f>
        <v>MA</v>
      </c>
      <c r="I29" s="500"/>
      <c r="J29" s="504" t="str">
        <f>IFERROR(__xludf.DUMMYFUNCTION("iferror((FILTER('High School Players'!$R:$R,$K$1='High School Players'!$J:$J,H26='High School Players'!$E:$E)))"),"")</f>
        <v/>
      </c>
      <c r="K29" s="505"/>
      <c r="L29" s="506"/>
      <c r="M29" s="507" t="str">
        <f>IFERROR(__xludf.DUMMYFUNCTION("iferror((FILTER('High School Players'!$S:$S,$K$1='High School Players'!$J:$J,H26='High School Players'!$E:$E)))"),"")</f>
        <v/>
      </c>
      <c r="N29" s="249"/>
      <c r="O29" s="250"/>
      <c r="P29" s="508"/>
      <c r="Q29" s="509" t="str">
        <f>IFERROR(__xludf.DUMMYFUNCTION("iferror((FILTER('High School Players'!$T:$T,$K$1='High School Players'!$J:$J,H26='High School Players'!$E:$E)))"),"3.67 weighted ")</f>
        <v>3.67 weighted </v>
      </c>
      <c r="R29" s="249"/>
      <c r="S29" s="250"/>
      <c r="T29" s="510"/>
      <c r="U29" s="511" t="str">
        <f>IFERROR(__xludf.DUMMYFUNCTION("iferror((FILTER(#REF!,$K$1='High School Players'!$J:$J,H26='High School Players'!$E:$E)))"),"")</f>
        <v/>
      </c>
      <c r="V29" s="512" t="str">
        <f>IFERROR(__xludf.DUMMYFUNCTION("iferror((FILTER(#REF!,$K$1='High School Players'!$J:$J,H26='High School Players'!$E:$E)))"),"")</f>
        <v/>
      </c>
      <c r="W29" s="250"/>
      <c r="X29" s="511"/>
      <c r="Y29" s="513" t="str">
        <f>IFERROR(__xludf.DUMMYFUNCTION("iferror((FILTER('High School Players'!$AA:$AA,$K$1='High School Players'!$J:$J,H26='High School Players'!$E:$E)))"),"Future gamer.  Tall lean RHP mid to upper 80's")</f>
        <v>Future gamer.  Tall lean RHP mid to upper 80's</v>
      </c>
      <c r="Z29" s="249"/>
      <c r="AA29" s="249"/>
      <c r="AB29" s="249"/>
      <c r="AC29" s="249"/>
      <c r="AD29" s="249"/>
      <c r="AE29" s="250"/>
      <c r="AF29" s="500" t="str">
        <f>IFERROR(__xludf.DUMMYFUNCTION("iferror((FILTER('High School Players'!$Z:$Z,$K$1='High School Players'!$J:$J,H26='High School Players'!$E:$E)))"),"")</f>
        <v/>
      </c>
      <c r="AG29" s="250"/>
      <c r="AH29" s="514"/>
      <c r="AJ29" s="514"/>
      <c r="AK29" s="514"/>
      <c r="AL29" s="514"/>
      <c r="AM29" s="514"/>
      <c r="AN29" s="514"/>
    </row>
    <row r="30">
      <c r="A30" s="498">
        <f>IFERROR(__xludf.DUMMYFUNCTION("""COMPUTED_VALUE"""),0.1)</f>
        <v>0.1</v>
      </c>
      <c r="B30" s="499" t="str">
        <f t="array" ref="B30">XLOOKUP(C30,'High School Players'!$D:$D,'High School Players'!$M:$M,"--",0,1)&amp;" "&amp;XLOOKUP(C30,'High School Players'!$D:$D,'High School Players'!$N:$N,"--",0,1)</f>
        <v>RHP </v>
      </c>
      <c r="C30" s="500" t="str">
        <f>IFERROR(__xludf.DUMMYFUNCTION("""COMPUTED_VALUE"""),"Hawk Stickney")</f>
        <v>Hawk Stickney</v>
      </c>
      <c r="D30" s="249"/>
      <c r="E30" s="250"/>
      <c r="F30" s="515"/>
      <c r="G30" s="516" t="str">
        <f>IFERROR(__xludf.DUMMYFUNCTION("""COMPUTED_VALUE"""),"NAVY")</f>
        <v>NAVY</v>
      </c>
      <c r="H30" s="503" t="str">
        <f>IFERROR(__xludf.DUMMYFUNCTION("""COMPUTED_VALUE"""),"MA")</f>
        <v>MA</v>
      </c>
      <c r="I30" s="500"/>
      <c r="J30" s="504"/>
      <c r="K30" s="505"/>
      <c r="L30" s="517"/>
      <c r="M30" s="518" t="str">
        <f>IFERROR(__xludf.DUMMYFUNCTION("""COMPUTED_VALUE"""),"NEB")</f>
        <v>NEB</v>
      </c>
      <c r="N30" s="478"/>
      <c r="O30" s="479"/>
      <c r="P30" s="519"/>
      <c r="Q30" s="509">
        <f>IFERROR(__xludf.DUMMYFUNCTION("""COMPUTED_VALUE"""),3.7)</f>
        <v>3.7</v>
      </c>
      <c r="R30" s="249"/>
      <c r="S30" s="250"/>
      <c r="T30" s="510"/>
      <c r="U30" s="511"/>
      <c r="V30" s="512"/>
      <c r="W30" s="250"/>
      <c r="X30" s="511"/>
      <c r="Y30" s="513" t="str">
        <f>IFERROR(__xludf.DUMMYFUNCTION("""COMPUTED_VALUE"""),"CB: has been good this summer. Saw him last year 84-86. I saw him in a showcase setting this summer up to 89, got a lot better. Willing to fight for America")</f>
        <v>CB: has been good this summer. Saw him last year 84-86. I saw him in a showcase setting this summer up to 89, got a lot better. Willing to fight for America</v>
      </c>
      <c r="Z30" s="249"/>
      <c r="AA30" s="249"/>
      <c r="AB30" s="249"/>
      <c r="AC30" s="249"/>
      <c r="AD30" s="249"/>
      <c r="AE30" s="250"/>
      <c r="AF30" s="500"/>
      <c r="AG30" s="250"/>
      <c r="AH30" s="514"/>
      <c r="AI30" s="514" t="str">
        <f t="array" ref="AI30">XLOOKUP(C30,'High School Players'!$D:$D,'High School Players'!$M:$M,"--",0,1)&amp;" "&amp;XLOOKUP(C30,'High School Players'!$D:$D,'High School Players'!$N:$N,"--",0,1)</f>
        <v>RHP </v>
      </c>
      <c r="AJ30" s="514"/>
      <c r="AK30" s="514"/>
      <c r="AL30" s="514"/>
      <c r="AM30" s="514"/>
      <c r="AN30" s="514"/>
    </row>
    <row r="31">
      <c r="A31" s="498">
        <f>IFERROR(__xludf.DUMMYFUNCTION("""COMPUTED_VALUE"""),0.1)</f>
        <v>0.1</v>
      </c>
      <c r="B31" s="499" t="str">
        <f t="array" ref="B31">XLOOKUP(C31,'High School Players'!$D:$D,'High School Players'!$M:$M,"--",0,1)&amp;" "&amp;XLOOKUP(C31,'High School Players'!$D:$D,'High School Players'!$N:$N,"--",0,1)</f>
        <v>RHP </v>
      </c>
      <c r="C31" s="500" t="str">
        <f>IFERROR(__xludf.DUMMYFUNCTION("""COMPUTED_VALUE"""),"Tyler Reeder")</f>
        <v>Tyler Reeder</v>
      </c>
      <c r="D31" s="249"/>
      <c r="E31" s="250"/>
      <c r="F31" s="515"/>
      <c r="G31" s="516" t="str">
        <f>IFERROR(__xludf.DUMMYFUNCTION("""COMPUTED_VALUE"""),"NAVY")</f>
        <v>NAVY</v>
      </c>
      <c r="H31" s="503" t="str">
        <f>IFERROR(__xludf.DUMMYFUNCTION("""COMPUTED_VALUE"""),"FL")</f>
        <v>FL</v>
      </c>
      <c r="I31" s="500"/>
      <c r="J31" s="504" t="str">
        <f>IFERROR(__xludf.DUMMYFUNCTION("""COMPUTED_VALUE"""),"Bishop Verot")</f>
        <v>Bishop Verot</v>
      </c>
      <c r="K31" s="505"/>
      <c r="L31" s="517"/>
      <c r="M31" s="518" t="str">
        <f>IFERROR(__xludf.DUMMYFUNCTION("""COMPUTED_VALUE"""),"CBU Stofsky")</f>
        <v>CBU Stofsky</v>
      </c>
      <c r="N31" s="478"/>
      <c r="O31" s="479"/>
      <c r="P31" s="519"/>
      <c r="Q31" s="509" t="str">
        <f>IFERROR(__xludf.DUMMYFUNCTION("""COMPUTED_VALUE"""),"3.65/27")</f>
        <v>3.65/27</v>
      </c>
      <c r="R31" s="249"/>
      <c r="S31" s="250"/>
      <c r="T31" s="510"/>
      <c r="U31" s="511"/>
      <c r="V31" s="512"/>
      <c r="W31" s="250"/>
      <c r="X31" s="511"/>
      <c r="Y31" s="513" t="str">
        <f>IFERROR(__xludf.DUMMYFUNCTION("""COMPUTED_VALUE"""),"Committed 8/21/25")</f>
        <v>Committed 8/21/25</v>
      </c>
      <c r="Z31" s="249"/>
      <c r="AA31" s="249"/>
      <c r="AB31" s="249"/>
      <c r="AC31" s="249"/>
      <c r="AD31" s="249"/>
      <c r="AE31" s="250"/>
      <c r="AF31" s="500"/>
      <c r="AG31" s="250"/>
      <c r="AH31" s="514"/>
      <c r="AI31" s="514" t="str">
        <f t="array" ref="AI31">XLOOKUP(C31,'High School Players'!$D:$D,'High School Players'!$M:$M,"--",0,1)&amp;" "&amp;XLOOKUP(C31,'High School Players'!$D:$D,'High School Players'!$N:$N,"--",0,1)</f>
        <v>RHP </v>
      </c>
      <c r="AJ31" s="514"/>
      <c r="AK31" s="514"/>
      <c r="AL31" s="514"/>
      <c r="AM31" s="514"/>
      <c r="AN31" s="514"/>
    </row>
    <row r="32">
      <c r="A32" s="498">
        <f>IFERROR(__xludf.DUMMYFUNCTION("""COMPUTED_VALUE"""),0.1)</f>
        <v>0.1</v>
      </c>
      <c r="B32" s="499" t="str">
        <f t="array" ref="B32">XLOOKUP(C32,'High School Players'!$D:$D,'High School Players'!$M:$M,"--",0,1)&amp;" "&amp;XLOOKUP(C32,'High School Players'!$D:$D,'High School Players'!$N:$N,"--",0,1)</f>
        <v>RHP </v>
      </c>
      <c r="C32" s="500" t="str">
        <f>IFERROR(__xludf.DUMMYFUNCTION("""COMPUTED_VALUE"""),"Santiago Arismendi")</f>
        <v>Santiago Arismendi</v>
      </c>
      <c r="D32" s="249"/>
      <c r="E32" s="250"/>
      <c r="F32" s="515"/>
      <c r="G32" s="516"/>
      <c r="H32" s="503" t="str">
        <f>IFERROR(__xludf.DUMMYFUNCTION("""COMPUTED_VALUE"""),"FL")</f>
        <v>FL</v>
      </c>
      <c r="I32" s="500"/>
      <c r="J32" s="504" t="str">
        <f>IFERROR(__xludf.DUMMYFUNCTION("""COMPUTED_VALUE"""),"Chaminade Madonna Prep")</f>
        <v>Chaminade Madonna Prep</v>
      </c>
      <c r="K32" s="505"/>
      <c r="L32" s="517"/>
      <c r="M32" s="518"/>
      <c r="N32" s="478"/>
      <c r="O32" s="479"/>
      <c r="P32" s="519"/>
      <c r="Q32" s="509"/>
      <c r="R32" s="249"/>
      <c r="S32" s="250"/>
      <c r="T32" s="510"/>
      <c r="U32" s="511"/>
      <c r="V32" s="512"/>
      <c r="W32" s="250"/>
      <c r="X32" s="511"/>
      <c r="Y32" s="513" t="str">
        <f>IFERROR(__xludf.DUMMYFUNCTION("""COMPUTED_VALUE"""),"JK-saw at BCS in FL. Plays for Mark McCoy (Navy Baseball/Grad). Liked. 3/4 slot/ASR Righty. 83-86, spun 74-75.")</f>
        <v>JK-saw at BCS in FL. Plays for Mark McCoy (Navy Baseball/Grad). Liked. 3/4 slot/ASR Righty. 83-86, spun 74-75.</v>
      </c>
      <c r="Z32" s="249"/>
      <c r="AA32" s="249"/>
      <c r="AB32" s="249"/>
      <c r="AC32" s="249"/>
      <c r="AD32" s="249"/>
      <c r="AE32" s="250"/>
      <c r="AF32" s="500" t="str">
        <f>IFERROR(__xludf.DUMMYFUNCTION("""COMPUTED_VALUE"""),"text comms")</f>
        <v>text comms</v>
      </c>
      <c r="AG32" s="250"/>
      <c r="AH32" s="514"/>
      <c r="AI32" s="514" t="str">
        <f t="array" ref="AI32">XLOOKUP(C32,'High School Players'!$D:$D,'High School Players'!$M:$M,"--",0,1)&amp;" "&amp;XLOOKUP(C32,'High School Players'!$D:$D,'High School Players'!$N:$N,"--",0,1)</f>
        <v>RHP </v>
      </c>
      <c r="AJ32" s="514"/>
      <c r="AK32" s="514"/>
      <c r="AL32" s="514"/>
      <c r="AM32" s="514"/>
      <c r="AN32" s="514"/>
    </row>
    <row r="33">
      <c r="A33" s="498">
        <f>IFERROR(__xludf.DUMMYFUNCTION("""COMPUTED_VALUE"""),2.0)</f>
        <v>2</v>
      </c>
      <c r="B33" s="499" t="str">
        <f t="array" ref="B33">XLOOKUP(C33,'High School Players'!$D:$D,'High School Players'!$M:$M,"--",0,1)&amp;" "&amp;XLOOKUP(C33,'High School Players'!$D:$D,'High School Players'!$N:$N,"--",0,1)</f>
        <v>RHP </v>
      </c>
      <c r="C33" s="500" t="str">
        <f>IFERROR(__xludf.DUMMYFUNCTION("""COMPUTED_VALUE"""),"Connor Corlett")</f>
        <v>Connor Corlett</v>
      </c>
      <c r="D33" s="249"/>
      <c r="E33" s="250"/>
      <c r="F33" s="515"/>
      <c r="G33" s="516"/>
      <c r="H33" s="503" t="str">
        <f>IFERROR(__xludf.DUMMYFUNCTION("""COMPUTED_VALUE"""),"CA")</f>
        <v>CA</v>
      </c>
      <c r="I33" s="500"/>
      <c r="J33" s="504"/>
      <c r="K33" s="505"/>
      <c r="L33" s="517"/>
      <c r="M33" s="518" t="str">
        <f>IFERROR(__xludf.DUMMYFUNCTION("""COMPUTED_VALUE"""),"Trosky National")</f>
        <v>Trosky National</v>
      </c>
      <c r="N33" s="478"/>
      <c r="O33" s="479"/>
      <c r="P33" s="519"/>
      <c r="Q33" s="509"/>
      <c r="R33" s="249"/>
      <c r="S33" s="250"/>
      <c r="T33" s="510"/>
      <c r="U33" s="511"/>
      <c r="V33" s="512"/>
      <c r="W33" s="250"/>
      <c r="X33" s="511"/>
      <c r="Y33" s="513" t="str">
        <f>IFERROR(__xludf.DUMMYFUNCTION("""COMPUTED_VALUE"""),"High school coach believes he'll be hitting 90s this spring and the skies the limit. Big believer in the kid because he works hard, definitely thinks he's a Division I pitcher. Plays basketball. Only has talked to division three schools right now. ￼")</f>
        <v>High school coach believes he'll be hitting 90s this spring and the skies the limit. Big believer in the kid because he works hard, definitely thinks he's a Division I pitcher. Plays basketball. Only has talked to division three schools right now. ￼</v>
      </c>
      <c r="Z33" s="249"/>
      <c r="AA33" s="249"/>
      <c r="AB33" s="249"/>
      <c r="AC33" s="249"/>
      <c r="AD33" s="249"/>
      <c r="AE33" s="250"/>
      <c r="AF33" s="500"/>
      <c r="AG33" s="250"/>
      <c r="AH33" s="514"/>
      <c r="AI33" s="514" t="str">
        <f t="array" ref="AI33">XLOOKUP(C33,'High School Players'!$D:$D,'High School Players'!$M:$M,"--",0,1)&amp;" "&amp;XLOOKUP(C33,'High School Players'!$D:$D,'High School Players'!$N:$N,"--",0,1)</f>
        <v>RHP </v>
      </c>
      <c r="AJ33" s="514"/>
      <c r="AK33" s="514"/>
      <c r="AL33" s="514"/>
      <c r="AM33" s="514"/>
      <c r="AN33" s="514"/>
    </row>
    <row r="34">
      <c r="A34" s="498">
        <f>IFERROR(__xludf.DUMMYFUNCTION("""COMPUTED_VALUE"""),2.0)</f>
        <v>2</v>
      </c>
      <c r="B34" s="499" t="str">
        <f t="array" ref="B34">XLOOKUP(C34,'High School Players'!$D:$D,'High School Players'!$M:$M,"--",0,1)&amp;" "&amp;XLOOKUP(C34,'High School Players'!$D:$D,'High School Players'!$N:$N,"--",0,1)</f>
        <v>RHP </v>
      </c>
      <c r="C34" s="500" t="str">
        <f>IFERROR(__xludf.DUMMYFUNCTION("""COMPUTED_VALUE"""),"Kayden Mansell")</f>
        <v>Kayden Mansell</v>
      </c>
      <c r="D34" s="249"/>
      <c r="E34" s="250"/>
      <c r="F34" s="515"/>
      <c r="G34" s="516"/>
      <c r="H34" s="503" t="str">
        <f>IFERROR(__xludf.DUMMYFUNCTION("""COMPUTED_VALUE"""),"TX")</f>
        <v>TX</v>
      </c>
      <c r="I34" s="500"/>
      <c r="J34" s="504" t="str">
        <f>IFERROR(__xludf.DUMMYFUNCTION("""COMPUTED_VALUE"""),"Lake Ridge HS")</f>
        <v>Lake Ridge HS</v>
      </c>
      <c r="K34" s="505"/>
      <c r="L34" s="517"/>
      <c r="M34" s="518" t="str">
        <f>IFERROR(__xludf.DUMMYFUNCTION("""COMPUTED_VALUE"""),"Stix")</f>
        <v>Stix</v>
      </c>
      <c r="N34" s="478"/>
      <c r="O34" s="479"/>
      <c r="P34" s="519"/>
      <c r="Q34" s="509">
        <f>IFERROR(__xludf.DUMMYFUNCTION("""COMPUTED_VALUE"""),3.86)</f>
        <v>3.86</v>
      </c>
      <c r="R34" s="249"/>
      <c r="S34" s="250"/>
      <c r="T34" s="510"/>
      <c r="U34" s="511"/>
      <c r="V34" s="512"/>
      <c r="W34" s="250"/>
      <c r="X34" s="511"/>
      <c r="Y34" s="513" t="str">
        <f>IFERROR(__xludf.DUMMYFUNCTION("""COMPUTED_VALUE"""),"Mattingly: 87-90 Fast arm. &amp;*-79 slider sharp and late. swing and miss slider. Has some power stuff HS stats show 3.8 era with 27IP. 18bb 29K")</f>
        <v>Mattingly: 87-90 Fast arm. &amp;*-79 slider sharp and late. swing and miss slider. Has some power stuff HS stats show 3.8 era with 27IP. 18bb 29K</v>
      </c>
      <c r="Z34" s="249"/>
      <c r="AA34" s="249"/>
      <c r="AB34" s="249"/>
      <c r="AC34" s="249"/>
      <c r="AD34" s="249"/>
      <c r="AE34" s="250"/>
      <c r="AF34" s="500"/>
      <c r="AG34" s="250"/>
      <c r="AH34" s="514"/>
      <c r="AI34" s="514" t="str">
        <f t="array" ref="AI34">XLOOKUP(C34,'High School Players'!$D:$D,'High School Players'!$M:$M,"--",0,1)&amp;" "&amp;XLOOKUP(C34,'High School Players'!$D:$D,'High School Players'!$N:$N,"--",0,1)</f>
        <v>RHP </v>
      </c>
      <c r="AJ34" s="514"/>
      <c r="AK34" s="514"/>
      <c r="AL34" s="514"/>
      <c r="AM34" s="514"/>
      <c r="AN34" s="514"/>
    </row>
    <row r="35">
      <c r="A35" s="498">
        <f>IFERROR(__xludf.DUMMYFUNCTION("""COMPUTED_VALUE"""),2.0)</f>
        <v>2</v>
      </c>
      <c r="B35" s="499" t="str">
        <f t="array" ref="B35">XLOOKUP(C35,'High School Players'!$D:$D,'High School Players'!$M:$M,"--",0,1)&amp;" "&amp;XLOOKUP(C35,'High School Players'!$D:$D,'High School Players'!$N:$N,"--",0,1)</f>
        <v>RHP </v>
      </c>
      <c r="C35" s="500" t="str">
        <f>IFERROR(__xludf.DUMMYFUNCTION("""COMPUTED_VALUE"""),"Benjamin Wagnon")</f>
        <v>Benjamin Wagnon</v>
      </c>
      <c r="D35" s="249"/>
      <c r="E35" s="250"/>
      <c r="F35" s="515"/>
      <c r="G35" s="516"/>
      <c r="H35" s="503" t="str">
        <f>IFERROR(__xludf.DUMMYFUNCTION("""COMPUTED_VALUE"""),"FL")</f>
        <v>FL</v>
      </c>
      <c r="I35" s="500"/>
      <c r="J35" s="504" t="str">
        <f>IFERROR(__xludf.DUMMYFUNCTION("""COMPUTED_VALUE"""),"Maclay")</f>
        <v>Maclay</v>
      </c>
      <c r="K35" s="505"/>
      <c r="L35" s="517"/>
      <c r="M35" s="518" t="str">
        <f>IFERROR(__xludf.DUMMYFUNCTION("""COMPUTED_VALUE"""),"MBA Scout Team - Murphy")</f>
        <v>MBA Scout Team - Murphy</v>
      </c>
      <c r="N35" s="478"/>
      <c r="O35" s="479"/>
      <c r="P35" s="519"/>
      <c r="Q35" s="509"/>
      <c r="R35" s="249"/>
      <c r="S35" s="250"/>
      <c r="T35" s="510"/>
      <c r="U35" s="511"/>
      <c r="V35" s="512"/>
      <c r="W35" s="250"/>
      <c r="X35" s="511"/>
      <c r="Y35" s="513"/>
      <c r="Z35" s="249"/>
      <c r="AA35" s="249"/>
      <c r="AB35" s="249"/>
      <c r="AC35" s="249"/>
      <c r="AD35" s="249"/>
      <c r="AE35" s="250"/>
      <c r="AF35" s="500"/>
      <c r="AG35" s="250"/>
      <c r="AH35" s="514"/>
      <c r="AI35" s="514" t="str">
        <f t="array" ref="AI35">XLOOKUP(C35,'High School Players'!$D:$D,'High School Players'!$M:$M,"--",0,1)&amp;" "&amp;XLOOKUP(C35,'High School Players'!$D:$D,'High School Players'!$N:$N,"--",0,1)</f>
        <v>RHP </v>
      </c>
      <c r="AJ35" s="514"/>
      <c r="AK35" s="514"/>
      <c r="AL35" s="514"/>
      <c r="AM35" s="514"/>
      <c r="AN35" s="514"/>
    </row>
    <row r="36">
      <c r="A36" s="498">
        <f>IFERROR(__xludf.DUMMYFUNCTION("""COMPUTED_VALUE"""),2.0)</f>
        <v>2</v>
      </c>
      <c r="B36" s="499" t="str">
        <f t="array" ref="B36">XLOOKUP(C36,'High School Players'!$D:$D,'High School Players'!$M:$M,"--",0,1)&amp;" "&amp;XLOOKUP(C36,'High School Players'!$D:$D,'High School Players'!$N:$N,"--",0,1)</f>
        <v>RHP </v>
      </c>
      <c r="C36" s="500" t="str">
        <f>IFERROR(__xludf.DUMMYFUNCTION("""COMPUTED_VALUE"""),"Xander Cypher")</f>
        <v>Xander Cypher</v>
      </c>
      <c r="D36" s="249"/>
      <c r="E36" s="250"/>
      <c r="F36" s="515"/>
      <c r="G36" s="516"/>
      <c r="H36" s="503" t="str">
        <f>IFERROR(__xludf.DUMMYFUNCTION("""COMPUTED_VALUE"""),"WA")</f>
        <v>WA</v>
      </c>
      <c r="I36" s="500"/>
      <c r="J36" s="504"/>
      <c r="K36" s="505"/>
      <c r="L36" s="517"/>
      <c r="M36" s="518"/>
      <c r="N36" s="478"/>
      <c r="O36" s="479"/>
      <c r="P36" s="519"/>
      <c r="Q36" s="509"/>
      <c r="R36" s="249"/>
      <c r="S36" s="250"/>
      <c r="T36" s="510"/>
      <c r="U36" s="511"/>
      <c r="V36" s="512"/>
      <c r="W36" s="250"/>
      <c r="X36" s="511"/>
      <c r="Y36" s="513"/>
      <c r="Z36" s="249"/>
      <c r="AA36" s="249"/>
      <c r="AB36" s="249"/>
      <c r="AC36" s="249"/>
      <c r="AD36" s="249"/>
      <c r="AE36" s="250"/>
      <c r="AF36" s="500"/>
      <c r="AG36" s="250"/>
      <c r="AH36" s="514"/>
      <c r="AI36" s="514" t="str">
        <f t="array" ref="AI36">XLOOKUP(C36,'High School Players'!$D:$D,'High School Players'!$M:$M,"--",0,1)&amp;" "&amp;XLOOKUP(C36,'High School Players'!$D:$D,'High School Players'!$N:$N,"--",0,1)</f>
        <v>RHP </v>
      </c>
      <c r="AJ36" s="514"/>
      <c r="AK36" s="514"/>
      <c r="AL36" s="514"/>
      <c r="AM36" s="514"/>
      <c r="AN36" s="514"/>
    </row>
    <row r="37">
      <c r="A37" s="498">
        <f>IFERROR(__xludf.DUMMYFUNCTION("""COMPUTED_VALUE"""),2.0)</f>
        <v>2</v>
      </c>
      <c r="B37" s="499" t="str">
        <f t="array" ref="B37">XLOOKUP(C37,'High School Players'!$D:$D,'High School Players'!$M:$M,"--",0,1)&amp;" "&amp;XLOOKUP(C37,'High School Players'!$D:$D,'High School Players'!$N:$N,"--",0,1)</f>
        <v>RHP </v>
      </c>
      <c r="C37" s="500" t="str">
        <f>IFERROR(__xludf.DUMMYFUNCTION("""COMPUTED_VALUE"""),"Jack Wilhoit")</f>
        <v>Jack Wilhoit</v>
      </c>
      <c r="D37" s="249"/>
      <c r="E37" s="250"/>
      <c r="F37" s="515"/>
      <c r="G37" s="516"/>
      <c r="H37" s="503" t="str">
        <f>IFERROR(__xludf.DUMMYFUNCTION("""COMPUTED_VALUE"""),"FL")</f>
        <v>FL</v>
      </c>
      <c r="I37" s="500"/>
      <c r="J37" s="504"/>
      <c r="K37" s="505"/>
      <c r="L37" s="517"/>
      <c r="M37" s="518" t="str">
        <f>IFERROR(__xludf.DUMMYFUNCTION("""COMPUTED_VALUE"""),"FTB Phillies")</f>
        <v>FTB Phillies</v>
      </c>
      <c r="N37" s="478"/>
      <c r="O37" s="479"/>
      <c r="P37" s="519"/>
      <c r="Q37" s="509"/>
      <c r="R37" s="249"/>
      <c r="S37" s="250"/>
      <c r="T37" s="510"/>
      <c r="U37" s="511"/>
      <c r="V37" s="512"/>
      <c r="W37" s="250"/>
      <c r="X37" s="511"/>
      <c r="Y37" s="513"/>
      <c r="Z37" s="249"/>
      <c r="AA37" s="249"/>
      <c r="AB37" s="249"/>
      <c r="AC37" s="249"/>
      <c r="AD37" s="249"/>
      <c r="AE37" s="250"/>
      <c r="AF37" s="500"/>
      <c r="AG37" s="250"/>
      <c r="AH37" s="514"/>
      <c r="AI37" s="514" t="str">
        <f t="array" ref="AI37">XLOOKUP(C37,'High School Players'!$D:$D,'High School Players'!$M:$M,"--",0,1)&amp;" "&amp;XLOOKUP(C37,'High School Players'!$D:$D,'High School Players'!$N:$N,"--",0,1)</f>
        <v>RHP </v>
      </c>
      <c r="AJ37" s="514"/>
      <c r="AK37" s="514"/>
      <c r="AL37" s="514"/>
      <c r="AM37" s="514"/>
      <c r="AN37" s="514"/>
    </row>
    <row r="38">
      <c r="A38" s="498">
        <f>IFERROR(__xludf.DUMMYFUNCTION("""COMPUTED_VALUE"""),2.0)</f>
        <v>2</v>
      </c>
      <c r="B38" s="499" t="str">
        <f t="array" ref="B38">XLOOKUP(C38,'High School Players'!$D:$D,'High School Players'!$M:$M,"--",0,1)&amp;" "&amp;XLOOKUP(C38,'High School Players'!$D:$D,'High School Players'!$N:$N,"--",0,1)</f>
        <v>RHP </v>
      </c>
      <c r="C38" s="500" t="str">
        <f>IFERROR(__xludf.DUMMYFUNCTION("""COMPUTED_VALUE"""),"Isaac Gutierrez")</f>
        <v>Isaac Gutierrez</v>
      </c>
      <c r="D38" s="249"/>
      <c r="E38" s="250"/>
      <c r="F38" s="515"/>
      <c r="G38" s="516"/>
      <c r="H38" s="503" t="str">
        <f>IFERROR(__xludf.DUMMYFUNCTION("""COMPUTED_VALUE"""),"TX")</f>
        <v>TX</v>
      </c>
      <c r="I38" s="500"/>
      <c r="J38" s="504" t="str">
        <f>IFERROR(__xludf.DUMMYFUNCTION("""COMPUTED_VALUE"""),"Klein Collins")</f>
        <v>Klein Collins</v>
      </c>
      <c r="K38" s="505"/>
      <c r="L38" s="517"/>
      <c r="M38" s="518" t="str">
        <f>IFERROR(__xludf.DUMMYFUNCTION("""COMPUTED_VALUE"""),"Midland Redskins")</f>
        <v>Midland Redskins</v>
      </c>
      <c r="N38" s="478"/>
      <c r="O38" s="479"/>
      <c r="P38" s="519"/>
      <c r="Q38" s="509"/>
      <c r="R38" s="249"/>
      <c r="S38" s="250"/>
      <c r="T38" s="510"/>
      <c r="U38" s="511"/>
      <c r="V38" s="512"/>
      <c r="W38" s="250"/>
      <c r="X38" s="511"/>
      <c r="Y38" s="513"/>
      <c r="Z38" s="249"/>
      <c r="AA38" s="249"/>
      <c r="AB38" s="249"/>
      <c r="AC38" s="249"/>
      <c r="AD38" s="249"/>
      <c r="AE38" s="250"/>
      <c r="AF38" s="500"/>
      <c r="AG38" s="250"/>
      <c r="AH38" s="514"/>
      <c r="AI38" s="514" t="str">
        <f t="array" ref="AI38">XLOOKUP(C38,'High School Players'!$D:$D,'High School Players'!$M:$M,"--",0,1)&amp;" "&amp;XLOOKUP(C38,'High School Players'!$D:$D,'High School Players'!$N:$N,"--",0,1)</f>
        <v>RHP </v>
      </c>
      <c r="AJ38" s="514"/>
      <c r="AK38" s="514"/>
      <c r="AL38" s="514"/>
      <c r="AM38" s="514"/>
      <c r="AN38" s="514"/>
    </row>
    <row r="39">
      <c r="A39" s="498">
        <f>IFERROR(__xludf.DUMMYFUNCTION("""COMPUTED_VALUE"""),2.0)</f>
        <v>2</v>
      </c>
      <c r="B39" s="499" t="str">
        <f t="array" ref="B39">XLOOKUP(C39,'High School Players'!$D:$D,'High School Players'!$M:$M,"--",0,1)&amp;" "&amp;XLOOKUP(C39,'High School Players'!$D:$D,'High School Players'!$N:$N,"--",0,1)</f>
        <v>RHP </v>
      </c>
      <c r="C39" s="500" t="str">
        <f>IFERROR(__xludf.DUMMYFUNCTION("""COMPUTED_VALUE"""),"Chase Rhodes")</f>
        <v>Chase Rhodes</v>
      </c>
      <c r="D39" s="249"/>
      <c r="E39" s="250"/>
      <c r="F39" s="515"/>
      <c r="G39" s="516"/>
      <c r="H39" s="503" t="str">
        <f>IFERROR(__xludf.DUMMYFUNCTION("""COMPUTED_VALUE"""),"IL")</f>
        <v>IL</v>
      </c>
      <c r="I39" s="500"/>
      <c r="J39" s="504" t="str">
        <f>IFERROR(__xludf.DUMMYFUNCTION("""COMPUTED_VALUE"""),"Tremont")</f>
        <v>Tremont</v>
      </c>
      <c r="K39" s="505"/>
      <c r="L39" s="517"/>
      <c r="M39" s="518" t="str">
        <f>IFERROR(__xludf.DUMMYFUNCTION("""COMPUTED_VALUE"""),"Ohio Warhawks")</f>
        <v>Ohio Warhawks</v>
      </c>
      <c r="N39" s="478"/>
      <c r="O39" s="479"/>
      <c r="P39" s="519"/>
      <c r="Q39" s="509"/>
      <c r="R39" s="249"/>
      <c r="S39" s="250"/>
      <c r="T39" s="510"/>
      <c r="U39" s="511"/>
      <c r="V39" s="512"/>
      <c r="W39" s="250"/>
      <c r="X39" s="511"/>
      <c r="Y39" s="513"/>
      <c r="Z39" s="249"/>
      <c r="AA39" s="249"/>
      <c r="AB39" s="249"/>
      <c r="AC39" s="249"/>
      <c r="AD39" s="249"/>
      <c r="AE39" s="250"/>
      <c r="AF39" s="500"/>
      <c r="AG39" s="250"/>
      <c r="AH39" s="514"/>
      <c r="AI39" s="514" t="str">
        <f t="array" ref="AI39">XLOOKUP(C39,'High School Players'!$D:$D,'High School Players'!$M:$M,"--",0,1)&amp;" "&amp;XLOOKUP(C39,'High School Players'!$D:$D,'High School Players'!$N:$N,"--",0,1)</f>
        <v>RHP </v>
      </c>
      <c r="AJ39" s="514"/>
      <c r="AK39" s="514"/>
      <c r="AL39" s="514"/>
      <c r="AM39" s="514"/>
      <c r="AN39" s="514"/>
    </row>
    <row r="40">
      <c r="A40" s="498">
        <f>IFERROR(__xludf.DUMMYFUNCTION("""COMPUTED_VALUE"""),3.0)</f>
        <v>3</v>
      </c>
      <c r="B40" s="499" t="str">
        <f t="array" ref="B40">XLOOKUP(C40,'High School Players'!$D:$D,'High School Players'!$M:$M,"--",0,1)&amp;" "&amp;XLOOKUP(C40,'High School Players'!$D:$D,'High School Players'!$N:$N,"--",0,1)</f>
        <v>RHP </v>
      </c>
      <c r="C40" s="500" t="str">
        <f>IFERROR(__xludf.DUMMYFUNCTION("""COMPUTED_VALUE"""),"Jake Gaerke")</f>
        <v>Jake Gaerke</v>
      </c>
      <c r="D40" s="249"/>
      <c r="E40" s="250"/>
      <c r="F40" s="515"/>
      <c r="G40" s="516"/>
      <c r="H40" s="503" t="str">
        <f>IFERROR(__xludf.DUMMYFUNCTION("""COMPUTED_VALUE"""),"OH")</f>
        <v>OH</v>
      </c>
      <c r="I40" s="500"/>
      <c r="J40" s="504" t="str">
        <f>IFERROR(__xludf.DUMMYFUNCTION("""COMPUTED_VALUE"""),"Archbishop Moeller")</f>
        <v>Archbishop Moeller</v>
      </c>
      <c r="K40" s="505"/>
      <c r="L40" s="517"/>
      <c r="M40" s="518" t="str">
        <f>IFERROR(__xludf.DUMMYFUNCTION("""COMPUTED_VALUE"""),"Knights")</f>
        <v>Knights</v>
      </c>
      <c r="N40" s="478"/>
      <c r="O40" s="479"/>
      <c r="P40" s="519"/>
      <c r="Q40" s="509"/>
      <c r="R40" s="249"/>
      <c r="S40" s="250"/>
      <c r="T40" s="510"/>
      <c r="U40" s="511"/>
      <c r="V40" s="512"/>
      <c r="W40" s="250"/>
      <c r="X40" s="511"/>
      <c r="Y40" s="513"/>
      <c r="Z40" s="249"/>
      <c r="AA40" s="249"/>
      <c r="AB40" s="249"/>
      <c r="AC40" s="249"/>
      <c r="AD40" s="249"/>
      <c r="AE40" s="250"/>
      <c r="AF40" s="500"/>
      <c r="AG40" s="250"/>
      <c r="AH40" s="514"/>
      <c r="AI40" s="514" t="str">
        <f t="array" ref="AI40">XLOOKUP(C40,'High School Players'!$D:$D,'High School Players'!$M:$M,"--",0,1)&amp;" "&amp;XLOOKUP(C40,'High School Players'!$D:$D,'High School Players'!$N:$N,"--",0,1)</f>
        <v>RHP </v>
      </c>
      <c r="AJ40" s="514"/>
      <c r="AK40" s="514"/>
      <c r="AL40" s="514"/>
      <c r="AM40" s="514"/>
      <c r="AN40" s="514"/>
    </row>
    <row r="41">
      <c r="A41" s="498">
        <f>IFERROR(__xludf.DUMMYFUNCTION("""COMPUTED_VALUE"""),3.0)</f>
        <v>3</v>
      </c>
      <c r="B41" s="499" t="str">
        <f t="array" ref="B41">XLOOKUP(C41,'High School Players'!$D:$D,'High School Players'!$M:$M,"--",0,1)&amp;" "&amp;XLOOKUP(C41,'High School Players'!$D:$D,'High School Players'!$N:$N,"--",0,1)</f>
        <v>RHP </v>
      </c>
      <c r="C41" s="500" t="str">
        <f>IFERROR(__xludf.DUMMYFUNCTION("""COMPUTED_VALUE"""),"Joey Raffo")</f>
        <v>Joey Raffo</v>
      </c>
      <c r="D41" s="249"/>
      <c r="E41" s="250"/>
      <c r="F41" s="515"/>
      <c r="G41" s="516"/>
      <c r="H41" s="503" t="str">
        <f>IFERROR(__xludf.DUMMYFUNCTION("""COMPUTED_VALUE"""),"CA")</f>
        <v>CA</v>
      </c>
      <c r="I41" s="500"/>
      <c r="J41" s="504"/>
      <c r="K41" s="505"/>
      <c r="L41" s="517"/>
      <c r="M41" s="518"/>
      <c r="N41" s="478"/>
      <c r="O41" s="479"/>
      <c r="P41" s="519"/>
      <c r="Q41" s="509"/>
      <c r="R41" s="249"/>
      <c r="S41" s="250"/>
      <c r="T41" s="510"/>
      <c r="U41" s="511"/>
      <c r="V41" s="512"/>
      <c r="W41" s="250"/>
      <c r="X41" s="511"/>
      <c r="Y41" s="513"/>
      <c r="Z41" s="249"/>
      <c r="AA41" s="249"/>
      <c r="AB41" s="249"/>
      <c r="AC41" s="249"/>
      <c r="AD41" s="249"/>
      <c r="AE41" s="250"/>
      <c r="AF41" s="500"/>
      <c r="AG41" s="250"/>
      <c r="AH41" s="514"/>
      <c r="AI41" s="514" t="str">
        <f t="array" ref="AI41">XLOOKUP(C41,'High School Players'!$D:$D,'High School Players'!$M:$M,"--",0,1)&amp;" "&amp;XLOOKUP(C41,'High School Players'!$D:$D,'High School Players'!$N:$N,"--",0,1)</f>
        <v>RHP </v>
      </c>
      <c r="AJ41" s="514"/>
      <c r="AK41" s="514"/>
      <c r="AL41" s="514"/>
      <c r="AM41" s="514"/>
      <c r="AN41" s="514"/>
    </row>
    <row r="42">
      <c r="A42" s="498">
        <f>IFERROR(__xludf.DUMMYFUNCTION("""COMPUTED_VALUE"""),3.0)</f>
        <v>3</v>
      </c>
      <c r="B42" s="499" t="str">
        <f t="array" ref="B42">XLOOKUP(C42,'High School Players'!$D:$D,'High School Players'!$M:$M,"--",0,1)&amp;" "&amp;XLOOKUP(C42,'High School Players'!$D:$D,'High School Players'!$N:$N,"--",0,1)</f>
        <v>RHP </v>
      </c>
      <c r="C42" s="500" t="str">
        <f>IFERROR(__xludf.DUMMYFUNCTION("""COMPUTED_VALUE"""),"Jordan Livingston")</f>
        <v>Jordan Livingston</v>
      </c>
      <c r="D42" s="249"/>
      <c r="E42" s="250"/>
      <c r="F42" s="515"/>
      <c r="G42" s="516"/>
      <c r="H42" s="503" t="str">
        <f>IFERROR(__xludf.DUMMYFUNCTION("""COMPUTED_VALUE"""),"FL")</f>
        <v>FL</v>
      </c>
      <c r="I42" s="500"/>
      <c r="J42" s="504" t="str">
        <f>IFERROR(__xludf.DUMMYFUNCTION("""COMPUTED_VALUE"""),"Spruce Creek")</f>
        <v>Spruce Creek</v>
      </c>
      <c r="K42" s="505"/>
      <c r="L42" s="517"/>
      <c r="M42" s="518" t="str">
        <f>IFERROR(__xludf.DUMMYFUNCTION("""COMPUTED_VALUE"""),"Power Baseball ")</f>
        <v>Power Baseball </v>
      </c>
      <c r="N42" s="478"/>
      <c r="O42" s="479"/>
      <c r="P42" s="519"/>
      <c r="Q42" s="509">
        <f>IFERROR(__xludf.DUMMYFUNCTION("""COMPUTED_VALUE"""),4.0)</f>
        <v>4</v>
      </c>
      <c r="R42" s="249"/>
      <c r="S42" s="250"/>
      <c r="T42" s="510"/>
      <c r="U42" s="511"/>
      <c r="V42" s="512"/>
      <c r="W42" s="250"/>
      <c r="X42" s="511"/>
      <c r="Y42" s="513" t="str">
        <f>IFERROR(__xludf.DUMMYFUNCTION("""COMPUTED_VALUE"""),"6'0 RHP,  decent stuff. has a breaking ball.")</f>
        <v>6'0 RHP,  decent stuff. has a breaking ball.</v>
      </c>
      <c r="Z42" s="249"/>
      <c r="AA42" s="249"/>
      <c r="AB42" s="249"/>
      <c r="AC42" s="249"/>
      <c r="AD42" s="249"/>
      <c r="AE42" s="250"/>
      <c r="AF42" s="500"/>
      <c r="AG42" s="250"/>
      <c r="AH42" s="514"/>
      <c r="AI42" s="514" t="str">
        <f t="array" ref="AI42">XLOOKUP(C42,'High School Players'!$D:$D,'High School Players'!$M:$M,"--",0,1)&amp;" "&amp;XLOOKUP(C42,'High School Players'!$D:$D,'High School Players'!$N:$N,"--",0,1)</f>
        <v>RHP </v>
      </c>
      <c r="AJ42" s="514"/>
      <c r="AK42" s="514"/>
      <c r="AL42" s="514"/>
      <c r="AM42" s="514"/>
      <c r="AN42" s="514"/>
    </row>
    <row r="43">
      <c r="A43" s="498">
        <f>IFERROR(__xludf.DUMMYFUNCTION("""COMPUTED_VALUE"""),3.0)</f>
        <v>3</v>
      </c>
      <c r="B43" s="499" t="str">
        <f t="array" ref="B43">XLOOKUP(C43,'High School Players'!$D:$D,'High School Players'!$M:$M,"--",0,1)&amp;" "&amp;XLOOKUP(C43,'High School Players'!$D:$D,'High School Players'!$N:$N,"--",0,1)</f>
        <v>RHP </v>
      </c>
      <c r="C43" s="500" t="str">
        <f>IFERROR(__xludf.DUMMYFUNCTION("""COMPUTED_VALUE"""),"Andrew Steele Thalleen")</f>
        <v>Andrew Steele Thalleen</v>
      </c>
      <c r="D43" s="249"/>
      <c r="E43" s="250"/>
      <c r="F43" s="515"/>
      <c r="G43" s="516"/>
      <c r="H43" s="503" t="str">
        <f>IFERROR(__xludf.DUMMYFUNCTION("""COMPUTED_VALUE"""),"FL")</f>
        <v>FL</v>
      </c>
      <c r="I43" s="500"/>
      <c r="J43" s="504" t="str">
        <f>IFERROR(__xludf.DUMMYFUNCTION("""COMPUTED_VALUE"""),"Bishop Maclaughlin")</f>
        <v>Bishop Maclaughlin</v>
      </c>
      <c r="K43" s="505"/>
      <c r="L43" s="517"/>
      <c r="M43" s="518" t="str">
        <f>IFERROR(__xludf.DUMMYFUNCTION("""COMPUTED_VALUE"""),"Ostingers")</f>
        <v>Ostingers</v>
      </c>
      <c r="N43" s="478"/>
      <c r="O43" s="479"/>
      <c r="P43" s="519"/>
      <c r="Q43" s="509" t="str">
        <f>IFERROR(__xludf.DUMMYFUNCTION("""COMPUTED_VALUE"""),"3.71 ?")</f>
        <v>3.71 ?</v>
      </c>
      <c r="R43" s="249"/>
      <c r="S43" s="250"/>
      <c r="T43" s="510"/>
      <c r="U43" s="511"/>
      <c r="V43" s="512"/>
      <c r="W43" s="250"/>
      <c r="X43" s="511"/>
      <c r="Y43" s="513" t="str">
        <f>IFERROR(__xludf.DUMMYFUNCTION("""COMPUTED_VALUE"""),"AP: undersized 6'0 180 higher spin FB 2500 wasn't being touched, 72 SL 2400 spin.  Ultra swag on mound competitor.  update: saw 2025 summer, same velo, sprayed it a little.  HS '24, 1.36 ERA, 36IP 23H 23BB 47K at 2A FL .")</f>
        <v>AP: undersized 6'0 180 higher spin FB 2500 wasn't being touched, 72 SL 2400 spin.  Ultra swag on mound competitor.  update: saw 2025 summer, same velo, sprayed it a little.  HS '24, 1.36 ERA, 36IP 23H 23BB 47K at 2A FL .</v>
      </c>
      <c r="Z43" s="249"/>
      <c r="AA43" s="249"/>
      <c r="AB43" s="249"/>
      <c r="AC43" s="249"/>
      <c r="AD43" s="249"/>
      <c r="AE43" s="250"/>
      <c r="AF43" s="500"/>
      <c r="AG43" s="250"/>
      <c r="AH43" s="514"/>
      <c r="AI43" s="514" t="str">
        <f t="array" ref="AI43">XLOOKUP(C43,'High School Players'!$D:$D,'High School Players'!$M:$M,"--",0,1)&amp;" "&amp;XLOOKUP(C43,'High School Players'!$D:$D,'High School Players'!$N:$N,"--",0,1)</f>
        <v>RHP </v>
      </c>
      <c r="AJ43" s="514"/>
      <c r="AK43" s="514"/>
      <c r="AL43" s="514"/>
      <c r="AM43" s="514"/>
      <c r="AN43" s="514"/>
    </row>
    <row r="44">
      <c r="A44" s="498">
        <f>IFERROR(__xludf.DUMMYFUNCTION("""COMPUTED_VALUE"""),3.0)</f>
        <v>3</v>
      </c>
      <c r="B44" s="499" t="str">
        <f t="array" ref="B44">XLOOKUP(C44,'High School Players'!$D:$D,'High School Players'!$M:$M,"--",0,1)&amp;" "&amp;XLOOKUP(C44,'High School Players'!$D:$D,'High School Players'!$N:$N,"--",0,1)</f>
        <v>RHP </v>
      </c>
      <c r="C44" s="500" t="str">
        <f>IFERROR(__xludf.DUMMYFUNCTION("""COMPUTED_VALUE"""),"Caden Atkinson")</f>
        <v>Caden Atkinson</v>
      </c>
      <c r="D44" s="249"/>
      <c r="E44" s="250"/>
      <c r="F44" s="515"/>
      <c r="G44" s="516"/>
      <c r="H44" s="503" t="str">
        <f>IFERROR(__xludf.DUMMYFUNCTION("""COMPUTED_VALUE"""),"CA")</f>
        <v>CA</v>
      </c>
      <c r="I44" s="500"/>
      <c r="J44" s="504" t="str">
        <f>IFERROR(__xludf.DUMMYFUNCTION("""COMPUTED_VALUE"""),"Westlake HS")</f>
        <v>Westlake HS</v>
      </c>
      <c r="K44" s="505"/>
      <c r="L44" s="517"/>
      <c r="M44" s="518"/>
      <c r="N44" s="478"/>
      <c r="O44" s="479"/>
      <c r="P44" s="519"/>
      <c r="Q44" s="509"/>
      <c r="R44" s="249"/>
      <c r="S44" s="250"/>
      <c r="T44" s="510"/>
      <c r="U44" s="511"/>
      <c r="V44" s="512"/>
      <c r="W44" s="250"/>
      <c r="X44" s="511"/>
      <c r="Y44" s="513" t="str">
        <f>IFERROR(__xludf.DUMMYFUNCTION("""COMPUTED_VALUE"""),"TR: Saw at Dude Day. Stead HS. Will be at WWBA. Looks like a projectable arm, need to check in and see progress if possible next week.")</f>
        <v>TR: Saw at Dude Day. Stead HS. Will be at WWBA. Looks like a projectable arm, need to check in and see progress if possible next week.</v>
      </c>
      <c r="Z44" s="249"/>
      <c r="AA44" s="249"/>
      <c r="AB44" s="249"/>
      <c r="AC44" s="249"/>
      <c r="AD44" s="249"/>
      <c r="AE44" s="250"/>
      <c r="AF44" s="500"/>
      <c r="AG44" s="250"/>
      <c r="AH44" s="514"/>
      <c r="AI44" s="514" t="str">
        <f t="array" ref="AI44">XLOOKUP(C44,'High School Players'!$D:$D,'High School Players'!$M:$M,"--",0,1)&amp;" "&amp;XLOOKUP(C44,'High School Players'!$D:$D,'High School Players'!$N:$N,"--",0,1)</f>
        <v>RHP </v>
      </c>
      <c r="AJ44" s="514"/>
      <c r="AK44" s="514"/>
      <c r="AL44" s="514"/>
      <c r="AM44" s="514"/>
      <c r="AN44" s="514"/>
    </row>
    <row r="45">
      <c r="A45" s="498">
        <f>IFERROR(__xludf.DUMMYFUNCTION("""COMPUTED_VALUE"""),3.0)</f>
        <v>3</v>
      </c>
      <c r="B45" s="499" t="str">
        <f t="array" ref="B45">XLOOKUP(C45,'High School Players'!$D:$D,'High School Players'!$M:$M,"--",0,1)&amp;" "&amp;XLOOKUP(C45,'High School Players'!$D:$D,'High School Players'!$N:$N,"--",0,1)</f>
        <v>RHP </v>
      </c>
      <c r="C45" s="500" t="str">
        <f>IFERROR(__xludf.DUMMYFUNCTION("""COMPUTED_VALUE"""),"Cohen Lafler")</f>
        <v>Cohen Lafler</v>
      </c>
      <c r="D45" s="249"/>
      <c r="E45" s="250"/>
      <c r="F45" s="515"/>
      <c r="G45" s="516"/>
      <c r="H45" s="503" t="str">
        <f>IFERROR(__xludf.DUMMYFUNCTION("""COMPUTED_VALUE"""),"FL")</f>
        <v>FL</v>
      </c>
      <c r="I45" s="500"/>
      <c r="J45" s="504" t="str">
        <f>IFERROR(__xludf.DUMMYFUNCTION("""COMPUTED_VALUE"""),"Buchholz HS")</f>
        <v>Buchholz HS</v>
      </c>
      <c r="K45" s="505"/>
      <c r="L45" s="517"/>
      <c r="M45" s="518" t="str">
        <f>IFERROR(__xludf.DUMMYFUNCTION("""COMPUTED_VALUE"""),"Gatorball")</f>
        <v>Gatorball</v>
      </c>
      <c r="N45" s="478"/>
      <c r="O45" s="479"/>
      <c r="P45" s="519"/>
      <c r="Q45" s="509" t="str">
        <f>IFERROR(__xludf.DUMMYFUNCTION("""COMPUTED_VALUE"""),"4.7 31 ACT")</f>
        <v>4.7 31 ACT</v>
      </c>
      <c r="R45" s="249"/>
      <c r="S45" s="250"/>
      <c r="T45" s="510"/>
      <c r="U45" s="511"/>
      <c r="V45" s="512"/>
      <c r="W45" s="250"/>
      <c r="X45" s="511"/>
      <c r="Y45" s="513" t="str">
        <f>IFERROR(__xludf.DUMMYFUNCTION("""COMPUTED_VALUE"""),"AP: 5'11 180.  SHORT RHP.  85-88, flat FB.  FL powerhouse HS... stats; 47IP, 35H, 10BB, 53K.  not a huge ceiling.  tough kid, great family")</f>
        <v>AP: 5'11 180.  SHORT RHP.  85-88, flat FB.  FL powerhouse HS... stats; 47IP, 35H, 10BB, 53K.  not a huge ceiling.  tough kid, great family</v>
      </c>
      <c r="Z45" s="249"/>
      <c r="AA45" s="249"/>
      <c r="AB45" s="249"/>
      <c r="AC45" s="249"/>
      <c r="AD45" s="249"/>
      <c r="AE45" s="250"/>
      <c r="AF45" s="500"/>
      <c r="AG45" s="250"/>
      <c r="AH45" s="514"/>
      <c r="AI45" s="514" t="str">
        <f t="array" ref="AI45">XLOOKUP(C45,'High School Players'!$D:$D,'High School Players'!$M:$M,"--",0,1)&amp;" "&amp;XLOOKUP(C45,'High School Players'!$D:$D,'High School Players'!$N:$N,"--",0,1)</f>
        <v>RHP </v>
      </c>
      <c r="AJ45" s="514"/>
      <c r="AK45" s="514"/>
      <c r="AL45" s="514"/>
      <c r="AM45" s="514"/>
      <c r="AN45" s="514"/>
    </row>
    <row r="46">
      <c r="A46" s="498">
        <f>IFERROR(__xludf.DUMMYFUNCTION("""COMPUTED_VALUE"""),3.0)</f>
        <v>3</v>
      </c>
      <c r="B46" s="499" t="str">
        <f t="array" ref="B46">XLOOKUP(C46,'High School Players'!$D:$D,'High School Players'!$M:$M,"--",0,1)&amp;" "&amp;XLOOKUP(C46,'High School Players'!$D:$D,'High School Players'!$N:$N,"--",0,1)</f>
        <v>RHP </v>
      </c>
      <c r="C46" s="500" t="str">
        <f>IFERROR(__xludf.DUMMYFUNCTION("""COMPUTED_VALUE"""),"Jack Powell")</f>
        <v>Jack Powell</v>
      </c>
      <c r="D46" s="249"/>
      <c r="E46" s="250"/>
      <c r="F46" s="515"/>
      <c r="G46" s="516"/>
      <c r="H46" s="503" t="str">
        <f>IFERROR(__xludf.DUMMYFUNCTION("""COMPUTED_VALUE"""),"GA")</f>
        <v>GA</v>
      </c>
      <c r="I46" s="500"/>
      <c r="J46" s="504" t="str">
        <f>IFERROR(__xludf.DUMMYFUNCTION("""COMPUTED_VALUE"""),"Denmark")</f>
        <v>Denmark</v>
      </c>
      <c r="K46" s="505"/>
      <c r="L46" s="517"/>
      <c r="M46" s="518"/>
      <c r="N46" s="478"/>
      <c r="O46" s="479"/>
      <c r="P46" s="519"/>
      <c r="Q46" s="509">
        <f>IFERROR(__xludf.DUMMYFUNCTION("""COMPUTED_VALUE"""),3.92)</f>
        <v>3.92</v>
      </c>
      <c r="R46" s="249"/>
      <c r="S46" s="250"/>
      <c r="T46" s="510"/>
      <c r="U46" s="511"/>
      <c r="V46" s="512"/>
      <c r="W46" s="250"/>
      <c r="X46" s="511"/>
      <c r="Y46" s="513" t="str">
        <f>IFERROR(__xludf.DUMMYFUNCTION("""COMPUTED_VALUE"""),"AP; 6'3 210 great frame. 3/4 slot guy. Sinker guy. FB 84. Slow arm, long in the back. SL 70 just ok. Good HS stats. Coach told me you can't look at radar gun with him.  Just a follow AP: 6'3 200 good body, 83-85, SL 70.  Sinker guy. Good HS stats. Not eno"&amp;"ugh for us though")</f>
        <v>AP; 6'3 210 great frame. 3/4 slot guy. Sinker guy. FB 84. Slow arm, long in the back. SL 70 just ok. Good HS stats. Coach told me you can't look at radar gun with him.  Just a follow AP: 6'3 200 good body, 83-85, SL 70.  Sinker guy. Good HS stats. Not enough for us though</v>
      </c>
      <c r="Z46" s="249"/>
      <c r="AA46" s="249"/>
      <c r="AB46" s="249"/>
      <c r="AC46" s="249"/>
      <c r="AD46" s="249"/>
      <c r="AE46" s="250"/>
      <c r="AF46" s="500"/>
      <c r="AG46" s="250"/>
      <c r="AH46" s="514"/>
      <c r="AI46" s="514" t="str">
        <f t="array" ref="AI46">XLOOKUP(C46,'High School Players'!$D:$D,'High School Players'!$M:$M,"--",0,1)&amp;" "&amp;XLOOKUP(C46,'High School Players'!$D:$D,'High School Players'!$N:$N,"--",0,1)</f>
        <v>RHP </v>
      </c>
      <c r="AJ46" s="514"/>
      <c r="AK46" s="514"/>
      <c r="AL46" s="514"/>
      <c r="AM46" s="514"/>
      <c r="AN46" s="514"/>
    </row>
    <row r="47">
      <c r="A47" s="498">
        <f>IFERROR(__xludf.DUMMYFUNCTION("""COMPUTED_VALUE"""),3.0)</f>
        <v>3</v>
      </c>
      <c r="B47" s="499" t="str">
        <f t="array" ref="B47">XLOOKUP(C47,'High School Players'!$D:$D,'High School Players'!$M:$M,"--",0,1)&amp;" "&amp;XLOOKUP(C47,'High School Players'!$D:$D,'High School Players'!$N:$N,"--",0,1)</f>
        <v>RHP </v>
      </c>
      <c r="C47" s="500" t="str">
        <f>IFERROR(__xludf.DUMMYFUNCTION("""COMPUTED_VALUE"""),"Reid Dadic")</f>
        <v>Reid Dadic</v>
      </c>
      <c r="D47" s="249"/>
      <c r="E47" s="250"/>
      <c r="F47" s="515"/>
      <c r="G47" s="516"/>
      <c r="H47" s="503" t="str">
        <f>IFERROR(__xludf.DUMMYFUNCTION("""COMPUTED_VALUE"""),"FL")</f>
        <v>FL</v>
      </c>
      <c r="I47" s="500"/>
      <c r="J47" s="504" t="str">
        <f>IFERROR(__xludf.DUMMYFUNCTION("""COMPUTED_VALUE"""),"North Broward Prep")</f>
        <v>North Broward Prep</v>
      </c>
      <c r="K47" s="505"/>
      <c r="L47" s="517"/>
      <c r="M47" s="518" t="str">
        <f>IFERROR(__xludf.DUMMYFUNCTION("""COMPUTED_VALUE"""),"FL Pokers")</f>
        <v>FL Pokers</v>
      </c>
      <c r="N47" s="478"/>
      <c r="O47" s="479"/>
      <c r="P47" s="519"/>
      <c r="Q47" s="509" t="str">
        <f>IFERROR(__xludf.DUMMYFUNCTION("""COMPUTED_VALUE"""),"3.49 / 1100 SAT")</f>
        <v>3.49 / 1100 SAT</v>
      </c>
      <c r="R47" s="249"/>
      <c r="S47" s="250"/>
      <c r="T47" s="510"/>
      <c r="U47" s="511"/>
      <c r="V47" s="512"/>
      <c r="W47" s="250"/>
      <c r="X47" s="511"/>
      <c r="Y47" s="513" t="str">
        <f>IFERROR(__xludf.DUMMYFUNCTION("""COMPUTED_VALUE"""),"AP: 6'2 195 good body.  88-90, 78 SL 2400spin.  just started to pitch.  could be a monster.  Fitz likes him on mound and bat.  LHH but only hit .220 JR year.  Must see again this summer 2025!")</f>
        <v>AP: 6'2 195 good body.  88-90, 78 SL 2400spin.  just started to pitch.  could be a monster.  Fitz likes him on mound and bat.  LHH but only hit .220 JR year.  Must see again this summer 2025!</v>
      </c>
      <c r="Z47" s="249"/>
      <c r="AA47" s="249"/>
      <c r="AB47" s="249"/>
      <c r="AC47" s="249"/>
      <c r="AD47" s="249"/>
      <c r="AE47" s="250"/>
      <c r="AF47" s="500" t="str">
        <f>IFERROR(__xludf.DUMMYFUNCTION("""COMPUTED_VALUE"""),"texted")</f>
        <v>texted</v>
      </c>
      <c r="AG47" s="250"/>
      <c r="AH47" s="514"/>
      <c r="AI47" s="514" t="str">
        <f t="array" ref="AI47">XLOOKUP(C47,'High School Players'!$D:$D,'High School Players'!$M:$M,"--",0,1)&amp;" "&amp;XLOOKUP(C47,'High School Players'!$D:$D,'High School Players'!$N:$N,"--",0,1)</f>
        <v>RHP </v>
      </c>
      <c r="AJ47" s="514"/>
      <c r="AK47" s="514"/>
      <c r="AL47" s="514"/>
      <c r="AM47" s="514"/>
      <c r="AN47" s="514"/>
    </row>
    <row r="48">
      <c r="A48" s="498">
        <f>IFERROR(__xludf.DUMMYFUNCTION("""COMPUTED_VALUE"""),3.0)</f>
        <v>3</v>
      </c>
      <c r="B48" s="499" t="str">
        <f t="array" ref="B48">XLOOKUP(C48,'High School Players'!$D:$D,'High School Players'!$M:$M,"--",0,1)&amp;" "&amp;XLOOKUP(C48,'High School Players'!$D:$D,'High School Players'!$N:$N,"--",0,1)</f>
        <v>RHP </v>
      </c>
      <c r="C48" s="500" t="str">
        <f>IFERROR(__xludf.DUMMYFUNCTION("""COMPUTED_VALUE"""),"Trenton Robinson")</f>
        <v>Trenton Robinson</v>
      </c>
      <c r="D48" s="249"/>
      <c r="E48" s="250"/>
      <c r="F48" s="515"/>
      <c r="G48" s="516"/>
      <c r="H48" s="503" t="str">
        <f>IFERROR(__xludf.DUMMYFUNCTION("""COMPUTED_VALUE"""),"GA")</f>
        <v>GA</v>
      </c>
      <c r="I48" s="500"/>
      <c r="J48" s="504" t="str">
        <f>IFERROR(__xludf.DUMMYFUNCTION("""COMPUTED_VALUE"""),"Brunswick HS")</f>
        <v>Brunswick HS</v>
      </c>
      <c r="K48" s="505"/>
      <c r="L48" s="517"/>
      <c r="M48" s="518" t="str">
        <f>IFERROR(__xludf.DUMMYFUNCTION("""COMPUTED_VALUE"""),"Burn North")</f>
        <v>Burn North</v>
      </c>
      <c r="N48" s="478"/>
      <c r="O48" s="479"/>
      <c r="P48" s="519"/>
      <c r="Q48" s="509">
        <f>IFERROR(__xludf.DUMMYFUNCTION("""COMPUTED_VALUE"""),3.9)</f>
        <v>3.9</v>
      </c>
      <c r="R48" s="249"/>
      <c r="S48" s="250"/>
      <c r="T48" s="510"/>
      <c r="U48" s="511"/>
      <c r="V48" s="512"/>
      <c r="W48" s="250"/>
      <c r="X48" s="511"/>
      <c r="Y48" s="513" t="str">
        <f>IFERROR(__xludf.DUMMYFUNCTION("""COMPUTED_VALUE"""),"AP: 6'2 180.  Have not seen yet...coach REC.  making jump right now, upper 80's (90), 78 SL.  Try to see this summer 2025.")</f>
        <v>AP: 6'2 180.  Have not seen yet...coach REC.  making jump right now, upper 80's (90), 78 SL.  Try to see this summer 2025.</v>
      </c>
      <c r="Z48" s="249"/>
      <c r="AA48" s="249"/>
      <c r="AB48" s="249"/>
      <c r="AC48" s="249"/>
      <c r="AD48" s="249"/>
      <c r="AE48" s="250"/>
      <c r="AF48" s="500"/>
      <c r="AG48" s="250"/>
      <c r="AH48" s="514"/>
      <c r="AI48" s="514" t="str">
        <f t="array" ref="AI48">XLOOKUP(C48,'High School Players'!$D:$D,'High School Players'!$M:$M,"--",0,1)&amp;" "&amp;XLOOKUP(C48,'High School Players'!$D:$D,'High School Players'!$N:$N,"--",0,1)</f>
        <v>RHP </v>
      </c>
      <c r="AJ48" s="514"/>
      <c r="AK48" s="514"/>
      <c r="AL48" s="514"/>
      <c r="AM48" s="514"/>
      <c r="AN48" s="514"/>
    </row>
    <row r="49">
      <c r="A49" s="498">
        <f>IFERROR(__xludf.DUMMYFUNCTION("""COMPUTED_VALUE"""),3.0)</f>
        <v>3</v>
      </c>
      <c r="B49" s="499" t="str">
        <f t="array" ref="B49">XLOOKUP(C49,'High School Players'!$D:$D,'High School Players'!$M:$M,"--",0,1)&amp;" "&amp;XLOOKUP(C49,'High School Players'!$D:$D,'High School Players'!$N:$N,"--",0,1)</f>
        <v>RHP </v>
      </c>
      <c r="C49" s="500" t="str">
        <f>IFERROR(__xludf.DUMMYFUNCTION("""COMPUTED_VALUE"""),"Riley Sherowski")</f>
        <v>Riley Sherowski</v>
      </c>
      <c r="D49" s="249"/>
      <c r="E49" s="250"/>
      <c r="F49" s="515"/>
      <c r="G49" s="516"/>
      <c r="H49" s="503" t="str">
        <f>IFERROR(__xludf.DUMMYFUNCTION("""COMPUTED_VALUE"""),"TX")</f>
        <v>TX</v>
      </c>
      <c r="I49" s="500"/>
      <c r="J49" s="504" t="str">
        <f>IFERROR(__xludf.DUMMYFUNCTION("""COMPUTED_VALUE"""),"Seven Lakes")</f>
        <v>Seven Lakes</v>
      </c>
      <c r="K49" s="505"/>
      <c r="L49" s="517"/>
      <c r="M49" s="518" t="str">
        <f>IFERROR(__xludf.DUMMYFUNCTION("""COMPUTED_VALUE"""),"San Diego Padres Scout Team 2026")</f>
        <v>San Diego Padres Scout Team 2026</v>
      </c>
      <c r="N49" s="478"/>
      <c r="O49" s="479"/>
      <c r="P49" s="519"/>
      <c r="Q49" s="509"/>
      <c r="R49" s="249"/>
      <c r="S49" s="250"/>
      <c r="T49" s="510"/>
      <c r="U49" s="511"/>
      <c r="V49" s="512"/>
      <c r="W49" s="250"/>
      <c r="X49" s="511"/>
      <c r="Y49" s="513"/>
      <c r="Z49" s="249"/>
      <c r="AA49" s="249"/>
      <c r="AB49" s="249"/>
      <c r="AC49" s="249"/>
      <c r="AD49" s="249"/>
      <c r="AE49" s="250"/>
      <c r="AF49" s="500"/>
      <c r="AG49" s="250"/>
      <c r="AH49" s="514"/>
      <c r="AI49" s="514" t="str">
        <f t="array" ref="AI49">XLOOKUP(C49,'High School Players'!$D:$D,'High School Players'!$M:$M,"--",0,1)&amp;" "&amp;XLOOKUP(C49,'High School Players'!$D:$D,'High School Players'!$N:$N,"--",0,1)</f>
        <v>RHP </v>
      </c>
      <c r="AJ49" s="514"/>
      <c r="AK49" s="514"/>
      <c r="AL49" s="514"/>
      <c r="AM49" s="514"/>
      <c r="AN49" s="514"/>
    </row>
    <row r="50">
      <c r="A50" s="498">
        <f>IFERROR(__xludf.DUMMYFUNCTION("""COMPUTED_VALUE"""),3.0)</f>
        <v>3</v>
      </c>
      <c r="B50" s="499" t="str">
        <f t="array" ref="B50">XLOOKUP(C50,'High School Players'!$D:$D,'High School Players'!$M:$M,"--",0,1)&amp;" "&amp;XLOOKUP(C50,'High School Players'!$D:$D,'High School Players'!$N:$N,"--",0,1)</f>
        <v>RHP </v>
      </c>
      <c r="C50" s="500" t="str">
        <f>IFERROR(__xludf.DUMMYFUNCTION("""COMPUTED_VALUE"""),"Lukas Harbour")</f>
        <v>Lukas Harbour</v>
      </c>
      <c r="D50" s="249"/>
      <c r="E50" s="250"/>
      <c r="F50" s="515"/>
      <c r="G50" s="516"/>
      <c r="H50" s="503" t="str">
        <f>IFERROR(__xludf.DUMMYFUNCTION("""COMPUTED_VALUE"""),"VA")</f>
        <v>VA</v>
      </c>
      <c r="I50" s="500"/>
      <c r="J50" s="504" t="str">
        <f>IFERROR(__xludf.DUMMYFUNCTION("""COMPUTED_VALUE"""),"Riverside")</f>
        <v>Riverside</v>
      </c>
      <c r="K50" s="505"/>
      <c r="L50" s="517"/>
      <c r="M50" s="518" t="str">
        <f>IFERROR(__xludf.DUMMYFUNCTION("""COMPUTED_VALUE"""),"Dirtbags")</f>
        <v>Dirtbags</v>
      </c>
      <c r="N50" s="478"/>
      <c r="O50" s="479"/>
      <c r="P50" s="519"/>
      <c r="Q50" s="509"/>
      <c r="R50" s="249"/>
      <c r="S50" s="250"/>
      <c r="T50" s="510"/>
      <c r="U50" s="511"/>
      <c r="V50" s="512"/>
      <c r="W50" s="250"/>
      <c r="X50" s="511"/>
      <c r="Y50" s="513"/>
      <c r="Z50" s="249"/>
      <c r="AA50" s="249"/>
      <c r="AB50" s="249"/>
      <c r="AC50" s="249"/>
      <c r="AD50" s="249"/>
      <c r="AE50" s="250"/>
      <c r="AF50" s="500"/>
      <c r="AG50" s="250"/>
      <c r="AH50" s="514"/>
      <c r="AI50" s="514" t="str">
        <f t="array" ref="AI50">XLOOKUP(C50,'High School Players'!$D:$D,'High School Players'!$M:$M,"--",0,1)&amp;" "&amp;XLOOKUP(C50,'High School Players'!$D:$D,'High School Players'!$N:$N,"--",0,1)</f>
        <v>RHP </v>
      </c>
      <c r="AJ50" s="514"/>
      <c r="AK50" s="514"/>
      <c r="AL50" s="514"/>
      <c r="AM50" s="514"/>
      <c r="AN50" s="514"/>
    </row>
    <row r="51">
      <c r="A51" s="498">
        <f>IFERROR(__xludf.DUMMYFUNCTION("""COMPUTED_VALUE"""),4.0)</f>
        <v>4</v>
      </c>
      <c r="B51" s="499" t="str">
        <f t="array" ref="B51">XLOOKUP(C51,'High School Players'!$D:$D,'High School Players'!$M:$M,"--",0,1)&amp;" "&amp;XLOOKUP(C51,'High School Players'!$D:$D,'High School Players'!$N:$N,"--",0,1)</f>
        <v>RHP </v>
      </c>
      <c r="C51" s="500" t="str">
        <f>IFERROR(__xludf.DUMMYFUNCTION("""COMPUTED_VALUE"""),"Isaac Sullivan")</f>
        <v>Isaac Sullivan</v>
      </c>
      <c r="D51" s="249"/>
      <c r="E51" s="250"/>
      <c r="F51" s="515"/>
      <c r="G51" s="516"/>
      <c r="H51" s="503" t="str">
        <f>IFERROR(__xludf.DUMMYFUNCTION("""COMPUTED_VALUE"""),"OH")</f>
        <v>OH</v>
      </c>
      <c r="I51" s="500"/>
      <c r="J51" s="504"/>
      <c r="K51" s="505"/>
      <c r="L51" s="517"/>
      <c r="M51" s="518" t="str">
        <f>IFERROR(__xludf.DUMMYFUNCTION("""COMPUTED_VALUE"""),"Bo Jackson Elite")</f>
        <v>Bo Jackson Elite</v>
      </c>
      <c r="N51" s="478"/>
      <c r="O51" s="479"/>
      <c r="P51" s="519"/>
      <c r="Q51" s="509"/>
      <c r="R51" s="249"/>
      <c r="S51" s="250"/>
      <c r="T51" s="510"/>
      <c r="U51" s="511"/>
      <c r="V51" s="512"/>
      <c r="W51" s="250"/>
      <c r="X51" s="511"/>
      <c r="Y51" s="513"/>
      <c r="Z51" s="249"/>
      <c r="AA51" s="249"/>
      <c r="AB51" s="249"/>
      <c r="AC51" s="249"/>
      <c r="AD51" s="249"/>
      <c r="AE51" s="250"/>
      <c r="AF51" s="500"/>
      <c r="AG51" s="250"/>
      <c r="AH51" s="514"/>
      <c r="AI51" s="514" t="str">
        <f t="array" ref="AI51">XLOOKUP(C51,'High School Players'!$D:$D,'High School Players'!$M:$M,"--",0,1)&amp;" "&amp;XLOOKUP(C51,'High School Players'!$D:$D,'High School Players'!$N:$N,"--",0,1)</f>
        <v>RHP </v>
      </c>
      <c r="AJ51" s="514"/>
      <c r="AK51" s="514"/>
      <c r="AL51" s="514"/>
      <c r="AM51" s="514"/>
      <c r="AN51" s="514"/>
    </row>
    <row r="52">
      <c r="A52" s="498">
        <f>IFERROR(__xludf.DUMMYFUNCTION("""COMPUTED_VALUE"""),4.0)</f>
        <v>4</v>
      </c>
      <c r="B52" s="499" t="str">
        <f t="array" ref="B52">XLOOKUP(C52,'High School Players'!$D:$D,'High School Players'!$M:$M,"--",0,1)&amp;" "&amp;XLOOKUP(C52,'High School Players'!$D:$D,'High School Players'!$N:$N,"--",0,1)</f>
        <v>RHP OF</v>
      </c>
      <c r="C52" s="500" t="str">
        <f>IFERROR(__xludf.DUMMYFUNCTION("""COMPUTED_VALUE"""),"Jack Stefani")</f>
        <v>Jack Stefani</v>
      </c>
      <c r="D52" s="249"/>
      <c r="E52" s="250"/>
      <c r="F52" s="515"/>
      <c r="G52" s="516"/>
      <c r="H52" s="503" t="str">
        <f>IFERROR(__xludf.DUMMYFUNCTION("""COMPUTED_VALUE"""),"IL")</f>
        <v>IL</v>
      </c>
      <c r="I52" s="500"/>
      <c r="J52" s="504" t="str">
        <f>IFERROR(__xludf.DUMMYFUNCTION("""COMPUTED_VALUE"""),"Glenbrook south")</f>
        <v>Glenbrook south</v>
      </c>
      <c r="K52" s="505"/>
      <c r="L52" s="517"/>
      <c r="M52" s="518" t="str">
        <f>IFERROR(__xludf.DUMMYFUNCTION("""COMPUTED_VALUE"""),"Top Tier")</f>
        <v>Top Tier</v>
      </c>
      <c r="N52" s="478"/>
      <c r="O52" s="479"/>
      <c r="P52" s="519"/>
      <c r="Q52" s="509" t="str">
        <f>IFERROR(__xludf.DUMMYFUNCTION("""COMPUTED_VALUE"""),"4.1/35")</f>
        <v>4.1/35</v>
      </c>
      <c r="R52" s="249"/>
      <c r="S52" s="250"/>
      <c r="T52" s="510"/>
      <c r="U52" s="511"/>
      <c r="V52" s="512"/>
      <c r="W52" s="250"/>
      <c r="X52" s="511"/>
      <c r="Y52" s="513" t="str">
        <f>IFERROR(__xludf.DUMMYFUNCTION("""COMPUTED_VALUE"""),"Pitching at PBR Nat Champ")</f>
        <v>Pitching at PBR Nat Champ</v>
      </c>
      <c r="Z52" s="249"/>
      <c r="AA52" s="249"/>
      <c r="AB52" s="249"/>
      <c r="AC52" s="249"/>
      <c r="AD52" s="249"/>
      <c r="AE52" s="250"/>
      <c r="AF52" s="500"/>
      <c r="AG52" s="250"/>
      <c r="AH52" s="514"/>
      <c r="AI52" s="514" t="str">
        <f t="array" ref="AI52">XLOOKUP(C52,'High School Players'!$D:$D,'High School Players'!$M:$M,"--",0,1)&amp;" "&amp;XLOOKUP(C52,'High School Players'!$D:$D,'High School Players'!$N:$N,"--",0,1)</f>
        <v>RHP OF</v>
      </c>
      <c r="AJ52" s="514"/>
      <c r="AK52" s="514"/>
      <c r="AL52" s="514"/>
      <c r="AM52" s="514"/>
      <c r="AN52" s="514"/>
    </row>
    <row r="53">
      <c r="A53" s="498">
        <f>IFERROR(__xludf.DUMMYFUNCTION("""COMPUTED_VALUE"""),4.0)</f>
        <v>4</v>
      </c>
      <c r="B53" s="499" t="str">
        <f t="array" ref="B53">XLOOKUP(C53,'High School Players'!$D:$D,'High School Players'!$M:$M,"--",0,1)&amp;" "&amp;XLOOKUP(C53,'High School Players'!$D:$D,'High School Players'!$N:$N,"--",0,1)</f>
        <v>RHP </v>
      </c>
      <c r="C53" s="500" t="str">
        <f>IFERROR(__xludf.DUMMYFUNCTION("""COMPUTED_VALUE"""),"Jeremy Thompson")</f>
        <v>Jeremy Thompson</v>
      </c>
      <c r="D53" s="249"/>
      <c r="E53" s="250"/>
      <c r="F53" s="515"/>
      <c r="G53" s="516"/>
      <c r="H53" s="503" t="str">
        <f>IFERROR(__xludf.DUMMYFUNCTION("""COMPUTED_VALUE"""),"IL")</f>
        <v>IL</v>
      </c>
      <c r="I53" s="500"/>
      <c r="J53" s="504"/>
      <c r="K53" s="505"/>
      <c r="L53" s="517"/>
      <c r="M53" s="518" t="str">
        <f>IFERROR(__xludf.DUMMYFUNCTION("""COMPUTED_VALUE"""),"Indiana Bulls")</f>
        <v>Indiana Bulls</v>
      </c>
      <c r="N53" s="478"/>
      <c r="O53" s="479"/>
      <c r="P53" s="519"/>
      <c r="Q53" s="509"/>
      <c r="R53" s="249"/>
      <c r="S53" s="250"/>
      <c r="T53" s="510"/>
      <c r="U53" s="511"/>
      <c r="V53" s="512"/>
      <c r="W53" s="250"/>
      <c r="X53" s="511"/>
      <c r="Y53" s="513"/>
      <c r="Z53" s="249"/>
      <c r="AA53" s="249"/>
      <c r="AB53" s="249"/>
      <c r="AC53" s="249"/>
      <c r="AD53" s="249"/>
      <c r="AE53" s="250"/>
      <c r="AF53" s="500"/>
      <c r="AG53" s="250"/>
      <c r="AH53" s="514"/>
      <c r="AI53" s="514" t="str">
        <f t="array" ref="AI53">XLOOKUP(C53,'High School Players'!$D:$D,'High School Players'!$M:$M,"--",0,1)&amp;" "&amp;XLOOKUP(C53,'High School Players'!$D:$D,'High School Players'!$N:$N,"--",0,1)</f>
        <v>RHP </v>
      </c>
      <c r="AJ53" s="514"/>
      <c r="AK53" s="514"/>
      <c r="AL53" s="514"/>
      <c r="AM53" s="514"/>
      <c r="AN53" s="514"/>
    </row>
    <row r="54">
      <c r="A54" s="498">
        <f>IFERROR(__xludf.DUMMYFUNCTION("""COMPUTED_VALUE"""),4.0)</f>
        <v>4</v>
      </c>
      <c r="B54" s="499" t="str">
        <f t="array" ref="B54">XLOOKUP(C54,'High School Players'!$D:$D,'High School Players'!$M:$M,"--",0,1)&amp;" "&amp;XLOOKUP(C54,'High School Players'!$D:$D,'High School Players'!$N:$N,"--",0,1)</f>
        <v>RHP </v>
      </c>
      <c r="C54" s="500" t="str">
        <f>IFERROR(__xludf.DUMMYFUNCTION("""COMPUTED_VALUE"""),"Luke Gremelspacher")</f>
        <v>Luke Gremelspacher</v>
      </c>
      <c r="D54" s="249"/>
      <c r="E54" s="250"/>
      <c r="F54" s="515"/>
      <c r="G54" s="516"/>
      <c r="H54" s="503"/>
      <c r="I54" s="500"/>
      <c r="J54" s="504"/>
      <c r="K54" s="505"/>
      <c r="L54" s="517"/>
      <c r="M54" s="518" t="str">
        <f>IFERROR(__xludf.DUMMYFUNCTION("""COMPUTED_VALUE"""),"Indiana Nitro")</f>
        <v>Indiana Nitro</v>
      </c>
      <c r="N54" s="478"/>
      <c r="O54" s="479"/>
      <c r="P54" s="519"/>
      <c r="Q54" s="509"/>
      <c r="R54" s="249"/>
      <c r="S54" s="250"/>
      <c r="T54" s="510"/>
      <c r="U54" s="511"/>
      <c r="V54" s="512"/>
      <c r="W54" s="250"/>
      <c r="X54" s="511"/>
      <c r="Y54" s="513"/>
      <c r="Z54" s="249"/>
      <c r="AA54" s="249"/>
      <c r="AB54" s="249"/>
      <c r="AC54" s="249"/>
      <c r="AD54" s="249"/>
      <c r="AE54" s="250"/>
      <c r="AF54" s="500"/>
      <c r="AG54" s="250"/>
      <c r="AH54" s="514"/>
      <c r="AI54" s="514" t="str">
        <f t="array" ref="AI54">XLOOKUP(C54,'High School Players'!$D:$D,'High School Players'!$M:$M,"--",0,1)&amp;" "&amp;XLOOKUP(C54,'High School Players'!$D:$D,'High School Players'!$N:$N,"--",0,1)</f>
        <v>RHP </v>
      </c>
      <c r="AJ54" s="514"/>
      <c r="AK54" s="514"/>
      <c r="AL54" s="514"/>
      <c r="AM54" s="514"/>
      <c r="AN54" s="514"/>
    </row>
    <row r="55">
      <c r="A55" s="498">
        <f>IFERROR(__xludf.DUMMYFUNCTION("""COMPUTED_VALUE"""),4.0)</f>
        <v>4</v>
      </c>
      <c r="B55" s="499" t="str">
        <f t="array" ref="B55">XLOOKUP(C55,'High School Players'!$D:$D,'High School Players'!$M:$M,"--",0,1)&amp;" "&amp;XLOOKUP(C55,'High School Players'!$D:$D,'High School Players'!$N:$N,"--",0,1)</f>
        <v>RHP </v>
      </c>
      <c r="C55" s="500" t="str">
        <f>IFERROR(__xludf.DUMMYFUNCTION("""COMPUTED_VALUE"""),"Nick Linares")</f>
        <v>Nick Linares</v>
      </c>
      <c r="D55" s="249"/>
      <c r="E55" s="250"/>
      <c r="F55" s="515"/>
      <c r="G55" s="516"/>
      <c r="H55" s="503" t="str">
        <f>IFERROR(__xludf.DUMMYFUNCTION("""COMPUTED_VALUE"""),"IL")</f>
        <v>IL</v>
      </c>
      <c r="I55" s="500"/>
      <c r="J55" s="504"/>
      <c r="K55" s="505"/>
      <c r="L55" s="517"/>
      <c r="M55" s="518" t="str">
        <f>IFERROR(__xludf.DUMMYFUNCTION("""COMPUTED_VALUE"""),"Team Elite")</f>
        <v>Team Elite</v>
      </c>
      <c r="N55" s="478"/>
      <c r="O55" s="479"/>
      <c r="P55" s="519"/>
      <c r="Q55" s="509"/>
      <c r="R55" s="249"/>
      <c r="S55" s="250"/>
      <c r="T55" s="510"/>
      <c r="U55" s="511"/>
      <c r="V55" s="512"/>
      <c r="W55" s="250"/>
      <c r="X55" s="511"/>
      <c r="Y55" s="513"/>
      <c r="Z55" s="249"/>
      <c r="AA55" s="249"/>
      <c r="AB55" s="249"/>
      <c r="AC55" s="249"/>
      <c r="AD55" s="249"/>
      <c r="AE55" s="250"/>
      <c r="AF55" s="500"/>
      <c r="AG55" s="250"/>
      <c r="AH55" s="514"/>
      <c r="AI55" s="514" t="str">
        <f t="array" ref="AI55">XLOOKUP(C55,'High School Players'!$D:$D,'High School Players'!$M:$M,"--",0,1)&amp;" "&amp;XLOOKUP(C55,'High School Players'!$D:$D,'High School Players'!$N:$N,"--",0,1)</f>
        <v>RHP </v>
      </c>
      <c r="AJ55" s="514"/>
      <c r="AK55" s="514"/>
      <c r="AL55" s="514"/>
      <c r="AM55" s="514"/>
      <c r="AN55" s="514"/>
    </row>
    <row r="56">
      <c r="A56" s="498">
        <f>IFERROR(__xludf.DUMMYFUNCTION("""COMPUTED_VALUE"""),4.0)</f>
        <v>4</v>
      </c>
      <c r="B56" s="499" t="str">
        <f t="array" ref="B56">XLOOKUP(C56,'High School Players'!$D:$D,'High School Players'!$M:$M,"--",0,1)&amp;" "&amp;XLOOKUP(C56,'High School Players'!$D:$D,'High School Players'!$N:$N,"--",0,1)</f>
        <v>RHP </v>
      </c>
      <c r="C56" s="500" t="str">
        <f>IFERROR(__xludf.DUMMYFUNCTION("""COMPUTED_VALUE"""),"Ryan Rasmussen")</f>
        <v>Ryan Rasmussen</v>
      </c>
      <c r="D56" s="249"/>
      <c r="E56" s="250"/>
      <c r="F56" s="515"/>
      <c r="G56" s="516"/>
      <c r="H56" s="503" t="str">
        <f>IFERROR(__xludf.DUMMYFUNCTION("""COMPUTED_VALUE"""),"WI")</f>
        <v>WI</v>
      </c>
      <c r="I56" s="500"/>
      <c r="J56" s="504"/>
      <c r="K56" s="505"/>
      <c r="L56" s="517"/>
      <c r="M56" s="518"/>
      <c r="N56" s="478"/>
      <c r="O56" s="479"/>
      <c r="P56" s="519"/>
      <c r="Q56" s="509" t="str">
        <f>IFERROR(__xludf.DUMMYFUNCTION("""COMPUTED_VALUE"""),"?")</f>
        <v>?</v>
      </c>
      <c r="R56" s="249"/>
      <c r="S56" s="250"/>
      <c r="T56" s="510"/>
      <c r="U56" s="511"/>
      <c r="V56" s="512"/>
      <c r="W56" s="250"/>
      <c r="X56" s="511"/>
      <c r="Y56" s="513" t="str">
        <f>IFERROR(__xludf.DUMMYFUNCTION("""COMPUTED_VALUE"""),"Twitter find.  Throwing in Jupiter")</f>
        <v>Twitter find.  Throwing in Jupiter</v>
      </c>
      <c r="Z56" s="249"/>
      <c r="AA56" s="249"/>
      <c r="AB56" s="249"/>
      <c r="AC56" s="249"/>
      <c r="AD56" s="249"/>
      <c r="AE56" s="250"/>
      <c r="AF56" s="500"/>
      <c r="AG56" s="250"/>
      <c r="AH56" s="514"/>
      <c r="AI56" s="514" t="str">
        <f t="array" ref="AI56">XLOOKUP(C56,'High School Players'!$D:$D,'High School Players'!$M:$M,"--",0,1)&amp;" "&amp;XLOOKUP(C56,'High School Players'!$D:$D,'High School Players'!$N:$N,"--",0,1)</f>
        <v>RHP </v>
      </c>
      <c r="AJ56" s="514"/>
      <c r="AK56" s="514"/>
      <c r="AL56" s="514"/>
      <c r="AM56" s="514"/>
      <c r="AN56" s="514"/>
    </row>
    <row r="57">
      <c r="A57" s="498">
        <f>IFERROR(__xludf.DUMMYFUNCTION("""COMPUTED_VALUE"""),3.0)</f>
        <v>3</v>
      </c>
      <c r="B57" s="499" t="str">
        <f t="array" ref="B57">XLOOKUP(C57,'High School Players'!$D:$D,'High School Players'!$M:$M,"--",0,1)&amp;" "&amp;XLOOKUP(C57,'High School Players'!$D:$D,'High School Players'!$N:$N,"--",0,1)</f>
        <v>RHP </v>
      </c>
      <c r="C57" s="500" t="str">
        <f>IFERROR(__xludf.DUMMYFUNCTION("""COMPUTED_VALUE"""),"Hudson Longendyke")</f>
        <v>Hudson Longendyke</v>
      </c>
      <c r="D57" s="249"/>
      <c r="E57" s="250"/>
      <c r="F57" s="515"/>
      <c r="G57" s="516"/>
      <c r="H57" s="503" t="str">
        <f>IFERROR(__xludf.DUMMYFUNCTION("""COMPUTED_VALUE"""),"VA")</f>
        <v>VA</v>
      </c>
      <c r="I57" s="500"/>
      <c r="J57" s="504" t="str">
        <f>IFERROR(__xludf.DUMMYFUNCTION("""COMPUTED_VALUE"""),"Loudon County HS")</f>
        <v>Loudon County HS</v>
      </c>
      <c r="K57" s="505"/>
      <c r="L57" s="517"/>
      <c r="M57" s="518"/>
      <c r="N57" s="478"/>
      <c r="O57" s="479"/>
      <c r="P57" s="519"/>
      <c r="Q57" s="509"/>
      <c r="R57" s="249"/>
      <c r="S57" s="250"/>
      <c r="T57" s="510"/>
      <c r="U57" s="511"/>
      <c r="V57" s="512"/>
      <c r="W57" s="250"/>
      <c r="X57" s="511"/>
      <c r="Y57" s="513" t="str">
        <f>IFERROR(__xludf.DUMMYFUNCTION("""COMPUTED_VALUE"""),"JK: have not seen. 1st Team All Dist/2nd team all Region as Soph. Was supposed to come to summer camp but bailed")</f>
        <v>JK: have not seen. 1st Team All Dist/2nd team all Region as Soph. Was supposed to come to summer camp but bailed</v>
      </c>
      <c r="Z57" s="249"/>
      <c r="AA57" s="249"/>
      <c r="AB57" s="249"/>
      <c r="AC57" s="249"/>
      <c r="AD57" s="249"/>
      <c r="AE57" s="250"/>
      <c r="AF57" s="500"/>
      <c r="AG57" s="250"/>
      <c r="AH57" s="514"/>
      <c r="AI57" s="514" t="str">
        <f t="array" ref="AI57">XLOOKUP(C57,'High School Players'!$D:$D,'High School Players'!$M:$M,"--",0,1)&amp;" "&amp;XLOOKUP(C57,'High School Players'!$D:$D,'High School Players'!$N:$N,"--",0,1)</f>
        <v>RHP </v>
      </c>
      <c r="AJ57" s="514"/>
      <c r="AK57" s="514"/>
      <c r="AL57" s="514"/>
      <c r="AM57" s="514"/>
      <c r="AN57" s="514"/>
    </row>
    <row r="58">
      <c r="A58" s="498">
        <f>IFERROR(__xludf.DUMMYFUNCTION("""COMPUTED_VALUE"""),3.0)</f>
        <v>3</v>
      </c>
      <c r="B58" s="499" t="str">
        <f t="array" ref="B58">XLOOKUP(C58,'High School Players'!$D:$D,'High School Players'!$M:$M,"--",0,1)&amp;" "&amp;XLOOKUP(C58,'High School Players'!$D:$D,'High School Players'!$N:$N,"--",0,1)</f>
        <v>RHP </v>
      </c>
      <c r="C58" s="500" t="str">
        <f>IFERROR(__xludf.DUMMYFUNCTION("""COMPUTED_VALUE"""),"Josh Martino")</f>
        <v>Josh Martino</v>
      </c>
      <c r="D58" s="249"/>
      <c r="E58" s="250"/>
      <c r="F58" s="515"/>
      <c r="G58" s="516"/>
      <c r="H58" s="503" t="str">
        <f>IFERROR(__xludf.DUMMYFUNCTION("""COMPUTED_VALUE"""),"NH")</f>
        <v>NH</v>
      </c>
      <c r="I58" s="500"/>
      <c r="J58" s="504" t="str">
        <f>IFERROR(__xludf.DUMMYFUNCTION("""COMPUTED_VALUE"""),"Windham")</f>
        <v>Windham</v>
      </c>
      <c r="K58" s="505"/>
      <c r="L58" s="517"/>
      <c r="M58" s="518"/>
      <c r="N58" s="478"/>
      <c r="O58" s="479"/>
      <c r="P58" s="519"/>
      <c r="Q58" s="509"/>
      <c r="R58" s="249"/>
      <c r="S58" s="250"/>
      <c r="T58" s="510"/>
      <c r="U58" s="511"/>
      <c r="V58" s="512"/>
      <c r="W58" s="250"/>
      <c r="X58" s="511"/>
      <c r="Y58" s="513" t="str">
        <f>IFERROR(__xludf.DUMMYFUNCTION("""COMPUTED_VALUE"""),"JK-up to 87 on mound. Bigger body/physical kid. Dad played HS football w/ my brother.")</f>
        <v>JK-up to 87 on mound. Bigger body/physical kid. Dad played HS football w/ my brother.</v>
      </c>
      <c r="Z58" s="249"/>
      <c r="AA58" s="249"/>
      <c r="AB58" s="249"/>
      <c r="AC58" s="249"/>
      <c r="AD58" s="249"/>
      <c r="AE58" s="250"/>
      <c r="AF58" s="500" t="str">
        <f>IFERROR(__xludf.DUMMYFUNCTION("""COMPUTED_VALUE"""),"text comms")</f>
        <v>text comms</v>
      </c>
      <c r="AG58" s="250"/>
      <c r="AH58" s="514"/>
      <c r="AI58" s="514" t="str">
        <f t="array" ref="AI58">XLOOKUP(C58,'High School Players'!$D:$D,'High School Players'!$M:$M,"--",0,1)&amp;" "&amp;XLOOKUP(C58,'High School Players'!$D:$D,'High School Players'!$N:$N,"--",0,1)</f>
        <v>RHP </v>
      </c>
      <c r="AJ58" s="514"/>
      <c r="AK58" s="514"/>
      <c r="AL58" s="514"/>
      <c r="AM58" s="514"/>
      <c r="AN58" s="514"/>
    </row>
    <row r="59">
      <c r="A59" s="498">
        <f>IFERROR(__xludf.DUMMYFUNCTION("""COMPUTED_VALUE"""),3.0)</f>
        <v>3</v>
      </c>
      <c r="B59" s="499" t="str">
        <f t="array" ref="B59">XLOOKUP(C59,'High School Players'!$D:$D,'High School Players'!$M:$M,"--",0,1)&amp;" "&amp;XLOOKUP(C59,'High School Players'!$D:$D,'High School Players'!$N:$N,"--",0,1)</f>
        <v>RHP </v>
      </c>
      <c r="C59" s="500" t="str">
        <f>IFERROR(__xludf.DUMMYFUNCTION("""COMPUTED_VALUE"""),"Ryan Steeper")</f>
        <v>Ryan Steeper</v>
      </c>
      <c r="D59" s="249"/>
      <c r="E59" s="250"/>
      <c r="F59" s="515"/>
      <c r="G59" s="516"/>
      <c r="H59" s="503" t="str">
        <f>IFERROR(__xludf.DUMMYFUNCTION("""COMPUTED_VALUE"""),"VA")</f>
        <v>VA</v>
      </c>
      <c r="I59" s="500"/>
      <c r="J59" s="504" t="str">
        <f>IFERROR(__xludf.DUMMYFUNCTION("""COMPUTED_VALUE"""),"St. Anne's Belfield")</f>
        <v>St. Anne's Belfield</v>
      </c>
      <c r="K59" s="505"/>
      <c r="L59" s="517"/>
      <c r="M59" s="518"/>
      <c r="N59" s="478"/>
      <c r="O59" s="479"/>
      <c r="P59" s="519"/>
      <c r="Q59" s="509"/>
      <c r="R59" s="249"/>
      <c r="S59" s="250"/>
      <c r="T59" s="510"/>
      <c r="U59" s="511"/>
      <c r="V59" s="512"/>
      <c r="W59" s="250"/>
      <c r="X59" s="511"/>
      <c r="Y59" s="513" t="str">
        <f>IFERROR(__xludf.DUMMYFUNCTION("""COMPUTED_VALUE"""),"JK-saw at H3 event. Marginal/medium frame 2 way guy, but consensus is future is on the mound. Need to see. Football could be a conflict")</f>
        <v>JK-saw at H3 event. Marginal/medium frame 2 way guy, but consensus is future is on the mound. Need to see. Football could be a conflict</v>
      </c>
      <c r="Z59" s="249"/>
      <c r="AA59" s="249"/>
      <c r="AB59" s="249"/>
      <c r="AC59" s="249"/>
      <c r="AD59" s="249"/>
      <c r="AE59" s="250"/>
      <c r="AF59" s="500" t="str">
        <f>IFERROR(__xludf.DUMMYFUNCTION("""COMPUTED_VALUE"""),"email comms")</f>
        <v>email comms</v>
      </c>
      <c r="AG59" s="250"/>
      <c r="AH59" s="514"/>
      <c r="AI59" s="514" t="str">
        <f t="array" ref="AI59">XLOOKUP(C59,'High School Players'!$D:$D,'High School Players'!$M:$M,"--",0,1)&amp;" "&amp;XLOOKUP(C59,'High School Players'!$D:$D,'High School Players'!$N:$N,"--",0,1)</f>
        <v>RHP </v>
      </c>
      <c r="AJ59" s="514"/>
      <c r="AK59" s="514"/>
      <c r="AL59" s="514"/>
      <c r="AM59" s="514"/>
      <c r="AN59" s="514"/>
    </row>
    <row r="60">
      <c r="A60" s="498" t="str">
        <f>IFERROR(__xludf.DUMMYFUNCTION("""COMPUTED_VALUE"""),"XX")</f>
        <v>XX</v>
      </c>
      <c r="B60" s="499" t="str">
        <f t="array" ref="B60">XLOOKUP(C60,'High School Players'!$D:$D,'High School Players'!$M:$M,"--",0,1)&amp;" "&amp;XLOOKUP(C60,'High School Players'!$D:$D,'High School Players'!$N:$N,"--",0,1)</f>
        <v>RHP </v>
      </c>
      <c r="C60" s="500" t="str">
        <f>IFERROR(__xludf.DUMMYFUNCTION("""COMPUTED_VALUE"""),"David Feigner")</f>
        <v>David Feigner</v>
      </c>
      <c r="D60" s="249"/>
      <c r="E60" s="250"/>
      <c r="F60" s="515"/>
      <c r="G60" s="516"/>
      <c r="H60" s="503" t="str">
        <f>IFERROR(__xludf.DUMMYFUNCTION("""COMPUTED_VALUE"""),"AK")</f>
        <v>AK</v>
      </c>
      <c r="I60" s="500"/>
      <c r="J60" s="504"/>
      <c r="K60" s="505"/>
      <c r="L60" s="517"/>
      <c r="M60" s="518"/>
      <c r="N60" s="478"/>
      <c r="O60" s="479"/>
      <c r="P60" s="519"/>
      <c r="Q60" s="509">
        <f>IFERROR(__xludf.DUMMYFUNCTION("""COMPUTED_VALUE"""),3.8)</f>
        <v>3.8</v>
      </c>
      <c r="R60" s="249"/>
      <c r="S60" s="250"/>
      <c r="T60" s="510"/>
      <c r="U60" s="511"/>
      <c r="V60" s="512"/>
      <c r="W60" s="250"/>
      <c r="X60" s="511"/>
      <c r="Y60" s="513" t="str">
        <f>IFERROR(__xludf.DUMMYFUNCTION("""COMPUTED_VALUE"""),"couple AZ juco offers, D2 and D3 offers.. hasn't really considered high academic.  interested in navy in first call.  will double back after jupiter to see if hes really interest.")</f>
        <v>couple AZ juco offers, D2 and D3 offers.. hasn't really considered high academic.  interested in navy in first call.  will double back after jupiter to see if hes really interest.</v>
      </c>
      <c r="Z60" s="249"/>
      <c r="AA60" s="249"/>
      <c r="AB60" s="249"/>
      <c r="AC60" s="249"/>
      <c r="AD60" s="249"/>
      <c r="AE60" s="250"/>
      <c r="AF60" s="500"/>
      <c r="AG60" s="250"/>
      <c r="AH60" s="514"/>
      <c r="AI60" s="514" t="str">
        <f t="array" ref="AI60">XLOOKUP(C60,'High School Players'!$D:$D,'High School Players'!$M:$M,"--",0,1)&amp;" "&amp;XLOOKUP(C60,'High School Players'!$D:$D,'High School Players'!$N:$N,"--",0,1)</f>
        <v>RHP </v>
      </c>
      <c r="AJ60" s="514"/>
      <c r="AK60" s="514"/>
      <c r="AL60" s="514"/>
      <c r="AM60" s="514"/>
      <c r="AN60" s="514"/>
    </row>
    <row r="61">
      <c r="A61" s="498" t="str">
        <f>IFERROR(__xludf.DUMMYFUNCTION("""COMPUTED_VALUE"""),"XX")</f>
        <v>XX</v>
      </c>
      <c r="B61" s="499" t="str">
        <f t="array" ref="B61">XLOOKUP(C61,'High School Players'!$D:$D,'High School Players'!$M:$M,"--",0,1)&amp;" "&amp;XLOOKUP(C61,'High School Players'!$D:$D,'High School Players'!$N:$N,"--",0,1)</f>
        <v>RHP </v>
      </c>
      <c r="C61" s="500" t="str">
        <f>IFERROR(__xludf.DUMMYFUNCTION("""COMPUTED_VALUE"""),"Roman Martinez")</f>
        <v>Roman Martinez</v>
      </c>
      <c r="D61" s="249"/>
      <c r="E61" s="250"/>
      <c r="F61" s="515"/>
      <c r="G61" s="516"/>
      <c r="H61" s="503" t="str">
        <f>IFERROR(__xludf.DUMMYFUNCTION("""COMPUTED_VALUE"""),"TX")</f>
        <v>TX</v>
      </c>
      <c r="I61" s="500"/>
      <c r="J61" s="504"/>
      <c r="K61" s="505"/>
      <c r="L61" s="517"/>
      <c r="M61" s="518"/>
      <c r="N61" s="478"/>
      <c r="O61" s="479"/>
      <c r="P61" s="519"/>
      <c r="Q61" s="509"/>
      <c r="R61" s="249"/>
      <c r="S61" s="250"/>
      <c r="T61" s="510"/>
      <c r="U61" s="511"/>
      <c r="V61" s="512"/>
      <c r="W61" s="250"/>
      <c r="X61" s="511"/>
      <c r="Y61" s="513"/>
      <c r="Z61" s="249"/>
      <c r="AA61" s="249"/>
      <c r="AB61" s="249"/>
      <c r="AC61" s="249"/>
      <c r="AD61" s="249"/>
      <c r="AE61" s="250"/>
      <c r="AF61" s="500"/>
      <c r="AG61" s="250"/>
      <c r="AH61" s="514"/>
      <c r="AI61" s="514" t="str">
        <f t="array" ref="AI61">XLOOKUP(C61,'High School Players'!$D:$D,'High School Players'!$M:$M,"--",0,1)&amp;" "&amp;XLOOKUP(C61,'High School Players'!$D:$D,'High School Players'!$N:$N,"--",0,1)</f>
        <v>RHP </v>
      </c>
      <c r="AJ61" s="514"/>
      <c r="AK61" s="514"/>
      <c r="AL61" s="514"/>
      <c r="AM61" s="514"/>
      <c r="AN61" s="514"/>
    </row>
    <row r="62">
      <c r="A62" s="498" t="str">
        <f>IFERROR(__xludf.DUMMYFUNCTION("""COMPUTED_VALUE"""),"XX")</f>
        <v>XX</v>
      </c>
      <c r="B62" s="499" t="str">
        <f t="array" ref="B62">XLOOKUP(C62,'High School Players'!$D:$D,'High School Players'!$M:$M,"--",0,1)&amp;" "&amp;XLOOKUP(C62,'High School Players'!$D:$D,'High School Players'!$N:$N,"--",0,1)</f>
        <v>RHP </v>
      </c>
      <c r="C62" s="500" t="str">
        <f>IFERROR(__xludf.DUMMYFUNCTION("""COMPUTED_VALUE"""),"Garrett Koshkin")</f>
        <v>Garrett Koshkin</v>
      </c>
      <c r="D62" s="249"/>
      <c r="E62" s="250"/>
      <c r="F62" s="515"/>
      <c r="G62" s="516"/>
      <c r="H62" s="503" t="str">
        <f>IFERROR(__xludf.DUMMYFUNCTION("""COMPUTED_VALUE"""),"TX")</f>
        <v>TX</v>
      </c>
      <c r="I62" s="500"/>
      <c r="J62" s="504" t="str">
        <f>IFERROR(__xludf.DUMMYFUNCTION("""COMPUTED_VALUE"""),"Kingwood Park")</f>
        <v>Kingwood Park</v>
      </c>
      <c r="K62" s="505"/>
      <c r="L62" s="517"/>
      <c r="M62" s="518" t="str">
        <f>IFERROR(__xludf.DUMMYFUNCTION("""COMPUTED_VALUE"""),"Scorpions")</f>
        <v>Scorpions</v>
      </c>
      <c r="N62" s="478"/>
      <c r="O62" s="479"/>
      <c r="P62" s="519"/>
      <c r="Q62" s="509"/>
      <c r="R62" s="249"/>
      <c r="S62" s="250"/>
      <c r="T62" s="510"/>
      <c r="U62" s="511"/>
      <c r="V62" s="512"/>
      <c r="W62" s="250"/>
      <c r="X62" s="511"/>
      <c r="Y62" s="513"/>
      <c r="Z62" s="249"/>
      <c r="AA62" s="249"/>
      <c r="AB62" s="249"/>
      <c r="AC62" s="249"/>
      <c r="AD62" s="249"/>
      <c r="AE62" s="250"/>
      <c r="AF62" s="500"/>
      <c r="AG62" s="250"/>
      <c r="AH62" s="514"/>
      <c r="AI62" s="514" t="str">
        <f t="array" ref="AI62">XLOOKUP(C62,'High School Players'!$D:$D,'High School Players'!$M:$M,"--",0,1)&amp;" "&amp;XLOOKUP(C62,'High School Players'!$D:$D,'High School Players'!$N:$N,"--",0,1)</f>
        <v>RHP </v>
      </c>
      <c r="AJ62" s="514"/>
      <c r="AK62" s="514"/>
      <c r="AL62" s="514"/>
      <c r="AM62" s="514"/>
      <c r="AN62" s="514"/>
    </row>
    <row r="63">
      <c r="A63" s="498" t="str">
        <f>IFERROR(__xludf.DUMMYFUNCTION("""COMPUTED_VALUE"""),"XX")</f>
        <v>XX</v>
      </c>
      <c r="B63" s="499" t="str">
        <f t="array" ref="B63">XLOOKUP(C63,'High School Players'!$D:$D,'High School Players'!$M:$M,"--",0,1)&amp;" "&amp;XLOOKUP(C63,'High School Players'!$D:$D,'High School Players'!$N:$N,"--",0,1)</f>
        <v>RHP </v>
      </c>
      <c r="C63" s="500" t="str">
        <f>IFERROR(__xludf.DUMMYFUNCTION("""COMPUTED_VALUE"""),"Gavin Cervantes")</f>
        <v>Gavin Cervantes</v>
      </c>
      <c r="D63" s="249"/>
      <c r="E63" s="250"/>
      <c r="F63" s="515"/>
      <c r="G63" s="516"/>
      <c r="H63" s="503" t="str">
        <f>IFERROR(__xludf.DUMMYFUNCTION("""COMPUTED_VALUE"""),"CA")</f>
        <v>CA</v>
      </c>
      <c r="I63" s="500"/>
      <c r="J63" s="504" t="str">
        <f>IFERROR(__xludf.DUMMYFUNCTION("""COMPUTED_VALUE"""),"St. John Bosco")</f>
        <v>St. John Bosco</v>
      </c>
      <c r="K63" s="505"/>
      <c r="L63" s="517"/>
      <c r="M63" s="518" t="str">
        <f>IFERROR(__xludf.DUMMYFUNCTION("""COMPUTED_VALUE"""),"TB SoCal")</f>
        <v>TB SoCal</v>
      </c>
      <c r="N63" s="478"/>
      <c r="O63" s="479"/>
      <c r="P63" s="519"/>
      <c r="Q63" s="509"/>
      <c r="R63" s="249"/>
      <c r="S63" s="250"/>
      <c r="T63" s="510"/>
      <c r="U63" s="511"/>
      <c r="V63" s="512"/>
      <c r="W63" s="250"/>
      <c r="X63" s="511"/>
      <c r="Y63" s="513"/>
      <c r="Z63" s="249"/>
      <c r="AA63" s="249"/>
      <c r="AB63" s="249"/>
      <c r="AC63" s="249"/>
      <c r="AD63" s="249"/>
      <c r="AE63" s="250"/>
      <c r="AF63" s="500"/>
      <c r="AG63" s="250"/>
      <c r="AH63" s="514"/>
      <c r="AI63" s="514" t="str">
        <f t="array" ref="AI63">XLOOKUP(C63,'High School Players'!$D:$D,'High School Players'!$M:$M,"--",0,1)&amp;" "&amp;XLOOKUP(C63,'High School Players'!$D:$D,'High School Players'!$N:$N,"--",0,1)</f>
        <v>RHP </v>
      </c>
      <c r="AJ63" s="514"/>
      <c r="AK63" s="514"/>
      <c r="AL63" s="514"/>
      <c r="AM63" s="514"/>
      <c r="AN63" s="514"/>
    </row>
    <row r="64">
      <c r="A64" s="498" t="str">
        <f>IFERROR(__xludf.DUMMYFUNCTION("""COMPUTED_VALUE"""),"XX")</f>
        <v>XX</v>
      </c>
      <c r="B64" s="499" t="str">
        <f t="array" ref="B64">XLOOKUP(C64,'High School Players'!$D:$D,'High School Players'!$M:$M,"--",0,1)&amp;" "&amp;XLOOKUP(C64,'High School Players'!$D:$D,'High School Players'!$N:$N,"--",0,1)</f>
        <v>RHP </v>
      </c>
      <c r="C64" s="500" t="str">
        <f>IFERROR(__xludf.DUMMYFUNCTION("""COMPUTED_VALUE"""),"Noah McConnell")</f>
        <v>Noah McConnell</v>
      </c>
      <c r="D64" s="249"/>
      <c r="E64" s="250"/>
      <c r="F64" s="515"/>
      <c r="G64" s="516"/>
      <c r="H64" s="503" t="str">
        <f>IFERROR(__xludf.DUMMYFUNCTION("""COMPUTED_VALUE"""),"NV")</f>
        <v>NV</v>
      </c>
      <c r="I64" s="500"/>
      <c r="J64" s="504"/>
      <c r="K64" s="505"/>
      <c r="L64" s="517"/>
      <c r="M64" s="518" t="str">
        <f>IFERROR(__xludf.DUMMYFUNCTION("""COMPUTED_VALUE"""),"Ohio Warhawks")</f>
        <v>Ohio Warhawks</v>
      </c>
      <c r="N64" s="478"/>
      <c r="O64" s="479"/>
      <c r="P64" s="519"/>
      <c r="Q64" s="509"/>
      <c r="R64" s="249"/>
      <c r="S64" s="250"/>
      <c r="T64" s="510"/>
      <c r="U64" s="511"/>
      <c r="V64" s="512"/>
      <c r="W64" s="250"/>
      <c r="X64" s="511"/>
      <c r="Y64" s="513"/>
      <c r="Z64" s="249"/>
      <c r="AA64" s="249"/>
      <c r="AB64" s="249"/>
      <c r="AC64" s="249"/>
      <c r="AD64" s="249"/>
      <c r="AE64" s="250"/>
      <c r="AF64" s="500"/>
      <c r="AG64" s="250"/>
      <c r="AH64" s="514"/>
      <c r="AI64" s="514" t="str">
        <f t="array" ref="AI64">XLOOKUP(C64,'High School Players'!$D:$D,'High School Players'!$M:$M,"--",0,1)&amp;" "&amp;XLOOKUP(C64,'High School Players'!$D:$D,'High School Players'!$N:$N,"--",0,1)</f>
        <v>RHP </v>
      </c>
      <c r="AJ64" s="514"/>
      <c r="AK64" s="514"/>
      <c r="AL64" s="514"/>
      <c r="AM64" s="514"/>
      <c r="AN64" s="514"/>
    </row>
    <row r="65">
      <c r="A65" s="498" t="str">
        <f>IFERROR(__xludf.DUMMYFUNCTION("""COMPUTED_VALUE"""),"XX")</f>
        <v>XX</v>
      </c>
      <c r="B65" s="499" t="str">
        <f t="array" ref="B65">XLOOKUP(C65,'High School Players'!$D:$D,'High School Players'!$M:$M,"--",0,1)&amp;" "&amp;XLOOKUP(C65,'High School Players'!$D:$D,'High School Players'!$N:$N,"--",0,1)</f>
        <v>RHP </v>
      </c>
      <c r="C65" s="500" t="str">
        <f>IFERROR(__xludf.DUMMYFUNCTION("""COMPUTED_VALUE"""),"Pete Ward")</f>
        <v>Pete Ward</v>
      </c>
      <c r="D65" s="249"/>
      <c r="E65" s="250"/>
      <c r="F65" s="515"/>
      <c r="G65" s="516" t="str">
        <f>IFERROR(__xludf.DUMMYFUNCTION("""COMPUTED_VALUE"""),"not interested")</f>
        <v>not interested</v>
      </c>
      <c r="H65" s="503" t="str">
        <f>IFERROR(__xludf.DUMMYFUNCTION("""COMPUTED_VALUE"""),"IN")</f>
        <v>IN</v>
      </c>
      <c r="I65" s="500"/>
      <c r="J65" s="504" t="str">
        <f>IFERROR(__xludf.DUMMYFUNCTION("""COMPUTED_VALUE"""),"Zionsville")</f>
        <v>Zionsville</v>
      </c>
      <c r="K65" s="505"/>
      <c r="L65" s="517"/>
      <c r="M65" s="518" t="str">
        <f>IFERROR(__xludf.DUMMYFUNCTION("""COMPUTED_VALUE"""),"Team INDIANA (Bulls)")</f>
        <v>Team INDIANA (Bulls)</v>
      </c>
      <c r="N65" s="478"/>
      <c r="O65" s="479"/>
      <c r="P65" s="519"/>
      <c r="Q65" s="509" t="str">
        <f>IFERROR(__xludf.DUMMYFUNCTION("""COMPUTED_VALUE"""),"3.9 / 1060")</f>
        <v>3.9 / 1060</v>
      </c>
      <c r="R65" s="249"/>
      <c r="S65" s="250"/>
      <c r="T65" s="510"/>
      <c r="U65" s="511"/>
      <c r="V65" s="512"/>
      <c r="W65" s="250"/>
      <c r="X65" s="511"/>
      <c r="Y65" s="513" t="str">
        <f>IFERROR(__xludf.DUMMYFUNCTION("""COMPUTED_VALUE"""),"HS Coach says....good kid, hard worker.  dad limits pitch counts, kid pulls himself from starts because dad says youre done.  absoluley good enough for us.  too good probably.  ")</f>
        <v>HS Coach says....good kid, hard worker.  dad limits pitch counts, kid pulls himself from starts because dad says youre done.  absoluley good enough for us.  too good probably.  </v>
      </c>
      <c r="Z65" s="249"/>
      <c r="AA65" s="249"/>
      <c r="AB65" s="249"/>
      <c r="AC65" s="249"/>
      <c r="AD65" s="249"/>
      <c r="AE65" s="250"/>
      <c r="AF65" s="500"/>
      <c r="AG65" s="250"/>
      <c r="AH65" s="514"/>
      <c r="AI65" s="514"/>
      <c r="AJ65" s="514"/>
      <c r="AK65" s="514"/>
      <c r="AL65" s="514"/>
      <c r="AM65" s="514"/>
      <c r="AN65" s="514"/>
    </row>
    <row r="66">
      <c r="A66" s="498" t="str">
        <f>IFERROR(__xludf.DUMMYFUNCTION("""COMPUTED_VALUE"""),"XX")</f>
        <v>XX</v>
      </c>
      <c r="B66" s="499" t="str">
        <f t="array" ref="B66">XLOOKUP(C66,'High School Players'!$D:$D,'High School Players'!$M:$M,"--",0,1)&amp;" "&amp;XLOOKUP(C66,'High School Players'!$D:$D,'High School Players'!$N:$N,"--",0,1)</f>
        <v>RHP </v>
      </c>
      <c r="C66" s="500" t="str">
        <f>IFERROR(__xludf.DUMMYFUNCTION("""COMPUTED_VALUE"""),"Kamden Milner")</f>
        <v>Kamden Milner</v>
      </c>
      <c r="D66" s="249"/>
      <c r="E66" s="250"/>
      <c r="F66" s="515"/>
      <c r="G66" s="516" t="str">
        <f>IFERROR(__xludf.DUMMYFUNCTION("""COMPUTED_VALUE"""),"Not Intersted")</f>
        <v>Not Intersted</v>
      </c>
      <c r="H66" s="503" t="str">
        <f>IFERROR(__xludf.DUMMYFUNCTION("""COMPUTED_VALUE"""),"FL")</f>
        <v>FL</v>
      </c>
      <c r="I66" s="500"/>
      <c r="J66" s="504" t="str">
        <f>IFERROR(__xludf.DUMMYFUNCTION("""COMPUTED_VALUE"""),"Episcopal")</f>
        <v>Episcopal</v>
      </c>
      <c r="K66" s="505"/>
      <c r="L66" s="517"/>
      <c r="M66" s="518" t="str">
        <f>IFERROR(__xludf.DUMMYFUNCTION("""COMPUTED_VALUE"""),"CBU")</f>
        <v>CBU</v>
      </c>
      <c r="N66" s="478"/>
      <c r="O66" s="479"/>
      <c r="P66" s="519"/>
      <c r="Q66" s="509"/>
      <c r="R66" s="249"/>
      <c r="S66" s="250"/>
      <c r="T66" s="510"/>
      <c r="U66" s="511"/>
      <c r="V66" s="512"/>
      <c r="W66" s="250"/>
      <c r="X66" s="511"/>
      <c r="Y66" s="513"/>
      <c r="Z66" s="249"/>
      <c r="AA66" s="249"/>
      <c r="AB66" s="249"/>
      <c r="AC66" s="249"/>
      <c r="AD66" s="249"/>
      <c r="AE66" s="250"/>
      <c r="AF66" s="500"/>
      <c r="AG66" s="250"/>
      <c r="AH66" s="514"/>
      <c r="AI66" s="514"/>
      <c r="AJ66" s="514"/>
      <c r="AK66" s="514"/>
      <c r="AL66" s="514"/>
      <c r="AM66" s="514"/>
      <c r="AN66" s="514"/>
    </row>
    <row r="67">
      <c r="A67" s="498" t="str">
        <f>IFERROR(__xludf.DUMMYFUNCTION("""COMPUTED_VALUE"""),"XX")</f>
        <v>XX</v>
      </c>
      <c r="B67" s="499" t="str">
        <f t="array" ref="B67">XLOOKUP(C67,'High School Players'!$D:$D,'High School Players'!$M:$M,"--",0,1)&amp;" "&amp;XLOOKUP(C67,'High School Players'!$D:$D,'High School Players'!$N:$N,"--",0,1)</f>
        <v>RHP OF</v>
      </c>
      <c r="C67" s="500" t="str">
        <f>IFERROR(__xludf.DUMMYFUNCTION("""COMPUTED_VALUE"""),"Chase Anderson")</f>
        <v>Chase Anderson</v>
      </c>
      <c r="D67" s="249"/>
      <c r="E67" s="250"/>
      <c r="F67" s="515"/>
      <c r="G67" s="516" t="str">
        <f>IFERROR(__xludf.DUMMYFUNCTION("""COMPUTED_VALUE"""),"Grades")</f>
        <v>Grades</v>
      </c>
      <c r="H67" s="503" t="str">
        <f>IFERROR(__xludf.DUMMYFUNCTION("""COMPUTED_VALUE"""),"SC")</f>
        <v>SC</v>
      </c>
      <c r="I67" s="500"/>
      <c r="J67" s="504" t="str">
        <f>IFERROR(__xludf.DUMMYFUNCTION("""COMPUTED_VALUE"""),"West Florence")</f>
        <v>West Florence</v>
      </c>
      <c r="K67" s="505"/>
      <c r="L67" s="517"/>
      <c r="M67" s="518" t="str">
        <f>IFERROR(__xludf.DUMMYFUNCTION("""COMPUTED_VALUE"""),"South Charlotte Panthers")</f>
        <v>South Charlotte Panthers</v>
      </c>
      <c r="N67" s="478"/>
      <c r="O67" s="479"/>
      <c r="P67" s="519"/>
      <c r="Q67" s="509"/>
      <c r="R67" s="249"/>
      <c r="S67" s="250"/>
      <c r="T67" s="510"/>
      <c r="U67" s="511"/>
      <c r="V67" s="512"/>
      <c r="W67" s="250"/>
      <c r="X67" s="511"/>
      <c r="Y67" s="513"/>
      <c r="Z67" s="249"/>
      <c r="AA67" s="249"/>
      <c r="AB67" s="249"/>
      <c r="AC67" s="249"/>
      <c r="AD67" s="249"/>
      <c r="AE67" s="250"/>
      <c r="AF67" s="500"/>
      <c r="AG67" s="250"/>
      <c r="AH67" s="514"/>
      <c r="AI67" s="514"/>
      <c r="AJ67" s="514"/>
      <c r="AK67" s="514"/>
      <c r="AL67" s="514"/>
      <c r="AM67" s="514"/>
      <c r="AN67" s="514"/>
    </row>
    <row r="68">
      <c r="A68" s="498" t="str">
        <f>IFERROR(__xludf.DUMMYFUNCTION("""COMPUTED_VALUE"""),"XX")</f>
        <v>XX</v>
      </c>
      <c r="B68" s="499" t="str">
        <f t="array" ref="B68">XLOOKUP(C68,'High School Players'!$D:$D,'High School Players'!$M:$M,"--",0,1)&amp;" "&amp;XLOOKUP(C68,'High School Players'!$D:$D,'High School Players'!$N:$N,"--",0,1)</f>
        <v>RHP </v>
      </c>
      <c r="C68" s="500" t="str">
        <f>IFERROR(__xludf.DUMMYFUNCTION("""COMPUTED_VALUE"""),"Max Tello")</f>
        <v>Max Tello</v>
      </c>
      <c r="D68" s="249"/>
      <c r="E68" s="250"/>
      <c r="F68" s="515"/>
      <c r="G68" s="516" t="str">
        <f>IFERROR(__xludf.DUMMYFUNCTION("""COMPUTED_VALUE"""),"Grades")</f>
        <v>Grades</v>
      </c>
      <c r="H68" s="503" t="str">
        <f>IFERROR(__xludf.DUMMYFUNCTION("""COMPUTED_VALUE"""),"CA")</f>
        <v>CA</v>
      </c>
      <c r="I68" s="500"/>
      <c r="J68" s="504" t="str">
        <f>IFERROR(__xludf.DUMMYFUNCTION("""COMPUTED_VALUE"""),"Eastlake")</f>
        <v>Eastlake</v>
      </c>
      <c r="K68" s="505"/>
      <c r="L68" s="517"/>
      <c r="M68" s="518" t="str">
        <f>IFERROR(__xludf.DUMMYFUNCTION("""COMPUTED_VALUE"""),"GBG National 2026")</f>
        <v>GBG National 2026</v>
      </c>
      <c r="N68" s="478"/>
      <c r="O68" s="479"/>
      <c r="P68" s="519"/>
      <c r="Q68" s="509"/>
      <c r="R68" s="249"/>
      <c r="S68" s="250"/>
      <c r="T68" s="510"/>
      <c r="U68" s="511"/>
      <c r="V68" s="512"/>
      <c r="W68" s="250"/>
      <c r="X68" s="511"/>
      <c r="Y68" s="513"/>
      <c r="Z68" s="249"/>
      <c r="AA68" s="249"/>
      <c r="AB68" s="249"/>
      <c r="AC68" s="249"/>
      <c r="AD68" s="249"/>
      <c r="AE68" s="250"/>
      <c r="AF68" s="500"/>
      <c r="AG68" s="250"/>
      <c r="AH68" s="514"/>
      <c r="AI68" s="514"/>
      <c r="AJ68" s="514"/>
      <c r="AK68" s="514"/>
      <c r="AL68" s="514"/>
      <c r="AM68" s="514"/>
      <c r="AN68" s="514"/>
    </row>
    <row r="69">
      <c r="A69" s="498" t="str">
        <f>IFERROR(__xludf.DUMMYFUNCTION("""COMPUTED_VALUE"""),"XX")</f>
        <v>XX</v>
      </c>
      <c r="B69" s="499" t="str">
        <f t="array" ref="B69">XLOOKUP(C69,'High School Players'!$D:$D,'High School Players'!$M:$M,"--",0,1)&amp;" "&amp;XLOOKUP(C69,'High School Players'!$D:$D,'High School Players'!$N:$N,"--",0,1)</f>
        <v>RHP </v>
      </c>
      <c r="C69" s="500" t="str">
        <f>IFERROR(__xludf.DUMMYFUNCTION("""COMPUTED_VALUE"""),"Luke Long")</f>
        <v>Luke Long</v>
      </c>
      <c r="D69" s="249"/>
      <c r="E69" s="250"/>
      <c r="F69" s="515"/>
      <c r="G69" s="516" t="str">
        <f>IFERROR(__xludf.DUMMYFUNCTION("""COMPUTED_VALUE"""),"Grades")</f>
        <v>Grades</v>
      </c>
      <c r="H69" s="503" t="str">
        <f>IFERROR(__xludf.DUMMYFUNCTION("""COMPUTED_VALUE"""),"FL")</f>
        <v>FL</v>
      </c>
      <c r="I69" s="500"/>
      <c r="J69" s="504" t="str">
        <f>IFERROR(__xludf.DUMMYFUNCTION("""COMPUTED_VALUE"""),"Bloomingdale")</f>
        <v>Bloomingdale</v>
      </c>
      <c r="K69" s="505"/>
      <c r="L69" s="517"/>
      <c r="M69" s="518" t="str">
        <f>IFERROR(__xludf.DUMMYFUNCTION("""COMPUTED_VALUE"""),"Scorpions")</f>
        <v>Scorpions</v>
      </c>
      <c r="N69" s="478"/>
      <c r="O69" s="479"/>
      <c r="P69" s="519"/>
      <c r="Q69" s="509"/>
      <c r="R69" s="249"/>
      <c r="S69" s="250"/>
      <c r="T69" s="510"/>
      <c r="U69" s="511"/>
      <c r="V69" s="512"/>
      <c r="W69" s="250"/>
      <c r="X69" s="511"/>
      <c r="Y69" s="513"/>
      <c r="Z69" s="249"/>
      <c r="AA69" s="249"/>
      <c r="AB69" s="249"/>
      <c r="AC69" s="249"/>
      <c r="AD69" s="249"/>
      <c r="AE69" s="250"/>
      <c r="AF69" s="500"/>
      <c r="AG69" s="250"/>
      <c r="AH69" s="514"/>
      <c r="AI69" s="514"/>
      <c r="AJ69" s="514"/>
      <c r="AK69" s="514"/>
      <c r="AL69" s="514"/>
      <c r="AM69" s="514"/>
      <c r="AN69" s="514"/>
    </row>
    <row r="70">
      <c r="A70" s="498" t="str">
        <f>IFERROR(__xludf.DUMMYFUNCTION("""COMPUTED_VALUE"""),"XX")</f>
        <v>XX</v>
      </c>
      <c r="B70" s="499" t="str">
        <f t="array" ref="B70">XLOOKUP(C70,'High School Players'!$D:$D,'High School Players'!$M:$M,"--",0,1)&amp;" "&amp;XLOOKUP(C70,'High School Players'!$D:$D,'High School Players'!$N:$N,"--",0,1)</f>
        <v>RHP </v>
      </c>
      <c r="C70" s="500" t="str">
        <f>IFERROR(__xludf.DUMMYFUNCTION("""COMPUTED_VALUE"""),"Nick Masciarelli")</f>
        <v>Nick Masciarelli</v>
      </c>
      <c r="D70" s="249"/>
      <c r="E70" s="250"/>
      <c r="F70" s="515"/>
      <c r="G70" s="516" t="str">
        <f>IFERROR(__xludf.DUMMYFUNCTION("""COMPUTED_VALUE"""),"Wagner")</f>
        <v>Wagner</v>
      </c>
      <c r="H70" s="503" t="str">
        <f>IFERROR(__xludf.DUMMYFUNCTION("""COMPUTED_VALUE"""),"NY")</f>
        <v>NY</v>
      </c>
      <c r="I70" s="500"/>
      <c r="J70" s="504" t="str">
        <f>IFERROR(__xludf.DUMMYFUNCTION("""COMPUTED_VALUE"""),"Mahopac")</f>
        <v>Mahopac</v>
      </c>
      <c r="K70" s="505"/>
      <c r="L70" s="517"/>
      <c r="M70" s="518" t="str">
        <f>IFERROR(__xludf.DUMMYFUNCTION("""COMPUTED_VALUE"""),"Taconic Rangers")</f>
        <v>Taconic Rangers</v>
      </c>
      <c r="N70" s="478"/>
      <c r="O70" s="479"/>
      <c r="P70" s="519"/>
      <c r="Q70" s="509" t="str">
        <f>IFERROR(__xludf.DUMMYFUNCTION("""COMPUTED_VALUE"""),"95 avg")</f>
        <v>95 avg</v>
      </c>
      <c r="R70" s="249"/>
      <c r="S70" s="250"/>
      <c r="T70" s="510"/>
      <c r="U70" s="511"/>
      <c r="V70" s="512"/>
      <c r="W70" s="250"/>
      <c r="X70" s="511"/>
      <c r="Y70" s="513" t="str">
        <f>IFERROR(__xludf.DUMMYFUNCTION("""COMPUTED_VALUE"""),"86-88, 3 pitches for strikes. 5’ 10” pretty filled in. Good athlete, competes, something to it. Stuff is not elite and not a huge upside, but he can pitch. Great HS numbers. 40 IP, 68:18 K:BB, 11 H, 3 R. No hitter in state playoffs. Got hit in PG events a"&amp;" few times in ‘24. Under the radar kid - Maine has offered 50%, he wants high academic and money is a factor. Throwing at GW team camp this week, possibly a chance to see him again. Then mostly Baseball Heaven.")</f>
        <v>86-88, 3 pitches for strikes. 5’ 10” pretty filled in. Good athlete, competes, something to it. Stuff is not elite and not a huge upside, but he can pitch. Great HS numbers. 40 IP, 68:18 K:BB, 11 H, 3 R. No hitter in state playoffs. Got hit in PG events a few times in ‘24. Under the radar kid - Maine has offered 50%, he wants high academic and money is a factor. Throwing at GW team camp this week, possibly a chance to see him again. Then mostly Baseball Heaven.</v>
      </c>
      <c r="Z70" s="249"/>
      <c r="AA70" s="249"/>
      <c r="AB70" s="249"/>
      <c r="AC70" s="249"/>
      <c r="AD70" s="249"/>
      <c r="AE70" s="250"/>
      <c r="AF70" s="500"/>
      <c r="AG70" s="250"/>
      <c r="AH70" s="514"/>
      <c r="AI70" s="514"/>
      <c r="AJ70" s="514"/>
      <c r="AK70" s="514"/>
      <c r="AL70" s="514"/>
      <c r="AM70" s="514"/>
      <c r="AN70" s="514"/>
    </row>
    <row r="71">
      <c r="A71" s="498" t="str">
        <f>IFERROR(__xludf.DUMMYFUNCTION("""COMPUTED_VALUE"""),"XX")</f>
        <v>XX</v>
      </c>
      <c r="B71" s="499" t="str">
        <f t="array" ref="B71">XLOOKUP(C71,'High School Players'!$D:$D,'High School Players'!$M:$M,"--",0,1)&amp;" "&amp;XLOOKUP(C71,'High School Players'!$D:$D,'High School Players'!$N:$N,"--",0,1)</f>
        <v>RHP </v>
      </c>
      <c r="C71" s="500" t="str">
        <f>IFERROR(__xludf.DUMMYFUNCTION("""COMPUTED_VALUE"""),"Grayden Seuferling")</f>
        <v>Grayden Seuferling</v>
      </c>
      <c r="D71" s="249"/>
      <c r="E71" s="250"/>
      <c r="F71" s="515"/>
      <c r="G71" s="516" t="str">
        <f>IFERROR(__xludf.DUMMYFUNCTION("""COMPUTED_VALUE"""),"WF")</f>
        <v>WF</v>
      </c>
      <c r="H71" s="503" t="str">
        <f>IFERROR(__xludf.DUMMYFUNCTION("""COMPUTED_VALUE"""),"MO")</f>
        <v>MO</v>
      </c>
      <c r="I71" s="500"/>
      <c r="J71" s="504" t="str">
        <f>IFERROR(__xludf.DUMMYFUNCTION("""COMPUTED_VALUE"""),"Blue Springs South")</f>
        <v>Blue Springs South</v>
      </c>
      <c r="K71" s="505"/>
      <c r="L71" s="517"/>
      <c r="M71" s="518" t="str">
        <f>IFERROR(__xludf.DUMMYFUNCTION("""COMPUTED_VALUE"""),"US Nationals")</f>
        <v>US Nationals</v>
      </c>
      <c r="N71" s="478"/>
      <c r="O71" s="479"/>
      <c r="P71" s="519"/>
      <c r="Q71" s="509"/>
      <c r="R71" s="249"/>
      <c r="S71" s="250"/>
      <c r="T71" s="510"/>
      <c r="U71" s="511"/>
      <c r="V71" s="512"/>
      <c r="W71" s="250"/>
      <c r="X71" s="511"/>
      <c r="Y71" s="513"/>
      <c r="Z71" s="249"/>
      <c r="AA71" s="249"/>
      <c r="AB71" s="249"/>
      <c r="AC71" s="249"/>
      <c r="AD71" s="249"/>
      <c r="AE71" s="250"/>
      <c r="AF71" s="500"/>
      <c r="AG71" s="250"/>
      <c r="AH71" s="514"/>
      <c r="AI71" s="514"/>
      <c r="AJ71" s="514"/>
      <c r="AK71" s="514"/>
      <c r="AL71" s="514"/>
      <c r="AM71" s="514"/>
      <c r="AN71" s="514"/>
    </row>
    <row r="72">
      <c r="A72" s="498" t="str">
        <f>IFERROR(__xludf.DUMMYFUNCTION("""COMPUTED_VALUE"""),"XX")</f>
        <v>XX</v>
      </c>
      <c r="B72" s="499" t="str">
        <f t="array" ref="B72">XLOOKUP(C72,'High School Players'!$D:$D,'High School Players'!$M:$M,"--",0,1)&amp;" "&amp;XLOOKUP(C72,'High School Players'!$D:$D,'High School Players'!$N:$N,"--",0,1)</f>
        <v>RHP </v>
      </c>
      <c r="C72" s="500" t="str">
        <f>IFERROR(__xludf.DUMMYFUNCTION("""COMPUTED_VALUE"""),"Logan Chi")</f>
        <v>Logan Chi</v>
      </c>
      <c r="D72" s="249"/>
      <c r="E72" s="250"/>
      <c r="F72" s="515"/>
      <c r="G72" s="516" t="str">
        <f>IFERROR(__xludf.DUMMYFUNCTION("""COMPUTED_VALUE"""),"Not interested")</f>
        <v>Not interested</v>
      </c>
      <c r="H72" s="503" t="str">
        <f>IFERROR(__xludf.DUMMYFUNCTION("""COMPUTED_VALUE"""),"NJ")</f>
        <v>NJ</v>
      </c>
      <c r="I72" s="500"/>
      <c r="J72" s="504"/>
      <c r="K72" s="505"/>
      <c r="L72" s="517"/>
      <c r="M72" s="518" t="str">
        <f>IFERROR(__xludf.DUMMYFUNCTION("""COMPUTED_VALUE"""),"Ghost")</f>
        <v>Ghost</v>
      </c>
      <c r="N72" s="478"/>
      <c r="O72" s="479"/>
      <c r="P72" s="519"/>
      <c r="Q72" s="509"/>
      <c r="R72" s="249"/>
      <c r="S72" s="250"/>
      <c r="T72" s="510"/>
      <c r="U72" s="511"/>
      <c r="V72" s="512"/>
      <c r="W72" s="250"/>
      <c r="X72" s="511"/>
      <c r="Y72" s="513"/>
      <c r="Z72" s="249"/>
      <c r="AA72" s="249"/>
      <c r="AB72" s="249"/>
      <c r="AC72" s="249"/>
      <c r="AD72" s="249"/>
      <c r="AE72" s="250"/>
      <c r="AF72" s="500"/>
      <c r="AG72" s="250"/>
      <c r="AH72" s="514"/>
      <c r="AI72" s="514"/>
      <c r="AJ72" s="514"/>
      <c r="AK72" s="514"/>
      <c r="AL72" s="514"/>
      <c r="AM72" s="514"/>
      <c r="AN72" s="514"/>
    </row>
    <row r="73">
      <c r="A73" s="498" t="str">
        <f>IFERROR(__xludf.DUMMYFUNCTION("""COMPUTED_VALUE"""),"XX")</f>
        <v>XX</v>
      </c>
      <c r="B73" s="499" t="str">
        <f t="array" ref="B73">XLOOKUP(C73,'High School Players'!$D:$D,'High School Players'!$M:$M,"--",0,1)&amp;" "&amp;XLOOKUP(C73,'High School Players'!$D:$D,'High School Players'!$N:$N,"--",0,1)</f>
        <v>RHP </v>
      </c>
      <c r="C73" s="500" t="str">
        <f>IFERROR(__xludf.DUMMYFUNCTION("""COMPUTED_VALUE"""),"Logan Minamyer")</f>
        <v>Logan Minamyer</v>
      </c>
      <c r="D73" s="249"/>
      <c r="E73" s="250"/>
      <c r="F73" s="515"/>
      <c r="G73" s="516"/>
      <c r="H73" s="503" t="str">
        <f>IFERROR(__xludf.DUMMYFUNCTION("""COMPUTED_VALUE"""),"OH")</f>
        <v>OH</v>
      </c>
      <c r="I73" s="500"/>
      <c r="J73" s="504" t="str">
        <f>IFERROR(__xludf.DUMMYFUNCTION("""COMPUTED_VALUE"""),"Hilliard Bradley")</f>
        <v>Hilliard Bradley</v>
      </c>
      <c r="K73" s="505"/>
      <c r="L73" s="517"/>
      <c r="M73" s="518" t="str">
        <f>IFERROR(__xludf.DUMMYFUNCTION("""COMPUTED_VALUE"""),"Bo Jackson Elite")</f>
        <v>Bo Jackson Elite</v>
      </c>
      <c r="N73" s="478"/>
      <c r="O73" s="479"/>
      <c r="P73" s="519"/>
      <c r="Q73" s="509"/>
      <c r="R73" s="249"/>
      <c r="S73" s="250"/>
      <c r="T73" s="510"/>
      <c r="U73" s="511"/>
      <c r="V73" s="512"/>
      <c r="W73" s="250"/>
      <c r="X73" s="511"/>
      <c r="Y73" s="513" t="str">
        <f>IFERROR(__xludf.DUMMYFUNCTION("""COMPUTED_VALUE"""),"AP: 6'3 190 Twitter find.  HS '24, 4-3 record, 1.97 ERA, 50IP 46H 6BB 38K.  UPDATE spring, avg stats, lots of BB's.  low follow now")</f>
        <v>AP: 6'3 190 Twitter find.  HS '24, 4-3 record, 1.97 ERA, 50IP 46H 6BB 38K.  UPDATE spring, avg stats, lots of BB's.  low follow now</v>
      </c>
      <c r="Z73" s="249"/>
      <c r="AA73" s="249"/>
      <c r="AB73" s="249"/>
      <c r="AC73" s="249"/>
      <c r="AD73" s="249"/>
      <c r="AE73" s="250"/>
      <c r="AF73" s="500"/>
      <c r="AG73" s="250"/>
      <c r="AH73" s="514"/>
      <c r="AI73" s="514"/>
      <c r="AJ73" s="514"/>
      <c r="AK73" s="514"/>
      <c r="AL73" s="514"/>
      <c r="AM73" s="514"/>
      <c r="AN73" s="514"/>
    </row>
    <row r="74">
      <c r="A74" s="498" t="str">
        <f>IFERROR(__xludf.DUMMYFUNCTION("""COMPUTED_VALUE"""),"XX")</f>
        <v>XX</v>
      </c>
      <c r="B74" s="499" t="str">
        <f t="array" ref="B74">XLOOKUP(C74,'High School Players'!$D:$D,'High School Players'!$M:$M,"--",0,1)&amp;" "&amp;XLOOKUP(C74,'High School Players'!$D:$D,'High School Players'!$N:$N,"--",0,1)</f>
        <v>RHP </v>
      </c>
      <c r="C74" s="500" t="str">
        <f>IFERROR(__xludf.DUMMYFUNCTION("""COMPUTED_VALUE"""),"Adam Goldberg")</f>
        <v>Adam Goldberg</v>
      </c>
      <c r="D74" s="249"/>
      <c r="E74" s="250"/>
      <c r="F74" s="515"/>
      <c r="G74" s="516" t="str">
        <f>IFERROR(__xludf.DUMMYFUNCTION("""COMPUTED_VALUE"""),"Not Interested")</f>
        <v>Not Interested</v>
      </c>
      <c r="H74" s="503" t="str">
        <f>IFERROR(__xludf.DUMMYFUNCTION("""COMPUTED_VALUE"""),"NJ")</f>
        <v>NJ</v>
      </c>
      <c r="I74" s="500"/>
      <c r="J74" s="504"/>
      <c r="K74" s="505"/>
      <c r="L74" s="517"/>
      <c r="M74" s="518" t="str">
        <f>IFERROR(__xludf.DUMMYFUNCTION("""COMPUTED_VALUE"""),"Ghost")</f>
        <v>Ghost</v>
      </c>
      <c r="N74" s="478"/>
      <c r="O74" s="479"/>
      <c r="P74" s="519"/>
      <c r="Q74" s="509"/>
      <c r="R74" s="249"/>
      <c r="S74" s="250"/>
      <c r="T74" s="510"/>
      <c r="U74" s="511"/>
      <c r="V74" s="512"/>
      <c r="W74" s="250"/>
      <c r="X74" s="511"/>
      <c r="Y74" s="513"/>
      <c r="Z74" s="249"/>
      <c r="AA74" s="249"/>
      <c r="AB74" s="249"/>
      <c r="AC74" s="249"/>
      <c r="AD74" s="249"/>
      <c r="AE74" s="250"/>
      <c r="AF74" s="500" t="str">
        <f>IFERROR(__xludf.DUMMYFUNCTION("""COMPUTED_VALUE"""),"texted")</f>
        <v>texted</v>
      </c>
      <c r="AG74" s="250"/>
      <c r="AH74" s="514"/>
      <c r="AI74" s="514"/>
      <c r="AJ74" s="514"/>
      <c r="AK74" s="514"/>
      <c r="AL74" s="514"/>
      <c r="AM74" s="514"/>
      <c r="AN74" s="514"/>
    </row>
    <row r="75">
      <c r="A75" s="498" t="str">
        <f>IFERROR(__xludf.DUMMYFUNCTION("""COMPUTED_VALUE"""),"XX")</f>
        <v>XX</v>
      </c>
      <c r="B75" s="499" t="str">
        <f t="array" ref="B75">XLOOKUP(C75,'High School Players'!$D:$D,'High School Players'!$M:$M,"--",0,1)&amp;" "&amp;XLOOKUP(C75,'High School Players'!$D:$D,'High School Players'!$N:$N,"--",0,1)</f>
        <v>RHP </v>
      </c>
      <c r="C75" s="500" t="str">
        <f>IFERROR(__xludf.DUMMYFUNCTION("""COMPUTED_VALUE"""),"Aiden Moore")</f>
        <v>Aiden Moore</v>
      </c>
      <c r="D75" s="249"/>
      <c r="E75" s="250"/>
      <c r="F75" s="515"/>
      <c r="G75" s="516" t="str">
        <f>IFERROR(__xludf.DUMMYFUNCTION("""COMPUTED_VALUE"""),"GCSU")</f>
        <v>GCSU</v>
      </c>
      <c r="H75" s="503" t="str">
        <f>IFERROR(__xludf.DUMMYFUNCTION("""COMPUTED_VALUE"""),"GA")</f>
        <v>GA</v>
      </c>
      <c r="I75" s="500"/>
      <c r="J75" s="504" t="str">
        <f>IFERROR(__xludf.DUMMYFUNCTION("""COMPUTED_VALUE"""),"Hillgrove")</f>
        <v>Hillgrove</v>
      </c>
      <c r="K75" s="505"/>
      <c r="L75" s="517"/>
      <c r="M75" s="518" t="str">
        <f>IFERROR(__xludf.DUMMYFUNCTION("""COMPUTED_VALUE"""),"East Cobb Yankees")</f>
        <v>East Cobb Yankees</v>
      </c>
      <c r="N75" s="478"/>
      <c r="O75" s="479"/>
      <c r="P75" s="519"/>
      <c r="Q75" s="509" t="str">
        <f>IFERROR(__xludf.DUMMYFUNCTION("""COMPUTED_VALUE"""),"4.3 / 1370")</f>
        <v>4.3 / 1370</v>
      </c>
      <c r="R75" s="249"/>
      <c r="S75" s="250"/>
      <c r="T75" s="510"/>
      <c r="U75" s="511"/>
      <c r="V75" s="512"/>
      <c r="W75" s="250"/>
      <c r="X75" s="511"/>
      <c r="Y75" s="513" t="str">
        <f>IFERROR(__xludf.DUMMYFUNCTION("""COMPUTED_VALUE"""),"AP; 6'0 170 avg size.  84-86 (87), 74-77 SL good pitch. Can really pitch. Pitch ability type guy.  HS coach says great things. Number 1 for the,  pitched in all big games. Working on CH for third pitch.  Says he's a D1 guy. Strike thrower.  Good stats.  P"&amp;"arents aren't sports people. Sport ignorant ")</f>
        <v>AP; 6'0 170 avg size.  84-86 (87), 74-77 SL good pitch. Can really pitch. Pitch ability type guy.  HS coach says great things. Number 1 for the,  pitched in all big games. Working on CH for third pitch.  Says he's a D1 guy. Strike thrower.  Good stats.  Parents aren't sports people. Sport ignorant </v>
      </c>
      <c r="Z75" s="249"/>
      <c r="AA75" s="249"/>
      <c r="AB75" s="249"/>
      <c r="AC75" s="249"/>
      <c r="AD75" s="249"/>
      <c r="AE75" s="250"/>
      <c r="AF75" s="500"/>
      <c r="AG75" s="250"/>
      <c r="AH75" s="514"/>
      <c r="AI75" s="514"/>
      <c r="AJ75" s="514"/>
      <c r="AK75" s="514"/>
      <c r="AL75" s="514"/>
      <c r="AM75" s="514"/>
      <c r="AN75" s="514"/>
    </row>
    <row r="76">
      <c r="A76" s="498" t="str">
        <f>IFERROR(__xludf.DUMMYFUNCTION("""COMPUTED_VALUE"""),"XX")</f>
        <v>XX</v>
      </c>
      <c r="B76" s="499" t="str">
        <f t="array" ref="B76">XLOOKUP(C76,'High School Players'!$D:$D,'High School Players'!$M:$M,"--",0,1)&amp;" "&amp;XLOOKUP(C76,'High School Players'!$D:$D,'High School Players'!$N:$N,"--",0,1)</f>
        <v>RHP </v>
      </c>
      <c r="C76" s="500" t="str">
        <f>IFERROR(__xludf.DUMMYFUNCTION("""COMPUTED_VALUE"""),"Alton Ostby")</f>
        <v>Alton Ostby</v>
      </c>
      <c r="D76" s="249"/>
      <c r="E76" s="250"/>
      <c r="F76" s="515"/>
      <c r="G76" s="516" t="str">
        <f>IFERROR(__xludf.DUMMYFUNCTION("""COMPUTED_VALUE"""),"Dayton")</f>
        <v>Dayton</v>
      </c>
      <c r="H76" s="503"/>
      <c r="I76" s="500"/>
      <c r="J76" s="504"/>
      <c r="K76" s="505"/>
      <c r="L76" s="517"/>
      <c r="M76" s="518" t="str">
        <f>IFERROR(__xludf.DUMMYFUNCTION("""COMPUTED_VALUE"""),"Indiana Nitro")</f>
        <v>Indiana Nitro</v>
      </c>
      <c r="N76" s="478"/>
      <c r="O76" s="479"/>
      <c r="P76" s="519"/>
      <c r="Q76" s="509"/>
      <c r="R76" s="249"/>
      <c r="S76" s="250"/>
      <c r="T76" s="510"/>
      <c r="U76" s="511"/>
      <c r="V76" s="512"/>
      <c r="W76" s="250"/>
      <c r="X76" s="511"/>
      <c r="Y76" s="513" t="str">
        <f>IFERROR(__xludf.DUMMYFUNCTION("""COMPUTED_VALUE"""),"CB: Committed to Dayton, may be re-opening (Loiseau). Funky 3/4 + SL, upside FB. Long projectable")</f>
        <v>CB: Committed to Dayton, may be re-opening (Loiseau). Funky 3/4 + SL, upside FB. Long projectable</v>
      </c>
      <c r="Z76" s="249"/>
      <c r="AA76" s="249"/>
      <c r="AB76" s="249"/>
      <c r="AC76" s="249"/>
      <c r="AD76" s="249"/>
      <c r="AE76" s="250"/>
      <c r="AF76" s="500"/>
      <c r="AG76" s="250"/>
      <c r="AH76" s="514"/>
      <c r="AI76" s="514" t="str">
        <f t="array" ref="AI76">XLOOKUP(C76,'High School Players'!$D:$D,'High School Players'!$M:$M,"--",0,1)&amp;" "&amp;XLOOKUP(C76,'High School Players'!$D:$D,'High School Players'!$N:$N,"--",0,1)</f>
        <v>RHP </v>
      </c>
      <c r="AJ76" s="514"/>
      <c r="AK76" s="514"/>
      <c r="AL76" s="514"/>
      <c r="AM76" s="514"/>
      <c r="AN76" s="514"/>
    </row>
    <row r="77">
      <c r="A77" s="498" t="str">
        <f>IFERROR(__xludf.DUMMYFUNCTION("""COMPUTED_VALUE"""),"XX")</f>
        <v>XX</v>
      </c>
      <c r="B77" s="499" t="str">
        <f t="array" ref="B77">XLOOKUP(C77,'High School Players'!$D:$D,'High School Players'!$M:$M,"--",0,1)&amp;" "&amp;XLOOKUP(C77,'High School Players'!$D:$D,'High School Players'!$N:$N,"--",0,1)</f>
        <v>RHP </v>
      </c>
      <c r="C77" s="500" t="str">
        <f>IFERROR(__xludf.DUMMYFUNCTION("""COMPUTED_VALUE"""),"Anthony Marano")</f>
        <v>Anthony Marano</v>
      </c>
      <c r="D77" s="249"/>
      <c r="E77" s="250"/>
      <c r="F77" s="515"/>
      <c r="G77" s="516" t="str">
        <f>IFERROR(__xludf.DUMMYFUNCTION("""COMPUTED_VALUE"""),"Not Interested")</f>
        <v>Not Interested</v>
      </c>
      <c r="H77" s="503" t="str">
        <f>IFERROR(__xludf.DUMMYFUNCTION("""COMPUTED_VALUE"""),"SC")</f>
        <v>SC</v>
      </c>
      <c r="I77" s="500"/>
      <c r="J77" s="504"/>
      <c r="K77" s="505"/>
      <c r="L77" s="517"/>
      <c r="M77" s="518"/>
      <c r="N77" s="478"/>
      <c r="O77" s="479"/>
      <c r="P77" s="519"/>
      <c r="Q77" s="509"/>
      <c r="R77" s="249"/>
      <c r="S77" s="250"/>
      <c r="T77" s="510"/>
      <c r="U77" s="511"/>
      <c r="V77" s="512"/>
      <c r="W77" s="250"/>
      <c r="X77" s="511"/>
      <c r="Y77" s="513"/>
      <c r="Z77" s="249"/>
      <c r="AA77" s="249"/>
      <c r="AB77" s="249"/>
      <c r="AC77" s="249"/>
      <c r="AD77" s="249"/>
      <c r="AE77" s="250"/>
      <c r="AF77" s="500"/>
      <c r="AG77" s="250"/>
      <c r="AH77" s="514"/>
      <c r="AI77" s="514" t="str">
        <f t="array" ref="AI77">XLOOKUP(C77,'High School Players'!$D:$D,'High School Players'!$M:$M,"--",0,1)&amp;" "&amp;XLOOKUP(C77,'High School Players'!$D:$D,'High School Players'!$N:$N,"--",0,1)</f>
        <v>RHP </v>
      </c>
      <c r="AJ77" s="514"/>
      <c r="AK77" s="514"/>
      <c r="AL77" s="514"/>
      <c r="AM77" s="514"/>
      <c r="AN77" s="514"/>
    </row>
    <row r="78" ht="16.5" customHeight="1">
      <c r="A78" s="498" t="str">
        <f>IFERROR(__xludf.DUMMYFUNCTION("""COMPUTED_VALUE"""),"XX")</f>
        <v>XX</v>
      </c>
      <c r="B78" s="499" t="str">
        <f t="array" ref="B78">XLOOKUP(C78,'High School Players'!$D:$D,'High School Players'!$M:$M,"--",0,1)&amp;" "&amp;XLOOKUP(C78,'High School Players'!$D:$D,'High School Players'!$N:$N,"--",0,1)</f>
        <v>RHP </v>
      </c>
      <c r="C78" s="500" t="str">
        <f>IFERROR(__xludf.DUMMYFUNCTION("""COMPUTED_VALUE"""),"Ben Lackey")</f>
        <v>Ben Lackey</v>
      </c>
      <c r="D78" s="249"/>
      <c r="E78" s="250"/>
      <c r="F78" s="515"/>
      <c r="G78" s="516" t="str">
        <f>IFERROR(__xludf.DUMMYFUNCTION("""COMPUTED_VALUE"""),"SEMO")</f>
        <v>SEMO</v>
      </c>
      <c r="H78" s="503" t="str">
        <f>IFERROR(__xludf.DUMMYFUNCTION("""COMPUTED_VALUE"""),"MO")</f>
        <v>MO</v>
      </c>
      <c r="I78" s="500"/>
      <c r="J78" s="504" t="str">
        <f>IFERROR(__xludf.DUMMYFUNCTION("""COMPUTED_VALUE"""),"Eureka")</f>
        <v>Eureka</v>
      </c>
      <c r="K78" s="505"/>
      <c r="L78" s="517"/>
      <c r="M78" s="518" t="str">
        <f>IFERROR(__xludf.DUMMYFUNCTION("""COMPUTED_VALUE"""),"STL Legacy")</f>
        <v>STL Legacy</v>
      </c>
      <c r="N78" s="478"/>
      <c r="O78" s="479"/>
      <c r="P78" s="519"/>
      <c r="Q78" s="509" t="str">
        <f>IFERROR(__xludf.DUMMYFUNCTION("""COMPUTED_VALUE"""),"3.7 / 26 ACT")</f>
        <v>3.7 / 26 ACT</v>
      </c>
      <c r="R78" s="249"/>
      <c r="S78" s="250"/>
      <c r="T78" s="510"/>
      <c r="U78" s="511"/>
      <c r="V78" s="512"/>
      <c r="W78" s="250"/>
      <c r="X78" s="511"/>
      <c r="Y78" s="513" t="str">
        <f>IFERROR(__xludf.DUMMYFUNCTION("""COMPUTED_VALUE"""),"AP; has poor grades in math (D in one semester).  6'2 180 good body.  86-87 (88) flat, it's got hit when left up. Has a good SL 77-78 2600 spin.  Delivery in arm works. Fast pick move, seems athletic. Needs a little polish, but ceiling is high. ￼")</f>
        <v>AP; has poor grades in math (D in one semester).  6'2 180 good body.  86-87 (88) flat, it's got hit when left up. Has a good SL 77-78 2600 spin.  Delivery in arm works. Fast pick move, seems athletic. Needs a little polish, but ceiling is high. ￼</v>
      </c>
      <c r="Z78" s="249"/>
      <c r="AA78" s="249"/>
      <c r="AB78" s="249"/>
      <c r="AC78" s="249"/>
      <c r="AD78" s="249"/>
      <c r="AE78" s="250"/>
      <c r="AF78" s="500"/>
      <c r="AG78" s="250"/>
      <c r="AH78" s="514"/>
      <c r="AI78" s="514"/>
      <c r="AJ78" s="514"/>
      <c r="AK78" s="514"/>
      <c r="AL78" s="514"/>
      <c r="AM78" s="514"/>
      <c r="AN78" s="514"/>
    </row>
    <row r="79" ht="16.5" customHeight="1">
      <c r="A79" s="498" t="str">
        <f>IFERROR(__xludf.DUMMYFUNCTION("""COMPUTED_VALUE"""),"XX")</f>
        <v>XX</v>
      </c>
      <c r="B79" s="499" t="str">
        <f t="array" ref="B79">XLOOKUP(C79,'High School Players'!$D:$D,'High School Players'!$M:$M,"--",0,1)&amp;" "&amp;XLOOKUP(C79,'High School Players'!$D:$D,'High School Players'!$N:$N,"--",0,1)</f>
        <v>RHP </v>
      </c>
      <c r="C79" s="500" t="str">
        <f>IFERROR(__xludf.DUMMYFUNCTION("""COMPUTED_VALUE"""),"Braddock Raven")</f>
        <v>Braddock Raven</v>
      </c>
      <c r="D79" s="249"/>
      <c r="E79" s="250"/>
      <c r="F79" s="515"/>
      <c r="G79" s="516" t="str">
        <f>IFERROR(__xludf.DUMMYFUNCTION("""COMPUTED_VALUE"""),"Toledo")</f>
        <v>Toledo</v>
      </c>
      <c r="H79" s="503" t="str">
        <f>IFERROR(__xludf.DUMMYFUNCTION("""COMPUTED_VALUE"""),"TX")</f>
        <v>TX</v>
      </c>
      <c r="I79" s="500"/>
      <c r="J79" s="504" t="str">
        <f>IFERROR(__xludf.DUMMYFUNCTION("""COMPUTED_VALUE"""),"Victoria East")</f>
        <v>Victoria East</v>
      </c>
      <c r="K79" s="505"/>
      <c r="L79" s="517"/>
      <c r="M79" s="518" t="str">
        <f>IFERROR(__xludf.DUMMYFUNCTION("""COMPUTED_VALUE"""),"Texas 12 Red Sox")</f>
        <v>Texas 12 Red Sox</v>
      </c>
      <c r="N79" s="478"/>
      <c r="O79" s="479"/>
      <c r="P79" s="519"/>
      <c r="Q79" s="509" t="str">
        <f>IFERROR(__xludf.DUMMYFUNCTION("""COMPUTED_VALUE"""),"3.8/1100")</f>
        <v>3.8/1100</v>
      </c>
      <c r="R79" s="249"/>
      <c r="S79" s="250"/>
      <c r="T79" s="510"/>
      <c r="U79" s="511"/>
      <c r="V79" s="512"/>
      <c r="W79" s="250"/>
      <c r="X79" s="511"/>
      <c r="Y79" s="513" t="str">
        <f>IFERROR(__xludf.DUMMYFUNCTION("""COMPUTED_VALUE"""),"TR: Mattingly. 88-90 with 77-78 slider. This is a big time arm. Long loose frame, fast whippy arm. pitches with some attitude. 1st call sounds like genuine interest. filled out form right away. says he has sink and more gb guy. more K's than IP, has K stu"&amp;"ff. ")</f>
        <v>TR: Mattingly. 88-90 with 77-78 slider. This is a big time arm. Long loose frame, fast whippy arm. pitches with some attitude. 1st call sounds like genuine interest. filled out form right away. says he has sink and more gb guy. more K's than IP, has K stuff. </v>
      </c>
      <c r="Z79" s="249"/>
      <c r="AA79" s="249"/>
      <c r="AB79" s="249"/>
      <c r="AC79" s="249"/>
      <c r="AD79" s="249"/>
      <c r="AE79" s="250"/>
      <c r="AF79" s="500"/>
      <c r="AG79" s="250"/>
      <c r="AH79" s="514"/>
      <c r="AI79" s="514"/>
      <c r="AJ79" s="514"/>
      <c r="AK79" s="514"/>
      <c r="AL79" s="514"/>
      <c r="AM79" s="514"/>
      <c r="AN79" s="514"/>
    </row>
    <row r="80" ht="16.5" customHeight="1">
      <c r="A80" s="498" t="str">
        <f>IFERROR(__xludf.DUMMYFUNCTION("""COMPUTED_VALUE"""),"XX")</f>
        <v>XX</v>
      </c>
      <c r="B80" s="499" t="str">
        <f t="array" ref="B80">XLOOKUP(C80,'High School Players'!$D:$D,'High School Players'!$M:$M,"--",0,1)&amp;" "&amp;XLOOKUP(C80,'High School Players'!$D:$D,'High School Players'!$N:$N,"--",0,1)</f>
        <v>RHP </v>
      </c>
      <c r="C80" s="500" t="str">
        <f>IFERROR(__xludf.DUMMYFUNCTION("""COMPUTED_VALUE"""),"Bradley Mallette")</f>
        <v>Bradley Mallette</v>
      </c>
      <c r="D80" s="249"/>
      <c r="E80" s="250"/>
      <c r="F80" s="515"/>
      <c r="G80" s="516" t="str">
        <f>IFERROR(__xludf.DUMMYFUNCTION("""COMPUTED_VALUE"""),"No calculus ")</f>
        <v>No calculus </v>
      </c>
      <c r="H80" s="503" t="str">
        <f>IFERROR(__xludf.DUMMYFUNCTION("""COMPUTED_VALUE"""),"CO")</f>
        <v>CO</v>
      </c>
      <c r="I80" s="500"/>
      <c r="J80" s="504"/>
      <c r="K80" s="505"/>
      <c r="L80" s="517"/>
      <c r="M80" s="518"/>
      <c r="N80" s="478"/>
      <c r="O80" s="479"/>
      <c r="P80" s="519"/>
      <c r="Q80" s="509"/>
      <c r="R80" s="249"/>
      <c r="S80" s="250"/>
      <c r="T80" s="510"/>
      <c r="U80" s="511"/>
      <c r="V80" s="512"/>
      <c r="W80" s="250"/>
      <c r="X80" s="511"/>
      <c r="Y80" s="513" t="str">
        <f>IFERROR(__xludf.DUMMYFUNCTION("""COMPUTED_VALUE"""),"Self proclaimed Yep, Junior year. High school coach still believes in the kid and think he can be pretty special. I do not think he's taking a mass senior year and has never taken calculus or pre-calculus. Algebra two the farthest he got ￼")</f>
        <v>Self proclaimed Yep, Junior year. High school coach still believes in the kid and think he can be pretty special. I do not think he's taking a mass senior year and has never taken calculus or pre-calculus. Algebra two the farthest he got ￼</v>
      </c>
      <c r="Z80" s="249"/>
      <c r="AA80" s="249"/>
      <c r="AB80" s="249"/>
      <c r="AC80" s="249"/>
      <c r="AD80" s="249"/>
      <c r="AE80" s="250"/>
      <c r="AF80" s="500"/>
      <c r="AG80" s="250"/>
      <c r="AH80" s="514"/>
      <c r="AI80" s="514"/>
      <c r="AJ80" s="514"/>
      <c r="AK80" s="514"/>
      <c r="AL80" s="514"/>
      <c r="AM80" s="514"/>
      <c r="AN80" s="514"/>
    </row>
    <row r="81" ht="16.5" customHeight="1">
      <c r="A81" s="498" t="str">
        <f>IFERROR(__xludf.DUMMYFUNCTION("""COMPUTED_VALUE"""),"XX")</f>
        <v>XX</v>
      </c>
      <c r="B81" s="499" t="str">
        <f t="array" ref="B81">XLOOKUP(C81,'High School Players'!$D:$D,'High School Players'!$M:$M,"--",0,1)&amp;" "&amp;XLOOKUP(C81,'High School Players'!$D:$D,'High School Players'!$N:$N,"--",0,1)</f>
        <v>RHP </v>
      </c>
      <c r="C81" s="500" t="str">
        <f>IFERROR(__xludf.DUMMYFUNCTION("""COMPUTED_VALUE"""),"Braydon Bown")</f>
        <v>Braydon Bown</v>
      </c>
      <c r="D81" s="249"/>
      <c r="E81" s="250"/>
      <c r="F81" s="515"/>
      <c r="G81" s="516" t="str">
        <f>IFERROR(__xludf.DUMMYFUNCTION("""COMPUTED_VALUE"""),"Army")</f>
        <v>Army</v>
      </c>
      <c r="H81" s="503" t="str">
        <f>IFERROR(__xludf.DUMMYFUNCTION("""COMPUTED_VALUE"""),"PA")</f>
        <v>PA</v>
      </c>
      <c r="I81" s="500"/>
      <c r="J81" s="504" t="str">
        <f>IFERROR(__xludf.DUMMYFUNCTION("""COMPUTED_VALUE"""),"Palmyra HS")</f>
        <v>Palmyra HS</v>
      </c>
      <c r="K81" s="505"/>
      <c r="L81" s="517"/>
      <c r="M81" s="518"/>
      <c r="N81" s="478"/>
      <c r="O81" s="479"/>
      <c r="P81" s="519"/>
      <c r="Q81" s="509" t="str">
        <f>IFERROR(__xludf.DUMMYFUNCTION("""COMPUTED_VALUE"""),"3.4/No test")</f>
        <v>3.4/No test</v>
      </c>
      <c r="R81" s="249"/>
      <c r="S81" s="250"/>
      <c r="T81" s="510"/>
      <c r="U81" s="511"/>
      <c r="V81" s="512"/>
      <c r="W81" s="250"/>
      <c r="X81" s="511"/>
      <c r="Y81" s="513"/>
      <c r="Z81" s="249"/>
      <c r="AA81" s="249"/>
      <c r="AB81" s="249"/>
      <c r="AC81" s="249"/>
      <c r="AD81" s="249"/>
      <c r="AE81" s="250"/>
      <c r="AF81" s="500"/>
      <c r="AG81" s="250"/>
      <c r="AH81" s="514"/>
      <c r="AI81" s="514"/>
      <c r="AJ81" s="514"/>
      <c r="AK81" s="514"/>
      <c r="AL81" s="514"/>
      <c r="AM81" s="514"/>
      <c r="AN81" s="514"/>
    </row>
    <row r="82" ht="16.5" customHeight="1">
      <c r="A82" s="498" t="str">
        <f>IFERROR(__xludf.DUMMYFUNCTION("""COMPUTED_VALUE"""),"XX")</f>
        <v>XX</v>
      </c>
      <c r="B82" s="499" t="str">
        <f t="array" ref="B82">XLOOKUP(C82,'High School Players'!$D:$D,'High School Players'!$M:$M,"--",0,1)&amp;" "&amp;XLOOKUP(C82,'High School Players'!$D:$D,'High School Players'!$N:$N,"--",0,1)</f>
        <v>RHP </v>
      </c>
      <c r="C82" s="500" t="str">
        <f>IFERROR(__xludf.DUMMYFUNCTION("""COMPUTED_VALUE"""),"Carter Muth")</f>
        <v>Carter Muth</v>
      </c>
      <c r="D82" s="249"/>
      <c r="E82" s="250"/>
      <c r="F82" s="515"/>
      <c r="G82" s="516" t="str">
        <f>IFERROR(__xludf.DUMMYFUNCTION("""COMPUTED_VALUE"""),"committed")</f>
        <v>committed</v>
      </c>
      <c r="H82" s="503" t="str">
        <f>IFERROR(__xludf.DUMMYFUNCTION("""COMPUTED_VALUE"""),"AR")</f>
        <v>AR</v>
      </c>
      <c r="I82" s="500"/>
      <c r="J82" s="504"/>
      <c r="K82" s="505"/>
      <c r="L82" s="517"/>
      <c r="M82" s="518"/>
      <c r="N82" s="478"/>
      <c r="O82" s="479"/>
      <c r="P82" s="519"/>
      <c r="Q82" s="509"/>
      <c r="R82" s="249"/>
      <c r="S82" s="250"/>
      <c r="T82" s="510"/>
      <c r="U82" s="511"/>
      <c r="V82" s="512"/>
      <c r="W82" s="250"/>
      <c r="X82" s="511"/>
      <c r="Y82" s="513"/>
      <c r="Z82" s="249"/>
      <c r="AA82" s="249"/>
      <c r="AB82" s="249"/>
      <c r="AC82" s="249"/>
      <c r="AD82" s="249"/>
      <c r="AE82" s="250"/>
      <c r="AF82" s="500"/>
      <c r="AG82" s="250"/>
      <c r="AH82" s="514"/>
      <c r="AI82" s="514"/>
      <c r="AJ82" s="514"/>
      <c r="AK82" s="514"/>
      <c r="AL82" s="514"/>
      <c r="AM82" s="514"/>
      <c r="AN82" s="514"/>
    </row>
    <row r="83" ht="16.5" customHeight="1">
      <c r="A83" s="498" t="str">
        <f>IFERROR(__xludf.DUMMYFUNCTION("""COMPUTED_VALUE"""),"XX")</f>
        <v>XX</v>
      </c>
      <c r="B83" s="499" t="str">
        <f t="array" ref="B83">XLOOKUP(C83,'High School Players'!$D:$D,'High School Players'!$M:$M,"--",0,1)&amp;" "&amp;XLOOKUP(C83,'High School Players'!$D:$D,'High School Players'!$N:$N,"--",0,1)</f>
        <v>RHP </v>
      </c>
      <c r="C83" s="500" t="str">
        <f>IFERROR(__xludf.DUMMYFUNCTION("""COMPUTED_VALUE"""),"Charlie Firth")</f>
        <v>Charlie Firth</v>
      </c>
      <c r="D83" s="249"/>
      <c r="E83" s="250"/>
      <c r="F83" s="515"/>
      <c r="G83" s="516"/>
      <c r="H83" s="503"/>
      <c r="I83" s="500"/>
      <c r="J83" s="504"/>
      <c r="K83" s="505"/>
      <c r="L83" s="517"/>
      <c r="M83" s="518"/>
      <c r="N83" s="478"/>
      <c r="O83" s="479"/>
      <c r="P83" s="519"/>
      <c r="Q83" s="509">
        <f>IFERROR(__xludf.DUMMYFUNCTION("""COMPUTED_VALUE"""),3.8)</f>
        <v>3.8</v>
      </c>
      <c r="R83" s="249"/>
      <c r="S83" s="250"/>
      <c r="T83" s="510"/>
      <c r="U83" s="511"/>
      <c r="V83" s="512"/>
      <c r="W83" s="250"/>
      <c r="X83" s="511"/>
      <c r="Y83" s="513" t="str">
        <f>IFERROR(__xludf.DUMMYFUNCTION("""COMPUTED_VALUE"""),"TR: Emailed , ask Oliveira. Video and metrics look good. Will be at PBR Nat Champs")</f>
        <v>TR: Emailed , ask Oliveira. Video and metrics look good. Will be at PBR Nat Champs</v>
      </c>
      <c r="Z83" s="249"/>
      <c r="AA83" s="249"/>
      <c r="AB83" s="249"/>
      <c r="AC83" s="249"/>
      <c r="AD83" s="249"/>
      <c r="AE83" s="250"/>
      <c r="AF83" s="500"/>
      <c r="AG83" s="250"/>
      <c r="AH83" s="514"/>
      <c r="AI83" s="514"/>
      <c r="AJ83" s="514"/>
      <c r="AK83" s="514"/>
      <c r="AL83" s="514"/>
      <c r="AM83" s="514"/>
      <c r="AN83" s="514"/>
    </row>
    <row r="84" ht="16.5" customHeight="1">
      <c r="A84" s="498" t="str">
        <f>IFERROR(__xludf.DUMMYFUNCTION("""COMPUTED_VALUE"""),"XX")</f>
        <v>XX</v>
      </c>
      <c r="B84" s="499" t="str">
        <f t="array" ref="B84">XLOOKUP(C84,'High School Players'!$D:$D,'High School Players'!$M:$M,"--",0,1)&amp;" "&amp;XLOOKUP(C84,'High School Players'!$D:$D,'High School Players'!$N:$N,"--",0,1)</f>
        <v>RHP SS</v>
      </c>
      <c r="C84" s="500" t="str">
        <f>IFERROR(__xludf.DUMMYFUNCTION("""COMPUTED_VALUE"""),"Colin Sullivan")</f>
        <v>Colin Sullivan</v>
      </c>
      <c r="D84" s="249"/>
      <c r="E84" s="250"/>
      <c r="F84" s="515"/>
      <c r="G84" s="516" t="str">
        <f>IFERROR(__xludf.DUMMYFUNCTION("""COMPUTED_VALUE"""),"G'Town")</f>
        <v>G'Town</v>
      </c>
      <c r="H84" s="503" t="str">
        <f>IFERROR(__xludf.DUMMYFUNCTION("""COMPUTED_VALUE"""),"ME")</f>
        <v>ME</v>
      </c>
      <c r="I84" s="500"/>
      <c r="J84" s="504"/>
      <c r="K84" s="505"/>
      <c r="L84" s="517"/>
      <c r="M84" s="518" t="str">
        <f>IFERROR(__xludf.DUMMYFUNCTION("""COMPUTED_VALUE"""),"SM River Rats")</f>
        <v>SM River Rats</v>
      </c>
      <c r="N84" s="478"/>
      <c r="O84" s="479"/>
      <c r="P84" s="519"/>
      <c r="Q84" s="509" t="str">
        <f>IFERROR(__xludf.DUMMYFUNCTION("""COMPUTED_VALUE"""),"3.7 / 1050")</f>
        <v>3.7 / 1050</v>
      </c>
      <c r="R84" s="249"/>
      <c r="S84" s="250"/>
      <c r="T84" s="510"/>
      <c r="U84" s="511"/>
      <c r="V84" s="512"/>
      <c r="W84" s="250"/>
      <c r="X84" s="511"/>
      <c r="Y84" s="513" t="str">
        <f>IFERROR(__xludf.DUMMYFUNCTION("""COMPUTED_VALUE"""),"CB: 90-93, fast arm, hard SL. + defender @ SS, runs 6.7. Bat coming along.")</f>
        <v>CB: 90-93, fast arm, hard SL. + defender @ SS, runs 6.7. Bat coming along.</v>
      </c>
      <c r="Z84" s="249"/>
      <c r="AA84" s="249"/>
      <c r="AB84" s="249"/>
      <c r="AC84" s="249"/>
      <c r="AD84" s="249"/>
      <c r="AE84" s="250"/>
      <c r="AF84" s="500" t="str">
        <f>IFERROR(__xludf.DUMMYFUNCTION("""COMPUTED_VALUE"""),"CB Called")</f>
        <v>CB Called</v>
      </c>
      <c r="AG84" s="250"/>
      <c r="AH84" s="514"/>
      <c r="AI84" s="514"/>
      <c r="AJ84" s="514"/>
      <c r="AK84" s="514"/>
      <c r="AL84" s="514"/>
      <c r="AM84" s="514"/>
      <c r="AN84" s="514"/>
    </row>
    <row r="85" ht="16.5" customHeight="1">
      <c r="A85" s="498" t="str">
        <f>IFERROR(__xludf.DUMMYFUNCTION("""COMPUTED_VALUE"""),"XX")</f>
        <v>XX</v>
      </c>
      <c r="B85" s="499" t="str">
        <f t="array" ref="B85">XLOOKUP(C85,'High School Players'!$D:$D,'High School Players'!$M:$M,"--",0,1)&amp;" "&amp;XLOOKUP(C85,'High School Players'!$D:$D,'High School Players'!$N:$N,"--",0,1)</f>
        <v>RHP </v>
      </c>
      <c r="C85" s="500" t="str">
        <f>IFERROR(__xludf.DUMMYFUNCTION("""COMPUTED_VALUE"""),"Colton Baron")</f>
        <v>Colton Baron</v>
      </c>
      <c r="D85" s="249"/>
      <c r="E85" s="250"/>
      <c r="F85" s="515"/>
      <c r="G85" s="516" t="str">
        <f>IFERROR(__xludf.DUMMYFUNCTION("""COMPUTED_VALUE"""),"Maryland")</f>
        <v>Maryland</v>
      </c>
      <c r="H85" s="503" t="str">
        <f>IFERROR(__xludf.DUMMYFUNCTION("""COMPUTED_VALUE"""),"TN")</f>
        <v>TN</v>
      </c>
      <c r="I85" s="500"/>
      <c r="J85" s="504"/>
      <c r="K85" s="505"/>
      <c r="L85" s="517"/>
      <c r="M85" s="518" t="str">
        <f>IFERROR(__xludf.DUMMYFUNCTION("""COMPUTED_VALUE"""),"Rawlings SE MAD Mavericks")</f>
        <v>Rawlings SE MAD Mavericks</v>
      </c>
      <c r="N85" s="478"/>
      <c r="O85" s="479"/>
      <c r="P85" s="519"/>
      <c r="Q85" s="509"/>
      <c r="R85" s="249"/>
      <c r="S85" s="250"/>
      <c r="T85" s="510"/>
      <c r="U85" s="511"/>
      <c r="V85" s="512"/>
      <c r="W85" s="250"/>
      <c r="X85" s="511"/>
      <c r="Y85" s="513"/>
      <c r="Z85" s="249"/>
      <c r="AA85" s="249"/>
      <c r="AB85" s="249"/>
      <c r="AC85" s="249"/>
      <c r="AD85" s="249"/>
      <c r="AE85" s="250"/>
      <c r="AF85" s="500"/>
      <c r="AG85" s="250"/>
      <c r="AH85" s="514"/>
      <c r="AI85" s="514"/>
      <c r="AJ85" s="514"/>
      <c r="AK85" s="514"/>
      <c r="AL85" s="514"/>
      <c r="AM85" s="514"/>
      <c r="AN85" s="514"/>
    </row>
    <row r="86" ht="16.5" customHeight="1">
      <c r="A86" s="498" t="str">
        <f>IFERROR(__xludf.DUMMYFUNCTION("""COMPUTED_VALUE"""),"XX")</f>
        <v>XX</v>
      </c>
      <c r="B86" s="499" t="str">
        <f t="array" ref="B86">XLOOKUP(C86,'High School Players'!$D:$D,'High School Players'!$M:$M,"--",0,1)&amp;" "&amp;XLOOKUP(C86,'High School Players'!$D:$D,'High School Players'!$N:$N,"--",0,1)</f>
        <v>RHP </v>
      </c>
      <c r="C86" s="500" t="str">
        <f>IFERROR(__xludf.DUMMYFUNCTION("""COMPUTED_VALUE"""),"Connor Couch")</f>
        <v>Connor Couch</v>
      </c>
      <c r="D86" s="249"/>
      <c r="E86" s="250"/>
      <c r="F86" s="515"/>
      <c r="G86" s="516" t="str">
        <f>IFERROR(__xludf.DUMMYFUNCTION("""COMPUTED_VALUE"""),"Asthma")</f>
        <v>Asthma</v>
      </c>
      <c r="H86" s="503" t="str">
        <f>IFERROR(__xludf.DUMMYFUNCTION("""COMPUTED_VALUE"""),"IN")</f>
        <v>IN</v>
      </c>
      <c r="I86" s="500"/>
      <c r="J86" s="504"/>
      <c r="K86" s="505"/>
      <c r="L86" s="517"/>
      <c r="M86" s="518" t="str">
        <f>IFERROR(__xludf.DUMMYFUNCTION("""COMPUTED_VALUE"""),"Indiana Bulls")</f>
        <v>Indiana Bulls</v>
      </c>
      <c r="N86" s="478"/>
      <c r="O86" s="479"/>
      <c r="P86" s="519"/>
      <c r="Q86" s="509"/>
      <c r="R86" s="249"/>
      <c r="S86" s="250"/>
      <c r="T86" s="510"/>
      <c r="U86" s="511"/>
      <c r="V86" s="512"/>
      <c r="W86" s="250"/>
      <c r="X86" s="511"/>
      <c r="Y86" s="513"/>
      <c r="Z86" s="249"/>
      <c r="AA86" s="249"/>
      <c r="AB86" s="249"/>
      <c r="AC86" s="249"/>
      <c r="AD86" s="249"/>
      <c r="AE86" s="250"/>
      <c r="AF86" s="500" t="str">
        <f>IFERROR(__xludf.DUMMYFUNCTION("""COMPUTED_VALUE"""),"texted")</f>
        <v>texted</v>
      </c>
      <c r="AG86" s="250"/>
      <c r="AH86" s="514"/>
      <c r="AI86" s="514"/>
      <c r="AJ86" s="514"/>
      <c r="AK86" s="514"/>
      <c r="AL86" s="514"/>
      <c r="AM86" s="514"/>
      <c r="AN86" s="514"/>
    </row>
    <row r="87" ht="16.5" customHeight="1">
      <c r="A87" s="498" t="str">
        <f>IFERROR(__xludf.DUMMYFUNCTION("""COMPUTED_VALUE"""),"XX")</f>
        <v>XX</v>
      </c>
      <c r="B87" s="499" t="str">
        <f t="array" ref="B87">XLOOKUP(C87,'High School Players'!$D:$D,'High School Players'!$M:$M,"--",0,1)&amp;" "&amp;XLOOKUP(C87,'High School Players'!$D:$D,'High School Players'!$N:$N,"--",0,1)</f>
        <v>RHP </v>
      </c>
      <c r="C87" s="500" t="str">
        <f>IFERROR(__xludf.DUMMYFUNCTION("""COMPUTED_VALUE"""),"Dion Wilburn")</f>
        <v>Dion Wilburn</v>
      </c>
      <c r="D87" s="249"/>
      <c r="E87" s="250"/>
      <c r="F87" s="515"/>
      <c r="G87" s="516" t="str">
        <f>IFERROR(__xludf.DUMMYFUNCTION("""COMPUTED_VALUE"""),"Jacksonville")</f>
        <v>Jacksonville</v>
      </c>
      <c r="H87" s="503" t="str">
        <f>IFERROR(__xludf.DUMMYFUNCTION("""COMPUTED_VALUE"""),"FL")</f>
        <v>FL</v>
      </c>
      <c r="I87" s="500"/>
      <c r="J87" s="504" t="str">
        <f>IFERROR(__xludf.DUMMYFUNCTION("""COMPUTED_VALUE"""),"Buchholz HS")</f>
        <v>Buchholz HS</v>
      </c>
      <c r="K87" s="505"/>
      <c r="L87" s="517"/>
      <c r="M87" s="518" t="str">
        <f>IFERROR(__xludf.DUMMYFUNCTION("""COMPUTED_VALUE"""),"Gatorball")</f>
        <v>Gatorball</v>
      </c>
      <c r="N87" s="478"/>
      <c r="O87" s="479"/>
      <c r="P87" s="519"/>
      <c r="Q87" s="509" t="str">
        <f>IFERROR(__xludf.DUMMYFUNCTION("""COMPUTED_VALUE"""),"4.8 / extended time test taker!")</f>
        <v>4.8 / extended time test taker!</v>
      </c>
      <c r="R87" s="249"/>
      <c r="S87" s="250"/>
      <c r="T87" s="510"/>
      <c r="U87" s="511"/>
      <c r="V87" s="512"/>
      <c r="W87" s="250"/>
      <c r="X87" s="511"/>
      <c r="Y87" s="513" t="str">
        <f>IFERROR(__xludf.DUMMYFUNCTION("""COMPUTED_VALUE"""),"TR: WWBA easy 88-89. Realy like build and libs  smooth quyick arm. Feel for spin 75-77. Gets under it a frisbees it but when he keeps his slot it's a good pitch. Liek this alot. Pitchers mannersims/actions. AP: 6'5 190 PROJECT. best stuff on staff. big up"&amp;"side. 86-87, 74 CB.  more in there.  avg arm speed, threw 3 times, camp, showcase, game in like 4 days. HS stats: 35IP, 24H, 20BB, 53K.  just follow and see later in summer 2025.  huge upside though.")</f>
        <v>TR: WWBA easy 88-89. Realy like build and libs  smooth quyick arm. Feel for spin 75-77. Gets under it a frisbees it but when he keeps his slot it's a good pitch. Liek this alot. Pitchers mannersims/actions. AP: 6'5 190 PROJECT. best stuff on staff. big upside. 86-87, 74 CB.  more in there.  avg arm speed, threw 3 times, camp, showcase, game in like 4 days. HS stats: 35IP, 24H, 20BB, 53K.  just follow and see later in summer 2025.  huge upside though.</v>
      </c>
      <c r="Z87" s="249"/>
      <c r="AA87" s="249"/>
      <c r="AB87" s="249"/>
      <c r="AC87" s="249"/>
      <c r="AD87" s="249"/>
      <c r="AE87" s="250"/>
      <c r="AF87" s="500" t="str">
        <f>IFERROR(__xludf.DUMMYFUNCTION("""COMPUTED_VALUE"""),"texted")</f>
        <v>texted</v>
      </c>
      <c r="AG87" s="250"/>
      <c r="AH87" s="514"/>
      <c r="AI87" s="514"/>
      <c r="AJ87" s="514"/>
      <c r="AK87" s="514"/>
      <c r="AL87" s="514"/>
      <c r="AM87" s="514"/>
      <c r="AN87" s="514"/>
    </row>
    <row r="88" ht="16.5" customHeight="1">
      <c r="A88" s="498" t="str">
        <f>IFERROR(__xludf.DUMMYFUNCTION("""COMPUTED_VALUE"""),"XX")</f>
        <v>XX</v>
      </c>
      <c r="B88" s="499" t="str">
        <f t="array" ref="B88">XLOOKUP(C88,'High School Players'!$D:$D,'High School Players'!$M:$M,"--",0,1)&amp;" "&amp;XLOOKUP(C88,'High School Players'!$D:$D,'High School Players'!$N:$N,"--",0,1)</f>
        <v>RHP </v>
      </c>
      <c r="C88" s="500" t="str">
        <f>IFERROR(__xludf.DUMMYFUNCTION("""COMPUTED_VALUE"""),"Drew Payne")</f>
        <v>Drew Payne</v>
      </c>
      <c r="D88" s="249"/>
      <c r="E88" s="250"/>
      <c r="F88" s="515"/>
      <c r="G88" s="516" t="str">
        <f>IFERROR(__xludf.DUMMYFUNCTION("""COMPUTED_VALUE"""),"Appalachian State")</f>
        <v>Appalachian State</v>
      </c>
      <c r="H88" s="503" t="str">
        <f>IFERROR(__xludf.DUMMYFUNCTION("""COMPUTED_VALUE"""),"GA")</f>
        <v>GA</v>
      </c>
      <c r="I88" s="500"/>
      <c r="J88" s="504" t="str">
        <f>IFERROR(__xludf.DUMMYFUNCTION("""COMPUTED_VALUE"""),"Prince Avenue")</f>
        <v>Prince Avenue</v>
      </c>
      <c r="K88" s="505"/>
      <c r="L88" s="517"/>
      <c r="M88" s="518" t="str">
        <f>IFERROR(__xludf.DUMMYFUNCTION("""COMPUTED_VALUE"""),"GA Jackets")</f>
        <v>GA Jackets</v>
      </c>
      <c r="N88" s="478"/>
      <c r="O88" s="479"/>
      <c r="P88" s="519"/>
      <c r="Q88" s="509" t="str">
        <f>IFERROR(__xludf.DUMMYFUNCTION("""COMPUTED_VALUE"""),"3.8 / 1080")</f>
        <v>3.8 / 1080</v>
      </c>
      <c r="R88" s="249"/>
      <c r="S88" s="250"/>
      <c r="T88" s="510"/>
      <c r="U88" s="511"/>
      <c r="V88" s="512"/>
      <c r="W88" s="250"/>
      <c r="X88" s="511"/>
      <c r="Y88" s="513" t="str">
        <f>IFERROR(__xludf.DUMMYFUNCTION("""COMPUTED_VALUE"""),"AP: 5'11 205 short but strong filled out body.  good arm speed, 88-91, 76 SL =/+, sprayed FB at times, HS stats do not show BB problem.  Good stats, AA-8 Pitcher of the Year.")</f>
        <v>AP: 5'11 205 short but strong filled out body.  good arm speed, 88-91, 76 SL =/+, sprayed FB at times, HS stats do not show BB problem.  Good stats, AA-8 Pitcher of the Year.</v>
      </c>
      <c r="Z88" s="249"/>
      <c r="AA88" s="249"/>
      <c r="AB88" s="249"/>
      <c r="AC88" s="249"/>
      <c r="AD88" s="249"/>
      <c r="AE88" s="250"/>
      <c r="AF88" s="500" t="str">
        <f>IFERROR(__xludf.DUMMYFUNCTION("""COMPUTED_VALUE"""),"texts")</f>
        <v>texts</v>
      </c>
      <c r="AG88" s="250"/>
      <c r="AH88" s="514"/>
      <c r="AI88" s="514"/>
      <c r="AJ88" s="514"/>
      <c r="AK88" s="514"/>
      <c r="AL88" s="514"/>
      <c r="AM88" s="514"/>
      <c r="AN88" s="514"/>
    </row>
    <row r="89" ht="16.5" customHeight="1">
      <c r="A89" s="498" t="str">
        <f>IFERROR(__xludf.DUMMYFUNCTION("""COMPUTED_VALUE"""),"XX")</f>
        <v>XX</v>
      </c>
      <c r="B89" s="499" t="str">
        <f t="array" ref="B89">XLOOKUP(C89,'High School Players'!$D:$D,'High School Players'!$M:$M,"--",0,1)&amp;" "&amp;XLOOKUP(C89,'High School Players'!$D:$D,'High School Players'!$N:$N,"--",0,1)</f>
        <v>RHP </v>
      </c>
      <c r="C89" s="500" t="str">
        <f>IFERROR(__xludf.DUMMYFUNCTION("""COMPUTED_VALUE"""),"Eric Benner")</f>
        <v>Eric Benner</v>
      </c>
      <c r="D89" s="249"/>
      <c r="E89" s="250"/>
      <c r="F89" s="515"/>
      <c r="G89" s="516"/>
      <c r="H89" s="503" t="str">
        <f>IFERROR(__xludf.DUMMYFUNCTION("""COMPUTED_VALUE"""),"MD")</f>
        <v>MD</v>
      </c>
      <c r="I89" s="500"/>
      <c r="J89" s="504" t="str">
        <f>IFERROR(__xludf.DUMMYFUNCTION("""COMPUTED_VALUE"""),"Severna Park HS")</f>
        <v>Severna Park HS</v>
      </c>
      <c r="K89" s="505"/>
      <c r="L89" s="517"/>
      <c r="M89" s="518"/>
      <c r="N89" s="478"/>
      <c r="O89" s="479"/>
      <c r="P89" s="519"/>
      <c r="Q89" s="509"/>
      <c r="R89" s="249"/>
      <c r="S89" s="250"/>
      <c r="T89" s="510"/>
      <c r="U89" s="511"/>
      <c r="V89" s="512"/>
      <c r="W89" s="250"/>
      <c r="X89" s="511"/>
      <c r="Y89" s="513" t="str">
        <f>IFERROR(__xludf.DUMMYFUNCTION("""COMPUTED_VALUE"""),"JK-saw pitch during HS season. Undersized RHP/SS but has some arm strength and is an athlete. Up to 87 as a soph. Quick arm. Worth a follow, wants to visit.  JMU/Davidson/Ivy Lg. Wants to visit")</f>
        <v>JK-saw pitch during HS season. Undersized RHP/SS but has some arm strength and is an athlete. Up to 87 as a soph. Quick arm. Worth a follow, wants to visit.  JMU/Davidson/Ivy Lg. Wants to visit</v>
      </c>
      <c r="Z89" s="249"/>
      <c r="AA89" s="249"/>
      <c r="AB89" s="249"/>
      <c r="AC89" s="249"/>
      <c r="AD89" s="249"/>
      <c r="AE89" s="250"/>
      <c r="AF89" s="500" t="str">
        <f>IFERROR(__xludf.DUMMYFUNCTION("""COMPUTED_VALUE"""),"called")</f>
        <v>called</v>
      </c>
      <c r="AG89" s="250"/>
      <c r="AH89" s="514"/>
      <c r="AI89" s="514"/>
      <c r="AJ89" s="514"/>
      <c r="AK89" s="514"/>
      <c r="AL89" s="514"/>
      <c r="AM89" s="514"/>
      <c r="AN89" s="514"/>
    </row>
    <row r="90" ht="16.5" customHeight="1">
      <c r="A90" s="498" t="str">
        <f>IFERROR(__xludf.DUMMYFUNCTION("""COMPUTED_VALUE"""),"XX")</f>
        <v>XX</v>
      </c>
      <c r="B90" s="499" t="str">
        <f t="array" ref="B90">XLOOKUP(C90,'High School Players'!$D:$D,'High School Players'!$M:$M,"--",0,1)&amp;" "&amp;XLOOKUP(C90,'High School Players'!$D:$D,'High School Players'!$N:$N,"--",0,1)</f>
        <v>RHP </v>
      </c>
      <c r="C90" s="500" t="str">
        <f>IFERROR(__xludf.DUMMYFUNCTION("""COMPUTED_VALUE"""),"Eric McAtee")</f>
        <v>Eric McAtee</v>
      </c>
      <c r="D90" s="249"/>
      <c r="E90" s="250"/>
      <c r="F90" s="515"/>
      <c r="G90" s="516" t="str">
        <f>IFERROR(__xludf.DUMMYFUNCTION("""COMPUTED_VALUE"""),"St. Xavier University")</f>
        <v>St. Xavier University</v>
      </c>
      <c r="H90" s="503" t="str">
        <f>IFERROR(__xludf.DUMMYFUNCTION("""COMPUTED_VALUE"""),"IN")</f>
        <v>IN</v>
      </c>
      <c r="I90" s="500"/>
      <c r="J90" s="504" t="str">
        <f>IFERROR(__xludf.DUMMYFUNCTION("""COMPUTED_VALUE"""),"Center Grove")</f>
        <v>Center Grove</v>
      </c>
      <c r="K90" s="505"/>
      <c r="L90" s="517"/>
      <c r="M90" s="518" t="str">
        <f>IFERROR(__xludf.DUMMYFUNCTION("""COMPUTED_VALUE"""),"Top Tier")</f>
        <v>Top Tier</v>
      </c>
      <c r="N90" s="478"/>
      <c r="O90" s="479"/>
      <c r="P90" s="519"/>
      <c r="Q90" s="509">
        <f>IFERROR(__xludf.DUMMYFUNCTION("""COMPUTED_VALUE"""),3.7)</f>
        <v>3.7</v>
      </c>
      <c r="R90" s="249"/>
      <c r="S90" s="250"/>
      <c r="T90" s="510"/>
      <c r="U90" s="511"/>
      <c r="V90" s="512"/>
      <c r="W90" s="250"/>
      <c r="X90" s="511"/>
      <c r="Y90" s="513" t="str">
        <f>IFERROR(__xludf.DUMMYFUNCTION("""COMPUTED_VALUE"""),"AP: 6'3 190. 82-85 2500 FB spin.  72 SL =.  arm works well.  loose and fast.  projectable body. UPDATE '25 #3 on HS team.   avg stats.  avg BB")</f>
        <v>AP: 6'3 190. 82-85 2500 FB spin.  72 SL =.  arm works well.  loose and fast.  projectable body. UPDATE '25 #3 on HS team.   avg stats.  avg BB</v>
      </c>
      <c r="Z90" s="249"/>
      <c r="AA90" s="249"/>
      <c r="AB90" s="249"/>
      <c r="AC90" s="249"/>
      <c r="AD90" s="249"/>
      <c r="AE90" s="250"/>
      <c r="AF90" s="500" t="str">
        <f>IFERROR(__xludf.DUMMYFUNCTION("""COMPUTED_VALUE"""),"texted")</f>
        <v>texted</v>
      </c>
      <c r="AG90" s="250"/>
      <c r="AH90" s="514"/>
      <c r="AI90" s="514"/>
      <c r="AJ90" s="514"/>
      <c r="AK90" s="514"/>
      <c r="AL90" s="514"/>
      <c r="AM90" s="514"/>
      <c r="AN90" s="514"/>
    </row>
    <row r="91" ht="16.5" customHeight="1">
      <c r="A91" s="498" t="str">
        <f>IFERROR(__xludf.DUMMYFUNCTION("""COMPUTED_VALUE"""),"XX")</f>
        <v>XX</v>
      </c>
      <c r="B91" s="499" t="str">
        <f t="array" ref="B91">XLOOKUP(C91,'High School Players'!$D:$D,'High School Players'!$M:$M,"--",0,1)&amp;" "&amp;XLOOKUP(C91,'High School Players'!$D:$D,'High School Players'!$N:$N,"--",0,1)</f>
        <v>RHP </v>
      </c>
      <c r="C91" s="500" t="str">
        <f>IFERROR(__xludf.DUMMYFUNCTION("""COMPUTED_VALUE"""),"Fred Bornn")</f>
        <v>Fred Bornn</v>
      </c>
      <c r="D91" s="249"/>
      <c r="E91" s="250"/>
      <c r="F91" s="515"/>
      <c r="G91" s="516" t="str">
        <f>IFERROR(__xludf.DUMMYFUNCTION("""COMPUTED_VALUE"""),"Lafayette")</f>
        <v>Lafayette</v>
      </c>
      <c r="H91" s="503" t="str">
        <f>IFERROR(__xludf.DUMMYFUNCTION("""COMPUTED_VALUE"""),"NY")</f>
        <v>NY</v>
      </c>
      <c r="I91" s="500"/>
      <c r="J91" s="504"/>
      <c r="K91" s="505"/>
      <c r="L91" s="517"/>
      <c r="M91" s="518" t="str">
        <f>IFERROR(__xludf.DUMMYFUNCTION("""COMPUTED_VALUE"""),"Northeast Pride")</f>
        <v>Northeast Pride</v>
      </c>
      <c r="N91" s="478"/>
      <c r="O91" s="479"/>
      <c r="P91" s="519"/>
      <c r="Q91" s="509"/>
      <c r="R91" s="249"/>
      <c r="S91" s="250"/>
      <c r="T91" s="510"/>
      <c r="U91" s="511"/>
      <c r="V91" s="512"/>
      <c r="W91" s="250"/>
      <c r="X91" s="511"/>
      <c r="Y91" s="513" t="str">
        <f>IFERROR(__xludf.DUMMYFUNCTION("""COMPUTED_VALUE"""),"CB: Interesting, the slider is very good. This was my first time seeing him. Will be at Sr. Futures Games")</f>
        <v>CB: Interesting, the slider is very good. This was my first time seeing him. Will be at Sr. Futures Games</v>
      </c>
      <c r="Z91" s="249"/>
      <c r="AA91" s="249"/>
      <c r="AB91" s="249"/>
      <c r="AC91" s="249"/>
      <c r="AD91" s="249"/>
      <c r="AE91" s="250"/>
      <c r="AF91" s="500"/>
      <c r="AG91" s="250"/>
      <c r="AH91" s="514"/>
      <c r="AI91" s="514"/>
      <c r="AJ91" s="514"/>
      <c r="AK91" s="514"/>
      <c r="AL91" s="514"/>
      <c r="AM91" s="514"/>
      <c r="AN91" s="514"/>
    </row>
    <row r="92" ht="16.5" customHeight="1">
      <c r="A92" s="498" t="str">
        <f>IFERROR(__xludf.DUMMYFUNCTION("""COMPUTED_VALUE"""),"XX")</f>
        <v>XX</v>
      </c>
      <c r="B92" s="499" t="str">
        <f t="array" ref="B92">XLOOKUP(C92,'High School Players'!$D:$D,'High School Players'!$M:$M,"--",0,1)&amp;" "&amp;XLOOKUP(C92,'High School Players'!$D:$D,'High School Players'!$N:$N,"--",0,1)</f>
        <v>RHP </v>
      </c>
      <c r="C92" s="500" t="str">
        <f>IFERROR(__xludf.DUMMYFUNCTION("""COMPUTED_VALUE"""),"Hayden Yandell")</f>
        <v>Hayden Yandell</v>
      </c>
      <c r="D92" s="249"/>
      <c r="E92" s="250"/>
      <c r="F92" s="515"/>
      <c r="G92" s="516" t="str">
        <f>IFERROR(__xludf.DUMMYFUNCTION("""COMPUTED_VALUE"""),"LMU")</f>
        <v>LMU</v>
      </c>
      <c r="H92" s="503" t="str">
        <f>IFERROR(__xludf.DUMMYFUNCTION("""COMPUTED_VALUE"""),"TN")</f>
        <v>TN</v>
      </c>
      <c r="I92" s="500"/>
      <c r="J92" s="504" t="str">
        <f>IFERROR(__xludf.DUMMYFUNCTION("""COMPUTED_VALUE"""),"Father Ryan")</f>
        <v>Father Ryan</v>
      </c>
      <c r="K92" s="505"/>
      <c r="L92" s="517"/>
      <c r="M92" s="518"/>
      <c r="N92" s="478"/>
      <c r="O92" s="479"/>
      <c r="P92" s="519"/>
      <c r="Q92" s="509">
        <f>IFERROR(__xludf.DUMMYFUNCTION("""COMPUTED_VALUE"""),3.8)</f>
        <v>3.8</v>
      </c>
      <c r="R92" s="249"/>
      <c r="S92" s="250"/>
      <c r="T92" s="510"/>
      <c r="U92" s="511"/>
      <c r="V92" s="512"/>
      <c r="W92" s="250"/>
      <c r="X92" s="511"/>
      <c r="Y92" s="513" t="str">
        <f>IFERROR(__xludf.DUMMYFUNCTION("""COMPUTED_VALUE"""),"AP: 6'4 175 nice frame, arm works, 84-85, 70 CB decent spin to it.  Showed a CH.  cant tell if he's cocky or a pussy.  sprayed it, 5BB in 3IP.  twitter feed has him w/ better velo. PBR TN has his CB w/ 2700 spin! someone to check back in on later in fall "&amp;"of 2025")</f>
        <v>AP: 6'4 175 nice frame, arm works, 84-85, 70 CB decent spin to it.  Showed a CH.  cant tell if he's cocky or a pussy.  sprayed it, 5BB in 3IP.  twitter feed has him w/ better velo. PBR TN has his CB w/ 2700 spin! someone to check back in on later in fall of 2025</v>
      </c>
      <c r="Z92" s="249"/>
      <c r="AA92" s="249"/>
      <c r="AB92" s="249"/>
      <c r="AC92" s="249"/>
      <c r="AD92" s="249"/>
      <c r="AE92" s="250"/>
      <c r="AF92" s="500"/>
      <c r="AG92" s="250"/>
      <c r="AH92" s="514"/>
      <c r="AI92" s="514"/>
      <c r="AJ92" s="514"/>
      <c r="AK92" s="514"/>
      <c r="AL92" s="514"/>
      <c r="AM92" s="514"/>
      <c r="AN92" s="514"/>
    </row>
    <row r="93" ht="16.5" customHeight="1">
      <c r="A93" s="498" t="str">
        <f>IFERROR(__xludf.DUMMYFUNCTION("""COMPUTED_VALUE"""),"XX")</f>
        <v>XX</v>
      </c>
      <c r="B93" s="499" t="str">
        <f t="array" ref="B93">XLOOKUP(C93,'High School Players'!$D:$D,'High School Players'!$M:$M,"--",0,1)&amp;" "&amp;XLOOKUP(C93,'High School Players'!$D:$D,'High School Players'!$N:$N,"--",0,1)</f>
        <v>RHP </v>
      </c>
      <c r="C93" s="500" t="str">
        <f>IFERROR(__xludf.DUMMYFUNCTION("""COMPUTED_VALUE"""),"Heath Klingensmith")</f>
        <v>Heath Klingensmith</v>
      </c>
      <c r="D93" s="249"/>
      <c r="E93" s="250"/>
      <c r="F93" s="515"/>
      <c r="G93" s="516" t="str">
        <f>IFERROR(__xludf.DUMMYFUNCTION("""COMPUTED_VALUE"""),"The Citadel")</f>
        <v>The Citadel</v>
      </c>
      <c r="H93" s="503" t="str">
        <f>IFERROR(__xludf.DUMMYFUNCTION("""COMPUTED_VALUE"""),"NC")</f>
        <v>NC</v>
      </c>
      <c r="I93" s="500"/>
      <c r="J93" s="504" t="str">
        <f>IFERROR(__xludf.DUMMYFUNCTION("""COMPUTED_VALUE"""),"North Stanley HS")</f>
        <v>North Stanley HS</v>
      </c>
      <c r="K93" s="505"/>
      <c r="L93" s="517"/>
      <c r="M93" s="518"/>
      <c r="N93" s="478"/>
      <c r="O93" s="479"/>
      <c r="P93" s="519"/>
      <c r="Q93" s="509" t="str">
        <f>IFERROR(__xludf.DUMMYFUNCTION("""COMPUTED_VALUE"""),"4.0/22")</f>
        <v>4.0/22</v>
      </c>
      <c r="R93" s="249"/>
      <c r="S93" s="250"/>
      <c r="T93" s="510"/>
      <c r="U93" s="511"/>
      <c r="V93" s="512"/>
      <c r="W93" s="250"/>
      <c r="X93" s="511"/>
      <c r="Y93" s="513" t="str">
        <f>IFERROR(__xludf.DUMMYFUNCTION("""COMPUTED_VALUE"""),"TR: WWBA: Big physical kid. Max effort. was 83-85 in the first inning and 87/89 in the 2nd. His slider backs up but he flashes one that could be very good when its glove side. Wasn't a wow performance but also looks like he could be a real guy. Need to se"&amp;"e again. Scott Clemons Recc. Is talking to all academies, no one has seen yet, wasn't at NPI. NC 2A 2way POY. DH and pitched. Hit .436 last year 6'3"" 220. Went 10-1 on the mound. Avg velo is 88-89 has been up to 91 21IVB. SL upper 70s. Has taken precalc."&amp;" will be at wwba.")</f>
        <v>TR: WWBA: Big physical kid. Max effort. was 83-85 in the first inning and 87/89 in the 2nd. His slider backs up but he flashes one that could be very good when its glove side. Wasn't a wow performance but also looks like he could be a real guy. Need to see again. Scott Clemons Recc. Is talking to all academies, no one has seen yet, wasn't at NPI. NC 2A 2way POY. DH and pitched. Hit .436 last year 6'3" 220. Went 10-1 on the mound. Avg velo is 88-89 has been up to 91 21IVB. SL upper 70s. Has taken precalc. will be at wwba.</v>
      </c>
      <c r="Z93" s="249"/>
      <c r="AA93" s="249"/>
      <c r="AB93" s="249"/>
      <c r="AC93" s="249"/>
      <c r="AD93" s="249"/>
      <c r="AE93" s="250"/>
      <c r="AF93" s="500"/>
      <c r="AG93" s="250"/>
      <c r="AH93" s="514"/>
      <c r="AI93" s="514"/>
      <c r="AJ93" s="514"/>
      <c r="AK93" s="514"/>
      <c r="AL93" s="514"/>
      <c r="AM93" s="514"/>
      <c r="AN93" s="514"/>
    </row>
    <row r="94" ht="16.5" customHeight="1">
      <c r="A94" s="498" t="str">
        <f>IFERROR(__xludf.DUMMYFUNCTION("""COMPUTED_VALUE"""),"XX")</f>
        <v>XX</v>
      </c>
      <c r="B94" s="499" t="str">
        <f t="array" ref="B94">XLOOKUP(C94,'High School Players'!$D:$D,'High School Players'!$M:$M,"--",0,1)&amp;" "&amp;XLOOKUP(C94,'High School Players'!$D:$D,'High School Players'!$N:$N,"--",0,1)</f>
        <v>RHP </v>
      </c>
      <c r="C94" s="500" t="str">
        <f>IFERROR(__xludf.DUMMYFUNCTION("""COMPUTED_VALUE"""),"Jack Pritchett")</f>
        <v>Jack Pritchett</v>
      </c>
      <c r="D94" s="249"/>
      <c r="E94" s="250"/>
      <c r="F94" s="515"/>
      <c r="G94" s="516" t="str">
        <f>IFERROR(__xludf.DUMMYFUNCTION("""COMPUTED_VALUE"""),"Not Interested")</f>
        <v>Not Interested</v>
      </c>
      <c r="H94" s="503" t="str">
        <f>IFERROR(__xludf.DUMMYFUNCTION("""COMPUTED_VALUE"""),"AL")</f>
        <v>AL</v>
      </c>
      <c r="I94" s="500"/>
      <c r="J94" s="504" t="str">
        <f>IFERROR(__xludf.DUMMYFUNCTION("""COMPUTED_VALUE"""),"Demopolis HS")</f>
        <v>Demopolis HS</v>
      </c>
      <c r="K94" s="505"/>
      <c r="L94" s="517"/>
      <c r="M94" s="518" t="str">
        <f>IFERROR(__xludf.DUMMYFUNCTION("""COMPUTED_VALUE"""),"Excel Blue Wave")</f>
        <v>Excel Blue Wave</v>
      </c>
      <c r="N94" s="478"/>
      <c r="O94" s="479"/>
      <c r="P94" s="519"/>
      <c r="Q94" s="509" t="str">
        <f>IFERROR(__xludf.DUMMYFUNCTION("""COMPUTED_VALUE"""),"4.4/31")</f>
        <v>4.4/31</v>
      </c>
      <c r="R94" s="249"/>
      <c r="S94" s="250"/>
      <c r="T94" s="510"/>
      <c r="U94" s="511"/>
      <c r="V94" s="512"/>
      <c r="W94" s="250"/>
      <c r="X94" s="511"/>
      <c r="Y94" s="513" t="str">
        <f>IFERROR(__xludf.DUMMYFUNCTION("""COMPUTED_VALUE"""),"Hoover: 87-89 with a 77-79 slider. Good pitch. swing and miss stuff. 6'3"" tall wirey frame. Flip up was a little forced not a totally nautral climb but the arm was fast and he moves well. I like this, has potential to throw hard and punch people out.")</f>
        <v>Hoover: 87-89 with a 77-79 slider. Good pitch. swing and miss stuff. 6'3" tall wirey frame. Flip up was a little forced not a totally nautral climb but the arm was fast and he moves well. I like this, has potential to throw hard and punch people out.</v>
      </c>
      <c r="Z94" s="249"/>
      <c r="AA94" s="249"/>
      <c r="AB94" s="249"/>
      <c r="AC94" s="249"/>
      <c r="AD94" s="249"/>
      <c r="AE94" s="250"/>
      <c r="AF94" s="500"/>
      <c r="AG94" s="250"/>
      <c r="AH94" s="514"/>
      <c r="AI94" s="514"/>
      <c r="AJ94" s="514"/>
      <c r="AK94" s="514"/>
      <c r="AL94" s="514"/>
      <c r="AM94" s="514"/>
      <c r="AN94" s="514"/>
    </row>
    <row r="95" ht="16.5" customHeight="1">
      <c r="A95" s="498" t="str">
        <f>IFERROR(__xludf.DUMMYFUNCTION("""COMPUTED_VALUE"""),"XX")</f>
        <v>XX</v>
      </c>
      <c r="B95" s="499" t="str">
        <f t="array" ref="B95">XLOOKUP(C95,'High School Players'!$D:$D,'High School Players'!$M:$M,"--",0,1)&amp;" "&amp;XLOOKUP(C95,'High School Players'!$D:$D,'High School Players'!$N:$N,"--",0,1)</f>
        <v>RHP </v>
      </c>
      <c r="C95" s="500" t="str">
        <f>IFERROR(__xludf.DUMMYFUNCTION("""COMPUTED_VALUE"""),"Jack Ryan")</f>
        <v>Jack Ryan</v>
      </c>
      <c r="D95" s="249"/>
      <c r="E95" s="250"/>
      <c r="F95" s="515"/>
      <c r="G95" s="516" t="str">
        <f>IFERROR(__xludf.DUMMYFUNCTION("""COMPUTED_VALUE"""),"Boston College")</f>
        <v>Boston College</v>
      </c>
      <c r="H95" s="503" t="str">
        <f>IFERROR(__xludf.DUMMYFUNCTION("""COMPUTED_VALUE"""),"OH")</f>
        <v>OH</v>
      </c>
      <c r="I95" s="500"/>
      <c r="J95" s="504" t="str">
        <f>IFERROR(__xludf.DUMMYFUNCTION("""COMPUTED_VALUE"""),"St Xavier")</f>
        <v>St Xavier</v>
      </c>
      <c r="K95" s="505"/>
      <c r="L95" s="517"/>
      <c r="M95" s="518" t="str">
        <f>IFERROR(__xludf.DUMMYFUNCTION("""COMPUTED_VALUE"""),"Team Elite")</f>
        <v>Team Elite</v>
      </c>
      <c r="N95" s="478"/>
      <c r="O95" s="479"/>
      <c r="P95" s="519"/>
      <c r="Q95" s="509">
        <f>IFERROR(__xludf.DUMMYFUNCTION("""COMPUTED_VALUE"""),3.8)</f>
        <v>3.8</v>
      </c>
      <c r="R95" s="249"/>
      <c r="S95" s="250"/>
      <c r="T95" s="510"/>
      <c r="U95" s="511"/>
      <c r="V95" s="512"/>
      <c r="W95" s="250"/>
      <c r="X95" s="511"/>
      <c r="Y95" s="513" t="str">
        <f>IFERROR(__xludf.DUMMYFUNCTION("""COMPUTED_VALUE"""),"AP: Future Gamer. PBR#417 Nat. stud!   waiting for follow back on twitter")</f>
        <v>AP: Future Gamer. PBR#417 Nat. stud!   waiting for follow back on twitter</v>
      </c>
      <c r="Z95" s="249"/>
      <c r="AA95" s="249"/>
      <c r="AB95" s="249"/>
      <c r="AC95" s="249"/>
      <c r="AD95" s="249"/>
      <c r="AE95" s="250"/>
      <c r="AF95" s="500"/>
      <c r="AG95" s="250"/>
      <c r="AH95" s="514"/>
      <c r="AI95" s="514"/>
      <c r="AJ95" s="514"/>
      <c r="AK95" s="514"/>
      <c r="AL95" s="514"/>
      <c r="AM95" s="514"/>
      <c r="AN95" s="514"/>
    </row>
    <row r="96" ht="16.5" customHeight="1">
      <c r="A96" s="498" t="str">
        <f>IFERROR(__xludf.DUMMYFUNCTION("""COMPUTED_VALUE"""),"XX")</f>
        <v>XX</v>
      </c>
      <c r="B96" s="499" t="str">
        <f t="array" ref="B96">XLOOKUP(C96,'High School Players'!$D:$D,'High School Players'!$M:$M,"--",0,1)&amp;" "&amp;XLOOKUP(C96,'High School Players'!$D:$D,'High School Players'!$N:$N,"--",0,1)</f>
        <v>RHP </v>
      </c>
      <c r="C96" s="500" t="str">
        <f>IFERROR(__xludf.DUMMYFUNCTION("""COMPUTED_VALUE"""),"James Gibbons")</f>
        <v>James Gibbons</v>
      </c>
      <c r="D96" s="249"/>
      <c r="E96" s="250"/>
      <c r="F96" s="515"/>
      <c r="G96" s="516" t="str">
        <f>IFERROR(__xludf.DUMMYFUNCTION("""COMPUTED_VALUE"""),"D3")</f>
        <v>D3</v>
      </c>
      <c r="H96" s="503" t="str">
        <f>IFERROR(__xludf.DUMMYFUNCTION("""COMPUTED_VALUE"""),"MA")</f>
        <v>MA</v>
      </c>
      <c r="I96" s="500"/>
      <c r="J96" s="504" t="str">
        <f>IFERROR(__xludf.DUMMYFUNCTION("""COMPUTED_VALUE"""),"Roxbury Latin")</f>
        <v>Roxbury Latin</v>
      </c>
      <c r="K96" s="505"/>
      <c r="L96" s="517"/>
      <c r="M96" s="518" t="str">
        <f>IFERROR(__xludf.DUMMYFUNCTION("""COMPUTED_VALUE"""),"MDB Knights")</f>
        <v>MDB Knights</v>
      </c>
      <c r="N96" s="478"/>
      <c r="O96" s="479"/>
      <c r="P96" s="519"/>
      <c r="Q96" s="509" t="str">
        <f>IFERROR(__xludf.DUMMYFUNCTION("""COMPUTED_VALUE"""),"?")</f>
        <v>?</v>
      </c>
      <c r="R96" s="249"/>
      <c r="S96" s="250"/>
      <c r="T96" s="510"/>
      <c r="U96" s="511"/>
      <c r="V96" s="512"/>
      <c r="W96" s="250"/>
      <c r="X96" s="511"/>
      <c r="Y96" s="513" t="str">
        <f>IFERROR(__xludf.DUMMYFUNCTION("""COMPUTED_VALUE"""),"AP: Future gamer. PBR#29 MA.  6'2 190.  clean arm, good delivery.  83-84, low spin SL, avg CH.  got some swing and misses and chases.  he emailed us. just a follow right now")</f>
        <v>AP: Future gamer. PBR#29 MA.  6'2 190.  clean arm, good delivery.  83-84, low spin SL, avg CH.  got some swing and misses and chases.  he emailed us. just a follow right now</v>
      </c>
      <c r="Z96" s="249"/>
      <c r="AA96" s="249"/>
      <c r="AB96" s="249"/>
      <c r="AC96" s="249"/>
      <c r="AD96" s="249"/>
      <c r="AE96" s="250"/>
      <c r="AF96" s="500"/>
      <c r="AG96" s="250"/>
      <c r="AH96" s="514"/>
      <c r="AI96" s="514"/>
      <c r="AJ96" s="514"/>
      <c r="AK96" s="514"/>
      <c r="AL96" s="514"/>
      <c r="AM96" s="514"/>
      <c r="AN96" s="514"/>
    </row>
    <row r="97" ht="16.5" customHeight="1">
      <c r="A97" s="498" t="str">
        <f>IFERROR(__xludf.DUMMYFUNCTION("""COMPUTED_VALUE"""),"XX")</f>
        <v>XX</v>
      </c>
      <c r="B97" s="499" t="str">
        <f t="array" ref="B97">XLOOKUP(C97,'High School Players'!$D:$D,'High School Players'!$M:$M,"--",0,1)&amp;" "&amp;XLOOKUP(C97,'High School Players'!$D:$D,'High School Players'!$N:$N,"--",0,1)</f>
        <v>RHP </v>
      </c>
      <c r="C97" s="500" t="str">
        <f>IFERROR(__xludf.DUMMYFUNCTION("""COMPUTED_VALUE"""),"Jameson Berigan")</f>
        <v>Jameson Berigan</v>
      </c>
      <c r="D97" s="249"/>
      <c r="E97" s="250"/>
      <c r="F97" s="515"/>
      <c r="G97" s="516" t="str">
        <f>IFERROR(__xludf.DUMMYFUNCTION("""COMPUTED_VALUE"""),"Pepperdine")</f>
        <v>Pepperdine</v>
      </c>
      <c r="H97" s="503" t="str">
        <f>IFERROR(__xludf.DUMMYFUNCTION("""COMPUTED_VALUE"""),"CA")</f>
        <v>CA</v>
      </c>
      <c r="I97" s="500"/>
      <c r="J97" s="504" t="str">
        <f>IFERROR(__xludf.DUMMYFUNCTION("""COMPUTED_VALUE"""),"Thousand Oaks")</f>
        <v>Thousand Oaks</v>
      </c>
      <c r="K97" s="505"/>
      <c r="L97" s="517"/>
      <c r="M97" s="518"/>
      <c r="N97" s="478"/>
      <c r="O97" s="479"/>
      <c r="P97" s="519"/>
      <c r="Q97" s="509" t="str">
        <f>IFERROR(__xludf.DUMMYFUNCTION("""COMPUTED_VALUE"""),"4.0 1090")</f>
        <v>4.0 1090</v>
      </c>
      <c r="R97" s="249"/>
      <c r="S97" s="250"/>
      <c r="T97" s="510"/>
      <c r="U97" s="511"/>
      <c r="V97" s="512"/>
      <c r="W97" s="250"/>
      <c r="X97" s="511"/>
      <c r="Y97" s="513" t="str">
        <f>IFERROR(__xludf.DUMMYFUNCTION("""COMPUTED_VALUE"""),"Serious S/M FB. 90-93. Offer from Cali school but will get back to me. Navy intrests him.")</f>
        <v>Serious S/M FB. 90-93. Offer from Cali school but will get back to me. Navy intrests him.</v>
      </c>
      <c r="Z97" s="249"/>
      <c r="AA97" s="249"/>
      <c r="AB97" s="249"/>
      <c r="AC97" s="249"/>
      <c r="AD97" s="249"/>
      <c r="AE97" s="250"/>
      <c r="AF97" s="500"/>
      <c r="AG97" s="250"/>
      <c r="AH97" s="514"/>
      <c r="AI97" s="514"/>
      <c r="AJ97" s="514"/>
      <c r="AK97" s="514"/>
      <c r="AL97" s="514"/>
      <c r="AM97" s="514"/>
      <c r="AN97" s="514"/>
    </row>
    <row r="98" ht="16.5" customHeight="1">
      <c r="A98" s="498" t="str">
        <f>IFERROR(__xludf.DUMMYFUNCTION("""COMPUTED_VALUE"""),"XX")</f>
        <v>XX</v>
      </c>
      <c r="B98" s="499" t="str">
        <f t="array" ref="B98">XLOOKUP(C98,'High School Players'!$D:$D,'High School Players'!$M:$M,"--",0,1)&amp;" "&amp;XLOOKUP(C98,'High School Players'!$D:$D,'High School Players'!$N:$N,"--",0,1)</f>
        <v>RHP </v>
      </c>
      <c r="C98" s="500" t="str">
        <f>IFERROR(__xludf.DUMMYFUNCTION("""COMPUTED_VALUE"""),"Jason Canady")</f>
        <v>Jason Canady</v>
      </c>
      <c r="D98" s="249"/>
      <c r="E98" s="250"/>
      <c r="F98" s="515"/>
      <c r="G98" s="516" t="str">
        <f>IFERROR(__xludf.DUMMYFUNCTION("""COMPUTED_VALUE"""),"Randolph Macon")</f>
        <v>Randolph Macon</v>
      </c>
      <c r="H98" s="503" t="str">
        <f>IFERROR(__xludf.DUMMYFUNCTION("""COMPUTED_VALUE"""),"VA")</f>
        <v>VA</v>
      </c>
      <c r="I98" s="500"/>
      <c r="J98" s="504" t="str">
        <f>IFERROR(__xludf.DUMMYFUNCTION("""COMPUTED_VALUE"""),"Benedictine")</f>
        <v>Benedictine</v>
      </c>
      <c r="K98" s="505"/>
      <c r="L98" s="517"/>
      <c r="M98" s="518" t="str">
        <f>IFERROR(__xludf.DUMMYFUNCTION("""COMPUTED_VALUE"""),"Richmond Braves")</f>
        <v>Richmond Braves</v>
      </c>
      <c r="N98" s="478"/>
      <c r="O98" s="479"/>
      <c r="P98" s="519"/>
      <c r="Q98" s="509" t="str">
        <f>IFERROR(__xludf.DUMMYFUNCTION("""COMPUTED_VALUE"""),"4.0 / 1170")</f>
        <v>4.0 / 1170</v>
      </c>
      <c r="R98" s="249"/>
      <c r="S98" s="250"/>
      <c r="T98" s="510"/>
      <c r="U98" s="511"/>
      <c r="V98" s="512"/>
      <c r="W98" s="250"/>
      <c r="X98" s="511"/>
      <c r="Y98" s="513" t="str">
        <f>IFERROR(__xludf.DUMMYFUNCTION("""COMPUTED_VALUE"""),"AP; SINKER GUY, nice movement, 85-87 but heard he was 86-89 most of the year.  Throws a cutter and a slider.  Sweeping action.  Great rec from HS coach. Bone bruise limited HS innings.  Will be their #1.  Twin brother pitches but may be slightly behind Ja"&amp;"son.  Coach thinks he will be 88-90 in college.  Working on CH.  SL good pitch.  Good family. Dad pitched at UVA")</f>
        <v>AP; SINKER GUY, nice movement, 85-87 but heard he was 86-89 most of the year.  Throws a cutter and a slider.  Sweeping action.  Great rec from HS coach. Bone bruise limited HS innings.  Will be their #1.  Twin brother pitches but may be slightly behind Jason.  Coach thinks he will be 88-90 in college.  Working on CH.  SL good pitch.  Good family. Dad pitched at UVA</v>
      </c>
      <c r="Z98" s="249"/>
      <c r="AA98" s="249"/>
      <c r="AB98" s="249"/>
      <c r="AC98" s="249"/>
      <c r="AD98" s="249"/>
      <c r="AE98" s="250"/>
      <c r="AF98" s="500"/>
      <c r="AG98" s="250"/>
      <c r="AH98" s="514"/>
      <c r="AI98" s="514"/>
      <c r="AJ98" s="514"/>
      <c r="AK98" s="514"/>
      <c r="AL98" s="514"/>
      <c r="AM98" s="514"/>
      <c r="AN98" s="514"/>
    </row>
    <row r="99" ht="16.5" customHeight="1">
      <c r="A99" s="498" t="str">
        <f>IFERROR(__xludf.DUMMYFUNCTION("""COMPUTED_VALUE"""),"XX")</f>
        <v>XX</v>
      </c>
      <c r="B99" s="499" t="str">
        <f t="array" ref="B99">XLOOKUP(C99,'High School Players'!$D:$D,'High School Players'!$M:$M,"--",0,1)&amp;" "&amp;XLOOKUP(C99,'High School Players'!$D:$D,'High School Players'!$N:$N,"--",0,1)</f>
        <v>RHP </v>
      </c>
      <c r="C99" s="500" t="str">
        <f>IFERROR(__xludf.DUMMYFUNCTION("""COMPUTED_VALUE"""),"Jax Racht")</f>
        <v>Jax Racht</v>
      </c>
      <c r="D99" s="249"/>
      <c r="E99" s="250"/>
      <c r="F99" s="515"/>
      <c r="G99" s="516" t="str">
        <f>IFERROR(__xludf.DUMMYFUNCTION("""COMPUTED_VALUE"""),"Youngstown")</f>
        <v>Youngstown</v>
      </c>
      <c r="H99" s="503" t="str">
        <f>IFERROR(__xludf.DUMMYFUNCTION("""COMPUTED_VALUE"""),"MI")</f>
        <v>MI</v>
      </c>
      <c r="I99" s="500"/>
      <c r="J99" s="504" t="str">
        <f>IFERROR(__xludf.DUMMYFUNCTION("""COMPUTED_VALUE"""),"Niles")</f>
        <v>Niles</v>
      </c>
      <c r="K99" s="505"/>
      <c r="L99" s="517"/>
      <c r="M99" s="518" t="str">
        <f>IFERROR(__xludf.DUMMYFUNCTION("""COMPUTED_VALUE"""),"Indiana Bulls")</f>
        <v>Indiana Bulls</v>
      </c>
      <c r="N99" s="478"/>
      <c r="O99" s="479"/>
      <c r="P99" s="519"/>
      <c r="Q99" s="509" t="str">
        <f>IFERROR(__xludf.DUMMYFUNCTION("""COMPUTED_VALUE"""),"4 / 1010")</f>
        <v>4 / 1010</v>
      </c>
      <c r="R99" s="249"/>
      <c r="S99" s="250"/>
      <c r="T99" s="510"/>
      <c r="U99" s="511"/>
      <c r="V99" s="512"/>
      <c r="W99" s="250"/>
      <c r="X99" s="511"/>
      <c r="Y99" s="513" t="str">
        <f>IFERROR(__xludf.DUMMYFUNCTION("""COMPUTED_VALUE"""),"Sr. Futures games 25")</f>
        <v>Sr. Futures games 25</v>
      </c>
      <c r="Z99" s="249"/>
      <c r="AA99" s="249"/>
      <c r="AB99" s="249"/>
      <c r="AC99" s="249"/>
      <c r="AD99" s="249"/>
      <c r="AE99" s="250"/>
      <c r="AF99" s="500"/>
      <c r="AG99" s="250"/>
      <c r="AH99" s="514"/>
      <c r="AI99" s="514"/>
      <c r="AJ99" s="514"/>
      <c r="AK99" s="514"/>
      <c r="AL99" s="514"/>
      <c r="AM99" s="514"/>
      <c r="AN99" s="514"/>
    </row>
    <row r="100" ht="16.5" customHeight="1">
      <c r="A100" s="498" t="str">
        <f>IFERROR(__xludf.DUMMYFUNCTION("""COMPUTED_VALUE"""),"XX")</f>
        <v>XX</v>
      </c>
      <c r="B100" s="499" t="str">
        <f t="array" ref="B100">XLOOKUP(C100,'High School Players'!$D:$D,'High School Players'!$M:$M,"--",0,1)&amp;" "&amp;XLOOKUP(C100,'High School Players'!$D:$D,'High School Players'!$N:$N,"--",0,1)</f>
        <v>RHP </v>
      </c>
      <c r="C100" s="500" t="str">
        <f>IFERROR(__xludf.DUMMYFUNCTION("""COMPUTED_VALUE"""),"Jude McDonald")</f>
        <v>Jude McDonald</v>
      </c>
      <c r="D100" s="249"/>
      <c r="E100" s="250"/>
      <c r="F100" s="515"/>
      <c r="G100" s="516" t="str">
        <f>IFERROR(__xludf.DUMMYFUNCTION("""COMPUTED_VALUE"""),"Stony Brook")</f>
        <v>Stony Brook</v>
      </c>
      <c r="H100" s="503" t="str">
        <f>IFERROR(__xludf.DUMMYFUNCTION("""COMPUTED_VALUE"""),"FL")</f>
        <v>FL</v>
      </c>
      <c r="I100" s="500"/>
      <c r="J100" s="504"/>
      <c r="K100" s="505"/>
      <c r="L100" s="517"/>
      <c r="M100" s="518"/>
      <c r="N100" s="478"/>
      <c r="O100" s="479"/>
      <c r="P100" s="519"/>
      <c r="Q100" s="509" t="str">
        <f>IFERROR(__xludf.DUMMYFUNCTION("""COMPUTED_VALUE"""),"4.0/29")</f>
        <v>4.0/29</v>
      </c>
      <c r="R100" s="249"/>
      <c r="S100" s="250"/>
      <c r="T100" s="510"/>
      <c r="U100" s="511"/>
      <c r="V100" s="512"/>
      <c r="W100" s="250"/>
      <c r="X100" s="511"/>
      <c r="Y100" s="513" t="str">
        <f>IFERROR(__xludf.DUMMYFUNCTION("""COMPUTED_VALUE"""),"TR- Recc by Wayne Stofsky CBU. 6'2"" sits 87-88 touch 89. Need to see early")</f>
        <v>TR- Recc by Wayne Stofsky CBU. 6'2" sits 87-88 touch 89. Need to see early</v>
      </c>
      <c r="Z100" s="249"/>
      <c r="AA100" s="249"/>
      <c r="AB100" s="249"/>
      <c r="AC100" s="249"/>
      <c r="AD100" s="249"/>
      <c r="AE100" s="250"/>
      <c r="AF100" s="500"/>
      <c r="AG100" s="250"/>
      <c r="AH100" s="514"/>
      <c r="AI100" s="514"/>
      <c r="AJ100" s="514"/>
      <c r="AK100" s="514"/>
      <c r="AL100" s="514"/>
      <c r="AM100" s="514"/>
      <c r="AN100" s="514"/>
    </row>
    <row r="101" ht="16.5" customHeight="1">
      <c r="A101" s="498" t="str">
        <f>IFERROR(__xludf.DUMMYFUNCTION("""COMPUTED_VALUE"""),"XX")</f>
        <v>XX</v>
      </c>
      <c r="B101" s="499" t="str">
        <f t="array" ref="B101">XLOOKUP(C101,'High School Players'!$D:$D,'High School Players'!$M:$M,"--",0,1)&amp;" "&amp;XLOOKUP(C101,'High School Players'!$D:$D,'High School Players'!$N:$N,"--",0,1)</f>
        <v>RHP </v>
      </c>
      <c r="C101" s="500" t="str">
        <f>IFERROR(__xludf.DUMMYFUNCTION("""COMPUTED_VALUE"""),"Max McKenna")</f>
        <v>Max McKenna</v>
      </c>
      <c r="D101" s="249"/>
      <c r="E101" s="250"/>
      <c r="F101" s="515"/>
      <c r="G101" s="516" t="str">
        <f>IFERROR(__xludf.DUMMYFUNCTION("""COMPUTED_VALUE"""),"St. Louis")</f>
        <v>St. Louis</v>
      </c>
      <c r="H101" s="503" t="str">
        <f>IFERROR(__xludf.DUMMYFUNCTION("""COMPUTED_VALUE"""),"KS")</f>
        <v>KS</v>
      </c>
      <c r="I101" s="500"/>
      <c r="J101" s="504" t="str">
        <f>IFERROR(__xludf.DUMMYFUNCTION("""COMPUTED_VALUE"""),"Shawnee Mission South")</f>
        <v>Shawnee Mission South</v>
      </c>
      <c r="K101" s="505"/>
      <c r="L101" s="517"/>
      <c r="M101" s="518"/>
      <c r="N101" s="478"/>
      <c r="O101" s="479"/>
      <c r="P101" s="519"/>
      <c r="Q101" s="509" t="str">
        <f>IFERROR(__xludf.DUMMYFUNCTION("""COMPUTED_VALUE"""),"4.0 / no test")</f>
        <v>4.0 / no test</v>
      </c>
      <c r="R101" s="249"/>
      <c r="S101" s="250"/>
      <c r="T101" s="510"/>
      <c r="U101" s="511"/>
      <c r="V101" s="512"/>
      <c r="W101" s="250"/>
      <c r="X101" s="511"/>
      <c r="Y101" s="513" t="str">
        <f>IFERROR(__xludf.DUMMYFUNCTION("""COMPUTED_VALUE"""),"AP: 6'1 180 89-91, fast arm, 76 SL 82CH.  easy yes from only watching one game.  Didn't plan to test a ACT/SAT so thats a red flag.  probably not a high academic interested kid.  so long shot right now.")</f>
        <v>AP: 6'1 180 89-91, fast arm, 76 SL 82CH.  easy yes from only watching one game.  Didn't plan to test a ACT/SAT so thats a red flag.  probably not a high academic interested kid.  so long shot right now.</v>
      </c>
      <c r="Z101" s="249"/>
      <c r="AA101" s="249"/>
      <c r="AB101" s="249"/>
      <c r="AC101" s="249"/>
      <c r="AD101" s="249"/>
      <c r="AE101" s="250"/>
      <c r="AF101" s="500" t="str">
        <f>IFERROR(__xludf.DUMMYFUNCTION("""COMPUTED_VALUE"""),"texts")</f>
        <v>texts</v>
      </c>
      <c r="AG101" s="250"/>
      <c r="AH101" s="514"/>
      <c r="AI101" s="514"/>
      <c r="AJ101" s="514"/>
      <c r="AK101" s="514"/>
      <c r="AL101" s="514"/>
      <c r="AM101" s="514"/>
      <c r="AN101" s="514"/>
    </row>
    <row r="102" ht="16.5" customHeight="1">
      <c r="A102" s="498" t="str">
        <f>IFERROR(__xludf.DUMMYFUNCTION("""COMPUTED_VALUE"""),"XX")</f>
        <v>XX</v>
      </c>
      <c r="B102" s="499" t="str">
        <f t="array" ref="B102">XLOOKUP(C102,'High School Players'!$D:$D,'High School Players'!$M:$M,"--",0,1)&amp;" "&amp;XLOOKUP(C102,'High School Players'!$D:$D,'High School Players'!$N:$N,"--",0,1)</f>
        <v>RHP </v>
      </c>
      <c r="C102" s="500" t="str">
        <f>IFERROR(__xludf.DUMMYFUNCTION("""COMPUTED_VALUE"""),"Patrick Freeman")</f>
        <v>Patrick Freeman</v>
      </c>
      <c r="D102" s="249"/>
      <c r="E102" s="250"/>
      <c r="F102" s="515"/>
      <c r="G102" s="516" t="str">
        <f>IFERROR(__xludf.DUMMYFUNCTION("""COMPUTED_VALUE"""),"UCF")</f>
        <v>UCF</v>
      </c>
      <c r="H102" s="503" t="str">
        <f>IFERROR(__xludf.DUMMYFUNCTION("""COMPUTED_VALUE"""),"TN")</f>
        <v>TN</v>
      </c>
      <c r="I102" s="500"/>
      <c r="J102" s="504" t="str">
        <f>IFERROR(__xludf.DUMMYFUNCTION("""COMPUTED_VALUE"""),"Oakland HS")</f>
        <v>Oakland HS</v>
      </c>
      <c r="K102" s="505"/>
      <c r="L102" s="517"/>
      <c r="M102" s="518" t="str">
        <f>IFERROR(__xludf.DUMMYFUNCTION("""COMPUTED_VALUE"""),"Team Elite")</f>
        <v>Team Elite</v>
      </c>
      <c r="N102" s="478"/>
      <c r="O102" s="479"/>
      <c r="P102" s="519"/>
      <c r="Q102" s="509" t="str">
        <f>IFERROR(__xludf.DUMMYFUNCTION("""COMPUTED_VALUE"""),"3.85/28")</f>
        <v>3.85/28</v>
      </c>
      <c r="R102" s="249"/>
      <c r="S102" s="250"/>
      <c r="T102" s="510"/>
      <c r="U102" s="511"/>
      <c r="V102" s="512"/>
      <c r="W102" s="250"/>
      <c r="X102" s="511"/>
      <c r="Y102" s="513" t="str">
        <f>IFERROR(__xludf.DUMMYFUNCTION("""COMPUTED_VALUE"""),"Hoover: Wiry frame fast arm. 87-90 with a 76-78 slider. Late sharp break 6'1"". Has swing and miss slider and the Fb up. Good phone convo, sounds genuinely interested. Got him info need to get dates.")</f>
        <v>Hoover: Wiry frame fast arm. 87-90 with a 76-78 slider. Late sharp break 6'1". Has swing and miss slider and the Fb up. Good phone convo, sounds genuinely interested. Got him info need to get dates.</v>
      </c>
      <c r="Z102" s="249"/>
      <c r="AA102" s="249"/>
      <c r="AB102" s="249"/>
      <c r="AC102" s="249"/>
      <c r="AD102" s="249"/>
      <c r="AE102" s="250"/>
      <c r="AF102" s="500"/>
      <c r="AG102" s="250"/>
      <c r="AH102" s="514"/>
      <c r="AI102" s="514"/>
      <c r="AJ102" s="514"/>
      <c r="AK102" s="514"/>
      <c r="AL102" s="514"/>
      <c r="AM102" s="514"/>
      <c r="AN102" s="514"/>
    </row>
    <row r="103" ht="16.5" customHeight="1">
      <c r="A103" s="498" t="str">
        <f>IFERROR(__xludf.DUMMYFUNCTION("""COMPUTED_VALUE"""),"XX")</f>
        <v>XX</v>
      </c>
      <c r="B103" s="499" t="str">
        <f t="array" ref="B103">XLOOKUP(C103,'High School Players'!$D:$D,'High School Players'!$M:$M,"--",0,1)&amp;" "&amp;XLOOKUP(C103,'High School Players'!$D:$D,'High School Players'!$N:$N,"--",0,1)</f>
        <v>RHP </v>
      </c>
      <c r="C103" s="500" t="str">
        <f>IFERROR(__xludf.DUMMYFUNCTION("""COMPUTED_VALUE"""),"Peter Jackson")</f>
        <v>Peter Jackson</v>
      </c>
      <c r="D103" s="249"/>
      <c r="E103" s="250"/>
      <c r="F103" s="515"/>
      <c r="G103" s="516" t="str">
        <f>IFERROR(__xludf.DUMMYFUNCTION("""COMPUTED_VALUE"""),"UC Santa Barbara")</f>
        <v>UC Santa Barbara</v>
      </c>
      <c r="H103" s="503" t="str">
        <f>IFERROR(__xludf.DUMMYFUNCTION("""COMPUTED_VALUE"""),"CA")</f>
        <v>CA</v>
      </c>
      <c r="I103" s="500"/>
      <c r="J103" s="504"/>
      <c r="K103" s="505"/>
      <c r="L103" s="517"/>
      <c r="M103" s="518" t="str">
        <f>IFERROR(__xludf.DUMMYFUNCTION("""COMPUTED_VALUE"""),"Legacy Baseball")</f>
        <v>Legacy Baseball</v>
      </c>
      <c r="N103" s="478"/>
      <c r="O103" s="479"/>
      <c r="P103" s="519"/>
      <c r="Q103" s="509"/>
      <c r="R103" s="249"/>
      <c r="S103" s="250"/>
      <c r="T103" s="510"/>
      <c r="U103" s="511"/>
      <c r="V103" s="512"/>
      <c r="W103" s="250"/>
      <c r="X103" s="511"/>
      <c r="Y103" s="513" t="str">
        <f>IFERROR(__xludf.DUMMYFUNCTION("""COMPUTED_VALUE"""),"Research Find - Attending PBR 17u?")</f>
        <v>Research Find - Attending PBR 17u?</v>
      </c>
      <c r="Z103" s="249"/>
      <c r="AA103" s="249"/>
      <c r="AB103" s="249"/>
      <c r="AC103" s="249"/>
      <c r="AD103" s="249"/>
      <c r="AE103" s="250"/>
      <c r="AF103" s="500"/>
      <c r="AG103" s="250"/>
      <c r="AH103" s="514"/>
      <c r="AI103" s="514"/>
      <c r="AJ103" s="514"/>
      <c r="AK103" s="514"/>
      <c r="AL103" s="514"/>
      <c r="AM103" s="514"/>
      <c r="AN103" s="514"/>
    </row>
    <row r="104" ht="16.5" customHeight="1">
      <c r="A104" s="498" t="str">
        <f>IFERROR(__xludf.DUMMYFUNCTION("""COMPUTED_VALUE"""),"XX")</f>
        <v>XX</v>
      </c>
      <c r="B104" s="499" t="str">
        <f t="array" ref="B104">XLOOKUP(C104,'High School Players'!$D:$D,'High School Players'!$M:$M,"--",0,1)&amp;" "&amp;XLOOKUP(C104,'High School Players'!$D:$D,'High School Players'!$N:$N,"--",0,1)</f>
        <v>RHP </v>
      </c>
      <c r="C104" s="500" t="str">
        <f>IFERROR(__xludf.DUMMYFUNCTION("""COMPUTED_VALUE"""),"Ronan O'Brien")</f>
        <v>Ronan O'Brien</v>
      </c>
      <c r="D104" s="249"/>
      <c r="E104" s="250"/>
      <c r="F104" s="515"/>
      <c r="G104" s="516" t="str">
        <f>IFERROR(__xludf.DUMMYFUNCTION("""COMPUTED_VALUE"""),"not interested")</f>
        <v>not interested</v>
      </c>
      <c r="H104" s="503" t="str">
        <f>IFERROR(__xludf.DUMMYFUNCTION("""COMPUTED_VALUE"""),"AZ")</f>
        <v>AZ</v>
      </c>
      <c r="I104" s="500"/>
      <c r="J104" s="504" t="str">
        <f>IFERROR(__xludf.DUMMYFUNCTION("""COMPUTED_VALUE"""),"Brophy")</f>
        <v>Brophy</v>
      </c>
      <c r="K104" s="505"/>
      <c r="L104" s="517"/>
      <c r="M104" s="518"/>
      <c r="N104" s="478"/>
      <c r="O104" s="479"/>
      <c r="P104" s="519"/>
      <c r="Q104" s="509" t="str">
        <f>IFERROR(__xludf.DUMMYFUNCTION("""COMPUTED_VALUE"""),"4.4/1440")</f>
        <v>4.4/1440</v>
      </c>
      <c r="R104" s="249"/>
      <c r="S104" s="250"/>
      <c r="T104" s="510"/>
      <c r="U104" s="511"/>
      <c r="V104" s="512"/>
      <c r="W104" s="250"/>
      <c r="X104" s="511"/>
      <c r="Y104" s="513" t="str">
        <f>IFERROR(__xludf.DUMMYFUNCTION("""COMPUTED_VALUE"""),"TR: USA AZ plays for Rough Riders. Punched 7 in 5ip. Knows how to pitch. FB command good SL with depth getting swing and miss. Was prob 86-87 slider 74-5. CH to LHH. Big frame. Sounds inetersted after call. Visiting Columbia and has been in comm with Ivys"&amp;". Beat out UArizona commit for starter this year 39ip 66ks and 11walks 1.2 era.")</f>
        <v>TR: USA AZ plays for Rough Riders. Punched 7 in 5ip. Knows how to pitch. FB command good SL with depth getting swing and miss. Was prob 86-87 slider 74-5. CH to LHH. Big frame. Sounds inetersted after call. Visiting Columbia and has been in comm with Ivys. Beat out UArizona commit for starter this year 39ip 66ks and 11walks 1.2 era.</v>
      </c>
      <c r="Z104" s="249"/>
      <c r="AA104" s="249"/>
      <c r="AB104" s="249"/>
      <c r="AC104" s="249"/>
      <c r="AD104" s="249"/>
      <c r="AE104" s="250"/>
      <c r="AF104" s="500"/>
      <c r="AG104" s="250"/>
      <c r="AH104" s="514"/>
      <c r="AI104" s="514"/>
      <c r="AJ104" s="514"/>
      <c r="AK104" s="514"/>
      <c r="AL104" s="514"/>
      <c r="AM104" s="514"/>
      <c r="AN104" s="514"/>
    </row>
    <row r="105" ht="16.5" customHeight="1">
      <c r="A105" s="498" t="str">
        <f>IFERROR(__xludf.DUMMYFUNCTION("""COMPUTED_VALUE"""),"XX")</f>
        <v>XX</v>
      </c>
      <c r="B105" s="499" t="str">
        <f t="array" ref="B105">XLOOKUP(C105,'High School Players'!$D:$D,'High School Players'!$M:$M,"--",0,1)&amp;" "&amp;XLOOKUP(C105,'High School Players'!$D:$D,'High School Players'!$N:$N,"--",0,1)</f>
        <v>RHP </v>
      </c>
      <c r="C105" s="500" t="str">
        <f>IFERROR(__xludf.DUMMYFUNCTION("""COMPUTED_VALUE"""),"Ronan Owens")</f>
        <v>Ronan Owens</v>
      </c>
      <c r="D105" s="249"/>
      <c r="E105" s="250"/>
      <c r="F105" s="515"/>
      <c r="G105" s="516" t="str">
        <f>IFERROR(__xludf.DUMMYFUNCTION("""COMPUTED_VALUE"""),"UMass")</f>
        <v>UMass</v>
      </c>
      <c r="H105" s="503" t="str">
        <f>IFERROR(__xludf.DUMMYFUNCTION("""COMPUTED_VALUE"""),"IL")</f>
        <v>IL</v>
      </c>
      <c r="I105" s="500"/>
      <c r="J105" s="504"/>
      <c r="K105" s="505"/>
      <c r="L105" s="517"/>
      <c r="M105" s="518" t="str">
        <f>IFERROR(__xludf.DUMMYFUNCTION("""COMPUTED_VALUE"""),"Team Elite")</f>
        <v>Team Elite</v>
      </c>
      <c r="N105" s="478"/>
      <c r="O105" s="479"/>
      <c r="P105" s="519"/>
      <c r="Q105" s="509"/>
      <c r="R105" s="249"/>
      <c r="S105" s="250"/>
      <c r="T105" s="510"/>
      <c r="U105" s="511"/>
      <c r="V105" s="512"/>
      <c r="W105" s="250"/>
      <c r="X105" s="511"/>
      <c r="Y105" s="513"/>
      <c r="Z105" s="249"/>
      <c r="AA105" s="249"/>
      <c r="AB105" s="249"/>
      <c r="AC105" s="249"/>
      <c r="AD105" s="249"/>
      <c r="AE105" s="250"/>
      <c r="AF105" s="500"/>
      <c r="AG105" s="250"/>
      <c r="AH105" s="514"/>
      <c r="AI105" s="514"/>
      <c r="AJ105" s="514"/>
      <c r="AK105" s="514"/>
      <c r="AL105" s="514"/>
      <c r="AM105" s="514"/>
      <c r="AN105" s="514"/>
    </row>
    <row r="106" ht="16.5" customHeight="1">
      <c r="A106" s="498" t="str">
        <f>IFERROR(__xludf.DUMMYFUNCTION("""COMPUTED_VALUE"""),"XX")</f>
        <v>XX</v>
      </c>
      <c r="B106" s="499" t="str">
        <f t="array" ref="B106">XLOOKUP(C106,'High School Players'!$D:$D,'High School Players'!$M:$M,"--",0,1)&amp;" "&amp;XLOOKUP(C106,'High School Players'!$D:$D,'High School Players'!$N:$N,"--",0,1)</f>
        <v>RHP CINF</v>
      </c>
      <c r="C106" s="500" t="str">
        <f>IFERROR(__xludf.DUMMYFUNCTION("""COMPUTED_VALUE"""),"Roshan Bullard")</f>
        <v>Roshan Bullard</v>
      </c>
      <c r="D106" s="249"/>
      <c r="E106" s="250"/>
      <c r="F106" s="515"/>
      <c r="G106" s="516"/>
      <c r="H106" s="503" t="str">
        <f>IFERROR(__xludf.DUMMYFUNCTION("""COMPUTED_VALUE"""),"GA")</f>
        <v>GA</v>
      </c>
      <c r="I106" s="500"/>
      <c r="J106" s="504"/>
      <c r="K106" s="505"/>
      <c r="L106" s="517"/>
      <c r="M106" s="518" t="str">
        <f>IFERROR(__xludf.DUMMYFUNCTION("""COMPUTED_VALUE"""),"643 DP")</f>
        <v>643 DP</v>
      </c>
      <c r="N106" s="478"/>
      <c r="O106" s="479"/>
      <c r="P106" s="519"/>
      <c r="Q106" s="509"/>
      <c r="R106" s="249"/>
      <c r="S106" s="250"/>
      <c r="T106" s="510"/>
      <c r="U106" s="511"/>
      <c r="V106" s="512"/>
      <c r="W106" s="250"/>
      <c r="X106" s="511"/>
      <c r="Y106" s="513"/>
      <c r="Z106" s="249"/>
      <c r="AA106" s="249"/>
      <c r="AB106" s="249"/>
      <c r="AC106" s="249"/>
      <c r="AD106" s="249"/>
      <c r="AE106" s="250"/>
      <c r="AF106" s="500"/>
      <c r="AG106" s="250"/>
      <c r="AH106" s="514"/>
      <c r="AI106" s="514"/>
      <c r="AJ106" s="514"/>
      <c r="AK106" s="514"/>
      <c r="AL106" s="514"/>
      <c r="AM106" s="514"/>
      <c r="AN106" s="514"/>
    </row>
    <row r="107" ht="16.5" customHeight="1">
      <c r="A107" s="498" t="str">
        <f>IFERROR(__xludf.DUMMYFUNCTION("""COMPUTED_VALUE"""),"XX")</f>
        <v>XX</v>
      </c>
      <c r="B107" s="499" t="str">
        <f t="array" ref="B107">XLOOKUP(C107,'High School Players'!$D:$D,'High School Players'!$M:$M,"--",0,1)&amp;" "&amp;XLOOKUP(C107,'High School Players'!$D:$D,'High School Players'!$N:$N,"--",0,1)</f>
        <v>RHP SS</v>
      </c>
      <c r="C107" s="500" t="str">
        <f>IFERROR(__xludf.DUMMYFUNCTION("""COMPUTED_VALUE"""),"Trey Deckman")</f>
        <v>Trey Deckman</v>
      </c>
      <c r="D107" s="249"/>
      <c r="E107" s="250"/>
      <c r="F107" s="515"/>
      <c r="G107" s="516" t="str">
        <f>IFERROR(__xludf.DUMMYFUNCTION("""COMPUTED_VALUE"""),"Ball State")</f>
        <v>Ball State</v>
      </c>
      <c r="H107" s="503" t="str">
        <f>IFERROR(__xludf.DUMMYFUNCTION("""COMPUTED_VALUE"""),"IN")</f>
        <v>IN</v>
      </c>
      <c r="I107" s="500"/>
      <c r="J107" s="504" t="str">
        <f>IFERROR(__xludf.DUMMYFUNCTION("""COMPUTED_VALUE"""),"Columbia City")</f>
        <v>Columbia City</v>
      </c>
      <c r="K107" s="505"/>
      <c r="L107" s="517"/>
      <c r="M107" s="518" t="str">
        <f>IFERROR(__xludf.DUMMYFUNCTION("""COMPUTED_VALUE"""),"Top Tier")</f>
        <v>Top Tier</v>
      </c>
      <c r="N107" s="478"/>
      <c r="O107" s="479"/>
      <c r="P107" s="519"/>
      <c r="Q107" s="509"/>
      <c r="R107" s="249"/>
      <c r="S107" s="250"/>
      <c r="T107" s="510"/>
      <c r="U107" s="511"/>
      <c r="V107" s="512"/>
      <c r="W107" s="250"/>
      <c r="X107" s="511"/>
      <c r="Y107" s="513" t="str">
        <f>IFERROR(__xludf.DUMMYFUNCTION("""COMPUTED_VALUE"""),"Just started pitching.  Could be real good.  Decent looking hitter and SS")</f>
        <v>Just started pitching.  Could be real good.  Decent looking hitter and SS</v>
      </c>
      <c r="Z107" s="249"/>
      <c r="AA107" s="249"/>
      <c r="AB107" s="249"/>
      <c r="AC107" s="249"/>
      <c r="AD107" s="249"/>
      <c r="AE107" s="250"/>
      <c r="AF107" s="500"/>
      <c r="AG107" s="250"/>
      <c r="AH107" s="514"/>
      <c r="AI107" s="514"/>
      <c r="AJ107" s="514"/>
      <c r="AK107" s="514"/>
      <c r="AL107" s="514"/>
      <c r="AM107" s="514"/>
      <c r="AN107" s="514"/>
    </row>
    <row r="108" ht="16.5" customHeight="1">
      <c r="A108" s="498" t="str">
        <f>IFERROR(__xludf.DUMMYFUNCTION("""COMPUTED_VALUE"""),"XX")</f>
        <v>XX</v>
      </c>
      <c r="B108" s="499" t="str">
        <f t="array" ref="B108">XLOOKUP(C108,'High School Players'!$D:$D,'High School Players'!$M:$M,"--",0,1)&amp;" "&amp;XLOOKUP(C108,'High School Players'!$D:$D,'High School Players'!$N:$N,"--",0,1)</f>
        <v>RHP </v>
      </c>
      <c r="C108" s="500" t="str">
        <f>IFERROR(__xludf.DUMMYFUNCTION("""COMPUTED_VALUE"""),"Zach Clark")</f>
        <v>Zach Clark</v>
      </c>
      <c r="D108" s="249"/>
      <c r="E108" s="250"/>
      <c r="F108" s="515"/>
      <c r="G108" s="516" t="str">
        <f>IFERROR(__xludf.DUMMYFUNCTION("""COMPUTED_VALUE"""),"Not Interested")</f>
        <v>Not Interested</v>
      </c>
      <c r="H108" s="503" t="str">
        <f>IFERROR(__xludf.DUMMYFUNCTION("""COMPUTED_VALUE"""),"TX")</f>
        <v>TX</v>
      </c>
      <c r="I108" s="500"/>
      <c r="J108" s="504" t="str">
        <f>IFERROR(__xludf.DUMMYFUNCTION("""COMPUTED_VALUE"""),"Clear Creek HS")</f>
        <v>Clear Creek HS</v>
      </c>
      <c r="K108" s="505"/>
      <c r="L108" s="517"/>
      <c r="M108" s="518" t="str">
        <f>IFERROR(__xludf.DUMMYFUNCTION("""COMPUTED_VALUE"""),"HP 2026 Poland")</f>
        <v>HP 2026 Poland</v>
      </c>
      <c r="N108" s="478"/>
      <c r="O108" s="479"/>
      <c r="P108" s="519"/>
      <c r="Q108" s="509">
        <f>IFERROR(__xludf.DUMMYFUNCTION("""COMPUTED_VALUE"""),4.8)</f>
        <v>4.8</v>
      </c>
      <c r="R108" s="249"/>
      <c r="S108" s="250"/>
      <c r="T108" s="510"/>
      <c r="U108" s="511"/>
      <c r="V108" s="512"/>
      <c r="W108" s="250"/>
      <c r="X108" s="511"/>
      <c r="Y108" s="513" t="str">
        <f>IFERROR(__xludf.DUMMYFUNCTION("""COMPUTED_VALUE"""),"TR: Mattingly. 88-91. String build fast quick arm. Godo command of FB in the zone and got in a lot. Was throwing two BB. CB was 72 Slider was 75 and flashed 77-78. Has feel for the spin when he threw it harder it was a good pitch. Need to call and dig. Bi"&amp;"g arm.")</f>
        <v>TR: Mattingly. 88-91. String build fast quick arm. Godo command of FB in the zone and got in a lot. Was throwing two BB. CB was 72 Slider was 75 and flashed 77-78. Has feel for the spin when he threw it harder it was a good pitch. Need to call and dig. Big arm.</v>
      </c>
      <c r="Z108" s="249"/>
      <c r="AA108" s="249"/>
      <c r="AB108" s="249"/>
      <c r="AC108" s="249"/>
      <c r="AD108" s="249"/>
      <c r="AE108" s="250"/>
      <c r="AF108" s="500"/>
      <c r="AG108" s="250"/>
      <c r="AH108" s="514"/>
      <c r="AI108" s="514"/>
      <c r="AJ108" s="514"/>
      <c r="AK108" s="514"/>
      <c r="AL108" s="514"/>
      <c r="AM108" s="514"/>
      <c r="AN108" s="514"/>
    </row>
    <row r="109" ht="16.5" customHeight="1">
      <c r="A109" s="498" t="str">
        <f>IFERROR(__xludf.DUMMYFUNCTION("""COMPUTED_VALUE"""),"XX")</f>
        <v>XX</v>
      </c>
      <c r="B109" s="499" t="str">
        <f t="array" ref="B109">XLOOKUP(C109,'High School Players'!$D:$D,'High School Players'!$M:$M,"--",0,1)&amp;" "&amp;XLOOKUP(C109,'High School Players'!$D:$D,'High School Players'!$N:$N,"--",0,1)</f>
        <v>RHP </v>
      </c>
      <c r="C109" s="500" t="str">
        <f>IFERROR(__xludf.DUMMYFUNCTION("""COMPUTED_VALUE"""),"Ty Arafet")</f>
        <v>Ty Arafet</v>
      </c>
      <c r="D109" s="249"/>
      <c r="E109" s="250"/>
      <c r="F109" s="515"/>
      <c r="G109" s="516" t="str">
        <f>IFERROR(__xludf.DUMMYFUNCTION("""COMPUTED_VALUE"""),"Oregon")</f>
        <v>Oregon</v>
      </c>
      <c r="H109" s="503" t="str">
        <f>IFERROR(__xludf.DUMMYFUNCTION("""COMPUTED_VALUE"""),"FL")</f>
        <v>FL</v>
      </c>
      <c r="I109" s="500"/>
      <c r="J109" s="504" t="str">
        <f>IFERROR(__xludf.DUMMYFUNCTION("""COMPUTED_VALUE"""),"The First Academy")</f>
        <v>The First Academy</v>
      </c>
      <c r="K109" s="505"/>
      <c r="L109" s="517"/>
      <c r="M109" s="518"/>
      <c r="N109" s="478"/>
      <c r="O109" s="479"/>
      <c r="P109" s="519"/>
      <c r="Q109" s="509"/>
      <c r="R109" s="249"/>
      <c r="S109" s="250"/>
      <c r="T109" s="510"/>
      <c r="U109" s="511"/>
      <c r="V109" s="512"/>
      <c r="W109" s="250"/>
      <c r="X109" s="511"/>
      <c r="Y109" s="513"/>
      <c r="Z109" s="249"/>
      <c r="AA109" s="249"/>
      <c r="AB109" s="249"/>
      <c r="AC109" s="249"/>
      <c r="AD109" s="249"/>
      <c r="AE109" s="250"/>
      <c r="AF109" s="500"/>
      <c r="AG109" s="250"/>
      <c r="AH109" s="514"/>
      <c r="AI109" s="514"/>
      <c r="AJ109" s="514"/>
      <c r="AK109" s="514"/>
      <c r="AL109" s="514"/>
      <c r="AM109" s="514"/>
      <c r="AN109" s="514"/>
    </row>
    <row r="110" ht="16.5" customHeight="1">
      <c r="A110" s="498"/>
      <c r="B110" s="499" t="str">
        <f t="array" ref="B110">XLOOKUP(C110,'High School Players'!$D:$D,'High School Players'!$M:$M,"--",0,1)&amp;" "&amp;XLOOKUP(C110,'High School Players'!$D:$D,'High School Players'!$N:$N,"--",0,1)</f>
        <v>-- --</v>
      </c>
      <c r="C110" s="500"/>
      <c r="D110" s="249"/>
      <c r="E110" s="250"/>
      <c r="F110" s="515"/>
      <c r="G110" s="516"/>
      <c r="H110" s="503"/>
      <c r="I110" s="500"/>
      <c r="J110" s="504"/>
      <c r="K110" s="505"/>
      <c r="L110" s="517"/>
      <c r="M110" s="518"/>
      <c r="N110" s="478"/>
      <c r="O110" s="479"/>
      <c r="P110" s="519"/>
      <c r="Q110" s="509"/>
      <c r="R110" s="249"/>
      <c r="S110" s="250"/>
      <c r="T110" s="510"/>
      <c r="U110" s="511"/>
      <c r="V110" s="512"/>
      <c r="W110" s="250"/>
      <c r="X110" s="511"/>
      <c r="Y110" s="513"/>
      <c r="Z110" s="249"/>
      <c r="AA110" s="249"/>
      <c r="AB110" s="249"/>
      <c r="AC110" s="249"/>
      <c r="AD110" s="249"/>
      <c r="AE110" s="250"/>
      <c r="AF110" s="500"/>
      <c r="AG110" s="250"/>
      <c r="AH110" s="514"/>
      <c r="AI110" s="514"/>
      <c r="AJ110" s="514"/>
      <c r="AK110" s="514"/>
      <c r="AL110" s="514"/>
      <c r="AM110" s="514"/>
      <c r="AN110" s="514"/>
    </row>
    <row r="111" ht="16.5" customHeight="1">
      <c r="A111" s="498"/>
      <c r="B111" s="499" t="str">
        <f t="array" ref="B111">XLOOKUP(C111,'High School Players'!$D:$D,'High School Players'!$M:$M,"--",0,1)&amp;" "&amp;XLOOKUP(C111,'High School Players'!$D:$D,'High School Players'!$N:$N,"--",0,1)</f>
        <v>-- --</v>
      </c>
      <c r="C111" s="500"/>
      <c r="D111" s="249"/>
      <c r="E111" s="250"/>
      <c r="F111" s="515"/>
      <c r="G111" s="516"/>
      <c r="H111" s="503"/>
      <c r="I111" s="500"/>
      <c r="J111" s="504"/>
      <c r="K111" s="505"/>
      <c r="L111" s="517"/>
      <c r="M111" s="518"/>
      <c r="N111" s="478"/>
      <c r="O111" s="479"/>
      <c r="P111" s="519"/>
      <c r="Q111" s="509"/>
      <c r="R111" s="249"/>
      <c r="S111" s="250"/>
      <c r="T111" s="510"/>
      <c r="U111" s="511"/>
      <c r="V111" s="512"/>
      <c r="W111" s="250"/>
      <c r="X111" s="511"/>
      <c r="Y111" s="513"/>
      <c r="Z111" s="249"/>
      <c r="AA111" s="249"/>
      <c r="AB111" s="249"/>
      <c r="AC111" s="249"/>
      <c r="AD111" s="249"/>
      <c r="AE111" s="250"/>
      <c r="AF111" s="500"/>
      <c r="AG111" s="250"/>
      <c r="AH111" s="514"/>
      <c r="AI111" s="514"/>
      <c r="AJ111" s="514"/>
      <c r="AK111" s="514"/>
      <c r="AL111" s="514"/>
      <c r="AM111" s="514"/>
      <c r="AN111" s="514"/>
    </row>
    <row r="112" ht="16.5" customHeight="1">
      <c r="A112" s="498"/>
      <c r="B112" s="499" t="str">
        <f t="array" ref="B112">XLOOKUP(C112,'High School Players'!$D:$D,'High School Players'!$M:$M,"--",0,1)&amp;" "&amp;XLOOKUP(C112,'High School Players'!$D:$D,'High School Players'!$N:$N,"--",0,1)</f>
        <v>-- --</v>
      </c>
      <c r="C112" s="500"/>
      <c r="D112" s="249"/>
      <c r="E112" s="250"/>
      <c r="F112" s="515"/>
      <c r="G112" s="516"/>
      <c r="H112" s="503"/>
      <c r="I112" s="500"/>
      <c r="J112" s="504"/>
      <c r="K112" s="505"/>
      <c r="L112" s="517"/>
      <c r="M112" s="518"/>
      <c r="N112" s="478"/>
      <c r="O112" s="479"/>
      <c r="P112" s="519"/>
      <c r="Q112" s="509"/>
      <c r="R112" s="249"/>
      <c r="S112" s="250"/>
      <c r="T112" s="510"/>
      <c r="U112" s="511"/>
      <c r="V112" s="512"/>
      <c r="W112" s="250"/>
      <c r="X112" s="511"/>
      <c r="Y112" s="513"/>
      <c r="Z112" s="249"/>
      <c r="AA112" s="249"/>
      <c r="AB112" s="249"/>
      <c r="AC112" s="249"/>
      <c r="AD112" s="249"/>
      <c r="AE112" s="250"/>
      <c r="AF112" s="500"/>
      <c r="AG112" s="250"/>
      <c r="AH112" s="514"/>
      <c r="AI112" s="514"/>
      <c r="AJ112" s="514"/>
      <c r="AK112" s="514"/>
      <c r="AL112" s="514"/>
      <c r="AM112" s="514"/>
      <c r="AN112" s="514"/>
    </row>
    <row r="113" ht="16.5" customHeight="1">
      <c r="A113" s="498"/>
      <c r="B113" s="499" t="str">
        <f t="array" ref="B113">XLOOKUP(C113,'High School Players'!$D:$D,'High School Players'!$M:$M,"--",0,1)&amp;" "&amp;XLOOKUP(C113,'High School Players'!$D:$D,'High School Players'!$N:$N,"--",0,1)</f>
        <v>-- --</v>
      </c>
      <c r="C113" s="500"/>
      <c r="D113" s="249"/>
      <c r="E113" s="250"/>
      <c r="F113" s="515"/>
      <c r="G113" s="516"/>
      <c r="H113" s="503"/>
      <c r="I113" s="500"/>
      <c r="J113" s="504"/>
      <c r="K113" s="505"/>
      <c r="L113" s="517"/>
      <c r="M113" s="518"/>
      <c r="N113" s="478"/>
      <c r="O113" s="479"/>
      <c r="P113" s="519"/>
      <c r="Q113" s="509"/>
      <c r="R113" s="249"/>
      <c r="S113" s="250"/>
      <c r="T113" s="510"/>
      <c r="U113" s="511"/>
      <c r="V113" s="512"/>
      <c r="W113" s="250"/>
      <c r="X113" s="511"/>
      <c r="Y113" s="513"/>
      <c r="Z113" s="249"/>
      <c r="AA113" s="249"/>
      <c r="AB113" s="249"/>
      <c r="AC113" s="249"/>
      <c r="AD113" s="249"/>
      <c r="AE113" s="250"/>
      <c r="AF113" s="500"/>
      <c r="AG113" s="250"/>
      <c r="AH113" s="514"/>
      <c r="AI113" s="514"/>
      <c r="AJ113" s="514"/>
      <c r="AK113" s="514"/>
      <c r="AL113" s="514"/>
      <c r="AM113" s="514"/>
      <c r="AN113" s="514"/>
    </row>
    <row r="114" ht="16.5" customHeight="1">
      <c r="A114" s="498"/>
      <c r="B114" s="499" t="str">
        <f t="array" ref="B114">XLOOKUP(C114,'High School Players'!$D:$D,'High School Players'!$M:$M,"--",0,1)&amp;" "&amp;XLOOKUP(C114,'High School Players'!$D:$D,'High School Players'!$N:$N,"--",0,1)</f>
        <v>-- --</v>
      </c>
      <c r="C114" s="500"/>
      <c r="D114" s="249"/>
      <c r="E114" s="250"/>
      <c r="F114" s="515"/>
      <c r="G114" s="516"/>
      <c r="H114" s="503"/>
      <c r="I114" s="500"/>
      <c r="J114" s="504"/>
      <c r="K114" s="505"/>
      <c r="L114" s="517"/>
      <c r="M114" s="518"/>
      <c r="N114" s="478"/>
      <c r="O114" s="479"/>
      <c r="P114" s="519"/>
      <c r="Q114" s="509"/>
      <c r="R114" s="249"/>
      <c r="S114" s="250"/>
      <c r="T114" s="510"/>
      <c r="U114" s="511"/>
      <c r="V114" s="512"/>
      <c r="W114" s="250"/>
      <c r="X114" s="511"/>
      <c r="Y114" s="513"/>
      <c r="Z114" s="249"/>
      <c r="AA114" s="249"/>
      <c r="AB114" s="249"/>
      <c r="AC114" s="249"/>
      <c r="AD114" s="249"/>
      <c r="AE114" s="250"/>
      <c r="AF114" s="500"/>
      <c r="AG114" s="250"/>
      <c r="AH114" s="514"/>
      <c r="AI114" s="514"/>
      <c r="AJ114" s="514"/>
      <c r="AK114" s="514"/>
      <c r="AL114" s="514"/>
      <c r="AM114" s="514"/>
      <c r="AN114" s="514"/>
    </row>
    <row r="115" ht="16.5" customHeight="1">
      <c r="A115" s="498"/>
      <c r="B115" s="499" t="str">
        <f t="array" ref="B115">XLOOKUP(C115,'High School Players'!$D:$D,'High School Players'!$M:$M,"--",0,1)&amp;" "&amp;XLOOKUP(C115,'High School Players'!$D:$D,'High School Players'!$N:$N,"--",0,1)</f>
        <v>-- --</v>
      </c>
      <c r="C115" s="500"/>
      <c r="D115" s="249"/>
      <c r="E115" s="250"/>
      <c r="F115" s="515"/>
      <c r="G115" s="516"/>
      <c r="H115" s="503"/>
      <c r="I115" s="500"/>
      <c r="J115" s="504"/>
      <c r="K115" s="505"/>
      <c r="L115" s="517"/>
      <c r="M115" s="518"/>
      <c r="N115" s="478"/>
      <c r="O115" s="479"/>
      <c r="P115" s="519"/>
      <c r="Q115" s="509"/>
      <c r="R115" s="249"/>
      <c r="S115" s="250"/>
      <c r="T115" s="510"/>
      <c r="U115" s="511"/>
      <c r="V115" s="512"/>
      <c r="W115" s="250"/>
      <c r="X115" s="511"/>
      <c r="Y115" s="513"/>
      <c r="Z115" s="249"/>
      <c r="AA115" s="249"/>
      <c r="AB115" s="249"/>
      <c r="AC115" s="249"/>
      <c r="AD115" s="249"/>
      <c r="AE115" s="250"/>
      <c r="AF115" s="500"/>
      <c r="AG115" s="250"/>
      <c r="AH115" s="514"/>
      <c r="AI115" s="514"/>
      <c r="AJ115" s="514"/>
      <c r="AK115" s="514"/>
      <c r="AL115" s="514"/>
      <c r="AM115" s="514"/>
      <c r="AN115" s="514"/>
    </row>
    <row r="116" ht="16.5" customHeight="1">
      <c r="A116" s="498"/>
      <c r="B116" s="499" t="str">
        <f t="array" ref="B116">XLOOKUP(C116,'High School Players'!$D:$D,'High School Players'!$M:$M,"--",0,1)&amp;" "&amp;XLOOKUP(C116,'High School Players'!$D:$D,'High School Players'!$N:$N,"--",0,1)</f>
        <v>-- --</v>
      </c>
      <c r="C116" s="500"/>
      <c r="D116" s="249"/>
      <c r="E116" s="250"/>
      <c r="F116" s="515"/>
      <c r="G116" s="516"/>
      <c r="H116" s="503"/>
      <c r="I116" s="500"/>
      <c r="J116" s="504"/>
      <c r="K116" s="505"/>
      <c r="L116" s="517"/>
      <c r="M116" s="518"/>
      <c r="N116" s="478"/>
      <c r="O116" s="479"/>
      <c r="P116" s="519"/>
      <c r="Q116" s="509"/>
      <c r="R116" s="249"/>
      <c r="S116" s="250"/>
      <c r="T116" s="510"/>
      <c r="U116" s="511"/>
      <c r="V116" s="512"/>
      <c r="W116" s="250"/>
      <c r="X116" s="511"/>
      <c r="Y116" s="513"/>
      <c r="Z116" s="249"/>
      <c r="AA116" s="249"/>
      <c r="AB116" s="249"/>
      <c r="AC116" s="249"/>
      <c r="AD116" s="249"/>
      <c r="AE116" s="250"/>
      <c r="AF116" s="500"/>
      <c r="AG116" s="250"/>
      <c r="AH116" s="514"/>
      <c r="AI116" s="514"/>
      <c r="AJ116" s="514"/>
      <c r="AK116" s="514"/>
      <c r="AL116" s="514"/>
      <c r="AM116" s="514"/>
      <c r="AN116" s="514"/>
    </row>
    <row r="117" ht="16.5" customHeight="1">
      <c r="A117" s="498"/>
      <c r="B117" s="499" t="str">
        <f t="array" ref="B117">XLOOKUP(C117,'High School Players'!$D:$D,'High School Players'!$M:$M,"--",0,1)&amp;" "&amp;XLOOKUP(C117,'High School Players'!$D:$D,'High School Players'!$N:$N,"--",0,1)</f>
        <v>-- --</v>
      </c>
      <c r="C117" s="500"/>
      <c r="D117" s="249"/>
      <c r="E117" s="250"/>
      <c r="F117" s="515"/>
      <c r="G117" s="516"/>
      <c r="H117" s="503"/>
      <c r="I117" s="500"/>
      <c r="J117" s="504"/>
      <c r="K117" s="505"/>
      <c r="L117" s="517"/>
      <c r="M117" s="518"/>
      <c r="N117" s="478"/>
      <c r="O117" s="479"/>
      <c r="P117" s="519"/>
      <c r="Q117" s="509"/>
      <c r="R117" s="249"/>
      <c r="S117" s="250"/>
      <c r="T117" s="510"/>
      <c r="U117" s="511"/>
      <c r="V117" s="512"/>
      <c r="W117" s="250"/>
      <c r="X117" s="511"/>
      <c r="Y117" s="513"/>
      <c r="Z117" s="249"/>
      <c r="AA117" s="249"/>
      <c r="AB117" s="249"/>
      <c r="AC117" s="249"/>
      <c r="AD117" s="249"/>
      <c r="AE117" s="250"/>
      <c r="AF117" s="500"/>
      <c r="AG117" s="250"/>
      <c r="AH117" s="514"/>
      <c r="AI117" s="514"/>
      <c r="AJ117" s="514"/>
      <c r="AK117" s="514"/>
      <c r="AL117" s="514"/>
      <c r="AM117" s="514"/>
      <c r="AN117" s="514"/>
    </row>
    <row r="118" ht="16.5" customHeight="1">
      <c r="A118" s="498"/>
      <c r="B118" s="499" t="str">
        <f t="array" ref="B118">XLOOKUP(C118,'High School Players'!$D:$D,'High School Players'!$M:$M,"--",0,1)&amp;" "&amp;XLOOKUP(C118,'High School Players'!$D:$D,'High School Players'!$N:$N,"--",0,1)</f>
        <v>-- --</v>
      </c>
      <c r="C118" s="500"/>
      <c r="D118" s="249"/>
      <c r="E118" s="250"/>
      <c r="F118" s="515"/>
      <c r="G118" s="516"/>
      <c r="H118" s="503"/>
      <c r="I118" s="500"/>
      <c r="J118" s="504"/>
      <c r="K118" s="505"/>
      <c r="L118" s="517"/>
      <c r="M118" s="518"/>
      <c r="N118" s="478"/>
      <c r="O118" s="479"/>
      <c r="P118" s="519"/>
      <c r="Q118" s="509"/>
      <c r="R118" s="249"/>
      <c r="S118" s="250"/>
      <c r="T118" s="510"/>
      <c r="U118" s="511"/>
      <c r="V118" s="512"/>
      <c r="W118" s="250"/>
      <c r="X118" s="511"/>
      <c r="Y118" s="513"/>
      <c r="Z118" s="249"/>
      <c r="AA118" s="249"/>
      <c r="AB118" s="249"/>
      <c r="AC118" s="249"/>
      <c r="AD118" s="249"/>
      <c r="AE118" s="250"/>
      <c r="AF118" s="500"/>
      <c r="AG118" s="250"/>
      <c r="AH118" s="514"/>
      <c r="AI118" s="514"/>
      <c r="AJ118" s="514"/>
      <c r="AK118" s="514"/>
      <c r="AL118" s="514"/>
      <c r="AM118" s="514"/>
      <c r="AN118" s="514"/>
    </row>
    <row r="119" ht="16.5" customHeight="1">
      <c r="A119" s="498"/>
      <c r="B119" s="499" t="str">
        <f t="array" ref="B119">XLOOKUP(C119,'High School Players'!$D:$D,'High School Players'!$M:$M,"--",0,1)&amp;" "&amp;XLOOKUP(C119,'High School Players'!$D:$D,'High School Players'!$N:$N,"--",0,1)</f>
        <v>-- --</v>
      </c>
      <c r="C119" s="500"/>
      <c r="D119" s="249"/>
      <c r="E119" s="250"/>
      <c r="F119" s="515"/>
      <c r="G119" s="516"/>
      <c r="H119" s="503"/>
      <c r="I119" s="500"/>
      <c r="J119" s="504"/>
      <c r="K119" s="505"/>
      <c r="L119" s="517"/>
      <c r="M119" s="518"/>
      <c r="N119" s="478"/>
      <c r="O119" s="479"/>
      <c r="P119" s="519"/>
      <c r="Q119" s="509"/>
      <c r="R119" s="249"/>
      <c r="S119" s="250"/>
      <c r="T119" s="510"/>
      <c r="U119" s="511"/>
      <c r="V119" s="512"/>
      <c r="W119" s="250"/>
      <c r="X119" s="511"/>
      <c r="Y119" s="513"/>
      <c r="Z119" s="249"/>
      <c r="AA119" s="249"/>
      <c r="AB119" s="249"/>
      <c r="AC119" s="249"/>
      <c r="AD119" s="249"/>
      <c r="AE119" s="250"/>
      <c r="AF119" s="500"/>
      <c r="AG119" s="250"/>
      <c r="AH119" s="514"/>
      <c r="AI119" s="514"/>
      <c r="AJ119" s="514"/>
      <c r="AK119" s="514"/>
      <c r="AL119" s="514"/>
      <c r="AM119" s="514"/>
      <c r="AN119" s="514"/>
    </row>
    <row r="120" ht="16.5" customHeight="1">
      <c r="A120" s="498"/>
      <c r="B120" s="499" t="str">
        <f t="array" ref="B120">XLOOKUP(C120,'High School Players'!$D:$D,'High School Players'!$M:$M,"--",0,1)&amp;" "&amp;XLOOKUP(C120,'High School Players'!$D:$D,'High School Players'!$N:$N,"--",0,1)</f>
        <v>-- --</v>
      </c>
      <c r="C120" s="500"/>
      <c r="D120" s="249"/>
      <c r="E120" s="250"/>
      <c r="F120" s="515"/>
      <c r="G120" s="516"/>
      <c r="H120" s="503"/>
      <c r="I120" s="500"/>
      <c r="J120" s="504"/>
      <c r="K120" s="505"/>
      <c r="L120" s="517"/>
      <c r="M120" s="518"/>
      <c r="N120" s="478"/>
      <c r="O120" s="479"/>
      <c r="P120" s="519"/>
      <c r="Q120" s="509"/>
      <c r="R120" s="249"/>
      <c r="S120" s="250"/>
      <c r="T120" s="510"/>
      <c r="U120" s="511"/>
      <c r="V120" s="512"/>
      <c r="W120" s="250"/>
      <c r="X120" s="511"/>
      <c r="Y120" s="513"/>
      <c r="Z120" s="249"/>
      <c r="AA120" s="249"/>
      <c r="AB120" s="249"/>
      <c r="AC120" s="249"/>
      <c r="AD120" s="249"/>
      <c r="AE120" s="250"/>
      <c r="AF120" s="500"/>
      <c r="AG120" s="250"/>
      <c r="AH120" s="514"/>
      <c r="AI120" s="514"/>
      <c r="AJ120" s="514"/>
      <c r="AK120" s="514"/>
      <c r="AL120" s="514"/>
      <c r="AM120" s="514"/>
      <c r="AN120" s="514"/>
    </row>
    <row r="121" ht="16.5" customHeight="1">
      <c r="A121" s="498"/>
      <c r="B121" s="499" t="str">
        <f t="array" ref="B121">XLOOKUP(C121,'High School Players'!$D:$D,'High School Players'!$M:$M,"--",0,1)&amp;" "&amp;XLOOKUP(C121,'High School Players'!$D:$D,'High School Players'!$N:$N,"--",0,1)</f>
        <v>-- --</v>
      </c>
      <c r="C121" s="500"/>
      <c r="D121" s="249"/>
      <c r="E121" s="250"/>
      <c r="F121" s="515"/>
      <c r="G121" s="516"/>
      <c r="H121" s="503"/>
      <c r="I121" s="500"/>
      <c r="J121" s="504"/>
      <c r="K121" s="505"/>
      <c r="L121" s="517"/>
      <c r="M121" s="518"/>
      <c r="N121" s="478"/>
      <c r="O121" s="479"/>
      <c r="P121" s="519"/>
      <c r="Q121" s="509"/>
      <c r="R121" s="249"/>
      <c r="S121" s="250"/>
      <c r="T121" s="510"/>
      <c r="U121" s="511"/>
      <c r="V121" s="512"/>
      <c r="W121" s="250"/>
      <c r="X121" s="511"/>
      <c r="Y121" s="513"/>
      <c r="Z121" s="249"/>
      <c r="AA121" s="249"/>
      <c r="AB121" s="249"/>
      <c r="AC121" s="249"/>
      <c r="AD121" s="249"/>
      <c r="AE121" s="250"/>
      <c r="AF121" s="500"/>
      <c r="AG121" s="250"/>
      <c r="AH121" s="514"/>
      <c r="AI121" s="514"/>
      <c r="AJ121" s="514"/>
      <c r="AK121" s="514"/>
      <c r="AL121" s="514"/>
      <c r="AM121" s="514"/>
      <c r="AN121" s="514"/>
    </row>
    <row r="122" ht="16.5" customHeight="1">
      <c r="A122" s="498"/>
      <c r="B122" s="499" t="str">
        <f t="array" ref="B122">XLOOKUP(C122,'High School Players'!$D:$D,'High School Players'!$M:$M,"--",0,1)&amp;" "&amp;XLOOKUP(C122,'High School Players'!$D:$D,'High School Players'!$N:$N,"--",0,1)</f>
        <v>-- --</v>
      </c>
      <c r="C122" s="500"/>
      <c r="D122" s="249"/>
      <c r="E122" s="250"/>
      <c r="F122" s="515"/>
      <c r="G122" s="516"/>
      <c r="H122" s="503"/>
      <c r="I122" s="500"/>
      <c r="J122" s="504"/>
      <c r="K122" s="505"/>
      <c r="L122" s="517"/>
      <c r="M122" s="518"/>
      <c r="N122" s="478"/>
      <c r="O122" s="479"/>
      <c r="P122" s="519"/>
      <c r="Q122" s="509"/>
      <c r="R122" s="249"/>
      <c r="S122" s="250"/>
      <c r="T122" s="510"/>
      <c r="U122" s="511"/>
      <c r="V122" s="512"/>
      <c r="W122" s="250"/>
      <c r="X122" s="511"/>
      <c r="Y122" s="513"/>
      <c r="Z122" s="249"/>
      <c r="AA122" s="249"/>
      <c r="AB122" s="249"/>
      <c r="AC122" s="249"/>
      <c r="AD122" s="249"/>
      <c r="AE122" s="250"/>
      <c r="AF122" s="500"/>
      <c r="AG122" s="250"/>
      <c r="AH122" s="514"/>
      <c r="AI122" s="514"/>
      <c r="AJ122" s="514"/>
      <c r="AK122" s="514"/>
      <c r="AL122" s="514"/>
      <c r="AM122" s="514"/>
      <c r="AN122" s="514"/>
    </row>
    <row r="123" ht="16.5" customHeight="1">
      <c r="A123" s="498"/>
      <c r="B123" s="499" t="str">
        <f t="array" ref="B123">XLOOKUP(C123,'High School Players'!$D:$D,'High School Players'!$M:$M,"--",0,1)&amp;" "&amp;XLOOKUP(C123,'High School Players'!$D:$D,'High School Players'!$N:$N,"--",0,1)</f>
        <v>-- --</v>
      </c>
      <c r="C123" s="500"/>
      <c r="D123" s="249"/>
      <c r="E123" s="250"/>
      <c r="F123" s="515"/>
      <c r="G123" s="516"/>
      <c r="H123" s="503"/>
      <c r="I123" s="500"/>
      <c r="J123" s="504"/>
      <c r="K123" s="505"/>
      <c r="L123" s="517"/>
      <c r="M123" s="518"/>
      <c r="N123" s="478"/>
      <c r="O123" s="479"/>
      <c r="P123" s="519"/>
      <c r="Q123" s="509"/>
      <c r="R123" s="249"/>
      <c r="S123" s="250"/>
      <c r="T123" s="510"/>
      <c r="U123" s="511"/>
      <c r="V123" s="512"/>
      <c r="W123" s="250"/>
      <c r="X123" s="511"/>
      <c r="Y123" s="513"/>
      <c r="Z123" s="249"/>
      <c r="AA123" s="249"/>
      <c r="AB123" s="249"/>
      <c r="AC123" s="249"/>
      <c r="AD123" s="249"/>
      <c r="AE123" s="250"/>
      <c r="AF123" s="500"/>
      <c r="AG123" s="250"/>
      <c r="AH123" s="514"/>
      <c r="AI123" s="514"/>
      <c r="AJ123" s="514"/>
      <c r="AK123" s="514"/>
      <c r="AL123" s="514"/>
      <c r="AM123" s="514"/>
      <c r="AN123" s="514"/>
    </row>
    <row r="124" ht="16.5" customHeight="1">
      <c r="A124" s="498"/>
      <c r="B124" s="499" t="str">
        <f t="array" ref="B124">XLOOKUP(C124,'High School Players'!$D:$D,'High School Players'!$M:$M,"--",0,1)&amp;" "&amp;XLOOKUP(C124,'High School Players'!$D:$D,'High School Players'!$N:$N,"--",0,1)</f>
        <v>-- --</v>
      </c>
      <c r="C124" s="500"/>
      <c r="D124" s="249"/>
      <c r="E124" s="250"/>
      <c r="F124" s="515"/>
      <c r="G124" s="516"/>
      <c r="H124" s="503"/>
      <c r="I124" s="500"/>
      <c r="J124" s="504"/>
      <c r="K124" s="505"/>
      <c r="L124" s="517"/>
      <c r="M124" s="518"/>
      <c r="N124" s="478"/>
      <c r="O124" s="479"/>
      <c r="P124" s="519"/>
      <c r="Q124" s="509"/>
      <c r="R124" s="249"/>
      <c r="S124" s="250"/>
      <c r="T124" s="510"/>
      <c r="U124" s="511"/>
      <c r="V124" s="512"/>
      <c r="W124" s="250"/>
      <c r="X124" s="511"/>
      <c r="Y124" s="513"/>
      <c r="Z124" s="249"/>
      <c r="AA124" s="249"/>
      <c r="AB124" s="249"/>
      <c r="AC124" s="249"/>
      <c r="AD124" s="249"/>
      <c r="AE124" s="250"/>
      <c r="AF124" s="500"/>
      <c r="AG124" s="250"/>
      <c r="AH124" s="514"/>
      <c r="AI124" s="514"/>
      <c r="AJ124" s="514"/>
      <c r="AK124" s="514"/>
      <c r="AL124" s="514"/>
      <c r="AM124" s="514"/>
      <c r="AN124" s="514"/>
    </row>
    <row r="125" ht="16.5" customHeight="1">
      <c r="A125" s="498"/>
      <c r="B125" s="499" t="str">
        <f t="array" ref="B125">XLOOKUP(C125,'High School Players'!$D:$D,'High School Players'!$M:$M,"--",0,1)&amp;" "&amp;XLOOKUP(C125,'High School Players'!$D:$D,'High School Players'!$N:$N,"--",0,1)</f>
        <v>-- --</v>
      </c>
      <c r="C125" s="500"/>
      <c r="D125" s="249"/>
      <c r="E125" s="250"/>
      <c r="F125" s="515"/>
      <c r="G125" s="516"/>
      <c r="H125" s="503"/>
      <c r="I125" s="500"/>
      <c r="J125" s="504"/>
      <c r="K125" s="505"/>
      <c r="L125" s="517"/>
      <c r="M125" s="518"/>
      <c r="N125" s="478"/>
      <c r="O125" s="479"/>
      <c r="P125" s="519"/>
      <c r="Q125" s="509"/>
      <c r="R125" s="249"/>
      <c r="S125" s="250"/>
      <c r="T125" s="510"/>
      <c r="U125" s="511"/>
      <c r="V125" s="512"/>
      <c r="W125" s="250"/>
      <c r="X125" s="511"/>
      <c r="Y125" s="513"/>
      <c r="Z125" s="249"/>
      <c r="AA125" s="249"/>
      <c r="AB125" s="249"/>
      <c r="AC125" s="249"/>
      <c r="AD125" s="249"/>
      <c r="AE125" s="250"/>
      <c r="AF125" s="500"/>
      <c r="AG125" s="250"/>
      <c r="AH125" s="514"/>
      <c r="AI125" s="514"/>
      <c r="AJ125" s="514"/>
      <c r="AK125" s="514"/>
      <c r="AL125" s="514"/>
      <c r="AM125" s="514"/>
      <c r="AN125" s="514"/>
    </row>
    <row r="126" ht="16.5" customHeight="1">
      <c r="A126" s="498"/>
      <c r="B126" s="499" t="str">
        <f t="array" ref="B126">XLOOKUP(C126,'High School Players'!$D:$D,'High School Players'!$M:$M,"--",0,1)&amp;" "&amp;XLOOKUP(C126,'High School Players'!$D:$D,'High School Players'!$N:$N,"--",0,1)</f>
        <v>-- --</v>
      </c>
      <c r="C126" s="500"/>
      <c r="D126" s="249"/>
      <c r="E126" s="250"/>
      <c r="F126" s="515"/>
      <c r="G126" s="516"/>
      <c r="H126" s="503"/>
      <c r="I126" s="500"/>
      <c r="J126" s="504"/>
      <c r="K126" s="505"/>
      <c r="L126" s="517"/>
      <c r="M126" s="518"/>
      <c r="N126" s="478"/>
      <c r="O126" s="479"/>
      <c r="P126" s="519"/>
      <c r="Q126" s="509"/>
      <c r="R126" s="249"/>
      <c r="S126" s="250"/>
      <c r="T126" s="510"/>
      <c r="U126" s="511"/>
      <c r="V126" s="512"/>
      <c r="W126" s="250"/>
      <c r="X126" s="511"/>
      <c r="Y126" s="513"/>
      <c r="Z126" s="249"/>
      <c r="AA126" s="249"/>
      <c r="AB126" s="249"/>
      <c r="AC126" s="249"/>
      <c r="AD126" s="249"/>
      <c r="AE126" s="250"/>
      <c r="AF126" s="500"/>
      <c r="AG126" s="250"/>
      <c r="AH126" s="514"/>
      <c r="AI126" s="514"/>
      <c r="AJ126" s="514"/>
      <c r="AK126" s="514"/>
      <c r="AL126" s="514"/>
      <c r="AM126" s="514"/>
      <c r="AN126" s="514"/>
    </row>
    <row r="127" ht="16.5" customHeight="1">
      <c r="A127" s="498"/>
      <c r="B127" s="499" t="str">
        <f t="array" ref="B127">XLOOKUP(C127,'High School Players'!$D:$D,'High School Players'!$M:$M,"--",0,1)&amp;" "&amp;XLOOKUP(C127,'High School Players'!$D:$D,'High School Players'!$N:$N,"--",0,1)</f>
        <v>-- --</v>
      </c>
      <c r="C127" s="500"/>
      <c r="D127" s="249"/>
      <c r="E127" s="250"/>
      <c r="F127" s="515"/>
      <c r="G127" s="516"/>
      <c r="H127" s="503"/>
      <c r="I127" s="500"/>
      <c r="J127" s="504"/>
      <c r="K127" s="505"/>
      <c r="L127" s="517"/>
      <c r="M127" s="518"/>
      <c r="N127" s="478"/>
      <c r="O127" s="479"/>
      <c r="P127" s="519"/>
      <c r="Q127" s="509"/>
      <c r="R127" s="249"/>
      <c r="S127" s="250"/>
      <c r="T127" s="510"/>
      <c r="U127" s="511"/>
      <c r="V127" s="512"/>
      <c r="W127" s="250"/>
      <c r="X127" s="511"/>
      <c r="Y127" s="513"/>
      <c r="Z127" s="249"/>
      <c r="AA127" s="249"/>
      <c r="AB127" s="249"/>
      <c r="AC127" s="249"/>
      <c r="AD127" s="249"/>
      <c r="AE127" s="250"/>
      <c r="AF127" s="500"/>
      <c r="AG127" s="250"/>
      <c r="AH127" s="514"/>
      <c r="AI127" s="514"/>
      <c r="AJ127" s="514"/>
      <c r="AK127" s="514"/>
      <c r="AL127" s="514"/>
      <c r="AM127" s="514"/>
      <c r="AN127" s="514"/>
    </row>
    <row r="128" ht="16.5" customHeight="1">
      <c r="A128" s="498"/>
      <c r="B128" s="499" t="str">
        <f t="array" ref="B128">XLOOKUP(C128,'High School Players'!$D:$D,'High School Players'!$M:$M,"--",0,1)&amp;" "&amp;XLOOKUP(C128,'High School Players'!$D:$D,'High School Players'!$N:$N,"--",0,1)</f>
        <v>-- --</v>
      </c>
      <c r="C128" s="500"/>
      <c r="D128" s="249"/>
      <c r="E128" s="250"/>
      <c r="F128" s="515"/>
      <c r="G128" s="516"/>
      <c r="H128" s="503"/>
      <c r="I128" s="500"/>
      <c r="J128" s="504"/>
      <c r="K128" s="505"/>
      <c r="L128" s="517"/>
      <c r="M128" s="518"/>
      <c r="N128" s="478"/>
      <c r="O128" s="479"/>
      <c r="P128" s="519"/>
      <c r="Q128" s="509"/>
      <c r="R128" s="249"/>
      <c r="S128" s="250"/>
      <c r="T128" s="510"/>
      <c r="U128" s="511"/>
      <c r="V128" s="512"/>
      <c r="W128" s="250"/>
      <c r="X128" s="511"/>
      <c r="Y128" s="513"/>
      <c r="Z128" s="249"/>
      <c r="AA128" s="249"/>
      <c r="AB128" s="249"/>
      <c r="AC128" s="249"/>
      <c r="AD128" s="249"/>
      <c r="AE128" s="250"/>
      <c r="AF128" s="500"/>
      <c r="AG128" s="250"/>
      <c r="AH128" s="514"/>
      <c r="AI128" s="514"/>
      <c r="AJ128" s="514"/>
      <c r="AK128" s="514"/>
      <c r="AL128" s="514"/>
      <c r="AM128" s="514"/>
      <c r="AN128" s="514"/>
    </row>
    <row r="129" ht="16.5" customHeight="1">
      <c r="A129" s="498"/>
      <c r="B129" s="499" t="str">
        <f t="array" ref="B129">XLOOKUP(C129,'High School Players'!$D:$D,'High School Players'!$M:$M,"--",0,1)&amp;" "&amp;XLOOKUP(C129,'High School Players'!$D:$D,'High School Players'!$N:$N,"--",0,1)</f>
        <v>-- --</v>
      </c>
      <c r="C129" s="500"/>
      <c r="D129" s="249"/>
      <c r="E129" s="250"/>
      <c r="F129" s="515"/>
      <c r="G129" s="516"/>
      <c r="H129" s="503"/>
      <c r="I129" s="500"/>
      <c r="J129" s="504"/>
      <c r="K129" s="505"/>
      <c r="L129" s="517"/>
      <c r="M129" s="518"/>
      <c r="N129" s="478"/>
      <c r="O129" s="479"/>
      <c r="P129" s="519"/>
      <c r="Q129" s="509"/>
      <c r="R129" s="249"/>
      <c r="S129" s="250"/>
      <c r="T129" s="510"/>
      <c r="U129" s="511"/>
      <c r="V129" s="512"/>
      <c r="W129" s="250"/>
      <c r="X129" s="511"/>
      <c r="Y129" s="513"/>
      <c r="Z129" s="249"/>
      <c r="AA129" s="249"/>
      <c r="AB129" s="249"/>
      <c r="AC129" s="249"/>
      <c r="AD129" s="249"/>
      <c r="AE129" s="250"/>
      <c r="AF129" s="500"/>
      <c r="AG129" s="250"/>
      <c r="AH129" s="514"/>
      <c r="AI129" s="514"/>
      <c r="AJ129" s="514"/>
      <c r="AK129" s="514"/>
      <c r="AL129" s="514"/>
      <c r="AM129" s="514"/>
      <c r="AN129" s="514"/>
    </row>
    <row r="130" ht="16.5" customHeight="1">
      <c r="A130" s="498"/>
      <c r="B130" s="499" t="str">
        <f t="array" ref="B130">XLOOKUP(C130,'High School Players'!$D:$D,'High School Players'!$M:$M,"--",0,1)&amp;" "&amp;XLOOKUP(C130,'High School Players'!$D:$D,'High School Players'!$N:$N,"--",0,1)</f>
        <v>-- --</v>
      </c>
      <c r="C130" s="500"/>
      <c r="D130" s="249"/>
      <c r="E130" s="250"/>
      <c r="F130" s="515"/>
      <c r="G130" s="516"/>
      <c r="H130" s="503"/>
      <c r="I130" s="500"/>
      <c r="J130" s="504"/>
      <c r="K130" s="505"/>
      <c r="L130" s="517"/>
      <c r="M130" s="518"/>
      <c r="N130" s="478"/>
      <c r="O130" s="479"/>
      <c r="P130" s="519"/>
      <c r="Q130" s="509"/>
      <c r="R130" s="249"/>
      <c r="S130" s="250"/>
      <c r="T130" s="510"/>
      <c r="U130" s="511"/>
      <c r="V130" s="512"/>
      <c r="W130" s="250"/>
      <c r="X130" s="511"/>
      <c r="Y130" s="513"/>
      <c r="Z130" s="249"/>
      <c r="AA130" s="249"/>
      <c r="AB130" s="249"/>
      <c r="AC130" s="249"/>
      <c r="AD130" s="249"/>
      <c r="AE130" s="250"/>
      <c r="AF130" s="500"/>
      <c r="AG130" s="250"/>
      <c r="AH130" s="514"/>
      <c r="AI130" s="514"/>
      <c r="AJ130" s="514"/>
      <c r="AK130" s="514"/>
      <c r="AL130" s="514"/>
      <c r="AM130" s="514"/>
      <c r="AN130" s="514"/>
    </row>
    <row r="131" ht="16.5" customHeight="1">
      <c r="A131" s="498"/>
      <c r="B131" s="499" t="str">
        <f t="array" ref="B131">XLOOKUP(C131,'High School Players'!$D:$D,'High School Players'!$M:$M,"--",0,1)&amp;" "&amp;XLOOKUP(C131,'High School Players'!$D:$D,'High School Players'!$N:$N,"--",0,1)</f>
        <v>-- --</v>
      </c>
      <c r="C131" s="500"/>
      <c r="D131" s="249"/>
      <c r="E131" s="250"/>
      <c r="F131" s="515"/>
      <c r="G131" s="516"/>
      <c r="H131" s="503"/>
      <c r="I131" s="500"/>
      <c r="J131" s="504"/>
      <c r="K131" s="505"/>
      <c r="L131" s="517"/>
      <c r="M131" s="518"/>
      <c r="N131" s="478"/>
      <c r="O131" s="479"/>
      <c r="P131" s="519"/>
      <c r="Q131" s="509"/>
      <c r="R131" s="249"/>
      <c r="S131" s="250"/>
      <c r="T131" s="510"/>
      <c r="U131" s="511"/>
      <c r="V131" s="512"/>
      <c r="W131" s="250"/>
      <c r="X131" s="511"/>
      <c r="Y131" s="513"/>
      <c r="Z131" s="249"/>
      <c r="AA131" s="249"/>
      <c r="AB131" s="249"/>
      <c r="AC131" s="249"/>
      <c r="AD131" s="249"/>
      <c r="AE131" s="250"/>
      <c r="AF131" s="500"/>
      <c r="AG131" s="250"/>
      <c r="AH131" s="514"/>
      <c r="AI131" s="514"/>
      <c r="AJ131" s="514"/>
      <c r="AK131" s="514"/>
      <c r="AL131" s="514"/>
      <c r="AM131" s="514"/>
      <c r="AN131" s="514"/>
    </row>
    <row r="132" ht="16.5" customHeight="1">
      <c r="A132" s="498"/>
      <c r="B132" s="499" t="str">
        <f t="array" ref="B132">XLOOKUP(C132,'High School Players'!$D:$D,'High School Players'!$M:$M,"--",0,1)&amp;" "&amp;XLOOKUP(C132,'High School Players'!$D:$D,'High School Players'!$N:$N,"--",0,1)</f>
        <v>-- --</v>
      </c>
      <c r="C132" s="500"/>
      <c r="D132" s="249"/>
      <c r="E132" s="250"/>
      <c r="F132" s="515"/>
      <c r="G132" s="516"/>
      <c r="H132" s="503"/>
      <c r="I132" s="500"/>
      <c r="J132" s="504"/>
      <c r="K132" s="505"/>
      <c r="L132" s="517"/>
      <c r="M132" s="518"/>
      <c r="N132" s="478"/>
      <c r="O132" s="479"/>
      <c r="P132" s="519"/>
      <c r="Q132" s="509"/>
      <c r="R132" s="249"/>
      <c r="S132" s="250"/>
      <c r="T132" s="510"/>
      <c r="U132" s="511"/>
      <c r="V132" s="512"/>
      <c r="W132" s="250"/>
      <c r="X132" s="511"/>
      <c r="Y132" s="513"/>
      <c r="Z132" s="249"/>
      <c r="AA132" s="249"/>
      <c r="AB132" s="249"/>
      <c r="AC132" s="249"/>
      <c r="AD132" s="249"/>
      <c r="AE132" s="250"/>
      <c r="AF132" s="500"/>
      <c r="AG132" s="250"/>
      <c r="AH132" s="514"/>
      <c r="AI132" s="514"/>
      <c r="AJ132" s="514"/>
      <c r="AK132" s="514"/>
      <c r="AL132" s="514"/>
      <c r="AM132" s="514"/>
      <c r="AN132" s="514"/>
    </row>
    <row r="133" ht="16.5" customHeight="1">
      <c r="A133" s="514"/>
      <c r="B133" s="520"/>
      <c r="C133" s="514"/>
      <c r="D133" s="514"/>
      <c r="E133" s="514"/>
      <c r="F133" s="514"/>
      <c r="G133" s="514"/>
      <c r="H133" s="521"/>
      <c r="I133" s="521"/>
      <c r="J133" s="514"/>
      <c r="K133" s="514"/>
      <c r="L133" s="514"/>
      <c r="M133" s="514"/>
      <c r="N133" s="514"/>
      <c r="O133" s="514"/>
      <c r="P133" s="514"/>
      <c r="Q133" s="514"/>
      <c r="R133" s="514"/>
      <c r="S133" s="514"/>
      <c r="T133" s="514"/>
      <c r="U133" s="514"/>
      <c r="V133" s="514"/>
      <c r="W133" s="514"/>
      <c r="X133" s="514"/>
      <c r="Y133" s="514"/>
      <c r="Z133" s="514"/>
      <c r="AA133" s="514"/>
      <c r="AB133" s="514"/>
      <c r="AC133" s="514"/>
      <c r="AD133" s="514"/>
      <c r="AE133" s="514"/>
      <c r="AF133" s="514"/>
      <c r="AG133" s="514"/>
      <c r="AH133" s="514"/>
      <c r="AI133" s="514"/>
      <c r="AJ133" s="514"/>
      <c r="AK133" s="514"/>
      <c r="AL133" s="514"/>
      <c r="AM133" s="514"/>
      <c r="AN133" s="514"/>
    </row>
    <row r="134" ht="16.5" customHeight="1">
      <c r="A134" s="514"/>
      <c r="B134" s="520"/>
      <c r="C134" s="514"/>
      <c r="D134" s="514"/>
      <c r="E134" s="514"/>
      <c r="F134" s="514"/>
      <c r="G134" s="514"/>
      <c r="H134" s="521"/>
      <c r="I134" s="521"/>
      <c r="J134" s="514"/>
      <c r="K134" s="514"/>
      <c r="L134" s="514"/>
      <c r="M134" s="514"/>
      <c r="N134" s="514"/>
      <c r="O134" s="514"/>
      <c r="P134" s="514"/>
      <c r="Q134" s="514"/>
      <c r="R134" s="514"/>
      <c r="S134" s="514"/>
      <c r="T134" s="514"/>
      <c r="U134" s="514"/>
      <c r="V134" s="514"/>
      <c r="W134" s="514"/>
      <c r="X134" s="514"/>
      <c r="Y134" s="514"/>
      <c r="Z134" s="514"/>
      <c r="AA134" s="514"/>
      <c r="AB134" s="514"/>
      <c r="AC134" s="514"/>
      <c r="AD134" s="514"/>
      <c r="AE134" s="514"/>
      <c r="AF134" s="514"/>
      <c r="AG134" s="514"/>
      <c r="AH134" s="514"/>
      <c r="AI134" s="514"/>
      <c r="AJ134" s="514"/>
      <c r="AK134" s="514"/>
      <c r="AL134" s="514"/>
      <c r="AM134" s="514"/>
      <c r="AN134" s="514"/>
    </row>
    <row r="135" ht="16.5" customHeight="1">
      <c r="A135" s="514"/>
      <c r="B135" s="520"/>
      <c r="C135" s="514"/>
      <c r="D135" s="514"/>
      <c r="E135" s="514"/>
      <c r="F135" s="514"/>
      <c r="G135" s="514"/>
      <c r="H135" s="521"/>
      <c r="I135" s="521"/>
      <c r="J135" s="514"/>
      <c r="K135" s="514"/>
      <c r="L135" s="514"/>
      <c r="M135" s="514"/>
      <c r="N135" s="514"/>
      <c r="O135" s="514"/>
      <c r="P135" s="514"/>
      <c r="Q135" s="514"/>
      <c r="R135" s="514"/>
      <c r="S135" s="514"/>
      <c r="T135" s="514"/>
      <c r="U135" s="514"/>
      <c r="V135" s="514"/>
      <c r="W135" s="514"/>
      <c r="X135" s="514"/>
      <c r="Y135" s="514"/>
      <c r="Z135" s="514"/>
      <c r="AA135" s="514"/>
      <c r="AB135" s="514"/>
      <c r="AC135" s="514"/>
      <c r="AD135" s="514"/>
      <c r="AE135" s="514"/>
      <c r="AF135" s="514"/>
      <c r="AG135" s="514"/>
      <c r="AH135" s="514"/>
      <c r="AI135" s="514"/>
      <c r="AJ135" s="514"/>
      <c r="AK135" s="514"/>
      <c r="AL135" s="514"/>
      <c r="AM135" s="514"/>
      <c r="AN135" s="514"/>
    </row>
    <row r="136" ht="16.5" customHeight="1">
      <c r="A136" s="514"/>
      <c r="B136" s="520"/>
      <c r="C136" s="514"/>
      <c r="D136" s="514"/>
      <c r="E136" s="514"/>
      <c r="F136" s="514"/>
      <c r="G136" s="514"/>
      <c r="H136" s="521"/>
      <c r="I136" s="521"/>
      <c r="J136" s="514"/>
      <c r="K136" s="514"/>
      <c r="L136" s="514"/>
      <c r="M136" s="514"/>
      <c r="N136" s="514"/>
      <c r="O136" s="514"/>
      <c r="P136" s="514"/>
      <c r="Q136" s="514"/>
      <c r="R136" s="514"/>
      <c r="S136" s="514"/>
      <c r="T136" s="514"/>
      <c r="U136" s="514"/>
      <c r="V136" s="514"/>
      <c r="W136" s="514"/>
      <c r="X136" s="514"/>
      <c r="Y136" s="514"/>
      <c r="Z136" s="514"/>
      <c r="AA136" s="514"/>
      <c r="AB136" s="514"/>
      <c r="AC136" s="514"/>
      <c r="AD136" s="514"/>
      <c r="AE136" s="514"/>
      <c r="AF136" s="514"/>
      <c r="AG136" s="514"/>
      <c r="AH136" s="514"/>
      <c r="AI136" s="514"/>
      <c r="AJ136" s="514"/>
      <c r="AK136" s="514"/>
      <c r="AL136" s="514"/>
      <c r="AM136" s="514"/>
      <c r="AN136" s="514"/>
    </row>
    <row r="137" ht="16.5" customHeight="1">
      <c r="A137" s="514"/>
      <c r="B137" s="520"/>
      <c r="C137" s="514"/>
      <c r="D137" s="514"/>
      <c r="E137" s="514"/>
      <c r="F137" s="514"/>
      <c r="G137" s="514"/>
      <c r="H137" s="521"/>
      <c r="I137" s="521"/>
      <c r="J137" s="514"/>
      <c r="K137" s="514"/>
      <c r="L137" s="514"/>
      <c r="M137" s="514"/>
      <c r="N137" s="514"/>
      <c r="O137" s="514"/>
      <c r="P137" s="514"/>
      <c r="Q137" s="514"/>
      <c r="R137" s="514"/>
      <c r="S137" s="514"/>
      <c r="T137" s="514"/>
      <c r="U137" s="514"/>
      <c r="V137" s="514"/>
      <c r="W137" s="514"/>
      <c r="X137" s="514"/>
      <c r="Y137" s="514"/>
      <c r="Z137" s="514"/>
      <c r="AA137" s="514"/>
      <c r="AB137" s="514"/>
      <c r="AC137" s="514"/>
      <c r="AD137" s="514"/>
      <c r="AE137" s="514"/>
      <c r="AF137" s="514"/>
      <c r="AG137" s="514"/>
      <c r="AH137" s="514"/>
      <c r="AI137" s="514"/>
      <c r="AJ137" s="514"/>
      <c r="AK137" s="514"/>
      <c r="AL137" s="514"/>
      <c r="AM137" s="514"/>
      <c r="AN137" s="514"/>
    </row>
    <row r="138" ht="16.5" customHeight="1">
      <c r="A138" s="514"/>
      <c r="B138" s="520"/>
      <c r="C138" s="514"/>
      <c r="D138" s="514"/>
      <c r="E138" s="514"/>
      <c r="F138" s="514"/>
      <c r="G138" s="514"/>
      <c r="H138" s="521"/>
      <c r="I138" s="521"/>
      <c r="J138" s="514"/>
      <c r="K138" s="514"/>
      <c r="L138" s="514"/>
      <c r="M138" s="514"/>
      <c r="N138" s="514"/>
      <c r="O138" s="514"/>
      <c r="P138" s="514"/>
      <c r="Q138" s="514"/>
      <c r="R138" s="514"/>
      <c r="S138" s="514"/>
      <c r="T138" s="514"/>
      <c r="U138" s="514"/>
      <c r="V138" s="514"/>
      <c r="W138" s="514"/>
      <c r="X138" s="514"/>
      <c r="Y138" s="514"/>
      <c r="Z138" s="514"/>
      <c r="AA138" s="514"/>
      <c r="AB138" s="514"/>
      <c r="AC138" s="514"/>
      <c r="AD138" s="514"/>
      <c r="AE138" s="514"/>
      <c r="AF138" s="514"/>
      <c r="AG138" s="514"/>
      <c r="AH138" s="514"/>
      <c r="AI138" s="514"/>
      <c r="AJ138" s="514"/>
      <c r="AK138" s="514"/>
      <c r="AL138" s="514"/>
      <c r="AM138" s="514"/>
      <c r="AN138" s="514"/>
    </row>
    <row r="139" ht="16.5" customHeight="1">
      <c r="A139" s="514"/>
      <c r="B139" s="520"/>
      <c r="C139" s="514"/>
      <c r="D139" s="514"/>
      <c r="E139" s="514"/>
      <c r="F139" s="514"/>
      <c r="G139" s="514"/>
      <c r="H139" s="521"/>
      <c r="I139" s="521"/>
      <c r="J139" s="514"/>
      <c r="K139" s="514"/>
      <c r="L139" s="514"/>
      <c r="M139" s="514"/>
      <c r="N139" s="514"/>
      <c r="O139" s="514"/>
      <c r="P139" s="514"/>
      <c r="Q139" s="514"/>
      <c r="R139" s="514"/>
      <c r="S139" s="514"/>
      <c r="T139" s="514"/>
      <c r="U139" s="514"/>
      <c r="V139" s="514"/>
      <c r="W139" s="514"/>
      <c r="X139" s="514"/>
      <c r="Y139" s="514"/>
      <c r="Z139" s="514"/>
      <c r="AA139" s="514"/>
      <c r="AB139" s="514"/>
      <c r="AC139" s="514"/>
      <c r="AD139" s="514"/>
      <c r="AE139" s="514"/>
      <c r="AF139" s="514"/>
      <c r="AG139" s="514"/>
      <c r="AH139" s="514"/>
      <c r="AI139" s="514"/>
      <c r="AJ139" s="514"/>
      <c r="AK139" s="514"/>
      <c r="AL139" s="514"/>
      <c r="AM139" s="514"/>
      <c r="AN139" s="514"/>
    </row>
    <row r="140" ht="16.5" customHeight="1">
      <c r="A140" s="514"/>
      <c r="B140" s="520"/>
      <c r="C140" s="514"/>
      <c r="D140" s="514"/>
      <c r="E140" s="514"/>
      <c r="F140" s="514"/>
      <c r="G140" s="514"/>
      <c r="H140" s="521"/>
      <c r="I140" s="521"/>
      <c r="J140" s="514"/>
      <c r="K140" s="514"/>
      <c r="L140" s="514"/>
      <c r="M140" s="514"/>
      <c r="N140" s="514"/>
      <c r="O140" s="514"/>
      <c r="P140" s="514"/>
      <c r="Q140" s="514"/>
      <c r="R140" s="514"/>
      <c r="S140" s="514"/>
      <c r="T140" s="514"/>
      <c r="U140" s="514"/>
      <c r="V140" s="514"/>
      <c r="W140" s="514"/>
      <c r="X140" s="514"/>
      <c r="Y140" s="514"/>
      <c r="Z140" s="514"/>
      <c r="AA140" s="514"/>
      <c r="AB140" s="514"/>
      <c r="AC140" s="514"/>
      <c r="AD140" s="514"/>
      <c r="AE140" s="514"/>
      <c r="AF140" s="514"/>
      <c r="AG140" s="514"/>
      <c r="AH140" s="514"/>
      <c r="AI140" s="514"/>
      <c r="AJ140" s="514"/>
      <c r="AK140" s="514"/>
      <c r="AL140" s="514"/>
      <c r="AM140" s="514"/>
      <c r="AN140" s="514"/>
    </row>
    <row r="141" ht="16.5" customHeight="1">
      <c r="A141" s="514"/>
      <c r="B141" s="520"/>
      <c r="C141" s="514"/>
      <c r="D141" s="514"/>
      <c r="E141" s="514"/>
      <c r="F141" s="514"/>
      <c r="G141" s="514"/>
      <c r="H141" s="521"/>
      <c r="I141" s="521"/>
      <c r="J141" s="514"/>
      <c r="K141" s="514"/>
      <c r="L141" s="514"/>
      <c r="M141" s="514"/>
      <c r="N141" s="514"/>
      <c r="O141" s="514"/>
      <c r="P141" s="514"/>
      <c r="Q141" s="514"/>
      <c r="R141" s="514"/>
      <c r="S141" s="514"/>
      <c r="T141" s="514"/>
      <c r="U141" s="514"/>
      <c r="V141" s="514"/>
      <c r="W141" s="514"/>
      <c r="X141" s="514"/>
      <c r="Y141" s="514"/>
      <c r="Z141" s="514"/>
      <c r="AA141" s="514"/>
      <c r="AB141" s="514"/>
      <c r="AC141" s="514"/>
      <c r="AD141" s="514"/>
      <c r="AE141" s="514"/>
      <c r="AF141" s="514"/>
      <c r="AG141" s="514"/>
      <c r="AH141" s="514"/>
      <c r="AI141" s="514"/>
      <c r="AJ141" s="514"/>
      <c r="AK141" s="514"/>
      <c r="AL141" s="514"/>
      <c r="AM141" s="514"/>
      <c r="AN141" s="514"/>
    </row>
    <row r="142" ht="16.5" customHeight="1">
      <c r="A142" s="514"/>
      <c r="B142" s="520"/>
      <c r="C142" s="514"/>
      <c r="D142" s="514"/>
      <c r="E142" s="514"/>
      <c r="F142" s="514"/>
      <c r="G142" s="514"/>
      <c r="H142" s="521"/>
      <c r="I142" s="521"/>
      <c r="J142" s="514"/>
      <c r="K142" s="514"/>
      <c r="L142" s="514"/>
      <c r="M142" s="514"/>
      <c r="N142" s="514"/>
      <c r="O142" s="514"/>
      <c r="P142" s="514"/>
      <c r="Q142" s="514"/>
      <c r="R142" s="514"/>
      <c r="S142" s="514"/>
      <c r="T142" s="514"/>
      <c r="U142" s="514"/>
      <c r="V142" s="514"/>
      <c r="W142" s="514"/>
      <c r="X142" s="514"/>
      <c r="Y142" s="514"/>
      <c r="Z142" s="514"/>
      <c r="AA142" s="514"/>
      <c r="AB142" s="514"/>
      <c r="AC142" s="514"/>
      <c r="AD142" s="514"/>
      <c r="AE142" s="514"/>
      <c r="AF142" s="514"/>
      <c r="AG142" s="514"/>
      <c r="AH142" s="514"/>
      <c r="AI142" s="514"/>
      <c r="AJ142" s="514"/>
      <c r="AK142" s="514"/>
      <c r="AL142" s="514"/>
      <c r="AM142" s="514"/>
      <c r="AN142" s="514"/>
    </row>
    <row r="143" ht="16.5" customHeight="1">
      <c r="A143" s="514"/>
      <c r="B143" s="520"/>
      <c r="C143" s="514"/>
      <c r="D143" s="514"/>
      <c r="E143" s="514"/>
      <c r="F143" s="514"/>
      <c r="G143" s="514"/>
      <c r="H143" s="521"/>
      <c r="I143" s="521"/>
      <c r="J143" s="514"/>
      <c r="K143" s="514"/>
      <c r="L143" s="514"/>
      <c r="M143" s="514"/>
      <c r="N143" s="514"/>
      <c r="O143" s="514"/>
      <c r="P143" s="514"/>
      <c r="Q143" s="514"/>
      <c r="R143" s="514"/>
      <c r="S143" s="514"/>
      <c r="T143" s="514"/>
      <c r="U143" s="514"/>
      <c r="V143" s="514"/>
      <c r="W143" s="514"/>
      <c r="X143" s="514"/>
      <c r="Y143" s="514"/>
      <c r="Z143" s="514"/>
      <c r="AA143" s="514"/>
      <c r="AB143" s="514"/>
      <c r="AC143" s="514"/>
      <c r="AD143" s="514"/>
      <c r="AE143" s="514"/>
      <c r="AF143" s="514"/>
      <c r="AG143" s="514"/>
      <c r="AH143" s="514"/>
      <c r="AI143" s="514"/>
      <c r="AJ143" s="514"/>
      <c r="AK143" s="514"/>
      <c r="AL143" s="514"/>
      <c r="AM143" s="514"/>
      <c r="AN143" s="514"/>
    </row>
    <row r="144" ht="16.5" customHeight="1">
      <c r="A144" s="514"/>
      <c r="B144" s="520"/>
      <c r="C144" s="514"/>
      <c r="D144" s="514"/>
      <c r="E144" s="514"/>
      <c r="F144" s="514"/>
      <c r="G144" s="514"/>
      <c r="H144" s="521"/>
      <c r="I144" s="521"/>
      <c r="J144" s="514"/>
      <c r="K144" s="514"/>
      <c r="L144" s="514"/>
      <c r="M144" s="514"/>
      <c r="N144" s="514"/>
      <c r="O144" s="514"/>
      <c r="P144" s="514"/>
      <c r="Q144" s="514"/>
      <c r="R144" s="514"/>
      <c r="S144" s="514"/>
      <c r="T144" s="514"/>
      <c r="U144" s="514"/>
      <c r="V144" s="514"/>
      <c r="W144" s="514"/>
      <c r="X144" s="514"/>
      <c r="Y144" s="514"/>
      <c r="Z144" s="514"/>
      <c r="AA144" s="514"/>
      <c r="AB144" s="514"/>
      <c r="AC144" s="514"/>
      <c r="AD144" s="514"/>
      <c r="AE144" s="514"/>
      <c r="AF144" s="514"/>
      <c r="AG144" s="514"/>
      <c r="AH144" s="514"/>
      <c r="AI144" s="514"/>
      <c r="AJ144" s="514"/>
      <c r="AK144" s="514"/>
      <c r="AL144" s="514"/>
      <c r="AM144" s="514"/>
      <c r="AN144" s="514"/>
    </row>
    <row r="145" ht="16.5" customHeight="1">
      <c r="A145" s="514"/>
      <c r="B145" s="520"/>
      <c r="C145" s="514"/>
      <c r="D145" s="514"/>
      <c r="E145" s="514"/>
      <c r="F145" s="514"/>
      <c r="G145" s="514"/>
      <c r="H145" s="521"/>
      <c r="I145" s="521"/>
      <c r="J145" s="514"/>
      <c r="K145" s="514"/>
      <c r="L145" s="514"/>
      <c r="M145" s="514"/>
      <c r="N145" s="514"/>
      <c r="O145" s="514"/>
      <c r="P145" s="514"/>
      <c r="Q145" s="514"/>
      <c r="R145" s="514"/>
      <c r="S145" s="514"/>
      <c r="T145" s="514"/>
      <c r="U145" s="514"/>
      <c r="V145" s="514"/>
      <c r="W145" s="514"/>
      <c r="X145" s="514"/>
      <c r="Y145" s="514"/>
      <c r="Z145" s="514"/>
      <c r="AA145" s="514"/>
      <c r="AB145" s="514"/>
      <c r="AC145" s="514"/>
      <c r="AD145" s="514"/>
      <c r="AE145" s="514"/>
      <c r="AF145" s="514"/>
      <c r="AG145" s="514"/>
      <c r="AH145" s="514"/>
      <c r="AI145" s="514"/>
      <c r="AJ145" s="514"/>
      <c r="AK145" s="514"/>
      <c r="AL145" s="514"/>
      <c r="AM145" s="514"/>
      <c r="AN145" s="514"/>
    </row>
    <row r="146" ht="16.5" customHeight="1">
      <c r="A146" s="514"/>
      <c r="B146" s="520"/>
      <c r="C146" s="514"/>
      <c r="D146" s="514"/>
      <c r="E146" s="514"/>
      <c r="F146" s="514"/>
      <c r="G146" s="514"/>
      <c r="H146" s="521"/>
      <c r="I146" s="521"/>
      <c r="J146" s="514"/>
      <c r="K146" s="514"/>
      <c r="L146" s="514"/>
      <c r="M146" s="514"/>
      <c r="N146" s="514"/>
      <c r="O146" s="514"/>
      <c r="P146" s="514"/>
      <c r="Q146" s="514"/>
      <c r="R146" s="514"/>
      <c r="S146" s="514"/>
      <c r="T146" s="514"/>
      <c r="U146" s="514"/>
      <c r="V146" s="514"/>
      <c r="W146" s="514"/>
      <c r="X146" s="514"/>
      <c r="Y146" s="514"/>
      <c r="Z146" s="514"/>
      <c r="AA146" s="514"/>
      <c r="AB146" s="514"/>
      <c r="AC146" s="514"/>
      <c r="AD146" s="514"/>
      <c r="AE146" s="514"/>
      <c r="AF146" s="514"/>
      <c r="AG146" s="514"/>
      <c r="AH146" s="514"/>
      <c r="AI146" s="514"/>
      <c r="AJ146" s="514"/>
      <c r="AK146" s="514"/>
      <c r="AL146" s="514"/>
      <c r="AM146" s="514"/>
      <c r="AN146" s="514"/>
    </row>
    <row r="147" ht="16.5" customHeight="1">
      <c r="A147" s="514"/>
      <c r="B147" s="520"/>
      <c r="C147" s="514"/>
      <c r="D147" s="514"/>
      <c r="E147" s="514"/>
      <c r="F147" s="514"/>
      <c r="G147" s="514"/>
      <c r="H147" s="521"/>
      <c r="I147" s="521"/>
      <c r="J147" s="514"/>
      <c r="K147" s="514"/>
      <c r="L147" s="514"/>
      <c r="M147" s="514"/>
      <c r="N147" s="514"/>
      <c r="O147" s="514"/>
      <c r="P147" s="514"/>
      <c r="Q147" s="514"/>
      <c r="R147" s="514"/>
      <c r="S147" s="514"/>
      <c r="T147" s="514"/>
      <c r="U147" s="514"/>
      <c r="V147" s="514"/>
      <c r="W147" s="514"/>
      <c r="X147" s="514"/>
      <c r="Y147" s="514"/>
      <c r="Z147" s="514"/>
      <c r="AA147" s="514"/>
      <c r="AB147" s="514"/>
      <c r="AC147" s="514"/>
      <c r="AD147" s="514"/>
      <c r="AE147" s="514"/>
      <c r="AF147" s="514"/>
      <c r="AG147" s="514"/>
      <c r="AH147" s="514"/>
      <c r="AI147" s="514"/>
      <c r="AJ147" s="514"/>
      <c r="AK147" s="514"/>
      <c r="AL147" s="514"/>
      <c r="AM147" s="514"/>
      <c r="AN147" s="514"/>
    </row>
    <row r="148" ht="16.5" customHeight="1">
      <c r="A148" s="514"/>
      <c r="B148" s="520"/>
      <c r="C148" s="514"/>
      <c r="D148" s="514"/>
      <c r="E148" s="514"/>
      <c r="F148" s="514"/>
      <c r="G148" s="514"/>
      <c r="H148" s="521"/>
      <c r="I148" s="521"/>
      <c r="J148" s="514"/>
      <c r="K148" s="514"/>
      <c r="L148" s="514"/>
      <c r="M148" s="514"/>
      <c r="N148" s="514"/>
      <c r="O148" s="514"/>
      <c r="P148" s="514"/>
      <c r="Q148" s="514"/>
      <c r="R148" s="514"/>
      <c r="S148" s="514"/>
      <c r="T148" s="514"/>
      <c r="U148" s="514"/>
      <c r="V148" s="514"/>
      <c r="W148" s="514"/>
      <c r="X148" s="514"/>
      <c r="Y148" s="514"/>
      <c r="Z148" s="514"/>
      <c r="AA148" s="514"/>
      <c r="AB148" s="514"/>
      <c r="AC148" s="514"/>
      <c r="AD148" s="514"/>
      <c r="AE148" s="514"/>
      <c r="AF148" s="514"/>
      <c r="AG148" s="514"/>
      <c r="AH148" s="514"/>
      <c r="AI148" s="514"/>
      <c r="AJ148" s="514"/>
      <c r="AK148" s="514"/>
      <c r="AL148" s="514"/>
      <c r="AM148" s="514"/>
      <c r="AN148" s="514"/>
    </row>
    <row r="149" ht="16.5" customHeight="1">
      <c r="A149" s="514"/>
      <c r="B149" s="520"/>
      <c r="C149" s="514"/>
      <c r="D149" s="514"/>
      <c r="E149" s="514"/>
      <c r="F149" s="514"/>
      <c r="G149" s="514"/>
      <c r="H149" s="521"/>
      <c r="I149" s="521"/>
      <c r="J149" s="514"/>
      <c r="K149" s="514"/>
      <c r="L149" s="514"/>
      <c r="M149" s="514"/>
      <c r="N149" s="514"/>
      <c r="O149" s="514"/>
      <c r="P149" s="514"/>
      <c r="Q149" s="514"/>
      <c r="R149" s="514"/>
      <c r="S149" s="514"/>
      <c r="T149" s="514"/>
      <c r="U149" s="514"/>
      <c r="V149" s="514"/>
      <c r="W149" s="514"/>
      <c r="X149" s="514"/>
      <c r="Y149" s="514"/>
      <c r="Z149" s="514"/>
      <c r="AA149" s="514"/>
      <c r="AB149" s="514"/>
      <c r="AC149" s="514"/>
      <c r="AD149" s="514"/>
      <c r="AE149" s="514"/>
      <c r="AF149" s="514"/>
      <c r="AG149" s="514"/>
      <c r="AH149" s="514"/>
      <c r="AI149" s="514"/>
      <c r="AJ149" s="514"/>
      <c r="AK149" s="514"/>
      <c r="AL149" s="514"/>
      <c r="AM149" s="514"/>
      <c r="AN149" s="514"/>
    </row>
    <row r="150" ht="16.5" customHeight="1">
      <c r="A150" s="514"/>
      <c r="B150" s="520"/>
      <c r="C150" s="514"/>
      <c r="D150" s="514"/>
      <c r="E150" s="514"/>
      <c r="F150" s="514"/>
      <c r="G150" s="514"/>
      <c r="H150" s="521"/>
      <c r="I150" s="521"/>
      <c r="J150" s="514"/>
      <c r="K150" s="514"/>
      <c r="L150" s="514"/>
      <c r="M150" s="514"/>
      <c r="N150" s="514"/>
      <c r="O150" s="514"/>
      <c r="P150" s="514"/>
      <c r="Q150" s="514"/>
      <c r="R150" s="514"/>
      <c r="S150" s="514"/>
      <c r="T150" s="514"/>
      <c r="U150" s="514"/>
      <c r="V150" s="514"/>
      <c r="W150" s="514"/>
      <c r="X150" s="514"/>
      <c r="Y150" s="514"/>
      <c r="Z150" s="514"/>
      <c r="AA150" s="514"/>
      <c r="AB150" s="514"/>
      <c r="AC150" s="514"/>
      <c r="AD150" s="514"/>
      <c r="AE150" s="514"/>
      <c r="AF150" s="514"/>
      <c r="AG150" s="514"/>
      <c r="AH150" s="514"/>
      <c r="AI150" s="514"/>
      <c r="AJ150" s="514"/>
      <c r="AK150" s="514"/>
      <c r="AL150" s="514"/>
      <c r="AM150" s="514"/>
      <c r="AN150" s="514"/>
    </row>
    <row r="151" ht="16.5" customHeight="1">
      <c r="A151" s="514"/>
      <c r="B151" s="520"/>
      <c r="C151" s="514"/>
      <c r="D151" s="514"/>
      <c r="E151" s="514"/>
      <c r="F151" s="514"/>
      <c r="G151" s="514"/>
      <c r="H151" s="521"/>
      <c r="I151" s="521"/>
      <c r="J151" s="514"/>
      <c r="K151" s="514"/>
      <c r="L151" s="514"/>
      <c r="M151" s="514"/>
      <c r="N151" s="514"/>
      <c r="O151" s="514"/>
      <c r="P151" s="514"/>
      <c r="Q151" s="514"/>
      <c r="R151" s="514"/>
      <c r="S151" s="514"/>
      <c r="T151" s="514"/>
      <c r="U151" s="514"/>
      <c r="V151" s="514"/>
      <c r="W151" s="514"/>
      <c r="X151" s="514"/>
      <c r="Y151" s="514"/>
      <c r="Z151" s="514"/>
      <c r="AA151" s="514"/>
      <c r="AB151" s="514"/>
      <c r="AC151" s="514"/>
      <c r="AD151" s="514"/>
      <c r="AE151" s="514"/>
      <c r="AF151" s="514"/>
      <c r="AG151" s="514"/>
      <c r="AH151" s="514"/>
      <c r="AI151" s="514"/>
      <c r="AJ151" s="514"/>
      <c r="AK151" s="514"/>
      <c r="AL151" s="514"/>
      <c r="AM151" s="514"/>
      <c r="AN151" s="514"/>
    </row>
    <row r="152" ht="16.5" customHeight="1">
      <c r="A152" s="514"/>
      <c r="B152" s="520"/>
      <c r="C152" s="514"/>
      <c r="D152" s="514"/>
      <c r="E152" s="514"/>
      <c r="F152" s="514"/>
      <c r="G152" s="514"/>
      <c r="H152" s="521"/>
      <c r="I152" s="521"/>
      <c r="J152" s="514"/>
      <c r="K152" s="514"/>
      <c r="L152" s="514"/>
      <c r="M152" s="514"/>
      <c r="N152" s="514"/>
      <c r="O152" s="514"/>
      <c r="P152" s="514"/>
      <c r="Q152" s="514"/>
      <c r="R152" s="514"/>
      <c r="S152" s="514"/>
      <c r="T152" s="514"/>
      <c r="U152" s="514"/>
      <c r="V152" s="514"/>
      <c r="W152" s="514"/>
      <c r="X152" s="514"/>
      <c r="Y152" s="514"/>
      <c r="Z152" s="514"/>
      <c r="AA152" s="514"/>
      <c r="AB152" s="514"/>
      <c r="AC152" s="514"/>
      <c r="AD152" s="514"/>
      <c r="AE152" s="514"/>
      <c r="AF152" s="514"/>
      <c r="AG152" s="514"/>
      <c r="AH152" s="514"/>
      <c r="AI152" s="514"/>
      <c r="AJ152" s="514"/>
      <c r="AK152" s="514"/>
      <c r="AL152" s="514"/>
      <c r="AM152" s="514"/>
      <c r="AN152" s="514"/>
    </row>
    <row r="153" ht="16.5" customHeight="1">
      <c r="A153" s="514"/>
      <c r="B153" s="520"/>
      <c r="C153" s="514"/>
      <c r="D153" s="514"/>
      <c r="E153" s="514"/>
      <c r="F153" s="514"/>
      <c r="G153" s="514"/>
      <c r="H153" s="521"/>
      <c r="I153" s="521"/>
      <c r="J153" s="514"/>
      <c r="K153" s="514"/>
      <c r="L153" s="514"/>
      <c r="M153" s="514"/>
      <c r="N153" s="514"/>
      <c r="O153" s="514"/>
      <c r="P153" s="514"/>
      <c r="Q153" s="514"/>
      <c r="R153" s="514"/>
      <c r="S153" s="514"/>
      <c r="T153" s="514"/>
      <c r="U153" s="514"/>
      <c r="V153" s="514"/>
      <c r="W153" s="514"/>
      <c r="X153" s="514"/>
      <c r="Y153" s="514"/>
      <c r="Z153" s="514"/>
      <c r="AA153" s="514"/>
      <c r="AB153" s="514"/>
      <c r="AC153" s="514"/>
      <c r="AD153" s="514"/>
      <c r="AE153" s="514"/>
      <c r="AF153" s="514"/>
      <c r="AG153" s="514"/>
      <c r="AH153" s="514"/>
      <c r="AI153" s="514"/>
      <c r="AJ153" s="514"/>
      <c r="AK153" s="514"/>
      <c r="AL153" s="514"/>
      <c r="AM153" s="514"/>
      <c r="AN153" s="514"/>
    </row>
    <row r="154" ht="16.5" customHeight="1">
      <c r="A154" s="514"/>
      <c r="B154" s="520"/>
      <c r="C154" s="514"/>
      <c r="D154" s="514"/>
      <c r="E154" s="514"/>
      <c r="F154" s="514"/>
      <c r="G154" s="514"/>
      <c r="H154" s="521"/>
      <c r="I154" s="521"/>
      <c r="J154" s="514"/>
      <c r="K154" s="514"/>
      <c r="L154" s="514"/>
      <c r="M154" s="514"/>
      <c r="N154" s="514"/>
      <c r="O154" s="514"/>
      <c r="P154" s="514"/>
      <c r="Q154" s="514"/>
      <c r="R154" s="514"/>
      <c r="S154" s="514"/>
      <c r="T154" s="514"/>
      <c r="U154" s="514"/>
      <c r="V154" s="514"/>
      <c r="W154" s="514"/>
      <c r="X154" s="514"/>
      <c r="Y154" s="514"/>
      <c r="Z154" s="514"/>
      <c r="AA154" s="514"/>
      <c r="AB154" s="514"/>
      <c r="AC154" s="514"/>
      <c r="AD154" s="514"/>
      <c r="AE154" s="514"/>
      <c r="AF154" s="514"/>
      <c r="AG154" s="514"/>
      <c r="AH154" s="514"/>
      <c r="AI154" s="514"/>
      <c r="AJ154" s="514"/>
      <c r="AK154" s="514"/>
      <c r="AL154" s="514"/>
      <c r="AM154" s="514"/>
      <c r="AN154" s="514"/>
    </row>
    <row r="155" ht="16.5" customHeight="1">
      <c r="A155" s="514"/>
      <c r="B155" s="520"/>
      <c r="C155" s="514"/>
      <c r="D155" s="514"/>
      <c r="E155" s="514"/>
      <c r="F155" s="514"/>
      <c r="G155" s="514"/>
      <c r="H155" s="521"/>
      <c r="I155" s="521"/>
      <c r="J155" s="514"/>
      <c r="K155" s="514"/>
      <c r="L155" s="514"/>
      <c r="M155" s="514"/>
      <c r="N155" s="514"/>
      <c r="O155" s="514"/>
      <c r="P155" s="514"/>
      <c r="Q155" s="514"/>
      <c r="R155" s="514"/>
      <c r="S155" s="514"/>
      <c r="T155" s="514"/>
      <c r="U155" s="514"/>
      <c r="V155" s="514"/>
      <c r="W155" s="514"/>
      <c r="X155" s="514"/>
      <c r="Y155" s="514"/>
      <c r="Z155" s="514"/>
      <c r="AA155" s="514"/>
      <c r="AB155" s="514"/>
      <c r="AC155" s="514"/>
      <c r="AD155" s="514"/>
      <c r="AE155" s="514"/>
      <c r="AF155" s="514"/>
      <c r="AG155" s="514"/>
      <c r="AH155" s="514"/>
      <c r="AI155" s="514"/>
      <c r="AJ155" s="514"/>
      <c r="AK155" s="514"/>
      <c r="AL155" s="514"/>
      <c r="AM155" s="514"/>
      <c r="AN155" s="514"/>
    </row>
    <row r="156" ht="16.5" customHeight="1">
      <c r="A156" s="514"/>
      <c r="B156" s="520"/>
      <c r="C156" s="514"/>
      <c r="D156" s="514"/>
      <c r="E156" s="514"/>
      <c r="F156" s="514"/>
      <c r="G156" s="514"/>
      <c r="H156" s="521"/>
      <c r="I156" s="521"/>
      <c r="J156" s="514"/>
      <c r="K156" s="514"/>
      <c r="L156" s="514"/>
      <c r="M156" s="514"/>
      <c r="N156" s="514"/>
      <c r="O156" s="514"/>
      <c r="P156" s="514"/>
      <c r="Q156" s="514"/>
      <c r="R156" s="514"/>
      <c r="S156" s="514"/>
      <c r="T156" s="514"/>
      <c r="U156" s="514"/>
      <c r="V156" s="514"/>
      <c r="W156" s="514"/>
      <c r="X156" s="514"/>
      <c r="Y156" s="514"/>
      <c r="Z156" s="514"/>
      <c r="AA156" s="514"/>
      <c r="AB156" s="514"/>
      <c r="AC156" s="514"/>
      <c r="AD156" s="514"/>
      <c r="AE156" s="514"/>
      <c r="AF156" s="514"/>
      <c r="AG156" s="514"/>
      <c r="AH156" s="514"/>
      <c r="AI156" s="514"/>
      <c r="AJ156" s="514"/>
      <c r="AK156" s="514"/>
      <c r="AL156" s="514"/>
      <c r="AM156" s="514"/>
      <c r="AN156" s="514"/>
    </row>
    <row r="157" ht="16.5" customHeight="1">
      <c r="A157" s="514"/>
      <c r="B157" s="520"/>
      <c r="C157" s="514"/>
      <c r="D157" s="514"/>
      <c r="E157" s="514"/>
      <c r="F157" s="514"/>
      <c r="G157" s="514"/>
      <c r="H157" s="521"/>
      <c r="I157" s="521"/>
      <c r="J157" s="514"/>
      <c r="K157" s="514"/>
      <c r="L157" s="514"/>
      <c r="M157" s="514"/>
      <c r="N157" s="514"/>
      <c r="O157" s="514"/>
      <c r="P157" s="514"/>
      <c r="Q157" s="514"/>
      <c r="R157" s="514"/>
      <c r="S157" s="514"/>
      <c r="T157" s="514"/>
      <c r="U157" s="514"/>
      <c r="V157" s="514"/>
      <c r="W157" s="514"/>
      <c r="X157" s="514"/>
      <c r="Y157" s="514"/>
      <c r="Z157" s="514"/>
      <c r="AA157" s="514"/>
      <c r="AB157" s="514"/>
      <c r="AC157" s="514"/>
      <c r="AD157" s="514"/>
      <c r="AE157" s="514"/>
      <c r="AF157" s="514"/>
      <c r="AG157" s="514"/>
      <c r="AH157" s="514"/>
      <c r="AI157" s="514"/>
      <c r="AJ157" s="514"/>
      <c r="AK157" s="514"/>
      <c r="AL157" s="514"/>
      <c r="AM157" s="514"/>
      <c r="AN157" s="514"/>
    </row>
    <row r="158" ht="16.5" customHeight="1">
      <c r="A158" s="514"/>
      <c r="B158" s="520"/>
      <c r="C158" s="514"/>
      <c r="D158" s="514"/>
      <c r="E158" s="514"/>
      <c r="F158" s="514"/>
      <c r="G158" s="514"/>
      <c r="H158" s="521"/>
      <c r="I158" s="521"/>
      <c r="J158" s="514"/>
      <c r="K158" s="514"/>
      <c r="L158" s="514"/>
      <c r="M158" s="514"/>
      <c r="N158" s="514"/>
      <c r="O158" s="514"/>
      <c r="P158" s="514"/>
      <c r="Q158" s="514"/>
      <c r="R158" s="514"/>
      <c r="S158" s="514"/>
      <c r="T158" s="514"/>
      <c r="U158" s="514"/>
      <c r="V158" s="514"/>
      <c r="W158" s="514"/>
      <c r="X158" s="514"/>
      <c r="Y158" s="514"/>
      <c r="Z158" s="514"/>
      <c r="AA158" s="514"/>
      <c r="AB158" s="514"/>
      <c r="AC158" s="514"/>
      <c r="AD158" s="514"/>
      <c r="AE158" s="514"/>
      <c r="AF158" s="514"/>
      <c r="AG158" s="514"/>
      <c r="AH158" s="514"/>
      <c r="AI158" s="514"/>
      <c r="AJ158" s="514"/>
      <c r="AK158" s="514"/>
      <c r="AL158" s="514"/>
      <c r="AM158" s="514"/>
      <c r="AN158" s="514"/>
    </row>
    <row r="159" ht="16.5" customHeight="1">
      <c r="A159" s="514"/>
      <c r="B159" s="520"/>
      <c r="C159" s="514"/>
      <c r="D159" s="514"/>
      <c r="E159" s="514"/>
      <c r="F159" s="514"/>
      <c r="G159" s="514"/>
      <c r="H159" s="521"/>
      <c r="I159" s="521"/>
      <c r="J159" s="514"/>
      <c r="K159" s="514"/>
      <c r="L159" s="514"/>
      <c r="M159" s="514"/>
      <c r="N159" s="514"/>
      <c r="O159" s="514"/>
      <c r="P159" s="514"/>
      <c r="Q159" s="514"/>
      <c r="R159" s="514"/>
      <c r="S159" s="514"/>
      <c r="T159" s="514"/>
      <c r="U159" s="514"/>
      <c r="V159" s="514"/>
      <c r="W159" s="514"/>
      <c r="X159" s="514"/>
      <c r="Y159" s="514"/>
      <c r="Z159" s="514"/>
      <c r="AA159" s="514"/>
      <c r="AB159" s="514"/>
      <c r="AC159" s="514"/>
      <c r="AD159" s="514"/>
      <c r="AE159" s="514"/>
      <c r="AF159" s="514"/>
      <c r="AG159" s="514"/>
      <c r="AH159" s="514"/>
      <c r="AI159" s="514"/>
      <c r="AJ159" s="514"/>
      <c r="AK159" s="514"/>
      <c r="AL159" s="514"/>
      <c r="AM159" s="514"/>
      <c r="AN159" s="514"/>
    </row>
    <row r="160" ht="16.5" customHeight="1">
      <c r="A160" s="514"/>
      <c r="B160" s="520"/>
      <c r="C160" s="514"/>
      <c r="D160" s="514"/>
      <c r="E160" s="514"/>
      <c r="F160" s="514"/>
      <c r="G160" s="514"/>
      <c r="H160" s="521"/>
      <c r="I160" s="521"/>
      <c r="J160" s="514"/>
      <c r="K160" s="514"/>
      <c r="L160" s="514"/>
      <c r="M160" s="514"/>
      <c r="N160" s="514"/>
      <c r="O160" s="514"/>
      <c r="P160" s="514"/>
      <c r="Q160" s="514"/>
      <c r="R160" s="514"/>
      <c r="S160" s="514"/>
      <c r="T160" s="514"/>
      <c r="U160" s="514"/>
      <c r="V160" s="514"/>
      <c r="W160" s="514"/>
      <c r="X160" s="514"/>
      <c r="Y160" s="514"/>
      <c r="Z160" s="514"/>
      <c r="AA160" s="514"/>
      <c r="AB160" s="514"/>
      <c r="AC160" s="514"/>
      <c r="AD160" s="514"/>
      <c r="AE160" s="514"/>
      <c r="AF160" s="514"/>
      <c r="AG160" s="514"/>
      <c r="AH160" s="514"/>
      <c r="AI160" s="514"/>
      <c r="AJ160" s="514"/>
      <c r="AK160" s="514"/>
      <c r="AL160" s="514"/>
      <c r="AM160" s="514"/>
      <c r="AN160" s="514"/>
    </row>
    <row r="161" ht="16.5" customHeight="1">
      <c r="A161" s="514"/>
      <c r="B161" s="520"/>
      <c r="C161" s="514"/>
      <c r="D161" s="514"/>
      <c r="E161" s="514"/>
      <c r="F161" s="514"/>
      <c r="G161" s="514"/>
      <c r="H161" s="521"/>
      <c r="I161" s="521"/>
      <c r="J161" s="514"/>
      <c r="K161" s="514"/>
      <c r="L161" s="514"/>
      <c r="M161" s="514"/>
      <c r="N161" s="514"/>
      <c r="O161" s="514"/>
      <c r="P161" s="514"/>
      <c r="Q161" s="514"/>
      <c r="R161" s="514"/>
      <c r="S161" s="514"/>
      <c r="T161" s="514"/>
      <c r="U161" s="514"/>
      <c r="V161" s="514"/>
      <c r="W161" s="514"/>
      <c r="X161" s="514"/>
      <c r="Y161" s="514"/>
      <c r="Z161" s="514"/>
      <c r="AA161" s="514"/>
      <c r="AB161" s="514"/>
      <c r="AC161" s="514"/>
      <c r="AD161" s="514"/>
      <c r="AE161" s="514"/>
      <c r="AF161" s="514"/>
      <c r="AG161" s="514"/>
      <c r="AH161" s="514"/>
      <c r="AI161" s="514"/>
      <c r="AJ161" s="514"/>
      <c r="AK161" s="514"/>
      <c r="AL161" s="514"/>
      <c r="AM161" s="514"/>
      <c r="AN161" s="514"/>
    </row>
    <row r="162" ht="16.5" customHeight="1">
      <c r="A162" s="514"/>
      <c r="B162" s="520"/>
      <c r="C162" s="514"/>
      <c r="D162" s="514"/>
      <c r="E162" s="514"/>
      <c r="F162" s="514"/>
      <c r="G162" s="514"/>
      <c r="H162" s="521"/>
      <c r="I162" s="521"/>
      <c r="J162" s="514"/>
      <c r="K162" s="514"/>
      <c r="L162" s="514"/>
      <c r="M162" s="514"/>
      <c r="N162" s="514"/>
      <c r="O162" s="514"/>
      <c r="P162" s="514"/>
      <c r="Q162" s="514"/>
      <c r="R162" s="514"/>
      <c r="S162" s="514"/>
      <c r="T162" s="514"/>
      <c r="U162" s="514"/>
      <c r="V162" s="514"/>
      <c r="W162" s="514"/>
      <c r="X162" s="514"/>
      <c r="Y162" s="514"/>
      <c r="Z162" s="514"/>
      <c r="AA162" s="514"/>
      <c r="AB162" s="514"/>
      <c r="AC162" s="514"/>
      <c r="AD162" s="514"/>
      <c r="AE162" s="514"/>
      <c r="AF162" s="514"/>
      <c r="AG162" s="514"/>
      <c r="AH162" s="514"/>
      <c r="AI162" s="514"/>
      <c r="AJ162" s="514"/>
      <c r="AK162" s="514"/>
      <c r="AL162" s="514"/>
      <c r="AM162" s="514"/>
      <c r="AN162" s="514"/>
    </row>
    <row r="163" ht="16.5" customHeight="1">
      <c r="A163" s="514"/>
      <c r="B163" s="520"/>
      <c r="C163" s="514"/>
      <c r="D163" s="514"/>
      <c r="E163" s="514"/>
      <c r="F163" s="514"/>
      <c r="G163" s="514"/>
      <c r="H163" s="521"/>
      <c r="I163" s="521"/>
      <c r="J163" s="514"/>
      <c r="K163" s="514"/>
      <c r="L163" s="514"/>
      <c r="M163" s="514"/>
      <c r="N163" s="514"/>
      <c r="O163" s="514"/>
      <c r="P163" s="514"/>
      <c r="Q163" s="514"/>
      <c r="R163" s="514"/>
      <c r="S163" s="514"/>
      <c r="T163" s="514"/>
      <c r="U163" s="514"/>
      <c r="V163" s="514"/>
      <c r="W163" s="514"/>
      <c r="X163" s="514"/>
      <c r="Y163" s="514"/>
      <c r="Z163" s="514"/>
      <c r="AA163" s="514"/>
      <c r="AB163" s="514"/>
      <c r="AC163" s="514"/>
      <c r="AD163" s="514"/>
      <c r="AE163" s="514"/>
      <c r="AF163" s="514"/>
      <c r="AG163" s="514"/>
      <c r="AH163" s="514"/>
      <c r="AI163" s="514"/>
      <c r="AJ163" s="514"/>
      <c r="AK163" s="514"/>
      <c r="AL163" s="514"/>
      <c r="AM163" s="514"/>
      <c r="AN163" s="514"/>
    </row>
    <row r="164" ht="16.5" customHeight="1">
      <c r="A164" s="514"/>
      <c r="B164" s="520"/>
      <c r="C164" s="514"/>
      <c r="D164" s="514"/>
      <c r="E164" s="514"/>
      <c r="F164" s="514"/>
      <c r="G164" s="514"/>
      <c r="H164" s="521"/>
      <c r="I164" s="521"/>
      <c r="J164" s="514"/>
      <c r="K164" s="514"/>
      <c r="L164" s="514"/>
      <c r="M164" s="514"/>
      <c r="N164" s="514"/>
      <c r="O164" s="514"/>
      <c r="P164" s="514"/>
      <c r="Q164" s="514"/>
      <c r="R164" s="514"/>
      <c r="S164" s="514"/>
      <c r="T164" s="514"/>
      <c r="U164" s="514"/>
      <c r="V164" s="514"/>
      <c r="W164" s="514"/>
      <c r="X164" s="514"/>
      <c r="Y164" s="514"/>
      <c r="Z164" s="514"/>
      <c r="AA164" s="514"/>
      <c r="AB164" s="514"/>
      <c r="AC164" s="514"/>
      <c r="AD164" s="514"/>
      <c r="AE164" s="514"/>
      <c r="AF164" s="514"/>
      <c r="AG164" s="514"/>
      <c r="AH164" s="514"/>
      <c r="AI164" s="514"/>
      <c r="AJ164" s="514"/>
      <c r="AK164" s="514"/>
      <c r="AL164" s="514"/>
      <c r="AM164" s="514"/>
      <c r="AN164" s="514"/>
    </row>
    <row r="165" ht="16.5" customHeight="1">
      <c r="A165" s="514"/>
      <c r="B165" s="520"/>
      <c r="C165" s="514"/>
      <c r="D165" s="514"/>
      <c r="E165" s="514"/>
      <c r="F165" s="514"/>
      <c r="G165" s="514"/>
      <c r="H165" s="521"/>
      <c r="I165" s="521"/>
      <c r="J165" s="514"/>
      <c r="K165" s="514"/>
      <c r="L165" s="514"/>
      <c r="M165" s="514"/>
      <c r="N165" s="514"/>
      <c r="O165" s="514"/>
      <c r="P165" s="514"/>
      <c r="Q165" s="514"/>
      <c r="R165" s="514"/>
      <c r="S165" s="514"/>
      <c r="T165" s="514"/>
      <c r="U165" s="514"/>
      <c r="V165" s="514"/>
      <c r="W165" s="514"/>
      <c r="X165" s="514"/>
      <c r="Y165" s="514"/>
      <c r="Z165" s="514"/>
      <c r="AA165" s="514"/>
      <c r="AB165" s="514"/>
      <c r="AC165" s="514"/>
      <c r="AD165" s="514"/>
      <c r="AE165" s="514"/>
      <c r="AF165" s="514"/>
      <c r="AG165" s="514"/>
      <c r="AH165" s="514"/>
      <c r="AI165" s="514"/>
      <c r="AJ165" s="514"/>
      <c r="AK165" s="514"/>
      <c r="AL165" s="514"/>
      <c r="AM165" s="514"/>
      <c r="AN165" s="514"/>
    </row>
    <row r="166" ht="16.5" customHeight="1">
      <c r="A166" s="514"/>
      <c r="B166" s="520"/>
      <c r="C166" s="514"/>
      <c r="D166" s="514"/>
      <c r="E166" s="514"/>
      <c r="F166" s="514"/>
      <c r="G166" s="514"/>
      <c r="H166" s="521"/>
      <c r="I166" s="521"/>
      <c r="J166" s="514"/>
      <c r="K166" s="514"/>
      <c r="L166" s="514"/>
      <c r="M166" s="514"/>
      <c r="N166" s="514"/>
      <c r="O166" s="514"/>
      <c r="P166" s="514"/>
      <c r="Q166" s="514"/>
      <c r="R166" s="514"/>
      <c r="S166" s="514"/>
      <c r="T166" s="514"/>
      <c r="U166" s="514"/>
      <c r="V166" s="514"/>
      <c r="W166" s="514"/>
      <c r="X166" s="514"/>
      <c r="Y166" s="514"/>
      <c r="Z166" s="514"/>
      <c r="AA166" s="514"/>
      <c r="AB166" s="514"/>
      <c r="AC166" s="514"/>
      <c r="AD166" s="514"/>
      <c r="AE166" s="514"/>
      <c r="AF166" s="514"/>
      <c r="AG166" s="514"/>
      <c r="AH166" s="514"/>
      <c r="AI166" s="514"/>
      <c r="AJ166" s="514"/>
      <c r="AK166" s="514"/>
      <c r="AL166" s="514"/>
      <c r="AM166" s="514"/>
      <c r="AN166" s="514"/>
    </row>
    <row r="167" ht="16.5" customHeight="1">
      <c r="A167" s="514"/>
      <c r="B167" s="520"/>
      <c r="C167" s="514"/>
      <c r="D167" s="514"/>
      <c r="E167" s="514"/>
      <c r="F167" s="514"/>
      <c r="G167" s="514"/>
      <c r="H167" s="521"/>
      <c r="I167" s="521"/>
      <c r="J167" s="514"/>
      <c r="K167" s="514"/>
      <c r="L167" s="514"/>
      <c r="M167" s="514"/>
      <c r="N167" s="514"/>
      <c r="O167" s="514"/>
      <c r="P167" s="514"/>
      <c r="Q167" s="514"/>
      <c r="R167" s="514"/>
      <c r="S167" s="514"/>
      <c r="T167" s="514"/>
      <c r="U167" s="514"/>
      <c r="V167" s="514"/>
      <c r="W167" s="514"/>
      <c r="X167" s="514"/>
      <c r="Y167" s="514"/>
      <c r="Z167" s="514"/>
      <c r="AA167" s="514"/>
      <c r="AB167" s="514"/>
      <c r="AC167" s="514"/>
      <c r="AD167" s="514"/>
      <c r="AE167" s="514"/>
      <c r="AF167" s="514"/>
      <c r="AG167" s="514"/>
      <c r="AH167" s="514"/>
      <c r="AI167" s="514"/>
      <c r="AJ167" s="514"/>
      <c r="AK167" s="514"/>
      <c r="AL167" s="514"/>
      <c r="AM167" s="514"/>
      <c r="AN167" s="514"/>
    </row>
    <row r="168" ht="16.5" customHeight="1">
      <c r="A168" s="514"/>
      <c r="B168" s="520"/>
      <c r="C168" s="514"/>
      <c r="D168" s="514"/>
      <c r="E168" s="514"/>
      <c r="F168" s="514"/>
      <c r="G168" s="514"/>
      <c r="H168" s="521"/>
      <c r="I168" s="521"/>
      <c r="J168" s="514"/>
      <c r="K168" s="514"/>
      <c r="L168" s="514"/>
      <c r="M168" s="514"/>
      <c r="N168" s="514"/>
      <c r="O168" s="514"/>
      <c r="P168" s="514"/>
      <c r="Q168" s="514"/>
      <c r="R168" s="514"/>
      <c r="S168" s="514"/>
      <c r="T168" s="514"/>
      <c r="U168" s="514"/>
      <c r="V168" s="514"/>
      <c r="W168" s="514"/>
      <c r="X168" s="514"/>
      <c r="Y168" s="514"/>
      <c r="Z168" s="514"/>
      <c r="AA168" s="514"/>
      <c r="AB168" s="514"/>
      <c r="AC168" s="514"/>
      <c r="AD168" s="514"/>
      <c r="AE168" s="514"/>
      <c r="AF168" s="514"/>
      <c r="AG168" s="514"/>
      <c r="AH168" s="514"/>
      <c r="AI168" s="514"/>
      <c r="AJ168" s="514"/>
      <c r="AK168" s="514"/>
      <c r="AL168" s="514"/>
      <c r="AM168" s="514"/>
      <c r="AN168" s="514"/>
    </row>
    <row r="169" ht="16.5" customHeight="1">
      <c r="A169" s="514"/>
      <c r="B169" s="520"/>
      <c r="C169" s="514"/>
      <c r="D169" s="514"/>
      <c r="E169" s="514"/>
      <c r="F169" s="514"/>
      <c r="G169" s="514"/>
      <c r="H169" s="521"/>
      <c r="I169" s="521"/>
      <c r="J169" s="514"/>
      <c r="K169" s="514"/>
      <c r="L169" s="514"/>
      <c r="M169" s="514"/>
      <c r="N169" s="514"/>
      <c r="O169" s="514"/>
      <c r="P169" s="514"/>
      <c r="Q169" s="514"/>
      <c r="R169" s="514"/>
      <c r="S169" s="514"/>
      <c r="T169" s="514"/>
      <c r="U169" s="514"/>
      <c r="V169" s="514"/>
      <c r="W169" s="514"/>
      <c r="X169" s="514"/>
      <c r="Y169" s="514"/>
      <c r="Z169" s="514"/>
      <c r="AA169" s="514"/>
      <c r="AB169" s="514"/>
      <c r="AC169" s="514"/>
      <c r="AD169" s="514"/>
      <c r="AE169" s="514"/>
      <c r="AF169" s="514"/>
      <c r="AG169" s="514"/>
      <c r="AH169" s="514"/>
      <c r="AI169" s="514"/>
      <c r="AJ169" s="514"/>
      <c r="AK169" s="514"/>
      <c r="AL169" s="514"/>
      <c r="AM169" s="514"/>
      <c r="AN169" s="514"/>
    </row>
    <row r="170" ht="16.5" customHeight="1">
      <c r="A170" s="514"/>
      <c r="B170" s="520"/>
      <c r="C170" s="514"/>
      <c r="D170" s="514"/>
      <c r="E170" s="514"/>
      <c r="F170" s="514"/>
      <c r="G170" s="514"/>
      <c r="H170" s="521"/>
      <c r="I170" s="521"/>
      <c r="J170" s="514"/>
      <c r="K170" s="514"/>
      <c r="L170" s="514"/>
      <c r="M170" s="514"/>
      <c r="N170" s="514"/>
      <c r="O170" s="514"/>
      <c r="P170" s="514"/>
      <c r="Q170" s="514"/>
      <c r="R170" s="514"/>
      <c r="S170" s="514"/>
      <c r="T170" s="514"/>
      <c r="U170" s="514"/>
      <c r="V170" s="514"/>
      <c r="W170" s="514"/>
      <c r="X170" s="514"/>
      <c r="Y170" s="514"/>
      <c r="Z170" s="514"/>
      <c r="AA170" s="514"/>
      <c r="AB170" s="514"/>
      <c r="AC170" s="514"/>
      <c r="AD170" s="514"/>
      <c r="AE170" s="514"/>
      <c r="AF170" s="514"/>
      <c r="AG170" s="514"/>
      <c r="AH170" s="514"/>
      <c r="AI170" s="514"/>
      <c r="AJ170" s="514"/>
      <c r="AK170" s="514"/>
      <c r="AL170" s="514"/>
      <c r="AM170" s="514"/>
      <c r="AN170" s="514"/>
    </row>
    <row r="171" ht="16.5" customHeight="1">
      <c r="A171" s="514"/>
      <c r="B171" s="520"/>
      <c r="C171" s="514"/>
      <c r="D171" s="514"/>
      <c r="E171" s="514"/>
      <c r="F171" s="514"/>
      <c r="G171" s="514"/>
      <c r="H171" s="521"/>
      <c r="I171" s="521"/>
      <c r="J171" s="514"/>
      <c r="K171" s="514"/>
      <c r="L171" s="514"/>
      <c r="M171" s="514"/>
      <c r="N171" s="514"/>
      <c r="O171" s="514"/>
      <c r="P171" s="514"/>
      <c r="Q171" s="514"/>
      <c r="R171" s="514"/>
      <c r="S171" s="514"/>
      <c r="T171" s="514"/>
      <c r="U171" s="514"/>
      <c r="V171" s="514"/>
      <c r="W171" s="514"/>
      <c r="X171" s="514"/>
      <c r="Y171" s="514"/>
      <c r="Z171" s="514"/>
      <c r="AA171" s="514"/>
      <c r="AB171" s="514"/>
      <c r="AC171" s="514"/>
      <c r="AD171" s="514"/>
      <c r="AE171" s="514"/>
      <c r="AF171" s="514"/>
      <c r="AG171" s="514"/>
      <c r="AH171" s="514"/>
      <c r="AI171" s="514"/>
      <c r="AJ171" s="514"/>
      <c r="AK171" s="514"/>
      <c r="AL171" s="514"/>
      <c r="AM171" s="514"/>
      <c r="AN171" s="514"/>
    </row>
    <row r="172" ht="16.5" customHeight="1">
      <c r="A172" s="514"/>
      <c r="B172" s="520"/>
      <c r="C172" s="514"/>
      <c r="D172" s="514"/>
      <c r="E172" s="514"/>
      <c r="F172" s="514"/>
      <c r="G172" s="514"/>
      <c r="H172" s="521"/>
      <c r="I172" s="521"/>
      <c r="J172" s="514"/>
      <c r="K172" s="514"/>
      <c r="L172" s="514"/>
      <c r="M172" s="514"/>
      <c r="N172" s="514"/>
      <c r="O172" s="514"/>
      <c r="P172" s="514"/>
      <c r="Q172" s="514"/>
      <c r="R172" s="514"/>
      <c r="S172" s="514"/>
      <c r="T172" s="514"/>
      <c r="U172" s="514"/>
      <c r="V172" s="514"/>
      <c r="W172" s="514"/>
      <c r="X172" s="514"/>
      <c r="Y172" s="514"/>
      <c r="Z172" s="514"/>
      <c r="AA172" s="514"/>
      <c r="AB172" s="514"/>
      <c r="AC172" s="514"/>
      <c r="AD172" s="514"/>
      <c r="AE172" s="514"/>
      <c r="AF172" s="514"/>
      <c r="AG172" s="514"/>
      <c r="AH172" s="514"/>
      <c r="AI172" s="514"/>
      <c r="AJ172" s="514"/>
      <c r="AK172" s="514"/>
      <c r="AL172" s="514"/>
      <c r="AM172" s="514"/>
      <c r="AN172" s="514"/>
    </row>
    <row r="173" ht="16.5" customHeight="1">
      <c r="A173" s="514"/>
      <c r="B173" s="520"/>
      <c r="C173" s="514"/>
      <c r="D173" s="514"/>
      <c r="E173" s="514"/>
      <c r="F173" s="514"/>
      <c r="G173" s="514"/>
      <c r="H173" s="521"/>
      <c r="I173" s="521"/>
      <c r="J173" s="514"/>
      <c r="K173" s="514"/>
      <c r="L173" s="514"/>
      <c r="M173" s="514"/>
      <c r="N173" s="514"/>
      <c r="O173" s="514"/>
      <c r="P173" s="514"/>
      <c r="Q173" s="514"/>
      <c r="R173" s="514"/>
      <c r="S173" s="514"/>
      <c r="T173" s="514"/>
      <c r="U173" s="514"/>
      <c r="V173" s="514"/>
      <c r="W173" s="514"/>
      <c r="X173" s="514"/>
      <c r="Y173" s="514"/>
      <c r="Z173" s="514"/>
      <c r="AA173" s="514"/>
      <c r="AB173" s="514"/>
      <c r="AC173" s="514"/>
      <c r="AD173" s="514"/>
      <c r="AE173" s="514"/>
      <c r="AF173" s="514"/>
      <c r="AG173" s="514"/>
      <c r="AH173" s="514"/>
      <c r="AI173" s="514"/>
      <c r="AJ173" s="514"/>
      <c r="AK173" s="514"/>
      <c r="AL173" s="514"/>
      <c r="AM173" s="514"/>
      <c r="AN173" s="514"/>
    </row>
    <row r="174" ht="16.5" customHeight="1">
      <c r="A174" s="514"/>
      <c r="B174" s="520"/>
      <c r="C174" s="514"/>
      <c r="D174" s="514"/>
      <c r="E174" s="514"/>
      <c r="F174" s="514"/>
      <c r="G174" s="514"/>
      <c r="H174" s="521"/>
      <c r="I174" s="521"/>
      <c r="J174" s="514"/>
      <c r="K174" s="514"/>
      <c r="L174" s="514"/>
      <c r="M174" s="514"/>
      <c r="N174" s="514"/>
      <c r="O174" s="514"/>
      <c r="P174" s="514"/>
      <c r="Q174" s="514"/>
      <c r="R174" s="514"/>
      <c r="S174" s="514"/>
      <c r="T174" s="514"/>
      <c r="U174" s="514"/>
      <c r="V174" s="514"/>
      <c r="W174" s="514"/>
      <c r="X174" s="514"/>
      <c r="Y174" s="514"/>
      <c r="Z174" s="514"/>
      <c r="AA174" s="514"/>
      <c r="AB174" s="514"/>
      <c r="AC174" s="514"/>
      <c r="AD174" s="514"/>
      <c r="AE174" s="514"/>
      <c r="AF174" s="514"/>
      <c r="AG174" s="514"/>
      <c r="AH174" s="514"/>
      <c r="AI174" s="514"/>
      <c r="AJ174" s="514"/>
      <c r="AK174" s="514"/>
      <c r="AL174" s="514"/>
      <c r="AM174" s="514"/>
      <c r="AN174" s="514"/>
    </row>
    <row r="175" ht="16.5" customHeight="1">
      <c r="A175" s="514"/>
      <c r="B175" s="520"/>
      <c r="C175" s="514"/>
      <c r="D175" s="514"/>
      <c r="E175" s="514"/>
      <c r="F175" s="514"/>
      <c r="G175" s="514"/>
      <c r="H175" s="521"/>
      <c r="I175" s="521"/>
      <c r="J175" s="514"/>
      <c r="K175" s="514"/>
      <c r="L175" s="514"/>
      <c r="M175" s="514"/>
      <c r="N175" s="514"/>
      <c r="O175" s="514"/>
      <c r="P175" s="514"/>
      <c r="Q175" s="514"/>
      <c r="R175" s="514"/>
      <c r="S175" s="514"/>
      <c r="T175" s="514"/>
      <c r="U175" s="514"/>
      <c r="V175" s="514"/>
      <c r="W175" s="514"/>
      <c r="X175" s="514"/>
      <c r="Y175" s="514"/>
      <c r="Z175" s="514"/>
      <c r="AA175" s="514"/>
      <c r="AB175" s="514"/>
      <c r="AC175" s="514"/>
      <c r="AD175" s="514"/>
      <c r="AE175" s="514"/>
      <c r="AF175" s="514"/>
      <c r="AG175" s="514"/>
      <c r="AH175" s="514"/>
      <c r="AI175" s="514"/>
      <c r="AJ175" s="514"/>
      <c r="AK175" s="514"/>
      <c r="AL175" s="514"/>
      <c r="AM175" s="514"/>
      <c r="AN175" s="514"/>
    </row>
    <row r="176" ht="16.5" customHeight="1">
      <c r="A176" s="514"/>
      <c r="B176" s="520"/>
      <c r="C176" s="514"/>
      <c r="D176" s="514"/>
      <c r="E176" s="514"/>
      <c r="F176" s="514"/>
      <c r="G176" s="514"/>
      <c r="H176" s="521"/>
      <c r="I176" s="521"/>
      <c r="J176" s="514"/>
      <c r="K176" s="514"/>
      <c r="L176" s="514"/>
      <c r="M176" s="514"/>
      <c r="N176" s="514"/>
      <c r="O176" s="514"/>
      <c r="P176" s="514"/>
      <c r="Q176" s="514"/>
      <c r="R176" s="514"/>
      <c r="S176" s="514"/>
      <c r="T176" s="514"/>
      <c r="U176" s="514"/>
      <c r="V176" s="514"/>
      <c r="W176" s="514"/>
      <c r="X176" s="514"/>
      <c r="Y176" s="514"/>
      <c r="Z176" s="514"/>
      <c r="AA176" s="514"/>
      <c r="AB176" s="514"/>
      <c r="AC176" s="514"/>
      <c r="AD176" s="514"/>
      <c r="AE176" s="514"/>
      <c r="AF176" s="514"/>
      <c r="AG176" s="514"/>
      <c r="AH176" s="514"/>
      <c r="AI176" s="514"/>
      <c r="AJ176" s="514"/>
      <c r="AK176" s="514"/>
      <c r="AL176" s="514"/>
      <c r="AM176" s="514"/>
      <c r="AN176" s="514"/>
    </row>
    <row r="177" ht="16.5" customHeight="1">
      <c r="A177" s="514"/>
      <c r="B177" s="520"/>
      <c r="C177" s="514"/>
      <c r="D177" s="514"/>
      <c r="E177" s="514"/>
      <c r="F177" s="514"/>
      <c r="G177" s="514"/>
      <c r="H177" s="521"/>
      <c r="I177" s="521"/>
      <c r="J177" s="514"/>
      <c r="K177" s="514"/>
      <c r="L177" s="514"/>
      <c r="M177" s="514"/>
      <c r="N177" s="514"/>
      <c r="O177" s="514"/>
      <c r="P177" s="514"/>
      <c r="Q177" s="514"/>
      <c r="R177" s="514"/>
      <c r="S177" s="514"/>
      <c r="T177" s="514"/>
      <c r="U177" s="514"/>
      <c r="V177" s="514"/>
      <c r="W177" s="514"/>
      <c r="X177" s="514"/>
      <c r="Y177" s="514"/>
      <c r="Z177" s="514"/>
      <c r="AA177" s="514"/>
      <c r="AB177" s="514"/>
      <c r="AC177" s="514"/>
      <c r="AD177" s="514"/>
      <c r="AE177" s="514"/>
      <c r="AF177" s="514"/>
      <c r="AG177" s="514"/>
      <c r="AH177" s="514"/>
      <c r="AI177" s="514"/>
      <c r="AJ177" s="514"/>
      <c r="AK177" s="514"/>
      <c r="AL177" s="514"/>
      <c r="AM177" s="514"/>
      <c r="AN177" s="514"/>
    </row>
    <row r="178" ht="16.5" customHeight="1">
      <c r="A178" s="514"/>
      <c r="B178" s="520"/>
      <c r="C178" s="514"/>
      <c r="D178" s="514"/>
      <c r="E178" s="514"/>
      <c r="F178" s="514"/>
      <c r="G178" s="514"/>
      <c r="H178" s="521"/>
      <c r="I178" s="521"/>
      <c r="J178" s="514"/>
      <c r="K178" s="514"/>
      <c r="L178" s="514"/>
      <c r="M178" s="514"/>
      <c r="N178" s="514"/>
      <c r="O178" s="514"/>
      <c r="P178" s="514"/>
      <c r="Q178" s="514"/>
      <c r="R178" s="514"/>
      <c r="S178" s="514"/>
      <c r="T178" s="514"/>
      <c r="U178" s="514"/>
      <c r="V178" s="514"/>
      <c r="W178" s="514"/>
      <c r="X178" s="514"/>
      <c r="Y178" s="514"/>
      <c r="Z178" s="514"/>
      <c r="AA178" s="514"/>
      <c r="AB178" s="514"/>
      <c r="AC178" s="514"/>
      <c r="AD178" s="514"/>
      <c r="AE178" s="514"/>
      <c r="AF178" s="514"/>
      <c r="AG178" s="514"/>
      <c r="AH178" s="514"/>
      <c r="AI178" s="514"/>
      <c r="AJ178" s="514"/>
      <c r="AK178" s="514"/>
      <c r="AL178" s="514"/>
      <c r="AM178" s="514"/>
      <c r="AN178" s="514"/>
    </row>
    <row r="179" ht="16.5" customHeight="1">
      <c r="A179" s="514"/>
      <c r="B179" s="520"/>
      <c r="C179" s="514"/>
      <c r="D179" s="514"/>
      <c r="E179" s="514"/>
      <c r="F179" s="514"/>
      <c r="G179" s="514"/>
      <c r="H179" s="521"/>
      <c r="I179" s="521"/>
      <c r="J179" s="514"/>
      <c r="K179" s="514"/>
      <c r="L179" s="514"/>
      <c r="M179" s="514"/>
      <c r="N179" s="514"/>
      <c r="O179" s="514"/>
      <c r="P179" s="514"/>
      <c r="Q179" s="514"/>
      <c r="R179" s="514"/>
      <c r="S179" s="514"/>
      <c r="T179" s="514"/>
      <c r="U179" s="514"/>
      <c r="V179" s="514"/>
      <c r="W179" s="514"/>
      <c r="X179" s="514"/>
      <c r="Y179" s="514"/>
      <c r="Z179" s="514"/>
      <c r="AA179" s="514"/>
      <c r="AB179" s="514"/>
      <c r="AC179" s="514"/>
      <c r="AD179" s="514"/>
      <c r="AE179" s="514"/>
      <c r="AF179" s="514"/>
      <c r="AG179" s="514"/>
      <c r="AH179" s="514"/>
      <c r="AI179" s="514"/>
      <c r="AJ179" s="514"/>
      <c r="AK179" s="514"/>
      <c r="AL179" s="514"/>
      <c r="AM179" s="514"/>
      <c r="AN179" s="514"/>
    </row>
    <row r="180" ht="16.5" customHeight="1">
      <c r="A180" s="514"/>
      <c r="B180" s="520"/>
      <c r="C180" s="514"/>
      <c r="D180" s="514"/>
      <c r="E180" s="514"/>
      <c r="F180" s="514"/>
      <c r="G180" s="514"/>
      <c r="H180" s="521"/>
      <c r="I180" s="521"/>
      <c r="J180" s="514"/>
      <c r="K180" s="514"/>
      <c r="L180" s="514"/>
      <c r="M180" s="514"/>
      <c r="N180" s="514"/>
      <c r="O180" s="514"/>
      <c r="P180" s="514"/>
      <c r="Q180" s="514"/>
      <c r="R180" s="514"/>
      <c r="S180" s="514"/>
      <c r="T180" s="514"/>
      <c r="U180" s="514"/>
      <c r="V180" s="514"/>
      <c r="W180" s="514"/>
      <c r="X180" s="514"/>
      <c r="Y180" s="514"/>
      <c r="Z180" s="514"/>
      <c r="AA180" s="514"/>
      <c r="AB180" s="514"/>
      <c r="AC180" s="514"/>
      <c r="AD180" s="514"/>
      <c r="AE180" s="514"/>
      <c r="AF180" s="514"/>
      <c r="AG180" s="514"/>
      <c r="AH180" s="514"/>
      <c r="AI180" s="514"/>
      <c r="AJ180" s="514"/>
      <c r="AK180" s="514"/>
      <c r="AL180" s="514"/>
      <c r="AM180" s="514"/>
      <c r="AN180" s="514"/>
    </row>
    <row r="181" ht="16.5" customHeight="1">
      <c r="A181" s="514"/>
      <c r="B181" s="520"/>
      <c r="C181" s="514"/>
      <c r="D181" s="514"/>
      <c r="E181" s="514"/>
      <c r="F181" s="514"/>
      <c r="G181" s="514"/>
      <c r="H181" s="521"/>
      <c r="I181" s="521"/>
      <c r="J181" s="514"/>
      <c r="K181" s="514"/>
      <c r="L181" s="514"/>
      <c r="M181" s="514"/>
      <c r="N181" s="514"/>
      <c r="O181" s="514"/>
      <c r="P181" s="514"/>
      <c r="Q181" s="514"/>
      <c r="R181" s="514"/>
      <c r="S181" s="514"/>
      <c r="T181" s="514"/>
      <c r="U181" s="514"/>
      <c r="V181" s="514"/>
      <c r="W181" s="514"/>
      <c r="X181" s="514"/>
      <c r="Y181" s="514"/>
      <c r="Z181" s="514"/>
      <c r="AA181" s="514"/>
      <c r="AB181" s="514"/>
      <c r="AC181" s="514"/>
      <c r="AD181" s="514"/>
      <c r="AE181" s="514"/>
      <c r="AF181" s="514"/>
      <c r="AG181" s="514"/>
      <c r="AH181" s="514"/>
      <c r="AI181" s="514"/>
      <c r="AJ181" s="514"/>
      <c r="AK181" s="514"/>
      <c r="AL181" s="514"/>
      <c r="AM181" s="514"/>
      <c r="AN181" s="514"/>
    </row>
    <row r="182" ht="16.5" customHeight="1">
      <c r="A182" s="514"/>
      <c r="B182" s="520"/>
      <c r="C182" s="514"/>
      <c r="D182" s="514"/>
      <c r="E182" s="514"/>
      <c r="F182" s="514"/>
      <c r="G182" s="514"/>
      <c r="H182" s="521"/>
      <c r="I182" s="521"/>
      <c r="J182" s="514"/>
      <c r="K182" s="514"/>
      <c r="L182" s="514"/>
      <c r="M182" s="514"/>
      <c r="N182" s="514"/>
      <c r="O182" s="514"/>
      <c r="P182" s="514"/>
      <c r="Q182" s="514"/>
      <c r="R182" s="514"/>
      <c r="S182" s="514"/>
      <c r="T182" s="514"/>
      <c r="U182" s="514"/>
      <c r="V182" s="514"/>
      <c r="W182" s="514"/>
      <c r="X182" s="514"/>
      <c r="Y182" s="514"/>
      <c r="Z182" s="514"/>
      <c r="AA182" s="514"/>
      <c r="AB182" s="514"/>
      <c r="AC182" s="514"/>
      <c r="AD182" s="514"/>
      <c r="AE182" s="514"/>
      <c r="AF182" s="514"/>
      <c r="AG182" s="514"/>
      <c r="AH182" s="514"/>
      <c r="AI182" s="514"/>
      <c r="AJ182" s="514"/>
      <c r="AK182" s="514"/>
      <c r="AL182" s="514"/>
      <c r="AM182" s="514"/>
      <c r="AN182" s="514"/>
    </row>
    <row r="183" ht="16.5" customHeight="1">
      <c r="A183" s="514"/>
      <c r="B183" s="520"/>
      <c r="C183" s="514"/>
      <c r="D183" s="514"/>
      <c r="E183" s="514"/>
      <c r="F183" s="514"/>
      <c r="G183" s="514"/>
      <c r="H183" s="521"/>
      <c r="I183" s="521"/>
      <c r="J183" s="514"/>
      <c r="K183" s="514"/>
      <c r="L183" s="514"/>
      <c r="M183" s="514"/>
      <c r="N183" s="514"/>
      <c r="O183" s="514"/>
      <c r="P183" s="514"/>
      <c r="Q183" s="514"/>
      <c r="R183" s="514"/>
      <c r="S183" s="514"/>
      <c r="T183" s="514"/>
      <c r="U183" s="514"/>
      <c r="V183" s="514"/>
      <c r="W183" s="514"/>
      <c r="X183" s="514"/>
      <c r="Y183" s="514"/>
      <c r="Z183" s="514"/>
      <c r="AA183" s="514"/>
      <c r="AB183" s="514"/>
      <c r="AC183" s="514"/>
      <c r="AD183" s="514"/>
      <c r="AE183" s="514"/>
      <c r="AF183" s="514"/>
      <c r="AG183" s="514"/>
      <c r="AH183" s="514"/>
      <c r="AI183" s="514"/>
      <c r="AJ183" s="514"/>
      <c r="AK183" s="514"/>
      <c r="AL183" s="514"/>
      <c r="AM183" s="514"/>
      <c r="AN183" s="514"/>
    </row>
    <row r="184" ht="16.5" customHeight="1">
      <c r="A184" s="514"/>
      <c r="B184" s="520"/>
      <c r="C184" s="514"/>
      <c r="D184" s="514"/>
      <c r="E184" s="514"/>
      <c r="F184" s="514"/>
      <c r="G184" s="514"/>
      <c r="H184" s="521"/>
      <c r="I184" s="521"/>
      <c r="J184" s="514"/>
      <c r="K184" s="514"/>
      <c r="L184" s="514"/>
      <c r="M184" s="514"/>
      <c r="N184" s="514"/>
      <c r="O184" s="514"/>
      <c r="P184" s="514"/>
      <c r="Q184" s="514"/>
      <c r="R184" s="514"/>
      <c r="S184" s="514"/>
      <c r="T184" s="514"/>
      <c r="U184" s="514"/>
      <c r="V184" s="514"/>
      <c r="W184" s="514"/>
      <c r="X184" s="514"/>
      <c r="Y184" s="514"/>
      <c r="Z184" s="514"/>
      <c r="AA184" s="514"/>
      <c r="AB184" s="514"/>
      <c r="AC184" s="514"/>
      <c r="AD184" s="514"/>
      <c r="AE184" s="514"/>
      <c r="AF184" s="514"/>
      <c r="AG184" s="514"/>
      <c r="AH184" s="514"/>
      <c r="AI184" s="514"/>
      <c r="AJ184" s="514"/>
      <c r="AK184" s="514"/>
      <c r="AL184" s="514"/>
      <c r="AM184" s="514"/>
      <c r="AN184" s="514"/>
    </row>
    <row r="185" ht="16.5" customHeight="1">
      <c r="A185" s="514"/>
      <c r="B185" s="520"/>
      <c r="C185" s="514"/>
      <c r="D185" s="514"/>
      <c r="E185" s="514"/>
      <c r="F185" s="514"/>
      <c r="G185" s="514"/>
      <c r="H185" s="521"/>
      <c r="I185" s="521"/>
      <c r="J185" s="514"/>
      <c r="K185" s="514"/>
      <c r="L185" s="514"/>
      <c r="M185" s="514"/>
      <c r="N185" s="514"/>
      <c r="O185" s="514"/>
      <c r="P185" s="514"/>
      <c r="Q185" s="514"/>
      <c r="R185" s="514"/>
      <c r="S185" s="514"/>
      <c r="T185" s="514"/>
      <c r="U185" s="514"/>
      <c r="V185" s="514"/>
      <c r="W185" s="514"/>
      <c r="X185" s="514"/>
      <c r="Y185" s="514"/>
      <c r="Z185" s="514"/>
      <c r="AA185" s="514"/>
      <c r="AB185" s="514"/>
      <c r="AC185" s="514"/>
      <c r="AD185" s="514"/>
      <c r="AE185" s="514"/>
      <c r="AF185" s="514"/>
      <c r="AG185" s="514"/>
      <c r="AH185" s="514"/>
      <c r="AI185" s="514"/>
      <c r="AJ185" s="514"/>
      <c r="AK185" s="514"/>
      <c r="AL185" s="514"/>
      <c r="AM185" s="514"/>
      <c r="AN185" s="514"/>
    </row>
    <row r="186" ht="16.5" customHeight="1">
      <c r="A186" s="514"/>
      <c r="B186" s="520"/>
      <c r="C186" s="514"/>
      <c r="D186" s="514"/>
      <c r="E186" s="514"/>
      <c r="F186" s="514"/>
      <c r="G186" s="514"/>
      <c r="H186" s="521"/>
      <c r="I186" s="521"/>
      <c r="J186" s="514"/>
      <c r="K186" s="514"/>
      <c r="L186" s="514"/>
      <c r="M186" s="514"/>
      <c r="N186" s="514"/>
      <c r="O186" s="514"/>
      <c r="P186" s="514"/>
      <c r="Q186" s="514"/>
      <c r="R186" s="514"/>
      <c r="S186" s="514"/>
      <c r="T186" s="514"/>
      <c r="U186" s="514"/>
      <c r="V186" s="514"/>
      <c r="W186" s="514"/>
      <c r="X186" s="514"/>
      <c r="Y186" s="514"/>
      <c r="Z186" s="514"/>
      <c r="AA186" s="514"/>
      <c r="AB186" s="514"/>
      <c r="AC186" s="514"/>
      <c r="AD186" s="514"/>
      <c r="AE186" s="514"/>
      <c r="AF186" s="514"/>
      <c r="AG186" s="514"/>
      <c r="AH186" s="514"/>
      <c r="AI186" s="514"/>
      <c r="AJ186" s="514"/>
      <c r="AK186" s="514"/>
      <c r="AL186" s="514"/>
      <c r="AM186" s="514"/>
      <c r="AN186" s="514"/>
    </row>
    <row r="187" ht="16.5" customHeight="1">
      <c r="A187" s="514"/>
      <c r="B187" s="520"/>
      <c r="C187" s="514"/>
      <c r="D187" s="514"/>
      <c r="E187" s="514"/>
      <c r="F187" s="514"/>
      <c r="G187" s="514"/>
      <c r="H187" s="521"/>
      <c r="I187" s="521"/>
      <c r="J187" s="514"/>
      <c r="K187" s="514"/>
      <c r="L187" s="514"/>
      <c r="M187" s="514"/>
      <c r="N187" s="514"/>
      <c r="O187" s="514"/>
      <c r="P187" s="514"/>
      <c r="Q187" s="514"/>
      <c r="R187" s="514"/>
      <c r="S187" s="514"/>
      <c r="T187" s="514"/>
      <c r="U187" s="514"/>
      <c r="V187" s="514"/>
      <c r="W187" s="514"/>
      <c r="X187" s="514"/>
      <c r="Y187" s="514"/>
      <c r="Z187" s="514"/>
      <c r="AA187" s="514"/>
      <c r="AB187" s="514"/>
      <c r="AC187" s="514"/>
      <c r="AD187" s="514"/>
      <c r="AE187" s="514"/>
      <c r="AF187" s="514"/>
      <c r="AG187" s="514"/>
      <c r="AH187" s="514"/>
      <c r="AI187" s="514"/>
      <c r="AJ187" s="514"/>
      <c r="AK187" s="514"/>
      <c r="AL187" s="514"/>
      <c r="AM187" s="514"/>
      <c r="AN187" s="514"/>
    </row>
    <row r="188" ht="16.5" customHeight="1">
      <c r="A188" s="514"/>
      <c r="B188" s="520"/>
      <c r="C188" s="514"/>
      <c r="D188" s="514"/>
      <c r="E188" s="514"/>
      <c r="F188" s="514"/>
      <c r="G188" s="514"/>
      <c r="H188" s="521"/>
      <c r="I188" s="521"/>
      <c r="J188" s="514"/>
      <c r="K188" s="514"/>
      <c r="L188" s="514"/>
      <c r="M188" s="514"/>
      <c r="N188" s="514"/>
      <c r="O188" s="514"/>
      <c r="P188" s="514"/>
      <c r="Q188" s="514"/>
      <c r="R188" s="514"/>
      <c r="S188" s="514"/>
      <c r="T188" s="514"/>
      <c r="U188" s="514"/>
      <c r="V188" s="514"/>
      <c r="W188" s="514"/>
      <c r="X188" s="514"/>
      <c r="Y188" s="514"/>
      <c r="Z188" s="514"/>
      <c r="AA188" s="514"/>
      <c r="AB188" s="514"/>
      <c r="AC188" s="514"/>
      <c r="AD188" s="514"/>
      <c r="AE188" s="514"/>
      <c r="AF188" s="514"/>
      <c r="AG188" s="514"/>
      <c r="AH188" s="514"/>
      <c r="AI188" s="514"/>
      <c r="AJ188" s="514"/>
      <c r="AK188" s="514"/>
      <c r="AL188" s="514"/>
      <c r="AM188" s="514"/>
      <c r="AN188" s="514"/>
    </row>
    <row r="189" ht="16.5" customHeight="1">
      <c r="A189" s="514"/>
      <c r="B189" s="520"/>
      <c r="C189" s="514"/>
      <c r="D189" s="514"/>
      <c r="E189" s="514"/>
      <c r="F189" s="514"/>
      <c r="G189" s="514"/>
      <c r="H189" s="521"/>
      <c r="I189" s="521"/>
      <c r="J189" s="514"/>
      <c r="K189" s="514"/>
      <c r="L189" s="514"/>
      <c r="M189" s="514"/>
      <c r="N189" s="514"/>
      <c r="O189" s="514"/>
      <c r="P189" s="514"/>
      <c r="Q189" s="514"/>
      <c r="R189" s="514"/>
      <c r="S189" s="514"/>
      <c r="T189" s="514"/>
      <c r="U189" s="514"/>
      <c r="V189" s="514"/>
      <c r="W189" s="514"/>
      <c r="X189" s="514"/>
      <c r="Y189" s="514"/>
      <c r="Z189" s="514"/>
      <c r="AA189" s="514"/>
      <c r="AB189" s="514"/>
      <c r="AC189" s="514"/>
      <c r="AD189" s="514"/>
      <c r="AE189" s="514"/>
      <c r="AF189" s="514"/>
      <c r="AG189" s="514"/>
      <c r="AH189" s="514"/>
      <c r="AI189" s="514"/>
      <c r="AJ189" s="514"/>
      <c r="AK189" s="514"/>
      <c r="AL189" s="514"/>
      <c r="AM189" s="514"/>
      <c r="AN189" s="514"/>
    </row>
    <row r="190" ht="16.5" customHeight="1">
      <c r="A190" s="514"/>
      <c r="B190" s="520"/>
      <c r="C190" s="514"/>
      <c r="D190" s="514"/>
      <c r="E190" s="514"/>
      <c r="F190" s="514"/>
      <c r="G190" s="514"/>
      <c r="H190" s="521"/>
      <c r="I190" s="521"/>
      <c r="J190" s="514"/>
      <c r="K190" s="514"/>
      <c r="L190" s="514"/>
      <c r="M190" s="514"/>
      <c r="N190" s="514"/>
      <c r="O190" s="514"/>
      <c r="P190" s="514"/>
      <c r="Q190" s="514"/>
      <c r="R190" s="514"/>
      <c r="S190" s="514"/>
      <c r="T190" s="514"/>
      <c r="U190" s="514"/>
      <c r="V190" s="514"/>
      <c r="W190" s="514"/>
      <c r="X190" s="514"/>
      <c r="Y190" s="514"/>
      <c r="Z190" s="514"/>
      <c r="AA190" s="514"/>
      <c r="AB190" s="514"/>
      <c r="AC190" s="514"/>
      <c r="AD190" s="514"/>
      <c r="AE190" s="514"/>
      <c r="AF190" s="514"/>
      <c r="AG190" s="514"/>
      <c r="AH190" s="514"/>
      <c r="AI190" s="514"/>
      <c r="AJ190" s="514"/>
      <c r="AK190" s="514"/>
      <c r="AL190" s="514"/>
      <c r="AM190" s="514"/>
      <c r="AN190" s="514"/>
    </row>
    <row r="191" ht="16.5" customHeight="1">
      <c r="A191" s="514"/>
      <c r="B191" s="520"/>
      <c r="C191" s="514"/>
      <c r="D191" s="514"/>
      <c r="E191" s="514"/>
      <c r="F191" s="514"/>
      <c r="G191" s="514"/>
      <c r="H191" s="521"/>
      <c r="I191" s="521"/>
      <c r="J191" s="514"/>
      <c r="K191" s="514"/>
      <c r="L191" s="514"/>
      <c r="M191" s="514"/>
      <c r="N191" s="514"/>
      <c r="O191" s="514"/>
      <c r="P191" s="514"/>
      <c r="Q191" s="514"/>
      <c r="R191" s="514"/>
      <c r="S191" s="514"/>
      <c r="T191" s="514"/>
      <c r="U191" s="514"/>
      <c r="V191" s="514"/>
      <c r="W191" s="514"/>
      <c r="X191" s="514"/>
      <c r="Y191" s="514"/>
      <c r="Z191" s="514"/>
      <c r="AA191" s="514"/>
      <c r="AB191" s="514"/>
      <c r="AC191" s="514"/>
      <c r="AD191" s="514"/>
      <c r="AE191" s="514"/>
      <c r="AF191" s="514"/>
      <c r="AG191" s="514"/>
      <c r="AH191" s="514"/>
      <c r="AI191" s="514"/>
      <c r="AJ191" s="514"/>
      <c r="AK191" s="514"/>
      <c r="AL191" s="514"/>
      <c r="AM191" s="514"/>
      <c r="AN191" s="514"/>
    </row>
    <row r="192" ht="16.5" customHeight="1">
      <c r="A192" s="514"/>
      <c r="B192" s="520"/>
      <c r="C192" s="514"/>
      <c r="D192" s="514"/>
      <c r="E192" s="514"/>
      <c r="F192" s="514"/>
      <c r="G192" s="514"/>
      <c r="H192" s="521"/>
      <c r="I192" s="521"/>
      <c r="J192" s="514"/>
      <c r="K192" s="514"/>
      <c r="L192" s="514"/>
      <c r="M192" s="514"/>
      <c r="N192" s="514"/>
      <c r="O192" s="514"/>
      <c r="P192" s="514"/>
      <c r="Q192" s="514"/>
      <c r="R192" s="514"/>
      <c r="S192" s="514"/>
      <c r="T192" s="514"/>
      <c r="U192" s="514"/>
      <c r="V192" s="514"/>
      <c r="W192" s="514"/>
      <c r="X192" s="514"/>
      <c r="Y192" s="514"/>
      <c r="Z192" s="514"/>
      <c r="AA192" s="514"/>
      <c r="AB192" s="514"/>
      <c r="AC192" s="514"/>
      <c r="AD192" s="514"/>
      <c r="AE192" s="514"/>
      <c r="AF192" s="514"/>
      <c r="AG192" s="514"/>
      <c r="AH192" s="514"/>
      <c r="AI192" s="514"/>
      <c r="AJ192" s="514"/>
      <c r="AK192" s="514"/>
      <c r="AL192" s="514"/>
      <c r="AM192" s="514"/>
      <c r="AN192" s="514"/>
    </row>
    <row r="193" ht="16.5" customHeight="1">
      <c r="A193" s="514"/>
      <c r="B193" s="520"/>
      <c r="C193" s="514"/>
      <c r="D193" s="514"/>
      <c r="E193" s="514"/>
      <c r="F193" s="514"/>
      <c r="G193" s="514"/>
      <c r="H193" s="521"/>
      <c r="I193" s="521"/>
      <c r="J193" s="514"/>
      <c r="K193" s="514"/>
      <c r="L193" s="514"/>
      <c r="M193" s="514"/>
      <c r="N193" s="514"/>
      <c r="O193" s="514"/>
      <c r="P193" s="514"/>
      <c r="Q193" s="514"/>
      <c r="R193" s="514"/>
      <c r="S193" s="514"/>
      <c r="T193" s="514"/>
      <c r="U193" s="514"/>
      <c r="V193" s="514"/>
      <c r="W193" s="514"/>
      <c r="X193" s="514"/>
      <c r="Y193" s="514"/>
      <c r="Z193" s="514"/>
      <c r="AA193" s="514"/>
      <c r="AB193" s="514"/>
      <c r="AC193" s="514"/>
      <c r="AD193" s="514"/>
      <c r="AE193" s="514"/>
      <c r="AF193" s="514"/>
      <c r="AG193" s="514"/>
      <c r="AH193" s="514"/>
      <c r="AI193" s="514"/>
      <c r="AJ193" s="514"/>
      <c r="AK193" s="514"/>
      <c r="AL193" s="514"/>
      <c r="AM193" s="514"/>
      <c r="AN193" s="514"/>
    </row>
    <row r="194" ht="16.5" customHeight="1">
      <c r="A194" s="514"/>
      <c r="B194" s="520"/>
      <c r="C194" s="514"/>
      <c r="D194" s="514"/>
      <c r="E194" s="514"/>
      <c r="F194" s="514"/>
      <c r="G194" s="514"/>
      <c r="H194" s="521"/>
      <c r="I194" s="521"/>
      <c r="J194" s="514"/>
      <c r="K194" s="514"/>
      <c r="L194" s="514"/>
      <c r="M194" s="514"/>
      <c r="N194" s="514"/>
      <c r="O194" s="514"/>
      <c r="P194" s="514"/>
      <c r="Q194" s="514"/>
      <c r="R194" s="514"/>
      <c r="S194" s="514"/>
      <c r="T194" s="514"/>
      <c r="U194" s="514"/>
      <c r="V194" s="514"/>
      <c r="W194" s="514"/>
      <c r="X194" s="514"/>
      <c r="Y194" s="514"/>
      <c r="Z194" s="514"/>
      <c r="AA194" s="514"/>
      <c r="AB194" s="514"/>
      <c r="AC194" s="514"/>
      <c r="AD194" s="514"/>
      <c r="AE194" s="514"/>
      <c r="AF194" s="514"/>
      <c r="AG194" s="514"/>
      <c r="AH194" s="514"/>
      <c r="AI194" s="514"/>
      <c r="AJ194" s="514"/>
      <c r="AK194" s="514"/>
      <c r="AL194" s="514"/>
      <c r="AM194" s="514"/>
      <c r="AN194" s="514"/>
    </row>
    <row r="195" ht="16.5" customHeight="1">
      <c r="A195" s="514"/>
      <c r="B195" s="520"/>
      <c r="C195" s="514"/>
      <c r="D195" s="514"/>
      <c r="E195" s="514"/>
      <c r="F195" s="514"/>
      <c r="G195" s="514"/>
      <c r="H195" s="521"/>
      <c r="I195" s="521"/>
      <c r="J195" s="514"/>
      <c r="K195" s="514"/>
      <c r="L195" s="514"/>
      <c r="M195" s="514"/>
      <c r="N195" s="514"/>
      <c r="O195" s="514"/>
      <c r="P195" s="514"/>
      <c r="Q195" s="514"/>
      <c r="R195" s="514"/>
      <c r="S195" s="514"/>
      <c r="T195" s="514"/>
      <c r="U195" s="514"/>
      <c r="V195" s="514"/>
      <c r="W195" s="514"/>
      <c r="X195" s="514"/>
      <c r="Y195" s="514"/>
      <c r="Z195" s="514"/>
      <c r="AA195" s="514"/>
      <c r="AB195" s="514"/>
      <c r="AC195" s="514"/>
      <c r="AD195" s="514"/>
      <c r="AE195" s="514"/>
      <c r="AF195" s="514"/>
      <c r="AG195" s="514"/>
      <c r="AH195" s="514"/>
      <c r="AI195" s="514"/>
      <c r="AJ195" s="514"/>
      <c r="AK195" s="514"/>
      <c r="AL195" s="514"/>
      <c r="AM195" s="514"/>
      <c r="AN195" s="514"/>
    </row>
    <row r="196" ht="16.5" customHeight="1">
      <c r="A196" s="514"/>
      <c r="B196" s="520"/>
      <c r="C196" s="514"/>
      <c r="D196" s="514"/>
      <c r="E196" s="514"/>
      <c r="F196" s="514"/>
      <c r="G196" s="514"/>
      <c r="H196" s="521"/>
      <c r="I196" s="521"/>
      <c r="J196" s="514"/>
      <c r="K196" s="514"/>
      <c r="L196" s="514"/>
      <c r="M196" s="514"/>
      <c r="N196" s="514"/>
      <c r="O196" s="514"/>
      <c r="P196" s="514"/>
      <c r="Q196" s="514"/>
      <c r="R196" s="514"/>
      <c r="S196" s="514"/>
      <c r="T196" s="514"/>
      <c r="U196" s="514"/>
      <c r="V196" s="514"/>
      <c r="W196" s="514"/>
      <c r="X196" s="514"/>
      <c r="Y196" s="514"/>
      <c r="Z196" s="514"/>
      <c r="AA196" s="514"/>
      <c r="AB196" s="514"/>
      <c r="AC196" s="514"/>
      <c r="AD196" s="514"/>
      <c r="AE196" s="514"/>
      <c r="AF196" s="514"/>
      <c r="AG196" s="514"/>
      <c r="AH196" s="514"/>
      <c r="AI196" s="514"/>
      <c r="AJ196" s="514"/>
      <c r="AK196" s="514"/>
      <c r="AL196" s="514"/>
      <c r="AM196" s="514"/>
      <c r="AN196" s="514"/>
    </row>
    <row r="197" ht="16.5" customHeight="1">
      <c r="A197" s="514"/>
      <c r="B197" s="520"/>
      <c r="C197" s="514"/>
      <c r="D197" s="514"/>
      <c r="E197" s="514"/>
      <c r="F197" s="514"/>
      <c r="G197" s="514"/>
      <c r="H197" s="521"/>
      <c r="I197" s="521"/>
      <c r="J197" s="514"/>
      <c r="K197" s="514"/>
      <c r="L197" s="514"/>
      <c r="M197" s="514"/>
      <c r="N197" s="514"/>
      <c r="O197" s="514"/>
      <c r="P197" s="514"/>
      <c r="Q197" s="514"/>
      <c r="R197" s="514"/>
      <c r="S197" s="514"/>
      <c r="T197" s="514"/>
      <c r="U197" s="514"/>
      <c r="V197" s="514"/>
      <c r="W197" s="514"/>
      <c r="X197" s="514"/>
      <c r="Y197" s="514"/>
      <c r="Z197" s="514"/>
      <c r="AA197" s="514"/>
      <c r="AB197" s="514"/>
      <c r="AC197" s="514"/>
      <c r="AD197" s="514"/>
      <c r="AE197" s="514"/>
      <c r="AF197" s="514"/>
      <c r="AG197" s="514"/>
      <c r="AH197" s="514"/>
      <c r="AI197" s="514"/>
      <c r="AJ197" s="514"/>
      <c r="AK197" s="514"/>
      <c r="AL197" s="514"/>
      <c r="AM197" s="514"/>
      <c r="AN197" s="514"/>
    </row>
    <row r="198" ht="16.5" customHeight="1">
      <c r="A198" s="514"/>
      <c r="B198" s="520"/>
      <c r="C198" s="514"/>
      <c r="D198" s="514"/>
      <c r="E198" s="514"/>
      <c r="F198" s="514"/>
      <c r="G198" s="514"/>
      <c r="H198" s="521"/>
      <c r="I198" s="521"/>
      <c r="J198" s="514"/>
      <c r="K198" s="514"/>
      <c r="L198" s="514"/>
      <c r="M198" s="514"/>
      <c r="N198" s="514"/>
      <c r="O198" s="514"/>
      <c r="P198" s="514"/>
      <c r="Q198" s="514"/>
      <c r="R198" s="514"/>
      <c r="S198" s="514"/>
      <c r="T198" s="514"/>
      <c r="U198" s="514"/>
      <c r="V198" s="514"/>
      <c r="W198" s="514"/>
      <c r="X198" s="514"/>
      <c r="Y198" s="514"/>
      <c r="Z198" s="514"/>
      <c r="AA198" s="514"/>
      <c r="AB198" s="514"/>
      <c r="AC198" s="514"/>
      <c r="AD198" s="514"/>
      <c r="AE198" s="514"/>
      <c r="AF198" s="514"/>
      <c r="AG198" s="514"/>
      <c r="AH198" s="514"/>
      <c r="AI198" s="514"/>
      <c r="AJ198" s="514"/>
      <c r="AK198" s="514"/>
      <c r="AL198" s="514"/>
      <c r="AM198" s="514"/>
      <c r="AN198" s="514"/>
    </row>
    <row r="199" ht="16.5" customHeight="1">
      <c r="A199" s="514"/>
      <c r="B199" s="520"/>
      <c r="C199" s="514"/>
      <c r="D199" s="514"/>
      <c r="E199" s="514"/>
      <c r="F199" s="514"/>
      <c r="G199" s="514"/>
      <c r="H199" s="521"/>
      <c r="I199" s="521"/>
      <c r="J199" s="514"/>
      <c r="K199" s="514"/>
      <c r="L199" s="514"/>
      <c r="M199" s="514"/>
      <c r="N199" s="514"/>
      <c r="O199" s="514"/>
      <c r="P199" s="514"/>
      <c r="Q199" s="514"/>
      <c r="R199" s="514"/>
      <c r="S199" s="514"/>
      <c r="T199" s="514"/>
      <c r="U199" s="514"/>
      <c r="V199" s="514"/>
      <c r="W199" s="514"/>
      <c r="X199" s="514"/>
      <c r="Y199" s="514"/>
      <c r="Z199" s="514"/>
      <c r="AA199" s="514"/>
      <c r="AB199" s="514"/>
      <c r="AC199" s="514"/>
      <c r="AD199" s="514"/>
      <c r="AE199" s="514"/>
      <c r="AF199" s="514"/>
      <c r="AG199" s="514"/>
      <c r="AH199" s="514"/>
      <c r="AI199" s="514"/>
      <c r="AJ199" s="514"/>
      <c r="AK199" s="514"/>
      <c r="AL199" s="514"/>
      <c r="AM199" s="514"/>
      <c r="AN199" s="514"/>
    </row>
    <row r="200" ht="16.5" customHeight="1">
      <c r="A200" s="514"/>
      <c r="B200" s="520"/>
      <c r="C200" s="514"/>
      <c r="D200" s="514"/>
      <c r="E200" s="514"/>
      <c r="F200" s="514"/>
      <c r="G200" s="514"/>
      <c r="H200" s="521"/>
      <c r="I200" s="521"/>
      <c r="J200" s="514"/>
      <c r="K200" s="514"/>
      <c r="L200" s="514"/>
      <c r="M200" s="514"/>
      <c r="N200" s="514"/>
      <c r="O200" s="514"/>
      <c r="P200" s="514"/>
      <c r="Q200" s="514"/>
      <c r="R200" s="514"/>
      <c r="S200" s="514"/>
      <c r="T200" s="514"/>
      <c r="U200" s="514"/>
      <c r="V200" s="514"/>
      <c r="W200" s="514"/>
      <c r="X200" s="514"/>
      <c r="Y200" s="514"/>
      <c r="Z200" s="514"/>
      <c r="AA200" s="514"/>
      <c r="AB200" s="514"/>
      <c r="AC200" s="514"/>
      <c r="AD200" s="514"/>
      <c r="AE200" s="514"/>
      <c r="AF200" s="514"/>
      <c r="AG200" s="514"/>
      <c r="AH200" s="514"/>
      <c r="AI200" s="514"/>
      <c r="AJ200" s="514"/>
      <c r="AK200" s="514"/>
      <c r="AL200" s="514"/>
      <c r="AM200" s="514"/>
      <c r="AN200" s="514"/>
    </row>
    <row r="201" ht="16.5" customHeight="1">
      <c r="A201" s="514"/>
      <c r="B201" s="520"/>
      <c r="C201" s="514"/>
      <c r="D201" s="514"/>
      <c r="E201" s="514"/>
      <c r="F201" s="514"/>
      <c r="G201" s="514"/>
      <c r="H201" s="521"/>
      <c r="I201" s="521"/>
      <c r="J201" s="514"/>
      <c r="K201" s="514"/>
      <c r="L201" s="514"/>
      <c r="M201" s="514"/>
      <c r="N201" s="514"/>
      <c r="O201" s="514"/>
      <c r="P201" s="514"/>
      <c r="Q201" s="514"/>
      <c r="R201" s="514"/>
      <c r="S201" s="514"/>
      <c r="T201" s="514"/>
      <c r="U201" s="514"/>
      <c r="V201" s="514"/>
      <c r="W201" s="514"/>
      <c r="X201" s="514"/>
      <c r="Y201" s="514"/>
      <c r="Z201" s="514"/>
      <c r="AA201" s="514"/>
      <c r="AB201" s="514"/>
      <c r="AC201" s="514"/>
      <c r="AD201" s="514"/>
      <c r="AE201" s="514"/>
      <c r="AF201" s="514"/>
      <c r="AG201" s="514"/>
      <c r="AH201" s="514"/>
      <c r="AI201" s="514"/>
      <c r="AJ201" s="514"/>
      <c r="AK201" s="514"/>
      <c r="AL201" s="514"/>
      <c r="AM201" s="514"/>
      <c r="AN201" s="514"/>
    </row>
    <row r="202" ht="16.5" customHeight="1">
      <c r="A202" s="514"/>
      <c r="B202" s="520"/>
      <c r="C202" s="514"/>
      <c r="D202" s="514"/>
      <c r="E202" s="514"/>
      <c r="F202" s="514"/>
      <c r="G202" s="514"/>
      <c r="H202" s="521"/>
      <c r="I202" s="521"/>
      <c r="J202" s="514"/>
      <c r="K202" s="514"/>
      <c r="L202" s="514"/>
      <c r="M202" s="514"/>
      <c r="N202" s="514"/>
      <c r="O202" s="514"/>
      <c r="P202" s="514"/>
      <c r="Q202" s="514"/>
      <c r="R202" s="514"/>
      <c r="S202" s="514"/>
      <c r="T202" s="514"/>
      <c r="U202" s="514"/>
      <c r="V202" s="514"/>
      <c r="W202" s="514"/>
      <c r="X202" s="514"/>
      <c r="Y202" s="514"/>
      <c r="Z202" s="514"/>
      <c r="AA202" s="514"/>
      <c r="AB202" s="514"/>
      <c r="AC202" s="514"/>
      <c r="AD202" s="514"/>
      <c r="AE202" s="514"/>
      <c r="AF202" s="514"/>
      <c r="AG202" s="514"/>
      <c r="AH202" s="514"/>
      <c r="AI202" s="514"/>
      <c r="AJ202" s="514"/>
      <c r="AK202" s="514"/>
      <c r="AL202" s="514"/>
      <c r="AM202" s="514"/>
      <c r="AN202" s="514"/>
    </row>
    <row r="203" ht="16.5" customHeight="1">
      <c r="A203" s="514"/>
      <c r="B203" s="520"/>
      <c r="C203" s="514"/>
      <c r="D203" s="514"/>
      <c r="E203" s="514"/>
      <c r="F203" s="514"/>
      <c r="G203" s="514"/>
      <c r="H203" s="521"/>
      <c r="I203" s="521"/>
      <c r="J203" s="514"/>
      <c r="K203" s="514"/>
      <c r="L203" s="514"/>
      <c r="M203" s="514"/>
      <c r="N203" s="514"/>
      <c r="O203" s="514"/>
      <c r="P203" s="514"/>
      <c r="Q203" s="514"/>
      <c r="R203" s="514"/>
      <c r="S203" s="514"/>
      <c r="T203" s="514"/>
      <c r="U203" s="514"/>
      <c r="V203" s="514"/>
      <c r="W203" s="514"/>
      <c r="X203" s="514"/>
      <c r="Y203" s="514"/>
      <c r="Z203" s="514"/>
      <c r="AA203" s="514"/>
      <c r="AB203" s="514"/>
      <c r="AC203" s="514"/>
      <c r="AD203" s="514"/>
      <c r="AE203" s="514"/>
      <c r="AF203" s="514"/>
      <c r="AG203" s="514"/>
      <c r="AH203" s="514"/>
      <c r="AI203" s="514"/>
      <c r="AJ203" s="514"/>
      <c r="AK203" s="514"/>
      <c r="AL203" s="514"/>
      <c r="AM203" s="514"/>
      <c r="AN203" s="514"/>
    </row>
    <row r="204" ht="16.5" customHeight="1">
      <c r="A204" s="514"/>
      <c r="B204" s="520"/>
      <c r="C204" s="514"/>
      <c r="D204" s="514"/>
      <c r="E204" s="514"/>
      <c r="F204" s="514"/>
      <c r="G204" s="514"/>
      <c r="H204" s="521"/>
      <c r="I204" s="521"/>
      <c r="J204" s="514"/>
      <c r="K204" s="514"/>
      <c r="L204" s="514"/>
      <c r="M204" s="514"/>
      <c r="N204" s="514"/>
      <c r="O204" s="514"/>
      <c r="P204" s="514"/>
      <c r="Q204" s="514"/>
      <c r="R204" s="514"/>
      <c r="S204" s="514"/>
      <c r="T204" s="514"/>
      <c r="U204" s="514"/>
      <c r="V204" s="514"/>
      <c r="W204" s="514"/>
      <c r="X204" s="514"/>
      <c r="Y204" s="514"/>
      <c r="Z204" s="514"/>
      <c r="AA204" s="514"/>
      <c r="AB204" s="514"/>
      <c r="AC204" s="514"/>
      <c r="AD204" s="514"/>
      <c r="AE204" s="514"/>
      <c r="AF204" s="514"/>
      <c r="AG204" s="514"/>
      <c r="AH204" s="514"/>
      <c r="AI204" s="514"/>
      <c r="AJ204" s="514"/>
      <c r="AK204" s="514"/>
      <c r="AL204" s="514"/>
      <c r="AM204" s="514"/>
      <c r="AN204" s="514"/>
    </row>
    <row r="205" ht="16.5" customHeight="1">
      <c r="A205" s="514"/>
      <c r="B205" s="520"/>
      <c r="C205" s="514"/>
      <c r="D205" s="514"/>
      <c r="E205" s="514"/>
      <c r="F205" s="514"/>
      <c r="G205" s="514"/>
      <c r="H205" s="521"/>
      <c r="I205" s="521"/>
      <c r="J205" s="514"/>
      <c r="K205" s="514"/>
      <c r="L205" s="514"/>
      <c r="M205" s="514"/>
      <c r="N205" s="514"/>
      <c r="O205" s="514"/>
      <c r="P205" s="514"/>
      <c r="Q205" s="514"/>
      <c r="R205" s="514"/>
      <c r="S205" s="514"/>
      <c r="T205" s="514"/>
      <c r="U205" s="514"/>
      <c r="V205" s="514"/>
      <c r="W205" s="514"/>
      <c r="X205" s="514"/>
      <c r="Y205" s="514"/>
      <c r="Z205" s="514"/>
      <c r="AA205" s="514"/>
      <c r="AB205" s="514"/>
      <c r="AC205" s="514"/>
      <c r="AD205" s="514"/>
      <c r="AE205" s="514"/>
      <c r="AF205" s="514"/>
      <c r="AG205" s="514"/>
      <c r="AH205" s="514"/>
      <c r="AI205" s="514"/>
      <c r="AJ205" s="514"/>
      <c r="AK205" s="514"/>
      <c r="AL205" s="514"/>
      <c r="AM205" s="514"/>
      <c r="AN205" s="514"/>
    </row>
    <row r="206" ht="16.5" customHeight="1">
      <c r="A206" s="514"/>
      <c r="B206" s="520"/>
      <c r="C206" s="514"/>
      <c r="D206" s="514"/>
      <c r="E206" s="514"/>
      <c r="F206" s="514"/>
      <c r="G206" s="514"/>
      <c r="H206" s="521"/>
      <c r="I206" s="521"/>
      <c r="J206" s="514"/>
      <c r="K206" s="514"/>
      <c r="L206" s="514"/>
      <c r="M206" s="514"/>
      <c r="N206" s="514"/>
      <c r="O206" s="514"/>
      <c r="P206" s="514"/>
      <c r="Q206" s="514"/>
      <c r="R206" s="514"/>
      <c r="S206" s="514"/>
      <c r="T206" s="514"/>
      <c r="U206" s="514"/>
      <c r="V206" s="514"/>
      <c r="W206" s="514"/>
      <c r="X206" s="514"/>
      <c r="Y206" s="514"/>
      <c r="Z206" s="514"/>
      <c r="AA206" s="514"/>
      <c r="AB206" s="514"/>
      <c r="AC206" s="514"/>
      <c r="AD206" s="514"/>
      <c r="AE206" s="514"/>
      <c r="AF206" s="514"/>
      <c r="AG206" s="514"/>
      <c r="AH206" s="514"/>
      <c r="AI206" s="514"/>
      <c r="AJ206" s="514"/>
      <c r="AK206" s="514"/>
      <c r="AL206" s="514"/>
      <c r="AM206" s="514"/>
      <c r="AN206" s="514"/>
    </row>
    <row r="207" ht="16.5" customHeight="1">
      <c r="A207" s="514"/>
      <c r="B207" s="520"/>
      <c r="C207" s="514"/>
      <c r="D207" s="514"/>
      <c r="E207" s="514"/>
      <c r="F207" s="514"/>
      <c r="G207" s="514"/>
      <c r="H207" s="521"/>
      <c r="I207" s="521"/>
      <c r="J207" s="514"/>
      <c r="K207" s="514"/>
      <c r="L207" s="514"/>
      <c r="M207" s="514"/>
      <c r="N207" s="514"/>
      <c r="O207" s="514"/>
      <c r="P207" s="514"/>
      <c r="Q207" s="514"/>
      <c r="R207" s="514"/>
      <c r="S207" s="514"/>
      <c r="T207" s="514"/>
      <c r="U207" s="514"/>
      <c r="V207" s="514"/>
      <c r="W207" s="514"/>
      <c r="X207" s="514"/>
      <c r="Y207" s="514"/>
      <c r="Z207" s="514"/>
      <c r="AA207" s="514"/>
      <c r="AB207" s="514"/>
      <c r="AC207" s="514"/>
      <c r="AD207" s="514"/>
      <c r="AE207" s="514"/>
      <c r="AF207" s="514"/>
      <c r="AG207" s="514"/>
      <c r="AH207" s="514"/>
      <c r="AI207" s="514"/>
      <c r="AJ207" s="514"/>
      <c r="AK207" s="514"/>
      <c r="AL207" s="514"/>
      <c r="AM207" s="514"/>
      <c r="AN207" s="514"/>
    </row>
    <row r="208" ht="16.5" customHeight="1">
      <c r="A208" s="514"/>
      <c r="B208" s="520"/>
      <c r="C208" s="514"/>
      <c r="D208" s="514"/>
      <c r="E208" s="514"/>
      <c r="F208" s="514"/>
      <c r="G208" s="514"/>
      <c r="H208" s="521"/>
      <c r="I208" s="521"/>
      <c r="J208" s="514"/>
      <c r="K208" s="514"/>
      <c r="L208" s="514"/>
      <c r="M208" s="514"/>
      <c r="N208" s="514"/>
      <c r="O208" s="514"/>
      <c r="P208" s="514"/>
      <c r="Q208" s="514"/>
      <c r="R208" s="514"/>
      <c r="S208" s="514"/>
      <c r="T208" s="514"/>
      <c r="U208" s="514"/>
      <c r="V208" s="514"/>
      <c r="W208" s="514"/>
      <c r="X208" s="514"/>
      <c r="Y208" s="514"/>
      <c r="Z208" s="514"/>
      <c r="AA208" s="514"/>
      <c r="AB208" s="514"/>
      <c r="AC208" s="514"/>
      <c r="AD208" s="514"/>
      <c r="AE208" s="514"/>
      <c r="AF208" s="514"/>
      <c r="AG208" s="514"/>
      <c r="AH208" s="514"/>
      <c r="AI208" s="514"/>
      <c r="AJ208" s="514"/>
      <c r="AK208" s="514"/>
      <c r="AL208" s="514"/>
      <c r="AM208" s="514"/>
      <c r="AN208" s="514"/>
    </row>
    <row r="209" ht="16.5" customHeight="1">
      <c r="A209" s="514"/>
      <c r="B209" s="520"/>
      <c r="C209" s="514"/>
      <c r="D209" s="514"/>
      <c r="E209" s="514"/>
      <c r="F209" s="514"/>
      <c r="G209" s="514"/>
      <c r="H209" s="521"/>
      <c r="I209" s="521"/>
      <c r="J209" s="514"/>
      <c r="K209" s="514"/>
      <c r="L209" s="514"/>
      <c r="M209" s="514"/>
      <c r="N209" s="514"/>
      <c r="O209" s="514"/>
      <c r="P209" s="514"/>
      <c r="Q209" s="514"/>
      <c r="R209" s="514"/>
      <c r="S209" s="514"/>
      <c r="T209" s="514"/>
      <c r="U209" s="514"/>
      <c r="V209" s="514"/>
      <c r="W209" s="514"/>
      <c r="X209" s="514"/>
      <c r="Y209" s="514"/>
      <c r="Z209" s="514"/>
      <c r="AA209" s="514"/>
      <c r="AB209" s="514"/>
      <c r="AC209" s="514"/>
      <c r="AD209" s="514"/>
      <c r="AE209" s="514"/>
      <c r="AF209" s="514"/>
      <c r="AG209" s="514"/>
      <c r="AH209" s="514"/>
      <c r="AI209" s="514"/>
      <c r="AJ209" s="514"/>
      <c r="AK209" s="514"/>
      <c r="AL209" s="514"/>
      <c r="AM209" s="514"/>
      <c r="AN209" s="514"/>
    </row>
    <row r="210" ht="16.5" customHeight="1">
      <c r="A210" s="514"/>
      <c r="B210" s="520"/>
      <c r="C210" s="514"/>
      <c r="D210" s="514"/>
      <c r="E210" s="514"/>
      <c r="F210" s="514"/>
      <c r="G210" s="514"/>
      <c r="H210" s="521"/>
      <c r="I210" s="521"/>
      <c r="J210" s="514"/>
      <c r="K210" s="514"/>
      <c r="L210" s="514"/>
      <c r="M210" s="514"/>
      <c r="N210" s="514"/>
      <c r="O210" s="514"/>
      <c r="P210" s="514"/>
      <c r="Q210" s="514"/>
      <c r="R210" s="514"/>
      <c r="S210" s="514"/>
      <c r="T210" s="514"/>
      <c r="U210" s="514"/>
      <c r="V210" s="514"/>
      <c r="W210" s="514"/>
      <c r="X210" s="514"/>
      <c r="Y210" s="514"/>
      <c r="Z210" s="514"/>
      <c r="AA210" s="514"/>
      <c r="AB210" s="514"/>
      <c r="AC210" s="514"/>
      <c r="AD210" s="514"/>
      <c r="AE210" s="514"/>
      <c r="AF210" s="514"/>
      <c r="AG210" s="514"/>
      <c r="AH210" s="514"/>
      <c r="AI210" s="514"/>
      <c r="AJ210" s="514"/>
      <c r="AK210" s="514"/>
      <c r="AL210" s="514"/>
      <c r="AM210" s="514"/>
      <c r="AN210" s="514"/>
    </row>
    <row r="211" ht="16.5" customHeight="1">
      <c r="A211" s="514"/>
      <c r="B211" s="520"/>
      <c r="C211" s="514"/>
      <c r="D211" s="514"/>
      <c r="E211" s="514"/>
      <c r="F211" s="514"/>
      <c r="G211" s="514"/>
      <c r="H211" s="521"/>
      <c r="I211" s="521"/>
      <c r="J211" s="514"/>
      <c r="K211" s="514"/>
      <c r="L211" s="514"/>
      <c r="M211" s="514"/>
      <c r="N211" s="514"/>
      <c r="O211" s="514"/>
      <c r="P211" s="514"/>
      <c r="Q211" s="514"/>
      <c r="R211" s="514"/>
      <c r="S211" s="514"/>
      <c r="T211" s="514"/>
      <c r="U211" s="514"/>
      <c r="V211" s="514"/>
      <c r="W211" s="514"/>
      <c r="X211" s="514"/>
      <c r="Y211" s="514"/>
      <c r="Z211" s="514"/>
      <c r="AA211" s="514"/>
      <c r="AB211" s="514"/>
      <c r="AC211" s="514"/>
      <c r="AD211" s="514"/>
      <c r="AE211" s="514"/>
      <c r="AF211" s="514"/>
      <c r="AG211" s="514"/>
      <c r="AH211" s="514"/>
      <c r="AI211" s="514"/>
      <c r="AJ211" s="514"/>
      <c r="AK211" s="514"/>
      <c r="AL211" s="514"/>
      <c r="AM211" s="514"/>
      <c r="AN211" s="514"/>
    </row>
    <row r="212" ht="16.5" customHeight="1">
      <c r="A212" s="514"/>
      <c r="B212" s="520"/>
      <c r="C212" s="514"/>
      <c r="D212" s="514"/>
      <c r="E212" s="514"/>
      <c r="F212" s="514"/>
      <c r="G212" s="514"/>
      <c r="H212" s="521"/>
      <c r="I212" s="521"/>
      <c r="J212" s="514"/>
      <c r="K212" s="514"/>
      <c r="L212" s="514"/>
      <c r="M212" s="514"/>
      <c r="N212" s="514"/>
      <c r="O212" s="514"/>
      <c r="P212" s="514"/>
      <c r="Q212" s="514"/>
      <c r="R212" s="514"/>
      <c r="S212" s="514"/>
      <c r="T212" s="514"/>
      <c r="U212" s="514"/>
      <c r="V212" s="514"/>
      <c r="W212" s="514"/>
      <c r="X212" s="514"/>
      <c r="Y212" s="514"/>
      <c r="Z212" s="514"/>
      <c r="AA212" s="514"/>
      <c r="AB212" s="514"/>
      <c r="AC212" s="514"/>
      <c r="AD212" s="514"/>
      <c r="AE212" s="514"/>
      <c r="AF212" s="514"/>
      <c r="AG212" s="514"/>
      <c r="AH212" s="514"/>
      <c r="AI212" s="514"/>
      <c r="AJ212" s="514"/>
      <c r="AK212" s="514"/>
      <c r="AL212" s="514"/>
      <c r="AM212" s="514"/>
      <c r="AN212" s="514"/>
    </row>
    <row r="213" ht="16.5" customHeight="1">
      <c r="A213" s="514"/>
      <c r="B213" s="520"/>
      <c r="C213" s="514"/>
      <c r="D213" s="514"/>
      <c r="E213" s="514"/>
      <c r="F213" s="514"/>
      <c r="G213" s="514"/>
      <c r="H213" s="521"/>
      <c r="I213" s="521"/>
      <c r="J213" s="514"/>
      <c r="K213" s="514"/>
      <c r="L213" s="514"/>
      <c r="M213" s="514"/>
      <c r="N213" s="514"/>
      <c r="O213" s="514"/>
      <c r="P213" s="514"/>
      <c r="Q213" s="514"/>
      <c r="R213" s="514"/>
      <c r="S213" s="514"/>
      <c r="T213" s="514"/>
      <c r="U213" s="514"/>
      <c r="V213" s="514"/>
      <c r="W213" s="514"/>
      <c r="X213" s="514"/>
      <c r="Y213" s="514"/>
      <c r="Z213" s="514"/>
      <c r="AA213" s="514"/>
      <c r="AB213" s="514"/>
      <c r="AC213" s="514"/>
      <c r="AD213" s="514"/>
      <c r="AE213" s="514"/>
      <c r="AF213" s="514"/>
      <c r="AG213" s="514"/>
      <c r="AH213" s="514"/>
      <c r="AI213" s="514"/>
      <c r="AJ213" s="514"/>
      <c r="AK213" s="514"/>
      <c r="AL213" s="514"/>
      <c r="AM213" s="514"/>
      <c r="AN213" s="514"/>
    </row>
    <row r="214" ht="16.5" customHeight="1">
      <c r="A214" s="514"/>
      <c r="B214" s="520"/>
      <c r="C214" s="514"/>
      <c r="D214" s="514"/>
      <c r="E214" s="514"/>
      <c r="F214" s="514"/>
      <c r="G214" s="514"/>
      <c r="H214" s="521"/>
      <c r="I214" s="521"/>
      <c r="J214" s="514"/>
      <c r="K214" s="514"/>
      <c r="L214" s="514"/>
      <c r="M214" s="514"/>
      <c r="N214" s="514"/>
      <c r="O214" s="514"/>
      <c r="P214" s="514"/>
      <c r="Q214" s="514"/>
      <c r="R214" s="514"/>
      <c r="S214" s="514"/>
      <c r="T214" s="514"/>
      <c r="U214" s="514"/>
      <c r="V214" s="514"/>
      <c r="W214" s="514"/>
      <c r="X214" s="514"/>
      <c r="Y214" s="514"/>
      <c r="Z214" s="514"/>
      <c r="AA214" s="514"/>
      <c r="AB214" s="514"/>
      <c r="AC214" s="514"/>
      <c r="AD214" s="514"/>
      <c r="AE214" s="514"/>
      <c r="AF214" s="514"/>
      <c r="AG214" s="514"/>
      <c r="AH214" s="514"/>
      <c r="AI214" s="514"/>
      <c r="AJ214" s="514"/>
      <c r="AK214" s="514"/>
      <c r="AL214" s="514"/>
      <c r="AM214" s="514"/>
      <c r="AN214" s="514"/>
    </row>
    <row r="215" ht="16.5" customHeight="1">
      <c r="A215" s="514"/>
      <c r="B215" s="520"/>
      <c r="C215" s="514"/>
      <c r="D215" s="514"/>
      <c r="E215" s="514"/>
      <c r="F215" s="514"/>
      <c r="G215" s="514"/>
      <c r="H215" s="521"/>
      <c r="I215" s="521"/>
      <c r="J215" s="514"/>
      <c r="K215" s="514"/>
      <c r="L215" s="514"/>
      <c r="M215" s="514"/>
      <c r="N215" s="514"/>
      <c r="O215" s="514"/>
      <c r="P215" s="514"/>
      <c r="Q215" s="514"/>
      <c r="R215" s="514"/>
      <c r="S215" s="514"/>
      <c r="T215" s="514"/>
      <c r="U215" s="514"/>
      <c r="V215" s="514"/>
      <c r="W215" s="514"/>
      <c r="X215" s="514"/>
      <c r="Y215" s="514"/>
      <c r="Z215" s="514"/>
      <c r="AA215" s="514"/>
      <c r="AB215" s="514"/>
      <c r="AC215" s="514"/>
      <c r="AD215" s="514"/>
      <c r="AE215" s="514"/>
      <c r="AF215" s="514"/>
      <c r="AG215" s="514"/>
      <c r="AH215" s="514"/>
      <c r="AI215" s="514"/>
      <c r="AJ215" s="514"/>
      <c r="AK215" s="514"/>
      <c r="AL215" s="514"/>
      <c r="AM215" s="514"/>
      <c r="AN215" s="514"/>
    </row>
    <row r="216" ht="16.5" customHeight="1">
      <c r="A216" s="514"/>
      <c r="B216" s="520"/>
      <c r="C216" s="514"/>
      <c r="D216" s="514"/>
      <c r="E216" s="514"/>
      <c r="F216" s="514"/>
      <c r="G216" s="514"/>
      <c r="H216" s="521"/>
      <c r="I216" s="521"/>
      <c r="J216" s="514"/>
      <c r="K216" s="514"/>
      <c r="L216" s="514"/>
      <c r="M216" s="514"/>
      <c r="N216" s="514"/>
      <c r="O216" s="514"/>
      <c r="P216" s="514"/>
      <c r="Q216" s="514"/>
      <c r="R216" s="514"/>
      <c r="S216" s="514"/>
      <c r="T216" s="514"/>
      <c r="U216" s="514"/>
      <c r="V216" s="514"/>
      <c r="W216" s="514"/>
      <c r="X216" s="514"/>
      <c r="Y216" s="514"/>
      <c r="Z216" s="514"/>
      <c r="AA216" s="514"/>
      <c r="AB216" s="514"/>
      <c r="AC216" s="514"/>
      <c r="AD216" s="514"/>
      <c r="AE216" s="514"/>
      <c r="AF216" s="514"/>
      <c r="AG216" s="514"/>
      <c r="AH216" s="514"/>
      <c r="AI216" s="514"/>
      <c r="AJ216" s="514"/>
      <c r="AK216" s="514"/>
      <c r="AL216" s="514"/>
      <c r="AM216" s="514"/>
      <c r="AN216" s="514"/>
    </row>
    <row r="217" ht="16.5" customHeight="1">
      <c r="A217" s="514"/>
      <c r="B217" s="520"/>
      <c r="C217" s="514"/>
      <c r="D217" s="514"/>
      <c r="E217" s="514"/>
      <c r="F217" s="514"/>
      <c r="G217" s="514"/>
      <c r="H217" s="521"/>
      <c r="I217" s="521"/>
      <c r="J217" s="514"/>
      <c r="K217" s="514"/>
      <c r="L217" s="514"/>
      <c r="M217" s="514"/>
      <c r="N217" s="514"/>
      <c r="O217" s="514"/>
      <c r="P217" s="514"/>
      <c r="Q217" s="514"/>
      <c r="R217" s="514"/>
      <c r="S217" s="514"/>
      <c r="T217" s="514"/>
      <c r="U217" s="514"/>
      <c r="V217" s="514"/>
      <c r="W217" s="514"/>
      <c r="X217" s="514"/>
      <c r="Y217" s="514"/>
      <c r="Z217" s="514"/>
      <c r="AA217" s="514"/>
      <c r="AB217" s="514"/>
      <c r="AC217" s="514"/>
      <c r="AD217" s="514"/>
      <c r="AE217" s="514"/>
      <c r="AF217" s="514"/>
      <c r="AG217" s="514"/>
      <c r="AH217" s="514"/>
      <c r="AI217" s="514"/>
      <c r="AJ217" s="514"/>
      <c r="AK217" s="514"/>
      <c r="AL217" s="514"/>
      <c r="AM217" s="514"/>
      <c r="AN217" s="514"/>
    </row>
    <row r="218" ht="16.5" customHeight="1">
      <c r="A218" s="514"/>
      <c r="B218" s="520"/>
      <c r="C218" s="514"/>
      <c r="D218" s="514"/>
      <c r="E218" s="514"/>
      <c r="F218" s="514"/>
      <c r="G218" s="514"/>
      <c r="H218" s="521"/>
      <c r="I218" s="521"/>
      <c r="J218" s="514"/>
      <c r="K218" s="514"/>
      <c r="L218" s="514"/>
      <c r="M218" s="514"/>
      <c r="N218" s="514"/>
      <c r="O218" s="514"/>
      <c r="P218" s="514"/>
      <c r="Q218" s="514"/>
      <c r="R218" s="514"/>
      <c r="S218" s="514"/>
      <c r="T218" s="514"/>
      <c r="U218" s="514"/>
      <c r="V218" s="514"/>
      <c r="W218" s="514"/>
      <c r="X218" s="514"/>
      <c r="Y218" s="514"/>
      <c r="Z218" s="514"/>
      <c r="AA218" s="514"/>
      <c r="AB218" s="514"/>
      <c r="AC218" s="514"/>
      <c r="AD218" s="514"/>
      <c r="AE218" s="514"/>
      <c r="AF218" s="514"/>
      <c r="AG218" s="514"/>
      <c r="AH218" s="514"/>
      <c r="AI218" s="514"/>
      <c r="AJ218" s="514"/>
      <c r="AK218" s="514"/>
      <c r="AL218" s="514"/>
      <c r="AM218" s="514"/>
      <c r="AN218" s="514"/>
    </row>
    <row r="219" ht="16.5" customHeight="1">
      <c r="A219" s="514"/>
      <c r="B219" s="520"/>
      <c r="C219" s="514"/>
      <c r="D219" s="514"/>
      <c r="E219" s="514"/>
      <c r="F219" s="514"/>
      <c r="G219" s="514"/>
      <c r="H219" s="521"/>
      <c r="I219" s="521"/>
      <c r="J219" s="514"/>
      <c r="K219" s="514"/>
      <c r="L219" s="514"/>
      <c r="M219" s="514"/>
      <c r="N219" s="514"/>
      <c r="O219" s="514"/>
      <c r="P219" s="514"/>
      <c r="Q219" s="514"/>
      <c r="R219" s="514"/>
      <c r="S219" s="514"/>
      <c r="T219" s="514"/>
      <c r="U219" s="514"/>
      <c r="V219" s="514"/>
      <c r="W219" s="514"/>
      <c r="X219" s="514"/>
      <c r="Y219" s="514"/>
      <c r="Z219" s="514"/>
      <c r="AA219" s="514"/>
      <c r="AB219" s="514"/>
      <c r="AC219" s="514"/>
      <c r="AD219" s="514"/>
      <c r="AE219" s="514"/>
      <c r="AF219" s="514"/>
      <c r="AG219" s="514"/>
      <c r="AH219" s="514"/>
      <c r="AI219" s="514"/>
      <c r="AJ219" s="514"/>
      <c r="AK219" s="514"/>
      <c r="AL219" s="514"/>
      <c r="AM219" s="514"/>
      <c r="AN219" s="514"/>
    </row>
    <row r="220" ht="16.5" customHeight="1">
      <c r="A220" s="514"/>
      <c r="B220" s="520"/>
      <c r="C220" s="514"/>
      <c r="D220" s="514"/>
      <c r="E220" s="514"/>
      <c r="F220" s="514"/>
      <c r="G220" s="514"/>
      <c r="H220" s="521"/>
      <c r="I220" s="521"/>
      <c r="J220" s="514"/>
      <c r="K220" s="514"/>
      <c r="L220" s="514"/>
      <c r="M220" s="514"/>
      <c r="N220" s="514"/>
      <c r="O220" s="514"/>
      <c r="P220" s="514"/>
      <c r="Q220" s="514"/>
      <c r="R220" s="514"/>
      <c r="S220" s="514"/>
      <c r="T220" s="514"/>
      <c r="U220" s="514"/>
      <c r="V220" s="514"/>
      <c r="W220" s="514"/>
      <c r="X220" s="514"/>
      <c r="Y220" s="514"/>
      <c r="Z220" s="514"/>
      <c r="AA220" s="514"/>
      <c r="AB220" s="514"/>
      <c r="AC220" s="514"/>
      <c r="AD220" s="514"/>
      <c r="AE220" s="514"/>
      <c r="AF220" s="514"/>
      <c r="AG220" s="514"/>
      <c r="AH220" s="514"/>
      <c r="AI220" s="514"/>
      <c r="AJ220" s="514"/>
      <c r="AK220" s="514"/>
      <c r="AL220" s="514"/>
      <c r="AM220" s="514"/>
      <c r="AN220" s="514"/>
    </row>
    <row r="221" ht="16.5" customHeight="1">
      <c r="A221" s="514"/>
      <c r="B221" s="520"/>
      <c r="C221" s="514"/>
      <c r="D221" s="514"/>
      <c r="E221" s="514"/>
      <c r="F221" s="514"/>
      <c r="G221" s="514"/>
      <c r="H221" s="521"/>
      <c r="I221" s="521"/>
      <c r="J221" s="514"/>
      <c r="K221" s="514"/>
      <c r="L221" s="514"/>
      <c r="M221" s="514"/>
      <c r="N221" s="514"/>
      <c r="O221" s="514"/>
      <c r="P221" s="514"/>
      <c r="Q221" s="514"/>
      <c r="R221" s="514"/>
      <c r="S221" s="514"/>
      <c r="T221" s="514"/>
      <c r="U221" s="514"/>
      <c r="V221" s="514"/>
      <c r="W221" s="514"/>
      <c r="X221" s="514"/>
      <c r="Y221" s="514"/>
      <c r="Z221" s="514"/>
      <c r="AA221" s="514"/>
      <c r="AB221" s="514"/>
      <c r="AC221" s="514"/>
      <c r="AD221" s="514"/>
      <c r="AE221" s="514"/>
      <c r="AF221" s="514"/>
      <c r="AG221" s="514"/>
      <c r="AH221" s="514"/>
      <c r="AI221" s="514"/>
      <c r="AJ221" s="514"/>
      <c r="AK221" s="514"/>
      <c r="AL221" s="514"/>
      <c r="AM221" s="514"/>
      <c r="AN221" s="514"/>
    </row>
    <row r="222" ht="16.5" customHeight="1">
      <c r="A222" s="514"/>
      <c r="B222" s="520"/>
      <c r="C222" s="514"/>
      <c r="D222" s="514"/>
      <c r="E222" s="514"/>
      <c r="F222" s="514"/>
      <c r="G222" s="514"/>
      <c r="H222" s="521"/>
      <c r="I222" s="521"/>
      <c r="J222" s="514"/>
      <c r="K222" s="514"/>
      <c r="L222" s="514"/>
      <c r="M222" s="514"/>
      <c r="N222" s="514"/>
      <c r="O222" s="514"/>
      <c r="P222" s="514"/>
      <c r="Q222" s="514"/>
      <c r="R222" s="514"/>
      <c r="S222" s="514"/>
      <c r="T222" s="514"/>
      <c r="U222" s="514"/>
      <c r="V222" s="514"/>
      <c r="W222" s="514"/>
      <c r="X222" s="514"/>
      <c r="Y222" s="514"/>
      <c r="Z222" s="514"/>
      <c r="AA222" s="514"/>
      <c r="AB222" s="514"/>
      <c r="AC222" s="514"/>
      <c r="AD222" s="514"/>
      <c r="AE222" s="514"/>
      <c r="AF222" s="514"/>
      <c r="AG222" s="514"/>
      <c r="AH222" s="514"/>
      <c r="AI222" s="514"/>
      <c r="AJ222" s="514"/>
      <c r="AK222" s="514"/>
      <c r="AL222" s="514"/>
      <c r="AM222" s="514"/>
      <c r="AN222" s="514"/>
    </row>
    <row r="223" ht="16.5" customHeight="1">
      <c r="A223" s="514"/>
      <c r="B223" s="520"/>
      <c r="C223" s="514"/>
      <c r="D223" s="514"/>
      <c r="E223" s="514"/>
      <c r="F223" s="514"/>
      <c r="G223" s="514"/>
      <c r="H223" s="521"/>
      <c r="I223" s="521"/>
      <c r="J223" s="514"/>
      <c r="K223" s="514"/>
      <c r="L223" s="514"/>
      <c r="M223" s="514"/>
      <c r="N223" s="514"/>
      <c r="O223" s="514"/>
      <c r="P223" s="514"/>
      <c r="Q223" s="514"/>
      <c r="R223" s="514"/>
      <c r="S223" s="514"/>
      <c r="T223" s="514"/>
      <c r="U223" s="514"/>
      <c r="V223" s="514"/>
      <c r="W223" s="514"/>
      <c r="X223" s="514"/>
      <c r="Y223" s="514"/>
      <c r="Z223" s="514"/>
      <c r="AA223" s="514"/>
      <c r="AB223" s="514"/>
      <c r="AC223" s="514"/>
      <c r="AD223" s="514"/>
      <c r="AE223" s="514"/>
      <c r="AF223" s="514"/>
      <c r="AG223" s="514"/>
      <c r="AH223" s="514"/>
      <c r="AI223" s="514"/>
      <c r="AJ223" s="514"/>
      <c r="AK223" s="514"/>
      <c r="AL223" s="514"/>
      <c r="AM223" s="514"/>
      <c r="AN223" s="514"/>
    </row>
    <row r="224" ht="16.5" customHeight="1">
      <c r="A224" s="514"/>
      <c r="B224" s="520"/>
      <c r="C224" s="514"/>
      <c r="D224" s="514"/>
      <c r="E224" s="514"/>
      <c r="F224" s="514"/>
      <c r="G224" s="514"/>
      <c r="H224" s="521"/>
      <c r="I224" s="521"/>
      <c r="J224" s="514"/>
      <c r="K224" s="514"/>
      <c r="L224" s="514"/>
      <c r="M224" s="514"/>
      <c r="N224" s="514"/>
      <c r="O224" s="514"/>
      <c r="P224" s="514"/>
      <c r="Q224" s="514"/>
      <c r="R224" s="514"/>
      <c r="S224" s="514"/>
      <c r="T224" s="514"/>
      <c r="U224" s="514"/>
      <c r="V224" s="514"/>
      <c r="W224" s="514"/>
      <c r="X224" s="514"/>
      <c r="Y224" s="514"/>
      <c r="Z224" s="514"/>
      <c r="AA224" s="514"/>
      <c r="AB224" s="514"/>
      <c r="AC224" s="514"/>
      <c r="AD224" s="514"/>
      <c r="AE224" s="514"/>
      <c r="AF224" s="514"/>
      <c r="AG224" s="514"/>
      <c r="AH224" s="514"/>
      <c r="AI224" s="514"/>
      <c r="AJ224" s="514"/>
      <c r="AK224" s="514"/>
      <c r="AL224" s="514"/>
      <c r="AM224" s="514"/>
      <c r="AN224" s="514"/>
    </row>
    <row r="225" ht="16.5" customHeight="1">
      <c r="A225" s="514"/>
      <c r="B225" s="520"/>
      <c r="C225" s="514"/>
      <c r="D225" s="514"/>
      <c r="E225" s="514"/>
      <c r="F225" s="514"/>
      <c r="G225" s="514"/>
      <c r="H225" s="521"/>
      <c r="I225" s="521"/>
      <c r="J225" s="514"/>
      <c r="K225" s="514"/>
      <c r="L225" s="514"/>
      <c r="M225" s="514"/>
      <c r="N225" s="514"/>
      <c r="O225" s="514"/>
      <c r="P225" s="514"/>
      <c r="Q225" s="514"/>
      <c r="R225" s="514"/>
      <c r="S225" s="514"/>
      <c r="T225" s="514"/>
      <c r="U225" s="514"/>
      <c r="V225" s="514"/>
      <c r="W225" s="514"/>
      <c r="X225" s="514"/>
      <c r="Y225" s="514"/>
      <c r="Z225" s="514"/>
      <c r="AA225" s="514"/>
      <c r="AB225" s="514"/>
      <c r="AC225" s="514"/>
      <c r="AD225" s="514"/>
      <c r="AE225" s="514"/>
      <c r="AF225" s="514"/>
      <c r="AG225" s="514"/>
      <c r="AH225" s="514"/>
      <c r="AI225" s="514"/>
      <c r="AJ225" s="514"/>
      <c r="AK225" s="514"/>
      <c r="AL225" s="514"/>
      <c r="AM225" s="514"/>
      <c r="AN225" s="514"/>
    </row>
    <row r="226" ht="16.5" customHeight="1">
      <c r="A226" s="514"/>
      <c r="B226" s="520"/>
      <c r="C226" s="514"/>
      <c r="D226" s="514"/>
      <c r="E226" s="514"/>
      <c r="F226" s="514"/>
      <c r="G226" s="514"/>
      <c r="H226" s="521"/>
      <c r="I226" s="521"/>
      <c r="J226" s="514"/>
      <c r="K226" s="514"/>
      <c r="L226" s="514"/>
      <c r="M226" s="514"/>
      <c r="N226" s="514"/>
      <c r="O226" s="514"/>
      <c r="P226" s="514"/>
      <c r="Q226" s="514"/>
      <c r="R226" s="514"/>
      <c r="S226" s="514"/>
      <c r="T226" s="514"/>
      <c r="U226" s="514"/>
      <c r="V226" s="514"/>
      <c r="W226" s="514"/>
      <c r="X226" s="514"/>
      <c r="Y226" s="514"/>
      <c r="Z226" s="514"/>
      <c r="AA226" s="514"/>
      <c r="AB226" s="514"/>
      <c r="AC226" s="514"/>
      <c r="AD226" s="514"/>
      <c r="AE226" s="514"/>
      <c r="AF226" s="514"/>
      <c r="AG226" s="514"/>
      <c r="AH226" s="514"/>
      <c r="AI226" s="514"/>
      <c r="AJ226" s="514"/>
      <c r="AK226" s="514"/>
      <c r="AL226" s="514"/>
      <c r="AM226" s="514"/>
      <c r="AN226" s="514"/>
    </row>
    <row r="227" ht="16.5" customHeight="1">
      <c r="A227" s="514"/>
      <c r="B227" s="520"/>
      <c r="C227" s="514"/>
      <c r="D227" s="514"/>
      <c r="E227" s="514"/>
      <c r="F227" s="514"/>
      <c r="G227" s="514"/>
      <c r="H227" s="521"/>
      <c r="I227" s="521"/>
      <c r="J227" s="514"/>
      <c r="K227" s="514"/>
      <c r="L227" s="514"/>
      <c r="M227" s="514"/>
      <c r="N227" s="514"/>
      <c r="O227" s="514"/>
      <c r="P227" s="514"/>
      <c r="Q227" s="514"/>
      <c r="R227" s="514"/>
      <c r="S227" s="514"/>
      <c r="T227" s="514"/>
      <c r="U227" s="514"/>
      <c r="V227" s="514"/>
      <c r="W227" s="514"/>
      <c r="X227" s="514"/>
      <c r="Y227" s="514"/>
      <c r="Z227" s="514"/>
      <c r="AA227" s="514"/>
      <c r="AB227" s="514"/>
      <c r="AC227" s="514"/>
      <c r="AD227" s="514"/>
      <c r="AE227" s="514"/>
      <c r="AF227" s="514"/>
      <c r="AG227" s="514"/>
      <c r="AH227" s="514"/>
      <c r="AI227" s="514"/>
      <c r="AJ227" s="514"/>
      <c r="AK227" s="514"/>
      <c r="AL227" s="514"/>
      <c r="AM227" s="514"/>
      <c r="AN227" s="514"/>
    </row>
    <row r="228" ht="16.5" customHeight="1">
      <c r="A228" s="514"/>
      <c r="B228" s="520"/>
      <c r="C228" s="514"/>
      <c r="D228" s="514"/>
      <c r="E228" s="514"/>
      <c r="F228" s="514"/>
      <c r="G228" s="514"/>
      <c r="H228" s="521"/>
      <c r="I228" s="521"/>
      <c r="J228" s="514"/>
      <c r="K228" s="514"/>
      <c r="L228" s="514"/>
      <c r="M228" s="514"/>
      <c r="N228" s="514"/>
      <c r="O228" s="514"/>
      <c r="P228" s="514"/>
      <c r="Q228" s="514"/>
      <c r="R228" s="514"/>
      <c r="S228" s="514"/>
      <c r="T228" s="514"/>
      <c r="U228" s="514"/>
      <c r="V228" s="514"/>
      <c r="W228" s="514"/>
      <c r="X228" s="514"/>
      <c r="Y228" s="514"/>
      <c r="Z228" s="514"/>
      <c r="AA228" s="514"/>
      <c r="AB228" s="514"/>
      <c r="AC228" s="514"/>
      <c r="AD228" s="514"/>
      <c r="AE228" s="514"/>
      <c r="AF228" s="514"/>
      <c r="AG228" s="514"/>
      <c r="AH228" s="514"/>
      <c r="AI228" s="514"/>
      <c r="AJ228" s="514"/>
      <c r="AK228" s="514"/>
      <c r="AL228" s="514"/>
      <c r="AM228" s="514"/>
      <c r="AN228" s="514"/>
    </row>
    <row r="229" ht="16.5" customHeight="1">
      <c r="A229" s="514"/>
      <c r="B229" s="520"/>
      <c r="C229" s="514"/>
      <c r="D229" s="514"/>
      <c r="E229" s="514"/>
      <c r="F229" s="514"/>
      <c r="G229" s="514"/>
      <c r="H229" s="521"/>
      <c r="I229" s="521"/>
      <c r="J229" s="514"/>
      <c r="K229" s="514"/>
      <c r="L229" s="514"/>
      <c r="M229" s="514"/>
      <c r="N229" s="514"/>
      <c r="O229" s="514"/>
      <c r="P229" s="514"/>
      <c r="Q229" s="514"/>
      <c r="R229" s="514"/>
      <c r="S229" s="514"/>
      <c r="T229" s="514"/>
      <c r="U229" s="514"/>
      <c r="V229" s="514"/>
      <c r="W229" s="514"/>
      <c r="X229" s="514"/>
      <c r="Y229" s="514"/>
      <c r="Z229" s="514"/>
      <c r="AA229" s="514"/>
      <c r="AB229" s="514"/>
      <c r="AC229" s="514"/>
      <c r="AD229" s="514"/>
      <c r="AE229" s="514"/>
      <c r="AF229" s="514"/>
      <c r="AG229" s="514"/>
      <c r="AH229" s="514"/>
      <c r="AI229" s="514"/>
      <c r="AJ229" s="514"/>
      <c r="AK229" s="514"/>
      <c r="AL229" s="514"/>
      <c r="AM229" s="514"/>
      <c r="AN229" s="514"/>
    </row>
    <row r="230" ht="16.5" customHeight="1">
      <c r="A230" s="514"/>
      <c r="B230" s="520"/>
      <c r="C230" s="514"/>
      <c r="D230" s="514"/>
      <c r="E230" s="514"/>
      <c r="F230" s="514"/>
      <c r="G230" s="514"/>
      <c r="H230" s="521"/>
      <c r="I230" s="521"/>
      <c r="J230" s="514"/>
      <c r="K230" s="514"/>
      <c r="L230" s="514"/>
      <c r="M230" s="514"/>
      <c r="N230" s="514"/>
      <c r="O230" s="514"/>
      <c r="P230" s="514"/>
      <c r="Q230" s="514"/>
      <c r="R230" s="514"/>
      <c r="S230" s="514"/>
      <c r="T230" s="514"/>
      <c r="U230" s="514"/>
      <c r="V230" s="514"/>
      <c r="W230" s="514"/>
      <c r="X230" s="514"/>
      <c r="Y230" s="514"/>
      <c r="Z230" s="514"/>
      <c r="AA230" s="514"/>
      <c r="AB230" s="514"/>
      <c r="AC230" s="514"/>
      <c r="AD230" s="514"/>
      <c r="AE230" s="514"/>
      <c r="AF230" s="514"/>
      <c r="AG230" s="514"/>
      <c r="AH230" s="514"/>
      <c r="AI230" s="514"/>
      <c r="AJ230" s="514"/>
      <c r="AK230" s="514"/>
      <c r="AL230" s="514"/>
      <c r="AM230" s="514"/>
      <c r="AN230" s="514"/>
    </row>
    <row r="231" ht="16.5" customHeight="1">
      <c r="A231" s="514"/>
      <c r="B231" s="520"/>
      <c r="C231" s="514"/>
      <c r="D231" s="514"/>
      <c r="E231" s="514"/>
      <c r="F231" s="514"/>
      <c r="G231" s="514"/>
      <c r="H231" s="521"/>
      <c r="I231" s="521"/>
      <c r="J231" s="514"/>
      <c r="K231" s="514"/>
      <c r="L231" s="514"/>
      <c r="M231" s="514"/>
      <c r="N231" s="514"/>
      <c r="O231" s="514"/>
      <c r="P231" s="514"/>
      <c r="Q231" s="514"/>
      <c r="R231" s="514"/>
      <c r="S231" s="514"/>
      <c r="T231" s="514"/>
      <c r="U231" s="514"/>
      <c r="V231" s="514"/>
      <c r="W231" s="514"/>
      <c r="X231" s="514"/>
      <c r="Y231" s="514"/>
      <c r="Z231" s="514"/>
      <c r="AA231" s="514"/>
      <c r="AB231" s="514"/>
      <c r="AC231" s="514"/>
      <c r="AD231" s="514"/>
      <c r="AE231" s="514"/>
      <c r="AF231" s="514"/>
      <c r="AG231" s="514"/>
      <c r="AH231" s="514"/>
      <c r="AI231" s="514"/>
      <c r="AJ231" s="514"/>
      <c r="AK231" s="514"/>
      <c r="AL231" s="514"/>
      <c r="AM231" s="514"/>
      <c r="AN231" s="514"/>
    </row>
    <row r="232" ht="16.5" customHeight="1">
      <c r="A232" s="514"/>
      <c r="B232" s="520"/>
      <c r="C232" s="514"/>
      <c r="D232" s="514"/>
      <c r="E232" s="514"/>
      <c r="F232" s="514"/>
      <c r="G232" s="514"/>
      <c r="H232" s="521"/>
      <c r="I232" s="521"/>
      <c r="J232" s="514"/>
      <c r="K232" s="514"/>
      <c r="L232" s="514"/>
      <c r="M232" s="514"/>
      <c r="N232" s="514"/>
      <c r="O232" s="514"/>
      <c r="P232" s="514"/>
      <c r="Q232" s="514"/>
      <c r="R232" s="514"/>
      <c r="S232" s="514"/>
      <c r="T232" s="514"/>
      <c r="U232" s="514"/>
      <c r="V232" s="514"/>
      <c r="W232" s="514"/>
      <c r="X232" s="514"/>
      <c r="Y232" s="514"/>
      <c r="Z232" s="514"/>
      <c r="AA232" s="514"/>
      <c r="AB232" s="514"/>
      <c r="AC232" s="514"/>
      <c r="AD232" s="514"/>
      <c r="AE232" s="514"/>
      <c r="AF232" s="514"/>
      <c r="AG232" s="514"/>
      <c r="AH232" s="514"/>
      <c r="AI232" s="514"/>
      <c r="AJ232" s="514"/>
      <c r="AK232" s="514"/>
      <c r="AL232" s="514"/>
      <c r="AM232" s="514"/>
      <c r="AN232" s="514"/>
    </row>
    <row r="233" ht="16.5" customHeight="1">
      <c r="A233" s="514"/>
      <c r="B233" s="520"/>
      <c r="C233" s="514"/>
      <c r="D233" s="514"/>
      <c r="E233" s="514"/>
      <c r="F233" s="514"/>
      <c r="G233" s="514"/>
      <c r="H233" s="521"/>
      <c r="I233" s="521"/>
      <c r="J233" s="514"/>
      <c r="K233" s="514"/>
      <c r="L233" s="514"/>
      <c r="M233" s="514"/>
      <c r="N233" s="514"/>
      <c r="O233" s="514"/>
      <c r="P233" s="514"/>
      <c r="Q233" s="514"/>
      <c r="R233" s="514"/>
      <c r="S233" s="514"/>
      <c r="T233" s="514"/>
      <c r="U233" s="514"/>
      <c r="V233" s="514"/>
      <c r="W233" s="514"/>
      <c r="X233" s="514"/>
      <c r="Y233" s="514"/>
      <c r="Z233" s="514"/>
      <c r="AA233" s="514"/>
      <c r="AB233" s="514"/>
      <c r="AC233" s="514"/>
      <c r="AD233" s="514"/>
      <c r="AE233" s="514"/>
      <c r="AF233" s="514"/>
      <c r="AG233" s="514"/>
      <c r="AH233" s="514"/>
      <c r="AI233" s="514"/>
      <c r="AJ233" s="514"/>
      <c r="AK233" s="514"/>
      <c r="AL233" s="514"/>
      <c r="AM233" s="514"/>
      <c r="AN233" s="514"/>
    </row>
    <row r="234" ht="16.5" customHeight="1">
      <c r="A234" s="514"/>
      <c r="B234" s="520"/>
      <c r="C234" s="514"/>
      <c r="D234" s="514"/>
      <c r="E234" s="514"/>
      <c r="F234" s="514"/>
      <c r="G234" s="514"/>
      <c r="H234" s="521"/>
      <c r="I234" s="521"/>
      <c r="J234" s="514"/>
      <c r="K234" s="514"/>
      <c r="L234" s="514"/>
      <c r="M234" s="514"/>
      <c r="N234" s="514"/>
      <c r="O234" s="514"/>
      <c r="P234" s="514"/>
      <c r="Q234" s="514"/>
      <c r="R234" s="514"/>
      <c r="S234" s="514"/>
      <c r="T234" s="514"/>
      <c r="U234" s="514"/>
      <c r="V234" s="514"/>
      <c r="W234" s="514"/>
      <c r="X234" s="514"/>
      <c r="Y234" s="514"/>
      <c r="Z234" s="514"/>
      <c r="AA234" s="514"/>
      <c r="AB234" s="514"/>
      <c r="AC234" s="514"/>
      <c r="AD234" s="514"/>
      <c r="AE234" s="514"/>
      <c r="AF234" s="514"/>
      <c r="AG234" s="514"/>
      <c r="AH234" s="514"/>
      <c r="AI234" s="514"/>
      <c r="AJ234" s="514"/>
      <c r="AK234" s="514"/>
      <c r="AL234" s="514"/>
      <c r="AM234" s="514"/>
      <c r="AN234" s="514"/>
    </row>
    <row r="235" ht="16.5" customHeight="1">
      <c r="A235" s="514"/>
      <c r="B235" s="520"/>
      <c r="C235" s="514"/>
      <c r="D235" s="514"/>
      <c r="E235" s="514"/>
      <c r="F235" s="514"/>
      <c r="G235" s="514"/>
      <c r="H235" s="521"/>
      <c r="I235" s="521"/>
      <c r="J235" s="514"/>
      <c r="K235" s="514"/>
      <c r="L235" s="514"/>
      <c r="M235" s="514"/>
      <c r="N235" s="514"/>
      <c r="O235" s="514"/>
      <c r="P235" s="514"/>
      <c r="Q235" s="514"/>
      <c r="R235" s="514"/>
      <c r="S235" s="514"/>
      <c r="T235" s="514"/>
      <c r="U235" s="514"/>
      <c r="V235" s="514"/>
      <c r="W235" s="514"/>
      <c r="X235" s="514"/>
      <c r="Y235" s="514"/>
      <c r="Z235" s="514"/>
      <c r="AA235" s="514"/>
      <c r="AB235" s="514"/>
      <c r="AC235" s="514"/>
      <c r="AD235" s="514"/>
      <c r="AE235" s="514"/>
      <c r="AF235" s="514"/>
      <c r="AG235" s="514"/>
      <c r="AH235" s="514"/>
      <c r="AI235" s="514"/>
      <c r="AJ235" s="514"/>
      <c r="AK235" s="514"/>
      <c r="AL235" s="514"/>
      <c r="AM235" s="514"/>
      <c r="AN235" s="514"/>
    </row>
    <row r="236" ht="16.5" customHeight="1">
      <c r="A236" s="514"/>
      <c r="B236" s="520"/>
      <c r="C236" s="514"/>
      <c r="D236" s="514"/>
      <c r="E236" s="514"/>
      <c r="F236" s="514"/>
      <c r="G236" s="514"/>
      <c r="H236" s="521"/>
      <c r="I236" s="521"/>
      <c r="J236" s="514"/>
      <c r="K236" s="514"/>
      <c r="L236" s="514"/>
      <c r="M236" s="514"/>
      <c r="N236" s="514"/>
      <c r="O236" s="514"/>
      <c r="P236" s="514"/>
      <c r="Q236" s="514"/>
      <c r="R236" s="514"/>
      <c r="S236" s="514"/>
      <c r="T236" s="514"/>
      <c r="U236" s="514"/>
      <c r="V236" s="514"/>
      <c r="W236" s="514"/>
      <c r="X236" s="514"/>
      <c r="Y236" s="514"/>
      <c r="Z236" s="514"/>
      <c r="AA236" s="514"/>
      <c r="AB236" s="514"/>
      <c r="AC236" s="514"/>
      <c r="AD236" s="514"/>
      <c r="AE236" s="514"/>
      <c r="AF236" s="514"/>
      <c r="AG236" s="514"/>
      <c r="AH236" s="514"/>
      <c r="AI236" s="514"/>
      <c r="AJ236" s="514"/>
      <c r="AK236" s="514"/>
      <c r="AL236" s="514"/>
      <c r="AM236" s="514"/>
      <c r="AN236" s="514"/>
    </row>
    <row r="237" ht="16.5" customHeight="1">
      <c r="A237" s="514"/>
      <c r="B237" s="520"/>
      <c r="C237" s="514"/>
      <c r="D237" s="514"/>
      <c r="E237" s="514"/>
      <c r="F237" s="514"/>
      <c r="G237" s="514"/>
      <c r="H237" s="521"/>
      <c r="I237" s="521"/>
      <c r="J237" s="514"/>
      <c r="K237" s="514"/>
      <c r="L237" s="514"/>
      <c r="M237" s="514"/>
      <c r="N237" s="514"/>
      <c r="O237" s="514"/>
      <c r="P237" s="514"/>
      <c r="Q237" s="514"/>
      <c r="R237" s="514"/>
      <c r="S237" s="514"/>
      <c r="T237" s="514"/>
      <c r="U237" s="514"/>
      <c r="V237" s="514"/>
      <c r="W237" s="514"/>
      <c r="X237" s="514"/>
      <c r="Y237" s="514"/>
      <c r="Z237" s="514"/>
      <c r="AA237" s="514"/>
      <c r="AB237" s="514"/>
      <c r="AC237" s="514"/>
      <c r="AD237" s="514"/>
      <c r="AE237" s="514"/>
      <c r="AF237" s="514"/>
      <c r="AG237" s="514"/>
      <c r="AH237" s="514"/>
      <c r="AI237" s="514"/>
      <c r="AJ237" s="514"/>
      <c r="AK237" s="514"/>
      <c r="AL237" s="514"/>
      <c r="AM237" s="514"/>
      <c r="AN237" s="514"/>
    </row>
    <row r="238" ht="16.5" customHeight="1">
      <c r="A238" s="514"/>
      <c r="B238" s="520"/>
      <c r="C238" s="514"/>
      <c r="D238" s="514"/>
      <c r="E238" s="514"/>
      <c r="F238" s="514"/>
      <c r="G238" s="514"/>
      <c r="H238" s="521"/>
      <c r="I238" s="521"/>
      <c r="J238" s="514"/>
      <c r="K238" s="514"/>
      <c r="L238" s="514"/>
      <c r="M238" s="514"/>
      <c r="N238" s="514"/>
      <c r="O238" s="514"/>
      <c r="P238" s="514"/>
      <c r="Q238" s="514"/>
      <c r="R238" s="514"/>
      <c r="S238" s="514"/>
      <c r="T238" s="514"/>
      <c r="U238" s="514"/>
      <c r="V238" s="514"/>
      <c r="W238" s="514"/>
      <c r="X238" s="514"/>
      <c r="Y238" s="514"/>
      <c r="Z238" s="514"/>
      <c r="AA238" s="514"/>
      <c r="AB238" s="514"/>
      <c r="AC238" s="514"/>
      <c r="AD238" s="514"/>
      <c r="AE238" s="514"/>
      <c r="AF238" s="514"/>
      <c r="AG238" s="514"/>
      <c r="AH238" s="514"/>
      <c r="AI238" s="514"/>
      <c r="AJ238" s="514"/>
      <c r="AK238" s="514"/>
      <c r="AL238" s="514"/>
      <c r="AM238" s="514"/>
      <c r="AN238" s="514"/>
    </row>
    <row r="239" ht="16.5" customHeight="1">
      <c r="A239" s="514"/>
      <c r="B239" s="520"/>
      <c r="C239" s="514"/>
      <c r="D239" s="514"/>
      <c r="E239" s="514"/>
      <c r="F239" s="514"/>
      <c r="G239" s="514"/>
      <c r="H239" s="521"/>
      <c r="I239" s="521"/>
      <c r="J239" s="514"/>
      <c r="K239" s="514"/>
      <c r="L239" s="514"/>
      <c r="M239" s="514"/>
      <c r="N239" s="514"/>
      <c r="O239" s="514"/>
      <c r="P239" s="514"/>
      <c r="Q239" s="514"/>
      <c r="R239" s="514"/>
      <c r="S239" s="514"/>
      <c r="T239" s="514"/>
      <c r="U239" s="514"/>
      <c r="V239" s="514"/>
      <c r="W239" s="514"/>
      <c r="X239" s="514"/>
      <c r="Y239" s="514"/>
      <c r="Z239" s="514"/>
      <c r="AA239" s="514"/>
      <c r="AB239" s="514"/>
      <c r="AC239" s="514"/>
      <c r="AD239" s="514"/>
      <c r="AE239" s="514"/>
      <c r="AF239" s="514"/>
      <c r="AG239" s="514"/>
      <c r="AH239" s="514"/>
      <c r="AI239" s="514"/>
      <c r="AJ239" s="514"/>
      <c r="AK239" s="514"/>
      <c r="AL239" s="514"/>
      <c r="AM239" s="514"/>
      <c r="AN239" s="514"/>
    </row>
    <row r="240" ht="16.5" customHeight="1">
      <c r="A240" s="514"/>
      <c r="B240" s="520"/>
      <c r="C240" s="514"/>
      <c r="D240" s="514"/>
      <c r="E240" s="514"/>
      <c r="F240" s="514"/>
      <c r="G240" s="514"/>
      <c r="H240" s="521"/>
      <c r="I240" s="521"/>
      <c r="J240" s="514"/>
      <c r="K240" s="514"/>
      <c r="L240" s="514"/>
      <c r="M240" s="514"/>
      <c r="N240" s="514"/>
      <c r="O240" s="514"/>
      <c r="P240" s="514"/>
      <c r="Q240" s="514"/>
      <c r="R240" s="514"/>
      <c r="S240" s="514"/>
      <c r="T240" s="514"/>
      <c r="U240" s="514"/>
      <c r="V240" s="514"/>
      <c r="W240" s="514"/>
      <c r="X240" s="514"/>
      <c r="Y240" s="514"/>
      <c r="Z240" s="514"/>
      <c r="AA240" s="514"/>
      <c r="AB240" s="514"/>
      <c r="AC240" s="514"/>
      <c r="AD240" s="514"/>
      <c r="AE240" s="514"/>
      <c r="AF240" s="514"/>
      <c r="AG240" s="514"/>
      <c r="AH240" s="514"/>
      <c r="AI240" s="514"/>
      <c r="AJ240" s="514"/>
      <c r="AK240" s="514"/>
      <c r="AL240" s="514"/>
      <c r="AM240" s="514"/>
      <c r="AN240" s="514"/>
    </row>
    <row r="241" ht="16.5" customHeight="1">
      <c r="A241" s="514"/>
      <c r="B241" s="520"/>
      <c r="C241" s="514"/>
      <c r="D241" s="514"/>
      <c r="E241" s="514"/>
      <c r="F241" s="514"/>
      <c r="G241" s="514"/>
      <c r="H241" s="521"/>
      <c r="I241" s="521"/>
      <c r="J241" s="514"/>
      <c r="K241" s="514"/>
      <c r="L241" s="514"/>
      <c r="M241" s="514"/>
      <c r="N241" s="514"/>
      <c r="O241" s="514"/>
      <c r="P241" s="514"/>
      <c r="Q241" s="514"/>
      <c r="R241" s="514"/>
      <c r="S241" s="514"/>
      <c r="T241" s="514"/>
      <c r="U241" s="514"/>
      <c r="V241" s="514"/>
      <c r="W241" s="514"/>
      <c r="X241" s="514"/>
      <c r="Y241" s="514"/>
      <c r="Z241" s="514"/>
      <c r="AA241" s="514"/>
      <c r="AB241" s="514"/>
      <c r="AC241" s="514"/>
      <c r="AD241" s="514"/>
      <c r="AE241" s="514"/>
      <c r="AF241" s="514"/>
      <c r="AG241" s="514"/>
      <c r="AH241" s="514"/>
      <c r="AI241" s="514"/>
      <c r="AJ241" s="514"/>
      <c r="AK241" s="514"/>
      <c r="AL241" s="514"/>
      <c r="AM241" s="514"/>
      <c r="AN241" s="514"/>
    </row>
    <row r="242" ht="16.5" customHeight="1">
      <c r="A242" s="514"/>
      <c r="B242" s="520"/>
      <c r="C242" s="514"/>
      <c r="D242" s="514"/>
      <c r="E242" s="514"/>
      <c r="F242" s="514"/>
      <c r="G242" s="514"/>
      <c r="H242" s="521"/>
      <c r="I242" s="521"/>
      <c r="J242" s="514"/>
      <c r="K242" s="514"/>
      <c r="L242" s="514"/>
      <c r="M242" s="514"/>
      <c r="N242" s="514"/>
      <c r="O242" s="514"/>
      <c r="P242" s="514"/>
      <c r="Q242" s="514"/>
      <c r="R242" s="514"/>
      <c r="S242" s="514"/>
      <c r="T242" s="514"/>
      <c r="U242" s="514"/>
      <c r="V242" s="514"/>
      <c r="W242" s="514"/>
      <c r="X242" s="514"/>
      <c r="Y242" s="514"/>
      <c r="Z242" s="514"/>
      <c r="AA242" s="514"/>
      <c r="AB242" s="514"/>
      <c r="AC242" s="514"/>
      <c r="AD242" s="514"/>
      <c r="AE242" s="514"/>
      <c r="AF242" s="514"/>
      <c r="AG242" s="514"/>
      <c r="AH242" s="514"/>
      <c r="AI242" s="514"/>
      <c r="AJ242" s="514"/>
      <c r="AK242" s="514"/>
      <c r="AL242" s="514"/>
      <c r="AM242" s="514"/>
      <c r="AN242" s="514"/>
    </row>
    <row r="243" ht="16.5" customHeight="1">
      <c r="A243" s="514"/>
      <c r="B243" s="520"/>
      <c r="C243" s="514"/>
      <c r="D243" s="514"/>
      <c r="E243" s="514"/>
      <c r="F243" s="514"/>
      <c r="G243" s="514"/>
      <c r="H243" s="521"/>
      <c r="I243" s="521"/>
      <c r="J243" s="514"/>
      <c r="K243" s="514"/>
      <c r="L243" s="514"/>
      <c r="M243" s="514"/>
      <c r="N243" s="514"/>
      <c r="O243" s="514"/>
      <c r="P243" s="514"/>
      <c r="Q243" s="514"/>
      <c r="R243" s="514"/>
      <c r="S243" s="514"/>
      <c r="T243" s="514"/>
      <c r="U243" s="514"/>
      <c r="V243" s="514"/>
      <c r="W243" s="514"/>
      <c r="X243" s="514"/>
      <c r="Y243" s="514"/>
      <c r="Z243" s="514"/>
      <c r="AA243" s="514"/>
      <c r="AB243" s="514"/>
      <c r="AC243" s="514"/>
      <c r="AD243" s="514"/>
      <c r="AE243" s="514"/>
      <c r="AF243" s="514"/>
      <c r="AG243" s="514"/>
      <c r="AH243" s="514"/>
      <c r="AI243" s="514"/>
      <c r="AJ243" s="514"/>
      <c r="AK243" s="514"/>
      <c r="AL243" s="514"/>
      <c r="AM243" s="514"/>
      <c r="AN243" s="514"/>
    </row>
    <row r="244" ht="16.5" customHeight="1">
      <c r="A244" s="514"/>
      <c r="B244" s="520"/>
      <c r="C244" s="514"/>
      <c r="D244" s="514"/>
      <c r="E244" s="514"/>
      <c r="F244" s="514"/>
      <c r="G244" s="514"/>
      <c r="H244" s="521"/>
      <c r="I244" s="521"/>
      <c r="J244" s="514"/>
      <c r="K244" s="514"/>
      <c r="L244" s="514"/>
      <c r="M244" s="514"/>
      <c r="N244" s="514"/>
      <c r="O244" s="514"/>
      <c r="P244" s="514"/>
      <c r="Q244" s="514"/>
      <c r="R244" s="514"/>
      <c r="S244" s="514"/>
      <c r="T244" s="514"/>
      <c r="U244" s="514"/>
      <c r="V244" s="514"/>
      <c r="W244" s="514"/>
      <c r="X244" s="514"/>
      <c r="Y244" s="514"/>
      <c r="Z244" s="514"/>
      <c r="AA244" s="514"/>
      <c r="AB244" s="514"/>
      <c r="AC244" s="514"/>
      <c r="AD244" s="514"/>
      <c r="AE244" s="514"/>
      <c r="AF244" s="514"/>
      <c r="AG244" s="514"/>
      <c r="AH244" s="514"/>
      <c r="AI244" s="514"/>
      <c r="AJ244" s="514"/>
      <c r="AK244" s="514"/>
      <c r="AL244" s="514"/>
      <c r="AM244" s="514"/>
      <c r="AN244" s="514"/>
    </row>
    <row r="245" ht="16.5" customHeight="1">
      <c r="A245" s="514"/>
      <c r="B245" s="520"/>
      <c r="C245" s="514"/>
      <c r="D245" s="514"/>
      <c r="E245" s="514"/>
      <c r="F245" s="514"/>
      <c r="G245" s="514"/>
      <c r="H245" s="521"/>
      <c r="I245" s="521"/>
      <c r="J245" s="514"/>
      <c r="K245" s="514"/>
      <c r="L245" s="514"/>
      <c r="M245" s="514"/>
      <c r="N245" s="514"/>
      <c r="O245" s="514"/>
      <c r="P245" s="514"/>
      <c r="Q245" s="514"/>
      <c r="R245" s="514"/>
      <c r="S245" s="514"/>
      <c r="T245" s="514"/>
      <c r="U245" s="514"/>
      <c r="V245" s="514"/>
      <c r="W245" s="514"/>
      <c r="X245" s="514"/>
      <c r="Y245" s="514"/>
      <c r="Z245" s="514"/>
      <c r="AA245" s="514"/>
      <c r="AB245" s="514"/>
      <c r="AC245" s="514"/>
      <c r="AD245" s="514"/>
      <c r="AE245" s="514"/>
      <c r="AF245" s="514"/>
      <c r="AG245" s="514"/>
      <c r="AH245" s="514"/>
      <c r="AI245" s="514"/>
      <c r="AJ245" s="514"/>
      <c r="AK245" s="514"/>
      <c r="AL245" s="514"/>
      <c r="AM245" s="514"/>
      <c r="AN245" s="514"/>
    </row>
    <row r="246" ht="16.5" customHeight="1">
      <c r="A246" s="514"/>
      <c r="B246" s="520"/>
      <c r="C246" s="514"/>
      <c r="D246" s="514"/>
      <c r="E246" s="514"/>
      <c r="F246" s="514"/>
      <c r="G246" s="514"/>
      <c r="H246" s="521"/>
      <c r="I246" s="521"/>
      <c r="J246" s="514"/>
      <c r="K246" s="514"/>
      <c r="L246" s="514"/>
      <c r="M246" s="514"/>
      <c r="N246" s="514"/>
      <c r="O246" s="514"/>
      <c r="P246" s="514"/>
      <c r="Q246" s="514"/>
      <c r="R246" s="514"/>
      <c r="S246" s="514"/>
      <c r="T246" s="514"/>
      <c r="U246" s="514"/>
      <c r="V246" s="514"/>
      <c r="W246" s="514"/>
      <c r="X246" s="514"/>
      <c r="Y246" s="514"/>
      <c r="Z246" s="514"/>
      <c r="AA246" s="514"/>
      <c r="AB246" s="514"/>
      <c r="AC246" s="514"/>
      <c r="AD246" s="514"/>
      <c r="AE246" s="514"/>
      <c r="AF246" s="514"/>
      <c r="AG246" s="514"/>
      <c r="AH246" s="514"/>
      <c r="AI246" s="514"/>
      <c r="AJ246" s="514"/>
      <c r="AK246" s="514"/>
      <c r="AL246" s="514"/>
      <c r="AM246" s="514"/>
      <c r="AN246" s="514"/>
    </row>
    <row r="247" ht="16.5" customHeight="1">
      <c r="A247" s="514"/>
      <c r="B247" s="520"/>
      <c r="C247" s="514"/>
      <c r="D247" s="514"/>
      <c r="E247" s="514"/>
      <c r="F247" s="514"/>
      <c r="G247" s="514"/>
      <c r="H247" s="521"/>
      <c r="I247" s="521"/>
      <c r="J247" s="514"/>
      <c r="K247" s="514"/>
      <c r="L247" s="514"/>
      <c r="M247" s="514"/>
      <c r="N247" s="514"/>
      <c r="O247" s="514"/>
      <c r="P247" s="514"/>
      <c r="Q247" s="514"/>
      <c r="R247" s="514"/>
      <c r="S247" s="514"/>
      <c r="T247" s="514"/>
      <c r="U247" s="514"/>
      <c r="V247" s="514"/>
      <c r="W247" s="514"/>
      <c r="X247" s="514"/>
      <c r="Y247" s="514"/>
      <c r="Z247" s="514"/>
      <c r="AA247" s="514"/>
      <c r="AB247" s="514"/>
      <c r="AC247" s="514"/>
      <c r="AD247" s="514"/>
      <c r="AE247" s="514"/>
      <c r="AF247" s="514"/>
      <c r="AG247" s="514"/>
      <c r="AH247" s="514"/>
      <c r="AI247" s="514"/>
      <c r="AJ247" s="514"/>
      <c r="AK247" s="514"/>
      <c r="AL247" s="514"/>
      <c r="AM247" s="514"/>
      <c r="AN247" s="514"/>
    </row>
    <row r="248" ht="16.5" customHeight="1">
      <c r="A248" s="514"/>
      <c r="B248" s="520"/>
      <c r="C248" s="514"/>
      <c r="D248" s="514"/>
      <c r="E248" s="514"/>
      <c r="F248" s="514"/>
      <c r="G248" s="514"/>
      <c r="H248" s="521"/>
      <c r="I248" s="521"/>
      <c r="J248" s="514"/>
      <c r="K248" s="514"/>
      <c r="L248" s="514"/>
      <c r="M248" s="514"/>
      <c r="N248" s="514"/>
      <c r="O248" s="514"/>
      <c r="P248" s="514"/>
      <c r="Q248" s="514"/>
      <c r="R248" s="514"/>
      <c r="S248" s="514"/>
      <c r="T248" s="514"/>
      <c r="U248" s="514"/>
      <c r="V248" s="514"/>
      <c r="W248" s="514"/>
      <c r="X248" s="514"/>
      <c r="Y248" s="514"/>
      <c r="Z248" s="514"/>
      <c r="AA248" s="514"/>
      <c r="AB248" s="514"/>
      <c r="AC248" s="514"/>
      <c r="AD248" s="514"/>
      <c r="AE248" s="514"/>
      <c r="AF248" s="514"/>
      <c r="AG248" s="514"/>
      <c r="AH248" s="514"/>
      <c r="AI248" s="514"/>
      <c r="AJ248" s="514"/>
      <c r="AK248" s="514"/>
      <c r="AL248" s="514"/>
      <c r="AM248" s="514"/>
      <c r="AN248" s="514"/>
    </row>
    <row r="249" ht="16.5" customHeight="1">
      <c r="A249" s="514"/>
      <c r="B249" s="520"/>
      <c r="C249" s="514"/>
      <c r="D249" s="514"/>
      <c r="E249" s="514"/>
      <c r="F249" s="514"/>
      <c r="G249" s="514"/>
      <c r="H249" s="521"/>
      <c r="I249" s="521"/>
      <c r="J249" s="514"/>
      <c r="K249" s="514"/>
      <c r="L249" s="514"/>
      <c r="M249" s="514"/>
      <c r="N249" s="514"/>
      <c r="O249" s="514"/>
      <c r="P249" s="514"/>
      <c r="Q249" s="514"/>
      <c r="R249" s="514"/>
      <c r="S249" s="514"/>
      <c r="T249" s="514"/>
      <c r="U249" s="514"/>
      <c r="V249" s="514"/>
      <c r="W249" s="514"/>
      <c r="X249" s="514"/>
      <c r="Y249" s="514"/>
      <c r="Z249" s="514"/>
      <c r="AA249" s="514"/>
      <c r="AB249" s="514"/>
      <c r="AC249" s="514"/>
      <c r="AD249" s="514"/>
      <c r="AE249" s="514"/>
      <c r="AF249" s="514"/>
      <c r="AG249" s="514"/>
      <c r="AH249" s="514"/>
      <c r="AI249" s="514"/>
      <c r="AJ249" s="514"/>
      <c r="AK249" s="514"/>
      <c r="AL249" s="514"/>
      <c r="AM249" s="514"/>
      <c r="AN249" s="514"/>
    </row>
    <row r="250" ht="16.5" customHeight="1">
      <c r="A250" s="514"/>
      <c r="B250" s="520"/>
      <c r="C250" s="514"/>
      <c r="D250" s="514"/>
      <c r="E250" s="514"/>
      <c r="F250" s="514"/>
      <c r="G250" s="514"/>
      <c r="H250" s="521"/>
      <c r="I250" s="521"/>
      <c r="J250" s="514"/>
      <c r="K250" s="514"/>
      <c r="L250" s="514"/>
      <c r="M250" s="514"/>
      <c r="N250" s="514"/>
      <c r="O250" s="514"/>
      <c r="P250" s="514"/>
      <c r="Q250" s="514"/>
      <c r="R250" s="514"/>
      <c r="S250" s="514"/>
      <c r="T250" s="514"/>
      <c r="U250" s="514"/>
      <c r="V250" s="514"/>
      <c r="W250" s="514"/>
      <c r="X250" s="514"/>
      <c r="Y250" s="514"/>
      <c r="Z250" s="514"/>
      <c r="AA250" s="514"/>
      <c r="AB250" s="514"/>
      <c r="AC250" s="514"/>
      <c r="AD250" s="514"/>
      <c r="AE250" s="514"/>
      <c r="AF250" s="514"/>
      <c r="AG250" s="514"/>
      <c r="AH250" s="514"/>
      <c r="AI250" s="514"/>
      <c r="AJ250" s="514"/>
      <c r="AK250" s="514"/>
      <c r="AL250" s="514"/>
      <c r="AM250" s="514"/>
      <c r="AN250" s="514"/>
    </row>
    <row r="251" ht="16.5" customHeight="1">
      <c r="A251" s="514"/>
      <c r="B251" s="520"/>
      <c r="C251" s="514"/>
      <c r="D251" s="514"/>
      <c r="E251" s="514"/>
      <c r="F251" s="514"/>
      <c r="G251" s="514"/>
      <c r="H251" s="521"/>
      <c r="I251" s="521"/>
      <c r="J251" s="514"/>
      <c r="K251" s="514"/>
      <c r="L251" s="514"/>
      <c r="M251" s="514"/>
      <c r="N251" s="514"/>
      <c r="O251" s="514"/>
      <c r="P251" s="514"/>
      <c r="Q251" s="514"/>
      <c r="R251" s="514"/>
      <c r="S251" s="514"/>
      <c r="T251" s="514"/>
      <c r="U251" s="514"/>
      <c r="V251" s="514"/>
      <c r="W251" s="514"/>
      <c r="X251" s="514"/>
      <c r="Y251" s="514"/>
      <c r="Z251" s="514"/>
      <c r="AA251" s="514"/>
      <c r="AB251" s="514"/>
      <c r="AC251" s="514"/>
      <c r="AD251" s="514"/>
      <c r="AE251" s="514"/>
      <c r="AF251" s="514"/>
      <c r="AG251" s="514"/>
      <c r="AH251" s="514"/>
      <c r="AI251" s="514"/>
      <c r="AJ251" s="514"/>
      <c r="AK251" s="514"/>
      <c r="AL251" s="514"/>
      <c r="AM251" s="514"/>
      <c r="AN251" s="514"/>
    </row>
    <row r="252" ht="16.5" customHeight="1">
      <c r="A252" s="514"/>
      <c r="B252" s="520"/>
      <c r="C252" s="514"/>
      <c r="D252" s="514"/>
      <c r="E252" s="514"/>
      <c r="F252" s="514"/>
      <c r="G252" s="514"/>
      <c r="H252" s="521"/>
      <c r="I252" s="521"/>
      <c r="J252" s="514"/>
      <c r="K252" s="514"/>
      <c r="L252" s="514"/>
      <c r="M252" s="514"/>
      <c r="N252" s="514"/>
      <c r="O252" s="514"/>
      <c r="P252" s="514"/>
      <c r="Q252" s="514"/>
      <c r="R252" s="514"/>
      <c r="S252" s="514"/>
      <c r="T252" s="514"/>
      <c r="U252" s="514"/>
      <c r="V252" s="514"/>
      <c r="W252" s="514"/>
      <c r="X252" s="514"/>
      <c r="Y252" s="514"/>
      <c r="Z252" s="514"/>
      <c r="AA252" s="514"/>
      <c r="AB252" s="514"/>
      <c r="AC252" s="514"/>
      <c r="AD252" s="514"/>
      <c r="AE252" s="514"/>
      <c r="AF252" s="514"/>
      <c r="AG252" s="514"/>
      <c r="AH252" s="514"/>
      <c r="AI252" s="514"/>
      <c r="AJ252" s="514"/>
      <c r="AK252" s="514"/>
      <c r="AL252" s="514"/>
      <c r="AM252" s="514"/>
      <c r="AN252" s="514"/>
    </row>
    <row r="253" ht="16.5" customHeight="1">
      <c r="A253" s="514"/>
      <c r="B253" s="520"/>
      <c r="C253" s="514"/>
      <c r="D253" s="514"/>
      <c r="E253" s="514"/>
      <c r="F253" s="514"/>
      <c r="G253" s="514"/>
      <c r="H253" s="521"/>
      <c r="I253" s="521"/>
      <c r="J253" s="514"/>
      <c r="K253" s="514"/>
      <c r="L253" s="514"/>
      <c r="M253" s="514"/>
      <c r="N253" s="514"/>
      <c r="O253" s="514"/>
      <c r="P253" s="514"/>
      <c r="Q253" s="514"/>
      <c r="R253" s="514"/>
      <c r="S253" s="514"/>
      <c r="T253" s="514"/>
      <c r="U253" s="514"/>
      <c r="V253" s="514"/>
      <c r="W253" s="514"/>
      <c r="X253" s="514"/>
      <c r="Y253" s="514"/>
      <c r="Z253" s="514"/>
      <c r="AA253" s="514"/>
      <c r="AB253" s="514"/>
      <c r="AC253" s="514"/>
      <c r="AD253" s="514"/>
      <c r="AE253" s="514"/>
      <c r="AF253" s="514"/>
      <c r="AG253" s="514"/>
      <c r="AH253" s="514"/>
      <c r="AI253" s="514"/>
      <c r="AJ253" s="514"/>
      <c r="AK253" s="514"/>
      <c r="AL253" s="514"/>
      <c r="AM253" s="514"/>
      <c r="AN253" s="514"/>
    </row>
    <row r="254" ht="16.5" customHeight="1">
      <c r="A254" s="514"/>
      <c r="B254" s="520"/>
      <c r="C254" s="514"/>
      <c r="D254" s="514"/>
      <c r="E254" s="514"/>
      <c r="F254" s="514"/>
      <c r="G254" s="514"/>
      <c r="H254" s="521"/>
      <c r="I254" s="521"/>
      <c r="J254" s="514"/>
      <c r="K254" s="514"/>
      <c r="L254" s="514"/>
      <c r="M254" s="514"/>
      <c r="N254" s="514"/>
      <c r="O254" s="514"/>
      <c r="P254" s="514"/>
      <c r="Q254" s="514"/>
      <c r="R254" s="514"/>
      <c r="S254" s="514"/>
      <c r="T254" s="514"/>
      <c r="U254" s="514"/>
      <c r="V254" s="514"/>
      <c r="W254" s="514"/>
      <c r="X254" s="514"/>
      <c r="Y254" s="514"/>
      <c r="Z254" s="514"/>
      <c r="AA254" s="514"/>
      <c r="AB254" s="514"/>
      <c r="AC254" s="514"/>
      <c r="AD254" s="514"/>
      <c r="AE254" s="514"/>
      <c r="AF254" s="514"/>
      <c r="AG254" s="514"/>
      <c r="AH254" s="514"/>
      <c r="AI254" s="514"/>
      <c r="AJ254" s="514"/>
      <c r="AK254" s="514"/>
      <c r="AL254" s="514"/>
      <c r="AM254" s="514"/>
      <c r="AN254" s="514"/>
    </row>
    <row r="255" ht="16.5" customHeight="1">
      <c r="A255" s="514"/>
      <c r="B255" s="520"/>
      <c r="C255" s="514"/>
      <c r="D255" s="514"/>
      <c r="E255" s="514"/>
      <c r="F255" s="514"/>
      <c r="G255" s="514"/>
      <c r="H255" s="521"/>
      <c r="I255" s="521"/>
      <c r="J255" s="514"/>
      <c r="K255" s="514"/>
      <c r="L255" s="514"/>
      <c r="M255" s="514"/>
      <c r="N255" s="514"/>
      <c r="O255" s="514"/>
      <c r="P255" s="514"/>
      <c r="Q255" s="514"/>
      <c r="R255" s="514"/>
      <c r="S255" s="514"/>
      <c r="T255" s="514"/>
      <c r="U255" s="514"/>
      <c r="V255" s="514"/>
      <c r="W255" s="514"/>
      <c r="X255" s="514"/>
      <c r="Y255" s="514"/>
      <c r="Z255" s="514"/>
      <c r="AA255" s="514"/>
      <c r="AB255" s="514"/>
      <c r="AC255" s="514"/>
      <c r="AD255" s="514"/>
      <c r="AE255" s="514"/>
      <c r="AF255" s="514"/>
      <c r="AG255" s="514"/>
      <c r="AH255" s="514"/>
      <c r="AI255" s="514"/>
      <c r="AJ255" s="514"/>
      <c r="AK255" s="514"/>
      <c r="AL255" s="514"/>
      <c r="AM255" s="514"/>
      <c r="AN255" s="514"/>
    </row>
    <row r="256" ht="16.5" customHeight="1">
      <c r="A256" s="514"/>
      <c r="B256" s="520"/>
      <c r="C256" s="514"/>
      <c r="D256" s="514"/>
      <c r="E256" s="514"/>
      <c r="F256" s="514"/>
      <c r="G256" s="514"/>
      <c r="H256" s="521"/>
      <c r="I256" s="521"/>
      <c r="J256" s="514"/>
      <c r="K256" s="514"/>
      <c r="L256" s="514"/>
      <c r="M256" s="514"/>
      <c r="N256" s="514"/>
      <c r="O256" s="514"/>
      <c r="P256" s="514"/>
      <c r="Q256" s="514"/>
      <c r="R256" s="514"/>
      <c r="S256" s="514"/>
      <c r="T256" s="514"/>
      <c r="U256" s="514"/>
      <c r="V256" s="514"/>
      <c r="W256" s="514"/>
      <c r="X256" s="514"/>
      <c r="Y256" s="514"/>
      <c r="Z256" s="514"/>
      <c r="AA256" s="514"/>
      <c r="AB256" s="514"/>
      <c r="AC256" s="514"/>
      <c r="AD256" s="514"/>
      <c r="AE256" s="514"/>
      <c r="AF256" s="514"/>
      <c r="AG256" s="514"/>
      <c r="AH256" s="514"/>
      <c r="AI256" s="514"/>
      <c r="AJ256" s="514"/>
      <c r="AK256" s="514"/>
      <c r="AL256" s="514"/>
      <c r="AM256" s="514"/>
      <c r="AN256" s="514"/>
    </row>
    <row r="257" ht="16.5" customHeight="1">
      <c r="A257" s="514"/>
      <c r="B257" s="520"/>
      <c r="C257" s="514"/>
      <c r="D257" s="514"/>
      <c r="E257" s="514"/>
      <c r="F257" s="514"/>
      <c r="G257" s="514"/>
      <c r="H257" s="521"/>
      <c r="I257" s="521"/>
      <c r="J257" s="514"/>
      <c r="K257" s="514"/>
      <c r="L257" s="514"/>
      <c r="M257" s="514"/>
      <c r="N257" s="514"/>
      <c r="O257" s="514"/>
      <c r="P257" s="514"/>
      <c r="Q257" s="514"/>
      <c r="R257" s="514"/>
      <c r="S257" s="514"/>
      <c r="T257" s="514"/>
      <c r="U257" s="514"/>
      <c r="V257" s="514"/>
      <c r="W257" s="514"/>
      <c r="X257" s="514"/>
      <c r="Y257" s="514"/>
      <c r="Z257" s="514"/>
      <c r="AA257" s="514"/>
      <c r="AB257" s="514"/>
      <c r="AC257" s="514"/>
      <c r="AD257" s="514"/>
      <c r="AE257" s="514"/>
      <c r="AF257" s="514"/>
      <c r="AG257" s="514"/>
      <c r="AH257" s="514"/>
      <c r="AI257" s="514"/>
      <c r="AJ257" s="514"/>
      <c r="AK257" s="514"/>
      <c r="AL257" s="514"/>
      <c r="AM257" s="514"/>
      <c r="AN257" s="514"/>
    </row>
    <row r="258" ht="16.5" customHeight="1">
      <c r="A258" s="514"/>
      <c r="B258" s="520"/>
      <c r="C258" s="514"/>
      <c r="D258" s="514"/>
      <c r="E258" s="514"/>
      <c r="F258" s="514"/>
      <c r="G258" s="514"/>
      <c r="H258" s="521"/>
      <c r="I258" s="521"/>
      <c r="J258" s="514"/>
      <c r="K258" s="514"/>
      <c r="L258" s="514"/>
      <c r="M258" s="514"/>
      <c r="N258" s="514"/>
      <c r="O258" s="514"/>
      <c r="P258" s="514"/>
      <c r="Q258" s="514"/>
      <c r="R258" s="514"/>
      <c r="S258" s="514"/>
      <c r="T258" s="514"/>
      <c r="U258" s="514"/>
      <c r="V258" s="514"/>
      <c r="W258" s="514"/>
      <c r="X258" s="514"/>
      <c r="Y258" s="514"/>
      <c r="Z258" s="514"/>
      <c r="AA258" s="514"/>
      <c r="AB258" s="514"/>
      <c r="AC258" s="514"/>
      <c r="AD258" s="514"/>
      <c r="AE258" s="514"/>
      <c r="AF258" s="514"/>
      <c r="AG258" s="514"/>
      <c r="AH258" s="514"/>
      <c r="AI258" s="514"/>
      <c r="AJ258" s="514"/>
      <c r="AK258" s="514"/>
      <c r="AL258" s="514"/>
      <c r="AM258" s="514"/>
      <c r="AN258" s="514"/>
    </row>
    <row r="259" ht="16.5" customHeight="1">
      <c r="A259" s="514"/>
      <c r="B259" s="520"/>
      <c r="C259" s="514"/>
      <c r="D259" s="514"/>
      <c r="E259" s="514"/>
      <c r="F259" s="514"/>
      <c r="G259" s="514"/>
      <c r="H259" s="521"/>
      <c r="I259" s="521"/>
      <c r="J259" s="514"/>
      <c r="K259" s="514"/>
      <c r="L259" s="514"/>
      <c r="M259" s="514"/>
      <c r="N259" s="514"/>
      <c r="O259" s="514"/>
      <c r="P259" s="514"/>
      <c r="Q259" s="514"/>
      <c r="R259" s="514"/>
      <c r="S259" s="514"/>
      <c r="T259" s="514"/>
      <c r="U259" s="514"/>
      <c r="V259" s="514"/>
      <c r="W259" s="514"/>
      <c r="X259" s="514"/>
      <c r="Y259" s="514"/>
      <c r="Z259" s="514"/>
      <c r="AA259" s="514"/>
      <c r="AB259" s="514"/>
      <c r="AC259" s="514"/>
      <c r="AD259" s="514"/>
      <c r="AE259" s="514"/>
      <c r="AF259" s="514"/>
      <c r="AG259" s="514"/>
      <c r="AH259" s="514"/>
      <c r="AI259" s="514"/>
      <c r="AJ259" s="514"/>
      <c r="AK259" s="514"/>
      <c r="AL259" s="514"/>
      <c r="AM259" s="514"/>
      <c r="AN259" s="514"/>
    </row>
    <row r="260" ht="16.5" customHeight="1">
      <c r="A260" s="514"/>
      <c r="B260" s="520"/>
      <c r="C260" s="514"/>
      <c r="D260" s="514"/>
      <c r="E260" s="514"/>
      <c r="F260" s="514"/>
      <c r="G260" s="514"/>
      <c r="H260" s="521"/>
      <c r="I260" s="521"/>
      <c r="J260" s="514"/>
      <c r="K260" s="514"/>
      <c r="L260" s="514"/>
      <c r="M260" s="514"/>
      <c r="N260" s="514"/>
      <c r="O260" s="514"/>
      <c r="P260" s="514"/>
      <c r="Q260" s="514"/>
      <c r="R260" s="514"/>
      <c r="S260" s="514"/>
      <c r="T260" s="514"/>
      <c r="U260" s="514"/>
      <c r="V260" s="514"/>
      <c r="W260" s="514"/>
      <c r="X260" s="514"/>
      <c r="Y260" s="514"/>
      <c r="Z260" s="514"/>
      <c r="AA260" s="514"/>
      <c r="AB260" s="514"/>
      <c r="AC260" s="514"/>
      <c r="AD260" s="514"/>
      <c r="AE260" s="514"/>
      <c r="AF260" s="514"/>
      <c r="AG260" s="514"/>
      <c r="AH260" s="514"/>
      <c r="AI260" s="514"/>
      <c r="AJ260" s="514"/>
      <c r="AK260" s="514"/>
      <c r="AL260" s="514"/>
      <c r="AM260" s="514"/>
      <c r="AN260" s="514"/>
    </row>
    <row r="261" ht="16.5" customHeight="1">
      <c r="A261" s="514"/>
      <c r="B261" s="520"/>
      <c r="C261" s="514"/>
      <c r="D261" s="514"/>
      <c r="E261" s="514"/>
      <c r="F261" s="514"/>
      <c r="G261" s="514"/>
      <c r="H261" s="521"/>
      <c r="I261" s="521"/>
      <c r="J261" s="514"/>
      <c r="K261" s="514"/>
      <c r="L261" s="514"/>
      <c r="M261" s="514"/>
      <c r="N261" s="514"/>
      <c r="O261" s="514"/>
      <c r="P261" s="514"/>
      <c r="Q261" s="514"/>
      <c r="R261" s="514"/>
      <c r="S261" s="514"/>
      <c r="T261" s="514"/>
      <c r="U261" s="514"/>
      <c r="V261" s="514"/>
      <c r="W261" s="514"/>
      <c r="X261" s="514"/>
      <c r="Y261" s="514"/>
      <c r="Z261" s="514"/>
      <c r="AA261" s="514"/>
      <c r="AB261" s="514"/>
      <c r="AC261" s="514"/>
      <c r="AD261" s="514"/>
      <c r="AE261" s="514"/>
      <c r="AF261" s="514"/>
      <c r="AG261" s="514"/>
      <c r="AH261" s="514"/>
      <c r="AI261" s="514"/>
      <c r="AJ261" s="514"/>
      <c r="AK261" s="514"/>
      <c r="AL261" s="514"/>
      <c r="AM261" s="514"/>
      <c r="AN261" s="514"/>
    </row>
    <row r="262" ht="16.5" customHeight="1">
      <c r="A262" s="514"/>
      <c r="B262" s="520"/>
      <c r="C262" s="514"/>
      <c r="D262" s="514"/>
      <c r="E262" s="514"/>
      <c r="F262" s="514"/>
      <c r="G262" s="514"/>
      <c r="H262" s="521"/>
      <c r="I262" s="521"/>
      <c r="J262" s="514"/>
      <c r="K262" s="514"/>
      <c r="L262" s="514"/>
      <c r="M262" s="514"/>
      <c r="N262" s="514"/>
      <c r="O262" s="514"/>
      <c r="P262" s="514"/>
      <c r="Q262" s="514"/>
      <c r="R262" s="514"/>
      <c r="S262" s="514"/>
      <c r="T262" s="514"/>
      <c r="U262" s="514"/>
      <c r="V262" s="514"/>
      <c r="W262" s="514"/>
      <c r="X262" s="514"/>
      <c r="Y262" s="514"/>
      <c r="Z262" s="514"/>
      <c r="AA262" s="514"/>
      <c r="AB262" s="514"/>
      <c r="AC262" s="514"/>
      <c r="AD262" s="514"/>
      <c r="AE262" s="514"/>
      <c r="AF262" s="514"/>
      <c r="AG262" s="514"/>
      <c r="AH262" s="514"/>
      <c r="AI262" s="514"/>
      <c r="AJ262" s="514"/>
      <c r="AK262" s="514"/>
      <c r="AL262" s="514"/>
      <c r="AM262" s="514"/>
      <c r="AN262" s="514"/>
    </row>
    <row r="263" ht="16.5" customHeight="1">
      <c r="A263" s="514"/>
      <c r="B263" s="520"/>
      <c r="C263" s="514"/>
      <c r="D263" s="514"/>
      <c r="E263" s="514"/>
      <c r="F263" s="514"/>
      <c r="G263" s="514"/>
      <c r="H263" s="521"/>
      <c r="I263" s="521"/>
      <c r="J263" s="514"/>
      <c r="K263" s="514"/>
      <c r="L263" s="514"/>
      <c r="M263" s="514"/>
      <c r="N263" s="514"/>
      <c r="O263" s="514"/>
      <c r="P263" s="514"/>
      <c r="Q263" s="514"/>
      <c r="R263" s="514"/>
      <c r="S263" s="514"/>
      <c r="T263" s="514"/>
      <c r="U263" s="514"/>
      <c r="V263" s="514"/>
      <c r="W263" s="514"/>
      <c r="X263" s="514"/>
      <c r="Y263" s="514"/>
      <c r="Z263" s="514"/>
      <c r="AA263" s="514"/>
      <c r="AB263" s="514"/>
      <c r="AC263" s="514"/>
      <c r="AD263" s="514"/>
      <c r="AE263" s="514"/>
      <c r="AF263" s="514"/>
      <c r="AG263" s="514"/>
      <c r="AH263" s="514"/>
      <c r="AI263" s="514"/>
      <c r="AJ263" s="514"/>
      <c r="AK263" s="514"/>
      <c r="AL263" s="514"/>
      <c r="AM263" s="514"/>
      <c r="AN263" s="514"/>
    </row>
    <row r="264" ht="16.5" customHeight="1">
      <c r="A264" s="514"/>
      <c r="B264" s="520"/>
      <c r="C264" s="514"/>
      <c r="D264" s="514"/>
      <c r="E264" s="514"/>
      <c r="F264" s="514"/>
      <c r="G264" s="514"/>
      <c r="H264" s="521"/>
      <c r="I264" s="521"/>
      <c r="J264" s="514"/>
      <c r="K264" s="514"/>
      <c r="L264" s="514"/>
      <c r="M264" s="514"/>
      <c r="N264" s="514"/>
      <c r="O264" s="514"/>
      <c r="P264" s="514"/>
      <c r="Q264" s="514"/>
      <c r="R264" s="514"/>
      <c r="S264" s="514"/>
      <c r="T264" s="514"/>
      <c r="U264" s="514"/>
      <c r="V264" s="514"/>
      <c r="W264" s="514"/>
      <c r="X264" s="514"/>
      <c r="Y264" s="514"/>
      <c r="Z264" s="514"/>
      <c r="AA264" s="514"/>
      <c r="AB264" s="514"/>
      <c r="AC264" s="514"/>
      <c r="AD264" s="514"/>
      <c r="AE264" s="514"/>
      <c r="AF264" s="514"/>
      <c r="AG264" s="514"/>
      <c r="AH264" s="514"/>
      <c r="AI264" s="514"/>
      <c r="AJ264" s="514"/>
      <c r="AK264" s="514"/>
      <c r="AL264" s="514"/>
      <c r="AM264" s="514"/>
      <c r="AN264" s="514"/>
    </row>
    <row r="265" ht="16.5" customHeight="1">
      <c r="A265" s="514"/>
      <c r="B265" s="520"/>
      <c r="C265" s="514"/>
      <c r="D265" s="514"/>
      <c r="E265" s="514"/>
      <c r="F265" s="514"/>
      <c r="G265" s="514"/>
      <c r="H265" s="521"/>
      <c r="I265" s="521"/>
      <c r="J265" s="514"/>
      <c r="K265" s="514"/>
      <c r="L265" s="514"/>
      <c r="M265" s="514"/>
      <c r="N265" s="514"/>
      <c r="O265" s="514"/>
      <c r="P265" s="514"/>
      <c r="Q265" s="514"/>
      <c r="R265" s="514"/>
      <c r="S265" s="514"/>
      <c r="T265" s="514"/>
      <c r="U265" s="514"/>
      <c r="V265" s="514"/>
      <c r="W265" s="514"/>
      <c r="X265" s="514"/>
      <c r="Y265" s="514"/>
      <c r="Z265" s="514"/>
      <c r="AA265" s="514"/>
      <c r="AB265" s="514"/>
      <c r="AC265" s="514"/>
      <c r="AD265" s="514"/>
      <c r="AE265" s="514"/>
      <c r="AF265" s="514"/>
      <c r="AG265" s="514"/>
      <c r="AH265" s="514"/>
      <c r="AI265" s="514"/>
      <c r="AJ265" s="514"/>
      <c r="AK265" s="514"/>
      <c r="AL265" s="514"/>
      <c r="AM265" s="514"/>
      <c r="AN265" s="514"/>
    </row>
    <row r="266" ht="16.5" customHeight="1">
      <c r="A266" s="514"/>
      <c r="B266" s="520"/>
      <c r="C266" s="514"/>
      <c r="D266" s="514"/>
      <c r="E266" s="514"/>
      <c r="F266" s="514"/>
      <c r="G266" s="514"/>
      <c r="H266" s="521"/>
      <c r="I266" s="521"/>
      <c r="J266" s="514"/>
      <c r="K266" s="514"/>
      <c r="L266" s="514"/>
      <c r="M266" s="514"/>
      <c r="N266" s="514"/>
      <c r="O266" s="514"/>
      <c r="P266" s="514"/>
      <c r="Q266" s="514"/>
      <c r="R266" s="514"/>
      <c r="S266" s="514"/>
      <c r="T266" s="514"/>
      <c r="U266" s="514"/>
      <c r="V266" s="514"/>
      <c r="W266" s="514"/>
      <c r="X266" s="514"/>
      <c r="Y266" s="514"/>
      <c r="Z266" s="514"/>
      <c r="AA266" s="514"/>
      <c r="AB266" s="514"/>
      <c r="AC266" s="514"/>
      <c r="AD266" s="514"/>
      <c r="AE266" s="514"/>
      <c r="AF266" s="514"/>
      <c r="AG266" s="514"/>
      <c r="AH266" s="514"/>
      <c r="AI266" s="514"/>
      <c r="AJ266" s="514"/>
      <c r="AK266" s="514"/>
      <c r="AL266" s="514"/>
      <c r="AM266" s="514"/>
      <c r="AN266" s="514"/>
    </row>
    <row r="267" ht="16.5" customHeight="1">
      <c r="A267" s="514"/>
      <c r="B267" s="520"/>
      <c r="C267" s="514"/>
      <c r="D267" s="514"/>
      <c r="E267" s="514"/>
      <c r="F267" s="514"/>
      <c r="G267" s="514"/>
      <c r="H267" s="521"/>
      <c r="I267" s="521"/>
      <c r="J267" s="514"/>
      <c r="K267" s="514"/>
      <c r="L267" s="514"/>
      <c r="M267" s="514"/>
      <c r="N267" s="514"/>
      <c r="O267" s="514"/>
      <c r="P267" s="514"/>
      <c r="Q267" s="514"/>
      <c r="R267" s="514"/>
      <c r="S267" s="514"/>
      <c r="T267" s="514"/>
      <c r="U267" s="514"/>
      <c r="V267" s="514"/>
      <c r="W267" s="514"/>
      <c r="X267" s="514"/>
      <c r="Y267" s="514"/>
      <c r="Z267" s="514"/>
      <c r="AA267" s="514"/>
      <c r="AB267" s="514"/>
      <c r="AC267" s="514"/>
      <c r="AD267" s="514"/>
      <c r="AE267" s="514"/>
      <c r="AF267" s="514"/>
      <c r="AG267" s="514"/>
      <c r="AH267" s="514"/>
      <c r="AI267" s="514"/>
      <c r="AJ267" s="514"/>
      <c r="AK267" s="514"/>
      <c r="AL267" s="514"/>
      <c r="AM267" s="514"/>
      <c r="AN267" s="514"/>
    </row>
    <row r="268" ht="16.5" customHeight="1">
      <c r="A268" s="514"/>
      <c r="B268" s="520"/>
      <c r="C268" s="514"/>
      <c r="D268" s="514"/>
      <c r="E268" s="514"/>
      <c r="F268" s="514"/>
      <c r="G268" s="514"/>
      <c r="H268" s="521"/>
      <c r="I268" s="521"/>
      <c r="J268" s="514"/>
      <c r="K268" s="514"/>
      <c r="L268" s="514"/>
      <c r="M268" s="514"/>
      <c r="N268" s="514"/>
      <c r="O268" s="514"/>
      <c r="P268" s="514"/>
      <c r="Q268" s="514"/>
      <c r="R268" s="514"/>
      <c r="S268" s="514"/>
      <c r="T268" s="514"/>
      <c r="U268" s="514"/>
      <c r="V268" s="514"/>
      <c r="W268" s="514"/>
      <c r="X268" s="514"/>
      <c r="Y268" s="514"/>
      <c r="Z268" s="514"/>
      <c r="AA268" s="514"/>
      <c r="AB268" s="514"/>
      <c r="AC268" s="514"/>
      <c r="AD268" s="514"/>
      <c r="AE268" s="514"/>
      <c r="AF268" s="514"/>
      <c r="AG268" s="514"/>
      <c r="AH268" s="514"/>
      <c r="AI268" s="514"/>
      <c r="AJ268" s="514"/>
      <c r="AK268" s="514"/>
      <c r="AL268" s="514"/>
      <c r="AM268" s="514"/>
      <c r="AN268" s="514"/>
    </row>
    <row r="269" ht="16.5" customHeight="1">
      <c r="A269" s="514"/>
      <c r="B269" s="520"/>
      <c r="C269" s="514"/>
      <c r="D269" s="514"/>
      <c r="E269" s="514"/>
      <c r="F269" s="514"/>
      <c r="G269" s="514"/>
      <c r="H269" s="521"/>
      <c r="I269" s="521"/>
      <c r="J269" s="514"/>
      <c r="K269" s="514"/>
      <c r="L269" s="514"/>
      <c r="M269" s="514"/>
      <c r="N269" s="514"/>
      <c r="O269" s="514"/>
      <c r="P269" s="514"/>
      <c r="Q269" s="514"/>
      <c r="R269" s="514"/>
      <c r="S269" s="514"/>
      <c r="T269" s="514"/>
      <c r="U269" s="514"/>
      <c r="V269" s="514"/>
      <c r="W269" s="514"/>
      <c r="X269" s="514"/>
      <c r="Y269" s="514"/>
      <c r="Z269" s="514"/>
      <c r="AA269" s="514"/>
      <c r="AB269" s="514"/>
      <c r="AC269" s="514"/>
      <c r="AD269" s="514"/>
      <c r="AE269" s="514"/>
      <c r="AF269" s="514"/>
      <c r="AG269" s="514"/>
      <c r="AH269" s="514"/>
      <c r="AI269" s="514"/>
      <c r="AJ269" s="514"/>
      <c r="AK269" s="514"/>
      <c r="AL269" s="514"/>
      <c r="AM269" s="514"/>
      <c r="AN269" s="514"/>
    </row>
    <row r="270" ht="16.5" customHeight="1">
      <c r="A270" s="514"/>
      <c r="B270" s="520"/>
      <c r="C270" s="514"/>
      <c r="D270" s="514"/>
      <c r="E270" s="514"/>
      <c r="F270" s="514"/>
      <c r="G270" s="514"/>
      <c r="H270" s="521"/>
      <c r="I270" s="521"/>
      <c r="J270" s="514"/>
      <c r="K270" s="514"/>
      <c r="L270" s="514"/>
      <c r="M270" s="514"/>
      <c r="N270" s="514"/>
      <c r="O270" s="514"/>
      <c r="P270" s="514"/>
      <c r="Q270" s="514"/>
      <c r="R270" s="514"/>
      <c r="S270" s="514"/>
      <c r="T270" s="514"/>
      <c r="U270" s="514"/>
      <c r="V270" s="514"/>
      <c r="W270" s="514"/>
      <c r="X270" s="514"/>
      <c r="Y270" s="514"/>
      <c r="Z270" s="514"/>
      <c r="AA270" s="514"/>
      <c r="AB270" s="514"/>
      <c r="AC270" s="514"/>
      <c r="AD270" s="514"/>
      <c r="AE270" s="514"/>
      <c r="AF270" s="514"/>
      <c r="AG270" s="514"/>
      <c r="AH270" s="514"/>
      <c r="AI270" s="514"/>
      <c r="AJ270" s="514"/>
      <c r="AK270" s="514"/>
      <c r="AL270" s="514"/>
      <c r="AM270" s="514"/>
      <c r="AN270" s="514"/>
    </row>
    <row r="271" ht="16.5" customHeight="1">
      <c r="A271" s="514"/>
      <c r="B271" s="520"/>
      <c r="C271" s="514"/>
      <c r="D271" s="514"/>
      <c r="E271" s="514"/>
      <c r="F271" s="514"/>
      <c r="G271" s="514"/>
      <c r="H271" s="521"/>
      <c r="I271" s="521"/>
      <c r="J271" s="514"/>
      <c r="K271" s="514"/>
      <c r="L271" s="514"/>
      <c r="M271" s="514"/>
      <c r="N271" s="514"/>
      <c r="O271" s="514"/>
      <c r="P271" s="514"/>
      <c r="Q271" s="514"/>
      <c r="R271" s="514"/>
      <c r="S271" s="514"/>
      <c r="T271" s="514"/>
      <c r="U271" s="514"/>
      <c r="V271" s="514"/>
      <c r="W271" s="514"/>
      <c r="X271" s="514"/>
      <c r="Y271" s="514"/>
      <c r="Z271" s="514"/>
      <c r="AA271" s="514"/>
      <c r="AB271" s="514"/>
      <c r="AC271" s="514"/>
      <c r="AD271" s="514"/>
      <c r="AE271" s="514"/>
      <c r="AF271" s="514"/>
      <c r="AG271" s="514"/>
      <c r="AH271" s="514"/>
      <c r="AI271" s="514"/>
      <c r="AJ271" s="514"/>
      <c r="AK271" s="514"/>
      <c r="AL271" s="514"/>
      <c r="AM271" s="514"/>
      <c r="AN271" s="514"/>
    </row>
    <row r="272" ht="16.5" customHeight="1">
      <c r="A272" s="514"/>
      <c r="B272" s="520"/>
      <c r="C272" s="514"/>
      <c r="D272" s="514"/>
      <c r="E272" s="514"/>
      <c r="F272" s="514"/>
      <c r="G272" s="514"/>
      <c r="H272" s="521"/>
      <c r="I272" s="521"/>
      <c r="J272" s="514"/>
      <c r="K272" s="514"/>
      <c r="L272" s="514"/>
      <c r="M272" s="514"/>
      <c r="N272" s="514"/>
      <c r="O272" s="514"/>
      <c r="P272" s="514"/>
      <c r="Q272" s="514"/>
      <c r="R272" s="514"/>
      <c r="S272" s="514"/>
      <c r="T272" s="514"/>
      <c r="U272" s="514"/>
      <c r="V272" s="514"/>
      <c r="W272" s="514"/>
      <c r="X272" s="514"/>
      <c r="Y272" s="514"/>
      <c r="Z272" s="514"/>
      <c r="AA272" s="514"/>
      <c r="AB272" s="514"/>
      <c r="AC272" s="514"/>
      <c r="AD272" s="514"/>
      <c r="AE272" s="514"/>
      <c r="AF272" s="514"/>
      <c r="AG272" s="514"/>
      <c r="AH272" s="514"/>
      <c r="AI272" s="514"/>
      <c r="AJ272" s="514"/>
      <c r="AK272" s="514"/>
      <c r="AL272" s="514"/>
      <c r="AM272" s="514"/>
      <c r="AN272" s="514"/>
    </row>
    <row r="273" ht="16.5" customHeight="1">
      <c r="A273" s="514"/>
      <c r="B273" s="520"/>
      <c r="C273" s="514"/>
      <c r="D273" s="514"/>
      <c r="E273" s="514"/>
      <c r="F273" s="514"/>
      <c r="G273" s="514"/>
      <c r="H273" s="521"/>
      <c r="I273" s="521"/>
      <c r="J273" s="514"/>
      <c r="K273" s="514"/>
      <c r="L273" s="514"/>
      <c r="M273" s="514"/>
      <c r="N273" s="514"/>
      <c r="O273" s="514"/>
      <c r="P273" s="514"/>
      <c r="Q273" s="514"/>
      <c r="R273" s="514"/>
      <c r="S273" s="514"/>
      <c r="T273" s="514"/>
      <c r="U273" s="514"/>
      <c r="V273" s="514"/>
      <c r="W273" s="514"/>
      <c r="X273" s="514"/>
      <c r="Y273" s="514"/>
      <c r="Z273" s="514"/>
      <c r="AA273" s="514"/>
      <c r="AB273" s="514"/>
      <c r="AC273" s="514"/>
      <c r="AD273" s="514"/>
      <c r="AE273" s="514"/>
      <c r="AF273" s="514"/>
      <c r="AG273" s="514"/>
      <c r="AH273" s="514"/>
      <c r="AI273" s="514"/>
      <c r="AJ273" s="514"/>
      <c r="AK273" s="514"/>
      <c r="AL273" s="514"/>
      <c r="AM273" s="514"/>
      <c r="AN273" s="514"/>
    </row>
    <row r="274" ht="16.5" customHeight="1">
      <c r="A274" s="514"/>
      <c r="B274" s="520"/>
      <c r="C274" s="514"/>
      <c r="D274" s="514"/>
      <c r="E274" s="514"/>
      <c r="F274" s="514"/>
      <c r="G274" s="514"/>
      <c r="H274" s="521"/>
      <c r="I274" s="521"/>
      <c r="J274" s="514"/>
      <c r="K274" s="514"/>
      <c r="L274" s="514"/>
      <c r="M274" s="514"/>
      <c r="N274" s="514"/>
      <c r="O274" s="514"/>
      <c r="P274" s="514"/>
      <c r="Q274" s="514"/>
      <c r="R274" s="514"/>
      <c r="S274" s="514"/>
      <c r="T274" s="514"/>
      <c r="U274" s="514"/>
      <c r="V274" s="514"/>
      <c r="W274" s="514"/>
      <c r="X274" s="514"/>
      <c r="Y274" s="514"/>
      <c r="Z274" s="514"/>
      <c r="AA274" s="514"/>
      <c r="AB274" s="514"/>
      <c r="AC274" s="514"/>
      <c r="AD274" s="514"/>
      <c r="AE274" s="514"/>
      <c r="AF274" s="514"/>
      <c r="AG274" s="514"/>
      <c r="AH274" s="514"/>
      <c r="AI274" s="514"/>
      <c r="AJ274" s="514"/>
      <c r="AK274" s="514"/>
      <c r="AL274" s="514"/>
      <c r="AM274" s="514"/>
      <c r="AN274" s="514"/>
    </row>
    <row r="275" ht="16.5" customHeight="1">
      <c r="A275" s="514"/>
      <c r="B275" s="520"/>
      <c r="C275" s="514"/>
      <c r="D275" s="514"/>
      <c r="E275" s="514"/>
      <c r="F275" s="514"/>
      <c r="G275" s="514"/>
      <c r="H275" s="521"/>
      <c r="I275" s="521"/>
      <c r="J275" s="514"/>
      <c r="K275" s="514"/>
      <c r="L275" s="514"/>
      <c r="M275" s="514"/>
      <c r="N275" s="514"/>
      <c r="O275" s="514"/>
      <c r="P275" s="514"/>
      <c r="Q275" s="514"/>
      <c r="R275" s="514"/>
      <c r="S275" s="514"/>
      <c r="T275" s="514"/>
      <c r="U275" s="514"/>
      <c r="V275" s="514"/>
      <c r="W275" s="514"/>
      <c r="X275" s="514"/>
      <c r="Y275" s="514"/>
      <c r="Z275" s="514"/>
      <c r="AA275" s="514"/>
      <c r="AB275" s="514"/>
      <c r="AC275" s="514"/>
      <c r="AD275" s="514"/>
      <c r="AE275" s="514"/>
      <c r="AF275" s="514"/>
      <c r="AG275" s="514"/>
      <c r="AH275" s="514"/>
      <c r="AI275" s="514"/>
      <c r="AJ275" s="514"/>
      <c r="AK275" s="514"/>
      <c r="AL275" s="514"/>
      <c r="AM275" s="514"/>
      <c r="AN275" s="514"/>
    </row>
    <row r="276" ht="16.5" customHeight="1">
      <c r="A276" s="514"/>
      <c r="B276" s="520"/>
      <c r="C276" s="514"/>
      <c r="D276" s="514"/>
      <c r="E276" s="514"/>
      <c r="F276" s="514"/>
      <c r="G276" s="514"/>
      <c r="H276" s="521"/>
      <c r="I276" s="521"/>
      <c r="J276" s="514"/>
      <c r="K276" s="514"/>
      <c r="L276" s="514"/>
      <c r="M276" s="514"/>
      <c r="N276" s="514"/>
      <c r="O276" s="514"/>
      <c r="P276" s="514"/>
      <c r="Q276" s="514"/>
      <c r="R276" s="514"/>
      <c r="S276" s="514"/>
      <c r="T276" s="514"/>
      <c r="U276" s="514"/>
      <c r="V276" s="514"/>
      <c r="W276" s="514"/>
      <c r="X276" s="514"/>
      <c r="Y276" s="514"/>
      <c r="Z276" s="514"/>
      <c r="AA276" s="514"/>
      <c r="AB276" s="514"/>
      <c r="AC276" s="514"/>
      <c r="AD276" s="514"/>
      <c r="AE276" s="514"/>
      <c r="AF276" s="514"/>
      <c r="AG276" s="514"/>
      <c r="AH276" s="514"/>
      <c r="AI276" s="514"/>
      <c r="AJ276" s="514"/>
      <c r="AK276" s="514"/>
      <c r="AL276" s="514"/>
      <c r="AM276" s="514"/>
      <c r="AN276" s="514"/>
    </row>
    <row r="277" ht="16.5" customHeight="1">
      <c r="A277" s="514"/>
      <c r="B277" s="520"/>
      <c r="C277" s="514"/>
      <c r="D277" s="514"/>
      <c r="E277" s="514"/>
      <c r="F277" s="514"/>
      <c r="G277" s="514"/>
      <c r="H277" s="521"/>
      <c r="I277" s="521"/>
      <c r="J277" s="514"/>
      <c r="K277" s="514"/>
      <c r="L277" s="514"/>
      <c r="M277" s="514"/>
      <c r="N277" s="514"/>
      <c r="O277" s="514"/>
      <c r="P277" s="514"/>
      <c r="Q277" s="514"/>
      <c r="R277" s="514"/>
      <c r="S277" s="514"/>
      <c r="T277" s="514"/>
      <c r="U277" s="514"/>
      <c r="V277" s="514"/>
      <c r="W277" s="514"/>
      <c r="X277" s="514"/>
      <c r="Y277" s="514"/>
      <c r="Z277" s="514"/>
      <c r="AA277" s="514"/>
      <c r="AB277" s="514"/>
      <c r="AC277" s="514"/>
      <c r="AD277" s="514"/>
      <c r="AE277" s="514"/>
      <c r="AF277" s="514"/>
      <c r="AG277" s="514"/>
      <c r="AH277" s="514"/>
      <c r="AI277" s="514"/>
      <c r="AJ277" s="514"/>
      <c r="AK277" s="514"/>
      <c r="AL277" s="514"/>
      <c r="AM277" s="514"/>
      <c r="AN277" s="514"/>
    </row>
    <row r="278" ht="16.5" customHeight="1">
      <c r="A278" s="514"/>
      <c r="B278" s="520"/>
      <c r="C278" s="514"/>
      <c r="D278" s="514"/>
      <c r="E278" s="514"/>
      <c r="F278" s="514"/>
      <c r="G278" s="514"/>
      <c r="H278" s="521"/>
      <c r="I278" s="521"/>
      <c r="J278" s="514"/>
      <c r="K278" s="514"/>
      <c r="L278" s="514"/>
      <c r="M278" s="514"/>
      <c r="N278" s="514"/>
      <c r="O278" s="514"/>
      <c r="P278" s="514"/>
      <c r="Q278" s="514"/>
      <c r="R278" s="514"/>
      <c r="S278" s="514"/>
      <c r="T278" s="514"/>
      <c r="U278" s="514"/>
      <c r="V278" s="514"/>
      <c r="W278" s="514"/>
      <c r="X278" s="514"/>
      <c r="Y278" s="514"/>
      <c r="Z278" s="514"/>
      <c r="AA278" s="514"/>
      <c r="AB278" s="514"/>
      <c r="AC278" s="514"/>
      <c r="AD278" s="514"/>
      <c r="AE278" s="514"/>
      <c r="AF278" s="514"/>
      <c r="AG278" s="514"/>
      <c r="AH278" s="514"/>
      <c r="AI278" s="514"/>
      <c r="AJ278" s="514"/>
      <c r="AK278" s="514"/>
      <c r="AL278" s="514"/>
      <c r="AM278" s="514"/>
      <c r="AN278" s="514"/>
    </row>
    <row r="279" ht="16.5" customHeight="1">
      <c r="A279" s="514"/>
      <c r="B279" s="520"/>
      <c r="C279" s="514"/>
      <c r="D279" s="514"/>
      <c r="E279" s="514"/>
      <c r="F279" s="514"/>
      <c r="G279" s="514"/>
      <c r="H279" s="521"/>
      <c r="I279" s="521"/>
      <c r="J279" s="514"/>
      <c r="K279" s="514"/>
      <c r="L279" s="514"/>
      <c r="M279" s="514"/>
      <c r="N279" s="514"/>
      <c r="O279" s="514"/>
      <c r="P279" s="514"/>
      <c r="Q279" s="514"/>
      <c r="R279" s="514"/>
      <c r="S279" s="514"/>
      <c r="T279" s="514"/>
      <c r="U279" s="514"/>
      <c r="V279" s="514"/>
      <c r="W279" s="514"/>
      <c r="X279" s="514"/>
      <c r="Y279" s="514"/>
      <c r="Z279" s="514"/>
      <c r="AA279" s="514"/>
      <c r="AB279" s="514"/>
      <c r="AC279" s="514"/>
      <c r="AD279" s="514"/>
      <c r="AE279" s="514"/>
      <c r="AF279" s="514"/>
      <c r="AG279" s="514"/>
      <c r="AH279" s="514"/>
      <c r="AI279" s="514"/>
      <c r="AJ279" s="514"/>
      <c r="AK279" s="514"/>
      <c r="AL279" s="514"/>
      <c r="AM279" s="514"/>
      <c r="AN279" s="514"/>
    </row>
    <row r="280" ht="16.5" customHeight="1">
      <c r="A280" s="514"/>
      <c r="B280" s="520"/>
      <c r="C280" s="514"/>
      <c r="D280" s="514"/>
      <c r="E280" s="514"/>
      <c r="F280" s="514"/>
      <c r="G280" s="514"/>
      <c r="H280" s="521"/>
      <c r="I280" s="521"/>
      <c r="J280" s="514"/>
      <c r="K280" s="514"/>
      <c r="L280" s="514"/>
      <c r="M280" s="514"/>
      <c r="N280" s="514"/>
      <c r="O280" s="514"/>
      <c r="P280" s="514"/>
      <c r="Q280" s="514"/>
      <c r="R280" s="514"/>
      <c r="S280" s="514"/>
      <c r="T280" s="514"/>
      <c r="U280" s="514"/>
      <c r="V280" s="514"/>
      <c r="W280" s="514"/>
      <c r="X280" s="514"/>
      <c r="Y280" s="514"/>
      <c r="Z280" s="514"/>
      <c r="AA280" s="514"/>
      <c r="AB280" s="514"/>
      <c r="AC280" s="514"/>
      <c r="AD280" s="514"/>
      <c r="AE280" s="514"/>
      <c r="AF280" s="514"/>
      <c r="AG280" s="514"/>
      <c r="AH280" s="514"/>
      <c r="AI280" s="514"/>
      <c r="AJ280" s="514"/>
      <c r="AK280" s="514"/>
      <c r="AL280" s="514"/>
      <c r="AM280" s="514"/>
      <c r="AN280" s="514"/>
    </row>
    <row r="281" ht="16.5" customHeight="1">
      <c r="A281" s="514"/>
      <c r="B281" s="520"/>
      <c r="C281" s="514"/>
      <c r="D281" s="514"/>
      <c r="E281" s="514"/>
      <c r="F281" s="514"/>
      <c r="G281" s="514"/>
      <c r="H281" s="521"/>
      <c r="I281" s="521"/>
      <c r="J281" s="514"/>
      <c r="K281" s="514"/>
      <c r="L281" s="514"/>
      <c r="M281" s="514"/>
      <c r="N281" s="514"/>
      <c r="O281" s="514"/>
      <c r="P281" s="514"/>
      <c r="Q281" s="514"/>
      <c r="R281" s="514"/>
      <c r="S281" s="514"/>
      <c r="T281" s="514"/>
      <c r="U281" s="514"/>
      <c r="V281" s="514"/>
      <c r="W281" s="514"/>
      <c r="X281" s="514"/>
      <c r="Y281" s="514"/>
      <c r="Z281" s="514"/>
      <c r="AA281" s="514"/>
      <c r="AB281" s="514"/>
      <c r="AC281" s="514"/>
      <c r="AD281" s="514"/>
      <c r="AE281" s="514"/>
      <c r="AF281" s="514"/>
      <c r="AG281" s="514"/>
      <c r="AH281" s="514"/>
      <c r="AI281" s="514"/>
      <c r="AJ281" s="514"/>
      <c r="AK281" s="514"/>
      <c r="AL281" s="514"/>
      <c r="AM281" s="514"/>
      <c r="AN281" s="514"/>
    </row>
    <row r="282" ht="16.5" customHeight="1">
      <c r="A282" s="514"/>
      <c r="B282" s="520"/>
      <c r="C282" s="514"/>
      <c r="D282" s="514"/>
      <c r="E282" s="514"/>
      <c r="F282" s="514"/>
      <c r="G282" s="514"/>
      <c r="H282" s="521"/>
      <c r="I282" s="521"/>
      <c r="J282" s="514"/>
      <c r="K282" s="514"/>
      <c r="L282" s="514"/>
      <c r="M282" s="514"/>
      <c r="N282" s="514"/>
      <c r="O282" s="514"/>
      <c r="P282" s="514"/>
      <c r="Q282" s="514"/>
      <c r="R282" s="514"/>
      <c r="S282" s="514"/>
      <c r="T282" s="514"/>
      <c r="U282" s="514"/>
      <c r="V282" s="514"/>
      <c r="W282" s="514"/>
      <c r="X282" s="514"/>
      <c r="Y282" s="514"/>
      <c r="Z282" s="514"/>
      <c r="AA282" s="514"/>
      <c r="AB282" s="514"/>
      <c r="AC282" s="514"/>
      <c r="AD282" s="514"/>
      <c r="AE282" s="514"/>
      <c r="AF282" s="514"/>
      <c r="AG282" s="514"/>
      <c r="AH282" s="514"/>
      <c r="AI282" s="514"/>
      <c r="AJ282" s="514"/>
      <c r="AK282" s="514"/>
      <c r="AL282" s="514"/>
      <c r="AM282" s="514"/>
      <c r="AN282" s="514"/>
    </row>
    <row r="283" ht="16.5" customHeight="1">
      <c r="A283" s="514"/>
      <c r="B283" s="520"/>
      <c r="C283" s="514"/>
      <c r="D283" s="514"/>
      <c r="E283" s="514"/>
      <c r="F283" s="514"/>
      <c r="G283" s="514"/>
      <c r="H283" s="521"/>
      <c r="I283" s="521"/>
      <c r="J283" s="514"/>
      <c r="K283" s="514"/>
      <c r="L283" s="514"/>
      <c r="M283" s="514"/>
      <c r="N283" s="514"/>
      <c r="O283" s="514"/>
      <c r="P283" s="514"/>
      <c r="Q283" s="514"/>
      <c r="R283" s="514"/>
      <c r="S283" s="514"/>
      <c r="T283" s="514"/>
      <c r="U283" s="514"/>
      <c r="V283" s="514"/>
      <c r="W283" s="514"/>
      <c r="X283" s="514"/>
      <c r="Y283" s="514"/>
      <c r="Z283" s="514"/>
      <c r="AA283" s="514"/>
      <c r="AB283" s="514"/>
      <c r="AC283" s="514"/>
      <c r="AD283" s="514"/>
      <c r="AE283" s="514"/>
      <c r="AF283" s="514"/>
      <c r="AG283" s="514"/>
      <c r="AH283" s="514"/>
      <c r="AI283" s="514"/>
      <c r="AJ283" s="514"/>
      <c r="AK283" s="514"/>
      <c r="AL283" s="514"/>
      <c r="AM283" s="514"/>
      <c r="AN283" s="514"/>
    </row>
    <row r="284" ht="16.5" customHeight="1">
      <c r="A284" s="514"/>
      <c r="B284" s="520"/>
      <c r="C284" s="514"/>
      <c r="D284" s="514"/>
      <c r="E284" s="514"/>
      <c r="F284" s="514"/>
      <c r="G284" s="514"/>
      <c r="H284" s="521"/>
      <c r="I284" s="521"/>
      <c r="J284" s="514"/>
      <c r="K284" s="514"/>
      <c r="L284" s="514"/>
      <c r="M284" s="514"/>
      <c r="N284" s="514"/>
      <c r="O284" s="514"/>
      <c r="P284" s="514"/>
      <c r="Q284" s="514"/>
      <c r="R284" s="514"/>
      <c r="S284" s="514"/>
      <c r="T284" s="514"/>
      <c r="U284" s="514"/>
      <c r="V284" s="514"/>
      <c r="W284" s="514"/>
      <c r="X284" s="514"/>
      <c r="Y284" s="514"/>
      <c r="Z284" s="514"/>
      <c r="AA284" s="514"/>
      <c r="AB284" s="514"/>
      <c r="AC284" s="514"/>
      <c r="AD284" s="514"/>
      <c r="AE284" s="514"/>
      <c r="AF284" s="514"/>
      <c r="AG284" s="514"/>
      <c r="AH284" s="514"/>
      <c r="AI284" s="514"/>
      <c r="AJ284" s="514"/>
      <c r="AK284" s="514"/>
      <c r="AL284" s="514"/>
      <c r="AM284" s="514"/>
      <c r="AN284" s="514"/>
    </row>
    <row r="285" ht="16.5" customHeight="1">
      <c r="A285" s="514"/>
      <c r="B285" s="520"/>
      <c r="C285" s="514"/>
      <c r="D285" s="514"/>
      <c r="E285" s="514"/>
      <c r="F285" s="514"/>
      <c r="G285" s="514"/>
      <c r="H285" s="521"/>
      <c r="I285" s="521"/>
      <c r="J285" s="514"/>
      <c r="K285" s="514"/>
      <c r="L285" s="514"/>
      <c r="M285" s="514"/>
      <c r="N285" s="514"/>
      <c r="O285" s="514"/>
      <c r="P285" s="514"/>
      <c r="Q285" s="514"/>
      <c r="R285" s="514"/>
      <c r="S285" s="514"/>
      <c r="T285" s="514"/>
      <c r="U285" s="514"/>
      <c r="V285" s="514"/>
      <c r="W285" s="514"/>
      <c r="X285" s="514"/>
      <c r="Y285" s="514"/>
      <c r="Z285" s="514"/>
      <c r="AA285" s="514"/>
      <c r="AB285" s="514"/>
      <c r="AC285" s="514"/>
      <c r="AD285" s="514"/>
      <c r="AE285" s="514"/>
      <c r="AF285" s="514"/>
      <c r="AG285" s="514"/>
      <c r="AH285" s="514"/>
      <c r="AI285" s="514"/>
      <c r="AJ285" s="514"/>
      <c r="AK285" s="514"/>
      <c r="AL285" s="514"/>
      <c r="AM285" s="514"/>
      <c r="AN285" s="514"/>
    </row>
    <row r="286" ht="16.5" customHeight="1">
      <c r="A286" s="514"/>
      <c r="B286" s="520"/>
      <c r="C286" s="514"/>
      <c r="D286" s="514"/>
      <c r="E286" s="514"/>
      <c r="F286" s="514"/>
      <c r="G286" s="514"/>
      <c r="H286" s="521"/>
      <c r="I286" s="521"/>
      <c r="J286" s="514"/>
      <c r="K286" s="514"/>
      <c r="L286" s="514"/>
      <c r="M286" s="514"/>
      <c r="N286" s="514"/>
      <c r="O286" s="514"/>
      <c r="P286" s="514"/>
      <c r="Q286" s="514"/>
      <c r="R286" s="514"/>
      <c r="S286" s="514"/>
      <c r="T286" s="514"/>
      <c r="U286" s="514"/>
      <c r="V286" s="514"/>
      <c r="W286" s="514"/>
      <c r="X286" s="514"/>
      <c r="Y286" s="514"/>
      <c r="Z286" s="514"/>
      <c r="AA286" s="514"/>
      <c r="AB286" s="514"/>
      <c r="AC286" s="514"/>
      <c r="AD286" s="514"/>
      <c r="AE286" s="514"/>
      <c r="AF286" s="514"/>
      <c r="AG286" s="514"/>
      <c r="AH286" s="514"/>
      <c r="AI286" s="514"/>
      <c r="AJ286" s="514"/>
      <c r="AK286" s="514"/>
      <c r="AL286" s="514"/>
      <c r="AM286" s="514"/>
      <c r="AN286" s="514"/>
    </row>
    <row r="287" ht="16.5" customHeight="1">
      <c r="A287" s="514"/>
      <c r="B287" s="520"/>
      <c r="C287" s="514"/>
      <c r="D287" s="514"/>
      <c r="E287" s="514"/>
      <c r="F287" s="514"/>
      <c r="G287" s="514"/>
      <c r="H287" s="521"/>
      <c r="I287" s="521"/>
      <c r="J287" s="514"/>
      <c r="K287" s="514"/>
      <c r="L287" s="514"/>
      <c r="M287" s="514"/>
      <c r="N287" s="514"/>
      <c r="O287" s="514"/>
      <c r="P287" s="514"/>
      <c r="Q287" s="514"/>
      <c r="R287" s="514"/>
      <c r="S287" s="514"/>
      <c r="T287" s="514"/>
      <c r="U287" s="514"/>
      <c r="V287" s="514"/>
      <c r="W287" s="514"/>
      <c r="X287" s="514"/>
      <c r="Y287" s="514"/>
      <c r="Z287" s="514"/>
      <c r="AA287" s="514"/>
      <c r="AB287" s="514"/>
      <c r="AC287" s="514"/>
      <c r="AD287" s="514"/>
      <c r="AE287" s="514"/>
      <c r="AF287" s="514"/>
      <c r="AG287" s="514"/>
      <c r="AH287" s="514"/>
      <c r="AI287" s="514"/>
      <c r="AJ287" s="514"/>
      <c r="AK287" s="514"/>
      <c r="AL287" s="514"/>
      <c r="AM287" s="514"/>
      <c r="AN287" s="514"/>
    </row>
    <row r="288" ht="16.5" customHeight="1">
      <c r="A288" s="514"/>
      <c r="B288" s="520"/>
      <c r="C288" s="514"/>
      <c r="D288" s="514"/>
      <c r="E288" s="514"/>
      <c r="F288" s="514"/>
      <c r="G288" s="514"/>
      <c r="H288" s="521"/>
      <c r="I288" s="521"/>
      <c r="J288" s="514"/>
      <c r="K288" s="514"/>
      <c r="L288" s="514"/>
      <c r="M288" s="514"/>
      <c r="N288" s="514"/>
      <c r="O288" s="514"/>
      <c r="P288" s="514"/>
      <c r="Q288" s="514"/>
      <c r="R288" s="514"/>
      <c r="S288" s="514"/>
      <c r="T288" s="514"/>
      <c r="U288" s="514"/>
      <c r="V288" s="514"/>
      <c r="W288" s="514"/>
      <c r="X288" s="514"/>
      <c r="Y288" s="514"/>
      <c r="Z288" s="514"/>
      <c r="AA288" s="514"/>
      <c r="AB288" s="514"/>
      <c r="AC288" s="514"/>
      <c r="AD288" s="514"/>
      <c r="AE288" s="514"/>
      <c r="AF288" s="514"/>
      <c r="AG288" s="514"/>
      <c r="AH288" s="514"/>
      <c r="AI288" s="514"/>
      <c r="AJ288" s="514"/>
      <c r="AK288" s="514"/>
      <c r="AL288" s="514"/>
      <c r="AM288" s="514"/>
      <c r="AN288" s="514"/>
    </row>
    <row r="289" ht="16.5" customHeight="1">
      <c r="A289" s="514"/>
      <c r="B289" s="520"/>
      <c r="C289" s="514"/>
      <c r="D289" s="514"/>
      <c r="E289" s="514"/>
      <c r="F289" s="514"/>
      <c r="G289" s="514"/>
      <c r="H289" s="521"/>
      <c r="I289" s="521"/>
      <c r="J289" s="514"/>
      <c r="K289" s="514"/>
      <c r="L289" s="514"/>
      <c r="M289" s="514"/>
      <c r="N289" s="514"/>
      <c r="O289" s="514"/>
      <c r="P289" s="514"/>
      <c r="Q289" s="514"/>
      <c r="R289" s="514"/>
      <c r="S289" s="514"/>
      <c r="T289" s="514"/>
      <c r="U289" s="514"/>
      <c r="V289" s="514"/>
      <c r="W289" s="514"/>
      <c r="X289" s="514"/>
      <c r="Y289" s="514"/>
      <c r="Z289" s="514"/>
      <c r="AA289" s="514"/>
      <c r="AB289" s="514"/>
      <c r="AC289" s="514"/>
      <c r="AD289" s="514"/>
      <c r="AE289" s="514"/>
      <c r="AF289" s="514"/>
      <c r="AG289" s="514"/>
      <c r="AH289" s="514"/>
      <c r="AI289" s="514"/>
      <c r="AJ289" s="514"/>
      <c r="AK289" s="514"/>
      <c r="AL289" s="514"/>
      <c r="AM289" s="514"/>
      <c r="AN289" s="514"/>
    </row>
    <row r="290" ht="16.5" customHeight="1">
      <c r="A290" s="514"/>
      <c r="B290" s="520"/>
      <c r="C290" s="514"/>
      <c r="D290" s="514"/>
      <c r="E290" s="514"/>
      <c r="F290" s="514"/>
      <c r="G290" s="514"/>
      <c r="H290" s="521"/>
      <c r="I290" s="521"/>
      <c r="J290" s="514"/>
      <c r="K290" s="514"/>
      <c r="L290" s="514"/>
      <c r="M290" s="514"/>
      <c r="N290" s="514"/>
      <c r="O290" s="514"/>
      <c r="P290" s="514"/>
      <c r="Q290" s="514"/>
      <c r="R290" s="514"/>
      <c r="S290" s="514"/>
      <c r="T290" s="514"/>
      <c r="U290" s="514"/>
      <c r="V290" s="514"/>
      <c r="W290" s="514"/>
      <c r="X290" s="514"/>
      <c r="Y290" s="514"/>
      <c r="Z290" s="514"/>
      <c r="AA290" s="514"/>
      <c r="AB290" s="514"/>
      <c r="AC290" s="514"/>
      <c r="AD290" s="514"/>
      <c r="AE290" s="514"/>
      <c r="AF290" s="514"/>
      <c r="AG290" s="514"/>
      <c r="AH290" s="514"/>
      <c r="AI290" s="514"/>
      <c r="AJ290" s="514"/>
      <c r="AK290" s="514"/>
      <c r="AL290" s="514"/>
      <c r="AM290" s="514"/>
      <c r="AN290" s="514"/>
    </row>
    <row r="291" ht="16.5" customHeight="1">
      <c r="A291" s="514"/>
      <c r="B291" s="520"/>
      <c r="C291" s="514"/>
      <c r="D291" s="514"/>
      <c r="E291" s="514"/>
      <c r="F291" s="514"/>
      <c r="G291" s="514"/>
      <c r="H291" s="521"/>
      <c r="I291" s="521"/>
      <c r="J291" s="514"/>
      <c r="K291" s="514"/>
      <c r="L291" s="514"/>
      <c r="M291" s="514"/>
      <c r="N291" s="514"/>
      <c r="O291" s="514"/>
      <c r="P291" s="514"/>
      <c r="Q291" s="514"/>
      <c r="R291" s="514"/>
      <c r="S291" s="514"/>
      <c r="T291" s="514"/>
      <c r="U291" s="514"/>
      <c r="V291" s="514"/>
      <c r="W291" s="514"/>
      <c r="X291" s="514"/>
      <c r="Y291" s="514"/>
      <c r="Z291" s="514"/>
      <c r="AA291" s="514"/>
      <c r="AB291" s="514"/>
      <c r="AC291" s="514"/>
      <c r="AD291" s="514"/>
      <c r="AE291" s="514"/>
      <c r="AF291" s="514"/>
      <c r="AG291" s="514"/>
      <c r="AH291" s="514"/>
      <c r="AI291" s="514"/>
      <c r="AJ291" s="514"/>
      <c r="AK291" s="514"/>
      <c r="AL291" s="514"/>
      <c r="AM291" s="514"/>
      <c r="AN291" s="514"/>
    </row>
    <row r="292" ht="16.5" customHeight="1">
      <c r="A292" s="514"/>
      <c r="B292" s="520"/>
      <c r="C292" s="514"/>
      <c r="D292" s="514"/>
      <c r="E292" s="514"/>
      <c r="F292" s="514"/>
      <c r="G292" s="514"/>
      <c r="H292" s="521"/>
      <c r="I292" s="521"/>
      <c r="J292" s="514"/>
      <c r="K292" s="514"/>
      <c r="L292" s="514"/>
      <c r="M292" s="514"/>
      <c r="N292" s="514"/>
      <c r="O292" s="514"/>
      <c r="P292" s="514"/>
      <c r="Q292" s="514"/>
      <c r="R292" s="514"/>
      <c r="S292" s="514"/>
      <c r="T292" s="514"/>
      <c r="U292" s="514"/>
      <c r="V292" s="514"/>
      <c r="W292" s="514"/>
      <c r="X292" s="514"/>
      <c r="Y292" s="514"/>
      <c r="Z292" s="514"/>
      <c r="AA292" s="514"/>
      <c r="AB292" s="514"/>
      <c r="AC292" s="514"/>
      <c r="AD292" s="514"/>
      <c r="AE292" s="514"/>
      <c r="AF292" s="514"/>
      <c r="AG292" s="514"/>
      <c r="AH292" s="514"/>
      <c r="AI292" s="514"/>
      <c r="AJ292" s="514"/>
      <c r="AK292" s="514"/>
      <c r="AL292" s="514"/>
      <c r="AM292" s="514"/>
      <c r="AN292" s="514"/>
    </row>
    <row r="293" ht="16.5" customHeight="1">
      <c r="A293" s="514"/>
      <c r="B293" s="520"/>
      <c r="C293" s="514"/>
      <c r="D293" s="514"/>
      <c r="E293" s="514"/>
      <c r="F293" s="514"/>
      <c r="G293" s="514"/>
      <c r="H293" s="521"/>
      <c r="I293" s="521"/>
      <c r="J293" s="514"/>
      <c r="K293" s="514"/>
      <c r="L293" s="514"/>
      <c r="M293" s="514"/>
      <c r="N293" s="514"/>
      <c r="O293" s="514"/>
      <c r="P293" s="514"/>
      <c r="Q293" s="514"/>
      <c r="R293" s="514"/>
      <c r="S293" s="514"/>
      <c r="T293" s="514"/>
      <c r="U293" s="514"/>
      <c r="V293" s="514"/>
      <c r="W293" s="514"/>
      <c r="X293" s="514"/>
      <c r="Y293" s="514"/>
      <c r="Z293" s="514"/>
      <c r="AA293" s="514"/>
      <c r="AB293" s="514"/>
      <c r="AC293" s="514"/>
      <c r="AD293" s="514"/>
      <c r="AE293" s="514"/>
      <c r="AF293" s="514"/>
      <c r="AG293" s="514"/>
      <c r="AH293" s="514"/>
      <c r="AI293" s="514"/>
      <c r="AJ293" s="514"/>
      <c r="AK293" s="514"/>
      <c r="AL293" s="514"/>
      <c r="AM293" s="514"/>
      <c r="AN293" s="514"/>
    </row>
    <row r="294" ht="16.5" customHeight="1">
      <c r="A294" s="514"/>
      <c r="B294" s="520"/>
      <c r="C294" s="514"/>
      <c r="D294" s="514"/>
      <c r="E294" s="514"/>
      <c r="F294" s="514"/>
      <c r="G294" s="514"/>
      <c r="H294" s="521"/>
      <c r="I294" s="521"/>
      <c r="J294" s="514"/>
      <c r="K294" s="514"/>
      <c r="L294" s="514"/>
      <c r="M294" s="514"/>
      <c r="N294" s="514"/>
      <c r="O294" s="514"/>
      <c r="P294" s="514"/>
      <c r="Q294" s="514"/>
      <c r="R294" s="514"/>
      <c r="S294" s="514"/>
      <c r="T294" s="514"/>
      <c r="U294" s="514"/>
      <c r="V294" s="514"/>
      <c r="W294" s="514"/>
      <c r="X294" s="514"/>
      <c r="Y294" s="514"/>
      <c r="Z294" s="514"/>
      <c r="AA294" s="514"/>
      <c r="AB294" s="514"/>
      <c r="AC294" s="514"/>
      <c r="AD294" s="514"/>
      <c r="AE294" s="514"/>
      <c r="AF294" s="514"/>
      <c r="AG294" s="514"/>
      <c r="AH294" s="514"/>
      <c r="AI294" s="514"/>
      <c r="AJ294" s="514"/>
      <c r="AK294" s="514"/>
      <c r="AL294" s="514"/>
      <c r="AM294" s="514"/>
      <c r="AN294" s="514"/>
    </row>
    <row r="295" ht="16.5" customHeight="1">
      <c r="A295" s="514"/>
      <c r="B295" s="520"/>
      <c r="C295" s="514"/>
      <c r="D295" s="514"/>
      <c r="E295" s="514"/>
      <c r="F295" s="514"/>
      <c r="G295" s="514"/>
      <c r="H295" s="521"/>
      <c r="I295" s="521"/>
      <c r="J295" s="514"/>
      <c r="K295" s="514"/>
      <c r="L295" s="514"/>
      <c r="M295" s="514"/>
      <c r="N295" s="514"/>
      <c r="O295" s="514"/>
      <c r="P295" s="514"/>
      <c r="Q295" s="514"/>
      <c r="R295" s="514"/>
      <c r="S295" s="514"/>
      <c r="T295" s="514"/>
      <c r="U295" s="514"/>
      <c r="V295" s="514"/>
      <c r="W295" s="514"/>
      <c r="X295" s="514"/>
      <c r="Y295" s="514"/>
      <c r="Z295" s="514"/>
      <c r="AA295" s="514"/>
      <c r="AB295" s="514"/>
      <c r="AC295" s="514"/>
      <c r="AD295" s="514"/>
      <c r="AE295" s="514"/>
      <c r="AF295" s="514"/>
      <c r="AG295" s="514"/>
      <c r="AH295" s="514"/>
      <c r="AI295" s="514"/>
      <c r="AJ295" s="514"/>
      <c r="AK295" s="514"/>
      <c r="AL295" s="514"/>
      <c r="AM295" s="514"/>
      <c r="AN295" s="514"/>
    </row>
    <row r="296" ht="16.5" customHeight="1">
      <c r="A296" s="514"/>
      <c r="B296" s="520"/>
      <c r="C296" s="514"/>
      <c r="D296" s="514"/>
      <c r="E296" s="514"/>
      <c r="F296" s="514"/>
      <c r="G296" s="514"/>
      <c r="H296" s="521"/>
      <c r="I296" s="521"/>
      <c r="J296" s="514"/>
      <c r="K296" s="514"/>
      <c r="L296" s="514"/>
      <c r="M296" s="514"/>
      <c r="N296" s="514"/>
      <c r="O296" s="514"/>
      <c r="P296" s="514"/>
      <c r="Q296" s="514"/>
      <c r="R296" s="514"/>
      <c r="S296" s="514"/>
      <c r="T296" s="514"/>
      <c r="U296" s="514"/>
      <c r="V296" s="514"/>
      <c r="W296" s="514"/>
      <c r="X296" s="514"/>
      <c r="Y296" s="514"/>
      <c r="Z296" s="514"/>
      <c r="AA296" s="514"/>
      <c r="AB296" s="514"/>
      <c r="AC296" s="514"/>
      <c r="AD296" s="514"/>
      <c r="AE296" s="514"/>
      <c r="AF296" s="514"/>
      <c r="AG296" s="514"/>
      <c r="AH296" s="514"/>
      <c r="AI296" s="514"/>
      <c r="AJ296" s="514"/>
      <c r="AK296" s="514"/>
      <c r="AL296" s="514"/>
      <c r="AM296" s="514"/>
      <c r="AN296" s="514"/>
    </row>
    <row r="297" ht="16.5" customHeight="1">
      <c r="A297" s="514"/>
      <c r="B297" s="520"/>
      <c r="C297" s="514"/>
      <c r="D297" s="514"/>
      <c r="E297" s="514"/>
      <c r="F297" s="514"/>
      <c r="G297" s="514"/>
      <c r="H297" s="521"/>
      <c r="I297" s="521"/>
      <c r="J297" s="514"/>
      <c r="K297" s="514"/>
      <c r="L297" s="514"/>
      <c r="M297" s="514"/>
      <c r="N297" s="514"/>
      <c r="O297" s="514"/>
      <c r="P297" s="514"/>
      <c r="Q297" s="514"/>
      <c r="R297" s="514"/>
      <c r="S297" s="514"/>
      <c r="T297" s="514"/>
      <c r="U297" s="514"/>
      <c r="V297" s="514"/>
      <c r="W297" s="514"/>
      <c r="X297" s="514"/>
      <c r="Y297" s="514"/>
      <c r="Z297" s="514"/>
      <c r="AA297" s="514"/>
      <c r="AB297" s="514"/>
      <c r="AC297" s="514"/>
      <c r="AD297" s="514"/>
      <c r="AE297" s="514"/>
      <c r="AF297" s="514"/>
      <c r="AG297" s="514"/>
      <c r="AH297" s="514"/>
      <c r="AI297" s="514"/>
      <c r="AJ297" s="514"/>
      <c r="AK297" s="514"/>
      <c r="AL297" s="514"/>
      <c r="AM297" s="514"/>
      <c r="AN297" s="514"/>
    </row>
    <row r="298" ht="16.5" customHeight="1">
      <c r="A298" s="514"/>
      <c r="B298" s="520"/>
      <c r="C298" s="514"/>
      <c r="D298" s="514"/>
      <c r="E298" s="514"/>
      <c r="F298" s="514"/>
      <c r="G298" s="514"/>
      <c r="H298" s="521"/>
      <c r="I298" s="521"/>
      <c r="J298" s="514"/>
      <c r="K298" s="514"/>
      <c r="L298" s="514"/>
      <c r="M298" s="514"/>
      <c r="N298" s="514"/>
      <c r="O298" s="514"/>
      <c r="P298" s="514"/>
      <c r="Q298" s="514"/>
      <c r="R298" s="514"/>
      <c r="S298" s="514"/>
      <c r="T298" s="514"/>
      <c r="U298" s="514"/>
      <c r="V298" s="514"/>
      <c r="W298" s="514"/>
      <c r="X298" s="514"/>
      <c r="Y298" s="514"/>
      <c r="Z298" s="514"/>
      <c r="AA298" s="514"/>
      <c r="AB298" s="514"/>
      <c r="AC298" s="514"/>
      <c r="AD298" s="514"/>
      <c r="AE298" s="514"/>
      <c r="AF298" s="514"/>
      <c r="AG298" s="514"/>
      <c r="AH298" s="514"/>
      <c r="AI298" s="514"/>
      <c r="AJ298" s="514"/>
      <c r="AK298" s="514"/>
      <c r="AL298" s="514"/>
      <c r="AM298" s="514"/>
      <c r="AN298" s="514"/>
    </row>
    <row r="299" ht="16.5" customHeight="1">
      <c r="A299" s="514"/>
      <c r="B299" s="520"/>
      <c r="C299" s="514"/>
      <c r="D299" s="514"/>
      <c r="E299" s="514"/>
      <c r="F299" s="514"/>
      <c r="G299" s="514"/>
      <c r="H299" s="521"/>
      <c r="I299" s="521"/>
      <c r="J299" s="514"/>
      <c r="K299" s="514"/>
      <c r="L299" s="514"/>
      <c r="M299" s="514"/>
      <c r="N299" s="514"/>
      <c r="O299" s="514"/>
      <c r="P299" s="514"/>
      <c r="Q299" s="514"/>
      <c r="R299" s="514"/>
      <c r="S299" s="514"/>
      <c r="T299" s="514"/>
      <c r="U299" s="514"/>
      <c r="V299" s="514"/>
      <c r="W299" s="514"/>
      <c r="X299" s="514"/>
      <c r="Y299" s="514"/>
      <c r="Z299" s="514"/>
      <c r="AA299" s="514"/>
      <c r="AB299" s="514"/>
      <c r="AC299" s="514"/>
      <c r="AD299" s="514"/>
      <c r="AE299" s="514"/>
      <c r="AF299" s="514"/>
      <c r="AG299" s="514"/>
      <c r="AH299" s="514"/>
      <c r="AI299" s="514"/>
      <c r="AJ299" s="514"/>
      <c r="AK299" s="514"/>
      <c r="AL299" s="514"/>
      <c r="AM299" s="514"/>
      <c r="AN299" s="514"/>
    </row>
    <row r="300" ht="16.5" customHeight="1">
      <c r="A300" s="514"/>
      <c r="B300" s="520"/>
      <c r="C300" s="514"/>
      <c r="D300" s="514"/>
      <c r="E300" s="514"/>
      <c r="F300" s="514"/>
      <c r="G300" s="514"/>
      <c r="H300" s="521"/>
      <c r="I300" s="521"/>
      <c r="J300" s="514"/>
      <c r="K300" s="514"/>
      <c r="L300" s="514"/>
      <c r="M300" s="514"/>
      <c r="N300" s="514"/>
      <c r="O300" s="514"/>
      <c r="P300" s="514"/>
      <c r="Q300" s="514"/>
      <c r="R300" s="514"/>
      <c r="S300" s="514"/>
      <c r="T300" s="514"/>
      <c r="U300" s="514"/>
      <c r="V300" s="514"/>
      <c r="W300" s="514"/>
      <c r="X300" s="514"/>
      <c r="Y300" s="514"/>
      <c r="Z300" s="514"/>
      <c r="AA300" s="514"/>
      <c r="AB300" s="514"/>
      <c r="AC300" s="514"/>
      <c r="AD300" s="514"/>
      <c r="AE300" s="514"/>
      <c r="AF300" s="514"/>
      <c r="AG300" s="514"/>
      <c r="AH300" s="514"/>
      <c r="AI300" s="514"/>
      <c r="AJ300" s="514"/>
      <c r="AK300" s="514"/>
      <c r="AL300" s="514"/>
      <c r="AM300" s="514"/>
      <c r="AN300" s="514"/>
    </row>
    <row r="301" ht="16.5" customHeight="1">
      <c r="A301" s="514"/>
      <c r="B301" s="520"/>
      <c r="C301" s="514"/>
      <c r="D301" s="514"/>
      <c r="E301" s="514"/>
      <c r="F301" s="514"/>
      <c r="G301" s="514"/>
      <c r="H301" s="521"/>
      <c r="I301" s="521"/>
      <c r="J301" s="514"/>
      <c r="K301" s="514"/>
      <c r="L301" s="514"/>
      <c r="M301" s="514"/>
      <c r="N301" s="514"/>
      <c r="O301" s="514"/>
      <c r="P301" s="514"/>
      <c r="Q301" s="514"/>
      <c r="R301" s="514"/>
      <c r="S301" s="514"/>
      <c r="T301" s="514"/>
      <c r="U301" s="514"/>
      <c r="V301" s="514"/>
      <c r="W301" s="514"/>
      <c r="X301" s="514"/>
      <c r="Y301" s="514"/>
      <c r="Z301" s="514"/>
      <c r="AA301" s="514"/>
      <c r="AB301" s="514"/>
      <c r="AC301" s="514"/>
      <c r="AD301" s="514"/>
      <c r="AE301" s="514"/>
      <c r="AF301" s="514"/>
      <c r="AG301" s="514"/>
      <c r="AH301" s="514"/>
      <c r="AI301" s="514"/>
      <c r="AJ301" s="514"/>
      <c r="AK301" s="514"/>
      <c r="AL301" s="514"/>
      <c r="AM301" s="514"/>
      <c r="AN301" s="514"/>
    </row>
    <row r="302" ht="16.5" customHeight="1">
      <c r="A302" s="514"/>
      <c r="B302" s="520"/>
      <c r="C302" s="514"/>
      <c r="D302" s="514"/>
      <c r="E302" s="514"/>
      <c r="F302" s="514"/>
      <c r="G302" s="514"/>
      <c r="H302" s="521"/>
      <c r="I302" s="521"/>
      <c r="J302" s="514"/>
      <c r="K302" s="514"/>
      <c r="L302" s="514"/>
      <c r="M302" s="514"/>
      <c r="N302" s="514"/>
      <c r="O302" s="514"/>
      <c r="P302" s="514"/>
      <c r="Q302" s="514"/>
      <c r="R302" s="514"/>
      <c r="S302" s="514"/>
      <c r="T302" s="514"/>
      <c r="U302" s="514"/>
      <c r="V302" s="514"/>
      <c r="W302" s="514"/>
      <c r="X302" s="514"/>
      <c r="Y302" s="514"/>
      <c r="Z302" s="514"/>
      <c r="AA302" s="514"/>
      <c r="AB302" s="514"/>
      <c r="AC302" s="514"/>
      <c r="AD302" s="514"/>
      <c r="AE302" s="514"/>
      <c r="AF302" s="514"/>
      <c r="AG302" s="514"/>
      <c r="AH302" s="514"/>
      <c r="AI302" s="514"/>
      <c r="AJ302" s="514"/>
      <c r="AK302" s="514"/>
      <c r="AL302" s="514"/>
      <c r="AM302" s="514"/>
      <c r="AN302" s="514"/>
    </row>
    <row r="303" ht="16.5" customHeight="1">
      <c r="A303" s="514"/>
      <c r="B303" s="520"/>
      <c r="C303" s="514"/>
      <c r="D303" s="514"/>
      <c r="E303" s="514"/>
      <c r="F303" s="514"/>
      <c r="G303" s="514"/>
      <c r="H303" s="521"/>
      <c r="I303" s="521"/>
      <c r="J303" s="514"/>
      <c r="K303" s="514"/>
      <c r="L303" s="514"/>
      <c r="M303" s="514"/>
      <c r="N303" s="514"/>
      <c r="O303" s="514"/>
      <c r="P303" s="514"/>
      <c r="Q303" s="514"/>
      <c r="R303" s="514"/>
      <c r="S303" s="514"/>
      <c r="T303" s="514"/>
      <c r="U303" s="514"/>
      <c r="V303" s="514"/>
      <c r="W303" s="514"/>
      <c r="X303" s="514"/>
      <c r="Y303" s="514"/>
      <c r="Z303" s="514"/>
      <c r="AA303" s="514"/>
      <c r="AB303" s="514"/>
      <c r="AC303" s="514"/>
      <c r="AD303" s="514"/>
      <c r="AE303" s="514"/>
      <c r="AF303" s="514"/>
      <c r="AG303" s="514"/>
      <c r="AH303" s="514"/>
      <c r="AI303" s="514"/>
      <c r="AJ303" s="514"/>
      <c r="AK303" s="514"/>
      <c r="AL303" s="514"/>
      <c r="AM303" s="514"/>
      <c r="AN303" s="514"/>
    </row>
    <row r="304" ht="16.5" customHeight="1">
      <c r="A304" s="514"/>
      <c r="B304" s="520"/>
      <c r="C304" s="514"/>
      <c r="D304" s="514"/>
      <c r="E304" s="514"/>
      <c r="F304" s="514"/>
      <c r="G304" s="514"/>
      <c r="H304" s="521"/>
      <c r="I304" s="521"/>
      <c r="J304" s="514"/>
      <c r="K304" s="514"/>
      <c r="L304" s="514"/>
      <c r="M304" s="514"/>
      <c r="N304" s="514"/>
      <c r="O304" s="514"/>
      <c r="P304" s="514"/>
      <c r="Q304" s="514"/>
      <c r="R304" s="514"/>
      <c r="S304" s="514"/>
      <c r="T304" s="514"/>
      <c r="U304" s="514"/>
      <c r="V304" s="514"/>
      <c r="W304" s="514"/>
      <c r="X304" s="514"/>
      <c r="Y304" s="514"/>
      <c r="Z304" s="514"/>
      <c r="AA304" s="514"/>
      <c r="AB304" s="514"/>
      <c r="AC304" s="514"/>
      <c r="AD304" s="514"/>
      <c r="AE304" s="514"/>
      <c r="AF304" s="514"/>
      <c r="AG304" s="514"/>
      <c r="AH304" s="514"/>
      <c r="AI304" s="514"/>
      <c r="AJ304" s="514"/>
      <c r="AK304" s="514"/>
      <c r="AL304" s="514"/>
      <c r="AM304" s="514"/>
      <c r="AN304" s="514"/>
    </row>
    <row r="305" ht="16.5" customHeight="1">
      <c r="A305" s="514"/>
      <c r="B305" s="520"/>
      <c r="C305" s="514"/>
      <c r="D305" s="514"/>
      <c r="E305" s="514"/>
      <c r="F305" s="514"/>
      <c r="G305" s="514"/>
      <c r="H305" s="521"/>
      <c r="I305" s="521"/>
      <c r="J305" s="514"/>
      <c r="K305" s="514"/>
      <c r="L305" s="514"/>
      <c r="M305" s="514"/>
      <c r="N305" s="514"/>
      <c r="O305" s="514"/>
      <c r="P305" s="514"/>
      <c r="Q305" s="514"/>
      <c r="R305" s="514"/>
      <c r="S305" s="514"/>
      <c r="T305" s="514"/>
      <c r="U305" s="514"/>
      <c r="V305" s="514"/>
      <c r="W305" s="514"/>
      <c r="X305" s="514"/>
      <c r="Y305" s="514"/>
      <c r="Z305" s="514"/>
      <c r="AA305" s="514"/>
      <c r="AB305" s="514"/>
      <c r="AC305" s="514"/>
      <c r="AD305" s="514"/>
      <c r="AE305" s="514"/>
      <c r="AF305" s="514"/>
      <c r="AG305" s="514"/>
      <c r="AH305" s="514"/>
      <c r="AI305" s="514"/>
      <c r="AJ305" s="514"/>
      <c r="AK305" s="514"/>
      <c r="AL305" s="514"/>
      <c r="AM305" s="514"/>
      <c r="AN305" s="514"/>
    </row>
    <row r="306" ht="16.5" customHeight="1">
      <c r="A306" s="514"/>
      <c r="B306" s="520"/>
      <c r="C306" s="514"/>
      <c r="D306" s="514"/>
      <c r="E306" s="514"/>
      <c r="F306" s="514"/>
      <c r="G306" s="514"/>
      <c r="H306" s="521"/>
      <c r="I306" s="521"/>
      <c r="J306" s="514"/>
      <c r="K306" s="514"/>
      <c r="L306" s="514"/>
      <c r="M306" s="514"/>
      <c r="N306" s="514"/>
      <c r="O306" s="514"/>
      <c r="P306" s="514"/>
      <c r="Q306" s="514"/>
      <c r="R306" s="514"/>
      <c r="S306" s="514"/>
      <c r="T306" s="514"/>
      <c r="U306" s="514"/>
      <c r="V306" s="514"/>
      <c r="W306" s="514"/>
      <c r="X306" s="514"/>
      <c r="Y306" s="514"/>
      <c r="Z306" s="514"/>
      <c r="AA306" s="514"/>
      <c r="AB306" s="514"/>
      <c r="AC306" s="514"/>
      <c r="AD306" s="514"/>
      <c r="AE306" s="514"/>
      <c r="AF306" s="514"/>
      <c r="AG306" s="514"/>
      <c r="AH306" s="514"/>
      <c r="AI306" s="514"/>
      <c r="AJ306" s="514"/>
      <c r="AK306" s="514"/>
      <c r="AL306" s="514"/>
      <c r="AM306" s="514"/>
      <c r="AN306" s="514"/>
    </row>
    <row r="307" ht="16.5" customHeight="1">
      <c r="A307" s="514"/>
      <c r="B307" s="520"/>
      <c r="C307" s="514"/>
      <c r="D307" s="514"/>
      <c r="E307" s="514"/>
      <c r="F307" s="514"/>
      <c r="G307" s="514"/>
      <c r="H307" s="521"/>
      <c r="I307" s="521"/>
      <c r="J307" s="514"/>
      <c r="K307" s="514"/>
      <c r="L307" s="514"/>
      <c r="M307" s="514"/>
      <c r="N307" s="514"/>
      <c r="O307" s="514"/>
      <c r="P307" s="514"/>
      <c r="Q307" s="514"/>
      <c r="R307" s="514"/>
      <c r="S307" s="514"/>
      <c r="T307" s="514"/>
      <c r="U307" s="514"/>
      <c r="V307" s="514"/>
      <c r="W307" s="514"/>
      <c r="X307" s="514"/>
      <c r="Y307" s="514"/>
      <c r="Z307" s="514"/>
      <c r="AA307" s="514"/>
      <c r="AB307" s="514"/>
      <c r="AC307" s="514"/>
      <c r="AD307" s="514"/>
      <c r="AE307" s="514"/>
      <c r="AF307" s="514"/>
      <c r="AG307" s="514"/>
      <c r="AH307" s="514"/>
      <c r="AI307" s="514"/>
      <c r="AJ307" s="514"/>
      <c r="AK307" s="514"/>
      <c r="AL307" s="514"/>
      <c r="AM307" s="514"/>
      <c r="AN307" s="514"/>
    </row>
    <row r="308" ht="16.5" customHeight="1">
      <c r="A308" s="514"/>
      <c r="B308" s="520"/>
      <c r="C308" s="514"/>
      <c r="D308" s="514"/>
      <c r="E308" s="514"/>
      <c r="F308" s="514"/>
      <c r="G308" s="514"/>
      <c r="H308" s="521"/>
      <c r="I308" s="521"/>
      <c r="J308" s="514"/>
      <c r="K308" s="514"/>
      <c r="L308" s="514"/>
      <c r="M308" s="514"/>
      <c r="N308" s="514"/>
      <c r="O308" s="514"/>
      <c r="P308" s="514"/>
      <c r="Q308" s="514"/>
      <c r="R308" s="514"/>
      <c r="S308" s="514"/>
      <c r="T308" s="514"/>
      <c r="U308" s="514"/>
      <c r="V308" s="514"/>
      <c r="W308" s="514"/>
      <c r="X308" s="514"/>
      <c r="Y308" s="514"/>
      <c r="Z308" s="514"/>
      <c r="AA308" s="514"/>
      <c r="AB308" s="514"/>
      <c r="AC308" s="514"/>
      <c r="AD308" s="514"/>
      <c r="AE308" s="514"/>
      <c r="AF308" s="514"/>
      <c r="AG308" s="514"/>
      <c r="AH308" s="514"/>
      <c r="AI308" s="514"/>
      <c r="AJ308" s="514"/>
      <c r="AK308" s="514"/>
      <c r="AL308" s="514"/>
      <c r="AM308" s="514"/>
      <c r="AN308" s="514"/>
    </row>
    <row r="309" ht="16.5" customHeight="1">
      <c r="A309" s="514"/>
      <c r="B309" s="520"/>
      <c r="C309" s="514"/>
      <c r="D309" s="514"/>
      <c r="E309" s="514"/>
      <c r="F309" s="514"/>
      <c r="G309" s="514"/>
      <c r="H309" s="521"/>
      <c r="I309" s="521"/>
      <c r="J309" s="514"/>
      <c r="K309" s="514"/>
      <c r="L309" s="514"/>
      <c r="M309" s="514"/>
      <c r="N309" s="514"/>
      <c r="O309" s="514"/>
      <c r="P309" s="514"/>
      <c r="Q309" s="514"/>
      <c r="R309" s="514"/>
      <c r="S309" s="514"/>
      <c r="T309" s="514"/>
      <c r="U309" s="514"/>
      <c r="V309" s="514"/>
      <c r="W309" s="514"/>
      <c r="X309" s="514"/>
      <c r="Y309" s="514"/>
      <c r="Z309" s="514"/>
      <c r="AA309" s="514"/>
      <c r="AB309" s="514"/>
      <c r="AC309" s="514"/>
      <c r="AD309" s="514"/>
      <c r="AE309" s="514"/>
      <c r="AF309" s="514"/>
      <c r="AG309" s="514"/>
      <c r="AH309" s="514"/>
      <c r="AI309" s="514"/>
      <c r="AJ309" s="514"/>
      <c r="AK309" s="514"/>
      <c r="AL309" s="514"/>
      <c r="AM309" s="514"/>
      <c r="AN309" s="514"/>
    </row>
    <row r="310" ht="16.5" customHeight="1">
      <c r="A310" s="514"/>
      <c r="B310" s="520"/>
      <c r="C310" s="514"/>
      <c r="D310" s="514"/>
      <c r="E310" s="514"/>
      <c r="F310" s="514"/>
      <c r="G310" s="514"/>
      <c r="H310" s="521"/>
      <c r="I310" s="521"/>
      <c r="J310" s="514"/>
      <c r="K310" s="514"/>
      <c r="L310" s="514"/>
      <c r="M310" s="514"/>
      <c r="N310" s="514"/>
      <c r="O310" s="514"/>
      <c r="P310" s="514"/>
      <c r="Q310" s="514"/>
      <c r="R310" s="514"/>
      <c r="S310" s="514"/>
      <c r="T310" s="514"/>
      <c r="U310" s="514"/>
      <c r="V310" s="514"/>
      <c r="W310" s="514"/>
      <c r="X310" s="514"/>
      <c r="Y310" s="514"/>
      <c r="Z310" s="514"/>
      <c r="AA310" s="514"/>
      <c r="AB310" s="514"/>
      <c r="AC310" s="514"/>
      <c r="AD310" s="514"/>
      <c r="AE310" s="514"/>
      <c r="AF310" s="514"/>
      <c r="AG310" s="514"/>
      <c r="AH310" s="514"/>
      <c r="AI310" s="514"/>
      <c r="AJ310" s="514"/>
      <c r="AK310" s="514"/>
      <c r="AL310" s="514"/>
      <c r="AM310" s="514"/>
      <c r="AN310" s="514"/>
    </row>
    <row r="311" ht="16.5" customHeight="1">
      <c r="A311" s="514"/>
      <c r="B311" s="520"/>
      <c r="C311" s="514"/>
      <c r="D311" s="514"/>
      <c r="E311" s="514"/>
      <c r="F311" s="514"/>
      <c r="G311" s="514"/>
      <c r="H311" s="521"/>
      <c r="I311" s="521"/>
      <c r="J311" s="514"/>
      <c r="K311" s="514"/>
      <c r="L311" s="514"/>
      <c r="M311" s="514"/>
      <c r="N311" s="514"/>
      <c r="O311" s="514"/>
      <c r="P311" s="514"/>
      <c r="Q311" s="514"/>
      <c r="R311" s="514"/>
      <c r="S311" s="514"/>
      <c r="T311" s="514"/>
      <c r="U311" s="514"/>
      <c r="V311" s="514"/>
      <c r="W311" s="514"/>
      <c r="X311" s="514"/>
      <c r="Y311" s="514"/>
      <c r="Z311" s="514"/>
      <c r="AA311" s="514"/>
      <c r="AB311" s="514"/>
      <c r="AC311" s="514"/>
      <c r="AD311" s="514"/>
      <c r="AE311" s="514"/>
      <c r="AF311" s="514"/>
      <c r="AG311" s="514"/>
      <c r="AH311" s="514"/>
      <c r="AI311" s="514"/>
      <c r="AJ311" s="514"/>
      <c r="AK311" s="514"/>
      <c r="AL311" s="514"/>
      <c r="AM311" s="514"/>
      <c r="AN311" s="514"/>
    </row>
    <row r="312" ht="16.5" customHeight="1">
      <c r="A312" s="514"/>
      <c r="B312" s="520"/>
      <c r="C312" s="514"/>
      <c r="D312" s="514"/>
      <c r="E312" s="514"/>
      <c r="F312" s="514"/>
      <c r="G312" s="514"/>
      <c r="H312" s="521"/>
      <c r="I312" s="521"/>
      <c r="J312" s="514"/>
      <c r="K312" s="514"/>
      <c r="L312" s="514"/>
      <c r="M312" s="514"/>
      <c r="N312" s="514"/>
      <c r="O312" s="514"/>
      <c r="P312" s="514"/>
      <c r="Q312" s="514"/>
      <c r="R312" s="514"/>
      <c r="S312" s="514"/>
      <c r="T312" s="514"/>
      <c r="U312" s="514"/>
      <c r="V312" s="514"/>
      <c r="W312" s="514"/>
      <c r="X312" s="514"/>
      <c r="Y312" s="514"/>
      <c r="Z312" s="514"/>
      <c r="AA312" s="514"/>
      <c r="AB312" s="514"/>
      <c r="AC312" s="514"/>
      <c r="AD312" s="514"/>
      <c r="AE312" s="514"/>
      <c r="AF312" s="514"/>
      <c r="AG312" s="514"/>
      <c r="AH312" s="514"/>
      <c r="AI312" s="514"/>
      <c r="AJ312" s="514"/>
      <c r="AK312" s="514"/>
      <c r="AL312" s="514"/>
      <c r="AM312" s="514"/>
      <c r="AN312" s="514"/>
    </row>
    <row r="313" ht="16.5" customHeight="1">
      <c r="A313" s="514"/>
      <c r="B313" s="520"/>
      <c r="C313" s="514"/>
      <c r="D313" s="514"/>
      <c r="E313" s="514"/>
      <c r="F313" s="514"/>
      <c r="G313" s="514"/>
      <c r="H313" s="521"/>
      <c r="I313" s="521"/>
      <c r="J313" s="514"/>
      <c r="K313" s="514"/>
      <c r="L313" s="514"/>
      <c r="M313" s="514"/>
      <c r="N313" s="514"/>
      <c r="O313" s="514"/>
      <c r="P313" s="514"/>
      <c r="Q313" s="514"/>
      <c r="R313" s="514"/>
      <c r="S313" s="514"/>
      <c r="T313" s="514"/>
      <c r="U313" s="514"/>
      <c r="V313" s="514"/>
      <c r="W313" s="514"/>
      <c r="X313" s="514"/>
      <c r="Y313" s="514"/>
      <c r="Z313" s="514"/>
      <c r="AA313" s="514"/>
      <c r="AB313" s="514"/>
      <c r="AC313" s="514"/>
      <c r="AD313" s="514"/>
      <c r="AE313" s="514"/>
      <c r="AF313" s="514"/>
      <c r="AG313" s="514"/>
      <c r="AH313" s="514"/>
      <c r="AI313" s="514"/>
      <c r="AJ313" s="514"/>
      <c r="AK313" s="514"/>
      <c r="AL313" s="514"/>
      <c r="AM313" s="514"/>
      <c r="AN313" s="514"/>
    </row>
    <row r="314" ht="16.5" customHeight="1">
      <c r="A314" s="514"/>
      <c r="B314" s="520"/>
      <c r="C314" s="514"/>
      <c r="D314" s="514"/>
      <c r="E314" s="514"/>
      <c r="F314" s="514"/>
      <c r="G314" s="514"/>
      <c r="H314" s="521"/>
      <c r="I314" s="521"/>
      <c r="J314" s="514"/>
      <c r="K314" s="514"/>
      <c r="L314" s="514"/>
      <c r="M314" s="514"/>
      <c r="N314" s="514"/>
      <c r="O314" s="514"/>
      <c r="P314" s="514"/>
      <c r="Q314" s="514"/>
      <c r="R314" s="514"/>
      <c r="S314" s="514"/>
      <c r="T314" s="514"/>
      <c r="U314" s="514"/>
      <c r="V314" s="514"/>
      <c r="W314" s="514"/>
      <c r="X314" s="514"/>
      <c r="Y314" s="514"/>
      <c r="Z314" s="514"/>
      <c r="AA314" s="514"/>
      <c r="AB314" s="514"/>
      <c r="AC314" s="514"/>
      <c r="AD314" s="514"/>
      <c r="AE314" s="514"/>
      <c r="AF314" s="514"/>
      <c r="AG314" s="514"/>
      <c r="AH314" s="514"/>
      <c r="AI314" s="514"/>
      <c r="AJ314" s="514"/>
      <c r="AK314" s="514"/>
      <c r="AL314" s="514"/>
      <c r="AM314" s="514"/>
      <c r="AN314" s="514"/>
    </row>
    <row r="315" ht="16.5" customHeight="1">
      <c r="A315" s="514"/>
      <c r="B315" s="520"/>
      <c r="C315" s="514"/>
      <c r="D315" s="514"/>
      <c r="E315" s="514"/>
      <c r="F315" s="514"/>
      <c r="G315" s="514"/>
      <c r="H315" s="521"/>
      <c r="I315" s="521"/>
      <c r="J315" s="514"/>
      <c r="K315" s="514"/>
      <c r="L315" s="514"/>
      <c r="M315" s="514"/>
      <c r="N315" s="514"/>
      <c r="O315" s="514"/>
      <c r="P315" s="514"/>
      <c r="Q315" s="514"/>
      <c r="R315" s="514"/>
      <c r="S315" s="514"/>
      <c r="T315" s="514"/>
      <c r="U315" s="514"/>
      <c r="V315" s="514"/>
      <c r="W315" s="514"/>
      <c r="X315" s="514"/>
      <c r="Y315" s="514"/>
      <c r="Z315" s="514"/>
      <c r="AA315" s="514"/>
      <c r="AB315" s="514"/>
      <c r="AC315" s="514"/>
      <c r="AD315" s="514"/>
      <c r="AE315" s="514"/>
      <c r="AF315" s="514"/>
      <c r="AG315" s="514"/>
      <c r="AH315" s="514"/>
      <c r="AI315" s="514"/>
      <c r="AJ315" s="514"/>
      <c r="AK315" s="514"/>
      <c r="AL315" s="514"/>
      <c r="AM315" s="514"/>
      <c r="AN315" s="514"/>
    </row>
    <row r="316" ht="16.5" customHeight="1">
      <c r="A316" s="514"/>
      <c r="B316" s="520"/>
      <c r="C316" s="514"/>
      <c r="D316" s="514"/>
      <c r="E316" s="514"/>
      <c r="F316" s="514"/>
      <c r="G316" s="514"/>
      <c r="H316" s="521"/>
      <c r="I316" s="521"/>
      <c r="J316" s="514"/>
      <c r="K316" s="514"/>
      <c r="L316" s="514"/>
      <c r="M316" s="514"/>
      <c r="N316" s="514"/>
      <c r="O316" s="514"/>
      <c r="P316" s="514"/>
      <c r="Q316" s="514"/>
      <c r="R316" s="514"/>
      <c r="S316" s="514"/>
      <c r="T316" s="514"/>
      <c r="U316" s="514"/>
      <c r="V316" s="514"/>
      <c r="W316" s="514"/>
      <c r="X316" s="514"/>
      <c r="Y316" s="514"/>
      <c r="Z316" s="514"/>
      <c r="AA316" s="514"/>
      <c r="AB316" s="514"/>
      <c r="AC316" s="514"/>
      <c r="AD316" s="514"/>
      <c r="AE316" s="514"/>
      <c r="AF316" s="514"/>
      <c r="AG316" s="514"/>
      <c r="AH316" s="514"/>
      <c r="AI316" s="514"/>
      <c r="AJ316" s="514"/>
      <c r="AK316" s="514"/>
      <c r="AL316" s="514"/>
      <c r="AM316" s="514"/>
      <c r="AN316" s="514"/>
    </row>
    <row r="317" ht="16.5" customHeight="1">
      <c r="A317" s="514"/>
      <c r="B317" s="520"/>
      <c r="C317" s="514"/>
      <c r="D317" s="514"/>
      <c r="E317" s="514"/>
      <c r="F317" s="514"/>
      <c r="G317" s="514"/>
      <c r="H317" s="521"/>
      <c r="I317" s="521"/>
      <c r="J317" s="514"/>
      <c r="K317" s="514"/>
      <c r="L317" s="514"/>
      <c r="M317" s="514"/>
      <c r="N317" s="514"/>
      <c r="O317" s="514"/>
      <c r="P317" s="514"/>
      <c r="Q317" s="514"/>
      <c r="R317" s="514"/>
      <c r="S317" s="514"/>
      <c r="T317" s="514"/>
      <c r="U317" s="514"/>
      <c r="V317" s="514"/>
      <c r="W317" s="514"/>
      <c r="X317" s="514"/>
      <c r="Y317" s="514"/>
      <c r="Z317" s="514"/>
      <c r="AA317" s="514"/>
      <c r="AB317" s="514"/>
      <c r="AC317" s="514"/>
      <c r="AD317" s="514"/>
      <c r="AE317" s="514"/>
      <c r="AF317" s="514"/>
      <c r="AG317" s="514"/>
      <c r="AH317" s="514"/>
      <c r="AI317" s="514"/>
      <c r="AJ317" s="514"/>
      <c r="AK317" s="514"/>
      <c r="AL317" s="514"/>
      <c r="AM317" s="514"/>
      <c r="AN317" s="514"/>
    </row>
    <row r="318" ht="16.5" customHeight="1">
      <c r="A318" s="514"/>
      <c r="B318" s="520"/>
      <c r="C318" s="514"/>
      <c r="D318" s="514"/>
      <c r="E318" s="514"/>
      <c r="F318" s="514"/>
      <c r="G318" s="514"/>
      <c r="H318" s="521"/>
      <c r="I318" s="521"/>
      <c r="J318" s="514"/>
      <c r="K318" s="514"/>
      <c r="L318" s="514"/>
      <c r="M318" s="514"/>
      <c r="N318" s="514"/>
      <c r="O318" s="514"/>
      <c r="P318" s="514"/>
      <c r="Q318" s="514"/>
      <c r="R318" s="514"/>
      <c r="S318" s="514"/>
      <c r="T318" s="514"/>
      <c r="U318" s="514"/>
      <c r="V318" s="514"/>
      <c r="W318" s="514"/>
      <c r="X318" s="514"/>
      <c r="Y318" s="514"/>
      <c r="Z318" s="514"/>
      <c r="AA318" s="514"/>
      <c r="AB318" s="514"/>
      <c r="AC318" s="514"/>
      <c r="AD318" s="514"/>
      <c r="AE318" s="514"/>
      <c r="AF318" s="514"/>
      <c r="AG318" s="514"/>
      <c r="AH318" s="514"/>
      <c r="AI318" s="514"/>
      <c r="AJ318" s="514"/>
      <c r="AK318" s="514"/>
      <c r="AL318" s="514"/>
      <c r="AM318" s="514"/>
      <c r="AN318" s="514"/>
    </row>
    <row r="319" ht="16.5" customHeight="1">
      <c r="A319" s="514"/>
      <c r="B319" s="520"/>
      <c r="C319" s="514"/>
      <c r="D319" s="514"/>
      <c r="E319" s="514"/>
      <c r="F319" s="514"/>
      <c r="G319" s="514"/>
      <c r="H319" s="521"/>
      <c r="I319" s="521"/>
      <c r="J319" s="514"/>
      <c r="K319" s="514"/>
      <c r="L319" s="514"/>
      <c r="M319" s="514"/>
      <c r="N319" s="514"/>
      <c r="O319" s="514"/>
      <c r="P319" s="514"/>
      <c r="Q319" s="514"/>
      <c r="R319" s="514"/>
      <c r="S319" s="514"/>
      <c r="T319" s="514"/>
      <c r="U319" s="514"/>
      <c r="V319" s="514"/>
      <c r="W319" s="514"/>
      <c r="X319" s="514"/>
      <c r="Y319" s="514"/>
      <c r="Z319" s="514"/>
      <c r="AA319" s="514"/>
      <c r="AB319" s="514"/>
      <c r="AC319" s="514"/>
      <c r="AD319" s="514"/>
      <c r="AE319" s="514"/>
      <c r="AF319" s="514"/>
      <c r="AG319" s="514"/>
      <c r="AH319" s="514"/>
      <c r="AI319" s="514"/>
      <c r="AJ319" s="514"/>
      <c r="AK319" s="514"/>
      <c r="AL319" s="514"/>
      <c r="AM319" s="514"/>
      <c r="AN319" s="514"/>
    </row>
    <row r="320" ht="16.5" customHeight="1">
      <c r="A320" s="514"/>
      <c r="B320" s="520"/>
      <c r="C320" s="514"/>
      <c r="D320" s="514"/>
      <c r="E320" s="514"/>
      <c r="F320" s="514"/>
      <c r="G320" s="514"/>
      <c r="H320" s="521"/>
      <c r="I320" s="521"/>
      <c r="J320" s="514"/>
      <c r="K320" s="514"/>
      <c r="L320" s="514"/>
      <c r="M320" s="514"/>
      <c r="N320" s="514"/>
      <c r="O320" s="514"/>
      <c r="P320" s="514"/>
      <c r="Q320" s="514"/>
      <c r="R320" s="514"/>
      <c r="S320" s="514"/>
      <c r="T320" s="514"/>
      <c r="U320" s="514"/>
      <c r="V320" s="514"/>
      <c r="W320" s="514"/>
      <c r="X320" s="514"/>
      <c r="Y320" s="514"/>
      <c r="Z320" s="514"/>
      <c r="AA320" s="514"/>
      <c r="AB320" s="514"/>
      <c r="AC320" s="514"/>
      <c r="AD320" s="514"/>
      <c r="AE320" s="514"/>
      <c r="AF320" s="514"/>
      <c r="AG320" s="514"/>
      <c r="AH320" s="514"/>
      <c r="AI320" s="514"/>
      <c r="AJ320" s="514"/>
      <c r="AK320" s="514"/>
      <c r="AL320" s="514"/>
      <c r="AM320" s="514"/>
      <c r="AN320" s="514"/>
    </row>
    <row r="321" ht="16.5" customHeight="1">
      <c r="A321" s="514"/>
      <c r="B321" s="520"/>
      <c r="C321" s="514"/>
      <c r="D321" s="514"/>
      <c r="E321" s="514"/>
      <c r="F321" s="514"/>
      <c r="G321" s="514"/>
      <c r="H321" s="521"/>
      <c r="I321" s="521"/>
      <c r="J321" s="514"/>
      <c r="K321" s="514"/>
      <c r="L321" s="514"/>
      <c r="M321" s="514"/>
      <c r="N321" s="514"/>
      <c r="O321" s="514"/>
      <c r="P321" s="514"/>
      <c r="Q321" s="514"/>
      <c r="R321" s="514"/>
      <c r="S321" s="514"/>
      <c r="T321" s="514"/>
      <c r="U321" s="514"/>
      <c r="V321" s="514"/>
      <c r="W321" s="514"/>
      <c r="X321" s="514"/>
      <c r="Y321" s="514"/>
      <c r="Z321" s="514"/>
      <c r="AA321" s="514"/>
      <c r="AB321" s="514"/>
      <c r="AC321" s="514"/>
      <c r="AD321" s="514"/>
      <c r="AE321" s="514"/>
      <c r="AF321" s="514"/>
      <c r="AG321" s="514"/>
      <c r="AH321" s="514"/>
      <c r="AI321" s="514"/>
      <c r="AJ321" s="514"/>
      <c r="AK321" s="514"/>
      <c r="AL321" s="514"/>
      <c r="AM321" s="514"/>
      <c r="AN321" s="514"/>
    </row>
    <row r="322" ht="16.5" customHeight="1">
      <c r="A322" s="514"/>
      <c r="B322" s="520"/>
      <c r="C322" s="514"/>
      <c r="D322" s="514"/>
      <c r="E322" s="514"/>
      <c r="F322" s="514"/>
      <c r="G322" s="514"/>
      <c r="H322" s="521"/>
      <c r="I322" s="521"/>
      <c r="J322" s="514"/>
      <c r="K322" s="514"/>
      <c r="L322" s="514"/>
      <c r="M322" s="514"/>
      <c r="N322" s="514"/>
      <c r="O322" s="514"/>
      <c r="P322" s="514"/>
      <c r="Q322" s="514"/>
      <c r="R322" s="514"/>
      <c r="S322" s="514"/>
      <c r="T322" s="514"/>
      <c r="U322" s="514"/>
      <c r="V322" s="514"/>
      <c r="W322" s="514"/>
      <c r="X322" s="514"/>
      <c r="Y322" s="514"/>
      <c r="Z322" s="514"/>
      <c r="AA322" s="514"/>
      <c r="AB322" s="514"/>
      <c r="AC322" s="514"/>
      <c r="AD322" s="514"/>
      <c r="AE322" s="514"/>
      <c r="AF322" s="514"/>
      <c r="AG322" s="514"/>
      <c r="AH322" s="514"/>
      <c r="AI322" s="514"/>
      <c r="AJ322" s="514"/>
      <c r="AK322" s="514"/>
      <c r="AL322" s="514"/>
      <c r="AM322" s="514"/>
      <c r="AN322" s="514"/>
    </row>
    <row r="323" ht="16.5" customHeight="1">
      <c r="A323" s="514"/>
      <c r="B323" s="520"/>
      <c r="C323" s="514"/>
      <c r="D323" s="514"/>
      <c r="E323" s="514"/>
      <c r="F323" s="514"/>
      <c r="G323" s="514"/>
      <c r="H323" s="521"/>
      <c r="I323" s="521"/>
      <c r="J323" s="514"/>
      <c r="K323" s="514"/>
      <c r="L323" s="514"/>
      <c r="M323" s="514"/>
      <c r="N323" s="514"/>
      <c r="O323" s="514"/>
      <c r="P323" s="514"/>
      <c r="Q323" s="514"/>
      <c r="R323" s="514"/>
      <c r="S323" s="514"/>
      <c r="T323" s="514"/>
      <c r="U323" s="514"/>
      <c r="V323" s="514"/>
      <c r="W323" s="514"/>
      <c r="X323" s="514"/>
      <c r="Y323" s="514"/>
      <c r="Z323" s="514"/>
      <c r="AA323" s="514"/>
      <c r="AB323" s="514"/>
      <c r="AC323" s="514"/>
      <c r="AD323" s="514"/>
      <c r="AE323" s="514"/>
      <c r="AF323" s="514"/>
      <c r="AG323" s="514"/>
      <c r="AH323" s="514"/>
      <c r="AI323" s="514"/>
      <c r="AJ323" s="514"/>
      <c r="AK323" s="514"/>
      <c r="AL323" s="514"/>
      <c r="AM323" s="514"/>
      <c r="AN323" s="514"/>
    </row>
    <row r="324" ht="16.5" customHeight="1">
      <c r="A324" s="514"/>
      <c r="B324" s="520"/>
      <c r="C324" s="514"/>
      <c r="D324" s="514"/>
      <c r="E324" s="514"/>
      <c r="F324" s="514"/>
      <c r="G324" s="514"/>
      <c r="H324" s="521"/>
      <c r="I324" s="521"/>
      <c r="J324" s="514"/>
      <c r="K324" s="514"/>
      <c r="L324" s="514"/>
      <c r="M324" s="514"/>
      <c r="N324" s="514"/>
      <c r="O324" s="514"/>
      <c r="P324" s="514"/>
      <c r="Q324" s="514"/>
      <c r="R324" s="514"/>
      <c r="S324" s="514"/>
      <c r="T324" s="514"/>
      <c r="U324" s="514"/>
      <c r="V324" s="514"/>
      <c r="W324" s="514"/>
      <c r="X324" s="514"/>
      <c r="Y324" s="514"/>
      <c r="Z324" s="514"/>
      <c r="AA324" s="514"/>
      <c r="AB324" s="514"/>
      <c r="AC324" s="514"/>
      <c r="AD324" s="514"/>
      <c r="AE324" s="514"/>
      <c r="AF324" s="514"/>
      <c r="AG324" s="514"/>
      <c r="AH324" s="514"/>
      <c r="AI324" s="514"/>
      <c r="AJ324" s="514"/>
      <c r="AK324" s="514"/>
      <c r="AL324" s="514"/>
      <c r="AM324" s="514"/>
      <c r="AN324" s="514"/>
    </row>
    <row r="325" ht="16.5" customHeight="1">
      <c r="A325" s="514"/>
      <c r="B325" s="520"/>
      <c r="C325" s="514"/>
      <c r="D325" s="514"/>
      <c r="E325" s="514"/>
      <c r="F325" s="514"/>
      <c r="G325" s="514"/>
      <c r="H325" s="521"/>
      <c r="I325" s="521"/>
      <c r="J325" s="514"/>
      <c r="K325" s="514"/>
      <c r="L325" s="514"/>
      <c r="M325" s="514"/>
      <c r="N325" s="514"/>
      <c r="O325" s="514"/>
      <c r="P325" s="514"/>
      <c r="Q325" s="514"/>
      <c r="R325" s="514"/>
      <c r="S325" s="514"/>
      <c r="T325" s="514"/>
      <c r="U325" s="514"/>
      <c r="V325" s="514"/>
      <c r="W325" s="514"/>
      <c r="X325" s="514"/>
      <c r="Y325" s="514"/>
      <c r="Z325" s="514"/>
      <c r="AA325" s="514"/>
      <c r="AB325" s="514"/>
      <c r="AC325" s="514"/>
      <c r="AD325" s="514"/>
      <c r="AE325" s="514"/>
      <c r="AF325" s="514"/>
      <c r="AG325" s="514"/>
      <c r="AH325" s="514"/>
      <c r="AI325" s="514"/>
      <c r="AJ325" s="514"/>
      <c r="AK325" s="514"/>
      <c r="AL325" s="514"/>
      <c r="AM325" s="514"/>
      <c r="AN325" s="514"/>
    </row>
    <row r="326" ht="16.5" customHeight="1">
      <c r="A326" s="514"/>
      <c r="B326" s="520"/>
      <c r="C326" s="514"/>
      <c r="D326" s="514"/>
      <c r="E326" s="514"/>
      <c r="F326" s="514"/>
      <c r="G326" s="514"/>
      <c r="H326" s="521"/>
      <c r="I326" s="521"/>
      <c r="J326" s="514"/>
      <c r="K326" s="514"/>
      <c r="L326" s="514"/>
      <c r="M326" s="514"/>
      <c r="N326" s="514"/>
      <c r="O326" s="514"/>
      <c r="P326" s="514"/>
      <c r="Q326" s="514"/>
      <c r="R326" s="514"/>
      <c r="S326" s="514"/>
      <c r="T326" s="514"/>
      <c r="U326" s="514"/>
      <c r="V326" s="514"/>
      <c r="W326" s="514"/>
      <c r="X326" s="514"/>
      <c r="Y326" s="514"/>
      <c r="Z326" s="514"/>
      <c r="AA326" s="514"/>
      <c r="AB326" s="514"/>
      <c r="AC326" s="514"/>
      <c r="AD326" s="514"/>
      <c r="AE326" s="514"/>
      <c r="AF326" s="514"/>
      <c r="AG326" s="514"/>
      <c r="AH326" s="514"/>
      <c r="AI326" s="514"/>
      <c r="AJ326" s="514"/>
      <c r="AK326" s="514"/>
      <c r="AL326" s="514"/>
      <c r="AM326" s="514"/>
      <c r="AN326" s="514"/>
    </row>
    <row r="327" ht="16.5" customHeight="1">
      <c r="A327" s="514"/>
      <c r="B327" s="520"/>
      <c r="C327" s="514"/>
      <c r="D327" s="514"/>
      <c r="E327" s="514"/>
      <c r="F327" s="514"/>
      <c r="G327" s="514"/>
      <c r="H327" s="521"/>
      <c r="I327" s="521"/>
      <c r="J327" s="514"/>
      <c r="K327" s="514"/>
      <c r="L327" s="514"/>
      <c r="M327" s="514"/>
      <c r="N327" s="514"/>
      <c r="O327" s="514"/>
      <c r="P327" s="514"/>
      <c r="Q327" s="514"/>
      <c r="R327" s="514"/>
      <c r="S327" s="514"/>
      <c r="T327" s="514"/>
      <c r="U327" s="514"/>
      <c r="V327" s="514"/>
      <c r="W327" s="514"/>
      <c r="X327" s="514"/>
      <c r="Y327" s="514"/>
      <c r="Z327" s="514"/>
      <c r="AA327" s="514"/>
      <c r="AB327" s="514"/>
      <c r="AC327" s="514"/>
      <c r="AD327" s="514"/>
      <c r="AE327" s="514"/>
      <c r="AF327" s="514"/>
      <c r="AG327" s="514"/>
      <c r="AH327" s="514"/>
      <c r="AI327" s="514"/>
      <c r="AJ327" s="514"/>
      <c r="AK327" s="514"/>
      <c r="AL327" s="514"/>
      <c r="AM327" s="514"/>
      <c r="AN327" s="514"/>
    </row>
    <row r="328" ht="16.5" customHeight="1">
      <c r="A328" s="514"/>
      <c r="B328" s="520"/>
      <c r="C328" s="514"/>
      <c r="D328" s="514"/>
      <c r="E328" s="514"/>
      <c r="F328" s="514"/>
      <c r="G328" s="514"/>
      <c r="H328" s="521"/>
      <c r="I328" s="521"/>
      <c r="J328" s="514"/>
      <c r="K328" s="514"/>
      <c r="L328" s="514"/>
      <c r="M328" s="514"/>
      <c r="N328" s="514"/>
      <c r="O328" s="514"/>
      <c r="P328" s="514"/>
      <c r="Q328" s="514"/>
      <c r="R328" s="514"/>
      <c r="S328" s="514"/>
      <c r="T328" s="514"/>
      <c r="U328" s="514"/>
      <c r="V328" s="514"/>
      <c r="W328" s="514"/>
      <c r="X328" s="514"/>
      <c r="Y328" s="514"/>
      <c r="Z328" s="514"/>
      <c r="AA328" s="514"/>
      <c r="AB328" s="514"/>
      <c r="AC328" s="514"/>
      <c r="AD328" s="514"/>
      <c r="AE328" s="514"/>
      <c r="AF328" s="514"/>
      <c r="AG328" s="514"/>
      <c r="AH328" s="514"/>
      <c r="AI328" s="514"/>
      <c r="AJ328" s="514"/>
      <c r="AK328" s="514"/>
      <c r="AL328" s="514"/>
      <c r="AM328" s="514"/>
      <c r="AN328" s="514"/>
    </row>
    <row r="329" ht="16.5" customHeight="1">
      <c r="A329" s="514"/>
      <c r="B329" s="520"/>
      <c r="C329" s="514"/>
      <c r="D329" s="514"/>
      <c r="E329" s="514"/>
      <c r="F329" s="514"/>
      <c r="G329" s="514"/>
      <c r="H329" s="521"/>
      <c r="I329" s="521"/>
      <c r="J329" s="514"/>
      <c r="K329" s="514"/>
      <c r="L329" s="514"/>
      <c r="M329" s="514"/>
      <c r="N329" s="514"/>
      <c r="O329" s="514"/>
      <c r="P329" s="514"/>
      <c r="Q329" s="514"/>
      <c r="R329" s="514"/>
      <c r="S329" s="514"/>
      <c r="T329" s="514"/>
      <c r="U329" s="514"/>
      <c r="V329" s="514"/>
      <c r="W329" s="514"/>
      <c r="X329" s="514"/>
      <c r="Y329" s="514"/>
      <c r="Z329" s="514"/>
      <c r="AA329" s="514"/>
      <c r="AB329" s="514"/>
      <c r="AC329" s="514"/>
      <c r="AD329" s="514"/>
      <c r="AE329" s="514"/>
      <c r="AF329" s="514"/>
      <c r="AG329" s="514"/>
      <c r="AH329" s="514"/>
      <c r="AI329" s="514"/>
      <c r="AJ329" s="514"/>
      <c r="AK329" s="514"/>
      <c r="AL329" s="514"/>
      <c r="AM329" s="514"/>
      <c r="AN329" s="514"/>
    </row>
    <row r="330" ht="16.5" customHeight="1">
      <c r="A330" s="514"/>
      <c r="B330" s="520"/>
      <c r="C330" s="514"/>
      <c r="D330" s="514"/>
      <c r="E330" s="514"/>
      <c r="F330" s="514"/>
      <c r="G330" s="514"/>
      <c r="H330" s="521"/>
      <c r="I330" s="521"/>
      <c r="J330" s="514"/>
      <c r="K330" s="514"/>
      <c r="L330" s="514"/>
      <c r="M330" s="514"/>
      <c r="N330" s="514"/>
      <c r="O330" s="514"/>
      <c r="P330" s="514"/>
      <c r="Q330" s="514"/>
      <c r="R330" s="514"/>
      <c r="S330" s="514"/>
      <c r="T330" s="514"/>
      <c r="U330" s="514"/>
      <c r="V330" s="514"/>
      <c r="W330" s="514"/>
      <c r="X330" s="514"/>
      <c r="Y330" s="514"/>
      <c r="Z330" s="514"/>
      <c r="AA330" s="514"/>
      <c r="AB330" s="514"/>
      <c r="AC330" s="514"/>
      <c r="AD330" s="514"/>
      <c r="AE330" s="514"/>
      <c r="AF330" s="514"/>
      <c r="AG330" s="514"/>
      <c r="AH330" s="514"/>
      <c r="AI330" s="514"/>
      <c r="AJ330" s="514"/>
      <c r="AK330" s="514"/>
      <c r="AL330" s="514"/>
      <c r="AM330" s="514"/>
      <c r="AN330" s="514"/>
    </row>
    <row r="331" ht="16.5" customHeight="1">
      <c r="A331" s="514"/>
      <c r="B331" s="520"/>
      <c r="C331" s="514"/>
      <c r="D331" s="514"/>
      <c r="E331" s="514"/>
      <c r="F331" s="514"/>
      <c r="G331" s="514"/>
      <c r="H331" s="521"/>
      <c r="I331" s="521"/>
      <c r="J331" s="514"/>
      <c r="K331" s="514"/>
      <c r="L331" s="514"/>
      <c r="M331" s="514"/>
      <c r="N331" s="514"/>
      <c r="O331" s="514"/>
      <c r="P331" s="514"/>
      <c r="Q331" s="514"/>
      <c r="R331" s="514"/>
      <c r="S331" s="514"/>
      <c r="T331" s="514"/>
      <c r="U331" s="514"/>
      <c r="V331" s="514"/>
      <c r="W331" s="514"/>
      <c r="X331" s="514"/>
      <c r="Y331" s="514"/>
      <c r="Z331" s="514"/>
      <c r="AA331" s="514"/>
      <c r="AB331" s="514"/>
      <c r="AC331" s="514"/>
      <c r="AD331" s="514"/>
      <c r="AE331" s="514"/>
      <c r="AF331" s="514"/>
      <c r="AG331" s="514"/>
      <c r="AH331" s="514"/>
      <c r="AI331" s="514"/>
      <c r="AJ331" s="514"/>
      <c r="AK331" s="514"/>
      <c r="AL331" s="514"/>
      <c r="AM331" s="514"/>
      <c r="AN331" s="514"/>
    </row>
    <row r="332" ht="16.5" customHeight="1">
      <c r="A332" s="514"/>
      <c r="B332" s="520"/>
      <c r="C332" s="514"/>
      <c r="D332" s="514"/>
      <c r="E332" s="514"/>
      <c r="F332" s="514"/>
      <c r="G332" s="514"/>
      <c r="H332" s="521"/>
      <c r="I332" s="521"/>
      <c r="J332" s="514"/>
      <c r="K332" s="514"/>
      <c r="L332" s="514"/>
      <c r="M332" s="514"/>
      <c r="N332" s="514"/>
      <c r="O332" s="514"/>
      <c r="P332" s="514"/>
      <c r="Q332" s="514"/>
      <c r="R332" s="514"/>
      <c r="S332" s="514"/>
      <c r="T332" s="514"/>
      <c r="U332" s="514"/>
      <c r="V332" s="514"/>
      <c r="W332" s="514"/>
      <c r="X332" s="514"/>
      <c r="Y332" s="514"/>
      <c r="Z332" s="514"/>
      <c r="AA332" s="514"/>
      <c r="AB332" s="514"/>
      <c r="AC332" s="514"/>
      <c r="AD332" s="514"/>
      <c r="AE332" s="514"/>
      <c r="AF332" s="514"/>
      <c r="AG332" s="514"/>
      <c r="AH332" s="514"/>
      <c r="AI332" s="514"/>
      <c r="AJ332" s="514"/>
      <c r="AK332" s="514"/>
      <c r="AL332" s="514"/>
      <c r="AM332" s="514"/>
      <c r="AN332" s="514"/>
    </row>
    <row r="333" ht="16.5" customHeight="1">
      <c r="A333" s="514"/>
      <c r="B333" s="520"/>
      <c r="C333" s="514"/>
      <c r="D333" s="514"/>
      <c r="E333" s="514"/>
      <c r="F333" s="514"/>
      <c r="G333" s="514"/>
      <c r="H333" s="521"/>
      <c r="I333" s="521"/>
      <c r="J333" s="514"/>
      <c r="K333" s="514"/>
      <c r="L333" s="514"/>
      <c r="M333" s="514"/>
      <c r="N333" s="514"/>
      <c r="O333" s="514"/>
      <c r="P333" s="514"/>
      <c r="Q333" s="514"/>
      <c r="R333" s="514"/>
      <c r="S333" s="514"/>
      <c r="T333" s="514"/>
      <c r="U333" s="514"/>
      <c r="V333" s="514"/>
      <c r="W333" s="514"/>
      <c r="X333" s="514"/>
      <c r="Y333" s="514"/>
      <c r="Z333" s="514"/>
      <c r="AA333" s="514"/>
      <c r="AB333" s="514"/>
      <c r="AC333" s="514"/>
      <c r="AD333" s="514"/>
      <c r="AE333" s="514"/>
      <c r="AF333" s="514"/>
      <c r="AG333" s="514"/>
      <c r="AH333" s="514"/>
      <c r="AI333" s="514"/>
      <c r="AJ333" s="514"/>
      <c r="AK333" s="514"/>
      <c r="AL333" s="514"/>
      <c r="AM333" s="514"/>
      <c r="AN333" s="514"/>
    </row>
    <row r="334" ht="16.5" customHeight="1">
      <c r="A334" s="514"/>
      <c r="B334" s="520"/>
      <c r="C334" s="514"/>
      <c r="D334" s="514"/>
      <c r="E334" s="514"/>
      <c r="F334" s="514"/>
      <c r="G334" s="514"/>
      <c r="H334" s="521"/>
      <c r="I334" s="521"/>
      <c r="J334" s="514"/>
      <c r="K334" s="514"/>
      <c r="L334" s="514"/>
      <c r="M334" s="514"/>
      <c r="N334" s="514"/>
      <c r="O334" s="514"/>
      <c r="P334" s="514"/>
      <c r="Q334" s="514"/>
      <c r="R334" s="514"/>
      <c r="S334" s="514"/>
      <c r="T334" s="514"/>
      <c r="U334" s="514"/>
      <c r="V334" s="514"/>
      <c r="W334" s="514"/>
      <c r="X334" s="514"/>
      <c r="Y334" s="514"/>
      <c r="Z334" s="514"/>
      <c r="AA334" s="514"/>
      <c r="AB334" s="514"/>
      <c r="AC334" s="514"/>
      <c r="AD334" s="514"/>
      <c r="AE334" s="514"/>
      <c r="AF334" s="514"/>
      <c r="AG334" s="514"/>
      <c r="AH334" s="514"/>
      <c r="AI334" s="514"/>
      <c r="AJ334" s="514"/>
      <c r="AK334" s="514"/>
      <c r="AL334" s="514"/>
      <c r="AM334" s="514"/>
      <c r="AN334" s="514"/>
    </row>
    <row r="335" ht="16.5" customHeight="1">
      <c r="A335" s="514"/>
      <c r="B335" s="520"/>
      <c r="C335" s="514"/>
      <c r="D335" s="514"/>
      <c r="E335" s="514"/>
      <c r="F335" s="514"/>
      <c r="G335" s="514"/>
      <c r="H335" s="521"/>
      <c r="I335" s="521"/>
      <c r="J335" s="514"/>
      <c r="K335" s="514"/>
      <c r="L335" s="514"/>
      <c r="M335" s="514"/>
      <c r="N335" s="514"/>
      <c r="O335" s="514"/>
      <c r="P335" s="514"/>
      <c r="Q335" s="514"/>
      <c r="R335" s="514"/>
      <c r="S335" s="514"/>
      <c r="T335" s="514"/>
      <c r="U335" s="514"/>
      <c r="V335" s="514"/>
      <c r="W335" s="514"/>
      <c r="X335" s="514"/>
      <c r="Y335" s="514"/>
      <c r="Z335" s="514"/>
      <c r="AA335" s="514"/>
      <c r="AB335" s="514"/>
      <c r="AC335" s="514"/>
      <c r="AD335" s="514"/>
      <c r="AE335" s="514"/>
      <c r="AF335" s="514"/>
      <c r="AG335" s="514"/>
      <c r="AH335" s="514"/>
      <c r="AI335" s="514"/>
      <c r="AJ335" s="514"/>
      <c r="AK335" s="514"/>
      <c r="AL335" s="514"/>
      <c r="AM335" s="514"/>
      <c r="AN335" s="514"/>
    </row>
    <row r="336" ht="16.5" customHeight="1">
      <c r="A336" s="514"/>
      <c r="B336" s="520"/>
      <c r="C336" s="514"/>
      <c r="D336" s="514"/>
      <c r="E336" s="514"/>
      <c r="F336" s="514"/>
      <c r="G336" s="514"/>
      <c r="H336" s="521"/>
      <c r="I336" s="521"/>
      <c r="J336" s="514"/>
      <c r="K336" s="514"/>
      <c r="L336" s="514"/>
      <c r="M336" s="514"/>
      <c r="N336" s="514"/>
      <c r="O336" s="514"/>
      <c r="P336" s="514"/>
      <c r="Q336" s="514"/>
      <c r="R336" s="514"/>
      <c r="S336" s="514"/>
      <c r="T336" s="514"/>
      <c r="U336" s="514"/>
      <c r="V336" s="514"/>
      <c r="W336" s="514"/>
      <c r="X336" s="514"/>
      <c r="Y336" s="514"/>
      <c r="Z336" s="514"/>
      <c r="AA336" s="514"/>
      <c r="AB336" s="514"/>
      <c r="AC336" s="514"/>
      <c r="AD336" s="514"/>
      <c r="AE336" s="514"/>
      <c r="AF336" s="514"/>
      <c r="AG336" s="514"/>
      <c r="AH336" s="514"/>
      <c r="AI336" s="514"/>
      <c r="AJ336" s="514"/>
      <c r="AK336" s="514"/>
      <c r="AL336" s="514"/>
      <c r="AM336" s="514"/>
      <c r="AN336" s="514"/>
    </row>
    <row r="337" ht="16.5" customHeight="1">
      <c r="A337" s="514"/>
      <c r="B337" s="520"/>
      <c r="C337" s="514"/>
      <c r="D337" s="514"/>
      <c r="E337" s="514"/>
      <c r="F337" s="514"/>
      <c r="G337" s="514"/>
      <c r="H337" s="521"/>
      <c r="I337" s="521"/>
      <c r="J337" s="514"/>
      <c r="K337" s="514"/>
      <c r="L337" s="514"/>
      <c r="M337" s="514"/>
      <c r="N337" s="514"/>
      <c r="O337" s="514"/>
      <c r="P337" s="514"/>
      <c r="Q337" s="514"/>
      <c r="R337" s="514"/>
      <c r="S337" s="514"/>
      <c r="T337" s="514"/>
      <c r="U337" s="514"/>
      <c r="V337" s="514"/>
      <c r="W337" s="514"/>
      <c r="X337" s="514"/>
      <c r="Y337" s="514"/>
      <c r="Z337" s="514"/>
      <c r="AA337" s="514"/>
      <c r="AB337" s="514"/>
      <c r="AC337" s="514"/>
      <c r="AD337" s="514"/>
      <c r="AE337" s="514"/>
      <c r="AF337" s="514"/>
      <c r="AG337" s="514"/>
      <c r="AH337" s="514"/>
      <c r="AI337" s="514"/>
      <c r="AJ337" s="514"/>
      <c r="AK337" s="514"/>
      <c r="AL337" s="514"/>
      <c r="AM337" s="514"/>
      <c r="AN337" s="514"/>
    </row>
    <row r="338" ht="16.5" customHeight="1">
      <c r="A338" s="514"/>
      <c r="B338" s="520"/>
      <c r="C338" s="514"/>
      <c r="D338" s="514"/>
      <c r="E338" s="514"/>
      <c r="F338" s="514"/>
      <c r="G338" s="514"/>
      <c r="H338" s="521"/>
      <c r="I338" s="521"/>
      <c r="J338" s="514"/>
      <c r="K338" s="514"/>
      <c r="L338" s="514"/>
      <c r="M338" s="514"/>
      <c r="N338" s="514"/>
      <c r="O338" s="514"/>
      <c r="P338" s="514"/>
      <c r="Q338" s="514"/>
      <c r="R338" s="514"/>
      <c r="S338" s="514"/>
      <c r="T338" s="514"/>
      <c r="U338" s="514"/>
      <c r="V338" s="514"/>
      <c r="W338" s="514"/>
      <c r="X338" s="514"/>
      <c r="Y338" s="514"/>
      <c r="Z338" s="514"/>
      <c r="AA338" s="514"/>
      <c r="AB338" s="514"/>
      <c r="AC338" s="514"/>
      <c r="AD338" s="514"/>
      <c r="AE338" s="514"/>
      <c r="AF338" s="514"/>
      <c r="AG338" s="514"/>
      <c r="AH338" s="514"/>
      <c r="AI338" s="514"/>
      <c r="AJ338" s="514"/>
      <c r="AK338" s="514"/>
      <c r="AL338" s="514"/>
      <c r="AM338" s="514"/>
      <c r="AN338" s="514"/>
    </row>
    <row r="339" ht="16.5" customHeight="1">
      <c r="A339" s="514"/>
      <c r="B339" s="520"/>
      <c r="C339" s="514"/>
      <c r="D339" s="514"/>
      <c r="E339" s="514"/>
      <c r="F339" s="514"/>
      <c r="G339" s="514"/>
      <c r="H339" s="521"/>
      <c r="I339" s="521"/>
      <c r="J339" s="514"/>
      <c r="K339" s="514"/>
      <c r="L339" s="514"/>
      <c r="M339" s="514"/>
      <c r="N339" s="514"/>
      <c r="O339" s="514"/>
      <c r="P339" s="514"/>
      <c r="Q339" s="514"/>
      <c r="R339" s="514"/>
      <c r="S339" s="514"/>
      <c r="T339" s="514"/>
      <c r="U339" s="514"/>
      <c r="V339" s="514"/>
      <c r="W339" s="514"/>
      <c r="X339" s="514"/>
      <c r="Y339" s="514"/>
      <c r="Z339" s="514"/>
      <c r="AA339" s="514"/>
      <c r="AB339" s="514"/>
      <c r="AC339" s="514"/>
      <c r="AD339" s="514"/>
      <c r="AE339" s="514"/>
      <c r="AF339" s="514"/>
      <c r="AG339" s="514"/>
      <c r="AH339" s="514"/>
      <c r="AI339" s="514"/>
      <c r="AJ339" s="514"/>
      <c r="AK339" s="514"/>
      <c r="AL339" s="514"/>
      <c r="AM339" s="514"/>
      <c r="AN339" s="514"/>
    </row>
    <row r="340" ht="16.5" customHeight="1">
      <c r="A340" s="514"/>
      <c r="B340" s="520"/>
      <c r="C340" s="514"/>
      <c r="D340" s="514"/>
      <c r="E340" s="514"/>
      <c r="F340" s="514"/>
      <c r="G340" s="514"/>
      <c r="H340" s="521"/>
      <c r="I340" s="521"/>
      <c r="J340" s="514"/>
      <c r="K340" s="514"/>
      <c r="L340" s="514"/>
      <c r="M340" s="514"/>
      <c r="N340" s="514"/>
      <c r="O340" s="514"/>
      <c r="P340" s="514"/>
      <c r="Q340" s="514"/>
      <c r="R340" s="514"/>
      <c r="S340" s="514"/>
      <c r="T340" s="514"/>
      <c r="U340" s="514"/>
      <c r="V340" s="514"/>
      <c r="W340" s="514"/>
      <c r="X340" s="514"/>
      <c r="Y340" s="514"/>
      <c r="Z340" s="514"/>
      <c r="AA340" s="514"/>
      <c r="AB340" s="514"/>
      <c r="AC340" s="514"/>
      <c r="AD340" s="514"/>
      <c r="AE340" s="514"/>
      <c r="AF340" s="514"/>
      <c r="AG340" s="514"/>
      <c r="AH340" s="514"/>
      <c r="AI340" s="514"/>
      <c r="AJ340" s="514"/>
      <c r="AK340" s="514"/>
      <c r="AL340" s="514"/>
      <c r="AM340" s="514"/>
      <c r="AN340" s="514"/>
    </row>
    <row r="341" ht="16.5" customHeight="1">
      <c r="A341" s="514"/>
      <c r="B341" s="520"/>
      <c r="C341" s="514"/>
      <c r="D341" s="514"/>
      <c r="E341" s="514"/>
      <c r="F341" s="514"/>
      <c r="G341" s="514"/>
      <c r="H341" s="521"/>
      <c r="I341" s="521"/>
      <c r="J341" s="514"/>
      <c r="K341" s="514"/>
      <c r="L341" s="514"/>
      <c r="M341" s="514"/>
      <c r="N341" s="514"/>
      <c r="O341" s="514"/>
      <c r="P341" s="514"/>
      <c r="Q341" s="514"/>
      <c r="R341" s="514"/>
      <c r="S341" s="514"/>
      <c r="T341" s="514"/>
      <c r="U341" s="514"/>
      <c r="V341" s="514"/>
      <c r="W341" s="514"/>
      <c r="X341" s="514"/>
      <c r="Y341" s="514"/>
      <c r="Z341" s="514"/>
      <c r="AA341" s="514"/>
      <c r="AB341" s="514"/>
      <c r="AC341" s="514"/>
      <c r="AD341" s="514"/>
      <c r="AE341" s="514"/>
      <c r="AF341" s="514"/>
      <c r="AG341" s="514"/>
      <c r="AH341" s="514"/>
      <c r="AI341" s="514"/>
      <c r="AJ341" s="514"/>
      <c r="AK341" s="514"/>
      <c r="AL341" s="514"/>
      <c r="AM341" s="514"/>
      <c r="AN341" s="514"/>
    </row>
    <row r="342" ht="16.5" customHeight="1">
      <c r="A342" s="514"/>
      <c r="B342" s="520"/>
      <c r="C342" s="514"/>
      <c r="D342" s="514"/>
      <c r="E342" s="514"/>
      <c r="F342" s="514"/>
      <c r="G342" s="514"/>
      <c r="H342" s="521"/>
      <c r="I342" s="521"/>
      <c r="J342" s="514"/>
      <c r="K342" s="514"/>
      <c r="L342" s="514"/>
      <c r="M342" s="514"/>
      <c r="N342" s="514"/>
      <c r="O342" s="514"/>
      <c r="P342" s="514"/>
      <c r="Q342" s="514"/>
      <c r="R342" s="514"/>
      <c r="S342" s="514"/>
      <c r="T342" s="514"/>
      <c r="U342" s="514"/>
      <c r="V342" s="514"/>
      <c r="W342" s="514"/>
      <c r="X342" s="514"/>
      <c r="Y342" s="514"/>
      <c r="Z342" s="514"/>
      <c r="AA342" s="514"/>
      <c r="AB342" s="514"/>
      <c r="AC342" s="514"/>
      <c r="AD342" s="514"/>
      <c r="AE342" s="514"/>
      <c r="AF342" s="514"/>
      <c r="AG342" s="514"/>
      <c r="AH342" s="514"/>
      <c r="AI342" s="514"/>
      <c r="AJ342" s="514"/>
      <c r="AK342" s="514"/>
      <c r="AL342" s="514"/>
      <c r="AM342" s="514"/>
      <c r="AN342" s="514"/>
    </row>
    <row r="343" ht="16.5" customHeight="1">
      <c r="A343" s="514"/>
      <c r="B343" s="520"/>
      <c r="C343" s="514"/>
      <c r="D343" s="514"/>
      <c r="E343" s="514"/>
      <c r="F343" s="514"/>
      <c r="G343" s="514"/>
      <c r="H343" s="521"/>
      <c r="I343" s="521"/>
      <c r="J343" s="514"/>
      <c r="K343" s="514"/>
      <c r="L343" s="514"/>
      <c r="M343" s="514"/>
      <c r="N343" s="514"/>
      <c r="O343" s="514"/>
      <c r="P343" s="514"/>
      <c r="Q343" s="514"/>
      <c r="R343" s="514"/>
      <c r="S343" s="514"/>
      <c r="T343" s="514"/>
      <c r="U343" s="514"/>
      <c r="V343" s="514"/>
      <c r="W343" s="514"/>
      <c r="X343" s="514"/>
      <c r="Y343" s="514"/>
      <c r="Z343" s="514"/>
      <c r="AA343" s="514"/>
      <c r="AB343" s="514"/>
      <c r="AC343" s="514"/>
      <c r="AD343" s="514"/>
      <c r="AE343" s="514"/>
      <c r="AF343" s="514"/>
      <c r="AG343" s="514"/>
      <c r="AH343" s="514"/>
      <c r="AI343" s="514"/>
      <c r="AJ343" s="514"/>
      <c r="AK343" s="514"/>
      <c r="AL343" s="514"/>
      <c r="AM343" s="514"/>
      <c r="AN343" s="514"/>
    </row>
    <row r="344" ht="16.5" customHeight="1">
      <c r="A344" s="514"/>
      <c r="B344" s="520"/>
      <c r="C344" s="514"/>
      <c r="D344" s="514"/>
      <c r="E344" s="514"/>
      <c r="F344" s="514"/>
      <c r="G344" s="514"/>
      <c r="H344" s="521"/>
      <c r="I344" s="521"/>
      <c r="J344" s="514"/>
      <c r="K344" s="514"/>
      <c r="L344" s="514"/>
      <c r="M344" s="514"/>
      <c r="N344" s="514"/>
      <c r="O344" s="514"/>
      <c r="P344" s="514"/>
      <c r="Q344" s="514"/>
      <c r="R344" s="514"/>
      <c r="S344" s="514"/>
      <c r="T344" s="514"/>
      <c r="U344" s="514"/>
      <c r="V344" s="514"/>
      <c r="W344" s="514"/>
      <c r="X344" s="514"/>
      <c r="Y344" s="514"/>
      <c r="Z344" s="514"/>
      <c r="AA344" s="514"/>
      <c r="AB344" s="514"/>
      <c r="AC344" s="514"/>
      <c r="AD344" s="514"/>
      <c r="AE344" s="514"/>
      <c r="AF344" s="514"/>
      <c r="AG344" s="514"/>
      <c r="AH344" s="514"/>
      <c r="AI344" s="514"/>
      <c r="AJ344" s="514"/>
      <c r="AK344" s="514"/>
      <c r="AL344" s="514"/>
      <c r="AM344" s="514"/>
      <c r="AN344" s="514"/>
    </row>
    <row r="345" ht="16.5" customHeight="1">
      <c r="A345" s="514"/>
      <c r="B345" s="520"/>
      <c r="C345" s="514"/>
      <c r="D345" s="514"/>
      <c r="E345" s="514"/>
      <c r="F345" s="514"/>
      <c r="G345" s="514"/>
      <c r="H345" s="521"/>
      <c r="I345" s="521"/>
      <c r="J345" s="514"/>
      <c r="K345" s="514"/>
      <c r="L345" s="514"/>
      <c r="M345" s="514"/>
      <c r="N345" s="514"/>
      <c r="O345" s="514"/>
      <c r="P345" s="514"/>
      <c r="Q345" s="514"/>
      <c r="R345" s="514"/>
      <c r="S345" s="514"/>
      <c r="T345" s="514"/>
      <c r="U345" s="514"/>
      <c r="V345" s="514"/>
      <c r="W345" s="514"/>
      <c r="X345" s="514"/>
      <c r="Y345" s="514"/>
      <c r="Z345" s="514"/>
      <c r="AA345" s="514"/>
      <c r="AB345" s="514"/>
      <c r="AC345" s="514"/>
      <c r="AD345" s="514"/>
      <c r="AE345" s="514"/>
      <c r="AF345" s="514"/>
      <c r="AG345" s="514"/>
      <c r="AH345" s="514"/>
      <c r="AI345" s="514"/>
      <c r="AJ345" s="514"/>
      <c r="AK345" s="514"/>
      <c r="AL345" s="514"/>
      <c r="AM345" s="514"/>
      <c r="AN345" s="514"/>
    </row>
    <row r="346" ht="16.5" customHeight="1">
      <c r="A346" s="514"/>
      <c r="B346" s="520"/>
      <c r="C346" s="514"/>
      <c r="D346" s="514"/>
      <c r="E346" s="514"/>
      <c r="F346" s="514"/>
      <c r="G346" s="514"/>
      <c r="H346" s="521"/>
      <c r="I346" s="521"/>
      <c r="J346" s="514"/>
      <c r="K346" s="514"/>
      <c r="L346" s="514"/>
      <c r="M346" s="514"/>
      <c r="N346" s="514"/>
      <c r="O346" s="514"/>
      <c r="P346" s="514"/>
      <c r="Q346" s="514"/>
      <c r="R346" s="514"/>
      <c r="S346" s="514"/>
      <c r="T346" s="514"/>
      <c r="U346" s="514"/>
      <c r="V346" s="514"/>
      <c r="W346" s="514"/>
      <c r="X346" s="514"/>
      <c r="Y346" s="514"/>
      <c r="Z346" s="514"/>
      <c r="AA346" s="514"/>
      <c r="AB346" s="514"/>
      <c r="AC346" s="514"/>
      <c r="AD346" s="514"/>
      <c r="AE346" s="514"/>
      <c r="AF346" s="514"/>
      <c r="AG346" s="514"/>
      <c r="AH346" s="514"/>
      <c r="AI346" s="514"/>
      <c r="AJ346" s="514"/>
      <c r="AK346" s="514"/>
      <c r="AL346" s="514"/>
      <c r="AM346" s="514"/>
      <c r="AN346" s="514"/>
    </row>
    <row r="347" ht="16.5" customHeight="1">
      <c r="A347" s="514"/>
      <c r="B347" s="520"/>
      <c r="C347" s="514"/>
      <c r="D347" s="514"/>
      <c r="E347" s="514"/>
      <c r="F347" s="514"/>
      <c r="G347" s="514"/>
      <c r="H347" s="521"/>
      <c r="I347" s="521"/>
      <c r="J347" s="514"/>
      <c r="K347" s="514"/>
      <c r="L347" s="514"/>
      <c r="M347" s="514"/>
      <c r="N347" s="514"/>
      <c r="O347" s="514"/>
      <c r="P347" s="514"/>
      <c r="Q347" s="514"/>
      <c r="R347" s="514"/>
      <c r="S347" s="514"/>
      <c r="T347" s="514"/>
      <c r="U347" s="514"/>
      <c r="V347" s="514"/>
      <c r="W347" s="514"/>
      <c r="X347" s="514"/>
      <c r="Y347" s="514"/>
      <c r="Z347" s="514"/>
      <c r="AA347" s="514"/>
      <c r="AB347" s="514"/>
      <c r="AC347" s="514"/>
      <c r="AD347" s="514"/>
      <c r="AE347" s="514"/>
      <c r="AF347" s="514"/>
      <c r="AG347" s="514"/>
      <c r="AH347" s="514"/>
      <c r="AI347" s="514"/>
      <c r="AJ347" s="514"/>
      <c r="AK347" s="514"/>
      <c r="AL347" s="514"/>
      <c r="AM347" s="514"/>
      <c r="AN347" s="514"/>
    </row>
    <row r="348" ht="16.5" customHeight="1">
      <c r="A348" s="514"/>
      <c r="B348" s="520"/>
      <c r="C348" s="514"/>
      <c r="D348" s="514"/>
      <c r="E348" s="514"/>
      <c r="F348" s="514"/>
      <c r="G348" s="514"/>
      <c r="H348" s="521"/>
      <c r="I348" s="521"/>
      <c r="J348" s="514"/>
      <c r="K348" s="514"/>
      <c r="L348" s="514"/>
      <c r="M348" s="514"/>
      <c r="N348" s="514"/>
      <c r="O348" s="514"/>
      <c r="P348" s="514"/>
      <c r="Q348" s="514"/>
      <c r="R348" s="514"/>
      <c r="S348" s="514"/>
      <c r="T348" s="514"/>
      <c r="U348" s="514"/>
      <c r="V348" s="514"/>
      <c r="W348" s="514"/>
      <c r="X348" s="514"/>
      <c r="Y348" s="514"/>
      <c r="Z348" s="514"/>
      <c r="AA348" s="514"/>
      <c r="AB348" s="514"/>
      <c r="AC348" s="514"/>
      <c r="AD348" s="514"/>
      <c r="AE348" s="514"/>
      <c r="AF348" s="514"/>
      <c r="AG348" s="514"/>
      <c r="AH348" s="514"/>
      <c r="AI348" s="514"/>
      <c r="AJ348" s="514"/>
      <c r="AK348" s="514"/>
      <c r="AL348" s="514"/>
      <c r="AM348" s="514"/>
      <c r="AN348" s="514"/>
    </row>
    <row r="349" ht="16.5" customHeight="1">
      <c r="A349" s="514"/>
      <c r="B349" s="520"/>
      <c r="C349" s="514"/>
      <c r="D349" s="514"/>
      <c r="E349" s="514"/>
      <c r="F349" s="514"/>
      <c r="G349" s="514"/>
      <c r="H349" s="521"/>
      <c r="I349" s="521"/>
      <c r="J349" s="514"/>
      <c r="K349" s="514"/>
      <c r="L349" s="514"/>
      <c r="M349" s="514"/>
      <c r="N349" s="514"/>
      <c r="O349" s="514"/>
      <c r="P349" s="514"/>
      <c r="Q349" s="514"/>
      <c r="R349" s="514"/>
      <c r="S349" s="514"/>
      <c r="T349" s="514"/>
      <c r="U349" s="514"/>
      <c r="V349" s="514"/>
      <c r="W349" s="514"/>
      <c r="X349" s="514"/>
      <c r="Y349" s="514"/>
      <c r="Z349" s="514"/>
      <c r="AA349" s="514"/>
      <c r="AB349" s="514"/>
      <c r="AC349" s="514"/>
      <c r="AD349" s="514"/>
      <c r="AE349" s="514"/>
      <c r="AF349" s="514"/>
      <c r="AG349" s="514"/>
      <c r="AH349" s="514"/>
      <c r="AI349" s="514"/>
      <c r="AJ349" s="514"/>
      <c r="AK349" s="514"/>
      <c r="AL349" s="514"/>
      <c r="AM349" s="514"/>
      <c r="AN349" s="514"/>
    </row>
    <row r="350" ht="16.5" customHeight="1">
      <c r="A350" s="514"/>
      <c r="B350" s="520"/>
      <c r="C350" s="514"/>
      <c r="D350" s="514"/>
      <c r="E350" s="514"/>
      <c r="F350" s="514"/>
      <c r="G350" s="514"/>
      <c r="H350" s="521"/>
      <c r="I350" s="521"/>
      <c r="J350" s="514"/>
      <c r="K350" s="514"/>
      <c r="L350" s="514"/>
      <c r="M350" s="514"/>
      <c r="N350" s="514"/>
      <c r="O350" s="514"/>
      <c r="P350" s="514"/>
      <c r="Q350" s="514"/>
      <c r="R350" s="514"/>
      <c r="S350" s="514"/>
      <c r="T350" s="514"/>
      <c r="U350" s="514"/>
      <c r="V350" s="514"/>
      <c r="W350" s="514"/>
      <c r="X350" s="514"/>
      <c r="Y350" s="514"/>
      <c r="Z350" s="514"/>
      <c r="AA350" s="514"/>
      <c r="AB350" s="514"/>
      <c r="AC350" s="514"/>
      <c r="AD350" s="514"/>
      <c r="AE350" s="514"/>
      <c r="AF350" s="514"/>
      <c r="AG350" s="514"/>
      <c r="AH350" s="514"/>
      <c r="AI350" s="514"/>
      <c r="AJ350" s="514"/>
      <c r="AK350" s="514"/>
      <c r="AL350" s="514"/>
      <c r="AM350" s="514"/>
      <c r="AN350" s="514"/>
    </row>
    <row r="351" ht="16.5" customHeight="1">
      <c r="A351" s="514"/>
      <c r="B351" s="520"/>
      <c r="C351" s="514"/>
      <c r="D351" s="514"/>
      <c r="E351" s="514"/>
      <c r="F351" s="514"/>
      <c r="G351" s="514"/>
      <c r="H351" s="521"/>
      <c r="I351" s="521"/>
      <c r="J351" s="514"/>
      <c r="K351" s="514"/>
      <c r="L351" s="514"/>
      <c r="M351" s="514"/>
      <c r="N351" s="514"/>
      <c r="O351" s="514"/>
      <c r="P351" s="514"/>
      <c r="Q351" s="514"/>
      <c r="R351" s="514"/>
      <c r="S351" s="514"/>
      <c r="T351" s="514"/>
      <c r="U351" s="514"/>
      <c r="V351" s="514"/>
      <c r="W351" s="514"/>
      <c r="X351" s="514"/>
      <c r="Y351" s="514"/>
      <c r="Z351" s="514"/>
      <c r="AA351" s="514"/>
      <c r="AB351" s="514"/>
      <c r="AC351" s="514"/>
      <c r="AD351" s="514"/>
      <c r="AE351" s="514"/>
      <c r="AF351" s="514"/>
      <c r="AG351" s="514"/>
      <c r="AH351" s="514"/>
      <c r="AI351" s="514"/>
      <c r="AJ351" s="514"/>
      <c r="AK351" s="514"/>
      <c r="AL351" s="514"/>
      <c r="AM351" s="514"/>
      <c r="AN351" s="514"/>
    </row>
    <row r="352" ht="16.5" customHeight="1">
      <c r="A352" s="514"/>
      <c r="B352" s="520"/>
      <c r="C352" s="514"/>
      <c r="D352" s="514"/>
      <c r="E352" s="514"/>
      <c r="F352" s="514"/>
      <c r="G352" s="514"/>
      <c r="H352" s="521"/>
      <c r="I352" s="521"/>
      <c r="J352" s="514"/>
      <c r="K352" s="514"/>
      <c r="L352" s="514"/>
      <c r="M352" s="514"/>
      <c r="N352" s="514"/>
      <c r="O352" s="514"/>
      <c r="P352" s="514"/>
      <c r="Q352" s="514"/>
      <c r="R352" s="514"/>
      <c r="S352" s="514"/>
      <c r="T352" s="514"/>
      <c r="U352" s="514"/>
      <c r="V352" s="514"/>
      <c r="W352" s="514"/>
      <c r="X352" s="514"/>
      <c r="Y352" s="514"/>
      <c r="Z352" s="514"/>
      <c r="AA352" s="514"/>
      <c r="AB352" s="514"/>
      <c r="AC352" s="514"/>
      <c r="AD352" s="514"/>
      <c r="AE352" s="514"/>
      <c r="AF352" s="514"/>
      <c r="AG352" s="514"/>
      <c r="AH352" s="514"/>
      <c r="AI352" s="514"/>
      <c r="AJ352" s="514"/>
      <c r="AK352" s="514"/>
      <c r="AL352" s="514"/>
      <c r="AM352" s="514"/>
      <c r="AN352" s="514"/>
    </row>
    <row r="353" ht="16.5" customHeight="1">
      <c r="A353" s="514"/>
      <c r="B353" s="520"/>
      <c r="C353" s="514"/>
      <c r="D353" s="514"/>
      <c r="E353" s="514"/>
      <c r="F353" s="514"/>
      <c r="G353" s="514"/>
      <c r="H353" s="521"/>
      <c r="I353" s="521"/>
      <c r="J353" s="514"/>
      <c r="K353" s="514"/>
      <c r="L353" s="514"/>
      <c r="M353" s="514"/>
      <c r="N353" s="514"/>
      <c r="O353" s="514"/>
      <c r="P353" s="514"/>
      <c r="Q353" s="514"/>
      <c r="R353" s="514"/>
      <c r="S353" s="514"/>
      <c r="T353" s="514"/>
      <c r="U353" s="514"/>
      <c r="V353" s="514"/>
      <c r="W353" s="514"/>
      <c r="X353" s="514"/>
      <c r="Y353" s="514"/>
      <c r="Z353" s="514"/>
      <c r="AA353" s="514"/>
      <c r="AB353" s="514"/>
      <c r="AC353" s="514"/>
      <c r="AD353" s="514"/>
      <c r="AE353" s="514"/>
      <c r="AF353" s="514"/>
      <c r="AG353" s="514"/>
      <c r="AH353" s="514"/>
      <c r="AI353" s="514"/>
      <c r="AJ353" s="514"/>
      <c r="AK353" s="514"/>
      <c r="AL353" s="514"/>
      <c r="AM353" s="514"/>
      <c r="AN353" s="514"/>
    </row>
    <row r="354" ht="16.5" customHeight="1">
      <c r="A354" s="514"/>
      <c r="B354" s="520"/>
      <c r="C354" s="514"/>
      <c r="D354" s="514"/>
      <c r="E354" s="514"/>
      <c r="F354" s="514"/>
      <c r="G354" s="514"/>
      <c r="H354" s="521"/>
      <c r="I354" s="521"/>
      <c r="J354" s="514"/>
      <c r="K354" s="514"/>
      <c r="L354" s="514"/>
      <c r="M354" s="514"/>
      <c r="N354" s="514"/>
      <c r="O354" s="514"/>
      <c r="P354" s="514"/>
      <c r="Q354" s="514"/>
      <c r="R354" s="514"/>
      <c r="S354" s="514"/>
      <c r="T354" s="514"/>
      <c r="U354" s="514"/>
      <c r="V354" s="514"/>
      <c r="W354" s="514"/>
      <c r="X354" s="514"/>
      <c r="Y354" s="514"/>
      <c r="Z354" s="514"/>
      <c r="AA354" s="514"/>
      <c r="AB354" s="514"/>
      <c r="AC354" s="514"/>
      <c r="AD354" s="514"/>
      <c r="AE354" s="514"/>
      <c r="AF354" s="514"/>
      <c r="AG354" s="514"/>
      <c r="AH354" s="514"/>
      <c r="AI354" s="514"/>
      <c r="AJ354" s="514"/>
      <c r="AK354" s="514"/>
      <c r="AL354" s="514"/>
      <c r="AM354" s="514"/>
      <c r="AN354" s="514"/>
    </row>
    <row r="355" ht="16.5" customHeight="1">
      <c r="A355" s="514"/>
      <c r="B355" s="520"/>
      <c r="C355" s="514"/>
      <c r="D355" s="514"/>
      <c r="E355" s="514"/>
      <c r="F355" s="514"/>
      <c r="G355" s="514"/>
      <c r="H355" s="521"/>
      <c r="I355" s="521"/>
      <c r="J355" s="514"/>
      <c r="K355" s="514"/>
      <c r="L355" s="514"/>
      <c r="M355" s="514"/>
      <c r="N355" s="514"/>
      <c r="O355" s="514"/>
      <c r="P355" s="514"/>
      <c r="Q355" s="514"/>
      <c r="R355" s="514"/>
      <c r="S355" s="514"/>
      <c r="T355" s="514"/>
      <c r="U355" s="514"/>
      <c r="V355" s="514"/>
      <c r="W355" s="514"/>
      <c r="X355" s="514"/>
      <c r="Y355" s="514"/>
      <c r="Z355" s="514"/>
      <c r="AA355" s="514"/>
      <c r="AB355" s="514"/>
      <c r="AC355" s="514"/>
      <c r="AD355" s="514"/>
      <c r="AE355" s="514"/>
      <c r="AF355" s="514"/>
      <c r="AG355" s="514"/>
      <c r="AH355" s="514"/>
      <c r="AI355" s="514"/>
      <c r="AJ355" s="514"/>
      <c r="AK355" s="514"/>
      <c r="AL355" s="514"/>
      <c r="AM355" s="514"/>
      <c r="AN355" s="514"/>
    </row>
    <row r="356" ht="16.5" customHeight="1">
      <c r="A356" s="514"/>
      <c r="B356" s="520"/>
      <c r="C356" s="514"/>
      <c r="D356" s="514"/>
      <c r="E356" s="514"/>
      <c r="F356" s="514"/>
      <c r="G356" s="514"/>
      <c r="H356" s="521"/>
      <c r="I356" s="521"/>
      <c r="J356" s="514"/>
      <c r="K356" s="514"/>
      <c r="L356" s="514"/>
      <c r="M356" s="514"/>
      <c r="N356" s="514"/>
      <c r="O356" s="514"/>
      <c r="P356" s="514"/>
      <c r="Q356" s="514"/>
      <c r="R356" s="514"/>
      <c r="S356" s="514"/>
      <c r="T356" s="514"/>
      <c r="U356" s="514"/>
      <c r="V356" s="514"/>
      <c r="W356" s="514"/>
      <c r="X356" s="514"/>
      <c r="Y356" s="514"/>
      <c r="Z356" s="514"/>
      <c r="AA356" s="514"/>
      <c r="AB356" s="514"/>
      <c r="AC356" s="514"/>
      <c r="AD356" s="514"/>
      <c r="AE356" s="514"/>
      <c r="AF356" s="514"/>
      <c r="AG356" s="514"/>
      <c r="AH356" s="514"/>
      <c r="AI356" s="514"/>
      <c r="AJ356" s="514"/>
      <c r="AK356" s="514"/>
      <c r="AL356" s="514"/>
      <c r="AM356" s="514"/>
      <c r="AN356" s="514"/>
    </row>
    <row r="357" ht="16.5" customHeight="1">
      <c r="A357" s="514"/>
      <c r="B357" s="520"/>
      <c r="C357" s="514"/>
      <c r="D357" s="514"/>
      <c r="E357" s="514"/>
      <c r="F357" s="514"/>
      <c r="G357" s="514"/>
      <c r="H357" s="521"/>
      <c r="I357" s="521"/>
      <c r="J357" s="514"/>
      <c r="K357" s="514"/>
      <c r="L357" s="514"/>
      <c r="M357" s="514"/>
      <c r="N357" s="514"/>
      <c r="O357" s="514"/>
      <c r="P357" s="514"/>
      <c r="Q357" s="514"/>
      <c r="R357" s="514"/>
      <c r="S357" s="514"/>
      <c r="T357" s="514"/>
      <c r="U357" s="514"/>
      <c r="V357" s="514"/>
      <c r="W357" s="514"/>
      <c r="X357" s="514"/>
      <c r="Y357" s="514"/>
      <c r="Z357" s="514"/>
      <c r="AA357" s="514"/>
      <c r="AB357" s="514"/>
      <c r="AC357" s="514"/>
      <c r="AD357" s="514"/>
      <c r="AE357" s="514"/>
      <c r="AF357" s="514"/>
      <c r="AG357" s="514"/>
      <c r="AH357" s="514"/>
      <c r="AI357" s="514"/>
      <c r="AJ357" s="514"/>
      <c r="AK357" s="514"/>
      <c r="AL357" s="514"/>
      <c r="AM357" s="514"/>
      <c r="AN357" s="514"/>
    </row>
    <row r="358" ht="16.5" customHeight="1">
      <c r="A358" s="514"/>
      <c r="B358" s="520"/>
      <c r="C358" s="514"/>
      <c r="D358" s="514"/>
      <c r="E358" s="514"/>
      <c r="F358" s="514"/>
      <c r="G358" s="514"/>
      <c r="H358" s="521"/>
      <c r="I358" s="521"/>
      <c r="J358" s="514"/>
      <c r="K358" s="514"/>
      <c r="L358" s="514"/>
      <c r="M358" s="514"/>
      <c r="N358" s="514"/>
      <c r="O358" s="514"/>
      <c r="P358" s="514"/>
      <c r="Q358" s="514"/>
      <c r="R358" s="514"/>
      <c r="S358" s="514"/>
      <c r="T358" s="514"/>
      <c r="U358" s="514"/>
      <c r="V358" s="514"/>
      <c r="W358" s="514"/>
      <c r="X358" s="514"/>
      <c r="Y358" s="514"/>
      <c r="Z358" s="514"/>
      <c r="AA358" s="514"/>
      <c r="AB358" s="514"/>
      <c r="AC358" s="514"/>
      <c r="AD358" s="514"/>
      <c r="AE358" s="514"/>
      <c r="AF358" s="514"/>
      <c r="AG358" s="514"/>
      <c r="AH358" s="514"/>
      <c r="AI358" s="514"/>
      <c r="AJ358" s="514"/>
      <c r="AK358" s="514"/>
      <c r="AL358" s="514"/>
      <c r="AM358" s="514"/>
      <c r="AN358" s="514"/>
    </row>
    <row r="359" ht="16.5" customHeight="1">
      <c r="A359" s="514"/>
      <c r="B359" s="520"/>
      <c r="C359" s="514"/>
      <c r="D359" s="514"/>
      <c r="E359" s="514"/>
      <c r="F359" s="514"/>
      <c r="G359" s="514"/>
      <c r="H359" s="521"/>
      <c r="I359" s="521"/>
      <c r="J359" s="514"/>
      <c r="K359" s="514"/>
      <c r="L359" s="514"/>
      <c r="M359" s="514"/>
      <c r="N359" s="514"/>
      <c r="O359" s="514"/>
      <c r="P359" s="514"/>
      <c r="Q359" s="514"/>
      <c r="R359" s="514"/>
      <c r="S359" s="514"/>
      <c r="T359" s="514"/>
      <c r="U359" s="514"/>
      <c r="V359" s="514"/>
      <c r="W359" s="514"/>
      <c r="X359" s="514"/>
      <c r="Y359" s="514"/>
      <c r="Z359" s="514"/>
      <c r="AA359" s="514"/>
      <c r="AB359" s="514"/>
      <c r="AC359" s="514"/>
      <c r="AD359" s="514"/>
      <c r="AE359" s="514"/>
      <c r="AF359" s="514"/>
      <c r="AG359" s="514"/>
      <c r="AH359" s="514"/>
      <c r="AI359" s="514"/>
      <c r="AJ359" s="514"/>
      <c r="AK359" s="514"/>
      <c r="AL359" s="514"/>
      <c r="AM359" s="514"/>
      <c r="AN359" s="514"/>
    </row>
    <row r="360" ht="16.5" customHeight="1">
      <c r="A360" s="514"/>
      <c r="B360" s="520"/>
      <c r="C360" s="514"/>
      <c r="D360" s="514"/>
      <c r="E360" s="514"/>
      <c r="F360" s="514"/>
      <c r="G360" s="514"/>
      <c r="H360" s="521"/>
      <c r="I360" s="521"/>
      <c r="J360" s="514"/>
      <c r="K360" s="514"/>
      <c r="L360" s="514"/>
      <c r="M360" s="514"/>
      <c r="N360" s="514"/>
      <c r="O360" s="514"/>
      <c r="P360" s="514"/>
      <c r="Q360" s="514"/>
      <c r="R360" s="514"/>
      <c r="S360" s="514"/>
      <c r="T360" s="514"/>
      <c r="U360" s="514"/>
      <c r="V360" s="514"/>
      <c r="W360" s="514"/>
      <c r="X360" s="514"/>
      <c r="Y360" s="514"/>
      <c r="Z360" s="514"/>
      <c r="AA360" s="514"/>
      <c r="AB360" s="514"/>
      <c r="AC360" s="514"/>
      <c r="AD360" s="514"/>
      <c r="AE360" s="514"/>
      <c r="AF360" s="514"/>
      <c r="AG360" s="514"/>
      <c r="AH360" s="514"/>
      <c r="AI360" s="514"/>
      <c r="AJ360" s="514"/>
      <c r="AK360" s="514"/>
      <c r="AL360" s="514"/>
      <c r="AM360" s="514"/>
      <c r="AN360" s="514"/>
    </row>
    <row r="361" ht="16.5" customHeight="1">
      <c r="A361" s="514"/>
      <c r="B361" s="520"/>
      <c r="C361" s="514"/>
      <c r="D361" s="514"/>
      <c r="E361" s="514"/>
      <c r="F361" s="514"/>
      <c r="G361" s="514"/>
      <c r="H361" s="521"/>
      <c r="I361" s="521"/>
      <c r="J361" s="514"/>
      <c r="K361" s="514"/>
      <c r="L361" s="514"/>
      <c r="M361" s="514"/>
      <c r="N361" s="514"/>
      <c r="O361" s="514"/>
      <c r="P361" s="514"/>
      <c r="Q361" s="514"/>
      <c r="R361" s="514"/>
      <c r="S361" s="514"/>
      <c r="T361" s="514"/>
      <c r="U361" s="514"/>
      <c r="V361" s="514"/>
      <c r="W361" s="514"/>
      <c r="X361" s="514"/>
      <c r="Y361" s="514"/>
      <c r="Z361" s="514"/>
      <c r="AA361" s="514"/>
      <c r="AB361" s="514"/>
      <c r="AC361" s="514"/>
      <c r="AD361" s="514"/>
      <c r="AE361" s="514"/>
      <c r="AF361" s="514"/>
      <c r="AG361" s="514"/>
      <c r="AH361" s="514"/>
      <c r="AI361" s="514"/>
      <c r="AJ361" s="514"/>
      <c r="AK361" s="514"/>
      <c r="AL361" s="514"/>
      <c r="AM361" s="514"/>
      <c r="AN361" s="514"/>
    </row>
    <row r="362" ht="16.5" customHeight="1">
      <c r="A362" s="514"/>
      <c r="B362" s="520"/>
      <c r="C362" s="514"/>
      <c r="D362" s="514"/>
      <c r="E362" s="514"/>
      <c r="F362" s="514"/>
      <c r="G362" s="514"/>
      <c r="H362" s="521"/>
      <c r="I362" s="521"/>
      <c r="J362" s="514"/>
      <c r="K362" s="514"/>
      <c r="L362" s="514"/>
      <c r="M362" s="514"/>
      <c r="N362" s="514"/>
      <c r="O362" s="514"/>
      <c r="P362" s="514"/>
      <c r="Q362" s="514"/>
      <c r="R362" s="514"/>
      <c r="S362" s="514"/>
      <c r="T362" s="514"/>
      <c r="U362" s="514"/>
      <c r="V362" s="514"/>
      <c r="W362" s="514"/>
      <c r="X362" s="514"/>
      <c r="Y362" s="514"/>
      <c r="Z362" s="514"/>
      <c r="AA362" s="514"/>
      <c r="AB362" s="514"/>
      <c r="AC362" s="514"/>
      <c r="AD362" s="514"/>
      <c r="AE362" s="514"/>
      <c r="AF362" s="514"/>
      <c r="AG362" s="514"/>
      <c r="AH362" s="514"/>
      <c r="AI362" s="514"/>
      <c r="AJ362" s="514"/>
      <c r="AK362" s="514"/>
      <c r="AL362" s="514"/>
      <c r="AM362" s="514"/>
      <c r="AN362" s="514"/>
    </row>
    <row r="363" ht="16.5" customHeight="1">
      <c r="A363" s="514"/>
      <c r="B363" s="520"/>
      <c r="C363" s="514"/>
      <c r="D363" s="514"/>
      <c r="E363" s="514"/>
      <c r="F363" s="514"/>
      <c r="G363" s="514"/>
      <c r="H363" s="521"/>
      <c r="I363" s="521"/>
      <c r="J363" s="514"/>
      <c r="K363" s="514"/>
      <c r="L363" s="514"/>
      <c r="M363" s="514"/>
      <c r="N363" s="514"/>
      <c r="O363" s="514"/>
      <c r="P363" s="514"/>
      <c r="Q363" s="514"/>
      <c r="R363" s="514"/>
      <c r="S363" s="514"/>
      <c r="T363" s="514"/>
      <c r="U363" s="514"/>
      <c r="V363" s="514"/>
      <c r="W363" s="514"/>
      <c r="X363" s="514"/>
      <c r="Y363" s="514"/>
      <c r="Z363" s="514"/>
      <c r="AA363" s="514"/>
      <c r="AB363" s="514"/>
      <c r="AC363" s="514"/>
      <c r="AD363" s="514"/>
      <c r="AE363" s="514"/>
      <c r="AF363" s="514"/>
      <c r="AG363" s="514"/>
      <c r="AH363" s="514"/>
      <c r="AI363" s="514"/>
      <c r="AJ363" s="514"/>
      <c r="AK363" s="514"/>
      <c r="AL363" s="514"/>
      <c r="AM363" s="514"/>
      <c r="AN363" s="514"/>
    </row>
    <row r="364" ht="16.5" customHeight="1">
      <c r="A364" s="514"/>
      <c r="B364" s="520"/>
      <c r="C364" s="514"/>
      <c r="D364" s="514"/>
      <c r="E364" s="514"/>
      <c r="F364" s="514"/>
      <c r="G364" s="514"/>
      <c r="H364" s="521"/>
      <c r="I364" s="521"/>
      <c r="J364" s="514"/>
      <c r="K364" s="514"/>
      <c r="L364" s="514"/>
      <c r="M364" s="514"/>
      <c r="N364" s="514"/>
      <c r="O364" s="514"/>
      <c r="P364" s="514"/>
      <c r="Q364" s="514"/>
      <c r="R364" s="514"/>
      <c r="S364" s="514"/>
      <c r="T364" s="514"/>
      <c r="U364" s="514"/>
      <c r="V364" s="514"/>
      <c r="W364" s="514"/>
      <c r="X364" s="514"/>
      <c r="Y364" s="514"/>
      <c r="Z364" s="514"/>
      <c r="AA364" s="514"/>
      <c r="AB364" s="514"/>
      <c r="AC364" s="514"/>
      <c r="AD364" s="514"/>
      <c r="AE364" s="514"/>
      <c r="AF364" s="514"/>
      <c r="AG364" s="514"/>
      <c r="AH364" s="514"/>
      <c r="AI364" s="514"/>
      <c r="AJ364" s="514"/>
      <c r="AK364" s="514"/>
      <c r="AL364" s="514"/>
      <c r="AM364" s="514"/>
      <c r="AN364" s="514"/>
    </row>
    <row r="365" ht="16.5" customHeight="1">
      <c r="A365" s="514"/>
      <c r="B365" s="520"/>
      <c r="C365" s="514"/>
      <c r="D365" s="514"/>
      <c r="E365" s="514"/>
      <c r="F365" s="514"/>
      <c r="G365" s="514"/>
      <c r="H365" s="521"/>
      <c r="I365" s="521"/>
      <c r="J365" s="514"/>
      <c r="K365" s="514"/>
      <c r="L365" s="514"/>
      <c r="M365" s="514"/>
      <c r="N365" s="514"/>
      <c r="O365" s="514"/>
      <c r="P365" s="514"/>
      <c r="Q365" s="514"/>
      <c r="R365" s="514"/>
      <c r="S365" s="514"/>
      <c r="T365" s="514"/>
      <c r="U365" s="514"/>
      <c r="V365" s="514"/>
      <c r="W365" s="514"/>
      <c r="X365" s="514"/>
      <c r="Y365" s="514"/>
      <c r="Z365" s="514"/>
      <c r="AA365" s="514"/>
      <c r="AB365" s="514"/>
      <c r="AC365" s="514"/>
      <c r="AD365" s="514"/>
      <c r="AE365" s="514"/>
      <c r="AF365" s="514"/>
      <c r="AG365" s="514"/>
      <c r="AH365" s="514"/>
      <c r="AI365" s="514"/>
      <c r="AJ365" s="514"/>
      <c r="AK365" s="514"/>
      <c r="AL365" s="514"/>
      <c r="AM365" s="514"/>
      <c r="AN365" s="514"/>
    </row>
    <row r="366" ht="16.5" customHeight="1">
      <c r="A366" s="514"/>
      <c r="B366" s="520"/>
      <c r="C366" s="514"/>
      <c r="D366" s="514"/>
      <c r="E366" s="514"/>
      <c r="F366" s="514"/>
      <c r="G366" s="514"/>
      <c r="H366" s="521"/>
      <c r="I366" s="521"/>
      <c r="J366" s="514"/>
      <c r="K366" s="514"/>
      <c r="L366" s="514"/>
      <c r="M366" s="514"/>
      <c r="N366" s="514"/>
      <c r="O366" s="514"/>
      <c r="P366" s="514"/>
      <c r="Q366" s="514"/>
      <c r="R366" s="514"/>
      <c r="S366" s="514"/>
      <c r="T366" s="514"/>
      <c r="U366" s="514"/>
      <c r="V366" s="514"/>
      <c r="W366" s="514"/>
      <c r="X366" s="514"/>
      <c r="Y366" s="514"/>
      <c r="Z366" s="514"/>
      <c r="AA366" s="514"/>
      <c r="AB366" s="514"/>
      <c r="AC366" s="514"/>
      <c r="AD366" s="514"/>
      <c r="AE366" s="514"/>
      <c r="AF366" s="514"/>
      <c r="AG366" s="514"/>
      <c r="AH366" s="514"/>
      <c r="AI366" s="514"/>
      <c r="AJ366" s="514"/>
      <c r="AK366" s="514"/>
      <c r="AL366" s="514"/>
      <c r="AM366" s="514"/>
      <c r="AN366" s="514"/>
    </row>
    <row r="367" ht="16.5" customHeight="1">
      <c r="A367" s="514"/>
      <c r="B367" s="520"/>
      <c r="C367" s="514"/>
      <c r="D367" s="514"/>
      <c r="E367" s="514"/>
      <c r="F367" s="514"/>
      <c r="G367" s="514"/>
      <c r="H367" s="521"/>
      <c r="I367" s="521"/>
      <c r="J367" s="514"/>
      <c r="K367" s="514"/>
      <c r="L367" s="514"/>
      <c r="M367" s="514"/>
      <c r="N367" s="514"/>
      <c r="O367" s="514"/>
      <c r="P367" s="514"/>
      <c r="Q367" s="514"/>
      <c r="R367" s="514"/>
      <c r="S367" s="514"/>
      <c r="T367" s="514"/>
      <c r="U367" s="514"/>
      <c r="V367" s="514"/>
      <c r="W367" s="514"/>
      <c r="X367" s="514"/>
      <c r="Y367" s="514"/>
      <c r="Z367" s="514"/>
      <c r="AA367" s="514"/>
      <c r="AB367" s="514"/>
      <c r="AC367" s="514"/>
      <c r="AD367" s="514"/>
      <c r="AE367" s="514"/>
      <c r="AF367" s="514"/>
      <c r="AG367" s="514"/>
      <c r="AH367" s="514"/>
      <c r="AI367" s="514"/>
      <c r="AJ367" s="514"/>
      <c r="AK367" s="514"/>
      <c r="AL367" s="514"/>
      <c r="AM367" s="514"/>
      <c r="AN367" s="514"/>
    </row>
    <row r="368" ht="16.5" customHeight="1">
      <c r="A368" s="514"/>
      <c r="B368" s="520"/>
      <c r="C368" s="514"/>
      <c r="D368" s="514"/>
      <c r="E368" s="514"/>
      <c r="F368" s="514"/>
      <c r="G368" s="514"/>
      <c r="H368" s="521"/>
      <c r="I368" s="521"/>
      <c r="J368" s="514"/>
      <c r="K368" s="514"/>
      <c r="L368" s="514"/>
      <c r="M368" s="514"/>
      <c r="N368" s="514"/>
      <c r="O368" s="514"/>
      <c r="P368" s="514"/>
      <c r="Q368" s="514"/>
      <c r="R368" s="514"/>
      <c r="S368" s="514"/>
      <c r="T368" s="514"/>
      <c r="U368" s="514"/>
      <c r="V368" s="514"/>
      <c r="W368" s="514"/>
      <c r="X368" s="514"/>
      <c r="Y368" s="514"/>
      <c r="Z368" s="514"/>
      <c r="AA368" s="514"/>
      <c r="AB368" s="514"/>
      <c r="AC368" s="514"/>
      <c r="AD368" s="514"/>
      <c r="AE368" s="514"/>
      <c r="AF368" s="514"/>
      <c r="AG368" s="514"/>
      <c r="AH368" s="514"/>
      <c r="AI368" s="514"/>
      <c r="AJ368" s="514"/>
      <c r="AK368" s="514"/>
      <c r="AL368" s="514"/>
      <c r="AM368" s="514"/>
      <c r="AN368" s="514"/>
    </row>
    <row r="369" ht="16.5" customHeight="1">
      <c r="A369" s="514"/>
      <c r="B369" s="520"/>
      <c r="C369" s="514"/>
      <c r="D369" s="514"/>
      <c r="E369" s="514"/>
      <c r="F369" s="514"/>
      <c r="G369" s="514"/>
      <c r="H369" s="521"/>
      <c r="I369" s="521"/>
      <c r="J369" s="514"/>
      <c r="K369" s="514"/>
      <c r="L369" s="514"/>
      <c r="M369" s="514"/>
      <c r="N369" s="514"/>
      <c r="O369" s="514"/>
      <c r="P369" s="514"/>
      <c r="Q369" s="514"/>
      <c r="R369" s="514"/>
      <c r="S369" s="514"/>
      <c r="T369" s="514"/>
      <c r="U369" s="514"/>
      <c r="V369" s="514"/>
      <c r="W369" s="514"/>
      <c r="X369" s="514"/>
      <c r="Y369" s="514"/>
      <c r="Z369" s="514"/>
      <c r="AA369" s="514"/>
      <c r="AB369" s="514"/>
      <c r="AC369" s="514"/>
      <c r="AD369" s="514"/>
      <c r="AE369" s="514"/>
      <c r="AF369" s="514"/>
      <c r="AG369" s="514"/>
      <c r="AH369" s="514"/>
      <c r="AI369" s="514"/>
      <c r="AJ369" s="514"/>
      <c r="AK369" s="514"/>
      <c r="AL369" s="514"/>
      <c r="AM369" s="514"/>
      <c r="AN369" s="514"/>
    </row>
    <row r="370" ht="16.5" customHeight="1">
      <c r="A370" s="514"/>
      <c r="B370" s="520"/>
      <c r="C370" s="514"/>
      <c r="D370" s="514"/>
      <c r="E370" s="514"/>
      <c r="F370" s="514"/>
      <c r="G370" s="514"/>
      <c r="H370" s="521"/>
      <c r="I370" s="521"/>
      <c r="J370" s="514"/>
      <c r="K370" s="514"/>
      <c r="L370" s="514"/>
      <c r="M370" s="514"/>
      <c r="N370" s="514"/>
      <c r="O370" s="514"/>
      <c r="P370" s="514"/>
      <c r="Q370" s="514"/>
      <c r="R370" s="514"/>
      <c r="S370" s="514"/>
      <c r="T370" s="514"/>
      <c r="U370" s="514"/>
      <c r="V370" s="514"/>
      <c r="W370" s="514"/>
      <c r="X370" s="514"/>
      <c r="Y370" s="514"/>
      <c r="Z370" s="514"/>
      <c r="AA370" s="514"/>
      <c r="AB370" s="514"/>
      <c r="AC370" s="514"/>
      <c r="AD370" s="514"/>
      <c r="AE370" s="514"/>
      <c r="AF370" s="514"/>
      <c r="AG370" s="514"/>
      <c r="AH370" s="514"/>
      <c r="AI370" s="514"/>
      <c r="AJ370" s="514"/>
      <c r="AK370" s="514"/>
      <c r="AL370" s="514"/>
      <c r="AM370" s="514"/>
      <c r="AN370" s="514"/>
    </row>
    <row r="371" ht="16.5" customHeight="1">
      <c r="A371" s="514"/>
      <c r="B371" s="520"/>
      <c r="C371" s="514"/>
      <c r="D371" s="514"/>
      <c r="E371" s="514"/>
      <c r="F371" s="514"/>
      <c r="G371" s="514"/>
      <c r="H371" s="521"/>
      <c r="I371" s="521"/>
      <c r="J371" s="514"/>
      <c r="K371" s="514"/>
      <c r="L371" s="514"/>
      <c r="M371" s="514"/>
      <c r="N371" s="514"/>
      <c r="O371" s="514"/>
      <c r="P371" s="514"/>
      <c r="Q371" s="514"/>
      <c r="R371" s="514"/>
      <c r="S371" s="514"/>
      <c r="T371" s="514"/>
      <c r="U371" s="514"/>
      <c r="V371" s="514"/>
      <c r="W371" s="514"/>
      <c r="X371" s="514"/>
      <c r="Y371" s="514"/>
      <c r="Z371" s="514"/>
      <c r="AA371" s="514"/>
      <c r="AB371" s="514"/>
      <c r="AC371" s="514"/>
      <c r="AD371" s="514"/>
      <c r="AE371" s="514"/>
      <c r="AF371" s="514"/>
      <c r="AG371" s="514"/>
      <c r="AH371" s="514"/>
      <c r="AI371" s="514"/>
      <c r="AJ371" s="514"/>
      <c r="AK371" s="514"/>
      <c r="AL371" s="514"/>
      <c r="AM371" s="514"/>
      <c r="AN371" s="514"/>
    </row>
    <row r="372" ht="16.5" customHeight="1">
      <c r="A372" s="514"/>
      <c r="B372" s="520"/>
      <c r="C372" s="514"/>
      <c r="D372" s="514"/>
      <c r="E372" s="514"/>
      <c r="F372" s="514"/>
      <c r="G372" s="514"/>
      <c r="H372" s="521"/>
      <c r="I372" s="521"/>
      <c r="J372" s="514"/>
      <c r="K372" s="514"/>
      <c r="L372" s="514"/>
      <c r="M372" s="514"/>
      <c r="N372" s="514"/>
      <c r="O372" s="514"/>
      <c r="P372" s="514"/>
      <c r="Q372" s="514"/>
      <c r="R372" s="514"/>
      <c r="S372" s="514"/>
      <c r="T372" s="514"/>
      <c r="U372" s="514"/>
      <c r="V372" s="514"/>
      <c r="W372" s="514"/>
      <c r="X372" s="514"/>
      <c r="Y372" s="514"/>
      <c r="Z372" s="514"/>
      <c r="AA372" s="514"/>
      <c r="AB372" s="514"/>
      <c r="AC372" s="514"/>
      <c r="AD372" s="514"/>
      <c r="AE372" s="514"/>
      <c r="AF372" s="514"/>
      <c r="AG372" s="514"/>
      <c r="AH372" s="514"/>
      <c r="AI372" s="514"/>
      <c r="AJ372" s="514"/>
      <c r="AK372" s="514"/>
      <c r="AL372" s="514"/>
      <c r="AM372" s="514"/>
      <c r="AN372" s="514"/>
    </row>
    <row r="373" ht="16.5" customHeight="1">
      <c r="A373" s="514"/>
      <c r="B373" s="520"/>
      <c r="C373" s="514"/>
      <c r="D373" s="514"/>
      <c r="E373" s="514"/>
      <c r="F373" s="514"/>
      <c r="G373" s="514"/>
      <c r="H373" s="521"/>
      <c r="I373" s="521"/>
      <c r="J373" s="514"/>
      <c r="K373" s="514"/>
      <c r="L373" s="514"/>
      <c r="M373" s="514"/>
      <c r="N373" s="514"/>
      <c r="O373" s="514"/>
      <c r="P373" s="514"/>
      <c r="Q373" s="514"/>
      <c r="R373" s="514"/>
      <c r="S373" s="514"/>
      <c r="T373" s="514"/>
      <c r="U373" s="514"/>
      <c r="V373" s="514"/>
      <c r="W373" s="514"/>
      <c r="X373" s="514"/>
      <c r="Y373" s="514"/>
      <c r="Z373" s="514"/>
      <c r="AA373" s="514"/>
      <c r="AB373" s="514"/>
      <c r="AC373" s="514"/>
      <c r="AD373" s="514"/>
      <c r="AE373" s="514"/>
      <c r="AF373" s="514"/>
      <c r="AG373" s="514"/>
      <c r="AH373" s="514"/>
      <c r="AI373" s="514"/>
      <c r="AJ373" s="514"/>
      <c r="AK373" s="514"/>
      <c r="AL373" s="514"/>
      <c r="AM373" s="514"/>
      <c r="AN373" s="514"/>
    </row>
    <row r="374" ht="16.5" customHeight="1">
      <c r="A374" s="514"/>
      <c r="B374" s="520"/>
      <c r="C374" s="514"/>
      <c r="D374" s="514"/>
      <c r="E374" s="514"/>
      <c r="F374" s="514"/>
      <c r="G374" s="514"/>
      <c r="H374" s="521"/>
      <c r="I374" s="521"/>
      <c r="J374" s="514"/>
      <c r="K374" s="514"/>
      <c r="L374" s="514"/>
      <c r="M374" s="514"/>
      <c r="N374" s="514"/>
      <c r="O374" s="514"/>
      <c r="P374" s="514"/>
      <c r="Q374" s="514"/>
      <c r="R374" s="514"/>
      <c r="S374" s="514"/>
      <c r="T374" s="514"/>
      <c r="U374" s="514"/>
      <c r="V374" s="514"/>
      <c r="W374" s="514"/>
      <c r="X374" s="514"/>
      <c r="Y374" s="514"/>
      <c r="Z374" s="514"/>
      <c r="AA374" s="514"/>
      <c r="AB374" s="514"/>
      <c r="AC374" s="514"/>
      <c r="AD374" s="514"/>
      <c r="AE374" s="514"/>
      <c r="AF374" s="514"/>
      <c r="AG374" s="514"/>
      <c r="AH374" s="514"/>
      <c r="AI374" s="514"/>
      <c r="AJ374" s="514"/>
      <c r="AK374" s="514"/>
      <c r="AL374" s="514"/>
      <c r="AM374" s="514"/>
      <c r="AN374" s="514"/>
    </row>
    <row r="375" ht="16.5" customHeight="1">
      <c r="A375" s="514"/>
      <c r="B375" s="520"/>
      <c r="C375" s="514"/>
      <c r="D375" s="514"/>
      <c r="E375" s="514"/>
      <c r="F375" s="514"/>
      <c r="G375" s="514"/>
      <c r="H375" s="521"/>
      <c r="I375" s="521"/>
      <c r="J375" s="514"/>
      <c r="K375" s="514"/>
      <c r="L375" s="514"/>
      <c r="M375" s="514"/>
      <c r="N375" s="514"/>
      <c r="O375" s="514"/>
      <c r="P375" s="514"/>
      <c r="Q375" s="514"/>
      <c r="R375" s="514"/>
      <c r="S375" s="514"/>
      <c r="T375" s="514"/>
      <c r="U375" s="514"/>
      <c r="V375" s="514"/>
      <c r="W375" s="514"/>
      <c r="X375" s="514"/>
      <c r="Y375" s="514"/>
      <c r="Z375" s="514"/>
      <c r="AA375" s="514"/>
      <c r="AB375" s="514"/>
      <c r="AC375" s="514"/>
      <c r="AD375" s="514"/>
      <c r="AE375" s="514"/>
      <c r="AF375" s="514"/>
      <c r="AG375" s="514"/>
      <c r="AH375" s="514"/>
      <c r="AI375" s="514"/>
      <c r="AJ375" s="514"/>
      <c r="AK375" s="514"/>
      <c r="AL375" s="514"/>
      <c r="AM375" s="514"/>
      <c r="AN375" s="514"/>
    </row>
    <row r="376" ht="16.5" customHeight="1">
      <c r="A376" s="514"/>
      <c r="B376" s="520"/>
      <c r="C376" s="514"/>
      <c r="D376" s="514"/>
      <c r="E376" s="514"/>
      <c r="F376" s="514"/>
      <c r="G376" s="514"/>
      <c r="H376" s="521"/>
      <c r="I376" s="521"/>
      <c r="J376" s="514"/>
      <c r="K376" s="514"/>
      <c r="L376" s="514"/>
      <c r="M376" s="514"/>
      <c r="N376" s="514"/>
      <c r="O376" s="514"/>
      <c r="P376" s="514"/>
      <c r="Q376" s="514"/>
      <c r="R376" s="514"/>
      <c r="S376" s="514"/>
      <c r="T376" s="514"/>
      <c r="U376" s="514"/>
      <c r="V376" s="514"/>
      <c r="W376" s="514"/>
      <c r="X376" s="514"/>
      <c r="Y376" s="514"/>
      <c r="Z376" s="514"/>
      <c r="AA376" s="514"/>
      <c r="AB376" s="514"/>
      <c r="AC376" s="514"/>
      <c r="AD376" s="514"/>
      <c r="AE376" s="514"/>
      <c r="AF376" s="514"/>
      <c r="AG376" s="514"/>
      <c r="AH376" s="514"/>
      <c r="AI376" s="514"/>
      <c r="AJ376" s="514"/>
      <c r="AK376" s="514"/>
      <c r="AL376" s="514"/>
      <c r="AM376" s="514"/>
      <c r="AN376" s="514"/>
    </row>
    <row r="377" ht="16.5" customHeight="1">
      <c r="A377" s="514"/>
      <c r="B377" s="520"/>
      <c r="C377" s="514"/>
      <c r="D377" s="514"/>
      <c r="E377" s="514"/>
      <c r="F377" s="514"/>
      <c r="G377" s="514"/>
      <c r="H377" s="521"/>
      <c r="I377" s="521"/>
      <c r="J377" s="514"/>
      <c r="K377" s="514"/>
      <c r="L377" s="514"/>
      <c r="M377" s="514"/>
      <c r="N377" s="514"/>
      <c r="O377" s="514"/>
      <c r="P377" s="514"/>
      <c r="Q377" s="514"/>
      <c r="R377" s="514"/>
      <c r="S377" s="514"/>
      <c r="T377" s="514"/>
      <c r="U377" s="514"/>
      <c r="V377" s="514"/>
      <c r="W377" s="514"/>
      <c r="X377" s="514"/>
      <c r="Y377" s="514"/>
      <c r="Z377" s="514"/>
      <c r="AA377" s="514"/>
      <c r="AB377" s="514"/>
      <c r="AC377" s="514"/>
      <c r="AD377" s="514"/>
      <c r="AE377" s="514"/>
      <c r="AF377" s="514"/>
      <c r="AG377" s="514"/>
      <c r="AH377" s="514"/>
      <c r="AI377" s="514"/>
      <c r="AJ377" s="514"/>
      <c r="AK377" s="514"/>
      <c r="AL377" s="514"/>
      <c r="AM377" s="514"/>
      <c r="AN377" s="514"/>
    </row>
    <row r="378" ht="16.5" customHeight="1">
      <c r="A378" s="514"/>
      <c r="B378" s="520"/>
      <c r="C378" s="514"/>
      <c r="D378" s="514"/>
      <c r="E378" s="514"/>
      <c r="F378" s="514"/>
      <c r="G378" s="514"/>
      <c r="H378" s="521"/>
      <c r="I378" s="521"/>
      <c r="J378" s="514"/>
      <c r="K378" s="514"/>
      <c r="L378" s="514"/>
      <c r="M378" s="514"/>
      <c r="N378" s="514"/>
      <c r="O378" s="514"/>
      <c r="P378" s="514"/>
      <c r="Q378" s="514"/>
      <c r="R378" s="514"/>
      <c r="S378" s="514"/>
      <c r="T378" s="514"/>
      <c r="U378" s="514"/>
      <c r="V378" s="514"/>
      <c r="W378" s="514"/>
      <c r="X378" s="514"/>
      <c r="Y378" s="514"/>
      <c r="Z378" s="514"/>
      <c r="AA378" s="514"/>
      <c r="AB378" s="514"/>
      <c r="AC378" s="514"/>
      <c r="AD378" s="514"/>
      <c r="AE378" s="514"/>
      <c r="AF378" s="514"/>
      <c r="AG378" s="514"/>
      <c r="AH378" s="514"/>
      <c r="AI378" s="514"/>
      <c r="AJ378" s="514"/>
      <c r="AK378" s="514"/>
      <c r="AL378" s="514"/>
      <c r="AM378" s="514"/>
      <c r="AN378" s="514"/>
    </row>
    <row r="379" ht="16.5" customHeight="1">
      <c r="A379" s="514"/>
      <c r="B379" s="520"/>
      <c r="C379" s="514"/>
      <c r="D379" s="514"/>
      <c r="E379" s="514"/>
      <c r="F379" s="514"/>
      <c r="G379" s="514"/>
      <c r="H379" s="521"/>
      <c r="I379" s="521"/>
      <c r="J379" s="514"/>
      <c r="K379" s="514"/>
      <c r="L379" s="514"/>
      <c r="M379" s="514"/>
      <c r="N379" s="514"/>
      <c r="O379" s="514"/>
      <c r="P379" s="514"/>
      <c r="Q379" s="514"/>
      <c r="R379" s="514"/>
      <c r="S379" s="514"/>
      <c r="T379" s="514"/>
      <c r="U379" s="514"/>
      <c r="V379" s="514"/>
      <c r="W379" s="514"/>
      <c r="X379" s="514"/>
      <c r="Y379" s="514"/>
      <c r="Z379" s="514"/>
      <c r="AA379" s="514"/>
      <c r="AB379" s="514"/>
      <c r="AC379" s="514"/>
      <c r="AD379" s="514"/>
      <c r="AE379" s="514"/>
      <c r="AF379" s="514"/>
      <c r="AG379" s="514"/>
      <c r="AH379" s="514"/>
      <c r="AI379" s="514"/>
      <c r="AJ379" s="514"/>
      <c r="AK379" s="514"/>
      <c r="AL379" s="514"/>
      <c r="AM379" s="514"/>
      <c r="AN379" s="514"/>
    </row>
    <row r="380" ht="16.5" customHeight="1">
      <c r="A380" s="514"/>
      <c r="B380" s="520"/>
      <c r="C380" s="514"/>
      <c r="D380" s="514"/>
      <c r="E380" s="514"/>
      <c r="F380" s="514"/>
      <c r="G380" s="514"/>
      <c r="H380" s="521"/>
      <c r="I380" s="521"/>
      <c r="J380" s="514"/>
      <c r="K380" s="514"/>
      <c r="L380" s="514"/>
      <c r="M380" s="514"/>
      <c r="N380" s="514"/>
      <c r="O380" s="514"/>
      <c r="P380" s="514"/>
      <c r="Q380" s="514"/>
      <c r="R380" s="514"/>
      <c r="S380" s="514"/>
      <c r="T380" s="514"/>
      <c r="U380" s="514"/>
      <c r="V380" s="514"/>
      <c r="W380" s="514"/>
      <c r="X380" s="514"/>
      <c r="Y380" s="514"/>
      <c r="Z380" s="514"/>
      <c r="AA380" s="514"/>
      <c r="AB380" s="514"/>
      <c r="AC380" s="514"/>
      <c r="AD380" s="514"/>
      <c r="AE380" s="514"/>
      <c r="AF380" s="514"/>
      <c r="AG380" s="514"/>
      <c r="AH380" s="514"/>
      <c r="AI380" s="514"/>
      <c r="AJ380" s="514"/>
      <c r="AK380" s="514"/>
      <c r="AL380" s="514"/>
      <c r="AM380" s="514"/>
      <c r="AN380" s="514"/>
    </row>
    <row r="381" ht="16.5" customHeight="1">
      <c r="A381" s="514"/>
      <c r="B381" s="520"/>
      <c r="C381" s="514"/>
      <c r="D381" s="514"/>
      <c r="E381" s="514"/>
      <c r="F381" s="514"/>
      <c r="G381" s="514"/>
      <c r="H381" s="521"/>
      <c r="I381" s="521"/>
      <c r="J381" s="514"/>
      <c r="K381" s="514"/>
      <c r="L381" s="514"/>
      <c r="M381" s="514"/>
      <c r="N381" s="514"/>
      <c r="O381" s="514"/>
      <c r="P381" s="514"/>
      <c r="Q381" s="514"/>
      <c r="R381" s="514"/>
      <c r="S381" s="514"/>
      <c r="T381" s="514"/>
      <c r="U381" s="514"/>
      <c r="V381" s="514"/>
      <c r="W381" s="514"/>
      <c r="X381" s="514"/>
      <c r="Y381" s="514"/>
      <c r="Z381" s="514"/>
      <c r="AA381" s="514"/>
      <c r="AB381" s="514"/>
      <c r="AC381" s="514"/>
      <c r="AD381" s="514"/>
      <c r="AE381" s="514"/>
      <c r="AF381" s="514"/>
      <c r="AG381" s="514"/>
      <c r="AH381" s="514"/>
      <c r="AI381" s="514"/>
      <c r="AJ381" s="514"/>
      <c r="AK381" s="514"/>
      <c r="AL381" s="514"/>
      <c r="AM381" s="514"/>
      <c r="AN381" s="514"/>
    </row>
    <row r="382" ht="16.5" customHeight="1">
      <c r="A382" s="514"/>
      <c r="B382" s="520"/>
      <c r="C382" s="514"/>
      <c r="D382" s="514"/>
      <c r="E382" s="514"/>
      <c r="F382" s="514"/>
      <c r="G382" s="514"/>
      <c r="H382" s="521"/>
      <c r="I382" s="521"/>
      <c r="J382" s="514"/>
      <c r="K382" s="514"/>
      <c r="L382" s="514"/>
      <c r="M382" s="514"/>
      <c r="N382" s="514"/>
      <c r="O382" s="514"/>
      <c r="P382" s="514"/>
      <c r="Q382" s="514"/>
      <c r="R382" s="514"/>
      <c r="S382" s="514"/>
      <c r="T382" s="514"/>
      <c r="U382" s="514"/>
      <c r="V382" s="514"/>
      <c r="W382" s="514"/>
      <c r="X382" s="514"/>
      <c r="Y382" s="514"/>
      <c r="Z382" s="514"/>
      <c r="AA382" s="514"/>
      <c r="AB382" s="514"/>
      <c r="AC382" s="514"/>
      <c r="AD382" s="514"/>
      <c r="AE382" s="514"/>
      <c r="AF382" s="514"/>
      <c r="AG382" s="514"/>
      <c r="AH382" s="514"/>
      <c r="AI382" s="514"/>
      <c r="AJ382" s="514"/>
      <c r="AK382" s="514"/>
      <c r="AL382" s="514"/>
      <c r="AM382" s="514"/>
      <c r="AN382" s="514"/>
    </row>
    <row r="383" ht="16.5" customHeight="1">
      <c r="A383" s="514"/>
      <c r="B383" s="520"/>
      <c r="C383" s="514"/>
      <c r="D383" s="514"/>
      <c r="E383" s="514"/>
      <c r="F383" s="514"/>
      <c r="G383" s="514"/>
      <c r="H383" s="521"/>
      <c r="I383" s="521"/>
      <c r="J383" s="514"/>
      <c r="K383" s="514"/>
      <c r="L383" s="514"/>
      <c r="M383" s="514"/>
      <c r="N383" s="514"/>
      <c r="O383" s="514"/>
      <c r="P383" s="514"/>
      <c r="Q383" s="514"/>
      <c r="R383" s="514"/>
      <c r="S383" s="514"/>
      <c r="T383" s="514"/>
      <c r="U383" s="514"/>
      <c r="V383" s="514"/>
      <c r="W383" s="514"/>
      <c r="X383" s="514"/>
      <c r="Y383" s="514"/>
      <c r="Z383" s="514"/>
      <c r="AA383" s="514"/>
      <c r="AB383" s="514"/>
      <c r="AC383" s="514"/>
      <c r="AD383" s="514"/>
      <c r="AE383" s="514"/>
      <c r="AF383" s="514"/>
      <c r="AG383" s="514"/>
      <c r="AH383" s="514"/>
      <c r="AI383" s="514"/>
      <c r="AJ383" s="514"/>
      <c r="AK383" s="514"/>
      <c r="AL383" s="514"/>
      <c r="AM383" s="514"/>
      <c r="AN383" s="514"/>
    </row>
    <row r="384" ht="16.5" customHeight="1">
      <c r="A384" s="514"/>
      <c r="B384" s="520"/>
      <c r="C384" s="514"/>
      <c r="D384" s="514"/>
      <c r="E384" s="514"/>
      <c r="F384" s="514"/>
      <c r="G384" s="514"/>
      <c r="H384" s="521"/>
      <c r="I384" s="521"/>
      <c r="J384" s="514"/>
      <c r="K384" s="514"/>
      <c r="L384" s="514"/>
      <c r="M384" s="514"/>
      <c r="N384" s="514"/>
      <c r="O384" s="514"/>
      <c r="P384" s="514"/>
      <c r="Q384" s="514"/>
      <c r="R384" s="514"/>
      <c r="S384" s="514"/>
      <c r="T384" s="514"/>
      <c r="U384" s="514"/>
      <c r="V384" s="514"/>
      <c r="W384" s="514"/>
      <c r="X384" s="514"/>
      <c r="Y384" s="514"/>
      <c r="Z384" s="514"/>
      <c r="AA384" s="514"/>
      <c r="AB384" s="514"/>
      <c r="AC384" s="514"/>
      <c r="AD384" s="514"/>
      <c r="AE384" s="514"/>
      <c r="AF384" s="514"/>
      <c r="AG384" s="514"/>
      <c r="AH384" s="514"/>
      <c r="AI384" s="514"/>
      <c r="AJ384" s="514"/>
      <c r="AK384" s="514"/>
      <c r="AL384" s="514"/>
      <c r="AM384" s="514"/>
      <c r="AN384" s="514"/>
    </row>
    <row r="385" ht="16.5" customHeight="1">
      <c r="A385" s="514"/>
      <c r="B385" s="520"/>
      <c r="C385" s="514"/>
      <c r="D385" s="514"/>
      <c r="E385" s="514"/>
      <c r="F385" s="514"/>
      <c r="G385" s="514"/>
      <c r="H385" s="521"/>
      <c r="I385" s="521"/>
      <c r="J385" s="514"/>
      <c r="K385" s="514"/>
      <c r="L385" s="514"/>
      <c r="M385" s="514"/>
      <c r="N385" s="514"/>
      <c r="O385" s="514"/>
      <c r="P385" s="514"/>
      <c r="Q385" s="514"/>
      <c r="R385" s="514"/>
      <c r="S385" s="514"/>
      <c r="T385" s="514"/>
      <c r="U385" s="514"/>
      <c r="V385" s="514"/>
      <c r="W385" s="514"/>
      <c r="X385" s="514"/>
      <c r="Y385" s="514"/>
      <c r="Z385" s="514"/>
      <c r="AA385" s="514"/>
      <c r="AB385" s="514"/>
      <c r="AC385" s="514"/>
      <c r="AD385" s="514"/>
      <c r="AE385" s="514"/>
      <c r="AF385" s="514"/>
      <c r="AG385" s="514"/>
      <c r="AH385" s="514"/>
      <c r="AI385" s="514"/>
      <c r="AJ385" s="514"/>
      <c r="AK385" s="514"/>
      <c r="AL385" s="514"/>
      <c r="AM385" s="514"/>
      <c r="AN385" s="514"/>
    </row>
    <row r="386" ht="16.5" customHeight="1">
      <c r="A386" s="514"/>
      <c r="B386" s="520"/>
      <c r="C386" s="514"/>
      <c r="D386" s="514"/>
      <c r="E386" s="514"/>
      <c r="F386" s="514"/>
      <c r="G386" s="514"/>
      <c r="H386" s="521"/>
      <c r="I386" s="521"/>
      <c r="J386" s="514"/>
      <c r="K386" s="514"/>
      <c r="L386" s="514"/>
      <c r="M386" s="514"/>
      <c r="N386" s="514"/>
      <c r="O386" s="514"/>
      <c r="P386" s="514"/>
      <c r="Q386" s="514"/>
      <c r="R386" s="514"/>
      <c r="S386" s="514"/>
      <c r="T386" s="514"/>
      <c r="U386" s="514"/>
      <c r="V386" s="514"/>
      <c r="W386" s="514"/>
      <c r="X386" s="514"/>
      <c r="Y386" s="514"/>
      <c r="Z386" s="514"/>
      <c r="AA386" s="514"/>
      <c r="AB386" s="514"/>
      <c r="AC386" s="514"/>
      <c r="AD386" s="514"/>
      <c r="AE386" s="514"/>
      <c r="AF386" s="514"/>
      <c r="AG386" s="514"/>
      <c r="AH386" s="514"/>
      <c r="AI386" s="514"/>
      <c r="AJ386" s="514"/>
      <c r="AK386" s="514"/>
      <c r="AL386" s="514"/>
      <c r="AM386" s="514"/>
      <c r="AN386" s="514"/>
    </row>
    <row r="387" ht="16.5" customHeight="1">
      <c r="A387" s="514"/>
      <c r="B387" s="520"/>
      <c r="C387" s="514"/>
      <c r="D387" s="514"/>
      <c r="E387" s="514"/>
      <c r="F387" s="514"/>
      <c r="G387" s="514"/>
      <c r="H387" s="521"/>
      <c r="I387" s="521"/>
      <c r="J387" s="514"/>
      <c r="K387" s="514"/>
      <c r="L387" s="514"/>
      <c r="M387" s="514"/>
      <c r="N387" s="514"/>
      <c r="O387" s="514"/>
      <c r="P387" s="514"/>
      <c r="Q387" s="514"/>
      <c r="R387" s="514"/>
      <c r="S387" s="514"/>
      <c r="T387" s="514"/>
      <c r="U387" s="514"/>
      <c r="V387" s="514"/>
      <c r="W387" s="514"/>
      <c r="X387" s="514"/>
      <c r="Y387" s="514"/>
      <c r="Z387" s="514"/>
      <c r="AA387" s="514"/>
      <c r="AB387" s="514"/>
      <c r="AC387" s="514"/>
      <c r="AD387" s="514"/>
      <c r="AE387" s="514"/>
      <c r="AF387" s="514"/>
      <c r="AG387" s="514"/>
      <c r="AH387" s="514"/>
      <c r="AI387" s="514"/>
      <c r="AJ387" s="514"/>
      <c r="AK387" s="514"/>
      <c r="AL387" s="514"/>
      <c r="AM387" s="514"/>
      <c r="AN387" s="514"/>
    </row>
    <row r="388" ht="16.5" customHeight="1">
      <c r="A388" s="514"/>
      <c r="B388" s="520"/>
      <c r="C388" s="514"/>
      <c r="D388" s="514"/>
      <c r="E388" s="514"/>
      <c r="F388" s="514"/>
      <c r="G388" s="514"/>
      <c r="H388" s="521"/>
      <c r="I388" s="521"/>
      <c r="J388" s="514"/>
      <c r="K388" s="514"/>
      <c r="L388" s="514"/>
      <c r="M388" s="514"/>
      <c r="N388" s="514"/>
      <c r="O388" s="514"/>
      <c r="P388" s="514"/>
      <c r="Q388" s="514"/>
      <c r="R388" s="514"/>
      <c r="S388" s="514"/>
      <c r="T388" s="514"/>
      <c r="U388" s="514"/>
      <c r="V388" s="514"/>
      <c r="W388" s="514"/>
      <c r="X388" s="514"/>
      <c r="Y388" s="514"/>
      <c r="Z388" s="514"/>
      <c r="AA388" s="514"/>
      <c r="AB388" s="514"/>
      <c r="AC388" s="514"/>
      <c r="AD388" s="514"/>
      <c r="AE388" s="514"/>
      <c r="AF388" s="514"/>
      <c r="AG388" s="514"/>
      <c r="AH388" s="514"/>
      <c r="AI388" s="514"/>
      <c r="AJ388" s="514"/>
      <c r="AK388" s="514"/>
      <c r="AL388" s="514"/>
      <c r="AM388" s="514"/>
      <c r="AN388" s="514"/>
    </row>
    <row r="389" ht="16.5" customHeight="1">
      <c r="A389" s="514"/>
      <c r="B389" s="520"/>
      <c r="C389" s="514"/>
      <c r="D389" s="514"/>
      <c r="E389" s="514"/>
      <c r="F389" s="514"/>
      <c r="G389" s="514"/>
      <c r="H389" s="521"/>
      <c r="I389" s="521"/>
      <c r="J389" s="514"/>
      <c r="K389" s="514"/>
      <c r="L389" s="514"/>
      <c r="M389" s="514"/>
      <c r="N389" s="514"/>
      <c r="O389" s="514"/>
      <c r="P389" s="514"/>
      <c r="Q389" s="514"/>
      <c r="R389" s="514"/>
      <c r="S389" s="514"/>
      <c r="T389" s="514"/>
      <c r="U389" s="514"/>
      <c r="V389" s="514"/>
      <c r="W389" s="514"/>
      <c r="X389" s="514"/>
      <c r="Y389" s="514"/>
      <c r="Z389" s="514"/>
      <c r="AA389" s="514"/>
      <c r="AB389" s="514"/>
      <c r="AC389" s="514"/>
      <c r="AD389" s="514"/>
      <c r="AE389" s="514"/>
      <c r="AF389" s="514"/>
      <c r="AG389" s="514"/>
      <c r="AH389" s="514"/>
      <c r="AI389" s="514"/>
      <c r="AJ389" s="514"/>
      <c r="AK389" s="514"/>
      <c r="AL389" s="514"/>
      <c r="AM389" s="514"/>
      <c r="AN389" s="514"/>
    </row>
    <row r="390" ht="16.5" customHeight="1">
      <c r="A390" s="514"/>
      <c r="B390" s="520"/>
      <c r="C390" s="514"/>
      <c r="D390" s="514"/>
      <c r="E390" s="514"/>
      <c r="F390" s="514"/>
      <c r="G390" s="514"/>
      <c r="H390" s="521"/>
      <c r="I390" s="521"/>
      <c r="J390" s="514"/>
      <c r="K390" s="514"/>
      <c r="L390" s="514"/>
      <c r="M390" s="514"/>
      <c r="N390" s="514"/>
      <c r="O390" s="514"/>
      <c r="P390" s="514"/>
      <c r="Q390" s="514"/>
      <c r="R390" s="514"/>
      <c r="S390" s="514"/>
      <c r="T390" s="514"/>
      <c r="U390" s="514"/>
      <c r="V390" s="514"/>
      <c r="W390" s="514"/>
      <c r="X390" s="514"/>
      <c r="Y390" s="514"/>
      <c r="Z390" s="514"/>
      <c r="AA390" s="514"/>
      <c r="AB390" s="514"/>
      <c r="AC390" s="514"/>
      <c r="AD390" s="514"/>
      <c r="AE390" s="514"/>
      <c r="AF390" s="514"/>
      <c r="AG390" s="514"/>
      <c r="AH390" s="514"/>
      <c r="AI390" s="514"/>
      <c r="AJ390" s="514"/>
      <c r="AK390" s="514"/>
      <c r="AL390" s="514"/>
      <c r="AM390" s="514"/>
      <c r="AN390" s="514"/>
    </row>
    <row r="391" ht="16.5" customHeight="1">
      <c r="A391" s="514"/>
      <c r="B391" s="520"/>
      <c r="C391" s="514"/>
      <c r="D391" s="514"/>
      <c r="E391" s="514"/>
      <c r="F391" s="514"/>
      <c r="G391" s="514"/>
      <c r="H391" s="521"/>
      <c r="I391" s="521"/>
      <c r="J391" s="514"/>
      <c r="K391" s="514"/>
      <c r="L391" s="514"/>
      <c r="M391" s="514"/>
      <c r="N391" s="514"/>
      <c r="O391" s="514"/>
      <c r="P391" s="514"/>
      <c r="Q391" s="514"/>
      <c r="R391" s="514"/>
      <c r="S391" s="514"/>
      <c r="T391" s="514"/>
      <c r="U391" s="514"/>
      <c r="V391" s="514"/>
      <c r="W391" s="514"/>
      <c r="X391" s="514"/>
      <c r="Y391" s="514"/>
      <c r="Z391" s="514"/>
      <c r="AA391" s="514"/>
      <c r="AB391" s="514"/>
      <c r="AC391" s="514"/>
      <c r="AD391" s="514"/>
      <c r="AE391" s="514"/>
      <c r="AF391" s="514"/>
      <c r="AG391" s="514"/>
      <c r="AH391" s="514"/>
      <c r="AI391" s="514"/>
      <c r="AJ391" s="514"/>
      <c r="AK391" s="514"/>
      <c r="AL391" s="514"/>
      <c r="AM391" s="514"/>
      <c r="AN391" s="514"/>
    </row>
    <row r="392" ht="16.5" customHeight="1">
      <c r="A392" s="514"/>
      <c r="B392" s="520"/>
      <c r="C392" s="514"/>
      <c r="D392" s="514"/>
      <c r="E392" s="514"/>
      <c r="F392" s="514"/>
      <c r="G392" s="514"/>
      <c r="H392" s="521"/>
      <c r="I392" s="521"/>
      <c r="J392" s="514"/>
      <c r="K392" s="514"/>
      <c r="L392" s="514"/>
      <c r="M392" s="514"/>
      <c r="N392" s="514"/>
      <c r="O392" s="514"/>
      <c r="P392" s="514"/>
      <c r="Q392" s="514"/>
      <c r="R392" s="514"/>
      <c r="S392" s="514"/>
      <c r="T392" s="514"/>
      <c r="U392" s="514"/>
      <c r="V392" s="514"/>
      <c r="W392" s="514"/>
      <c r="X392" s="514"/>
      <c r="Y392" s="514"/>
      <c r="Z392" s="514"/>
      <c r="AA392" s="514"/>
      <c r="AB392" s="514"/>
      <c r="AC392" s="514"/>
      <c r="AD392" s="514"/>
      <c r="AE392" s="514"/>
      <c r="AF392" s="514"/>
      <c r="AG392" s="514"/>
      <c r="AH392" s="514"/>
      <c r="AI392" s="514"/>
      <c r="AJ392" s="514"/>
      <c r="AK392" s="514"/>
      <c r="AL392" s="514"/>
      <c r="AM392" s="514"/>
      <c r="AN392" s="514"/>
    </row>
    <row r="393" ht="16.5" customHeight="1">
      <c r="A393" s="514"/>
      <c r="B393" s="520"/>
      <c r="C393" s="514"/>
      <c r="D393" s="514"/>
      <c r="E393" s="514"/>
      <c r="F393" s="514"/>
      <c r="G393" s="514"/>
      <c r="H393" s="521"/>
      <c r="I393" s="521"/>
      <c r="J393" s="514"/>
      <c r="K393" s="514"/>
      <c r="L393" s="514"/>
      <c r="M393" s="514"/>
      <c r="N393" s="514"/>
      <c r="O393" s="514"/>
      <c r="P393" s="514"/>
      <c r="Q393" s="514"/>
      <c r="R393" s="514"/>
      <c r="S393" s="514"/>
      <c r="T393" s="514"/>
      <c r="U393" s="514"/>
      <c r="V393" s="514"/>
      <c r="W393" s="514"/>
      <c r="X393" s="514"/>
      <c r="Y393" s="514"/>
      <c r="Z393" s="514"/>
      <c r="AA393" s="514"/>
      <c r="AB393" s="514"/>
      <c r="AC393" s="514"/>
      <c r="AD393" s="514"/>
      <c r="AE393" s="514"/>
      <c r="AF393" s="514"/>
      <c r="AG393" s="514"/>
      <c r="AH393" s="514"/>
      <c r="AI393" s="514"/>
      <c r="AJ393" s="514"/>
      <c r="AK393" s="514"/>
      <c r="AL393" s="514"/>
      <c r="AM393" s="514"/>
      <c r="AN393" s="514"/>
    </row>
    <row r="394" ht="16.5" customHeight="1">
      <c r="A394" s="514"/>
      <c r="B394" s="520"/>
      <c r="C394" s="514"/>
      <c r="D394" s="514"/>
      <c r="E394" s="514"/>
      <c r="F394" s="514"/>
      <c r="G394" s="514"/>
      <c r="H394" s="521"/>
      <c r="I394" s="521"/>
      <c r="J394" s="514"/>
      <c r="K394" s="514"/>
      <c r="L394" s="514"/>
      <c r="M394" s="514"/>
      <c r="N394" s="514"/>
      <c r="O394" s="514"/>
      <c r="P394" s="514"/>
      <c r="Q394" s="514"/>
      <c r="R394" s="514"/>
      <c r="S394" s="514"/>
      <c r="T394" s="514"/>
      <c r="U394" s="514"/>
      <c r="V394" s="514"/>
      <c r="W394" s="514"/>
      <c r="X394" s="514"/>
      <c r="Y394" s="514"/>
      <c r="Z394" s="514"/>
      <c r="AA394" s="514"/>
      <c r="AB394" s="514"/>
      <c r="AC394" s="514"/>
      <c r="AD394" s="514"/>
      <c r="AE394" s="514"/>
      <c r="AF394" s="514"/>
      <c r="AG394" s="514"/>
      <c r="AH394" s="514"/>
      <c r="AI394" s="514"/>
      <c r="AJ394" s="514"/>
      <c r="AK394" s="514"/>
      <c r="AL394" s="514"/>
      <c r="AM394" s="514"/>
      <c r="AN394" s="514"/>
    </row>
    <row r="395" ht="16.5" customHeight="1">
      <c r="A395" s="514"/>
      <c r="B395" s="520"/>
      <c r="C395" s="514"/>
      <c r="D395" s="514"/>
      <c r="E395" s="514"/>
      <c r="F395" s="514"/>
      <c r="G395" s="514"/>
      <c r="H395" s="521"/>
      <c r="I395" s="521"/>
      <c r="J395" s="514"/>
      <c r="K395" s="514"/>
      <c r="L395" s="514"/>
      <c r="M395" s="514"/>
      <c r="N395" s="514"/>
      <c r="O395" s="514"/>
      <c r="P395" s="514"/>
      <c r="Q395" s="514"/>
      <c r="R395" s="514"/>
      <c r="S395" s="514"/>
      <c r="T395" s="514"/>
      <c r="U395" s="514"/>
      <c r="V395" s="514"/>
      <c r="W395" s="514"/>
      <c r="X395" s="514"/>
      <c r="Y395" s="514"/>
      <c r="Z395" s="514"/>
      <c r="AA395" s="514"/>
      <c r="AB395" s="514"/>
      <c r="AC395" s="514"/>
      <c r="AD395" s="514"/>
      <c r="AE395" s="514"/>
      <c r="AF395" s="514"/>
      <c r="AG395" s="514"/>
      <c r="AH395" s="514"/>
      <c r="AI395" s="514"/>
      <c r="AJ395" s="514"/>
      <c r="AK395" s="514"/>
      <c r="AL395" s="514"/>
      <c r="AM395" s="514"/>
      <c r="AN395" s="514"/>
    </row>
    <row r="396" ht="16.5" customHeight="1">
      <c r="A396" s="514"/>
      <c r="B396" s="520"/>
      <c r="C396" s="514"/>
      <c r="D396" s="514"/>
      <c r="E396" s="514"/>
      <c r="F396" s="514"/>
      <c r="G396" s="514"/>
      <c r="H396" s="521"/>
      <c r="I396" s="521"/>
      <c r="J396" s="514"/>
      <c r="K396" s="514"/>
      <c r="L396" s="514"/>
      <c r="M396" s="514"/>
      <c r="N396" s="514"/>
      <c r="O396" s="514"/>
      <c r="P396" s="514"/>
      <c r="Q396" s="514"/>
      <c r="R396" s="514"/>
      <c r="S396" s="514"/>
      <c r="T396" s="514"/>
      <c r="U396" s="514"/>
      <c r="V396" s="514"/>
      <c r="W396" s="514"/>
      <c r="X396" s="514"/>
      <c r="Y396" s="514"/>
      <c r="Z396" s="514"/>
      <c r="AA396" s="514"/>
      <c r="AB396" s="514"/>
      <c r="AC396" s="514"/>
      <c r="AD396" s="514"/>
      <c r="AE396" s="514"/>
      <c r="AF396" s="514"/>
      <c r="AG396" s="514"/>
      <c r="AH396" s="514"/>
      <c r="AI396" s="514"/>
      <c r="AJ396" s="514"/>
      <c r="AK396" s="514"/>
      <c r="AL396" s="514"/>
      <c r="AM396" s="514"/>
      <c r="AN396" s="514"/>
    </row>
    <row r="397" ht="16.5" customHeight="1">
      <c r="A397" s="514"/>
      <c r="B397" s="520"/>
      <c r="C397" s="514"/>
      <c r="D397" s="514"/>
      <c r="E397" s="514"/>
      <c r="F397" s="514"/>
      <c r="G397" s="514"/>
      <c r="H397" s="521"/>
      <c r="I397" s="521"/>
      <c r="J397" s="514"/>
      <c r="K397" s="514"/>
      <c r="L397" s="514"/>
      <c r="M397" s="514"/>
      <c r="N397" s="514"/>
      <c r="O397" s="514"/>
      <c r="P397" s="514"/>
      <c r="Q397" s="514"/>
      <c r="R397" s="514"/>
      <c r="S397" s="514"/>
      <c r="T397" s="514"/>
      <c r="U397" s="514"/>
      <c r="V397" s="514"/>
      <c r="W397" s="514"/>
      <c r="X397" s="514"/>
      <c r="Y397" s="514"/>
      <c r="Z397" s="514"/>
      <c r="AA397" s="514"/>
      <c r="AB397" s="514"/>
      <c r="AC397" s="514"/>
      <c r="AD397" s="514"/>
      <c r="AE397" s="514"/>
      <c r="AF397" s="514"/>
      <c r="AG397" s="514"/>
      <c r="AH397" s="514"/>
      <c r="AI397" s="514"/>
      <c r="AJ397" s="514"/>
      <c r="AK397" s="514"/>
      <c r="AL397" s="514"/>
      <c r="AM397" s="514"/>
      <c r="AN397" s="514"/>
    </row>
    <row r="398" ht="16.5" customHeight="1">
      <c r="A398" s="514"/>
      <c r="B398" s="520"/>
      <c r="C398" s="514"/>
      <c r="D398" s="514"/>
      <c r="E398" s="514"/>
      <c r="F398" s="514"/>
      <c r="G398" s="514"/>
      <c r="H398" s="521"/>
      <c r="I398" s="521"/>
      <c r="J398" s="514"/>
      <c r="K398" s="514"/>
      <c r="L398" s="514"/>
      <c r="M398" s="514"/>
      <c r="N398" s="514"/>
      <c r="O398" s="514"/>
      <c r="P398" s="514"/>
      <c r="Q398" s="514"/>
      <c r="R398" s="514"/>
      <c r="S398" s="514"/>
      <c r="T398" s="514"/>
      <c r="U398" s="514"/>
      <c r="V398" s="514"/>
      <c r="W398" s="514"/>
      <c r="X398" s="514"/>
      <c r="Y398" s="514"/>
      <c r="Z398" s="514"/>
      <c r="AA398" s="514"/>
      <c r="AB398" s="514"/>
      <c r="AC398" s="514"/>
      <c r="AD398" s="514"/>
      <c r="AE398" s="514"/>
      <c r="AF398" s="514"/>
      <c r="AG398" s="514"/>
      <c r="AH398" s="514"/>
      <c r="AI398" s="514"/>
      <c r="AJ398" s="514"/>
      <c r="AK398" s="514"/>
      <c r="AL398" s="514"/>
      <c r="AM398" s="514"/>
      <c r="AN398" s="514"/>
    </row>
    <row r="399" ht="16.5" customHeight="1">
      <c r="A399" s="514"/>
      <c r="B399" s="520"/>
      <c r="C399" s="514"/>
      <c r="D399" s="514"/>
      <c r="E399" s="514"/>
      <c r="F399" s="514"/>
      <c r="G399" s="514"/>
      <c r="H399" s="521"/>
      <c r="I399" s="521"/>
      <c r="J399" s="514"/>
      <c r="K399" s="514"/>
      <c r="L399" s="514"/>
      <c r="M399" s="514"/>
      <c r="N399" s="514"/>
      <c r="O399" s="514"/>
      <c r="P399" s="514"/>
      <c r="Q399" s="514"/>
      <c r="R399" s="514"/>
      <c r="S399" s="514"/>
      <c r="T399" s="514"/>
      <c r="U399" s="514"/>
      <c r="V399" s="514"/>
      <c r="W399" s="514"/>
      <c r="X399" s="514"/>
      <c r="Y399" s="514"/>
      <c r="Z399" s="514"/>
      <c r="AA399" s="514"/>
      <c r="AB399" s="514"/>
      <c r="AC399" s="514"/>
      <c r="AD399" s="514"/>
      <c r="AE399" s="514"/>
      <c r="AF399" s="514"/>
      <c r="AG399" s="514"/>
      <c r="AH399" s="514"/>
      <c r="AI399" s="514"/>
      <c r="AJ399" s="514"/>
      <c r="AK399" s="514"/>
      <c r="AL399" s="514"/>
      <c r="AM399" s="514"/>
      <c r="AN399" s="514"/>
    </row>
    <row r="400" ht="16.5" customHeight="1">
      <c r="A400" s="514"/>
      <c r="B400" s="520"/>
      <c r="C400" s="514"/>
      <c r="D400" s="514"/>
      <c r="E400" s="514"/>
      <c r="F400" s="514"/>
      <c r="G400" s="514"/>
      <c r="H400" s="521"/>
      <c r="I400" s="521"/>
      <c r="J400" s="514"/>
      <c r="K400" s="514"/>
      <c r="L400" s="514"/>
      <c r="M400" s="514"/>
      <c r="N400" s="514"/>
      <c r="O400" s="514"/>
      <c r="P400" s="514"/>
      <c r="Q400" s="514"/>
      <c r="R400" s="514"/>
      <c r="S400" s="514"/>
      <c r="T400" s="514"/>
      <c r="U400" s="514"/>
      <c r="V400" s="514"/>
      <c r="W400" s="514"/>
      <c r="X400" s="514"/>
      <c r="Y400" s="514"/>
      <c r="Z400" s="514"/>
      <c r="AA400" s="514"/>
      <c r="AB400" s="514"/>
      <c r="AC400" s="514"/>
      <c r="AD400" s="514"/>
      <c r="AE400" s="514"/>
      <c r="AF400" s="514"/>
      <c r="AG400" s="514"/>
      <c r="AH400" s="514"/>
      <c r="AI400" s="514"/>
      <c r="AJ400" s="514"/>
      <c r="AK400" s="514"/>
      <c r="AL400" s="514"/>
      <c r="AM400" s="514"/>
      <c r="AN400" s="514"/>
    </row>
    <row r="401" ht="16.5" customHeight="1">
      <c r="A401" s="514"/>
      <c r="B401" s="520"/>
      <c r="C401" s="514"/>
      <c r="D401" s="514"/>
      <c r="E401" s="514"/>
      <c r="F401" s="514"/>
      <c r="G401" s="514"/>
      <c r="H401" s="521"/>
      <c r="I401" s="521"/>
      <c r="J401" s="514"/>
      <c r="K401" s="514"/>
      <c r="L401" s="514"/>
      <c r="M401" s="514"/>
      <c r="N401" s="514"/>
      <c r="O401" s="514"/>
      <c r="P401" s="514"/>
      <c r="Q401" s="514"/>
      <c r="R401" s="514"/>
      <c r="S401" s="514"/>
      <c r="T401" s="514"/>
      <c r="U401" s="514"/>
      <c r="V401" s="514"/>
      <c r="W401" s="514"/>
      <c r="X401" s="514"/>
      <c r="Y401" s="514"/>
      <c r="Z401" s="514"/>
      <c r="AA401" s="514"/>
      <c r="AB401" s="514"/>
      <c r="AC401" s="514"/>
      <c r="AD401" s="514"/>
      <c r="AE401" s="514"/>
      <c r="AF401" s="514"/>
      <c r="AG401" s="514"/>
      <c r="AH401" s="514"/>
      <c r="AI401" s="514"/>
      <c r="AJ401" s="514"/>
      <c r="AK401" s="514"/>
      <c r="AL401" s="514"/>
      <c r="AM401" s="514"/>
      <c r="AN401" s="514"/>
    </row>
    <row r="402" ht="16.5" customHeight="1">
      <c r="A402" s="514"/>
      <c r="B402" s="520"/>
      <c r="C402" s="514"/>
      <c r="D402" s="514"/>
      <c r="E402" s="514"/>
      <c r="F402" s="514"/>
      <c r="G402" s="514"/>
      <c r="H402" s="521"/>
      <c r="I402" s="521"/>
      <c r="J402" s="514"/>
      <c r="K402" s="514"/>
      <c r="L402" s="514"/>
      <c r="M402" s="514"/>
      <c r="N402" s="514"/>
      <c r="O402" s="514"/>
      <c r="P402" s="514"/>
      <c r="Q402" s="514"/>
      <c r="R402" s="514"/>
      <c r="S402" s="514"/>
      <c r="T402" s="514"/>
      <c r="U402" s="514"/>
      <c r="V402" s="514"/>
      <c r="W402" s="514"/>
      <c r="X402" s="514"/>
      <c r="Y402" s="514"/>
      <c r="Z402" s="514"/>
      <c r="AA402" s="514"/>
      <c r="AB402" s="514"/>
      <c r="AC402" s="514"/>
      <c r="AD402" s="514"/>
      <c r="AE402" s="514"/>
      <c r="AF402" s="514"/>
      <c r="AG402" s="514"/>
      <c r="AH402" s="514"/>
      <c r="AI402" s="514"/>
      <c r="AJ402" s="514"/>
      <c r="AK402" s="514"/>
      <c r="AL402" s="514"/>
      <c r="AM402" s="514"/>
      <c r="AN402" s="514"/>
    </row>
    <row r="403" ht="16.5" customHeight="1">
      <c r="A403" s="514"/>
      <c r="B403" s="520"/>
      <c r="C403" s="514"/>
      <c r="D403" s="514"/>
      <c r="E403" s="514"/>
      <c r="F403" s="514"/>
      <c r="G403" s="514"/>
      <c r="H403" s="521"/>
      <c r="I403" s="521"/>
      <c r="J403" s="514"/>
      <c r="K403" s="514"/>
      <c r="L403" s="514"/>
      <c r="M403" s="514"/>
      <c r="N403" s="514"/>
      <c r="O403" s="514"/>
      <c r="P403" s="514"/>
      <c r="Q403" s="514"/>
      <c r="R403" s="514"/>
      <c r="S403" s="514"/>
      <c r="T403" s="514"/>
      <c r="U403" s="514"/>
      <c r="V403" s="514"/>
      <c r="W403" s="514"/>
      <c r="X403" s="514"/>
      <c r="Y403" s="514"/>
      <c r="Z403" s="514"/>
      <c r="AA403" s="514"/>
      <c r="AB403" s="514"/>
      <c r="AC403" s="514"/>
      <c r="AD403" s="514"/>
      <c r="AE403" s="514"/>
      <c r="AF403" s="514"/>
      <c r="AG403" s="514"/>
      <c r="AH403" s="514"/>
      <c r="AI403" s="514"/>
      <c r="AJ403" s="514"/>
      <c r="AK403" s="514"/>
      <c r="AL403" s="514"/>
      <c r="AM403" s="514"/>
      <c r="AN403" s="514"/>
    </row>
    <row r="404" ht="16.5" customHeight="1">
      <c r="A404" s="514"/>
      <c r="B404" s="520"/>
      <c r="C404" s="514"/>
      <c r="D404" s="514"/>
      <c r="E404" s="514"/>
      <c r="F404" s="514"/>
      <c r="G404" s="514"/>
      <c r="H404" s="521"/>
      <c r="I404" s="521"/>
      <c r="J404" s="514"/>
      <c r="K404" s="514"/>
      <c r="L404" s="514"/>
      <c r="M404" s="514"/>
      <c r="N404" s="514"/>
      <c r="O404" s="514"/>
      <c r="P404" s="514"/>
      <c r="Q404" s="514"/>
      <c r="R404" s="514"/>
      <c r="S404" s="514"/>
      <c r="T404" s="514"/>
      <c r="U404" s="514"/>
      <c r="V404" s="514"/>
      <c r="W404" s="514"/>
      <c r="X404" s="514"/>
      <c r="Y404" s="514"/>
      <c r="Z404" s="514"/>
      <c r="AA404" s="514"/>
      <c r="AB404" s="514"/>
      <c r="AC404" s="514"/>
      <c r="AD404" s="514"/>
      <c r="AE404" s="514"/>
      <c r="AF404" s="514"/>
      <c r="AG404" s="514"/>
      <c r="AH404" s="514"/>
      <c r="AI404" s="514"/>
      <c r="AJ404" s="514"/>
      <c r="AK404" s="514"/>
      <c r="AL404" s="514"/>
      <c r="AM404" s="514"/>
      <c r="AN404" s="514"/>
    </row>
    <row r="405" ht="16.5" customHeight="1">
      <c r="A405" s="514"/>
      <c r="B405" s="520"/>
      <c r="C405" s="514"/>
      <c r="D405" s="514"/>
      <c r="E405" s="514"/>
      <c r="F405" s="514"/>
      <c r="G405" s="514"/>
      <c r="H405" s="521"/>
      <c r="I405" s="521"/>
      <c r="J405" s="514"/>
      <c r="K405" s="514"/>
      <c r="L405" s="514"/>
      <c r="M405" s="514"/>
      <c r="N405" s="514"/>
      <c r="O405" s="514"/>
      <c r="P405" s="514"/>
      <c r="Q405" s="514"/>
      <c r="R405" s="514"/>
      <c r="S405" s="514"/>
      <c r="T405" s="514"/>
      <c r="U405" s="514"/>
      <c r="V405" s="514"/>
      <c r="W405" s="514"/>
      <c r="X405" s="514"/>
      <c r="Y405" s="514"/>
      <c r="Z405" s="514"/>
      <c r="AA405" s="514"/>
      <c r="AB405" s="514"/>
      <c r="AC405" s="514"/>
      <c r="AD405" s="514"/>
      <c r="AE405" s="514"/>
      <c r="AF405" s="514"/>
      <c r="AG405" s="514"/>
      <c r="AH405" s="514"/>
      <c r="AI405" s="514"/>
      <c r="AJ405" s="514"/>
      <c r="AK405" s="514"/>
      <c r="AL405" s="514"/>
      <c r="AM405" s="514"/>
      <c r="AN405" s="514"/>
    </row>
    <row r="406" ht="16.5" customHeight="1">
      <c r="A406" s="514"/>
      <c r="B406" s="520"/>
      <c r="C406" s="514"/>
      <c r="D406" s="514"/>
      <c r="E406" s="514"/>
      <c r="F406" s="514"/>
      <c r="G406" s="514"/>
      <c r="H406" s="521"/>
      <c r="I406" s="521"/>
      <c r="J406" s="514"/>
      <c r="K406" s="514"/>
      <c r="L406" s="514"/>
      <c r="M406" s="514"/>
      <c r="N406" s="514"/>
      <c r="O406" s="514"/>
      <c r="P406" s="514"/>
      <c r="Q406" s="514"/>
      <c r="R406" s="514"/>
      <c r="S406" s="514"/>
      <c r="T406" s="514"/>
      <c r="U406" s="514"/>
      <c r="V406" s="514"/>
      <c r="W406" s="514"/>
      <c r="X406" s="514"/>
      <c r="Y406" s="514"/>
      <c r="Z406" s="514"/>
      <c r="AA406" s="514"/>
      <c r="AB406" s="514"/>
      <c r="AC406" s="514"/>
      <c r="AD406" s="514"/>
      <c r="AE406" s="514"/>
      <c r="AF406" s="514"/>
      <c r="AG406" s="514"/>
      <c r="AH406" s="514"/>
      <c r="AI406" s="514"/>
      <c r="AJ406" s="514"/>
      <c r="AK406" s="514"/>
      <c r="AL406" s="514"/>
      <c r="AM406" s="514"/>
      <c r="AN406" s="514"/>
    </row>
    <row r="407" ht="16.5" customHeight="1">
      <c r="A407" s="514"/>
      <c r="B407" s="520"/>
      <c r="C407" s="514"/>
      <c r="D407" s="514"/>
      <c r="E407" s="514"/>
      <c r="F407" s="514"/>
      <c r="G407" s="514"/>
      <c r="H407" s="521"/>
      <c r="I407" s="521"/>
      <c r="J407" s="514"/>
      <c r="K407" s="514"/>
      <c r="L407" s="514"/>
      <c r="M407" s="514"/>
      <c r="N407" s="514"/>
      <c r="O407" s="514"/>
      <c r="P407" s="514"/>
      <c r="Q407" s="514"/>
      <c r="R407" s="514"/>
      <c r="S407" s="514"/>
      <c r="T407" s="514"/>
      <c r="U407" s="514"/>
      <c r="V407" s="514"/>
      <c r="W407" s="514"/>
      <c r="X407" s="514"/>
      <c r="Y407" s="514"/>
      <c r="Z407" s="514"/>
      <c r="AA407" s="514"/>
      <c r="AB407" s="514"/>
      <c r="AC407" s="514"/>
      <c r="AD407" s="514"/>
      <c r="AE407" s="514"/>
      <c r="AF407" s="514"/>
      <c r="AG407" s="514"/>
      <c r="AH407" s="514"/>
      <c r="AI407" s="514"/>
      <c r="AJ407" s="514"/>
      <c r="AK407" s="514"/>
      <c r="AL407" s="514"/>
      <c r="AM407" s="514"/>
      <c r="AN407" s="514"/>
    </row>
    <row r="408" ht="16.5" customHeight="1">
      <c r="A408" s="514"/>
      <c r="B408" s="520"/>
      <c r="C408" s="514"/>
      <c r="D408" s="514"/>
      <c r="E408" s="514"/>
      <c r="F408" s="514"/>
      <c r="G408" s="514"/>
      <c r="H408" s="521"/>
      <c r="I408" s="521"/>
      <c r="J408" s="514"/>
      <c r="K408" s="514"/>
      <c r="L408" s="514"/>
      <c r="M408" s="514"/>
      <c r="N408" s="514"/>
      <c r="O408" s="514"/>
      <c r="P408" s="514"/>
      <c r="Q408" s="514"/>
      <c r="R408" s="514"/>
      <c r="S408" s="514"/>
      <c r="T408" s="514"/>
      <c r="U408" s="514"/>
      <c r="V408" s="514"/>
      <c r="W408" s="514"/>
      <c r="X408" s="514"/>
      <c r="Y408" s="514"/>
      <c r="Z408" s="514"/>
      <c r="AA408" s="514"/>
      <c r="AB408" s="514"/>
      <c r="AC408" s="514"/>
      <c r="AD408" s="514"/>
      <c r="AE408" s="514"/>
      <c r="AF408" s="514"/>
      <c r="AG408" s="514"/>
      <c r="AH408" s="514"/>
      <c r="AI408" s="514"/>
      <c r="AJ408" s="514"/>
      <c r="AK408" s="514"/>
      <c r="AL408" s="514"/>
      <c r="AM408" s="514"/>
      <c r="AN408" s="514"/>
    </row>
    <row r="409" ht="16.5" customHeight="1">
      <c r="A409" s="514"/>
      <c r="B409" s="520"/>
      <c r="C409" s="514"/>
      <c r="D409" s="514"/>
      <c r="E409" s="514"/>
      <c r="F409" s="514"/>
      <c r="G409" s="514"/>
      <c r="H409" s="521"/>
      <c r="I409" s="521"/>
      <c r="J409" s="514"/>
      <c r="K409" s="514"/>
      <c r="L409" s="514"/>
      <c r="M409" s="514"/>
      <c r="N409" s="514"/>
      <c r="O409" s="514"/>
      <c r="P409" s="514"/>
      <c r="Q409" s="514"/>
      <c r="R409" s="514"/>
      <c r="S409" s="514"/>
      <c r="T409" s="514"/>
      <c r="U409" s="514"/>
      <c r="V409" s="514"/>
      <c r="W409" s="514"/>
      <c r="X409" s="514"/>
      <c r="Y409" s="514"/>
      <c r="Z409" s="514"/>
      <c r="AA409" s="514"/>
      <c r="AB409" s="514"/>
      <c r="AC409" s="514"/>
      <c r="AD409" s="514"/>
      <c r="AE409" s="514"/>
      <c r="AF409" s="514"/>
      <c r="AG409" s="514"/>
      <c r="AH409" s="514"/>
      <c r="AI409" s="514"/>
      <c r="AJ409" s="514"/>
      <c r="AK409" s="514"/>
      <c r="AL409" s="514"/>
      <c r="AM409" s="514"/>
      <c r="AN409" s="514"/>
    </row>
    <row r="410" ht="16.5" customHeight="1">
      <c r="A410" s="514"/>
      <c r="B410" s="520"/>
      <c r="C410" s="514"/>
      <c r="D410" s="514"/>
      <c r="E410" s="514"/>
      <c r="F410" s="514"/>
      <c r="G410" s="514"/>
      <c r="H410" s="521"/>
      <c r="I410" s="521"/>
      <c r="J410" s="514"/>
      <c r="K410" s="514"/>
      <c r="L410" s="514"/>
      <c r="M410" s="514"/>
      <c r="N410" s="514"/>
      <c r="O410" s="514"/>
      <c r="P410" s="514"/>
      <c r="Q410" s="514"/>
      <c r="R410" s="514"/>
      <c r="S410" s="514"/>
      <c r="T410" s="514"/>
      <c r="U410" s="514"/>
      <c r="V410" s="514"/>
      <c r="W410" s="514"/>
      <c r="X410" s="514"/>
      <c r="Y410" s="514"/>
      <c r="Z410" s="514"/>
      <c r="AA410" s="514"/>
      <c r="AB410" s="514"/>
      <c r="AC410" s="514"/>
      <c r="AD410" s="514"/>
      <c r="AE410" s="514"/>
      <c r="AF410" s="514"/>
      <c r="AG410" s="514"/>
      <c r="AH410" s="514"/>
      <c r="AI410" s="514"/>
      <c r="AJ410" s="514"/>
      <c r="AK410" s="514"/>
      <c r="AL410" s="514"/>
      <c r="AM410" s="514"/>
      <c r="AN410" s="514"/>
    </row>
    <row r="411" ht="16.5" customHeight="1">
      <c r="A411" s="514"/>
      <c r="B411" s="520"/>
      <c r="C411" s="514"/>
      <c r="D411" s="514"/>
      <c r="E411" s="514"/>
      <c r="F411" s="514"/>
      <c r="G411" s="514"/>
      <c r="H411" s="521"/>
      <c r="I411" s="521"/>
      <c r="J411" s="514"/>
      <c r="K411" s="514"/>
      <c r="L411" s="514"/>
      <c r="M411" s="514"/>
      <c r="N411" s="514"/>
      <c r="O411" s="514"/>
      <c r="P411" s="514"/>
      <c r="Q411" s="514"/>
      <c r="R411" s="514"/>
      <c r="S411" s="514"/>
      <c r="T411" s="514"/>
      <c r="U411" s="514"/>
      <c r="V411" s="514"/>
      <c r="W411" s="514"/>
      <c r="X411" s="514"/>
      <c r="Y411" s="514"/>
      <c r="Z411" s="514"/>
      <c r="AA411" s="514"/>
      <c r="AB411" s="514"/>
      <c r="AC411" s="514"/>
      <c r="AD411" s="514"/>
      <c r="AE411" s="514"/>
      <c r="AF411" s="514"/>
      <c r="AG411" s="514"/>
      <c r="AH411" s="514"/>
      <c r="AI411" s="514"/>
      <c r="AJ411" s="514"/>
      <c r="AK411" s="514"/>
      <c r="AL411" s="514"/>
      <c r="AM411" s="514"/>
      <c r="AN411" s="514"/>
    </row>
    <row r="412" ht="16.5" customHeight="1">
      <c r="A412" s="514"/>
      <c r="B412" s="520"/>
      <c r="C412" s="514"/>
      <c r="D412" s="514"/>
      <c r="E412" s="514"/>
      <c r="F412" s="514"/>
      <c r="G412" s="514"/>
      <c r="H412" s="521"/>
      <c r="I412" s="521"/>
      <c r="J412" s="514"/>
      <c r="K412" s="514"/>
      <c r="L412" s="514"/>
      <c r="M412" s="514"/>
      <c r="N412" s="514"/>
      <c r="O412" s="514"/>
      <c r="P412" s="514"/>
      <c r="Q412" s="514"/>
      <c r="R412" s="514"/>
      <c r="S412" s="514"/>
      <c r="T412" s="514"/>
      <c r="U412" s="514"/>
      <c r="V412" s="514"/>
      <c r="W412" s="514"/>
      <c r="X412" s="514"/>
      <c r="Y412" s="514"/>
      <c r="Z412" s="514"/>
      <c r="AA412" s="514"/>
      <c r="AB412" s="514"/>
      <c r="AC412" s="514"/>
      <c r="AD412" s="514"/>
      <c r="AE412" s="514"/>
      <c r="AF412" s="514"/>
      <c r="AG412" s="514"/>
      <c r="AH412" s="514"/>
      <c r="AI412" s="514"/>
      <c r="AJ412" s="514"/>
      <c r="AK412" s="514"/>
      <c r="AL412" s="514"/>
      <c r="AM412" s="514"/>
      <c r="AN412" s="514"/>
    </row>
    <row r="413" ht="16.5" customHeight="1">
      <c r="A413" s="514"/>
      <c r="B413" s="520"/>
      <c r="C413" s="514"/>
      <c r="D413" s="514"/>
      <c r="E413" s="514"/>
      <c r="F413" s="514"/>
      <c r="G413" s="514"/>
      <c r="H413" s="521"/>
      <c r="I413" s="521"/>
      <c r="J413" s="514"/>
      <c r="K413" s="514"/>
      <c r="L413" s="514"/>
      <c r="M413" s="514"/>
      <c r="N413" s="514"/>
      <c r="O413" s="514"/>
      <c r="P413" s="514"/>
      <c r="Q413" s="514"/>
      <c r="R413" s="514"/>
      <c r="S413" s="514"/>
      <c r="T413" s="514"/>
      <c r="U413" s="514"/>
      <c r="V413" s="514"/>
      <c r="W413" s="514"/>
      <c r="X413" s="514"/>
      <c r="Y413" s="514"/>
      <c r="Z413" s="514"/>
      <c r="AA413" s="514"/>
      <c r="AB413" s="514"/>
      <c r="AC413" s="514"/>
      <c r="AD413" s="514"/>
      <c r="AE413" s="514"/>
      <c r="AF413" s="514"/>
      <c r="AG413" s="514"/>
      <c r="AH413" s="514"/>
      <c r="AI413" s="514"/>
      <c r="AJ413" s="514"/>
      <c r="AK413" s="514"/>
      <c r="AL413" s="514"/>
      <c r="AM413" s="514"/>
      <c r="AN413" s="514"/>
    </row>
    <row r="414" ht="16.5" customHeight="1">
      <c r="A414" s="514"/>
      <c r="B414" s="520"/>
      <c r="C414" s="514"/>
      <c r="D414" s="514"/>
      <c r="E414" s="514"/>
      <c r="F414" s="514"/>
      <c r="G414" s="514"/>
      <c r="H414" s="521"/>
      <c r="I414" s="521"/>
      <c r="J414" s="514"/>
      <c r="K414" s="514"/>
      <c r="L414" s="514"/>
      <c r="M414" s="514"/>
      <c r="N414" s="514"/>
      <c r="O414" s="514"/>
      <c r="P414" s="514"/>
      <c r="Q414" s="514"/>
      <c r="R414" s="514"/>
      <c r="S414" s="514"/>
      <c r="T414" s="514"/>
      <c r="U414" s="514"/>
      <c r="V414" s="514"/>
      <c r="W414" s="514"/>
      <c r="X414" s="514"/>
      <c r="Y414" s="514"/>
      <c r="Z414" s="514"/>
      <c r="AA414" s="514"/>
      <c r="AB414" s="514"/>
      <c r="AC414" s="514"/>
      <c r="AD414" s="514"/>
      <c r="AE414" s="514"/>
      <c r="AF414" s="514"/>
      <c r="AG414" s="514"/>
      <c r="AH414" s="514"/>
      <c r="AI414" s="514"/>
      <c r="AJ414" s="514"/>
      <c r="AK414" s="514"/>
      <c r="AL414" s="514"/>
      <c r="AM414" s="514"/>
      <c r="AN414" s="514"/>
    </row>
    <row r="415" ht="16.5" customHeight="1">
      <c r="A415" s="514"/>
      <c r="B415" s="520"/>
      <c r="C415" s="514"/>
      <c r="D415" s="514"/>
      <c r="E415" s="514"/>
      <c r="F415" s="514"/>
      <c r="G415" s="514"/>
      <c r="H415" s="521"/>
      <c r="I415" s="521"/>
      <c r="J415" s="514"/>
      <c r="K415" s="514"/>
      <c r="L415" s="514"/>
      <c r="M415" s="514"/>
      <c r="N415" s="514"/>
      <c r="O415" s="514"/>
      <c r="P415" s="514"/>
      <c r="Q415" s="514"/>
      <c r="R415" s="514"/>
      <c r="S415" s="514"/>
      <c r="T415" s="514"/>
      <c r="U415" s="514"/>
      <c r="V415" s="514"/>
      <c r="W415" s="514"/>
      <c r="X415" s="514"/>
      <c r="Y415" s="514"/>
      <c r="Z415" s="514"/>
      <c r="AA415" s="514"/>
      <c r="AB415" s="514"/>
      <c r="AC415" s="514"/>
      <c r="AD415" s="514"/>
      <c r="AE415" s="514"/>
      <c r="AF415" s="514"/>
      <c r="AG415" s="514"/>
      <c r="AH415" s="514"/>
      <c r="AI415" s="514"/>
      <c r="AJ415" s="514"/>
      <c r="AK415" s="514"/>
      <c r="AL415" s="514"/>
      <c r="AM415" s="514"/>
      <c r="AN415" s="514"/>
    </row>
    <row r="416" ht="16.5" customHeight="1">
      <c r="A416" s="514"/>
      <c r="B416" s="520"/>
      <c r="C416" s="514"/>
      <c r="D416" s="514"/>
      <c r="E416" s="514"/>
      <c r="F416" s="514"/>
      <c r="G416" s="514"/>
      <c r="H416" s="521"/>
      <c r="I416" s="521"/>
      <c r="J416" s="514"/>
      <c r="K416" s="514"/>
      <c r="L416" s="514"/>
      <c r="M416" s="514"/>
      <c r="N416" s="514"/>
      <c r="O416" s="514"/>
      <c r="P416" s="514"/>
      <c r="Q416" s="514"/>
      <c r="R416" s="514"/>
      <c r="S416" s="514"/>
      <c r="T416" s="514"/>
      <c r="U416" s="514"/>
      <c r="V416" s="514"/>
      <c r="W416" s="514"/>
      <c r="X416" s="514"/>
      <c r="Y416" s="514"/>
      <c r="Z416" s="514"/>
      <c r="AA416" s="514"/>
      <c r="AB416" s="514"/>
      <c r="AC416" s="514"/>
      <c r="AD416" s="514"/>
      <c r="AE416" s="514"/>
      <c r="AF416" s="514"/>
      <c r="AG416" s="514"/>
      <c r="AH416" s="514"/>
      <c r="AI416" s="514"/>
      <c r="AJ416" s="514"/>
      <c r="AK416" s="514"/>
      <c r="AL416" s="514"/>
      <c r="AM416" s="514"/>
      <c r="AN416" s="514"/>
    </row>
    <row r="417" ht="16.5" customHeight="1">
      <c r="A417" s="514"/>
      <c r="B417" s="520"/>
      <c r="C417" s="514"/>
      <c r="D417" s="514"/>
      <c r="E417" s="514"/>
      <c r="F417" s="514"/>
      <c r="G417" s="514"/>
      <c r="H417" s="521"/>
      <c r="I417" s="521"/>
      <c r="J417" s="514"/>
      <c r="K417" s="514"/>
      <c r="L417" s="514"/>
      <c r="M417" s="514"/>
      <c r="N417" s="514"/>
      <c r="O417" s="514"/>
      <c r="P417" s="514"/>
      <c r="Q417" s="514"/>
      <c r="R417" s="514"/>
      <c r="S417" s="514"/>
      <c r="T417" s="514"/>
      <c r="U417" s="514"/>
      <c r="V417" s="514"/>
      <c r="W417" s="514"/>
      <c r="X417" s="514"/>
      <c r="Y417" s="514"/>
      <c r="Z417" s="514"/>
      <c r="AA417" s="514"/>
      <c r="AB417" s="514"/>
      <c r="AC417" s="514"/>
      <c r="AD417" s="514"/>
      <c r="AE417" s="514"/>
      <c r="AF417" s="514"/>
      <c r="AG417" s="514"/>
      <c r="AH417" s="514"/>
      <c r="AI417" s="514"/>
      <c r="AJ417" s="514"/>
      <c r="AK417" s="514"/>
      <c r="AL417" s="514"/>
      <c r="AM417" s="514"/>
      <c r="AN417" s="514"/>
    </row>
    <row r="418" ht="16.5" customHeight="1">
      <c r="A418" s="514"/>
      <c r="B418" s="520"/>
      <c r="C418" s="514"/>
      <c r="D418" s="514"/>
      <c r="E418" s="514"/>
      <c r="F418" s="514"/>
      <c r="G418" s="514"/>
      <c r="H418" s="521"/>
      <c r="I418" s="521"/>
      <c r="J418" s="514"/>
      <c r="K418" s="514"/>
      <c r="L418" s="514"/>
      <c r="M418" s="514"/>
      <c r="N418" s="514"/>
      <c r="O418" s="514"/>
      <c r="P418" s="514"/>
      <c r="Q418" s="514"/>
      <c r="R418" s="514"/>
      <c r="S418" s="514"/>
      <c r="T418" s="514"/>
      <c r="U418" s="514"/>
      <c r="V418" s="514"/>
      <c r="W418" s="514"/>
      <c r="X418" s="514"/>
      <c r="Y418" s="514"/>
      <c r="Z418" s="514"/>
      <c r="AA418" s="514"/>
      <c r="AB418" s="514"/>
      <c r="AC418" s="514"/>
      <c r="AD418" s="514"/>
      <c r="AE418" s="514"/>
      <c r="AF418" s="514"/>
      <c r="AG418" s="514"/>
      <c r="AH418" s="514"/>
      <c r="AI418" s="514"/>
      <c r="AJ418" s="514"/>
      <c r="AK418" s="514"/>
      <c r="AL418" s="514"/>
      <c r="AM418" s="514"/>
      <c r="AN418" s="514"/>
    </row>
    <row r="419" ht="16.5" customHeight="1">
      <c r="A419" s="514"/>
      <c r="B419" s="520"/>
      <c r="C419" s="514"/>
      <c r="D419" s="514"/>
      <c r="E419" s="514"/>
      <c r="F419" s="514"/>
      <c r="G419" s="514"/>
      <c r="H419" s="521"/>
      <c r="I419" s="521"/>
      <c r="J419" s="514"/>
      <c r="K419" s="514"/>
      <c r="L419" s="514"/>
      <c r="M419" s="514"/>
      <c r="N419" s="514"/>
      <c r="O419" s="514"/>
      <c r="P419" s="514"/>
      <c r="Q419" s="514"/>
      <c r="R419" s="514"/>
      <c r="S419" s="514"/>
      <c r="T419" s="514"/>
      <c r="U419" s="514"/>
      <c r="V419" s="514"/>
      <c r="W419" s="514"/>
      <c r="X419" s="514"/>
      <c r="Y419" s="514"/>
      <c r="Z419" s="514"/>
      <c r="AA419" s="514"/>
      <c r="AB419" s="514"/>
      <c r="AC419" s="514"/>
      <c r="AD419" s="514"/>
      <c r="AE419" s="514"/>
      <c r="AF419" s="514"/>
      <c r="AG419" s="514"/>
      <c r="AH419" s="514"/>
      <c r="AI419" s="514"/>
      <c r="AJ419" s="514"/>
      <c r="AK419" s="514"/>
      <c r="AL419" s="514"/>
      <c r="AM419" s="514"/>
      <c r="AN419" s="514"/>
    </row>
    <row r="420" ht="16.5" customHeight="1">
      <c r="A420" s="514"/>
      <c r="B420" s="520"/>
      <c r="C420" s="514"/>
      <c r="D420" s="514"/>
      <c r="E420" s="514"/>
      <c r="F420" s="514"/>
      <c r="G420" s="514"/>
      <c r="H420" s="521"/>
      <c r="I420" s="521"/>
      <c r="J420" s="514"/>
      <c r="K420" s="514"/>
      <c r="L420" s="514"/>
      <c r="M420" s="514"/>
      <c r="N420" s="514"/>
      <c r="O420" s="514"/>
      <c r="P420" s="514"/>
      <c r="Q420" s="514"/>
      <c r="R420" s="514"/>
      <c r="S420" s="514"/>
      <c r="T420" s="514"/>
      <c r="U420" s="514"/>
      <c r="V420" s="514"/>
      <c r="W420" s="514"/>
      <c r="X420" s="514"/>
      <c r="Y420" s="514"/>
      <c r="Z420" s="514"/>
      <c r="AA420" s="514"/>
      <c r="AB420" s="514"/>
      <c r="AC420" s="514"/>
      <c r="AD420" s="514"/>
      <c r="AE420" s="514"/>
      <c r="AF420" s="514"/>
      <c r="AG420" s="514"/>
      <c r="AH420" s="514"/>
      <c r="AI420" s="514"/>
      <c r="AJ420" s="514"/>
      <c r="AK420" s="514"/>
      <c r="AL420" s="514"/>
      <c r="AM420" s="514"/>
      <c r="AN420" s="514"/>
    </row>
    <row r="421" ht="16.5" customHeight="1">
      <c r="A421" s="514"/>
      <c r="B421" s="520"/>
      <c r="C421" s="514"/>
      <c r="D421" s="514"/>
      <c r="E421" s="514"/>
      <c r="F421" s="514"/>
      <c r="G421" s="514"/>
      <c r="H421" s="521"/>
      <c r="I421" s="521"/>
      <c r="J421" s="514"/>
      <c r="K421" s="514"/>
      <c r="L421" s="514"/>
      <c r="M421" s="514"/>
      <c r="N421" s="514"/>
      <c r="O421" s="514"/>
      <c r="P421" s="514"/>
      <c r="Q421" s="514"/>
      <c r="R421" s="514"/>
      <c r="S421" s="514"/>
      <c r="T421" s="514"/>
      <c r="U421" s="514"/>
      <c r="V421" s="514"/>
      <c r="W421" s="514"/>
      <c r="X421" s="514"/>
      <c r="Y421" s="514"/>
      <c r="Z421" s="514"/>
      <c r="AA421" s="514"/>
      <c r="AB421" s="514"/>
      <c r="AC421" s="514"/>
      <c r="AD421" s="514"/>
      <c r="AE421" s="514"/>
      <c r="AF421" s="514"/>
      <c r="AG421" s="514"/>
      <c r="AH421" s="514"/>
      <c r="AI421" s="514"/>
      <c r="AJ421" s="514"/>
      <c r="AK421" s="514"/>
      <c r="AL421" s="514"/>
      <c r="AM421" s="514"/>
      <c r="AN421" s="514"/>
    </row>
    <row r="422" ht="16.5" customHeight="1">
      <c r="A422" s="514"/>
      <c r="B422" s="520"/>
      <c r="C422" s="514"/>
      <c r="D422" s="514"/>
      <c r="E422" s="514"/>
      <c r="F422" s="514"/>
      <c r="G422" s="514"/>
      <c r="H422" s="521"/>
      <c r="I422" s="521"/>
      <c r="J422" s="514"/>
      <c r="K422" s="514"/>
      <c r="L422" s="514"/>
      <c r="M422" s="514"/>
      <c r="N422" s="514"/>
      <c r="O422" s="514"/>
      <c r="P422" s="514"/>
      <c r="Q422" s="514"/>
      <c r="R422" s="514"/>
      <c r="S422" s="514"/>
      <c r="T422" s="514"/>
      <c r="U422" s="514"/>
      <c r="V422" s="514"/>
      <c r="W422" s="514"/>
      <c r="X422" s="514"/>
      <c r="Y422" s="514"/>
      <c r="Z422" s="514"/>
      <c r="AA422" s="514"/>
      <c r="AB422" s="514"/>
      <c r="AC422" s="514"/>
      <c r="AD422" s="514"/>
      <c r="AE422" s="514"/>
      <c r="AF422" s="514"/>
      <c r="AG422" s="514"/>
      <c r="AH422" s="514"/>
      <c r="AI422" s="514"/>
      <c r="AJ422" s="514"/>
      <c r="AK422" s="514"/>
      <c r="AL422" s="514"/>
      <c r="AM422" s="514"/>
      <c r="AN422" s="514"/>
    </row>
    <row r="423" ht="16.5" customHeight="1">
      <c r="A423" s="514"/>
      <c r="B423" s="520"/>
      <c r="C423" s="514"/>
      <c r="D423" s="514"/>
      <c r="E423" s="514"/>
      <c r="F423" s="514"/>
      <c r="G423" s="514"/>
      <c r="H423" s="521"/>
      <c r="I423" s="521"/>
      <c r="J423" s="514"/>
      <c r="K423" s="514"/>
      <c r="L423" s="514"/>
      <c r="M423" s="514"/>
      <c r="N423" s="514"/>
      <c r="O423" s="514"/>
      <c r="P423" s="514"/>
      <c r="Q423" s="514"/>
      <c r="R423" s="514"/>
      <c r="S423" s="514"/>
      <c r="T423" s="514"/>
      <c r="U423" s="514"/>
      <c r="V423" s="514"/>
      <c r="W423" s="514"/>
      <c r="X423" s="514"/>
      <c r="Y423" s="514"/>
      <c r="Z423" s="514"/>
      <c r="AA423" s="514"/>
      <c r="AB423" s="514"/>
      <c r="AC423" s="514"/>
      <c r="AD423" s="514"/>
      <c r="AE423" s="514"/>
      <c r="AF423" s="514"/>
      <c r="AG423" s="514"/>
      <c r="AH423" s="514"/>
      <c r="AI423" s="514"/>
      <c r="AJ423" s="514"/>
      <c r="AK423" s="514"/>
      <c r="AL423" s="514"/>
      <c r="AM423" s="514"/>
      <c r="AN423" s="514"/>
    </row>
    <row r="424" ht="16.5" customHeight="1">
      <c r="A424" s="514"/>
      <c r="B424" s="520"/>
      <c r="C424" s="514"/>
      <c r="D424" s="514"/>
      <c r="E424" s="514"/>
      <c r="F424" s="514"/>
      <c r="G424" s="514"/>
      <c r="H424" s="521"/>
      <c r="I424" s="521"/>
      <c r="J424" s="514"/>
      <c r="K424" s="514"/>
      <c r="L424" s="514"/>
      <c r="M424" s="514"/>
      <c r="N424" s="514"/>
      <c r="O424" s="514"/>
      <c r="P424" s="514"/>
      <c r="Q424" s="514"/>
      <c r="R424" s="514"/>
      <c r="S424" s="514"/>
      <c r="T424" s="514"/>
      <c r="U424" s="514"/>
      <c r="V424" s="514"/>
      <c r="W424" s="514"/>
      <c r="X424" s="514"/>
      <c r="Y424" s="514"/>
      <c r="Z424" s="514"/>
      <c r="AA424" s="514"/>
      <c r="AB424" s="514"/>
      <c r="AC424" s="514"/>
      <c r="AD424" s="514"/>
      <c r="AE424" s="514"/>
      <c r="AF424" s="514"/>
      <c r="AG424" s="514"/>
      <c r="AH424" s="514"/>
      <c r="AI424" s="514"/>
      <c r="AJ424" s="514"/>
      <c r="AK424" s="514"/>
      <c r="AL424" s="514"/>
      <c r="AM424" s="514"/>
      <c r="AN424" s="514"/>
    </row>
    <row r="425" ht="16.5" customHeight="1">
      <c r="A425" s="514"/>
      <c r="B425" s="520"/>
      <c r="C425" s="514"/>
      <c r="D425" s="514"/>
      <c r="E425" s="514"/>
      <c r="F425" s="514"/>
      <c r="G425" s="514"/>
      <c r="H425" s="521"/>
      <c r="I425" s="521"/>
      <c r="J425" s="514"/>
      <c r="K425" s="514"/>
      <c r="L425" s="514"/>
      <c r="M425" s="514"/>
      <c r="N425" s="514"/>
      <c r="O425" s="514"/>
      <c r="P425" s="514"/>
      <c r="Q425" s="514"/>
      <c r="R425" s="514"/>
      <c r="S425" s="514"/>
      <c r="T425" s="514"/>
      <c r="U425" s="514"/>
      <c r="V425" s="514"/>
      <c r="W425" s="514"/>
      <c r="X425" s="514"/>
      <c r="Y425" s="514"/>
      <c r="Z425" s="514"/>
      <c r="AA425" s="514"/>
      <c r="AB425" s="514"/>
      <c r="AC425" s="514"/>
      <c r="AD425" s="514"/>
      <c r="AE425" s="514"/>
      <c r="AF425" s="514"/>
      <c r="AG425" s="514"/>
      <c r="AH425" s="514"/>
      <c r="AI425" s="514"/>
      <c r="AJ425" s="514"/>
      <c r="AK425" s="514"/>
      <c r="AL425" s="514"/>
      <c r="AM425" s="514"/>
      <c r="AN425" s="514"/>
    </row>
    <row r="426" ht="16.5" customHeight="1">
      <c r="A426" s="514"/>
      <c r="B426" s="520"/>
      <c r="C426" s="514"/>
      <c r="D426" s="514"/>
      <c r="E426" s="514"/>
      <c r="F426" s="514"/>
      <c r="G426" s="514"/>
      <c r="H426" s="521"/>
      <c r="I426" s="521"/>
      <c r="J426" s="514"/>
      <c r="K426" s="514"/>
      <c r="L426" s="514"/>
      <c r="M426" s="514"/>
      <c r="N426" s="514"/>
      <c r="O426" s="514"/>
      <c r="P426" s="514"/>
      <c r="Q426" s="514"/>
      <c r="R426" s="514"/>
      <c r="S426" s="514"/>
      <c r="T426" s="514"/>
      <c r="U426" s="514"/>
      <c r="V426" s="514"/>
      <c r="W426" s="514"/>
      <c r="X426" s="514"/>
      <c r="Y426" s="514"/>
      <c r="Z426" s="514"/>
      <c r="AA426" s="514"/>
      <c r="AB426" s="514"/>
      <c r="AC426" s="514"/>
      <c r="AD426" s="514"/>
      <c r="AE426" s="514"/>
      <c r="AF426" s="514"/>
      <c r="AG426" s="514"/>
      <c r="AH426" s="514"/>
      <c r="AI426" s="514"/>
      <c r="AJ426" s="514"/>
      <c r="AK426" s="514"/>
      <c r="AL426" s="514"/>
      <c r="AM426" s="514"/>
      <c r="AN426" s="514"/>
    </row>
    <row r="427" ht="16.5" customHeight="1">
      <c r="A427" s="514"/>
      <c r="B427" s="520"/>
      <c r="C427" s="514"/>
      <c r="D427" s="514"/>
      <c r="E427" s="514"/>
      <c r="F427" s="514"/>
      <c r="G427" s="514"/>
      <c r="H427" s="521"/>
      <c r="I427" s="521"/>
      <c r="J427" s="514"/>
      <c r="K427" s="514"/>
      <c r="L427" s="514"/>
      <c r="M427" s="514"/>
      <c r="N427" s="514"/>
      <c r="O427" s="514"/>
      <c r="P427" s="514"/>
      <c r="Q427" s="514"/>
      <c r="R427" s="514"/>
      <c r="S427" s="514"/>
      <c r="T427" s="514"/>
      <c r="U427" s="514"/>
      <c r="V427" s="514"/>
      <c r="W427" s="514"/>
      <c r="X427" s="514"/>
      <c r="Y427" s="514"/>
      <c r="Z427" s="514"/>
      <c r="AA427" s="514"/>
      <c r="AB427" s="514"/>
      <c r="AC427" s="514"/>
      <c r="AD427" s="514"/>
      <c r="AE427" s="514"/>
      <c r="AF427" s="514"/>
      <c r="AG427" s="514"/>
      <c r="AH427" s="514"/>
      <c r="AI427" s="514"/>
      <c r="AJ427" s="514"/>
      <c r="AK427" s="514"/>
      <c r="AL427" s="514"/>
      <c r="AM427" s="514"/>
      <c r="AN427" s="514"/>
    </row>
    <row r="428" ht="16.5" customHeight="1">
      <c r="A428" s="514"/>
      <c r="B428" s="520"/>
      <c r="C428" s="514"/>
      <c r="D428" s="514"/>
      <c r="E428" s="514"/>
      <c r="F428" s="514"/>
      <c r="G428" s="514"/>
      <c r="H428" s="521"/>
      <c r="I428" s="521"/>
      <c r="J428" s="514"/>
      <c r="K428" s="514"/>
      <c r="L428" s="514"/>
      <c r="M428" s="514"/>
      <c r="N428" s="514"/>
      <c r="O428" s="514"/>
      <c r="P428" s="514"/>
      <c r="Q428" s="514"/>
      <c r="R428" s="514"/>
      <c r="S428" s="514"/>
      <c r="T428" s="514"/>
      <c r="U428" s="514"/>
      <c r="V428" s="514"/>
      <c r="W428" s="514"/>
      <c r="X428" s="514"/>
      <c r="Y428" s="514"/>
      <c r="Z428" s="514"/>
      <c r="AA428" s="514"/>
      <c r="AB428" s="514"/>
      <c r="AC428" s="514"/>
      <c r="AD428" s="514"/>
      <c r="AE428" s="514"/>
      <c r="AF428" s="514"/>
      <c r="AG428" s="514"/>
      <c r="AH428" s="514"/>
      <c r="AI428" s="514"/>
      <c r="AJ428" s="514"/>
      <c r="AK428" s="514"/>
      <c r="AL428" s="514"/>
      <c r="AM428" s="514"/>
      <c r="AN428" s="514"/>
    </row>
    <row r="429" ht="16.5" customHeight="1">
      <c r="A429" s="514"/>
      <c r="B429" s="520"/>
      <c r="C429" s="514"/>
      <c r="D429" s="514"/>
      <c r="E429" s="514"/>
      <c r="F429" s="514"/>
      <c r="G429" s="514"/>
      <c r="H429" s="521"/>
      <c r="I429" s="521"/>
      <c r="J429" s="514"/>
      <c r="K429" s="514"/>
      <c r="L429" s="514"/>
      <c r="M429" s="514"/>
      <c r="N429" s="514"/>
      <c r="O429" s="514"/>
      <c r="P429" s="514"/>
      <c r="Q429" s="514"/>
      <c r="R429" s="514"/>
      <c r="S429" s="514"/>
      <c r="T429" s="514"/>
      <c r="U429" s="514"/>
      <c r="V429" s="514"/>
      <c r="W429" s="514"/>
      <c r="X429" s="514"/>
      <c r="Y429" s="514"/>
      <c r="Z429" s="514"/>
      <c r="AA429" s="514"/>
      <c r="AB429" s="514"/>
      <c r="AC429" s="514"/>
      <c r="AD429" s="514"/>
      <c r="AE429" s="514"/>
      <c r="AF429" s="514"/>
      <c r="AG429" s="514"/>
      <c r="AH429" s="514"/>
      <c r="AI429" s="514"/>
      <c r="AJ429" s="514"/>
      <c r="AK429" s="514"/>
      <c r="AL429" s="514"/>
      <c r="AM429" s="514"/>
      <c r="AN429" s="514"/>
    </row>
    <row r="430" ht="16.5" customHeight="1">
      <c r="A430" s="514"/>
      <c r="B430" s="520"/>
      <c r="C430" s="514"/>
      <c r="D430" s="514"/>
      <c r="E430" s="514"/>
      <c r="F430" s="514"/>
      <c r="G430" s="514"/>
      <c r="H430" s="521"/>
      <c r="I430" s="521"/>
      <c r="J430" s="514"/>
      <c r="K430" s="514"/>
      <c r="L430" s="514"/>
      <c r="M430" s="514"/>
      <c r="N430" s="514"/>
      <c r="O430" s="514"/>
      <c r="P430" s="514"/>
      <c r="Q430" s="514"/>
      <c r="R430" s="514"/>
      <c r="S430" s="514"/>
      <c r="T430" s="514"/>
      <c r="U430" s="514"/>
      <c r="V430" s="514"/>
      <c r="W430" s="514"/>
      <c r="X430" s="514"/>
      <c r="Y430" s="514"/>
      <c r="Z430" s="514"/>
      <c r="AA430" s="514"/>
      <c r="AB430" s="514"/>
      <c r="AC430" s="514"/>
      <c r="AD430" s="514"/>
      <c r="AE430" s="514"/>
      <c r="AF430" s="514"/>
      <c r="AG430" s="514"/>
      <c r="AH430" s="514"/>
      <c r="AI430" s="514"/>
      <c r="AJ430" s="514"/>
      <c r="AK430" s="514"/>
      <c r="AL430" s="514"/>
      <c r="AM430" s="514"/>
      <c r="AN430" s="514"/>
    </row>
    <row r="431" ht="16.5" customHeight="1">
      <c r="A431" s="514"/>
      <c r="B431" s="520"/>
      <c r="C431" s="514"/>
      <c r="D431" s="514"/>
      <c r="E431" s="514"/>
      <c r="F431" s="514"/>
      <c r="G431" s="514"/>
      <c r="H431" s="521"/>
      <c r="I431" s="521"/>
      <c r="J431" s="514"/>
      <c r="K431" s="514"/>
      <c r="L431" s="514"/>
      <c r="M431" s="514"/>
      <c r="N431" s="514"/>
      <c r="O431" s="514"/>
      <c r="P431" s="514"/>
      <c r="Q431" s="514"/>
      <c r="R431" s="514"/>
      <c r="S431" s="514"/>
      <c r="T431" s="514"/>
      <c r="U431" s="514"/>
      <c r="V431" s="514"/>
      <c r="W431" s="514"/>
      <c r="X431" s="514"/>
      <c r="Y431" s="514"/>
      <c r="Z431" s="514"/>
      <c r="AA431" s="514"/>
      <c r="AB431" s="514"/>
      <c r="AC431" s="514"/>
      <c r="AD431" s="514"/>
      <c r="AE431" s="514"/>
      <c r="AF431" s="514"/>
      <c r="AG431" s="514"/>
      <c r="AH431" s="514"/>
      <c r="AI431" s="514"/>
      <c r="AJ431" s="514"/>
      <c r="AK431" s="514"/>
      <c r="AL431" s="514"/>
      <c r="AM431" s="514"/>
      <c r="AN431" s="514"/>
    </row>
    <row r="432" ht="16.5" customHeight="1">
      <c r="A432" s="514"/>
      <c r="B432" s="520"/>
      <c r="C432" s="514"/>
      <c r="D432" s="514"/>
      <c r="E432" s="514"/>
      <c r="F432" s="514"/>
      <c r="G432" s="514"/>
      <c r="H432" s="521"/>
      <c r="I432" s="521"/>
      <c r="J432" s="514"/>
      <c r="K432" s="514"/>
      <c r="L432" s="514"/>
      <c r="M432" s="514"/>
      <c r="N432" s="514"/>
      <c r="O432" s="514"/>
      <c r="P432" s="514"/>
      <c r="Q432" s="514"/>
      <c r="R432" s="514"/>
      <c r="S432" s="514"/>
      <c r="T432" s="514"/>
      <c r="U432" s="514"/>
      <c r="V432" s="514"/>
      <c r="W432" s="514"/>
      <c r="X432" s="514"/>
      <c r="Y432" s="514"/>
      <c r="Z432" s="514"/>
      <c r="AA432" s="514"/>
      <c r="AB432" s="514"/>
      <c r="AC432" s="514"/>
      <c r="AD432" s="514"/>
      <c r="AE432" s="514"/>
      <c r="AF432" s="514"/>
      <c r="AG432" s="514"/>
      <c r="AH432" s="514"/>
      <c r="AI432" s="514"/>
      <c r="AJ432" s="514"/>
      <c r="AK432" s="514"/>
      <c r="AL432" s="514"/>
      <c r="AM432" s="514"/>
      <c r="AN432" s="514"/>
    </row>
    <row r="433" ht="16.5" customHeight="1">
      <c r="A433" s="514"/>
      <c r="B433" s="520"/>
      <c r="C433" s="514"/>
      <c r="D433" s="514"/>
      <c r="E433" s="514"/>
      <c r="F433" s="514"/>
      <c r="G433" s="514"/>
      <c r="H433" s="521"/>
      <c r="I433" s="521"/>
      <c r="J433" s="514"/>
      <c r="K433" s="514"/>
      <c r="L433" s="514"/>
      <c r="M433" s="514"/>
      <c r="N433" s="514"/>
      <c r="O433" s="514"/>
      <c r="P433" s="514"/>
      <c r="Q433" s="514"/>
      <c r="R433" s="514"/>
      <c r="S433" s="514"/>
      <c r="T433" s="514"/>
      <c r="U433" s="514"/>
      <c r="V433" s="514"/>
      <c r="W433" s="514"/>
      <c r="X433" s="514"/>
      <c r="Y433" s="514"/>
      <c r="Z433" s="514"/>
      <c r="AA433" s="514"/>
      <c r="AB433" s="514"/>
      <c r="AC433" s="514"/>
      <c r="AD433" s="514"/>
      <c r="AE433" s="514"/>
      <c r="AF433" s="514"/>
      <c r="AG433" s="514"/>
      <c r="AH433" s="514"/>
      <c r="AI433" s="514"/>
      <c r="AJ433" s="514"/>
      <c r="AK433" s="514"/>
      <c r="AL433" s="514"/>
      <c r="AM433" s="514"/>
      <c r="AN433" s="514"/>
    </row>
    <row r="434" ht="16.5" customHeight="1">
      <c r="A434" s="514"/>
      <c r="B434" s="520"/>
      <c r="C434" s="514"/>
      <c r="D434" s="514"/>
      <c r="E434" s="514"/>
      <c r="F434" s="514"/>
      <c r="G434" s="514"/>
      <c r="H434" s="521"/>
      <c r="I434" s="521"/>
      <c r="J434" s="514"/>
      <c r="K434" s="514"/>
      <c r="L434" s="514"/>
      <c r="M434" s="514"/>
      <c r="N434" s="514"/>
      <c r="O434" s="514"/>
      <c r="P434" s="514"/>
      <c r="Q434" s="514"/>
      <c r="R434" s="514"/>
      <c r="S434" s="514"/>
      <c r="T434" s="514"/>
      <c r="U434" s="514"/>
      <c r="V434" s="514"/>
      <c r="W434" s="514"/>
      <c r="X434" s="514"/>
      <c r="Y434" s="514"/>
      <c r="Z434" s="514"/>
      <c r="AA434" s="514"/>
      <c r="AB434" s="514"/>
      <c r="AC434" s="514"/>
      <c r="AD434" s="514"/>
      <c r="AE434" s="514"/>
      <c r="AF434" s="514"/>
      <c r="AG434" s="514"/>
      <c r="AH434" s="514"/>
      <c r="AI434" s="514"/>
      <c r="AJ434" s="514"/>
      <c r="AK434" s="514"/>
      <c r="AL434" s="514"/>
      <c r="AM434" s="514"/>
      <c r="AN434" s="514"/>
    </row>
    <row r="435" ht="16.5" customHeight="1">
      <c r="A435" s="514"/>
      <c r="B435" s="520"/>
      <c r="C435" s="514"/>
      <c r="D435" s="514"/>
      <c r="E435" s="514"/>
      <c r="F435" s="514"/>
      <c r="G435" s="514"/>
      <c r="H435" s="521"/>
      <c r="I435" s="521"/>
      <c r="J435" s="514"/>
      <c r="K435" s="514"/>
      <c r="L435" s="514"/>
      <c r="M435" s="514"/>
      <c r="N435" s="514"/>
      <c r="O435" s="514"/>
      <c r="P435" s="514"/>
      <c r="Q435" s="514"/>
      <c r="R435" s="514"/>
      <c r="S435" s="514"/>
      <c r="T435" s="514"/>
      <c r="U435" s="514"/>
      <c r="V435" s="514"/>
      <c r="W435" s="514"/>
      <c r="X435" s="514"/>
      <c r="Y435" s="514"/>
      <c r="Z435" s="514"/>
      <c r="AA435" s="514"/>
      <c r="AB435" s="514"/>
      <c r="AC435" s="514"/>
      <c r="AD435" s="514"/>
      <c r="AE435" s="514"/>
      <c r="AF435" s="514"/>
      <c r="AG435" s="514"/>
      <c r="AH435" s="514"/>
      <c r="AI435" s="514"/>
      <c r="AJ435" s="514"/>
      <c r="AK435" s="514"/>
      <c r="AL435" s="514"/>
      <c r="AM435" s="514"/>
      <c r="AN435" s="514"/>
    </row>
    <row r="436" ht="16.5" customHeight="1">
      <c r="A436" s="514"/>
      <c r="B436" s="520"/>
      <c r="C436" s="514"/>
      <c r="D436" s="514"/>
      <c r="E436" s="514"/>
      <c r="F436" s="514"/>
      <c r="G436" s="514"/>
      <c r="H436" s="521"/>
      <c r="I436" s="521"/>
      <c r="J436" s="514"/>
      <c r="K436" s="514"/>
      <c r="L436" s="514"/>
      <c r="M436" s="514"/>
      <c r="N436" s="514"/>
      <c r="O436" s="514"/>
      <c r="P436" s="514"/>
      <c r="Q436" s="514"/>
      <c r="R436" s="514"/>
      <c r="S436" s="514"/>
      <c r="T436" s="514"/>
      <c r="U436" s="514"/>
      <c r="V436" s="514"/>
      <c r="W436" s="514"/>
      <c r="X436" s="514"/>
      <c r="Y436" s="514"/>
      <c r="Z436" s="514"/>
      <c r="AA436" s="514"/>
      <c r="AB436" s="514"/>
      <c r="AC436" s="514"/>
      <c r="AD436" s="514"/>
      <c r="AE436" s="514"/>
      <c r="AF436" s="514"/>
      <c r="AG436" s="514"/>
      <c r="AH436" s="514"/>
      <c r="AI436" s="514"/>
      <c r="AJ436" s="514"/>
      <c r="AK436" s="514"/>
      <c r="AL436" s="514"/>
      <c r="AM436" s="514"/>
      <c r="AN436" s="514"/>
    </row>
    <row r="437" ht="16.5" customHeight="1">
      <c r="A437" s="514"/>
      <c r="B437" s="520"/>
      <c r="C437" s="514"/>
      <c r="D437" s="514"/>
      <c r="E437" s="514"/>
      <c r="F437" s="514"/>
      <c r="G437" s="514"/>
      <c r="H437" s="521"/>
      <c r="I437" s="521"/>
      <c r="J437" s="514"/>
      <c r="K437" s="514"/>
      <c r="L437" s="514"/>
      <c r="M437" s="514"/>
      <c r="N437" s="514"/>
      <c r="O437" s="514"/>
      <c r="P437" s="514"/>
      <c r="Q437" s="514"/>
      <c r="R437" s="514"/>
      <c r="S437" s="514"/>
      <c r="T437" s="514"/>
      <c r="U437" s="514"/>
      <c r="V437" s="514"/>
      <c r="W437" s="514"/>
      <c r="X437" s="514"/>
      <c r="Y437" s="514"/>
      <c r="Z437" s="514"/>
      <c r="AA437" s="514"/>
      <c r="AB437" s="514"/>
      <c r="AC437" s="514"/>
      <c r="AD437" s="514"/>
      <c r="AE437" s="514"/>
      <c r="AF437" s="514"/>
      <c r="AG437" s="514"/>
      <c r="AH437" s="514"/>
      <c r="AI437" s="514"/>
      <c r="AJ437" s="514"/>
      <c r="AK437" s="514"/>
      <c r="AL437" s="514"/>
      <c r="AM437" s="514"/>
      <c r="AN437" s="514"/>
    </row>
    <row r="438" ht="16.5" customHeight="1">
      <c r="A438" s="514"/>
      <c r="B438" s="520"/>
      <c r="C438" s="514"/>
      <c r="D438" s="514"/>
      <c r="E438" s="514"/>
      <c r="F438" s="514"/>
      <c r="G438" s="514"/>
      <c r="H438" s="521"/>
      <c r="I438" s="521"/>
      <c r="J438" s="514"/>
      <c r="K438" s="514"/>
      <c r="L438" s="514"/>
      <c r="M438" s="514"/>
      <c r="N438" s="514"/>
      <c r="O438" s="514"/>
      <c r="P438" s="514"/>
      <c r="Q438" s="514"/>
      <c r="R438" s="514"/>
      <c r="S438" s="514"/>
      <c r="T438" s="514"/>
      <c r="U438" s="514"/>
      <c r="V438" s="514"/>
      <c r="W438" s="514"/>
      <c r="X438" s="514"/>
      <c r="Y438" s="514"/>
      <c r="Z438" s="514"/>
      <c r="AA438" s="514"/>
      <c r="AB438" s="514"/>
      <c r="AC438" s="514"/>
      <c r="AD438" s="514"/>
      <c r="AE438" s="514"/>
      <c r="AF438" s="514"/>
      <c r="AG438" s="514"/>
      <c r="AH438" s="514"/>
      <c r="AI438" s="514"/>
      <c r="AJ438" s="514"/>
      <c r="AK438" s="514"/>
      <c r="AL438" s="514"/>
      <c r="AM438" s="514"/>
      <c r="AN438" s="514"/>
    </row>
    <row r="439" ht="16.5" customHeight="1">
      <c r="A439" s="514"/>
      <c r="B439" s="520"/>
      <c r="C439" s="514"/>
      <c r="D439" s="514"/>
      <c r="E439" s="514"/>
      <c r="F439" s="514"/>
      <c r="G439" s="514"/>
      <c r="H439" s="521"/>
      <c r="I439" s="521"/>
      <c r="J439" s="514"/>
      <c r="K439" s="514"/>
      <c r="L439" s="514"/>
      <c r="M439" s="514"/>
      <c r="N439" s="514"/>
      <c r="O439" s="514"/>
      <c r="P439" s="514"/>
      <c r="Q439" s="514"/>
      <c r="R439" s="514"/>
      <c r="S439" s="514"/>
      <c r="T439" s="514"/>
      <c r="U439" s="514"/>
      <c r="V439" s="514"/>
      <c r="W439" s="514"/>
      <c r="X439" s="514"/>
      <c r="Y439" s="514"/>
      <c r="Z439" s="514"/>
      <c r="AA439" s="514"/>
      <c r="AB439" s="514"/>
      <c r="AC439" s="514"/>
      <c r="AD439" s="514"/>
      <c r="AE439" s="514"/>
      <c r="AF439" s="514"/>
      <c r="AG439" s="514"/>
      <c r="AH439" s="514"/>
      <c r="AI439" s="514"/>
      <c r="AJ439" s="514"/>
      <c r="AK439" s="514"/>
      <c r="AL439" s="514"/>
      <c r="AM439" s="514"/>
      <c r="AN439" s="514"/>
    </row>
    <row r="440" ht="16.5" customHeight="1">
      <c r="A440" s="514"/>
      <c r="B440" s="520"/>
      <c r="C440" s="514"/>
      <c r="D440" s="514"/>
      <c r="E440" s="514"/>
      <c r="F440" s="514"/>
      <c r="G440" s="514"/>
      <c r="H440" s="521"/>
      <c r="I440" s="521"/>
      <c r="J440" s="514"/>
      <c r="K440" s="514"/>
      <c r="L440" s="514"/>
      <c r="M440" s="514"/>
      <c r="N440" s="514"/>
      <c r="O440" s="514"/>
      <c r="P440" s="514"/>
      <c r="Q440" s="514"/>
      <c r="R440" s="514"/>
      <c r="S440" s="514"/>
      <c r="T440" s="514"/>
      <c r="U440" s="514"/>
      <c r="V440" s="514"/>
      <c r="W440" s="514"/>
      <c r="X440" s="514"/>
      <c r="Y440" s="514"/>
      <c r="Z440" s="514"/>
      <c r="AA440" s="514"/>
      <c r="AB440" s="514"/>
      <c r="AC440" s="514"/>
      <c r="AD440" s="514"/>
      <c r="AE440" s="514"/>
      <c r="AF440" s="514"/>
      <c r="AG440" s="514"/>
      <c r="AH440" s="514"/>
      <c r="AI440" s="514"/>
      <c r="AJ440" s="514"/>
      <c r="AK440" s="514"/>
      <c r="AL440" s="514"/>
      <c r="AM440" s="514"/>
      <c r="AN440" s="514"/>
    </row>
    <row r="441" ht="16.5" customHeight="1">
      <c r="A441" s="514"/>
      <c r="B441" s="520"/>
      <c r="C441" s="514"/>
      <c r="D441" s="514"/>
      <c r="E441" s="514"/>
      <c r="F441" s="514"/>
      <c r="G441" s="514"/>
      <c r="H441" s="521"/>
      <c r="I441" s="521"/>
      <c r="J441" s="514"/>
      <c r="K441" s="514"/>
      <c r="L441" s="514"/>
      <c r="M441" s="514"/>
      <c r="N441" s="514"/>
      <c r="O441" s="514"/>
      <c r="P441" s="514"/>
      <c r="Q441" s="514"/>
      <c r="R441" s="514"/>
      <c r="S441" s="514"/>
      <c r="T441" s="514"/>
      <c r="U441" s="514"/>
      <c r="V441" s="514"/>
      <c r="W441" s="514"/>
      <c r="X441" s="514"/>
      <c r="Y441" s="514"/>
      <c r="Z441" s="514"/>
      <c r="AA441" s="514"/>
      <c r="AB441" s="514"/>
      <c r="AC441" s="514"/>
      <c r="AD441" s="514"/>
      <c r="AE441" s="514"/>
      <c r="AF441" s="514"/>
      <c r="AG441" s="514"/>
      <c r="AH441" s="514"/>
      <c r="AI441" s="514"/>
      <c r="AJ441" s="514"/>
      <c r="AK441" s="514"/>
      <c r="AL441" s="514"/>
      <c r="AM441" s="514"/>
      <c r="AN441" s="514"/>
    </row>
    <row r="442" ht="16.5" customHeight="1">
      <c r="A442" s="514"/>
      <c r="B442" s="520"/>
      <c r="C442" s="514"/>
      <c r="D442" s="514"/>
      <c r="E442" s="514"/>
      <c r="F442" s="514"/>
      <c r="G442" s="514"/>
      <c r="H442" s="521"/>
      <c r="I442" s="521"/>
      <c r="J442" s="514"/>
      <c r="K442" s="514"/>
      <c r="L442" s="514"/>
      <c r="M442" s="514"/>
      <c r="N442" s="514"/>
      <c r="O442" s="514"/>
      <c r="P442" s="514"/>
      <c r="Q442" s="514"/>
      <c r="R442" s="514"/>
      <c r="S442" s="514"/>
      <c r="T442" s="514"/>
      <c r="U442" s="514"/>
      <c r="V442" s="514"/>
      <c r="W442" s="514"/>
      <c r="X442" s="514"/>
      <c r="Y442" s="514"/>
      <c r="Z442" s="514"/>
      <c r="AA442" s="514"/>
      <c r="AB442" s="514"/>
      <c r="AC442" s="514"/>
      <c r="AD442" s="514"/>
      <c r="AE442" s="514"/>
      <c r="AF442" s="514"/>
      <c r="AG442" s="514"/>
      <c r="AH442" s="514"/>
      <c r="AI442" s="514"/>
      <c r="AJ442" s="514"/>
      <c r="AK442" s="514"/>
      <c r="AL442" s="514"/>
      <c r="AM442" s="514"/>
      <c r="AN442" s="514"/>
    </row>
    <row r="443" ht="16.5" customHeight="1">
      <c r="A443" s="514"/>
      <c r="B443" s="520"/>
      <c r="C443" s="514"/>
      <c r="D443" s="514"/>
      <c r="E443" s="514"/>
      <c r="F443" s="514"/>
      <c r="G443" s="514"/>
      <c r="H443" s="521"/>
      <c r="I443" s="521"/>
      <c r="J443" s="514"/>
      <c r="K443" s="514"/>
      <c r="L443" s="514"/>
      <c r="M443" s="514"/>
      <c r="N443" s="514"/>
      <c r="O443" s="514"/>
      <c r="P443" s="514"/>
      <c r="Q443" s="514"/>
      <c r="R443" s="514"/>
      <c r="S443" s="514"/>
      <c r="T443" s="514"/>
      <c r="U443" s="514"/>
      <c r="V443" s="514"/>
      <c r="W443" s="514"/>
      <c r="X443" s="514"/>
      <c r="Y443" s="514"/>
      <c r="Z443" s="514"/>
      <c r="AA443" s="514"/>
      <c r="AB443" s="514"/>
      <c r="AC443" s="514"/>
      <c r="AD443" s="514"/>
      <c r="AE443" s="514"/>
      <c r="AF443" s="514"/>
      <c r="AG443" s="514"/>
      <c r="AH443" s="514"/>
      <c r="AI443" s="514"/>
      <c r="AJ443" s="514"/>
      <c r="AK443" s="514"/>
      <c r="AL443" s="514"/>
      <c r="AM443" s="514"/>
      <c r="AN443" s="514"/>
    </row>
    <row r="444" ht="16.5" customHeight="1">
      <c r="A444" s="514"/>
      <c r="B444" s="520"/>
      <c r="C444" s="514"/>
      <c r="D444" s="514"/>
      <c r="E444" s="514"/>
      <c r="F444" s="514"/>
      <c r="G444" s="514"/>
      <c r="H444" s="521"/>
      <c r="I444" s="521"/>
      <c r="J444" s="514"/>
      <c r="K444" s="514"/>
      <c r="L444" s="514"/>
      <c r="M444" s="514"/>
      <c r="N444" s="514"/>
      <c r="O444" s="514"/>
      <c r="P444" s="514"/>
      <c r="Q444" s="514"/>
      <c r="R444" s="514"/>
      <c r="S444" s="514"/>
      <c r="T444" s="514"/>
      <c r="U444" s="514"/>
      <c r="V444" s="514"/>
      <c r="W444" s="514"/>
      <c r="X444" s="514"/>
      <c r="Y444" s="514"/>
      <c r="Z444" s="514"/>
      <c r="AA444" s="514"/>
      <c r="AB444" s="514"/>
      <c r="AC444" s="514"/>
      <c r="AD444" s="514"/>
      <c r="AE444" s="514"/>
      <c r="AF444" s="514"/>
      <c r="AG444" s="514"/>
      <c r="AH444" s="514"/>
      <c r="AI444" s="514"/>
      <c r="AJ444" s="514"/>
      <c r="AK444" s="514"/>
      <c r="AL444" s="514"/>
      <c r="AM444" s="514"/>
      <c r="AN444" s="514"/>
    </row>
    <row r="445" ht="16.5" customHeight="1">
      <c r="A445" s="514"/>
      <c r="B445" s="520"/>
      <c r="C445" s="514"/>
      <c r="D445" s="514"/>
      <c r="E445" s="514"/>
      <c r="F445" s="514"/>
      <c r="G445" s="514"/>
      <c r="H445" s="521"/>
      <c r="I445" s="521"/>
      <c r="J445" s="514"/>
      <c r="K445" s="514"/>
      <c r="L445" s="514"/>
      <c r="M445" s="514"/>
      <c r="N445" s="514"/>
      <c r="O445" s="514"/>
      <c r="P445" s="514"/>
      <c r="Q445" s="514"/>
      <c r="R445" s="514"/>
      <c r="S445" s="514"/>
      <c r="T445" s="514"/>
      <c r="U445" s="514"/>
      <c r="V445" s="514"/>
      <c r="W445" s="514"/>
      <c r="X445" s="514"/>
      <c r="Y445" s="514"/>
      <c r="Z445" s="514"/>
      <c r="AA445" s="514"/>
      <c r="AB445" s="514"/>
      <c r="AC445" s="514"/>
      <c r="AD445" s="514"/>
      <c r="AE445" s="514"/>
      <c r="AF445" s="514"/>
      <c r="AG445" s="514"/>
      <c r="AH445" s="514"/>
      <c r="AI445" s="514"/>
      <c r="AJ445" s="514"/>
      <c r="AK445" s="514"/>
      <c r="AL445" s="514"/>
      <c r="AM445" s="514"/>
      <c r="AN445" s="514"/>
    </row>
    <row r="446" ht="16.5" customHeight="1">
      <c r="A446" s="514"/>
      <c r="B446" s="520"/>
      <c r="C446" s="514"/>
      <c r="D446" s="514"/>
      <c r="E446" s="514"/>
      <c r="F446" s="514"/>
      <c r="G446" s="514"/>
      <c r="H446" s="521"/>
      <c r="I446" s="521"/>
      <c r="J446" s="514"/>
      <c r="K446" s="514"/>
      <c r="L446" s="514"/>
      <c r="M446" s="514"/>
      <c r="N446" s="514"/>
      <c r="O446" s="514"/>
      <c r="P446" s="514"/>
      <c r="Q446" s="514"/>
      <c r="R446" s="514"/>
      <c r="S446" s="514"/>
      <c r="T446" s="514"/>
      <c r="U446" s="514"/>
      <c r="V446" s="514"/>
      <c r="W446" s="514"/>
      <c r="X446" s="514"/>
      <c r="Y446" s="514"/>
      <c r="Z446" s="514"/>
      <c r="AA446" s="514"/>
      <c r="AB446" s="514"/>
      <c r="AC446" s="514"/>
      <c r="AD446" s="514"/>
      <c r="AE446" s="514"/>
      <c r="AF446" s="514"/>
      <c r="AG446" s="514"/>
      <c r="AH446" s="514"/>
      <c r="AI446" s="514"/>
      <c r="AJ446" s="514"/>
      <c r="AK446" s="514"/>
      <c r="AL446" s="514"/>
      <c r="AM446" s="514"/>
      <c r="AN446" s="514"/>
    </row>
    <row r="447" ht="16.5" customHeight="1">
      <c r="A447" s="514"/>
      <c r="B447" s="520"/>
      <c r="C447" s="514"/>
      <c r="D447" s="514"/>
      <c r="E447" s="514"/>
      <c r="F447" s="514"/>
      <c r="G447" s="514"/>
      <c r="H447" s="521"/>
      <c r="I447" s="521"/>
      <c r="J447" s="514"/>
      <c r="K447" s="514"/>
      <c r="L447" s="514"/>
      <c r="M447" s="514"/>
      <c r="N447" s="514"/>
      <c r="O447" s="514"/>
      <c r="P447" s="514"/>
      <c r="Q447" s="514"/>
      <c r="R447" s="514"/>
      <c r="S447" s="514"/>
      <c r="T447" s="514"/>
      <c r="U447" s="514"/>
      <c r="V447" s="514"/>
      <c r="W447" s="514"/>
      <c r="X447" s="514"/>
      <c r="Y447" s="514"/>
      <c r="Z447" s="514"/>
      <c r="AA447" s="514"/>
      <c r="AB447" s="514"/>
      <c r="AC447" s="514"/>
      <c r="AD447" s="514"/>
      <c r="AE447" s="514"/>
      <c r="AF447" s="514"/>
      <c r="AG447" s="514"/>
      <c r="AH447" s="514"/>
      <c r="AI447" s="514"/>
      <c r="AJ447" s="514"/>
      <c r="AK447" s="514"/>
      <c r="AL447" s="514"/>
      <c r="AM447" s="514"/>
      <c r="AN447" s="514"/>
    </row>
    <row r="448" ht="16.5" customHeight="1">
      <c r="A448" s="514"/>
      <c r="B448" s="520"/>
      <c r="C448" s="514"/>
      <c r="D448" s="514"/>
      <c r="E448" s="514"/>
      <c r="F448" s="514"/>
      <c r="G448" s="514"/>
      <c r="H448" s="521"/>
      <c r="I448" s="521"/>
      <c r="J448" s="514"/>
      <c r="K448" s="514"/>
      <c r="L448" s="514"/>
      <c r="M448" s="514"/>
      <c r="N448" s="514"/>
      <c r="O448" s="514"/>
      <c r="P448" s="514"/>
      <c r="Q448" s="514"/>
      <c r="R448" s="514"/>
      <c r="S448" s="514"/>
      <c r="T448" s="514"/>
      <c r="U448" s="514"/>
      <c r="V448" s="514"/>
      <c r="W448" s="514"/>
      <c r="X448" s="514"/>
      <c r="Y448" s="514"/>
      <c r="Z448" s="514"/>
      <c r="AA448" s="514"/>
      <c r="AB448" s="514"/>
      <c r="AC448" s="514"/>
      <c r="AD448" s="514"/>
      <c r="AE448" s="514"/>
      <c r="AF448" s="514"/>
      <c r="AG448" s="514"/>
      <c r="AH448" s="514"/>
      <c r="AI448" s="514"/>
      <c r="AJ448" s="514"/>
      <c r="AK448" s="514"/>
      <c r="AL448" s="514"/>
      <c r="AM448" s="514"/>
      <c r="AN448" s="514"/>
    </row>
    <row r="449" ht="16.5" customHeight="1">
      <c r="A449" s="514"/>
      <c r="B449" s="520"/>
      <c r="C449" s="514"/>
      <c r="D449" s="514"/>
      <c r="E449" s="514"/>
      <c r="F449" s="514"/>
      <c r="G449" s="514"/>
      <c r="H449" s="521"/>
      <c r="I449" s="521"/>
      <c r="J449" s="514"/>
      <c r="K449" s="514"/>
      <c r="L449" s="514"/>
      <c r="M449" s="514"/>
      <c r="N449" s="514"/>
      <c r="O449" s="514"/>
      <c r="P449" s="514"/>
      <c r="Q449" s="514"/>
      <c r="R449" s="514"/>
      <c r="S449" s="514"/>
      <c r="T449" s="514"/>
      <c r="U449" s="514"/>
      <c r="V449" s="514"/>
      <c r="W449" s="514"/>
      <c r="X449" s="514"/>
      <c r="Y449" s="514"/>
      <c r="Z449" s="514"/>
      <c r="AA449" s="514"/>
      <c r="AB449" s="514"/>
      <c r="AC449" s="514"/>
      <c r="AD449" s="514"/>
      <c r="AE449" s="514"/>
      <c r="AF449" s="514"/>
      <c r="AG449" s="514"/>
      <c r="AH449" s="514"/>
      <c r="AI449" s="514"/>
      <c r="AJ449" s="514"/>
      <c r="AK449" s="514"/>
      <c r="AL449" s="514"/>
      <c r="AM449" s="514"/>
      <c r="AN449" s="514"/>
    </row>
    <row r="450" ht="16.5" customHeight="1">
      <c r="A450" s="514"/>
      <c r="B450" s="520"/>
      <c r="C450" s="514"/>
      <c r="D450" s="514"/>
      <c r="E450" s="514"/>
      <c r="F450" s="514"/>
      <c r="G450" s="514"/>
      <c r="H450" s="521"/>
      <c r="I450" s="521"/>
      <c r="J450" s="514"/>
      <c r="K450" s="514"/>
      <c r="L450" s="514"/>
      <c r="M450" s="514"/>
      <c r="N450" s="514"/>
      <c r="O450" s="514"/>
      <c r="P450" s="514"/>
      <c r="Q450" s="514"/>
      <c r="R450" s="514"/>
      <c r="S450" s="514"/>
      <c r="T450" s="514"/>
      <c r="U450" s="514"/>
      <c r="V450" s="514"/>
      <c r="W450" s="514"/>
      <c r="X450" s="514"/>
      <c r="Y450" s="514"/>
      <c r="Z450" s="514"/>
      <c r="AA450" s="514"/>
      <c r="AB450" s="514"/>
      <c r="AC450" s="514"/>
      <c r="AD450" s="514"/>
      <c r="AE450" s="514"/>
      <c r="AF450" s="514"/>
      <c r="AG450" s="514"/>
      <c r="AH450" s="514"/>
      <c r="AI450" s="514"/>
      <c r="AJ450" s="514"/>
      <c r="AK450" s="514"/>
      <c r="AL450" s="514"/>
      <c r="AM450" s="514"/>
      <c r="AN450" s="514"/>
    </row>
    <row r="451" ht="16.5" customHeight="1">
      <c r="A451" s="514"/>
      <c r="B451" s="520"/>
      <c r="C451" s="514"/>
      <c r="D451" s="514"/>
      <c r="E451" s="514"/>
      <c r="F451" s="514"/>
      <c r="G451" s="514"/>
      <c r="H451" s="521"/>
      <c r="I451" s="521"/>
      <c r="J451" s="514"/>
      <c r="K451" s="514"/>
      <c r="L451" s="514"/>
      <c r="M451" s="514"/>
      <c r="N451" s="514"/>
      <c r="O451" s="514"/>
      <c r="P451" s="514"/>
      <c r="Q451" s="514"/>
      <c r="R451" s="514"/>
      <c r="S451" s="514"/>
      <c r="T451" s="514"/>
      <c r="U451" s="514"/>
      <c r="V451" s="514"/>
      <c r="W451" s="514"/>
      <c r="X451" s="514"/>
      <c r="Y451" s="514"/>
      <c r="Z451" s="514"/>
      <c r="AA451" s="514"/>
      <c r="AB451" s="514"/>
      <c r="AC451" s="514"/>
      <c r="AD451" s="514"/>
      <c r="AE451" s="514"/>
      <c r="AF451" s="514"/>
      <c r="AG451" s="514"/>
      <c r="AH451" s="514"/>
      <c r="AI451" s="514"/>
      <c r="AJ451" s="514"/>
      <c r="AK451" s="514"/>
      <c r="AL451" s="514"/>
      <c r="AM451" s="514"/>
      <c r="AN451" s="514"/>
    </row>
    <row r="452" ht="16.5" customHeight="1">
      <c r="A452" s="514"/>
      <c r="B452" s="520"/>
      <c r="C452" s="514"/>
      <c r="D452" s="514"/>
      <c r="E452" s="514"/>
      <c r="F452" s="514"/>
      <c r="G452" s="514"/>
      <c r="H452" s="521"/>
      <c r="I452" s="521"/>
      <c r="J452" s="514"/>
      <c r="K452" s="514"/>
      <c r="L452" s="514"/>
      <c r="M452" s="514"/>
      <c r="N452" s="514"/>
      <c r="O452" s="514"/>
      <c r="P452" s="514"/>
      <c r="Q452" s="514"/>
      <c r="R452" s="514"/>
      <c r="S452" s="514"/>
      <c r="T452" s="514"/>
      <c r="U452" s="514"/>
      <c r="V452" s="514"/>
      <c r="W452" s="514"/>
      <c r="X452" s="514"/>
      <c r="Y452" s="514"/>
      <c r="Z452" s="514"/>
      <c r="AA452" s="514"/>
      <c r="AB452" s="514"/>
      <c r="AC452" s="514"/>
      <c r="AD452" s="514"/>
      <c r="AE452" s="514"/>
      <c r="AF452" s="514"/>
      <c r="AG452" s="514"/>
      <c r="AH452" s="514"/>
      <c r="AI452" s="514"/>
      <c r="AJ452" s="514"/>
      <c r="AK452" s="514"/>
      <c r="AL452" s="514"/>
      <c r="AM452" s="514"/>
      <c r="AN452" s="514"/>
    </row>
    <row r="453" ht="16.5" customHeight="1">
      <c r="A453" s="514"/>
      <c r="B453" s="520"/>
      <c r="C453" s="514"/>
      <c r="D453" s="514"/>
      <c r="E453" s="514"/>
      <c r="F453" s="514"/>
      <c r="G453" s="514"/>
      <c r="H453" s="521"/>
      <c r="I453" s="521"/>
      <c r="J453" s="514"/>
      <c r="K453" s="514"/>
      <c r="L453" s="514"/>
      <c r="M453" s="514"/>
      <c r="N453" s="514"/>
      <c r="O453" s="514"/>
      <c r="P453" s="514"/>
      <c r="Q453" s="514"/>
      <c r="R453" s="514"/>
      <c r="S453" s="514"/>
      <c r="T453" s="514"/>
      <c r="U453" s="514"/>
      <c r="V453" s="514"/>
      <c r="W453" s="514"/>
      <c r="X453" s="514"/>
      <c r="Y453" s="514"/>
      <c r="Z453" s="514"/>
      <c r="AA453" s="514"/>
      <c r="AB453" s="514"/>
      <c r="AC453" s="514"/>
      <c r="AD453" s="514"/>
      <c r="AE453" s="514"/>
      <c r="AF453" s="514"/>
      <c r="AG453" s="514"/>
      <c r="AH453" s="514"/>
      <c r="AI453" s="514"/>
      <c r="AJ453" s="514"/>
      <c r="AK453" s="514"/>
      <c r="AL453" s="514"/>
      <c r="AM453" s="514"/>
      <c r="AN453" s="514"/>
    </row>
    <row r="454" ht="16.5" customHeight="1">
      <c r="A454" s="514"/>
      <c r="B454" s="520"/>
      <c r="C454" s="514"/>
      <c r="D454" s="514"/>
      <c r="E454" s="514"/>
      <c r="F454" s="514"/>
      <c r="G454" s="514"/>
      <c r="H454" s="521"/>
      <c r="I454" s="521"/>
      <c r="J454" s="514"/>
      <c r="K454" s="514"/>
      <c r="L454" s="514"/>
      <c r="M454" s="514"/>
      <c r="N454" s="514"/>
      <c r="O454" s="514"/>
      <c r="P454" s="514"/>
      <c r="Q454" s="514"/>
      <c r="R454" s="514"/>
      <c r="S454" s="514"/>
      <c r="T454" s="514"/>
      <c r="U454" s="514"/>
      <c r="V454" s="514"/>
      <c r="W454" s="514"/>
      <c r="X454" s="514"/>
      <c r="Y454" s="514"/>
      <c r="Z454" s="514"/>
      <c r="AA454" s="514"/>
      <c r="AB454" s="514"/>
      <c r="AC454" s="514"/>
      <c r="AD454" s="514"/>
      <c r="AE454" s="514"/>
      <c r="AF454" s="514"/>
      <c r="AG454" s="514"/>
      <c r="AH454" s="514"/>
      <c r="AI454" s="514"/>
      <c r="AJ454" s="514"/>
      <c r="AK454" s="514"/>
      <c r="AL454" s="514"/>
      <c r="AM454" s="514"/>
      <c r="AN454" s="514"/>
    </row>
    <row r="455" ht="16.5" customHeight="1">
      <c r="A455" s="514"/>
      <c r="B455" s="520"/>
      <c r="C455" s="514"/>
      <c r="D455" s="514"/>
      <c r="E455" s="514"/>
      <c r="F455" s="514"/>
      <c r="G455" s="514"/>
      <c r="H455" s="521"/>
      <c r="I455" s="521"/>
      <c r="J455" s="514"/>
      <c r="K455" s="514"/>
      <c r="L455" s="514"/>
      <c r="M455" s="514"/>
      <c r="N455" s="514"/>
      <c r="O455" s="514"/>
      <c r="P455" s="514"/>
      <c r="Q455" s="514"/>
      <c r="R455" s="514"/>
      <c r="S455" s="514"/>
      <c r="T455" s="514"/>
      <c r="U455" s="514"/>
      <c r="V455" s="514"/>
      <c r="W455" s="514"/>
      <c r="X455" s="514"/>
      <c r="Y455" s="514"/>
      <c r="Z455" s="514"/>
      <c r="AA455" s="514"/>
      <c r="AB455" s="514"/>
      <c r="AC455" s="514"/>
      <c r="AD455" s="514"/>
      <c r="AE455" s="514"/>
      <c r="AF455" s="514"/>
      <c r="AG455" s="514"/>
      <c r="AH455" s="514"/>
      <c r="AI455" s="514"/>
      <c r="AJ455" s="514"/>
      <c r="AK455" s="514"/>
      <c r="AL455" s="514"/>
      <c r="AM455" s="514"/>
      <c r="AN455" s="514"/>
    </row>
    <row r="456" ht="16.5" customHeight="1">
      <c r="A456" s="514"/>
      <c r="B456" s="520"/>
      <c r="C456" s="514"/>
      <c r="D456" s="514"/>
      <c r="E456" s="514"/>
      <c r="F456" s="514"/>
      <c r="G456" s="514"/>
      <c r="H456" s="521"/>
      <c r="I456" s="521"/>
      <c r="J456" s="514"/>
      <c r="K456" s="514"/>
      <c r="L456" s="514"/>
      <c r="M456" s="514"/>
      <c r="N456" s="514"/>
      <c r="O456" s="514"/>
      <c r="P456" s="514"/>
      <c r="Q456" s="514"/>
      <c r="R456" s="514"/>
      <c r="S456" s="514"/>
      <c r="T456" s="514"/>
      <c r="U456" s="514"/>
      <c r="V456" s="514"/>
      <c r="W456" s="514"/>
      <c r="X456" s="514"/>
      <c r="Y456" s="514"/>
      <c r="Z456" s="514"/>
      <c r="AA456" s="514"/>
      <c r="AB456" s="514"/>
      <c r="AC456" s="514"/>
      <c r="AD456" s="514"/>
      <c r="AE456" s="514"/>
      <c r="AF456" s="514"/>
      <c r="AG456" s="514"/>
      <c r="AH456" s="514"/>
      <c r="AI456" s="514"/>
      <c r="AJ456" s="514"/>
      <c r="AK456" s="514"/>
      <c r="AL456" s="514"/>
      <c r="AM456" s="514"/>
      <c r="AN456" s="514"/>
    </row>
    <row r="457" ht="16.5" customHeight="1">
      <c r="A457" s="514"/>
      <c r="B457" s="520"/>
      <c r="C457" s="514"/>
      <c r="D457" s="514"/>
      <c r="E457" s="514"/>
      <c r="F457" s="514"/>
      <c r="G457" s="514"/>
      <c r="H457" s="521"/>
      <c r="I457" s="521"/>
      <c r="J457" s="514"/>
      <c r="K457" s="514"/>
      <c r="L457" s="514"/>
      <c r="M457" s="514"/>
      <c r="N457" s="514"/>
      <c r="O457" s="514"/>
      <c r="P457" s="514"/>
      <c r="Q457" s="514"/>
      <c r="R457" s="514"/>
      <c r="S457" s="514"/>
      <c r="T457" s="514"/>
      <c r="U457" s="514"/>
      <c r="V457" s="514"/>
      <c r="W457" s="514"/>
      <c r="X457" s="514"/>
      <c r="Y457" s="514"/>
      <c r="Z457" s="514"/>
      <c r="AA457" s="514"/>
      <c r="AB457" s="514"/>
      <c r="AC457" s="514"/>
      <c r="AD457" s="514"/>
      <c r="AE457" s="514"/>
      <c r="AF457" s="514"/>
      <c r="AG457" s="514"/>
      <c r="AH457" s="514"/>
      <c r="AI457" s="514"/>
      <c r="AJ457" s="514"/>
      <c r="AK457" s="514"/>
      <c r="AL457" s="514"/>
      <c r="AM457" s="514"/>
      <c r="AN457" s="514"/>
    </row>
    <row r="458" ht="16.5" customHeight="1">
      <c r="A458" s="514"/>
      <c r="B458" s="520"/>
      <c r="C458" s="514"/>
      <c r="D458" s="514"/>
      <c r="E458" s="514"/>
      <c r="F458" s="514"/>
      <c r="G458" s="514"/>
      <c r="H458" s="521"/>
      <c r="I458" s="521"/>
      <c r="J458" s="514"/>
      <c r="K458" s="514"/>
      <c r="L458" s="514"/>
      <c r="M458" s="514"/>
      <c r="N458" s="514"/>
      <c r="O458" s="514"/>
      <c r="P458" s="514"/>
      <c r="Q458" s="514"/>
      <c r="R458" s="514"/>
      <c r="S458" s="514"/>
      <c r="T458" s="514"/>
      <c r="U458" s="514"/>
      <c r="V458" s="514"/>
      <c r="W458" s="514"/>
      <c r="X458" s="514"/>
      <c r="Y458" s="514"/>
      <c r="Z458" s="514"/>
      <c r="AA458" s="514"/>
      <c r="AB458" s="514"/>
      <c r="AC458" s="514"/>
      <c r="AD458" s="514"/>
      <c r="AE458" s="514"/>
      <c r="AF458" s="514"/>
      <c r="AG458" s="514"/>
      <c r="AH458" s="514"/>
      <c r="AI458" s="514"/>
      <c r="AJ458" s="514"/>
      <c r="AK458" s="514"/>
      <c r="AL458" s="514"/>
      <c r="AM458" s="514"/>
      <c r="AN458" s="514"/>
    </row>
    <row r="459" ht="16.5" customHeight="1">
      <c r="A459" s="514"/>
      <c r="B459" s="520"/>
      <c r="C459" s="514"/>
      <c r="D459" s="514"/>
      <c r="E459" s="514"/>
      <c r="F459" s="514"/>
      <c r="G459" s="514"/>
      <c r="H459" s="521"/>
      <c r="I459" s="521"/>
      <c r="J459" s="514"/>
      <c r="K459" s="514"/>
      <c r="L459" s="514"/>
      <c r="M459" s="514"/>
      <c r="N459" s="514"/>
      <c r="O459" s="514"/>
      <c r="P459" s="514"/>
      <c r="Q459" s="514"/>
      <c r="R459" s="514"/>
      <c r="S459" s="514"/>
      <c r="T459" s="514"/>
      <c r="U459" s="514"/>
      <c r="V459" s="514"/>
      <c r="W459" s="514"/>
      <c r="X459" s="514"/>
      <c r="Y459" s="514"/>
      <c r="Z459" s="514"/>
      <c r="AA459" s="514"/>
      <c r="AB459" s="514"/>
      <c r="AC459" s="514"/>
      <c r="AD459" s="514"/>
      <c r="AE459" s="514"/>
      <c r="AF459" s="514"/>
      <c r="AG459" s="514"/>
      <c r="AH459" s="514"/>
      <c r="AI459" s="514"/>
      <c r="AJ459" s="514"/>
      <c r="AK459" s="514"/>
      <c r="AL459" s="514"/>
      <c r="AM459" s="514"/>
      <c r="AN459" s="514"/>
    </row>
    <row r="460" ht="16.5" customHeight="1">
      <c r="A460" s="514"/>
      <c r="B460" s="520"/>
      <c r="C460" s="514"/>
      <c r="D460" s="514"/>
      <c r="E460" s="514"/>
      <c r="F460" s="514"/>
      <c r="G460" s="514"/>
      <c r="H460" s="521"/>
      <c r="I460" s="521"/>
      <c r="J460" s="514"/>
      <c r="K460" s="514"/>
      <c r="L460" s="514"/>
      <c r="M460" s="514"/>
      <c r="N460" s="514"/>
      <c r="O460" s="514"/>
      <c r="P460" s="514"/>
      <c r="Q460" s="514"/>
      <c r="R460" s="514"/>
      <c r="S460" s="514"/>
      <c r="T460" s="514"/>
      <c r="U460" s="514"/>
      <c r="V460" s="514"/>
      <c r="W460" s="514"/>
      <c r="X460" s="514"/>
      <c r="Y460" s="514"/>
      <c r="Z460" s="514"/>
      <c r="AA460" s="514"/>
      <c r="AB460" s="514"/>
      <c r="AC460" s="514"/>
      <c r="AD460" s="514"/>
      <c r="AE460" s="514"/>
      <c r="AF460" s="514"/>
      <c r="AG460" s="514"/>
      <c r="AH460" s="514"/>
      <c r="AI460" s="514"/>
      <c r="AJ460" s="514"/>
      <c r="AK460" s="514"/>
      <c r="AL460" s="514"/>
      <c r="AM460" s="514"/>
      <c r="AN460" s="514"/>
    </row>
    <row r="461" ht="16.5" customHeight="1">
      <c r="A461" s="514"/>
      <c r="B461" s="520"/>
      <c r="C461" s="514"/>
      <c r="D461" s="514"/>
      <c r="E461" s="514"/>
      <c r="F461" s="514"/>
      <c r="G461" s="514"/>
      <c r="H461" s="521"/>
      <c r="I461" s="521"/>
      <c r="J461" s="514"/>
      <c r="K461" s="514"/>
      <c r="L461" s="514"/>
      <c r="M461" s="514"/>
      <c r="N461" s="514"/>
      <c r="O461" s="514"/>
      <c r="P461" s="514"/>
      <c r="Q461" s="514"/>
      <c r="R461" s="514"/>
      <c r="S461" s="514"/>
      <c r="T461" s="514"/>
      <c r="U461" s="514"/>
      <c r="V461" s="514"/>
      <c r="W461" s="514"/>
      <c r="X461" s="514"/>
      <c r="Y461" s="514"/>
      <c r="Z461" s="514"/>
      <c r="AA461" s="514"/>
      <c r="AB461" s="514"/>
      <c r="AC461" s="514"/>
      <c r="AD461" s="514"/>
      <c r="AE461" s="514"/>
      <c r="AF461" s="514"/>
      <c r="AG461" s="514"/>
      <c r="AH461" s="514"/>
      <c r="AI461" s="514"/>
      <c r="AJ461" s="514"/>
      <c r="AK461" s="514"/>
      <c r="AL461" s="514"/>
      <c r="AM461" s="514"/>
      <c r="AN461" s="514"/>
    </row>
    <row r="462" ht="16.5" customHeight="1">
      <c r="A462" s="514"/>
      <c r="B462" s="520"/>
      <c r="C462" s="514"/>
      <c r="D462" s="514"/>
      <c r="E462" s="514"/>
      <c r="F462" s="514"/>
      <c r="G462" s="514"/>
      <c r="H462" s="521"/>
      <c r="I462" s="521"/>
      <c r="J462" s="514"/>
      <c r="K462" s="514"/>
      <c r="L462" s="514"/>
      <c r="M462" s="514"/>
      <c r="N462" s="514"/>
      <c r="O462" s="514"/>
      <c r="P462" s="514"/>
      <c r="Q462" s="514"/>
      <c r="R462" s="514"/>
      <c r="S462" s="514"/>
      <c r="T462" s="514"/>
      <c r="U462" s="514"/>
      <c r="V462" s="514"/>
      <c r="W462" s="514"/>
      <c r="X462" s="514"/>
      <c r="Y462" s="514"/>
      <c r="Z462" s="514"/>
      <c r="AA462" s="514"/>
      <c r="AB462" s="514"/>
      <c r="AC462" s="514"/>
      <c r="AD462" s="514"/>
      <c r="AE462" s="514"/>
      <c r="AF462" s="514"/>
      <c r="AG462" s="514"/>
      <c r="AH462" s="514"/>
      <c r="AI462" s="514"/>
      <c r="AJ462" s="514"/>
      <c r="AK462" s="514"/>
      <c r="AL462" s="514"/>
      <c r="AM462" s="514"/>
      <c r="AN462" s="514"/>
    </row>
    <row r="463" ht="16.5" customHeight="1">
      <c r="A463" s="514"/>
      <c r="B463" s="520"/>
      <c r="C463" s="514"/>
      <c r="D463" s="514"/>
      <c r="E463" s="514"/>
      <c r="F463" s="514"/>
      <c r="G463" s="514"/>
      <c r="H463" s="521"/>
      <c r="I463" s="521"/>
      <c r="J463" s="514"/>
      <c r="K463" s="514"/>
      <c r="L463" s="514"/>
      <c r="M463" s="514"/>
      <c r="N463" s="514"/>
      <c r="O463" s="514"/>
      <c r="P463" s="514"/>
      <c r="Q463" s="514"/>
      <c r="R463" s="514"/>
      <c r="S463" s="514"/>
      <c r="T463" s="514"/>
      <c r="U463" s="514"/>
      <c r="V463" s="514"/>
      <c r="W463" s="514"/>
      <c r="X463" s="514"/>
      <c r="Y463" s="514"/>
      <c r="Z463" s="514"/>
      <c r="AA463" s="514"/>
      <c r="AB463" s="514"/>
      <c r="AC463" s="514"/>
      <c r="AD463" s="514"/>
      <c r="AE463" s="514"/>
      <c r="AF463" s="514"/>
      <c r="AG463" s="514"/>
      <c r="AH463" s="514"/>
      <c r="AI463" s="514"/>
      <c r="AJ463" s="514"/>
      <c r="AK463" s="514"/>
      <c r="AL463" s="514"/>
      <c r="AM463" s="514"/>
      <c r="AN463" s="514"/>
    </row>
    <row r="464" ht="16.5" customHeight="1">
      <c r="A464" s="514"/>
      <c r="B464" s="520"/>
      <c r="C464" s="514"/>
      <c r="D464" s="514"/>
      <c r="E464" s="514"/>
      <c r="F464" s="514"/>
      <c r="G464" s="514"/>
      <c r="H464" s="521"/>
      <c r="I464" s="521"/>
      <c r="J464" s="514"/>
      <c r="K464" s="514"/>
      <c r="L464" s="514"/>
      <c r="M464" s="514"/>
      <c r="N464" s="514"/>
      <c r="O464" s="514"/>
      <c r="P464" s="514"/>
      <c r="Q464" s="514"/>
      <c r="R464" s="514"/>
      <c r="S464" s="514"/>
      <c r="T464" s="514"/>
      <c r="U464" s="514"/>
      <c r="V464" s="514"/>
      <c r="W464" s="514"/>
      <c r="X464" s="514"/>
      <c r="Y464" s="514"/>
      <c r="Z464" s="514"/>
      <c r="AA464" s="514"/>
      <c r="AB464" s="514"/>
      <c r="AC464" s="514"/>
      <c r="AD464" s="514"/>
      <c r="AE464" s="514"/>
      <c r="AF464" s="514"/>
      <c r="AG464" s="514"/>
      <c r="AH464" s="514"/>
      <c r="AI464" s="514"/>
      <c r="AJ464" s="514"/>
      <c r="AK464" s="514"/>
      <c r="AL464" s="514"/>
      <c r="AM464" s="514"/>
      <c r="AN464" s="514"/>
    </row>
    <row r="465" ht="16.5" customHeight="1">
      <c r="A465" s="514"/>
      <c r="B465" s="520"/>
      <c r="C465" s="514"/>
      <c r="D465" s="514"/>
      <c r="E465" s="514"/>
      <c r="F465" s="514"/>
      <c r="G465" s="514"/>
      <c r="H465" s="521"/>
      <c r="I465" s="521"/>
      <c r="J465" s="514"/>
      <c r="K465" s="514"/>
      <c r="L465" s="514"/>
      <c r="M465" s="514"/>
      <c r="N465" s="514"/>
      <c r="O465" s="514"/>
      <c r="P465" s="514"/>
      <c r="Q465" s="514"/>
      <c r="R465" s="514"/>
      <c r="S465" s="514"/>
      <c r="T465" s="514"/>
      <c r="U465" s="514"/>
      <c r="V465" s="514"/>
      <c r="W465" s="514"/>
      <c r="X465" s="514"/>
      <c r="Y465" s="514"/>
      <c r="Z465" s="514"/>
      <c r="AA465" s="514"/>
      <c r="AB465" s="514"/>
      <c r="AC465" s="514"/>
      <c r="AD465" s="514"/>
      <c r="AE465" s="514"/>
      <c r="AF465" s="514"/>
      <c r="AG465" s="514"/>
      <c r="AH465" s="514"/>
      <c r="AI465" s="514"/>
      <c r="AJ465" s="514"/>
      <c r="AK465" s="514"/>
      <c r="AL465" s="514"/>
      <c r="AM465" s="514"/>
      <c r="AN465" s="514"/>
    </row>
    <row r="466" ht="16.5" customHeight="1">
      <c r="A466" s="514"/>
      <c r="B466" s="520"/>
      <c r="C466" s="514"/>
      <c r="D466" s="514"/>
      <c r="E466" s="514"/>
      <c r="F466" s="514"/>
      <c r="G466" s="514"/>
      <c r="H466" s="521"/>
      <c r="I466" s="521"/>
      <c r="J466" s="514"/>
      <c r="K466" s="514"/>
      <c r="L466" s="514"/>
      <c r="M466" s="514"/>
      <c r="N466" s="514"/>
      <c r="O466" s="514"/>
      <c r="P466" s="514"/>
      <c r="Q466" s="514"/>
      <c r="R466" s="514"/>
      <c r="S466" s="514"/>
      <c r="T466" s="514"/>
      <c r="U466" s="514"/>
      <c r="V466" s="514"/>
      <c r="W466" s="514"/>
      <c r="X466" s="514"/>
      <c r="Y466" s="514"/>
      <c r="Z466" s="514"/>
      <c r="AA466" s="514"/>
      <c r="AB466" s="514"/>
      <c r="AC466" s="514"/>
      <c r="AD466" s="514"/>
      <c r="AE466" s="514"/>
      <c r="AF466" s="514"/>
      <c r="AG466" s="514"/>
      <c r="AH466" s="514"/>
      <c r="AI466" s="514"/>
      <c r="AJ466" s="514"/>
      <c r="AK466" s="514"/>
      <c r="AL466" s="514"/>
      <c r="AM466" s="514"/>
      <c r="AN466" s="514"/>
    </row>
    <row r="467" ht="16.5" customHeight="1">
      <c r="A467" s="514"/>
      <c r="B467" s="520"/>
      <c r="C467" s="514"/>
      <c r="D467" s="514"/>
      <c r="E467" s="514"/>
      <c r="F467" s="514"/>
      <c r="G467" s="514"/>
      <c r="H467" s="521"/>
      <c r="I467" s="521"/>
      <c r="J467" s="514"/>
      <c r="K467" s="514"/>
      <c r="L467" s="514"/>
      <c r="M467" s="514"/>
      <c r="N467" s="514"/>
      <c r="O467" s="514"/>
      <c r="P467" s="514"/>
      <c r="Q467" s="514"/>
      <c r="R467" s="514"/>
      <c r="S467" s="514"/>
      <c r="T467" s="514"/>
      <c r="U467" s="514"/>
      <c r="V467" s="514"/>
      <c r="W467" s="514"/>
      <c r="X467" s="514"/>
      <c r="Y467" s="514"/>
      <c r="Z467" s="514"/>
      <c r="AA467" s="514"/>
      <c r="AB467" s="514"/>
      <c r="AC467" s="514"/>
      <c r="AD467" s="514"/>
      <c r="AE467" s="514"/>
      <c r="AF467" s="514"/>
      <c r="AG467" s="514"/>
      <c r="AH467" s="514"/>
      <c r="AI467" s="514"/>
      <c r="AJ467" s="514"/>
      <c r="AK467" s="514"/>
      <c r="AL467" s="514"/>
      <c r="AM467" s="514"/>
      <c r="AN467" s="514"/>
    </row>
    <row r="468" ht="16.5" customHeight="1">
      <c r="A468" s="514"/>
      <c r="B468" s="520"/>
      <c r="C468" s="514"/>
      <c r="D468" s="514"/>
      <c r="E468" s="514"/>
      <c r="F468" s="514"/>
      <c r="G468" s="514"/>
      <c r="H468" s="521"/>
      <c r="I468" s="521"/>
      <c r="J468" s="514"/>
      <c r="K468" s="514"/>
      <c r="L468" s="514"/>
      <c r="M468" s="514"/>
      <c r="N468" s="514"/>
      <c r="O468" s="514"/>
      <c r="P468" s="514"/>
      <c r="Q468" s="514"/>
      <c r="R468" s="514"/>
      <c r="S468" s="514"/>
      <c r="T468" s="514"/>
      <c r="U468" s="514"/>
      <c r="V468" s="514"/>
      <c r="W468" s="514"/>
      <c r="X468" s="514"/>
      <c r="Y468" s="514"/>
      <c r="Z468" s="514"/>
      <c r="AA468" s="514"/>
      <c r="AB468" s="514"/>
      <c r="AC468" s="514"/>
      <c r="AD468" s="514"/>
      <c r="AE468" s="514"/>
      <c r="AF468" s="514"/>
      <c r="AG468" s="514"/>
      <c r="AH468" s="514"/>
      <c r="AI468" s="514"/>
      <c r="AJ468" s="514"/>
      <c r="AK468" s="514"/>
      <c r="AL468" s="514"/>
      <c r="AM468" s="514"/>
      <c r="AN468" s="514"/>
    </row>
    <row r="469" ht="16.5" customHeight="1">
      <c r="A469" s="514"/>
      <c r="B469" s="520"/>
      <c r="C469" s="514"/>
      <c r="D469" s="514"/>
      <c r="E469" s="514"/>
      <c r="F469" s="514"/>
      <c r="G469" s="514"/>
      <c r="H469" s="521"/>
      <c r="I469" s="521"/>
      <c r="J469" s="514"/>
      <c r="K469" s="514"/>
      <c r="L469" s="514"/>
      <c r="M469" s="514"/>
      <c r="N469" s="514"/>
      <c r="O469" s="514"/>
      <c r="P469" s="514"/>
      <c r="Q469" s="514"/>
      <c r="R469" s="514"/>
      <c r="S469" s="514"/>
      <c r="T469" s="514"/>
      <c r="U469" s="514"/>
      <c r="V469" s="514"/>
      <c r="W469" s="514"/>
      <c r="X469" s="514"/>
      <c r="Y469" s="514"/>
      <c r="Z469" s="514"/>
      <c r="AA469" s="514"/>
      <c r="AB469" s="514"/>
      <c r="AC469" s="514"/>
      <c r="AD469" s="514"/>
      <c r="AE469" s="514"/>
      <c r="AF469" s="514"/>
      <c r="AG469" s="514"/>
      <c r="AH469" s="514"/>
      <c r="AI469" s="514"/>
      <c r="AJ469" s="514"/>
      <c r="AK469" s="514"/>
      <c r="AL469" s="514"/>
      <c r="AM469" s="514"/>
      <c r="AN469" s="514"/>
    </row>
    <row r="470" ht="16.5" customHeight="1">
      <c r="A470" s="514"/>
      <c r="B470" s="520"/>
      <c r="C470" s="514"/>
      <c r="D470" s="514"/>
      <c r="E470" s="514"/>
      <c r="F470" s="514"/>
      <c r="G470" s="514"/>
      <c r="H470" s="521"/>
      <c r="I470" s="521"/>
      <c r="J470" s="514"/>
      <c r="K470" s="514"/>
      <c r="L470" s="514"/>
      <c r="M470" s="514"/>
      <c r="N470" s="514"/>
      <c r="O470" s="514"/>
      <c r="P470" s="514"/>
      <c r="Q470" s="514"/>
      <c r="R470" s="514"/>
      <c r="S470" s="514"/>
      <c r="T470" s="514"/>
      <c r="U470" s="514"/>
      <c r="V470" s="514"/>
      <c r="W470" s="514"/>
      <c r="X470" s="514"/>
      <c r="Y470" s="514"/>
      <c r="Z470" s="514"/>
      <c r="AA470" s="514"/>
      <c r="AB470" s="514"/>
      <c r="AC470" s="514"/>
      <c r="AD470" s="514"/>
      <c r="AE470" s="514"/>
      <c r="AF470" s="514"/>
      <c r="AG470" s="514"/>
      <c r="AH470" s="514"/>
      <c r="AI470" s="514"/>
      <c r="AJ470" s="514"/>
      <c r="AK470" s="514"/>
      <c r="AL470" s="514"/>
      <c r="AM470" s="514"/>
      <c r="AN470" s="514"/>
    </row>
    <row r="471" ht="16.5" customHeight="1">
      <c r="A471" s="514"/>
      <c r="B471" s="520"/>
      <c r="C471" s="514"/>
      <c r="D471" s="514"/>
      <c r="E471" s="514"/>
      <c r="F471" s="514"/>
      <c r="G471" s="514"/>
      <c r="H471" s="521"/>
      <c r="I471" s="521"/>
      <c r="J471" s="514"/>
      <c r="K471" s="514"/>
      <c r="L471" s="514"/>
      <c r="M471" s="514"/>
      <c r="N471" s="514"/>
      <c r="O471" s="514"/>
      <c r="P471" s="514"/>
      <c r="Q471" s="514"/>
      <c r="R471" s="514"/>
      <c r="S471" s="514"/>
      <c r="T471" s="514"/>
      <c r="U471" s="514"/>
      <c r="V471" s="514"/>
      <c r="W471" s="514"/>
      <c r="X471" s="514"/>
      <c r="Y471" s="514"/>
      <c r="Z471" s="514"/>
      <c r="AA471" s="514"/>
      <c r="AB471" s="514"/>
      <c r="AC471" s="514"/>
      <c r="AD471" s="514"/>
      <c r="AE471" s="514"/>
      <c r="AF471" s="514"/>
      <c r="AG471" s="514"/>
      <c r="AH471" s="514"/>
      <c r="AI471" s="514"/>
      <c r="AJ471" s="514"/>
      <c r="AK471" s="514"/>
      <c r="AL471" s="514"/>
      <c r="AM471" s="514"/>
      <c r="AN471" s="514"/>
    </row>
    <row r="472" ht="16.5" customHeight="1">
      <c r="A472" s="514"/>
      <c r="B472" s="520"/>
      <c r="C472" s="514"/>
      <c r="D472" s="514"/>
      <c r="E472" s="514"/>
      <c r="F472" s="514"/>
      <c r="G472" s="514"/>
      <c r="H472" s="521"/>
      <c r="I472" s="521"/>
      <c r="J472" s="514"/>
      <c r="K472" s="514"/>
      <c r="L472" s="514"/>
      <c r="M472" s="514"/>
      <c r="N472" s="514"/>
      <c r="O472" s="514"/>
      <c r="P472" s="514"/>
      <c r="Q472" s="514"/>
      <c r="R472" s="514"/>
      <c r="S472" s="514"/>
      <c r="T472" s="514"/>
      <c r="U472" s="514"/>
      <c r="V472" s="514"/>
      <c r="W472" s="514"/>
      <c r="X472" s="514"/>
      <c r="Y472" s="514"/>
      <c r="Z472" s="514"/>
      <c r="AA472" s="514"/>
      <c r="AB472" s="514"/>
      <c r="AC472" s="514"/>
      <c r="AD472" s="514"/>
      <c r="AE472" s="514"/>
      <c r="AF472" s="514"/>
      <c r="AG472" s="514"/>
      <c r="AH472" s="514"/>
      <c r="AI472" s="514"/>
      <c r="AJ472" s="514"/>
      <c r="AK472" s="514"/>
      <c r="AL472" s="514"/>
      <c r="AM472" s="514"/>
      <c r="AN472" s="514"/>
    </row>
    <row r="473" ht="16.5" customHeight="1">
      <c r="A473" s="514"/>
      <c r="B473" s="520"/>
      <c r="C473" s="514"/>
      <c r="D473" s="514"/>
      <c r="E473" s="514"/>
      <c r="F473" s="514"/>
      <c r="G473" s="514"/>
      <c r="H473" s="521"/>
      <c r="I473" s="521"/>
      <c r="J473" s="514"/>
      <c r="K473" s="514"/>
      <c r="L473" s="514"/>
      <c r="M473" s="514"/>
      <c r="N473" s="514"/>
      <c r="O473" s="514"/>
      <c r="P473" s="514"/>
      <c r="Q473" s="514"/>
      <c r="R473" s="514"/>
      <c r="S473" s="514"/>
      <c r="T473" s="514"/>
      <c r="U473" s="514"/>
      <c r="V473" s="514"/>
      <c r="W473" s="514"/>
      <c r="X473" s="514"/>
      <c r="Y473" s="514"/>
      <c r="Z473" s="514"/>
      <c r="AA473" s="514"/>
      <c r="AB473" s="514"/>
      <c r="AC473" s="514"/>
      <c r="AD473" s="514"/>
      <c r="AE473" s="514"/>
      <c r="AF473" s="514"/>
      <c r="AG473" s="514"/>
      <c r="AH473" s="514"/>
      <c r="AI473" s="514"/>
      <c r="AJ473" s="514"/>
      <c r="AK473" s="514"/>
      <c r="AL473" s="514"/>
      <c r="AM473" s="514"/>
      <c r="AN473" s="514"/>
    </row>
    <row r="474" ht="16.5" customHeight="1">
      <c r="A474" s="514"/>
      <c r="B474" s="520"/>
      <c r="C474" s="514"/>
      <c r="D474" s="514"/>
      <c r="E474" s="514"/>
      <c r="F474" s="514"/>
      <c r="G474" s="514"/>
      <c r="H474" s="521"/>
      <c r="I474" s="521"/>
      <c r="J474" s="514"/>
      <c r="K474" s="514"/>
      <c r="L474" s="514"/>
      <c r="M474" s="514"/>
      <c r="N474" s="514"/>
      <c r="O474" s="514"/>
      <c r="P474" s="514"/>
      <c r="Q474" s="514"/>
      <c r="R474" s="514"/>
      <c r="S474" s="514"/>
      <c r="T474" s="514"/>
      <c r="U474" s="514"/>
      <c r="V474" s="514"/>
      <c r="W474" s="514"/>
      <c r="X474" s="514"/>
      <c r="Y474" s="514"/>
      <c r="Z474" s="514"/>
      <c r="AA474" s="514"/>
      <c r="AB474" s="514"/>
      <c r="AC474" s="514"/>
      <c r="AD474" s="514"/>
      <c r="AE474" s="514"/>
      <c r="AF474" s="514"/>
      <c r="AG474" s="514"/>
      <c r="AH474" s="514"/>
      <c r="AI474" s="514"/>
      <c r="AJ474" s="514"/>
      <c r="AK474" s="514"/>
      <c r="AL474" s="514"/>
      <c r="AM474" s="514"/>
      <c r="AN474" s="514"/>
    </row>
    <row r="475" ht="16.5" customHeight="1">
      <c r="A475" s="514"/>
      <c r="B475" s="520"/>
      <c r="C475" s="514"/>
      <c r="D475" s="514"/>
      <c r="E475" s="514"/>
      <c r="F475" s="514"/>
      <c r="G475" s="514"/>
      <c r="H475" s="521"/>
      <c r="I475" s="521"/>
      <c r="J475" s="514"/>
      <c r="K475" s="514"/>
      <c r="L475" s="514"/>
      <c r="M475" s="514"/>
      <c r="N475" s="514"/>
      <c r="O475" s="514"/>
      <c r="P475" s="514"/>
      <c r="Q475" s="514"/>
      <c r="R475" s="514"/>
      <c r="S475" s="514"/>
      <c r="T475" s="514"/>
      <c r="U475" s="514"/>
      <c r="V475" s="514"/>
      <c r="W475" s="514"/>
      <c r="X475" s="514"/>
      <c r="Y475" s="514"/>
      <c r="Z475" s="514"/>
      <c r="AA475" s="514"/>
      <c r="AB475" s="514"/>
      <c r="AC475" s="514"/>
      <c r="AD475" s="514"/>
      <c r="AE475" s="514"/>
      <c r="AF475" s="514"/>
      <c r="AG475" s="514"/>
      <c r="AH475" s="514"/>
      <c r="AI475" s="514"/>
      <c r="AJ475" s="514"/>
      <c r="AK475" s="514"/>
      <c r="AL475" s="514"/>
      <c r="AM475" s="514"/>
      <c r="AN475" s="514"/>
    </row>
    <row r="476" ht="16.5" customHeight="1">
      <c r="A476" s="514"/>
      <c r="B476" s="520"/>
      <c r="C476" s="514"/>
      <c r="D476" s="514"/>
      <c r="E476" s="514"/>
      <c r="F476" s="514"/>
      <c r="G476" s="514"/>
      <c r="H476" s="521"/>
      <c r="I476" s="521"/>
      <c r="J476" s="514"/>
      <c r="K476" s="514"/>
      <c r="L476" s="514"/>
      <c r="M476" s="514"/>
      <c r="N476" s="514"/>
      <c r="O476" s="514"/>
      <c r="P476" s="514"/>
      <c r="Q476" s="514"/>
      <c r="R476" s="514"/>
      <c r="S476" s="514"/>
      <c r="T476" s="514"/>
      <c r="U476" s="514"/>
      <c r="V476" s="514"/>
      <c r="W476" s="514"/>
      <c r="X476" s="514"/>
      <c r="Y476" s="514"/>
      <c r="Z476" s="514"/>
      <c r="AA476" s="514"/>
      <c r="AB476" s="514"/>
      <c r="AC476" s="514"/>
      <c r="AD476" s="514"/>
      <c r="AE476" s="514"/>
      <c r="AF476" s="514"/>
      <c r="AG476" s="514"/>
      <c r="AH476" s="514"/>
      <c r="AI476" s="514"/>
      <c r="AJ476" s="514"/>
      <c r="AK476" s="514"/>
      <c r="AL476" s="514"/>
      <c r="AM476" s="514"/>
      <c r="AN476" s="514"/>
    </row>
    <row r="477" ht="16.5" customHeight="1">
      <c r="A477" s="514"/>
      <c r="B477" s="520"/>
      <c r="C477" s="514"/>
      <c r="D477" s="514"/>
      <c r="E477" s="514"/>
      <c r="F477" s="514"/>
      <c r="G477" s="514"/>
      <c r="H477" s="521"/>
      <c r="I477" s="521"/>
      <c r="J477" s="514"/>
      <c r="K477" s="514"/>
      <c r="L477" s="514"/>
      <c r="M477" s="514"/>
      <c r="N477" s="514"/>
      <c r="O477" s="514"/>
      <c r="P477" s="514"/>
      <c r="Q477" s="514"/>
      <c r="R477" s="514"/>
      <c r="S477" s="514"/>
      <c r="T477" s="514"/>
      <c r="U477" s="514"/>
      <c r="V477" s="514"/>
      <c r="W477" s="514"/>
      <c r="X477" s="514"/>
      <c r="Y477" s="514"/>
      <c r="Z477" s="514"/>
      <c r="AA477" s="514"/>
      <c r="AB477" s="514"/>
      <c r="AC477" s="514"/>
      <c r="AD477" s="514"/>
      <c r="AE477" s="514"/>
      <c r="AF477" s="514"/>
      <c r="AG477" s="514"/>
      <c r="AH477" s="514"/>
      <c r="AI477" s="514"/>
      <c r="AJ477" s="514"/>
      <c r="AK477" s="514"/>
      <c r="AL477" s="514"/>
      <c r="AM477" s="514"/>
      <c r="AN477" s="514"/>
    </row>
    <row r="478" ht="16.5" customHeight="1">
      <c r="A478" s="514"/>
      <c r="B478" s="520"/>
      <c r="C478" s="514"/>
      <c r="D478" s="514"/>
      <c r="E478" s="514"/>
      <c r="F478" s="514"/>
      <c r="G478" s="514"/>
      <c r="H478" s="521"/>
      <c r="I478" s="521"/>
      <c r="J478" s="514"/>
      <c r="K478" s="514"/>
      <c r="L478" s="514"/>
      <c r="M478" s="514"/>
      <c r="N478" s="514"/>
      <c r="O478" s="514"/>
      <c r="P478" s="514"/>
      <c r="Q478" s="514"/>
      <c r="R478" s="514"/>
      <c r="S478" s="514"/>
      <c r="T478" s="514"/>
      <c r="U478" s="514"/>
      <c r="V478" s="514"/>
      <c r="W478" s="514"/>
      <c r="X478" s="514"/>
      <c r="Y478" s="514"/>
      <c r="Z478" s="514"/>
      <c r="AA478" s="514"/>
      <c r="AB478" s="514"/>
      <c r="AC478" s="514"/>
      <c r="AD478" s="514"/>
      <c r="AE478" s="514"/>
      <c r="AF478" s="514"/>
      <c r="AG478" s="514"/>
      <c r="AH478" s="514"/>
      <c r="AI478" s="514"/>
      <c r="AJ478" s="514"/>
      <c r="AK478" s="514"/>
      <c r="AL478" s="514"/>
      <c r="AM478" s="514"/>
      <c r="AN478" s="514"/>
    </row>
    <row r="479" ht="16.5" customHeight="1">
      <c r="A479" s="514"/>
      <c r="B479" s="520"/>
      <c r="C479" s="514"/>
      <c r="D479" s="514"/>
      <c r="E479" s="514"/>
      <c r="F479" s="514"/>
      <c r="G479" s="514"/>
      <c r="H479" s="521"/>
      <c r="I479" s="521"/>
      <c r="J479" s="514"/>
      <c r="K479" s="514"/>
      <c r="L479" s="514"/>
      <c r="M479" s="514"/>
      <c r="N479" s="514"/>
      <c r="O479" s="514"/>
      <c r="P479" s="514"/>
      <c r="Q479" s="514"/>
      <c r="R479" s="514"/>
      <c r="S479" s="514"/>
      <c r="T479" s="514"/>
      <c r="U479" s="514"/>
      <c r="V479" s="514"/>
      <c r="W479" s="514"/>
      <c r="X479" s="514"/>
      <c r="Y479" s="514"/>
      <c r="Z479" s="514"/>
      <c r="AA479" s="514"/>
      <c r="AB479" s="514"/>
      <c r="AC479" s="514"/>
      <c r="AD479" s="514"/>
      <c r="AE479" s="514"/>
      <c r="AF479" s="514"/>
      <c r="AG479" s="514"/>
      <c r="AH479" s="514"/>
      <c r="AI479" s="514"/>
      <c r="AJ479" s="514"/>
      <c r="AK479" s="514"/>
      <c r="AL479" s="514"/>
      <c r="AM479" s="514"/>
      <c r="AN479" s="514"/>
    </row>
    <row r="480" ht="16.5" customHeight="1">
      <c r="A480" s="514"/>
      <c r="B480" s="520"/>
      <c r="C480" s="514"/>
      <c r="D480" s="514"/>
      <c r="E480" s="514"/>
      <c r="F480" s="514"/>
      <c r="G480" s="514"/>
      <c r="H480" s="521"/>
      <c r="I480" s="521"/>
      <c r="J480" s="514"/>
      <c r="K480" s="514"/>
      <c r="L480" s="514"/>
      <c r="M480" s="514"/>
      <c r="N480" s="514"/>
      <c r="O480" s="514"/>
      <c r="P480" s="514"/>
      <c r="Q480" s="514"/>
      <c r="R480" s="514"/>
      <c r="S480" s="514"/>
      <c r="T480" s="514"/>
      <c r="U480" s="514"/>
      <c r="V480" s="514"/>
      <c r="W480" s="514"/>
      <c r="X480" s="514"/>
      <c r="Y480" s="514"/>
      <c r="Z480" s="514"/>
      <c r="AA480" s="514"/>
      <c r="AB480" s="514"/>
      <c r="AC480" s="514"/>
      <c r="AD480" s="514"/>
      <c r="AE480" s="514"/>
      <c r="AF480" s="514"/>
      <c r="AG480" s="514"/>
      <c r="AH480" s="514"/>
      <c r="AI480" s="514"/>
      <c r="AJ480" s="514"/>
      <c r="AK480" s="514"/>
      <c r="AL480" s="514"/>
      <c r="AM480" s="514"/>
      <c r="AN480" s="514"/>
    </row>
    <row r="481" ht="16.5" customHeight="1">
      <c r="A481" s="514"/>
      <c r="B481" s="520"/>
      <c r="C481" s="514"/>
      <c r="D481" s="514"/>
      <c r="E481" s="514"/>
      <c r="F481" s="514"/>
      <c r="G481" s="514"/>
      <c r="H481" s="521"/>
      <c r="I481" s="521"/>
      <c r="J481" s="514"/>
      <c r="K481" s="514"/>
      <c r="L481" s="514"/>
      <c r="M481" s="514"/>
      <c r="N481" s="514"/>
      <c r="O481" s="514"/>
      <c r="P481" s="514"/>
      <c r="Q481" s="514"/>
      <c r="R481" s="514"/>
      <c r="S481" s="514"/>
      <c r="T481" s="514"/>
      <c r="U481" s="514"/>
      <c r="V481" s="514"/>
      <c r="W481" s="514"/>
      <c r="X481" s="514"/>
      <c r="Y481" s="514"/>
      <c r="Z481" s="514"/>
      <c r="AA481" s="514"/>
      <c r="AB481" s="514"/>
      <c r="AC481" s="514"/>
      <c r="AD481" s="514"/>
      <c r="AE481" s="514"/>
      <c r="AF481" s="514"/>
      <c r="AG481" s="514"/>
      <c r="AH481" s="514"/>
      <c r="AI481" s="514"/>
      <c r="AJ481" s="514"/>
      <c r="AK481" s="514"/>
      <c r="AL481" s="514"/>
      <c r="AM481" s="514"/>
      <c r="AN481" s="514"/>
    </row>
    <row r="482" ht="16.5" customHeight="1">
      <c r="A482" s="514"/>
      <c r="B482" s="520"/>
      <c r="C482" s="514"/>
      <c r="D482" s="514"/>
      <c r="E482" s="514"/>
      <c r="F482" s="514"/>
      <c r="G482" s="514"/>
      <c r="H482" s="521"/>
      <c r="I482" s="521"/>
      <c r="J482" s="514"/>
      <c r="K482" s="514"/>
      <c r="L482" s="514"/>
      <c r="M482" s="514"/>
      <c r="N482" s="514"/>
      <c r="O482" s="514"/>
      <c r="P482" s="514"/>
      <c r="Q482" s="514"/>
      <c r="R482" s="514"/>
      <c r="S482" s="514"/>
      <c r="T482" s="514"/>
      <c r="U482" s="514"/>
      <c r="V482" s="514"/>
      <c r="W482" s="514"/>
      <c r="X482" s="514"/>
      <c r="Y482" s="514"/>
      <c r="Z482" s="514"/>
      <c r="AA482" s="514"/>
      <c r="AB482" s="514"/>
      <c r="AC482" s="514"/>
      <c r="AD482" s="514"/>
      <c r="AE482" s="514"/>
      <c r="AF482" s="514"/>
      <c r="AG482" s="514"/>
      <c r="AH482" s="514"/>
      <c r="AI482" s="514"/>
      <c r="AJ482" s="514"/>
      <c r="AK482" s="514"/>
      <c r="AL482" s="514"/>
      <c r="AM482" s="514"/>
      <c r="AN482" s="514"/>
    </row>
    <row r="483" ht="16.5" customHeight="1">
      <c r="A483" s="514"/>
      <c r="B483" s="520"/>
      <c r="C483" s="514"/>
      <c r="D483" s="514"/>
      <c r="E483" s="514"/>
      <c r="F483" s="514"/>
      <c r="G483" s="514"/>
      <c r="H483" s="521"/>
      <c r="I483" s="521"/>
      <c r="J483" s="514"/>
      <c r="K483" s="514"/>
      <c r="L483" s="514"/>
      <c r="M483" s="514"/>
      <c r="N483" s="514"/>
      <c r="O483" s="514"/>
      <c r="P483" s="514"/>
      <c r="Q483" s="514"/>
      <c r="R483" s="514"/>
      <c r="S483" s="514"/>
      <c r="T483" s="514"/>
      <c r="U483" s="514"/>
      <c r="V483" s="514"/>
      <c r="W483" s="514"/>
      <c r="X483" s="514"/>
      <c r="Y483" s="514"/>
      <c r="Z483" s="514"/>
      <c r="AA483" s="514"/>
      <c r="AB483" s="514"/>
      <c r="AC483" s="514"/>
      <c r="AD483" s="514"/>
      <c r="AE483" s="514"/>
      <c r="AF483" s="514"/>
      <c r="AG483" s="514"/>
      <c r="AH483" s="514"/>
      <c r="AI483" s="514"/>
      <c r="AJ483" s="514"/>
      <c r="AK483" s="514"/>
      <c r="AL483" s="514"/>
      <c r="AM483" s="514"/>
      <c r="AN483" s="514"/>
    </row>
    <row r="484" ht="16.5" customHeight="1">
      <c r="A484" s="514"/>
      <c r="B484" s="520"/>
      <c r="C484" s="514"/>
      <c r="D484" s="514"/>
      <c r="E484" s="514"/>
      <c r="F484" s="514"/>
      <c r="G484" s="514"/>
      <c r="H484" s="521"/>
      <c r="I484" s="521"/>
      <c r="J484" s="514"/>
      <c r="K484" s="514"/>
      <c r="L484" s="514"/>
      <c r="M484" s="514"/>
      <c r="N484" s="514"/>
      <c r="O484" s="514"/>
      <c r="P484" s="514"/>
      <c r="Q484" s="514"/>
      <c r="R484" s="514"/>
      <c r="S484" s="514"/>
      <c r="T484" s="514"/>
      <c r="U484" s="514"/>
      <c r="V484" s="514"/>
      <c r="W484" s="514"/>
      <c r="X484" s="514"/>
      <c r="Y484" s="514"/>
      <c r="Z484" s="514"/>
      <c r="AA484" s="514"/>
      <c r="AB484" s="514"/>
      <c r="AC484" s="514"/>
      <c r="AD484" s="514"/>
      <c r="AE484" s="514"/>
      <c r="AF484" s="514"/>
      <c r="AG484" s="514"/>
      <c r="AH484" s="514"/>
      <c r="AI484" s="514"/>
      <c r="AJ484" s="514"/>
      <c r="AK484" s="514"/>
      <c r="AL484" s="514"/>
      <c r="AM484" s="514"/>
      <c r="AN484" s="514"/>
    </row>
    <row r="485" ht="16.5" customHeight="1">
      <c r="A485" s="514"/>
      <c r="B485" s="520"/>
      <c r="C485" s="514"/>
      <c r="D485" s="514"/>
      <c r="E485" s="514"/>
      <c r="F485" s="514"/>
      <c r="G485" s="514"/>
      <c r="H485" s="521"/>
      <c r="I485" s="521"/>
      <c r="J485" s="514"/>
      <c r="K485" s="514"/>
      <c r="L485" s="514"/>
      <c r="M485" s="514"/>
      <c r="N485" s="514"/>
      <c r="O485" s="514"/>
      <c r="P485" s="514"/>
      <c r="Q485" s="514"/>
      <c r="R485" s="514"/>
      <c r="S485" s="514"/>
      <c r="T485" s="514"/>
      <c r="U485" s="514"/>
      <c r="V485" s="514"/>
      <c r="W485" s="514"/>
      <c r="X485" s="514"/>
      <c r="Y485" s="514"/>
      <c r="Z485" s="514"/>
      <c r="AA485" s="514"/>
      <c r="AB485" s="514"/>
      <c r="AC485" s="514"/>
      <c r="AD485" s="514"/>
      <c r="AE485" s="514"/>
      <c r="AF485" s="514"/>
      <c r="AG485" s="514"/>
      <c r="AH485" s="514"/>
      <c r="AI485" s="514"/>
      <c r="AJ485" s="514"/>
      <c r="AK485" s="514"/>
      <c r="AL485" s="514"/>
      <c r="AM485" s="514"/>
      <c r="AN485" s="514"/>
    </row>
    <row r="486" ht="16.5" customHeight="1">
      <c r="A486" s="514"/>
      <c r="B486" s="520"/>
      <c r="C486" s="514"/>
      <c r="D486" s="514"/>
      <c r="E486" s="514"/>
      <c r="F486" s="514"/>
      <c r="G486" s="514"/>
      <c r="H486" s="521"/>
      <c r="I486" s="521"/>
      <c r="J486" s="514"/>
      <c r="K486" s="514"/>
      <c r="L486" s="514"/>
      <c r="M486" s="514"/>
      <c r="N486" s="514"/>
      <c r="O486" s="514"/>
      <c r="P486" s="514"/>
      <c r="Q486" s="514"/>
      <c r="R486" s="514"/>
      <c r="S486" s="514"/>
      <c r="T486" s="514"/>
      <c r="U486" s="514"/>
      <c r="V486" s="514"/>
      <c r="W486" s="514"/>
      <c r="X486" s="514"/>
      <c r="Y486" s="514"/>
      <c r="Z486" s="514"/>
      <c r="AA486" s="514"/>
      <c r="AB486" s="514"/>
      <c r="AC486" s="514"/>
      <c r="AD486" s="514"/>
      <c r="AE486" s="514"/>
      <c r="AF486" s="514"/>
      <c r="AG486" s="514"/>
      <c r="AH486" s="514"/>
      <c r="AI486" s="514"/>
      <c r="AJ486" s="514"/>
      <c r="AK486" s="514"/>
      <c r="AL486" s="514"/>
      <c r="AM486" s="514"/>
      <c r="AN486" s="514"/>
    </row>
    <row r="487" ht="16.5" customHeight="1">
      <c r="A487" s="514"/>
      <c r="B487" s="520"/>
      <c r="C487" s="514"/>
      <c r="D487" s="514"/>
      <c r="E487" s="514"/>
      <c r="F487" s="514"/>
      <c r="G487" s="514"/>
      <c r="H487" s="521"/>
      <c r="I487" s="521"/>
      <c r="J487" s="514"/>
      <c r="K487" s="514"/>
      <c r="L487" s="514"/>
      <c r="M487" s="514"/>
      <c r="N487" s="514"/>
      <c r="O487" s="514"/>
      <c r="P487" s="514"/>
      <c r="Q487" s="514"/>
      <c r="R487" s="514"/>
      <c r="S487" s="514"/>
      <c r="T487" s="514"/>
      <c r="U487" s="514"/>
      <c r="V487" s="514"/>
      <c r="W487" s="514"/>
      <c r="X487" s="514"/>
      <c r="Y487" s="514"/>
      <c r="Z487" s="514"/>
      <c r="AA487" s="514"/>
      <c r="AB487" s="514"/>
      <c r="AC487" s="514"/>
      <c r="AD487" s="514"/>
      <c r="AE487" s="514"/>
      <c r="AF487" s="514"/>
      <c r="AG487" s="514"/>
      <c r="AH487" s="514"/>
      <c r="AI487" s="514"/>
      <c r="AJ487" s="514"/>
      <c r="AK487" s="514"/>
      <c r="AL487" s="514"/>
      <c r="AM487" s="514"/>
      <c r="AN487" s="514"/>
    </row>
    <row r="488" ht="16.5" customHeight="1">
      <c r="A488" s="514"/>
      <c r="B488" s="520"/>
      <c r="C488" s="514"/>
      <c r="D488" s="514"/>
      <c r="E488" s="514"/>
      <c r="F488" s="514"/>
      <c r="G488" s="514"/>
      <c r="H488" s="521"/>
      <c r="I488" s="521"/>
      <c r="J488" s="514"/>
      <c r="K488" s="514"/>
      <c r="L488" s="514"/>
      <c r="M488" s="514"/>
      <c r="N488" s="514"/>
      <c r="O488" s="514"/>
      <c r="P488" s="514"/>
      <c r="Q488" s="514"/>
      <c r="R488" s="514"/>
      <c r="S488" s="514"/>
      <c r="T488" s="514"/>
      <c r="U488" s="514"/>
      <c r="V488" s="514"/>
      <c r="W488" s="514"/>
      <c r="X488" s="514"/>
      <c r="Y488" s="514"/>
      <c r="Z488" s="514"/>
      <c r="AA488" s="514"/>
      <c r="AB488" s="514"/>
      <c r="AC488" s="514"/>
      <c r="AD488" s="514"/>
      <c r="AE488" s="514"/>
      <c r="AF488" s="514"/>
      <c r="AG488" s="514"/>
      <c r="AH488" s="514"/>
      <c r="AI488" s="514"/>
      <c r="AJ488" s="514"/>
      <c r="AK488" s="514"/>
      <c r="AL488" s="514"/>
      <c r="AM488" s="514"/>
      <c r="AN488" s="514"/>
    </row>
    <row r="489" ht="16.5" customHeight="1">
      <c r="A489" s="514"/>
      <c r="B489" s="520"/>
      <c r="C489" s="514"/>
      <c r="D489" s="514"/>
      <c r="E489" s="514"/>
      <c r="F489" s="514"/>
      <c r="G489" s="514"/>
      <c r="H489" s="521"/>
      <c r="I489" s="521"/>
      <c r="J489" s="514"/>
      <c r="K489" s="514"/>
      <c r="L489" s="514"/>
      <c r="M489" s="514"/>
      <c r="N489" s="514"/>
      <c r="O489" s="514"/>
      <c r="P489" s="514"/>
      <c r="Q489" s="514"/>
      <c r="R489" s="514"/>
      <c r="S489" s="514"/>
      <c r="T489" s="514"/>
      <c r="U489" s="514"/>
      <c r="V489" s="514"/>
      <c r="W489" s="514"/>
      <c r="X489" s="514"/>
      <c r="Y489" s="514"/>
      <c r="Z489" s="514"/>
      <c r="AA489" s="514"/>
      <c r="AB489" s="514"/>
      <c r="AC489" s="514"/>
      <c r="AD489" s="514"/>
      <c r="AE489" s="514"/>
      <c r="AF489" s="514"/>
      <c r="AG489" s="514"/>
      <c r="AH489" s="514"/>
      <c r="AI489" s="514"/>
      <c r="AJ489" s="514"/>
      <c r="AK489" s="514"/>
      <c r="AL489" s="514"/>
      <c r="AM489" s="514"/>
      <c r="AN489" s="514"/>
    </row>
    <row r="490" ht="16.5" customHeight="1">
      <c r="A490" s="514"/>
      <c r="B490" s="520"/>
      <c r="C490" s="514"/>
      <c r="D490" s="514"/>
      <c r="E490" s="514"/>
      <c r="F490" s="514"/>
      <c r="G490" s="514"/>
      <c r="H490" s="521"/>
      <c r="I490" s="521"/>
      <c r="J490" s="514"/>
      <c r="K490" s="514"/>
      <c r="L490" s="514"/>
      <c r="M490" s="514"/>
      <c r="N490" s="514"/>
      <c r="O490" s="514"/>
      <c r="P490" s="514"/>
      <c r="Q490" s="514"/>
      <c r="R490" s="514"/>
      <c r="S490" s="514"/>
      <c r="T490" s="514"/>
      <c r="U490" s="514"/>
      <c r="V490" s="514"/>
      <c r="W490" s="514"/>
      <c r="X490" s="514"/>
      <c r="Y490" s="514"/>
      <c r="Z490" s="514"/>
      <c r="AA490" s="514"/>
      <c r="AB490" s="514"/>
      <c r="AC490" s="514"/>
      <c r="AD490" s="514"/>
      <c r="AE490" s="514"/>
      <c r="AF490" s="514"/>
      <c r="AG490" s="514"/>
      <c r="AH490" s="514"/>
      <c r="AI490" s="514"/>
      <c r="AJ490" s="514"/>
      <c r="AK490" s="514"/>
      <c r="AL490" s="514"/>
      <c r="AM490" s="514"/>
      <c r="AN490" s="514"/>
    </row>
    <row r="491" ht="16.5" customHeight="1">
      <c r="A491" s="514"/>
      <c r="B491" s="520"/>
      <c r="C491" s="514"/>
      <c r="D491" s="514"/>
      <c r="E491" s="514"/>
      <c r="F491" s="514"/>
      <c r="G491" s="514"/>
      <c r="H491" s="521"/>
      <c r="I491" s="521"/>
      <c r="J491" s="514"/>
      <c r="K491" s="514"/>
      <c r="L491" s="514"/>
      <c r="M491" s="514"/>
      <c r="N491" s="514"/>
      <c r="O491" s="514"/>
      <c r="P491" s="514"/>
      <c r="Q491" s="514"/>
      <c r="R491" s="514"/>
      <c r="S491" s="514"/>
      <c r="T491" s="514"/>
      <c r="U491" s="514"/>
      <c r="V491" s="514"/>
      <c r="W491" s="514"/>
      <c r="X491" s="514"/>
      <c r="Y491" s="514"/>
      <c r="Z491" s="514"/>
      <c r="AA491" s="514"/>
      <c r="AB491" s="514"/>
      <c r="AC491" s="514"/>
      <c r="AD491" s="514"/>
      <c r="AE491" s="514"/>
      <c r="AF491" s="514"/>
      <c r="AG491" s="514"/>
      <c r="AH491" s="514"/>
      <c r="AI491" s="514"/>
      <c r="AJ491" s="514"/>
      <c r="AK491" s="514"/>
      <c r="AL491" s="514"/>
      <c r="AM491" s="514"/>
      <c r="AN491" s="514"/>
    </row>
    <row r="492" ht="16.5" customHeight="1">
      <c r="A492" s="514"/>
      <c r="B492" s="520"/>
      <c r="C492" s="514"/>
      <c r="D492" s="514"/>
      <c r="E492" s="514"/>
      <c r="F492" s="514"/>
      <c r="G492" s="514"/>
      <c r="H492" s="521"/>
      <c r="I492" s="521"/>
      <c r="J492" s="514"/>
      <c r="K492" s="514"/>
      <c r="L492" s="514"/>
      <c r="M492" s="514"/>
      <c r="N492" s="514"/>
      <c r="O492" s="514"/>
      <c r="P492" s="514"/>
      <c r="Q492" s="514"/>
      <c r="R492" s="514"/>
      <c r="S492" s="514"/>
      <c r="T492" s="514"/>
      <c r="U492" s="514"/>
      <c r="V492" s="514"/>
      <c r="W492" s="514"/>
      <c r="X492" s="514"/>
      <c r="Y492" s="514"/>
      <c r="Z492" s="514"/>
      <c r="AA492" s="514"/>
      <c r="AB492" s="514"/>
      <c r="AC492" s="514"/>
      <c r="AD492" s="514"/>
      <c r="AE492" s="514"/>
      <c r="AF492" s="514"/>
      <c r="AG492" s="514"/>
      <c r="AH492" s="514"/>
      <c r="AI492" s="514"/>
      <c r="AJ492" s="514"/>
      <c r="AK492" s="514"/>
      <c r="AL492" s="514"/>
      <c r="AM492" s="514"/>
      <c r="AN492" s="514"/>
    </row>
    <row r="493" ht="16.5" customHeight="1">
      <c r="A493" s="514"/>
      <c r="B493" s="520"/>
      <c r="C493" s="514"/>
      <c r="D493" s="514"/>
      <c r="E493" s="514"/>
      <c r="F493" s="514"/>
      <c r="G493" s="514"/>
      <c r="H493" s="521"/>
      <c r="I493" s="521"/>
      <c r="J493" s="514"/>
      <c r="K493" s="514"/>
      <c r="L493" s="514"/>
      <c r="M493" s="514"/>
      <c r="N493" s="514"/>
      <c r="O493" s="514"/>
      <c r="P493" s="514"/>
      <c r="Q493" s="514"/>
      <c r="R493" s="514"/>
      <c r="S493" s="514"/>
      <c r="T493" s="514"/>
      <c r="U493" s="514"/>
      <c r="V493" s="514"/>
      <c r="W493" s="514"/>
      <c r="X493" s="514"/>
      <c r="Y493" s="514"/>
      <c r="Z493" s="514"/>
      <c r="AA493" s="514"/>
      <c r="AB493" s="514"/>
      <c r="AC493" s="514"/>
      <c r="AD493" s="514"/>
      <c r="AE493" s="514"/>
      <c r="AF493" s="514"/>
      <c r="AG493" s="514"/>
      <c r="AH493" s="514"/>
      <c r="AI493" s="514"/>
      <c r="AJ493" s="514"/>
      <c r="AK493" s="514"/>
      <c r="AL493" s="514"/>
      <c r="AM493" s="514"/>
      <c r="AN493" s="514"/>
    </row>
    <row r="494" ht="16.5" customHeight="1">
      <c r="A494" s="514"/>
      <c r="B494" s="520"/>
      <c r="C494" s="514"/>
      <c r="D494" s="514"/>
      <c r="E494" s="514"/>
      <c r="F494" s="514"/>
      <c r="G494" s="514"/>
      <c r="H494" s="521"/>
      <c r="I494" s="521"/>
      <c r="J494" s="514"/>
      <c r="K494" s="514"/>
      <c r="L494" s="514"/>
      <c r="M494" s="514"/>
      <c r="N494" s="514"/>
      <c r="O494" s="514"/>
      <c r="P494" s="514"/>
      <c r="Q494" s="514"/>
      <c r="R494" s="514"/>
      <c r="S494" s="514"/>
      <c r="T494" s="514"/>
      <c r="U494" s="514"/>
      <c r="V494" s="514"/>
      <c r="W494" s="514"/>
      <c r="X494" s="514"/>
      <c r="Y494" s="514"/>
      <c r="Z494" s="514"/>
      <c r="AA494" s="514"/>
      <c r="AB494" s="514"/>
      <c r="AC494" s="514"/>
      <c r="AD494" s="514"/>
      <c r="AE494" s="514"/>
      <c r="AF494" s="514"/>
      <c r="AG494" s="514"/>
      <c r="AH494" s="514"/>
      <c r="AI494" s="514"/>
      <c r="AJ494" s="514"/>
      <c r="AK494" s="514"/>
      <c r="AL494" s="514"/>
      <c r="AM494" s="514"/>
      <c r="AN494" s="514"/>
    </row>
    <row r="495" ht="16.5" customHeight="1">
      <c r="A495" s="514"/>
      <c r="B495" s="520"/>
      <c r="C495" s="514"/>
      <c r="D495" s="514"/>
      <c r="E495" s="514"/>
      <c r="F495" s="514"/>
      <c r="G495" s="514"/>
      <c r="H495" s="521"/>
      <c r="I495" s="521"/>
      <c r="J495" s="514"/>
      <c r="K495" s="514"/>
      <c r="L495" s="514"/>
      <c r="M495" s="514"/>
      <c r="N495" s="514"/>
      <c r="O495" s="514"/>
      <c r="P495" s="514"/>
      <c r="Q495" s="514"/>
      <c r="R495" s="514"/>
      <c r="S495" s="514"/>
      <c r="T495" s="514"/>
      <c r="U495" s="514"/>
      <c r="V495" s="514"/>
      <c r="W495" s="514"/>
      <c r="X495" s="514"/>
      <c r="Y495" s="514"/>
      <c r="Z495" s="514"/>
      <c r="AA495" s="514"/>
      <c r="AB495" s="514"/>
      <c r="AC495" s="514"/>
      <c r="AD495" s="514"/>
      <c r="AE495" s="514"/>
      <c r="AF495" s="514"/>
      <c r="AG495" s="514"/>
      <c r="AH495" s="514"/>
      <c r="AI495" s="514"/>
      <c r="AJ495" s="514"/>
      <c r="AK495" s="514"/>
      <c r="AL495" s="514"/>
      <c r="AM495" s="514"/>
      <c r="AN495" s="514"/>
    </row>
    <row r="496" ht="16.5" customHeight="1">
      <c r="A496" s="514"/>
      <c r="B496" s="520"/>
      <c r="C496" s="514"/>
      <c r="D496" s="514"/>
      <c r="E496" s="514"/>
      <c r="F496" s="514"/>
      <c r="G496" s="514"/>
      <c r="H496" s="521"/>
      <c r="I496" s="521"/>
      <c r="J496" s="514"/>
      <c r="K496" s="514"/>
      <c r="L496" s="514"/>
      <c r="M496" s="514"/>
      <c r="N496" s="514"/>
      <c r="O496" s="514"/>
      <c r="P496" s="514"/>
      <c r="Q496" s="514"/>
      <c r="R496" s="514"/>
      <c r="S496" s="514"/>
      <c r="T496" s="514"/>
      <c r="U496" s="514"/>
      <c r="V496" s="514"/>
      <c r="W496" s="514"/>
      <c r="X496" s="514"/>
      <c r="Y496" s="514"/>
      <c r="Z496" s="514"/>
      <c r="AA496" s="514"/>
      <c r="AB496" s="514"/>
      <c r="AC496" s="514"/>
      <c r="AD496" s="514"/>
      <c r="AE496" s="514"/>
      <c r="AF496" s="514"/>
      <c r="AG496" s="514"/>
      <c r="AH496" s="514"/>
      <c r="AI496" s="514"/>
      <c r="AJ496" s="514"/>
      <c r="AK496" s="514"/>
      <c r="AL496" s="514"/>
      <c r="AM496" s="514"/>
      <c r="AN496" s="514"/>
    </row>
    <row r="497" ht="16.5" customHeight="1">
      <c r="A497" s="514"/>
      <c r="B497" s="520"/>
      <c r="C497" s="514"/>
      <c r="D497" s="514"/>
      <c r="E497" s="514"/>
      <c r="F497" s="514"/>
      <c r="G497" s="514"/>
      <c r="H497" s="521"/>
      <c r="I497" s="521"/>
      <c r="J497" s="514"/>
      <c r="K497" s="514"/>
      <c r="L497" s="514"/>
      <c r="M497" s="514"/>
      <c r="N497" s="514"/>
      <c r="O497" s="514"/>
      <c r="P497" s="514"/>
      <c r="Q497" s="514"/>
      <c r="R497" s="514"/>
      <c r="S497" s="514"/>
      <c r="T497" s="514"/>
      <c r="U497" s="514"/>
      <c r="V497" s="514"/>
      <c r="W497" s="514"/>
      <c r="X497" s="514"/>
      <c r="Y497" s="514"/>
      <c r="Z497" s="514"/>
      <c r="AA497" s="514"/>
      <c r="AB497" s="514"/>
      <c r="AC497" s="514"/>
      <c r="AD497" s="514"/>
      <c r="AE497" s="514"/>
      <c r="AF497" s="514"/>
      <c r="AG497" s="514"/>
      <c r="AH497" s="514"/>
      <c r="AI497" s="514"/>
      <c r="AJ497" s="514"/>
      <c r="AK497" s="514"/>
      <c r="AL497" s="514"/>
      <c r="AM497" s="514"/>
      <c r="AN497" s="514"/>
    </row>
    <row r="498" ht="16.5" customHeight="1">
      <c r="A498" s="514"/>
      <c r="B498" s="520"/>
      <c r="C498" s="514"/>
      <c r="D498" s="514"/>
      <c r="E498" s="514"/>
      <c r="F498" s="514"/>
      <c r="G498" s="514"/>
      <c r="H498" s="521"/>
      <c r="I498" s="521"/>
      <c r="J498" s="514"/>
      <c r="K498" s="514"/>
      <c r="L498" s="514"/>
      <c r="M498" s="514"/>
      <c r="N498" s="514"/>
      <c r="O498" s="514"/>
      <c r="P498" s="514"/>
      <c r="Q498" s="514"/>
      <c r="R498" s="514"/>
      <c r="S498" s="514"/>
      <c r="T498" s="514"/>
      <c r="U498" s="514"/>
      <c r="V498" s="514"/>
      <c r="W498" s="514"/>
      <c r="X498" s="514"/>
      <c r="Y498" s="514"/>
      <c r="Z498" s="514"/>
      <c r="AA498" s="514"/>
      <c r="AB498" s="514"/>
      <c r="AC498" s="514"/>
      <c r="AD498" s="514"/>
      <c r="AE498" s="514"/>
      <c r="AF498" s="514"/>
      <c r="AG498" s="514"/>
      <c r="AH498" s="514"/>
      <c r="AI498" s="514"/>
      <c r="AJ498" s="514"/>
      <c r="AK498" s="514"/>
      <c r="AL498" s="514"/>
      <c r="AM498" s="514"/>
      <c r="AN498" s="514"/>
    </row>
    <row r="499" ht="16.5" customHeight="1">
      <c r="A499" s="514"/>
      <c r="B499" s="520"/>
      <c r="C499" s="514"/>
      <c r="D499" s="514"/>
      <c r="E499" s="514"/>
      <c r="F499" s="514"/>
      <c r="G499" s="514"/>
      <c r="H499" s="521"/>
      <c r="I499" s="521"/>
      <c r="J499" s="514"/>
      <c r="K499" s="514"/>
      <c r="L499" s="514"/>
      <c r="M499" s="514"/>
      <c r="N499" s="514"/>
      <c r="O499" s="514"/>
      <c r="P499" s="514"/>
      <c r="Q499" s="514"/>
      <c r="R499" s="514"/>
      <c r="S499" s="514"/>
      <c r="T499" s="514"/>
      <c r="U499" s="514"/>
      <c r="V499" s="514"/>
      <c r="W499" s="514"/>
      <c r="X499" s="514"/>
      <c r="Y499" s="514"/>
      <c r="Z499" s="514"/>
      <c r="AA499" s="514"/>
      <c r="AB499" s="514"/>
      <c r="AC499" s="514"/>
      <c r="AD499" s="514"/>
      <c r="AE499" s="514"/>
      <c r="AF499" s="514"/>
      <c r="AG499" s="514"/>
      <c r="AH499" s="514"/>
      <c r="AI499" s="514"/>
      <c r="AJ499" s="514"/>
      <c r="AK499" s="514"/>
      <c r="AL499" s="514"/>
      <c r="AM499" s="514"/>
      <c r="AN499" s="514"/>
    </row>
    <row r="500" ht="16.5" customHeight="1">
      <c r="A500" s="514"/>
      <c r="B500" s="520"/>
      <c r="C500" s="514"/>
      <c r="D500" s="514"/>
      <c r="E500" s="514"/>
      <c r="F500" s="514"/>
      <c r="G500" s="514"/>
      <c r="H500" s="521"/>
      <c r="I500" s="521"/>
      <c r="J500" s="514"/>
      <c r="K500" s="514"/>
      <c r="L500" s="514"/>
      <c r="M500" s="514"/>
      <c r="N500" s="514"/>
      <c r="O500" s="514"/>
      <c r="P500" s="514"/>
      <c r="Q500" s="514"/>
      <c r="R500" s="514"/>
      <c r="S500" s="514"/>
      <c r="T500" s="514"/>
      <c r="U500" s="514"/>
      <c r="V500" s="514"/>
      <c r="W500" s="514"/>
      <c r="X500" s="514"/>
      <c r="Y500" s="514"/>
      <c r="Z500" s="514"/>
      <c r="AA500" s="514"/>
      <c r="AB500" s="514"/>
      <c r="AC500" s="514"/>
      <c r="AD500" s="514"/>
      <c r="AE500" s="514"/>
      <c r="AF500" s="514"/>
      <c r="AG500" s="514"/>
      <c r="AH500" s="514"/>
      <c r="AI500" s="514"/>
      <c r="AJ500" s="514"/>
      <c r="AK500" s="514"/>
      <c r="AL500" s="514"/>
      <c r="AM500" s="514"/>
      <c r="AN500" s="514"/>
    </row>
    <row r="501" ht="16.5" customHeight="1">
      <c r="A501" s="514"/>
      <c r="B501" s="520"/>
      <c r="C501" s="514"/>
      <c r="D501" s="514"/>
      <c r="E501" s="514"/>
      <c r="F501" s="514"/>
      <c r="G501" s="514"/>
      <c r="H501" s="521"/>
      <c r="I501" s="521"/>
      <c r="J501" s="514"/>
      <c r="K501" s="514"/>
      <c r="L501" s="514"/>
      <c r="M501" s="514"/>
      <c r="N501" s="514"/>
      <c r="O501" s="514"/>
      <c r="P501" s="514"/>
      <c r="Q501" s="514"/>
      <c r="R501" s="514"/>
      <c r="S501" s="514"/>
      <c r="T501" s="514"/>
      <c r="U501" s="514"/>
      <c r="V501" s="514"/>
      <c r="W501" s="514"/>
      <c r="X501" s="514"/>
      <c r="Y501" s="514"/>
      <c r="Z501" s="514"/>
      <c r="AA501" s="514"/>
      <c r="AB501" s="514"/>
      <c r="AC501" s="514"/>
      <c r="AD501" s="514"/>
      <c r="AE501" s="514"/>
      <c r="AF501" s="514"/>
      <c r="AG501" s="514"/>
      <c r="AH501" s="514"/>
      <c r="AI501" s="514"/>
      <c r="AJ501" s="514"/>
      <c r="AK501" s="514"/>
      <c r="AL501" s="514"/>
      <c r="AM501" s="514"/>
      <c r="AN501" s="514"/>
    </row>
    <row r="502" ht="16.5" customHeight="1">
      <c r="A502" s="514"/>
      <c r="B502" s="520"/>
      <c r="C502" s="514"/>
      <c r="D502" s="514"/>
      <c r="E502" s="514"/>
      <c r="F502" s="514"/>
      <c r="G502" s="514"/>
      <c r="H502" s="521"/>
      <c r="I502" s="521"/>
      <c r="J502" s="514"/>
      <c r="K502" s="514"/>
      <c r="L502" s="514"/>
      <c r="M502" s="514"/>
      <c r="N502" s="514"/>
      <c r="O502" s="514"/>
      <c r="P502" s="514"/>
      <c r="Q502" s="514"/>
      <c r="R502" s="514"/>
      <c r="S502" s="514"/>
      <c r="T502" s="514"/>
      <c r="U502" s="514"/>
      <c r="V502" s="514"/>
      <c r="W502" s="514"/>
      <c r="X502" s="514"/>
      <c r="Y502" s="514"/>
      <c r="Z502" s="514"/>
      <c r="AA502" s="514"/>
      <c r="AB502" s="514"/>
      <c r="AC502" s="514"/>
      <c r="AD502" s="514"/>
      <c r="AE502" s="514"/>
      <c r="AF502" s="514"/>
      <c r="AG502" s="514"/>
      <c r="AH502" s="514"/>
      <c r="AI502" s="514"/>
      <c r="AJ502" s="514"/>
      <c r="AK502" s="514"/>
      <c r="AL502" s="514"/>
      <c r="AM502" s="514"/>
      <c r="AN502" s="514"/>
    </row>
    <row r="503" ht="16.5" customHeight="1">
      <c r="A503" s="514"/>
      <c r="B503" s="520"/>
      <c r="C503" s="514"/>
      <c r="D503" s="514"/>
      <c r="E503" s="514"/>
      <c r="F503" s="514"/>
      <c r="G503" s="514"/>
      <c r="H503" s="521"/>
      <c r="I503" s="521"/>
      <c r="J503" s="514"/>
      <c r="K503" s="514"/>
      <c r="L503" s="514"/>
      <c r="M503" s="514"/>
      <c r="N503" s="514"/>
      <c r="O503" s="514"/>
      <c r="P503" s="514"/>
      <c r="Q503" s="514"/>
      <c r="R503" s="514"/>
      <c r="S503" s="514"/>
      <c r="T503" s="514"/>
      <c r="U503" s="514"/>
      <c r="V503" s="514"/>
      <c r="W503" s="514"/>
      <c r="X503" s="514"/>
      <c r="Y503" s="514"/>
      <c r="Z503" s="514"/>
      <c r="AA503" s="514"/>
      <c r="AB503" s="514"/>
      <c r="AC503" s="514"/>
      <c r="AD503" s="514"/>
      <c r="AE503" s="514"/>
      <c r="AF503" s="514"/>
      <c r="AG503" s="514"/>
      <c r="AH503" s="514"/>
      <c r="AI503" s="514"/>
      <c r="AJ503" s="514"/>
      <c r="AK503" s="514"/>
      <c r="AL503" s="514"/>
      <c r="AM503" s="514"/>
      <c r="AN503" s="514"/>
    </row>
    <row r="504" ht="16.5" customHeight="1">
      <c r="A504" s="514"/>
      <c r="B504" s="520"/>
      <c r="C504" s="514"/>
      <c r="D504" s="514"/>
      <c r="E504" s="514"/>
      <c r="F504" s="514"/>
      <c r="G504" s="514"/>
      <c r="H504" s="521"/>
      <c r="I504" s="521"/>
      <c r="J504" s="514"/>
      <c r="K504" s="514"/>
      <c r="L504" s="514"/>
      <c r="M504" s="514"/>
      <c r="N504" s="514"/>
      <c r="O504" s="514"/>
      <c r="P504" s="514"/>
      <c r="Q504" s="514"/>
      <c r="R504" s="514"/>
      <c r="S504" s="514"/>
      <c r="T504" s="514"/>
      <c r="U504" s="514"/>
      <c r="V504" s="514"/>
      <c r="W504" s="514"/>
      <c r="X504" s="514"/>
      <c r="Y504" s="514"/>
      <c r="Z504" s="514"/>
      <c r="AA504" s="514"/>
      <c r="AB504" s="514"/>
      <c r="AC504" s="514"/>
      <c r="AD504" s="514"/>
      <c r="AE504" s="514"/>
      <c r="AF504" s="514"/>
      <c r="AG504" s="514"/>
      <c r="AH504" s="514"/>
      <c r="AI504" s="514"/>
      <c r="AJ504" s="514"/>
      <c r="AK504" s="514"/>
      <c r="AL504" s="514"/>
      <c r="AM504" s="514"/>
      <c r="AN504" s="514"/>
    </row>
    <row r="505" ht="16.5" customHeight="1">
      <c r="A505" s="514"/>
      <c r="B505" s="520"/>
      <c r="C505" s="514"/>
      <c r="D505" s="514"/>
      <c r="E505" s="514"/>
      <c r="F505" s="514"/>
      <c r="G505" s="514"/>
      <c r="H505" s="521"/>
      <c r="I505" s="521"/>
      <c r="J505" s="514"/>
      <c r="K505" s="514"/>
      <c r="L505" s="514"/>
      <c r="M505" s="514"/>
      <c r="N505" s="514"/>
      <c r="O505" s="514"/>
      <c r="P505" s="514"/>
      <c r="Q505" s="514"/>
      <c r="R505" s="514"/>
      <c r="S505" s="514"/>
      <c r="T505" s="514"/>
      <c r="U505" s="514"/>
      <c r="V505" s="514"/>
      <c r="W505" s="514"/>
      <c r="X505" s="514"/>
      <c r="Y505" s="514"/>
      <c r="Z505" s="514"/>
      <c r="AA505" s="514"/>
      <c r="AB505" s="514"/>
      <c r="AC505" s="514"/>
      <c r="AD505" s="514"/>
      <c r="AE505" s="514"/>
      <c r="AF505" s="514"/>
      <c r="AG505" s="514"/>
      <c r="AH505" s="514"/>
      <c r="AI505" s="514"/>
      <c r="AJ505" s="514"/>
      <c r="AK505" s="514"/>
      <c r="AL505" s="514"/>
      <c r="AM505" s="514"/>
      <c r="AN505" s="514"/>
    </row>
    <row r="506" ht="16.5" customHeight="1">
      <c r="A506" s="514"/>
      <c r="B506" s="520"/>
      <c r="C506" s="514"/>
      <c r="D506" s="514"/>
      <c r="E506" s="514"/>
      <c r="F506" s="514"/>
      <c r="G506" s="514"/>
      <c r="H506" s="521"/>
      <c r="I506" s="521"/>
      <c r="J506" s="514"/>
      <c r="K506" s="514"/>
      <c r="L506" s="514"/>
      <c r="M506" s="514"/>
      <c r="N506" s="514"/>
      <c r="O506" s="514"/>
      <c r="P506" s="514"/>
      <c r="Q506" s="514"/>
      <c r="R506" s="514"/>
      <c r="S506" s="514"/>
      <c r="T506" s="514"/>
      <c r="U506" s="514"/>
      <c r="V506" s="514"/>
      <c r="W506" s="514"/>
      <c r="X506" s="514"/>
      <c r="Y506" s="514"/>
      <c r="Z506" s="514"/>
      <c r="AA506" s="514"/>
      <c r="AB506" s="514"/>
      <c r="AC506" s="514"/>
      <c r="AD506" s="514"/>
      <c r="AE506" s="514"/>
      <c r="AF506" s="514"/>
      <c r="AG506" s="514"/>
      <c r="AH506" s="514"/>
      <c r="AI506" s="514"/>
      <c r="AJ506" s="514"/>
      <c r="AK506" s="514"/>
      <c r="AL506" s="514"/>
      <c r="AM506" s="514"/>
      <c r="AN506" s="514"/>
    </row>
    <row r="507" ht="16.5" customHeight="1">
      <c r="A507" s="514"/>
      <c r="B507" s="520"/>
      <c r="C507" s="514"/>
      <c r="D507" s="514"/>
      <c r="E507" s="514"/>
      <c r="F507" s="514"/>
      <c r="G507" s="514"/>
      <c r="H507" s="521"/>
      <c r="I507" s="521"/>
      <c r="J507" s="514"/>
      <c r="K507" s="514"/>
      <c r="L507" s="514"/>
      <c r="M507" s="514"/>
      <c r="N507" s="514"/>
      <c r="O507" s="514"/>
      <c r="P507" s="514"/>
      <c r="Q507" s="514"/>
      <c r="R507" s="514"/>
      <c r="S507" s="514"/>
      <c r="T507" s="514"/>
      <c r="U507" s="514"/>
      <c r="V507" s="514"/>
      <c r="W507" s="514"/>
      <c r="X507" s="514"/>
      <c r="Y507" s="514"/>
      <c r="Z507" s="514"/>
      <c r="AA507" s="514"/>
      <c r="AB507" s="514"/>
      <c r="AC507" s="514"/>
      <c r="AD507" s="514"/>
      <c r="AE507" s="514"/>
      <c r="AF507" s="514"/>
      <c r="AG507" s="514"/>
      <c r="AH507" s="514"/>
      <c r="AI507" s="514"/>
      <c r="AJ507" s="514"/>
      <c r="AK507" s="514"/>
      <c r="AL507" s="514"/>
      <c r="AM507" s="514"/>
      <c r="AN507" s="514"/>
    </row>
    <row r="508" ht="16.5" customHeight="1">
      <c r="A508" s="514"/>
      <c r="B508" s="520"/>
      <c r="C508" s="514"/>
      <c r="D508" s="514"/>
      <c r="E508" s="514"/>
      <c r="F508" s="514"/>
      <c r="G508" s="514"/>
      <c r="H508" s="521"/>
      <c r="I508" s="521"/>
      <c r="J508" s="514"/>
      <c r="K508" s="514"/>
      <c r="L508" s="514"/>
      <c r="M508" s="514"/>
      <c r="N508" s="514"/>
      <c r="O508" s="514"/>
      <c r="P508" s="514"/>
      <c r="Q508" s="514"/>
      <c r="R508" s="514"/>
      <c r="S508" s="514"/>
      <c r="T508" s="514"/>
      <c r="U508" s="514"/>
      <c r="V508" s="514"/>
      <c r="W508" s="514"/>
      <c r="X508" s="514"/>
      <c r="Y508" s="514"/>
      <c r="Z508" s="514"/>
      <c r="AA508" s="514"/>
      <c r="AB508" s="514"/>
      <c r="AC508" s="514"/>
      <c r="AD508" s="514"/>
      <c r="AE508" s="514"/>
      <c r="AF508" s="514"/>
      <c r="AG508" s="514"/>
      <c r="AH508" s="514"/>
      <c r="AI508" s="514"/>
      <c r="AJ508" s="514"/>
      <c r="AK508" s="514"/>
      <c r="AL508" s="514"/>
      <c r="AM508" s="514"/>
      <c r="AN508" s="514"/>
    </row>
    <row r="509" ht="16.5" customHeight="1">
      <c r="A509" s="514"/>
      <c r="B509" s="520"/>
      <c r="C509" s="514"/>
      <c r="D509" s="514"/>
      <c r="E509" s="514"/>
      <c r="F509" s="514"/>
      <c r="G509" s="514"/>
      <c r="H509" s="521"/>
      <c r="I509" s="521"/>
      <c r="J509" s="514"/>
      <c r="K509" s="514"/>
      <c r="L509" s="514"/>
      <c r="M509" s="514"/>
      <c r="N509" s="514"/>
      <c r="O509" s="514"/>
      <c r="P509" s="514"/>
      <c r="Q509" s="514"/>
      <c r="R509" s="514"/>
      <c r="S509" s="514"/>
      <c r="T509" s="514"/>
      <c r="U509" s="514"/>
      <c r="V509" s="514"/>
      <c r="W509" s="514"/>
      <c r="X509" s="514"/>
      <c r="Y509" s="514"/>
      <c r="Z509" s="514"/>
      <c r="AA509" s="514"/>
      <c r="AB509" s="514"/>
      <c r="AC509" s="514"/>
      <c r="AD509" s="514"/>
      <c r="AE509" s="514"/>
      <c r="AF509" s="514"/>
      <c r="AG509" s="514"/>
      <c r="AH509" s="514"/>
      <c r="AI509" s="514"/>
      <c r="AJ509" s="514"/>
      <c r="AK509" s="514"/>
      <c r="AL509" s="514"/>
      <c r="AM509" s="514"/>
      <c r="AN509" s="514"/>
    </row>
    <row r="510" ht="16.5" customHeight="1">
      <c r="A510" s="514"/>
      <c r="B510" s="520"/>
      <c r="C510" s="514"/>
      <c r="D510" s="514"/>
      <c r="E510" s="514"/>
      <c r="F510" s="514"/>
      <c r="G510" s="514"/>
      <c r="H510" s="521"/>
      <c r="I510" s="521"/>
      <c r="J510" s="514"/>
      <c r="K510" s="514"/>
      <c r="L510" s="514"/>
      <c r="M510" s="514"/>
      <c r="N510" s="514"/>
      <c r="O510" s="514"/>
      <c r="P510" s="514"/>
      <c r="Q510" s="514"/>
      <c r="R510" s="514"/>
      <c r="S510" s="514"/>
      <c r="T510" s="514"/>
      <c r="U510" s="514"/>
      <c r="V510" s="514"/>
      <c r="W510" s="514"/>
      <c r="X510" s="514"/>
      <c r="Y510" s="514"/>
      <c r="Z510" s="514"/>
      <c r="AA510" s="514"/>
      <c r="AB510" s="514"/>
      <c r="AC510" s="514"/>
      <c r="AD510" s="514"/>
      <c r="AE510" s="514"/>
      <c r="AF510" s="514"/>
      <c r="AG510" s="514"/>
      <c r="AH510" s="514"/>
      <c r="AI510" s="514"/>
      <c r="AJ510" s="514"/>
      <c r="AK510" s="514"/>
      <c r="AL510" s="514"/>
      <c r="AM510" s="514"/>
      <c r="AN510" s="514"/>
    </row>
    <row r="511" ht="16.5" customHeight="1">
      <c r="A511" s="514"/>
      <c r="B511" s="520"/>
      <c r="C511" s="514"/>
      <c r="D511" s="514"/>
      <c r="E511" s="514"/>
      <c r="F511" s="514"/>
      <c r="G511" s="514"/>
      <c r="H511" s="521"/>
      <c r="I511" s="521"/>
      <c r="J511" s="514"/>
      <c r="K511" s="514"/>
      <c r="L511" s="514"/>
      <c r="M511" s="514"/>
      <c r="N511" s="514"/>
      <c r="O511" s="514"/>
      <c r="P511" s="514"/>
      <c r="Q511" s="514"/>
      <c r="R511" s="514"/>
      <c r="S511" s="514"/>
      <c r="T511" s="514"/>
      <c r="U511" s="514"/>
      <c r="V511" s="514"/>
      <c r="W511" s="514"/>
      <c r="X511" s="514"/>
      <c r="Y511" s="514"/>
      <c r="Z511" s="514"/>
      <c r="AA511" s="514"/>
      <c r="AB511" s="514"/>
      <c r="AC511" s="514"/>
      <c r="AD511" s="514"/>
      <c r="AE511" s="514"/>
      <c r="AF511" s="514"/>
      <c r="AG511" s="514"/>
      <c r="AH511" s="514"/>
      <c r="AI511" s="514"/>
      <c r="AJ511" s="514"/>
      <c r="AK511" s="514"/>
      <c r="AL511" s="514"/>
      <c r="AM511" s="514"/>
      <c r="AN511" s="514"/>
    </row>
    <row r="512" ht="16.5" customHeight="1">
      <c r="A512" s="514"/>
      <c r="B512" s="520"/>
      <c r="C512" s="514"/>
      <c r="D512" s="514"/>
      <c r="E512" s="514"/>
      <c r="F512" s="514"/>
      <c r="G512" s="514"/>
      <c r="H512" s="521"/>
      <c r="I512" s="521"/>
      <c r="J512" s="514"/>
      <c r="K512" s="514"/>
      <c r="L512" s="514"/>
      <c r="M512" s="514"/>
      <c r="N512" s="514"/>
      <c r="O512" s="514"/>
      <c r="P512" s="514"/>
      <c r="Q512" s="514"/>
      <c r="R512" s="514"/>
      <c r="S512" s="514"/>
      <c r="T512" s="514"/>
      <c r="U512" s="514"/>
      <c r="V512" s="514"/>
      <c r="W512" s="514"/>
      <c r="X512" s="514"/>
      <c r="Y512" s="514"/>
      <c r="Z512" s="514"/>
      <c r="AA512" s="514"/>
      <c r="AB512" s="514"/>
      <c r="AC512" s="514"/>
      <c r="AD512" s="514"/>
      <c r="AE512" s="514"/>
      <c r="AF512" s="514"/>
      <c r="AG512" s="514"/>
      <c r="AH512" s="514"/>
      <c r="AI512" s="514"/>
      <c r="AJ512" s="514"/>
      <c r="AK512" s="514"/>
      <c r="AL512" s="514"/>
      <c r="AM512" s="514"/>
      <c r="AN512" s="514"/>
    </row>
    <row r="513" ht="16.5" customHeight="1">
      <c r="A513" s="514"/>
      <c r="B513" s="520"/>
      <c r="C513" s="514"/>
      <c r="D513" s="514"/>
      <c r="E513" s="514"/>
      <c r="F513" s="514"/>
      <c r="G513" s="514"/>
      <c r="H513" s="521"/>
      <c r="I513" s="521"/>
      <c r="J513" s="514"/>
      <c r="K513" s="514"/>
      <c r="L513" s="514"/>
      <c r="M513" s="514"/>
      <c r="N513" s="514"/>
      <c r="O513" s="514"/>
      <c r="P513" s="514"/>
      <c r="Q513" s="514"/>
      <c r="R513" s="514"/>
      <c r="S513" s="514"/>
      <c r="T513" s="514"/>
      <c r="U513" s="514"/>
      <c r="V513" s="514"/>
      <c r="W513" s="514"/>
      <c r="X513" s="514"/>
      <c r="Y513" s="514"/>
      <c r="Z513" s="514"/>
      <c r="AA513" s="514"/>
      <c r="AB513" s="514"/>
      <c r="AC513" s="514"/>
      <c r="AD513" s="514"/>
      <c r="AE513" s="514"/>
      <c r="AF513" s="514"/>
      <c r="AG513" s="514"/>
      <c r="AH513" s="514"/>
      <c r="AI513" s="514"/>
      <c r="AJ513" s="514"/>
      <c r="AK513" s="514"/>
      <c r="AL513" s="514"/>
      <c r="AM513" s="514"/>
      <c r="AN513" s="514"/>
    </row>
    <row r="514" ht="16.5" customHeight="1">
      <c r="A514" s="514"/>
      <c r="B514" s="520"/>
      <c r="C514" s="514"/>
      <c r="D514" s="514"/>
      <c r="E514" s="514"/>
      <c r="F514" s="514"/>
      <c r="G514" s="514"/>
      <c r="H514" s="521"/>
      <c r="I514" s="521"/>
      <c r="J514" s="514"/>
      <c r="K514" s="514"/>
      <c r="L514" s="514"/>
      <c r="M514" s="514"/>
      <c r="N514" s="514"/>
      <c r="O514" s="514"/>
      <c r="P514" s="514"/>
      <c r="Q514" s="514"/>
      <c r="R514" s="514"/>
      <c r="S514" s="514"/>
      <c r="T514" s="514"/>
      <c r="U514" s="514"/>
      <c r="V514" s="514"/>
      <c r="W514" s="514"/>
      <c r="X514" s="514"/>
      <c r="Y514" s="514"/>
      <c r="Z514" s="514"/>
      <c r="AA514" s="514"/>
      <c r="AB514" s="514"/>
      <c r="AC514" s="514"/>
      <c r="AD514" s="514"/>
      <c r="AE514" s="514"/>
      <c r="AF514" s="514"/>
      <c r="AG514" s="514"/>
      <c r="AH514" s="514"/>
      <c r="AI514" s="514"/>
      <c r="AJ514" s="514"/>
      <c r="AK514" s="514"/>
      <c r="AL514" s="514"/>
      <c r="AM514" s="514"/>
      <c r="AN514" s="514"/>
    </row>
    <row r="515" ht="16.5" customHeight="1">
      <c r="A515" s="514"/>
      <c r="B515" s="520"/>
      <c r="C515" s="514"/>
      <c r="D515" s="514"/>
      <c r="E515" s="514"/>
      <c r="F515" s="514"/>
      <c r="G515" s="514"/>
      <c r="H515" s="521"/>
      <c r="I515" s="521"/>
      <c r="J515" s="514"/>
      <c r="K515" s="514"/>
      <c r="L515" s="514"/>
      <c r="M515" s="514"/>
      <c r="N515" s="514"/>
      <c r="O515" s="514"/>
      <c r="P515" s="514"/>
      <c r="Q515" s="514"/>
      <c r="R515" s="514"/>
      <c r="S515" s="514"/>
      <c r="T515" s="514"/>
      <c r="U515" s="514"/>
      <c r="V515" s="514"/>
      <c r="W515" s="514"/>
      <c r="X515" s="514"/>
      <c r="Y515" s="514"/>
      <c r="Z515" s="514"/>
      <c r="AA515" s="514"/>
      <c r="AB515" s="514"/>
      <c r="AC515" s="514"/>
      <c r="AD515" s="514"/>
      <c r="AE515" s="514"/>
      <c r="AF515" s="514"/>
      <c r="AG515" s="514"/>
      <c r="AH515" s="514"/>
      <c r="AI515" s="514"/>
      <c r="AJ515" s="514"/>
      <c r="AK515" s="514"/>
      <c r="AL515" s="514"/>
      <c r="AM515" s="514"/>
      <c r="AN515" s="514"/>
    </row>
    <row r="516" ht="16.5" customHeight="1">
      <c r="A516" s="514"/>
      <c r="B516" s="520"/>
      <c r="C516" s="514"/>
      <c r="D516" s="514"/>
      <c r="E516" s="514"/>
      <c r="F516" s="514"/>
      <c r="G516" s="514"/>
      <c r="H516" s="521"/>
      <c r="I516" s="521"/>
      <c r="J516" s="514"/>
      <c r="K516" s="514"/>
      <c r="L516" s="514"/>
      <c r="M516" s="514"/>
      <c r="N516" s="514"/>
      <c r="O516" s="514"/>
      <c r="P516" s="514"/>
      <c r="Q516" s="514"/>
      <c r="R516" s="514"/>
      <c r="S516" s="514"/>
      <c r="T516" s="514"/>
      <c r="U516" s="514"/>
      <c r="V516" s="514"/>
      <c r="W516" s="514"/>
      <c r="X516" s="514"/>
      <c r="Y516" s="514"/>
      <c r="Z516" s="514"/>
      <c r="AA516" s="514"/>
      <c r="AB516" s="514"/>
      <c r="AC516" s="514"/>
      <c r="AD516" s="514"/>
      <c r="AE516" s="514"/>
      <c r="AF516" s="514"/>
      <c r="AG516" s="514"/>
      <c r="AH516" s="514"/>
      <c r="AI516" s="514"/>
      <c r="AJ516" s="514"/>
      <c r="AK516" s="514"/>
      <c r="AL516" s="514"/>
      <c r="AM516" s="514"/>
      <c r="AN516" s="514"/>
    </row>
    <row r="517" ht="16.5" customHeight="1">
      <c r="A517" s="514"/>
      <c r="B517" s="520"/>
      <c r="C517" s="514"/>
      <c r="D517" s="514"/>
      <c r="E517" s="514"/>
      <c r="F517" s="514"/>
      <c r="G517" s="514"/>
      <c r="H517" s="521"/>
      <c r="I517" s="521"/>
      <c r="J517" s="514"/>
      <c r="K517" s="514"/>
      <c r="L517" s="514"/>
      <c r="M517" s="514"/>
      <c r="N517" s="514"/>
      <c r="O517" s="514"/>
      <c r="P517" s="514"/>
      <c r="Q517" s="514"/>
      <c r="R517" s="514"/>
      <c r="S517" s="514"/>
      <c r="T517" s="514"/>
      <c r="U517" s="514"/>
      <c r="V517" s="514"/>
      <c r="W517" s="514"/>
      <c r="X517" s="514"/>
      <c r="Y517" s="514"/>
      <c r="Z517" s="514"/>
      <c r="AA517" s="514"/>
      <c r="AB517" s="514"/>
      <c r="AC517" s="514"/>
      <c r="AD517" s="514"/>
      <c r="AE517" s="514"/>
      <c r="AF517" s="514"/>
      <c r="AG517" s="514"/>
      <c r="AH517" s="514"/>
      <c r="AI517" s="514"/>
      <c r="AJ517" s="514"/>
      <c r="AK517" s="514"/>
      <c r="AL517" s="514"/>
      <c r="AM517" s="514"/>
      <c r="AN517" s="514"/>
    </row>
    <row r="518" ht="16.5" customHeight="1">
      <c r="A518" s="514"/>
      <c r="B518" s="520"/>
      <c r="C518" s="514"/>
      <c r="D518" s="514"/>
      <c r="E518" s="514"/>
      <c r="F518" s="514"/>
      <c r="G518" s="514"/>
      <c r="H518" s="521"/>
      <c r="I518" s="521"/>
      <c r="J518" s="514"/>
      <c r="K518" s="514"/>
      <c r="L518" s="514"/>
      <c r="M518" s="514"/>
      <c r="N518" s="514"/>
      <c r="O518" s="514"/>
      <c r="P518" s="514"/>
      <c r="Q518" s="514"/>
      <c r="R518" s="514"/>
      <c r="S518" s="514"/>
      <c r="T518" s="514"/>
      <c r="U518" s="514"/>
      <c r="V518" s="514"/>
      <c r="W518" s="514"/>
      <c r="X518" s="514"/>
      <c r="Y518" s="514"/>
      <c r="Z518" s="514"/>
      <c r="AA518" s="514"/>
      <c r="AB518" s="514"/>
      <c r="AC518" s="514"/>
      <c r="AD518" s="514"/>
      <c r="AE518" s="514"/>
      <c r="AF518" s="514"/>
      <c r="AG518" s="514"/>
      <c r="AH518" s="514"/>
      <c r="AI518" s="514"/>
      <c r="AJ518" s="514"/>
      <c r="AK518" s="514"/>
      <c r="AL518" s="514"/>
      <c r="AM518" s="514"/>
      <c r="AN518" s="514"/>
    </row>
    <row r="519" ht="16.5" customHeight="1">
      <c r="A519" s="514"/>
      <c r="B519" s="520"/>
      <c r="C519" s="514"/>
      <c r="D519" s="514"/>
      <c r="E519" s="514"/>
      <c r="F519" s="514"/>
      <c r="G519" s="514"/>
      <c r="H519" s="521"/>
      <c r="I519" s="521"/>
      <c r="J519" s="514"/>
      <c r="K519" s="514"/>
      <c r="L519" s="514"/>
      <c r="M519" s="514"/>
      <c r="N519" s="514"/>
      <c r="O519" s="514"/>
      <c r="P519" s="514"/>
      <c r="Q519" s="514"/>
      <c r="R519" s="514"/>
      <c r="S519" s="514"/>
      <c r="T519" s="514"/>
      <c r="U519" s="514"/>
      <c r="V519" s="514"/>
      <c r="W519" s="514"/>
      <c r="X519" s="514"/>
      <c r="Y519" s="514"/>
      <c r="Z519" s="514"/>
      <c r="AA519" s="514"/>
      <c r="AB519" s="514"/>
      <c r="AC519" s="514"/>
      <c r="AD519" s="514"/>
      <c r="AE519" s="514"/>
      <c r="AF519" s="514"/>
      <c r="AG519" s="514"/>
      <c r="AH519" s="514"/>
      <c r="AI519" s="514"/>
      <c r="AJ519" s="514"/>
      <c r="AK519" s="514"/>
      <c r="AL519" s="514"/>
      <c r="AM519" s="514"/>
      <c r="AN519" s="514"/>
    </row>
    <row r="520" ht="16.5" customHeight="1">
      <c r="A520" s="514"/>
      <c r="B520" s="520"/>
      <c r="C520" s="514"/>
      <c r="D520" s="514"/>
      <c r="E520" s="514"/>
      <c r="F520" s="514"/>
      <c r="G520" s="514"/>
      <c r="H520" s="521"/>
      <c r="I520" s="521"/>
      <c r="J520" s="514"/>
      <c r="K520" s="514"/>
      <c r="L520" s="514"/>
      <c r="M520" s="514"/>
      <c r="N520" s="514"/>
      <c r="O520" s="514"/>
      <c r="P520" s="514"/>
      <c r="Q520" s="514"/>
      <c r="R520" s="514"/>
      <c r="S520" s="514"/>
      <c r="T520" s="514"/>
      <c r="U520" s="514"/>
      <c r="V520" s="514"/>
      <c r="W520" s="514"/>
      <c r="X520" s="514"/>
      <c r="Y520" s="514"/>
      <c r="Z520" s="514"/>
      <c r="AA520" s="514"/>
      <c r="AB520" s="514"/>
      <c r="AC520" s="514"/>
      <c r="AD520" s="514"/>
      <c r="AE520" s="514"/>
      <c r="AF520" s="514"/>
      <c r="AG520" s="514"/>
      <c r="AH520" s="514"/>
      <c r="AI520" s="514"/>
      <c r="AJ520" s="514"/>
      <c r="AK520" s="514"/>
      <c r="AL520" s="514"/>
      <c r="AM520" s="514"/>
      <c r="AN520" s="514"/>
    </row>
    <row r="521" ht="16.5" customHeight="1">
      <c r="A521" s="514"/>
      <c r="B521" s="520"/>
      <c r="C521" s="514"/>
      <c r="D521" s="514"/>
      <c r="E521" s="514"/>
      <c r="F521" s="514"/>
      <c r="G521" s="514"/>
      <c r="H521" s="521"/>
      <c r="I521" s="521"/>
      <c r="J521" s="514"/>
      <c r="K521" s="514"/>
      <c r="L521" s="514"/>
      <c r="M521" s="514"/>
      <c r="N521" s="514"/>
      <c r="O521" s="514"/>
      <c r="P521" s="514"/>
      <c r="Q521" s="514"/>
      <c r="R521" s="514"/>
      <c r="S521" s="514"/>
      <c r="T521" s="514"/>
      <c r="U521" s="514"/>
      <c r="V521" s="514"/>
      <c r="W521" s="514"/>
      <c r="X521" s="514"/>
      <c r="Y521" s="514"/>
      <c r="Z521" s="514"/>
      <c r="AA521" s="514"/>
      <c r="AB521" s="514"/>
      <c r="AC521" s="514"/>
      <c r="AD521" s="514"/>
      <c r="AE521" s="514"/>
      <c r="AF521" s="514"/>
      <c r="AG521" s="514"/>
      <c r="AH521" s="514"/>
      <c r="AI521" s="514"/>
      <c r="AJ521" s="514"/>
      <c r="AK521" s="514"/>
      <c r="AL521" s="514"/>
      <c r="AM521" s="514"/>
      <c r="AN521" s="514"/>
    </row>
    <row r="522" ht="16.5" customHeight="1">
      <c r="A522" s="514"/>
      <c r="B522" s="520"/>
      <c r="C522" s="514"/>
      <c r="D522" s="514"/>
      <c r="E522" s="514"/>
      <c r="F522" s="514"/>
      <c r="G522" s="514"/>
      <c r="H522" s="521"/>
      <c r="I522" s="521"/>
      <c r="J522" s="514"/>
      <c r="K522" s="514"/>
      <c r="L522" s="514"/>
      <c r="M522" s="514"/>
      <c r="N522" s="514"/>
      <c r="O522" s="514"/>
      <c r="P522" s="514"/>
      <c r="Q522" s="514"/>
      <c r="R522" s="514"/>
      <c r="S522" s="514"/>
      <c r="T522" s="514"/>
      <c r="U522" s="514"/>
      <c r="V522" s="514"/>
      <c r="W522" s="514"/>
      <c r="X522" s="514"/>
      <c r="Y522" s="514"/>
      <c r="Z522" s="514"/>
      <c r="AA522" s="514"/>
      <c r="AB522" s="514"/>
      <c r="AC522" s="514"/>
      <c r="AD522" s="514"/>
      <c r="AE522" s="514"/>
      <c r="AF522" s="514"/>
      <c r="AG522" s="514"/>
      <c r="AH522" s="514"/>
      <c r="AI522" s="514"/>
      <c r="AJ522" s="514"/>
      <c r="AK522" s="514"/>
      <c r="AL522" s="514"/>
      <c r="AM522" s="514"/>
      <c r="AN522" s="514"/>
    </row>
    <row r="523" ht="16.5" customHeight="1">
      <c r="A523" s="514"/>
      <c r="B523" s="520"/>
      <c r="C523" s="514"/>
      <c r="D523" s="514"/>
      <c r="E523" s="514"/>
      <c r="F523" s="514"/>
      <c r="G523" s="514"/>
      <c r="H523" s="521"/>
      <c r="I523" s="521"/>
      <c r="J523" s="514"/>
      <c r="K523" s="514"/>
      <c r="L523" s="514"/>
      <c r="M523" s="514"/>
      <c r="N523" s="514"/>
      <c r="O523" s="514"/>
      <c r="P523" s="514"/>
      <c r="Q523" s="514"/>
      <c r="R523" s="514"/>
      <c r="S523" s="514"/>
      <c r="T523" s="514"/>
      <c r="U523" s="514"/>
      <c r="V523" s="514"/>
      <c r="W523" s="514"/>
      <c r="X523" s="514"/>
      <c r="Y523" s="514"/>
      <c r="Z523" s="514"/>
      <c r="AA523" s="514"/>
      <c r="AB523" s="514"/>
      <c r="AC523" s="514"/>
      <c r="AD523" s="514"/>
      <c r="AE523" s="514"/>
      <c r="AF523" s="514"/>
      <c r="AG523" s="514"/>
      <c r="AH523" s="514"/>
      <c r="AI523" s="514"/>
      <c r="AJ523" s="514"/>
      <c r="AK523" s="514"/>
      <c r="AL523" s="514"/>
      <c r="AM523" s="514"/>
      <c r="AN523" s="514"/>
    </row>
    <row r="524" ht="16.5" customHeight="1">
      <c r="A524" s="514"/>
      <c r="B524" s="520"/>
      <c r="C524" s="514"/>
      <c r="D524" s="514"/>
      <c r="E524" s="514"/>
      <c r="F524" s="514"/>
      <c r="G524" s="514"/>
      <c r="H524" s="521"/>
      <c r="I524" s="521"/>
      <c r="J524" s="514"/>
      <c r="K524" s="514"/>
      <c r="L524" s="514"/>
      <c r="M524" s="514"/>
      <c r="N524" s="514"/>
      <c r="O524" s="514"/>
      <c r="P524" s="514"/>
      <c r="Q524" s="514"/>
      <c r="R524" s="514"/>
      <c r="S524" s="514"/>
      <c r="T524" s="514"/>
      <c r="U524" s="514"/>
      <c r="V524" s="514"/>
      <c r="W524" s="514"/>
      <c r="X524" s="514"/>
      <c r="Y524" s="514"/>
      <c r="Z524" s="514"/>
      <c r="AA524" s="514"/>
      <c r="AB524" s="514"/>
      <c r="AC524" s="514"/>
      <c r="AD524" s="514"/>
      <c r="AE524" s="514"/>
      <c r="AF524" s="514"/>
      <c r="AG524" s="514"/>
      <c r="AH524" s="514"/>
      <c r="AI524" s="514"/>
      <c r="AJ524" s="514"/>
      <c r="AK524" s="514"/>
      <c r="AL524" s="514"/>
      <c r="AM524" s="514"/>
      <c r="AN524" s="514"/>
    </row>
    <row r="525" ht="16.5" customHeight="1">
      <c r="A525" s="514"/>
      <c r="B525" s="520"/>
      <c r="C525" s="514"/>
      <c r="D525" s="514"/>
      <c r="E525" s="514"/>
      <c r="F525" s="514"/>
      <c r="G525" s="514"/>
      <c r="H525" s="521"/>
      <c r="I525" s="521"/>
      <c r="J525" s="514"/>
      <c r="K525" s="514"/>
      <c r="L525" s="514"/>
      <c r="M525" s="514"/>
      <c r="N525" s="514"/>
      <c r="O525" s="514"/>
      <c r="P525" s="514"/>
      <c r="Q525" s="514"/>
      <c r="R525" s="514"/>
      <c r="S525" s="514"/>
      <c r="T525" s="514"/>
      <c r="U525" s="514"/>
      <c r="V525" s="514"/>
      <c r="W525" s="514"/>
      <c r="X525" s="514"/>
      <c r="Y525" s="514"/>
      <c r="Z525" s="514"/>
      <c r="AA525" s="514"/>
      <c r="AB525" s="514"/>
      <c r="AC525" s="514"/>
      <c r="AD525" s="514"/>
      <c r="AE525" s="514"/>
      <c r="AF525" s="514"/>
      <c r="AG525" s="514"/>
      <c r="AH525" s="514"/>
      <c r="AI525" s="514"/>
      <c r="AJ525" s="514"/>
      <c r="AK525" s="514"/>
      <c r="AL525" s="514"/>
      <c r="AM525" s="514"/>
      <c r="AN525" s="514"/>
    </row>
    <row r="526" ht="16.5" customHeight="1">
      <c r="A526" s="514"/>
      <c r="B526" s="520"/>
      <c r="C526" s="514"/>
      <c r="D526" s="514"/>
      <c r="E526" s="514"/>
      <c r="F526" s="514"/>
      <c r="G526" s="514"/>
      <c r="H526" s="521"/>
      <c r="I526" s="521"/>
      <c r="J526" s="514"/>
      <c r="K526" s="514"/>
      <c r="L526" s="514"/>
      <c r="M526" s="514"/>
      <c r="N526" s="514"/>
      <c r="O526" s="514"/>
      <c r="P526" s="514"/>
      <c r="Q526" s="514"/>
      <c r="R526" s="514"/>
      <c r="S526" s="514"/>
      <c r="T526" s="514"/>
      <c r="U526" s="514"/>
      <c r="V526" s="514"/>
      <c r="W526" s="514"/>
      <c r="X526" s="514"/>
      <c r="Y526" s="514"/>
      <c r="Z526" s="514"/>
      <c r="AA526" s="514"/>
      <c r="AB526" s="514"/>
      <c r="AC526" s="514"/>
      <c r="AD526" s="514"/>
      <c r="AE526" s="514"/>
      <c r="AF526" s="514"/>
      <c r="AG526" s="514"/>
      <c r="AH526" s="514"/>
      <c r="AI526" s="514"/>
      <c r="AJ526" s="514"/>
      <c r="AK526" s="514"/>
      <c r="AL526" s="514"/>
      <c r="AM526" s="514"/>
      <c r="AN526" s="514"/>
    </row>
    <row r="527" ht="16.5" customHeight="1">
      <c r="A527" s="514"/>
      <c r="B527" s="520"/>
      <c r="C527" s="514"/>
      <c r="D527" s="514"/>
      <c r="E527" s="514"/>
      <c r="F527" s="514"/>
      <c r="G527" s="514"/>
      <c r="H527" s="521"/>
      <c r="I527" s="521"/>
      <c r="J527" s="514"/>
      <c r="K527" s="514"/>
      <c r="L527" s="514"/>
      <c r="M527" s="514"/>
      <c r="N527" s="514"/>
      <c r="O527" s="514"/>
      <c r="P527" s="514"/>
      <c r="Q527" s="514"/>
      <c r="R527" s="514"/>
      <c r="S527" s="514"/>
      <c r="T527" s="514"/>
      <c r="U527" s="514"/>
      <c r="V527" s="514"/>
      <c r="W527" s="514"/>
      <c r="X527" s="514"/>
      <c r="Y527" s="514"/>
      <c r="Z527" s="514"/>
      <c r="AA527" s="514"/>
      <c r="AB527" s="514"/>
      <c r="AC527" s="514"/>
      <c r="AD527" s="514"/>
      <c r="AE527" s="514"/>
      <c r="AF527" s="514"/>
      <c r="AG527" s="514"/>
      <c r="AH527" s="514"/>
      <c r="AI527" s="514"/>
      <c r="AJ527" s="514"/>
      <c r="AK527" s="514"/>
      <c r="AL527" s="514"/>
      <c r="AM527" s="514"/>
      <c r="AN527" s="514"/>
    </row>
    <row r="528" ht="16.5" customHeight="1">
      <c r="A528" s="514"/>
      <c r="B528" s="520"/>
      <c r="C528" s="514"/>
      <c r="D528" s="514"/>
      <c r="E528" s="514"/>
      <c r="F528" s="514"/>
      <c r="G528" s="514"/>
      <c r="H528" s="521"/>
      <c r="I528" s="521"/>
      <c r="J528" s="514"/>
      <c r="K528" s="514"/>
      <c r="L528" s="514"/>
      <c r="M528" s="514"/>
      <c r="N528" s="514"/>
      <c r="O528" s="514"/>
      <c r="P528" s="514"/>
      <c r="Q528" s="514"/>
      <c r="R528" s="514"/>
      <c r="S528" s="514"/>
      <c r="T528" s="514"/>
      <c r="U528" s="514"/>
      <c r="V528" s="514"/>
      <c r="W528" s="514"/>
      <c r="X528" s="514"/>
      <c r="Y528" s="514"/>
      <c r="Z528" s="514"/>
      <c r="AA528" s="514"/>
      <c r="AB528" s="514"/>
      <c r="AC528" s="514"/>
      <c r="AD528" s="514"/>
      <c r="AE528" s="514"/>
      <c r="AF528" s="514"/>
      <c r="AG528" s="514"/>
      <c r="AH528" s="514"/>
      <c r="AI528" s="514"/>
      <c r="AJ528" s="514"/>
      <c r="AK528" s="514"/>
      <c r="AL528" s="514"/>
      <c r="AM528" s="514"/>
      <c r="AN528" s="514"/>
    </row>
    <row r="529" ht="16.5" customHeight="1">
      <c r="A529" s="514"/>
      <c r="B529" s="520"/>
      <c r="C529" s="514"/>
      <c r="D529" s="514"/>
      <c r="E529" s="514"/>
      <c r="F529" s="514"/>
      <c r="G529" s="514"/>
      <c r="H529" s="521"/>
      <c r="I529" s="521"/>
      <c r="J529" s="514"/>
      <c r="K529" s="514"/>
      <c r="L529" s="514"/>
      <c r="M529" s="514"/>
      <c r="N529" s="514"/>
      <c r="O529" s="514"/>
      <c r="P529" s="514"/>
      <c r="Q529" s="514"/>
      <c r="R529" s="514"/>
      <c r="S529" s="514"/>
      <c r="T529" s="514"/>
      <c r="U529" s="514"/>
      <c r="V529" s="514"/>
      <c r="W529" s="514"/>
      <c r="X529" s="514"/>
      <c r="Y529" s="514"/>
      <c r="Z529" s="514"/>
      <c r="AA529" s="514"/>
      <c r="AB529" s="514"/>
      <c r="AC529" s="514"/>
      <c r="AD529" s="514"/>
      <c r="AE529" s="514"/>
      <c r="AF529" s="514"/>
      <c r="AG529" s="514"/>
      <c r="AH529" s="514"/>
      <c r="AI529" s="514"/>
      <c r="AJ529" s="514"/>
      <c r="AK529" s="514"/>
      <c r="AL529" s="514"/>
      <c r="AM529" s="514"/>
      <c r="AN529" s="514"/>
    </row>
    <row r="530" ht="16.5" customHeight="1">
      <c r="A530" s="514"/>
      <c r="B530" s="520"/>
      <c r="C530" s="514"/>
      <c r="D530" s="514"/>
      <c r="E530" s="514"/>
      <c r="F530" s="514"/>
      <c r="G530" s="514"/>
      <c r="H530" s="521"/>
      <c r="I530" s="521"/>
      <c r="J530" s="514"/>
      <c r="K530" s="514"/>
      <c r="L530" s="514"/>
      <c r="M530" s="514"/>
      <c r="N530" s="514"/>
      <c r="O530" s="514"/>
      <c r="P530" s="514"/>
      <c r="Q530" s="514"/>
      <c r="R530" s="514"/>
      <c r="S530" s="514"/>
      <c r="T530" s="514"/>
      <c r="U530" s="514"/>
      <c r="V530" s="514"/>
      <c r="W530" s="514"/>
      <c r="X530" s="514"/>
      <c r="Y530" s="514"/>
      <c r="Z530" s="514"/>
      <c r="AA530" s="514"/>
      <c r="AB530" s="514"/>
      <c r="AC530" s="514"/>
      <c r="AD530" s="514"/>
      <c r="AE530" s="514"/>
      <c r="AF530" s="514"/>
      <c r="AG530" s="514"/>
      <c r="AH530" s="514"/>
      <c r="AI530" s="514"/>
      <c r="AJ530" s="514"/>
      <c r="AK530" s="514"/>
      <c r="AL530" s="514"/>
      <c r="AM530" s="514"/>
      <c r="AN530" s="514"/>
    </row>
    <row r="531" ht="16.5" customHeight="1">
      <c r="A531" s="514"/>
      <c r="B531" s="520"/>
      <c r="C531" s="514"/>
      <c r="D531" s="514"/>
      <c r="E531" s="514"/>
      <c r="F531" s="514"/>
      <c r="G531" s="514"/>
      <c r="H531" s="521"/>
      <c r="I531" s="521"/>
      <c r="J531" s="514"/>
      <c r="K531" s="514"/>
      <c r="L531" s="514"/>
      <c r="M531" s="514"/>
      <c r="N531" s="514"/>
      <c r="O531" s="514"/>
      <c r="P531" s="514"/>
      <c r="Q531" s="514"/>
      <c r="R531" s="514"/>
      <c r="S531" s="514"/>
      <c r="T531" s="514"/>
      <c r="U531" s="514"/>
      <c r="V531" s="514"/>
      <c r="W531" s="514"/>
      <c r="X531" s="514"/>
      <c r="Y531" s="514"/>
      <c r="Z531" s="514"/>
      <c r="AA531" s="514"/>
      <c r="AB531" s="514"/>
      <c r="AC531" s="514"/>
      <c r="AD531" s="514"/>
      <c r="AE531" s="514"/>
      <c r="AF531" s="514"/>
      <c r="AG531" s="514"/>
      <c r="AH531" s="514"/>
      <c r="AI531" s="514"/>
      <c r="AJ531" s="514"/>
      <c r="AK531" s="514"/>
      <c r="AL531" s="514"/>
      <c r="AM531" s="514"/>
      <c r="AN531" s="514"/>
    </row>
    <row r="532" ht="16.5" customHeight="1">
      <c r="A532" s="514"/>
      <c r="B532" s="520"/>
      <c r="C532" s="514"/>
      <c r="D532" s="514"/>
      <c r="E532" s="514"/>
      <c r="F532" s="514"/>
      <c r="G532" s="514"/>
      <c r="H532" s="521"/>
      <c r="I532" s="521"/>
      <c r="J532" s="514"/>
      <c r="K532" s="514"/>
      <c r="L532" s="514"/>
      <c r="M532" s="514"/>
      <c r="N532" s="514"/>
      <c r="O532" s="514"/>
      <c r="P532" s="514"/>
      <c r="Q532" s="514"/>
      <c r="R532" s="514"/>
      <c r="S532" s="514"/>
      <c r="T532" s="514"/>
      <c r="U532" s="514"/>
      <c r="V532" s="514"/>
      <c r="W532" s="514"/>
      <c r="X532" s="514"/>
      <c r="Y532" s="514"/>
      <c r="Z532" s="514"/>
      <c r="AA532" s="514"/>
      <c r="AB532" s="514"/>
      <c r="AC532" s="514"/>
      <c r="AD532" s="514"/>
      <c r="AE532" s="514"/>
      <c r="AF532" s="514"/>
      <c r="AG532" s="514"/>
      <c r="AH532" s="514"/>
      <c r="AI532" s="514"/>
      <c r="AJ532" s="514"/>
      <c r="AK532" s="514"/>
      <c r="AL532" s="514"/>
      <c r="AM532" s="514"/>
      <c r="AN532" s="514"/>
    </row>
    <row r="533" ht="16.5" customHeight="1">
      <c r="A533" s="514"/>
      <c r="B533" s="520"/>
      <c r="C533" s="514"/>
      <c r="D533" s="514"/>
      <c r="E533" s="514"/>
      <c r="F533" s="514"/>
      <c r="G533" s="514"/>
      <c r="H533" s="521"/>
      <c r="I533" s="521"/>
      <c r="J533" s="514"/>
      <c r="K533" s="514"/>
      <c r="L533" s="514"/>
      <c r="M533" s="514"/>
      <c r="N533" s="514"/>
      <c r="O533" s="514"/>
      <c r="P533" s="514"/>
      <c r="Q533" s="514"/>
      <c r="R533" s="514"/>
      <c r="S533" s="514"/>
      <c r="T533" s="514"/>
      <c r="U533" s="514"/>
      <c r="V533" s="514"/>
      <c r="W533" s="514"/>
      <c r="X533" s="514"/>
      <c r="Y533" s="514"/>
      <c r="Z533" s="514"/>
      <c r="AA533" s="514"/>
      <c r="AB533" s="514"/>
      <c r="AC533" s="514"/>
      <c r="AD533" s="514"/>
      <c r="AE533" s="514"/>
      <c r="AF533" s="514"/>
      <c r="AG533" s="514"/>
      <c r="AH533" s="514"/>
      <c r="AI533" s="514"/>
      <c r="AJ533" s="514"/>
      <c r="AK533" s="514"/>
      <c r="AL533" s="514"/>
      <c r="AM533" s="514"/>
      <c r="AN533" s="514"/>
    </row>
    <row r="534" ht="16.5" customHeight="1">
      <c r="A534" s="514"/>
      <c r="B534" s="520"/>
      <c r="C534" s="514"/>
      <c r="D534" s="514"/>
      <c r="E534" s="514"/>
      <c r="F534" s="514"/>
      <c r="G534" s="514"/>
      <c r="H534" s="521"/>
      <c r="I534" s="521"/>
      <c r="J534" s="514"/>
      <c r="K534" s="514"/>
      <c r="L534" s="514"/>
      <c r="M534" s="514"/>
      <c r="N534" s="514"/>
      <c r="O534" s="514"/>
      <c r="P534" s="514"/>
      <c r="Q534" s="514"/>
      <c r="R534" s="514"/>
      <c r="S534" s="514"/>
      <c r="T534" s="514"/>
      <c r="U534" s="514"/>
      <c r="V534" s="514"/>
      <c r="W534" s="514"/>
      <c r="X534" s="514"/>
      <c r="Y534" s="514"/>
      <c r="Z534" s="514"/>
      <c r="AA534" s="514"/>
      <c r="AB534" s="514"/>
      <c r="AC534" s="514"/>
      <c r="AD534" s="514"/>
      <c r="AE534" s="514"/>
      <c r="AF534" s="514"/>
      <c r="AG534" s="514"/>
      <c r="AH534" s="514"/>
      <c r="AI534" s="514"/>
      <c r="AJ534" s="514"/>
      <c r="AK534" s="514"/>
      <c r="AL534" s="514"/>
      <c r="AM534" s="514"/>
      <c r="AN534" s="514"/>
    </row>
    <row r="535" ht="16.5" customHeight="1">
      <c r="A535" s="514"/>
      <c r="B535" s="520"/>
      <c r="C535" s="514"/>
      <c r="D535" s="514"/>
      <c r="E535" s="514"/>
      <c r="F535" s="514"/>
      <c r="G535" s="514"/>
      <c r="H535" s="521"/>
      <c r="I535" s="521"/>
      <c r="J535" s="514"/>
      <c r="K535" s="514"/>
      <c r="L535" s="514"/>
      <c r="M535" s="514"/>
      <c r="N535" s="514"/>
      <c r="O535" s="514"/>
      <c r="P535" s="514"/>
      <c r="Q535" s="514"/>
      <c r="R535" s="514"/>
      <c r="S535" s="514"/>
      <c r="T535" s="514"/>
      <c r="U535" s="514"/>
      <c r="V535" s="514"/>
      <c r="W535" s="514"/>
      <c r="X535" s="514"/>
      <c r="Y535" s="514"/>
      <c r="Z535" s="514"/>
      <c r="AA535" s="514"/>
      <c r="AB535" s="514"/>
      <c r="AC535" s="514"/>
      <c r="AD535" s="514"/>
      <c r="AE535" s="514"/>
      <c r="AF535" s="514"/>
      <c r="AG535" s="514"/>
      <c r="AH535" s="514"/>
      <c r="AI535" s="514"/>
      <c r="AJ535" s="514"/>
      <c r="AK535" s="514"/>
      <c r="AL535" s="514"/>
      <c r="AM535" s="514"/>
      <c r="AN535" s="514"/>
    </row>
    <row r="536" ht="16.5" customHeight="1">
      <c r="A536" s="514"/>
      <c r="B536" s="520"/>
      <c r="C536" s="514"/>
      <c r="D536" s="514"/>
      <c r="E536" s="514"/>
      <c r="F536" s="514"/>
      <c r="G536" s="514"/>
      <c r="H536" s="521"/>
      <c r="I536" s="521"/>
      <c r="J536" s="514"/>
      <c r="K536" s="514"/>
      <c r="L536" s="514"/>
      <c r="M536" s="514"/>
      <c r="N536" s="514"/>
      <c r="O536" s="514"/>
      <c r="P536" s="514"/>
      <c r="Q536" s="514"/>
      <c r="R536" s="514"/>
      <c r="S536" s="514"/>
      <c r="T536" s="514"/>
      <c r="U536" s="514"/>
      <c r="V536" s="514"/>
      <c r="W536" s="514"/>
      <c r="X536" s="514"/>
      <c r="Y536" s="514"/>
      <c r="Z536" s="514"/>
      <c r="AA536" s="514"/>
      <c r="AB536" s="514"/>
      <c r="AC536" s="514"/>
      <c r="AD536" s="514"/>
      <c r="AE536" s="514"/>
      <c r="AF536" s="514"/>
      <c r="AG536" s="514"/>
      <c r="AH536" s="514"/>
      <c r="AI536" s="514"/>
      <c r="AJ536" s="514"/>
      <c r="AK536" s="514"/>
      <c r="AL536" s="514"/>
      <c r="AM536" s="514"/>
      <c r="AN536" s="514"/>
    </row>
    <row r="537" ht="16.5" customHeight="1">
      <c r="A537" s="514"/>
      <c r="B537" s="520"/>
      <c r="C537" s="514"/>
      <c r="D537" s="514"/>
      <c r="E537" s="514"/>
      <c r="F537" s="514"/>
      <c r="G537" s="514"/>
      <c r="H537" s="521"/>
      <c r="I537" s="521"/>
      <c r="J537" s="514"/>
      <c r="K537" s="514"/>
      <c r="L537" s="514"/>
      <c r="M537" s="514"/>
      <c r="N537" s="514"/>
      <c r="O537" s="514"/>
      <c r="P537" s="514"/>
      <c r="Q537" s="514"/>
      <c r="R537" s="514"/>
      <c r="S537" s="514"/>
      <c r="T537" s="514"/>
      <c r="U537" s="514"/>
      <c r="V537" s="514"/>
      <c r="W537" s="514"/>
      <c r="X537" s="514"/>
      <c r="Y537" s="514"/>
      <c r="Z537" s="514"/>
      <c r="AA537" s="514"/>
      <c r="AB537" s="514"/>
      <c r="AC537" s="514"/>
      <c r="AD537" s="514"/>
      <c r="AE537" s="514"/>
      <c r="AF537" s="514"/>
      <c r="AG537" s="514"/>
      <c r="AH537" s="514"/>
      <c r="AI537" s="514"/>
      <c r="AJ537" s="514"/>
      <c r="AK537" s="514"/>
      <c r="AL537" s="514"/>
      <c r="AM537" s="514"/>
      <c r="AN537" s="514"/>
    </row>
    <row r="538" ht="16.5" customHeight="1">
      <c r="A538" s="514"/>
      <c r="B538" s="520"/>
      <c r="C538" s="514"/>
      <c r="D538" s="514"/>
      <c r="E538" s="514"/>
      <c r="F538" s="514"/>
      <c r="G538" s="514"/>
      <c r="H538" s="521"/>
      <c r="I538" s="521"/>
      <c r="J538" s="514"/>
      <c r="K538" s="514"/>
      <c r="L538" s="514"/>
      <c r="M538" s="514"/>
      <c r="N538" s="514"/>
      <c r="O538" s="514"/>
      <c r="P538" s="514"/>
      <c r="Q538" s="514"/>
      <c r="R538" s="514"/>
      <c r="S538" s="514"/>
      <c r="T538" s="514"/>
      <c r="U538" s="514"/>
      <c r="V538" s="514"/>
      <c r="W538" s="514"/>
      <c r="X538" s="514"/>
      <c r="Y538" s="514"/>
      <c r="Z538" s="514"/>
      <c r="AA538" s="514"/>
      <c r="AB538" s="514"/>
      <c r="AC538" s="514"/>
      <c r="AD538" s="514"/>
      <c r="AE538" s="514"/>
      <c r="AF538" s="514"/>
      <c r="AG538" s="514"/>
      <c r="AH538" s="514"/>
      <c r="AI538" s="514"/>
      <c r="AJ538" s="514"/>
      <c r="AK538" s="514"/>
      <c r="AL538" s="514"/>
      <c r="AM538" s="514"/>
      <c r="AN538" s="514"/>
    </row>
    <row r="539" ht="16.5" customHeight="1">
      <c r="A539" s="514"/>
      <c r="B539" s="520"/>
      <c r="C539" s="514"/>
      <c r="D539" s="514"/>
      <c r="E539" s="514"/>
      <c r="F539" s="514"/>
      <c r="G539" s="514"/>
      <c r="H539" s="521"/>
      <c r="I539" s="521"/>
      <c r="J539" s="514"/>
      <c r="K539" s="514"/>
      <c r="L539" s="514"/>
      <c r="M539" s="514"/>
      <c r="N539" s="514"/>
      <c r="O539" s="514"/>
      <c r="P539" s="514"/>
      <c r="Q539" s="514"/>
      <c r="R539" s="514"/>
      <c r="S539" s="514"/>
      <c r="T539" s="514"/>
      <c r="U539" s="514"/>
      <c r="V539" s="514"/>
      <c r="W539" s="514"/>
      <c r="X539" s="514"/>
      <c r="Y539" s="514"/>
      <c r="Z539" s="514"/>
      <c r="AA539" s="514"/>
      <c r="AB539" s="514"/>
      <c r="AC539" s="514"/>
      <c r="AD539" s="514"/>
      <c r="AE539" s="514"/>
      <c r="AF539" s="514"/>
      <c r="AG539" s="514"/>
      <c r="AH539" s="514"/>
      <c r="AI539" s="514"/>
      <c r="AJ539" s="514"/>
      <c r="AK539" s="514"/>
      <c r="AL539" s="514"/>
      <c r="AM539" s="514"/>
      <c r="AN539" s="514"/>
    </row>
    <row r="540" ht="16.5" customHeight="1">
      <c r="A540" s="514"/>
      <c r="B540" s="520"/>
      <c r="C540" s="514"/>
      <c r="D540" s="514"/>
      <c r="E540" s="514"/>
      <c r="F540" s="514"/>
      <c r="G540" s="514"/>
      <c r="H540" s="521"/>
      <c r="I540" s="521"/>
      <c r="J540" s="514"/>
      <c r="K540" s="514"/>
      <c r="L540" s="514"/>
      <c r="M540" s="514"/>
      <c r="N540" s="514"/>
      <c r="O540" s="514"/>
      <c r="P540" s="514"/>
      <c r="Q540" s="514"/>
      <c r="R540" s="514"/>
      <c r="S540" s="514"/>
      <c r="T540" s="514"/>
      <c r="U540" s="514"/>
      <c r="V540" s="514"/>
      <c r="W540" s="514"/>
      <c r="X540" s="514"/>
      <c r="Y540" s="514"/>
      <c r="Z540" s="514"/>
      <c r="AA540" s="514"/>
      <c r="AB540" s="514"/>
      <c r="AC540" s="514"/>
      <c r="AD540" s="514"/>
      <c r="AE540" s="514"/>
      <c r="AF540" s="514"/>
      <c r="AG540" s="514"/>
      <c r="AH540" s="514"/>
      <c r="AI540" s="514"/>
      <c r="AJ540" s="514"/>
      <c r="AK540" s="514"/>
      <c r="AL540" s="514"/>
      <c r="AM540" s="514"/>
      <c r="AN540" s="514"/>
    </row>
    <row r="541" ht="16.5" customHeight="1">
      <c r="A541" s="514"/>
      <c r="B541" s="520"/>
      <c r="C541" s="514"/>
      <c r="D541" s="514"/>
      <c r="E541" s="514"/>
      <c r="F541" s="514"/>
      <c r="G541" s="514"/>
      <c r="H541" s="521"/>
      <c r="I541" s="521"/>
      <c r="J541" s="514"/>
      <c r="K541" s="514"/>
      <c r="L541" s="514"/>
      <c r="M541" s="514"/>
      <c r="N541" s="514"/>
      <c r="O541" s="514"/>
      <c r="P541" s="514"/>
      <c r="Q541" s="514"/>
      <c r="R541" s="514"/>
      <c r="S541" s="514"/>
      <c r="T541" s="514"/>
      <c r="U541" s="514"/>
      <c r="V541" s="514"/>
      <c r="W541" s="514"/>
      <c r="X541" s="514"/>
      <c r="Y541" s="514"/>
      <c r="Z541" s="514"/>
      <c r="AA541" s="514"/>
      <c r="AB541" s="514"/>
      <c r="AC541" s="514"/>
      <c r="AD541" s="514"/>
      <c r="AE541" s="514"/>
      <c r="AF541" s="514"/>
      <c r="AG541" s="514"/>
      <c r="AH541" s="514"/>
      <c r="AI541" s="514"/>
      <c r="AJ541" s="514"/>
      <c r="AK541" s="514"/>
      <c r="AL541" s="514"/>
      <c r="AM541" s="514"/>
      <c r="AN541" s="514"/>
    </row>
    <row r="542" ht="16.5" customHeight="1">
      <c r="A542" s="514"/>
      <c r="B542" s="520"/>
      <c r="C542" s="514"/>
      <c r="D542" s="514"/>
      <c r="E542" s="514"/>
      <c r="F542" s="514"/>
      <c r="G542" s="514"/>
      <c r="H542" s="521"/>
      <c r="I542" s="521"/>
      <c r="J542" s="514"/>
      <c r="K542" s="514"/>
      <c r="L542" s="514"/>
      <c r="M542" s="514"/>
      <c r="N542" s="514"/>
      <c r="O542" s="514"/>
      <c r="P542" s="514"/>
      <c r="Q542" s="514"/>
      <c r="R542" s="514"/>
      <c r="S542" s="514"/>
      <c r="T542" s="514"/>
      <c r="U542" s="514"/>
      <c r="V542" s="514"/>
      <c r="W542" s="514"/>
      <c r="X542" s="514"/>
      <c r="Y542" s="514"/>
      <c r="Z542" s="514"/>
      <c r="AA542" s="514"/>
      <c r="AB542" s="514"/>
      <c r="AC542" s="514"/>
      <c r="AD542" s="514"/>
      <c r="AE542" s="514"/>
      <c r="AF542" s="514"/>
      <c r="AG542" s="514"/>
      <c r="AH542" s="514"/>
      <c r="AI542" s="514"/>
      <c r="AJ542" s="514"/>
      <c r="AK542" s="514"/>
      <c r="AL542" s="514"/>
      <c r="AM542" s="514"/>
      <c r="AN542" s="514"/>
    </row>
    <row r="543" ht="16.5" customHeight="1">
      <c r="A543" s="514"/>
      <c r="B543" s="520"/>
      <c r="C543" s="514"/>
      <c r="D543" s="514"/>
      <c r="E543" s="514"/>
      <c r="F543" s="514"/>
      <c r="G543" s="514"/>
      <c r="H543" s="521"/>
      <c r="I543" s="521"/>
      <c r="J543" s="514"/>
      <c r="K543" s="514"/>
      <c r="L543" s="514"/>
      <c r="M543" s="514"/>
      <c r="N543" s="514"/>
      <c r="O543" s="514"/>
      <c r="P543" s="514"/>
      <c r="Q543" s="514"/>
      <c r="R543" s="514"/>
      <c r="S543" s="514"/>
      <c r="T543" s="514"/>
      <c r="U543" s="514"/>
      <c r="V543" s="514"/>
      <c r="W543" s="514"/>
      <c r="X543" s="514"/>
      <c r="Y543" s="514"/>
      <c r="Z543" s="514"/>
      <c r="AA543" s="514"/>
      <c r="AB543" s="514"/>
      <c r="AC543" s="514"/>
      <c r="AD543" s="514"/>
      <c r="AE543" s="514"/>
      <c r="AF543" s="514"/>
      <c r="AG543" s="514"/>
      <c r="AH543" s="514"/>
      <c r="AI543" s="514"/>
      <c r="AJ543" s="514"/>
      <c r="AK543" s="514"/>
      <c r="AL543" s="514"/>
      <c r="AM543" s="514"/>
      <c r="AN543" s="514"/>
    </row>
    <row r="544" ht="16.5" customHeight="1">
      <c r="A544" s="514"/>
      <c r="B544" s="520"/>
      <c r="C544" s="514"/>
      <c r="D544" s="514"/>
      <c r="E544" s="514"/>
      <c r="F544" s="514"/>
      <c r="G544" s="514"/>
      <c r="H544" s="521"/>
      <c r="I544" s="521"/>
      <c r="J544" s="514"/>
      <c r="K544" s="514"/>
      <c r="L544" s="514"/>
      <c r="M544" s="514"/>
      <c r="N544" s="514"/>
      <c r="O544" s="514"/>
      <c r="P544" s="514"/>
      <c r="Q544" s="514"/>
      <c r="R544" s="514"/>
      <c r="S544" s="514"/>
      <c r="T544" s="514"/>
      <c r="U544" s="514"/>
      <c r="V544" s="514"/>
      <c r="W544" s="514"/>
      <c r="X544" s="514"/>
      <c r="Y544" s="514"/>
      <c r="Z544" s="514"/>
      <c r="AA544" s="514"/>
      <c r="AB544" s="514"/>
      <c r="AC544" s="514"/>
      <c r="AD544" s="514"/>
      <c r="AE544" s="514"/>
      <c r="AF544" s="514"/>
      <c r="AG544" s="514"/>
      <c r="AH544" s="514"/>
      <c r="AI544" s="514"/>
      <c r="AJ544" s="514"/>
      <c r="AK544" s="514"/>
      <c r="AL544" s="514"/>
      <c r="AM544" s="514"/>
      <c r="AN544" s="514"/>
    </row>
    <row r="545" ht="16.5" customHeight="1">
      <c r="A545" s="514"/>
      <c r="B545" s="520"/>
      <c r="C545" s="514"/>
      <c r="D545" s="514"/>
      <c r="E545" s="514"/>
      <c r="F545" s="514"/>
      <c r="G545" s="514"/>
      <c r="H545" s="521"/>
      <c r="I545" s="521"/>
      <c r="J545" s="514"/>
      <c r="K545" s="514"/>
      <c r="L545" s="514"/>
      <c r="M545" s="514"/>
      <c r="N545" s="514"/>
      <c r="O545" s="514"/>
      <c r="P545" s="514"/>
      <c r="Q545" s="514"/>
      <c r="R545" s="514"/>
      <c r="S545" s="514"/>
      <c r="T545" s="514"/>
      <c r="U545" s="514"/>
      <c r="V545" s="514"/>
      <c r="W545" s="514"/>
      <c r="X545" s="514"/>
      <c r="Y545" s="514"/>
      <c r="Z545" s="514"/>
      <c r="AA545" s="514"/>
      <c r="AB545" s="514"/>
      <c r="AC545" s="514"/>
      <c r="AD545" s="514"/>
      <c r="AE545" s="514"/>
      <c r="AF545" s="514"/>
      <c r="AG545" s="514"/>
      <c r="AH545" s="514"/>
      <c r="AI545" s="514"/>
      <c r="AJ545" s="514"/>
      <c r="AK545" s="514"/>
      <c r="AL545" s="514"/>
      <c r="AM545" s="514"/>
      <c r="AN545" s="514"/>
    </row>
    <row r="546" ht="16.5" customHeight="1">
      <c r="A546" s="514"/>
      <c r="B546" s="520"/>
      <c r="C546" s="514"/>
      <c r="D546" s="514"/>
      <c r="E546" s="514"/>
      <c r="F546" s="514"/>
      <c r="G546" s="514"/>
      <c r="H546" s="521"/>
      <c r="I546" s="521"/>
      <c r="J546" s="514"/>
      <c r="K546" s="514"/>
      <c r="L546" s="514"/>
      <c r="M546" s="514"/>
      <c r="N546" s="514"/>
      <c r="O546" s="514"/>
      <c r="P546" s="514"/>
      <c r="Q546" s="514"/>
      <c r="R546" s="514"/>
      <c r="S546" s="514"/>
      <c r="T546" s="514"/>
      <c r="U546" s="514"/>
      <c r="V546" s="514"/>
      <c r="W546" s="514"/>
      <c r="X546" s="514"/>
      <c r="Y546" s="514"/>
      <c r="Z546" s="514"/>
      <c r="AA546" s="514"/>
      <c r="AB546" s="514"/>
      <c r="AC546" s="514"/>
      <c r="AD546" s="514"/>
      <c r="AE546" s="514"/>
      <c r="AF546" s="514"/>
      <c r="AG546" s="514"/>
      <c r="AH546" s="514"/>
      <c r="AI546" s="514"/>
      <c r="AJ546" s="514"/>
      <c r="AK546" s="514"/>
      <c r="AL546" s="514"/>
      <c r="AM546" s="514"/>
      <c r="AN546" s="514"/>
    </row>
    <row r="547" ht="16.5" customHeight="1">
      <c r="A547" s="514"/>
      <c r="B547" s="520"/>
      <c r="C547" s="514"/>
      <c r="D547" s="514"/>
      <c r="E547" s="514"/>
      <c r="F547" s="514"/>
      <c r="G547" s="514"/>
      <c r="H547" s="521"/>
      <c r="I547" s="521"/>
      <c r="J547" s="514"/>
      <c r="K547" s="514"/>
      <c r="L547" s="514"/>
      <c r="M547" s="514"/>
      <c r="N547" s="514"/>
      <c r="O547" s="514"/>
      <c r="P547" s="514"/>
      <c r="Q547" s="514"/>
      <c r="R547" s="514"/>
      <c r="S547" s="514"/>
      <c r="T547" s="514"/>
      <c r="U547" s="514"/>
      <c r="V547" s="514"/>
      <c r="W547" s="514"/>
      <c r="X547" s="514"/>
      <c r="Y547" s="514"/>
      <c r="Z547" s="514"/>
      <c r="AA547" s="514"/>
      <c r="AB547" s="514"/>
      <c r="AC547" s="514"/>
      <c r="AD547" s="514"/>
      <c r="AE547" s="514"/>
      <c r="AF547" s="514"/>
      <c r="AG547" s="514"/>
      <c r="AH547" s="514"/>
      <c r="AI547" s="514"/>
      <c r="AJ547" s="514"/>
      <c r="AK547" s="514"/>
      <c r="AL547" s="514"/>
      <c r="AM547" s="514"/>
      <c r="AN547" s="514"/>
    </row>
    <row r="548" ht="16.5" customHeight="1">
      <c r="A548" s="514"/>
      <c r="B548" s="520"/>
      <c r="C548" s="514"/>
      <c r="D548" s="514"/>
      <c r="E548" s="514"/>
      <c r="F548" s="514"/>
      <c r="G548" s="514"/>
      <c r="H548" s="521"/>
      <c r="I548" s="521"/>
      <c r="J548" s="514"/>
      <c r="K548" s="514"/>
      <c r="L548" s="514"/>
      <c r="M548" s="514"/>
      <c r="N548" s="514"/>
      <c r="O548" s="514"/>
      <c r="P548" s="514"/>
      <c r="Q548" s="514"/>
      <c r="R548" s="514"/>
      <c r="S548" s="514"/>
      <c r="T548" s="514"/>
      <c r="U548" s="514"/>
      <c r="V548" s="514"/>
      <c r="W548" s="514"/>
      <c r="X548" s="514"/>
      <c r="Y548" s="514"/>
      <c r="Z548" s="514"/>
      <c r="AA548" s="514"/>
      <c r="AB548" s="514"/>
      <c r="AC548" s="514"/>
      <c r="AD548" s="514"/>
      <c r="AE548" s="514"/>
      <c r="AF548" s="514"/>
      <c r="AG548" s="514"/>
      <c r="AH548" s="514"/>
      <c r="AI548" s="514"/>
      <c r="AJ548" s="514"/>
      <c r="AK548" s="514"/>
      <c r="AL548" s="514"/>
      <c r="AM548" s="514"/>
      <c r="AN548" s="514"/>
    </row>
    <row r="549" ht="16.5" customHeight="1">
      <c r="A549" s="514"/>
      <c r="B549" s="520"/>
      <c r="C549" s="514"/>
      <c r="D549" s="514"/>
      <c r="E549" s="514"/>
      <c r="F549" s="514"/>
      <c r="G549" s="514"/>
      <c r="H549" s="521"/>
      <c r="I549" s="521"/>
      <c r="J549" s="514"/>
      <c r="K549" s="514"/>
      <c r="L549" s="514"/>
      <c r="M549" s="514"/>
      <c r="N549" s="514"/>
      <c r="O549" s="514"/>
      <c r="P549" s="514"/>
      <c r="Q549" s="514"/>
      <c r="R549" s="514"/>
      <c r="S549" s="514"/>
      <c r="T549" s="514"/>
      <c r="U549" s="514"/>
      <c r="V549" s="514"/>
      <c r="W549" s="514"/>
      <c r="X549" s="514"/>
      <c r="Y549" s="514"/>
      <c r="Z549" s="514"/>
      <c r="AA549" s="514"/>
      <c r="AB549" s="514"/>
      <c r="AC549" s="514"/>
      <c r="AD549" s="514"/>
      <c r="AE549" s="514"/>
      <c r="AF549" s="514"/>
      <c r="AG549" s="514"/>
      <c r="AH549" s="514"/>
      <c r="AI549" s="514"/>
      <c r="AJ549" s="514"/>
      <c r="AK549" s="514"/>
      <c r="AL549" s="514"/>
      <c r="AM549" s="514"/>
      <c r="AN549" s="514"/>
    </row>
    <row r="550" ht="16.5" customHeight="1">
      <c r="A550" s="514"/>
      <c r="B550" s="520"/>
      <c r="C550" s="514"/>
      <c r="D550" s="514"/>
      <c r="E550" s="514"/>
      <c r="F550" s="514"/>
      <c r="G550" s="514"/>
      <c r="H550" s="521"/>
      <c r="I550" s="521"/>
      <c r="J550" s="514"/>
      <c r="K550" s="514"/>
      <c r="L550" s="514"/>
      <c r="M550" s="514"/>
      <c r="N550" s="514"/>
      <c r="O550" s="514"/>
      <c r="P550" s="514"/>
      <c r="Q550" s="514"/>
      <c r="R550" s="514"/>
      <c r="S550" s="514"/>
      <c r="T550" s="514"/>
      <c r="U550" s="514"/>
      <c r="V550" s="514"/>
      <c r="W550" s="514"/>
      <c r="X550" s="514"/>
      <c r="Y550" s="514"/>
      <c r="Z550" s="514"/>
      <c r="AA550" s="514"/>
      <c r="AB550" s="514"/>
      <c r="AC550" s="514"/>
      <c r="AD550" s="514"/>
      <c r="AE550" s="514"/>
      <c r="AF550" s="514"/>
      <c r="AG550" s="514"/>
      <c r="AH550" s="514"/>
      <c r="AI550" s="514"/>
      <c r="AJ550" s="514"/>
      <c r="AK550" s="514"/>
      <c r="AL550" s="514"/>
      <c r="AM550" s="514"/>
      <c r="AN550" s="514"/>
    </row>
    <row r="551" ht="16.5" customHeight="1">
      <c r="A551" s="514"/>
      <c r="B551" s="520"/>
      <c r="C551" s="514"/>
      <c r="D551" s="514"/>
      <c r="E551" s="514"/>
      <c r="F551" s="514"/>
      <c r="G551" s="514"/>
      <c r="H551" s="521"/>
      <c r="I551" s="521"/>
      <c r="J551" s="514"/>
      <c r="K551" s="514"/>
      <c r="L551" s="514"/>
      <c r="M551" s="514"/>
      <c r="N551" s="514"/>
      <c r="O551" s="514"/>
      <c r="P551" s="514"/>
      <c r="Q551" s="514"/>
      <c r="R551" s="514"/>
      <c r="S551" s="514"/>
      <c r="T551" s="514"/>
      <c r="U551" s="514"/>
      <c r="V551" s="514"/>
      <c r="W551" s="514"/>
      <c r="X551" s="514"/>
      <c r="Y551" s="514"/>
      <c r="Z551" s="514"/>
      <c r="AA551" s="514"/>
      <c r="AB551" s="514"/>
      <c r="AC551" s="514"/>
      <c r="AD551" s="514"/>
      <c r="AE551" s="514"/>
      <c r="AF551" s="514"/>
      <c r="AG551" s="514"/>
      <c r="AH551" s="514"/>
      <c r="AI551" s="514"/>
      <c r="AJ551" s="514"/>
      <c r="AK551" s="514"/>
      <c r="AL551" s="514"/>
      <c r="AM551" s="514"/>
      <c r="AN551" s="514"/>
    </row>
    <row r="552" ht="16.5" customHeight="1">
      <c r="A552" s="514"/>
      <c r="B552" s="520"/>
      <c r="C552" s="514"/>
      <c r="D552" s="514"/>
      <c r="E552" s="514"/>
      <c r="F552" s="514"/>
      <c r="G552" s="514"/>
      <c r="H552" s="521"/>
      <c r="I552" s="521"/>
      <c r="J552" s="514"/>
      <c r="K552" s="514"/>
      <c r="L552" s="514"/>
      <c r="M552" s="514"/>
      <c r="N552" s="514"/>
      <c r="O552" s="514"/>
      <c r="P552" s="514"/>
      <c r="Q552" s="514"/>
      <c r="R552" s="514"/>
      <c r="S552" s="514"/>
      <c r="T552" s="514"/>
      <c r="U552" s="514"/>
      <c r="V552" s="514"/>
      <c r="W552" s="514"/>
      <c r="X552" s="514"/>
      <c r="Y552" s="514"/>
      <c r="Z552" s="514"/>
      <c r="AA552" s="514"/>
      <c r="AB552" s="514"/>
      <c r="AC552" s="514"/>
      <c r="AD552" s="514"/>
      <c r="AE552" s="514"/>
      <c r="AF552" s="514"/>
      <c r="AG552" s="514"/>
      <c r="AH552" s="514"/>
      <c r="AI552" s="514"/>
      <c r="AJ552" s="514"/>
      <c r="AK552" s="514"/>
      <c r="AL552" s="514"/>
      <c r="AM552" s="514"/>
      <c r="AN552" s="514"/>
    </row>
    <row r="553" ht="16.5" customHeight="1">
      <c r="A553" s="514"/>
      <c r="B553" s="520"/>
      <c r="C553" s="514"/>
      <c r="D553" s="514"/>
      <c r="E553" s="514"/>
      <c r="F553" s="514"/>
      <c r="G553" s="514"/>
      <c r="H553" s="521"/>
      <c r="I553" s="521"/>
      <c r="J553" s="514"/>
      <c r="K553" s="514"/>
      <c r="L553" s="514"/>
      <c r="M553" s="514"/>
      <c r="N553" s="514"/>
      <c r="O553" s="514"/>
      <c r="P553" s="514"/>
      <c r="Q553" s="514"/>
      <c r="R553" s="514"/>
      <c r="S553" s="514"/>
      <c r="T553" s="514"/>
      <c r="U553" s="514"/>
      <c r="V553" s="514"/>
      <c r="W553" s="514"/>
      <c r="X553" s="514"/>
      <c r="Y553" s="514"/>
      <c r="Z553" s="514"/>
      <c r="AA553" s="514"/>
      <c r="AB553" s="514"/>
      <c r="AC553" s="514"/>
      <c r="AD553" s="514"/>
      <c r="AE553" s="514"/>
      <c r="AF553" s="514"/>
      <c r="AG553" s="514"/>
      <c r="AH553" s="514"/>
      <c r="AI553" s="514"/>
      <c r="AJ553" s="514"/>
      <c r="AK553" s="514"/>
      <c r="AL553" s="514"/>
      <c r="AM553" s="514"/>
      <c r="AN553" s="514"/>
    </row>
    <row r="554" ht="16.5" customHeight="1">
      <c r="A554" s="514"/>
      <c r="B554" s="520"/>
      <c r="C554" s="514"/>
      <c r="D554" s="514"/>
      <c r="E554" s="514"/>
      <c r="F554" s="514"/>
      <c r="G554" s="514"/>
      <c r="H554" s="521"/>
      <c r="I554" s="521"/>
      <c r="J554" s="514"/>
      <c r="K554" s="514"/>
      <c r="L554" s="514"/>
      <c r="M554" s="514"/>
      <c r="N554" s="514"/>
      <c r="O554" s="514"/>
      <c r="P554" s="514"/>
      <c r="Q554" s="514"/>
      <c r="R554" s="514"/>
      <c r="S554" s="514"/>
      <c r="T554" s="514"/>
      <c r="U554" s="514"/>
      <c r="V554" s="514"/>
      <c r="W554" s="514"/>
      <c r="X554" s="514"/>
      <c r="Y554" s="514"/>
      <c r="Z554" s="514"/>
      <c r="AA554" s="514"/>
      <c r="AB554" s="514"/>
      <c r="AC554" s="514"/>
      <c r="AD554" s="514"/>
      <c r="AE554" s="514"/>
      <c r="AF554" s="514"/>
      <c r="AG554" s="514"/>
      <c r="AH554" s="514"/>
      <c r="AI554" s="514"/>
      <c r="AJ554" s="514"/>
      <c r="AK554" s="514"/>
      <c r="AL554" s="514"/>
      <c r="AM554" s="514"/>
      <c r="AN554" s="514"/>
    </row>
    <row r="555" ht="16.5" customHeight="1">
      <c r="A555" s="514"/>
      <c r="B555" s="520"/>
      <c r="C555" s="514"/>
      <c r="D555" s="514"/>
      <c r="E555" s="514"/>
      <c r="F555" s="514"/>
      <c r="G555" s="514"/>
      <c r="H555" s="521"/>
      <c r="I555" s="521"/>
      <c r="J555" s="514"/>
      <c r="K555" s="514"/>
      <c r="L555" s="514"/>
      <c r="M555" s="514"/>
      <c r="N555" s="514"/>
      <c r="O555" s="514"/>
      <c r="P555" s="514"/>
      <c r="Q555" s="514"/>
      <c r="R555" s="514"/>
      <c r="S555" s="514"/>
      <c r="T555" s="514"/>
      <c r="U555" s="514"/>
      <c r="V555" s="514"/>
      <c r="W555" s="514"/>
      <c r="X555" s="514"/>
      <c r="Y555" s="514"/>
      <c r="Z555" s="514"/>
      <c r="AA555" s="514"/>
      <c r="AB555" s="514"/>
      <c r="AC555" s="514"/>
      <c r="AD555" s="514"/>
      <c r="AE555" s="514"/>
      <c r="AF555" s="514"/>
      <c r="AG555" s="514"/>
      <c r="AH555" s="514"/>
      <c r="AI555" s="514"/>
      <c r="AJ555" s="514"/>
      <c r="AK555" s="514"/>
      <c r="AL555" s="514"/>
      <c r="AM555" s="514"/>
      <c r="AN555" s="514"/>
    </row>
    <row r="556" ht="16.5" customHeight="1">
      <c r="A556" s="514"/>
      <c r="B556" s="520"/>
      <c r="C556" s="514"/>
      <c r="D556" s="514"/>
      <c r="E556" s="514"/>
      <c r="F556" s="514"/>
      <c r="G556" s="514"/>
      <c r="H556" s="521"/>
      <c r="I556" s="521"/>
      <c r="J556" s="514"/>
      <c r="K556" s="514"/>
      <c r="L556" s="514"/>
      <c r="M556" s="514"/>
      <c r="N556" s="514"/>
      <c r="O556" s="514"/>
      <c r="P556" s="514"/>
      <c r="Q556" s="514"/>
      <c r="R556" s="514"/>
      <c r="S556" s="514"/>
      <c r="T556" s="514"/>
      <c r="U556" s="514"/>
      <c r="V556" s="514"/>
      <c r="W556" s="514"/>
      <c r="X556" s="514"/>
      <c r="Y556" s="514"/>
      <c r="Z556" s="514"/>
      <c r="AA556" s="514"/>
      <c r="AB556" s="514"/>
      <c r="AC556" s="514"/>
      <c r="AD556" s="514"/>
      <c r="AE556" s="514"/>
      <c r="AF556" s="514"/>
      <c r="AG556" s="514"/>
      <c r="AH556" s="514"/>
      <c r="AI556" s="514"/>
      <c r="AJ556" s="514"/>
      <c r="AK556" s="514"/>
      <c r="AL556" s="514"/>
      <c r="AM556" s="514"/>
      <c r="AN556" s="514"/>
    </row>
    <row r="557" ht="16.5" customHeight="1">
      <c r="A557" s="514"/>
      <c r="B557" s="520"/>
      <c r="C557" s="514"/>
      <c r="D557" s="514"/>
      <c r="E557" s="514"/>
      <c r="F557" s="514"/>
      <c r="G557" s="514"/>
      <c r="H557" s="521"/>
      <c r="I557" s="521"/>
      <c r="J557" s="514"/>
      <c r="K557" s="514"/>
      <c r="L557" s="514"/>
      <c r="M557" s="514"/>
      <c r="N557" s="514"/>
      <c r="O557" s="514"/>
      <c r="P557" s="514"/>
      <c r="Q557" s="514"/>
      <c r="R557" s="514"/>
      <c r="S557" s="514"/>
      <c r="T557" s="514"/>
      <c r="U557" s="514"/>
      <c r="V557" s="514"/>
      <c r="W557" s="514"/>
      <c r="X557" s="514"/>
      <c r="Y557" s="514"/>
      <c r="Z557" s="514"/>
      <c r="AA557" s="514"/>
      <c r="AB557" s="514"/>
      <c r="AC557" s="514"/>
      <c r="AD557" s="514"/>
      <c r="AE557" s="514"/>
      <c r="AF557" s="514"/>
      <c r="AG557" s="514"/>
      <c r="AH557" s="514"/>
      <c r="AI557" s="514"/>
      <c r="AJ557" s="514"/>
      <c r="AK557" s="514"/>
      <c r="AL557" s="514"/>
      <c r="AM557" s="514"/>
      <c r="AN557" s="514"/>
    </row>
    <row r="558" ht="16.5" customHeight="1">
      <c r="A558" s="514"/>
      <c r="B558" s="520"/>
      <c r="C558" s="514"/>
      <c r="D558" s="514"/>
      <c r="E558" s="514"/>
      <c r="F558" s="514"/>
      <c r="G558" s="514"/>
      <c r="H558" s="521"/>
      <c r="I558" s="521"/>
      <c r="J558" s="514"/>
      <c r="K558" s="514"/>
      <c r="L558" s="514"/>
      <c r="M558" s="514"/>
      <c r="N558" s="514"/>
      <c r="O558" s="514"/>
      <c r="P558" s="514"/>
      <c r="Q558" s="514"/>
      <c r="R558" s="514"/>
      <c r="S558" s="514"/>
      <c r="T558" s="514"/>
      <c r="U558" s="514"/>
      <c r="V558" s="514"/>
      <c r="W558" s="514"/>
      <c r="X558" s="514"/>
      <c r="Y558" s="514"/>
      <c r="Z558" s="514"/>
      <c r="AA558" s="514"/>
      <c r="AB558" s="514"/>
      <c r="AC558" s="514"/>
      <c r="AD558" s="514"/>
      <c r="AE558" s="514"/>
      <c r="AF558" s="514"/>
      <c r="AG558" s="514"/>
      <c r="AH558" s="514"/>
      <c r="AI558" s="514"/>
      <c r="AJ558" s="514"/>
      <c r="AK558" s="514"/>
      <c r="AL558" s="514"/>
      <c r="AM558" s="514"/>
      <c r="AN558" s="514"/>
    </row>
    <row r="559" ht="16.5" customHeight="1">
      <c r="A559" s="514"/>
      <c r="B559" s="520"/>
      <c r="C559" s="514"/>
      <c r="D559" s="514"/>
      <c r="E559" s="514"/>
      <c r="F559" s="514"/>
      <c r="G559" s="514"/>
      <c r="H559" s="521"/>
      <c r="I559" s="521"/>
      <c r="J559" s="514"/>
      <c r="K559" s="514"/>
      <c r="L559" s="514"/>
      <c r="M559" s="514"/>
      <c r="N559" s="514"/>
      <c r="O559" s="514"/>
      <c r="P559" s="514"/>
      <c r="Q559" s="514"/>
      <c r="R559" s="514"/>
      <c r="S559" s="514"/>
      <c r="T559" s="514"/>
      <c r="U559" s="514"/>
      <c r="V559" s="514"/>
      <c r="W559" s="514"/>
      <c r="X559" s="514"/>
      <c r="Y559" s="514"/>
      <c r="Z559" s="514"/>
      <c r="AA559" s="514"/>
      <c r="AB559" s="514"/>
      <c r="AC559" s="514"/>
      <c r="AD559" s="514"/>
      <c r="AE559" s="514"/>
      <c r="AF559" s="514"/>
      <c r="AG559" s="514"/>
      <c r="AH559" s="514"/>
      <c r="AI559" s="514"/>
      <c r="AJ559" s="514"/>
      <c r="AK559" s="514"/>
      <c r="AL559" s="514"/>
      <c r="AM559" s="514"/>
      <c r="AN559" s="514"/>
    </row>
    <row r="560" ht="16.5" customHeight="1">
      <c r="A560" s="514"/>
      <c r="B560" s="520"/>
      <c r="C560" s="514"/>
      <c r="D560" s="514"/>
      <c r="E560" s="514"/>
      <c r="F560" s="514"/>
      <c r="G560" s="514"/>
      <c r="H560" s="521"/>
      <c r="I560" s="521"/>
      <c r="J560" s="514"/>
      <c r="K560" s="514"/>
      <c r="L560" s="514"/>
      <c r="M560" s="514"/>
      <c r="N560" s="514"/>
      <c r="O560" s="514"/>
      <c r="P560" s="514"/>
      <c r="Q560" s="514"/>
      <c r="R560" s="514"/>
      <c r="S560" s="514"/>
      <c r="T560" s="514"/>
      <c r="U560" s="514"/>
      <c r="V560" s="514"/>
      <c r="W560" s="514"/>
      <c r="X560" s="514"/>
      <c r="Y560" s="514"/>
      <c r="Z560" s="514"/>
      <c r="AA560" s="514"/>
      <c r="AB560" s="514"/>
      <c r="AC560" s="514"/>
      <c r="AD560" s="514"/>
      <c r="AE560" s="514"/>
      <c r="AF560" s="514"/>
      <c r="AG560" s="514"/>
      <c r="AH560" s="514"/>
      <c r="AI560" s="514"/>
      <c r="AJ560" s="514"/>
      <c r="AK560" s="514"/>
      <c r="AL560" s="514"/>
      <c r="AM560" s="514"/>
      <c r="AN560" s="514"/>
    </row>
    <row r="561" ht="16.5" customHeight="1">
      <c r="A561" s="514"/>
      <c r="B561" s="520"/>
      <c r="C561" s="514"/>
      <c r="D561" s="514"/>
      <c r="E561" s="514"/>
      <c r="F561" s="514"/>
      <c r="G561" s="514"/>
      <c r="H561" s="521"/>
      <c r="I561" s="521"/>
      <c r="J561" s="514"/>
      <c r="K561" s="514"/>
      <c r="L561" s="514"/>
      <c r="M561" s="514"/>
      <c r="N561" s="514"/>
      <c r="O561" s="514"/>
      <c r="P561" s="514"/>
      <c r="Q561" s="514"/>
      <c r="R561" s="514"/>
      <c r="S561" s="514"/>
      <c r="T561" s="514"/>
      <c r="U561" s="514"/>
      <c r="V561" s="514"/>
      <c r="W561" s="514"/>
      <c r="X561" s="514"/>
      <c r="Y561" s="514"/>
      <c r="Z561" s="514"/>
      <c r="AA561" s="514"/>
      <c r="AB561" s="514"/>
      <c r="AC561" s="514"/>
      <c r="AD561" s="514"/>
      <c r="AE561" s="514"/>
      <c r="AF561" s="514"/>
      <c r="AG561" s="514"/>
      <c r="AH561" s="514"/>
      <c r="AI561" s="514"/>
      <c r="AJ561" s="514"/>
      <c r="AK561" s="514"/>
      <c r="AL561" s="514"/>
      <c r="AM561" s="514"/>
      <c r="AN561" s="514"/>
    </row>
    <row r="562" ht="16.5" customHeight="1">
      <c r="A562" s="514"/>
      <c r="B562" s="520"/>
      <c r="C562" s="514"/>
      <c r="D562" s="514"/>
      <c r="E562" s="514"/>
      <c r="F562" s="514"/>
      <c r="G562" s="514"/>
      <c r="H562" s="521"/>
      <c r="I562" s="521"/>
      <c r="J562" s="514"/>
      <c r="K562" s="514"/>
      <c r="L562" s="514"/>
      <c r="M562" s="514"/>
      <c r="N562" s="514"/>
      <c r="O562" s="514"/>
      <c r="P562" s="514"/>
      <c r="Q562" s="514"/>
      <c r="R562" s="514"/>
      <c r="S562" s="514"/>
      <c r="T562" s="514"/>
      <c r="U562" s="514"/>
      <c r="V562" s="514"/>
      <c r="W562" s="514"/>
      <c r="X562" s="514"/>
      <c r="Y562" s="514"/>
      <c r="Z562" s="514"/>
      <c r="AA562" s="514"/>
      <c r="AB562" s="514"/>
      <c r="AC562" s="514"/>
      <c r="AD562" s="514"/>
      <c r="AE562" s="514"/>
      <c r="AF562" s="514"/>
      <c r="AG562" s="514"/>
      <c r="AH562" s="514"/>
      <c r="AI562" s="514"/>
      <c r="AJ562" s="514"/>
      <c r="AK562" s="514"/>
      <c r="AL562" s="514"/>
      <c r="AM562" s="514"/>
      <c r="AN562" s="514"/>
    </row>
    <row r="563" ht="16.5" customHeight="1">
      <c r="A563" s="514"/>
      <c r="B563" s="520"/>
      <c r="C563" s="514"/>
      <c r="D563" s="514"/>
      <c r="E563" s="514"/>
      <c r="F563" s="514"/>
      <c r="G563" s="514"/>
      <c r="H563" s="521"/>
      <c r="I563" s="521"/>
      <c r="J563" s="514"/>
      <c r="K563" s="514"/>
      <c r="L563" s="514"/>
      <c r="M563" s="514"/>
      <c r="N563" s="514"/>
      <c r="O563" s="514"/>
      <c r="P563" s="514"/>
      <c r="Q563" s="514"/>
      <c r="R563" s="514"/>
      <c r="S563" s="514"/>
      <c r="T563" s="514"/>
      <c r="U563" s="514"/>
      <c r="V563" s="514"/>
      <c r="W563" s="514"/>
      <c r="X563" s="514"/>
      <c r="Y563" s="514"/>
      <c r="Z563" s="514"/>
      <c r="AA563" s="514"/>
      <c r="AB563" s="514"/>
      <c r="AC563" s="514"/>
      <c r="AD563" s="514"/>
      <c r="AE563" s="514"/>
      <c r="AF563" s="514"/>
      <c r="AG563" s="514"/>
      <c r="AH563" s="514"/>
      <c r="AI563" s="514"/>
      <c r="AJ563" s="514"/>
      <c r="AK563" s="514"/>
      <c r="AL563" s="514"/>
      <c r="AM563" s="514"/>
      <c r="AN563" s="514"/>
    </row>
    <row r="564" ht="16.5" customHeight="1">
      <c r="A564" s="514"/>
      <c r="B564" s="520"/>
      <c r="C564" s="514"/>
      <c r="D564" s="514"/>
      <c r="E564" s="514"/>
      <c r="F564" s="514"/>
      <c r="G564" s="514"/>
      <c r="H564" s="521"/>
      <c r="I564" s="521"/>
      <c r="J564" s="514"/>
      <c r="K564" s="514"/>
      <c r="L564" s="514"/>
      <c r="M564" s="514"/>
      <c r="N564" s="514"/>
      <c r="O564" s="514"/>
      <c r="P564" s="514"/>
      <c r="Q564" s="514"/>
      <c r="R564" s="514"/>
      <c r="S564" s="514"/>
      <c r="T564" s="514"/>
      <c r="U564" s="514"/>
      <c r="V564" s="514"/>
      <c r="W564" s="514"/>
      <c r="X564" s="514"/>
      <c r="Y564" s="514"/>
      <c r="Z564" s="514"/>
      <c r="AA564" s="514"/>
      <c r="AB564" s="514"/>
      <c r="AC564" s="514"/>
      <c r="AD564" s="514"/>
      <c r="AE564" s="514"/>
      <c r="AF564" s="514"/>
      <c r="AG564" s="514"/>
      <c r="AH564" s="514"/>
      <c r="AI564" s="514"/>
      <c r="AJ564" s="514"/>
      <c r="AK564" s="514"/>
      <c r="AL564" s="514"/>
      <c r="AM564" s="514"/>
      <c r="AN564" s="514"/>
    </row>
    <row r="565" ht="16.5" customHeight="1">
      <c r="A565" s="514"/>
      <c r="B565" s="520"/>
      <c r="C565" s="514"/>
      <c r="D565" s="514"/>
      <c r="E565" s="514"/>
      <c r="F565" s="514"/>
      <c r="G565" s="514"/>
      <c r="H565" s="521"/>
      <c r="I565" s="521"/>
      <c r="J565" s="514"/>
      <c r="K565" s="514"/>
      <c r="L565" s="514"/>
      <c r="M565" s="514"/>
      <c r="N565" s="514"/>
      <c r="O565" s="514"/>
      <c r="P565" s="514"/>
      <c r="Q565" s="514"/>
      <c r="R565" s="514"/>
      <c r="S565" s="514"/>
      <c r="T565" s="514"/>
      <c r="U565" s="514"/>
      <c r="V565" s="514"/>
      <c r="W565" s="514"/>
      <c r="X565" s="514"/>
      <c r="Y565" s="514"/>
      <c r="Z565" s="514"/>
      <c r="AA565" s="514"/>
      <c r="AB565" s="514"/>
      <c r="AC565" s="514"/>
      <c r="AD565" s="514"/>
      <c r="AE565" s="514"/>
      <c r="AF565" s="514"/>
      <c r="AG565" s="514"/>
      <c r="AH565" s="514"/>
      <c r="AI565" s="514"/>
      <c r="AJ565" s="514"/>
      <c r="AK565" s="514"/>
      <c r="AL565" s="514"/>
      <c r="AM565" s="514"/>
      <c r="AN565" s="514"/>
    </row>
    <row r="566" ht="16.5" customHeight="1">
      <c r="A566" s="514"/>
      <c r="B566" s="520"/>
      <c r="C566" s="514"/>
      <c r="D566" s="514"/>
      <c r="E566" s="514"/>
      <c r="F566" s="514"/>
      <c r="G566" s="514"/>
      <c r="H566" s="521"/>
      <c r="I566" s="521"/>
      <c r="J566" s="514"/>
      <c r="K566" s="514"/>
      <c r="L566" s="514"/>
      <c r="M566" s="514"/>
      <c r="N566" s="514"/>
      <c r="O566" s="514"/>
      <c r="P566" s="514"/>
      <c r="Q566" s="514"/>
      <c r="R566" s="514"/>
      <c r="S566" s="514"/>
      <c r="T566" s="514"/>
      <c r="U566" s="514"/>
      <c r="V566" s="514"/>
      <c r="W566" s="514"/>
      <c r="X566" s="514"/>
      <c r="Y566" s="514"/>
      <c r="Z566" s="514"/>
      <c r="AA566" s="514"/>
      <c r="AB566" s="514"/>
      <c r="AC566" s="514"/>
      <c r="AD566" s="514"/>
      <c r="AE566" s="514"/>
      <c r="AF566" s="514"/>
      <c r="AG566" s="514"/>
      <c r="AH566" s="514"/>
      <c r="AI566" s="514"/>
      <c r="AJ566" s="514"/>
      <c r="AK566" s="514"/>
      <c r="AL566" s="514"/>
      <c r="AM566" s="514"/>
      <c r="AN566" s="514"/>
    </row>
    <row r="567" ht="16.5" customHeight="1">
      <c r="A567" s="514"/>
      <c r="B567" s="520"/>
      <c r="C567" s="514"/>
      <c r="D567" s="514"/>
      <c r="E567" s="514"/>
      <c r="F567" s="514"/>
      <c r="G567" s="514"/>
      <c r="H567" s="521"/>
      <c r="I567" s="521"/>
      <c r="J567" s="514"/>
      <c r="K567" s="514"/>
      <c r="L567" s="514"/>
      <c r="M567" s="514"/>
      <c r="N567" s="514"/>
      <c r="O567" s="514"/>
      <c r="P567" s="514"/>
      <c r="Q567" s="514"/>
      <c r="R567" s="514"/>
      <c r="S567" s="514"/>
      <c r="T567" s="514"/>
      <c r="U567" s="514"/>
      <c r="V567" s="514"/>
      <c r="W567" s="514"/>
      <c r="X567" s="514"/>
      <c r="Y567" s="514"/>
      <c r="Z567" s="514"/>
      <c r="AA567" s="514"/>
      <c r="AB567" s="514"/>
      <c r="AC567" s="514"/>
      <c r="AD567" s="514"/>
      <c r="AE567" s="514"/>
      <c r="AF567" s="514"/>
      <c r="AG567" s="514"/>
      <c r="AH567" s="514"/>
      <c r="AI567" s="514"/>
      <c r="AJ567" s="514"/>
      <c r="AK567" s="514"/>
      <c r="AL567" s="514"/>
      <c r="AM567" s="514"/>
      <c r="AN567" s="514"/>
    </row>
    <row r="568" ht="16.5" customHeight="1">
      <c r="A568" s="514"/>
      <c r="B568" s="520"/>
      <c r="C568" s="514"/>
      <c r="D568" s="514"/>
      <c r="E568" s="514"/>
      <c r="F568" s="514"/>
      <c r="G568" s="514"/>
      <c r="H568" s="521"/>
      <c r="I568" s="521"/>
      <c r="J568" s="514"/>
      <c r="K568" s="514"/>
      <c r="L568" s="514"/>
      <c r="M568" s="514"/>
      <c r="N568" s="514"/>
      <c r="O568" s="514"/>
      <c r="P568" s="514"/>
      <c r="Q568" s="514"/>
      <c r="R568" s="514"/>
      <c r="S568" s="514"/>
      <c r="T568" s="514"/>
      <c r="U568" s="514"/>
      <c r="V568" s="514"/>
      <c r="W568" s="514"/>
      <c r="X568" s="514"/>
      <c r="Y568" s="514"/>
      <c r="Z568" s="514"/>
      <c r="AA568" s="514"/>
      <c r="AB568" s="514"/>
      <c r="AC568" s="514"/>
      <c r="AD568" s="514"/>
      <c r="AE568" s="514"/>
      <c r="AF568" s="514"/>
      <c r="AG568" s="514"/>
      <c r="AH568" s="514"/>
      <c r="AI568" s="514"/>
      <c r="AJ568" s="514"/>
      <c r="AK568" s="514"/>
      <c r="AL568" s="514"/>
      <c r="AM568" s="514"/>
      <c r="AN568" s="514"/>
    </row>
    <row r="569" ht="16.5" customHeight="1">
      <c r="A569" s="514"/>
      <c r="B569" s="520"/>
      <c r="C569" s="514"/>
      <c r="D569" s="514"/>
      <c r="E569" s="514"/>
      <c r="F569" s="514"/>
      <c r="G569" s="514"/>
      <c r="H569" s="521"/>
      <c r="I569" s="521"/>
      <c r="J569" s="514"/>
      <c r="K569" s="514"/>
      <c r="L569" s="514"/>
      <c r="M569" s="514"/>
      <c r="N569" s="514"/>
      <c r="O569" s="514"/>
      <c r="P569" s="514"/>
      <c r="Q569" s="514"/>
      <c r="R569" s="514"/>
      <c r="S569" s="514"/>
      <c r="T569" s="514"/>
      <c r="U569" s="514"/>
      <c r="V569" s="514"/>
      <c r="W569" s="514"/>
      <c r="X569" s="514"/>
      <c r="Y569" s="514"/>
      <c r="Z569" s="514"/>
      <c r="AA569" s="514"/>
      <c r="AB569" s="514"/>
      <c r="AC569" s="514"/>
      <c r="AD569" s="514"/>
      <c r="AE569" s="514"/>
      <c r="AF569" s="514"/>
      <c r="AG569" s="514"/>
      <c r="AH569" s="514"/>
      <c r="AI569" s="514"/>
      <c r="AJ569" s="514"/>
      <c r="AK569" s="514"/>
      <c r="AL569" s="514"/>
      <c r="AM569" s="514"/>
      <c r="AN569" s="514"/>
    </row>
    <row r="570" ht="16.5" customHeight="1">
      <c r="A570" s="514"/>
      <c r="B570" s="520"/>
      <c r="C570" s="514"/>
      <c r="D570" s="514"/>
      <c r="E570" s="514"/>
      <c r="F570" s="514"/>
      <c r="G570" s="514"/>
      <c r="H570" s="521"/>
      <c r="I570" s="521"/>
      <c r="J570" s="514"/>
      <c r="K570" s="514"/>
      <c r="L570" s="514"/>
      <c r="M570" s="514"/>
      <c r="N570" s="514"/>
      <c r="O570" s="514"/>
      <c r="P570" s="514"/>
      <c r="Q570" s="514"/>
      <c r="R570" s="514"/>
      <c r="S570" s="514"/>
      <c r="T570" s="514"/>
      <c r="U570" s="514"/>
      <c r="V570" s="514"/>
      <c r="W570" s="514"/>
      <c r="X570" s="514"/>
      <c r="Y570" s="514"/>
      <c r="Z570" s="514"/>
      <c r="AA570" s="514"/>
      <c r="AB570" s="514"/>
      <c r="AC570" s="514"/>
      <c r="AD570" s="514"/>
      <c r="AE570" s="514"/>
      <c r="AF570" s="514"/>
      <c r="AG570" s="514"/>
      <c r="AH570" s="514"/>
      <c r="AI570" s="514"/>
      <c r="AJ570" s="514"/>
      <c r="AK570" s="514"/>
      <c r="AL570" s="514"/>
      <c r="AM570" s="514"/>
      <c r="AN570" s="514"/>
    </row>
    <row r="571" ht="16.5" customHeight="1">
      <c r="A571" s="514"/>
      <c r="B571" s="520"/>
      <c r="C571" s="514"/>
      <c r="D571" s="514"/>
      <c r="E571" s="514"/>
      <c r="F571" s="514"/>
      <c r="G571" s="514"/>
      <c r="H571" s="521"/>
      <c r="I571" s="521"/>
      <c r="J571" s="514"/>
      <c r="K571" s="514"/>
      <c r="L571" s="514"/>
      <c r="M571" s="514"/>
      <c r="N571" s="514"/>
      <c r="O571" s="514"/>
      <c r="P571" s="514"/>
      <c r="Q571" s="514"/>
      <c r="R571" s="514"/>
      <c r="S571" s="514"/>
      <c r="T571" s="514"/>
      <c r="U571" s="514"/>
      <c r="V571" s="514"/>
      <c r="W571" s="514"/>
      <c r="X571" s="514"/>
      <c r="Y571" s="514"/>
      <c r="Z571" s="514"/>
      <c r="AA571" s="514"/>
      <c r="AB571" s="514"/>
      <c r="AC571" s="514"/>
      <c r="AD571" s="514"/>
      <c r="AE571" s="514"/>
      <c r="AF571" s="514"/>
      <c r="AG571" s="514"/>
      <c r="AH571" s="514"/>
      <c r="AI571" s="514"/>
      <c r="AJ571" s="514"/>
      <c r="AK571" s="514"/>
      <c r="AL571" s="514"/>
      <c r="AM571" s="514"/>
      <c r="AN571" s="514"/>
    </row>
    <row r="572" ht="16.5" customHeight="1">
      <c r="A572" s="514"/>
      <c r="B572" s="520"/>
      <c r="C572" s="514"/>
      <c r="D572" s="514"/>
      <c r="E572" s="514"/>
      <c r="F572" s="514"/>
      <c r="G572" s="514"/>
      <c r="H572" s="521"/>
      <c r="I572" s="521"/>
      <c r="J572" s="514"/>
      <c r="K572" s="514"/>
      <c r="L572" s="514"/>
      <c r="M572" s="514"/>
      <c r="N572" s="514"/>
      <c r="O572" s="514"/>
      <c r="P572" s="514"/>
      <c r="Q572" s="514"/>
      <c r="R572" s="514"/>
      <c r="S572" s="514"/>
      <c r="T572" s="514"/>
      <c r="U572" s="514"/>
      <c r="V572" s="514"/>
      <c r="W572" s="514"/>
      <c r="X572" s="514"/>
      <c r="Y572" s="514"/>
      <c r="Z572" s="514"/>
      <c r="AA572" s="514"/>
      <c r="AB572" s="514"/>
      <c r="AC572" s="514"/>
      <c r="AD572" s="514"/>
      <c r="AE572" s="514"/>
      <c r="AF572" s="514"/>
      <c r="AG572" s="514"/>
      <c r="AH572" s="514"/>
      <c r="AI572" s="514"/>
      <c r="AJ572" s="514"/>
      <c r="AK572" s="514"/>
      <c r="AL572" s="514"/>
      <c r="AM572" s="514"/>
      <c r="AN572" s="514"/>
    </row>
    <row r="573" ht="16.5" customHeight="1">
      <c r="A573" s="514"/>
      <c r="B573" s="520"/>
      <c r="C573" s="514"/>
      <c r="D573" s="514"/>
      <c r="E573" s="514"/>
      <c r="F573" s="514"/>
      <c r="G573" s="514"/>
      <c r="H573" s="521"/>
      <c r="I573" s="521"/>
      <c r="J573" s="514"/>
      <c r="K573" s="514"/>
      <c r="L573" s="514"/>
      <c r="M573" s="514"/>
      <c r="N573" s="514"/>
      <c r="O573" s="514"/>
      <c r="P573" s="514"/>
      <c r="Q573" s="514"/>
      <c r="R573" s="514"/>
      <c r="S573" s="514"/>
      <c r="T573" s="514"/>
      <c r="U573" s="514"/>
      <c r="V573" s="514"/>
      <c r="W573" s="514"/>
      <c r="X573" s="514"/>
      <c r="Y573" s="514"/>
      <c r="Z573" s="514"/>
      <c r="AA573" s="514"/>
      <c r="AB573" s="514"/>
      <c r="AC573" s="514"/>
      <c r="AD573" s="514"/>
      <c r="AE573" s="514"/>
      <c r="AF573" s="514"/>
      <c r="AG573" s="514"/>
      <c r="AH573" s="514"/>
      <c r="AI573" s="514"/>
      <c r="AJ573" s="514"/>
      <c r="AK573" s="514"/>
      <c r="AL573" s="514"/>
      <c r="AM573" s="514"/>
      <c r="AN573" s="514"/>
    </row>
    <row r="574" ht="16.5" customHeight="1">
      <c r="A574" s="514"/>
      <c r="B574" s="520"/>
      <c r="C574" s="514"/>
      <c r="D574" s="514"/>
      <c r="E574" s="514"/>
      <c r="F574" s="514"/>
      <c r="G574" s="514"/>
      <c r="H574" s="521"/>
      <c r="I574" s="521"/>
      <c r="J574" s="514"/>
      <c r="K574" s="514"/>
      <c r="L574" s="514"/>
      <c r="M574" s="514"/>
      <c r="N574" s="514"/>
      <c r="O574" s="514"/>
      <c r="P574" s="514"/>
      <c r="Q574" s="514"/>
      <c r="R574" s="514"/>
      <c r="S574" s="514"/>
      <c r="T574" s="514"/>
      <c r="U574" s="514"/>
      <c r="V574" s="514"/>
      <c r="W574" s="514"/>
      <c r="X574" s="514"/>
      <c r="Y574" s="514"/>
      <c r="Z574" s="514"/>
      <c r="AA574" s="514"/>
      <c r="AB574" s="514"/>
      <c r="AC574" s="514"/>
      <c r="AD574" s="514"/>
      <c r="AE574" s="514"/>
      <c r="AF574" s="514"/>
      <c r="AG574" s="514"/>
      <c r="AH574" s="514"/>
      <c r="AI574" s="514"/>
      <c r="AJ574" s="514"/>
      <c r="AK574" s="514"/>
      <c r="AL574" s="514"/>
      <c r="AM574" s="514"/>
      <c r="AN574" s="514"/>
    </row>
    <row r="575" ht="16.5" customHeight="1">
      <c r="A575" s="514"/>
      <c r="B575" s="520"/>
      <c r="C575" s="514"/>
      <c r="D575" s="514"/>
      <c r="E575" s="514"/>
      <c r="F575" s="514"/>
      <c r="G575" s="514"/>
      <c r="H575" s="521"/>
      <c r="I575" s="521"/>
      <c r="J575" s="514"/>
      <c r="K575" s="514"/>
      <c r="L575" s="514"/>
      <c r="M575" s="514"/>
      <c r="N575" s="514"/>
      <c r="O575" s="514"/>
      <c r="P575" s="514"/>
      <c r="Q575" s="514"/>
      <c r="R575" s="514"/>
      <c r="S575" s="514"/>
      <c r="T575" s="514"/>
      <c r="U575" s="514"/>
      <c r="V575" s="514"/>
      <c r="W575" s="514"/>
      <c r="X575" s="514"/>
      <c r="Y575" s="514"/>
      <c r="Z575" s="514"/>
      <c r="AA575" s="514"/>
      <c r="AB575" s="514"/>
      <c r="AC575" s="514"/>
      <c r="AD575" s="514"/>
      <c r="AE575" s="514"/>
      <c r="AF575" s="514"/>
      <c r="AG575" s="514"/>
      <c r="AH575" s="514"/>
      <c r="AI575" s="514"/>
      <c r="AJ575" s="514"/>
      <c r="AK575" s="514"/>
      <c r="AL575" s="514"/>
      <c r="AM575" s="514"/>
      <c r="AN575" s="514"/>
    </row>
    <row r="576" ht="16.5" customHeight="1">
      <c r="A576" s="514"/>
      <c r="B576" s="520"/>
      <c r="C576" s="514"/>
      <c r="D576" s="514"/>
      <c r="E576" s="514"/>
      <c r="F576" s="514"/>
      <c r="G576" s="514"/>
      <c r="H576" s="521"/>
      <c r="I576" s="521"/>
      <c r="J576" s="514"/>
      <c r="K576" s="514"/>
      <c r="L576" s="514"/>
      <c r="M576" s="514"/>
      <c r="N576" s="514"/>
      <c r="O576" s="514"/>
      <c r="P576" s="514"/>
      <c r="Q576" s="514"/>
      <c r="R576" s="514"/>
      <c r="S576" s="514"/>
      <c r="T576" s="514"/>
      <c r="U576" s="514"/>
      <c r="V576" s="514"/>
      <c r="W576" s="514"/>
      <c r="X576" s="514"/>
      <c r="Y576" s="514"/>
      <c r="Z576" s="514"/>
      <c r="AA576" s="514"/>
      <c r="AB576" s="514"/>
      <c r="AC576" s="514"/>
      <c r="AD576" s="514"/>
      <c r="AE576" s="514"/>
      <c r="AF576" s="514"/>
      <c r="AG576" s="514"/>
      <c r="AH576" s="514"/>
      <c r="AI576" s="514"/>
      <c r="AJ576" s="514"/>
      <c r="AK576" s="514"/>
      <c r="AL576" s="514"/>
      <c r="AM576" s="514"/>
      <c r="AN576" s="514"/>
    </row>
    <row r="577" ht="16.5" customHeight="1">
      <c r="A577" s="514"/>
      <c r="B577" s="520"/>
      <c r="C577" s="514"/>
      <c r="D577" s="514"/>
      <c r="E577" s="514"/>
      <c r="F577" s="514"/>
      <c r="G577" s="514"/>
      <c r="H577" s="521"/>
      <c r="I577" s="521"/>
      <c r="J577" s="514"/>
      <c r="K577" s="514"/>
      <c r="L577" s="514"/>
      <c r="M577" s="514"/>
      <c r="N577" s="514"/>
      <c r="O577" s="514"/>
      <c r="P577" s="514"/>
      <c r="Q577" s="514"/>
      <c r="R577" s="514"/>
      <c r="S577" s="514"/>
      <c r="T577" s="514"/>
      <c r="U577" s="514"/>
      <c r="V577" s="514"/>
      <c r="W577" s="514"/>
      <c r="X577" s="514"/>
      <c r="Y577" s="514"/>
      <c r="Z577" s="514"/>
      <c r="AA577" s="514"/>
      <c r="AB577" s="514"/>
      <c r="AC577" s="514"/>
      <c r="AD577" s="514"/>
      <c r="AE577" s="514"/>
      <c r="AF577" s="514"/>
      <c r="AG577" s="514"/>
      <c r="AH577" s="514"/>
      <c r="AI577" s="514"/>
      <c r="AJ577" s="514"/>
      <c r="AK577" s="514"/>
      <c r="AL577" s="514"/>
      <c r="AM577" s="514"/>
      <c r="AN577" s="514"/>
    </row>
    <row r="578" ht="16.5" customHeight="1">
      <c r="A578" s="514"/>
      <c r="B578" s="520"/>
      <c r="C578" s="514"/>
      <c r="D578" s="514"/>
      <c r="E578" s="514"/>
      <c r="F578" s="514"/>
      <c r="G578" s="514"/>
      <c r="H578" s="521"/>
      <c r="I578" s="521"/>
      <c r="J578" s="514"/>
      <c r="K578" s="514"/>
      <c r="L578" s="514"/>
      <c r="M578" s="514"/>
      <c r="N578" s="514"/>
      <c r="O578" s="514"/>
      <c r="P578" s="514"/>
      <c r="Q578" s="514"/>
      <c r="R578" s="514"/>
      <c r="S578" s="514"/>
      <c r="T578" s="514"/>
      <c r="U578" s="514"/>
      <c r="V578" s="514"/>
      <c r="W578" s="514"/>
      <c r="X578" s="514"/>
      <c r="Y578" s="514"/>
      <c r="Z578" s="514"/>
      <c r="AA578" s="514"/>
      <c r="AB578" s="514"/>
      <c r="AC578" s="514"/>
      <c r="AD578" s="514"/>
      <c r="AE578" s="514"/>
      <c r="AF578" s="514"/>
      <c r="AG578" s="514"/>
      <c r="AH578" s="514"/>
      <c r="AI578" s="514"/>
      <c r="AJ578" s="514"/>
      <c r="AK578" s="514"/>
      <c r="AL578" s="514"/>
      <c r="AM578" s="514"/>
      <c r="AN578" s="514"/>
    </row>
    <row r="579" ht="16.5" customHeight="1">
      <c r="A579" s="514"/>
      <c r="B579" s="520"/>
      <c r="C579" s="514"/>
      <c r="D579" s="514"/>
      <c r="E579" s="514"/>
      <c r="F579" s="514"/>
      <c r="G579" s="514"/>
      <c r="H579" s="521"/>
      <c r="I579" s="521"/>
      <c r="J579" s="514"/>
      <c r="K579" s="514"/>
      <c r="L579" s="514"/>
      <c r="M579" s="514"/>
      <c r="N579" s="514"/>
      <c r="O579" s="514"/>
      <c r="P579" s="514"/>
      <c r="Q579" s="514"/>
      <c r="R579" s="514"/>
      <c r="S579" s="514"/>
      <c r="T579" s="514"/>
      <c r="U579" s="514"/>
      <c r="V579" s="514"/>
      <c r="W579" s="514"/>
      <c r="X579" s="514"/>
      <c r="Y579" s="514"/>
      <c r="Z579" s="514"/>
      <c r="AA579" s="514"/>
      <c r="AB579" s="514"/>
      <c r="AC579" s="514"/>
      <c r="AD579" s="514"/>
      <c r="AE579" s="514"/>
      <c r="AF579" s="514"/>
      <c r="AG579" s="514"/>
      <c r="AH579" s="514"/>
      <c r="AI579" s="514"/>
      <c r="AJ579" s="514"/>
      <c r="AK579" s="514"/>
      <c r="AL579" s="514"/>
      <c r="AM579" s="514"/>
      <c r="AN579" s="514"/>
    </row>
    <row r="580" ht="16.5" customHeight="1">
      <c r="A580" s="514"/>
      <c r="B580" s="520"/>
      <c r="C580" s="514"/>
      <c r="D580" s="514"/>
      <c r="E580" s="514"/>
      <c r="F580" s="514"/>
      <c r="G580" s="514"/>
      <c r="H580" s="521"/>
      <c r="I580" s="521"/>
      <c r="J580" s="514"/>
      <c r="K580" s="514"/>
      <c r="L580" s="514"/>
      <c r="M580" s="514"/>
      <c r="N580" s="514"/>
      <c r="O580" s="514"/>
      <c r="P580" s="514"/>
      <c r="Q580" s="514"/>
      <c r="R580" s="514"/>
      <c r="S580" s="514"/>
      <c r="T580" s="514"/>
      <c r="U580" s="514"/>
      <c r="V580" s="514"/>
      <c r="W580" s="514"/>
      <c r="X580" s="514"/>
      <c r="Y580" s="514"/>
      <c r="Z580" s="514"/>
      <c r="AA580" s="514"/>
      <c r="AB580" s="514"/>
      <c r="AC580" s="514"/>
      <c r="AD580" s="514"/>
      <c r="AE580" s="514"/>
      <c r="AF580" s="514"/>
      <c r="AG580" s="514"/>
      <c r="AH580" s="514"/>
      <c r="AI580" s="514"/>
      <c r="AJ580" s="514"/>
      <c r="AK580" s="514"/>
      <c r="AL580" s="514"/>
      <c r="AM580" s="514"/>
      <c r="AN580" s="514"/>
    </row>
    <row r="581" ht="16.5" customHeight="1">
      <c r="A581" s="514"/>
      <c r="B581" s="520"/>
      <c r="C581" s="514"/>
      <c r="D581" s="514"/>
      <c r="E581" s="514"/>
      <c r="F581" s="514"/>
      <c r="G581" s="514"/>
      <c r="H581" s="521"/>
      <c r="I581" s="521"/>
      <c r="J581" s="514"/>
      <c r="K581" s="514"/>
      <c r="L581" s="514"/>
      <c r="M581" s="514"/>
      <c r="N581" s="514"/>
      <c r="O581" s="514"/>
      <c r="P581" s="514"/>
      <c r="Q581" s="514"/>
      <c r="R581" s="514"/>
      <c r="S581" s="514"/>
      <c r="T581" s="514"/>
      <c r="U581" s="514"/>
      <c r="V581" s="514"/>
      <c r="W581" s="514"/>
      <c r="X581" s="514"/>
      <c r="Y581" s="514"/>
      <c r="Z581" s="514"/>
      <c r="AA581" s="514"/>
      <c r="AB581" s="514"/>
      <c r="AC581" s="514"/>
      <c r="AD581" s="514"/>
      <c r="AE581" s="514"/>
      <c r="AF581" s="514"/>
      <c r="AG581" s="514"/>
      <c r="AH581" s="514"/>
      <c r="AI581" s="514"/>
      <c r="AJ581" s="514"/>
      <c r="AK581" s="514"/>
      <c r="AL581" s="514"/>
      <c r="AM581" s="514"/>
      <c r="AN581" s="514"/>
    </row>
    <row r="582" ht="16.5" customHeight="1">
      <c r="A582" s="514"/>
      <c r="B582" s="520"/>
      <c r="C582" s="514"/>
      <c r="D582" s="514"/>
      <c r="E582" s="514"/>
      <c r="F582" s="514"/>
      <c r="G582" s="514"/>
      <c r="H582" s="521"/>
      <c r="I582" s="521"/>
      <c r="J582" s="514"/>
      <c r="K582" s="514"/>
      <c r="L582" s="514"/>
      <c r="M582" s="514"/>
      <c r="N582" s="514"/>
      <c r="O582" s="514"/>
      <c r="P582" s="514"/>
      <c r="Q582" s="514"/>
      <c r="R582" s="514"/>
      <c r="S582" s="514"/>
      <c r="T582" s="514"/>
      <c r="U582" s="514"/>
      <c r="V582" s="514"/>
      <c r="W582" s="514"/>
      <c r="X582" s="514"/>
      <c r="Y582" s="514"/>
      <c r="Z582" s="514"/>
      <c r="AA582" s="514"/>
      <c r="AB582" s="514"/>
      <c r="AC582" s="514"/>
      <c r="AD582" s="514"/>
      <c r="AE582" s="514"/>
      <c r="AF582" s="514"/>
      <c r="AG582" s="514"/>
      <c r="AH582" s="514"/>
      <c r="AI582" s="514"/>
      <c r="AJ582" s="514"/>
      <c r="AK582" s="514"/>
      <c r="AL582" s="514"/>
      <c r="AM582" s="514"/>
      <c r="AN582" s="514"/>
    </row>
    <row r="583" ht="16.5" customHeight="1">
      <c r="A583" s="514"/>
      <c r="B583" s="520"/>
      <c r="C583" s="514"/>
      <c r="D583" s="514"/>
      <c r="E583" s="514"/>
      <c r="F583" s="514"/>
      <c r="G583" s="514"/>
      <c r="H583" s="521"/>
      <c r="I583" s="521"/>
      <c r="J583" s="514"/>
      <c r="K583" s="514"/>
      <c r="L583" s="514"/>
      <c r="M583" s="514"/>
      <c r="N583" s="514"/>
      <c r="O583" s="514"/>
      <c r="P583" s="514"/>
      <c r="Q583" s="514"/>
      <c r="R583" s="514"/>
      <c r="S583" s="514"/>
      <c r="T583" s="514"/>
      <c r="U583" s="514"/>
      <c r="V583" s="514"/>
      <c r="W583" s="514"/>
      <c r="X583" s="514"/>
      <c r="Y583" s="514"/>
      <c r="Z583" s="514"/>
      <c r="AA583" s="514"/>
      <c r="AB583" s="514"/>
      <c r="AC583" s="514"/>
      <c r="AD583" s="514"/>
      <c r="AE583" s="514"/>
      <c r="AF583" s="514"/>
      <c r="AG583" s="514"/>
      <c r="AH583" s="514"/>
      <c r="AI583" s="514"/>
      <c r="AJ583" s="514"/>
      <c r="AK583" s="514"/>
      <c r="AL583" s="514"/>
      <c r="AM583" s="514"/>
      <c r="AN583" s="514"/>
    </row>
    <row r="584" ht="16.5" customHeight="1">
      <c r="A584" s="514"/>
      <c r="B584" s="520"/>
      <c r="C584" s="514"/>
      <c r="D584" s="514"/>
      <c r="E584" s="514"/>
      <c r="F584" s="514"/>
      <c r="G584" s="514"/>
      <c r="H584" s="521"/>
      <c r="I584" s="521"/>
      <c r="J584" s="514"/>
      <c r="K584" s="514"/>
      <c r="L584" s="514"/>
      <c r="M584" s="514"/>
      <c r="N584" s="514"/>
      <c r="O584" s="514"/>
      <c r="P584" s="514"/>
      <c r="Q584" s="514"/>
      <c r="R584" s="514"/>
      <c r="S584" s="514"/>
      <c r="T584" s="514"/>
      <c r="U584" s="514"/>
      <c r="V584" s="514"/>
      <c r="W584" s="514"/>
      <c r="X584" s="514"/>
      <c r="Y584" s="514"/>
      <c r="Z584" s="514"/>
      <c r="AA584" s="514"/>
      <c r="AB584" s="514"/>
      <c r="AC584" s="514"/>
      <c r="AD584" s="514"/>
      <c r="AE584" s="514"/>
      <c r="AF584" s="514"/>
      <c r="AG584" s="514"/>
      <c r="AH584" s="514"/>
      <c r="AI584" s="514"/>
      <c r="AJ584" s="514"/>
      <c r="AK584" s="514"/>
      <c r="AL584" s="514"/>
      <c r="AM584" s="514"/>
      <c r="AN584" s="514"/>
    </row>
    <row r="585" ht="16.5" customHeight="1">
      <c r="A585" s="514"/>
      <c r="B585" s="520"/>
      <c r="C585" s="514"/>
      <c r="D585" s="514"/>
      <c r="E585" s="514"/>
      <c r="F585" s="514"/>
      <c r="G585" s="514"/>
      <c r="H585" s="521"/>
      <c r="I585" s="521"/>
      <c r="J585" s="514"/>
      <c r="K585" s="514"/>
      <c r="L585" s="514"/>
      <c r="M585" s="514"/>
      <c r="N585" s="514"/>
      <c r="O585" s="514"/>
      <c r="P585" s="514"/>
      <c r="Q585" s="514"/>
      <c r="R585" s="514"/>
      <c r="S585" s="514"/>
      <c r="T585" s="514"/>
      <c r="U585" s="514"/>
      <c r="V585" s="514"/>
      <c r="W585" s="514"/>
      <c r="X585" s="514"/>
      <c r="Y585" s="514"/>
      <c r="Z585" s="514"/>
      <c r="AA585" s="514"/>
      <c r="AB585" s="514"/>
      <c r="AC585" s="514"/>
      <c r="AD585" s="514"/>
      <c r="AE585" s="514"/>
      <c r="AF585" s="514"/>
      <c r="AG585" s="514"/>
      <c r="AH585" s="514"/>
      <c r="AI585" s="514"/>
      <c r="AJ585" s="514"/>
      <c r="AK585" s="514"/>
      <c r="AL585" s="514"/>
      <c r="AM585" s="514"/>
      <c r="AN585" s="514"/>
    </row>
    <row r="586" ht="16.5" customHeight="1">
      <c r="A586" s="514"/>
      <c r="B586" s="520"/>
      <c r="C586" s="514"/>
      <c r="D586" s="514"/>
      <c r="E586" s="514"/>
      <c r="F586" s="514"/>
      <c r="G586" s="514"/>
      <c r="H586" s="521"/>
      <c r="I586" s="521"/>
      <c r="J586" s="514"/>
      <c r="K586" s="514"/>
      <c r="L586" s="514"/>
      <c r="M586" s="514"/>
      <c r="N586" s="514"/>
      <c r="O586" s="514"/>
      <c r="P586" s="514"/>
      <c r="Q586" s="514"/>
      <c r="R586" s="514"/>
      <c r="S586" s="514"/>
      <c r="T586" s="514"/>
      <c r="U586" s="514"/>
      <c r="V586" s="514"/>
      <c r="W586" s="514"/>
      <c r="X586" s="514"/>
      <c r="Y586" s="514"/>
      <c r="Z586" s="514"/>
      <c r="AA586" s="514"/>
      <c r="AB586" s="514"/>
      <c r="AC586" s="514"/>
      <c r="AD586" s="514"/>
      <c r="AE586" s="514"/>
      <c r="AF586" s="514"/>
      <c r="AG586" s="514"/>
      <c r="AH586" s="514"/>
      <c r="AI586" s="514"/>
      <c r="AJ586" s="514"/>
      <c r="AK586" s="514"/>
      <c r="AL586" s="514"/>
      <c r="AM586" s="514"/>
      <c r="AN586" s="514"/>
    </row>
    <row r="587" ht="16.5" customHeight="1">
      <c r="A587" s="514"/>
      <c r="B587" s="520"/>
      <c r="C587" s="514"/>
      <c r="D587" s="514"/>
      <c r="E587" s="514"/>
      <c r="F587" s="514"/>
      <c r="G587" s="514"/>
      <c r="H587" s="521"/>
      <c r="I587" s="521"/>
      <c r="J587" s="514"/>
      <c r="K587" s="514"/>
      <c r="L587" s="514"/>
      <c r="M587" s="514"/>
      <c r="N587" s="514"/>
      <c r="O587" s="514"/>
      <c r="P587" s="514"/>
      <c r="Q587" s="514"/>
      <c r="R587" s="514"/>
      <c r="S587" s="514"/>
      <c r="T587" s="514"/>
      <c r="U587" s="514"/>
      <c r="V587" s="514"/>
      <c r="W587" s="514"/>
      <c r="X587" s="514"/>
      <c r="Y587" s="514"/>
      <c r="Z587" s="514"/>
      <c r="AA587" s="514"/>
      <c r="AB587" s="514"/>
      <c r="AC587" s="514"/>
      <c r="AD587" s="514"/>
      <c r="AE587" s="514"/>
      <c r="AF587" s="514"/>
      <c r="AG587" s="514"/>
      <c r="AH587" s="514"/>
      <c r="AI587" s="514"/>
      <c r="AJ587" s="514"/>
      <c r="AK587" s="514"/>
      <c r="AL587" s="514"/>
      <c r="AM587" s="514"/>
      <c r="AN587" s="514"/>
    </row>
    <row r="588" ht="16.5" customHeight="1">
      <c r="A588" s="514"/>
      <c r="B588" s="520"/>
      <c r="C588" s="514"/>
      <c r="D588" s="514"/>
      <c r="E588" s="514"/>
      <c r="F588" s="514"/>
      <c r="G588" s="514"/>
      <c r="H588" s="521"/>
      <c r="I588" s="521"/>
      <c r="J588" s="514"/>
      <c r="K588" s="514"/>
      <c r="L588" s="514"/>
      <c r="M588" s="514"/>
      <c r="N588" s="514"/>
      <c r="O588" s="514"/>
      <c r="P588" s="514"/>
      <c r="Q588" s="514"/>
      <c r="R588" s="514"/>
      <c r="S588" s="514"/>
      <c r="T588" s="514"/>
      <c r="U588" s="514"/>
      <c r="V588" s="514"/>
      <c r="W588" s="514"/>
      <c r="X588" s="514"/>
      <c r="Y588" s="514"/>
      <c r="Z588" s="514"/>
      <c r="AA588" s="514"/>
      <c r="AB588" s="514"/>
      <c r="AC588" s="514"/>
      <c r="AD588" s="514"/>
      <c r="AE588" s="514"/>
      <c r="AF588" s="514"/>
      <c r="AG588" s="514"/>
      <c r="AH588" s="514"/>
      <c r="AI588" s="514"/>
      <c r="AJ588" s="514"/>
      <c r="AK588" s="514"/>
      <c r="AL588" s="514"/>
      <c r="AM588" s="514"/>
      <c r="AN588" s="514"/>
    </row>
    <row r="589" ht="16.5" customHeight="1">
      <c r="A589" s="514"/>
      <c r="B589" s="520"/>
      <c r="C589" s="514"/>
      <c r="D589" s="514"/>
      <c r="E589" s="514"/>
      <c r="F589" s="514"/>
      <c r="G589" s="514"/>
      <c r="H589" s="521"/>
      <c r="I589" s="521"/>
      <c r="J589" s="514"/>
      <c r="K589" s="514"/>
      <c r="L589" s="514"/>
      <c r="M589" s="514"/>
      <c r="N589" s="514"/>
      <c r="O589" s="514"/>
      <c r="P589" s="514"/>
      <c r="Q589" s="514"/>
      <c r="R589" s="514"/>
      <c r="S589" s="514"/>
      <c r="T589" s="514"/>
      <c r="U589" s="514"/>
      <c r="V589" s="514"/>
      <c r="W589" s="514"/>
      <c r="X589" s="514"/>
      <c r="Y589" s="514"/>
      <c r="Z589" s="514"/>
      <c r="AA589" s="514"/>
      <c r="AB589" s="514"/>
      <c r="AC589" s="514"/>
      <c r="AD589" s="514"/>
      <c r="AE589" s="514"/>
      <c r="AF589" s="514"/>
      <c r="AG589" s="514"/>
      <c r="AH589" s="514"/>
      <c r="AI589" s="514"/>
      <c r="AJ589" s="514"/>
      <c r="AK589" s="514"/>
      <c r="AL589" s="514"/>
      <c r="AM589" s="514"/>
      <c r="AN589" s="514"/>
    </row>
    <row r="590" ht="16.5" customHeight="1">
      <c r="A590" s="514"/>
      <c r="B590" s="520"/>
      <c r="C590" s="514"/>
      <c r="D590" s="514"/>
      <c r="E590" s="514"/>
      <c r="F590" s="514"/>
      <c r="G590" s="514"/>
      <c r="H590" s="521"/>
      <c r="I590" s="521"/>
      <c r="J590" s="514"/>
      <c r="K590" s="514"/>
      <c r="L590" s="514"/>
      <c r="M590" s="514"/>
      <c r="N590" s="514"/>
      <c r="O590" s="514"/>
      <c r="P590" s="514"/>
      <c r="Q590" s="514"/>
      <c r="R590" s="514"/>
      <c r="S590" s="514"/>
      <c r="T590" s="514"/>
      <c r="U590" s="514"/>
      <c r="V590" s="514"/>
      <c r="W590" s="514"/>
      <c r="X590" s="514"/>
      <c r="Y590" s="514"/>
      <c r="Z590" s="514"/>
      <c r="AA590" s="514"/>
      <c r="AB590" s="514"/>
      <c r="AC590" s="514"/>
      <c r="AD590" s="514"/>
      <c r="AE590" s="514"/>
      <c r="AF590" s="514"/>
      <c r="AG590" s="514"/>
      <c r="AH590" s="514"/>
      <c r="AI590" s="514"/>
      <c r="AJ590" s="514"/>
      <c r="AK590" s="514"/>
      <c r="AL590" s="514"/>
      <c r="AM590" s="514"/>
      <c r="AN590" s="514"/>
    </row>
    <row r="591" ht="16.5" customHeight="1">
      <c r="A591" s="514"/>
      <c r="B591" s="520"/>
      <c r="C591" s="514"/>
      <c r="D591" s="514"/>
      <c r="E591" s="514"/>
      <c r="F591" s="514"/>
      <c r="G591" s="514"/>
      <c r="H591" s="521"/>
      <c r="I591" s="521"/>
      <c r="J591" s="514"/>
      <c r="K591" s="514"/>
      <c r="L591" s="514"/>
      <c r="M591" s="514"/>
      <c r="N591" s="514"/>
      <c r="O591" s="514"/>
      <c r="P591" s="514"/>
      <c r="Q591" s="514"/>
      <c r="R591" s="514"/>
      <c r="S591" s="514"/>
      <c r="T591" s="514"/>
      <c r="U591" s="514"/>
      <c r="V591" s="514"/>
      <c r="W591" s="514"/>
      <c r="X591" s="514"/>
      <c r="Y591" s="514"/>
      <c r="Z591" s="514"/>
      <c r="AA591" s="514"/>
      <c r="AB591" s="514"/>
      <c r="AC591" s="514"/>
      <c r="AD591" s="514"/>
      <c r="AE591" s="514"/>
      <c r="AF591" s="514"/>
      <c r="AG591" s="514"/>
      <c r="AH591" s="514"/>
      <c r="AI591" s="514"/>
      <c r="AJ591" s="514"/>
      <c r="AK591" s="514"/>
      <c r="AL591" s="514"/>
      <c r="AM591" s="514"/>
      <c r="AN591" s="514"/>
    </row>
    <row r="592" ht="16.5" customHeight="1">
      <c r="A592" s="514"/>
      <c r="B592" s="520"/>
      <c r="C592" s="514"/>
      <c r="D592" s="514"/>
      <c r="E592" s="514"/>
      <c r="F592" s="514"/>
      <c r="G592" s="514"/>
      <c r="H592" s="521"/>
      <c r="I592" s="521"/>
      <c r="J592" s="514"/>
      <c r="K592" s="514"/>
      <c r="L592" s="514"/>
      <c r="M592" s="514"/>
      <c r="N592" s="514"/>
      <c r="O592" s="514"/>
      <c r="P592" s="514"/>
      <c r="Q592" s="514"/>
      <c r="R592" s="514"/>
      <c r="S592" s="514"/>
      <c r="T592" s="514"/>
      <c r="U592" s="514"/>
      <c r="V592" s="514"/>
      <c r="W592" s="514"/>
      <c r="X592" s="514"/>
      <c r="Y592" s="514"/>
      <c r="Z592" s="514"/>
      <c r="AA592" s="514"/>
      <c r="AB592" s="514"/>
      <c r="AC592" s="514"/>
      <c r="AD592" s="514"/>
      <c r="AE592" s="514"/>
      <c r="AF592" s="514"/>
      <c r="AG592" s="514"/>
      <c r="AH592" s="514"/>
      <c r="AI592" s="514"/>
      <c r="AJ592" s="514"/>
      <c r="AK592" s="514"/>
      <c r="AL592" s="514"/>
      <c r="AM592" s="514"/>
      <c r="AN592" s="514"/>
    </row>
    <row r="593" ht="16.5" customHeight="1">
      <c r="A593" s="514"/>
      <c r="B593" s="520"/>
      <c r="C593" s="514"/>
      <c r="D593" s="514"/>
      <c r="E593" s="514"/>
      <c r="F593" s="514"/>
      <c r="G593" s="514"/>
      <c r="H593" s="521"/>
      <c r="I593" s="521"/>
      <c r="J593" s="514"/>
      <c r="K593" s="514"/>
      <c r="L593" s="514"/>
      <c r="M593" s="514"/>
      <c r="N593" s="514"/>
      <c r="O593" s="514"/>
      <c r="P593" s="514"/>
      <c r="Q593" s="514"/>
      <c r="R593" s="514"/>
      <c r="S593" s="514"/>
      <c r="T593" s="514"/>
      <c r="U593" s="514"/>
      <c r="V593" s="514"/>
      <c r="W593" s="514"/>
      <c r="X593" s="514"/>
      <c r="Y593" s="514"/>
      <c r="Z593" s="514"/>
      <c r="AA593" s="514"/>
      <c r="AB593" s="514"/>
      <c r="AC593" s="514"/>
      <c r="AD593" s="514"/>
      <c r="AE593" s="514"/>
      <c r="AF593" s="514"/>
      <c r="AG593" s="514"/>
      <c r="AH593" s="514"/>
      <c r="AI593" s="514"/>
      <c r="AJ593" s="514"/>
      <c r="AK593" s="514"/>
      <c r="AL593" s="514"/>
      <c r="AM593" s="514"/>
      <c r="AN593" s="514"/>
    </row>
    <row r="594" ht="16.5" customHeight="1">
      <c r="A594" s="514"/>
      <c r="B594" s="520"/>
      <c r="C594" s="514"/>
      <c r="D594" s="514"/>
      <c r="E594" s="514"/>
      <c r="F594" s="514"/>
      <c r="G594" s="514"/>
      <c r="H594" s="521"/>
      <c r="I594" s="521"/>
      <c r="J594" s="514"/>
      <c r="K594" s="514"/>
      <c r="L594" s="514"/>
      <c r="M594" s="514"/>
      <c r="N594" s="514"/>
      <c r="O594" s="514"/>
      <c r="P594" s="514"/>
      <c r="Q594" s="514"/>
      <c r="R594" s="514"/>
      <c r="S594" s="514"/>
      <c r="T594" s="514"/>
      <c r="U594" s="514"/>
      <c r="V594" s="514"/>
      <c r="W594" s="514"/>
      <c r="X594" s="514"/>
      <c r="Y594" s="514"/>
      <c r="Z594" s="514"/>
      <c r="AA594" s="514"/>
      <c r="AB594" s="514"/>
      <c r="AC594" s="514"/>
      <c r="AD594" s="514"/>
      <c r="AE594" s="514"/>
      <c r="AF594" s="514"/>
      <c r="AG594" s="514"/>
      <c r="AH594" s="514"/>
      <c r="AI594" s="514"/>
      <c r="AJ594" s="514"/>
      <c r="AK594" s="514"/>
      <c r="AL594" s="514"/>
      <c r="AM594" s="514"/>
      <c r="AN594" s="514"/>
    </row>
    <row r="595" ht="16.5" customHeight="1">
      <c r="A595" s="514"/>
      <c r="B595" s="520"/>
      <c r="C595" s="514"/>
      <c r="D595" s="514"/>
      <c r="E595" s="514"/>
      <c r="F595" s="514"/>
      <c r="G595" s="514"/>
      <c r="H595" s="521"/>
      <c r="I595" s="521"/>
      <c r="J595" s="514"/>
      <c r="K595" s="514"/>
      <c r="L595" s="514"/>
      <c r="M595" s="514"/>
      <c r="N595" s="514"/>
      <c r="O595" s="514"/>
      <c r="P595" s="514"/>
      <c r="Q595" s="514"/>
      <c r="R595" s="514"/>
      <c r="S595" s="514"/>
      <c r="T595" s="514"/>
      <c r="U595" s="514"/>
      <c r="V595" s="514"/>
      <c r="W595" s="514"/>
      <c r="X595" s="514"/>
      <c r="Y595" s="514"/>
      <c r="Z595" s="514"/>
      <c r="AA595" s="514"/>
      <c r="AB595" s="514"/>
      <c r="AC595" s="514"/>
      <c r="AD595" s="514"/>
      <c r="AE595" s="514"/>
      <c r="AF595" s="514"/>
      <c r="AG595" s="514"/>
      <c r="AH595" s="514"/>
      <c r="AI595" s="514"/>
      <c r="AJ595" s="514"/>
      <c r="AK595" s="514"/>
      <c r="AL595" s="514"/>
      <c r="AM595" s="514"/>
      <c r="AN595" s="514"/>
    </row>
    <row r="596" ht="16.5" customHeight="1">
      <c r="A596" s="514"/>
      <c r="B596" s="520"/>
      <c r="C596" s="514"/>
      <c r="D596" s="514"/>
      <c r="E596" s="514"/>
      <c r="F596" s="514"/>
      <c r="G596" s="514"/>
      <c r="H596" s="521"/>
      <c r="I596" s="521"/>
      <c r="J596" s="514"/>
      <c r="K596" s="514"/>
      <c r="L596" s="514"/>
      <c r="M596" s="514"/>
      <c r="N596" s="514"/>
      <c r="O596" s="514"/>
      <c r="P596" s="514"/>
      <c r="Q596" s="514"/>
      <c r="R596" s="514"/>
      <c r="S596" s="514"/>
      <c r="T596" s="514"/>
      <c r="U596" s="514"/>
      <c r="V596" s="514"/>
      <c r="W596" s="514"/>
      <c r="X596" s="514"/>
      <c r="Y596" s="514"/>
      <c r="Z596" s="514"/>
      <c r="AA596" s="514"/>
      <c r="AB596" s="514"/>
      <c r="AC596" s="514"/>
      <c r="AD596" s="514"/>
      <c r="AE596" s="514"/>
      <c r="AF596" s="514"/>
      <c r="AG596" s="514"/>
      <c r="AH596" s="514"/>
      <c r="AI596" s="514"/>
      <c r="AJ596" s="514"/>
      <c r="AK596" s="514"/>
      <c r="AL596" s="514"/>
      <c r="AM596" s="514"/>
      <c r="AN596" s="514"/>
    </row>
    <row r="597" ht="16.5" customHeight="1">
      <c r="A597" s="514"/>
      <c r="B597" s="520"/>
      <c r="C597" s="514"/>
      <c r="D597" s="514"/>
      <c r="E597" s="514"/>
      <c r="F597" s="514"/>
      <c r="G597" s="514"/>
      <c r="H597" s="521"/>
      <c r="I597" s="521"/>
      <c r="J597" s="514"/>
      <c r="K597" s="514"/>
      <c r="L597" s="514"/>
      <c r="M597" s="514"/>
      <c r="N597" s="514"/>
      <c r="O597" s="514"/>
      <c r="P597" s="514"/>
      <c r="Q597" s="514"/>
      <c r="R597" s="514"/>
      <c r="S597" s="514"/>
      <c r="T597" s="514"/>
      <c r="U597" s="514"/>
      <c r="V597" s="514"/>
      <c r="W597" s="514"/>
      <c r="X597" s="514"/>
      <c r="Y597" s="514"/>
      <c r="Z597" s="514"/>
      <c r="AA597" s="514"/>
      <c r="AB597" s="514"/>
      <c r="AC597" s="514"/>
      <c r="AD597" s="514"/>
      <c r="AE597" s="514"/>
      <c r="AF597" s="514"/>
      <c r="AG597" s="514"/>
      <c r="AH597" s="514"/>
      <c r="AI597" s="514"/>
      <c r="AJ597" s="514"/>
      <c r="AK597" s="514"/>
      <c r="AL597" s="514"/>
      <c r="AM597" s="514"/>
      <c r="AN597" s="514"/>
    </row>
    <row r="598" ht="16.5" customHeight="1">
      <c r="A598" s="514"/>
      <c r="B598" s="520"/>
      <c r="C598" s="514"/>
      <c r="D598" s="514"/>
      <c r="E598" s="514"/>
      <c r="F598" s="514"/>
      <c r="G598" s="514"/>
      <c r="H598" s="521"/>
      <c r="I598" s="521"/>
      <c r="J598" s="514"/>
      <c r="K598" s="514"/>
      <c r="L598" s="514"/>
      <c r="M598" s="514"/>
      <c r="N598" s="514"/>
      <c r="O598" s="514"/>
      <c r="P598" s="514"/>
      <c r="Q598" s="514"/>
      <c r="R598" s="514"/>
      <c r="S598" s="514"/>
      <c r="T598" s="514"/>
      <c r="U598" s="514"/>
      <c r="V598" s="514"/>
      <c r="W598" s="514"/>
      <c r="X598" s="514"/>
      <c r="Y598" s="514"/>
      <c r="Z598" s="514"/>
      <c r="AA598" s="514"/>
      <c r="AB598" s="514"/>
      <c r="AC598" s="514"/>
      <c r="AD598" s="514"/>
      <c r="AE598" s="514"/>
      <c r="AF598" s="514"/>
      <c r="AG598" s="514"/>
      <c r="AH598" s="514"/>
      <c r="AI598" s="514"/>
      <c r="AJ598" s="514"/>
      <c r="AK598" s="514"/>
      <c r="AL598" s="514"/>
      <c r="AM598" s="514"/>
      <c r="AN598" s="514"/>
    </row>
    <row r="599" ht="16.5" customHeight="1">
      <c r="A599" s="514"/>
      <c r="B599" s="520"/>
      <c r="C599" s="514"/>
      <c r="D599" s="514"/>
      <c r="E599" s="514"/>
      <c r="F599" s="514"/>
      <c r="G599" s="514"/>
      <c r="H599" s="521"/>
      <c r="I599" s="521"/>
      <c r="J599" s="514"/>
      <c r="K599" s="514"/>
      <c r="L599" s="514"/>
      <c r="M599" s="514"/>
      <c r="N599" s="514"/>
      <c r="O599" s="514"/>
      <c r="P599" s="514"/>
      <c r="Q599" s="514"/>
      <c r="R599" s="514"/>
      <c r="S599" s="514"/>
      <c r="T599" s="514"/>
      <c r="U599" s="514"/>
      <c r="V599" s="514"/>
      <c r="W599" s="514"/>
      <c r="X599" s="514"/>
      <c r="Y599" s="514"/>
      <c r="Z599" s="514"/>
      <c r="AA599" s="514"/>
      <c r="AB599" s="514"/>
      <c r="AC599" s="514"/>
      <c r="AD599" s="514"/>
      <c r="AE599" s="514"/>
      <c r="AF599" s="514"/>
      <c r="AG599" s="514"/>
      <c r="AH599" s="514"/>
      <c r="AI599" s="514"/>
      <c r="AJ599" s="514"/>
      <c r="AK599" s="514"/>
      <c r="AL599" s="514"/>
      <c r="AM599" s="514"/>
      <c r="AN599" s="514"/>
    </row>
    <row r="600" ht="16.5" customHeight="1">
      <c r="A600" s="514"/>
      <c r="B600" s="520"/>
      <c r="C600" s="514"/>
      <c r="D600" s="514"/>
      <c r="E600" s="514"/>
      <c r="F600" s="514"/>
      <c r="G600" s="514"/>
      <c r="H600" s="521"/>
      <c r="I600" s="521"/>
      <c r="J600" s="514"/>
      <c r="K600" s="514"/>
      <c r="L600" s="514"/>
      <c r="M600" s="514"/>
      <c r="N600" s="514"/>
      <c r="O600" s="514"/>
      <c r="P600" s="514"/>
      <c r="Q600" s="514"/>
      <c r="R600" s="514"/>
      <c r="S600" s="514"/>
      <c r="T600" s="514"/>
      <c r="U600" s="514"/>
      <c r="V600" s="514"/>
      <c r="W600" s="514"/>
      <c r="X600" s="514"/>
      <c r="Y600" s="514"/>
      <c r="Z600" s="514"/>
      <c r="AA600" s="514"/>
      <c r="AB600" s="514"/>
      <c r="AC600" s="514"/>
      <c r="AD600" s="514"/>
      <c r="AE600" s="514"/>
      <c r="AF600" s="514"/>
      <c r="AG600" s="514"/>
      <c r="AH600" s="514"/>
      <c r="AI600" s="514"/>
      <c r="AJ600" s="514"/>
      <c r="AK600" s="514"/>
      <c r="AL600" s="514"/>
      <c r="AM600" s="514"/>
      <c r="AN600" s="514"/>
    </row>
    <row r="601" ht="16.5" customHeight="1">
      <c r="A601" s="514"/>
      <c r="B601" s="520"/>
      <c r="C601" s="514"/>
      <c r="D601" s="514"/>
      <c r="E601" s="514"/>
      <c r="F601" s="514"/>
      <c r="G601" s="514"/>
      <c r="H601" s="521"/>
      <c r="I601" s="521"/>
      <c r="J601" s="514"/>
      <c r="K601" s="514"/>
      <c r="L601" s="514"/>
      <c r="M601" s="514"/>
      <c r="N601" s="514"/>
      <c r="O601" s="514"/>
      <c r="P601" s="514"/>
      <c r="Q601" s="514"/>
      <c r="R601" s="514"/>
      <c r="S601" s="514"/>
      <c r="T601" s="514"/>
      <c r="U601" s="514"/>
      <c r="V601" s="514"/>
      <c r="W601" s="514"/>
      <c r="X601" s="514"/>
      <c r="Y601" s="514"/>
      <c r="Z601" s="514"/>
      <c r="AA601" s="514"/>
      <c r="AB601" s="514"/>
      <c r="AC601" s="514"/>
      <c r="AD601" s="514"/>
      <c r="AE601" s="514"/>
      <c r="AF601" s="514"/>
      <c r="AG601" s="514"/>
      <c r="AH601" s="514"/>
      <c r="AI601" s="514"/>
      <c r="AJ601" s="514"/>
      <c r="AK601" s="514"/>
      <c r="AL601" s="514"/>
      <c r="AM601" s="514"/>
      <c r="AN601" s="514"/>
    </row>
    <row r="602" ht="16.5" customHeight="1">
      <c r="A602" s="514"/>
      <c r="B602" s="520"/>
      <c r="C602" s="514"/>
      <c r="D602" s="514"/>
      <c r="E602" s="514"/>
      <c r="F602" s="514"/>
      <c r="G602" s="514"/>
      <c r="H602" s="521"/>
      <c r="I602" s="521"/>
      <c r="J602" s="514"/>
      <c r="K602" s="514"/>
      <c r="L602" s="514"/>
      <c r="M602" s="514"/>
      <c r="N602" s="514"/>
      <c r="O602" s="514"/>
      <c r="P602" s="514"/>
      <c r="Q602" s="514"/>
      <c r="R602" s="514"/>
      <c r="S602" s="514"/>
      <c r="T602" s="514"/>
      <c r="U602" s="514"/>
      <c r="V602" s="514"/>
      <c r="W602" s="514"/>
      <c r="X602" s="514"/>
      <c r="Y602" s="514"/>
      <c r="Z602" s="514"/>
      <c r="AA602" s="514"/>
      <c r="AB602" s="514"/>
      <c r="AC602" s="514"/>
      <c r="AD602" s="514"/>
      <c r="AE602" s="514"/>
      <c r="AF602" s="514"/>
      <c r="AG602" s="514"/>
      <c r="AH602" s="514"/>
      <c r="AI602" s="514"/>
      <c r="AJ602" s="514"/>
      <c r="AK602" s="514"/>
      <c r="AL602" s="514"/>
      <c r="AM602" s="514"/>
      <c r="AN602" s="514"/>
    </row>
    <row r="603" ht="16.5" customHeight="1">
      <c r="A603" s="514"/>
      <c r="B603" s="520"/>
      <c r="C603" s="514"/>
      <c r="D603" s="514"/>
      <c r="E603" s="514"/>
      <c r="F603" s="514"/>
      <c r="G603" s="514"/>
      <c r="H603" s="521"/>
      <c r="I603" s="521"/>
      <c r="J603" s="514"/>
      <c r="K603" s="514"/>
      <c r="L603" s="514"/>
      <c r="M603" s="514"/>
      <c r="N603" s="514"/>
      <c r="O603" s="514"/>
      <c r="P603" s="514"/>
      <c r="Q603" s="514"/>
      <c r="R603" s="514"/>
      <c r="S603" s="514"/>
      <c r="T603" s="514"/>
      <c r="U603" s="514"/>
      <c r="V603" s="514"/>
      <c r="W603" s="514"/>
      <c r="X603" s="514"/>
      <c r="Y603" s="514"/>
      <c r="Z603" s="514"/>
      <c r="AA603" s="514"/>
      <c r="AB603" s="514"/>
      <c r="AC603" s="514"/>
      <c r="AD603" s="514"/>
      <c r="AE603" s="514"/>
      <c r="AF603" s="514"/>
      <c r="AG603" s="514"/>
      <c r="AH603" s="514"/>
      <c r="AI603" s="514"/>
      <c r="AJ603" s="514"/>
      <c r="AK603" s="514"/>
      <c r="AL603" s="514"/>
      <c r="AM603" s="514"/>
      <c r="AN603" s="514"/>
    </row>
    <row r="604" ht="16.5" customHeight="1">
      <c r="A604" s="514"/>
      <c r="B604" s="520"/>
      <c r="C604" s="514"/>
      <c r="D604" s="514"/>
      <c r="E604" s="514"/>
      <c r="F604" s="514"/>
      <c r="G604" s="514"/>
      <c r="H604" s="521"/>
      <c r="I604" s="521"/>
      <c r="J604" s="514"/>
      <c r="K604" s="514"/>
      <c r="L604" s="514"/>
      <c r="M604" s="514"/>
      <c r="N604" s="514"/>
      <c r="O604" s="514"/>
      <c r="P604" s="514"/>
      <c r="Q604" s="514"/>
      <c r="R604" s="514"/>
      <c r="S604" s="514"/>
      <c r="T604" s="514"/>
      <c r="U604" s="514"/>
      <c r="V604" s="514"/>
      <c r="W604" s="514"/>
      <c r="X604" s="514"/>
      <c r="Y604" s="514"/>
      <c r="Z604" s="514"/>
      <c r="AA604" s="514"/>
      <c r="AB604" s="514"/>
      <c r="AC604" s="514"/>
      <c r="AD604" s="514"/>
      <c r="AE604" s="514"/>
      <c r="AF604" s="514"/>
      <c r="AG604" s="514"/>
      <c r="AH604" s="514"/>
      <c r="AI604" s="514"/>
      <c r="AJ604" s="514"/>
      <c r="AK604" s="514"/>
      <c r="AL604" s="514"/>
      <c r="AM604" s="514"/>
      <c r="AN604" s="514"/>
    </row>
    <row r="605" ht="16.5" customHeight="1">
      <c r="A605" s="514"/>
      <c r="B605" s="520"/>
      <c r="C605" s="514"/>
      <c r="D605" s="514"/>
      <c r="E605" s="514"/>
      <c r="F605" s="514"/>
      <c r="G605" s="514"/>
      <c r="H605" s="521"/>
      <c r="I605" s="521"/>
      <c r="J605" s="514"/>
      <c r="K605" s="514"/>
      <c r="L605" s="514"/>
      <c r="M605" s="514"/>
      <c r="N605" s="514"/>
      <c r="O605" s="514"/>
      <c r="P605" s="514"/>
      <c r="Q605" s="514"/>
      <c r="R605" s="514"/>
      <c r="S605" s="514"/>
      <c r="T605" s="514"/>
      <c r="U605" s="514"/>
      <c r="V605" s="514"/>
      <c r="W605" s="514"/>
      <c r="X605" s="514"/>
      <c r="Y605" s="514"/>
      <c r="Z605" s="514"/>
      <c r="AA605" s="514"/>
      <c r="AB605" s="514"/>
      <c r="AC605" s="514"/>
      <c r="AD605" s="514"/>
      <c r="AE605" s="514"/>
      <c r="AF605" s="514"/>
      <c r="AG605" s="514"/>
      <c r="AH605" s="514"/>
      <c r="AI605" s="514"/>
      <c r="AJ605" s="514"/>
      <c r="AK605" s="514"/>
      <c r="AL605" s="514"/>
      <c r="AM605" s="514"/>
      <c r="AN605" s="514"/>
    </row>
    <row r="606" ht="16.5" customHeight="1">
      <c r="A606" s="514"/>
      <c r="B606" s="520"/>
      <c r="C606" s="514"/>
      <c r="D606" s="514"/>
      <c r="E606" s="514"/>
      <c r="F606" s="514"/>
      <c r="G606" s="514"/>
      <c r="H606" s="521"/>
      <c r="I606" s="521"/>
      <c r="J606" s="514"/>
      <c r="K606" s="514"/>
      <c r="L606" s="514"/>
      <c r="M606" s="514"/>
      <c r="N606" s="514"/>
      <c r="O606" s="514"/>
      <c r="P606" s="514"/>
      <c r="Q606" s="514"/>
      <c r="R606" s="514"/>
      <c r="S606" s="514"/>
      <c r="T606" s="514"/>
      <c r="U606" s="514"/>
      <c r="V606" s="514"/>
      <c r="W606" s="514"/>
      <c r="X606" s="514"/>
      <c r="Y606" s="514"/>
      <c r="Z606" s="514"/>
      <c r="AA606" s="514"/>
      <c r="AB606" s="514"/>
      <c r="AC606" s="514"/>
      <c r="AD606" s="514"/>
      <c r="AE606" s="514"/>
      <c r="AF606" s="514"/>
      <c r="AG606" s="514"/>
      <c r="AH606" s="514"/>
      <c r="AI606" s="514"/>
      <c r="AJ606" s="514"/>
      <c r="AK606" s="514"/>
      <c r="AL606" s="514"/>
      <c r="AM606" s="514"/>
      <c r="AN606" s="514"/>
    </row>
    <row r="607" ht="16.5" customHeight="1">
      <c r="A607" s="514"/>
      <c r="B607" s="520"/>
      <c r="C607" s="514"/>
      <c r="D607" s="514"/>
      <c r="E607" s="514"/>
      <c r="F607" s="514"/>
      <c r="G607" s="514"/>
      <c r="H607" s="521"/>
      <c r="I607" s="521"/>
      <c r="J607" s="514"/>
      <c r="K607" s="514"/>
      <c r="L607" s="514"/>
      <c r="M607" s="514"/>
      <c r="N607" s="514"/>
      <c r="O607" s="514"/>
      <c r="P607" s="514"/>
      <c r="Q607" s="514"/>
      <c r="R607" s="514"/>
      <c r="S607" s="514"/>
      <c r="T607" s="514"/>
      <c r="U607" s="514"/>
      <c r="V607" s="514"/>
      <c r="W607" s="514"/>
      <c r="X607" s="514"/>
      <c r="Y607" s="514"/>
      <c r="Z607" s="514"/>
      <c r="AA607" s="514"/>
      <c r="AB607" s="514"/>
      <c r="AC607" s="514"/>
      <c r="AD607" s="514"/>
      <c r="AE607" s="514"/>
      <c r="AF607" s="514"/>
      <c r="AG607" s="514"/>
      <c r="AH607" s="514"/>
      <c r="AI607" s="514"/>
      <c r="AJ607" s="514"/>
      <c r="AK607" s="514"/>
      <c r="AL607" s="514"/>
      <c r="AM607" s="514"/>
      <c r="AN607" s="514"/>
    </row>
    <row r="608" ht="16.5" customHeight="1">
      <c r="A608" s="514"/>
      <c r="B608" s="520"/>
      <c r="C608" s="514"/>
      <c r="D608" s="514"/>
      <c r="E608" s="514"/>
      <c r="F608" s="514"/>
      <c r="G608" s="514"/>
      <c r="H608" s="521"/>
      <c r="I608" s="521"/>
      <c r="J608" s="514"/>
      <c r="K608" s="514"/>
      <c r="L608" s="514"/>
      <c r="M608" s="514"/>
      <c r="N608" s="514"/>
      <c r="O608" s="514"/>
      <c r="P608" s="514"/>
      <c r="Q608" s="514"/>
      <c r="R608" s="514"/>
      <c r="S608" s="514"/>
      <c r="T608" s="514"/>
      <c r="U608" s="514"/>
      <c r="V608" s="514"/>
      <c r="W608" s="514"/>
      <c r="X608" s="514"/>
      <c r="Y608" s="514"/>
      <c r="Z608" s="514"/>
      <c r="AA608" s="514"/>
      <c r="AB608" s="514"/>
      <c r="AC608" s="514"/>
      <c r="AD608" s="514"/>
      <c r="AE608" s="514"/>
      <c r="AF608" s="514"/>
      <c r="AG608" s="514"/>
      <c r="AH608" s="514"/>
      <c r="AI608" s="514"/>
      <c r="AJ608" s="514"/>
      <c r="AK608" s="514"/>
      <c r="AL608" s="514"/>
      <c r="AM608" s="514"/>
      <c r="AN608" s="514"/>
    </row>
    <row r="609" ht="16.5" customHeight="1">
      <c r="A609" s="514"/>
      <c r="B609" s="520"/>
      <c r="C609" s="514"/>
      <c r="D609" s="514"/>
      <c r="E609" s="514"/>
      <c r="F609" s="514"/>
      <c r="G609" s="514"/>
      <c r="H609" s="521"/>
      <c r="I609" s="521"/>
      <c r="J609" s="514"/>
      <c r="K609" s="514"/>
      <c r="L609" s="514"/>
      <c r="M609" s="514"/>
      <c r="N609" s="514"/>
      <c r="O609" s="514"/>
      <c r="P609" s="514"/>
      <c r="Q609" s="514"/>
      <c r="R609" s="514"/>
      <c r="S609" s="514"/>
      <c r="T609" s="514"/>
      <c r="U609" s="514"/>
      <c r="V609" s="514"/>
      <c r="W609" s="514"/>
      <c r="X609" s="514"/>
      <c r="Y609" s="514"/>
      <c r="Z609" s="514"/>
      <c r="AA609" s="514"/>
      <c r="AB609" s="514"/>
      <c r="AC609" s="514"/>
      <c r="AD609" s="514"/>
      <c r="AE609" s="514"/>
      <c r="AF609" s="514"/>
      <c r="AG609" s="514"/>
      <c r="AH609" s="514"/>
      <c r="AI609" s="514"/>
      <c r="AJ609" s="514"/>
      <c r="AK609" s="514"/>
      <c r="AL609" s="514"/>
      <c r="AM609" s="514"/>
      <c r="AN609" s="514"/>
    </row>
    <row r="610" ht="16.5" customHeight="1">
      <c r="A610" s="514"/>
      <c r="B610" s="520"/>
      <c r="C610" s="514"/>
      <c r="D610" s="514"/>
      <c r="E610" s="514"/>
      <c r="F610" s="514"/>
      <c r="G610" s="514"/>
      <c r="H610" s="521"/>
      <c r="I610" s="521"/>
      <c r="J610" s="514"/>
      <c r="K610" s="514"/>
      <c r="L610" s="514"/>
      <c r="M610" s="514"/>
      <c r="N610" s="514"/>
      <c r="O610" s="514"/>
      <c r="P610" s="514"/>
      <c r="Q610" s="514"/>
      <c r="R610" s="514"/>
      <c r="S610" s="514"/>
      <c r="T610" s="514"/>
      <c r="U610" s="514"/>
      <c r="V610" s="514"/>
      <c r="W610" s="514"/>
      <c r="X610" s="514"/>
      <c r="Y610" s="514"/>
      <c r="Z610" s="514"/>
      <c r="AA610" s="514"/>
      <c r="AB610" s="514"/>
      <c r="AC610" s="514"/>
      <c r="AD610" s="514"/>
      <c r="AE610" s="514"/>
      <c r="AF610" s="514"/>
      <c r="AG610" s="514"/>
      <c r="AH610" s="514"/>
      <c r="AI610" s="514"/>
      <c r="AJ610" s="514"/>
      <c r="AK610" s="514"/>
      <c r="AL610" s="514"/>
      <c r="AM610" s="514"/>
      <c r="AN610" s="514"/>
    </row>
    <row r="611" ht="16.5" customHeight="1">
      <c r="A611" s="514"/>
      <c r="B611" s="520"/>
      <c r="C611" s="514"/>
      <c r="D611" s="514"/>
      <c r="E611" s="514"/>
      <c r="F611" s="514"/>
      <c r="G611" s="514"/>
      <c r="H611" s="521"/>
      <c r="I611" s="521"/>
      <c r="J611" s="514"/>
      <c r="K611" s="514"/>
      <c r="L611" s="514"/>
      <c r="M611" s="514"/>
      <c r="N611" s="514"/>
      <c r="O611" s="514"/>
      <c r="P611" s="514"/>
      <c r="Q611" s="514"/>
      <c r="R611" s="514"/>
      <c r="S611" s="514"/>
      <c r="T611" s="514"/>
      <c r="U611" s="514"/>
      <c r="V611" s="514"/>
      <c r="W611" s="514"/>
      <c r="X611" s="514"/>
      <c r="Y611" s="514"/>
      <c r="Z611" s="514"/>
      <c r="AA611" s="514"/>
      <c r="AB611" s="514"/>
      <c r="AC611" s="514"/>
      <c r="AD611" s="514"/>
      <c r="AE611" s="514"/>
      <c r="AF611" s="514"/>
      <c r="AG611" s="514"/>
      <c r="AH611" s="514"/>
      <c r="AI611" s="514"/>
      <c r="AJ611" s="514"/>
      <c r="AK611" s="514"/>
      <c r="AL611" s="514"/>
      <c r="AM611" s="514"/>
      <c r="AN611" s="514"/>
    </row>
    <row r="612" ht="16.5" customHeight="1">
      <c r="A612" s="514"/>
      <c r="B612" s="520"/>
      <c r="C612" s="514"/>
      <c r="D612" s="514"/>
      <c r="E612" s="514"/>
      <c r="F612" s="514"/>
      <c r="G612" s="514"/>
      <c r="H612" s="521"/>
      <c r="I612" s="521"/>
      <c r="J612" s="514"/>
      <c r="K612" s="514"/>
      <c r="L612" s="514"/>
      <c r="M612" s="514"/>
      <c r="N612" s="514"/>
      <c r="O612" s="514"/>
      <c r="P612" s="514"/>
      <c r="Q612" s="514"/>
      <c r="R612" s="514"/>
      <c r="S612" s="514"/>
      <c r="T612" s="514"/>
      <c r="U612" s="514"/>
      <c r="V612" s="514"/>
      <c r="W612" s="514"/>
      <c r="X612" s="514"/>
      <c r="Y612" s="514"/>
      <c r="Z612" s="514"/>
      <c r="AA612" s="514"/>
      <c r="AB612" s="514"/>
      <c r="AC612" s="514"/>
      <c r="AD612" s="514"/>
      <c r="AE612" s="514"/>
      <c r="AF612" s="514"/>
      <c r="AG612" s="514"/>
      <c r="AH612" s="514"/>
      <c r="AI612" s="514"/>
      <c r="AJ612" s="514"/>
      <c r="AK612" s="514"/>
      <c r="AL612" s="514"/>
      <c r="AM612" s="514"/>
      <c r="AN612" s="514"/>
    </row>
    <row r="613" ht="16.5" customHeight="1">
      <c r="A613" s="514"/>
      <c r="B613" s="520"/>
      <c r="C613" s="514"/>
      <c r="D613" s="514"/>
      <c r="E613" s="514"/>
      <c r="F613" s="514"/>
      <c r="G613" s="514"/>
      <c r="H613" s="521"/>
      <c r="I613" s="521"/>
      <c r="J613" s="514"/>
      <c r="K613" s="514"/>
      <c r="L613" s="514"/>
      <c r="M613" s="514"/>
      <c r="N613" s="514"/>
      <c r="O613" s="514"/>
      <c r="P613" s="514"/>
      <c r="Q613" s="514"/>
      <c r="R613" s="514"/>
      <c r="S613" s="514"/>
      <c r="T613" s="514"/>
      <c r="U613" s="514"/>
      <c r="V613" s="514"/>
      <c r="W613" s="514"/>
      <c r="X613" s="514"/>
      <c r="Y613" s="514"/>
      <c r="Z613" s="514"/>
      <c r="AA613" s="514"/>
      <c r="AB613" s="514"/>
      <c r="AC613" s="514"/>
      <c r="AD613" s="514"/>
      <c r="AE613" s="514"/>
      <c r="AF613" s="514"/>
      <c r="AG613" s="514"/>
      <c r="AH613" s="514"/>
      <c r="AI613" s="514"/>
      <c r="AJ613" s="514"/>
      <c r="AK613" s="514"/>
      <c r="AL613" s="514"/>
      <c r="AM613" s="514"/>
      <c r="AN613" s="514"/>
    </row>
    <row r="614" ht="16.5" customHeight="1">
      <c r="A614" s="514"/>
      <c r="B614" s="520"/>
      <c r="C614" s="514"/>
      <c r="D614" s="514"/>
      <c r="E614" s="514"/>
      <c r="F614" s="514"/>
      <c r="G614" s="514"/>
      <c r="H614" s="521"/>
      <c r="I614" s="521"/>
      <c r="J614" s="514"/>
      <c r="K614" s="514"/>
      <c r="L614" s="514"/>
      <c r="M614" s="514"/>
      <c r="N614" s="514"/>
      <c r="O614" s="514"/>
      <c r="P614" s="514"/>
      <c r="Q614" s="514"/>
      <c r="R614" s="514"/>
      <c r="S614" s="514"/>
      <c r="T614" s="514"/>
      <c r="U614" s="514"/>
      <c r="V614" s="514"/>
      <c r="W614" s="514"/>
      <c r="X614" s="514"/>
      <c r="Y614" s="514"/>
      <c r="Z614" s="514"/>
      <c r="AA614" s="514"/>
      <c r="AB614" s="514"/>
      <c r="AC614" s="514"/>
      <c r="AD614" s="514"/>
      <c r="AE614" s="514"/>
      <c r="AF614" s="514"/>
      <c r="AG614" s="514"/>
      <c r="AH614" s="514"/>
      <c r="AI614" s="514"/>
      <c r="AJ614" s="514"/>
      <c r="AK614" s="514"/>
      <c r="AL614" s="514"/>
      <c r="AM614" s="514"/>
      <c r="AN614" s="514"/>
    </row>
    <row r="615" ht="16.5" customHeight="1">
      <c r="A615" s="514"/>
      <c r="B615" s="520"/>
      <c r="C615" s="514"/>
      <c r="D615" s="514"/>
      <c r="E615" s="514"/>
      <c r="F615" s="514"/>
      <c r="G615" s="514"/>
      <c r="H615" s="521"/>
      <c r="I615" s="521"/>
      <c r="J615" s="514"/>
      <c r="K615" s="514"/>
      <c r="L615" s="514"/>
      <c r="M615" s="514"/>
      <c r="N615" s="514"/>
      <c r="O615" s="514"/>
      <c r="P615" s="514"/>
      <c r="Q615" s="514"/>
      <c r="R615" s="514"/>
      <c r="S615" s="514"/>
      <c r="T615" s="514"/>
      <c r="U615" s="514"/>
      <c r="V615" s="514"/>
      <c r="W615" s="514"/>
      <c r="X615" s="514"/>
      <c r="Y615" s="514"/>
      <c r="Z615" s="514"/>
      <c r="AA615" s="514"/>
      <c r="AB615" s="514"/>
      <c r="AC615" s="514"/>
      <c r="AD615" s="514"/>
      <c r="AE615" s="514"/>
      <c r="AF615" s="514"/>
      <c r="AG615" s="514"/>
      <c r="AH615" s="514"/>
      <c r="AI615" s="514"/>
      <c r="AJ615" s="514"/>
      <c r="AK615" s="514"/>
      <c r="AL615" s="514"/>
      <c r="AM615" s="514"/>
      <c r="AN615" s="514"/>
    </row>
    <row r="616" ht="16.5" customHeight="1">
      <c r="A616" s="514"/>
      <c r="B616" s="520"/>
      <c r="C616" s="514"/>
      <c r="D616" s="514"/>
      <c r="E616" s="514"/>
      <c r="F616" s="514"/>
      <c r="G616" s="514"/>
      <c r="H616" s="521"/>
      <c r="I616" s="521"/>
      <c r="J616" s="514"/>
      <c r="K616" s="514"/>
      <c r="L616" s="514"/>
      <c r="M616" s="514"/>
      <c r="N616" s="514"/>
      <c r="O616" s="514"/>
      <c r="P616" s="514"/>
      <c r="Q616" s="514"/>
      <c r="R616" s="514"/>
      <c r="S616" s="514"/>
      <c r="T616" s="514"/>
      <c r="U616" s="514"/>
      <c r="V616" s="514"/>
      <c r="W616" s="514"/>
      <c r="X616" s="514"/>
      <c r="Y616" s="514"/>
      <c r="Z616" s="514"/>
      <c r="AA616" s="514"/>
      <c r="AB616" s="514"/>
      <c r="AC616" s="514"/>
      <c r="AD616" s="514"/>
      <c r="AE616" s="514"/>
      <c r="AF616" s="514"/>
      <c r="AG616" s="514"/>
      <c r="AH616" s="514"/>
      <c r="AI616" s="514"/>
      <c r="AJ616" s="514"/>
      <c r="AK616" s="514"/>
      <c r="AL616" s="514"/>
      <c r="AM616" s="514"/>
      <c r="AN616" s="514"/>
    </row>
    <row r="617" ht="16.5" customHeight="1">
      <c r="A617" s="514"/>
      <c r="B617" s="520"/>
      <c r="C617" s="514"/>
      <c r="D617" s="514"/>
      <c r="E617" s="514"/>
      <c r="F617" s="514"/>
      <c r="G617" s="514"/>
      <c r="H617" s="521"/>
      <c r="I617" s="521"/>
      <c r="J617" s="514"/>
      <c r="K617" s="514"/>
      <c r="L617" s="514"/>
      <c r="M617" s="514"/>
      <c r="N617" s="514"/>
      <c r="O617" s="514"/>
      <c r="P617" s="514"/>
      <c r="Q617" s="514"/>
      <c r="R617" s="514"/>
      <c r="S617" s="514"/>
      <c r="T617" s="514"/>
      <c r="U617" s="514"/>
      <c r="V617" s="514"/>
      <c r="W617" s="514"/>
      <c r="X617" s="514"/>
      <c r="Y617" s="514"/>
      <c r="Z617" s="514"/>
      <c r="AA617" s="514"/>
      <c r="AB617" s="514"/>
      <c r="AC617" s="514"/>
      <c r="AD617" s="514"/>
      <c r="AE617" s="514"/>
      <c r="AF617" s="514"/>
      <c r="AG617" s="514"/>
      <c r="AH617" s="514"/>
      <c r="AI617" s="514"/>
      <c r="AJ617" s="514"/>
      <c r="AK617" s="514"/>
      <c r="AL617" s="514"/>
      <c r="AM617" s="514"/>
      <c r="AN617" s="514"/>
    </row>
    <row r="618" ht="16.5" customHeight="1">
      <c r="A618" s="514"/>
      <c r="B618" s="520"/>
      <c r="C618" s="514"/>
      <c r="D618" s="514"/>
      <c r="E618" s="514"/>
      <c r="F618" s="514"/>
      <c r="G618" s="514"/>
      <c r="H618" s="521"/>
      <c r="I618" s="521"/>
      <c r="J618" s="514"/>
      <c r="K618" s="514"/>
      <c r="L618" s="514"/>
      <c r="M618" s="514"/>
      <c r="N618" s="514"/>
      <c r="O618" s="514"/>
      <c r="P618" s="514"/>
      <c r="Q618" s="514"/>
      <c r="R618" s="514"/>
      <c r="S618" s="514"/>
      <c r="T618" s="514"/>
      <c r="U618" s="514"/>
      <c r="V618" s="514"/>
      <c r="W618" s="514"/>
      <c r="X618" s="514"/>
      <c r="Y618" s="514"/>
      <c r="Z618" s="514"/>
      <c r="AA618" s="514"/>
      <c r="AB618" s="514"/>
      <c r="AC618" s="514"/>
      <c r="AD618" s="514"/>
      <c r="AE618" s="514"/>
      <c r="AF618" s="514"/>
      <c r="AG618" s="514"/>
      <c r="AH618" s="514"/>
      <c r="AI618" s="514"/>
      <c r="AJ618" s="514"/>
      <c r="AK618" s="514"/>
      <c r="AL618" s="514"/>
      <c r="AM618" s="514"/>
      <c r="AN618" s="514"/>
    </row>
    <row r="619" ht="16.5" customHeight="1">
      <c r="A619" s="514"/>
      <c r="B619" s="520"/>
      <c r="C619" s="514"/>
      <c r="D619" s="514"/>
      <c r="E619" s="514"/>
      <c r="F619" s="514"/>
      <c r="G619" s="514"/>
      <c r="H619" s="521"/>
      <c r="I619" s="521"/>
      <c r="J619" s="514"/>
      <c r="K619" s="514"/>
      <c r="L619" s="514"/>
      <c r="M619" s="514"/>
      <c r="N619" s="514"/>
      <c r="O619" s="514"/>
      <c r="P619" s="514"/>
      <c r="Q619" s="514"/>
      <c r="R619" s="514"/>
      <c r="S619" s="514"/>
      <c r="T619" s="514"/>
      <c r="U619" s="514"/>
      <c r="V619" s="514"/>
      <c r="W619" s="514"/>
      <c r="X619" s="514"/>
      <c r="Y619" s="514"/>
      <c r="Z619" s="514"/>
      <c r="AA619" s="514"/>
      <c r="AB619" s="514"/>
      <c r="AC619" s="514"/>
      <c r="AD619" s="514"/>
      <c r="AE619" s="514"/>
      <c r="AF619" s="514"/>
      <c r="AG619" s="514"/>
      <c r="AH619" s="514"/>
      <c r="AI619" s="514"/>
      <c r="AJ619" s="514"/>
      <c r="AK619" s="514"/>
      <c r="AL619" s="514"/>
      <c r="AM619" s="514"/>
      <c r="AN619" s="514"/>
    </row>
    <row r="620" ht="16.5" customHeight="1">
      <c r="A620" s="514"/>
      <c r="B620" s="520"/>
      <c r="C620" s="514"/>
      <c r="D620" s="514"/>
      <c r="E620" s="514"/>
      <c r="F620" s="514"/>
      <c r="G620" s="514"/>
      <c r="H620" s="521"/>
      <c r="I620" s="521"/>
      <c r="J620" s="514"/>
      <c r="K620" s="514"/>
      <c r="L620" s="514"/>
      <c r="M620" s="514"/>
      <c r="N620" s="514"/>
      <c r="O620" s="514"/>
      <c r="P620" s="514"/>
      <c r="Q620" s="514"/>
      <c r="R620" s="514"/>
      <c r="S620" s="514"/>
      <c r="T620" s="514"/>
      <c r="U620" s="514"/>
      <c r="V620" s="514"/>
      <c r="W620" s="514"/>
      <c r="X620" s="514"/>
      <c r="Y620" s="514"/>
      <c r="Z620" s="514"/>
      <c r="AA620" s="514"/>
      <c r="AB620" s="514"/>
      <c r="AC620" s="514"/>
      <c r="AD620" s="514"/>
      <c r="AE620" s="514"/>
      <c r="AF620" s="514"/>
      <c r="AG620" s="514"/>
      <c r="AH620" s="514"/>
      <c r="AI620" s="514"/>
      <c r="AJ620" s="514"/>
      <c r="AK620" s="514"/>
      <c r="AL620" s="514"/>
      <c r="AM620" s="514"/>
      <c r="AN620" s="514"/>
    </row>
    <row r="621" ht="16.5" customHeight="1">
      <c r="A621" s="514"/>
      <c r="B621" s="520"/>
      <c r="C621" s="514"/>
      <c r="D621" s="514"/>
      <c r="E621" s="514"/>
      <c r="F621" s="514"/>
      <c r="G621" s="514"/>
      <c r="H621" s="521"/>
      <c r="I621" s="521"/>
      <c r="J621" s="514"/>
      <c r="K621" s="514"/>
      <c r="L621" s="514"/>
      <c r="M621" s="514"/>
      <c r="N621" s="514"/>
      <c r="O621" s="514"/>
      <c r="P621" s="514"/>
      <c r="Q621" s="514"/>
      <c r="R621" s="514"/>
      <c r="S621" s="514"/>
      <c r="T621" s="514"/>
      <c r="U621" s="514"/>
      <c r="V621" s="514"/>
      <c r="W621" s="514"/>
      <c r="X621" s="514"/>
      <c r="Y621" s="514"/>
      <c r="Z621" s="514"/>
      <c r="AA621" s="514"/>
      <c r="AB621" s="514"/>
      <c r="AC621" s="514"/>
      <c r="AD621" s="514"/>
      <c r="AE621" s="514"/>
      <c r="AF621" s="514"/>
      <c r="AG621" s="514"/>
      <c r="AH621" s="514"/>
      <c r="AI621" s="514"/>
      <c r="AJ621" s="514"/>
      <c r="AK621" s="514"/>
      <c r="AL621" s="514"/>
      <c r="AM621" s="514"/>
      <c r="AN621" s="514"/>
    </row>
    <row r="622" ht="16.5" customHeight="1">
      <c r="A622" s="514"/>
      <c r="B622" s="520"/>
      <c r="C622" s="514"/>
      <c r="D622" s="514"/>
      <c r="E622" s="514"/>
      <c r="F622" s="514"/>
      <c r="G622" s="514"/>
      <c r="H622" s="521"/>
      <c r="I622" s="521"/>
      <c r="J622" s="514"/>
      <c r="K622" s="514"/>
      <c r="L622" s="514"/>
      <c r="M622" s="514"/>
      <c r="N622" s="514"/>
      <c r="O622" s="514"/>
      <c r="P622" s="514"/>
      <c r="Q622" s="514"/>
      <c r="R622" s="514"/>
      <c r="S622" s="514"/>
      <c r="T622" s="514"/>
      <c r="U622" s="514"/>
      <c r="V622" s="514"/>
      <c r="W622" s="514"/>
      <c r="X622" s="514"/>
      <c r="Y622" s="514"/>
      <c r="Z622" s="514"/>
      <c r="AA622" s="514"/>
      <c r="AB622" s="514"/>
      <c r="AC622" s="514"/>
      <c r="AD622" s="514"/>
      <c r="AE622" s="514"/>
      <c r="AF622" s="514"/>
      <c r="AG622" s="514"/>
      <c r="AH622" s="514"/>
      <c r="AI622" s="514"/>
      <c r="AJ622" s="514"/>
      <c r="AK622" s="514"/>
      <c r="AL622" s="514"/>
      <c r="AM622" s="514"/>
      <c r="AN622" s="514"/>
    </row>
    <row r="623" ht="16.5" customHeight="1">
      <c r="A623" s="514"/>
      <c r="B623" s="520"/>
      <c r="C623" s="514"/>
      <c r="D623" s="514"/>
      <c r="E623" s="514"/>
      <c r="F623" s="514"/>
      <c r="G623" s="514"/>
      <c r="H623" s="521"/>
      <c r="I623" s="521"/>
      <c r="J623" s="514"/>
      <c r="K623" s="514"/>
      <c r="L623" s="514"/>
      <c r="M623" s="514"/>
      <c r="N623" s="514"/>
      <c r="O623" s="514"/>
      <c r="P623" s="514"/>
      <c r="Q623" s="514"/>
      <c r="R623" s="514"/>
      <c r="S623" s="514"/>
      <c r="T623" s="514"/>
      <c r="U623" s="514"/>
      <c r="V623" s="514"/>
      <c r="W623" s="514"/>
      <c r="X623" s="514"/>
      <c r="Y623" s="514"/>
      <c r="Z623" s="514"/>
      <c r="AA623" s="514"/>
      <c r="AB623" s="514"/>
      <c r="AC623" s="514"/>
      <c r="AD623" s="514"/>
      <c r="AE623" s="514"/>
      <c r="AF623" s="514"/>
      <c r="AG623" s="514"/>
      <c r="AH623" s="514"/>
      <c r="AI623" s="514"/>
      <c r="AJ623" s="514"/>
      <c r="AK623" s="514"/>
      <c r="AL623" s="514"/>
      <c r="AM623" s="514"/>
      <c r="AN623" s="514"/>
    </row>
    <row r="624" ht="16.5" customHeight="1">
      <c r="A624" s="514"/>
      <c r="B624" s="520"/>
      <c r="C624" s="514"/>
      <c r="D624" s="514"/>
      <c r="E624" s="514"/>
      <c r="F624" s="514"/>
      <c r="G624" s="514"/>
      <c r="H624" s="521"/>
      <c r="I624" s="521"/>
      <c r="J624" s="514"/>
      <c r="K624" s="514"/>
      <c r="L624" s="514"/>
      <c r="M624" s="514"/>
      <c r="N624" s="514"/>
      <c r="O624" s="514"/>
      <c r="P624" s="514"/>
      <c r="Q624" s="514"/>
      <c r="R624" s="514"/>
      <c r="S624" s="514"/>
      <c r="T624" s="514"/>
      <c r="U624" s="514"/>
      <c r="V624" s="514"/>
      <c r="W624" s="514"/>
      <c r="X624" s="514"/>
      <c r="Y624" s="514"/>
      <c r="Z624" s="514"/>
      <c r="AA624" s="514"/>
      <c r="AB624" s="514"/>
      <c r="AC624" s="514"/>
      <c r="AD624" s="514"/>
      <c r="AE624" s="514"/>
      <c r="AF624" s="514"/>
      <c r="AG624" s="514"/>
      <c r="AH624" s="514"/>
      <c r="AI624" s="514"/>
      <c r="AJ624" s="514"/>
      <c r="AK624" s="514"/>
      <c r="AL624" s="514"/>
      <c r="AM624" s="514"/>
      <c r="AN624" s="514"/>
    </row>
    <row r="625" ht="16.5" customHeight="1">
      <c r="A625" s="514"/>
      <c r="B625" s="520"/>
      <c r="C625" s="514"/>
      <c r="D625" s="514"/>
      <c r="E625" s="514"/>
      <c r="F625" s="514"/>
      <c r="G625" s="514"/>
      <c r="H625" s="521"/>
      <c r="I625" s="521"/>
      <c r="J625" s="514"/>
      <c r="K625" s="514"/>
      <c r="L625" s="514"/>
      <c r="M625" s="514"/>
      <c r="N625" s="514"/>
      <c r="O625" s="514"/>
      <c r="P625" s="514"/>
      <c r="Q625" s="514"/>
      <c r="R625" s="514"/>
      <c r="S625" s="514"/>
      <c r="T625" s="514"/>
      <c r="U625" s="514"/>
      <c r="V625" s="514"/>
      <c r="W625" s="514"/>
      <c r="X625" s="514"/>
      <c r="Y625" s="514"/>
      <c r="Z625" s="514"/>
      <c r="AA625" s="514"/>
      <c r="AB625" s="514"/>
      <c r="AC625" s="514"/>
      <c r="AD625" s="514"/>
      <c r="AE625" s="514"/>
      <c r="AF625" s="514"/>
      <c r="AG625" s="514"/>
      <c r="AH625" s="514"/>
      <c r="AI625" s="514"/>
      <c r="AJ625" s="514"/>
      <c r="AK625" s="514"/>
      <c r="AL625" s="514"/>
      <c r="AM625" s="514"/>
      <c r="AN625" s="514"/>
    </row>
    <row r="626" ht="16.5" customHeight="1">
      <c r="A626" s="514"/>
      <c r="B626" s="520"/>
      <c r="C626" s="514"/>
      <c r="D626" s="514"/>
      <c r="E626" s="514"/>
      <c r="F626" s="514"/>
      <c r="G626" s="514"/>
      <c r="H626" s="521"/>
      <c r="I626" s="521"/>
      <c r="J626" s="514"/>
      <c r="K626" s="514"/>
      <c r="L626" s="514"/>
      <c r="M626" s="514"/>
      <c r="N626" s="514"/>
      <c r="O626" s="514"/>
      <c r="P626" s="514"/>
      <c r="Q626" s="514"/>
      <c r="R626" s="514"/>
      <c r="S626" s="514"/>
      <c r="T626" s="514"/>
      <c r="U626" s="514"/>
      <c r="V626" s="514"/>
      <c r="W626" s="514"/>
      <c r="X626" s="514"/>
      <c r="Y626" s="514"/>
      <c r="Z626" s="514"/>
      <c r="AA626" s="514"/>
      <c r="AB626" s="514"/>
      <c r="AC626" s="514"/>
      <c r="AD626" s="514"/>
      <c r="AE626" s="514"/>
      <c r="AF626" s="514"/>
      <c r="AG626" s="514"/>
      <c r="AH626" s="514"/>
      <c r="AI626" s="514"/>
      <c r="AJ626" s="514"/>
      <c r="AK626" s="514"/>
      <c r="AL626" s="514"/>
      <c r="AM626" s="514"/>
      <c r="AN626" s="514"/>
    </row>
    <row r="627" ht="16.5" customHeight="1">
      <c r="A627" s="514"/>
      <c r="B627" s="520"/>
      <c r="C627" s="514"/>
      <c r="D627" s="514"/>
      <c r="E627" s="514"/>
      <c r="F627" s="514"/>
      <c r="G627" s="514"/>
      <c r="H627" s="521"/>
      <c r="I627" s="521"/>
      <c r="J627" s="514"/>
      <c r="K627" s="514"/>
      <c r="L627" s="514"/>
      <c r="M627" s="514"/>
      <c r="N627" s="514"/>
      <c r="O627" s="514"/>
      <c r="P627" s="514"/>
      <c r="Q627" s="514"/>
      <c r="R627" s="514"/>
      <c r="S627" s="514"/>
      <c r="T627" s="514"/>
      <c r="U627" s="514"/>
      <c r="V627" s="514"/>
      <c r="W627" s="514"/>
      <c r="X627" s="514"/>
      <c r="Y627" s="514"/>
      <c r="Z627" s="514"/>
      <c r="AA627" s="514"/>
      <c r="AB627" s="514"/>
      <c r="AC627" s="514"/>
      <c r="AD627" s="514"/>
      <c r="AE627" s="514"/>
      <c r="AF627" s="514"/>
      <c r="AG627" s="514"/>
      <c r="AH627" s="514"/>
      <c r="AI627" s="514"/>
      <c r="AJ627" s="514"/>
      <c r="AK627" s="514"/>
      <c r="AL627" s="514"/>
      <c r="AM627" s="514"/>
      <c r="AN627" s="514"/>
    </row>
    <row r="628" ht="16.5" customHeight="1">
      <c r="A628" s="514"/>
      <c r="B628" s="520"/>
      <c r="C628" s="514"/>
      <c r="D628" s="514"/>
      <c r="E628" s="514"/>
      <c r="F628" s="514"/>
      <c r="G628" s="514"/>
      <c r="H628" s="521"/>
      <c r="I628" s="521"/>
      <c r="J628" s="514"/>
      <c r="K628" s="514"/>
      <c r="L628" s="514"/>
      <c r="M628" s="514"/>
      <c r="N628" s="514"/>
      <c r="O628" s="514"/>
      <c r="P628" s="514"/>
      <c r="Q628" s="514"/>
      <c r="R628" s="514"/>
      <c r="S628" s="514"/>
      <c r="T628" s="514"/>
      <c r="U628" s="514"/>
      <c r="V628" s="514"/>
      <c r="W628" s="514"/>
      <c r="X628" s="514"/>
      <c r="Y628" s="514"/>
      <c r="Z628" s="514"/>
      <c r="AA628" s="514"/>
      <c r="AB628" s="514"/>
      <c r="AC628" s="514"/>
      <c r="AD628" s="514"/>
      <c r="AE628" s="514"/>
      <c r="AF628" s="514"/>
      <c r="AG628" s="514"/>
      <c r="AH628" s="514"/>
      <c r="AI628" s="514"/>
      <c r="AJ628" s="514"/>
      <c r="AK628" s="514"/>
      <c r="AL628" s="514"/>
      <c r="AM628" s="514"/>
      <c r="AN628" s="514"/>
    </row>
    <row r="629" ht="16.5" customHeight="1">
      <c r="A629" s="514"/>
      <c r="B629" s="520"/>
      <c r="C629" s="514"/>
      <c r="D629" s="514"/>
      <c r="E629" s="514"/>
      <c r="F629" s="514"/>
      <c r="G629" s="514"/>
      <c r="H629" s="521"/>
      <c r="I629" s="521"/>
      <c r="J629" s="514"/>
      <c r="K629" s="514"/>
      <c r="L629" s="514"/>
      <c r="M629" s="514"/>
      <c r="N629" s="514"/>
      <c r="O629" s="514"/>
      <c r="P629" s="514"/>
      <c r="Q629" s="514"/>
      <c r="R629" s="514"/>
      <c r="S629" s="514"/>
      <c r="T629" s="514"/>
      <c r="U629" s="514"/>
      <c r="V629" s="514"/>
      <c r="W629" s="514"/>
      <c r="X629" s="514"/>
      <c r="Y629" s="514"/>
      <c r="Z629" s="514"/>
      <c r="AA629" s="514"/>
      <c r="AB629" s="514"/>
      <c r="AC629" s="514"/>
      <c r="AD629" s="514"/>
      <c r="AE629" s="514"/>
      <c r="AF629" s="514"/>
      <c r="AG629" s="514"/>
      <c r="AH629" s="514"/>
      <c r="AI629" s="514"/>
      <c r="AJ629" s="514"/>
      <c r="AK629" s="514"/>
      <c r="AL629" s="514"/>
      <c r="AM629" s="514"/>
      <c r="AN629" s="514"/>
    </row>
    <row r="630" ht="16.5" customHeight="1">
      <c r="A630" s="514"/>
      <c r="B630" s="520"/>
      <c r="C630" s="514"/>
      <c r="D630" s="514"/>
      <c r="E630" s="514"/>
      <c r="F630" s="514"/>
      <c r="G630" s="514"/>
      <c r="H630" s="521"/>
      <c r="I630" s="521"/>
      <c r="J630" s="514"/>
      <c r="K630" s="514"/>
      <c r="L630" s="514"/>
      <c r="M630" s="514"/>
      <c r="N630" s="514"/>
      <c r="O630" s="514"/>
      <c r="P630" s="514"/>
      <c r="Q630" s="514"/>
      <c r="R630" s="514"/>
      <c r="S630" s="514"/>
      <c r="T630" s="514"/>
      <c r="U630" s="514"/>
      <c r="V630" s="514"/>
      <c r="W630" s="514"/>
      <c r="X630" s="514"/>
      <c r="Y630" s="514"/>
      <c r="Z630" s="514"/>
      <c r="AA630" s="514"/>
      <c r="AB630" s="514"/>
      <c r="AC630" s="514"/>
      <c r="AD630" s="514"/>
      <c r="AE630" s="514"/>
      <c r="AF630" s="514"/>
      <c r="AG630" s="514"/>
      <c r="AH630" s="514"/>
      <c r="AI630" s="514"/>
      <c r="AJ630" s="514"/>
      <c r="AK630" s="514"/>
      <c r="AL630" s="514"/>
      <c r="AM630" s="514"/>
      <c r="AN630" s="514"/>
    </row>
    <row r="631" ht="16.5" customHeight="1">
      <c r="A631" s="514"/>
      <c r="B631" s="520"/>
      <c r="C631" s="514"/>
      <c r="D631" s="514"/>
      <c r="E631" s="514"/>
      <c r="F631" s="514"/>
      <c r="G631" s="514"/>
      <c r="H631" s="521"/>
      <c r="I631" s="521"/>
      <c r="J631" s="514"/>
      <c r="K631" s="514"/>
      <c r="L631" s="514"/>
      <c r="M631" s="514"/>
      <c r="N631" s="514"/>
      <c r="O631" s="514"/>
      <c r="P631" s="514"/>
      <c r="Q631" s="514"/>
      <c r="R631" s="514"/>
      <c r="S631" s="514"/>
      <c r="T631" s="514"/>
      <c r="U631" s="514"/>
      <c r="V631" s="514"/>
      <c r="W631" s="514"/>
      <c r="X631" s="514"/>
      <c r="Y631" s="514"/>
      <c r="Z631" s="514"/>
      <c r="AA631" s="514"/>
      <c r="AB631" s="514"/>
      <c r="AC631" s="514"/>
      <c r="AD631" s="514"/>
      <c r="AE631" s="514"/>
      <c r="AF631" s="514"/>
      <c r="AG631" s="514"/>
      <c r="AH631" s="514"/>
      <c r="AI631" s="514"/>
      <c r="AJ631" s="514"/>
      <c r="AK631" s="514"/>
      <c r="AL631" s="514"/>
      <c r="AM631" s="514"/>
      <c r="AN631" s="514"/>
    </row>
    <row r="632" ht="16.5" customHeight="1">
      <c r="A632" s="514"/>
      <c r="B632" s="520"/>
      <c r="C632" s="514"/>
      <c r="D632" s="514"/>
      <c r="E632" s="514"/>
      <c r="F632" s="514"/>
      <c r="G632" s="514"/>
      <c r="H632" s="521"/>
      <c r="I632" s="521"/>
      <c r="J632" s="514"/>
      <c r="K632" s="514"/>
      <c r="L632" s="514"/>
      <c r="M632" s="514"/>
      <c r="N632" s="514"/>
      <c r="O632" s="514"/>
      <c r="P632" s="514"/>
      <c r="Q632" s="514"/>
      <c r="R632" s="514"/>
      <c r="S632" s="514"/>
      <c r="T632" s="514"/>
      <c r="U632" s="514"/>
      <c r="V632" s="514"/>
      <c r="W632" s="514"/>
      <c r="X632" s="514"/>
      <c r="Y632" s="514"/>
      <c r="Z632" s="514"/>
      <c r="AA632" s="514"/>
      <c r="AB632" s="514"/>
      <c r="AC632" s="514"/>
      <c r="AD632" s="514"/>
      <c r="AE632" s="514"/>
      <c r="AF632" s="514"/>
      <c r="AG632" s="514"/>
      <c r="AH632" s="514"/>
      <c r="AI632" s="514"/>
      <c r="AJ632" s="514"/>
      <c r="AK632" s="514"/>
      <c r="AL632" s="514"/>
      <c r="AM632" s="514"/>
      <c r="AN632" s="514"/>
    </row>
    <row r="633" ht="16.5" customHeight="1">
      <c r="A633" s="514"/>
      <c r="B633" s="520"/>
      <c r="C633" s="514"/>
      <c r="D633" s="514"/>
      <c r="E633" s="514"/>
      <c r="F633" s="514"/>
      <c r="G633" s="514"/>
      <c r="H633" s="521"/>
      <c r="I633" s="521"/>
      <c r="J633" s="514"/>
      <c r="K633" s="514"/>
      <c r="L633" s="514"/>
      <c r="M633" s="514"/>
      <c r="N633" s="514"/>
      <c r="O633" s="514"/>
      <c r="P633" s="514"/>
      <c r="Q633" s="514"/>
      <c r="R633" s="514"/>
      <c r="S633" s="514"/>
      <c r="T633" s="514"/>
      <c r="U633" s="514"/>
      <c r="V633" s="514"/>
      <c r="W633" s="514"/>
      <c r="X633" s="514"/>
      <c r="Y633" s="514"/>
      <c r="Z633" s="514"/>
      <c r="AA633" s="514"/>
      <c r="AB633" s="514"/>
      <c r="AC633" s="514"/>
      <c r="AD633" s="514"/>
      <c r="AE633" s="514"/>
      <c r="AF633" s="514"/>
      <c r="AG633" s="514"/>
      <c r="AH633" s="514"/>
      <c r="AI633" s="514"/>
      <c r="AJ633" s="514"/>
      <c r="AK633" s="514"/>
      <c r="AL633" s="514"/>
      <c r="AM633" s="514"/>
      <c r="AN633" s="514"/>
    </row>
    <row r="634" ht="16.5" customHeight="1">
      <c r="A634" s="514"/>
      <c r="B634" s="520"/>
      <c r="C634" s="514"/>
      <c r="D634" s="514"/>
      <c r="E634" s="514"/>
      <c r="F634" s="514"/>
      <c r="G634" s="514"/>
      <c r="H634" s="521"/>
      <c r="I634" s="521"/>
      <c r="J634" s="514"/>
      <c r="K634" s="514"/>
      <c r="L634" s="514"/>
      <c r="M634" s="514"/>
      <c r="N634" s="514"/>
      <c r="O634" s="514"/>
      <c r="P634" s="514"/>
      <c r="Q634" s="514"/>
      <c r="R634" s="514"/>
      <c r="S634" s="514"/>
      <c r="T634" s="514"/>
      <c r="U634" s="514"/>
      <c r="V634" s="514"/>
      <c r="W634" s="514"/>
      <c r="X634" s="514"/>
      <c r="Y634" s="514"/>
      <c r="Z634" s="514"/>
      <c r="AA634" s="514"/>
      <c r="AB634" s="514"/>
      <c r="AC634" s="514"/>
      <c r="AD634" s="514"/>
      <c r="AE634" s="514"/>
      <c r="AF634" s="514"/>
      <c r="AG634" s="514"/>
      <c r="AH634" s="514"/>
      <c r="AI634" s="514"/>
      <c r="AJ634" s="514"/>
      <c r="AK634" s="514"/>
      <c r="AL634" s="514"/>
      <c r="AM634" s="514"/>
      <c r="AN634" s="514"/>
    </row>
    <row r="635" ht="16.5" customHeight="1">
      <c r="A635" s="514"/>
      <c r="B635" s="520"/>
      <c r="C635" s="514"/>
      <c r="D635" s="514"/>
      <c r="E635" s="514"/>
      <c r="F635" s="514"/>
      <c r="G635" s="514"/>
      <c r="H635" s="521"/>
      <c r="I635" s="521"/>
      <c r="J635" s="514"/>
      <c r="K635" s="514"/>
      <c r="L635" s="514"/>
      <c r="M635" s="514"/>
      <c r="N635" s="514"/>
      <c r="O635" s="514"/>
      <c r="P635" s="514"/>
      <c r="Q635" s="514"/>
      <c r="R635" s="514"/>
      <c r="S635" s="514"/>
      <c r="T635" s="514"/>
      <c r="U635" s="514"/>
      <c r="V635" s="514"/>
      <c r="W635" s="514"/>
      <c r="X635" s="514"/>
      <c r="Y635" s="514"/>
      <c r="Z635" s="514"/>
      <c r="AA635" s="514"/>
      <c r="AB635" s="514"/>
      <c r="AC635" s="514"/>
      <c r="AD635" s="514"/>
      <c r="AE635" s="514"/>
      <c r="AF635" s="514"/>
      <c r="AG635" s="514"/>
      <c r="AH635" s="514"/>
      <c r="AI635" s="514"/>
      <c r="AJ635" s="514"/>
      <c r="AK635" s="514"/>
      <c r="AL635" s="514"/>
      <c r="AM635" s="514"/>
      <c r="AN635" s="514"/>
    </row>
    <row r="636" ht="16.5" customHeight="1">
      <c r="A636" s="514"/>
      <c r="B636" s="520"/>
      <c r="C636" s="514"/>
      <c r="D636" s="514"/>
      <c r="E636" s="514"/>
      <c r="F636" s="514"/>
      <c r="G636" s="514"/>
      <c r="H636" s="521"/>
      <c r="I636" s="521"/>
      <c r="J636" s="514"/>
      <c r="K636" s="514"/>
      <c r="L636" s="514"/>
      <c r="M636" s="514"/>
      <c r="N636" s="514"/>
      <c r="O636" s="514"/>
      <c r="P636" s="514"/>
      <c r="Q636" s="514"/>
      <c r="R636" s="514"/>
      <c r="S636" s="514"/>
      <c r="T636" s="514"/>
      <c r="U636" s="514"/>
      <c r="V636" s="514"/>
      <c r="W636" s="514"/>
      <c r="X636" s="514"/>
      <c r="Y636" s="514"/>
      <c r="Z636" s="514"/>
      <c r="AA636" s="514"/>
      <c r="AB636" s="514"/>
      <c r="AC636" s="514"/>
      <c r="AD636" s="514"/>
      <c r="AE636" s="514"/>
      <c r="AF636" s="514"/>
      <c r="AG636" s="514"/>
      <c r="AH636" s="514"/>
      <c r="AI636" s="514"/>
      <c r="AJ636" s="514"/>
      <c r="AK636" s="514"/>
      <c r="AL636" s="514"/>
      <c r="AM636" s="514"/>
      <c r="AN636" s="514"/>
    </row>
    <row r="637" ht="16.5" customHeight="1">
      <c r="A637" s="514"/>
      <c r="B637" s="520"/>
      <c r="C637" s="514"/>
      <c r="D637" s="514"/>
      <c r="E637" s="514"/>
      <c r="F637" s="514"/>
      <c r="G637" s="514"/>
      <c r="H637" s="521"/>
      <c r="I637" s="521"/>
      <c r="J637" s="514"/>
      <c r="K637" s="514"/>
      <c r="L637" s="514"/>
      <c r="M637" s="514"/>
      <c r="N637" s="514"/>
      <c r="O637" s="514"/>
      <c r="P637" s="514"/>
      <c r="Q637" s="514"/>
      <c r="R637" s="514"/>
      <c r="S637" s="514"/>
      <c r="T637" s="514"/>
      <c r="U637" s="514"/>
      <c r="V637" s="514"/>
      <c r="W637" s="514"/>
      <c r="X637" s="514"/>
      <c r="Y637" s="514"/>
      <c r="Z637" s="514"/>
      <c r="AA637" s="514"/>
      <c r="AB637" s="514"/>
      <c r="AC637" s="514"/>
      <c r="AD637" s="514"/>
      <c r="AE637" s="514"/>
      <c r="AF637" s="514"/>
      <c r="AG637" s="514"/>
      <c r="AH637" s="514"/>
      <c r="AI637" s="514"/>
      <c r="AJ637" s="514"/>
      <c r="AK637" s="514"/>
      <c r="AL637" s="514"/>
      <c r="AM637" s="514"/>
      <c r="AN637" s="514"/>
    </row>
    <row r="638" ht="16.5" customHeight="1">
      <c r="A638" s="514"/>
      <c r="B638" s="520"/>
      <c r="C638" s="514"/>
      <c r="D638" s="514"/>
      <c r="E638" s="514"/>
      <c r="F638" s="514"/>
      <c r="G638" s="514"/>
      <c r="H638" s="521"/>
      <c r="I638" s="521"/>
      <c r="J638" s="514"/>
      <c r="K638" s="514"/>
      <c r="L638" s="514"/>
      <c r="M638" s="514"/>
      <c r="N638" s="514"/>
      <c r="O638" s="514"/>
      <c r="P638" s="514"/>
      <c r="Q638" s="514"/>
      <c r="R638" s="514"/>
      <c r="S638" s="514"/>
      <c r="T638" s="514"/>
      <c r="U638" s="514"/>
      <c r="V638" s="514"/>
      <c r="W638" s="514"/>
      <c r="X638" s="514"/>
      <c r="Y638" s="514"/>
      <c r="Z638" s="514"/>
      <c r="AA638" s="514"/>
      <c r="AB638" s="514"/>
      <c r="AC638" s="514"/>
      <c r="AD638" s="514"/>
      <c r="AE638" s="514"/>
      <c r="AF638" s="514"/>
      <c r="AG638" s="514"/>
      <c r="AH638" s="514"/>
      <c r="AI638" s="514"/>
      <c r="AJ638" s="514"/>
      <c r="AK638" s="514"/>
      <c r="AL638" s="514"/>
      <c r="AM638" s="514"/>
      <c r="AN638" s="514"/>
    </row>
    <row r="639" ht="16.5" customHeight="1">
      <c r="A639" s="514"/>
      <c r="B639" s="520"/>
      <c r="C639" s="514"/>
      <c r="D639" s="514"/>
      <c r="E639" s="514"/>
      <c r="F639" s="514"/>
      <c r="G639" s="514"/>
      <c r="H639" s="521"/>
      <c r="I639" s="521"/>
      <c r="J639" s="514"/>
      <c r="K639" s="514"/>
      <c r="L639" s="514"/>
      <c r="M639" s="514"/>
      <c r="N639" s="514"/>
      <c r="O639" s="514"/>
      <c r="P639" s="514"/>
      <c r="Q639" s="514"/>
      <c r="R639" s="514"/>
      <c r="S639" s="514"/>
      <c r="T639" s="514"/>
      <c r="U639" s="514"/>
      <c r="V639" s="514"/>
      <c r="W639" s="514"/>
      <c r="X639" s="514"/>
      <c r="Y639" s="514"/>
      <c r="Z639" s="514"/>
      <c r="AA639" s="514"/>
      <c r="AB639" s="514"/>
      <c r="AC639" s="514"/>
      <c r="AD639" s="514"/>
      <c r="AE639" s="514"/>
      <c r="AF639" s="514"/>
      <c r="AG639" s="514"/>
      <c r="AH639" s="514"/>
      <c r="AI639" s="514"/>
      <c r="AJ639" s="514"/>
      <c r="AK639" s="514"/>
      <c r="AL639" s="514"/>
      <c r="AM639" s="514"/>
      <c r="AN639" s="514"/>
    </row>
    <row r="640" ht="16.5" customHeight="1">
      <c r="A640" s="514"/>
      <c r="B640" s="520"/>
      <c r="C640" s="514"/>
      <c r="D640" s="514"/>
      <c r="E640" s="514"/>
      <c r="F640" s="514"/>
      <c r="G640" s="514"/>
      <c r="H640" s="521"/>
      <c r="I640" s="521"/>
      <c r="J640" s="514"/>
      <c r="K640" s="514"/>
      <c r="L640" s="514"/>
      <c r="M640" s="514"/>
      <c r="N640" s="514"/>
      <c r="O640" s="514"/>
      <c r="P640" s="514"/>
      <c r="Q640" s="514"/>
      <c r="R640" s="514"/>
      <c r="S640" s="514"/>
      <c r="T640" s="514"/>
      <c r="U640" s="514"/>
      <c r="V640" s="514"/>
      <c r="W640" s="514"/>
      <c r="X640" s="514"/>
      <c r="Y640" s="514"/>
      <c r="Z640" s="514"/>
      <c r="AA640" s="514"/>
      <c r="AB640" s="514"/>
      <c r="AC640" s="514"/>
      <c r="AD640" s="514"/>
      <c r="AE640" s="514"/>
      <c r="AF640" s="514"/>
      <c r="AG640" s="514"/>
      <c r="AH640" s="514"/>
      <c r="AI640" s="514"/>
      <c r="AJ640" s="514"/>
      <c r="AK640" s="514"/>
      <c r="AL640" s="514"/>
      <c r="AM640" s="514"/>
      <c r="AN640" s="514"/>
    </row>
    <row r="641" ht="16.5" customHeight="1">
      <c r="A641" s="514"/>
      <c r="B641" s="520"/>
      <c r="C641" s="514"/>
      <c r="D641" s="514"/>
      <c r="E641" s="514"/>
      <c r="F641" s="514"/>
      <c r="G641" s="514"/>
      <c r="H641" s="521"/>
      <c r="I641" s="521"/>
      <c r="J641" s="514"/>
      <c r="K641" s="514"/>
      <c r="L641" s="514"/>
      <c r="M641" s="514"/>
      <c r="N641" s="514"/>
      <c r="O641" s="514"/>
      <c r="P641" s="514"/>
      <c r="Q641" s="514"/>
      <c r="R641" s="514"/>
      <c r="S641" s="514"/>
      <c r="T641" s="514"/>
      <c r="U641" s="514"/>
      <c r="V641" s="514"/>
      <c r="W641" s="514"/>
      <c r="X641" s="514"/>
      <c r="Y641" s="514"/>
      <c r="Z641" s="514"/>
      <c r="AA641" s="514"/>
      <c r="AB641" s="514"/>
      <c r="AC641" s="514"/>
      <c r="AD641" s="514"/>
      <c r="AE641" s="514"/>
      <c r="AF641" s="514"/>
      <c r="AG641" s="514"/>
      <c r="AH641" s="514"/>
      <c r="AI641" s="514"/>
      <c r="AJ641" s="514"/>
      <c r="AK641" s="514"/>
      <c r="AL641" s="514"/>
      <c r="AM641" s="514"/>
      <c r="AN641" s="514"/>
    </row>
    <row r="642" ht="16.5" customHeight="1">
      <c r="A642" s="514"/>
      <c r="B642" s="520"/>
      <c r="C642" s="514"/>
      <c r="D642" s="514"/>
      <c r="E642" s="514"/>
      <c r="F642" s="514"/>
      <c r="G642" s="514"/>
      <c r="H642" s="521"/>
      <c r="I642" s="521"/>
      <c r="J642" s="514"/>
      <c r="K642" s="514"/>
      <c r="L642" s="514"/>
      <c r="M642" s="514"/>
      <c r="N642" s="514"/>
      <c r="O642" s="514"/>
      <c r="P642" s="514"/>
      <c r="Q642" s="514"/>
      <c r="R642" s="514"/>
      <c r="S642" s="514"/>
      <c r="T642" s="514"/>
      <c r="U642" s="514"/>
      <c r="V642" s="514"/>
      <c r="W642" s="514"/>
      <c r="X642" s="514"/>
      <c r="Y642" s="514"/>
      <c r="Z642" s="514"/>
      <c r="AA642" s="514"/>
      <c r="AB642" s="514"/>
      <c r="AC642" s="514"/>
      <c r="AD642" s="514"/>
      <c r="AE642" s="514"/>
      <c r="AF642" s="514"/>
      <c r="AG642" s="514"/>
      <c r="AH642" s="514"/>
      <c r="AI642" s="514"/>
      <c r="AJ642" s="514"/>
      <c r="AK642" s="514"/>
      <c r="AL642" s="514"/>
      <c r="AM642" s="514"/>
      <c r="AN642" s="514"/>
    </row>
    <row r="643" ht="16.5" customHeight="1">
      <c r="A643" s="514"/>
      <c r="B643" s="520"/>
      <c r="C643" s="514"/>
      <c r="D643" s="514"/>
      <c r="E643" s="514"/>
      <c r="F643" s="514"/>
      <c r="G643" s="514"/>
      <c r="H643" s="521"/>
      <c r="I643" s="521"/>
      <c r="J643" s="514"/>
      <c r="K643" s="514"/>
      <c r="L643" s="514"/>
      <c r="M643" s="514"/>
      <c r="N643" s="514"/>
      <c r="O643" s="514"/>
      <c r="P643" s="514"/>
      <c r="Q643" s="514"/>
      <c r="R643" s="514"/>
      <c r="S643" s="514"/>
      <c r="T643" s="514"/>
      <c r="U643" s="514"/>
      <c r="V643" s="514"/>
      <c r="W643" s="514"/>
      <c r="X643" s="514"/>
      <c r="Y643" s="514"/>
      <c r="Z643" s="514"/>
      <c r="AA643" s="514"/>
      <c r="AB643" s="514"/>
      <c r="AC643" s="514"/>
      <c r="AD643" s="514"/>
      <c r="AE643" s="514"/>
      <c r="AF643" s="514"/>
      <c r="AG643" s="514"/>
      <c r="AH643" s="514"/>
      <c r="AI643" s="514"/>
      <c r="AJ643" s="514"/>
      <c r="AK643" s="514"/>
      <c r="AL643" s="514"/>
      <c r="AM643" s="514"/>
      <c r="AN643" s="514"/>
    </row>
    <row r="644" ht="16.5" customHeight="1">
      <c r="A644" s="514"/>
      <c r="B644" s="520"/>
      <c r="C644" s="514"/>
      <c r="D644" s="514"/>
      <c r="E644" s="514"/>
      <c r="F644" s="514"/>
      <c r="G644" s="514"/>
      <c r="H644" s="521"/>
      <c r="I644" s="521"/>
      <c r="J644" s="514"/>
      <c r="K644" s="514"/>
      <c r="L644" s="514"/>
      <c r="M644" s="514"/>
      <c r="N644" s="514"/>
      <c r="O644" s="514"/>
      <c r="P644" s="514"/>
      <c r="Q644" s="514"/>
      <c r="R644" s="514"/>
      <c r="S644" s="514"/>
      <c r="T644" s="514"/>
      <c r="U644" s="514"/>
      <c r="V644" s="514"/>
      <c r="W644" s="514"/>
      <c r="X644" s="514"/>
      <c r="Y644" s="514"/>
      <c r="Z644" s="514"/>
      <c r="AA644" s="514"/>
      <c r="AB644" s="514"/>
      <c r="AC644" s="514"/>
      <c r="AD644" s="514"/>
      <c r="AE644" s="514"/>
      <c r="AF644" s="514"/>
      <c r="AG644" s="514"/>
      <c r="AH644" s="514"/>
      <c r="AI644" s="514"/>
      <c r="AJ644" s="514"/>
      <c r="AK644" s="514"/>
      <c r="AL644" s="514"/>
      <c r="AM644" s="514"/>
      <c r="AN644" s="514"/>
    </row>
    <row r="645" ht="16.5" customHeight="1">
      <c r="A645" s="514"/>
      <c r="B645" s="520"/>
      <c r="C645" s="514"/>
      <c r="D645" s="514"/>
      <c r="E645" s="514"/>
      <c r="F645" s="514"/>
      <c r="G645" s="514"/>
      <c r="H645" s="521"/>
      <c r="I645" s="521"/>
      <c r="J645" s="514"/>
      <c r="K645" s="514"/>
      <c r="L645" s="514"/>
      <c r="M645" s="514"/>
      <c r="N645" s="514"/>
      <c r="O645" s="514"/>
      <c r="P645" s="514"/>
      <c r="Q645" s="514"/>
      <c r="R645" s="514"/>
      <c r="S645" s="514"/>
      <c r="T645" s="514"/>
      <c r="U645" s="514"/>
      <c r="V645" s="514"/>
      <c r="W645" s="514"/>
      <c r="X645" s="514"/>
      <c r="Y645" s="514"/>
      <c r="Z645" s="514"/>
      <c r="AA645" s="514"/>
      <c r="AB645" s="514"/>
      <c r="AC645" s="514"/>
      <c r="AD645" s="514"/>
      <c r="AE645" s="514"/>
      <c r="AF645" s="514"/>
      <c r="AG645" s="514"/>
      <c r="AH645" s="514"/>
      <c r="AI645" s="514"/>
      <c r="AJ645" s="514"/>
      <c r="AK645" s="514"/>
      <c r="AL645" s="514"/>
      <c r="AM645" s="514"/>
      <c r="AN645" s="514"/>
    </row>
    <row r="646" ht="16.5" customHeight="1">
      <c r="A646" s="514"/>
      <c r="B646" s="520"/>
      <c r="C646" s="514"/>
      <c r="D646" s="514"/>
      <c r="E646" s="514"/>
      <c r="F646" s="514"/>
      <c r="G646" s="514"/>
      <c r="H646" s="521"/>
      <c r="I646" s="521"/>
      <c r="J646" s="514"/>
      <c r="K646" s="514"/>
      <c r="L646" s="514"/>
      <c r="M646" s="514"/>
      <c r="N646" s="514"/>
      <c r="O646" s="514"/>
      <c r="P646" s="514"/>
      <c r="Q646" s="514"/>
      <c r="R646" s="514"/>
      <c r="S646" s="514"/>
      <c r="T646" s="514"/>
      <c r="U646" s="514"/>
      <c r="V646" s="514"/>
      <c r="W646" s="514"/>
      <c r="X646" s="514"/>
      <c r="Y646" s="514"/>
      <c r="Z646" s="514"/>
      <c r="AA646" s="514"/>
      <c r="AB646" s="514"/>
      <c r="AC646" s="514"/>
      <c r="AD646" s="514"/>
      <c r="AE646" s="514"/>
      <c r="AF646" s="514"/>
      <c r="AG646" s="514"/>
      <c r="AH646" s="514"/>
      <c r="AI646" s="514"/>
      <c r="AJ646" s="514"/>
      <c r="AK646" s="514"/>
      <c r="AL646" s="514"/>
      <c r="AM646" s="514"/>
      <c r="AN646" s="514"/>
    </row>
    <row r="647" ht="16.5" customHeight="1">
      <c r="A647" s="514"/>
      <c r="B647" s="520"/>
      <c r="C647" s="514"/>
      <c r="D647" s="514"/>
      <c r="E647" s="514"/>
      <c r="F647" s="514"/>
      <c r="G647" s="514"/>
      <c r="H647" s="521"/>
      <c r="I647" s="521"/>
      <c r="J647" s="514"/>
      <c r="K647" s="514"/>
      <c r="L647" s="514"/>
      <c r="M647" s="514"/>
      <c r="N647" s="514"/>
      <c r="O647" s="514"/>
      <c r="P647" s="514"/>
      <c r="Q647" s="514"/>
      <c r="R647" s="514"/>
      <c r="S647" s="514"/>
      <c r="T647" s="514"/>
      <c r="U647" s="514"/>
      <c r="V647" s="514"/>
      <c r="W647" s="514"/>
      <c r="X647" s="514"/>
      <c r="Y647" s="514"/>
      <c r="Z647" s="514"/>
      <c r="AA647" s="514"/>
      <c r="AB647" s="514"/>
      <c r="AC647" s="514"/>
      <c r="AD647" s="514"/>
      <c r="AE647" s="514"/>
      <c r="AF647" s="514"/>
      <c r="AG647" s="514"/>
      <c r="AH647" s="514"/>
      <c r="AI647" s="514"/>
      <c r="AJ647" s="514"/>
      <c r="AK647" s="514"/>
      <c r="AL647" s="514"/>
      <c r="AM647" s="514"/>
      <c r="AN647" s="514"/>
    </row>
    <row r="648" ht="16.5" customHeight="1">
      <c r="A648" s="514"/>
      <c r="B648" s="520"/>
      <c r="C648" s="514"/>
      <c r="D648" s="514"/>
      <c r="E648" s="514"/>
      <c r="F648" s="514"/>
      <c r="G648" s="514"/>
      <c r="H648" s="521"/>
      <c r="I648" s="521"/>
      <c r="J648" s="514"/>
      <c r="K648" s="514"/>
      <c r="L648" s="514"/>
      <c r="M648" s="514"/>
      <c r="N648" s="514"/>
      <c r="O648" s="514"/>
      <c r="P648" s="514"/>
      <c r="Q648" s="514"/>
      <c r="R648" s="514"/>
      <c r="S648" s="514"/>
      <c r="T648" s="514"/>
      <c r="U648" s="514"/>
      <c r="V648" s="514"/>
      <c r="W648" s="514"/>
      <c r="X648" s="514"/>
      <c r="Y648" s="514"/>
      <c r="Z648" s="514"/>
      <c r="AA648" s="514"/>
      <c r="AB648" s="514"/>
      <c r="AC648" s="514"/>
      <c r="AD648" s="514"/>
      <c r="AE648" s="514"/>
      <c r="AF648" s="514"/>
      <c r="AG648" s="514"/>
      <c r="AH648" s="514"/>
      <c r="AI648" s="514"/>
      <c r="AJ648" s="514"/>
      <c r="AK648" s="514"/>
      <c r="AL648" s="514"/>
      <c r="AM648" s="514"/>
      <c r="AN648" s="514"/>
    </row>
    <row r="649" ht="16.5" customHeight="1">
      <c r="A649" s="514"/>
      <c r="B649" s="520"/>
      <c r="C649" s="514"/>
      <c r="D649" s="514"/>
      <c r="E649" s="514"/>
      <c r="F649" s="514"/>
      <c r="G649" s="514"/>
      <c r="H649" s="521"/>
      <c r="I649" s="521"/>
      <c r="J649" s="514"/>
      <c r="K649" s="514"/>
      <c r="L649" s="514"/>
      <c r="M649" s="514"/>
      <c r="N649" s="514"/>
      <c r="O649" s="514"/>
      <c r="P649" s="514"/>
      <c r="Q649" s="514"/>
      <c r="R649" s="514"/>
      <c r="S649" s="514"/>
      <c r="T649" s="514"/>
      <c r="U649" s="514"/>
      <c r="V649" s="514"/>
      <c r="W649" s="514"/>
      <c r="X649" s="514"/>
      <c r="Y649" s="514"/>
      <c r="Z649" s="514"/>
      <c r="AA649" s="514"/>
      <c r="AB649" s="514"/>
      <c r="AC649" s="514"/>
      <c r="AD649" s="514"/>
      <c r="AE649" s="514"/>
      <c r="AF649" s="514"/>
      <c r="AG649" s="514"/>
      <c r="AH649" s="514"/>
      <c r="AI649" s="514"/>
      <c r="AJ649" s="514"/>
      <c r="AK649" s="514"/>
      <c r="AL649" s="514"/>
      <c r="AM649" s="514"/>
      <c r="AN649" s="514"/>
    </row>
    <row r="650" ht="16.5" customHeight="1">
      <c r="A650" s="514"/>
      <c r="B650" s="520"/>
      <c r="C650" s="514"/>
      <c r="D650" s="514"/>
      <c r="E650" s="514"/>
      <c r="F650" s="514"/>
      <c r="G650" s="514"/>
      <c r="H650" s="521"/>
      <c r="I650" s="521"/>
      <c r="J650" s="514"/>
      <c r="K650" s="514"/>
      <c r="L650" s="514"/>
      <c r="M650" s="514"/>
      <c r="N650" s="514"/>
      <c r="O650" s="514"/>
      <c r="P650" s="514"/>
      <c r="Q650" s="514"/>
      <c r="R650" s="514"/>
      <c r="S650" s="514"/>
      <c r="T650" s="514"/>
      <c r="U650" s="514"/>
      <c r="V650" s="514"/>
      <c r="W650" s="514"/>
      <c r="X650" s="514"/>
      <c r="Y650" s="514"/>
      <c r="Z650" s="514"/>
      <c r="AA650" s="514"/>
      <c r="AB650" s="514"/>
      <c r="AC650" s="514"/>
      <c r="AD650" s="514"/>
      <c r="AE650" s="514"/>
      <c r="AF650" s="514"/>
      <c r="AG650" s="514"/>
      <c r="AH650" s="514"/>
      <c r="AI650" s="514"/>
      <c r="AJ650" s="514"/>
      <c r="AK650" s="514"/>
      <c r="AL650" s="514"/>
      <c r="AM650" s="514"/>
      <c r="AN650" s="514"/>
    </row>
    <row r="651" ht="16.5" customHeight="1">
      <c r="A651" s="514"/>
      <c r="B651" s="520"/>
      <c r="C651" s="514"/>
      <c r="D651" s="514"/>
      <c r="E651" s="514"/>
      <c r="F651" s="514"/>
      <c r="G651" s="514"/>
      <c r="H651" s="521"/>
      <c r="I651" s="521"/>
      <c r="J651" s="514"/>
      <c r="K651" s="514"/>
      <c r="L651" s="514"/>
      <c r="M651" s="514"/>
      <c r="N651" s="514"/>
      <c r="O651" s="514"/>
      <c r="P651" s="514"/>
      <c r="Q651" s="514"/>
      <c r="R651" s="514"/>
      <c r="S651" s="514"/>
      <c r="T651" s="514"/>
      <c r="U651" s="514"/>
      <c r="V651" s="514"/>
      <c r="W651" s="514"/>
      <c r="X651" s="514"/>
      <c r="Y651" s="514"/>
      <c r="Z651" s="514"/>
      <c r="AA651" s="514"/>
      <c r="AB651" s="514"/>
      <c r="AC651" s="514"/>
      <c r="AD651" s="514"/>
      <c r="AE651" s="514"/>
      <c r="AF651" s="514"/>
      <c r="AG651" s="514"/>
      <c r="AH651" s="514"/>
      <c r="AI651" s="514"/>
      <c r="AJ651" s="514"/>
      <c r="AK651" s="514"/>
      <c r="AL651" s="514"/>
      <c r="AM651" s="514"/>
      <c r="AN651" s="514"/>
    </row>
    <row r="652" ht="16.5" customHeight="1">
      <c r="A652" s="514"/>
      <c r="B652" s="520"/>
      <c r="C652" s="514"/>
      <c r="D652" s="514"/>
      <c r="E652" s="514"/>
      <c r="F652" s="514"/>
      <c r="G652" s="514"/>
      <c r="H652" s="521"/>
      <c r="I652" s="521"/>
      <c r="J652" s="514"/>
      <c r="K652" s="514"/>
      <c r="L652" s="514"/>
      <c r="M652" s="514"/>
      <c r="N652" s="514"/>
      <c r="O652" s="514"/>
      <c r="P652" s="514"/>
      <c r="Q652" s="514"/>
      <c r="R652" s="514"/>
      <c r="S652" s="514"/>
      <c r="T652" s="514"/>
      <c r="U652" s="514"/>
      <c r="V652" s="514"/>
      <c r="W652" s="514"/>
      <c r="X652" s="514"/>
      <c r="Y652" s="514"/>
      <c r="Z652" s="514"/>
      <c r="AA652" s="514"/>
      <c r="AB652" s="514"/>
      <c r="AC652" s="514"/>
      <c r="AD652" s="514"/>
      <c r="AE652" s="514"/>
      <c r="AF652" s="514"/>
      <c r="AG652" s="514"/>
      <c r="AH652" s="514"/>
      <c r="AI652" s="514"/>
      <c r="AJ652" s="514"/>
      <c r="AK652" s="514"/>
      <c r="AL652" s="514"/>
      <c r="AM652" s="514"/>
      <c r="AN652" s="514"/>
    </row>
    <row r="653" ht="16.5" customHeight="1">
      <c r="A653" s="514"/>
      <c r="B653" s="520"/>
      <c r="C653" s="514"/>
      <c r="D653" s="514"/>
      <c r="E653" s="514"/>
      <c r="F653" s="514"/>
      <c r="G653" s="514"/>
      <c r="H653" s="521"/>
      <c r="I653" s="521"/>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row>
    <row r="654" ht="16.5" customHeight="1">
      <c r="A654" s="514"/>
      <c r="B654" s="520"/>
      <c r="C654" s="514"/>
      <c r="D654" s="514"/>
      <c r="E654" s="514"/>
      <c r="F654" s="514"/>
      <c r="G654" s="514"/>
      <c r="H654" s="521"/>
      <c r="I654" s="521"/>
      <c r="J654" s="514"/>
      <c r="K654" s="514"/>
      <c r="L654" s="514"/>
      <c r="M654" s="514"/>
      <c r="N654" s="514"/>
      <c r="O654" s="514"/>
      <c r="P654" s="514"/>
      <c r="Q654" s="514"/>
      <c r="R654" s="514"/>
      <c r="S654" s="514"/>
      <c r="T654" s="514"/>
      <c r="U654" s="514"/>
      <c r="V654" s="514"/>
      <c r="W654" s="514"/>
      <c r="X654" s="514"/>
      <c r="Y654" s="514"/>
      <c r="Z654" s="514"/>
      <c r="AA654" s="514"/>
      <c r="AB654" s="514"/>
      <c r="AC654" s="514"/>
      <c r="AD654" s="514"/>
      <c r="AE654" s="514"/>
      <c r="AF654" s="514"/>
      <c r="AG654" s="514"/>
      <c r="AH654" s="514"/>
      <c r="AI654" s="514"/>
      <c r="AJ654" s="514"/>
      <c r="AK654" s="514"/>
      <c r="AL654" s="514"/>
      <c r="AM654" s="514"/>
      <c r="AN654" s="514"/>
    </row>
    <row r="655" ht="16.5" customHeight="1">
      <c r="A655" s="514"/>
      <c r="B655" s="520"/>
      <c r="C655" s="514"/>
      <c r="D655" s="514"/>
      <c r="E655" s="514"/>
      <c r="F655" s="514"/>
      <c r="G655" s="514"/>
      <c r="H655" s="521"/>
      <c r="I655" s="521"/>
      <c r="J655" s="514"/>
      <c r="K655" s="514"/>
      <c r="L655" s="514"/>
      <c r="M655" s="514"/>
      <c r="N655" s="514"/>
      <c r="O655" s="514"/>
      <c r="P655" s="514"/>
      <c r="Q655" s="514"/>
      <c r="R655" s="514"/>
      <c r="S655" s="514"/>
      <c r="T655" s="514"/>
      <c r="U655" s="514"/>
      <c r="V655" s="514"/>
      <c r="W655" s="514"/>
      <c r="X655" s="514"/>
      <c r="Y655" s="514"/>
      <c r="Z655" s="514"/>
      <c r="AA655" s="514"/>
      <c r="AB655" s="514"/>
      <c r="AC655" s="514"/>
      <c r="AD655" s="514"/>
      <c r="AE655" s="514"/>
      <c r="AF655" s="514"/>
      <c r="AG655" s="514"/>
      <c r="AH655" s="514"/>
      <c r="AI655" s="514"/>
      <c r="AJ655" s="514"/>
      <c r="AK655" s="514"/>
      <c r="AL655" s="514"/>
      <c r="AM655" s="514"/>
      <c r="AN655" s="514"/>
    </row>
    <row r="656" ht="16.5" customHeight="1">
      <c r="A656" s="514"/>
      <c r="B656" s="520"/>
      <c r="C656" s="514"/>
      <c r="D656" s="514"/>
      <c r="E656" s="514"/>
      <c r="F656" s="514"/>
      <c r="G656" s="514"/>
      <c r="H656" s="521"/>
      <c r="I656" s="521"/>
      <c r="J656" s="514"/>
      <c r="K656" s="514"/>
      <c r="L656" s="514"/>
      <c r="M656" s="514"/>
      <c r="N656" s="514"/>
      <c r="O656" s="514"/>
      <c r="P656" s="514"/>
      <c r="Q656" s="514"/>
      <c r="R656" s="514"/>
      <c r="S656" s="514"/>
      <c r="T656" s="514"/>
      <c r="U656" s="514"/>
      <c r="V656" s="514"/>
      <c r="W656" s="514"/>
      <c r="X656" s="514"/>
      <c r="Y656" s="514"/>
      <c r="Z656" s="514"/>
      <c r="AA656" s="514"/>
      <c r="AB656" s="514"/>
      <c r="AC656" s="514"/>
      <c r="AD656" s="514"/>
      <c r="AE656" s="514"/>
      <c r="AF656" s="514"/>
      <c r="AG656" s="514"/>
      <c r="AH656" s="514"/>
      <c r="AI656" s="514"/>
      <c r="AJ656" s="514"/>
      <c r="AK656" s="514"/>
      <c r="AL656" s="514"/>
      <c r="AM656" s="514"/>
      <c r="AN656" s="514"/>
    </row>
    <row r="657" ht="16.5" customHeight="1">
      <c r="A657" s="514"/>
      <c r="B657" s="520"/>
      <c r="C657" s="514"/>
      <c r="D657" s="514"/>
      <c r="E657" s="514"/>
      <c r="F657" s="514"/>
      <c r="G657" s="514"/>
      <c r="H657" s="521"/>
      <c r="I657" s="521"/>
      <c r="J657" s="514"/>
      <c r="K657" s="514"/>
      <c r="L657" s="514"/>
      <c r="M657" s="514"/>
      <c r="N657" s="514"/>
      <c r="O657" s="514"/>
      <c r="P657" s="514"/>
      <c r="Q657" s="514"/>
      <c r="R657" s="514"/>
      <c r="S657" s="514"/>
      <c r="T657" s="514"/>
      <c r="U657" s="514"/>
      <c r="V657" s="514"/>
      <c r="W657" s="514"/>
      <c r="X657" s="514"/>
      <c r="Y657" s="514"/>
      <c r="Z657" s="514"/>
      <c r="AA657" s="514"/>
      <c r="AB657" s="514"/>
      <c r="AC657" s="514"/>
      <c r="AD657" s="514"/>
      <c r="AE657" s="514"/>
      <c r="AF657" s="514"/>
      <c r="AG657" s="514"/>
      <c r="AH657" s="514"/>
      <c r="AI657" s="514"/>
      <c r="AJ657" s="514"/>
      <c r="AK657" s="514"/>
      <c r="AL657" s="514"/>
      <c r="AM657" s="514"/>
      <c r="AN657" s="514"/>
    </row>
    <row r="658" ht="16.5" customHeight="1">
      <c r="A658" s="514"/>
      <c r="B658" s="520"/>
      <c r="C658" s="514"/>
      <c r="D658" s="514"/>
      <c r="E658" s="514"/>
      <c r="F658" s="514"/>
      <c r="G658" s="514"/>
      <c r="H658" s="521"/>
      <c r="I658" s="521"/>
      <c r="J658" s="514"/>
      <c r="K658" s="514"/>
      <c r="L658" s="514"/>
      <c r="M658" s="514"/>
      <c r="N658" s="514"/>
      <c r="O658" s="514"/>
      <c r="P658" s="514"/>
      <c r="Q658" s="514"/>
      <c r="R658" s="514"/>
      <c r="S658" s="514"/>
      <c r="T658" s="514"/>
      <c r="U658" s="514"/>
      <c r="V658" s="514"/>
      <c r="W658" s="514"/>
      <c r="X658" s="514"/>
      <c r="Y658" s="514"/>
      <c r="Z658" s="514"/>
      <c r="AA658" s="514"/>
      <c r="AB658" s="514"/>
      <c r="AC658" s="514"/>
      <c r="AD658" s="514"/>
      <c r="AE658" s="514"/>
      <c r="AF658" s="514"/>
      <c r="AG658" s="514"/>
      <c r="AH658" s="514"/>
      <c r="AI658" s="514"/>
      <c r="AJ658" s="514"/>
      <c r="AK658" s="514"/>
      <c r="AL658" s="514"/>
      <c r="AM658" s="514"/>
      <c r="AN658" s="514"/>
    </row>
    <row r="659" ht="16.5" customHeight="1">
      <c r="A659" s="514"/>
      <c r="B659" s="520"/>
      <c r="C659" s="514"/>
      <c r="D659" s="514"/>
      <c r="E659" s="514"/>
      <c r="F659" s="514"/>
      <c r="G659" s="514"/>
      <c r="H659" s="521"/>
      <c r="I659" s="521"/>
      <c r="J659" s="514"/>
      <c r="K659" s="514"/>
      <c r="L659" s="514"/>
      <c r="M659" s="514"/>
      <c r="N659" s="514"/>
      <c r="O659" s="514"/>
      <c r="P659" s="514"/>
      <c r="Q659" s="514"/>
      <c r="R659" s="514"/>
      <c r="S659" s="514"/>
      <c r="T659" s="514"/>
      <c r="U659" s="514"/>
      <c r="V659" s="514"/>
      <c r="W659" s="514"/>
      <c r="X659" s="514"/>
      <c r="Y659" s="514"/>
      <c r="Z659" s="514"/>
      <c r="AA659" s="514"/>
      <c r="AB659" s="514"/>
      <c r="AC659" s="514"/>
      <c r="AD659" s="514"/>
      <c r="AE659" s="514"/>
      <c r="AF659" s="514"/>
      <c r="AG659" s="514"/>
      <c r="AH659" s="514"/>
      <c r="AI659" s="514"/>
      <c r="AJ659" s="514"/>
      <c r="AK659" s="514"/>
      <c r="AL659" s="514"/>
      <c r="AM659" s="514"/>
      <c r="AN659" s="514"/>
    </row>
    <row r="660" ht="16.5" customHeight="1">
      <c r="A660" s="514"/>
      <c r="B660" s="520"/>
      <c r="C660" s="514"/>
      <c r="D660" s="514"/>
      <c r="E660" s="514"/>
      <c r="F660" s="514"/>
      <c r="G660" s="514"/>
      <c r="H660" s="521"/>
      <c r="I660" s="521"/>
      <c r="J660" s="514"/>
      <c r="K660" s="514"/>
      <c r="L660" s="514"/>
      <c r="M660" s="514"/>
      <c r="N660" s="514"/>
      <c r="O660" s="514"/>
      <c r="P660" s="514"/>
      <c r="Q660" s="514"/>
      <c r="R660" s="514"/>
      <c r="S660" s="514"/>
      <c r="T660" s="514"/>
      <c r="U660" s="514"/>
      <c r="V660" s="514"/>
      <c r="W660" s="514"/>
      <c r="X660" s="514"/>
      <c r="Y660" s="514"/>
      <c r="Z660" s="514"/>
      <c r="AA660" s="514"/>
      <c r="AB660" s="514"/>
      <c r="AC660" s="514"/>
      <c r="AD660" s="514"/>
      <c r="AE660" s="514"/>
      <c r="AF660" s="514"/>
      <c r="AG660" s="514"/>
      <c r="AH660" s="514"/>
      <c r="AI660" s="514"/>
      <c r="AJ660" s="514"/>
      <c r="AK660" s="514"/>
      <c r="AL660" s="514"/>
      <c r="AM660" s="514"/>
      <c r="AN660" s="514"/>
    </row>
    <row r="661" ht="16.5" customHeight="1">
      <c r="A661" s="514"/>
      <c r="B661" s="520"/>
      <c r="C661" s="514"/>
      <c r="D661" s="514"/>
      <c r="E661" s="514"/>
      <c r="F661" s="514"/>
      <c r="G661" s="514"/>
      <c r="H661" s="521"/>
      <c r="I661" s="521"/>
      <c r="J661" s="514"/>
      <c r="K661" s="514"/>
      <c r="L661" s="514"/>
      <c r="M661" s="514"/>
      <c r="N661" s="514"/>
      <c r="O661" s="514"/>
      <c r="P661" s="514"/>
      <c r="Q661" s="514"/>
      <c r="R661" s="514"/>
      <c r="S661" s="514"/>
      <c r="T661" s="514"/>
      <c r="U661" s="514"/>
      <c r="V661" s="514"/>
      <c r="W661" s="514"/>
      <c r="X661" s="514"/>
      <c r="Y661" s="514"/>
      <c r="Z661" s="514"/>
      <c r="AA661" s="514"/>
      <c r="AB661" s="514"/>
      <c r="AC661" s="514"/>
      <c r="AD661" s="514"/>
      <c r="AE661" s="514"/>
      <c r="AF661" s="514"/>
      <c r="AG661" s="514"/>
      <c r="AH661" s="514"/>
      <c r="AI661" s="514"/>
      <c r="AJ661" s="514"/>
      <c r="AK661" s="514"/>
      <c r="AL661" s="514"/>
      <c r="AM661" s="514"/>
      <c r="AN661" s="514"/>
    </row>
    <row r="662" ht="16.5" customHeight="1">
      <c r="A662" s="514"/>
      <c r="B662" s="520"/>
      <c r="C662" s="514"/>
      <c r="D662" s="514"/>
      <c r="E662" s="514"/>
      <c r="F662" s="514"/>
      <c r="G662" s="514"/>
      <c r="H662" s="521"/>
      <c r="I662" s="521"/>
      <c r="J662" s="514"/>
      <c r="K662" s="514"/>
      <c r="L662" s="514"/>
      <c r="M662" s="514"/>
      <c r="N662" s="514"/>
      <c r="O662" s="514"/>
      <c r="P662" s="514"/>
      <c r="Q662" s="514"/>
      <c r="R662" s="514"/>
      <c r="S662" s="514"/>
      <c r="T662" s="514"/>
      <c r="U662" s="514"/>
      <c r="V662" s="514"/>
      <c r="W662" s="514"/>
      <c r="X662" s="514"/>
      <c r="Y662" s="514"/>
      <c r="Z662" s="514"/>
      <c r="AA662" s="514"/>
      <c r="AB662" s="514"/>
      <c r="AC662" s="514"/>
      <c r="AD662" s="514"/>
      <c r="AE662" s="514"/>
      <c r="AF662" s="514"/>
      <c r="AG662" s="514"/>
      <c r="AH662" s="514"/>
      <c r="AI662" s="514"/>
      <c r="AJ662" s="514"/>
      <c r="AK662" s="514"/>
      <c r="AL662" s="514"/>
      <c r="AM662" s="514"/>
      <c r="AN662" s="514"/>
    </row>
    <row r="663" ht="16.5" customHeight="1">
      <c r="A663" s="514"/>
      <c r="B663" s="520"/>
      <c r="C663" s="514"/>
      <c r="D663" s="514"/>
      <c r="E663" s="514"/>
      <c r="F663" s="514"/>
      <c r="G663" s="514"/>
      <c r="H663" s="521"/>
      <c r="I663" s="521"/>
      <c r="J663" s="514"/>
      <c r="K663" s="514"/>
      <c r="L663" s="514"/>
      <c r="M663" s="514"/>
      <c r="N663" s="514"/>
      <c r="O663" s="514"/>
      <c r="P663" s="514"/>
      <c r="Q663" s="514"/>
      <c r="R663" s="514"/>
      <c r="S663" s="514"/>
      <c r="T663" s="514"/>
      <c r="U663" s="514"/>
      <c r="V663" s="514"/>
      <c r="W663" s="514"/>
      <c r="X663" s="514"/>
      <c r="Y663" s="514"/>
      <c r="Z663" s="514"/>
      <c r="AA663" s="514"/>
      <c r="AB663" s="514"/>
      <c r="AC663" s="514"/>
      <c r="AD663" s="514"/>
      <c r="AE663" s="514"/>
      <c r="AF663" s="514"/>
      <c r="AG663" s="514"/>
      <c r="AH663" s="514"/>
      <c r="AI663" s="514"/>
      <c r="AJ663" s="514"/>
      <c r="AK663" s="514"/>
      <c r="AL663" s="514"/>
      <c r="AM663" s="514"/>
      <c r="AN663" s="514"/>
    </row>
    <row r="664" ht="16.5" customHeight="1">
      <c r="A664" s="514"/>
      <c r="B664" s="520"/>
      <c r="C664" s="514"/>
      <c r="D664" s="514"/>
      <c r="E664" s="514"/>
      <c r="F664" s="514"/>
      <c r="G664" s="514"/>
      <c r="H664" s="521"/>
      <c r="I664" s="521"/>
      <c r="J664" s="514"/>
      <c r="K664" s="514"/>
      <c r="L664" s="514"/>
      <c r="M664" s="514"/>
      <c r="N664" s="514"/>
      <c r="O664" s="514"/>
      <c r="P664" s="514"/>
      <c r="Q664" s="514"/>
      <c r="R664" s="514"/>
      <c r="S664" s="514"/>
      <c r="T664" s="514"/>
      <c r="U664" s="514"/>
      <c r="V664" s="514"/>
      <c r="W664" s="514"/>
      <c r="X664" s="514"/>
      <c r="Y664" s="514"/>
      <c r="Z664" s="514"/>
      <c r="AA664" s="514"/>
      <c r="AB664" s="514"/>
      <c r="AC664" s="514"/>
      <c r="AD664" s="514"/>
      <c r="AE664" s="514"/>
      <c r="AF664" s="514"/>
      <c r="AG664" s="514"/>
      <c r="AH664" s="514"/>
      <c r="AI664" s="514"/>
      <c r="AJ664" s="514"/>
      <c r="AK664" s="514"/>
      <c r="AL664" s="514"/>
      <c r="AM664" s="514"/>
      <c r="AN664" s="514"/>
    </row>
    <row r="665" ht="16.5" customHeight="1">
      <c r="A665" s="514"/>
      <c r="B665" s="520"/>
      <c r="C665" s="514"/>
      <c r="D665" s="514"/>
      <c r="E665" s="514"/>
      <c r="F665" s="514"/>
      <c r="G665" s="514"/>
      <c r="H665" s="521"/>
      <c r="I665" s="521"/>
      <c r="J665" s="514"/>
      <c r="K665" s="514"/>
      <c r="L665" s="514"/>
      <c r="M665" s="514"/>
      <c r="N665" s="514"/>
      <c r="O665" s="514"/>
      <c r="P665" s="514"/>
      <c r="Q665" s="514"/>
      <c r="R665" s="514"/>
      <c r="S665" s="514"/>
      <c r="T665" s="514"/>
      <c r="U665" s="514"/>
      <c r="V665" s="514"/>
      <c r="W665" s="514"/>
      <c r="X665" s="514"/>
      <c r="Y665" s="514"/>
      <c r="Z665" s="514"/>
      <c r="AA665" s="514"/>
      <c r="AB665" s="514"/>
      <c r="AC665" s="514"/>
      <c r="AD665" s="514"/>
      <c r="AE665" s="514"/>
      <c r="AF665" s="514"/>
      <c r="AG665" s="514"/>
      <c r="AH665" s="514"/>
      <c r="AI665" s="514"/>
      <c r="AJ665" s="514"/>
      <c r="AK665" s="514"/>
      <c r="AL665" s="514"/>
      <c r="AM665" s="514"/>
      <c r="AN665" s="514"/>
    </row>
    <row r="666" ht="16.5" customHeight="1">
      <c r="A666" s="514"/>
      <c r="B666" s="520"/>
      <c r="C666" s="514"/>
      <c r="D666" s="514"/>
      <c r="E666" s="514"/>
      <c r="F666" s="514"/>
      <c r="G666" s="514"/>
      <c r="H666" s="521"/>
      <c r="I666" s="521"/>
      <c r="J666" s="514"/>
      <c r="K666" s="514"/>
      <c r="L666" s="514"/>
      <c r="M666" s="514"/>
      <c r="N666" s="514"/>
      <c r="O666" s="514"/>
      <c r="P666" s="514"/>
      <c r="Q666" s="514"/>
      <c r="R666" s="514"/>
      <c r="S666" s="514"/>
      <c r="T666" s="514"/>
      <c r="U666" s="514"/>
      <c r="V666" s="514"/>
      <c r="W666" s="514"/>
      <c r="X666" s="514"/>
      <c r="Y666" s="514"/>
      <c r="Z666" s="514"/>
      <c r="AA666" s="514"/>
      <c r="AB666" s="514"/>
      <c r="AC666" s="514"/>
      <c r="AD666" s="514"/>
      <c r="AE666" s="514"/>
      <c r="AF666" s="514"/>
      <c r="AG666" s="514"/>
      <c r="AH666" s="514"/>
      <c r="AI666" s="514"/>
      <c r="AJ666" s="514"/>
      <c r="AK666" s="514"/>
      <c r="AL666" s="514"/>
      <c r="AM666" s="514"/>
      <c r="AN666" s="514"/>
    </row>
    <row r="667" ht="16.5" customHeight="1">
      <c r="A667" s="514"/>
      <c r="B667" s="520"/>
      <c r="C667" s="514"/>
      <c r="D667" s="514"/>
      <c r="E667" s="514"/>
      <c r="F667" s="514"/>
      <c r="G667" s="514"/>
      <c r="H667" s="521"/>
      <c r="I667" s="521"/>
      <c r="J667" s="514"/>
      <c r="K667" s="514"/>
      <c r="L667" s="514"/>
      <c r="M667" s="514"/>
      <c r="N667" s="514"/>
      <c r="O667" s="514"/>
      <c r="P667" s="514"/>
      <c r="Q667" s="514"/>
      <c r="R667" s="514"/>
      <c r="S667" s="514"/>
      <c r="T667" s="514"/>
      <c r="U667" s="514"/>
      <c r="V667" s="514"/>
      <c r="W667" s="514"/>
      <c r="X667" s="514"/>
      <c r="Y667" s="514"/>
      <c r="Z667" s="514"/>
      <c r="AA667" s="514"/>
      <c r="AB667" s="514"/>
      <c r="AC667" s="514"/>
      <c r="AD667" s="514"/>
      <c r="AE667" s="514"/>
      <c r="AF667" s="514"/>
      <c r="AG667" s="514"/>
      <c r="AH667" s="514"/>
      <c r="AI667" s="514"/>
      <c r="AJ667" s="514"/>
      <c r="AK667" s="514"/>
      <c r="AL667" s="514"/>
      <c r="AM667" s="514"/>
      <c r="AN667" s="514"/>
    </row>
    <row r="668" ht="16.5" customHeight="1">
      <c r="A668" s="514"/>
      <c r="B668" s="520"/>
      <c r="C668" s="514"/>
      <c r="D668" s="514"/>
      <c r="E668" s="514"/>
      <c r="F668" s="514"/>
      <c r="G668" s="514"/>
      <c r="H668" s="521"/>
      <c r="I668" s="521"/>
      <c r="J668" s="514"/>
      <c r="K668" s="514"/>
      <c r="L668" s="514"/>
      <c r="M668" s="514"/>
      <c r="N668" s="514"/>
      <c r="O668" s="514"/>
      <c r="P668" s="514"/>
      <c r="Q668" s="514"/>
      <c r="R668" s="514"/>
      <c r="S668" s="514"/>
      <c r="T668" s="514"/>
      <c r="U668" s="514"/>
      <c r="V668" s="514"/>
      <c r="W668" s="514"/>
      <c r="X668" s="514"/>
      <c r="Y668" s="514"/>
      <c r="Z668" s="514"/>
      <c r="AA668" s="514"/>
      <c r="AB668" s="514"/>
      <c r="AC668" s="514"/>
      <c r="AD668" s="514"/>
      <c r="AE668" s="514"/>
      <c r="AF668" s="514"/>
      <c r="AG668" s="514"/>
      <c r="AH668" s="514"/>
      <c r="AI668" s="514"/>
      <c r="AJ668" s="514"/>
      <c r="AK668" s="514"/>
      <c r="AL668" s="514"/>
      <c r="AM668" s="514"/>
      <c r="AN668" s="514"/>
    </row>
    <row r="669" ht="16.5" customHeight="1">
      <c r="A669" s="514"/>
      <c r="B669" s="520"/>
      <c r="C669" s="514"/>
      <c r="D669" s="514"/>
      <c r="E669" s="514"/>
      <c r="F669" s="514"/>
      <c r="G669" s="514"/>
      <c r="H669" s="521"/>
      <c r="I669" s="521"/>
      <c r="J669" s="514"/>
      <c r="K669" s="514"/>
      <c r="L669" s="514"/>
      <c r="M669" s="514"/>
      <c r="N669" s="514"/>
      <c r="O669" s="514"/>
      <c r="P669" s="514"/>
      <c r="Q669" s="514"/>
      <c r="R669" s="514"/>
      <c r="S669" s="514"/>
      <c r="T669" s="514"/>
      <c r="U669" s="514"/>
      <c r="V669" s="514"/>
      <c r="W669" s="514"/>
      <c r="X669" s="514"/>
      <c r="Y669" s="514"/>
      <c r="Z669" s="514"/>
      <c r="AA669" s="514"/>
      <c r="AB669" s="514"/>
      <c r="AC669" s="514"/>
      <c r="AD669" s="514"/>
      <c r="AE669" s="514"/>
      <c r="AF669" s="514"/>
      <c r="AG669" s="514"/>
      <c r="AH669" s="514"/>
      <c r="AI669" s="514"/>
      <c r="AJ669" s="514"/>
      <c r="AK669" s="514"/>
      <c r="AL669" s="514"/>
      <c r="AM669" s="514"/>
      <c r="AN669" s="514"/>
    </row>
    <row r="670" ht="16.5" customHeight="1">
      <c r="A670" s="514"/>
      <c r="B670" s="520"/>
      <c r="C670" s="514"/>
      <c r="D670" s="514"/>
      <c r="E670" s="514"/>
      <c r="F670" s="514"/>
      <c r="G670" s="514"/>
      <c r="H670" s="521"/>
      <c r="I670" s="521"/>
      <c r="J670" s="514"/>
      <c r="K670" s="514"/>
      <c r="L670" s="514"/>
      <c r="M670" s="514"/>
      <c r="N670" s="514"/>
      <c r="O670" s="514"/>
      <c r="P670" s="514"/>
      <c r="Q670" s="514"/>
      <c r="R670" s="514"/>
      <c r="S670" s="514"/>
      <c r="T670" s="514"/>
      <c r="U670" s="514"/>
      <c r="V670" s="514"/>
      <c r="W670" s="514"/>
      <c r="X670" s="514"/>
      <c r="Y670" s="514"/>
      <c r="Z670" s="514"/>
      <c r="AA670" s="514"/>
      <c r="AB670" s="514"/>
      <c r="AC670" s="514"/>
      <c r="AD670" s="514"/>
      <c r="AE670" s="514"/>
      <c r="AF670" s="514"/>
      <c r="AG670" s="514"/>
      <c r="AH670" s="514"/>
      <c r="AI670" s="514"/>
      <c r="AJ670" s="514"/>
      <c r="AK670" s="514"/>
      <c r="AL670" s="514"/>
      <c r="AM670" s="514"/>
      <c r="AN670" s="514"/>
    </row>
    <row r="671" ht="16.5" customHeight="1">
      <c r="A671" s="514"/>
      <c r="B671" s="520"/>
      <c r="C671" s="514"/>
      <c r="D671" s="514"/>
      <c r="E671" s="514"/>
      <c r="F671" s="514"/>
      <c r="G671" s="514"/>
      <c r="H671" s="521"/>
      <c r="I671" s="521"/>
      <c r="J671" s="514"/>
      <c r="K671" s="514"/>
      <c r="L671" s="514"/>
      <c r="M671" s="514"/>
      <c r="N671" s="514"/>
      <c r="O671" s="514"/>
      <c r="P671" s="514"/>
      <c r="Q671" s="514"/>
      <c r="R671" s="514"/>
      <c r="S671" s="514"/>
      <c r="T671" s="514"/>
      <c r="U671" s="514"/>
      <c r="V671" s="514"/>
      <c r="W671" s="514"/>
      <c r="X671" s="514"/>
      <c r="Y671" s="514"/>
      <c r="Z671" s="514"/>
      <c r="AA671" s="514"/>
      <c r="AB671" s="514"/>
      <c r="AC671" s="514"/>
      <c r="AD671" s="514"/>
      <c r="AE671" s="514"/>
      <c r="AF671" s="514"/>
      <c r="AG671" s="514"/>
      <c r="AH671" s="514"/>
      <c r="AI671" s="514"/>
      <c r="AJ671" s="514"/>
      <c r="AK671" s="514"/>
      <c r="AL671" s="514"/>
      <c r="AM671" s="514"/>
      <c r="AN671" s="514"/>
    </row>
    <row r="672" ht="16.5" customHeight="1">
      <c r="A672" s="514"/>
      <c r="B672" s="520"/>
      <c r="C672" s="514"/>
      <c r="D672" s="514"/>
      <c r="E672" s="514"/>
      <c r="F672" s="514"/>
      <c r="G672" s="514"/>
      <c r="H672" s="521"/>
      <c r="I672" s="521"/>
      <c r="J672" s="514"/>
      <c r="K672" s="514"/>
      <c r="L672" s="514"/>
      <c r="M672" s="514"/>
      <c r="N672" s="514"/>
      <c r="O672" s="514"/>
      <c r="P672" s="514"/>
      <c r="Q672" s="514"/>
      <c r="R672" s="514"/>
      <c r="S672" s="514"/>
      <c r="T672" s="514"/>
      <c r="U672" s="514"/>
      <c r="V672" s="514"/>
      <c r="W672" s="514"/>
      <c r="X672" s="514"/>
      <c r="Y672" s="514"/>
      <c r="Z672" s="514"/>
      <c r="AA672" s="514"/>
      <c r="AB672" s="514"/>
      <c r="AC672" s="514"/>
      <c r="AD672" s="514"/>
      <c r="AE672" s="514"/>
      <c r="AF672" s="514"/>
      <c r="AG672" s="514"/>
      <c r="AH672" s="514"/>
      <c r="AI672" s="514"/>
      <c r="AJ672" s="514"/>
      <c r="AK672" s="514"/>
      <c r="AL672" s="514"/>
      <c r="AM672" s="514"/>
      <c r="AN672" s="514"/>
    </row>
    <row r="673" ht="16.5" customHeight="1">
      <c r="A673" s="514"/>
      <c r="B673" s="520"/>
      <c r="C673" s="514"/>
      <c r="D673" s="514"/>
      <c r="E673" s="514"/>
      <c r="F673" s="514"/>
      <c r="G673" s="514"/>
      <c r="H673" s="521"/>
      <c r="I673" s="521"/>
      <c r="J673" s="514"/>
      <c r="K673" s="514"/>
      <c r="L673" s="514"/>
      <c r="M673" s="514"/>
      <c r="N673" s="514"/>
      <c r="O673" s="514"/>
      <c r="P673" s="514"/>
      <c r="Q673" s="514"/>
      <c r="R673" s="514"/>
      <c r="S673" s="514"/>
      <c r="T673" s="514"/>
      <c r="U673" s="514"/>
      <c r="V673" s="514"/>
      <c r="W673" s="514"/>
      <c r="X673" s="514"/>
      <c r="Y673" s="514"/>
      <c r="Z673" s="514"/>
      <c r="AA673" s="514"/>
      <c r="AB673" s="514"/>
      <c r="AC673" s="514"/>
      <c r="AD673" s="514"/>
      <c r="AE673" s="514"/>
      <c r="AF673" s="514"/>
      <c r="AG673" s="514"/>
      <c r="AH673" s="514"/>
      <c r="AI673" s="514"/>
      <c r="AJ673" s="514"/>
      <c r="AK673" s="514"/>
      <c r="AL673" s="514"/>
      <c r="AM673" s="514"/>
      <c r="AN673" s="514"/>
    </row>
    <row r="674" ht="16.5" customHeight="1">
      <c r="A674" s="514"/>
      <c r="B674" s="520"/>
      <c r="C674" s="514"/>
      <c r="D674" s="514"/>
      <c r="E674" s="514"/>
      <c r="F674" s="514"/>
      <c r="G674" s="514"/>
      <c r="H674" s="521"/>
      <c r="I674" s="521"/>
      <c r="J674" s="514"/>
      <c r="K674" s="514"/>
      <c r="L674" s="514"/>
      <c r="M674" s="514"/>
      <c r="N674" s="514"/>
      <c r="O674" s="514"/>
      <c r="P674" s="514"/>
      <c r="Q674" s="514"/>
      <c r="R674" s="514"/>
      <c r="S674" s="514"/>
      <c r="T674" s="514"/>
      <c r="U674" s="514"/>
      <c r="V674" s="514"/>
      <c r="W674" s="514"/>
      <c r="X674" s="514"/>
      <c r="Y674" s="514"/>
      <c r="Z674" s="514"/>
      <c r="AA674" s="514"/>
      <c r="AB674" s="514"/>
      <c r="AC674" s="514"/>
      <c r="AD674" s="514"/>
      <c r="AE674" s="514"/>
      <c r="AF674" s="514"/>
      <c r="AG674" s="514"/>
      <c r="AH674" s="514"/>
      <c r="AI674" s="514"/>
      <c r="AJ674" s="514"/>
      <c r="AK674" s="514"/>
      <c r="AL674" s="514"/>
      <c r="AM674" s="514"/>
      <c r="AN674" s="514"/>
    </row>
    <row r="675" ht="16.5" customHeight="1">
      <c r="A675" s="514"/>
      <c r="B675" s="520"/>
      <c r="C675" s="514"/>
      <c r="D675" s="514"/>
      <c r="E675" s="514"/>
      <c r="F675" s="514"/>
      <c r="G675" s="514"/>
      <c r="H675" s="521"/>
      <c r="I675" s="521"/>
      <c r="J675" s="514"/>
      <c r="K675" s="514"/>
      <c r="L675" s="514"/>
      <c r="M675" s="514"/>
      <c r="N675" s="514"/>
      <c r="O675" s="514"/>
      <c r="P675" s="514"/>
      <c r="Q675" s="514"/>
      <c r="R675" s="514"/>
      <c r="S675" s="514"/>
      <c r="T675" s="514"/>
      <c r="U675" s="514"/>
      <c r="V675" s="514"/>
      <c r="W675" s="514"/>
      <c r="X675" s="514"/>
      <c r="Y675" s="514"/>
      <c r="Z675" s="514"/>
      <c r="AA675" s="514"/>
      <c r="AB675" s="514"/>
      <c r="AC675" s="514"/>
      <c r="AD675" s="514"/>
      <c r="AE675" s="514"/>
      <c r="AF675" s="514"/>
      <c r="AG675" s="514"/>
      <c r="AH675" s="514"/>
      <c r="AI675" s="514"/>
      <c r="AJ675" s="514"/>
      <c r="AK675" s="514"/>
      <c r="AL675" s="514"/>
      <c r="AM675" s="514"/>
      <c r="AN675" s="514"/>
    </row>
    <row r="676" ht="16.5" customHeight="1">
      <c r="A676" s="514"/>
      <c r="B676" s="520"/>
      <c r="C676" s="514"/>
      <c r="D676" s="514"/>
      <c r="E676" s="514"/>
      <c r="F676" s="514"/>
      <c r="G676" s="514"/>
      <c r="H676" s="521"/>
      <c r="I676" s="521"/>
      <c r="J676" s="514"/>
      <c r="K676" s="514"/>
      <c r="L676" s="514"/>
      <c r="M676" s="514"/>
      <c r="N676" s="514"/>
      <c r="O676" s="514"/>
      <c r="P676" s="514"/>
      <c r="Q676" s="514"/>
      <c r="R676" s="514"/>
      <c r="S676" s="514"/>
      <c r="T676" s="514"/>
      <c r="U676" s="514"/>
      <c r="V676" s="514"/>
      <c r="W676" s="514"/>
      <c r="X676" s="514"/>
      <c r="Y676" s="514"/>
      <c r="Z676" s="514"/>
      <c r="AA676" s="514"/>
      <c r="AB676" s="514"/>
      <c r="AC676" s="514"/>
      <c r="AD676" s="514"/>
      <c r="AE676" s="514"/>
      <c r="AF676" s="514"/>
      <c r="AG676" s="514"/>
      <c r="AH676" s="514"/>
      <c r="AI676" s="514"/>
      <c r="AJ676" s="514"/>
      <c r="AK676" s="514"/>
      <c r="AL676" s="514"/>
      <c r="AM676" s="514"/>
      <c r="AN676" s="514"/>
    </row>
    <row r="677" ht="16.5" customHeight="1">
      <c r="A677" s="514"/>
      <c r="B677" s="520"/>
      <c r="C677" s="514"/>
      <c r="D677" s="514"/>
      <c r="E677" s="514"/>
      <c r="F677" s="514"/>
      <c r="G677" s="514"/>
      <c r="H677" s="521"/>
      <c r="I677" s="521"/>
      <c r="J677" s="514"/>
      <c r="K677" s="514"/>
      <c r="L677" s="514"/>
      <c r="M677" s="514"/>
      <c r="N677" s="514"/>
      <c r="O677" s="514"/>
      <c r="P677" s="514"/>
      <c r="Q677" s="514"/>
      <c r="R677" s="514"/>
      <c r="S677" s="514"/>
      <c r="T677" s="514"/>
      <c r="U677" s="514"/>
      <c r="V677" s="514"/>
      <c r="W677" s="514"/>
      <c r="X677" s="514"/>
      <c r="Y677" s="514"/>
      <c r="Z677" s="514"/>
      <c r="AA677" s="514"/>
      <c r="AB677" s="514"/>
      <c r="AC677" s="514"/>
      <c r="AD677" s="514"/>
      <c r="AE677" s="514"/>
      <c r="AF677" s="514"/>
      <c r="AG677" s="514"/>
      <c r="AH677" s="514"/>
      <c r="AI677" s="514"/>
      <c r="AJ677" s="514"/>
      <c r="AK677" s="514"/>
      <c r="AL677" s="514"/>
      <c r="AM677" s="514"/>
      <c r="AN677" s="514"/>
    </row>
    <row r="678" ht="16.5" customHeight="1">
      <c r="A678" s="514"/>
      <c r="B678" s="520"/>
      <c r="C678" s="514"/>
      <c r="D678" s="514"/>
      <c r="E678" s="514"/>
      <c r="F678" s="514"/>
      <c r="G678" s="514"/>
      <c r="H678" s="521"/>
      <c r="I678" s="521"/>
      <c r="J678" s="514"/>
      <c r="K678" s="514"/>
      <c r="L678" s="514"/>
      <c r="M678" s="514"/>
      <c r="N678" s="514"/>
      <c r="O678" s="514"/>
      <c r="P678" s="514"/>
      <c r="Q678" s="514"/>
      <c r="R678" s="514"/>
      <c r="S678" s="514"/>
      <c r="T678" s="514"/>
      <c r="U678" s="514"/>
      <c r="V678" s="514"/>
      <c r="W678" s="514"/>
      <c r="X678" s="514"/>
      <c r="Y678" s="514"/>
      <c r="Z678" s="514"/>
      <c r="AA678" s="514"/>
      <c r="AB678" s="514"/>
      <c r="AC678" s="514"/>
      <c r="AD678" s="514"/>
      <c r="AE678" s="514"/>
      <c r="AF678" s="514"/>
      <c r="AG678" s="514"/>
      <c r="AH678" s="514"/>
      <c r="AI678" s="514"/>
      <c r="AJ678" s="514"/>
      <c r="AK678" s="514"/>
      <c r="AL678" s="514"/>
      <c r="AM678" s="514"/>
      <c r="AN678" s="514"/>
    </row>
    <row r="679" ht="16.5" customHeight="1">
      <c r="A679" s="514"/>
      <c r="B679" s="520"/>
      <c r="C679" s="514"/>
      <c r="D679" s="514"/>
      <c r="E679" s="514"/>
      <c r="F679" s="514"/>
      <c r="G679" s="514"/>
      <c r="H679" s="521"/>
      <c r="I679" s="521"/>
      <c r="J679" s="514"/>
      <c r="K679" s="514"/>
      <c r="L679" s="514"/>
      <c r="M679" s="514"/>
      <c r="N679" s="514"/>
      <c r="O679" s="514"/>
      <c r="P679" s="514"/>
      <c r="Q679" s="514"/>
      <c r="R679" s="514"/>
      <c r="S679" s="514"/>
      <c r="T679" s="514"/>
      <c r="U679" s="514"/>
      <c r="V679" s="514"/>
      <c r="W679" s="514"/>
      <c r="X679" s="514"/>
      <c r="Y679" s="514"/>
      <c r="Z679" s="514"/>
      <c r="AA679" s="514"/>
      <c r="AB679" s="514"/>
      <c r="AC679" s="514"/>
      <c r="AD679" s="514"/>
      <c r="AE679" s="514"/>
      <c r="AF679" s="514"/>
      <c r="AG679" s="514"/>
      <c r="AH679" s="514"/>
      <c r="AI679" s="514"/>
      <c r="AJ679" s="514"/>
      <c r="AK679" s="514"/>
      <c r="AL679" s="514"/>
      <c r="AM679" s="514"/>
      <c r="AN679" s="514"/>
    </row>
    <row r="680" ht="16.5" customHeight="1">
      <c r="A680" s="514"/>
      <c r="B680" s="520"/>
      <c r="C680" s="514"/>
      <c r="D680" s="514"/>
      <c r="E680" s="514"/>
      <c r="F680" s="514"/>
      <c r="G680" s="514"/>
      <c r="H680" s="521"/>
      <c r="I680" s="521"/>
      <c r="J680" s="514"/>
      <c r="K680" s="514"/>
      <c r="L680" s="514"/>
      <c r="M680" s="514"/>
      <c r="N680" s="514"/>
      <c r="O680" s="514"/>
      <c r="P680" s="514"/>
      <c r="Q680" s="514"/>
      <c r="R680" s="514"/>
      <c r="S680" s="514"/>
      <c r="T680" s="514"/>
      <c r="U680" s="514"/>
      <c r="V680" s="514"/>
      <c r="W680" s="514"/>
      <c r="X680" s="514"/>
      <c r="Y680" s="514"/>
      <c r="Z680" s="514"/>
      <c r="AA680" s="514"/>
      <c r="AB680" s="514"/>
      <c r="AC680" s="514"/>
      <c r="AD680" s="514"/>
      <c r="AE680" s="514"/>
      <c r="AF680" s="514"/>
      <c r="AG680" s="514"/>
      <c r="AH680" s="514"/>
      <c r="AI680" s="514"/>
      <c r="AJ680" s="514"/>
      <c r="AK680" s="514"/>
      <c r="AL680" s="514"/>
      <c r="AM680" s="514"/>
      <c r="AN680" s="514"/>
    </row>
    <row r="681" ht="16.5" customHeight="1">
      <c r="A681" s="514"/>
      <c r="B681" s="520"/>
      <c r="C681" s="514"/>
      <c r="D681" s="514"/>
      <c r="E681" s="514"/>
      <c r="F681" s="514"/>
      <c r="G681" s="514"/>
      <c r="H681" s="521"/>
      <c r="I681" s="521"/>
      <c r="J681" s="514"/>
      <c r="K681" s="514"/>
      <c r="L681" s="514"/>
      <c r="M681" s="514"/>
      <c r="N681" s="514"/>
      <c r="O681" s="514"/>
      <c r="P681" s="514"/>
      <c r="Q681" s="514"/>
      <c r="R681" s="514"/>
      <c r="S681" s="514"/>
      <c r="T681" s="514"/>
      <c r="U681" s="514"/>
      <c r="V681" s="514"/>
      <c r="W681" s="514"/>
      <c r="X681" s="514"/>
      <c r="Y681" s="514"/>
      <c r="Z681" s="514"/>
      <c r="AA681" s="514"/>
      <c r="AB681" s="514"/>
      <c r="AC681" s="514"/>
      <c r="AD681" s="514"/>
      <c r="AE681" s="514"/>
      <c r="AF681" s="514"/>
      <c r="AG681" s="514"/>
      <c r="AH681" s="514"/>
      <c r="AI681" s="514"/>
      <c r="AJ681" s="514"/>
      <c r="AK681" s="514"/>
      <c r="AL681" s="514"/>
      <c r="AM681" s="514"/>
      <c r="AN681" s="514"/>
    </row>
    <row r="682" ht="16.5" customHeight="1">
      <c r="A682" s="514"/>
      <c r="B682" s="520"/>
      <c r="C682" s="514"/>
      <c r="D682" s="514"/>
      <c r="E682" s="514"/>
      <c r="F682" s="514"/>
      <c r="G682" s="514"/>
      <c r="H682" s="521"/>
      <c r="I682" s="521"/>
      <c r="J682" s="514"/>
      <c r="K682" s="514"/>
      <c r="L682" s="514"/>
      <c r="M682" s="514"/>
      <c r="N682" s="514"/>
      <c r="O682" s="514"/>
      <c r="P682" s="514"/>
      <c r="Q682" s="514"/>
      <c r="R682" s="514"/>
      <c r="S682" s="514"/>
      <c r="T682" s="514"/>
      <c r="U682" s="514"/>
      <c r="V682" s="514"/>
      <c r="W682" s="514"/>
      <c r="X682" s="514"/>
      <c r="Y682" s="514"/>
      <c r="Z682" s="514"/>
      <c r="AA682" s="514"/>
      <c r="AB682" s="514"/>
      <c r="AC682" s="514"/>
      <c r="AD682" s="514"/>
      <c r="AE682" s="514"/>
      <c r="AF682" s="514"/>
      <c r="AG682" s="514"/>
      <c r="AH682" s="514"/>
      <c r="AI682" s="514"/>
      <c r="AJ682" s="514"/>
      <c r="AK682" s="514"/>
      <c r="AL682" s="514"/>
      <c r="AM682" s="514"/>
      <c r="AN682" s="514"/>
    </row>
    <row r="683" ht="16.5" customHeight="1">
      <c r="A683" s="514"/>
      <c r="B683" s="520"/>
      <c r="C683" s="514"/>
      <c r="D683" s="514"/>
      <c r="E683" s="514"/>
      <c r="F683" s="514"/>
      <c r="G683" s="514"/>
      <c r="H683" s="521"/>
      <c r="I683" s="521"/>
      <c r="J683" s="514"/>
      <c r="K683" s="514"/>
      <c r="L683" s="514"/>
      <c r="M683" s="514"/>
      <c r="N683" s="514"/>
      <c r="O683" s="514"/>
      <c r="P683" s="514"/>
      <c r="Q683" s="514"/>
      <c r="R683" s="514"/>
      <c r="S683" s="514"/>
      <c r="T683" s="514"/>
      <c r="U683" s="514"/>
      <c r="V683" s="514"/>
      <c r="W683" s="514"/>
      <c r="X683" s="514"/>
      <c r="Y683" s="514"/>
      <c r="Z683" s="514"/>
      <c r="AA683" s="514"/>
      <c r="AB683" s="514"/>
      <c r="AC683" s="514"/>
      <c r="AD683" s="514"/>
      <c r="AE683" s="514"/>
      <c r="AF683" s="514"/>
      <c r="AG683" s="514"/>
      <c r="AH683" s="514"/>
      <c r="AI683" s="514"/>
      <c r="AJ683" s="514"/>
      <c r="AK683" s="514"/>
      <c r="AL683" s="514"/>
      <c r="AM683" s="514"/>
      <c r="AN683" s="514"/>
    </row>
    <row r="684" ht="16.5" customHeight="1">
      <c r="A684" s="514"/>
      <c r="B684" s="520"/>
      <c r="C684" s="514"/>
      <c r="D684" s="514"/>
      <c r="E684" s="514"/>
      <c r="F684" s="514"/>
      <c r="G684" s="514"/>
      <c r="H684" s="521"/>
      <c r="I684" s="521"/>
      <c r="J684" s="514"/>
      <c r="K684" s="514"/>
      <c r="L684" s="514"/>
      <c r="M684" s="514"/>
      <c r="N684" s="514"/>
      <c r="O684" s="514"/>
      <c r="P684" s="514"/>
      <c r="Q684" s="514"/>
      <c r="R684" s="514"/>
      <c r="S684" s="514"/>
      <c r="T684" s="514"/>
      <c r="U684" s="514"/>
      <c r="V684" s="514"/>
      <c r="W684" s="514"/>
      <c r="X684" s="514"/>
      <c r="Y684" s="514"/>
      <c r="Z684" s="514"/>
      <c r="AA684" s="514"/>
      <c r="AB684" s="514"/>
      <c r="AC684" s="514"/>
      <c r="AD684" s="514"/>
      <c r="AE684" s="514"/>
      <c r="AF684" s="514"/>
      <c r="AG684" s="514"/>
      <c r="AH684" s="514"/>
      <c r="AI684" s="514"/>
      <c r="AJ684" s="514"/>
      <c r="AK684" s="514"/>
      <c r="AL684" s="514"/>
      <c r="AM684" s="514"/>
      <c r="AN684" s="514"/>
    </row>
    <row r="685" ht="16.5" customHeight="1">
      <c r="A685" s="514"/>
      <c r="B685" s="520"/>
      <c r="C685" s="514"/>
      <c r="D685" s="514"/>
      <c r="E685" s="514"/>
      <c r="F685" s="514"/>
      <c r="G685" s="514"/>
      <c r="H685" s="521"/>
      <c r="I685" s="521"/>
      <c r="J685" s="514"/>
      <c r="K685" s="514"/>
      <c r="L685" s="514"/>
      <c r="M685" s="514"/>
      <c r="N685" s="514"/>
      <c r="O685" s="514"/>
      <c r="P685" s="514"/>
      <c r="Q685" s="514"/>
      <c r="R685" s="514"/>
      <c r="S685" s="514"/>
      <c r="T685" s="514"/>
      <c r="U685" s="514"/>
      <c r="V685" s="514"/>
      <c r="W685" s="514"/>
      <c r="X685" s="514"/>
      <c r="Y685" s="514"/>
      <c r="Z685" s="514"/>
      <c r="AA685" s="514"/>
      <c r="AB685" s="514"/>
      <c r="AC685" s="514"/>
      <c r="AD685" s="514"/>
      <c r="AE685" s="514"/>
      <c r="AF685" s="514"/>
      <c r="AG685" s="514"/>
      <c r="AH685" s="514"/>
      <c r="AI685" s="514"/>
      <c r="AJ685" s="514"/>
      <c r="AK685" s="514"/>
      <c r="AL685" s="514"/>
      <c r="AM685" s="514"/>
      <c r="AN685" s="514"/>
    </row>
    <row r="686" ht="16.5" customHeight="1">
      <c r="A686" s="514"/>
      <c r="B686" s="520"/>
      <c r="C686" s="514"/>
      <c r="D686" s="514"/>
      <c r="E686" s="514"/>
      <c r="F686" s="514"/>
      <c r="G686" s="514"/>
      <c r="H686" s="521"/>
      <c r="I686" s="521"/>
      <c r="J686" s="514"/>
      <c r="K686" s="514"/>
      <c r="L686" s="514"/>
      <c r="M686" s="514"/>
      <c r="N686" s="514"/>
      <c r="O686" s="514"/>
      <c r="P686" s="514"/>
      <c r="Q686" s="514"/>
      <c r="R686" s="514"/>
      <c r="S686" s="514"/>
      <c r="T686" s="514"/>
      <c r="U686" s="514"/>
      <c r="V686" s="514"/>
      <c r="W686" s="514"/>
      <c r="X686" s="514"/>
      <c r="Y686" s="514"/>
      <c r="Z686" s="514"/>
      <c r="AA686" s="514"/>
      <c r="AB686" s="514"/>
      <c r="AC686" s="514"/>
      <c r="AD686" s="514"/>
      <c r="AE686" s="514"/>
      <c r="AF686" s="514"/>
      <c r="AG686" s="514"/>
      <c r="AH686" s="514"/>
      <c r="AI686" s="514"/>
      <c r="AJ686" s="514"/>
      <c r="AK686" s="514"/>
      <c r="AL686" s="514"/>
      <c r="AM686" s="514"/>
      <c r="AN686" s="514"/>
    </row>
    <row r="687" ht="16.5" customHeight="1">
      <c r="A687" s="514"/>
      <c r="B687" s="520"/>
      <c r="C687" s="514"/>
      <c r="D687" s="514"/>
      <c r="E687" s="514"/>
      <c r="F687" s="514"/>
      <c r="G687" s="514"/>
      <c r="H687" s="521"/>
      <c r="I687" s="521"/>
      <c r="J687" s="514"/>
      <c r="K687" s="514"/>
      <c r="L687" s="514"/>
      <c r="M687" s="514"/>
      <c r="N687" s="514"/>
      <c r="O687" s="514"/>
      <c r="P687" s="514"/>
      <c r="Q687" s="514"/>
      <c r="R687" s="514"/>
      <c r="S687" s="514"/>
      <c r="T687" s="514"/>
      <c r="U687" s="514"/>
      <c r="V687" s="514"/>
      <c r="W687" s="514"/>
      <c r="X687" s="514"/>
      <c r="Y687" s="514"/>
      <c r="Z687" s="514"/>
      <c r="AA687" s="514"/>
      <c r="AB687" s="514"/>
      <c r="AC687" s="514"/>
      <c r="AD687" s="514"/>
      <c r="AE687" s="514"/>
      <c r="AF687" s="514"/>
      <c r="AG687" s="514"/>
      <c r="AH687" s="514"/>
      <c r="AI687" s="514"/>
      <c r="AJ687" s="514"/>
      <c r="AK687" s="514"/>
      <c r="AL687" s="514"/>
      <c r="AM687" s="514"/>
      <c r="AN687" s="514"/>
    </row>
    <row r="688" ht="16.5" customHeight="1">
      <c r="A688" s="514"/>
      <c r="B688" s="520"/>
      <c r="C688" s="514"/>
      <c r="D688" s="514"/>
      <c r="E688" s="514"/>
      <c r="F688" s="514"/>
      <c r="G688" s="514"/>
      <c r="H688" s="521"/>
      <c r="I688" s="521"/>
      <c r="J688" s="514"/>
      <c r="K688" s="514"/>
      <c r="L688" s="514"/>
      <c r="M688" s="514"/>
      <c r="N688" s="514"/>
      <c r="O688" s="514"/>
      <c r="P688" s="514"/>
      <c r="Q688" s="514"/>
      <c r="R688" s="514"/>
      <c r="S688" s="514"/>
      <c r="T688" s="514"/>
      <c r="U688" s="514"/>
      <c r="V688" s="514"/>
      <c r="W688" s="514"/>
      <c r="X688" s="514"/>
      <c r="Y688" s="514"/>
      <c r="Z688" s="514"/>
      <c r="AA688" s="514"/>
      <c r="AB688" s="514"/>
      <c r="AC688" s="514"/>
      <c r="AD688" s="514"/>
      <c r="AE688" s="514"/>
      <c r="AF688" s="514"/>
      <c r="AG688" s="514"/>
      <c r="AH688" s="514"/>
      <c r="AI688" s="514"/>
      <c r="AJ688" s="514"/>
      <c r="AK688" s="514"/>
      <c r="AL688" s="514"/>
      <c r="AM688" s="514"/>
      <c r="AN688" s="514"/>
    </row>
    <row r="689" ht="16.5" customHeight="1">
      <c r="A689" s="514"/>
      <c r="B689" s="520"/>
      <c r="C689" s="514"/>
      <c r="D689" s="514"/>
      <c r="E689" s="514"/>
      <c r="F689" s="514"/>
      <c r="G689" s="514"/>
      <c r="H689" s="521"/>
      <c r="I689" s="521"/>
      <c r="J689" s="514"/>
      <c r="K689" s="514"/>
      <c r="L689" s="514"/>
      <c r="M689" s="514"/>
      <c r="N689" s="514"/>
      <c r="O689" s="514"/>
      <c r="P689" s="514"/>
      <c r="Q689" s="514"/>
      <c r="R689" s="514"/>
      <c r="S689" s="514"/>
      <c r="T689" s="514"/>
      <c r="U689" s="514"/>
      <c r="V689" s="514"/>
      <c r="W689" s="514"/>
      <c r="X689" s="514"/>
      <c r="Y689" s="514"/>
      <c r="Z689" s="514"/>
      <c r="AA689" s="514"/>
      <c r="AB689" s="514"/>
      <c r="AC689" s="514"/>
      <c r="AD689" s="514"/>
      <c r="AE689" s="514"/>
      <c r="AF689" s="514"/>
      <c r="AG689" s="514"/>
      <c r="AH689" s="514"/>
      <c r="AI689" s="514"/>
      <c r="AJ689" s="514"/>
      <c r="AK689" s="514"/>
      <c r="AL689" s="514"/>
      <c r="AM689" s="514"/>
      <c r="AN689" s="514"/>
    </row>
    <row r="690" ht="16.5" customHeight="1">
      <c r="A690" s="514"/>
      <c r="B690" s="520"/>
      <c r="C690" s="514"/>
      <c r="D690" s="514"/>
      <c r="E690" s="514"/>
      <c r="F690" s="514"/>
      <c r="G690" s="514"/>
      <c r="H690" s="521"/>
      <c r="I690" s="521"/>
      <c r="J690" s="514"/>
      <c r="K690" s="514"/>
      <c r="L690" s="514"/>
      <c r="M690" s="514"/>
      <c r="N690" s="514"/>
      <c r="O690" s="514"/>
      <c r="P690" s="514"/>
      <c r="Q690" s="514"/>
      <c r="R690" s="514"/>
      <c r="S690" s="514"/>
      <c r="T690" s="514"/>
      <c r="U690" s="514"/>
      <c r="V690" s="514"/>
      <c r="W690" s="514"/>
      <c r="X690" s="514"/>
      <c r="Y690" s="514"/>
      <c r="Z690" s="514"/>
      <c r="AA690" s="514"/>
      <c r="AB690" s="514"/>
      <c r="AC690" s="514"/>
      <c r="AD690" s="514"/>
      <c r="AE690" s="514"/>
      <c r="AF690" s="514"/>
      <c r="AG690" s="514"/>
      <c r="AH690" s="514"/>
      <c r="AI690" s="514"/>
      <c r="AJ690" s="514"/>
      <c r="AK690" s="514"/>
      <c r="AL690" s="514"/>
      <c r="AM690" s="514"/>
      <c r="AN690" s="514"/>
    </row>
    <row r="691" ht="16.5" customHeight="1">
      <c r="A691" s="514"/>
      <c r="B691" s="520"/>
      <c r="C691" s="514"/>
      <c r="D691" s="514"/>
      <c r="E691" s="514"/>
      <c r="F691" s="514"/>
      <c r="G691" s="514"/>
      <c r="H691" s="521"/>
      <c r="I691" s="521"/>
      <c r="J691" s="514"/>
      <c r="K691" s="514"/>
      <c r="L691" s="514"/>
      <c r="M691" s="514"/>
      <c r="N691" s="514"/>
      <c r="O691" s="514"/>
      <c r="P691" s="514"/>
      <c r="Q691" s="514"/>
      <c r="R691" s="514"/>
      <c r="S691" s="514"/>
      <c r="T691" s="514"/>
      <c r="U691" s="514"/>
      <c r="V691" s="514"/>
      <c r="W691" s="514"/>
      <c r="X691" s="514"/>
      <c r="Y691" s="514"/>
      <c r="Z691" s="514"/>
      <c r="AA691" s="514"/>
      <c r="AB691" s="514"/>
      <c r="AC691" s="514"/>
      <c r="AD691" s="514"/>
      <c r="AE691" s="514"/>
      <c r="AF691" s="514"/>
      <c r="AG691" s="514"/>
      <c r="AH691" s="514"/>
      <c r="AI691" s="514"/>
      <c r="AJ691" s="514"/>
      <c r="AK691" s="514"/>
      <c r="AL691" s="514"/>
      <c r="AM691" s="514"/>
      <c r="AN691" s="514"/>
    </row>
    <row r="692" ht="16.5" customHeight="1">
      <c r="A692" s="514"/>
      <c r="B692" s="520"/>
      <c r="C692" s="514"/>
      <c r="D692" s="514"/>
      <c r="E692" s="514"/>
      <c r="F692" s="514"/>
      <c r="G692" s="514"/>
      <c r="H692" s="521"/>
      <c r="I692" s="521"/>
      <c r="J692" s="514"/>
      <c r="K692" s="514"/>
      <c r="L692" s="514"/>
      <c r="M692" s="514"/>
      <c r="N692" s="514"/>
      <c r="O692" s="514"/>
      <c r="P692" s="514"/>
      <c r="Q692" s="514"/>
      <c r="R692" s="514"/>
      <c r="S692" s="514"/>
      <c r="T692" s="514"/>
      <c r="U692" s="514"/>
      <c r="V692" s="514"/>
      <c r="W692" s="514"/>
      <c r="X692" s="514"/>
      <c r="Y692" s="514"/>
      <c r="Z692" s="514"/>
      <c r="AA692" s="514"/>
      <c r="AB692" s="514"/>
      <c r="AC692" s="514"/>
      <c r="AD692" s="514"/>
      <c r="AE692" s="514"/>
      <c r="AF692" s="514"/>
      <c r="AG692" s="514"/>
      <c r="AH692" s="514"/>
      <c r="AI692" s="514"/>
      <c r="AJ692" s="514"/>
      <c r="AK692" s="514"/>
      <c r="AL692" s="514"/>
      <c r="AM692" s="514"/>
      <c r="AN692" s="514"/>
    </row>
    <row r="693" ht="16.5" customHeight="1">
      <c r="A693" s="514"/>
      <c r="B693" s="520"/>
      <c r="C693" s="514"/>
      <c r="D693" s="514"/>
      <c r="E693" s="514"/>
      <c r="F693" s="514"/>
      <c r="G693" s="514"/>
      <c r="H693" s="521"/>
      <c r="I693" s="521"/>
      <c r="J693" s="514"/>
      <c r="K693" s="514"/>
      <c r="L693" s="514"/>
      <c r="M693" s="514"/>
      <c r="N693" s="514"/>
      <c r="O693" s="514"/>
      <c r="P693" s="514"/>
      <c r="Q693" s="514"/>
      <c r="R693" s="514"/>
      <c r="S693" s="514"/>
      <c r="T693" s="514"/>
      <c r="U693" s="514"/>
      <c r="V693" s="514"/>
      <c r="W693" s="514"/>
      <c r="X693" s="514"/>
      <c r="Y693" s="514"/>
      <c r="Z693" s="514"/>
      <c r="AA693" s="514"/>
      <c r="AB693" s="514"/>
      <c r="AC693" s="514"/>
      <c r="AD693" s="514"/>
      <c r="AE693" s="514"/>
      <c r="AF693" s="514"/>
      <c r="AG693" s="514"/>
      <c r="AH693" s="514"/>
      <c r="AI693" s="514"/>
      <c r="AJ693" s="514"/>
      <c r="AK693" s="514"/>
      <c r="AL693" s="514"/>
      <c r="AM693" s="514"/>
      <c r="AN693" s="514"/>
    </row>
  </sheetData>
  <mergeCells count="889">
    <mergeCell ref="J101:K101"/>
    <mergeCell ref="J102:K102"/>
    <mergeCell ref="M102:O102"/>
    <mergeCell ref="J103:K103"/>
    <mergeCell ref="M103:O103"/>
    <mergeCell ref="J104:K104"/>
    <mergeCell ref="J105:K105"/>
    <mergeCell ref="J111:K111"/>
    <mergeCell ref="M111:O111"/>
    <mergeCell ref="J112:K112"/>
    <mergeCell ref="M112:O112"/>
    <mergeCell ref="J113:K113"/>
    <mergeCell ref="M113:O113"/>
    <mergeCell ref="J106:K106"/>
    <mergeCell ref="M106:O106"/>
    <mergeCell ref="J107:K107"/>
    <mergeCell ref="M107:O107"/>
    <mergeCell ref="J108:K108"/>
    <mergeCell ref="M108:O108"/>
    <mergeCell ref="M109:O109"/>
    <mergeCell ref="Q89:S89"/>
    <mergeCell ref="Q90:S90"/>
    <mergeCell ref="Q91:S91"/>
    <mergeCell ref="Q92:S92"/>
    <mergeCell ref="Q93:S93"/>
    <mergeCell ref="Q94:S94"/>
    <mergeCell ref="Q95:S95"/>
    <mergeCell ref="Q96:S96"/>
    <mergeCell ref="Q97:S97"/>
    <mergeCell ref="J100:K100"/>
    <mergeCell ref="M100:O100"/>
    <mergeCell ref="V100:W100"/>
    <mergeCell ref="M101:O101"/>
    <mergeCell ref="V101:W101"/>
    <mergeCell ref="M104:O104"/>
    <mergeCell ref="M105:O105"/>
    <mergeCell ref="Q100:S100"/>
    <mergeCell ref="Q101:S101"/>
    <mergeCell ref="Q102:S102"/>
    <mergeCell ref="V102:W102"/>
    <mergeCell ref="Q103:S103"/>
    <mergeCell ref="V103:W103"/>
    <mergeCell ref="V104:W104"/>
    <mergeCell ref="J109:K109"/>
    <mergeCell ref="J110:K110"/>
    <mergeCell ref="M110:O110"/>
    <mergeCell ref="Q111:S111"/>
    <mergeCell ref="Q112:S112"/>
    <mergeCell ref="Q113:S113"/>
    <mergeCell ref="Q104:S104"/>
    <mergeCell ref="Q105:S105"/>
    <mergeCell ref="Q106:S106"/>
    <mergeCell ref="Q107:S107"/>
    <mergeCell ref="Q108:S108"/>
    <mergeCell ref="Q109:S109"/>
    <mergeCell ref="Q110:S110"/>
    <mergeCell ref="J115:K115"/>
    <mergeCell ref="J116:K116"/>
    <mergeCell ref="M116:O116"/>
    <mergeCell ref="J117:K117"/>
    <mergeCell ref="M117:O117"/>
    <mergeCell ref="J118:K118"/>
    <mergeCell ref="J119:K119"/>
    <mergeCell ref="J120:K120"/>
    <mergeCell ref="M120:O120"/>
    <mergeCell ref="J121:K121"/>
    <mergeCell ref="M121:O121"/>
    <mergeCell ref="J122:K122"/>
    <mergeCell ref="M122:O122"/>
    <mergeCell ref="M123:O123"/>
    <mergeCell ref="J128:K128"/>
    <mergeCell ref="J129:K129"/>
    <mergeCell ref="J125:K125"/>
    <mergeCell ref="M125:O125"/>
    <mergeCell ref="J126:K126"/>
    <mergeCell ref="M126:O126"/>
    <mergeCell ref="J127:K127"/>
    <mergeCell ref="M127:O127"/>
    <mergeCell ref="M128:O128"/>
    <mergeCell ref="M129:O129"/>
    <mergeCell ref="V112:W112"/>
    <mergeCell ref="V113:W113"/>
    <mergeCell ref="J114:K114"/>
    <mergeCell ref="M114:O114"/>
    <mergeCell ref="V114:W114"/>
    <mergeCell ref="M115:O115"/>
    <mergeCell ref="V115:W115"/>
    <mergeCell ref="V105:W105"/>
    <mergeCell ref="V106:W106"/>
    <mergeCell ref="V107:W107"/>
    <mergeCell ref="V108:W108"/>
    <mergeCell ref="V109:W109"/>
    <mergeCell ref="V110:W110"/>
    <mergeCell ref="V111:W111"/>
    <mergeCell ref="M118:O118"/>
    <mergeCell ref="M119:O119"/>
    <mergeCell ref="Q114:S114"/>
    <mergeCell ref="Q115:S115"/>
    <mergeCell ref="Q116:S116"/>
    <mergeCell ref="Q117:S117"/>
    <mergeCell ref="Q118:S118"/>
    <mergeCell ref="Q119:S119"/>
    <mergeCell ref="Q120:S120"/>
    <mergeCell ref="J123:K123"/>
    <mergeCell ref="J124:K124"/>
    <mergeCell ref="M124:O124"/>
    <mergeCell ref="V123:W123"/>
    <mergeCell ref="V124:W124"/>
    <mergeCell ref="V125:W125"/>
    <mergeCell ref="V126:W126"/>
    <mergeCell ref="V127:W127"/>
    <mergeCell ref="V128:W128"/>
    <mergeCell ref="V129:W129"/>
    <mergeCell ref="V116:W116"/>
    <mergeCell ref="V117:W117"/>
    <mergeCell ref="V118:W118"/>
    <mergeCell ref="V119:W119"/>
    <mergeCell ref="V120:W120"/>
    <mergeCell ref="V121:W121"/>
    <mergeCell ref="V122:W122"/>
    <mergeCell ref="G3:I3"/>
    <mergeCell ref="D6:E6"/>
    <mergeCell ref="G6:H6"/>
    <mergeCell ref="Q6:R6"/>
    <mergeCell ref="D7:E7"/>
    <mergeCell ref="G7:H7"/>
    <mergeCell ref="J7:K7"/>
    <mergeCell ref="M7:N7"/>
    <mergeCell ref="Q7:R7"/>
    <mergeCell ref="U7:V7"/>
    <mergeCell ref="D8:E8"/>
    <mergeCell ref="G8:H8"/>
    <mergeCell ref="J8:K8"/>
    <mergeCell ref="M8:N8"/>
    <mergeCell ref="U8:V8"/>
    <mergeCell ref="Q8:R8"/>
    <mergeCell ref="D9:E9"/>
    <mergeCell ref="G9:H9"/>
    <mergeCell ref="J9:K9"/>
    <mergeCell ref="M9:N9"/>
    <mergeCell ref="Q9:R9"/>
    <mergeCell ref="U9:V9"/>
    <mergeCell ref="D10:E10"/>
    <mergeCell ref="G10:H10"/>
    <mergeCell ref="U15:V15"/>
    <mergeCell ref="U16:V16"/>
    <mergeCell ref="U17:V17"/>
    <mergeCell ref="U18:V18"/>
    <mergeCell ref="U19:V19"/>
    <mergeCell ref="U20:V20"/>
    <mergeCell ref="U21:V21"/>
    <mergeCell ref="U22:W22"/>
    <mergeCell ref="J10:K10"/>
    <mergeCell ref="M10:N10"/>
    <mergeCell ref="U10:V10"/>
    <mergeCell ref="U11:V11"/>
    <mergeCell ref="U12:V12"/>
    <mergeCell ref="U13:V13"/>
    <mergeCell ref="U14:V14"/>
    <mergeCell ref="M37:O37"/>
    <mergeCell ref="M38:O38"/>
    <mergeCell ref="M34:O34"/>
    <mergeCell ref="M35:O35"/>
    <mergeCell ref="J36:K36"/>
    <mergeCell ref="M36:O36"/>
    <mergeCell ref="J37:K37"/>
    <mergeCell ref="Q37:S37"/>
    <mergeCell ref="J38:K38"/>
    <mergeCell ref="Q38:S38"/>
    <mergeCell ref="Q18:R18"/>
    <mergeCell ref="D19:E19"/>
    <mergeCell ref="G19:H19"/>
    <mergeCell ref="J19:K19"/>
    <mergeCell ref="M19:N19"/>
    <mergeCell ref="Q19:R19"/>
    <mergeCell ref="G1:J2"/>
    <mergeCell ref="K1:M2"/>
    <mergeCell ref="N1:Q2"/>
    <mergeCell ref="R1:U2"/>
    <mergeCell ref="C3:C21"/>
    <mergeCell ref="Q3:T3"/>
    <mergeCell ref="Q5:R5"/>
    <mergeCell ref="Q20:R20"/>
    <mergeCell ref="D21:E21"/>
    <mergeCell ref="G21:H21"/>
    <mergeCell ref="M21:N21"/>
    <mergeCell ref="Q21:R21"/>
    <mergeCell ref="D22:E22"/>
    <mergeCell ref="G22:H22"/>
    <mergeCell ref="A23:B23"/>
    <mergeCell ref="A24:B24"/>
    <mergeCell ref="A25:B25"/>
    <mergeCell ref="C28:E28"/>
    <mergeCell ref="C29:E29"/>
    <mergeCell ref="C30:E30"/>
    <mergeCell ref="C31:E31"/>
    <mergeCell ref="V28:W28"/>
    <mergeCell ref="V29:W29"/>
    <mergeCell ref="V30:W30"/>
    <mergeCell ref="V31:W31"/>
    <mergeCell ref="V32:W32"/>
    <mergeCell ref="V33:W33"/>
    <mergeCell ref="V34:W34"/>
    <mergeCell ref="C39:E39"/>
    <mergeCell ref="J39:K39"/>
    <mergeCell ref="M39:O39"/>
    <mergeCell ref="Q39:S39"/>
    <mergeCell ref="J40:K40"/>
    <mergeCell ref="Q40:S40"/>
    <mergeCell ref="J41:K41"/>
    <mergeCell ref="Q41:S41"/>
    <mergeCell ref="V44:W44"/>
    <mergeCell ref="V45:W45"/>
    <mergeCell ref="M59:O59"/>
    <mergeCell ref="M60:O60"/>
    <mergeCell ref="M52:O52"/>
    <mergeCell ref="M53:O53"/>
    <mergeCell ref="M54:O54"/>
    <mergeCell ref="M55:O55"/>
    <mergeCell ref="M56:O56"/>
    <mergeCell ref="M57:O57"/>
    <mergeCell ref="M58:O58"/>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31:E131"/>
    <mergeCell ref="C132:E132"/>
    <mergeCell ref="C124:E124"/>
    <mergeCell ref="C125:E125"/>
    <mergeCell ref="C126:E126"/>
    <mergeCell ref="C127:E127"/>
    <mergeCell ref="C128:E128"/>
    <mergeCell ref="C129:E129"/>
    <mergeCell ref="C130:E130"/>
    <mergeCell ref="C32:E32"/>
    <mergeCell ref="C33:E33"/>
    <mergeCell ref="C34:E34"/>
    <mergeCell ref="C35:E35"/>
    <mergeCell ref="C36:E36"/>
    <mergeCell ref="C37:E37"/>
    <mergeCell ref="C38:E38"/>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Q121:S121"/>
    <mergeCell ref="Q122:S122"/>
    <mergeCell ref="Q123:S123"/>
    <mergeCell ref="Q124:S124"/>
    <mergeCell ref="Q125:S125"/>
    <mergeCell ref="Q126:S126"/>
    <mergeCell ref="Q127:S127"/>
    <mergeCell ref="Q130:S130"/>
    <mergeCell ref="Q131:S131"/>
    <mergeCell ref="Q132:S132"/>
    <mergeCell ref="V132:W132"/>
    <mergeCell ref="J131:K131"/>
    <mergeCell ref="J132:K132"/>
    <mergeCell ref="M132:O132"/>
    <mergeCell ref="Q128:S128"/>
    <mergeCell ref="Q129:S129"/>
    <mergeCell ref="J130:K130"/>
    <mergeCell ref="M130:O130"/>
    <mergeCell ref="V130:W130"/>
    <mergeCell ref="M131:O131"/>
    <mergeCell ref="V131:W131"/>
    <mergeCell ref="Q10:R10"/>
    <mergeCell ref="D11:E11"/>
    <mergeCell ref="G11:H11"/>
    <mergeCell ref="J11:K11"/>
    <mergeCell ref="M11:N11"/>
    <mergeCell ref="Q11:R11"/>
    <mergeCell ref="D12:E12"/>
    <mergeCell ref="G12:H12"/>
    <mergeCell ref="J12:K12"/>
    <mergeCell ref="M12:N12"/>
    <mergeCell ref="Q12:R12"/>
    <mergeCell ref="D13:E13"/>
    <mergeCell ref="G13:H13"/>
    <mergeCell ref="J13:K13"/>
    <mergeCell ref="M13:N13"/>
    <mergeCell ref="Q13:R13"/>
    <mergeCell ref="D14:E14"/>
    <mergeCell ref="G14:H14"/>
    <mergeCell ref="J14:K14"/>
    <mergeCell ref="M14:N14"/>
    <mergeCell ref="D16:E16"/>
    <mergeCell ref="G16:H16"/>
    <mergeCell ref="J3:L3"/>
    <mergeCell ref="M3:P3"/>
    <mergeCell ref="U3:X3"/>
    <mergeCell ref="Y3:AB3"/>
    <mergeCell ref="D3:F3"/>
    <mergeCell ref="D4:E4"/>
    <mergeCell ref="G4:H4"/>
    <mergeCell ref="J4:K4"/>
    <mergeCell ref="M4:N4"/>
    <mergeCell ref="Q4:R4"/>
    <mergeCell ref="U4:V4"/>
    <mergeCell ref="Y4:Z4"/>
    <mergeCell ref="AD4:AE4"/>
    <mergeCell ref="D5:E5"/>
    <mergeCell ref="G5:H5"/>
    <mergeCell ref="J5:K5"/>
    <mergeCell ref="M5:N5"/>
    <mergeCell ref="U5:V5"/>
    <mergeCell ref="Y5:Z5"/>
    <mergeCell ref="AD5:AE5"/>
    <mergeCell ref="J6:K6"/>
    <mergeCell ref="M6:N6"/>
    <mergeCell ref="U6:V6"/>
    <mergeCell ref="Y6:Z6"/>
    <mergeCell ref="AD6:AE6"/>
    <mergeCell ref="Y7:Z7"/>
    <mergeCell ref="AD7:AE7"/>
    <mergeCell ref="Q14:R14"/>
    <mergeCell ref="D15:E15"/>
    <mergeCell ref="G15:H15"/>
    <mergeCell ref="J15:K15"/>
    <mergeCell ref="M15:N15"/>
    <mergeCell ref="Q15:R15"/>
    <mergeCell ref="J16:K16"/>
    <mergeCell ref="M16:N16"/>
    <mergeCell ref="Q16:R16"/>
    <mergeCell ref="D17:E17"/>
    <mergeCell ref="G17:H17"/>
    <mergeCell ref="J17:K17"/>
    <mergeCell ref="M17:N17"/>
    <mergeCell ref="Q17:R17"/>
    <mergeCell ref="D18:E18"/>
    <mergeCell ref="G18:H18"/>
    <mergeCell ref="J18:K18"/>
    <mergeCell ref="M18:N18"/>
    <mergeCell ref="D20:E20"/>
    <mergeCell ref="G20:H20"/>
    <mergeCell ref="J20:K20"/>
    <mergeCell ref="M20:N20"/>
    <mergeCell ref="Q29:S29"/>
    <mergeCell ref="Q30:S30"/>
    <mergeCell ref="M22:O22"/>
    <mergeCell ref="Q22:S22"/>
    <mergeCell ref="H26:R27"/>
    <mergeCell ref="J28:O28"/>
    <mergeCell ref="Q28:R28"/>
    <mergeCell ref="M29:O29"/>
    <mergeCell ref="M30:O30"/>
    <mergeCell ref="J34:K34"/>
    <mergeCell ref="J35:K35"/>
    <mergeCell ref="J21:K21"/>
    <mergeCell ref="J22:K22"/>
    <mergeCell ref="J29:K29"/>
    <mergeCell ref="J30:K30"/>
    <mergeCell ref="J31:K31"/>
    <mergeCell ref="J32:K32"/>
    <mergeCell ref="J33:K33"/>
    <mergeCell ref="Q35:S35"/>
    <mergeCell ref="Q36:S36"/>
    <mergeCell ref="M31:O31"/>
    <mergeCell ref="Q31:S31"/>
    <mergeCell ref="M32:O32"/>
    <mergeCell ref="Q32:S32"/>
    <mergeCell ref="M33:O33"/>
    <mergeCell ref="Q33:S33"/>
    <mergeCell ref="Q34:S34"/>
    <mergeCell ref="Y38:AE38"/>
    <mergeCell ref="AF38:AG38"/>
    <mergeCell ref="Y39:AE39"/>
    <mergeCell ref="AF39:AG39"/>
    <mergeCell ref="Y40:AE40"/>
    <mergeCell ref="AF40:AG40"/>
    <mergeCell ref="AF41:AG41"/>
    <mergeCell ref="Y41:AE41"/>
    <mergeCell ref="Y42:AE42"/>
    <mergeCell ref="AF42:AG42"/>
    <mergeCell ref="Y43:AE43"/>
    <mergeCell ref="AF43:AG43"/>
    <mergeCell ref="Y44:AE44"/>
    <mergeCell ref="AF44:AG44"/>
    <mergeCell ref="Q61:S61"/>
    <mergeCell ref="Q62:S62"/>
    <mergeCell ref="Q54:S54"/>
    <mergeCell ref="Q55:S55"/>
    <mergeCell ref="Q56:S56"/>
    <mergeCell ref="Q57:S57"/>
    <mergeCell ref="Q58:S58"/>
    <mergeCell ref="Q59:S59"/>
    <mergeCell ref="Q60:S60"/>
    <mergeCell ref="M40:O40"/>
    <mergeCell ref="M41:O41"/>
    <mergeCell ref="J42:K42"/>
    <mergeCell ref="M42:O42"/>
    <mergeCell ref="Q42:S42"/>
    <mergeCell ref="M43:O43"/>
    <mergeCell ref="Q43:S43"/>
    <mergeCell ref="J43:K43"/>
    <mergeCell ref="J44:K44"/>
    <mergeCell ref="M44:O44"/>
    <mergeCell ref="Q44:S44"/>
    <mergeCell ref="J45:K45"/>
    <mergeCell ref="Q45:S45"/>
    <mergeCell ref="Q46:S46"/>
    <mergeCell ref="M45:O45"/>
    <mergeCell ref="M46:O46"/>
    <mergeCell ref="M47:O47"/>
    <mergeCell ref="M48:O48"/>
    <mergeCell ref="M49:O49"/>
    <mergeCell ref="M50:O50"/>
    <mergeCell ref="M51:O51"/>
    <mergeCell ref="J46:K46"/>
    <mergeCell ref="J47:K47"/>
    <mergeCell ref="J48:K48"/>
    <mergeCell ref="J49:K49"/>
    <mergeCell ref="J50:K50"/>
    <mergeCell ref="J51:K51"/>
    <mergeCell ref="J52:K52"/>
    <mergeCell ref="Q47:S47"/>
    <mergeCell ref="Q48:S48"/>
    <mergeCell ref="Q49:S49"/>
    <mergeCell ref="Q50:S50"/>
    <mergeCell ref="Q51:S51"/>
    <mergeCell ref="Q52:S52"/>
    <mergeCell ref="Q53:S53"/>
    <mergeCell ref="J62:K62"/>
    <mergeCell ref="J63:K63"/>
    <mergeCell ref="Q63:S63"/>
    <mergeCell ref="Q64:S64"/>
    <mergeCell ref="J53:K53"/>
    <mergeCell ref="J54:K54"/>
    <mergeCell ref="J55:K55"/>
    <mergeCell ref="J56:K56"/>
    <mergeCell ref="J57:K57"/>
    <mergeCell ref="J58:K58"/>
    <mergeCell ref="J59:K59"/>
    <mergeCell ref="J76:K76"/>
    <mergeCell ref="J77:K77"/>
    <mergeCell ref="J78:K78"/>
    <mergeCell ref="J79:K79"/>
    <mergeCell ref="J80:K80"/>
    <mergeCell ref="J81:K81"/>
    <mergeCell ref="J82:K82"/>
    <mergeCell ref="J83:K83"/>
    <mergeCell ref="J69:K69"/>
    <mergeCell ref="J70:K70"/>
    <mergeCell ref="J71:K71"/>
    <mergeCell ref="J72:K72"/>
    <mergeCell ref="J73:K73"/>
    <mergeCell ref="J74:K74"/>
    <mergeCell ref="J75:K75"/>
    <mergeCell ref="M64:O64"/>
    <mergeCell ref="M65:O65"/>
    <mergeCell ref="Q65:S65"/>
    <mergeCell ref="J60:K60"/>
    <mergeCell ref="J61:K61"/>
    <mergeCell ref="M61:O61"/>
    <mergeCell ref="M62:O62"/>
    <mergeCell ref="M63:O63"/>
    <mergeCell ref="J64:K64"/>
    <mergeCell ref="J65:K65"/>
    <mergeCell ref="J66:K66"/>
    <mergeCell ref="M66:O66"/>
    <mergeCell ref="Q66:S66"/>
    <mergeCell ref="J67:K67"/>
    <mergeCell ref="M67:O67"/>
    <mergeCell ref="J68:K68"/>
    <mergeCell ref="Q69:S69"/>
    <mergeCell ref="M68:O68"/>
    <mergeCell ref="M69:O69"/>
    <mergeCell ref="M70:O70"/>
    <mergeCell ref="M71:O71"/>
    <mergeCell ref="M72:O72"/>
    <mergeCell ref="M73:O73"/>
    <mergeCell ref="M74:O74"/>
    <mergeCell ref="Q67:S67"/>
    <mergeCell ref="Q68:S68"/>
    <mergeCell ref="Q70:S70"/>
    <mergeCell ref="Q71:S71"/>
    <mergeCell ref="Q72:S72"/>
    <mergeCell ref="Q73:S73"/>
    <mergeCell ref="Q74:S74"/>
    <mergeCell ref="M82:O82"/>
    <mergeCell ref="M83:O83"/>
    <mergeCell ref="M75:O75"/>
    <mergeCell ref="M76:O76"/>
    <mergeCell ref="M77:O77"/>
    <mergeCell ref="M78:O78"/>
    <mergeCell ref="M79:O79"/>
    <mergeCell ref="M80:O80"/>
    <mergeCell ref="M81:O81"/>
    <mergeCell ref="V93:W93"/>
    <mergeCell ref="V94:W94"/>
    <mergeCell ref="V86:W86"/>
    <mergeCell ref="V87:W87"/>
    <mergeCell ref="V88:W88"/>
    <mergeCell ref="V89:W89"/>
    <mergeCell ref="V90:W90"/>
    <mergeCell ref="V91:W91"/>
    <mergeCell ref="V92:W92"/>
    <mergeCell ref="V35:W35"/>
    <mergeCell ref="V36:W36"/>
    <mergeCell ref="V37:W37"/>
    <mergeCell ref="V38:W38"/>
    <mergeCell ref="V39:W39"/>
    <mergeCell ref="V40:W40"/>
    <mergeCell ref="V41:W41"/>
    <mergeCell ref="V42:W42"/>
    <mergeCell ref="V43:W43"/>
    <mergeCell ref="V46:W46"/>
    <mergeCell ref="V47:W47"/>
    <mergeCell ref="V48:W48"/>
    <mergeCell ref="V49:W49"/>
    <mergeCell ref="V50:W50"/>
    <mergeCell ref="V51:W51"/>
    <mergeCell ref="V52:W52"/>
    <mergeCell ref="V53:W53"/>
    <mergeCell ref="V54:W54"/>
    <mergeCell ref="V55:W55"/>
    <mergeCell ref="V56:W56"/>
    <mergeCell ref="V57:W57"/>
    <mergeCell ref="V58:W58"/>
    <mergeCell ref="V59:W59"/>
    <mergeCell ref="V60:W60"/>
    <mergeCell ref="V61:W61"/>
    <mergeCell ref="V62:W62"/>
    <mergeCell ref="V63:W63"/>
    <mergeCell ref="V64:W64"/>
    <mergeCell ref="V65:W65"/>
    <mergeCell ref="V66:W66"/>
    <mergeCell ref="V67:W67"/>
    <mergeCell ref="V68:W68"/>
    <mergeCell ref="V69:W69"/>
    <mergeCell ref="V70:W70"/>
    <mergeCell ref="V71:W71"/>
    <mergeCell ref="V72:W72"/>
    <mergeCell ref="V73:W73"/>
    <mergeCell ref="V74:W74"/>
    <mergeCell ref="V75:W75"/>
    <mergeCell ref="V76:W76"/>
    <mergeCell ref="V77:W77"/>
    <mergeCell ref="V78:W78"/>
    <mergeCell ref="V79:W79"/>
    <mergeCell ref="V80:W80"/>
    <mergeCell ref="V81:W81"/>
    <mergeCell ref="V82:W82"/>
    <mergeCell ref="V83:W83"/>
    <mergeCell ref="V84:W84"/>
    <mergeCell ref="V85:W85"/>
    <mergeCell ref="J95:K95"/>
    <mergeCell ref="J96:K96"/>
    <mergeCell ref="M96:O96"/>
    <mergeCell ref="M97:O97"/>
    <mergeCell ref="M98:O98"/>
    <mergeCell ref="M99:O99"/>
    <mergeCell ref="M94:O94"/>
    <mergeCell ref="M95:O95"/>
    <mergeCell ref="V95:W95"/>
    <mergeCell ref="V96:W96"/>
    <mergeCell ref="V97:W97"/>
    <mergeCell ref="Q98:S98"/>
    <mergeCell ref="Q99:S99"/>
    <mergeCell ref="Q75:S75"/>
    <mergeCell ref="Q76:S76"/>
    <mergeCell ref="Q77:S77"/>
    <mergeCell ref="Q78:S78"/>
    <mergeCell ref="Q79:S79"/>
    <mergeCell ref="Q80:S80"/>
    <mergeCell ref="Q81:S81"/>
    <mergeCell ref="Q82:S82"/>
    <mergeCell ref="Q83:S83"/>
    <mergeCell ref="J84:K84"/>
    <mergeCell ref="M84:O84"/>
    <mergeCell ref="Q84:S84"/>
    <mergeCell ref="M85:O85"/>
    <mergeCell ref="Q85:S85"/>
    <mergeCell ref="J85:K85"/>
    <mergeCell ref="J86:K86"/>
    <mergeCell ref="M86:O86"/>
    <mergeCell ref="Q86:S86"/>
    <mergeCell ref="J87:K87"/>
    <mergeCell ref="Q87:S87"/>
    <mergeCell ref="Q88:S88"/>
    <mergeCell ref="M87:O87"/>
    <mergeCell ref="M88:O88"/>
    <mergeCell ref="M89:O89"/>
    <mergeCell ref="M90:O90"/>
    <mergeCell ref="M91:O91"/>
    <mergeCell ref="M92:O92"/>
    <mergeCell ref="M93:O93"/>
    <mergeCell ref="J97:K97"/>
    <mergeCell ref="J98:K98"/>
    <mergeCell ref="J99:K99"/>
    <mergeCell ref="J88:K88"/>
    <mergeCell ref="J89:K89"/>
    <mergeCell ref="J90:K90"/>
    <mergeCell ref="J91:K91"/>
    <mergeCell ref="J92:K92"/>
    <mergeCell ref="J93:K93"/>
    <mergeCell ref="J94:K94"/>
    <mergeCell ref="V98:W98"/>
    <mergeCell ref="V99:W99"/>
    <mergeCell ref="Y94:AE94"/>
    <mergeCell ref="AF94:AG94"/>
    <mergeCell ref="Y95:AE95"/>
    <mergeCell ref="AF95:AG95"/>
    <mergeCell ref="Y96:AE96"/>
    <mergeCell ref="AF96:AG96"/>
    <mergeCell ref="AF97:AG97"/>
    <mergeCell ref="Y97:AE97"/>
    <mergeCell ref="Y98:AE98"/>
    <mergeCell ref="AF98:AG98"/>
    <mergeCell ref="Y99:AE99"/>
    <mergeCell ref="AF99:AG99"/>
    <mergeCell ref="Y100:AE100"/>
    <mergeCell ref="AF100:AG100"/>
    <mergeCell ref="Y101:AE101"/>
    <mergeCell ref="AF101:AG101"/>
    <mergeCell ref="Y102:AE102"/>
    <mergeCell ref="AF102:AG102"/>
    <mergeCell ref="Y103:AE103"/>
    <mergeCell ref="AF103:AG103"/>
    <mergeCell ref="AF104:AG104"/>
    <mergeCell ref="Y104:AE104"/>
    <mergeCell ref="Y105:AE105"/>
    <mergeCell ref="AF105:AG105"/>
    <mergeCell ref="Y106:AE106"/>
    <mergeCell ref="AF106:AG106"/>
    <mergeCell ref="Y107:AE107"/>
    <mergeCell ref="AF107:AG107"/>
    <mergeCell ref="Y108:AE108"/>
    <mergeCell ref="AF108:AG108"/>
    <mergeCell ref="Y109:AE109"/>
    <mergeCell ref="AF109:AG109"/>
    <mergeCell ref="Y110:AE110"/>
    <mergeCell ref="AF110:AG110"/>
    <mergeCell ref="AF111:AG111"/>
    <mergeCell ref="Y111:AE111"/>
    <mergeCell ref="Y112:AE112"/>
    <mergeCell ref="AF112:AG112"/>
    <mergeCell ref="Y113:AE113"/>
    <mergeCell ref="AF113:AG113"/>
    <mergeCell ref="Y114:AE114"/>
    <mergeCell ref="AF114:AG114"/>
    <mergeCell ref="Y115:AE115"/>
    <mergeCell ref="AF115:AG115"/>
    <mergeCell ref="Y116:AE116"/>
    <mergeCell ref="AF116:AG116"/>
    <mergeCell ref="Y117:AE117"/>
    <mergeCell ref="AF117:AG117"/>
    <mergeCell ref="AF118:AG118"/>
    <mergeCell ref="Y118:AE118"/>
    <mergeCell ref="Y119:AE119"/>
    <mergeCell ref="AF119:AG119"/>
    <mergeCell ref="Y120:AE120"/>
    <mergeCell ref="AF120:AG120"/>
    <mergeCell ref="Y121:AE121"/>
    <mergeCell ref="AF121:AG121"/>
    <mergeCell ref="Y122:AE122"/>
    <mergeCell ref="AF122:AG122"/>
    <mergeCell ref="Y123:AE123"/>
    <mergeCell ref="AF123:AG123"/>
    <mergeCell ref="Y124:AE124"/>
    <mergeCell ref="AF124:AG124"/>
    <mergeCell ref="AF125:AG125"/>
    <mergeCell ref="Y125:AE125"/>
    <mergeCell ref="Y126:AE126"/>
    <mergeCell ref="AF126:AG126"/>
    <mergeCell ref="Y127:AE127"/>
    <mergeCell ref="AF127:AG127"/>
    <mergeCell ref="Y128:AE128"/>
    <mergeCell ref="AF128:AG128"/>
    <mergeCell ref="Y8:Z8"/>
    <mergeCell ref="Y9:Z9"/>
    <mergeCell ref="Y10:Z10"/>
    <mergeCell ref="Y11:Z11"/>
    <mergeCell ref="Y12:Z12"/>
    <mergeCell ref="Y13:Z13"/>
    <mergeCell ref="Y14:Z14"/>
    <mergeCell ref="Y21:Z21"/>
    <mergeCell ref="Y22:AA22"/>
    <mergeCell ref="Y15:Z15"/>
    <mergeCell ref="Y16:Z16"/>
    <mergeCell ref="Y17:Z17"/>
    <mergeCell ref="Y18:Z18"/>
    <mergeCell ref="Y19:Z19"/>
    <mergeCell ref="Y20:Z20"/>
    <mergeCell ref="AD21:AF21"/>
    <mergeCell ref="AD22:AF22"/>
    <mergeCell ref="Y28:AE28"/>
    <mergeCell ref="AF28:AG28"/>
    <mergeCell ref="Y29:AE29"/>
    <mergeCell ref="AF29:AG29"/>
    <mergeCell ref="Y30:AE30"/>
    <mergeCell ref="AF30:AG30"/>
    <mergeCell ref="Y31:AE31"/>
    <mergeCell ref="AF31:AG31"/>
    <mergeCell ref="Y32:AE32"/>
    <mergeCell ref="AF32:AG32"/>
    <mergeCell ref="Y33:AE33"/>
    <mergeCell ref="AF33:AG33"/>
    <mergeCell ref="AF34:AG34"/>
    <mergeCell ref="Y34:AE34"/>
    <mergeCell ref="Y35:AE35"/>
    <mergeCell ref="AF35:AG35"/>
    <mergeCell ref="Y36:AE36"/>
    <mergeCell ref="AF36:AG36"/>
    <mergeCell ref="Y37:AE37"/>
    <mergeCell ref="AF37:AG37"/>
    <mergeCell ref="Y129:AE129"/>
    <mergeCell ref="AF129:AG129"/>
    <mergeCell ref="Y130:AE130"/>
    <mergeCell ref="AF130:AG130"/>
    <mergeCell ref="Y131:AE131"/>
    <mergeCell ref="AF131:AG131"/>
    <mergeCell ref="Y132:AE132"/>
    <mergeCell ref="AF132:AG132"/>
    <mergeCell ref="Y45:AE45"/>
    <mergeCell ref="AF45:AG45"/>
    <mergeCell ref="Y46:AE46"/>
    <mergeCell ref="AF46:AG46"/>
    <mergeCell ref="Y47:AE47"/>
    <mergeCell ref="AF47:AG47"/>
    <mergeCell ref="AF48:AG48"/>
    <mergeCell ref="Y48:AE48"/>
    <mergeCell ref="Y49:AE49"/>
    <mergeCell ref="AF49:AG49"/>
    <mergeCell ref="Y50:AE50"/>
    <mergeCell ref="AF50:AG50"/>
    <mergeCell ref="Y51:AE51"/>
    <mergeCell ref="AF51:AG51"/>
    <mergeCell ref="Y52:AE52"/>
    <mergeCell ref="AF52:AG52"/>
    <mergeCell ref="Y53:AE53"/>
    <mergeCell ref="AF53:AG53"/>
    <mergeCell ref="Y54:AE54"/>
    <mergeCell ref="AF54:AG54"/>
    <mergeCell ref="AF55:AG55"/>
    <mergeCell ref="Y55:AE55"/>
    <mergeCell ref="Y56:AE56"/>
    <mergeCell ref="AF56:AG56"/>
    <mergeCell ref="Y57:AE57"/>
    <mergeCell ref="AF57:AG57"/>
    <mergeCell ref="Y58:AE58"/>
    <mergeCell ref="AF58:AG58"/>
    <mergeCell ref="Y59:AE59"/>
    <mergeCell ref="AF59:AG59"/>
    <mergeCell ref="Y60:AE60"/>
    <mergeCell ref="AF60:AG60"/>
    <mergeCell ref="Y61:AE61"/>
    <mergeCell ref="AF61:AG61"/>
    <mergeCell ref="AF62:AG62"/>
    <mergeCell ref="Y62:AE62"/>
    <mergeCell ref="Y63:AE63"/>
    <mergeCell ref="AF63:AG63"/>
    <mergeCell ref="Y64:AE64"/>
    <mergeCell ref="AF64:AG64"/>
    <mergeCell ref="Y65:AE65"/>
    <mergeCell ref="AF65:AG65"/>
    <mergeCell ref="Y66:AE66"/>
    <mergeCell ref="AF66:AG66"/>
    <mergeCell ref="Y67:AE67"/>
    <mergeCell ref="AF67:AG67"/>
    <mergeCell ref="Y68:AE68"/>
    <mergeCell ref="AF68:AG68"/>
    <mergeCell ref="AF69:AG69"/>
    <mergeCell ref="Y69:AE69"/>
    <mergeCell ref="Y70:AE70"/>
    <mergeCell ref="AF70:AG70"/>
    <mergeCell ref="Y71:AE71"/>
    <mergeCell ref="AF71:AG71"/>
    <mergeCell ref="Y72:AE72"/>
    <mergeCell ref="AF72:AG72"/>
    <mergeCell ref="Y73:AE73"/>
    <mergeCell ref="AF73:AG73"/>
    <mergeCell ref="Y74:AE74"/>
    <mergeCell ref="AF74:AG74"/>
    <mergeCell ref="Y75:AE75"/>
    <mergeCell ref="AF75:AG75"/>
    <mergeCell ref="AF76:AG76"/>
    <mergeCell ref="Y76:AE76"/>
    <mergeCell ref="Y77:AE77"/>
    <mergeCell ref="AF77:AG77"/>
    <mergeCell ref="Y78:AE78"/>
    <mergeCell ref="AF78:AG78"/>
    <mergeCell ref="Y79:AE79"/>
    <mergeCell ref="AF79:AG79"/>
    <mergeCell ref="Y80:AE80"/>
    <mergeCell ref="AF80:AG80"/>
    <mergeCell ref="Y81:AE81"/>
    <mergeCell ref="AF81:AG81"/>
    <mergeCell ref="Y82:AE82"/>
    <mergeCell ref="AF82:AG82"/>
    <mergeCell ref="AF83:AG83"/>
    <mergeCell ref="Y83:AE83"/>
    <mergeCell ref="Y84:AE84"/>
    <mergeCell ref="AF84:AG84"/>
    <mergeCell ref="Y85:AE85"/>
    <mergeCell ref="AF85:AG85"/>
    <mergeCell ref="Y86:AE86"/>
    <mergeCell ref="AF86:AG86"/>
    <mergeCell ref="Y87:AE87"/>
    <mergeCell ref="AF87:AG87"/>
    <mergeCell ref="Y88:AE88"/>
    <mergeCell ref="AF88:AG88"/>
    <mergeCell ref="Y89:AE89"/>
    <mergeCell ref="AF89:AG89"/>
    <mergeCell ref="AF90:AG90"/>
    <mergeCell ref="Y90:AE90"/>
    <mergeCell ref="Y91:AE91"/>
    <mergeCell ref="AF91:AG91"/>
    <mergeCell ref="Y92:AE92"/>
    <mergeCell ref="AF92:AG92"/>
    <mergeCell ref="Y93:AE93"/>
    <mergeCell ref="AF93:AG93"/>
  </mergeCells>
  <conditionalFormatting sqref="D4:D21">
    <cfRule type="expression" dxfId="13" priority="1">
      <formula>$F4="Sr."</formula>
    </cfRule>
  </conditionalFormatting>
  <conditionalFormatting sqref="D4:D21">
    <cfRule type="expression" dxfId="14" priority="2">
      <formula>$F4="Jr."</formula>
    </cfRule>
  </conditionalFormatting>
  <conditionalFormatting sqref="D4:D21">
    <cfRule type="expression" dxfId="2" priority="3">
      <formula>$F4="So."</formula>
    </cfRule>
  </conditionalFormatting>
  <conditionalFormatting sqref="D4:D21">
    <cfRule type="expression" dxfId="12" priority="4">
      <formula>$F4="Fr."</formula>
    </cfRule>
  </conditionalFormatting>
  <conditionalFormatting sqref="G4:G21">
    <cfRule type="expression" dxfId="13" priority="5">
      <formula>$I4="Sr."</formula>
    </cfRule>
  </conditionalFormatting>
  <conditionalFormatting sqref="J4:J21">
    <cfRule type="expression" dxfId="13" priority="6">
      <formula>$J4="Sr."</formula>
    </cfRule>
  </conditionalFormatting>
  <conditionalFormatting sqref="M4:O21">
    <cfRule type="expression" dxfId="13" priority="7">
      <formula>$P4="Sr."</formula>
    </cfRule>
  </conditionalFormatting>
  <conditionalFormatting sqref="Q4:S21">
    <cfRule type="expression" dxfId="13" priority="8">
      <formula>$T4="Sr."</formula>
    </cfRule>
  </conditionalFormatting>
  <conditionalFormatting sqref="U4:W21">
    <cfRule type="expression" dxfId="13" priority="9">
      <formula>$X4="Sr."</formula>
    </cfRule>
  </conditionalFormatting>
  <conditionalFormatting sqref="Y4:AA21">
    <cfRule type="expression" dxfId="13" priority="10">
      <formula>$AB4="Sr."</formula>
    </cfRule>
  </conditionalFormatting>
  <conditionalFormatting sqref="G4:G21">
    <cfRule type="expression" dxfId="14" priority="11">
      <formula>$I4="Jr."</formula>
    </cfRule>
  </conditionalFormatting>
  <conditionalFormatting sqref="J4:J21">
    <cfRule type="expression" dxfId="14" priority="12">
      <formula>$J4="Jr."</formula>
    </cfRule>
  </conditionalFormatting>
  <conditionalFormatting sqref="M4:O21">
    <cfRule type="expression" dxfId="14" priority="13">
      <formula>$P4="Jr."</formula>
    </cfRule>
  </conditionalFormatting>
  <conditionalFormatting sqref="Q4:S21">
    <cfRule type="expression" dxfId="14" priority="14">
      <formula>$T4="Jr."</formula>
    </cfRule>
  </conditionalFormatting>
  <conditionalFormatting sqref="U4:W21">
    <cfRule type="expression" dxfId="14" priority="15">
      <formula>$X4="Jr."</formula>
    </cfRule>
  </conditionalFormatting>
  <conditionalFormatting sqref="Y4:AA21">
    <cfRule type="expression" dxfId="14" priority="16">
      <formula>$AB4="Jr."</formula>
    </cfRule>
  </conditionalFormatting>
  <conditionalFormatting sqref="G4:G21">
    <cfRule type="expression" dxfId="2" priority="17">
      <formula>$I4="So."</formula>
    </cfRule>
  </conditionalFormatting>
  <conditionalFormatting sqref="J4:J21">
    <cfRule type="expression" dxfId="2" priority="18">
      <formula>$J4="So."</formula>
    </cfRule>
  </conditionalFormatting>
  <conditionalFormatting sqref="M4:O21">
    <cfRule type="expression" dxfId="2" priority="19">
      <formula>$P4="So."</formula>
    </cfRule>
  </conditionalFormatting>
  <conditionalFormatting sqref="Q4:S21">
    <cfRule type="expression" dxfId="2" priority="20">
      <formula>$T4="So."</formula>
    </cfRule>
  </conditionalFormatting>
  <conditionalFormatting sqref="U4:W21">
    <cfRule type="expression" dxfId="2" priority="21">
      <formula>$X4="So."</formula>
    </cfRule>
  </conditionalFormatting>
  <conditionalFormatting sqref="Y4:AA21">
    <cfRule type="expression" dxfId="2" priority="22">
      <formula>$AB4="So."</formula>
    </cfRule>
  </conditionalFormatting>
  <conditionalFormatting sqref="G4:G21">
    <cfRule type="expression" dxfId="12" priority="23">
      <formula>$I4="Fr."</formula>
    </cfRule>
  </conditionalFormatting>
  <conditionalFormatting sqref="J4:J21">
    <cfRule type="expression" dxfId="12" priority="24">
      <formula>$J4="Fr."</formula>
    </cfRule>
  </conditionalFormatting>
  <conditionalFormatting sqref="M4:O21">
    <cfRule type="expression" dxfId="12" priority="25">
      <formula>$P4="Fr."</formula>
    </cfRule>
  </conditionalFormatting>
  <conditionalFormatting sqref="Q4:S21">
    <cfRule type="expression" dxfId="12" priority="26">
      <formula>$T4="Fr."</formula>
    </cfRule>
  </conditionalFormatting>
  <conditionalFormatting sqref="U4:W21">
    <cfRule type="expression" dxfId="12" priority="27">
      <formula>$X4="Fr."</formula>
    </cfRule>
  </conditionalFormatting>
  <conditionalFormatting sqref="Y4:AA21">
    <cfRule type="expression" dxfId="12" priority="28">
      <formula>$AB4="Fr."</formula>
    </cfRule>
  </conditionalFormatting>
  <conditionalFormatting sqref="A29:AG132">
    <cfRule type="expression" dxfId="15" priority="29">
      <formula>$A29=0.1</formula>
    </cfRule>
  </conditionalFormatting>
  <conditionalFormatting sqref="A29:AG132">
    <cfRule type="expression" dxfId="5" priority="30">
      <formula>$A29=1</formula>
    </cfRule>
  </conditionalFormatting>
  <conditionalFormatting sqref="A29:AG132">
    <cfRule type="expression" dxfId="2" priority="31">
      <formula>$A29=2</formula>
    </cfRule>
  </conditionalFormatting>
  <dataValidations>
    <dataValidation type="list" allowBlank="1" showErrorMessage="1" sqref="K1">
      <formula1>"2025,2026,2027,2028,2029,*"</formula1>
    </dataValidation>
    <dataValidation type="list" allowBlank="1" showErrorMessage="1" sqref="H26 S26:T27">
      <formula1>"LHP,RHP,INF,OF,C,UTL,TWP"</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4" width="21.88"/>
    <col customWidth="1" min="5" max="5" width="24.0"/>
    <col customWidth="1" min="6" max="8" width="21.88"/>
    <col customWidth="1" min="9" max="9" width="10.38"/>
  </cols>
  <sheetData>
    <row r="1">
      <c r="A1" s="362" t="s">
        <v>7603</v>
      </c>
      <c r="B1" s="522" t="s">
        <v>8208</v>
      </c>
      <c r="I1" s="352"/>
    </row>
    <row r="2">
      <c r="A2" s="523"/>
      <c r="I2" s="352"/>
    </row>
    <row r="3">
      <c r="A3" s="523"/>
      <c r="B3" s="524" t="s">
        <v>63</v>
      </c>
      <c r="C3" s="524" t="s">
        <v>122</v>
      </c>
      <c r="D3" s="525" t="s">
        <v>4168</v>
      </c>
      <c r="E3" s="524" t="s">
        <v>109</v>
      </c>
      <c r="F3" s="526" t="s">
        <v>51</v>
      </c>
      <c r="G3" s="524" t="s">
        <v>72</v>
      </c>
      <c r="H3" s="524" t="s">
        <v>103</v>
      </c>
      <c r="I3" s="352"/>
    </row>
    <row r="4">
      <c r="A4" s="527" t="s">
        <v>6524</v>
      </c>
      <c r="B4" s="528" t="s">
        <v>8209</v>
      </c>
      <c r="C4" s="529" t="s">
        <v>8210</v>
      </c>
      <c r="D4" s="530"/>
      <c r="E4" s="528" t="s">
        <v>8211</v>
      </c>
      <c r="F4" s="528" t="s">
        <v>8212</v>
      </c>
      <c r="G4" s="528" t="s">
        <v>8213</v>
      </c>
      <c r="H4" s="529" t="s">
        <v>8214</v>
      </c>
      <c r="I4" s="352"/>
    </row>
    <row r="5">
      <c r="A5" s="401"/>
      <c r="B5" s="528" t="s">
        <v>8215</v>
      </c>
      <c r="C5" s="531" t="s">
        <v>8216</v>
      </c>
      <c r="D5" s="532"/>
      <c r="E5" s="529" t="s">
        <v>8217</v>
      </c>
      <c r="F5" s="533" t="s">
        <v>8218</v>
      </c>
      <c r="G5" s="529" t="s">
        <v>8219</v>
      </c>
      <c r="H5" s="529" t="s">
        <v>8220</v>
      </c>
      <c r="I5" s="352"/>
    </row>
    <row r="6">
      <c r="A6" s="401"/>
      <c r="B6" s="528" t="s">
        <v>8221</v>
      </c>
      <c r="C6" s="531" t="s">
        <v>8222</v>
      </c>
      <c r="D6" s="532"/>
      <c r="E6" s="529" t="s">
        <v>8223</v>
      </c>
      <c r="F6" s="534" t="s">
        <v>8224</v>
      </c>
      <c r="G6" s="535" t="s">
        <v>69</v>
      </c>
      <c r="H6" s="531" t="s">
        <v>8225</v>
      </c>
      <c r="I6" s="352"/>
      <c r="K6" s="536" t="s">
        <v>7655</v>
      </c>
    </row>
    <row r="7">
      <c r="A7" s="401"/>
      <c r="B7" s="528" t="s">
        <v>8226</v>
      </c>
      <c r="C7" s="531" t="s">
        <v>8227</v>
      </c>
      <c r="D7" s="532"/>
      <c r="E7" s="531" t="s">
        <v>8228</v>
      </c>
      <c r="F7" s="537" t="s">
        <v>8229</v>
      </c>
      <c r="G7" s="537" t="s">
        <v>8230</v>
      </c>
      <c r="H7" s="531" t="s">
        <v>8231</v>
      </c>
      <c r="I7" s="352"/>
      <c r="K7" s="388">
        <v>0.0</v>
      </c>
      <c r="L7" s="538" t="s">
        <v>2206</v>
      </c>
    </row>
    <row r="8">
      <c r="A8" s="401"/>
      <c r="B8" s="529" t="s">
        <v>8232</v>
      </c>
      <c r="C8" s="531" t="s">
        <v>621</v>
      </c>
      <c r="D8" s="539"/>
      <c r="E8" s="535" t="s">
        <v>8233</v>
      </c>
      <c r="F8" s="540"/>
      <c r="G8" s="540"/>
      <c r="H8" s="534" t="s">
        <v>8234</v>
      </c>
      <c r="I8" s="352"/>
      <c r="K8" s="536">
        <v>1.0</v>
      </c>
      <c r="L8" s="300" t="s">
        <v>8235</v>
      </c>
    </row>
    <row r="9">
      <c r="A9" s="401"/>
      <c r="B9" s="529" t="s">
        <v>8236</v>
      </c>
      <c r="C9" s="531" t="s">
        <v>8237</v>
      </c>
      <c r="D9" s="541"/>
      <c r="E9" s="542"/>
      <c r="F9" s="543"/>
      <c r="G9" s="544"/>
      <c r="H9" s="534" t="s">
        <v>8238</v>
      </c>
      <c r="I9" s="352"/>
      <c r="K9" s="536">
        <v>2.0</v>
      </c>
      <c r="L9" s="300" t="s">
        <v>8239</v>
      </c>
    </row>
    <row r="10">
      <c r="A10" s="401"/>
      <c r="B10" s="529" t="s">
        <v>8240</v>
      </c>
      <c r="C10" s="545"/>
      <c r="D10" s="541"/>
      <c r="E10" s="542"/>
      <c r="F10" s="543"/>
      <c r="G10" s="544"/>
      <c r="H10" s="535" t="s">
        <v>7288</v>
      </c>
      <c r="I10" s="352"/>
      <c r="K10" s="536">
        <v>3.0</v>
      </c>
      <c r="L10" s="300" t="s">
        <v>8241</v>
      </c>
    </row>
    <row r="11">
      <c r="A11" s="401"/>
      <c r="B11" s="529" t="s">
        <v>8242</v>
      </c>
      <c r="C11" s="545"/>
      <c r="D11" s="541"/>
      <c r="E11" s="542"/>
      <c r="F11" s="543"/>
      <c r="G11" s="544"/>
      <c r="H11" s="535" t="s">
        <v>135</v>
      </c>
      <c r="I11" s="352"/>
      <c r="K11" s="536">
        <v>4.0</v>
      </c>
      <c r="L11" s="300" t="s">
        <v>8243</v>
      </c>
    </row>
    <row r="12">
      <c r="A12" s="401"/>
      <c r="B12" s="529" t="s">
        <v>8244</v>
      </c>
      <c r="C12" s="545"/>
      <c r="D12" s="541"/>
      <c r="E12" s="542"/>
      <c r="F12" s="543"/>
      <c r="G12" s="544"/>
      <c r="H12" s="535" t="s">
        <v>102</v>
      </c>
      <c r="I12" s="352"/>
    </row>
    <row r="13">
      <c r="A13" s="401"/>
      <c r="B13" s="529" t="s">
        <v>8245</v>
      </c>
      <c r="C13" s="545"/>
      <c r="D13" s="541"/>
      <c r="E13" s="542"/>
      <c r="F13" s="546"/>
      <c r="G13" s="544"/>
      <c r="H13" s="544"/>
      <c r="I13" s="352"/>
    </row>
    <row r="14">
      <c r="A14" s="401"/>
      <c r="B14" s="535" t="s">
        <v>8246</v>
      </c>
      <c r="C14" s="545"/>
      <c r="D14" s="541"/>
      <c r="E14" s="542"/>
      <c r="F14" s="546"/>
      <c r="G14" s="544"/>
      <c r="H14" s="544"/>
      <c r="I14" s="293"/>
    </row>
    <row r="15">
      <c r="A15" s="401"/>
      <c r="B15" s="535" t="s">
        <v>96</v>
      </c>
      <c r="C15" s="545"/>
      <c r="D15" s="541"/>
      <c r="E15" s="542"/>
      <c r="F15" s="546"/>
      <c r="G15" s="544"/>
      <c r="H15" s="544"/>
      <c r="I15" s="352"/>
    </row>
    <row r="16">
      <c r="A16" s="401"/>
      <c r="B16" s="535" t="s">
        <v>82</v>
      </c>
      <c r="C16" s="547"/>
      <c r="D16" s="548"/>
      <c r="E16" s="549" t="s">
        <v>8195</v>
      </c>
      <c r="F16" s="550"/>
      <c r="G16" s="547"/>
      <c r="H16" s="547"/>
      <c r="I16" s="352"/>
    </row>
    <row r="17">
      <c r="A17" s="401"/>
      <c r="B17" s="535" t="s">
        <v>62</v>
      </c>
      <c r="C17" s="547"/>
      <c r="D17" s="548"/>
      <c r="E17" s="551" t="s">
        <v>8197</v>
      </c>
      <c r="F17" s="550"/>
      <c r="G17" s="547"/>
      <c r="H17" s="547"/>
      <c r="I17" s="352"/>
    </row>
    <row r="18">
      <c r="A18" s="401"/>
      <c r="B18" s="552" t="s">
        <v>8247</v>
      </c>
      <c r="C18" s="547"/>
      <c r="D18" s="548"/>
      <c r="E18" s="553" t="s">
        <v>8199</v>
      </c>
      <c r="F18" s="550"/>
      <c r="G18" s="547"/>
      <c r="H18" s="547"/>
      <c r="I18" s="352"/>
    </row>
    <row r="19">
      <c r="A19" s="401"/>
      <c r="B19" s="554"/>
      <c r="C19" s="547"/>
      <c r="D19" s="548"/>
      <c r="E19" s="555" t="s">
        <v>8200</v>
      </c>
      <c r="F19" s="550"/>
      <c r="G19" s="547"/>
      <c r="H19" s="547"/>
      <c r="I19" s="556"/>
    </row>
    <row r="20">
      <c r="A20" s="403"/>
      <c r="B20" s="554"/>
      <c r="C20" s="554"/>
      <c r="D20" s="557"/>
      <c r="E20" s="554"/>
      <c r="F20" s="558"/>
      <c r="G20" s="554"/>
      <c r="H20" s="547"/>
      <c r="I20" s="559" t="s">
        <v>8202</v>
      </c>
    </row>
    <row r="21">
      <c r="A21" s="560" t="s">
        <v>8202</v>
      </c>
      <c r="B21" s="561">
        <f>COUNTA(B4:B20)</f>
        <v>15</v>
      </c>
      <c r="C21" s="561">
        <f t="shared" ref="C21:D21" si="1">COUNTA(C4:C19)</f>
        <v>6</v>
      </c>
      <c r="D21" s="562">
        <f t="shared" si="1"/>
        <v>0</v>
      </c>
      <c r="E21" s="561">
        <f>COUNTA(E4:E13)</f>
        <v>5</v>
      </c>
      <c r="F21" s="563">
        <f t="shared" ref="F21:H21" si="2">COUNTA(F4:F19)</f>
        <v>4</v>
      </c>
      <c r="G21" s="561">
        <f t="shared" si="2"/>
        <v>4</v>
      </c>
      <c r="H21" s="561">
        <f t="shared" si="2"/>
        <v>9</v>
      </c>
      <c r="I21" s="564">
        <f>SUM(B21:H21)</f>
        <v>43</v>
      </c>
    </row>
    <row r="22">
      <c r="A22" s="523"/>
      <c r="B22" s="352"/>
      <c r="C22" s="352"/>
      <c r="D22" s="366"/>
      <c r="E22" s="391"/>
      <c r="F22" s="565"/>
      <c r="H22" s="352"/>
      <c r="I22" s="352"/>
    </row>
    <row r="23">
      <c r="A23" s="366"/>
      <c r="D23" s="366"/>
      <c r="E23" s="391"/>
      <c r="F23" s="565"/>
    </row>
    <row r="24">
      <c r="A24" s="566" t="s">
        <v>122</v>
      </c>
      <c r="B24" s="567" t="s">
        <v>7</v>
      </c>
      <c r="C24" s="567" t="s">
        <v>8206</v>
      </c>
      <c r="D24" s="568" t="s">
        <v>8248</v>
      </c>
      <c r="E24" s="567" t="s">
        <v>23</v>
      </c>
      <c r="F24" s="569" t="s">
        <v>27</v>
      </c>
      <c r="G24" s="567" t="s">
        <v>28</v>
      </c>
      <c r="H24" s="567" t="s">
        <v>30</v>
      </c>
    </row>
    <row r="25">
      <c r="A25" s="570">
        <v>1.0</v>
      </c>
      <c r="B25" s="571" t="s">
        <v>431</v>
      </c>
      <c r="C25" s="570" t="s">
        <v>330</v>
      </c>
      <c r="D25" s="570" t="s">
        <v>434</v>
      </c>
      <c r="E25" s="570" t="s">
        <v>8249</v>
      </c>
      <c r="F25" s="572" t="s">
        <v>8250</v>
      </c>
      <c r="G25" s="573"/>
      <c r="H25" s="574" t="s">
        <v>8251</v>
      </c>
      <c r="L25" s="573"/>
      <c r="M25" s="573"/>
      <c r="N25" s="573"/>
      <c r="O25" s="573"/>
      <c r="P25" s="573"/>
      <c r="Q25" s="573"/>
      <c r="R25" s="573"/>
      <c r="S25" s="573"/>
      <c r="T25" s="573"/>
      <c r="U25" s="573"/>
      <c r="V25" s="573"/>
      <c r="W25" s="573"/>
      <c r="X25" s="573"/>
      <c r="Y25" s="573"/>
      <c r="Z25" s="573"/>
    </row>
    <row r="26">
      <c r="A26" s="575">
        <v>1.0</v>
      </c>
      <c r="B26" s="575" t="s">
        <v>423</v>
      </c>
      <c r="C26" s="575" t="s">
        <v>180</v>
      </c>
      <c r="D26" s="575" t="s">
        <v>8252</v>
      </c>
      <c r="E26" s="575" t="s">
        <v>8253</v>
      </c>
      <c r="F26" s="576"/>
      <c r="G26" s="290"/>
      <c r="H26" s="577" t="s">
        <v>427</v>
      </c>
      <c r="L26" s="290"/>
      <c r="M26" s="290"/>
      <c r="N26" s="290"/>
      <c r="O26" s="290"/>
      <c r="P26" s="290"/>
      <c r="Q26" s="290"/>
      <c r="R26" s="290"/>
      <c r="S26" s="290"/>
      <c r="T26" s="290"/>
      <c r="U26" s="290"/>
      <c r="V26" s="290"/>
      <c r="W26" s="290"/>
      <c r="X26" s="290"/>
      <c r="Y26" s="290"/>
      <c r="Z26" s="290"/>
    </row>
    <row r="27">
      <c r="A27" s="578">
        <v>2.0</v>
      </c>
      <c r="B27" s="575" t="s">
        <v>163</v>
      </c>
      <c r="C27" s="575" t="s">
        <v>125</v>
      </c>
      <c r="D27" s="579" t="s">
        <v>166</v>
      </c>
      <c r="E27" s="580"/>
      <c r="F27" s="581"/>
      <c r="G27" s="446"/>
      <c r="H27" s="582" t="s">
        <v>167</v>
      </c>
    </row>
    <row r="28">
      <c r="A28" s="583">
        <v>2.0</v>
      </c>
      <c r="B28" s="584" t="s">
        <v>145</v>
      </c>
      <c r="C28" s="584" t="s">
        <v>148</v>
      </c>
      <c r="D28" s="585"/>
      <c r="E28" s="586"/>
      <c r="F28" s="587"/>
      <c r="G28" s="588"/>
      <c r="H28" s="589" t="s">
        <v>8254</v>
      </c>
      <c r="I28" s="590"/>
      <c r="J28" s="590"/>
      <c r="K28" s="590"/>
      <c r="L28" s="591"/>
      <c r="M28" s="591"/>
      <c r="N28" s="591"/>
      <c r="O28" s="591"/>
      <c r="P28" s="591"/>
      <c r="Q28" s="591"/>
      <c r="R28" s="591"/>
      <c r="S28" s="591"/>
      <c r="T28" s="591"/>
      <c r="U28" s="591"/>
      <c r="V28" s="591"/>
      <c r="W28" s="591"/>
      <c r="X28" s="591"/>
      <c r="Y28" s="591"/>
      <c r="Z28" s="591"/>
    </row>
    <row r="29">
      <c r="A29" s="578">
        <v>3.0</v>
      </c>
      <c r="B29" s="575" t="s">
        <v>150</v>
      </c>
      <c r="C29" s="575" t="s">
        <v>153</v>
      </c>
      <c r="D29" s="579" t="s">
        <v>8255</v>
      </c>
      <c r="E29" s="580">
        <v>3.0</v>
      </c>
      <c r="F29" s="581"/>
      <c r="G29" s="446"/>
      <c r="H29" s="582" t="s">
        <v>156</v>
      </c>
    </row>
    <row r="30">
      <c r="A30" s="578">
        <v>2.0</v>
      </c>
      <c r="B30" s="575" t="s">
        <v>121</v>
      </c>
      <c r="C30" s="575" t="s">
        <v>125</v>
      </c>
      <c r="D30" s="579" t="s">
        <v>8256</v>
      </c>
      <c r="E30" s="580">
        <v>3.5</v>
      </c>
      <c r="F30" s="581"/>
      <c r="G30" s="446"/>
      <c r="H30" s="582" t="s">
        <v>128</v>
      </c>
    </row>
    <row r="31">
      <c r="A31" s="578">
        <v>3.0</v>
      </c>
      <c r="B31" s="592" t="s">
        <v>237</v>
      </c>
      <c r="C31" s="575" t="s">
        <v>240</v>
      </c>
      <c r="D31" s="579" t="s">
        <v>8257</v>
      </c>
      <c r="E31" s="580">
        <v>3.2</v>
      </c>
      <c r="F31" s="581"/>
      <c r="G31" s="446"/>
      <c r="H31" s="582" t="s">
        <v>243</v>
      </c>
    </row>
    <row r="32">
      <c r="A32" s="575">
        <v>3.0</v>
      </c>
      <c r="B32" s="575" t="s">
        <v>289</v>
      </c>
      <c r="C32" s="575" t="s">
        <v>153</v>
      </c>
      <c r="D32" s="575" t="s">
        <v>8258</v>
      </c>
      <c r="E32" s="575">
        <v>4.0</v>
      </c>
      <c r="F32" s="576"/>
      <c r="G32" s="290"/>
      <c r="H32" s="593" t="s">
        <v>293</v>
      </c>
      <c r="L32" s="365"/>
      <c r="M32" s="365"/>
      <c r="N32" s="365"/>
      <c r="O32" s="365"/>
      <c r="P32" s="365"/>
      <c r="Q32" s="365"/>
      <c r="R32" s="365"/>
      <c r="S32" s="365"/>
      <c r="T32" s="365"/>
      <c r="U32" s="365"/>
      <c r="V32" s="365"/>
      <c r="W32" s="365"/>
      <c r="X32" s="365"/>
      <c r="Y32" s="365"/>
      <c r="Z32" s="365"/>
    </row>
    <row r="33">
      <c r="A33" s="593">
        <v>3.0</v>
      </c>
      <c r="B33" s="575" t="s">
        <v>8259</v>
      </c>
      <c r="C33" s="575" t="s">
        <v>319</v>
      </c>
      <c r="D33" s="593" t="s">
        <v>320</v>
      </c>
      <c r="E33" s="290"/>
      <c r="F33" s="576"/>
      <c r="G33" s="290"/>
      <c r="H33" s="582" t="s">
        <v>8260</v>
      </c>
    </row>
    <row r="34">
      <c r="A34" s="593">
        <v>4.0</v>
      </c>
      <c r="B34" s="575" t="s">
        <v>371</v>
      </c>
      <c r="C34" s="575" t="s">
        <v>73</v>
      </c>
      <c r="D34" s="593" t="s">
        <v>373</v>
      </c>
      <c r="E34" s="290"/>
      <c r="F34" s="576"/>
      <c r="G34" s="290"/>
      <c r="H34" s="582" t="s">
        <v>374</v>
      </c>
    </row>
    <row r="35">
      <c r="A35" s="594">
        <v>4.0</v>
      </c>
      <c r="B35" s="595" t="s">
        <v>384</v>
      </c>
      <c r="C35" s="595" t="s">
        <v>180</v>
      </c>
      <c r="D35" s="594" t="s">
        <v>387</v>
      </c>
      <c r="E35" s="595" t="s">
        <v>8261</v>
      </c>
      <c r="F35" s="596"/>
      <c r="G35" s="597"/>
      <c r="H35" s="582" t="s">
        <v>388</v>
      </c>
    </row>
    <row r="36">
      <c r="A36" s="593">
        <v>4.0</v>
      </c>
      <c r="B36" s="575" t="s">
        <v>389</v>
      </c>
      <c r="C36" s="575" t="s">
        <v>180</v>
      </c>
      <c r="D36" s="593"/>
      <c r="E36" s="575"/>
      <c r="F36" s="581"/>
      <c r="G36" s="290"/>
      <c r="H36" s="577"/>
    </row>
    <row r="37">
      <c r="A37" s="566" t="s">
        <v>63</v>
      </c>
      <c r="B37" s="567" t="s">
        <v>7</v>
      </c>
      <c r="C37" s="567" t="s">
        <v>8206</v>
      </c>
      <c r="D37" s="568" t="s">
        <v>8248</v>
      </c>
      <c r="E37" s="567" t="s">
        <v>23</v>
      </c>
      <c r="F37" s="569" t="s">
        <v>27</v>
      </c>
      <c r="G37" s="567" t="s">
        <v>28</v>
      </c>
      <c r="H37" s="567" t="s">
        <v>30</v>
      </c>
    </row>
    <row r="38">
      <c r="A38" s="598">
        <v>0.0</v>
      </c>
      <c r="B38" s="599" t="s">
        <v>96</v>
      </c>
      <c r="C38" s="599" t="s">
        <v>43</v>
      </c>
      <c r="D38" s="598" t="s">
        <v>8262</v>
      </c>
      <c r="E38" s="599">
        <v>4.0</v>
      </c>
      <c r="F38" s="600" t="s">
        <v>8263</v>
      </c>
      <c r="G38" s="599" t="s">
        <v>8264</v>
      </c>
      <c r="H38" s="601" t="s">
        <v>101</v>
      </c>
      <c r="L38" s="602"/>
      <c r="M38" s="602"/>
      <c r="N38" s="602"/>
      <c r="O38" s="602"/>
      <c r="P38" s="602"/>
      <c r="Q38" s="602"/>
      <c r="R38" s="602"/>
      <c r="S38" s="602"/>
      <c r="T38" s="602"/>
      <c r="U38" s="602"/>
      <c r="V38" s="602"/>
      <c r="W38" s="602"/>
      <c r="X38" s="602"/>
      <c r="Y38" s="602"/>
      <c r="Z38" s="602"/>
    </row>
    <row r="39">
      <c r="A39" s="598">
        <v>0.0</v>
      </c>
      <c r="B39" s="599" t="s">
        <v>82</v>
      </c>
      <c r="C39" s="599" t="s">
        <v>85</v>
      </c>
      <c r="D39" s="598" t="s">
        <v>86</v>
      </c>
      <c r="E39" s="599" t="s">
        <v>8265</v>
      </c>
      <c r="F39" s="600" t="s">
        <v>8266</v>
      </c>
      <c r="G39" s="603">
        <v>45466.0</v>
      </c>
      <c r="H39" s="601" t="s">
        <v>8267</v>
      </c>
      <c r="L39" s="602"/>
      <c r="M39" s="602"/>
      <c r="N39" s="602"/>
      <c r="O39" s="602"/>
      <c r="P39" s="602"/>
      <c r="Q39" s="602"/>
      <c r="R39" s="602"/>
      <c r="S39" s="602"/>
      <c r="T39" s="602"/>
      <c r="U39" s="602"/>
      <c r="V39" s="602"/>
      <c r="W39" s="602"/>
      <c r="X39" s="602"/>
      <c r="Y39" s="602"/>
      <c r="Z39" s="602"/>
    </row>
    <row r="40">
      <c r="A40" s="598">
        <v>0.0</v>
      </c>
      <c r="B40" s="599" t="s">
        <v>62</v>
      </c>
      <c r="C40" s="599" t="s">
        <v>66</v>
      </c>
      <c r="D40" s="598" t="s">
        <v>8268</v>
      </c>
      <c r="E40" s="599" t="s">
        <v>8269</v>
      </c>
      <c r="F40" s="604" t="s">
        <v>8270</v>
      </c>
      <c r="G40" s="603">
        <v>45475.0</v>
      </c>
      <c r="H40" s="605"/>
      <c r="I40" s="605"/>
      <c r="J40" s="605"/>
      <c r="K40" s="605"/>
      <c r="L40" s="602"/>
      <c r="M40" s="602"/>
      <c r="N40" s="602"/>
      <c r="O40" s="602"/>
      <c r="P40" s="602"/>
      <c r="Q40" s="602"/>
      <c r="R40" s="602"/>
      <c r="S40" s="602"/>
      <c r="T40" s="602"/>
      <c r="U40" s="602"/>
      <c r="V40" s="602"/>
      <c r="W40" s="602"/>
      <c r="X40" s="602"/>
      <c r="Y40" s="602"/>
      <c r="Z40" s="602"/>
    </row>
    <row r="41">
      <c r="A41" s="593">
        <v>3.0</v>
      </c>
      <c r="B41" s="575" t="s">
        <v>253</v>
      </c>
      <c r="C41" s="575" t="s">
        <v>255</v>
      </c>
      <c r="D41" s="593" t="s">
        <v>256</v>
      </c>
      <c r="E41" s="575">
        <v>3.4</v>
      </c>
      <c r="F41" s="576"/>
      <c r="G41" s="575"/>
      <c r="H41" s="606" t="s">
        <v>8271</v>
      </c>
    </row>
    <row r="42">
      <c r="A42" s="607"/>
      <c r="B42" s="584" t="s">
        <v>1327</v>
      </c>
      <c r="C42" s="584" t="s">
        <v>148</v>
      </c>
      <c r="D42" s="607" t="s">
        <v>8272</v>
      </c>
      <c r="E42" s="584">
        <v>3.5</v>
      </c>
      <c r="F42" s="608"/>
      <c r="G42" s="584"/>
      <c r="H42" s="609" t="s">
        <v>1333</v>
      </c>
      <c r="I42" s="590"/>
      <c r="J42" s="590"/>
      <c r="K42" s="590"/>
      <c r="L42" s="591"/>
      <c r="M42" s="591"/>
      <c r="N42" s="591"/>
      <c r="O42" s="591"/>
      <c r="P42" s="591"/>
      <c r="Q42" s="591"/>
      <c r="R42" s="591"/>
      <c r="S42" s="591"/>
      <c r="T42" s="591"/>
      <c r="U42" s="591"/>
      <c r="V42" s="591"/>
      <c r="W42" s="591"/>
      <c r="X42" s="591"/>
      <c r="Y42" s="591"/>
      <c r="Z42" s="591"/>
    </row>
    <row r="43">
      <c r="A43" s="594">
        <v>2.0</v>
      </c>
      <c r="B43" s="595" t="s">
        <v>391</v>
      </c>
      <c r="C43" s="595" t="s">
        <v>286</v>
      </c>
      <c r="D43" s="594" t="s">
        <v>8273</v>
      </c>
      <c r="E43" s="595" t="s">
        <v>8274</v>
      </c>
      <c r="F43" s="596"/>
      <c r="G43" s="597"/>
      <c r="H43" s="309" t="s">
        <v>8275</v>
      </c>
    </row>
    <row r="44">
      <c r="A44" s="593">
        <v>3.0</v>
      </c>
      <c r="B44" s="575" t="s">
        <v>294</v>
      </c>
      <c r="C44" s="575" t="s">
        <v>73</v>
      </c>
      <c r="D44" s="593" t="s">
        <v>8276</v>
      </c>
      <c r="E44" s="575">
        <v>3.7</v>
      </c>
      <c r="F44" s="576"/>
      <c r="G44" s="575"/>
      <c r="H44" s="610" t="s">
        <v>299</v>
      </c>
    </row>
    <row r="45">
      <c r="A45" s="593">
        <v>3.0</v>
      </c>
      <c r="B45" s="575" t="s">
        <v>358</v>
      </c>
      <c r="C45" s="575" t="s">
        <v>360</v>
      </c>
      <c r="D45" s="593" t="s">
        <v>8277</v>
      </c>
      <c r="E45" s="575" t="s">
        <v>8278</v>
      </c>
      <c r="F45" s="576"/>
      <c r="G45" s="575"/>
      <c r="H45" s="610" t="s">
        <v>8279</v>
      </c>
    </row>
    <row r="46">
      <c r="A46" s="593">
        <v>3.0</v>
      </c>
      <c r="B46" s="575" t="s">
        <v>220</v>
      </c>
      <c r="C46" s="575" t="s">
        <v>43</v>
      </c>
      <c r="D46" s="593" t="s">
        <v>8280</v>
      </c>
      <c r="E46" s="575" t="s">
        <v>8281</v>
      </c>
      <c r="F46" s="576"/>
      <c r="G46" s="575"/>
      <c r="H46" s="610" t="s">
        <v>225</v>
      </c>
    </row>
    <row r="47">
      <c r="A47" s="593">
        <v>3.0</v>
      </c>
      <c r="B47" s="575" t="s">
        <v>334</v>
      </c>
      <c r="C47" s="575" t="s">
        <v>337</v>
      </c>
      <c r="D47" s="593" t="s">
        <v>8282</v>
      </c>
      <c r="E47" s="575" t="s">
        <v>8283</v>
      </c>
      <c r="F47" s="576"/>
      <c r="G47" s="575"/>
      <c r="H47" s="610" t="s">
        <v>340</v>
      </c>
    </row>
    <row r="48">
      <c r="A48" s="593">
        <v>3.0</v>
      </c>
      <c r="B48" s="575" t="s">
        <v>346</v>
      </c>
      <c r="C48" s="575" t="s">
        <v>153</v>
      </c>
      <c r="D48" s="593" t="s">
        <v>8284</v>
      </c>
      <c r="E48" s="575" t="s">
        <v>1836</v>
      </c>
      <c r="F48" s="576"/>
      <c r="G48" s="575"/>
      <c r="H48" s="610" t="s">
        <v>8285</v>
      </c>
    </row>
    <row r="49">
      <c r="A49" s="593">
        <v>3.0</v>
      </c>
      <c r="B49" s="575" t="s">
        <v>277</v>
      </c>
      <c r="C49" s="575" t="s">
        <v>174</v>
      </c>
      <c r="D49" s="593" t="s">
        <v>8286</v>
      </c>
      <c r="E49" s="575">
        <v>3.8</v>
      </c>
      <c r="F49" s="576"/>
      <c r="G49" s="290"/>
      <c r="H49" s="309" t="s">
        <v>282</v>
      </c>
    </row>
    <row r="50">
      <c r="A50" s="593">
        <v>3.0</v>
      </c>
      <c r="B50" s="575" t="s">
        <v>8287</v>
      </c>
      <c r="C50" s="575" t="s">
        <v>286</v>
      </c>
      <c r="D50" s="593" t="s">
        <v>325</v>
      </c>
      <c r="E50" s="575" t="s">
        <v>400</v>
      </c>
      <c r="F50" s="576"/>
      <c r="G50" s="290"/>
      <c r="H50" s="309" t="s">
        <v>326</v>
      </c>
    </row>
    <row r="51">
      <c r="A51" s="575">
        <v>3.0</v>
      </c>
      <c r="B51" s="575" t="s">
        <v>350</v>
      </c>
      <c r="C51" s="575" t="s">
        <v>160</v>
      </c>
      <c r="D51" s="575" t="s">
        <v>344</v>
      </c>
      <c r="E51" s="290"/>
      <c r="F51" s="576"/>
      <c r="G51" s="290"/>
      <c r="H51" s="593" t="s">
        <v>353</v>
      </c>
      <c r="L51" s="365"/>
      <c r="M51" s="365"/>
      <c r="N51" s="365"/>
      <c r="O51" s="365"/>
      <c r="P51" s="365"/>
      <c r="Q51" s="365"/>
      <c r="R51" s="365"/>
      <c r="S51" s="365"/>
      <c r="T51" s="365"/>
      <c r="U51" s="365"/>
      <c r="V51" s="365"/>
      <c r="W51" s="365"/>
      <c r="X51" s="365"/>
      <c r="Y51" s="365"/>
      <c r="Z51" s="365"/>
    </row>
    <row r="52">
      <c r="A52" s="593">
        <v>3.0</v>
      </c>
      <c r="B52" s="575" t="s">
        <v>304</v>
      </c>
      <c r="C52" s="575" t="s">
        <v>307</v>
      </c>
      <c r="D52" s="593" t="s">
        <v>308</v>
      </c>
      <c r="E52" s="575">
        <v>3.84</v>
      </c>
      <c r="F52" s="576"/>
      <c r="G52" s="290"/>
      <c r="H52" s="309" t="s">
        <v>309</v>
      </c>
    </row>
    <row r="53">
      <c r="A53" s="593">
        <v>3.0</v>
      </c>
      <c r="B53" s="575" t="s">
        <v>232</v>
      </c>
      <c r="C53" s="575" t="s">
        <v>112</v>
      </c>
      <c r="D53" s="593" t="s">
        <v>235</v>
      </c>
      <c r="E53" s="575">
        <v>4.0</v>
      </c>
      <c r="F53" s="576"/>
      <c r="G53" s="290"/>
      <c r="H53" s="309" t="s">
        <v>236</v>
      </c>
    </row>
    <row r="54">
      <c r="A54" s="594">
        <v>3.0</v>
      </c>
      <c r="B54" s="595" t="s">
        <v>300</v>
      </c>
      <c r="C54" s="595" t="s">
        <v>43</v>
      </c>
      <c r="D54" s="594" t="s">
        <v>302</v>
      </c>
      <c r="E54" s="595"/>
      <c r="F54" s="596"/>
      <c r="G54" s="597"/>
      <c r="H54" s="309" t="s">
        <v>303</v>
      </c>
    </row>
    <row r="55">
      <c r="A55" s="594">
        <v>3.0</v>
      </c>
      <c r="B55" s="595" t="s">
        <v>214</v>
      </c>
      <c r="C55" s="595" t="s">
        <v>217</v>
      </c>
      <c r="D55" s="594" t="s">
        <v>218</v>
      </c>
      <c r="E55" s="595"/>
      <c r="F55" s="596"/>
      <c r="G55" s="597"/>
      <c r="H55" s="309" t="s">
        <v>8288</v>
      </c>
    </row>
    <row r="56">
      <c r="A56" s="594">
        <v>3.0</v>
      </c>
      <c r="B56" s="595" t="s">
        <v>311</v>
      </c>
      <c r="C56" s="595" t="s">
        <v>125</v>
      </c>
      <c r="D56" s="594" t="s">
        <v>314</v>
      </c>
      <c r="E56" s="595"/>
      <c r="F56" s="596"/>
      <c r="G56" s="597"/>
      <c r="H56" s="309" t="s">
        <v>315</v>
      </c>
    </row>
    <row r="57">
      <c r="A57" s="594">
        <v>3.0</v>
      </c>
      <c r="B57" s="595" t="s">
        <v>341</v>
      </c>
      <c r="C57" s="595" t="s">
        <v>160</v>
      </c>
      <c r="D57" s="594" t="s">
        <v>344</v>
      </c>
      <c r="E57" s="595"/>
      <c r="F57" s="596"/>
      <c r="G57" s="597"/>
      <c r="H57" s="309" t="s">
        <v>8289</v>
      </c>
    </row>
    <row r="58">
      <c r="A58" s="593">
        <v>4.0</v>
      </c>
      <c r="B58" s="575" t="s">
        <v>401</v>
      </c>
      <c r="C58" s="575" t="s">
        <v>174</v>
      </c>
      <c r="D58" s="593" t="s">
        <v>8290</v>
      </c>
      <c r="E58" s="575" t="s">
        <v>8291</v>
      </c>
      <c r="F58" s="576"/>
      <c r="G58" s="290"/>
      <c r="H58" s="309" t="s">
        <v>406</v>
      </c>
      <c r="L58" s="611"/>
      <c r="M58" s="611"/>
      <c r="N58" s="611"/>
      <c r="O58" s="611"/>
      <c r="P58" s="611"/>
      <c r="Q58" s="611"/>
      <c r="R58" s="611"/>
      <c r="S58" s="611"/>
      <c r="T58" s="611"/>
      <c r="U58" s="611"/>
      <c r="V58" s="611"/>
      <c r="W58" s="611"/>
      <c r="X58" s="611"/>
      <c r="Y58" s="611"/>
      <c r="Z58" s="611"/>
    </row>
    <row r="59">
      <c r="A59" s="612"/>
      <c r="B59" s="575" t="s">
        <v>1368</v>
      </c>
      <c r="C59" s="575" t="s">
        <v>52</v>
      </c>
      <c r="D59" s="593" t="s">
        <v>1370</v>
      </c>
      <c r="E59" s="575"/>
      <c r="F59" s="576"/>
      <c r="G59" s="290"/>
      <c r="H59" s="309" t="s">
        <v>1371</v>
      </c>
      <c r="I59" s="366"/>
      <c r="J59" s="366"/>
      <c r="K59" s="366"/>
      <c r="L59" s="611"/>
      <c r="M59" s="611"/>
      <c r="N59" s="611"/>
      <c r="O59" s="611"/>
      <c r="P59" s="611"/>
      <c r="Q59" s="611"/>
      <c r="R59" s="611"/>
      <c r="S59" s="611"/>
      <c r="T59" s="611"/>
      <c r="U59" s="611"/>
      <c r="V59" s="611"/>
      <c r="W59" s="611"/>
      <c r="X59" s="611"/>
      <c r="Y59" s="611"/>
      <c r="Z59" s="611"/>
    </row>
    <row r="60">
      <c r="A60" s="612"/>
      <c r="B60" s="575" t="s">
        <v>1356</v>
      </c>
      <c r="C60" s="575" t="s">
        <v>502</v>
      </c>
      <c r="D60" s="593" t="s">
        <v>1358</v>
      </c>
      <c r="E60" s="290"/>
      <c r="F60" s="576"/>
      <c r="G60" s="290"/>
      <c r="H60" s="613" t="s">
        <v>1359</v>
      </c>
      <c r="L60" s="611"/>
      <c r="M60" s="611"/>
      <c r="N60" s="611"/>
      <c r="O60" s="611"/>
      <c r="P60" s="611"/>
      <c r="Q60" s="611"/>
      <c r="R60" s="611"/>
      <c r="S60" s="611"/>
      <c r="T60" s="611"/>
      <c r="U60" s="611"/>
      <c r="V60" s="611"/>
      <c r="W60" s="611"/>
      <c r="X60" s="611"/>
      <c r="Y60" s="611"/>
      <c r="Z60" s="611"/>
    </row>
    <row r="61">
      <c r="A61" s="566" t="s">
        <v>109</v>
      </c>
      <c r="B61" s="567" t="s">
        <v>7</v>
      </c>
      <c r="C61" s="567" t="s">
        <v>8206</v>
      </c>
      <c r="D61" s="568" t="s">
        <v>8248</v>
      </c>
      <c r="E61" s="567" t="s">
        <v>23</v>
      </c>
      <c r="F61" s="569" t="s">
        <v>27</v>
      </c>
      <c r="G61" s="567" t="s">
        <v>28</v>
      </c>
      <c r="H61" s="567" t="s">
        <v>30</v>
      </c>
    </row>
    <row r="62">
      <c r="A62" s="598">
        <v>0.0</v>
      </c>
      <c r="B62" s="599" t="s">
        <v>108</v>
      </c>
      <c r="C62" s="599" t="s">
        <v>112</v>
      </c>
      <c r="D62" s="598" t="s">
        <v>8292</v>
      </c>
      <c r="E62" s="599" t="s">
        <v>8293</v>
      </c>
      <c r="F62" s="614"/>
      <c r="G62" s="615"/>
      <c r="H62" s="349" t="s">
        <v>114</v>
      </c>
      <c r="L62" s="602"/>
      <c r="M62" s="602"/>
      <c r="N62" s="602"/>
      <c r="O62" s="602"/>
      <c r="P62" s="602"/>
      <c r="Q62" s="602"/>
      <c r="R62" s="602"/>
      <c r="S62" s="602"/>
      <c r="T62" s="602"/>
      <c r="U62" s="602"/>
      <c r="V62" s="602"/>
      <c r="W62" s="602"/>
      <c r="X62" s="602"/>
      <c r="Y62" s="602"/>
      <c r="Z62" s="602"/>
    </row>
    <row r="63">
      <c r="A63" s="575">
        <v>1.0</v>
      </c>
      <c r="B63" s="575" t="s">
        <v>407</v>
      </c>
      <c r="C63" s="575" t="s">
        <v>180</v>
      </c>
      <c r="D63" s="575" t="s">
        <v>8294</v>
      </c>
      <c r="E63" s="616" t="s">
        <v>8295</v>
      </c>
      <c r="F63" s="576"/>
      <c r="G63" s="290"/>
      <c r="H63" s="593" t="s">
        <v>413</v>
      </c>
      <c r="L63" s="290"/>
      <c r="M63" s="290"/>
      <c r="N63" s="290"/>
      <c r="O63" s="290"/>
      <c r="P63" s="290"/>
      <c r="Q63" s="290"/>
      <c r="R63" s="290"/>
      <c r="S63" s="290"/>
      <c r="T63" s="290"/>
      <c r="U63" s="290"/>
      <c r="V63" s="290"/>
      <c r="W63" s="290"/>
      <c r="X63" s="290"/>
      <c r="Y63" s="290"/>
      <c r="Z63" s="290"/>
    </row>
    <row r="64">
      <c r="A64" s="593">
        <v>1.0</v>
      </c>
      <c r="B64" s="575" t="s">
        <v>418</v>
      </c>
      <c r="C64" s="575" t="s">
        <v>180</v>
      </c>
      <c r="D64" s="593" t="s">
        <v>421</v>
      </c>
      <c r="E64" s="575">
        <v>4.5</v>
      </c>
      <c r="F64" s="581"/>
      <c r="G64" s="290"/>
      <c r="H64" s="309" t="s">
        <v>422</v>
      </c>
    </row>
    <row r="65">
      <c r="A65" s="593">
        <v>2.0</v>
      </c>
      <c r="B65" s="575" t="s">
        <v>177</v>
      </c>
      <c r="C65" s="575" t="s">
        <v>180</v>
      </c>
      <c r="D65" s="593" t="s">
        <v>8296</v>
      </c>
      <c r="E65" s="575">
        <v>3.5</v>
      </c>
      <c r="F65" s="581"/>
      <c r="G65" s="290"/>
      <c r="H65" s="309" t="s">
        <v>183</v>
      </c>
    </row>
    <row r="66">
      <c r="A66" s="593">
        <v>3.0</v>
      </c>
      <c r="B66" s="575" t="s">
        <v>204</v>
      </c>
      <c r="C66" s="575" t="s">
        <v>125</v>
      </c>
      <c r="D66" s="593" t="s">
        <v>207</v>
      </c>
      <c r="E66" s="290"/>
      <c r="F66" s="581" t="s">
        <v>8297</v>
      </c>
      <c r="G66" s="290"/>
      <c r="H66" s="309" t="s">
        <v>8298</v>
      </c>
    </row>
    <row r="67">
      <c r="A67" s="607">
        <v>3.0</v>
      </c>
      <c r="B67" s="584" t="s">
        <v>260</v>
      </c>
      <c r="C67" s="584" t="s">
        <v>153</v>
      </c>
      <c r="D67" s="607" t="s">
        <v>8299</v>
      </c>
      <c r="E67" s="617"/>
      <c r="F67" s="608"/>
      <c r="G67" s="617"/>
      <c r="H67" s="618" t="s">
        <v>8300</v>
      </c>
      <c r="I67" s="590"/>
      <c r="J67" s="590"/>
      <c r="K67" s="590"/>
      <c r="L67" s="591"/>
      <c r="M67" s="591"/>
      <c r="N67" s="591"/>
      <c r="O67" s="591"/>
      <c r="P67" s="591"/>
      <c r="Q67" s="591"/>
      <c r="R67" s="591"/>
      <c r="S67" s="591"/>
      <c r="T67" s="591"/>
      <c r="U67" s="591"/>
      <c r="V67" s="591"/>
      <c r="W67" s="591"/>
      <c r="X67" s="591"/>
      <c r="Y67" s="591"/>
      <c r="Z67" s="591"/>
    </row>
    <row r="68">
      <c r="A68" s="593">
        <v>3.0</v>
      </c>
      <c r="B68" s="575" t="s">
        <v>363</v>
      </c>
      <c r="C68" s="575" t="s">
        <v>73</v>
      </c>
      <c r="D68" s="593" t="s">
        <v>366</v>
      </c>
      <c r="E68" s="575">
        <v>4.0</v>
      </c>
      <c r="F68" s="576"/>
      <c r="G68" s="290"/>
      <c r="H68" s="619" t="s">
        <v>367</v>
      </c>
    </row>
    <row r="69">
      <c r="A69" s="290"/>
      <c r="B69" s="575" t="s">
        <v>1364</v>
      </c>
      <c r="C69" s="575" t="s">
        <v>180</v>
      </c>
      <c r="D69" s="575" t="s">
        <v>8301</v>
      </c>
      <c r="E69" s="575">
        <v>3.5</v>
      </c>
      <c r="F69" s="576"/>
      <c r="G69" s="290"/>
      <c r="H69" s="575" t="s">
        <v>1367</v>
      </c>
      <c r="L69" s="290"/>
      <c r="M69" s="290"/>
      <c r="N69" s="290"/>
      <c r="O69" s="290"/>
      <c r="P69" s="290"/>
      <c r="Q69" s="290"/>
      <c r="R69" s="290"/>
      <c r="S69" s="290"/>
      <c r="T69" s="290"/>
      <c r="U69" s="290"/>
      <c r="V69" s="290"/>
      <c r="W69" s="290"/>
      <c r="X69" s="290"/>
      <c r="Y69" s="290"/>
      <c r="Z69" s="290"/>
    </row>
    <row r="70">
      <c r="A70" s="388">
        <v>3.0</v>
      </c>
      <c r="B70" s="388" t="s">
        <v>248</v>
      </c>
      <c r="C70" s="388" t="s">
        <v>180</v>
      </c>
      <c r="D70" s="620" t="s">
        <v>251</v>
      </c>
      <c r="E70" s="388"/>
      <c r="F70" s="565"/>
      <c r="H70" s="300" t="s">
        <v>252</v>
      </c>
    </row>
    <row r="71">
      <c r="A71" s="612"/>
      <c r="B71" s="575" t="s">
        <v>1337</v>
      </c>
      <c r="C71" s="575" t="s">
        <v>319</v>
      </c>
      <c r="D71" s="593" t="s">
        <v>8302</v>
      </c>
      <c r="E71" s="290"/>
      <c r="F71" s="576"/>
      <c r="G71" s="290"/>
      <c r="H71" s="366" t="s">
        <v>8303</v>
      </c>
      <c r="L71" s="611"/>
      <c r="M71" s="611"/>
      <c r="N71" s="611"/>
      <c r="O71" s="611"/>
      <c r="P71" s="611"/>
      <c r="Q71" s="611"/>
      <c r="R71" s="611"/>
      <c r="S71" s="611"/>
      <c r="T71" s="611"/>
      <c r="U71" s="611"/>
      <c r="V71" s="611"/>
      <c r="W71" s="611"/>
      <c r="X71" s="611"/>
      <c r="Y71" s="611"/>
      <c r="Z71" s="611"/>
    </row>
    <row r="72">
      <c r="A72" s="612"/>
      <c r="B72" s="575" t="s">
        <v>1360</v>
      </c>
      <c r="C72" s="575" t="s">
        <v>319</v>
      </c>
      <c r="D72" s="593" t="s">
        <v>8304</v>
      </c>
      <c r="E72" s="575">
        <v>4.0</v>
      </c>
      <c r="F72" s="576"/>
      <c r="G72" s="290"/>
      <c r="H72" s="366" t="s">
        <v>8305</v>
      </c>
      <c r="L72" s="611"/>
      <c r="M72" s="611"/>
      <c r="N72" s="611"/>
      <c r="O72" s="611"/>
      <c r="P72" s="611"/>
      <c r="Q72" s="611"/>
      <c r="R72" s="611"/>
      <c r="S72" s="611"/>
      <c r="T72" s="611"/>
      <c r="U72" s="611"/>
      <c r="V72" s="611"/>
      <c r="W72" s="611"/>
      <c r="X72" s="611"/>
      <c r="Y72" s="611"/>
      <c r="Z72" s="611"/>
    </row>
    <row r="73">
      <c r="A73" s="612"/>
      <c r="B73" s="575" t="s">
        <v>1352</v>
      </c>
      <c r="C73" s="575" t="s">
        <v>698</v>
      </c>
      <c r="D73" s="593" t="s">
        <v>1354</v>
      </c>
      <c r="E73" s="575">
        <v>3.8</v>
      </c>
      <c r="F73" s="576"/>
      <c r="G73" s="290"/>
      <c r="H73" s="309" t="s">
        <v>1355</v>
      </c>
    </row>
    <row r="74">
      <c r="A74" s="621"/>
      <c r="B74" s="595" t="s">
        <v>1347</v>
      </c>
      <c r="C74" s="595" t="s">
        <v>43</v>
      </c>
      <c r="D74" s="594" t="s">
        <v>8306</v>
      </c>
      <c r="E74" s="597"/>
      <c r="F74" s="596"/>
      <c r="G74" s="597"/>
      <c r="H74" s="366" t="s">
        <v>1351</v>
      </c>
    </row>
    <row r="75">
      <c r="A75" s="621"/>
      <c r="B75" s="595"/>
      <c r="C75" s="595"/>
      <c r="D75" s="594"/>
      <c r="E75" s="597"/>
      <c r="F75" s="596"/>
      <c r="G75" s="597"/>
      <c r="H75" s="366"/>
    </row>
    <row r="76">
      <c r="A76" s="566" t="s">
        <v>48</v>
      </c>
      <c r="B76" s="567" t="s">
        <v>7</v>
      </c>
      <c r="C76" s="567" t="s">
        <v>8206</v>
      </c>
      <c r="D76" s="568" t="s">
        <v>8248</v>
      </c>
      <c r="E76" s="567" t="s">
        <v>23</v>
      </c>
      <c r="F76" s="569" t="s">
        <v>27</v>
      </c>
      <c r="G76" s="567" t="s">
        <v>28</v>
      </c>
      <c r="H76" s="567" t="s">
        <v>30</v>
      </c>
    </row>
    <row r="77">
      <c r="A77" s="598">
        <v>0.0</v>
      </c>
      <c r="B77" s="599" t="s">
        <v>8307</v>
      </c>
      <c r="C77" s="599" t="s">
        <v>73</v>
      </c>
      <c r="D77" s="598" t="s">
        <v>8308</v>
      </c>
      <c r="E77" s="599" t="s">
        <v>8309</v>
      </c>
      <c r="F77" s="600"/>
      <c r="G77" s="603"/>
      <c r="H77" s="622" t="s">
        <v>8310</v>
      </c>
      <c r="L77" s="602"/>
      <c r="M77" s="602"/>
      <c r="N77" s="602"/>
      <c r="O77" s="602"/>
      <c r="P77" s="602"/>
      <c r="Q77" s="602"/>
      <c r="R77" s="602"/>
      <c r="S77" s="602"/>
      <c r="T77" s="602"/>
      <c r="U77" s="602"/>
      <c r="V77" s="602"/>
      <c r="W77" s="602"/>
      <c r="X77" s="602"/>
      <c r="Y77" s="602"/>
      <c r="Z77" s="602"/>
    </row>
    <row r="78">
      <c r="A78" s="598">
        <v>0.0</v>
      </c>
      <c r="B78" s="599" t="s">
        <v>8311</v>
      </c>
      <c r="C78" s="599" t="s">
        <v>195</v>
      </c>
      <c r="D78" s="598" t="s">
        <v>1392</v>
      </c>
      <c r="E78" s="599" t="s">
        <v>8312</v>
      </c>
      <c r="F78" s="600" t="s">
        <v>8313</v>
      </c>
      <c r="G78" s="603">
        <v>45178.0</v>
      </c>
      <c r="H78" s="622" t="s">
        <v>8314</v>
      </c>
      <c r="L78" s="602"/>
      <c r="M78" s="602"/>
      <c r="N78" s="602"/>
      <c r="O78" s="602"/>
      <c r="P78" s="602"/>
      <c r="Q78" s="602"/>
      <c r="R78" s="602"/>
      <c r="S78" s="602"/>
      <c r="T78" s="602"/>
      <c r="U78" s="602"/>
      <c r="V78" s="602"/>
      <c r="W78" s="602"/>
      <c r="X78" s="602"/>
      <c r="Y78" s="602"/>
      <c r="Z78" s="602"/>
    </row>
    <row r="79">
      <c r="A79" s="623">
        <v>0.0</v>
      </c>
      <c r="B79" s="599" t="s">
        <v>47</v>
      </c>
      <c r="C79" s="599" t="s">
        <v>52</v>
      </c>
      <c r="D79" s="598" t="s">
        <v>8315</v>
      </c>
      <c r="E79" s="624" t="s">
        <v>8316</v>
      </c>
      <c r="F79" s="600" t="s">
        <v>8317</v>
      </c>
      <c r="G79" s="615"/>
      <c r="H79" s="601" t="s">
        <v>55</v>
      </c>
      <c r="L79" s="602"/>
      <c r="M79" s="602"/>
      <c r="N79" s="602"/>
      <c r="O79" s="602"/>
      <c r="P79" s="602"/>
      <c r="Q79" s="602"/>
      <c r="R79" s="602"/>
      <c r="S79" s="602"/>
      <c r="T79" s="602"/>
      <c r="U79" s="602"/>
      <c r="V79" s="602"/>
      <c r="W79" s="602"/>
      <c r="X79" s="602"/>
      <c r="Y79" s="602"/>
      <c r="Z79" s="602"/>
    </row>
    <row r="80">
      <c r="A80" s="593">
        <v>2.0</v>
      </c>
      <c r="B80" s="575" t="s">
        <v>186</v>
      </c>
      <c r="C80" s="575" t="s">
        <v>180</v>
      </c>
      <c r="D80" s="593" t="s">
        <v>8318</v>
      </c>
      <c r="E80" s="625">
        <v>4.5</v>
      </c>
      <c r="F80" s="576"/>
      <c r="G80" s="290"/>
      <c r="H80" s="309" t="s">
        <v>191</v>
      </c>
    </row>
    <row r="81">
      <c r="A81" s="607">
        <v>2.0</v>
      </c>
      <c r="B81" s="584" t="s">
        <v>129</v>
      </c>
      <c r="C81" s="584" t="s">
        <v>66</v>
      </c>
      <c r="D81" s="607" t="s">
        <v>8319</v>
      </c>
      <c r="E81" s="626">
        <v>4.3</v>
      </c>
      <c r="F81" s="608"/>
      <c r="G81" s="617"/>
      <c r="H81" s="627" t="s">
        <v>134</v>
      </c>
      <c r="I81" s="590"/>
      <c r="J81" s="590"/>
      <c r="K81" s="590"/>
      <c r="L81" s="591"/>
      <c r="M81" s="591"/>
      <c r="N81" s="591"/>
      <c r="O81" s="591"/>
      <c r="P81" s="591"/>
      <c r="Q81" s="591"/>
      <c r="R81" s="591"/>
      <c r="S81" s="591"/>
      <c r="T81" s="591"/>
      <c r="U81" s="591"/>
      <c r="V81" s="591"/>
      <c r="W81" s="591"/>
      <c r="X81" s="591"/>
      <c r="Y81" s="591"/>
      <c r="Z81" s="591"/>
    </row>
    <row r="82">
      <c r="A82" s="593">
        <v>2.0</v>
      </c>
      <c r="B82" s="575" t="s">
        <v>115</v>
      </c>
      <c r="C82" s="575" t="s">
        <v>73</v>
      </c>
      <c r="D82" s="593" t="s">
        <v>8320</v>
      </c>
      <c r="E82" s="625"/>
      <c r="F82" s="576"/>
      <c r="G82" s="290"/>
      <c r="H82" s="309" t="s">
        <v>120</v>
      </c>
    </row>
    <row r="83">
      <c r="A83" s="593">
        <v>2.0</v>
      </c>
      <c r="B83" s="575" t="s">
        <v>157</v>
      </c>
      <c r="C83" s="575" t="s">
        <v>160</v>
      </c>
      <c r="D83" s="593" t="s">
        <v>161</v>
      </c>
      <c r="E83" s="290"/>
      <c r="F83" s="576"/>
      <c r="G83" s="290"/>
      <c r="H83" s="309" t="s">
        <v>8321</v>
      </c>
    </row>
    <row r="84">
      <c r="A84" s="593">
        <v>3.0</v>
      </c>
      <c r="B84" s="575" t="s">
        <v>265</v>
      </c>
      <c r="C84" s="575" t="s">
        <v>52</v>
      </c>
      <c r="D84" s="628" t="s">
        <v>8322</v>
      </c>
      <c r="E84" s="575" t="s">
        <v>8323</v>
      </c>
      <c r="F84" s="576"/>
      <c r="G84" s="290"/>
      <c r="H84" s="320" t="s">
        <v>270</v>
      </c>
      <c r="L84" s="365"/>
      <c r="M84" s="365"/>
      <c r="N84" s="365"/>
      <c r="O84" s="365"/>
      <c r="P84" s="365"/>
      <c r="Q84" s="365"/>
      <c r="R84" s="365"/>
      <c r="S84" s="365"/>
      <c r="T84" s="365"/>
      <c r="U84" s="365"/>
      <c r="V84" s="365"/>
      <c r="W84" s="365"/>
      <c r="X84" s="365"/>
      <c r="Y84" s="365"/>
      <c r="Z84" s="365"/>
    </row>
    <row r="85">
      <c r="A85" s="629" t="s">
        <v>8324</v>
      </c>
      <c r="B85" s="616" t="s">
        <v>8325</v>
      </c>
      <c r="C85" s="616" t="s">
        <v>180</v>
      </c>
      <c r="D85" s="630" t="s">
        <v>932</v>
      </c>
      <c r="E85" s="616">
        <v>4.0</v>
      </c>
      <c r="F85" s="631" t="s">
        <v>8250</v>
      </c>
      <c r="G85" s="632"/>
      <c r="H85" s="633" t="s">
        <v>8326</v>
      </c>
      <c r="L85" s="634"/>
      <c r="M85" s="634"/>
      <c r="N85" s="634"/>
      <c r="O85" s="634"/>
      <c r="P85" s="634"/>
      <c r="Q85" s="634"/>
      <c r="R85" s="634"/>
      <c r="S85" s="634"/>
      <c r="T85" s="634"/>
      <c r="U85" s="634"/>
      <c r="V85" s="634"/>
      <c r="W85" s="634"/>
      <c r="X85" s="634"/>
      <c r="Y85" s="634"/>
      <c r="Z85" s="634"/>
    </row>
    <row r="86" ht="31.5" customHeight="1">
      <c r="A86" s="593">
        <v>3.0</v>
      </c>
      <c r="B86" s="575" t="s">
        <v>8327</v>
      </c>
      <c r="C86" s="575" t="s">
        <v>195</v>
      </c>
      <c r="D86" s="593" t="s">
        <v>8328</v>
      </c>
      <c r="E86" s="575"/>
      <c r="F86" s="576"/>
      <c r="G86" s="290"/>
      <c r="H86" s="320" t="s">
        <v>198</v>
      </c>
    </row>
    <row r="87">
      <c r="A87" s="593">
        <v>3.0</v>
      </c>
      <c r="B87" s="575" t="s">
        <v>8329</v>
      </c>
      <c r="C87" s="575" t="s">
        <v>160</v>
      </c>
      <c r="D87" s="593" t="s">
        <v>212</v>
      </c>
      <c r="E87" s="575">
        <v>3.85</v>
      </c>
      <c r="F87" s="576"/>
      <c r="G87" s="290"/>
      <c r="H87" s="309" t="s">
        <v>8330</v>
      </c>
    </row>
    <row r="88">
      <c r="A88" s="593">
        <v>3.0</v>
      </c>
      <c r="B88" s="575" t="s">
        <v>226</v>
      </c>
      <c r="C88" s="575" t="s">
        <v>73</v>
      </c>
      <c r="D88" s="593" t="s">
        <v>8331</v>
      </c>
      <c r="E88" s="290"/>
      <c r="F88" s="576"/>
      <c r="G88" s="290"/>
      <c r="H88" s="309" t="s">
        <v>8332</v>
      </c>
    </row>
    <row r="89">
      <c r="A89" s="593">
        <v>4.0</v>
      </c>
      <c r="B89" s="575" t="s">
        <v>391</v>
      </c>
      <c r="C89" s="575" t="s">
        <v>286</v>
      </c>
      <c r="D89" s="593" t="s">
        <v>8333</v>
      </c>
      <c r="E89" s="575">
        <v>1260.0</v>
      </c>
      <c r="F89" s="576"/>
      <c r="G89" s="290"/>
      <c r="H89" s="309" t="s">
        <v>8334</v>
      </c>
      <c r="K89" s="309"/>
    </row>
    <row r="90">
      <c r="A90" s="593">
        <v>4.0</v>
      </c>
      <c r="B90" s="575" t="s">
        <v>368</v>
      </c>
      <c r="C90" s="575" t="s">
        <v>112</v>
      </c>
      <c r="D90" s="612"/>
      <c r="E90" s="575"/>
      <c r="F90" s="576"/>
      <c r="G90" s="290"/>
      <c r="H90" s="309" t="s">
        <v>370</v>
      </c>
    </row>
    <row r="91" ht="32.25" customHeight="1">
      <c r="A91" s="612"/>
      <c r="B91" s="575" t="s">
        <v>1341</v>
      </c>
      <c r="C91" s="575" t="s">
        <v>180</v>
      </c>
      <c r="D91" s="593"/>
      <c r="E91" s="575"/>
      <c r="F91" s="576"/>
      <c r="G91" s="290"/>
      <c r="H91" s="309" t="s">
        <v>1344</v>
      </c>
    </row>
    <row r="92">
      <c r="A92" s="566" t="s">
        <v>103</v>
      </c>
      <c r="B92" s="567" t="s">
        <v>7</v>
      </c>
      <c r="C92" s="567" t="s">
        <v>8206</v>
      </c>
      <c r="D92" s="568" t="s">
        <v>8248</v>
      </c>
      <c r="E92" s="567" t="s">
        <v>23</v>
      </c>
      <c r="F92" s="569" t="s">
        <v>27</v>
      </c>
      <c r="G92" s="567" t="s">
        <v>28</v>
      </c>
      <c r="H92" s="567" t="s">
        <v>30</v>
      </c>
    </row>
    <row r="93">
      <c r="A93" s="598">
        <v>0.0</v>
      </c>
      <c r="B93" s="599" t="s">
        <v>8335</v>
      </c>
      <c r="C93" s="599" t="s">
        <v>66</v>
      </c>
      <c r="D93" s="598" t="s">
        <v>68</v>
      </c>
      <c r="E93" s="615"/>
      <c r="F93" s="600" t="s">
        <v>8336</v>
      </c>
      <c r="G93" s="615"/>
      <c r="H93" s="601" t="s">
        <v>8337</v>
      </c>
      <c r="L93" s="602"/>
      <c r="M93" s="602"/>
      <c r="N93" s="602"/>
      <c r="O93" s="602"/>
      <c r="P93" s="602"/>
      <c r="Q93" s="602"/>
      <c r="R93" s="602"/>
      <c r="S93" s="602"/>
      <c r="T93" s="602"/>
      <c r="U93" s="602"/>
      <c r="V93" s="602"/>
      <c r="W93" s="602"/>
      <c r="X93" s="602"/>
      <c r="Y93" s="602"/>
      <c r="Z93" s="602"/>
    </row>
    <row r="94">
      <c r="A94" s="598">
        <v>0.0</v>
      </c>
      <c r="B94" s="599" t="s">
        <v>7288</v>
      </c>
      <c r="C94" s="599" t="s">
        <v>43</v>
      </c>
      <c r="D94" s="598" t="s">
        <v>8338</v>
      </c>
      <c r="E94" s="599" t="s">
        <v>8339</v>
      </c>
      <c r="F94" s="600" t="s">
        <v>8340</v>
      </c>
      <c r="G94" s="598" t="s">
        <v>8341</v>
      </c>
      <c r="H94" s="622" t="s">
        <v>8342</v>
      </c>
      <c r="L94" s="602"/>
      <c r="M94" s="602"/>
      <c r="N94" s="602"/>
      <c r="O94" s="602"/>
      <c r="P94" s="602"/>
      <c r="Q94" s="602"/>
      <c r="R94" s="602"/>
      <c r="S94" s="602"/>
      <c r="T94" s="602"/>
      <c r="U94" s="602"/>
      <c r="V94" s="602"/>
      <c r="W94" s="602"/>
      <c r="X94" s="602"/>
      <c r="Y94" s="602"/>
      <c r="Z94" s="602"/>
    </row>
    <row r="95">
      <c r="A95" s="598">
        <v>2.0</v>
      </c>
      <c r="B95" s="599" t="s">
        <v>8343</v>
      </c>
      <c r="C95" s="599" t="s">
        <v>66</v>
      </c>
      <c r="D95" s="598" t="s">
        <v>8344</v>
      </c>
      <c r="E95" s="599" t="s">
        <v>8345</v>
      </c>
      <c r="F95" s="614"/>
      <c r="G95" s="615"/>
      <c r="H95" s="601" t="s">
        <v>8346</v>
      </c>
      <c r="L95" s="602"/>
      <c r="M95" s="602"/>
      <c r="N95" s="602"/>
      <c r="O95" s="602"/>
      <c r="P95" s="602"/>
      <c r="Q95" s="602"/>
      <c r="R95" s="602"/>
      <c r="S95" s="602"/>
      <c r="T95" s="602"/>
      <c r="U95" s="602"/>
      <c r="V95" s="602"/>
      <c r="W95" s="602"/>
      <c r="X95" s="602"/>
      <c r="Y95" s="602"/>
      <c r="Z95" s="602"/>
    </row>
    <row r="96">
      <c r="A96" s="607">
        <v>2.0</v>
      </c>
      <c r="B96" s="584" t="s">
        <v>171</v>
      </c>
      <c r="C96" s="584" t="s">
        <v>174</v>
      </c>
      <c r="D96" s="607" t="s">
        <v>175</v>
      </c>
      <c r="E96" s="584"/>
      <c r="F96" s="608"/>
      <c r="G96" s="617"/>
      <c r="H96" s="627" t="s">
        <v>176</v>
      </c>
      <c r="I96" s="590"/>
      <c r="J96" s="590"/>
      <c r="K96" s="590"/>
      <c r="L96" s="591"/>
      <c r="M96" s="591"/>
      <c r="N96" s="591"/>
      <c r="O96" s="591"/>
      <c r="P96" s="591"/>
      <c r="Q96" s="591"/>
      <c r="R96" s="591"/>
      <c r="S96" s="591"/>
      <c r="T96" s="591"/>
      <c r="U96" s="591"/>
      <c r="V96" s="591"/>
      <c r="W96" s="591"/>
      <c r="X96" s="591"/>
      <c r="Y96" s="591"/>
      <c r="Z96" s="591"/>
    </row>
    <row r="97">
      <c r="A97" s="593">
        <v>3.0</v>
      </c>
      <c r="B97" s="575" t="s">
        <v>271</v>
      </c>
      <c r="C97" s="575" t="s">
        <v>125</v>
      </c>
      <c r="D97" s="593" t="s">
        <v>8347</v>
      </c>
      <c r="E97" s="575">
        <v>3.77</v>
      </c>
      <c r="F97" s="576"/>
      <c r="G97" s="290"/>
      <c r="H97" s="309" t="s">
        <v>8348</v>
      </c>
    </row>
    <row r="98">
      <c r="A98" s="593">
        <v>3.0</v>
      </c>
      <c r="B98" s="575" t="s">
        <v>8349</v>
      </c>
      <c r="C98" s="575" t="s">
        <v>330</v>
      </c>
      <c r="D98" s="593" t="s">
        <v>8350</v>
      </c>
      <c r="E98" s="575">
        <v>3.9</v>
      </c>
      <c r="F98" s="576"/>
      <c r="G98" s="290"/>
      <c r="H98" s="309" t="s">
        <v>333</v>
      </c>
    </row>
    <row r="99">
      <c r="A99" s="593">
        <v>3.0</v>
      </c>
      <c r="B99" s="575" t="s">
        <v>354</v>
      </c>
      <c r="C99" s="575" t="s">
        <v>52</v>
      </c>
      <c r="D99" s="593" t="s">
        <v>356</v>
      </c>
      <c r="E99" s="575"/>
      <c r="F99" s="576"/>
      <c r="G99" s="290"/>
      <c r="H99" s="309" t="s">
        <v>357</v>
      </c>
    </row>
    <row r="100">
      <c r="A100" s="593">
        <v>3.0</v>
      </c>
      <c r="B100" s="575" t="s">
        <v>199</v>
      </c>
      <c r="C100" s="575" t="s">
        <v>52</v>
      </c>
      <c r="D100" s="593" t="s">
        <v>8351</v>
      </c>
      <c r="E100" s="575">
        <v>4.0</v>
      </c>
      <c r="F100" s="576"/>
      <c r="G100" s="290"/>
      <c r="H100" s="309" t="s">
        <v>203</v>
      </c>
    </row>
    <row r="101">
      <c r="A101" s="593">
        <v>3.0</v>
      </c>
      <c r="B101" s="575" t="s">
        <v>283</v>
      </c>
      <c r="C101" s="575" t="s">
        <v>286</v>
      </c>
      <c r="D101" s="593" t="s">
        <v>287</v>
      </c>
      <c r="E101" s="290"/>
      <c r="F101" s="576"/>
      <c r="G101" s="290"/>
      <c r="H101" s="309" t="s">
        <v>8352</v>
      </c>
    </row>
    <row r="102">
      <c r="A102" s="388">
        <v>3.0</v>
      </c>
      <c r="B102" s="575" t="s">
        <v>244</v>
      </c>
      <c r="C102" s="575" t="s">
        <v>43</v>
      </c>
      <c r="D102" s="593">
        <v>643.0</v>
      </c>
      <c r="E102" s="290"/>
      <c r="F102" s="576"/>
      <c r="G102" s="290"/>
      <c r="H102" s="635" t="s">
        <v>8353</v>
      </c>
    </row>
    <row r="103">
      <c r="A103" s="388">
        <v>3.0</v>
      </c>
      <c r="B103" s="575" t="s">
        <v>271</v>
      </c>
      <c r="C103" s="575" t="s">
        <v>125</v>
      </c>
      <c r="D103" s="593" t="s">
        <v>8354</v>
      </c>
      <c r="E103" s="290"/>
      <c r="F103" s="576"/>
      <c r="G103" s="290"/>
      <c r="H103" s="635" t="s">
        <v>276</v>
      </c>
    </row>
    <row r="104">
      <c r="A104" s="575">
        <v>4.0</v>
      </c>
      <c r="B104" s="575" t="s">
        <v>375</v>
      </c>
      <c r="C104" s="575" t="s">
        <v>240</v>
      </c>
      <c r="D104" s="575" t="s">
        <v>8355</v>
      </c>
      <c r="E104" s="290"/>
      <c r="F104" s="576"/>
      <c r="G104" s="290"/>
      <c r="H104" s="577" t="s">
        <v>380</v>
      </c>
      <c r="L104" s="290"/>
      <c r="M104" s="290"/>
      <c r="N104" s="290"/>
      <c r="O104" s="290"/>
      <c r="P104" s="290"/>
      <c r="Q104" s="290"/>
      <c r="R104" s="290"/>
      <c r="S104" s="290"/>
      <c r="T104" s="290"/>
      <c r="U104" s="290"/>
      <c r="V104" s="290"/>
      <c r="W104" s="290"/>
      <c r="X104" s="290"/>
      <c r="Y104" s="290"/>
      <c r="Z104" s="290"/>
    </row>
    <row r="105">
      <c r="A105" s="636">
        <v>3.0</v>
      </c>
      <c r="F105" s="565"/>
    </row>
    <row r="106">
      <c r="A106" s="637"/>
      <c r="B106" s="307"/>
      <c r="C106" s="307"/>
      <c r="D106" s="638"/>
      <c r="E106" s="639"/>
      <c r="F106" s="640"/>
      <c r="G106" s="307"/>
      <c r="H106" s="641"/>
      <c r="I106" s="642"/>
      <c r="J106" s="642"/>
      <c r="K106" s="642"/>
    </row>
    <row r="107">
      <c r="A107" s="637" t="s">
        <v>8356</v>
      </c>
      <c r="D107" s="366"/>
      <c r="E107" s="391"/>
      <c r="F107" s="565"/>
      <c r="H107" s="309"/>
    </row>
    <row r="108">
      <c r="A108" s="643" t="s">
        <v>8357</v>
      </c>
      <c r="B108" s="644" t="s">
        <v>746</v>
      </c>
      <c r="C108" s="645" t="s">
        <v>66</v>
      </c>
      <c r="D108" s="643" t="s">
        <v>749</v>
      </c>
      <c r="E108" s="645">
        <v>4.33</v>
      </c>
      <c r="F108" s="646"/>
      <c r="G108" s="645" t="s">
        <v>8358</v>
      </c>
      <c r="H108" s="647" t="s">
        <v>8359</v>
      </c>
      <c r="L108" s="648"/>
      <c r="M108" s="648"/>
      <c r="N108" s="648"/>
      <c r="O108" s="648"/>
      <c r="P108" s="648"/>
      <c r="Q108" s="648"/>
      <c r="R108" s="648"/>
      <c r="S108" s="648"/>
      <c r="T108" s="648"/>
      <c r="U108" s="648"/>
      <c r="V108" s="648"/>
      <c r="W108" s="648"/>
      <c r="X108" s="648"/>
      <c r="Y108" s="648"/>
      <c r="Z108" s="648"/>
    </row>
    <row r="109">
      <c r="A109" s="643" t="s">
        <v>4870</v>
      </c>
      <c r="B109" s="644" t="s">
        <v>915</v>
      </c>
      <c r="C109" s="645" t="s">
        <v>502</v>
      </c>
      <c r="D109" s="643" t="s">
        <v>918</v>
      </c>
      <c r="E109" s="645">
        <v>4.0</v>
      </c>
      <c r="F109" s="646"/>
      <c r="G109" s="649"/>
      <c r="H109" s="647" t="s">
        <v>919</v>
      </c>
      <c r="L109" s="648"/>
      <c r="M109" s="648"/>
      <c r="N109" s="648"/>
      <c r="O109" s="648"/>
      <c r="P109" s="648"/>
      <c r="Q109" s="648"/>
      <c r="R109" s="648"/>
      <c r="S109" s="648"/>
      <c r="T109" s="648"/>
      <c r="U109" s="648"/>
      <c r="V109" s="648"/>
      <c r="W109" s="648"/>
      <c r="X109" s="648"/>
      <c r="Y109" s="648"/>
      <c r="Z109" s="648"/>
    </row>
    <row r="110">
      <c r="A110" s="643" t="s">
        <v>8357</v>
      </c>
      <c r="B110" s="650" t="s">
        <v>907</v>
      </c>
      <c r="C110" s="616" t="s">
        <v>502</v>
      </c>
      <c r="D110" s="633" t="s">
        <v>909</v>
      </c>
      <c r="E110" s="616">
        <v>4.0</v>
      </c>
      <c r="F110" s="651"/>
      <c r="G110" s="616" t="s">
        <v>8360</v>
      </c>
      <c r="H110" s="647" t="s">
        <v>910</v>
      </c>
      <c r="L110" s="652"/>
      <c r="M110" s="652"/>
      <c r="N110" s="652"/>
      <c r="O110" s="652"/>
      <c r="P110" s="652"/>
      <c r="Q110" s="652"/>
      <c r="R110" s="652"/>
      <c r="S110" s="652"/>
      <c r="T110" s="652"/>
      <c r="U110" s="652"/>
      <c r="V110" s="652"/>
      <c r="W110" s="652"/>
      <c r="X110" s="652"/>
      <c r="Y110" s="652"/>
      <c r="Z110" s="652"/>
    </row>
    <row r="111">
      <c r="A111" s="643" t="s">
        <v>8357</v>
      </c>
      <c r="B111" s="650" t="s">
        <v>1091</v>
      </c>
      <c r="C111" s="616" t="s">
        <v>240</v>
      </c>
      <c r="D111" s="653"/>
      <c r="E111" s="654"/>
      <c r="F111" s="655"/>
      <c r="G111" s="656"/>
      <c r="H111" s="647" t="s">
        <v>1094</v>
      </c>
      <c r="L111" s="652"/>
      <c r="M111" s="652"/>
      <c r="N111" s="652"/>
      <c r="O111" s="652"/>
      <c r="P111" s="652"/>
      <c r="Q111" s="652"/>
      <c r="R111" s="652"/>
      <c r="S111" s="652"/>
      <c r="T111" s="652"/>
      <c r="U111" s="652"/>
      <c r="V111" s="652"/>
      <c r="W111" s="652"/>
      <c r="X111" s="652"/>
      <c r="Y111" s="652"/>
      <c r="Z111" s="652"/>
    </row>
    <row r="112">
      <c r="A112" s="633" t="s">
        <v>4781</v>
      </c>
      <c r="B112" s="650" t="s">
        <v>1079</v>
      </c>
      <c r="C112" s="616" t="s">
        <v>52</v>
      </c>
      <c r="D112" s="657"/>
      <c r="E112" s="632"/>
      <c r="F112" s="655"/>
      <c r="G112" s="658"/>
      <c r="H112" s="647"/>
      <c r="L112" s="652"/>
      <c r="M112" s="652"/>
      <c r="N112" s="652"/>
      <c r="O112" s="652"/>
      <c r="P112" s="652"/>
      <c r="Q112" s="652"/>
      <c r="R112" s="652"/>
      <c r="S112" s="652"/>
      <c r="T112" s="652"/>
      <c r="U112" s="652"/>
      <c r="V112" s="652"/>
      <c r="W112" s="652"/>
      <c r="X112" s="652"/>
      <c r="Y112" s="652"/>
      <c r="Z112" s="652"/>
    </row>
    <row r="113">
      <c r="A113" s="633" t="s">
        <v>8361</v>
      </c>
      <c r="B113" s="650" t="s">
        <v>516</v>
      </c>
      <c r="C113" s="616" t="s">
        <v>519</v>
      </c>
      <c r="D113" s="633" t="s">
        <v>520</v>
      </c>
      <c r="E113" s="616">
        <v>3.5</v>
      </c>
      <c r="F113" s="651"/>
      <c r="G113" s="616" t="s">
        <v>8362</v>
      </c>
      <c r="H113" s="647" t="s">
        <v>521</v>
      </c>
      <c r="L113" s="652"/>
      <c r="M113" s="652"/>
      <c r="N113" s="652"/>
      <c r="O113" s="652"/>
      <c r="P113" s="652"/>
      <c r="Q113" s="652"/>
      <c r="R113" s="652"/>
      <c r="S113" s="652"/>
      <c r="T113" s="652"/>
      <c r="U113" s="652"/>
      <c r="V113" s="652"/>
      <c r="W113" s="652"/>
      <c r="X113" s="652"/>
      <c r="Y113" s="652"/>
      <c r="Z113" s="652"/>
    </row>
    <row r="114">
      <c r="A114" s="633" t="s">
        <v>5517</v>
      </c>
      <c r="B114" s="650" t="s">
        <v>953</v>
      </c>
      <c r="C114" s="616" t="s">
        <v>307</v>
      </c>
      <c r="D114" s="633" t="s">
        <v>956</v>
      </c>
      <c r="E114" s="616">
        <v>3.6</v>
      </c>
      <c r="F114" s="659"/>
      <c r="G114" s="632"/>
      <c r="H114" s="647" t="s">
        <v>8363</v>
      </c>
      <c r="L114" s="652"/>
      <c r="M114" s="652"/>
      <c r="N114" s="652"/>
      <c r="O114" s="652"/>
      <c r="P114" s="652"/>
      <c r="Q114" s="652"/>
      <c r="R114" s="652"/>
      <c r="S114" s="652"/>
      <c r="T114" s="652"/>
      <c r="U114" s="652"/>
      <c r="V114" s="652"/>
      <c r="W114" s="652"/>
      <c r="X114" s="652"/>
      <c r="Y114" s="652"/>
      <c r="Z114" s="652"/>
    </row>
    <row r="115">
      <c r="A115" s="633" t="s">
        <v>5510</v>
      </c>
      <c r="B115" s="650" t="s">
        <v>704</v>
      </c>
      <c r="C115" s="616" t="s">
        <v>519</v>
      </c>
      <c r="D115" s="633" t="s">
        <v>707</v>
      </c>
      <c r="E115" s="616">
        <v>4.0</v>
      </c>
      <c r="F115" s="651"/>
      <c r="G115" s="616" t="s">
        <v>8364</v>
      </c>
      <c r="H115" s="647" t="s">
        <v>708</v>
      </c>
      <c r="L115" s="652"/>
      <c r="M115" s="652"/>
      <c r="N115" s="652"/>
      <c r="O115" s="652"/>
      <c r="P115" s="652"/>
      <c r="Q115" s="652"/>
      <c r="R115" s="652"/>
      <c r="S115" s="652"/>
      <c r="T115" s="652"/>
      <c r="U115" s="652"/>
      <c r="V115" s="652"/>
      <c r="W115" s="652"/>
      <c r="X115" s="652"/>
      <c r="Y115" s="652"/>
      <c r="Z115" s="652"/>
    </row>
    <row r="116">
      <c r="A116" s="633" t="s">
        <v>8365</v>
      </c>
      <c r="B116" s="650" t="s">
        <v>582</v>
      </c>
      <c r="C116" s="616" t="s">
        <v>585</v>
      </c>
      <c r="D116" s="633" t="s">
        <v>586</v>
      </c>
      <c r="E116" s="632"/>
      <c r="F116" s="651"/>
      <c r="G116" s="616" t="s">
        <v>8366</v>
      </c>
      <c r="H116" s="647" t="s">
        <v>587</v>
      </c>
      <c r="L116" s="652"/>
      <c r="M116" s="652"/>
      <c r="N116" s="652"/>
      <c r="O116" s="652"/>
      <c r="P116" s="652"/>
      <c r="Q116" s="652"/>
      <c r="R116" s="652"/>
      <c r="S116" s="652"/>
      <c r="T116" s="652"/>
      <c r="U116" s="652"/>
      <c r="V116" s="652"/>
      <c r="W116" s="652"/>
      <c r="X116" s="652"/>
      <c r="Y116" s="652"/>
      <c r="Z116" s="652"/>
    </row>
    <row r="117">
      <c r="A117" s="633" t="s">
        <v>4853</v>
      </c>
      <c r="B117" s="650" t="s">
        <v>550</v>
      </c>
      <c r="C117" s="616" t="s">
        <v>52</v>
      </c>
      <c r="D117" s="633" t="s">
        <v>553</v>
      </c>
      <c r="E117" s="616">
        <v>4.0</v>
      </c>
      <c r="F117" s="659"/>
      <c r="G117" s="616" t="s">
        <v>8367</v>
      </c>
      <c r="H117" s="647" t="s">
        <v>554</v>
      </c>
      <c r="L117" s="652"/>
      <c r="M117" s="652"/>
      <c r="N117" s="652"/>
      <c r="O117" s="652"/>
      <c r="P117" s="652"/>
      <c r="Q117" s="652"/>
      <c r="R117" s="652"/>
      <c r="S117" s="652"/>
      <c r="T117" s="652"/>
      <c r="U117" s="652"/>
      <c r="V117" s="652"/>
      <c r="W117" s="652"/>
      <c r="X117" s="652"/>
      <c r="Y117" s="652"/>
      <c r="Z117" s="652"/>
    </row>
    <row r="118">
      <c r="A118" s="633" t="s">
        <v>8368</v>
      </c>
      <c r="B118" s="650" t="s">
        <v>1294</v>
      </c>
      <c r="C118" s="616" t="s">
        <v>286</v>
      </c>
      <c r="D118" s="633" t="s">
        <v>1296</v>
      </c>
      <c r="E118" s="660" t="s">
        <v>8369</v>
      </c>
      <c r="F118" s="651"/>
      <c r="G118" s="616" t="s">
        <v>8370</v>
      </c>
      <c r="H118" s="647" t="s">
        <v>1297</v>
      </c>
      <c r="L118" s="652"/>
      <c r="M118" s="652"/>
      <c r="N118" s="652"/>
      <c r="O118" s="652"/>
      <c r="P118" s="652"/>
      <c r="Q118" s="652"/>
      <c r="R118" s="652"/>
      <c r="S118" s="652"/>
      <c r="T118" s="652"/>
      <c r="U118" s="652"/>
      <c r="V118" s="652"/>
      <c r="W118" s="652"/>
      <c r="X118" s="652"/>
      <c r="Y118" s="652"/>
      <c r="Z118" s="652"/>
    </row>
    <row r="119">
      <c r="A119" s="633" t="s">
        <v>8371</v>
      </c>
      <c r="B119" s="650" t="s">
        <v>1280</v>
      </c>
      <c r="C119" s="616" t="s">
        <v>519</v>
      </c>
      <c r="D119" s="633" t="s">
        <v>1283</v>
      </c>
      <c r="E119" s="616">
        <v>4.0</v>
      </c>
      <c r="F119" s="661"/>
      <c r="G119" s="632"/>
      <c r="H119" s="647" t="s">
        <v>1284</v>
      </c>
      <c r="L119" s="652"/>
      <c r="M119" s="652"/>
      <c r="N119" s="652"/>
      <c r="O119" s="652"/>
      <c r="P119" s="652"/>
      <c r="Q119" s="652"/>
      <c r="R119" s="652"/>
      <c r="S119" s="652"/>
      <c r="T119" s="652"/>
      <c r="U119" s="652"/>
      <c r="V119" s="652"/>
      <c r="W119" s="652"/>
      <c r="X119" s="652"/>
      <c r="Y119" s="652"/>
      <c r="Z119" s="652"/>
    </row>
    <row r="120">
      <c r="A120" s="633" t="s">
        <v>5897</v>
      </c>
      <c r="B120" s="650" t="s">
        <v>709</v>
      </c>
      <c r="C120" s="616" t="s">
        <v>160</v>
      </c>
      <c r="D120" s="633" t="s">
        <v>712</v>
      </c>
      <c r="E120" s="616">
        <v>3.5</v>
      </c>
      <c r="F120" s="659"/>
      <c r="G120" s="616" t="s">
        <v>8372</v>
      </c>
      <c r="H120" s="647" t="s">
        <v>713</v>
      </c>
      <c r="L120" s="652"/>
      <c r="M120" s="652"/>
      <c r="N120" s="652"/>
      <c r="O120" s="652"/>
      <c r="P120" s="652"/>
      <c r="Q120" s="652"/>
      <c r="R120" s="652"/>
      <c r="S120" s="652"/>
      <c r="T120" s="652"/>
      <c r="U120" s="652"/>
      <c r="V120" s="652"/>
      <c r="W120" s="652"/>
      <c r="X120" s="652"/>
      <c r="Y120" s="652"/>
      <c r="Z120" s="652"/>
    </row>
    <row r="121">
      <c r="A121" s="633" t="s">
        <v>5299</v>
      </c>
      <c r="B121" s="650" t="s">
        <v>566</v>
      </c>
      <c r="C121" s="616" t="s">
        <v>125</v>
      </c>
      <c r="D121" s="633" t="s">
        <v>568</v>
      </c>
      <c r="E121" s="616" t="s">
        <v>400</v>
      </c>
      <c r="F121" s="659"/>
      <c r="G121" s="632"/>
      <c r="H121" s="647" t="s">
        <v>569</v>
      </c>
      <c r="L121" s="652"/>
      <c r="M121" s="652"/>
      <c r="N121" s="652"/>
      <c r="O121" s="652"/>
      <c r="P121" s="652"/>
      <c r="Q121" s="652"/>
      <c r="R121" s="652"/>
      <c r="S121" s="652"/>
      <c r="T121" s="652"/>
      <c r="U121" s="652"/>
      <c r="V121" s="652"/>
      <c r="W121" s="652"/>
      <c r="X121" s="652"/>
      <c r="Y121" s="652"/>
      <c r="Z121" s="652"/>
    </row>
    <row r="122">
      <c r="A122" s="643" t="s">
        <v>8373</v>
      </c>
      <c r="B122" s="644" t="s">
        <v>903</v>
      </c>
      <c r="C122" s="645" t="s">
        <v>43</v>
      </c>
      <c r="D122" s="662" t="s">
        <v>905</v>
      </c>
      <c r="E122" s="663" t="s">
        <v>400</v>
      </c>
      <c r="F122" s="646"/>
      <c r="G122" s="664"/>
      <c r="H122" s="647" t="s">
        <v>8374</v>
      </c>
      <c r="L122" s="648"/>
      <c r="M122" s="648"/>
      <c r="N122" s="648"/>
      <c r="O122" s="648"/>
      <c r="P122" s="648"/>
      <c r="Q122" s="648"/>
      <c r="R122" s="648"/>
      <c r="S122" s="648"/>
      <c r="T122" s="648"/>
      <c r="U122" s="648"/>
      <c r="V122" s="648"/>
      <c r="W122" s="648"/>
      <c r="X122" s="648"/>
      <c r="Y122" s="648"/>
      <c r="Z122" s="648"/>
    </row>
    <row r="123">
      <c r="A123" s="633" t="s">
        <v>5108</v>
      </c>
      <c r="B123" s="650" t="s">
        <v>1181</v>
      </c>
      <c r="C123" s="616" t="s">
        <v>195</v>
      </c>
      <c r="D123" s="633" t="s">
        <v>1184</v>
      </c>
      <c r="E123" s="616">
        <v>3.9</v>
      </c>
      <c r="F123" s="655" t="s">
        <v>8313</v>
      </c>
      <c r="G123" s="632"/>
      <c r="H123" s="647" t="s">
        <v>8375</v>
      </c>
      <c r="L123" s="652"/>
      <c r="M123" s="652"/>
      <c r="N123" s="652"/>
      <c r="O123" s="652"/>
      <c r="P123" s="652"/>
      <c r="Q123" s="652"/>
      <c r="R123" s="652"/>
      <c r="S123" s="652"/>
      <c r="T123" s="652"/>
      <c r="U123" s="652"/>
      <c r="V123" s="652"/>
      <c r="W123" s="652"/>
      <c r="X123" s="652"/>
      <c r="Y123" s="652"/>
      <c r="Z123" s="652"/>
    </row>
    <row r="124">
      <c r="A124" s="633" t="s">
        <v>8376</v>
      </c>
      <c r="B124" s="650" t="s">
        <v>1256</v>
      </c>
      <c r="C124" s="616" t="s">
        <v>125</v>
      </c>
      <c r="D124" s="633" t="s">
        <v>1259</v>
      </c>
      <c r="E124" s="616">
        <v>4.0</v>
      </c>
      <c r="F124" s="651"/>
      <c r="G124" s="616" t="s">
        <v>8377</v>
      </c>
      <c r="H124" s="647" t="s">
        <v>8378</v>
      </c>
      <c r="L124" s="652"/>
      <c r="M124" s="652"/>
      <c r="N124" s="652"/>
      <c r="O124" s="652"/>
      <c r="P124" s="652"/>
      <c r="Q124" s="652"/>
      <c r="R124" s="652"/>
      <c r="S124" s="652"/>
      <c r="T124" s="652"/>
      <c r="U124" s="652"/>
      <c r="V124" s="652"/>
      <c r="W124" s="652"/>
      <c r="X124" s="652"/>
      <c r="Y124" s="652"/>
      <c r="Z124" s="652"/>
    </row>
    <row r="125">
      <c r="A125" s="643" t="s">
        <v>4870</v>
      </c>
      <c r="B125" s="644" t="s">
        <v>466</v>
      </c>
      <c r="C125" s="645" t="s">
        <v>255</v>
      </c>
      <c r="D125" s="643" t="s">
        <v>469</v>
      </c>
      <c r="E125" s="649"/>
      <c r="F125" s="665"/>
      <c r="G125" s="649"/>
      <c r="H125" s="647" t="s">
        <v>8379</v>
      </c>
      <c r="L125" s="648"/>
      <c r="M125" s="648"/>
      <c r="N125" s="648"/>
      <c r="O125" s="648"/>
      <c r="P125" s="648"/>
      <c r="Q125" s="648"/>
      <c r="R125" s="648"/>
      <c r="S125" s="648"/>
      <c r="T125" s="648"/>
      <c r="U125" s="648"/>
      <c r="V125" s="648"/>
      <c r="W125" s="648"/>
      <c r="X125" s="648"/>
      <c r="Y125" s="648"/>
      <c r="Z125" s="648"/>
    </row>
    <row r="126">
      <c r="A126" s="643" t="s">
        <v>2620</v>
      </c>
      <c r="B126" s="644" t="s">
        <v>1285</v>
      </c>
      <c r="C126" s="645" t="s">
        <v>52</v>
      </c>
      <c r="D126" s="643" t="s">
        <v>1287</v>
      </c>
      <c r="E126" s="645">
        <v>3.6</v>
      </c>
      <c r="F126" s="646"/>
      <c r="G126" s="645" t="s">
        <v>8380</v>
      </c>
      <c r="H126" s="647" t="s">
        <v>8381</v>
      </c>
      <c r="L126" s="648"/>
      <c r="M126" s="648"/>
      <c r="N126" s="648"/>
      <c r="O126" s="648"/>
      <c r="P126" s="648"/>
      <c r="Q126" s="648"/>
      <c r="R126" s="648"/>
      <c r="S126" s="648"/>
      <c r="T126" s="648"/>
      <c r="U126" s="648"/>
      <c r="V126" s="648"/>
      <c r="W126" s="648"/>
      <c r="X126" s="648"/>
      <c r="Y126" s="648"/>
      <c r="Z126" s="648"/>
    </row>
    <row r="127">
      <c r="A127" s="633" t="s">
        <v>8382</v>
      </c>
      <c r="B127" s="650" t="s">
        <v>8383</v>
      </c>
      <c r="C127" s="616" t="s">
        <v>195</v>
      </c>
      <c r="D127" s="633" t="s">
        <v>721</v>
      </c>
      <c r="E127" s="632"/>
      <c r="F127" s="655" t="s">
        <v>8313</v>
      </c>
      <c r="G127" s="632"/>
      <c r="H127" s="647" t="s">
        <v>722</v>
      </c>
      <c r="L127" s="652"/>
      <c r="M127" s="652"/>
      <c r="N127" s="652"/>
      <c r="O127" s="652"/>
      <c r="P127" s="652"/>
      <c r="Q127" s="652"/>
      <c r="R127" s="652"/>
      <c r="S127" s="652"/>
      <c r="T127" s="652"/>
      <c r="U127" s="652"/>
      <c r="V127" s="652"/>
      <c r="W127" s="652"/>
      <c r="X127" s="652"/>
      <c r="Y127" s="652"/>
      <c r="Z127" s="652"/>
    </row>
    <row r="128">
      <c r="A128" s="666" t="s">
        <v>5517</v>
      </c>
      <c r="B128" s="616" t="s">
        <v>1307</v>
      </c>
      <c r="C128" s="616" t="s">
        <v>174</v>
      </c>
      <c r="D128" s="666" t="s">
        <v>693</v>
      </c>
      <c r="E128" s="616">
        <v>4.2</v>
      </c>
      <c r="F128" s="651"/>
      <c r="G128" s="632"/>
      <c r="H128" s="667" t="s">
        <v>8384</v>
      </c>
      <c r="L128" s="652"/>
      <c r="M128" s="652"/>
      <c r="N128" s="652"/>
      <c r="O128" s="652"/>
      <c r="P128" s="652"/>
      <c r="Q128" s="652"/>
      <c r="R128" s="652"/>
      <c r="S128" s="652"/>
      <c r="T128" s="652"/>
      <c r="U128" s="652"/>
      <c r="V128" s="652"/>
      <c r="W128" s="652"/>
      <c r="X128" s="652"/>
      <c r="Y128" s="652"/>
      <c r="Z128" s="652"/>
    </row>
    <row r="129">
      <c r="A129" s="666" t="s">
        <v>8385</v>
      </c>
      <c r="B129" s="616" t="s">
        <v>953</v>
      </c>
      <c r="C129" s="616" t="s">
        <v>307</v>
      </c>
      <c r="D129" s="666" t="s">
        <v>956</v>
      </c>
      <c r="E129" s="616">
        <v>3.6</v>
      </c>
      <c r="F129" s="651"/>
      <c r="G129" s="632"/>
      <c r="H129" s="668" t="s">
        <v>957</v>
      </c>
      <c r="L129" s="652"/>
      <c r="M129" s="652"/>
      <c r="N129" s="652"/>
      <c r="O129" s="652"/>
      <c r="P129" s="652"/>
      <c r="Q129" s="652"/>
      <c r="R129" s="652"/>
      <c r="S129" s="652"/>
      <c r="T129" s="652"/>
      <c r="U129" s="652"/>
      <c r="V129" s="652"/>
      <c r="W129" s="652"/>
      <c r="X129" s="652"/>
      <c r="Y129" s="652"/>
      <c r="Z129" s="652"/>
    </row>
    <row r="130">
      <c r="A130" s="666" t="s">
        <v>2230</v>
      </c>
      <c r="B130" s="616" t="s">
        <v>1108</v>
      </c>
      <c r="C130" s="616" t="s">
        <v>125</v>
      </c>
      <c r="D130" s="666" t="s">
        <v>1111</v>
      </c>
      <c r="E130" s="616">
        <v>3.5</v>
      </c>
      <c r="F130" s="651"/>
      <c r="G130" s="632"/>
      <c r="H130" s="669" t="s">
        <v>1112</v>
      </c>
      <c r="L130" s="652"/>
      <c r="M130" s="652"/>
      <c r="N130" s="652"/>
      <c r="O130" s="652"/>
      <c r="P130" s="652"/>
      <c r="Q130" s="652"/>
      <c r="R130" s="652"/>
      <c r="S130" s="652"/>
      <c r="T130" s="652"/>
      <c r="U130" s="652"/>
      <c r="V130" s="652"/>
      <c r="W130" s="652"/>
      <c r="X130" s="652"/>
      <c r="Y130" s="652"/>
      <c r="Z130" s="652"/>
    </row>
    <row r="131">
      <c r="A131" s="666" t="s">
        <v>2090</v>
      </c>
      <c r="B131" s="616" t="s">
        <v>970</v>
      </c>
      <c r="C131" s="616" t="s">
        <v>502</v>
      </c>
      <c r="D131" s="666" t="s">
        <v>973</v>
      </c>
      <c r="E131" s="632"/>
      <c r="F131" s="655"/>
      <c r="G131" s="632"/>
      <c r="H131" s="668"/>
      <c r="L131" s="652"/>
      <c r="M131" s="652"/>
      <c r="N131" s="652"/>
      <c r="O131" s="652"/>
      <c r="P131" s="652"/>
      <c r="Q131" s="652"/>
      <c r="R131" s="652"/>
      <c r="S131" s="652"/>
      <c r="T131" s="652"/>
      <c r="U131" s="652"/>
      <c r="V131" s="652"/>
      <c r="W131" s="652"/>
      <c r="X131" s="652"/>
      <c r="Y131" s="652"/>
      <c r="Z131" s="652"/>
    </row>
    <row r="132">
      <c r="A132" s="666" t="s">
        <v>4893</v>
      </c>
      <c r="B132" s="616" t="s">
        <v>695</v>
      </c>
      <c r="C132" s="616" t="s">
        <v>698</v>
      </c>
      <c r="D132" s="666" t="s">
        <v>699</v>
      </c>
      <c r="E132" s="616">
        <v>4.0</v>
      </c>
      <c r="F132" s="651"/>
      <c r="G132" s="632"/>
      <c r="H132" s="668" t="s">
        <v>700</v>
      </c>
      <c r="L132" s="652"/>
      <c r="M132" s="652"/>
      <c r="N132" s="652"/>
      <c r="O132" s="652"/>
      <c r="P132" s="652"/>
      <c r="Q132" s="652"/>
      <c r="R132" s="652"/>
      <c r="S132" s="652"/>
      <c r="T132" s="652"/>
      <c r="U132" s="652"/>
      <c r="V132" s="652"/>
      <c r="W132" s="652"/>
      <c r="X132" s="652"/>
      <c r="Y132" s="652"/>
      <c r="Z132" s="652"/>
    </row>
    <row r="133">
      <c r="A133" s="666" t="s">
        <v>8386</v>
      </c>
      <c r="B133" s="616" t="s">
        <v>962</v>
      </c>
      <c r="C133" s="616" t="s">
        <v>43</v>
      </c>
      <c r="D133" s="666" t="s">
        <v>963</v>
      </c>
      <c r="E133" s="616" t="s">
        <v>400</v>
      </c>
      <c r="F133" s="651"/>
      <c r="G133" s="632"/>
      <c r="H133" s="668" t="s">
        <v>964</v>
      </c>
      <c r="L133" s="652"/>
      <c r="M133" s="652"/>
      <c r="N133" s="652"/>
      <c r="O133" s="652"/>
      <c r="P133" s="652"/>
      <c r="Q133" s="652"/>
      <c r="R133" s="652"/>
      <c r="S133" s="652"/>
      <c r="T133" s="652"/>
      <c r="U133" s="652"/>
      <c r="V133" s="652"/>
      <c r="W133" s="652"/>
      <c r="X133" s="652"/>
      <c r="Y133" s="652"/>
      <c r="Z133" s="652"/>
    </row>
    <row r="134">
      <c r="A134" s="670" t="s">
        <v>8387</v>
      </c>
      <c r="B134" s="645" t="s">
        <v>1205</v>
      </c>
      <c r="C134" s="645" t="s">
        <v>337</v>
      </c>
      <c r="D134" s="670" t="s">
        <v>1208</v>
      </c>
      <c r="E134" s="645">
        <v>4.0</v>
      </c>
      <c r="F134" s="646"/>
      <c r="G134" s="649"/>
      <c r="H134" s="671" t="s">
        <v>8388</v>
      </c>
      <c r="L134" s="648"/>
      <c r="M134" s="652"/>
      <c r="N134" s="652"/>
      <c r="O134" s="652"/>
      <c r="P134" s="652"/>
      <c r="Q134" s="652"/>
      <c r="R134" s="652"/>
      <c r="S134" s="652"/>
      <c r="T134" s="652"/>
      <c r="U134" s="652"/>
      <c r="V134" s="652"/>
      <c r="W134" s="652"/>
      <c r="X134" s="652"/>
      <c r="Y134" s="652"/>
      <c r="Z134" s="652"/>
    </row>
    <row r="135">
      <c r="A135" s="666" t="s">
        <v>5442</v>
      </c>
      <c r="B135" s="616" t="s">
        <v>1222</v>
      </c>
      <c r="C135" s="616" t="s">
        <v>255</v>
      </c>
      <c r="D135" s="666" t="s">
        <v>1224</v>
      </c>
      <c r="E135" s="632"/>
      <c r="F135" s="651"/>
      <c r="G135" s="632"/>
      <c r="H135" s="669" t="s">
        <v>1225</v>
      </c>
      <c r="L135" s="652"/>
      <c r="M135" s="652"/>
      <c r="N135" s="652"/>
      <c r="O135" s="652"/>
      <c r="P135" s="652"/>
      <c r="Q135" s="652"/>
      <c r="R135" s="652"/>
      <c r="S135" s="652"/>
      <c r="T135" s="652"/>
      <c r="U135" s="652"/>
      <c r="V135" s="652"/>
      <c r="W135" s="652"/>
      <c r="X135" s="652"/>
      <c r="Y135" s="652"/>
      <c r="Z135" s="652"/>
    </row>
    <row r="136">
      <c r="A136" s="666" t="s">
        <v>8389</v>
      </c>
      <c r="B136" s="616" t="s">
        <v>983</v>
      </c>
      <c r="C136" s="616" t="s">
        <v>125</v>
      </c>
      <c r="D136" s="666" t="s">
        <v>986</v>
      </c>
      <c r="E136" s="616">
        <v>3.5</v>
      </c>
      <c r="F136" s="651"/>
      <c r="G136" s="632"/>
      <c r="H136" s="668"/>
      <c r="L136" s="652"/>
      <c r="M136" s="652"/>
      <c r="N136" s="652"/>
      <c r="O136" s="652"/>
      <c r="P136" s="652"/>
      <c r="Q136" s="652"/>
      <c r="R136" s="652"/>
      <c r="S136" s="652"/>
      <c r="T136" s="652"/>
      <c r="U136" s="652"/>
      <c r="V136" s="652"/>
      <c r="W136" s="652"/>
      <c r="X136" s="652"/>
      <c r="Y136" s="652"/>
      <c r="Z136" s="652"/>
    </row>
    <row r="137">
      <c r="A137" s="666" t="s">
        <v>4711</v>
      </c>
      <c r="B137" s="616" t="s">
        <v>999</v>
      </c>
      <c r="C137" s="616" t="s">
        <v>125</v>
      </c>
      <c r="D137" s="666" t="s">
        <v>1002</v>
      </c>
      <c r="E137" s="616">
        <v>3.9</v>
      </c>
      <c r="F137" s="651"/>
      <c r="G137" s="632"/>
      <c r="H137" s="668" t="s">
        <v>1003</v>
      </c>
      <c r="L137" s="652"/>
      <c r="M137" s="652"/>
      <c r="N137" s="652"/>
      <c r="O137" s="652"/>
      <c r="P137" s="652"/>
      <c r="Q137" s="652"/>
      <c r="R137" s="652"/>
      <c r="S137" s="652"/>
      <c r="T137" s="652"/>
      <c r="U137" s="652"/>
      <c r="V137" s="652"/>
      <c r="W137" s="652"/>
      <c r="X137" s="652"/>
      <c r="Y137" s="652"/>
      <c r="Z137" s="652"/>
    </row>
    <row r="138">
      <c r="A138" s="629" t="s">
        <v>8390</v>
      </c>
      <c r="B138" s="616" t="s">
        <v>1157</v>
      </c>
      <c r="C138" s="616" t="s">
        <v>307</v>
      </c>
      <c r="D138" s="666" t="s">
        <v>1160</v>
      </c>
      <c r="E138" s="616">
        <v>3.53</v>
      </c>
      <c r="F138" s="651"/>
      <c r="G138" s="616" t="s">
        <v>8391</v>
      </c>
      <c r="H138" s="667" t="s">
        <v>8392</v>
      </c>
      <c r="L138" s="652"/>
      <c r="M138" s="652"/>
      <c r="N138" s="652"/>
      <c r="O138" s="652"/>
      <c r="P138" s="652"/>
      <c r="Q138" s="652"/>
      <c r="R138" s="652"/>
      <c r="S138" s="652"/>
      <c r="T138" s="652"/>
      <c r="U138" s="652"/>
      <c r="V138" s="652"/>
      <c r="W138" s="652"/>
      <c r="X138" s="652"/>
      <c r="Y138" s="652"/>
      <c r="Z138" s="652"/>
    </row>
    <row r="139">
      <c r="A139" s="666" t="s">
        <v>8393</v>
      </c>
      <c r="B139" s="616" t="s">
        <v>593</v>
      </c>
      <c r="C139" s="616" t="s">
        <v>52</v>
      </c>
      <c r="D139" s="666" t="s">
        <v>596</v>
      </c>
      <c r="E139" s="616">
        <v>3.6</v>
      </c>
      <c r="F139" s="651"/>
      <c r="G139" s="632"/>
      <c r="H139" s="667" t="s">
        <v>597</v>
      </c>
      <c r="L139" s="652"/>
      <c r="M139" s="652"/>
      <c r="N139" s="652"/>
      <c r="O139" s="652"/>
      <c r="P139" s="652"/>
      <c r="Q139" s="652"/>
      <c r="R139" s="652"/>
      <c r="S139" s="652"/>
      <c r="T139" s="652"/>
      <c r="U139" s="652"/>
      <c r="V139" s="652"/>
      <c r="W139" s="652"/>
      <c r="X139" s="652"/>
      <c r="Y139" s="652"/>
      <c r="Z139" s="652"/>
    </row>
    <row r="140">
      <c r="A140" s="666" t="s">
        <v>8394</v>
      </c>
      <c r="B140" s="616" t="s">
        <v>456</v>
      </c>
      <c r="C140" s="616" t="s">
        <v>153</v>
      </c>
      <c r="D140" s="666" t="s">
        <v>8395</v>
      </c>
      <c r="E140" s="616"/>
      <c r="F140" s="651"/>
      <c r="G140" s="632"/>
      <c r="H140" s="667" t="s">
        <v>461</v>
      </c>
      <c r="L140" s="652"/>
      <c r="M140" s="652"/>
      <c r="N140" s="652"/>
      <c r="O140" s="652"/>
      <c r="P140" s="652"/>
      <c r="Q140" s="652"/>
      <c r="R140" s="652"/>
      <c r="S140" s="652"/>
      <c r="T140" s="652"/>
      <c r="U140" s="652"/>
      <c r="V140" s="652"/>
      <c r="W140" s="652"/>
      <c r="X140" s="652"/>
      <c r="Y140" s="652"/>
      <c r="Z140" s="652"/>
    </row>
    <row r="141">
      <c r="A141" s="666" t="s">
        <v>8396</v>
      </c>
      <c r="B141" s="616" t="s">
        <v>649</v>
      </c>
      <c r="C141" s="616" t="s">
        <v>307</v>
      </c>
      <c r="D141" s="666" t="s">
        <v>652</v>
      </c>
      <c r="E141" s="616">
        <v>3.79</v>
      </c>
      <c r="F141" s="651"/>
      <c r="G141" s="632"/>
      <c r="H141" s="669" t="s">
        <v>653</v>
      </c>
      <c r="L141" s="652"/>
      <c r="M141" s="652"/>
      <c r="N141" s="652"/>
      <c r="O141" s="652"/>
      <c r="P141" s="652"/>
      <c r="Q141" s="652"/>
      <c r="R141" s="652"/>
      <c r="S141" s="652"/>
      <c r="T141" s="652"/>
      <c r="U141" s="652"/>
      <c r="V141" s="652"/>
      <c r="W141" s="652"/>
      <c r="X141" s="652"/>
      <c r="Y141" s="652"/>
      <c r="Z141" s="652"/>
    </row>
    <row r="142">
      <c r="A142" s="670" t="s">
        <v>8397</v>
      </c>
      <c r="B142" s="645" t="s">
        <v>1150</v>
      </c>
      <c r="C142" s="645" t="s">
        <v>1153</v>
      </c>
      <c r="D142" s="670" t="s">
        <v>8398</v>
      </c>
      <c r="E142" s="645" t="s">
        <v>8399</v>
      </c>
      <c r="F142" s="646"/>
      <c r="G142" s="649"/>
      <c r="H142" s="671" t="s">
        <v>1156</v>
      </c>
      <c r="L142" s="652"/>
      <c r="M142" s="652"/>
      <c r="N142" s="652"/>
      <c r="O142" s="652"/>
      <c r="P142" s="652"/>
      <c r="Q142" s="652"/>
      <c r="R142" s="652"/>
      <c r="S142" s="652"/>
      <c r="T142" s="652"/>
      <c r="U142" s="652"/>
      <c r="V142" s="652"/>
      <c r="W142" s="652"/>
      <c r="X142" s="652"/>
      <c r="Y142" s="652"/>
      <c r="Z142" s="652"/>
    </row>
    <row r="143">
      <c r="A143" s="666" t="s">
        <v>8400</v>
      </c>
      <c r="B143" s="616" t="s">
        <v>462</v>
      </c>
      <c r="C143" s="616" t="s">
        <v>307</v>
      </c>
      <c r="D143" s="666" t="s">
        <v>464</v>
      </c>
      <c r="E143" s="616"/>
      <c r="F143" s="651"/>
      <c r="G143" s="666" t="s">
        <v>8401</v>
      </c>
      <c r="H143" s="668" t="s">
        <v>465</v>
      </c>
      <c r="L143" s="652"/>
      <c r="M143" s="652"/>
      <c r="N143" s="652"/>
      <c r="O143" s="652"/>
      <c r="P143" s="652"/>
      <c r="Q143" s="652"/>
      <c r="R143" s="652"/>
      <c r="S143" s="652"/>
      <c r="T143" s="652"/>
      <c r="U143" s="652"/>
      <c r="V143" s="652"/>
      <c r="W143" s="652"/>
      <c r="X143" s="652"/>
      <c r="Y143" s="652"/>
      <c r="Z143" s="652"/>
    </row>
    <row r="144">
      <c r="A144" s="629" t="s">
        <v>482</v>
      </c>
      <c r="B144" s="616" t="s">
        <v>623</v>
      </c>
      <c r="C144" s="616" t="s">
        <v>125</v>
      </c>
      <c r="D144" s="666" t="s">
        <v>8402</v>
      </c>
      <c r="E144" s="632"/>
      <c r="F144" s="651"/>
      <c r="G144" s="632"/>
      <c r="H144" s="668" t="s">
        <v>627</v>
      </c>
      <c r="L144" s="652"/>
      <c r="M144" s="652"/>
      <c r="N144" s="652"/>
      <c r="O144" s="652"/>
      <c r="P144" s="652"/>
      <c r="Q144" s="652"/>
      <c r="R144" s="652"/>
      <c r="S144" s="652"/>
      <c r="T144" s="652"/>
      <c r="U144" s="652"/>
      <c r="V144" s="652"/>
      <c r="W144" s="652"/>
      <c r="X144" s="652"/>
      <c r="Y144" s="652"/>
      <c r="Z144" s="652"/>
    </row>
    <row r="145">
      <c r="A145" s="666" t="s">
        <v>1981</v>
      </c>
      <c r="B145" s="616" t="s">
        <v>588</v>
      </c>
      <c r="C145" s="616" t="s">
        <v>319</v>
      </c>
      <c r="D145" s="666" t="s">
        <v>8403</v>
      </c>
      <c r="E145" s="616">
        <v>3.9</v>
      </c>
      <c r="F145" s="651"/>
      <c r="G145" s="616" t="s">
        <v>8404</v>
      </c>
      <c r="H145" s="672" t="s">
        <v>8405</v>
      </c>
      <c r="L145" s="652"/>
      <c r="M145" s="652"/>
      <c r="N145" s="652"/>
      <c r="O145" s="652"/>
      <c r="P145" s="652"/>
      <c r="Q145" s="652"/>
      <c r="R145" s="652"/>
      <c r="S145" s="652"/>
      <c r="T145" s="652"/>
      <c r="U145" s="652"/>
      <c r="V145" s="652"/>
      <c r="W145" s="652"/>
      <c r="X145" s="652"/>
      <c r="Y145" s="652"/>
      <c r="Z145" s="652"/>
    </row>
    <row r="146">
      <c r="A146" s="666" t="s">
        <v>8406</v>
      </c>
      <c r="B146" s="616" t="s">
        <v>978</v>
      </c>
      <c r="C146" s="616" t="s">
        <v>52</v>
      </c>
      <c r="D146" s="666" t="s">
        <v>981</v>
      </c>
      <c r="E146" s="616">
        <v>4.3</v>
      </c>
      <c r="F146" s="651"/>
      <c r="G146" s="616"/>
      <c r="H146" s="667" t="s">
        <v>982</v>
      </c>
      <c r="L146" s="652"/>
      <c r="M146" s="652"/>
      <c r="N146" s="652"/>
      <c r="O146" s="652"/>
      <c r="P146" s="652"/>
      <c r="Q146" s="652"/>
      <c r="R146" s="652"/>
      <c r="S146" s="652"/>
      <c r="T146" s="652"/>
      <c r="U146" s="652"/>
      <c r="V146" s="652"/>
      <c r="W146" s="652"/>
      <c r="X146" s="652"/>
      <c r="Y146" s="652"/>
      <c r="Z146" s="652"/>
    </row>
    <row r="147">
      <c r="A147" s="666" t="s">
        <v>4130</v>
      </c>
      <c r="B147" s="616" t="s">
        <v>8407</v>
      </c>
      <c r="C147" s="616" t="s">
        <v>453</v>
      </c>
      <c r="D147" s="666" t="s">
        <v>1249</v>
      </c>
      <c r="E147" s="616">
        <v>4.07</v>
      </c>
      <c r="F147" s="655"/>
      <c r="G147" s="658"/>
      <c r="H147" s="668" t="s">
        <v>1250</v>
      </c>
      <c r="L147" s="652"/>
      <c r="M147" s="652"/>
      <c r="N147" s="652"/>
      <c r="O147" s="652"/>
      <c r="P147" s="652"/>
      <c r="Q147" s="652"/>
      <c r="R147" s="652"/>
      <c r="S147" s="652"/>
      <c r="T147" s="652"/>
      <c r="U147" s="652"/>
      <c r="V147" s="652"/>
      <c r="W147" s="652"/>
      <c r="X147" s="652"/>
      <c r="Y147" s="652"/>
      <c r="Z147" s="652"/>
    </row>
    <row r="148">
      <c r="A148" s="666" t="s">
        <v>5569</v>
      </c>
      <c r="B148" s="616" t="s">
        <v>958</v>
      </c>
      <c r="C148" s="616" t="s">
        <v>543</v>
      </c>
      <c r="D148" s="666" t="s">
        <v>960</v>
      </c>
      <c r="E148" s="616">
        <v>4.0</v>
      </c>
      <c r="F148" s="651"/>
      <c r="G148" s="632"/>
      <c r="H148" s="669" t="s">
        <v>961</v>
      </c>
      <c r="L148" s="652"/>
      <c r="M148" s="652"/>
      <c r="N148" s="652"/>
      <c r="O148" s="652"/>
      <c r="P148" s="652"/>
      <c r="Q148" s="652"/>
      <c r="R148" s="652"/>
      <c r="S148" s="652"/>
      <c r="T148" s="652"/>
      <c r="U148" s="652"/>
      <c r="V148" s="652"/>
      <c r="W148" s="652"/>
      <c r="X148" s="652"/>
      <c r="Y148" s="652"/>
      <c r="Z148" s="652"/>
    </row>
    <row r="149">
      <c r="A149" s="666" t="s">
        <v>8408</v>
      </c>
      <c r="B149" s="616" t="s">
        <v>1310</v>
      </c>
      <c r="C149" s="616" t="s">
        <v>73</v>
      </c>
      <c r="D149" s="666" t="s">
        <v>118</v>
      </c>
      <c r="E149" s="616">
        <v>3.8</v>
      </c>
      <c r="F149" s="651"/>
      <c r="G149" s="632"/>
      <c r="H149" s="668" t="s">
        <v>8409</v>
      </c>
      <c r="L149" s="652"/>
      <c r="M149" s="652"/>
      <c r="N149" s="652"/>
      <c r="O149" s="652"/>
      <c r="P149" s="652"/>
      <c r="Q149" s="652"/>
      <c r="R149" s="652"/>
      <c r="S149" s="652"/>
      <c r="T149" s="652"/>
      <c r="U149" s="652"/>
      <c r="V149" s="652"/>
      <c r="W149" s="652"/>
      <c r="X149" s="652"/>
      <c r="Y149" s="652"/>
      <c r="Z149" s="652"/>
    </row>
    <row r="150">
      <c r="A150" s="666"/>
      <c r="B150" s="616" t="s">
        <v>701</v>
      </c>
      <c r="C150" s="616" t="s">
        <v>43</v>
      </c>
      <c r="D150" s="666"/>
      <c r="E150" s="616"/>
      <c r="F150" s="651"/>
      <c r="G150" s="632"/>
      <c r="H150" s="669" t="s">
        <v>703</v>
      </c>
      <c r="L150" s="652"/>
      <c r="M150" s="652"/>
      <c r="N150" s="652"/>
      <c r="O150" s="652"/>
      <c r="P150" s="652"/>
      <c r="Q150" s="652"/>
      <c r="R150" s="652"/>
      <c r="S150" s="652"/>
      <c r="T150" s="652"/>
      <c r="U150" s="652"/>
      <c r="V150" s="652"/>
      <c r="W150" s="652"/>
      <c r="X150" s="652"/>
      <c r="Y150" s="652"/>
      <c r="Z150" s="652"/>
    </row>
    <row r="151">
      <c r="A151" s="666" t="s">
        <v>3297</v>
      </c>
      <c r="B151" s="616" t="s">
        <v>1135</v>
      </c>
      <c r="C151" s="616" t="s">
        <v>195</v>
      </c>
      <c r="D151" s="666" t="s">
        <v>1137</v>
      </c>
      <c r="E151" s="616" t="s">
        <v>8410</v>
      </c>
      <c r="F151" s="655" t="s">
        <v>1138</v>
      </c>
      <c r="G151" s="632"/>
      <c r="H151" s="669" t="s">
        <v>8411</v>
      </c>
      <c r="L151" s="652"/>
      <c r="M151" s="652"/>
      <c r="N151" s="652"/>
      <c r="O151" s="652"/>
      <c r="P151" s="652"/>
      <c r="Q151" s="652"/>
      <c r="R151" s="652"/>
      <c r="S151" s="652"/>
      <c r="T151" s="652"/>
      <c r="U151" s="652"/>
      <c r="V151" s="652"/>
      <c r="W151" s="652"/>
      <c r="X151" s="652"/>
      <c r="Y151" s="652"/>
      <c r="Z151" s="652"/>
    </row>
    <row r="152">
      <c r="A152" s="666" t="s">
        <v>2615</v>
      </c>
      <c r="B152" s="616" t="s">
        <v>1081</v>
      </c>
      <c r="C152" s="616" t="s">
        <v>66</v>
      </c>
      <c r="D152" s="666" t="s">
        <v>1084</v>
      </c>
      <c r="E152" s="616">
        <v>3.9</v>
      </c>
      <c r="F152" s="651"/>
      <c r="G152" s="632"/>
      <c r="H152" s="667" t="s">
        <v>8412</v>
      </c>
      <c r="L152" s="652"/>
      <c r="M152" s="652"/>
      <c r="N152" s="652"/>
      <c r="O152" s="652"/>
      <c r="P152" s="652"/>
      <c r="Q152" s="652"/>
      <c r="R152" s="652"/>
      <c r="S152" s="652"/>
      <c r="T152" s="652"/>
      <c r="U152" s="652"/>
      <c r="V152" s="652"/>
      <c r="W152" s="652"/>
      <c r="X152" s="652"/>
      <c r="Y152" s="652"/>
      <c r="Z152" s="652"/>
    </row>
    <row r="153">
      <c r="A153" s="666" t="s">
        <v>8413</v>
      </c>
      <c r="B153" s="616" t="s">
        <v>491</v>
      </c>
      <c r="C153" s="616" t="s">
        <v>307</v>
      </c>
      <c r="D153" s="666" t="s">
        <v>493</v>
      </c>
      <c r="E153" s="616">
        <v>4.53</v>
      </c>
      <c r="F153" s="651"/>
      <c r="G153" s="632"/>
      <c r="H153" s="668" t="s">
        <v>494</v>
      </c>
      <c r="L153" s="652"/>
      <c r="M153" s="652"/>
      <c r="N153" s="652"/>
      <c r="O153" s="652"/>
      <c r="P153" s="652"/>
      <c r="Q153" s="652"/>
      <c r="R153" s="652"/>
      <c r="S153" s="652"/>
      <c r="T153" s="652"/>
      <c r="U153" s="652"/>
      <c r="V153" s="652"/>
      <c r="W153" s="652"/>
      <c r="X153" s="652"/>
      <c r="Y153" s="652"/>
      <c r="Z153" s="652"/>
    </row>
    <row r="154">
      <c r="A154" s="666" t="s">
        <v>2430</v>
      </c>
      <c r="B154" s="616" t="s">
        <v>451</v>
      </c>
      <c r="C154" s="616" t="s">
        <v>453</v>
      </c>
      <c r="D154" s="666" t="s">
        <v>454</v>
      </c>
      <c r="E154" s="616">
        <v>4.19</v>
      </c>
      <c r="F154" s="651"/>
      <c r="G154" s="632"/>
      <c r="H154" s="668" t="s">
        <v>455</v>
      </c>
      <c r="L154" s="652"/>
      <c r="M154" s="652"/>
      <c r="N154" s="652"/>
      <c r="O154" s="652"/>
      <c r="P154" s="652"/>
      <c r="Q154" s="652"/>
      <c r="R154" s="652"/>
      <c r="S154" s="652"/>
      <c r="T154" s="652"/>
      <c r="U154" s="652"/>
      <c r="V154" s="652"/>
      <c r="W154" s="652"/>
      <c r="X154" s="652"/>
      <c r="Y154" s="652"/>
      <c r="Z154" s="652"/>
    </row>
    <row r="155">
      <c r="A155" s="666" t="s">
        <v>8414</v>
      </c>
      <c r="B155" s="616" t="s">
        <v>949</v>
      </c>
      <c r="C155" s="616" t="s">
        <v>43</v>
      </c>
      <c r="D155" s="673"/>
      <c r="E155" s="632"/>
      <c r="F155" s="651"/>
      <c r="G155" s="632"/>
      <c r="H155" s="674" t="s">
        <v>952</v>
      </c>
      <c r="L155" s="652"/>
      <c r="M155" s="652"/>
      <c r="N155" s="652"/>
      <c r="O155" s="652"/>
      <c r="P155" s="652"/>
      <c r="Q155" s="652"/>
      <c r="R155" s="652"/>
      <c r="S155" s="652"/>
      <c r="T155" s="652"/>
      <c r="U155" s="652"/>
      <c r="V155" s="652"/>
      <c r="W155" s="652"/>
      <c r="X155" s="652"/>
      <c r="Y155" s="652"/>
      <c r="Z155" s="652"/>
    </row>
    <row r="156">
      <c r="A156" s="666" t="s">
        <v>2108</v>
      </c>
      <c r="B156" s="616" t="s">
        <v>1019</v>
      </c>
      <c r="C156" s="616" t="s">
        <v>307</v>
      </c>
      <c r="D156" s="666" t="s">
        <v>8415</v>
      </c>
      <c r="E156" s="616">
        <v>4.0</v>
      </c>
      <c r="F156" s="651"/>
      <c r="G156" s="616" t="s">
        <v>8416</v>
      </c>
      <c r="H156" s="669" t="s">
        <v>8417</v>
      </c>
      <c r="L156" s="652"/>
      <c r="M156" s="652"/>
      <c r="N156" s="652"/>
      <c r="O156" s="652"/>
      <c r="P156" s="652"/>
      <c r="Q156" s="652"/>
      <c r="R156" s="652"/>
      <c r="S156" s="652"/>
      <c r="T156" s="652"/>
      <c r="U156" s="652"/>
      <c r="V156" s="652"/>
      <c r="W156" s="652"/>
      <c r="X156" s="652"/>
      <c r="Y156" s="652"/>
      <c r="Z156" s="652"/>
    </row>
    <row r="157">
      <c r="A157" s="666" t="s">
        <v>228</v>
      </c>
      <c r="B157" s="616" t="s">
        <v>1015</v>
      </c>
      <c r="C157" s="616" t="s">
        <v>43</v>
      </c>
      <c r="D157" s="666" t="s">
        <v>223</v>
      </c>
      <c r="E157" s="616">
        <v>3.9</v>
      </c>
      <c r="F157" s="651"/>
      <c r="G157" s="666"/>
      <c r="H157" s="669" t="s">
        <v>8418</v>
      </c>
      <c r="L157" s="652"/>
      <c r="M157" s="652"/>
      <c r="N157" s="652"/>
      <c r="O157" s="652"/>
      <c r="P157" s="652"/>
      <c r="Q157" s="652"/>
      <c r="R157" s="652"/>
      <c r="S157" s="652"/>
      <c r="T157" s="652"/>
      <c r="U157" s="652"/>
      <c r="V157" s="652"/>
      <c r="W157" s="652"/>
      <c r="X157" s="652"/>
      <c r="Y157" s="652"/>
      <c r="Z157" s="652"/>
    </row>
    <row r="158">
      <c r="A158" s="666" t="s">
        <v>8419</v>
      </c>
      <c r="B158" s="616" t="s">
        <v>439</v>
      </c>
      <c r="C158" s="616" t="s">
        <v>307</v>
      </c>
      <c r="D158" s="666" t="s">
        <v>8420</v>
      </c>
      <c r="E158" s="616" t="s">
        <v>1836</v>
      </c>
      <c r="F158" s="651"/>
      <c r="G158" s="632"/>
      <c r="H158" s="669" t="s">
        <v>444</v>
      </c>
      <c r="L158" s="652"/>
      <c r="M158" s="652"/>
      <c r="N158" s="652"/>
      <c r="O158" s="652"/>
      <c r="P158" s="652"/>
      <c r="Q158" s="652"/>
      <c r="R158" s="652"/>
      <c r="S158" s="652"/>
      <c r="T158" s="652"/>
      <c r="U158" s="652"/>
      <c r="V158" s="652"/>
      <c r="W158" s="652"/>
      <c r="X158" s="652"/>
      <c r="Y158" s="652"/>
      <c r="Z158" s="652"/>
    </row>
    <row r="159">
      <c r="A159" s="666" t="s">
        <v>5887</v>
      </c>
      <c r="B159" s="616" t="s">
        <v>893</v>
      </c>
      <c r="C159" s="616" t="s">
        <v>73</v>
      </c>
      <c r="D159" s="666" t="s">
        <v>895</v>
      </c>
      <c r="E159" s="616">
        <v>4.19</v>
      </c>
      <c r="F159" s="651"/>
      <c r="G159" s="632"/>
      <c r="H159" s="668" t="s">
        <v>896</v>
      </c>
      <c r="L159" s="652"/>
      <c r="M159" s="652"/>
      <c r="N159" s="652"/>
      <c r="O159" s="652"/>
      <c r="P159" s="652"/>
      <c r="Q159" s="652"/>
      <c r="R159" s="652"/>
      <c r="S159" s="652"/>
      <c r="T159" s="652"/>
      <c r="U159" s="652"/>
      <c r="V159" s="652"/>
      <c r="W159" s="652"/>
      <c r="X159" s="652"/>
      <c r="Y159" s="652"/>
      <c r="Z159" s="652"/>
    </row>
    <row r="160">
      <c r="A160" s="666" t="s">
        <v>8421</v>
      </c>
      <c r="B160" s="616" t="s">
        <v>477</v>
      </c>
      <c r="C160" s="616" t="s">
        <v>307</v>
      </c>
      <c r="D160" s="666" t="s">
        <v>479</v>
      </c>
      <c r="E160" s="616">
        <v>3.64</v>
      </c>
      <c r="F160" s="651"/>
      <c r="G160" s="616" t="s">
        <v>8422</v>
      </c>
      <c r="H160" s="667" t="s">
        <v>8423</v>
      </c>
      <c r="L160" s="652"/>
      <c r="M160" s="652"/>
      <c r="N160" s="652"/>
      <c r="O160" s="652"/>
      <c r="P160" s="652"/>
      <c r="Q160" s="652"/>
      <c r="R160" s="652"/>
      <c r="S160" s="652"/>
      <c r="T160" s="652"/>
      <c r="U160" s="652"/>
      <c r="V160" s="652"/>
      <c r="W160" s="652"/>
      <c r="X160" s="652"/>
      <c r="Y160" s="652"/>
      <c r="Z160" s="652"/>
    </row>
    <row r="161">
      <c r="A161" s="666" t="s">
        <v>228</v>
      </c>
      <c r="B161" s="616" t="s">
        <v>792</v>
      </c>
      <c r="C161" s="616" t="s">
        <v>73</v>
      </c>
      <c r="D161" s="666" t="s">
        <v>794</v>
      </c>
      <c r="E161" s="616"/>
      <c r="F161" s="655" t="s">
        <v>8297</v>
      </c>
      <c r="G161" s="616"/>
      <c r="H161" s="667" t="s">
        <v>795</v>
      </c>
      <c r="L161" s="652"/>
      <c r="M161" s="652"/>
      <c r="N161" s="652"/>
      <c r="O161" s="652"/>
      <c r="P161" s="652"/>
      <c r="Q161" s="652"/>
      <c r="R161" s="652"/>
      <c r="S161" s="652"/>
      <c r="T161" s="652"/>
      <c r="U161" s="652"/>
      <c r="V161" s="652"/>
      <c r="W161" s="652"/>
      <c r="X161" s="652"/>
      <c r="Y161" s="652"/>
      <c r="Z161" s="652"/>
    </row>
    <row r="162">
      <c r="A162" s="666" t="s">
        <v>1981</v>
      </c>
      <c r="B162" s="616" t="s">
        <v>965</v>
      </c>
      <c r="C162" s="616" t="s">
        <v>195</v>
      </c>
      <c r="D162" s="666" t="s">
        <v>968</v>
      </c>
      <c r="E162" s="616" t="s">
        <v>8424</v>
      </c>
      <c r="F162" s="651"/>
      <c r="G162" s="632"/>
      <c r="H162" s="669" t="s">
        <v>8425</v>
      </c>
      <c r="L162" s="652"/>
      <c r="M162" s="652"/>
      <c r="N162" s="652"/>
      <c r="O162" s="652"/>
      <c r="P162" s="652"/>
      <c r="Q162" s="652"/>
      <c r="R162" s="652"/>
      <c r="S162" s="652"/>
      <c r="T162" s="652"/>
      <c r="U162" s="652"/>
      <c r="V162" s="652"/>
      <c r="W162" s="652"/>
      <c r="X162" s="652"/>
      <c r="Y162" s="652"/>
      <c r="Z162" s="652"/>
    </row>
    <row r="163">
      <c r="A163" s="666" t="s">
        <v>8063</v>
      </c>
      <c r="B163" s="616" t="s">
        <v>1073</v>
      </c>
      <c r="C163" s="616" t="s">
        <v>1075</v>
      </c>
      <c r="D163" s="666" t="s">
        <v>8426</v>
      </c>
      <c r="E163" s="616"/>
      <c r="F163" s="651"/>
      <c r="G163" s="616"/>
      <c r="H163" s="667" t="s">
        <v>1078</v>
      </c>
      <c r="L163" s="652"/>
      <c r="M163" s="652"/>
      <c r="N163" s="652"/>
      <c r="O163" s="652"/>
      <c r="P163" s="652"/>
      <c r="Q163" s="652"/>
      <c r="R163" s="652"/>
      <c r="S163" s="652"/>
      <c r="T163" s="652"/>
      <c r="U163" s="652"/>
      <c r="V163" s="652"/>
      <c r="W163" s="652"/>
      <c r="X163" s="652"/>
      <c r="Y163" s="652"/>
      <c r="Z163" s="652"/>
    </row>
    <row r="164">
      <c r="A164" s="670" t="s">
        <v>5960</v>
      </c>
      <c r="B164" s="645" t="s">
        <v>1056</v>
      </c>
      <c r="C164" s="645" t="s">
        <v>153</v>
      </c>
      <c r="D164" s="670" t="s">
        <v>8427</v>
      </c>
      <c r="E164" s="645" t="s">
        <v>1836</v>
      </c>
      <c r="F164" s="646"/>
      <c r="G164" s="649"/>
      <c r="H164" s="671" t="s">
        <v>1061</v>
      </c>
      <c r="L164" s="652"/>
      <c r="M164" s="652"/>
      <c r="N164" s="652"/>
      <c r="O164" s="652"/>
      <c r="P164" s="652"/>
      <c r="Q164" s="652"/>
      <c r="R164" s="652"/>
      <c r="S164" s="652"/>
      <c r="T164" s="652"/>
      <c r="U164" s="652"/>
      <c r="V164" s="652"/>
      <c r="W164" s="652"/>
      <c r="X164" s="652"/>
      <c r="Y164" s="652"/>
      <c r="Z164" s="652"/>
    </row>
    <row r="165">
      <c r="A165" s="666" t="s">
        <v>8428</v>
      </c>
      <c r="B165" s="616" t="s">
        <v>884</v>
      </c>
      <c r="C165" s="616" t="s">
        <v>43</v>
      </c>
      <c r="D165" s="666" t="s">
        <v>886</v>
      </c>
      <c r="E165" s="616">
        <v>4.0</v>
      </c>
      <c r="F165" s="651"/>
      <c r="G165" s="616" t="s">
        <v>8429</v>
      </c>
      <c r="H165" s="672" t="s">
        <v>8430</v>
      </c>
      <c r="L165" s="652"/>
      <c r="M165" s="652"/>
      <c r="N165" s="652"/>
      <c r="O165" s="652"/>
      <c r="P165" s="652"/>
      <c r="Q165" s="652"/>
      <c r="R165" s="652"/>
      <c r="S165" s="652"/>
      <c r="T165" s="652"/>
      <c r="U165" s="652"/>
      <c r="V165" s="652"/>
      <c r="W165" s="652"/>
      <c r="X165" s="652"/>
      <c r="Y165" s="652"/>
      <c r="Z165" s="652"/>
    </row>
    <row r="166">
      <c r="A166" s="666" t="s">
        <v>2144</v>
      </c>
      <c r="B166" s="616" t="s">
        <v>1062</v>
      </c>
      <c r="C166" s="616" t="s">
        <v>174</v>
      </c>
      <c r="D166" s="666" t="s">
        <v>8431</v>
      </c>
      <c r="E166" s="616">
        <v>4.5</v>
      </c>
      <c r="F166" s="655" t="s">
        <v>8432</v>
      </c>
      <c r="G166" s="632"/>
      <c r="H166" s="669" t="s">
        <v>1064</v>
      </c>
      <c r="L166" s="652"/>
      <c r="M166" s="652"/>
      <c r="N166" s="652"/>
      <c r="O166" s="652"/>
      <c r="P166" s="652"/>
      <c r="Q166" s="652"/>
      <c r="R166" s="652"/>
      <c r="S166" s="652"/>
      <c r="T166" s="652"/>
      <c r="U166" s="652"/>
      <c r="V166" s="652"/>
      <c r="W166" s="652"/>
      <c r="X166" s="652"/>
      <c r="Y166" s="652"/>
      <c r="Z166" s="652"/>
    </row>
    <row r="167">
      <c r="A167" s="666" t="s">
        <v>8433</v>
      </c>
      <c r="B167" s="616" t="s">
        <v>639</v>
      </c>
      <c r="C167" s="616" t="s">
        <v>85</v>
      </c>
      <c r="D167" s="666" t="s">
        <v>642</v>
      </c>
      <c r="E167" s="616">
        <v>4.18</v>
      </c>
      <c r="F167" s="655" t="s">
        <v>643</v>
      </c>
      <c r="G167" s="616" t="s">
        <v>8434</v>
      </c>
      <c r="H167" s="675" t="s">
        <v>644</v>
      </c>
      <c r="L167" s="652"/>
      <c r="M167" s="652"/>
      <c r="N167" s="652"/>
      <c r="O167" s="652"/>
      <c r="P167" s="652"/>
      <c r="Q167" s="652"/>
      <c r="R167" s="652"/>
      <c r="S167" s="652"/>
      <c r="T167" s="652"/>
      <c r="U167" s="652"/>
      <c r="V167" s="652"/>
      <c r="W167" s="652"/>
      <c r="X167" s="652"/>
      <c r="Y167" s="652"/>
      <c r="Z167" s="652"/>
    </row>
    <row r="168">
      <c r="A168" s="666" t="s">
        <v>605</v>
      </c>
      <c r="B168" s="616" t="s">
        <v>1145</v>
      </c>
      <c r="C168" s="616" t="s">
        <v>43</v>
      </c>
      <c r="D168" s="676" t="s">
        <v>1148</v>
      </c>
      <c r="E168" s="677">
        <v>4.0</v>
      </c>
      <c r="F168" s="651"/>
      <c r="G168" s="678"/>
      <c r="H168" s="679" t="s">
        <v>1149</v>
      </c>
      <c r="L168" s="652"/>
      <c r="M168" s="652"/>
      <c r="N168" s="652"/>
      <c r="O168" s="652"/>
      <c r="P168" s="652"/>
      <c r="Q168" s="652"/>
      <c r="R168" s="652"/>
      <c r="S168" s="652"/>
      <c r="T168" s="652"/>
      <c r="U168" s="652"/>
      <c r="V168" s="652"/>
      <c r="W168" s="652"/>
      <c r="X168" s="652"/>
      <c r="Y168" s="652"/>
      <c r="Z168" s="652"/>
    </row>
    <row r="169">
      <c r="A169" s="666" t="s">
        <v>8435</v>
      </c>
      <c r="B169" s="616" t="s">
        <v>481</v>
      </c>
      <c r="C169" s="616" t="s">
        <v>483</v>
      </c>
      <c r="D169" s="666" t="s">
        <v>484</v>
      </c>
      <c r="E169" s="616" t="s">
        <v>8436</v>
      </c>
      <c r="F169" s="651"/>
      <c r="G169" s="632"/>
      <c r="H169" s="669" t="s">
        <v>8437</v>
      </c>
      <c r="L169" s="652"/>
      <c r="M169" s="652"/>
      <c r="N169" s="652"/>
      <c r="O169" s="652"/>
      <c r="P169" s="652"/>
      <c r="Q169" s="652"/>
      <c r="R169" s="652"/>
      <c r="S169" s="652"/>
      <c r="T169" s="652"/>
      <c r="U169" s="652"/>
      <c r="V169" s="652"/>
      <c r="W169" s="652"/>
      <c r="X169" s="652"/>
      <c r="Y169" s="652"/>
      <c r="Z169" s="652"/>
    </row>
    <row r="170">
      <c r="A170" s="666" t="s">
        <v>8438</v>
      </c>
      <c r="B170" s="616" t="s">
        <v>780</v>
      </c>
      <c r="C170" s="616" t="s">
        <v>180</v>
      </c>
      <c r="D170" s="666" t="s">
        <v>8439</v>
      </c>
      <c r="E170" s="632"/>
      <c r="F170" s="655" t="s">
        <v>8440</v>
      </c>
      <c r="G170" s="632"/>
      <c r="H170" s="672" t="s">
        <v>8441</v>
      </c>
      <c r="L170" s="652"/>
      <c r="M170" s="652"/>
      <c r="N170" s="652"/>
      <c r="O170" s="652"/>
      <c r="P170" s="652"/>
      <c r="Q170" s="652"/>
      <c r="R170" s="652"/>
      <c r="S170" s="652"/>
      <c r="T170" s="652"/>
      <c r="U170" s="652"/>
      <c r="V170" s="652"/>
      <c r="W170" s="652"/>
      <c r="X170" s="652"/>
      <c r="Y170" s="652"/>
      <c r="Z170" s="652"/>
    </row>
    <row r="171">
      <c r="A171" s="666" t="s">
        <v>8442</v>
      </c>
      <c r="B171" s="616" t="s">
        <v>1237</v>
      </c>
      <c r="C171" s="616" t="s">
        <v>1153</v>
      </c>
      <c r="D171" s="666" t="s">
        <v>1240</v>
      </c>
      <c r="E171" s="616">
        <v>3.8</v>
      </c>
      <c r="F171" s="651"/>
      <c r="G171" s="666" t="s">
        <v>8443</v>
      </c>
      <c r="H171" s="668" t="s">
        <v>1241</v>
      </c>
      <c r="L171" s="652"/>
      <c r="M171" s="652"/>
      <c r="N171" s="652"/>
      <c r="O171" s="652"/>
      <c r="P171" s="652"/>
      <c r="Q171" s="652"/>
      <c r="R171" s="652"/>
      <c r="S171" s="652"/>
      <c r="T171" s="652"/>
      <c r="U171" s="652"/>
      <c r="V171" s="652"/>
      <c r="W171" s="652"/>
      <c r="X171" s="652"/>
      <c r="Y171" s="652"/>
      <c r="Z171" s="652"/>
    </row>
    <row r="172">
      <c r="A172" s="680" t="s">
        <v>8444</v>
      </c>
      <c r="B172" s="681" t="s">
        <v>8445</v>
      </c>
      <c r="C172" s="681" t="s">
        <v>73</v>
      </c>
      <c r="D172" s="682"/>
      <c r="E172" s="683"/>
      <c r="F172" s="684"/>
      <c r="G172" s="683"/>
      <c r="H172" s="680" t="s">
        <v>998</v>
      </c>
      <c r="L172" s="652"/>
      <c r="M172" s="652"/>
      <c r="N172" s="652"/>
      <c r="O172" s="652"/>
      <c r="P172" s="652"/>
      <c r="Q172" s="652"/>
      <c r="R172" s="652"/>
      <c r="S172" s="652"/>
      <c r="T172" s="652"/>
      <c r="U172" s="652"/>
      <c r="V172" s="652"/>
      <c r="W172" s="652"/>
      <c r="X172" s="652"/>
      <c r="Y172" s="652"/>
      <c r="Z172" s="652"/>
    </row>
    <row r="173">
      <c r="A173" s="680" t="s">
        <v>8446</v>
      </c>
      <c r="B173" s="681" t="s">
        <v>617</v>
      </c>
      <c r="C173" s="681" t="s">
        <v>195</v>
      </c>
      <c r="D173" s="680" t="s">
        <v>8447</v>
      </c>
      <c r="E173" s="683"/>
      <c r="F173" s="684"/>
      <c r="G173" s="683"/>
      <c r="H173" s="681" t="s">
        <v>622</v>
      </c>
      <c r="L173" s="652"/>
      <c r="M173" s="652"/>
      <c r="N173" s="652"/>
      <c r="O173" s="652"/>
      <c r="P173" s="652"/>
      <c r="Q173" s="652"/>
      <c r="R173" s="652"/>
      <c r="S173" s="652"/>
      <c r="T173" s="652"/>
      <c r="U173" s="652"/>
      <c r="V173" s="652"/>
      <c r="W173" s="652"/>
      <c r="X173" s="652"/>
      <c r="Y173" s="652"/>
      <c r="Z173" s="652"/>
    </row>
    <row r="174">
      <c r="A174" s="680" t="s">
        <v>8448</v>
      </c>
      <c r="B174" s="681" t="s">
        <v>796</v>
      </c>
      <c r="C174" s="681" t="s">
        <v>43</v>
      </c>
      <c r="D174" s="680">
        <v>643.0</v>
      </c>
      <c r="E174" s="683"/>
      <c r="F174" s="684"/>
      <c r="G174" s="683"/>
      <c r="H174" s="681" t="s">
        <v>798</v>
      </c>
      <c r="I174" s="683"/>
      <c r="J174" s="683"/>
      <c r="K174" s="683"/>
      <c r="L174" s="683"/>
      <c r="M174" s="683"/>
      <c r="N174" s="683"/>
      <c r="O174" s="683"/>
      <c r="P174" s="683"/>
      <c r="Q174" s="683"/>
      <c r="R174" s="683"/>
      <c r="S174" s="683"/>
      <c r="T174" s="683"/>
      <c r="U174" s="683"/>
      <c r="V174" s="683"/>
      <c r="W174" s="683"/>
      <c r="X174" s="683"/>
      <c r="Y174" s="683"/>
      <c r="Z174" s="683"/>
    </row>
    <row r="175">
      <c r="A175" s="666" t="s">
        <v>6031</v>
      </c>
      <c r="B175" s="616" t="s">
        <v>1162</v>
      </c>
      <c r="C175" s="616" t="s">
        <v>543</v>
      </c>
      <c r="D175" s="676" t="s">
        <v>1165</v>
      </c>
      <c r="E175" s="677">
        <v>4.2</v>
      </c>
      <c r="F175" s="651"/>
      <c r="G175" s="678"/>
      <c r="H175" s="675" t="s">
        <v>1166</v>
      </c>
      <c r="L175" s="652"/>
      <c r="M175" s="652"/>
      <c r="N175" s="652"/>
      <c r="O175" s="652"/>
      <c r="P175" s="652"/>
      <c r="Q175" s="652"/>
      <c r="R175" s="652"/>
      <c r="S175" s="652"/>
      <c r="T175" s="652"/>
      <c r="U175" s="652"/>
      <c r="V175" s="652"/>
      <c r="W175" s="652"/>
      <c r="X175" s="652"/>
      <c r="Y175" s="652"/>
      <c r="Z175" s="652"/>
    </row>
    <row r="176">
      <c r="A176" s="666" t="s">
        <v>8449</v>
      </c>
      <c r="B176" s="616" t="s">
        <v>1251</v>
      </c>
      <c r="C176" s="616" t="s">
        <v>360</v>
      </c>
      <c r="D176" s="666" t="s">
        <v>1254</v>
      </c>
      <c r="E176" s="616">
        <v>3.75</v>
      </c>
      <c r="F176" s="651"/>
      <c r="G176" s="632"/>
      <c r="H176" s="675" t="s">
        <v>1255</v>
      </c>
      <c r="L176" s="652"/>
      <c r="M176" s="652"/>
      <c r="N176" s="652"/>
      <c r="O176" s="652"/>
      <c r="P176" s="652"/>
      <c r="Q176" s="652"/>
      <c r="R176" s="652"/>
      <c r="S176" s="652"/>
      <c r="T176" s="652"/>
      <c r="U176" s="652"/>
      <c r="V176" s="652"/>
      <c r="W176" s="652"/>
      <c r="X176" s="652"/>
      <c r="Y176" s="652"/>
      <c r="Z176" s="652"/>
    </row>
    <row r="177">
      <c r="A177" s="666" t="s">
        <v>8413</v>
      </c>
      <c r="B177" s="616" t="s">
        <v>608</v>
      </c>
      <c r="C177" s="616" t="s">
        <v>174</v>
      </c>
      <c r="D177" s="666" t="s">
        <v>609</v>
      </c>
      <c r="E177" s="616">
        <v>3.5</v>
      </c>
      <c r="F177" s="651"/>
      <c r="G177" s="632"/>
      <c r="H177" s="675" t="s">
        <v>610</v>
      </c>
      <c r="L177" s="652"/>
      <c r="M177" s="652"/>
      <c r="N177" s="652"/>
      <c r="O177" s="652"/>
      <c r="P177" s="652"/>
      <c r="Q177" s="652"/>
      <c r="R177" s="652"/>
      <c r="S177" s="652"/>
      <c r="T177" s="652"/>
      <c r="U177" s="652"/>
      <c r="V177" s="652"/>
      <c r="W177" s="652"/>
      <c r="X177" s="652"/>
      <c r="Y177" s="652"/>
      <c r="Z177" s="652"/>
    </row>
    <row r="178">
      <c r="A178" s="666" t="s">
        <v>5593</v>
      </c>
      <c r="B178" s="616" t="s">
        <v>634</v>
      </c>
      <c r="C178" s="616" t="s">
        <v>636</v>
      </c>
      <c r="D178" s="666" t="s">
        <v>637</v>
      </c>
      <c r="E178" s="616">
        <v>4.0</v>
      </c>
      <c r="F178" s="651"/>
      <c r="G178" s="632"/>
      <c r="H178" s="675" t="s">
        <v>638</v>
      </c>
      <c r="L178" s="652"/>
      <c r="M178" s="652"/>
      <c r="N178" s="652"/>
      <c r="O178" s="652"/>
      <c r="P178" s="652"/>
      <c r="Q178" s="652"/>
      <c r="R178" s="652"/>
      <c r="S178" s="652"/>
      <c r="T178" s="652"/>
      <c r="U178" s="652"/>
      <c r="V178" s="652"/>
      <c r="W178" s="652"/>
      <c r="X178" s="652"/>
      <c r="Y178" s="652"/>
      <c r="Z178" s="652"/>
    </row>
    <row r="179">
      <c r="A179" s="666" t="s">
        <v>43</v>
      </c>
      <c r="B179" s="616" t="s">
        <v>714</v>
      </c>
      <c r="C179" s="616" t="s">
        <v>43</v>
      </c>
      <c r="D179" s="666" t="s">
        <v>717</v>
      </c>
      <c r="E179" s="616">
        <v>3.5</v>
      </c>
      <c r="F179" s="651"/>
      <c r="G179" s="616" t="s">
        <v>8450</v>
      </c>
      <c r="H179" s="667" t="s">
        <v>8451</v>
      </c>
      <c r="L179" s="652"/>
      <c r="M179" s="652"/>
      <c r="N179" s="652"/>
      <c r="O179" s="652"/>
      <c r="P179" s="652"/>
      <c r="Q179" s="652"/>
      <c r="R179" s="652"/>
      <c r="S179" s="652"/>
      <c r="T179" s="652"/>
      <c r="U179" s="652"/>
      <c r="V179" s="652"/>
      <c r="W179" s="652"/>
      <c r="X179" s="652"/>
      <c r="Y179" s="652"/>
      <c r="Z179" s="652"/>
    </row>
    <row r="180">
      <c r="A180" s="666" t="s">
        <v>8452</v>
      </c>
      <c r="B180" s="616" t="s">
        <v>758</v>
      </c>
      <c r="C180" s="616" t="s">
        <v>153</v>
      </c>
      <c r="D180" s="666" t="s">
        <v>8453</v>
      </c>
      <c r="E180" s="616" t="s">
        <v>8454</v>
      </c>
      <c r="F180" s="651"/>
      <c r="G180" s="632"/>
      <c r="H180" s="669" t="s">
        <v>8455</v>
      </c>
      <c r="L180" s="652"/>
      <c r="M180" s="652"/>
      <c r="N180" s="652"/>
      <c r="O180" s="652"/>
      <c r="P180" s="652"/>
      <c r="Q180" s="652"/>
      <c r="R180" s="652"/>
      <c r="S180" s="652"/>
      <c r="T180" s="652"/>
      <c r="U180" s="652"/>
      <c r="V180" s="652"/>
      <c r="W180" s="652"/>
      <c r="X180" s="652"/>
      <c r="Y180" s="652"/>
      <c r="Z180" s="652"/>
    </row>
    <row r="181">
      <c r="A181" s="666" t="s">
        <v>2538</v>
      </c>
      <c r="B181" s="616" t="s">
        <v>628</v>
      </c>
      <c r="C181" s="616" t="s">
        <v>543</v>
      </c>
      <c r="D181" s="666" t="s">
        <v>8456</v>
      </c>
      <c r="E181" s="616">
        <v>4.44</v>
      </c>
      <c r="F181" s="651"/>
      <c r="G181" s="632"/>
      <c r="H181" s="669" t="s">
        <v>8457</v>
      </c>
      <c r="L181" s="652"/>
      <c r="M181" s="652"/>
      <c r="N181" s="652"/>
      <c r="O181" s="652"/>
      <c r="P181" s="652"/>
      <c r="Q181" s="652"/>
      <c r="R181" s="652"/>
      <c r="S181" s="652"/>
      <c r="T181" s="652"/>
      <c r="U181" s="652"/>
      <c r="V181" s="652"/>
      <c r="W181" s="652"/>
      <c r="X181" s="652"/>
      <c r="Y181" s="652"/>
      <c r="Z181" s="652"/>
    </row>
    <row r="182">
      <c r="A182" s="666" t="s">
        <v>8458</v>
      </c>
      <c r="B182" s="616" t="s">
        <v>1242</v>
      </c>
      <c r="C182" s="616" t="s">
        <v>174</v>
      </c>
      <c r="D182" s="666" t="s">
        <v>8431</v>
      </c>
      <c r="E182" s="616">
        <v>3.5</v>
      </c>
      <c r="F182" s="651"/>
      <c r="G182" s="632"/>
      <c r="H182" s="669" t="s">
        <v>1245</v>
      </c>
      <c r="L182" s="652"/>
      <c r="M182" s="652"/>
      <c r="N182" s="652"/>
      <c r="O182" s="652"/>
      <c r="P182" s="652"/>
      <c r="Q182" s="652"/>
      <c r="R182" s="652"/>
      <c r="S182" s="652"/>
      <c r="T182" s="652"/>
      <c r="U182" s="652"/>
      <c r="V182" s="652"/>
      <c r="W182" s="652"/>
      <c r="X182" s="652"/>
      <c r="Y182" s="652"/>
      <c r="Z182" s="652"/>
    </row>
    <row r="183">
      <c r="A183" s="666" t="s">
        <v>1981</v>
      </c>
      <c r="B183" s="616" t="s">
        <v>1261</v>
      </c>
      <c r="C183" s="616" t="s">
        <v>307</v>
      </c>
      <c r="D183" s="666" t="s">
        <v>1264</v>
      </c>
      <c r="E183" s="616" t="s">
        <v>400</v>
      </c>
      <c r="F183" s="651"/>
      <c r="G183" s="632"/>
      <c r="H183" s="675" t="s">
        <v>1265</v>
      </c>
      <c r="L183" s="652"/>
      <c r="M183" s="652"/>
      <c r="N183" s="652"/>
      <c r="O183" s="652"/>
      <c r="P183" s="652"/>
      <c r="Q183" s="652"/>
      <c r="R183" s="652"/>
      <c r="S183" s="652"/>
      <c r="T183" s="652"/>
      <c r="U183" s="652"/>
      <c r="V183" s="652"/>
      <c r="W183" s="652"/>
      <c r="X183" s="652"/>
      <c r="Y183" s="652"/>
      <c r="Z183" s="652"/>
    </row>
    <row r="184">
      <c r="A184" s="666" t="s">
        <v>1981</v>
      </c>
      <c r="B184" s="616" t="s">
        <v>1214</v>
      </c>
      <c r="C184" s="616" t="s">
        <v>319</v>
      </c>
      <c r="D184" s="666" t="s">
        <v>8459</v>
      </c>
      <c r="E184" s="616">
        <v>4.5</v>
      </c>
      <c r="F184" s="651"/>
      <c r="G184" s="616"/>
      <c r="H184" s="667" t="s">
        <v>8460</v>
      </c>
      <c r="L184" s="652"/>
      <c r="M184" s="652"/>
      <c r="N184" s="652"/>
      <c r="O184" s="652"/>
      <c r="P184" s="652"/>
      <c r="Q184" s="652"/>
      <c r="R184" s="652"/>
      <c r="S184" s="652"/>
      <c r="T184" s="652"/>
      <c r="U184" s="652"/>
      <c r="V184" s="652"/>
      <c r="W184" s="652"/>
      <c r="X184" s="652"/>
      <c r="Y184" s="652"/>
      <c r="Z184" s="652"/>
    </row>
    <row r="185">
      <c r="A185" s="666" t="s">
        <v>8461</v>
      </c>
      <c r="B185" s="616" t="s">
        <v>1192</v>
      </c>
      <c r="C185" s="616" t="s">
        <v>286</v>
      </c>
      <c r="D185" s="666" t="s">
        <v>1195</v>
      </c>
      <c r="E185" s="616">
        <v>4.2</v>
      </c>
      <c r="F185" s="651"/>
      <c r="G185" s="632"/>
      <c r="H185" s="668" t="s">
        <v>1196</v>
      </c>
      <c r="L185" s="652"/>
      <c r="M185" s="652"/>
      <c r="N185" s="652"/>
      <c r="O185" s="652"/>
      <c r="P185" s="652"/>
      <c r="Q185" s="652"/>
      <c r="R185" s="652"/>
      <c r="S185" s="652"/>
      <c r="T185" s="652"/>
      <c r="U185" s="652"/>
      <c r="V185" s="652"/>
      <c r="W185" s="652"/>
      <c r="X185" s="652"/>
      <c r="Y185" s="652"/>
      <c r="Z185" s="652"/>
    </row>
    <row r="186">
      <c r="A186" s="666" t="s">
        <v>8462</v>
      </c>
      <c r="B186" s="616" t="s">
        <v>1140</v>
      </c>
      <c r="C186" s="616" t="s">
        <v>286</v>
      </c>
      <c r="D186" s="666" t="s">
        <v>1143</v>
      </c>
      <c r="E186" s="616">
        <v>3.89</v>
      </c>
      <c r="F186" s="651"/>
      <c r="G186" s="632"/>
      <c r="H186" s="668" t="s">
        <v>1144</v>
      </c>
      <c r="L186" s="652"/>
      <c r="M186" s="652"/>
      <c r="N186" s="652"/>
      <c r="O186" s="652"/>
      <c r="P186" s="652"/>
      <c r="Q186" s="652"/>
      <c r="R186" s="652"/>
      <c r="S186" s="652"/>
      <c r="T186" s="652"/>
      <c r="U186" s="652"/>
      <c r="V186" s="652"/>
      <c r="W186" s="652"/>
      <c r="X186" s="652"/>
      <c r="Y186" s="652"/>
      <c r="Z186" s="652"/>
    </row>
    <row r="187">
      <c r="A187" s="666" t="s">
        <v>2164</v>
      </c>
      <c r="B187" s="616" t="s">
        <v>1289</v>
      </c>
      <c r="C187" s="616" t="s">
        <v>125</v>
      </c>
      <c r="D187" s="666" t="s">
        <v>1292</v>
      </c>
      <c r="E187" s="616" t="s">
        <v>400</v>
      </c>
      <c r="F187" s="651"/>
      <c r="G187" s="632"/>
      <c r="H187" s="668" t="s">
        <v>1293</v>
      </c>
      <c r="L187" s="652"/>
      <c r="M187" s="652"/>
      <c r="N187" s="652"/>
      <c r="O187" s="652"/>
      <c r="P187" s="652"/>
      <c r="Q187" s="652"/>
      <c r="R187" s="652"/>
      <c r="S187" s="652"/>
      <c r="T187" s="652"/>
      <c r="U187" s="652"/>
      <c r="V187" s="652"/>
      <c r="W187" s="652"/>
      <c r="X187" s="652"/>
      <c r="Y187" s="652"/>
      <c r="Z187" s="652"/>
    </row>
    <row r="188">
      <c r="A188" s="666" t="s">
        <v>8463</v>
      </c>
      <c r="B188" s="616" t="s">
        <v>874</v>
      </c>
      <c r="C188" s="616" t="s">
        <v>52</v>
      </c>
      <c r="D188" s="666" t="s">
        <v>8464</v>
      </c>
      <c r="E188" s="616"/>
      <c r="F188" s="651"/>
      <c r="G188" s="632"/>
      <c r="H188" s="669" t="s">
        <v>878</v>
      </c>
      <c r="L188" s="652"/>
      <c r="M188" s="652"/>
      <c r="N188" s="652"/>
      <c r="O188" s="652"/>
      <c r="P188" s="652"/>
      <c r="Q188" s="652"/>
      <c r="R188" s="652"/>
      <c r="S188" s="652"/>
      <c r="T188" s="652"/>
      <c r="U188" s="652"/>
      <c r="V188" s="652"/>
      <c r="W188" s="652"/>
      <c r="X188" s="652"/>
      <c r="Y188" s="652"/>
      <c r="Z188" s="652"/>
    </row>
    <row r="189">
      <c r="A189" s="666" t="s">
        <v>8465</v>
      </c>
      <c r="B189" s="616" t="s">
        <v>844</v>
      </c>
      <c r="C189" s="616" t="s">
        <v>153</v>
      </c>
      <c r="D189" s="666" t="s">
        <v>847</v>
      </c>
      <c r="E189" s="632"/>
      <c r="F189" s="651"/>
      <c r="G189" s="632"/>
      <c r="H189" s="669" t="s">
        <v>8466</v>
      </c>
      <c r="L189" s="652"/>
      <c r="M189" s="652"/>
      <c r="N189" s="652"/>
      <c r="O189" s="652"/>
      <c r="P189" s="652"/>
      <c r="Q189" s="652"/>
      <c r="R189" s="652"/>
      <c r="S189" s="652"/>
      <c r="T189" s="652"/>
      <c r="U189" s="652"/>
      <c r="V189" s="652"/>
      <c r="W189" s="652"/>
      <c r="X189" s="652"/>
      <c r="Y189" s="652"/>
      <c r="Z189" s="652"/>
    </row>
    <row r="190">
      <c r="A190" s="629" t="s">
        <v>8467</v>
      </c>
      <c r="B190" s="616" t="s">
        <v>677</v>
      </c>
      <c r="C190" s="616" t="s">
        <v>195</v>
      </c>
      <c r="D190" s="666" t="s">
        <v>679</v>
      </c>
      <c r="E190" s="632"/>
      <c r="F190" s="655" t="s">
        <v>8468</v>
      </c>
      <c r="G190" s="616" t="s">
        <v>8264</v>
      </c>
      <c r="H190" s="669" t="s">
        <v>8469</v>
      </c>
      <c r="L190" s="652"/>
      <c r="M190" s="652"/>
      <c r="N190" s="652"/>
      <c r="O190" s="652"/>
      <c r="P190" s="652"/>
      <c r="Q190" s="652"/>
      <c r="R190" s="652"/>
      <c r="S190" s="652"/>
      <c r="T190" s="652"/>
      <c r="U190" s="652"/>
      <c r="V190" s="652"/>
      <c r="W190" s="652"/>
      <c r="X190" s="652"/>
      <c r="Y190" s="652"/>
      <c r="Z190" s="652"/>
    </row>
    <row r="191">
      <c r="A191" s="666" t="s">
        <v>8470</v>
      </c>
      <c r="B191" s="616" t="s">
        <v>1128</v>
      </c>
      <c r="C191" s="616" t="s">
        <v>448</v>
      </c>
      <c r="D191" s="666" t="s">
        <v>1130</v>
      </c>
      <c r="E191" s="616">
        <v>4.0</v>
      </c>
      <c r="F191" s="651"/>
      <c r="G191" s="632"/>
      <c r="H191" s="668" t="s">
        <v>1131</v>
      </c>
      <c r="L191" s="652"/>
      <c r="M191" s="652"/>
      <c r="N191" s="652"/>
      <c r="O191" s="652"/>
      <c r="P191" s="652"/>
      <c r="Q191" s="652"/>
      <c r="R191" s="652"/>
      <c r="S191" s="652"/>
      <c r="T191" s="652"/>
      <c r="U191" s="652"/>
      <c r="V191" s="652"/>
      <c r="W191" s="652"/>
      <c r="X191" s="652"/>
      <c r="Y191" s="652"/>
      <c r="Z191" s="652"/>
    </row>
    <row r="192">
      <c r="A192" s="666" t="s">
        <v>5912</v>
      </c>
      <c r="B192" s="616" t="s">
        <v>911</v>
      </c>
      <c r="C192" s="616" t="s">
        <v>307</v>
      </c>
      <c r="D192" s="666" t="s">
        <v>913</v>
      </c>
      <c r="E192" s="632"/>
      <c r="F192" s="655"/>
      <c r="G192" s="632"/>
      <c r="H192" s="672" t="s">
        <v>914</v>
      </c>
      <c r="L192" s="652"/>
      <c r="M192" s="652"/>
      <c r="N192" s="652"/>
      <c r="O192" s="652"/>
      <c r="P192" s="652"/>
      <c r="Q192" s="652"/>
      <c r="R192" s="652"/>
      <c r="S192" s="652"/>
      <c r="T192" s="652"/>
      <c r="U192" s="652"/>
      <c r="V192" s="652"/>
      <c r="W192" s="652"/>
      <c r="X192" s="652"/>
      <c r="Y192" s="652"/>
      <c r="Z192" s="652"/>
    </row>
    <row r="193">
      <c r="A193" s="666" t="s">
        <v>5354</v>
      </c>
      <c r="B193" s="616" t="s">
        <v>754</v>
      </c>
      <c r="C193" s="616" t="s">
        <v>483</v>
      </c>
      <c r="D193" s="666" t="s">
        <v>756</v>
      </c>
      <c r="E193" s="616" t="s">
        <v>8471</v>
      </c>
      <c r="F193" s="651"/>
      <c r="G193" s="632"/>
      <c r="H193" s="669" t="s">
        <v>757</v>
      </c>
      <c r="L193" s="652"/>
      <c r="M193" s="652"/>
      <c r="N193" s="652"/>
      <c r="O193" s="652"/>
      <c r="P193" s="652"/>
      <c r="Q193" s="652"/>
      <c r="R193" s="652"/>
      <c r="S193" s="652"/>
      <c r="T193" s="652"/>
      <c r="U193" s="652"/>
      <c r="V193" s="652"/>
      <c r="W193" s="652"/>
      <c r="X193" s="652"/>
      <c r="Y193" s="652"/>
      <c r="Z193" s="652"/>
    </row>
    <row r="194">
      <c r="A194" s="666" t="s">
        <v>8472</v>
      </c>
      <c r="B194" s="616" t="s">
        <v>8473</v>
      </c>
      <c r="C194" s="616" t="s">
        <v>180</v>
      </c>
      <c r="D194" s="666" t="s">
        <v>1212</v>
      </c>
      <c r="E194" s="632"/>
      <c r="F194" s="651"/>
      <c r="G194" s="632"/>
      <c r="H194" s="669" t="s">
        <v>8474</v>
      </c>
      <c r="L194" s="652"/>
      <c r="M194" s="652"/>
      <c r="N194" s="652"/>
      <c r="O194" s="652"/>
      <c r="P194" s="652"/>
      <c r="Q194" s="652"/>
      <c r="R194" s="652"/>
      <c r="S194" s="652"/>
      <c r="T194" s="652"/>
      <c r="U194" s="652"/>
      <c r="V194" s="652"/>
      <c r="W194" s="652"/>
      <c r="X194" s="652"/>
      <c r="Y194" s="652"/>
      <c r="Z194" s="652"/>
    </row>
    <row r="195">
      <c r="A195" s="666">
        <v>3.0</v>
      </c>
      <c r="B195" s="616" t="s">
        <v>1050</v>
      </c>
      <c r="C195" s="616" t="s">
        <v>286</v>
      </c>
      <c r="D195" s="666" t="s">
        <v>1053</v>
      </c>
      <c r="E195" s="685">
        <v>4.0</v>
      </c>
      <c r="F195" s="655" t="s">
        <v>1054</v>
      </c>
      <c r="G195" s="632"/>
      <c r="H195" s="669" t="s">
        <v>8475</v>
      </c>
      <c r="L195" s="652"/>
      <c r="M195" s="652"/>
      <c r="N195" s="652"/>
      <c r="O195" s="652"/>
      <c r="P195" s="652"/>
      <c r="Q195" s="652"/>
      <c r="R195" s="652"/>
      <c r="S195" s="652"/>
      <c r="T195" s="652"/>
      <c r="U195" s="652"/>
      <c r="V195" s="652"/>
      <c r="W195" s="652"/>
      <c r="X195" s="652"/>
      <c r="Y195" s="652"/>
      <c r="Z195" s="652"/>
    </row>
    <row r="196">
      <c r="A196" s="666" t="s">
        <v>8476</v>
      </c>
      <c r="B196" s="616" t="s">
        <v>870</v>
      </c>
      <c r="C196" s="616" t="s">
        <v>255</v>
      </c>
      <c r="D196" s="666" t="s">
        <v>872</v>
      </c>
      <c r="E196" s="632"/>
      <c r="F196" s="651"/>
      <c r="G196" s="632"/>
      <c r="H196" s="669" t="s">
        <v>873</v>
      </c>
      <c r="L196" s="652"/>
      <c r="M196" s="652"/>
      <c r="N196" s="652"/>
      <c r="O196" s="652"/>
      <c r="P196" s="652"/>
      <c r="Q196" s="652"/>
      <c r="R196" s="652"/>
      <c r="S196" s="652"/>
      <c r="T196" s="652"/>
      <c r="U196" s="652"/>
      <c r="V196" s="652"/>
      <c r="W196" s="652"/>
      <c r="X196" s="652"/>
      <c r="Y196" s="652"/>
      <c r="Z196" s="652"/>
    </row>
    <row r="197">
      <c r="A197" s="629" t="s">
        <v>8477</v>
      </c>
      <c r="B197" s="616" t="s">
        <v>691</v>
      </c>
      <c r="C197" s="616" t="s">
        <v>174</v>
      </c>
      <c r="D197" s="666" t="s">
        <v>693</v>
      </c>
      <c r="E197" s="616">
        <v>3.5</v>
      </c>
      <c r="F197" s="651"/>
      <c r="G197" s="632"/>
      <c r="H197" s="668" t="s">
        <v>694</v>
      </c>
      <c r="L197" s="652"/>
      <c r="M197" s="652"/>
      <c r="N197" s="652"/>
      <c r="O197" s="652"/>
      <c r="P197" s="652"/>
      <c r="Q197" s="652"/>
      <c r="R197" s="652"/>
      <c r="S197" s="652"/>
      <c r="T197" s="652"/>
      <c r="U197" s="652"/>
      <c r="V197" s="652"/>
      <c r="W197" s="652"/>
      <c r="X197" s="652"/>
      <c r="Y197" s="652"/>
      <c r="Z197" s="652"/>
    </row>
    <row r="198">
      <c r="A198" s="629" t="s">
        <v>8478</v>
      </c>
      <c r="B198" s="616" t="s">
        <v>598</v>
      </c>
      <c r="C198" s="616" t="s">
        <v>43</v>
      </c>
      <c r="D198" s="666" t="s">
        <v>8479</v>
      </c>
      <c r="E198" s="632"/>
      <c r="F198" s="651"/>
      <c r="G198" s="632"/>
      <c r="H198" s="669" t="s">
        <v>602</v>
      </c>
      <c r="L198" s="634"/>
      <c r="M198" s="634"/>
      <c r="N198" s="634"/>
      <c r="O198" s="634"/>
      <c r="P198" s="634"/>
      <c r="Q198" s="634"/>
      <c r="R198" s="634"/>
      <c r="S198" s="634"/>
      <c r="T198" s="634"/>
      <c r="U198" s="634"/>
      <c r="V198" s="634"/>
      <c r="W198" s="634"/>
      <c r="X198" s="634"/>
      <c r="Y198" s="634"/>
      <c r="Z198" s="634"/>
    </row>
    <row r="199">
      <c r="A199" s="686" t="s">
        <v>8480</v>
      </c>
      <c r="B199" s="616" t="s">
        <v>991</v>
      </c>
      <c r="C199" s="616" t="s">
        <v>125</v>
      </c>
      <c r="D199" s="616" t="s">
        <v>166</v>
      </c>
      <c r="E199" s="632"/>
      <c r="F199" s="655" t="s">
        <v>8432</v>
      </c>
      <c r="G199" s="632"/>
      <c r="H199" s="666" t="s">
        <v>994</v>
      </c>
      <c r="L199" s="652"/>
      <c r="M199" s="652"/>
      <c r="N199" s="652"/>
      <c r="O199" s="652"/>
      <c r="P199" s="652"/>
      <c r="Q199" s="652"/>
      <c r="R199" s="652"/>
      <c r="S199" s="652"/>
      <c r="T199" s="652"/>
      <c r="U199" s="652"/>
      <c r="V199" s="652"/>
      <c r="W199" s="652"/>
      <c r="X199" s="652"/>
      <c r="Y199" s="652"/>
      <c r="Z199" s="652"/>
    </row>
    <row r="200">
      <c r="A200" s="629" t="s">
        <v>8481</v>
      </c>
      <c r="B200" s="616" t="s">
        <v>1033</v>
      </c>
      <c r="C200" s="616" t="s">
        <v>240</v>
      </c>
      <c r="D200" s="666" t="s">
        <v>8482</v>
      </c>
      <c r="E200" s="616">
        <v>4.8</v>
      </c>
      <c r="F200" s="651"/>
      <c r="G200" s="616" t="s">
        <v>8483</v>
      </c>
      <c r="H200" s="667" t="s">
        <v>1036</v>
      </c>
      <c r="L200" s="652"/>
      <c r="M200" s="652"/>
      <c r="N200" s="652"/>
      <c r="O200" s="652"/>
      <c r="P200" s="652"/>
      <c r="Q200" s="652"/>
      <c r="R200" s="652"/>
      <c r="S200" s="652"/>
      <c r="T200" s="652"/>
      <c r="U200" s="652"/>
      <c r="V200" s="652"/>
      <c r="W200" s="652"/>
      <c r="X200" s="652"/>
      <c r="Y200" s="652"/>
      <c r="Z200" s="652"/>
    </row>
    <row r="201">
      <c r="A201" s="629" t="s">
        <v>8480</v>
      </c>
      <c r="B201" s="616" t="s">
        <v>8484</v>
      </c>
      <c r="C201" s="616" t="s">
        <v>43</v>
      </c>
      <c r="D201" s="666" t="s">
        <v>675</v>
      </c>
      <c r="E201" s="632"/>
      <c r="F201" s="651"/>
      <c r="G201" s="632"/>
      <c r="H201" s="671" t="s">
        <v>8485</v>
      </c>
      <c r="L201" s="652"/>
      <c r="M201" s="652"/>
      <c r="N201" s="652"/>
      <c r="O201" s="652"/>
      <c r="P201" s="652"/>
      <c r="Q201" s="652"/>
      <c r="R201" s="652"/>
      <c r="S201" s="652"/>
      <c r="T201" s="652"/>
      <c r="U201" s="652"/>
      <c r="V201" s="652"/>
      <c r="W201" s="652"/>
      <c r="X201" s="652"/>
      <c r="Y201" s="652"/>
      <c r="Z201" s="652"/>
    </row>
    <row r="202">
      <c r="A202" s="629" t="s">
        <v>8486</v>
      </c>
      <c r="B202" s="616" t="s">
        <v>522</v>
      </c>
      <c r="C202" s="616" t="s">
        <v>52</v>
      </c>
      <c r="D202" s="666" t="s">
        <v>8487</v>
      </c>
      <c r="E202" s="616">
        <v>4.0</v>
      </c>
      <c r="F202" s="651"/>
      <c r="G202" s="632"/>
      <c r="H202" s="669" t="s">
        <v>526</v>
      </c>
      <c r="L202" s="652"/>
      <c r="M202" s="652"/>
      <c r="N202" s="652"/>
      <c r="O202" s="652"/>
      <c r="P202" s="652"/>
      <c r="Q202" s="652"/>
      <c r="R202" s="652"/>
      <c r="S202" s="652"/>
      <c r="T202" s="652"/>
      <c r="U202" s="652"/>
      <c r="V202" s="652"/>
      <c r="W202" s="652"/>
      <c r="X202" s="652"/>
      <c r="Y202" s="652"/>
      <c r="Z202" s="652"/>
    </row>
    <row r="203">
      <c r="A203" s="629" t="s">
        <v>8480</v>
      </c>
      <c r="B203" s="616" t="s">
        <v>1226</v>
      </c>
      <c r="C203" s="616" t="s">
        <v>307</v>
      </c>
      <c r="D203" s="666" t="s">
        <v>8488</v>
      </c>
      <c r="E203" s="616">
        <v>3.9</v>
      </c>
      <c r="F203" s="651"/>
      <c r="G203" s="632"/>
      <c r="H203" s="669" t="s">
        <v>1231</v>
      </c>
      <c r="L203" s="652"/>
      <c r="M203" s="652"/>
      <c r="N203" s="652"/>
      <c r="O203" s="652"/>
      <c r="P203" s="652"/>
      <c r="Q203" s="652"/>
      <c r="R203" s="652"/>
      <c r="S203" s="652"/>
      <c r="T203" s="652"/>
      <c r="U203" s="652"/>
      <c r="V203" s="652"/>
      <c r="W203" s="652"/>
      <c r="X203" s="652"/>
      <c r="Y203" s="652"/>
      <c r="Z203" s="652"/>
    </row>
    <row r="204">
      <c r="A204" s="666" t="s">
        <v>1981</v>
      </c>
      <c r="B204" s="616" t="s">
        <v>1103</v>
      </c>
      <c r="C204" s="616" t="s">
        <v>43</v>
      </c>
      <c r="D204" s="666" t="s">
        <v>8489</v>
      </c>
      <c r="E204" s="616">
        <v>4.2</v>
      </c>
      <c r="F204" s="651"/>
      <c r="G204" s="632"/>
      <c r="H204" s="669" t="s">
        <v>1107</v>
      </c>
      <c r="L204" s="652"/>
      <c r="M204" s="652"/>
      <c r="N204" s="652"/>
      <c r="O204" s="652"/>
      <c r="P204" s="652"/>
      <c r="Q204" s="652"/>
      <c r="R204" s="652"/>
      <c r="S204" s="652"/>
      <c r="T204" s="652"/>
      <c r="U204" s="652"/>
      <c r="V204" s="652"/>
      <c r="W204" s="652"/>
      <c r="X204" s="652"/>
      <c r="Y204" s="652"/>
      <c r="Z204" s="652"/>
    </row>
    <row r="205">
      <c r="A205" s="666" t="s">
        <v>1981</v>
      </c>
      <c r="B205" s="616" t="s">
        <v>987</v>
      </c>
      <c r="C205" s="616" t="s">
        <v>125</v>
      </c>
      <c r="D205" s="666" t="s">
        <v>207</v>
      </c>
      <c r="E205" s="616">
        <v>3.7</v>
      </c>
      <c r="F205" s="651"/>
      <c r="G205" s="632"/>
      <c r="H205" s="669" t="s">
        <v>990</v>
      </c>
      <c r="L205" s="652"/>
      <c r="M205" s="652"/>
      <c r="N205" s="652"/>
      <c r="O205" s="652"/>
      <c r="P205" s="652"/>
      <c r="Q205" s="652"/>
      <c r="R205" s="652"/>
      <c r="S205" s="652"/>
      <c r="T205" s="652"/>
      <c r="U205" s="652"/>
      <c r="V205" s="652"/>
      <c r="W205" s="652"/>
      <c r="X205" s="652"/>
      <c r="Y205" s="652"/>
      <c r="Z205" s="652"/>
    </row>
    <row r="206">
      <c r="A206" s="629" t="s">
        <v>2028</v>
      </c>
      <c r="B206" s="616" t="s">
        <v>849</v>
      </c>
      <c r="C206" s="616" t="s">
        <v>519</v>
      </c>
      <c r="D206" s="666" t="s">
        <v>8490</v>
      </c>
      <c r="E206" s="616">
        <v>4.0</v>
      </c>
      <c r="F206" s="651"/>
      <c r="G206" s="632"/>
      <c r="H206" s="633" t="s">
        <v>854</v>
      </c>
      <c r="L206" s="634"/>
      <c r="M206" s="634"/>
      <c r="N206" s="634"/>
      <c r="O206" s="634"/>
      <c r="P206" s="634"/>
      <c r="Q206" s="634"/>
      <c r="R206" s="634"/>
      <c r="S206" s="634"/>
      <c r="T206" s="634"/>
      <c r="U206" s="634"/>
      <c r="V206" s="634"/>
      <c r="W206" s="634"/>
      <c r="X206" s="634"/>
      <c r="Y206" s="634"/>
      <c r="Z206" s="634"/>
    </row>
    <row r="207">
      <c r="A207" s="666" t="s">
        <v>8491</v>
      </c>
      <c r="B207" s="616" t="s">
        <v>799</v>
      </c>
      <c r="C207" s="616" t="s">
        <v>125</v>
      </c>
      <c r="D207" s="666" t="s">
        <v>802</v>
      </c>
      <c r="E207" s="616"/>
      <c r="F207" s="651"/>
      <c r="G207" s="632"/>
      <c r="H207" s="669" t="s">
        <v>803</v>
      </c>
      <c r="L207" s="652"/>
      <c r="M207" s="652"/>
      <c r="N207" s="652"/>
      <c r="O207" s="652"/>
      <c r="P207" s="652"/>
      <c r="Q207" s="652"/>
      <c r="R207" s="652"/>
      <c r="S207" s="652"/>
      <c r="T207" s="652"/>
      <c r="U207" s="652"/>
      <c r="V207" s="652"/>
      <c r="W207" s="652"/>
      <c r="X207" s="652"/>
      <c r="Y207" s="652"/>
      <c r="Z207" s="652"/>
    </row>
    <row r="208">
      <c r="A208" s="666" t="s">
        <v>8492</v>
      </c>
      <c r="B208" s="616" t="s">
        <v>1117</v>
      </c>
      <c r="C208" s="616" t="s">
        <v>43</v>
      </c>
      <c r="D208" s="666" t="s">
        <v>8493</v>
      </c>
      <c r="E208" s="632"/>
      <c r="F208" s="651"/>
      <c r="G208" s="632"/>
      <c r="H208" s="669" t="s">
        <v>8494</v>
      </c>
      <c r="L208" s="652"/>
      <c r="M208" s="652"/>
      <c r="N208" s="652"/>
      <c r="O208" s="652"/>
      <c r="P208" s="652"/>
      <c r="Q208" s="652"/>
      <c r="R208" s="652"/>
      <c r="S208" s="652"/>
      <c r="T208" s="652"/>
      <c r="U208" s="652"/>
      <c r="V208" s="652"/>
      <c r="W208" s="652"/>
      <c r="X208" s="652"/>
      <c r="Y208" s="652"/>
      <c r="Z208" s="652"/>
    </row>
    <row r="209">
      <c r="A209" s="666" t="s">
        <v>8495</v>
      </c>
      <c r="B209" s="616" t="s">
        <v>574</v>
      </c>
      <c r="C209" s="616" t="s">
        <v>195</v>
      </c>
      <c r="D209" s="666" t="s">
        <v>8496</v>
      </c>
      <c r="E209" s="632"/>
      <c r="F209" s="655"/>
      <c r="G209" s="632"/>
      <c r="H209" s="672"/>
      <c r="L209" s="652"/>
      <c r="M209" s="652"/>
      <c r="N209" s="652"/>
      <c r="O209" s="652"/>
      <c r="P209" s="652"/>
      <c r="Q209" s="652"/>
      <c r="R209" s="652"/>
      <c r="S209" s="652"/>
      <c r="T209" s="652"/>
      <c r="U209" s="652"/>
      <c r="V209" s="652"/>
      <c r="W209" s="652"/>
      <c r="X209" s="652"/>
      <c r="Y209" s="652"/>
      <c r="Z209" s="652"/>
    </row>
    <row r="210">
      <c r="A210" s="666" t="s">
        <v>2028</v>
      </c>
      <c r="B210" s="616" t="s">
        <v>611</v>
      </c>
      <c r="C210" s="616" t="s">
        <v>614</v>
      </c>
      <c r="D210" s="666" t="s">
        <v>615</v>
      </c>
      <c r="E210" s="687" t="s">
        <v>8497</v>
      </c>
      <c r="F210" s="651"/>
      <c r="G210" s="632"/>
      <c r="H210" s="675" t="s">
        <v>616</v>
      </c>
      <c r="L210" s="652"/>
      <c r="M210" s="652"/>
      <c r="N210" s="652"/>
      <c r="O210" s="652"/>
      <c r="P210" s="652"/>
      <c r="Q210" s="652"/>
      <c r="R210" s="652"/>
      <c r="S210" s="652"/>
      <c r="T210" s="652"/>
      <c r="U210" s="652"/>
      <c r="V210" s="652"/>
      <c r="W210" s="652"/>
      <c r="X210" s="652"/>
      <c r="Y210" s="652"/>
      <c r="Z210" s="652"/>
    </row>
    <row r="211">
      <c r="A211" s="666" t="s">
        <v>8498</v>
      </c>
      <c r="B211" s="616" t="s">
        <v>1070</v>
      </c>
      <c r="C211" s="616" t="s">
        <v>43</v>
      </c>
      <c r="D211" s="673"/>
      <c r="E211" s="632"/>
      <c r="F211" s="651"/>
      <c r="G211" s="632"/>
      <c r="H211" s="669" t="s">
        <v>1072</v>
      </c>
      <c r="L211" s="652"/>
      <c r="M211" s="652"/>
      <c r="N211" s="652"/>
      <c r="O211" s="652"/>
      <c r="P211" s="652"/>
      <c r="Q211" s="652"/>
      <c r="R211" s="652"/>
      <c r="S211" s="652"/>
      <c r="T211" s="652"/>
      <c r="U211" s="652"/>
      <c r="V211" s="652"/>
      <c r="W211" s="652"/>
      <c r="X211" s="652"/>
      <c r="Y211" s="652"/>
      <c r="Z211" s="652"/>
    </row>
    <row r="212">
      <c r="A212" s="666" t="s">
        <v>8499</v>
      </c>
      <c r="B212" s="616" t="s">
        <v>495</v>
      </c>
      <c r="C212" s="616" t="s">
        <v>112</v>
      </c>
      <c r="D212" s="666" t="s">
        <v>498</v>
      </c>
      <c r="E212" s="616">
        <v>4.1</v>
      </c>
      <c r="F212" s="651"/>
      <c r="G212" s="632"/>
      <c r="H212" s="669" t="s">
        <v>499</v>
      </c>
      <c r="L212" s="652"/>
      <c r="M212" s="652"/>
      <c r="N212" s="652"/>
      <c r="O212" s="652"/>
      <c r="P212" s="652"/>
      <c r="Q212" s="652"/>
      <c r="R212" s="652"/>
      <c r="S212" s="652"/>
      <c r="T212" s="652"/>
      <c r="U212" s="652"/>
      <c r="V212" s="652"/>
      <c r="W212" s="652"/>
      <c r="X212" s="652"/>
      <c r="Y212" s="652"/>
      <c r="Z212" s="652"/>
    </row>
    <row r="213">
      <c r="A213" s="616" t="s">
        <v>2144</v>
      </c>
      <c r="B213" s="616" t="s">
        <v>1298</v>
      </c>
      <c r="C213" s="616" t="s">
        <v>73</v>
      </c>
      <c r="D213" s="616" t="s">
        <v>1235</v>
      </c>
      <c r="E213" s="616" t="s">
        <v>8500</v>
      </c>
      <c r="F213" s="651"/>
      <c r="G213" s="632"/>
      <c r="H213" s="666" t="s">
        <v>8501</v>
      </c>
      <c r="L213" s="652"/>
      <c r="M213" s="652"/>
      <c r="N213" s="652"/>
      <c r="O213" s="652"/>
      <c r="P213" s="652"/>
      <c r="Q213" s="652"/>
      <c r="R213" s="652"/>
      <c r="S213" s="652"/>
      <c r="T213" s="652"/>
      <c r="U213" s="652"/>
      <c r="V213" s="652"/>
      <c r="W213" s="652"/>
      <c r="X213" s="652"/>
      <c r="Y213" s="652"/>
      <c r="Z213" s="652"/>
    </row>
    <row r="214">
      <c r="A214" s="666" t="s">
        <v>8498</v>
      </c>
      <c r="B214" s="616" t="s">
        <v>8502</v>
      </c>
      <c r="C214" s="616" t="s">
        <v>174</v>
      </c>
      <c r="D214" s="666" t="s">
        <v>693</v>
      </c>
      <c r="E214" s="632"/>
      <c r="F214" s="651"/>
      <c r="G214" s="632"/>
      <c r="H214" s="669" t="s">
        <v>1134</v>
      </c>
      <c r="L214" s="652"/>
      <c r="M214" s="652"/>
      <c r="N214" s="652"/>
      <c r="O214" s="652"/>
      <c r="P214" s="652"/>
      <c r="Q214" s="652"/>
      <c r="R214" s="652"/>
      <c r="S214" s="652"/>
      <c r="T214" s="652"/>
      <c r="U214" s="652"/>
      <c r="V214" s="652"/>
      <c r="W214" s="652"/>
      <c r="X214" s="652"/>
      <c r="Y214" s="652"/>
      <c r="Z214" s="652"/>
    </row>
    <row r="215">
      <c r="A215" s="666" t="s">
        <v>8357</v>
      </c>
      <c r="B215" s="616" t="s">
        <v>763</v>
      </c>
      <c r="C215" s="616" t="s">
        <v>636</v>
      </c>
      <c r="D215" s="666" t="s">
        <v>765</v>
      </c>
      <c r="E215" s="616">
        <v>3.6</v>
      </c>
      <c r="F215" s="651"/>
      <c r="G215" s="632"/>
      <c r="H215" s="671" t="s">
        <v>766</v>
      </c>
      <c r="L215" s="652"/>
      <c r="M215" s="652"/>
      <c r="N215" s="652"/>
      <c r="O215" s="652"/>
      <c r="P215" s="652"/>
      <c r="Q215" s="652"/>
      <c r="R215" s="652"/>
      <c r="S215" s="652"/>
      <c r="T215" s="652"/>
      <c r="U215" s="652"/>
      <c r="V215" s="652"/>
      <c r="W215" s="652"/>
      <c r="X215" s="652"/>
      <c r="Y215" s="652"/>
      <c r="Z215" s="652"/>
    </row>
    <row r="216">
      <c r="A216" s="666" t="s">
        <v>8503</v>
      </c>
      <c r="B216" s="616" t="s">
        <v>1037</v>
      </c>
      <c r="C216" s="616" t="s">
        <v>319</v>
      </c>
      <c r="D216" s="666" t="s">
        <v>1039</v>
      </c>
      <c r="E216" s="616">
        <v>3.91</v>
      </c>
      <c r="F216" s="651"/>
      <c r="G216" s="632"/>
      <c r="H216" s="668" t="s">
        <v>1040</v>
      </c>
      <c r="L216" s="652"/>
      <c r="M216" s="652"/>
      <c r="N216" s="652"/>
      <c r="O216" s="652"/>
      <c r="P216" s="652"/>
      <c r="Q216" s="652"/>
      <c r="R216" s="652"/>
      <c r="S216" s="652"/>
      <c r="T216" s="652"/>
      <c r="U216" s="652"/>
      <c r="V216" s="652"/>
      <c r="W216" s="652"/>
      <c r="X216" s="652"/>
      <c r="Y216" s="652"/>
      <c r="Z216" s="652"/>
    </row>
    <row r="217">
      <c r="A217" s="666" t="s">
        <v>8357</v>
      </c>
      <c r="B217" s="616" t="s">
        <v>1232</v>
      </c>
      <c r="C217" s="616" t="s">
        <v>255</v>
      </c>
      <c r="D217" s="666" t="s">
        <v>1235</v>
      </c>
      <c r="E217" s="632"/>
      <c r="F217" s="651"/>
      <c r="G217" s="632"/>
      <c r="H217" s="669" t="s">
        <v>1236</v>
      </c>
      <c r="L217" s="652"/>
      <c r="M217" s="652"/>
      <c r="N217" s="652"/>
      <c r="O217" s="652"/>
      <c r="P217" s="652"/>
      <c r="Q217" s="652"/>
      <c r="R217" s="652"/>
      <c r="S217" s="652"/>
      <c r="T217" s="652"/>
      <c r="U217" s="652"/>
      <c r="V217" s="652"/>
      <c r="W217" s="652"/>
      <c r="X217" s="652"/>
      <c r="Y217" s="652"/>
      <c r="Z217" s="652"/>
    </row>
    <row r="218">
      <c r="A218" s="616" t="s">
        <v>8498</v>
      </c>
      <c r="B218" s="616" t="s">
        <v>751</v>
      </c>
      <c r="C218" s="616" t="s">
        <v>43</v>
      </c>
      <c r="D218" s="616" t="s">
        <v>302</v>
      </c>
      <c r="E218" s="632"/>
      <c r="F218" s="651"/>
      <c r="G218" s="632"/>
      <c r="H218" s="666" t="s">
        <v>8504</v>
      </c>
      <c r="L218" s="634"/>
      <c r="M218" s="634"/>
      <c r="N218" s="634"/>
      <c r="O218" s="634"/>
      <c r="P218" s="634"/>
      <c r="Q218" s="634"/>
      <c r="R218" s="634"/>
      <c r="S218" s="634"/>
      <c r="T218" s="634"/>
      <c r="U218" s="634"/>
      <c r="V218" s="634"/>
      <c r="W218" s="634"/>
      <c r="X218" s="634"/>
      <c r="Y218" s="634"/>
      <c r="Z218" s="634"/>
    </row>
    <row r="219">
      <c r="A219" s="666" t="s">
        <v>8498</v>
      </c>
      <c r="B219" s="616" t="s">
        <v>1186</v>
      </c>
      <c r="C219" s="616" t="s">
        <v>180</v>
      </c>
      <c r="D219" s="666" t="s">
        <v>8505</v>
      </c>
      <c r="E219" s="677"/>
      <c r="F219" s="651"/>
      <c r="G219" s="678"/>
      <c r="H219" s="675" t="s">
        <v>1191</v>
      </c>
      <c r="L219" s="632"/>
      <c r="M219" s="632"/>
      <c r="N219" s="632"/>
      <c r="O219" s="632"/>
      <c r="P219" s="632"/>
      <c r="Q219" s="632"/>
      <c r="R219" s="632"/>
      <c r="S219" s="632"/>
      <c r="T219" s="632"/>
      <c r="U219" s="632"/>
      <c r="V219" s="632"/>
      <c r="W219" s="632"/>
      <c r="X219" s="632"/>
      <c r="Y219" s="632"/>
      <c r="Z219" s="632"/>
    </row>
    <row r="220">
      <c r="A220" s="666" t="s">
        <v>8498</v>
      </c>
      <c r="B220" s="616" t="s">
        <v>534</v>
      </c>
      <c r="C220" s="616" t="s">
        <v>85</v>
      </c>
      <c r="D220" s="666" t="s">
        <v>8506</v>
      </c>
      <c r="E220" s="616" t="s">
        <v>8478</v>
      </c>
      <c r="F220" s="655"/>
      <c r="G220" s="632"/>
      <c r="H220" s="672" t="s">
        <v>8507</v>
      </c>
      <c r="L220" s="652"/>
      <c r="M220" s="652"/>
      <c r="N220" s="652"/>
      <c r="O220" s="652"/>
      <c r="P220" s="652"/>
      <c r="Q220" s="652"/>
      <c r="R220" s="652"/>
      <c r="S220" s="652"/>
      <c r="T220" s="652"/>
      <c r="U220" s="652"/>
      <c r="V220" s="652"/>
      <c r="W220" s="652"/>
      <c r="X220" s="652"/>
      <c r="Y220" s="652"/>
      <c r="Z220" s="652"/>
    </row>
    <row r="221">
      <c r="A221" s="666" t="s">
        <v>8508</v>
      </c>
      <c r="B221" s="616" t="s">
        <v>1324</v>
      </c>
      <c r="C221" s="616" t="s">
        <v>240</v>
      </c>
      <c r="D221" s="666" t="s">
        <v>1325</v>
      </c>
      <c r="E221" s="632"/>
      <c r="F221" s="651"/>
      <c r="G221" s="632"/>
      <c r="H221" s="669" t="s">
        <v>8509</v>
      </c>
      <c r="L221" s="652"/>
      <c r="M221" s="652"/>
      <c r="N221" s="652"/>
      <c r="O221" s="652"/>
      <c r="P221" s="652"/>
      <c r="Q221" s="652"/>
      <c r="R221" s="652"/>
      <c r="S221" s="652"/>
      <c r="T221" s="652"/>
      <c r="U221" s="652"/>
      <c r="V221" s="652"/>
      <c r="W221" s="652"/>
      <c r="X221" s="652"/>
      <c r="Y221" s="652"/>
      <c r="Z221" s="652"/>
    </row>
    <row r="222">
      <c r="A222" s="666" t="s">
        <v>8498</v>
      </c>
      <c r="B222" s="616" t="s">
        <v>815</v>
      </c>
      <c r="C222" s="616" t="s">
        <v>85</v>
      </c>
      <c r="D222" s="666" t="s">
        <v>8510</v>
      </c>
      <c r="E222" s="616" t="s">
        <v>8511</v>
      </c>
      <c r="F222" s="655" t="s">
        <v>8512</v>
      </c>
      <c r="G222" s="632"/>
      <c r="H222" s="669" t="s">
        <v>8513</v>
      </c>
      <c r="L222" s="652"/>
      <c r="M222" s="652"/>
      <c r="N222" s="652"/>
      <c r="O222" s="652"/>
      <c r="P222" s="652"/>
      <c r="Q222" s="652"/>
      <c r="R222" s="652"/>
      <c r="S222" s="652"/>
      <c r="T222" s="652"/>
      <c r="U222" s="652"/>
      <c r="V222" s="652"/>
      <c r="W222" s="652"/>
      <c r="X222" s="652"/>
      <c r="Y222" s="652"/>
      <c r="Z222" s="652"/>
    </row>
    <row r="223">
      <c r="A223" s="666" t="s">
        <v>8492</v>
      </c>
      <c r="B223" s="616" t="s">
        <v>471</v>
      </c>
      <c r="C223" s="616" t="s">
        <v>73</v>
      </c>
      <c r="D223" s="666" t="s">
        <v>8514</v>
      </c>
      <c r="E223" s="632"/>
      <c r="F223" s="651"/>
      <c r="G223" s="632"/>
      <c r="H223" s="669" t="s">
        <v>8515</v>
      </c>
      <c r="L223" s="652"/>
      <c r="M223" s="652"/>
      <c r="N223" s="652"/>
      <c r="O223" s="652"/>
      <c r="P223" s="652"/>
      <c r="Q223" s="652"/>
      <c r="R223" s="652"/>
      <c r="S223" s="652"/>
      <c r="T223" s="652"/>
      <c r="U223" s="652"/>
      <c r="V223" s="652"/>
      <c r="W223" s="652"/>
      <c r="X223" s="652"/>
      <c r="Y223" s="652"/>
      <c r="Z223" s="652"/>
    </row>
    <row r="224">
      <c r="A224" s="670" t="s">
        <v>2028</v>
      </c>
      <c r="B224" s="645" t="s">
        <v>1266</v>
      </c>
      <c r="C224" s="645" t="s">
        <v>174</v>
      </c>
      <c r="D224" s="670" t="s">
        <v>175</v>
      </c>
      <c r="E224" s="645">
        <v>3.7</v>
      </c>
      <c r="F224" s="646"/>
      <c r="G224" s="670"/>
      <c r="H224" s="688" t="s">
        <v>1269</v>
      </c>
      <c r="L224" s="652"/>
      <c r="M224" s="652"/>
      <c r="N224" s="652"/>
      <c r="O224" s="652"/>
      <c r="P224" s="652"/>
      <c r="Q224" s="652"/>
      <c r="R224" s="652"/>
      <c r="S224" s="652"/>
      <c r="T224" s="652"/>
      <c r="U224" s="652"/>
      <c r="V224" s="652"/>
      <c r="W224" s="652"/>
      <c r="X224" s="652"/>
      <c r="Y224" s="652"/>
      <c r="Z224" s="652"/>
    </row>
    <row r="225">
      <c r="A225" s="666" t="s">
        <v>8498</v>
      </c>
      <c r="B225" s="616" t="s">
        <v>1319</v>
      </c>
      <c r="C225" s="616" t="s">
        <v>43</v>
      </c>
      <c r="D225" s="666" t="s">
        <v>1322</v>
      </c>
      <c r="E225" s="616">
        <v>3.9</v>
      </c>
      <c r="F225" s="651"/>
      <c r="G225" s="632"/>
      <c r="H225" s="669" t="s">
        <v>8516</v>
      </c>
      <c r="L225" s="652"/>
      <c r="M225" s="652"/>
      <c r="N225" s="652"/>
      <c r="O225" s="652"/>
      <c r="P225" s="652"/>
      <c r="Q225" s="652"/>
      <c r="R225" s="652"/>
      <c r="S225" s="652"/>
      <c r="T225" s="652"/>
      <c r="U225" s="652"/>
      <c r="V225" s="652"/>
      <c r="W225" s="652"/>
      <c r="X225" s="652"/>
      <c r="Y225" s="652"/>
      <c r="Z225" s="652"/>
    </row>
    <row r="226">
      <c r="A226" s="666" t="s">
        <v>8498</v>
      </c>
      <c r="B226" s="616" t="s">
        <v>486</v>
      </c>
      <c r="C226" s="616" t="s">
        <v>125</v>
      </c>
      <c r="D226" s="666" t="s">
        <v>8517</v>
      </c>
      <c r="E226" s="616">
        <v>4.0</v>
      </c>
      <c r="F226" s="651"/>
      <c r="G226" s="632"/>
      <c r="H226" s="669" t="s">
        <v>490</v>
      </c>
      <c r="L226" s="652"/>
      <c r="M226" s="652"/>
      <c r="N226" s="652"/>
      <c r="O226" s="652"/>
      <c r="P226" s="652"/>
      <c r="Q226" s="652"/>
      <c r="R226" s="652"/>
      <c r="S226" s="652"/>
      <c r="T226" s="652"/>
      <c r="U226" s="652"/>
      <c r="V226" s="652"/>
      <c r="W226" s="652"/>
      <c r="X226" s="652"/>
      <c r="Y226" s="652"/>
      <c r="Z226" s="652"/>
    </row>
    <row r="227">
      <c r="A227" s="666" t="s">
        <v>8498</v>
      </c>
      <c r="B227" s="616" t="s">
        <v>1100</v>
      </c>
      <c r="C227" s="616" t="s">
        <v>43</v>
      </c>
      <c r="D227" s="666">
        <v>643.0</v>
      </c>
      <c r="E227" s="632"/>
      <c r="F227" s="651"/>
      <c r="G227" s="632"/>
      <c r="H227" s="669" t="s">
        <v>1102</v>
      </c>
      <c r="L227" s="652"/>
      <c r="M227" s="652"/>
      <c r="N227" s="652"/>
      <c r="O227" s="652"/>
      <c r="P227" s="652"/>
      <c r="Q227" s="652"/>
      <c r="R227" s="652"/>
      <c r="S227" s="652"/>
      <c r="T227" s="652"/>
      <c r="U227" s="652"/>
      <c r="V227" s="652"/>
      <c r="W227" s="652"/>
      <c r="X227" s="652"/>
      <c r="Y227" s="652"/>
      <c r="Z227" s="652"/>
    </row>
    <row r="228">
      <c r="A228" s="666" t="s">
        <v>8518</v>
      </c>
      <c r="B228" s="616" t="s">
        <v>925</v>
      </c>
      <c r="C228" s="616" t="s">
        <v>502</v>
      </c>
      <c r="D228" s="666" t="s">
        <v>927</v>
      </c>
      <c r="E228" s="632"/>
      <c r="F228" s="651"/>
      <c r="G228" s="632"/>
      <c r="H228" s="669" t="s">
        <v>928</v>
      </c>
      <c r="L228" s="652"/>
      <c r="M228" s="652"/>
      <c r="N228" s="652"/>
      <c r="O228" s="652"/>
      <c r="P228" s="652"/>
      <c r="Q228" s="652"/>
      <c r="R228" s="652"/>
      <c r="S228" s="652"/>
      <c r="T228" s="652"/>
      <c r="U228" s="652"/>
      <c r="V228" s="652"/>
      <c r="W228" s="652"/>
      <c r="X228" s="652"/>
      <c r="Y228" s="652"/>
      <c r="Z228" s="652"/>
    </row>
    <row r="229">
      <c r="A229" s="616" t="s">
        <v>5707</v>
      </c>
      <c r="B229" s="616" t="s">
        <v>500</v>
      </c>
      <c r="C229" s="616" t="s">
        <v>502</v>
      </c>
      <c r="D229" s="616" t="s">
        <v>503</v>
      </c>
      <c r="E229" s="632"/>
      <c r="F229" s="655"/>
      <c r="G229" s="632"/>
      <c r="H229" s="666" t="s">
        <v>504</v>
      </c>
      <c r="L229" s="652"/>
      <c r="M229" s="652"/>
      <c r="N229" s="652"/>
      <c r="O229" s="652"/>
      <c r="P229" s="652"/>
      <c r="Q229" s="652"/>
      <c r="R229" s="652"/>
      <c r="S229" s="652"/>
      <c r="T229" s="652"/>
      <c r="U229" s="652"/>
      <c r="V229" s="652"/>
      <c r="W229" s="652"/>
      <c r="X229" s="652"/>
      <c r="Y229" s="652"/>
      <c r="Z229" s="652"/>
    </row>
    <row r="230">
      <c r="A230" s="666" t="s">
        <v>8498</v>
      </c>
      <c r="B230" s="616" t="s">
        <v>1025</v>
      </c>
      <c r="C230" s="616" t="s">
        <v>73</v>
      </c>
      <c r="D230" s="666" t="s">
        <v>1027</v>
      </c>
      <c r="E230" s="632"/>
      <c r="F230" s="651"/>
      <c r="G230" s="632"/>
      <c r="H230" s="669" t="s">
        <v>1028</v>
      </c>
      <c r="L230" s="652"/>
      <c r="M230" s="652"/>
      <c r="N230" s="652"/>
      <c r="O230" s="652"/>
      <c r="P230" s="652"/>
      <c r="Q230" s="652"/>
      <c r="R230" s="652"/>
      <c r="S230" s="652"/>
      <c r="T230" s="652"/>
      <c r="U230" s="652"/>
      <c r="V230" s="652"/>
      <c r="W230" s="652"/>
      <c r="X230" s="652"/>
      <c r="Y230" s="652"/>
      <c r="Z230" s="652"/>
    </row>
    <row r="231">
      <c r="A231" s="666" t="s">
        <v>2095</v>
      </c>
      <c r="B231" s="616" t="s">
        <v>445</v>
      </c>
      <c r="C231" s="616" t="s">
        <v>448</v>
      </c>
      <c r="D231" s="666" t="s">
        <v>449</v>
      </c>
      <c r="E231" s="616">
        <v>3.8</v>
      </c>
      <c r="F231" s="651"/>
      <c r="G231" s="632"/>
      <c r="H231" s="675" t="s">
        <v>450</v>
      </c>
      <c r="L231" s="652"/>
      <c r="M231" s="652"/>
      <c r="N231" s="652"/>
      <c r="O231" s="652"/>
      <c r="P231" s="652"/>
      <c r="Q231" s="652"/>
      <c r="R231" s="652"/>
      <c r="S231" s="652"/>
      <c r="T231" s="652"/>
      <c r="U231" s="652"/>
      <c r="V231" s="652"/>
      <c r="W231" s="652"/>
      <c r="X231" s="652"/>
      <c r="Y231" s="652"/>
      <c r="Z231" s="652"/>
    </row>
    <row r="232">
      <c r="A232" s="666" t="s">
        <v>8498</v>
      </c>
      <c r="B232" s="616" t="s">
        <v>863</v>
      </c>
      <c r="C232" s="616" t="s">
        <v>240</v>
      </c>
      <c r="D232" s="666" t="s">
        <v>865</v>
      </c>
      <c r="E232" s="632"/>
      <c r="F232" s="651"/>
      <c r="G232" s="632"/>
      <c r="H232" s="669" t="s">
        <v>866</v>
      </c>
      <c r="L232" s="652"/>
      <c r="M232" s="652"/>
      <c r="N232" s="652"/>
      <c r="O232" s="652"/>
      <c r="P232" s="652"/>
      <c r="Q232" s="652"/>
      <c r="R232" s="652"/>
      <c r="S232" s="652"/>
      <c r="T232" s="652"/>
      <c r="U232" s="652"/>
      <c r="V232" s="652"/>
      <c r="W232" s="652"/>
      <c r="X232" s="652"/>
      <c r="Y232" s="652"/>
      <c r="Z232" s="652"/>
    </row>
    <row r="233">
      <c r="A233" s="666" t="s">
        <v>8519</v>
      </c>
      <c r="B233" s="616" t="s">
        <v>888</v>
      </c>
      <c r="C233" s="616" t="s">
        <v>43</v>
      </c>
      <c r="D233" s="666" t="s">
        <v>8520</v>
      </c>
      <c r="E233" s="616">
        <v>3.8</v>
      </c>
      <c r="F233" s="651"/>
      <c r="G233" s="632"/>
      <c r="H233" s="675" t="s">
        <v>892</v>
      </c>
      <c r="L233" s="652"/>
      <c r="M233" s="652"/>
      <c r="N233" s="652"/>
      <c r="O233" s="652"/>
      <c r="P233" s="652"/>
      <c r="Q233" s="652"/>
      <c r="R233" s="652"/>
      <c r="S233" s="652"/>
      <c r="T233" s="652"/>
      <c r="U233" s="652"/>
      <c r="V233" s="652"/>
      <c r="W233" s="652"/>
      <c r="X233" s="652"/>
      <c r="Y233" s="652"/>
      <c r="Z233" s="652"/>
    </row>
    <row r="234">
      <c r="A234" s="666" t="s">
        <v>8521</v>
      </c>
      <c r="B234" s="616" t="s">
        <v>1095</v>
      </c>
      <c r="C234" s="616" t="s">
        <v>73</v>
      </c>
      <c r="D234" s="666" t="s">
        <v>8522</v>
      </c>
      <c r="E234" s="616">
        <v>4.28</v>
      </c>
      <c r="F234" s="651"/>
      <c r="G234" s="666"/>
      <c r="H234" s="669" t="s">
        <v>1099</v>
      </c>
      <c r="L234" s="652"/>
      <c r="M234" s="652"/>
      <c r="N234" s="652"/>
      <c r="O234" s="652"/>
      <c r="P234" s="652"/>
      <c r="Q234" s="652"/>
      <c r="R234" s="652"/>
      <c r="S234" s="652"/>
      <c r="T234" s="652"/>
      <c r="U234" s="652"/>
      <c r="V234" s="652"/>
      <c r="W234" s="652"/>
      <c r="X234" s="652"/>
      <c r="Y234" s="652"/>
      <c r="Z234" s="652"/>
    </row>
    <row r="235">
      <c r="A235" s="666" t="s">
        <v>8523</v>
      </c>
      <c r="B235" s="616" t="s">
        <v>945</v>
      </c>
      <c r="C235" s="616" t="s">
        <v>43</v>
      </c>
      <c r="D235" s="616" t="s">
        <v>8524</v>
      </c>
      <c r="E235" s="616" t="s">
        <v>2825</v>
      </c>
      <c r="F235" s="659"/>
      <c r="G235" s="634"/>
      <c r="H235" s="689" t="s">
        <v>948</v>
      </c>
      <c r="L235" s="634"/>
      <c r="M235" s="634"/>
      <c r="N235" s="634"/>
      <c r="O235" s="634"/>
      <c r="P235" s="634"/>
      <c r="Q235" s="634"/>
      <c r="R235" s="634"/>
      <c r="S235" s="634"/>
      <c r="T235" s="634"/>
      <c r="U235" s="634"/>
      <c r="V235" s="634"/>
      <c r="W235" s="634"/>
      <c r="X235" s="634"/>
      <c r="Y235" s="634"/>
      <c r="Z235" s="634"/>
    </row>
    <row r="236">
      <c r="A236" s="666" t="s">
        <v>8525</v>
      </c>
      <c r="B236" s="616" t="s">
        <v>787</v>
      </c>
      <c r="C236" s="616" t="s">
        <v>73</v>
      </c>
      <c r="D236" s="666" t="s">
        <v>8526</v>
      </c>
      <c r="E236" s="686">
        <v>3.4</v>
      </c>
      <c r="F236" s="651"/>
      <c r="G236" s="632"/>
      <c r="H236" s="669" t="s">
        <v>8527</v>
      </c>
      <c r="L236" s="652"/>
      <c r="M236" s="652"/>
      <c r="N236" s="652"/>
      <c r="O236" s="652"/>
      <c r="P236" s="652"/>
      <c r="Q236" s="652"/>
      <c r="R236" s="652"/>
      <c r="S236" s="652"/>
      <c r="T236" s="652"/>
      <c r="U236" s="652"/>
      <c r="V236" s="652"/>
      <c r="W236" s="652"/>
      <c r="X236" s="652"/>
      <c r="Y236" s="652"/>
      <c r="Z236" s="652"/>
    </row>
    <row r="237">
      <c r="A237" s="666" t="s">
        <v>8528</v>
      </c>
      <c r="B237" s="616" t="s">
        <v>723</v>
      </c>
      <c r="C237" s="616" t="s">
        <v>519</v>
      </c>
      <c r="D237" s="666" t="s">
        <v>726</v>
      </c>
      <c r="E237" s="616">
        <v>3.9</v>
      </c>
      <c r="F237" s="651"/>
      <c r="G237" s="632"/>
      <c r="H237" s="668" t="s">
        <v>727</v>
      </c>
      <c r="L237" s="652"/>
      <c r="M237" s="652"/>
      <c r="N237" s="652"/>
      <c r="O237" s="652"/>
      <c r="P237" s="652"/>
      <c r="Q237" s="652"/>
      <c r="R237" s="652"/>
      <c r="S237" s="652"/>
      <c r="T237" s="652"/>
      <c r="U237" s="652"/>
      <c r="V237" s="652"/>
      <c r="W237" s="652"/>
      <c r="X237" s="652"/>
      <c r="Y237" s="652"/>
      <c r="Z237" s="652"/>
    </row>
    <row r="238">
      <c r="A238" s="666" t="s">
        <v>8529</v>
      </c>
      <c r="B238" s="616" t="s">
        <v>8530</v>
      </c>
      <c r="C238" s="616" t="s">
        <v>66</v>
      </c>
      <c r="D238" s="666" t="s">
        <v>8531</v>
      </c>
      <c r="E238" s="616" t="s">
        <v>8532</v>
      </c>
      <c r="F238" s="651"/>
      <c r="G238" s="632"/>
      <c r="H238" s="669" t="s">
        <v>666</v>
      </c>
      <c r="L238" s="652"/>
      <c r="M238" s="652"/>
      <c r="N238" s="652"/>
      <c r="O238" s="652"/>
      <c r="P238" s="652"/>
      <c r="Q238" s="652"/>
      <c r="R238" s="652"/>
      <c r="S238" s="652"/>
      <c r="T238" s="652"/>
      <c r="U238" s="652"/>
      <c r="V238" s="652"/>
      <c r="W238" s="652"/>
      <c r="X238" s="652"/>
      <c r="Y238" s="652"/>
      <c r="Z238" s="652"/>
    </row>
    <row r="239">
      <c r="A239" s="666" t="s">
        <v>8533</v>
      </c>
      <c r="B239" s="616" t="s">
        <v>1029</v>
      </c>
      <c r="C239" s="616" t="s">
        <v>307</v>
      </c>
      <c r="D239" s="666" t="s">
        <v>8534</v>
      </c>
      <c r="E239" s="616">
        <v>4.66</v>
      </c>
      <c r="F239" s="651"/>
      <c r="G239" s="632"/>
      <c r="H239" s="675" t="s">
        <v>1032</v>
      </c>
      <c r="L239" s="652"/>
      <c r="M239" s="652"/>
      <c r="N239" s="652"/>
      <c r="O239" s="652"/>
      <c r="P239" s="652"/>
      <c r="Q239" s="652"/>
      <c r="R239" s="652"/>
      <c r="S239" s="652"/>
      <c r="T239" s="652"/>
      <c r="U239" s="652"/>
      <c r="V239" s="652"/>
      <c r="W239" s="652"/>
      <c r="X239" s="652"/>
      <c r="Y239" s="652"/>
      <c r="Z239" s="652"/>
    </row>
    <row r="240">
      <c r="A240" s="666" t="s">
        <v>8498</v>
      </c>
      <c r="B240" s="616" t="s">
        <v>920</v>
      </c>
      <c r="C240" s="616" t="s">
        <v>502</v>
      </c>
      <c r="D240" s="666" t="s">
        <v>923</v>
      </c>
      <c r="E240" s="616">
        <v>3.9</v>
      </c>
      <c r="F240" s="651"/>
      <c r="G240" s="666"/>
      <c r="H240" s="669" t="s">
        <v>924</v>
      </c>
      <c r="L240" s="652"/>
      <c r="M240" s="652"/>
      <c r="N240" s="652"/>
      <c r="O240" s="652"/>
      <c r="P240" s="652"/>
      <c r="Q240" s="652"/>
      <c r="R240" s="652"/>
      <c r="S240" s="652"/>
      <c r="T240" s="652"/>
      <c r="U240" s="652"/>
      <c r="V240" s="652"/>
      <c r="W240" s="652"/>
      <c r="X240" s="652"/>
      <c r="Y240" s="652"/>
      <c r="Z240" s="652"/>
    </row>
    <row r="241">
      <c r="A241" s="666" t="s">
        <v>8498</v>
      </c>
      <c r="B241" s="616" t="s">
        <v>511</v>
      </c>
      <c r="C241" s="616" t="s">
        <v>73</v>
      </c>
      <c r="D241" s="666" t="s">
        <v>514</v>
      </c>
      <c r="E241" s="616"/>
      <c r="F241" s="651"/>
      <c r="G241" s="666"/>
      <c r="H241" s="669" t="s">
        <v>515</v>
      </c>
      <c r="L241" s="652"/>
      <c r="M241" s="652"/>
      <c r="N241" s="652"/>
      <c r="O241" s="652"/>
      <c r="P241" s="652"/>
      <c r="Q241" s="652"/>
      <c r="R241" s="652"/>
      <c r="S241" s="652"/>
      <c r="T241" s="652"/>
      <c r="U241" s="652"/>
      <c r="V241" s="652"/>
      <c r="W241" s="652"/>
      <c r="X241" s="652"/>
      <c r="Y241" s="652"/>
      <c r="Z241" s="652"/>
    </row>
    <row r="242">
      <c r="A242" s="666" t="s">
        <v>8498</v>
      </c>
      <c r="B242" s="616" t="s">
        <v>8535</v>
      </c>
      <c r="C242" s="616" t="s">
        <v>337</v>
      </c>
      <c r="D242" s="666" t="s">
        <v>1200</v>
      </c>
      <c r="E242" s="686"/>
      <c r="F242" s="651"/>
      <c r="G242" s="632"/>
      <c r="H242" s="669" t="s">
        <v>8536</v>
      </c>
      <c r="L242" s="652"/>
      <c r="M242" s="652"/>
      <c r="N242" s="652"/>
      <c r="O242" s="652"/>
      <c r="P242" s="652"/>
      <c r="Q242" s="652"/>
      <c r="R242" s="652"/>
      <c r="S242" s="652"/>
      <c r="T242" s="652"/>
      <c r="U242" s="652"/>
      <c r="V242" s="652"/>
      <c r="W242" s="652"/>
      <c r="X242" s="652"/>
      <c r="Y242" s="652"/>
      <c r="Z242" s="652"/>
    </row>
    <row r="243">
      <c r="A243" s="629" t="s">
        <v>8498</v>
      </c>
      <c r="B243" s="686" t="s">
        <v>645</v>
      </c>
      <c r="C243" s="686" t="s">
        <v>174</v>
      </c>
      <c r="D243" s="629" t="s">
        <v>647</v>
      </c>
      <c r="E243" s="686">
        <v>4.2</v>
      </c>
      <c r="F243" s="651"/>
      <c r="G243" s="632"/>
      <c r="H243" s="690" t="s">
        <v>648</v>
      </c>
      <c r="L243" s="652"/>
      <c r="M243" s="652"/>
      <c r="N243" s="652"/>
      <c r="O243" s="652"/>
      <c r="P243" s="652"/>
      <c r="Q243" s="652"/>
      <c r="R243" s="652"/>
      <c r="S243" s="652"/>
      <c r="T243" s="652"/>
      <c r="U243" s="652"/>
      <c r="V243" s="652"/>
      <c r="W243" s="652"/>
      <c r="X243" s="652"/>
      <c r="Y243" s="652"/>
      <c r="Z243" s="652"/>
    </row>
    <row r="244">
      <c r="A244" s="666" t="s">
        <v>8498</v>
      </c>
      <c r="B244" s="616" t="s">
        <v>939</v>
      </c>
      <c r="C244" s="616" t="s">
        <v>942</v>
      </c>
      <c r="D244" s="666" t="s">
        <v>943</v>
      </c>
      <c r="E244" s="632"/>
      <c r="F244" s="651"/>
      <c r="G244" s="632"/>
      <c r="H244" s="669" t="s">
        <v>8537</v>
      </c>
      <c r="L244" s="652"/>
      <c r="M244" s="652"/>
      <c r="N244" s="652"/>
      <c r="O244" s="652"/>
      <c r="P244" s="652"/>
      <c r="Q244" s="652"/>
      <c r="R244" s="652"/>
      <c r="S244" s="652"/>
      <c r="T244" s="652"/>
      <c r="U244" s="652"/>
      <c r="V244" s="652"/>
      <c r="W244" s="652"/>
      <c r="X244" s="652"/>
      <c r="Y244" s="652"/>
      <c r="Z244" s="652"/>
    </row>
    <row r="245">
      <c r="A245" s="629" t="s">
        <v>2028</v>
      </c>
      <c r="B245" s="616" t="s">
        <v>1010</v>
      </c>
      <c r="C245" s="616" t="s">
        <v>43</v>
      </c>
      <c r="D245" s="666" t="s">
        <v>1013</v>
      </c>
      <c r="E245" s="616" t="s">
        <v>400</v>
      </c>
      <c r="F245" s="651"/>
      <c r="G245" s="632"/>
      <c r="H245" s="669" t="s">
        <v>1014</v>
      </c>
      <c r="L245" s="652"/>
      <c r="M245" s="652"/>
      <c r="N245" s="652"/>
      <c r="O245" s="652"/>
      <c r="P245" s="652"/>
      <c r="Q245" s="652"/>
      <c r="R245" s="652"/>
      <c r="S245" s="652"/>
      <c r="T245" s="652"/>
      <c r="U245" s="652"/>
      <c r="V245" s="652"/>
      <c r="W245" s="652"/>
      <c r="X245" s="652"/>
      <c r="Y245" s="652"/>
      <c r="Z245" s="652"/>
    </row>
    <row r="246">
      <c r="A246" s="666" t="s">
        <v>2028</v>
      </c>
      <c r="B246" s="616" t="s">
        <v>1122</v>
      </c>
      <c r="C246" s="616" t="s">
        <v>66</v>
      </c>
      <c r="D246" s="666" t="s">
        <v>8538</v>
      </c>
      <c r="E246" s="616"/>
      <c r="F246" s="651"/>
      <c r="G246" s="616"/>
      <c r="H246" s="671"/>
      <c r="I246" s="671"/>
      <c r="J246" s="671"/>
      <c r="K246" s="671"/>
      <c r="L246" s="652"/>
      <c r="M246" s="652"/>
      <c r="N246" s="652"/>
      <c r="O246" s="652"/>
      <c r="P246" s="652"/>
      <c r="Q246" s="652"/>
      <c r="R246" s="652"/>
      <c r="S246" s="652"/>
      <c r="T246" s="652"/>
      <c r="U246" s="652"/>
      <c r="V246" s="652"/>
      <c r="W246" s="652"/>
      <c r="X246" s="652"/>
      <c r="Y246" s="652"/>
      <c r="Z246" s="652"/>
    </row>
    <row r="247">
      <c r="A247" s="666" t="s">
        <v>549</v>
      </c>
      <c r="B247" s="616" t="s">
        <v>1004</v>
      </c>
      <c r="C247" s="616" t="s">
        <v>240</v>
      </c>
      <c r="D247" s="666" t="s">
        <v>8539</v>
      </c>
      <c r="E247" s="632">
        <v>4.61</v>
      </c>
      <c r="F247" s="651"/>
      <c r="G247" s="632"/>
      <c r="H247" s="647" t="s">
        <v>1009</v>
      </c>
      <c r="L247" s="652"/>
      <c r="M247" s="652"/>
      <c r="N247" s="652"/>
      <c r="O247" s="652"/>
      <c r="P247" s="652"/>
      <c r="Q247" s="652"/>
      <c r="R247" s="652"/>
      <c r="S247" s="652"/>
      <c r="T247" s="652"/>
      <c r="U247" s="652"/>
      <c r="V247" s="652"/>
      <c r="W247" s="652"/>
      <c r="X247" s="652"/>
      <c r="Y247" s="652"/>
      <c r="Z247" s="652"/>
    </row>
    <row r="248">
      <c r="A248" s="666" t="s">
        <v>8540</v>
      </c>
      <c r="B248" s="616" t="s">
        <v>740</v>
      </c>
      <c r="C248" s="616" t="s">
        <v>66</v>
      </c>
      <c r="D248" s="666" t="s">
        <v>8541</v>
      </c>
      <c r="E248" s="616" t="s">
        <v>8542</v>
      </c>
      <c r="F248" s="651"/>
      <c r="G248" s="632"/>
      <c r="H248" s="669" t="s">
        <v>745</v>
      </c>
      <c r="L248" s="652"/>
      <c r="M248" s="652"/>
      <c r="N248" s="652"/>
      <c r="O248" s="652"/>
      <c r="P248" s="652"/>
      <c r="Q248" s="652"/>
      <c r="R248" s="652"/>
      <c r="S248" s="652"/>
      <c r="T248" s="652"/>
      <c r="U248" s="652"/>
      <c r="V248" s="652"/>
      <c r="W248" s="652"/>
      <c r="X248" s="652"/>
      <c r="Y248" s="652"/>
      <c r="Z248" s="652"/>
    </row>
    <row r="249">
      <c r="A249" s="666" t="s">
        <v>8543</v>
      </c>
      <c r="B249" s="616" t="s">
        <v>767</v>
      </c>
      <c r="C249" s="616" t="s">
        <v>502</v>
      </c>
      <c r="D249" s="676" t="s">
        <v>770</v>
      </c>
      <c r="E249" s="677" t="s">
        <v>8544</v>
      </c>
      <c r="F249" s="655" t="s">
        <v>8545</v>
      </c>
      <c r="G249" s="691">
        <v>45402.0</v>
      </c>
      <c r="H249" s="675" t="s">
        <v>8546</v>
      </c>
      <c r="L249" s="652"/>
      <c r="M249" s="652"/>
      <c r="N249" s="652"/>
      <c r="O249" s="652"/>
      <c r="P249" s="652"/>
      <c r="Q249" s="652"/>
      <c r="R249" s="652"/>
      <c r="S249" s="652"/>
      <c r="T249" s="652"/>
      <c r="U249" s="652"/>
      <c r="V249" s="652"/>
      <c r="W249" s="652"/>
      <c r="X249" s="652"/>
      <c r="Y249" s="652"/>
      <c r="Z249" s="652"/>
    </row>
    <row r="250">
      <c r="A250" s="672" t="s">
        <v>8547</v>
      </c>
      <c r="B250" s="616" t="s">
        <v>8548</v>
      </c>
      <c r="C250" s="616" t="s">
        <v>731</v>
      </c>
      <c r="D250" s="666" t="s">
        <v>8549</v>
      </c>
      <c r="E250" s="686" t="s">
        <v>8550</v>
      </c>
      <c r="F250" s="651"/>
      <c r="G250" s="632"/>
      <c r="H250" s="669" t="s">
        <v>8551</v>
      </c>
      <c r="L250" s="652"/>
      <c r="M250" s="652"/>
      <c r="N250" s="652"/>
      <c r="O250" s="652"/>
      <c r="P250" s="652"/>
      <c r="Q250" s="652"/>
      <c r="R250" s="652"/>
      <c r="S250" s="652"/>
      <c r="T250" s="652"/>
      <c r="U250" s="652"/>
      <c r="V250" s="652"/>
      <c r="W250" s="652"/>
      <c r="X250" s="652"/>
      <c r="Y250" s="652"/>
      <c r="Z250" s="652"/>
    </row>
    <row r="251">
      <c r="A251" s="666" t="s">
        <v>2028</v>
      </c>
      <c r="B251" s="616" t="s">
        <v>8552</v>
      </c>
      <c r="C251" s="616" t="s">
        <v>66</v>
      </c>
      <c r="D251" s="666" t="s">
        <v>8553</v>
      </c>
      <c r="E251" s="616"/>
      <c r="F251" s="651"/>
      <c r="G251" s="632"/>
      <c r="H251" s="669" t="s">
        <v>8554</v>
      </c>
      <c r="L251" s="652"/>
      <c r="M251" s="652"/>
      <c r="N251" s="652"/>
      <c r="O251" s="652"/>
      <c r="P251" s="652"/>
      <c r="Q251" s="652"/>
      <c r="R251" s="652"/>
      <c r="S251" s="652"/>
      <c r="T251" s="652"/>
      <c r="U251" s="652"/>
      <c r="V251" s="652"/>
      <c r="W251" s="652"/>
      <c r="X251" s="652"/>
      <c r="Y251" s="652"/>
      <c r="Z251" s="652"/>
    </row>
    <row r="252">
      <c r="A252" s="666" t="s">
        <v>8555</v>
      </c>
      <c r="B252" s="616" t="s">
        <v>8556</v>
      </c>
      <c r="C252" s="616" t="s">
        <v>543</v>
      </c>
      <c r="D252" s="666" t="s">
        <v>8557</v>
      </c>
      <c r="E252" s="616" t="s">
        <v>8558</v>
      </c>
      <c r="F252" s="651"/>
      <c r="G252" s="632"/>
      <c r="H252" s="669" t="s">
        <v>546</v>
      </c>
      <c r="L252" s="652"/>
      <c r="M252" s="652"/>
      <c r="N252" s="652"/>
      <c r="O252" s="652"/>
      <c r="P252" s="652"/>
      <c r="Q252" s="652"/>
      <c r="R252" s="652"/>
      <c r="S252" s="652"/>
      <c r="T252" s="652"/>
      <c r="U252" s="652"/>
      <c r="V252" s="652"/>
      <c r="W252" s="652"/>
      <c r="X252" s="652"/>
      <c r="Y252" s="652"/>
      <c r="Z252" s="652"/>
    </row>
    <row r="253">
      <c r="A253" s="666" t="s">
        <v>8559</v>
      </c>
      <c r="B253" s="616" t="s">
        <v>8560</v>
      </c>
      <c r="C253" s="616" t="s">
        <v>731</v>
      </c>
      <c r="D253" s="666" t="s">
        <v>8561</v>
      </c>
      <c r="E253" s="616"/>
      <c r="F253" s="651"/>
      <c r="G253" s="632"/>
      <c r="H253" s="669" t="s">
        <v>1279</v>
      </c>
      <c r="L253" s="652"/>
      <c r="M253" s="652"/>
      <c r="N253" s="652"/>
      <c r="O253" s="652"/>
      <c r="P253" s="652"/>
      <c r="Q253" s="652"/>
      <c r="R253" s="652"/>
      <c r="S253" s="652"/>
      <c r="T253" s="652"/>
      <c r="U253" s="652"/>
      <c r="V253" s="652"/>
      <c r="W253" s="652"/>
      <c r="X253" s="652"/>
      <c r="Y253" s="652"/>
      <c r="Z253" s="652"/>
    </row>
    <row r="254">
      <c r="A254" s="666" t="s">
        <v>4947</v>
      </c>
      <c r="B254" s="616" t="s">
        <v>8562</v>
      </c>
      <c r="C254" s="616" t="s">
        <v>180</v>
      </c>
      <c r="D254" s="666" t="s">
        <v>8563</v>
      </c>
      <c r="E254" s="616" t="s">
        <v>8564</v>
      </c>
      <c r="F254" s="651"/>
      <c r="G254" s="632"/>
      <c r="H254" s="669" t="s">
        <v>810</v>
      </c>
      <c r="L254" s="652"/>
      <c r="M254" s="652"/>
      <c r="N254" s="652"/>
      <c r="O254" s="652"/>
      <c r="P254" s="652"/>
      <c r="Q254" s="652"/>
      <c r="R254" s="652"/>
      <c r="S254" s="652"/>
      <c r="T254" s="652"/>
      <c r="U254" s="652"/>
      <c r="V254" s="652"/>
      <c r="W254" s="652"/>
      <c r="X254" s="652"/>
      <c r="Y254" s="652"/>
      <c r="Z254" s="652"/>
    </row>
    <row r="255">
      <c r="A255" s="666" t="s">
        <v>1330</v>
      </c>
      <c r="B255" s="616" t="s">
        <v>1314</v>
      </c>
      <c r="C255" s="616" t="s">
        <v>52</v>
      </c>
      <c r="D255" s="666" t="s">
        <v>8565</v>
      </c>
      <c r="E255" s="686">
        <v>4.3</v>
      </c>
      <c r="F255" s="651"/>
      <c r="G255" s="632"/>
      <c r="H255" s="669" t="s">
        <v>1318</v>
      </c>
      <c r="L255" s="652"/>
      <c r="M255" s="652"/>
      <c r="N255" s="652"/>
      <c r="O255" s="652"/>
      <c r="P255" s="652"/>
      <c r="Q255" s="652"/>
      <c r="R255" s="652"/>
      <c r="S255" s="652"/>
      <c r="T255" s="652"/>
      <c r="U255" s="652"/>
      <c r="V255" s="652"/>
      <c r="W255" s="652"/>
      <c r="X255" s="652"/>
      <c r="Y255" s="652"/>
      <c r="Z255" s="652"/>
    </row>
    <row r="256">
      <c r="A256" s="666" t="s">
        <v>8498</v>
      </c>
      <c r="B256" s="616" t="s">
        <v>858</v>
      </c>
      <c r="C256" s="616" t="s">
        <v>52</v>
      </c>
      <c r="D256" s="666" t="s">
        <v>861</v>
      </c>
      <c r="E256" s="616">
        <v>4.0</v>
      </c>
      <c r="F256" s="651"/>
      <c r="G256" s="632"/>
      <c r="H256" s="669" t="s">
        <v>8566</v>
      </c>
      <c r="L256" s="652"/>
      <c r="M256" s="652"/>
      <c r="N256" s="652"/>
      <c r="O256" s="652"/>
      <c r="P256" s="652"/>
      <c r="Q256" s="652"/>
      <c r="R256" s="652"/>
      <c r="S256" s="652"/>
      <c r="T256" s="652"/>
      <c r="U256" s="652"/>
      <c r="V256" s="652"/>
      <c r="W256" s="652"/>
      <c r="X256" s="652"/>
      <c r="Y256" s="652"/>
      <c r="Z256" s="652"/>
    </row>
    <row r="257">
      <c r="A257" s="666" t="s">
        <v>8498</v>
      </c>
      <c r="B257" s="616" t="s">
        <v>1218</v>
      </c>
      <c r="C257" s="616" t="s">
        <v>195</v>
      </c>
      <c r="D257" s="666" t="s">
        <v>1220</v>
      </c>
      <c r="E257" s="632"/>
      <c r="F257" s="651"/>
      <c r="G257" s="632"/>
      <c r="H257" s="669" t="s">
        <v>1221</v>
      </c>
      <c r="L257" s="652"/>
      <c r="M257" s="652"/>
      <c r="N257" s="652"/>
      <c r="O257" s="652"/>
      <c r="P257" s="652"/>
      <c r="Q257" s="652"/>
      <c r="R257" s="652"/>
      <c r="S257" s="652"/>
      <c r="T257" s="652"/>
      <c r="U257" s="652"/>
      <c r="V257" s="652"/>
      <c r="W257" s="652"/>
      <c r="X257" s="652"/>
      <c r="Y257" s="652"/>
      <c r="Z257" s="652"/>
    </row>
    <row r="258">
      <c r="A258" s="629" t="s">
        <v>8357</v>
      </c>
      <c r="B258" s="616" t="s">
        <v>654</v>
      </c>
      <c r="C258" s="616" t="s">
        <v>180</v>
      </c>
      <c r="D258" s="676" t="s">
        <v>8567</v>
      </c>
      <c r="E258" s="677"/>
      <c r="F258" s="655"/>
      <c r="G258" s="678"/>
      <c r="H258" s="675" t="s">
        <v>658</v>
      </c>
      <c r="L258" s="652"/>
      <c r="M258" s="652"/>
      <c r="N258" s="652"/>
      <c r="O258" s="652"/>
      <c r="P258" s="652"/>
      <c r="Q258" s="652"/>
      <c r="R258" s="652"/>
      <c r="S258" s="652"/>
      <c r="T258" s="652"/>
      <c r="U258" s="652"/>
      <c r="V258" s="652"/>
      <c r="W258" s="652"/>
      <c r="X258" s="652"/>
      <c r="Y258" s="652"/>
      <c r="Z258" s="652"/>
    </row>
    <row r="259">
      <c r="A259" s="666" t="s">
        <v>8568</v>
      </c>
      <c r="B259" s="616" t="s">
        <v>879</v>
      </c>
      <c r="C259" s="616" t="s">
        <v>52</v>
      </c>
      <c r="D259" s="666" t="s">
        <v>8569</v>
      </c>
      <c r="E259" s="616" t="s">
        <v>8570</v>
      </c>
      <c r="F259" s="651"/>
      <c r="G259" s="632"/>
      <c r="H259" s="669" t="s">
        <v>883</v>
      </c>
      <c r="L259" s="652"/>
      <c r="M259" s="652"/>
      <c r="N259" s="652"/>
      <c r="O259" s="652"/>
      <c r="P259" s="652"/>
      <c r="Q259" s="652"/>
      <c r="R259" s="652"/>
      <c r="S259" s="652"/>
      <c r="T259" s="652"/>
      <c r="U259" s="652"/>
      <c r="V259" s="652"/>
      <c r="W259" s="652"/>
      <c r="X259" s="652"/>
      <c r="Y259" s="652"/>
      <c r="Z259" s="652"/>
    </row>
    <row r="260">
      <c r="A260" s="666" t="s">
        <v>8571</v>
      </c>
      <c r="B260" s="616" t="s">
        <v>1065</v>
      </c>
      <c r="C260" s="616" t="s">
        <v>66</v>
      </c>
      <c r="D260" s="666" t="s">
        <v>1068</v>
      </c>
      <c r="E260" s="616">
        <v>3.5</v>
      </c>
      <c r="F260" s="651"/>
      <c r="G260" s="632"/>
      <c r="H260" s="669" t="s">
        <v>1069</v>
      </c>
      <c r="L260" s="652"/>
      <c r="M260" s="652"/>
      <c r="N260" s="652"/>
      <c r="O260" s="652"/>
      <c r="P260" s="652"/>
      <c r="Q260" s="652"/>
      <c r="R260" s="652"/>
      <c r="S260" s="652"/>
      <c r="T260" s="652"/>
      <c r="U260" s="652"/>
      <c r="V260" s="652"/>
      <c r="W260" s="652"/>
      <c r="X260" s="652"/>
      <c r="Y260" s="652"/>
      <c r="Z260" s="652"/>
    </row>
    <row r="261">
      <c r="A261" s="629" t="s">
        <v>8572</v>
      </c>
      <c r="B261" s="686" t="s">
        <v>1041</v>
      </c>
      <c r="C261" s="686" t="s">
        <v>731</v>
      </c>
      <c r="D261" s="629" t="s">
        <v>8573</v>
      </c>
      <c r="E261" s="686" t="s">
        <v>8574</v>
      </c>
      <c r="F261" s="651"/>
      <c r="G261" s="632"/>
      <c r="H261" s="690" t="s">
        <v>8575</v>
      </c>
      <c r="L261" s="652"/>
      <c r="M261" s="652"/>
      <c r="N261" s="652"/>
      <c r="O261" s="652"/>
      <c r="P261" s="652"/>
      <c r="Q261" s="652"/>
      <c r="R261" s="652"/>
      <c r="S261" s="652"/>
      <c r="T261" s="652"/>
      <c r="U261" s="652"/>
      <c r="V261" s="652"/>
      <c r="W261" s="652"/>
      <c r="X261" s="652"/>
      <c r="Y261" s="652"/>
      <c r="Z261" s="652"/>
    </row>
    <row r="262">
      <c r="A262" s="666" t="s">
        <v>8576</v>
      </c>
      <c r="B262" s="616" t="s">
        <v>8577</v>
      </c>
      <c r="C262" s="616" t="s">
        <v>153</v>
      </c>
      <c r="D262" s="666" t="s">
        <v>8578</v>
      </c>
      <c r="E262" s="616">
        <v>3.9</v>
      </c>
      <c r="F262" s="651"/>
      <c r="G262" s="632"/>
      <c r="H262" s="633" t="s">
        <v>8579</v>
      </c>
      <c r="L262" s="652"/>
      <c r="M262" s="652"/>
      <c r="N262" s="652"/>
      <c r="O262" s="652"/>
      <c r="P262" s="652"/>
      <c r="Q262" s="652"/>
      <c r="R262" s="652"/>
      <c r="S262" s="652"/>
      <c r="T262" s="652"/>
      <c r="U262" s="652"/>
      <c r="V262" s="652"/>
      <c r="W262" s="652"/>
      <c r="X262" s="652"/>
      <c r="Y262" s="652"/>
      <c r="Z262" s="652"/>
    </row>
    <row r="263">
      <c r="A263" s="670" t="s">
        <v>2515</v>
      </c>
      <c r="B263" s="645" t="s">
        <v>8580</v>
      </c>
      <c r="C263" s="645" t="s">
        <v>330</v>
      </c>
      <c r="D263" s="670" t="s">
        <v>8581</v>
      </c>
      <c r="E263" s="645" t="s">
        <v>8582</v>
      </c>
      <c r="F263" s="665" t="s">
        <v>8583</v>
      </c>
      <c r="G263" s="692">
        <v>45475.0</v>
      </c>
      <c r="H263" s="688" t="s">
        <v>560</v>
      </c>
      <c r="L263" s="652"/>
      <c r="M263" s="652"/>
      <c r="N263" s="652"/>
      <c r="O263" s="652"/>
      <c r="P263" s="652"/>
      <c r="Q263" s="652"/>
      <c r="R263" s="652"/>
      <c r="S263" s="652"/>
      <c r="T263" s="652"/>
      <c r="U263" s="652"/>
      <c r="V263" s="652"/>
      <c r="W263" s="652"/>
      <c r="X263" s="652"/>
      <c r="Y263" s="652"/>
      <c r="Z263" s="652"/>
    </row>
    <row r="264">
      <c r="A264" s="616" t="s">
        <v>8438</v>
      </c>
      <c r="B264" s="616" t="s">
        <v>1301</v>
      </c>
      <c r="C264" s="616" t="s">
        <v>52</v>
      </c>
      <c r="D264" s="616" t="s">
        <v>8584</v>
      </c>
      <c r="E264" s="616" t="s">
        <v>8585</v>
      </c>
      <c r="F264" s="651"/>
      <c r="G264" s="632"/>
      <c r="H264" s="672" t="s">
        <v>8586</v>
      </c>
      <c r="L264" s="632"/>
      <c r="M264" s="632"/>
      <c r="N264" s="632"/>
      <c r="O264" s="632"/>
      <c r="P264" s="632"/>
      <c r="Q264" s="632"/>
      <c r="R264" s="632"/>
      <c r="S264" s="632"/>
      <c r="T264" s="632"/>
      <c r="U264" s="632"/>
      <c r="V264" s="632"/>
      <c r="W264" s="632"/>
      <c r="X264" s="632"/>
      <c r="Y264" s="632"/>
      <c r="Z264" s="632"/>
    </row>
    <row r="265">
      <c r="A265" s="666" t="s">
        <v>8523</v>
      </c>
      <c r="B265" s="616" t="s">
        <v>527</v>
      </c>
      <c r="C265" s="616" t="s">
        <v>529</v>
      </c>
      <c r="D265" s="666"/>
      <c r="E265" s="616"/>
      <c r="F265" s="655" t="s">
        <v>8587</v>
      </c>
      <c r="G265" s="616"/>
      <c r="H265" s="671" t="s">
        <v>530</v>
      </c>
      <c r="L265" s="652"/>
      <c r="M265" s="652"/>
      <c r="N265" s="652"/>
      <c r="O265" s="652"/>
      <c r="P265" s="652"/>
      <c r="Q265" s="652"/>
      <c r="R265" s="652"/>
      <c r="S265" s="652"/>
      <c r="T265" s="652"/>
      <c r="U265" s="652"/>
      <c r="V265" s="652"/>
      <c r="W265" s="652"/>
      <c r="X265" s="652"/>
      <c r="Y265" s="652"/>
      <c r="Z265" s="652"/>
    </row>
    <row r="266">
      <c r="A266" s="666" t="s">
        <v>8588</v>
      </c>
      <c r="B266" s="616" t="s">
        <v>603</v>
      </c>
      <c r="C266" s="616" t="s">
        <v>319</v>
      </c>
      <c r="D266" s="666" t="s">
        <v>606</v>
      </c>
      <c r="E266" s="616">
        <v>4.17</v>
      </c>
      <c r="F266" s="651"/>
      <c r="G266" s="632"/>
      <c r="H266" s="669" t="s">
        <v>607</v>
      </c>
      <c r="L266" s="652"/>
      <c r="M266" s="652"/>
      <c r="N266" s="652"/>
      <c r="O266" s="652"/>
      <c r="P266" s="652"/>
      <c r="Q266" s="652"/>
      <c r="R266" s="652"/>
      <c r="S266" s="652"/>
      <c r="T266" s="652"/>
      <c r="U266" s="652"/>
      <c r="V266" s="652"/>
      <c r="W266" s="652"/>
      <c r="X266" s="652"/>
      <c r="Y266" s="652"/>
      <c r="Z266" s="652"/>
    </row>
    <row r="267">
      <c r="A267" s="666" t="s">
        <v>8589</v>
      </c>
      <c r="B267" s="616" t="s">
        <v>505</v>
      </c>
      <c r="C267" s="616" t="s">
        <v>508</v>
      </c>
      <c r="D267" s="666" t="s">
        <v>8590</v>
      </c>
      <c r="E267" s="616">
        <v>4.0</v>
      </c>
      <c r="F267" s="651"/>
      <c r="G267" s="616"/>
      <c r="H267" s="667" t="s">
        <v>510</v>
      </c>
      <c r="L267" s="652"/>
      <c r="M267" s="652"/>
      <c r="N267" s="652"/>
      <c r="O267" s="652"/>
      <c r="P267" s="652"/>
      <c r="Q267" s="652"/>
      <c r="R267" s="652"/>
      <c r="S267" s="652"/>
      <c r="T267" s="652"/>
      <c r="U267" s="652"/>
      <c r="V267" s="652"/>
      <c r="W267" s="652"/>
      <c r="X267" s="652"/>
      <c r="Y267" s="652"/>
      <c r="Z267" s="652"/>
    </row>
    <row r="268">
      <c r="A268" s="666" t="s">
        <v>8591</v>
      </c>
      <c r="B268" s="616" t="s">
        <v>830</v>
      </c>
      <c r="C268" s="616" t="s">
        <v>52</v>
      </c>
      <c r="D268" s="666" t="s">
        <v>832</v>
      </c>
      <c r="E268" s="616">
        <v>3.5</v>
      </c>
      <c r="F268" s="651"/>
      <c r="G268" s="616"/>
      <c r="H268" s="671" t="s">
        <v>833</v>
      </c>
      <c r="L268" s="652"/>
      <c r="M268" s="652"/>
      <c r="N268" s="652"/>
      <c r="O268" s="652"/>
      <c r="P268" s="652"/>
      <c r="Q268" s="652"/>
      <c r="R268" s="652"/>
      <c r="S268" s="652"/>
      <c r="T268" s="652"/>
      <c r="U268" s="652"/>
      <c r="V268" s="652"/>
      <c r="W268" s="652"/>
      <c r="X268" s="652"/>
      <c r="Y268" s="652"/>
      <c r="Z268" s="652"/>
    </row>
    <row r="269">
      <c r="A269" s="666" t="s">
        <v>8592</v>
      </c>
      <c r="B269" s="616" t="s">
        <v>8593</v>
      </c>
      <c r="C269" s="616" t="s">
        <v>174</v>
      </c>
      <c r="D269" s="666" t="s">
        <v>8594</v>
      </c>
      <c r="E269" s="616">
        <v>3.83</v>
      </c>
      <c r="F269" s="651"/>
      <c r="G269" s="632"/>
      <c r="H269" s="669" t="s">
        <v>581</v>
      </c>
      <c r="L269" s="652"/>
      <c r="M269" s="652"/>
      <c r="N269" s="652"/>
      <c r="O269" s="652"/>
      <c r="P269" s="652"/>
      <c r="Q269" s="652"/>
      <c r="R269" s="652"/>
      <c r="S269" s="652"/>
      <c r="T269" s="652"/>
      <c r="U269" s="652"/>
      <c r="V269" s="652"/>
      <c r="W269" s="652"/>
      <c r="X269" s="652"/>
      <c r="Y269" s="652"/>
      <c r="Z269" s="652"/>
    </row>
    <row r="270">
      <c r="A270" s="629" t="s">
        <v>8595</v>
      </c>
      <c r="B270" s="616" t="s">
        <v>1270</v>
      </c>
      <c r="C270" s="616" t="s">
        <v>153</v>
      </c>
      <c r="D270" s="666" t="s">
        <v>1273</v>
      </c>
      <c r="E270" s="632"/>
      <c r="F270" s="651"/>
      <c r="G270" s="632"/>
      <c r="H270" s="690" t="s">
        <v>1274</v>
      </c>
      <c r="L270" s="652"/>
      <c r="M270" s="652"/>
      <c r="N270" s="652"/>
      <c r="O270" s="652"/>
      <c r="P270" s="652"/>
      <c r="Q270" s="652"/>
      <c r="R270" s="652"/>
      <c r="S270" s="652"/>
      <c r="T270" s="652"/>
      <c r="U270" s="652"/>
      <c r="V270" s="652"/>
      <c r="W270" s="652"/>
      <c r="X270" s="652"/>
      <c r="Y270" s="652"/>
      <c r="Z270" s="652"/>
    </row>
    <row r="271">
      <c r="A271" s="616" t="s">
        <v>8596</v>
      </c>
      <c r="B271" s="616" t="s">
        <v>839</v>
      </c>
      <c r="C271" s="616" t="s">
        <v>180</v>
      </c>
      <c r="D271" s="666" t="s">
        <v>8597</v>
      </c>
      <c r="E271" s="616" t="s">
        <v>8598</v>
      </c>
      <c r="F271" s="651"/>
      <c r="G271" s="632"/>
      <c r="H271" s="672" t="s">
        <v>843</v>
      </c>
      <c r="L271" s="632"/>
      <c r="M271" s="632"/>
      <c r="N271" s="632"/>
      <c r="O271" s="632"/>
      <c r="P271" s="632"/>
      <c r="Q271" s="632"/>
      <c r="R271" s="632"/>
      <c r="S271" s="632"/>
      <c r="T271" s="632"/>
      <c r="U271" s="632"/>
      <c r="V271" s="632"/>
      <c r="W271" s="632"/>
      <c r="X271" s="632"/>
      <c r="Y271" s="632"/>
      <c r="Z271" s="632"/>
    </row>
    <row r="272">
      <c r="A272" s="666" t="s">
        <v>8599</v>
      </c>
      <c r="B272" s="616" t="s">
        <v>8600</v>
      </c>
      <c r="C272" s="616" t="s">
        <v>66</v>
      </c>
      <c r="D272" s="666" t="s">
        <v>8601</v>
      </c>
      <c r="E272" s="686" t="s">
        <v>8602</v>
      </c>
      <c r="F272" s="651"/>
      <c r="G272" s="632"/>
      <c r="H272" s="669" t="s">
        <v>8603</v>
      </c>
      <c r="L272" s="652"/>
      <c r="M272" s="652"/>
      <c r="N272" s="652"/>
      <c r="O272" s="652"/>
      <c r="P272" s="652"/>
      <c r="Q272" s="652"/>
      <c r="R272" s="652"/>
      <c r="S272" s="652"/>
      <c r="T272" s="652"/>
      <c r="U272" s="652"/>
      <c r="V272" s="652"/>
      <c r="W272" s="652"/>
      <c r="X272" s="652"/>
      <c r="Y272" s="652"/>
      <c r="Z272" s="652"/>
    </row>
    <row r="273">
      <c r="A273" s="666" t="s">
        <v>8604</v>
      </c>
      <c r="B273" s="616" t="s">
        <v>8605</v>
      </c>
      <c r="C273" s="616" t="s">
        <v>66</v>
      </c>
      <c r="D273" s="630" t="s">
        <v>8606</v>
      </c>
      <c r="E273" s="616" t="s">
        <v>8607</v>
      </c>
      <c r="F273" s="651"/>
      <c r="G273" s="632"/>
      <c r="H273" s="633" t="s">
        <v>8608</v>
      </c>
      <c r="L273" s="634"/>
      <c r="M273" s="634"/>
      <c r="N273" s="634"/>
      <c r="O273" s="634"/>
      <c r="P273" s="634"/>
      <c r="Q273" s="634"/>
      <c r="R273" s="634"/>
      <c r="S273" s="634"/>
      <c r="T273" s="634"/>
      <c r="U273" s="634"/>
      <c r="V273" s="634"/>
      <c r="W273" s="634"/>
      <c r="X273" s="634"/>
      <c r="Y273" s="634"/>
      <c r="Z273" s="634"/>
    </row>
    <row r="274">
      <c r="A274" s="666" t="s">
        <v>8609</v>
      </c>
      <c r="B274" s="616" t="s">
        <v>8610</v>
      </c>
      <c r="C274" s="616" t="s">
        <v>330</v>
      </c>
      <c r="D274" s="630" t="s">
        <v>8611</v>
      </c>
      <c r="E274" s="616" t="s">
        <v>8612</v>
      </c>
      <c r="F274" s="651"/>
      <c r="G274" s="632"/>
      <c r="H274" s="633" t="s">
        <v>1116</v>
      </c>
      <c r="L274" s="634"/>
      <c r="M274" s="634"/>
      <c r="N274" s="634"/>
      <c r="O274" s="634"/>
      <c r="P274" s="634"/>
      <c r="Q274" s="634"/>
      <c r="R274" s="634"/>
      <c r="S274" s="634"/>
      <c r="T274" s="634"/>
      <c r="U274" s="634"/>
      <c r="V274" s="634"/>
      <c r="W274" s="634"/>
      <c r="X274" s="634"/>
      <c r="Y274" s="634"/>
      <c r="Z274" s="634"/>
    </row>
    <row r="275">
      <c r="A275" s="616" t="s">
        <v>8613</v>
      </c>
      <c r="B275" s="693" t="s">
        <v>821</v>
      </c>
      <c r="C275" s="616" t="s">
        <v>43</v>
      </c>
      <c r="D275" s="616" t="s">
        <v>824</v>
      </c>
      <c r="E275" s="616" t="s">
        <v>8614</v>
      </c>
      <c r="F275" s="651"/>
      <c r="G275" s="632"/>
      <c r="H275" s="672" t="s">
        <v>8615</v>
      </c>
      <c r="L275" s="616" t="s">
        <v>1541</v>
      </c>
      <c r="M275" s="632"/>
      <c r="N275" s="632"/>
      <c r="O275" s="632"/>
      <c r="P275" s="632"/>
      <c r="Q275" s="632"/>
      <c r="R275" s="632"/>
      <c r="S275" s="632"/>
      <c r="T275" s="632"/>
      <c r="U275" s="632"/>
      <c r="V275" s="632"/>
      <c r="W275" s="632"/>
      <c r="X275" s="632"/>
      <c r="Y275" s="632"/>
      <c r="Z275" s="632"/>
    </row>
    <row r="276">
      <c r="A276" s="629" t="s">
        <v>8616</v>
      </c>
      <c r="B276" s="616" t="s">
        <v>570</v>
      </c>
      <c r="C276" s="616" t="s">
        <v>195</v>
      </c>
      <c r="D276" s="676" t="s">
        <v>572</v>
      </c>
      <c r="E276" s="677" t="s">
        <v>8617</v>
      </c>
      <c r="F276" s="655" t="s">
        <v>8618</v>
      </c>
      <c r="G276" s="678"/>
      <c r="H276" s="675" t="s">
        <v>8619</v>
      </c>
      <c r="L276" s="652"/>
      <c r="M276" s="652"/>
      <c r="N276" s="652"/>
      <c r="O276" s="652"/>
      <c r="P276" s="652"/>
      <c r="Q276" s="652"/>
      <c r="R276" s="652"/>
      <c r="S276" s="652"/>
      <c r="T276" s="652"/>
      <c r="U276" s="652"/>
      <c r="V276" s="652"/>
      <c r="W276" s="652"/>
      <c r="X276" s="652"/>
      <c r="Y276" s="652"/>
      <c r="Z276" s="652"/>
    </row>
    <row r="277">
      <c r="A277" s="666" t="s">
        <v>8620</v>
      </c>
      <c r="B277" s="616" t="s">
        <v>681</v>
      </c>
      <c r="C277" s="616" t="s">
        <v>66</v>
      </c>
      <c r="D277" s="666" t="s">
        <v>8621</v>
      </c>
      <c r="E277" s="616" t="s">
        <v>8622</v>
      </c>
      <c r="F277" s="651"/>
      <c r="G277" s="616"/>
      <c r="H277" s="671" t="s">
        <v>8623</v>
      </c>
      <c r="L277" s="652"/>
      <c r="M277" s="652"/>
      <c r="N277" s="652"/>
      <c r="O277" s="652"/>
      <c r="P277" s="652"/>
      <c r="Q277" s="652"/>
      <c r="R277" s="652"/>
      <c r="S277" s="652"/>
      <c r="T277" s="652"/>
      <c r="U277" s="652"/>
      <c r="V277" s="652"/>
      <c r="W277" s="652"/>
      <c r="X277" s="652"/>
      <c r="Y277" s="652"/>
      <c r="Z277" s="652"/>
    </row>
    <row r="278">
      <c r="A278" s="366"/>
      <c r="D278" s="366"/>
      <c r="E278" s="391"/>
      <c r="F278" s="565"/>
    </row>
    <row r="279">
      <c r="A279" s="366"/>
      <c r="D279" s="366"/>
      <c r="E279" s="391"/>
      <c r="F279" s="565"/>
    </row>
    <row r="280">
      <c r="A280" s="366"/>
      <c r="D280" s="366"/>
      <c r="E280" s="391"/>
      <c r="F280" s="565"/>
    </row>
    <row r="281">
      <c r="A281" s="366"/>
      <c r="D281" s="366"/>
      <c r="E281" s="391"/>
      <c r="F281" s="565"/>
    </row>
    <row r="282">
      <c r="A282" s="366"/>
      <c r="D282" s="366"/>
      <c r="E282" s="391"/>
      <c r="F282" s="565"/>
    </row>
    <row r="283">
      <c r="A283" s="366"/>
      <c r="D283" s="366"/>
      <c r="E283" s="391"/>
      <c r="F283" s="565"/>
    </row>
    <row r="284">
      <c r="A284" s="366"/>
      <c r="D284" s="366"/>
      <c r="E284" s="391"/>
      <c r="F284" s="565"/>
    </row>
    <row r="285">
      <c r="A285" s="366"/>
      <c r="D285" s="366"/>
      <c r="E285" s="391"/>
      <c r="F285" s="565"/>
    </row>
    <row r="286">
      <c r="A286" s="366"/>
      <c r="D286" s="366"/>
      <c r="E286" s="391"/>
      <c r="F286" s="565"/>
    </row>
    <row r="287">
      <c r="A287" s="366"/>
      <c r="D287" s="366"/>
      <c r="E287" s="391"/>
      <c r="F287" s="565"/>
    </row>
    <row r="288">
      <c r="A288" s="366"/>
      <c r="D288" s="366"/>
      <c r="E288" s="391"/>
      <c r="F288" s="565"/>
    </row>
    <row r="289">
      <c r="A289" s="366"/>
      <c r="D289" s="366"/>
      <c r="E289" s="391"/>
      <c r="F289" s="565"/>
    </row>
    <row r="290">
      <c r="A290" s="366"/>
      <c r="D290" s="366"/>
      <c r="E290" s="391"/>
      <c r="F290" s="565"/>
    </row>
    <row r="291">
      <c r="A291" s="366"/>
      <c r="D291" s="366"/>
      <c r="E291" s="391"/>
      <c r="F291" s="565"/>
    </row>
    <row r="292">
      <c r="A292" s="366"/>
      <c r="D292" s="366"/>
      <c r="E292" s="391"/>
      <c r="F292" s="565"/>
    </row>
    <row r="293">
      <c r="A293" s="366"/>
      <c r="D293" s="366"/>
      <c r="E293" s="391"/>
      <c r="F293" s="565"/>
    </row>
    <row r="294">
      <c r="A294" s="366"/>
      <c r="D294" s="366"/>
      <c r="E294" s="391"/>
      <c r="F294" s="565"/>
    </row>
    <row r="295">
      <c r="A295" s="366"/>
      <c r="D295" s="366"/>
      <c r="E295" s="391"/>
      <c r="F295" s="565"/>
    </row>
    <row r="296">
      <c r="A296" s="366"/>
      <c r="D296" s="366"/>
      <c r="E296" s="391"/>
      <c r="F296" s="565"/>
    </row>
    <row r="297">
      <c r="A297" s="366"/>
      <c r="D297" s="366"/>
      <c r="E297" s="391"/>
      <c r="F297" s="565"/>
    </row>
    <row r="298">
      <c r="A298" s="366"/>
      <c r="D298" s="366"/>
      <c r="E298" s="391"/>
      <c r="F298" s="565"/>
    </row>
    <row r="299">
      <c r="A299" s="366"/>
      <c r="D299" s="366"/>
      <c r="E299" s="391"/>
      <c r="F299" s="565"/>
    </row>
    <row r="300">
      <c r="A300" s="366"/>
      <c r="D300" s="366"/>
      <c r="E300" s="391"/>
      <c r="F300" s="565"/>
    </row>
    <row r="301">
      <c r="A301" s="366"/>
      <c r="D301" s="366"/>
      <c r="E301" s="391"/>
      <c r="F301" s="565"/>
    </row>
    <row r="302">
      <c r="A302" s="366"/>
      <c r="D302" s="366"/>
      <c r="E302" s="391"/>
      <c r="F302" s="565"/>
    </row>
    <row r="303">
      <c r="A303" s="366"/>
      <c r="D303" s="366"/>
      <c r="E303" s="391"/>
      <c r="F303" s="565"/>
    </row>
    <row r="304">
      <c r="A304" s="366"/>
      <c r="D304" s="366"/>
      <c r="E304" s="391"/>
      <c r="F304" s="565"/>
    </row>
    <row r="305">
      <c r="A305" s="366"/>
      <c r="D305" s="366"/>
      <c r="E305" s="391"/>
      <c r="F305" s="565"/>
    </row>
    <row r="306">
      <c r="A306" s="366"/>
      <c r="D306" s="366"/>
      <c r="E306" s="391"/>
      <c r="F306" s="565"/>
    </row>
    <row r="307">
      <c r="A307" s="366"/>
      <c r="D307" s="366"/>
      <c r="E307" s="391"/>
      <c r="F307" s="565"/>
    </row>
    <row r="308">
      <c r="A308" s="366"/>
      <c r="D308" s="366"/>
      <c r="E308" s="391"/>
      <c r="F308" s="565"/>
    </row>
    <row r="309">
      <c r="A309" s="366"/>
      <c r="D309" s="366"/>
      <c r="E309" s="391"/>
      <c r="F309" s="565"/>
    </row>
    <row r="310">
      <c r="A310" s="366"/>
      <c r="D310" s="366"/>
      <c r="E310" s="391"/>
      <c r="F310" s="565"/>
    </row>
    <row r="311">
      <c r="A311" s="366"/>
      <c r="D311" s="366"/>
      <c r="E311" s="391"/>
      <c r="F311" s="565"/>
    </row>
    <row r="312">
      <c r="A312" s="366"/>
      <c r="D312" s="366"/>
      <c r="E312" s="391"/>
      <c r="F312" s="565"/>
    </row>
    <row r="313">
      <c r="A313" s="366"/>
      <c r="D313" s="366"/>
      <c r="E313" s="391"/>
      <c r="F313" s="565"/>
    </row>
    <row r="314">
      <c r="A314" s="366"/>
      <c r="D314" s="366"/>
      <c r="E314" s="391"/>
      <c r="F314" s="565"/>
    </row>
    <row r="315">
      <c r="A315" s="366"/>
      <c r="D315" s="366"/>
      <c r="E315" s="391"/>
      <c r="F315" s="565"/>
    </row>
    <row r="316">
      <c r="A316" s="366"/>
      <c r="D316" s="366"/>
      <c r="E316" s="391"/>
      <c r="F316" s="565"/>
    </row>
    <row r="317">
      <c r="A317" s="366"/>
      <c r="D317" s="366"/>
      <c r="E317" s="391"/>
      <c r="F317" s="565"/>
    </row>
    <row r="318">
      <c r="A318" s="366"/>
      <c r="D318" s="366"/>
      <c r="E318" s="391"/>
      <c r="F318" s="565"/>
    </row>
    <row r="319">
      <c r="A319" s="366"/>
      <c r="D319" s="366"/>
      <c r="E319" s="391"/>
      <c r="F319" s="565"/>
    </row>
    <row r="320">
      <c r="A320" s="366"/>
      <c r="D320" s="366"/>
      <c r="E320" s="391"/>
      <c r="F320" s="565"/>
    </row>
    <row r="321">
      <c r="A321" s="366"/>
      <c r="D321" s="366"/>
      <c r="E321" s="391"/>
      <c r="F321" s="565"/>
    </row>
    <row r="322">
      <c r="A322" s="366"/>
      <c r="D322" s="366"/>
      <c r="E322" s="391"/>
      <c r="F322" s="565"/>
    </row>
    <row r="323">
      <c r="A323" s="366"/>
      <c r="D323" s="366"/>
      <c r="E323" s="391"/>
      <c r="F323" s="565"/>
    </row>
    <row r="324">
      <c r="A324" s="366"/>
      <c r="D324" s="366"/>
      <c r="E324" s="391"/>
      <c r="F324" s="565"/>
    </row>
    <row r="325">
      <c r="A325" s="366"/>
      <c r="D325" s="366"/>
      <c r="E325" s="391"/>
      <c r="F325" s="565"/>
    </row>
    <row r="326">
      <c r="A326" s="366"/>
      <c r="D326" s="366"/>
      <c r="E326" s="391"/>
      <c r="F326" s="565"/>
    </row>
    <row r="327">
      <c r="A327" s="366"/>
      <c r="D327" s="366"/>
      <c r="E327" s="391"/>
      <c r="F327" s="565"/>
    </row>
    <row r="328">
      <c r="A328" s="366"/>
      <c r="D328" s="366"/>
      <c r="E328" s="391"/>
      <c r="F328" s="565"/>
    </row>
    <row r="329">
      <c r="A329" s="366"/>
      <c r="D329" s="366"/>
      <c r="E329" s="391"/>
      <c r="F329" s="565"/>
    </row>
    <row r="330">
      <c r="A330" s="366"/>
      <c r="D330" s="366"/>
      <c r="E330" s="391"/>
      <c r="F330" s="565"/>
    </row>
    <row r="331">
      <c r="A331" s="366"/>
      <c r="D331" s="366"/>
      <c r="E331" s="391"/>
      <c r="F331" s="565"/>
    </row>
    <row r="332">
      <c r="A332" s="366"/>
      <c r="D332" s="366"/>
      <c r="E332" s="391"/>
      <c r="F332" s="565"/>
    </row>
    <row r="333">
      <c r="A333" s="366"/>
      <c r="D333" s="366"/>
      <c r="E333" s="391"/>
      <c r="F333" s="565"/>
    </row>
    <row r="334">
      <c r="A334" s="366"/>
      <c r="D334" s="366"/>
      <c r="E334" s="391"/>
      <c r="F334" s="565"/>
    </row>
    <row r="335">
      <c r="A335" s="366"/>
      <c r="D335" s="366"/>
      <c r="E335" s="391"/>
      <c r="F335" s="565"/>
    </row>
    <row r="336">
      <c r="A336" s="366"/>
      <c r="D336" s="366"/>
      <c r="E336" s="391"/>
      <c r="F336" s="565"/>
    </row>
    <row r="337">
      <c r="A337" s="366"/>
      <c r="D337" s="366"/>
      <c r="E337" s="391"/>
      <c r="F337" s="565"/>
    </row>
    <row r="338">
      <c r="A338" s="366"/>
      <c r="D338" s="366"/>
      <c r="E338" s="391"/>
      <c r="F338" s="565"/>
    </row>
    <row r="339">
      <c r="A339" s="366"/>
      <c r="D339" s="366"/>
      <c r="E339" s="391"/>
      <c r="F339" s="565"/>
    </row>
    <row r="340">
      <c r="A340" s="366"/>
      <c r="D340" s="366"/>
      <c r="E340" s="391"/>
      <c r="F340" s="565"/>
    </row>
    <row r="341">
      <c r="A341" s="366"/>
      <c r="D341" s="366"/>
      <c r="E341" s="391"/>
      <c r="F341" s="565"/>
    </row>
    <row r="342">
      <c r="A342" s="366"/>
      <c r="D342" s="366"/>
      <c r="E342" s="391"/>
      <c r="F342" s="565"/>
    </row>
    <row r="343">
      <c r="A343" s="366"/>
      <c r="D343" s="366"/>
      <c r="E343" s="391"/>
      <c r="F343" s="565"/>
    </row>
    <row r="344">
      <c r="A344" s="366"/>
      <c r="D344" s="366"/>
      <c r="E344" s="391"/>
      <c r="F344" s="565"/>
    </row>
    <row r="345">
      <c r="A345" s="366"/>
      <c r="D345" s="366"/>
      <c r="E345" s="391"/>
      <c r="F345" s="565"/>
    </row>
    <row r="346">
      <c r="A346" s="366"/>
      <c r="D346" s="366"/>
      <c r="E346" s="391"/>
      <c r="F346" s="565"/>
    </row>
    <row r="347">
      <c r="A347" s="366"/>
      <c r="D347" s="366"/>
      <c r="E347" s="391"/>
      <c r="F347" s="565"/>
    </row>
    <row r="348">
      <c r="A348" s="366"/>
      <c r="D348" s="366"/>
      <c r="E348" s="391"/>
      <c r="F348" s="565"/>
    </row>
    <row r="349">
      <c r="A349" s="366"/>
      <c r="D349" s="366"/>
      <c r="E349" s="391"/>
      <c r="F349" s="565"/>
    </row>
    <row r="350">
      <c r="A350" s="366"/>
      <c r="D350" s="366"/>
      <c r="E350" s="391"/>
      <c r="F350" s="565"/>
    </row>
    <row r="351">
      <c r="A351" s="366"/>
      <c r="D351" s="366"/>
      <c r="E351" s="391"/>
      <c r="F351" s="565"/>
    </row>
    <row r="352">
      <c r="A352" s="366"/>
      <c r="D352" s="366"/>
      <c r="E352" s="391"/>
      <c r="F352" s="565"/>
    </row>
    <row r="353">
      <c r="A353" s="366"/>
      <c r="D353" s="366"/>
      <c r="E353" s="391"/>
      <c r="F353" s="565"/>
    </row>
    <row r="354">
      <c r="A354" s="366"/>
      <c r="D354" s="366"/>
      <c r="E354" s="391"/>
      <c r="F354" s="565"/>
    </row>
    <row r="355">
      <c r="A355" s="366"/>
      <c r="D355" s="366"/>
      <c r="E355" s="391"/>
      <c r="F355" s="565"/>
    </row>
    <row r="356">
      <c r="A356" s="366"/>
      <c r="D356" s="366"/>
      <c r="E356" s="391"/>
      <c r="F356" s="565"/>
    </row>
    <row r="357">
      <c r="A357" s="366"/>
      <c r="D357" s="366"/>
      <c r="E357" s="391"/>
      <c r="F357" s="565"/>
    </row>
    <row r="358">
      <c r="A358" s="366"/>
      <c r="D358" s="366"/>
      <c r="E358" s="391"/>
      <c r="F358" s="565"/>
    </row>
    <row r="359">
      <c r="A359" s="366"/>
      <c r="D359" s="366"/>
      <c r="E359" s="391"/>
      <c r="F359" s="565"/>
    </row>
    <row r="360">
      <c r="A360" s="366"/>
      <c r="D360" s="366"/>
      <c r="E360" s="391"/>
      <c r="F360" s="565"/>
    </row>
    <row r="361">
      <c r="A361" s="366"/>
      <c r="D361" s="366"/>
      <c r="E361" s="391"/>
      <c r="F361" s="565"/>
    </row>
    <row r="362">
      <c r="A362" s="366"/>
      <c r="D362" s="366"/>
      <c r="E362" s="391"/>
      <c r="F362" s="565"/>
    </row>
    <row r="363">
      <c r="A363" s="366"/>
      <c r="D363" s="366"/>
      <c r="E363" s="391"/>
      <c r="F363" s="565"/>
    </row>
    <row r="364">
      <c r="A364" s="366"/>
      <c r="D364" s="366"/>
      <c r="E364" s="391"/>
      <c r="F364" s="565"/>
    </row>
    <row r="365">
      <c r="A365" s="366"/>
      <c r="D365" s="366"/>
      <c r="E365" s="391"/>
      <c r="F365" s="565"/>
    </row>
    <row r="366">
      <c r="A366" s="366"/>
      <c r="D366" s="366"/>
      <c r="E366" s="391"/>
      <c r="F366" s="565"/>
    </row>
    <row r="367">
      <c r="A367" s="366"/>
      <c r="D367" s="366"/>
      <c r="E367" s="391"/>
      <c r="F367" s="565"/>
    </row>
    <row r="368">
      <c r="A368" s="366"/>
      <c r="D368" s="366"/>
      <c r="E368" s="391"/>
      <c r="F368" s="565"/>
    </row>
    <row r="369">
      <c r="A369" s="366"/>
      <c r="D369" s="366"/>
      <c r="E369" s="391"/>
      <c r="F369" s="565"/>
    </row>
    <row r="370">
      <c r="A370" s="366"/>
      <c r="D370" s="366"/>
      <c r="E370" s="391"/>
      <c r="F370" s="565"/>
    </row>
    <row r="371">
      <c r="A371" s="366"/>
      <c r="D371" s="366"/>
      <c r="E371" s="391"/>
      <c r="F371" s="565"/>
    </row>
    <row r="372">
      <c r="A372" s="366"/>
      <c r="D372" s="366"/>
      <c r="E372" s="391"/>
      <c r="F372" s="565"/>
    </row>
    <row r="373">
      <c r="A373" s="366"/>
      <c r="D373" s="366"/>
      <c r="E373" s="391"/>
      <c r="F373" s="565"/>
    </row>
    <row r="374">
      <c r="A374" s="366"/>
      <c r="D374" s="366"/>
      <c r="E374" s="391"/>
      <c r="F374" s="565"/>
    </row>
    <row r="375">
      <c r="A375" s="366"/>
      <c r="D375" s="366"/>
      <c r="E375" s="391"/>
      <c r="F375" s="565"/>
    </row>
    <row r="376">
      <c r="A376" s="366"/>
      <c r="D376" s="366"/>
      <c r="E376" s="391"/>
      <c r="F376" s="565"/>
    </row>
    <row r="377">
      <c r="A377" s="366"/>
      <c r="D377" s="366"/>
      <c r="E377" s="391"/>
      <c r="F377" s="565"/>
    </row>
    <row r="378">
      <c r="A378" s="366"/>
      <c r="D378" s="366"/>
      <c r="E378" s="391"/>
      <c r="F378" s="565"/>
    </row>
    <row r="379">
      <c r="A379" s="366"/>
      <c r="D379" s="366"/>
      <c r="E379" s="391"/>
      <c r="F379" s="565"/>
    </row>
    <row r="380">
      <c r="A380" s="366"/>
      <c r="D380" s="366"/>
      <c r="E380" s="391"/>
      <c r="F380" s="565"/>
    </row>
    <row r="381">
      <c r="A381" s="366"/>
      <c r="D381" s="366"/>
      <c r="E381" s="391"/>
      <c r="F381" s="565"/>
    </row>
    <row r="382">
      <c r="A382" s="366"/>
      <c r="D382" s="366"/>
      <c r="E382" s="391"/>
      <c r="F382" s="565"/>
    </row>
    <row r="383">
      <c r="A383" s="366"/>
      <c r="D383" s="366"/>
      <c r="E383" s="391"/>
      <c r="F383" s="565"/>
    </row>
    <row r="384">
      <c r="A384" s="366"/>
      <c r="D384" s="366"/>
      <c r="E384" s="391"/>
      <c r="F384" s="565"/>
    </row>
    <row r="385">
      <c r="A385" s="366"/>
      <c r="D385" s="366"/>
      <c r="E385" s="391"/>
      <c r="F385" s="565"/>
    </row>
    <row r="386">
      <c r="A386" s="366"/>
      <c r="D386" s="366"/>
      <c r="E386" s="391"/>
      <c r="F386" s="565"/>
    </row>
    <row r="387">
      <c r="A387" s="366"/>
      <c r="D387" s="366"/>
      <c r="E387" s="391"/>
      <c r="F387" s="565"/>
    </row>
    <row r="388">
      <c r="A388" s="366"/>
      <c r="D388" s="366"/>
      <c r="E388" s="391"/>
      <c r="F388" s="565"/>
    </row>
    <row r="389">
      <c r="A389" s="366"/>
      <c r="D389" s="366"/>
      <c r="E389" s="391"/>
      <c r="F389" s="565"/>
    </row>
    <row r="390">
      <c r="A390" s="366"/>
      <c r="D390" s="366"/>
      <c r="E390" s="391"/>
      <c r="F390" s="565"/>
    </row>
    <row r="391">
      <c r="A391" s="366"/>
      <c r="D391" s="366"/>
      <c r="E391" s="391"/>
      <c r="F391" s="565"/>
    </row>
    <row r="392">
      <c r="A392" s="366"/>
      <c r="D392" s="366"/>
      <c r="E392" s="391"/>
      <c r="F392" s="565"/>
    </row>
    <row r="393">
      <c r="A393" s="366"/>
      <c r="D393" s="366"/>
      <c r="E393" s="391"/>
      <c r="F393" s="565"/>
    </row>
    <row r="394">
      <c r="A394" s="366"/>
      <c r="D394" s="366"/>
      <c r="E394" s="391"/>
      <c r="F394" s="565"/>
    </row>
    <row r="395">
      <c r="A395" s="366"/>
      <c r="D395" s="366"/>
      <c r="E395" s="391"/>
      <c r="F395" s="565"/>
    </row>
    <row r="396">
      <c r="A396" s="366"/>
      <c r="D396" s="366"/>
      <c r="E396" s="391"/>
      <c r="F396" s="565"/>
    </row>
    <row r="397">
      <c r="A397" s="366"/>
      <c r="D397" s="366"/>
      <c r="E397" s="391"/>
      <c r="F397" s="565"/>
    </row>
    <row r="398">
      <c r="A398" s="366"/>
      <c r="D398" s="366"/>
      <c r="E398" s="391"/>
      <c r="F398" s="565"/>
    </row>
    <row r="399">
      <c r="A399" s="366"/>
      <c r="D399" s="366"/>
      <c r="E399" s="391"/>
      <c r="F399" s="565"/>
    </row>
    <row r="400">
      <c r="A400" s="366"/>
      <c r="D400" s="366"/>
      <c r="E400" s="391"/>
      <c r="F400" s="565"/>
    </row>
    <row r="401">
      <c r="A401" s="366"/>
      <c r="D401" s="366"/>
      <c r="E401" s="391"/>
      <c r="F401" s="565"/>
    </row>
    <row r="402">
      <c r="A402" s="366"/>
      <c r="D402" s="366"/>
      <c r="E402" s="391"/>
      <c r="F402" s="565"/>
    </row>
    <row r="403">
      <c r="A403" s="366"/>
      <c r="D403" s="366"/>
      <c r="E403" s="391"/>
      <c r="F403" s="565"/>
    </row>
    <row r="404">
      <c r="A404" s="366"/>
      <c r="D404" s="366"/>
      <c r="E404" s="391"/>
      <c r="F404" s="565"/>
    </row>
    <row r="405">
      <c r="A405" s="366"/>
      <c r="D405" s="366"/>
      <c r="E405" s="391"/>
      <c r="F405" s="565"/>
    </row>
    <row r="406">
      <c r="A406" s="366"/>
      <c r="D406" s="366"/>
      <c r="E406" s="391"/>
      <c r="F406" s="565"/>
    </row>
    <row r="407">
      <c r="A407" s="366"/>
      <c r="D407" s="366"/>
      <c r="E407" s="391"/>
      <c r="F407" s="565"/>
    </row>
    <row r="408">
      <c r="A408" s="366"/>
      <c r="D408" s="366"/>
      <c r="E408" s="391"/>
      <c r="F408" s="565"/>
    </row>
    <row r="409">
      <c r="A409" s="366"/>
      <c r="D409" s="366"/>
      <c r="E409" s="391"/>
      <c r="F409" s="565"/>
    </row>
    <row r="410">
      <c r="A410" s="366"/>
      <c r="D410" s="366"/>
      <c r="E410" s="391"/>
      <c r="F410" s="565"/>
    </row>
    <row r="411">
      <c r="A411" s="366"/>
      <c r="D411" s="366"/>
      <c r="E411" s="391"/>
      <c r="F411" s="565"/>
    </row>
    <row r="412">
      <c r="A412" s="366"/>
      <c r="D412" s="366"/>
      <c r="E412" s="391"/>
      <c r="F412" s="565"/>
    </row>
    <row r="413">
      <c r="A413" s="366"/>
      <c r="D413" s="366"/>
      <c r="E413" s="391"/>
      <c r="F413" s="565"/>
    </row>
    <row r="414">
      <c r="A414" s="366"/>
      <c r="D414" s="366"/>
      <c r="E414" s="391"/>
      <c r="F414" s="565"/>
    </row>
    <row r="415">
      <c r="A415" s="366"/>
      <c r="D415" s="366"/>
      <c r="E415" s="391"/>
      <c r="F415" s="565"/>
    </row>
    <row r="416">
      <c r="A416" s="366"/>
      <c r="D416" s="366"/>
      <c r="E416" s="391"/>
      <c r="F416" s="565"/>
    </row>
    <row r="417">
      <c r="A417" s="366"/>
      <c r="D417" s="366"/>
      <c r="E417" s="391"/>
      <c r="F417" s="565"/>
    </row>
    <row r="418">
      <c r="A418" s="366"/>
      <c r="D418" s="366"/>
      <c r="E418" s="391"/>
      <c r="F418" s="565"/>
    </row>
    <row r="419">
      <c r="A419" s="366"/>
      <c r="D419" s="366"/>
      <c r="E419" s="391"/>
      <c r="F419" s="565"/>
    </row>
    <row r="420">
      <c r="A420" s="366"/>
      <c r="D420" s="366"/>
      <c r="E420" s="391"/>
      <c r="F420" s="565"/>
    </row>
    <row r="421">
      <c r="A421" s="366"/>
      <c r="D421" s="366"/>
      <c r="E421" s="391"/>
      <c r="F421" s="565"/>
    </row>
    <row r="422">
      <c r="A422" s="366"/>
      <c r="D422" s="366"/>
      <c r="E422" s="391"/>
      <c r="F422" s="565"/>
    </row>
    <row r="423">
      <c r="A423" s="366"/>
      <c r="D423" s="366"/>
      <c r="E423" s="391"/>
      <c r="F423" s="565"/>
    </row>
    <row r="424">
      <c r="A424" s="366"/>
      <c r="D424" s="366"/>
      <c r="E424" s="391"/>
      <c r="F424" s="565"/>
    </row>
    <row r="425">
      <c r="A425" s="366"/>
      <c r="D425" s="366"/>
      <c r="E425" s="391"/>
      <c r="F425" s="565"/>
    </row>
    <row r="426">
      <c r="A426" s="366"/>
      <c r="D426" s="366"/>
      <c r="E426" s="391"/>
      <c r="F426" s="565"/>
    </row>
    <row r="427">
      <c r="A427" s="366"/>
      <c r="D427" s="366"/>
      <c r="E427" s="391"/>
      <c r="F427" s="565"/>
    </row>
    <row r="428">
      <c r="A428" s="366"/>
      <c r="D428" s="366"/>
      <c r="E428" s="391"/>
      <c r="F428" s="565"/>
    </row>
    <row r="429">
      <c r="A429" s="366"/>
      <c r="D429" s="366"/>
      <c r="E429" s="391"/>
      <c r="F429" s="565"/>
    </row>
    <row r="430">
      <c r="A430" s="366"/>
      <c r="D430" s="366"/>
      <c r="E430" s="391"/>
      <c r="F430" s="565"/>
    </row>
    <row r="431">
      <c r="A431" s="366"/>
      <c r="D431" s="366"/>
      <c r="E431" s="391"/>
      <c r="F431" s="565"/>
    </row>
    <row r="432">
      <c r="A432" s="366"/>
      <c r="D432" s="366"/>
      <c r="E432" s="391"/>
      <c r="F432" s="565"/>
    </row>
    <row r="433">
      <c r="A433" s="366"/>
      <c r="D433" s="366"/>
      <c r="E433" s="391"/>
      <c r="F433" s="565"/>
    </row>
    <row r="434">
      <c r="A434" s="366"/>
      <c r="D434" s="366"/>
      <c r="E434" s="391"/>
      <c r="F434" s="565"/>
    </row>
    <row r="435">
      <c r="A435" s="366"/>
      <c r="D435" s="366"/>
      <c r="E435" s="391"/>
      <c r="F435" s="565"/>
    </row>
    <row r="436">
      <c r="A436" s="366"/>
      <c r="D436" s="366"/>
      <c r="E436" s="391"/>
      <c r="F436" s="565"/>
    </row>
    <row r="437">
      <c r="A437" s="366"/>
      <c r="D437" s="366"/>
      <c r="E437" s="391"/>
      <c r="F437" s="565"/>
    </row>
    <row r="438">
      <c r="A438" s="366"/>
      <c r="D438" s="366"/>
      <c r="E438" s="391"/>
      <c r="F438" s="565"/>
    </row>
    <row r="439">
      <c r="A439" s="366"/>
      <c r="D439" s="366"/>
      <c r="E439" s="391"/>
      <c r="F439" s="565"/>
    </row>
    <row r="440">
      <c r="A440" s="366"/>
      <c r="D440" s="366"/>
      <c r="E440" s="391"/>
      <c r="F440" s="565"/>
    </row>
    <row r="441">
      <c r="A441" s="366"/>
      <c r="D441" s="366"/>
      <c r="E441" s="391"/>
      <c r="F441" s="565"/>
    </row>
    <row r="442">
      <c r="A442" s="366"/>
      <c r="D442" s="366"/>
      <c r="E442" s="391"/>
      <c r="F442" s="565"/>
    </row>
    <row r="443">
      <c r="A443" s="366"/>
      <c r="D443" s="366"/>
      <c r="E443" s="391"/>
      <c r="F443" s="565"/>
    </row>
    <row r="444">
      <c r="A444" s="366"/>
      <c r="D444" s="366"/>
      <c r="E444" s="391"/>
      <c r="F444" s="565"/>
    </row>
    <row r="445">
      <c r="A445" s="366"/>
      <c r="D445" s="366"/>
      <c r="E445" s="391"/>
      <c r="F445" s="565"/>
    </row>
    <row r="446">
      <c r="A446" s="366"/>
      <c r="D446" s="366"/>
      <c r="E446" s="391"/>
      <c r="F446" s="565"/>
    </row>
    <row r="447">
      <c r="A447" s="366"/>
      <c r="D447" s="366"/>
      <c r="E447" s="391"/>
      <c r="F447" s="565"/>
    </row>
    <row r="448">
      <c r="A448" s="366"/>
      <c r="D448" s="366"/>
      <c r="E448" s="391"/>
      <c r="F448" s="565"/>
    </row>
    <row r="449">
      <c r="A449" s="366"/>
      <c r="D449" s="366"/>
      <c r="E449" s="391"/>
      <c r="F449" s="565"/>
    </row>
    <row r="450">
      <c r="A450" s="366"/>
      <c r="D450" s="366"/>
      <c r="E450" s="391"/>
      <c r="F450" s="565"/>
    </row>
    <row r="451">
      <c r="A451" s="366"/>
      <c r="D451" s="366"/>
      <c r="E451" s="391"/>
      <c r="F451" s="565"/>
    </row>
    <row r="452">
      <c r="A452" s="366"/>
      <c r="D452" s="366"/>
      <c r="E452" s="391"/>
      <c r="F452" s="565"/>
    </row>
    <row r="453">
      <c r="A453" s="366"/>
      <c r="D453" s="366"/>
      <c r="E453" s="391"/>
      <c r="F453" s="565"/>
    </row>
    <row r="454">
      <c r="A454" s="366"/>
      <c r="D454" s="366"/>
      <c r="E454" s="391"/>
      <c r="F454" s="565"/>
    </row>
    <row r="455">
      <c r="A455" s="366"/>
      <c r="D455" s="366"/>
      <c r="E455" s="391"/>
      <c r="F455" s="565"/>
    </row>
    <row r="456">
      <c r="A456" s="366"/>
      <c r="D456" s="366"/>
      <c r="E456" s="391"/>
      <c r="F456" s="565"/>
    </row>
    <row r="457">
      <c r="A457" s="366"/>
      <c r="D457" s="366"/>
      <c r="E457" s="391"/>
      <c r="F457" s="565"/>
    </row>
    <row r="458">
      <c r="A458" s="366"/>
      <c r="D458" s="366"/>
      <c r="E458" s="391"/>
      <c r="F458" s="565"/>
    </row>
    <row r="459">
      <c r="A459" s="366"/>
      <c r="D459" s="366"/>
      <c r="E459" s="391"/>
      <c r="F459" s="565"/>
    </row>
    <row r="460">
      <c r="A460" s="366"/>
      <c r="D460" s="366"/>
      <c r="E460" s="391"/>
      <c r="F460" s="565"/>
    </row>
    <row r="461">
      <c r="A461" s="366"/>
      <c r="D461" s="366"/>
      <c r="E461" s="391"/>
      <c r="F461" s="565"/>
    </row>
    <row r="462">
      <c r="A462" s="366"/>
      <c r="D462" s="366"/>
      <c r="E462" s="391"/>
      <c r="F462" s="565"/>
    </row>
    <row r="463">
      <c r="A463" s="366"/>
      <c r="D463" s="366"/>
      <c r="E463" s="391"/>
      <c r="F463" s="565"/>
    </row>
    <row r="464">
      <c r="A464" s="366"/>
      <c r="D464" s="366"/>
      <c r="E464" s="391"/>
      <c r="F464" s="565"/>
    </row>
    <row r="465">
      <c r="A465" s="366"/>
      <c r="D465" s="366"/>
      <c r="E465" s="391"/>
      <c r="F465" s="565"/>
    </row>
    <row r="466">
      <c r="A466" s="366"/>
      <c r="D466" s="366"/>
      <c r="E466" s="391"/>
      <c r="F466" s="565"/>
    </row>
    <row r="467">
      <c r="A467" s="366"/>
      <c r="D467" s="366"/>
      <c r="E467" s="391"/>
      <c r="F467" s="565"/>
    </row>
    <row r="468">
      <c r="A468" s="366"/>
      <c r="D468" s="366"/>
      <c r="E468" s="391"/>
      <c r="F468" s="565"/>
    </row>
    <row r="469">
      <c r="A469" s="366"/>
      <c r="D469" s="366"/>
      <c r="E469" s="391"/>
      <c r="F469" s="565"/>
    </row>
    <row r="470">
      <c r="A470" s="366"/>
      <c r="D470" s="366"/>
      <c r="E470" s="391"/>
      <c r="F470" s="565"/>
    </row>
    <row r="471">
      <c r="A471" s="366"/>
      <c r="D471" s="366"/>
      <c r="E471" s="391"/>
      <c r="F471" s="565"/>
    </row>
    <row r="472">
      <c r="A472" s="366"/>
      <c r="D472" s="366"/>
      <c r="E472" s="391"/>
      <c r="F472" s="565"/>
    </row>
    <row r="473">
      <c r="A473" s="366"/>
      <c r="D473" s="366"/>
      <c r="E473" s="391"/>
      <c r="F473" s="565"/>
    </row>
    <row r="474">
      <c r="A474" s="366"/>
      <c r="D474" s="366"/>
      <c r="E474" s="391"/>
      <c r="F474" s="565"/>
    </row>
    <row r="475">
      <c r="A475" s="366"/>
      <c r="D475" s="366"/>
      <c r="E475" s="391"/>
      <c r="F475" s="565"/>
    </row>
    <row r="476">
      <c r="A476" s="366"/>
      <c r="D476" s="366"/>
      <c r="E476" s="391"/>
      <c r="F476" s="565"/>
    </row>
    <row r="477">
      <c r="A477" s="366"/>
      <c r="D477" s="366"/>
      <c r="E477" s="391"/>
      <c r="F477" s="565"/>
    </row>
    <row r="478">
      <c r="A478" s="366"/>
      <c r="D478" s="366"/>
      <c r="E478" s="391"/>
      <c r="F478" s="565"/>
    </row>
    <row r="479">
      <c r="A479" s="366"/>
      <c r="D479" s="366"/>
      <c r="E479" s="391"/>
      <c r="F479" s="565"/>
    </row>
    <row r="480">
      <c r="A480" s="366"/>
      <c r="D480" s="366"/>
      <c r="E480" s="391"/>
      <c r="F480" s="565"/>
    </row>
    <row r="481">
      <c r="A481" s="366"/>
      <c r="D481" s="366"/>
      <c r="E481" s="391"/>
      <c r="F481" s="565"/>
    </row>
    <row r="482">
      <c r="A482" s="366"/>
      <c r="D482" s="366"/>
      <c r="E482" s="391"/>
      <c r="F482" s="565"/>
    </row>
    <row r="483">
      <c r="A483" s="366"/>
      <c r="D483" s="366"/>
      <c r="E483" s="391"/>
      <c r="F483" s="565"/>
    </row>
    <row r="484">
      <c r="A484" s="366"/>
      <c r="D484" s="366"/>
      <c r="E484" s="391"/>
      <c r="F484" s="565"/>
    </row>
    <row r="485">
      <c r="A485" s="366"/>
      <c r="D485" s="366"/>
      <c r="E485" s="391"/>
      <c r="F485" s="565"/>
    </row>
    <row r="486">
      <c r="A486" s="366"/>
      <c r="D486" s="366"/>
      <c r="E486" s="391"/>
      <c r="F486" s="565"/>
    </row>
    <row r="487">
      <c r="A487" s="366"/>
      <c r="D487" s="366"/>
      <c r="E487" s="391"/>
      <c r="F487" s="565"/>
    </row>
    <row r="488">
      <c r="A488" s="366"/>
      <c r="D488" s="366"/>
      <c r="E488" s="391"/>
      <c r="F488" s="565"/>
    </row>
    <row r="489">
      <c r="A489" s="366"/>
      <c r="D489" s="366"/>
      <c r="E489" s="391"/>
      <c r="F489" s="565"/>
    </row>
    <row r="490">
      <c r="A490" s="366"/>
      <c r="D490" s="366"/>
      <c r="E490" s="391"/>
      <c r="F490" s="565"/>
    </row>
    <row r="491">
      <c r="A491" s="366"/>
      <c r="D491" s="366"/>
      <c r="E491" s="391"/>
      <c r="F491" s="565"/>
    </row>
    <row r="492">
      <c r="A492" s="366"/>
      <c r="D492" s="366"/>
      <c r="E492" s="391"/>
      <c r="F492" s="565"/>
    </row>
    <row r="493">
      <c r="A493" s="366"/>
      <c r="D493" s="366"/>
      <c r="E493" s="391"/>
      <c r="F493" s="565"/>
    </row>
    <row r="494">
      <c r="A494" s="366"/>
      <c r="D494" s="366"/>
      <c r="E494" s="391"/>
      <c r="F494" s="565"/>
    </row>
    <row r="495">
      <c r="A495" s="366"/>
      <c r="D495" s="366"/>
      <c r="E495" s="391"/>
      <c r="F495" s="565"/>
    </row>
    <row r="496">
      <c r="A496" s="366"/>
      <c r="D496" s="366"/>
      <c r="E496" s="391"/>
      <c r="F496" s="565"/>
    </row>
    <row r="497">
      <c r="A497" s="366"/>
      <c r="D497" s="366"/>
      <c r="E497" s="391"/>
      <c r="F497" s="565"/>
    </row>
    <row r="498">
      <c r="A498" s="366"/>
      <c r="D498" s="366"/>
      <c r="E498" s="391"/>
      <c r="F498" s="565"/>
    </row>
    <row r="499">
      <c r="A499" s="366"/>
      <c r="D499" s="366"/>
      <c r="E499" s="391"/>
      <c r="F499" s="565"/>
    </row>
    <row r="500">
      <c r="A500" s="366"/>
      <c r="D500" s="366"/>
      <c r="E500" s="391"/>
      <c r="F500" s="565"/>
    </row>
    <row r="501">
      <c r="A501" s="366"/>
      <c r="D501" s="366"/>
      <c r="E501" s="391"/>
      <c r="F501" s="565"/>
    </row>
    <row r="502">
      <c r="A502" s="366"/>
      <c r="D502" s="366"/>
      <c r="E502" s="391"/>
      <c r="F502" s="565"/>
    </row>
    <row r="503">
      <c r="A503" s="366"/>
      <c r="D503" s="366"/>
      <c r="E503" s="391"/>
      <c r="F503" s="565"/>
    </row>
    <row r="504">
      <c r="A504" s="366"/>
      <c r="D504" s="366"/>
      <c r="E504" s="391"/>
      <c r="F504" s="565"/>
    </row>
    <row r="505">
      <c r="A505" s="366"/>
      <c r="D505" s="366"/>
      <c r="E505" s="391"/>
      <c r="F505" s="565"/>
    </row>
    <row r="506">
      <c r="A506" s="366"/>
      <c r="D506" s="366"/>
      <c r="E506" s="391"/>
      <c r="F506" s="565"/>
    </row>
    <row r="507">
      <c r="A507" s="366"/>
      <c r="D507" s="366"/>
      <c r="E507" s="391"/>
      <c r="F507" s="565"/>
    </row>
    <row r="508">
      <c r="A508" s="366"/>
      <c r="D508" s="366"/>
      <c r="E508" s="391"/>
      <c r="F508" s="565"/>
    </row>
    <row r="509">
      <c r="A509" s="366"/>
      <c r="D509" s="366"/>
      <c r="E509" s="391"/>
      <c r="F509" s="565"/>
    </row>
    <row r="510">
      <c r="A510" s="366"/>
      <c r="D510" s="366"/>
      <c r="E510" s="391"/>
      <c r="F510" s="565"/>
    </row>
    <row r="511">
      <c r="A511" s="366"/>
      <c r="D511" s="366"/>
      <c r="E511" s="391"/>
      <c r="F511" s="565"/>
    </row>
    <row r="512">
      <c r="A512" s="366"/>
      <c r="D512" s="366"/>
      <c r="E512" s="391"/>
      <c r="F512" s="565"/>
    </row>
    <row r="513">
      <c r="A513" s="366"/>
      <c r="D513" s="366"/>
      <c r="E513" s="391"/>
      <c r="F513" s="565"/>
    </row>
    <row r="514">
      <c r="A514" s="366"/>
      <c r="D514" s="366"/>
      <c r="E514" s="391"/>
      <c r="F514" s="565"/>
    </row>
    <row r="515">
      <c r="A515" s="366"/>
      <c r="D515" s="366"/>
      <c r="E515" s="391"/>
      <c r="F515" s="565"/>
    </row>
    <row r="516">
      <c r="A516" s="366"/>
      <c r="D516" s="366"/>
      <c r="E516" s="391"/>
      <c r="F516" s="565"/>
    </row>
    <row r="517">
      <c r="A517" s="366"/>
      <c r="D517" s="366"/>
      <c r="E517" s="391"/>
      <c r="F517" s="565"/>
    </row>
    <row r="518">
      <c r="A518" s="366"/>
      <c r="D518" s="366"/>
      <c r="E518" s="391"/>
      <c r="F518" s="565"/>
    </row>
    <row r="519">
      <c r="A519" s="366"/>
      <c r="D519" s="366"/>
      <c r="E519" s="391"/>
      <c r="F519" s="565"/>
    </row>
    <row r="520">
      <c r="A520" s="366"/>
      <c r="D520" s="366"/>
      <c r="E520" s="391"/>
      <c r="F520" s="565"/>
    </row>
    <row r="521">
      <c r="A521" s="366"/>
      <c r="D521" s="366"/>
      <c r="E521" s="391"/>
      <c r="F521" s="565"/>
    </row>
    <row r="522">
      <c r="A522" s="366"/>
      <c r="D522" s="366"/>
      <c r="E522" s="391"/>
      <c r="F522" s="565"/>
    </row>
    <row r="523">
      <c r="A523" s="366"/>
      <c r="D523" s="366"/>
      <c r="E523" s="391"/>
      <c r="F523" s="565"/>
    </row>
    <row r="524">
      <c r="A524" s="366"/>
      <c r="D524" s="366"/>
      <c r="E524" s="391"/>
      <c r="F524" s="565"/>
    </row>
    <row r="525">
      <c r="A525" s="366"/>
      <c r="D525" s="366"/>
      <c r="E525" s="391"/>
      <c r="F525" s="565"/>
    </row>
    <row r="526">
      <c r="A526" s="366"/>
      <c r="D526" s="366"/>
      <c r="E526" s="391"/>
      <c r="F526" s="565"/>
    </row>
    <row r="527">
      <c r="A527" s="366"/>
      <c r="D527" s="366"/>
      <c r="E527" s="391"/>
      <c r="F527" s="565"/>
    </row>
    <row r="528">
      <c r="A528" s="366"/>
      <c r="D528" s="366"/>
      <c r="E528" s="391"/>
      <c r="F528" s="565"/>
    </row>
    <row r="529">
      <c r="A529" s="366"/>
      <c r="D529" s="366"/>
      <c r="E529" s="391"/>
      <c r="F529" s="565"/>
    </row>
    <row r="530">
      <c r="A530" s="366"/>
      <c r="D530" s="366"/>
      <c r="E530" s="391"/>
      <c r="F530" s="565"/>
    </row>
    <row r="531">
      <c r="A531" s="366"/>
      <c r="D531" s="366"/>
      <c r="E531" s="391"/>
      <c r="F531" s="565"/>
    </row>
    <row r="532">
      <c r="A532" s="366"/>
      <c r="D532" s="366"/>
      <c r="E532" s="391"/>
      <c r="F532" s="565"/>
    </row>
    <row r="533">
      <c r="A533" s="366"/>
      <c r="D533" s="366"/>
      <c r="E533" s="391"/>
      <c r="F533" s="565"/>
    </row>
    <row r="534">
      <c r="A534" s="366"/>
      <c r="D534" s="366"/>
      <c r="E534" s="391"/>
      <c r="F534" s="565"/>
    </row>
    <row r="535">
      <c r="A535" s="366"/>
      <c r="D535" s="366"/>
      <c r="E535" s="391"/>
      <c r="F535" s="565"/>
    </row>
    <row r="536">
      <c r="A536" s="366"/>
      <c r="D536" s="366"/>
      <c r="E536" s="391"/>
      <c r="F536" s="565"/>
    </row>
    <row r="537">
      <c r="A537" s="366"/>
      <c r="D537" s="366"/>
      <c r="E537" s="391"/>
      <c r="F537" s="565"/>
    </row>
    <row r="538">
      <c r="A538" s="366"/>
      <c r="D538" s="366"/>
      <c r="E538" s="391"/>
      <c r="F538" s="565"/>
    </row>
    <row r="539">
      <c r="A539" s="366"/>
      <c r="D539" s="366"/>
      <c r="E539" s="391"/>
      <c r="F539" s="565"/>
    </row>
    <row r="540">
      <c r="A540" s="366"/>
      <c r="D540" s="366"/>
      <c r="E540" s="391"/>
      <c r="F540" s="565"/>
    </row>
    <row r="541">
      <c r="A541" s="366"/>
      <c r="D541" s="366"/>
      <c r="E541" s="391"/>
      <c r="F541" s="565"/>
    </row>
    <row r="542">
      <c r="A542" s="366"/>
      <c r="D542" s="366"/>
      <c r="E542" s="391"/>
      <c r="F542" s="565"/>
    </row>
    <row r="543">
      <c r="A543" s="366"/>
      <c r="D543" s="366"/>
      <c r="E543" s="391"/>
      <c r="F543" s="565"/>
    </row>
    <row r="544">
      <c r="A544" s="366"/>
      <c r="D544" s="366"/>
      <c r="E544" s="391"/>
      <c r="F544" s="565"/>
    </row>
    <row r="545">
      <c r="A545" s="366"/>
      <c r="D545" s="366"/>
      <c r="E545" s="391"/>
      <c r="F545" s="565"/>
    </row>
    <row r="546">
      <c r="A546" s="366"/>
      <c r="D546" s="366"/>
      <c r="E546" s="391"/>
      <c r="F546" s="565"/>
    </row>
    <row r="547">
      <c r="A547" s="366"/>
      <c r="D547" s="366"/>
      <c r="E547" s="391"/>
      <c r="F547" s="565"/>
    </row>
    <row r="548">
      <c r="A548" s="366"/>
      <c r="D548" s="366"/>
      <c r="E548" s="391"/>
      <c r="F548" s="565"/>
    </row>
    <row r="549">
      <c r="A549" s="366"/>
      <c r="D549" s="366"/>
      <c r="E549" s="391"/>
      <c r="F549" s="565"/>
    </row>
    <row r="550">
      <c r="A550" s="366"/>
      <c r="D550" s="366"/>
      <c r="E550" s="391"/>
      <c r="F550" s="565"/>
    </row>
    <row r="551">
      <c r="A551" s="366"/>
      <c r="D551" s="366"/>
      <c r="E551" s="391"/>
      <c r="F551" s="565"/>
    </row>
    <row r="552">
      <c r="A552" s="366"/>
      <c r="D552" s="366"/>
      <c r="E552" s="391"/>
      <c r="F552" s="565"/>
    </row>
    <row r="553">
      <c r="A553" s="366"/>
      <c r="D553" s="366"/>
      <c r="E553" s="391"/>
      <c r="F553" s="565"/>
    </row>
    <row r="554">
      <c r="A554" s="366"/>
      <c r="D554" s="366"/>
      <c r="E554" s="391"/>
      <c r="F554" s="565"/>
    </row>
    <row r="555">
      <c r="A555" s="366"/>
      <c r="D555" s="366"/>
      <c r="E555" s="391"/>
      <c r="F555" s="565"/>
    </row>
    <row r="556">
      <c r="A556" s="366"/>
      <c r="D556" s="366"/>
      <c r="E556" s="391"/>
      <c r="F556" s="565"/>
    </row>
    <row r="557">
      <c r="A557" s="366"/>
      <c r="D557" s="366"/>
      <c r="E557" s="391"/>
      <c r="F557" s="565"/>
    </row>
    <row r="558">
      <c r="A558" s="366"/>
      <c r="D558" s="366"/>
      <c r="E558" s="391"/>
      <c r="F558" s="565"/>
    </row>
    <row r="559">
      <c r="A559" s="366"/>
      <c r="D559" s="366"/>
      <c r="E559" s="391"/>
      <c r="F559" s="565"/>
    </row>
    <row r="560">
      <c r="A560" s="366"/>
      <c r="D560" s="366"/>
      <c r="E560" s="391"/>
      <c r="F560" s="565"/>
    </row>
    <row r="561">
      <c r="A561" s="366"/>
      <c r="D561" s="366"/>
      <c r="E561" s="391"/>
      <c r="F561" s="565"/>
    </row>
    <row r="562">
      <c r="A562" s="366"/>
      <c r="D562" s="366"/>
      <c r="E562" s="391"/>
      <c r="F562" s="565"/>
    </row>
    <row r="563">
      <c r="A563" s="366"/>
      <c r="D563" s="366"/>
      <c r="E563" s="391"/>
      <c r="F563" s="565"/>
    </row>
    <row r="564">
      <c r="A564" s="366"/>
      <c r="D564" s="366"/>
      <c r="E564" s="391"/>
      <c r="F564" s="565"/>
    </row>
    <row r="565">
      <c r="A565" s="366"/>
      <c r="D565" s="366"/>
      <c r="E565" s="391"/>
      <c r="F565" s="565"/>
    </row>
    <row r="566">
      <c r="A566" s="366"/>
      <c r="D566" s="366"/>
      <c r="E566" s="391"/>
      <c r="F566" s="565"/>
    </row>
    <row r="567">
      <c r="A567" s="366"/>
      <c r="D567" s="366"/>
      <c r="E567" s="391"/>
      <c r="F567" s="565"/>
    </row>
    <row r="568">
      <c r="A568" s="366"/>
      <c r="D568" s="366"/>
      <c r="E568" s="391"/>
      <c r="F568" s="565"/>
    </row>
    <row r="569">
      <c r="A569" s="366"/>
      <c r="D569" s="366"/>
      <c r="E569" s="391"/>
      <c r="F569" s="565"/>
    </row>
    <row r="570">
      <c r="A570" s="366"/>
      <c r="D570" s="366"/>
      <c r="E570" s="391"/>
      <c r="F570" s="565"/>
    </row>
    <row r="571">
      <c r="A571" s="366"/>
      <c r="D571" s="366"/>
      <c r="E571" s="391"/>
      <c r="F571" s="565"/>
    </row>
    <row r="572">
      <c r="A572" s="366"/>
      <c r="D572" s="366"/>
      <c r="E572" s="391"/>
      <c r="F572" s="565"/>
    </row>
    <row r="573">
      <c r="A573" s="366"/>
      <c r="D573" s="366"/>
      <c r="E573" s="391"/>
      <c r="F573" s="565"/>
    </row>
    <row r="574">
      <c r="A574" s="366"/>
      <c r="D574" s="366"/>
      <c r="E574" s="391"/>
      <c r="F574" s="565"/>
    </row>
    <row r="575">
      <c r="A575" s="366"/>
      <c r="D575" s="366"/>
      <c r="E575" s="391"/>
      <c r="F575" s="565"/>
    </row>
    <row r="576">
      <c r="A576" s="366"/>
      <c r="D576" s="366"/>
      <c r="E576" s="391"/>
      <c r="F576" s="565"/>
    </row>
    <row r="577">
      <c r="A577" s="366"/>
      <c r="D577" s="366"/>
      <c r="E577" s="391"/>
      <c r="F577" s="565"/>
    </row>
    <row r="578">
      <c r="A578" s="366"/>
      <c r="D578" s="366"/>
      <c r="E578" s="391"/>
      <c r="F578" s="565"/>
    </row>
    <row r="579">
      <c r="A579" s="366"/>
      <c r="D579" s="366"/>
      <c r="E579" s="391"/>
      <c r="F579" s="565"/>
    </row>
    <row r="580">
      <c r="A580" s="366"/>
      <c r="D580" s="366"/>
      <c r="E580" s="391"/>
      <c r="F580" s="565"/>
    </row>
    <row r="581">
      <c r="A581" s="366"/>
      <c r="D581" s="366"/>
      <c r="E581" s="391"/>
      <c r="F581" s="565"/>
    </row>
    <row r="582">
      <c r="A582" s="366"/>
      <c r="D582" s="366"/>
      <c r="E582" s="391"/>
      <c r="F582" s="565"/>
    </row>
    <row r="583">
      <c r="A583" s="366"/>
      <c r="D583" s="366"/>
      <c r="E583" s="391"/>
      <c r="F583" s="565"/>
    </row>
    <row r="584">
      <c r="A584" s="366"/>
      <c r="D584" s="366"/>
      <c r="E584" s="391"/>
      <c r="F584" s="565"/>
    </row>
    <row r="585">
      <c r="A585" s="366"/>
      <c r="D585" s="366"/>
      <c r="E585" s="391"/>
      <c r="F585" s="565"/>
    </row>
    <row r="586">
      <c r="A586" s="366"/>
      <c r="D586" s="366"/>
      <c r="E586" s="391"/>
      <c r="F586" s="565"/>
    </row>
    <row r="587">
      <c r="A587" s="366"/>
      <c r="D587" s="366"/>
      <c r="E587" s="391"/>
      <c r="F587" s="565"/>
    </row>
    <row r="588">
      <c r="A588" s="366"/>
      <c r="D588" s="366"/>
      <c r="E588" s="391"/>
      <c r="F588" s="565"/>
    </row>
    <row r="589">
      <c r="A589" s="366"/>
      <c r="D589" s="366"/>
      <c r="E589" s="391"/>
      <c r="F589" s="565"/>
    </row>
    <row r="590">
      <c r="A590" s="366"/>
      <c r="D590" s="366"/>
      <c r="E590" s="391"/>
      <c r="F590" s="565"/>
    </row>
    <row r="591">
      <c r="A591" s="366"/>
      <c r="D591" s="366"/>
      <c r="E591" s="391"/>
      <c r="F591" s="565"/>
    </row>
    <row r="592">
      <c r="A592" s="366"/>
      <c r="D592" s="366"/>
      <c r="E592" s="391"/>
      <c r="F592" s="565"/>
    </row>
    <row r="593">
      <c r="A593" s="366"/>
      <c r="D593" s="366"/>
      <c r="E593" s="391"/>
      <c r="F593" s="565"/>
    </row>
    <row r="594">
      <c r="A594" s="366"/>
      <c r="D594" s="366"/>
      <c r="E594" s="391"/>
      <c r="F594" s="565"/>
    </row>
    <row r="595">
      <c r="A595" s="366"/>
      <c r="D595" s="366"/>
      <c r="E595" s="391"/>
      <c r="F595" s="565"/>
    </row>
    <row r="596">
      <c r="A596" s="366"/>
      <c r="D596" s="366"/>
      <c r="E596" s="391"/>
      <c r="F596" s="565"/>
    </row>
    <row r="597">
      <c r="A597" s="366"/>
      <c r="D597" s="366"/>
      <c r="E597" s="391"/>
      <c r="F597" s="565"/>
    </row>
    <row r="598">
      <c r="A598" s="366"/>
      <c r="D598" s="366"/>
      <c r="E598" s="391"/>
      <c r="F598" s="565"/>
    </row>
    <row r="599">
      <c r="A599" s="366"/>
      <c r="D599" s="366"/>
      <c r="E599" s="391"/>
      <c r="F599" s="565"/>
    </row>
    <row r="600">
      <c r="A600" s="366"/>
      <c r="D600" s="366"/>
      <c r="E600" s="391"/>
      <c r="F600" s="565"/>
    </row>
    <row r="601">
      <c r="A601" s="366"/>
      <c r="D601" s="366"/>
      <c r="E601" s="391"/>
      <c r="F601" s="565"/>
    </row>
    <row r="602">
      <c r="A602" s="366"/>
      <c r="D602" s="366"/>
      <c r="E602" s="391"/>
      <c r="F602" s="565"/>
    </row>
    <row r="603">
      <c r="A603" s="366"/>
      <c r="D603" s="366"/>
      <c r="E603" s="391"/>
      <c r="F603" s="565"/>
    </row>
    <row r="604">
      <c r="A604" s="366"/>
      <c r="D604" s="366"/>
      <c r="E604" s="391"/>
      <c r="F604" s="565"/>
    </row>
    <row r="605">
      <c r="A605" s="366"/>
      <c r="D605" s="366"/>
      <c r="E605" s="391"/>
      <c r="F605" s="565"/>
    </row>
    <row r="606">
      <c r="A606" s="366"/>
      <c r="D606" s="366"/>
      <c r="E606" s="391"/>
      <c r="F606" s="565"/>
    </row>
    <row r="607">
      <c r="A607" s="366"/>
      <c r="D607" s="366"/>
      <c r="E607" s="391"/>
      <c r="F607" s="565"/>
    </row>
    <row r="608">
      <c r="A608" s="366"/>
      <c r="D608" s="366"/>
      <c r="E608" s="391"/>
      <c r="F608" s="565"/>
    </row>
    <row r="609">
      <c r="A609" s="366"/>
      <c r="D609" s="366"/>
      <c r="E609" s="391"/>
      <c r="F609" s="565"/>
    </row>
    <row r="610">
      <c r="A610" s="366"/>
      <c r="D610" s="366"/>
      <c r="E610" s="391"/>
      <c r="F610" s="565"/>
    </row>
    <row r="611">
      <c r="A611" s="366"/>
      <c r="D611" s="366"/>
      <c r="E611" s="391"/>
      <c r="F611" s="565"/>
    </row>
    <row r="612">
      <c r="A612" s="366"/>
      <c r="D612" s="366"/>
      <c r="E612" s="391"/>
      <c r="F612" s="565"/>
    </row>
    <row r="613">
      <c r="A613" s="366"/>
      <c r="D613" s="366"/>
      <c r="E613" s="391"/>
      <c r="F613" s="565"/>
    </row>
    <row r="614">
      <c r="A614" s="366"/>
      <c r="D614" s="366"/>
      <c r="E614" s="391"/>
      <c r="F614" s="565"/>
    </row>
    <row r="615">
      <c r="A615" s="366"/>
      <c r="D615" s="366"/>
      <c r="E615" s="391"/>
      <c r="F615" s="565"/>
    </row>
    <row r="616">
      <c r="A616" s="366"/>
      <c r="D616" s="366"/>
      <c r="E616" s="391"/>
      <c r="F616" s="565"/>
    </row>
    <row r="617">
      <c r="A617" s="366"/>
      <c r="D617" s="366"/>
      <c r="E617" s="391"/>
      <c r="F617" s="565"/>
    </row>
    <row r="618">
      <c r="A618" s="366"/>
      <c r="D618" s="366"/>
      <c r="E618" s="391"/>
      <c r="F618" s="565"/>
    </row>
    <row r="619">
      <c r="A619" s="366"/>
      <c r="D619" s="366"/>
      <c r="E619" s="391"/>
      <c r="F619" s="565"/>
    </row>
    <row r="620">
      <c r="A620" s="366"/>
      <c r="D620" s="366"/>
      <c r="E620" s="391"/>
      <c r="F620" s="565"/>
    </row>
    <row r="621">
      <c r="A621" s="366"/>
      <c r="D621" s="366"/>
      <c r="E621" s="391"/>
      <c r="F621" s="565"/>
    </row>
    <row r="622">
      <c r="A622" s="366"/>
      <c r="D622" s="366"/>
      <c r="E622" s="391"/>
      <c r="F622" s="565"/>
    </row>
    <row r="623">
      <c r="A623" s="366"/>
      <c r="D623" s="366"/>
      <c r="E623" s="391"/>
      <c r="F623" s="565"/>
    </row>
    <row r="624">
      <c r="A624" s="366"/>
      <c r="D624" s="366"/>
      <c r="E624" s="391"/>
      <c r="F624" s="565"/>
    </row>
    <row r="625">
      <c r="A625" s="366"/>
      <c r="D625" s="366"/>
      <c r="E625" s="391"/>
      <c r="F625" s="565"/>
    </row>
    <row r="626">
      <c r="A626" s="366"/>
      <c r="D626" s="366"/>
      <c r="E626" s="391"/>
      <c r="F626" s="565"/>
    </row>
    <row r="627">
      <c r="A627" s="366"/>
      <c r="D627" s="366"/>
      <c r="E627" s="391"/>
      <c r="F627" s="565"/>
    </row>
    <row r="628">
      <c r="A628" s="366"/>
      <c r="D628" s="366"/>
      <c r="E628" s="391"/>
      <c r="F628" s="565"/>
    </row>
    <row r="629">
      <c r="A629" s="366"/>
      <c r="D629" s="366"/>
      <c r="E629" s="391"/>
      <c r="F629" s="565"/>
    </row>
    <row r="630">
      <c r="A630" s="366"/>
      <c r="D630" s="366"/>
      <c r="E630" s="391"/>
      <c r="F630" s="565"/>
    </row>
    <row r="631">
      <c r="A631" s="366"/>
      <c r="D631" s="366"/>
      <c r="E631" s="391"/>
      <c r="F631" s="565"/>
    </row>
    <row r="632">
      <c r="A632" s="366"/>
      <c r="D632" s="366"/>
      <c r="E632" s="391"/>
      <c r="F632" s="565"/>
    </row>
    <row r="633">
      <c r="A633" s="366"/>
      <c r="D633" s="366"/>
      <c r="E633" s="391"/>
      <c r="F633" s="565"/>
    </row>
    <row r="634">
      <c r="A634" s="366"/>
      <c r="D634" s="366"/>
      <c r="E634" s="391"/>
      <c r="F634" s="565"/>
    </row>
    <row r="635">
      <c r="A635" s="366"/>
      <c r="D635" s="366"/>
      <c r="E635" s="391"/>
      <c r="F635" s="565"/>
    </row>
    <row r="636">
      <c r="A636" s="366"/>
      <c r="D636" s="366"/>
      <c r="E636" s="391"/>
      <c r="F636" s="565"/>
    </row>
    <row r="637">
      <c r="A637" s="366"/>
      <c r="D637" s="366"/>
      <c r="E637" s="391"/>
      <c r="F637" s="565"/>
    </row>
    <row r="638">
      <c r="A638" s="366"/>
      <c r="D638" s="366"/>
      <c r="E638" s="391"/>
      <c r="F638" s="565"/>
    </row>
    <row r="639">
      <c r="A639" s="366"/>
      <c r="D639" s="366"/>
      <c r="E639" s="391"/>
      <c r="F639" s="565"/>
    </row>
    <row r="640">
      <c r="A640" s="366"/>
      <c r="D640" s="366"/>
      <c r="E640" s="391"/>
      <c r="F640" s="565"/>
    </row>
    <row r="641">
      <c r="A641" s="366"/>
      <c r="D641" s="366"/>
      <c r="E641" s="391"/>
      <c r="F641" s="565"/>
    </row>
    <row r="642">
      <c r="A642" s="366"/>
      <c r="D642" s="366"/>
      <c r="E642" s="391"/>
      <c r="F642" s="565"/>
    </row>
    <row r="643">
      <c r="A643" s="366"/>
      <c r="D643" s="366"/>
      <c r="E643" s="391"/>
      <c r="F643" s="565"/>
    </row>
    <row r="644">
      <c r="A644" s="366"/>
      <c r="D644" s="366"/>
      <c r="E644" s="391"/>
      <c r="F644" s="565"/>
    </row>
    <row r="645">
      <c r="A645" s="366"/>
      <c r="D645" s="366"/>
      <c r="E645" s="391"/>
      <c r="F645" s="565"/>
    </row>
    <row r="646">
      <c r="A646" s="366"/>
      <c r="D646" s="366"/>
      <c r="E646" s="391"/>
      <c r="F646" s="565"/>
    </row>
    <row r="647">
      <c r="A647" s="366"/>
      <c r="D647" s="366"/>
      <c r="E647" s="391"/>
      <c r="F647" s="565"/>
    </row>
    <row r="648">
      <c r="A648" s="366"/>
      <c r="D648" s="366"/>
      <c r="E648" s="391"/>
      <c r="F648" s="565"/>
    </row>
    <row r="649">
      <c r="A649" s="366"/>
      <c r="D649" s="366"/>
      <c r="E649" s="391"/>
      <c r="F649" s="565"/>
    </row>
    <row r="650">
      <c r="A650" s="366"/>
      <c r="D650" s="366"/>
      <c r="E650" s="391"/>
      <c r="F650" s="565"/>
    </row>
    <row r="651">
      <c r="A651" s="366"/>
      <c r="D651" s="366"/>
      <c r="E651" s="391"/>
      <c r="F651" s="565"/>
    </row>
    <row r="652">
      <c r="A652" s="366"/>
      <c r="D652" s="366"/>
      <c r="E652" s="391"/>
      <c r="F652" s="565"/>
    </row>
    <row r="653">
      <c r="A653" s="366"/>
      <c r="D653" s="366"/>
      <c r="E653" s="391"/>
      <c r="F653" s="565"/>
    </row>
    <row r="654">
      <c r="A654" s="366"/>
      <c r="D654" s="366"/>
      <c r="E654" s="391"/>
      <c r="F654" s="565"/>
    </row>
    <row r="655">
      <c r="A655" s="366"/>
      <c r="D655" s="366"/>
      <c r="E655" s="391"/>
      <c r="F655" s="565"/>
    </row>
    <row r="656">
      <c r="A656" s="366"/>
      <c r="D656" s="366"/>
      <c r="E656" s="391"/>
      <c r="F656" s="565"/>
    </row>
    <row r="657">
      <c r="A657" s="366"/>
      <c r="D657" s="366"/>
      <c r="E657" s="391"/>
      <c r="F657" s="565"/>
    </row>
    <row r="658">
      <c r="A658" s="366"/>
      <c r="D658" s="366"/>
      <c r="E658" s="391"/>
      <c r="F658" s="565"/>
    </row>
    <row r="659">
      <c r="A659" s="366"/>
      <c r="D659" s="366"/>
      <c r="E659" s="391"/>
      <c r="F659" s="565"/>
    </row>
    <row r="660">
      <c r="A660" s="366"/>
      <c r="D660" s="366"/>
      <c r="E660" s="391"/>
      <c r="F660" s="565"/>
    </row>
    <row r="661">
      <c r="A661" s="366"/>
      <c r="D661" s="366"/>
      <c r="E661" s="391"/>
      <c r="F661" s="565"/>
    </row>
    <row r="662">
      <c r="A662" s="366"/>
      <c r="D662" s="366"/>
      <c r="E662" s="391"/>
      <c r="F662" s="565"/>
    </row>
    <row r="663">
      <c r="A663" s="366"/>
      <c r="D663" s="366"/>
      <c r="E663" s="391"/>
      <c r="F663" s="565"/>
    </row>
    <row r="664">
      <c r="A664" s="366"/>
      <c r="D664" s="366"/>
      <c r="E664" s="391"/>
      <c r="F664" s="565"/>
    </row>
    <row r="665">
      <c r="A665" s="366"/>
      <c r="D665" s="366"/>
      <c r="E665" s="391"/>
      <c r="F665" s="565"/>
    </row>
    <row r="666">
      <c r="A666" s="366"/>
      <c r="D666" s="366"/>
      <c r="E666" s="391"/>
      <c r="F666" s="565"/>
    </row>
    <row r="667">
      <c r="A667" s="366"/>
      <c r="D667" s="366"/>
      <c r="E667" s="391"/>
      <c r="F667" s="565"/>
    </row>
    <row r="668">
      <c r="A668" s="366"/>
      <c r="D668" s="366"/>
      <c r="E668" s="391"/>
      <c r="F668" s="565"/>
    </row>
    <row r="669">
      <c r="A669" s="366"/>
      <c r="D669" s="366"/>
      <c r="E669" s="391"/>
      <c r="F669" s="565"/>
    </row>
    <row r="670">
      <c r="A670" s="366"/>
      <c r="D670" s="366"/>
      <c r="E670" s="391"/>
      <c r="F670" s="565"/>
    </row>
    <row r="671">
      <c r="A671" s="366"/>
      <c r="D671" s="366"/>
      <c r="E671" s="391"/>
      <c r="F671" s="565"/>
    </row>
    <row r="672">
      <c r="A672" s="366"/>
      <c r="D672" s="366"/>
      <c r="E672" s="391"/>
      <c r="F672" s="565"/>
    </row>
    <row r="673">
      <c r="A673" s="366"/>
      <c r="D673" s="366"/>
      <c r="E673" s="391"/>
      <c r="F673" s="565"/>
    </row>
    <row r="674">
      <c r="A674" s="366"/>
      <c r="D674" s="366"/>
      <c r="E674" s="391"/>
      <c r="F674" s="565"/>
    </row>
    <row r="675">
      <c r="A675" s="366"/>
      <c r="D675" s="366"/>
      <c r="E675" s="391"/>
      <c r="F675" s="565"/>
    </row>
    <row r="676">
      <c r="A676" s="366"/>
      <c r="D676" s="366"/>
      <c r="E676" s="391"/>
      <c r="F676" s="565"/>
    </row>
    <row r="677">
      <c r="A677" s="366"/>
      <c r="D677" s="366"/>
      <c r="E677" s="391"/>
      <c r="F677" s="565"/>
    </row>
    <row r="678">
      <c r="A678" s="366"/>
      <c r="D678" s="366"/>
      <c r="E678" s="391"/>
      <c r="F678" s="565"/>
    </row>
    <row r="679">
      <c r="A679" s="366"/>
      <c r="D679" s="366"/>
      <c r="E679" s="391"/>
      <c r="F679" s="565"/>
    </row>
    <row r="680">
      <c r="A680" s="366"/>
      <c r="D680" s="366"/>
      <c r="E680" s="391"/>
      <c r="F680" s="565"/>
    </row>
    <row r="681">
      <c r="A681" s="366"/>
      <c r="D681" s="366"/>
      <c r="E681" s="391"/>
      <c r="F681" s="565"/>
    </row>
    <row r="682">
      <c r="A682" s="366"/>
      <c r="D682" s="366"/>
      <c r="E682" s="391"/>
      <c r="F682" s="565"/>
    </row>
    <row r="683">
      <c r="A683" s="366"/>
      <c r="D683" s="366"/>
      <c r="E683" s="391"/>
      <c r="F683" s="565"/>
    </row>
    <row r="684">
      <c r="A684" s="366"/>
      <c r="D684" s="366"/>
      <c r="E684" s="391"/>
      <c r="F684" s="565"/>
    </row>
    <row r="685">
      <c r="A685" s="366"/>
      <c r="D685" s="366"/>
      <c r="E685" s="391"/>
      <c r="F685" s="565"/>
    </row>
    <row r="686">
      <c r="A686" s="366"/>
      <c r="D686" s="366"/>
      <c r="E686" s="391"/>
      <c r="F686" s="565"/>
    </row>
    <row r="687">
      <c r="A687" s="366"/>
      <c r="D687" s="366"/>
      <c r="E687" s="391"/>
      <c r="F687" s="565"/>
    </row>
    <row r="688">
      <c r="A688" s="366"/>
      <c r="D688" s="366"/>
      <c r="E688" s="391"/>
      <c r="F688" s="565"/>
    </row>
    <row r="689">
      <c r="A689" s="366"/>
      <c r="D689" s="366"/>
      <c r="E689" s="391"/>
      <c r="F689" s="565"/>
    </row>
    <row r="690">
      <c r="A690" s="366"/>
      <c r="D690" s="366"/>
      <c r="E690" s="391"/>
      <c r="F690" s="565"/>
    </row>
    <row r="691">
      <c r="A691" s="366"/>
      <c r="D691" s="366"/>
      <c r="E691" s="391"/>
      <c r="F691" s="565"/>
    </row>
    <row r="692">
      <c r="A692" s="366"/>
      <c r="D692" s="366"/>
      <c r="E692" s="391"/>
      <c r="F692" s="565"/>
    </row>
    <row r="693">
      <c r="A693" s="366"/>
      <c r="D693" s="366"/>
      <c r="E693" s="391"/>
      <c r="F693" s="565"/>
    </row>
    <row r="694">
      <c r="A694" s="366"/>
      <c r="D694" s="366"/>
      <c r="E694" s="391"/>
      <c r="F694" s="565"/>
    </row>
    <row r="695">
      <c r="A695" s="366"/>
      <c r="D695" s="366"/>
      <c r="E695" s="391"/>
      <c r="F695" s="565"/>
    </row>
    <row r="696">
      <c r="A696" s="366"/>
      <c r="D696" s="366"/>
      <c r="E696" s="391"/>
      <c r="F696" s="565"/>
    </row>
    <row r="697">
      <c r="A697" s="366"/>
      <c r="D697" s="366"/>
      <c r="E697" s="391"/>
      <c r="F697" s="565"/>
    </row>
    <row r="698">
      <c r="A698" s="366"/>
      <c r="D698" s="366"/>
      <c r="E698" s="391"/>
      <c r="F698" s="565"/>
    </row>
    <row r="699">
      <c r="A699" s="366"/>
      <c r="D699" s="366"/>
      <c r="E699" s="391"/>
      <c r="F699" s="565"/>
    </row>
    <row r="700">
      <c r="A700" s="366"/>
      <c r="D700" s="366"/>
      <c r="E700" s="391"/>
      <c r="F700" s="565"/>
    </row>
    <row r="701">
      <c r="A701" s="366"/>
      <c r="D701" s="366"/>
      <c r="E701" s="391"/>
      <c r="F701" s="565"/>
    </row>
    <row r="702">
      <c r="A702" s="366"/>
      <c r="D702" s="366"/>
      <c r="E702" s="391"/>
      <c r="F702" s="565"/>
    </row>
    <row r="703">
      <c r="A703" s="366"/>
      <c r="D703" s="366"/>
      <c r="E703" s="391"/>
      <c r="F703" s="565"/>
    </row>
    <row r="704">
      <c r="A704" s="366"/>
      <c r="D704" s="366"/>
      <c r="E704" s="391"/>
      <c r="F704" s="565"/>
    </row>
    <row r="705">
      <c r="A705" s="366"/>
      <c r="D705" s="366"/>
      <c r="E705" s="391"/>
      <c r="F705" s="565"/>
    </row>
    <row r="706">
      <c r="A706" s="366"/>
      <c r="D706" s="366"/>
      <c r="E706" s="391"/>
      <c r="F706" s="565"/>
    </row>
    <row r="707">
      <c r="A707" s="366"/>
      <c r="D707" s="366"/>
      <c r="E707" s="391"/>
      <c r="F707" s="565"/>
    </row>
    <row r="708">
      <c r="A708" s="366"/>
      <c r="D708" s="366"/>
      <c r="E708" s="391"/>
      <c r="F708" s="565"/>
    </row>
    <row r="709">
      <c r="A709" s="366"/>
      <c r="D709" s="366"/>
      <c r="E709" s="391"/>
      <c r="F709" s="565"/>
    </row>
    <row r="710">
      <c r="A710" s="366"/>
      <c r="D710" s="366"/>
      <c r="E710" s="391"/>
      <c r="F710" s="565"/>
    </row>
    <row r="711">
      <c r="A711" s="366"/>
      <c r="D711" s="366"/>
      <c r="E711" s="391"/>
      <c r="F711" s="565"/>
    </row>
    <row r="712">
      <c r="A712" s="366"/>
      <c r="D712" s="366"/>
      <c r="E712" s="391"/>
      <c r="F712" s="565"/>
    </row>
    <row r="713">
      <c r="A713" s="366"/>
      <c r="D713" s="366"/>
      <c r="E713" s="391"/>
      <c r="F713" s="565"/>
    </row>
    <row r="714">
      <c r="A714" s="366"/>
      <c r="D714" s="366"/>
      <c r="E714" s="391"/>
      <c r="F714" s="565"/>
    </row>
    <row r="715">
      <c r="A715" s="366"/>
      <c r="D715" s="366"/>
      <c r="E715" s="391"/>
      <c r="F715" s="565"/>
    </row>
    <row r="716">
      <c r="A716" s="366"/>
      <c r="D716" s="366"/>
      <c r="E716" s="391"/>
      <c r="F716" s="565"/>
    </row>
    <row r="717">
      <c r="A717" s="366"/>
      <c r="D717" s="366"/>
      <c r="E717" s="391"/>
      <c r="F717" s="565"/>
    </row>
    <row r="718">
      <c r="A718" s="366"/>
      <c r="D718" s="366"/>
      <c r="E718" s="391"/>
      <c r="F718" s="565"/>
    </row>
    <row r="719">
      <c r="A719" s="366"/>
      <c r="D719" s="366"/>
      <c r="E719" s="391"/>
      <c r="F719" s="565"/>
    </row>
    <row r="720">
      <c r="A720" s="366"/>
      <c r="D720" s="366"/>
      <c r="E720" s="391"/>
      <c r="F720" s="565"/>
    </row>
    <row r="721">
      <c r="A721" s="366"/>
      <c r="D721" s="366"/>
      <c r="E721" s="391"/>
      <c r="F721" s="565"/>
    </row>
    <row r="722">
      <c r="A722" s="366"/>
      <c r="D722" s="366"/>
      <c r="E722" s="391"/>
      <c r="F722" s="565"/>
    </row>
    <row r="723">
      <c r="A723" s="366"/>
      <c r="D723" s="366"/>
      <c r="E723" s="391"/>
      <c r="F723" s="565"/>
    </row>
    <row r="724">
      <c r="A724" s="366"/>
      <c r="D724" s="366"/>
      <c r="E724" s="391"/>
      <c r="F724" s="565"/>
    </row>
    <row r="725">
      <c r="A725" s="366"/>
      <c r="D725" s="366"/>
      <c r="E725" s="391"/>
      <c r="F725" s="565"/>
    </row>
    <row r="726">
      <c r="A726" s="366"/>
      <c r="D726" s="366"/>
      <c r="E726" s="391"/>
      <c r="F726" s="565"/>
    </row>
    <row r="727">
      <c r="A727" s="366"/>
      <c r="D727" s="366"/>
      <c r="E727" s="391"/>
      <c r="F727" s="565"/>
    </row>
    <row r="728">
      <c r="A728" s="366"/>
      <c r="D728" s="366"/>
      <c r="E728" s="391"/>
      <c r="F728" s="565"/>
    </row>
    <row r="729">
      <c r="A729" s="366"/>
      <c r="D729" s="366"/>
      <c r="E729" s="391"/>
      <c r="F729" s="565"/>
    </row>
    <row r="730">
      <c r="A730" s="366"/>
      <c r="D730" s="366"/>
      <c r="E730" s="391"/>
      <c r="F730" s="565"/>
    </row>
    <row r="731">
      <c r="A731" s="366"/>
      <c r="D731" s="366"/>
      <c r="E731" s="391"/>
      <c r="F731" s="565"/>
    </row>
    <row r="732">
      <c r="A732" s="366"/>
      <c r="D732" s="366"/>
      <c r="E732" s="391"/>
      <c r="F732" s="565"/>
    </row>
    <row r="733">
      <c r="A733" s="366"/>
      <c r="D733" s="366"/>
      <c r="E733" s="391"/>
      <c r="F733" s="565"/>
    </row>
    <row r="734">
      <c r="A734" s="366"/>
      <c r="D734" s="366"/>
      <c r="E734" s="391"/>
      <c r="F734" s="565"/>
    </row>
    <row r="735">
      <c r="A735" s="366"/>
      <c r="D735" s="366"/>
      <c r="E735" s="391"/>
      <c r="F735" s="565"/>
    </row>
    <row r="736">
      <c r="A736" s="366"/>
      <c r="D736" s="366"/>
      <c r="E736" s="391"/>
      <c r="F736" s="565"/>
    </row>
    <row r="737">
      <c r="A737" s="366"/>
      <c r="D737" s="366"/>
      <c r="E737" s="391"/>
      <c r="F737" s="565"/>
    </row>
    <row r="738">
      <c r="A738" s="366"/>
      <c r="D738" s="366"/>
      <c r="E738" s="391"/>
      <c r="F738" s="565"/>
    </row>
    <row r="739">
      <c r="A739" s="366"/>
      <c r="D739" s="366"/>
      <c r="E739" s="391"/>
      <c r="F739" s="565"/>
    </row>
    <row r="740">
      <c r="A740" s="366"/>
      <c r="D740" s="366"/>
      <c r="E740" s="391"/>
      <c r="F740" s="565"/>
    </row>
    <row r="741">
      <c r="A741" s="366"/>
      <c r="D741" s="366"/>
      <c r="E741" s="391"/>
      <c r="F741" s="565"/>
    </row>
    <row r="742">
      <c r="A742" s="366"/>
      <c r="D742" s="366"/>
      <c r="E742" s="391"/>
      <c r="F742" s="565"/>
    </row>
    <row r="743">
      <c r="A743" s="366"/>
      <c r="D743" s="366"/>
      <c r="E743" s="391"/>
      <c r="F743" s="565"/>
    </row>
    <row r="744">
      <c r="A744" s="366"/>
      <c r="D744" s="366"/>
      <c r="E744" s="391"/>
      <c r="F744" s="565"/>
    </row>
    <row r="745">
      <c r="A745" s="366"/>
      <c r="D745" s="366"/>
      <c r="E745" s="391"/>
      <c r="F745" s="565"/>
    </row>
    <row r="746">
      <c r="A746" s="366"/>
      <c r="D746" s="366"/>
      <c r="E746" s="391"/>
      <c r="F746" s="565"/>
    </row>
    <row r="747">
      <c r="A747" s="366"/>
      <c r="D747" s="366"/>
      <c r="E747" s="391"/>
      <c r="F747" s="565"/>
    </row>
    <row r="748">
      <c r="A748" s="366"/>
      <c r="D748" s="366"/>
      <c r="E748" s="391"/>
      <c r="F748" s="565"/>
    </row>
    <row r="749">
      <c r="A749" s="366"/>
      <c r="D749" s="366"/>
      <c r="E749" s="391"/>
      <c r="F749" s="565"/>
    </row>
    <row r="750">
      <c r="A750" s="366"/>
      <c r="D750" s="366"/>
      <c r="E750" s="391"/>
      <c r="F750" s="565"/>
    </row>
    <row r="751">
      <c r="A751" s="366"/>
      <c r="D751" s="366"/>
      <c r="E751" s="391"/>
      <c r="F751" s="565"/>
    </row>
    <row r="752">
      <c r="A752" s="366"/>
      <c r="D752" s="366"/>
      <c r="E752" s="391"/>
      <c r="F752" s="565"/>
    </row>
    <row r="753">
      <c r="A753" s="366"/>
      <c r="D753" s="366"/>
      <c r="E753" s="391"/>
      <c r="F753" s="565"/>
    </row>
    <row r="754">
      <c r="A754" s="366"/>
      <c r="D754" s="366"/>
      <c r="E754" s="391"/>
      <c r="F754" s="565"/>
    </row>
    <row r="755">
      <c r="A755" s="366"/>
      <c r="D755" s="366"/>
      <c r="E755" s="391"/>
      <c r="F755" s="565"/>
    </row>
    <row r="756">
      <c r="A756" s="366"/>
      <c r="D756" s="366"/>
      <c r="E756" s="391"/>
      <c r="F756" s="565"/>
    </row>
    <row r="757">
      <c r="A757" s="366"/>
      <c r="D757" s="366"/>
      <c r="E757" s="391"/>
      <c r="F757" s="565"/>
    </row>
    <row r="758">
      <c r="A758" s="366"/>
      <c r="D758" s="366"/>
      <c r="E758" s="391"/>
      <c r="F758" s="565"/>
    </row>
    <row r="759">
      <c r="A759" s="366"/>
      <c r="D759" s="366"/>
      <c r="E759" s="391"/>
      <c r="F759" s="565"/>
    </row>
    <row r="760">
      <c r="A760" s="366"/>
      <c r="D760" s="366"/>
      <c r="E760" s="391"/>
      <c r="F760" s="565"/>
    </row>
    <row r="761">
      <c r="A761" s="366"/>
      <c r="D761" s="366"/>
      <c r="E761" s="391"/>
      <c r="F761" s="565"/>
    </row>
    <row r="762">
      <c r="A762" s="366"/>
      <c r="D762" s="366"/>
      <c r="E762" s="391"/>
      <c r="F762" s="565"/>
    </row>
    <row r="763">
      <c r="A763" s="366"/>
      <c r="D763" s="366"/>
      <c r="E763" s="391"/>
      <c r="F763" s="565"/>
    </row>
    <row r="764">
      <c r="A764" s="366"/>
      <c r="D764" s="366"/>
      <c r="E764" s="391"/>
      <c r="F764" s="565"/>
    </row>
    <row r="765">
      <c r="A765" s="366"/>
      <c r="D765" s="366"/>
      <c r="E765" s="391"/>
      <c r="F765" s="565"/>
    </row>
    <row r="766">
      <c r="A766" s="366"/>
      <c r="D766" s="366"/>
      <c r="E766" s="391"/>
      <c r="F766" s="565"/>
    </row>
    <row r="767">
      <c r="A767" s="366"/>
      <c r="D767" s="366"/>
      <c r="E767" s="391"/>
      <c r="F767" s="565"/>
    </row>
    <row r="768">
      <c r="A768" s="366"/>
      <c r="D768" s="366"/>
      <c r="E768" s="391"/>
      <c r="F768" s="565"/>
    </row>
    <row r="769">
      <c r="A769" s="366"/>
      <c r="D769" s="366"/>
      <c r="E769" s="391"/>
      <c r="F769" s="565"/>
    </row>
    <row r="770">
      <c r="A770" s="366"/>
      <c r="D770" s="366"/>
      <c r="E770" s="391"/>
      <c r="F770" s="565"/>
    </row>
    <row r="771">
      <c r="A771" s="366"/>
      <c r="D771" s="366"/>
      <c r="E771" s="391"/>
      <c r="F771" s="565"/>
    </row>
    <row r="772">
      <c r="A772" s="366"/>
      <c r="D772" s="366"/>
      <c r="E772" s="391"/>
      <c r="F772" s="565"/>
    </row>
    <row r="773">
      <c r="A773" s="366"/>
      <c r="D773" s="366"/>
      <c r="E773" s="391"/>
      <c r="F773" s="565"/>
    </row>
    <row r="774">
      <c r="A774" s="366"/>
      <c r="D774" s="366"/>
      <c r="E774" s="391"/>
      <c r="F774" s="565"/>
    </row>
    <row r="775">
      <c r="A775" s="366"/>
      <c r="D775" s="366"/>
      <c r="E775" s="391"/>
      <c r="F775" s="565"/>
    </row>
    <row r="776">
      <c r="A776" s="366"/>
      <c r="D776" s="366"/>
      <c r="E776" s="391"/>
      <c r="F776" s="565"/>
    </row>
    <row r="777">
      <c r="A777" s="366"/>
      <c r="D777" s="366"/>
      <c r="E777" s="391"/>
      <c r="F777" s="565"/>
    </row>
    <row r="778">
      <c r="A778" s="366"/>
      <c r="D778" s="366"/>
      <c r="E778" s="391"/>
      <c r="F778" s="565"/>
    </row>
    <row r="779">
      <c r="A779" s="366"/>
      <c r="D779" s="366"/>
      <c r="E779" s="391"/>
      <c r="F779" s="565"/>
    </row>
    <row r="780">
      <c r="A780" s="366"/>
      <c r="D780" s="366"/>
      <c r="E780" s="391"/>
      <c r="F780" s="565"/>
    </row>
    <row r="781">
      <c r="A781" s="366"/>
      <c r="D781" s="366"/>
      <c r="E781" s="391"/>
      <c r="F781" s="565"/>
    </row>
    <row r="782">
      <c r="A782" s="366"/>
      <c r="D782" s="366"/>
      <c r="E782" s="391"/>
      <c r="F782" s="565"/>
    </row>
    <row r="783">
      <c r="A783" s="366"/>
      <c r="D783" s="366"/>
      <c r="E783" s="391"/>
      <c r="F783" s="565"/>
    </row>
    <row r="784">
      <c r="A784" s="366"/>
      <c r="D784" s="366"/>
      <c r="E784" s="391"/>
      <c r="F784" s="565"/>
    </row>
    <row r="785">
      <c r="A785" s="366"/>
      <c r="D785" s="366"/>
      <c r="E785" s="391"/>
      <c r="F785" s="565"/>
    </row>
    <row r="786">
      <c r="A786" s="366"/>
      <c r="D786" s="366"/>
      <c r="E786" s="391"/>
      <c r="F786" s="565"/>
    </row>
    <row r="787">
      <c r="A787" s="366"/>
      <c r="D787" s="366"/>
      <c r="E787" s="391"/>
      <c r="F787" s="565"/>
    </row>
    <row r="788">
      <c r="A788" s="366"/>
      <c r="D788" s="366"/>
      <c r="E788" s="391"/>
      <c r="F788" s="565"/>
    </row>
    <row r="789">
      <c r="A789" s="366"/>
      <c r="D789" s="366"/>
      <c r="E789" s="391"/>
      <c r="F789" s="565"/>
    </row>
    <row r="790">
      <c r="A790" s="366"/>
      <c r="D790" s="366"/>
      <c r="E790" s="391"/>
      <c r="F790" s="565"/>
    </row>
    <row r="791">
      <c r="A791" s="366"/>
      <c r="D791" s="366"/>
      <c r="E791" s="391"/>
      <c r="F791" s="565"/>
    </row>
    <row r="792">
      <c r="A792" s="366"/>
      <c r="D792" s="366"/>
      <c r="E792" s="391"/>
      <c r="F792" s="565"/>
    </row>
    <row r="793">
      <c r="A793" s="366"/>
      <c r="D793" s="366"/>
      <c r="E793" s="391"/>
      <c r="F793" s="565"/>
    </row>
    <row r="794">
      <c r="A794" s="366"/>
      <c r="D794" s="366"/>
      <c r="E794" s="391"/>
      <c r="F794" s="565"/>
    </row>
    <row r="795">
      <c r="A795" s="366"/>
      <c r="D795" s="366"/>
      <c r="E795" s="391"/>
      <c r="F795" s="565"/>
    </row>
    <row r="796">
      <c r="A796" s="366"/>
      <c r="D796" s="366"/>
      <c r="E796" s="391"/>
      <c r="F796" s="565"/>
    </row>
    <row r="797">
      <c r="A797" s="366"/>
      <c r="D797" s="366"/>
      <c r="E797" s="391"/>
      <c r="F797" s="565"/>
    </row>
  </sheetData>
  <mergeCells count="250">
    <mergeCell ref="B1:H2"/>
    <mergeCell ref="A4:A20"/>
    <mergeCell ref="H24:K24"/>
    <mergeCell ref="H25:K25"/>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H57:K57"/>
    <mergeCell ref="H58:K58"/>
    <mergeCell ref="H60:K60"/>
    <mergeCell ref="H61:K61"/>
    <mergeCell ref="H62:K62"/>
    <mergeCell ref="H63:K63"/>
    <mergeCell ref="H64:K64"/>
    <mergeCell ref="H65:K65"/>
    <mergeCell ref="H66:K66"/>
    <mergeCell ref="H67:K67"/>
    <mergeCell ref="H68:K68"/>
    <mergeCell ref="H69:K69"/>
    <mergeCell ref="H70:K70"/>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85:K85"/>
    <mergeCell ref="H86:K86"/>
    <mergeCell ref="H87:K87"/>
    <mergeCell ref="H88:K88"/>
    <mergeCell ref="H89:J89"/>
    <mergeCell ref="H90:K90"/>
    <mergeCell ref="H91:K91"/>
    <mergeCell ref="H92:K92"/>
    <mergeCell ref="H93:K93"/>
    <mergeCell ref="H94:K94"/>
    <mergeCell ref="H95:K95"/>
    <mergeCell ref="H96:K96"/>
    <mergeCell ref="H97:K97"/>
    <mergeCell ref="H98:K98"/>
    <mergeCell ref="H99:K99"/>
    <mergeCell ref="H100:K100"/>
    <mergeCell ref="H101:K101"/>
    <mergeCell ref="H102:K102"/>
    <mergeCell ref="H103:K103"/>
    <mergeCell ref="H104:K104"/>
    <mergeCell ref="H107:K107"/>
    <mergeCell ref="H108:K108"/>
    <mergeCell ref="H109:K109"/>
    <mergeCell ref="H110:K110"/>
    <mergeCell ref="H111:K111"/>
    <mergeCell ref="H112:K112"/>
    <mergeCell ref="H113:K113"/>
    <mergeCell ref="H114:K114"/>
    <mergeCell ref="H115:K115"/>
    <mergeCell ref="H116:K116"/>
    <mergeCell ref="H117:K117"/>
    <mergeCell ref="H118:K118"/>
    <mergeCell ref="H119:K119"/>
    <mergeCell ref="H120:K120"/>
    <mergeCell ref="H121:K121"/>
    <mergeCell ref="H122:K122"/>
    <mergeCell ref="H123:K123"/>
    <mergeCell ref="H124:K124"/>
    <mergeCell ref="H125:K125"/>
    <mergeCell ref="H126:K126"/>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151:K151"/>
    <mergeCell ref="H152:K152"/>
    <mergeCell ref="H153:K153"/>
    <mergeCell ref="H154:K154"/>
    <mergeCell ref="H155:K155"/>
    <mergeCell ref="H156:K156"/>
    <mergeCell ref="H157:K157"/>
    <mergeCell ref="H158:K158"/>
    <mergeCell ref="H159:K159"/>
    <mergeCell ref="H160:K160"/>
    <mergeCell ref="H161:K161"/>
    <mergeCell ref="H162:K162"/>
    <mergeCell ref="H163:K163"/>
    <mergeCell ref="H164:K164"/>
    <mergeCell ref="H165:K165"/>
    <mergeCell ref="H166:K166"/>
    <mergeCell ref="H167:K167"/>
    <mergeCell ref="H168:K168"/>
    <mergeCell ref="H169:K169"/>
    <mergeCell ref="H170:K170"/>
    <mergeCell ref="H171:K171"/>
    <mergeCell ref="H172:K172"/>
    <mergeCell ref="H223:K223"/>
    <mergeCell ref="H224:K224"/>
    <mergeCell ref="H225:K225"/>
    <mergeCell ref="H226:K226"/>
    <mergeCell ref="H227:K227"/>
    <mergeCell ref="H228:K228"/>
    <mergeCell ref="H229:K229"/>
    <mergeCell ref="H230:K230"/>
    <mergeCell ref="H231:K231"/>
    <mergeCell ref="H232:K232"/>
    <mergeCell ref="H233:K233"/>
    <mergeCell ref="H234:K234"/>
    <mergeCell ref="H235:K235"/>
    <mergeCell ref="H236:K236"/>
    <mergeCell ref="H237:K237"/>
    <mergeCell ref="H238:K238"/>
    <mergeCell ref="H239:K239"/>
    <mergeCell ref="H240:K240"/>
    <mergeCell ref="H241:K241"/>
    <mergeCell ref="H242:K242"/>
    <mergeCell ref="H243:K243"/>
    <mergeCell ref="H244:K244"/>
    <mergeCell ref="H245:K245"/>
    <mergeCell ref="H247:K247"/>
    <mergeCell ref="H248:K248"/>
    <mergeCell ref="H249:K249"/>
    <mergeCell ref="H250:K250"/>
    <mergeCell ref="H251:K251"/>
    <mergeCell ref="H252:K252"/>
    <mergeCell ref="H253:K253"/>
    <mergeCell ref="H254:K254"/>
    <mergeCell ref="H255:K255"/>
    <mergeCell ref="H256:K256"/>
    <mergeCell ref="H257:K257"/>
    <mergeCell ref="H258:K258"/>
    <mergeCell ref="H259:K259"/>
    <mergeCell ref="H260:K260"/>
    <mergeCell ref="H261:K261"/>
    <mergeCell ref="H262:K262"/>
    <mergeCell ref="H263:K263"/>
    <mergeCell ref="H264:K264"/>
    <mergeCell ref="H265:K265"/>
    <mergeCell ref="H273:K273"/>
    <mergeCell ref="H274:K274"/>
    <mergeCell ref="H275:K275"/>
    <mergeCell ref="H276:K276"/>
    <mergeCell ref="H277:K277"/>
    <mergeCell ref="H266:K266"/>
    <mergeCell ref="H267:K267"/>
    <mergeCell ref="H268:K268"/>
    <mergeCell ref="H269:K269"/>
    <mergeCell ref="H270:K270"/>
    <mergeCell ref="H271:K271"/>
    <mergeCell ref="H272:K272"/>
    <mergeCell ref="H173:K173"/>
    <mergeCell ref="H175:K175"/>
    <mergeCell ref="H176:K176"/>
    <mergeCell ref="H177:K177"/>
    <mergeCell ref="H178:K178"/>
    <mergeCell ref="H179:K179"/>
    <mergeCell ref="H180:K180"/>
    <mergeCell ref="H181:K181"/>
    <mergeCell ref="H182:K182"/>
    <mergeCell ref="H183:K183"/>
    <mergeCell ref="H184:K184"/>
    <mergeCell ref="H185:K185"/>
    <mergeCell ref="H186:K186"/>
    <mergeCell ref="H187:K187"/>
    <mergeCell ref="H188:K188"/>
    <mergeCell ref="H189:K189"/>
    <mergeCell ref="H190:K190"/>
    <mergeCell ref="H191:K191"/>
    <mergeCell ref="H192:K192"/>
    <mergeCell ref="H193:K193"/>
    <mergeCell ref="H194:K194"/>
    <mergeCell ref="H195:K195"/>
    <mergeCell ref="H196:K196"/>
    <mergeCell ref="H197:K197"/>
    <mergeCell ref="H198:K198"/>
    <mergeCell ref="H199:K199"/>
    <mergeCell ref="H200:K200"/>
    <mergeCell ref="H201:K201"/>
    <mergeCell ref="H202:K202"/>
    <mergeCell ref="H203:K203"/>
    <mergeCell ref="H204:K204"/>
    <mergeCell ref="H205:K205"/>
    <mergeCell ref="H206:K206"/>
    <mergeCell ref="H207:K207"/>
    <mergeCell ref="H208:K208"/>
    <mergeCell ref="H209:K209"/>
    <mergeCell ref="H210:K210"/>
    <mergeCell ref="H211:K211"/>
    <mergeCell ref="H212:K212"/>
    <mergeCell ref="H213:K213"/>
    <mergeCell ref="H214:K214"/>
    <mergeCell ref="H215:K215"/>
    <mergeCell ref="H216:K216"/>
    <mergeCell ref="H217:K217"/>
    <mergeCell ref="H218:K218"/>
    <mergeCell ref="H219:K219"/>
    <mergeCell ref="H220:K220"/>
    <mergeCell ref="H221:K221"/>
    <mergeCell ref="H222:K222"/>
  </mergeCells>
  <printOptions gridLines="1" horizontalCentered="1"/>
  <pageMargins bottom="0.75" footer="0.0" header="0.0" left="0.25" right="0.25"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8" width="21.75"/>
    <col customWidth="1" min="9" max="9" width="11.38"/>
  </cols>
  <sheetData>
    <row r="1">
      <c r="A1" s="352"/>
      <c r="B1" s="522" t="s">
        <v>8624</v>
      </c>
      <c r="I1" s="352"/>
      <c r="L1" s="365"/>
    </row>
    <row r="2">
      <c r="A2" s="352"/>
      <c r="I2" s="352"/>
      <c r="L2" s="365"/>
    </row>
    <row r="3">
      <c r="A3" s="352"/>
      <c r="B3" s="524" t="s">
        <v>63</v>
      </c>
      <c r="C3" s="524" t="s">
        <v>122</v>
      </c>
      <c r="D3" s="524" t="s">
        <v>4168</v>
      </c>
      <c r="E3" s="525" t="s">
        <v>109</v>
      </c>
      <c r="F3" s="524" t="s">
        <v>51</v>
      </c>
      <c r="G3" s="524" t="s">
        <v>72</v>
      </c>
      <c r="H3" s="524" t="s">
        <v>103</v>
      </c>
      <c r="I3" s="352"/>
      <c r="L3" s="365"/>
    </row>
    <row r="4">
      <c r="A4" s="694" t="s">
        <v>6524</v>
      </c>
      <c r="B4" s="528" t="s">
        <v>8232</v>
      </c>
      <c r="C4" s="528" t="s">
        <v>8210</v>
      </c>
      <c r="D4" s="540"/>
      <c r="E4" s="695" t="s">
        <v>8217</v>
      </c>
      <c r="F4" s="529" t="s">
        <v>8224</v>
      </c>
      <c r="G4" s="528" t="s">
        <v>8218</v>
      </c>
      <c r="H4" s="528" t="s">
        <v>8214</v>
      </c>
      <c r="I4" s="352"/>
      <c r="L4" s="365"/>
    </row>
    <row r="5">
      <c r="A5" s="401"/>
      <c r="B5" s="528" t="s">
        <v>8236</v>
      </c>
      <c r="C5" s="529" t="s">
        <v>8216</v>
      </c>
      <c r="E5" s="695" t="s">
        <v>8223</v>
      </c>
      <c r="F5" s="531" t="s">
        <v>47</v>
      </c>
      <c r="G5" s="528" t="s">
        <v>8219</v>
      </c>
      <c r="H5" s="528" t="s">
        <v>8220</v>
      </c>
      <c r="I5" s="352"/>
      <c r="L5" s="365"/>
    </row>
    <row r="6">
      <c r="A6" s="401"/>
      <c r="B6" s="528" t="s">
        <v>8240</v>
      </c>
      <c r="C6" s="529" t="s">
        <v>8222</v>
      </c>
      <c r="D6" s="696"/>
      <c r="E6" s="697" t="s">
        <v>8228</v>
      </c>
      <c r="F6" s="535" t="s">
        <v>1390</v>
      </c>
      <c r="G6" s="531" t="s">
        <v>69</v>
      </c>
      <c r="H6" s="529" t="s">
        <v>8225</v>
      </c>
      <c r="I6" s="352"/>
      <c r="L6" s="365"/>
    </row>
    <row r="7">
      <c r="A7" s="401"/>
      <c r="B7" s="528" t="s">
        <v>8242</v>
      </c>
      <c r="C7" s="529" t="s">
        <v>8227</v>
      </c>
      <c r="D7" s="696"/>
      <c r="E7" s="698" t="s">
        <v>108</v>
      </c>
      <c r="F7" s="535" t="s">
        <v>6885</v>
      </c>
      <c r="G7" s="531" t="s">
        <v>8230</v>
      </c>
      <c r="H7" s="529" t="s">
        <v>8231</v>
      </c>
      <c r="I7" s="352"/>
      <c r="L7" s="365"/>
    </row>
    <row r="8">
      <c r="A8" s="401"/>
      <c r="B8" s="528" t="s">
        <v>8244</v>
      </c>
      <c r="C8" s="529" t="s">
        <v>621</v>
      </c>
      <c r="D8" s="542"/>
      <c r="E8" s="535" t="s">
        <v>1440</v>
      </c>
      <c r="F8" s="535" t="s">
        <v>2266</v>
      </c>
      <c r="G8" s="699"/>
      <c r="H8" s="529" t="s">
        <v>8234</v>
      </c>
      <c r="I8" s="352"/>
      <c r="L8" s="365"/>
    </row>
    <row r="9">
      <c r="A9" s="401"/>
      <c r="B9" s="529"/>
      <c r="C9" s="529" t="s">
        <v>8237</v>
      </c>
      <c r="D9" s="700"/>
      <c r="E9" s="532"/>
      <c r="F9" s="701"/>
      <c r="G9" s="547"/>
      <c r="H9" s="529" t="s">
        <v>8238</v>
      </c>
      <c r="I9" s="352"/>
      <c r="L9" s="365"/>
    </row>
    <row r="10">
      <c r="A10" s="401"/>
      <c r="B10" s="531" t="s">
        <v>8246</v>
      </c>
      <c r="C10" s="535" t="s">
        <v>1416</v>
      </c>
      <c r="D10" s="700"/>
      <c r="E10" s="702"/>
      <c r="G10" s="547"/>
      <c r="H10" s="531" t="s">
        <v>7288</v>
      </c>
      <c r="I10" s="352"/>
      <c r="L10" s="365"/>
    </row>
    <row r="11">
      <c r="A11" s="401"/>
      <c r="B11" s="531" t="s">
        <v>96</v>
      </c>
      <c r="C11" s="535" t="s">
        <v>1454</v>
      </c>
      <c r="D11" s="700"/>
      <c r="E11" s="702"/>
      <c r="F11" s="701"/>
      <c r="G11" s="547"/>
      <c r="H11" s="531" t="s">
        <v>135</v>
      </c>
      <c r="I11" s="352"/>
      <c r="L11" s="365"/>
    </row>
    <row r="12">
      <c r="A12" s="401"/>
      <c r="B12" s="531" t="s">
        <v>8625</v>
      </c>
      <c r="C12" s="535" t="s">
        <v>1446</v>
      </c>
      <c r="D12" s="700"/>
      <c r="E12" s="702"/>
      <c r="F12" s="701"/>
      <c r="G12" s="547"/>
      <c r="H12" s="531" t="s">
        <v>102</v>
      </c>
      <c r="I12" s="352"/>
      <c r="L12" s="365"/>
    </row>
    <row r="13">
      <c r="A13" s="401"/>
      <c r="B13" s="531" t="s">
        <v>62</v>
      </c>
      <c r="D13" s="700"/>
      <c r="E13" s="702"/>
      <c r="F13" s="547"/>
      <c r="G13" s="547"/>
      <c r="H13" s="535" t="s">
        <v>8626</v>
      </c>
      <c r="I13" s="352"/>
      <c r="L13" s="365"/>
    </row>
    <row r="14">
      <c r="A14" s="401"/>
      <c r="B14" s="531" t="s">
        <v>8247</v>
      </c>
      <c r="C14" s="700"/>
      <c r="D14" s="700"/>
      <c r="E14" s="702"/>
      <c r="F14" s="547"/>
      <c r="G14" s="547"/>
      <c r="H14" s="547"/>
      <c r="I14" s="352"/>
      <c r="L14" s="365"/>
    </row>
    <row r="15">
      <c r="A15" s="401"/>
      <c r="B15" s="535" t="s">
        <v>1382</v>
      </c>
      <c r="C15" s="700"/>
      <c r="D15" s="700"/>
      <c r="E15" s="702"/>
      <c r="F15" s="547"/>
      <c r="G15" s="547"/>
      <c r="H15" s="547"/>
      <c r="I15" s="352"/>
      <c r="L15" s="365"/>
    </row>
    <row r="16">
      <c r="A16" s="401"/>
      <c r="B16" s="701"/>
      <c r="C16" s="547"/>
      <c r="D16" s="547"/>
      <c r="E16" s="548"/>
      <c r="F16" s="547"/>
      <c r="G16" s="547"/>
      <c r="H16" s="547"/>
      <c r="I16" s="352"/>
      <c r="L16" s="365"/>
    </row>
    <row r="17">
      <c r="A17" s="401"/>
      <c r="B17" s="701"/>
      <c r="C17" s="547"/>
      <c r="D17" s="547"/>
      <c r="E17" s="695" t="s">
        <v>8195</v>
      </c>
      <c r="F17" s="547"/>
      <c r="G17" s="547"/>
      <c r="H17" s="547"/>
      <c r="I17" s="352"/>
      <c r="L17" s="365"/>
    </row>
    <row r="18">
      <c r="A18" s="401"/>
      <c r="B18" s="701"/>
      <c r="C18" s="547"/>
      <c r="D18" s="547"/>
      <c r="E18" s="697" t="s">
        <v>8197</v>
      </c>
      <c r="F18" s="547"/>
      <c r="G18" s="547"/>
      <c r="H18" s="547"/>
      <c r="I18" s="352"/>
      <c r="L18" s="365"/>
    </row>
    <row r="19">
      <c r="A19" s="401"/>
      <c r="B19" s="701"/>
      <c r="C19" s="547"/>
      <c r="D19" s="547"/>
      <c r="E19" s="698" t="s">
        <v>8199</v>
      </c>
      <c r="F19" s="547"/>
      <c r="G19" s="547"/>
      <c r="H19" s="547"/>
      <c r="I19" s="352"/>
      <c r="L19" s="365"/>
    </row>
    <row r="20">
      <c r="A20" s="401"/>
      <c r="B20" s="554"/>
      <c r="C20" s="547"/>
      <c r="D20" s="547"/>
      <c r="E20" s="703" t="s">
        <v>8200</v>
      </c>
      <c r="F20" s="547"/>
      <c r="G20" s="547"/>
      <c r="H20" s="547"/>
      <c r="I20" s="556"/>
      <c r="L20" s="365"/>
    </row>
    <row r="21">
      <c r="A21" s="403"/>
      <c r="B21" s="554"/>
      <c r="C21" s="554"/>
      <c r="D21" s="554"/>
      <c r="E21" s="557"/>
      <c r="F21" s="554"/>
      <c r="G21" s="554"/>
      <c r="H21" s="547"/>
      <c r="I21" s="559" t="s">
        <v>8202</v>
      </c>
      <c r="L21" s="365"/>
    </row>
    <row r="22">
      <c r="A22" s="704" t="s">
        <v>8202</v>
      </c>
      <c r="B22" s="561">
        <f>COUNTA(B4:B21)</f>
        <v>11</v>
      </c>
      <c r="C22" s="561">
        <f t="shared" ref="C22:D22" si="1">COUNTA(C4:C20)</f>
        <v>9</v>
      </c>
      <c r="D22" s="561">
        <f t="shared" si="1"/>
        <v>0</v>
      </c>
      <c r="E22" s="562">
        <f>COUNTA(E4:E15)</f>
        <v>5</v>
      </c>
      <c r="F22" s="705">
        <f t="shared" ref="F22:H22" si="2">COUNTA(F4:F20)</f>
        <v>5</v>
      </c>
      <c r="G22" s="561">
        <f t="shared" si="2"/>
        <v>4</v>
      </c>
      <c r="H22" s="561">
        <f t="shared" si="2"/>
        <v>10</v>
      </c>
      <c r="I22" s="564">
        <f>SUM(B22:H22)</f>
        <v>44</v>
      </c>
      <c r="L22" s="365"/>
    </row>
    <row r="23">
      <c r="A23" s="352"/>
      <c r="B23" s="352"/>
      <c r="C23" s="352"/>
      <c r="E23" s="366"/>
      <c r="H23" s="352"/>
      <c r="I23" s="352"/>
      <c r="L23" s="365"/>
    </row>
    <row r="24">
      <c r="A24" s="352"/>
      <c r="B24" s="352"/>
      <c r="C24" s="352"/>
      <c r="E24" s="366"/>
      <c r="H24" s="352"/>
      <c r="I24" s="352"/>
      <c r="L24" s="365"/>
    </row>
    <row r="25">
      <c r="E25" s="366"/>
      <c r="L25" s="365"/>
    </row>
    <row r="26">
      <c r="A26" s="706" t="s">
        <v>122</v>
      </c>
      <c r="B26" s="567" t="s">
        <v>7</v>
      </c>
      <c r="C26" s="567" t="s">
        <v>8206</v>
      </c>
      <c r="D26" s="567" t="s">
        <v>8248</v>
      </c>
      <c r="E26" s="568" t="s">
        <v>23</v>
      </c>
      <c r="F26" s="567" t="s">
        <v>27</v>
      </c>
      <c r="G26" s="567" t="s">
        <v>28</v>
      </c>
      <c r="H26" s="567" t="s">
        <v>30</v>
      </c>
      <c r="L26" s="365"/>
    </row>
    <row r="27">
      <c r="A27" s="707">
        <v>0.0</v>
      </c>
      <c r="B27" s="707" t="s">
        <v>1416</v>
      </c>
      <c r="C27" s="707" t="s">
        <v>66</v>
      </c>
      <c r="D27" s="708" t="s">
        <v>8627</v>
      </c>
      <c r="E27" s="708" t="s">
        <v>1419</v>
      </c>
      <c r="F27" s="707"/>
      <c r="G27" s="709"/>
      <c r="H27" s="710" t="s">
        <v>8628</v>
      </c>
      <c r="L27" s="711"/>
      <c r="M27" s="712"/>
      <c r="N27" s="712"/>
      <c r="O27" s="712"/>
      <c r="P27" s="712"/>
      <c r="Q27" s="712"/>
      <c r="R27" s="712"/>
      <c r="S27" s="712"/>
      <c r="T27" s="712"/>
      <c r="U27" s="712"/>
      <c r="V27" s="712"/>
      <c r="W27" s="712"/>
      <c r="X27" s="712"/>
      <c r="Y27" s="712"/>
      <c r="Z27" s="712"/>
    </row>
    <row r="28">
      <c r="A28" s="707">
        <v>0.0</v>
      </c>
      <c r="B28" s="707" t="s">
        <v>8629</v>
      </c>
      <c r="C28" s="707" t="s">
        <v>125</v>
      </c>
      <c r="D28" s="708" t="s">
        <v>8630</v>
      </c>
      <c r="E28" s="708" t="s">
        <v>1457</v>
      </c>
      <c r="F28" s="707"/>
      <c r="G28" s="709"/>
      <c r="H28" s="710" t="s">
        <v>8631</v>
      </c>
      <c r="L28" s="711"/>
      <c r="M28" s="712"/>
      <c r="N28" s="712"/>
      <c r="O28" s="712"/>
      <c r="P28" s="712"/>
      <c r="Q28" s="712"/>
      <c r="R28" s="712"/>
      <c r="S28" s="712"/>
      <c r="T28" s="712"/>
      <c r="U28" s="712"/>
      <c r="V28" s="712"/>
      <c r="W28" s="712"/>
      <c r="X28" s="712"/>
      <c r="Y28" s="712"/>
      <c r="Z28" s="712"/>
    </row>
    <row r="29">
      <c r="A29" s="707">
        <v>0.0</v>
      </c>
      <c r="B29" s="707" t="s">
        <v>1446</v>
      </c>
      <c r="C29" s="707" t="s">
        <v>66</v>
      </c>
      <c r="D29" s="708" t="s">
        <v>8632</v>
      </c>
      <c r="E29" s="708">
        <v>4.2</v>
      </c>
      <c r="F29" s="713"/>
      <c r="G29" s="714">
        <v>45611.0</v>
      </c>
      <c r="H29" s="710" t="s">
        <v>1451</v>
      </c>
      <c r="L29" s="715" t="s">
        <v>1414</v>
      </c>
      <c r="M29" s="712"/>
    </row>
    <row r="30">
      <c r="A30" s="716">
        <v>1.0</v>
      </c>
      <c r="B30" s="716" t="s">
        <v>2600</v>
      </c>
      <c r="C30" s="716" t="s">
        <v>73</v>
      </c>
      <c r="D30" s="717" t="s">
        <v>8633</v>
      </c>
      <c r="E30" s="717" t="s">
        <v>2604</v>
      </c>
      <c r="F30" s="718" t="s">
        <v>2605</v>
      </c>
      <c r="G30" s="719"/>
      <c r="H30" s="720" t="s">
        <v>8634</v>
      </c>
      <c r="L30" s="721"/>
      <c r="M30" s="722"/>
      <c r="N30" s="722"/>
      <c r="O30" s="722"/>
      <c r="P30" s="722"/>
      <c r="Q30" s="722"/>
      <c r="R30" s="722"/>
      <c r="S30" s="722"/>
      <c r="T30" s="722"/>
      <c r="U30" s="722"/>
      <c r="V30" s="722"/>
      <c r="W30" s="722"/>
      <c r="X30" s="722"/>
      <c r="Y30" s="722"/>
      <c r="Z30" s="722"/>
    </row>
    <row r="31">
      <c r="A31" s="575">
        <v>1.0</v>
      </c>
      <c r="B31" s="575" t="s">
        <v>1798</v>
      </c>
      <c r="C31" s="575" t="s">
        <v>529</v>
      </c>
      <c r="D31" s="579" t="s">
        <v>8635</v>
      </c>
      <c r="E31" s="579" t="s">
        <v>1802</v>
      </c>
      <c r="F31" s="290"/>
      <c r="G31" s="446"/>
      <c r="H31" s="582" t="s">
        <v>1803</v>
      </c>
      <c r="L31" s="365"/>
    </row>
    <row r="32">
      <c r="A32" s="570">
        <v>2.0</v>
      </c>
      <c r="B32" s="570" t="s">
        <v>1645</v>
      </c>
      <c r="C32" s="570" t="s">
        <v>307</v>
      </c>
      <c r="D32" s="723" t="s">
        <v>8636</v>
      </c>
      <c r="E32" s="723">
        <v>3.7</v>
      </c>
      <c r="F32" s="573"/>
      <c r="G32" s="724"/>
      <c r="H32" s="725" t="s">
        <v>1648</v>
      </c>
      <c r="L32" s="726"/>
      <c r="M32" s="727"/>
      <c r="N32" s="727"/>
      <c r="O32" s="727"/>
      <c r="P32" s="727"/>
      <c r="Q32" s="727"/>
      <c r="R32" s="727"/>
      <c r="S32" s="727"/>
      <c r="T32" s="727"/>
      <c r="U32" s="727"/>
      <c r="V32" s="727"/>
      <c r="W32" s="727"/>
      <c r="X32" s="727"/>
      <c r="Y32" s="727"/>
      <c r="Z32" s="727"/>
    </row>
    <row r="33">
      <c r="A33" s="570">
        <v>3.0</v>
      </c>
      <c r="B33" s="571" t="s">
        <v>1688</v>
      </c>
      <c r="C33" s="570" t="s">
        <v>286</v>
      </c>
      <c r="D33" s="723" t="s">
        <v>8637</v>
      </c>
      <c r="E33" s="723" t="s">
        <v>1692</v>
      </c>
      <c r="F33" s="573"/>
      <c r="G33" s="724"/>
      <c r="H33" s="725" t="s">
        <v>1693</v>
      </c>
      <c r="L33" s="726" t="s">
        <v>1541</v>
      </c>
      <c r="M33" s="727"/>
      <c r="N33" s="727"/>
      <c r="O33" s="727"/>
      <c r="P33" s="727"/>
      <c r="Q33" s="727"/>
      <c r="R33" s="727"/>
      <c r="S33" s="727"/>
      <c r="T33" s="727"/>
      <c r="U33" s="727"/>
      <c r="V33" s="727"/>
      <c r="W33" s="727"/>
      <c r="X33" s="727"/>
      <c r="Y33" s="727"/>
      <c r="Z33" s="727"/>
    </row>
    <row r="34">
      <c r="A34" s="595"/>
      <c r="B34" s="595"/>
      <c r="C34" s="595"/>
      <c r="D34" s="728"/>
      <c r="E34" s="728"/>
      <c r="F34" s="597"/>
      <c r="G34" s="729"/>
      <c r="H34" s="730"/>
      <c r="L34" s="731"/>
      <c r="M34" s="611"/>
      <c r="N34" s="611"/>
      <c r="O34" s="611"/>
      <c r="P34" s="611"/>
      <c r="Q34" s="611"/>
      <c r="R34" s="611"/>
      <c r="S34" s="611"/>
      <c r="T34" s="611"/>
      <c r="U34" s="611"/>
      <c r="V34" s="611"/>
      <c r="W34" s="611"/>
      <c r="X34" s="611"/>
      <c r="Y34" s="611"/>
      <c r="Z34" s="611"/>
    </row>
    <row r="35">
      <c r="A35" s="732">
        <v>5.0</v>
      </c>
      <c r="B35" s="732" t="s">
        <v>1865</v>
      </c>
      <c r="C35" s="732" t="s">
        <v>180</v>
      </c>
      <c r="D35" s="733" t="s">
        <v>657</v>
      </c>
      <c r="E35" s="733" t="s">
        <v>1867</v>
      </c>
      <c r="F35" s="734"/>
      <c r="G35" s="735"/>
      <c r="H35" s="736" t="s">
        <v>8638</v>
      </c>
      <c r="L35" s="737"/>
      <c r="M35" s="738"/>
      <c r="N35" s="738"/>
      <c r="O35" s="738"/>
      <c r="P35" s="738"/>
      <c r="Q35" s="738"/>
      <c r="R35" s="738"/>
      <c r="S35" s="738"/>
      <c r="T35" s="738"/>
      <c r="U35" s="738"/>
      <c r="V35" s="738"/>
      <c r="W35" s="738"/>
      <c r="X35" s="738"/>
      <c r="Y35" s="738"/>
      <c r="Z35" s="738"/>
    </row>
    <row r="37">
      <c r="A37" s="732">
        <v>5.0</v>
      </c>
      <c r="B37" s="732" t="s">
        <v>8639</v>
      </c>
      <c r="C37" s="732" t="s">
        <v>240</v>
      </c>
      <c r="D37" s="733" t="s">
        <v>1858</v>
      </c>
      <c r="E37" s="733"/>
      <c r="F37" s="734"/>
      <c r="G37" s="735"/>
      <c r="H37" s="736" t="s">
        <v>8640</v>
      </c>
      <c r="L37" s="737"/>
      <c r="M37" s="738"/>
      <c r="N37" s="738"/>
      <c r="O37" s="738"/>
      <c r="P37" s="738"/>
      <c r="Q37" s="738"/>
      <c r="R37" s="738"/>
      <c r="S37" s="738"/>
      <c r="T37" s="738"/>
      <c r="U37" s="738"/>
      <c r="V37" s="738"/>
      <c r="W37" s="738"/>
      <c r="X37" s="738"/>
      <c r="Y37" s="738"/>
      <c r="Z37" s="738"/>
    </row>
    <row r="38">
      <c r="A38" s="290"/>
      <c r="B38" s="575"/>
      <c r="C38" s="575"/>
      <c r="D38" s="579"/>
      <c r="E38" s="579"/>
      <c r="F38" s="290"/>
      <c r="G38" s="446"/>
      <c r="H38" s="582"/>
      <c r="L38" s="365"/>
    </row>
    <row r="39">
      <c r="A39" s="575"/>
      <c r="B39" s="575"/>
      <c r="C39" s="575"/>
      <c r="D39" s="579"/>
      <c r="E39" s="579"/>
      <c r="F39" s="290"/>
      <c r="G39" s="446"/>
      <c r="H39" s="582"/>
      <c r="L39" s="365"/>
    </row>
    <row r="40">
      <c r="A40" s="706" t="s">
        <v>63</v>
      </c>
      <c r="B40" s="567" t="s">
        <v>7</v>
      </c>
      <c r="C40" s="567" t="s">
        <v>8206</v>
      </c>
      <c r="D40" s="568" t="s">
        <v>8248</v>
      </c>
      <c r="E40" s="568" t="s">
        <v>23</v>
      </c>
      <c r="F40" s="567" t="s">
        <v>27</v>
      </c>
      <c r="G40" s="567" t="s">
        <v>28</v>
      </c>
      <c r="H40" s="568" t="s">
        <v>30</v>
      </c>
      <c r="L40" s="365"/>
    </row>
    <row r="41">
      <c r="A41" s="707">
        <v>0.0</v>
      </c>
      <c r="B41" s="707" t="s">
        <v>1382</v>
      </c>
      <c r="C41" s="707" t="s">
        <v>85</v>
      </c>
      <c r="D41" s="708"/>
      <c r="E41" s="708"/>
      <c r="F41" s="739"/>
      <c r="G41" s="709"/>
      <c r="H41" s="710" t="s">
        <v>1386</v>
      </c>
      <c r="L41" s="715"/>
      <c r="M41" s="712"/>
      <c r="N41" s="712"/>
      <c r="O41" s="712"/>
      <c r="P41" s="712"/>
      <c r="Q41" s="712"/>
      <c r="R41" s="712"/>
      <c r="S41" s="712"/>
      <c r="T41" s="712"/>
      <c r="U41" s="712"/>
      <c r="V41" s="712"/>
      <c r="W41" s="712"/>
      <c r="X41" s="712"/>
      <c r="Y41" s="712"/>
      <c r="Z41" s="712"/>
    </row>
    <row r="42">
      <c r="A42" s="707">
        <v>0.0</v>
      </c>
      <c r="B42" s="707" t="s">
        <v>8641</v>
      </c>
      <c r="C42" s="707" t="s">
        <v>307</v>
      </c>
      <c r="D42" s="708" t="s">
        <v>8642</v>
      </c>
      <c r="E42" s="708">
        <v>4.0</v>
      </c>
      <c r="F42" s="713"/>
      <c r="G42" s="709"/>
      <c r="H42" s="710" t="s">
        <v>8643</v>
      </c>
      <c r="L42" s="715" t="s">
        <v>1414</v>
      </c>
      <c r="M42" s="712"/>
      <c r="N42" s="712"/>
      <c r="O42" s="712"/>
      <c r="P42" s="712"/>
      <c r="Q42" s="712"/>
      <c r="R42" s="712"/>
      <c r="S42" s="712"/>
      <c r="T42" s="712"/>
      <c r="U42" s="712"/>
      <c r="V42" s="712"/>
      <c r="W42" s="712"/>
      <c r="X42" s="712"/>
      <c r="Y42" s="712"/>
      <c r="Z42" s="712"/>
    </row>
    <row r="43">
      <c r="A43" s="595">
        <v>2.0</v>
      </c>
      <c r="B43" s="595" t="s">
        <v>2366</v>
      </c>
      <c r="C43" s="595" t="s">
        <v>73</v>
      </c>
      <c r="D43" s="728" t="s">
        <v>8644</v>
      </c>
      <c r="E43" s="728" t="s">
        <v>2371</v>
      </c>
      <c r="F43" s="718" t="s">
        <v>2372</v>
      </c>
      <c r="G43" s="729"/>
      <c r="H43" s="730" t="s">
        <v>2373</v>
      </c>
      <c r="L43" s="731"/>
      <c r="M43" s="611"/>
      <c r="N43" s="611"/>
      <c r="O43" s="611"/>
      <c r="P43" s="611"/>
      <c r="Q43" s="611"/>
      <c r="R43" s="611"/>
      <c r="S43" s="611"/>
      <c r="T43" s="611"/>
      <c r="U43" s="611"/>
      <c r="V43" s="611"/>
      <c r="W43" s="611"/>
      <c r="X43" s="611"/>
      <c r="Y43" s="611"/>
      <c r="Z43" s="611"/>
    </row>
    <row r="44">
      <c r="A44" s="575">
        <v>2.0</v>
      </c>
      <c r="B44" s="575" t="s">
        <v>2652</v>
      </c>
      <c r="C44" s="575" t="s">
        <v>319</v>
      </c>
      <c r="D44" s="579" t="s">
        <v>2655</v>
      </c>
      <c r="E44" s="579" t="s">
        <v>2656</v>
      </c>
      <c r="F44" s="290"/>
      <c r="G44" s="446"/>
      <c r="H44" s="582" t="s">
        <v>8645</v>
      </c>
      <c r="L44" s="365"/>
    </row>
    <row r="45">
      <c r="A45" s="575">
        <v>2.0</v>
      </c>
      <c r="B45" s="575" t="s">
        <v>2450</v>
      </c>
      <c r="C45" s="575" t="s">
        <v>529</v>
      </c>
      <c r="D45" s="579" t="s">
        <v>8646</v>
      </c>
      <c r="E45" s="579">
        <v>3.8</v>
      </c>
      <c r="F45" s="290"/>
      <c r="G45" s="446"/>
      <c r="H45" s="740" t="s">
        <v>2451</v>
      </c>
      <c r="L45" s="365"/>
    </row>
    <row r="46">
      <c r="A46" s="741">
        <v>2.0</v>
      </c>
      <c r="B46" s="742" t="s">
        <v>1699</v>
      </c>
      <c r="C46" s="741" t="s">
        <v>66</v>
      </c>
      <c r="D46" s="743" t="s">
        <v>8647</v>
      </c>
      <c r="E46" s="743" t="s">
        <v>8648</v>
      </c>
      <c r="F46" s="716" t="s">
        <v>1705</v>
      </c>
      <c r="G46" s="744"/>
      <c r="H46" s="745" t="s">
        <v>1706</v>
      </c>
      <c r="L46" s="746" t="s">
        <v>1541</v>
      </c>
      <c r="M46" s="747"/>
      <c r="N46" s="747"/>
      <c r="O46" s="747"/>
      <c r="P46" s="747"/>
      <c r="Q46" s="747"/>
      <c r="R46" s="747"/>
      <c r="S46" s="747"/>
      <c r="T46" s="747"/>
      <c r="U46" s="747"/>
      <c r="V46" s="747"/>
      <c r="W46" s="747"/>
      <c r="X46" s="747"/>
      <c r="Y46" s="747"/>
      <c r="Z46" s="747"/>
    </row>
    <row r="47">
      <c r="A47" s="741">
        <v>2.0</v>
      </c>
      <c r="B47" s="742" t="s">
        <v>2275</v>
      </c>
      <c r="C47" s="741" t="s">
        <v>66</v>
      </c>
      <c r="D47" s="743" t="s">
        <v>8649</v>
      </c>
      <c r="E47" s="748" t="s">
        <v>2279</v>
      </c>
      <c r="F47" s="744"/>
      <c r="G47" s="744"/>
      <c r="H47" s="745" t="s">
        <v>2280</v>
      </c>
      <c r="L47" s="746" t="s">
        <v>1541</v>
      </c>
      <c r="M47" s="747"/>
      <c r="N47" s="747"/>
      <c r="O47" s="747"/>
      <c r="P47" s="747"/>
      <c r="Q47" s="747"/>
      <c r="R47" s="747"/>
      <c r="S47" s="747"/>
      <c r="T47" s="747"/>
      <c r="U47" s="747"/>
      <c r="V47" s="747"/>
      <c r="W47" s="747"/>
      <c r="X47" s="747"/>
      <c r="Y47" s="747"/>
      <c r="Z47" s="747"/>
    </row>
    <row r="48">
      <c r="A48" s="575">
        <v>3.0</v>
      </c>
      <c r="B48" s="575" t="s">
        <v>8650</v>
      </c>
      <c r="C48" s="575" t="s">
        <v>66</v>
      </c>
      <c r="D48" s="579" t="s">
        <v>8651</v>
      </c>
      <c r="E48" s="579">
        <v>3.71</v>
      </c>
      <c r="F48" s="290"/>
      <c r="G48" s="446"/>
      <c r="H48" s="582" t="s">
        <v>8652</v>
      </c>
      <c r="L48" s="365"/>
    </row>
    <row r="49">
      <c r="A49" s="575">
        <v>3.0</v>
      </c>
      <c r="B49" s="575" t="s">
        <v>2030</v>
      </c>
      <c r="C49" s="575" t="s">
        <v>529</v>
      </c>
      <c r="D49" s="579" t="s">
        <v>8653</v>
      </c>
      <c r="E49" s="579"/>
      <c r="F49" s="290"/>
      <c r="G49" s="446"/>
      <c r="H49" s="582" t="s">
        <v>2033</v>
      </c>
      <c r="L49" s="365"/>
    </row>
    <row r="50">
      <c r="A50" s="570">
        <v>3.0</v>
      </c>
      <c r="B50" s="571" t="s">
        <v>2311</v>
      </c>
      <c r="C50" s="570" t="s">
        <v>153</v>
      </c>
      <c r="D50" s="723" t="s">
        <v>8654</v>
      </c>
      <c r="E50" s="723">
        <v>3.7</v>
      </c>
      <c r="F50" s="573"/>
      <c r="G50" s="724"/>
      <c r="H50" s="725" t="s">
        <v>2315</v>
      </c>
      <c r="L50" s="726" t="s">
        <v>1541</v>
      </c>
      <c r="M50" s="727"/>
      <c r="N50" s="727"/>
      <c r="O50" s="727"/>
      <c r="P50" s="727"/>
      <c r="Q50" s="727"/>
      <c r="R50" s="727"/>
      <c r="S50" s="727"/>
      <c r="T50" s="727"/>
      <c r="U50" s="727"/>
      <c r="V50" s="727"/>
      <c r="W50" s="727"/>
      <c r="X50" s="727"/>
      <c r="Y50" s="727"/>
      <c r="Z50" s="727"/>
    </row>
    <row r="51">
      <c r="A51" s="575">
        <v>3.0</v>
      </c>
      <c r="B51" s="575" t="s">
        <v>2482</v>
      </c>
      <c r="C51" s="575" t="s">
        <v>85</v>
      </c>
      <c r="D51" s="579" t="s">
        <v>8655</v>
      </c>
      <c r="E51" s="579" t="s">
        <v>1836</v>
      </c>
      <c r="F51" s="290"/>
      <c r="G51" s="446"/>
      <c r="H51" s="582" t="s">
        <v>2487</v>
      </c>
      <c r="L51" s="365"/>
    </row>
    <row r="52">
      <c r="A52" s="575">
        <v>3.0</v>
      </c>
      <c r="B52" s="575" t="s">
        <v>1731</v>
      </c>
      <c r="C52" s="575" t="s">
        <v>43</v>
      </c>
      <c r="D52" s="579" t="s">
        <v>8656</v>
      </c>
      <c r="E52" s="579">
        <v>3.9</v>
      </c>
      <c r="F52" s="290"/>
      <c r="G52" s="446"/>
      <c r="H52" s="582" t="s">
        <v>1736</v>
      </c>
      <c r="L52" s="365"/>
    </row>
    <row r="53">
      <c r="A53" s="575">
        <v>3.0</v>
      </c>
      <c r="B53" s="575" t="s">
        <v>1658</v>
      </c>
      <c r="C53" s="575" t="s">
        <v>66</v>
      </c>
      <c r="D53" s="579" t="s">
        <v>8649</v>
      </c>
      <c r="E53" s="579" t="s">
        <v>1662</v>
      </c>
      <c r="F53" s="290"/>
      <c r="G53" s="446"/>
      <c r="H53" s="582" t="s">
        <v>1663</v>
      </c>
      <c r="L53" s="365"/>
    </row>
    <row r="54">
      <c r="A54" s="595">
        <v>3.0</v>
      </c>
      <c r="B54" s="595" t="s">
        <v>1649</v>
      </c>
      <c r="C54" s="595" t="s">
        <v>52</v>
      </c>
      <c r="D54" s="728" t="s">
        <v>1651</v>
      </c>
      <c r="E54" s="728"/>
      <c r="F54" s="597"/>
      <c r="G54" s="729"/>
      <c r="H54" s="730" t="s">
        <v>1652</v>
      </c>
      <c r="L54" s="731"/>
      <c r="M54" s="611"/>
      <c r="N54" s="611"/>
      <c r="O54" s="611"/>
      <c r="P54" s="611"/>
      <c r="Q54" s="611"/>
      <c r="R54" s="611"/>
      <c r="S54" s="611"/>
      <c r="T54" s="611"/>
      <c r="U54" s="611"/>
      <c r="V54" s="611"/>
      <c r="W54" s="611"/>
      <c r="X54" s="611"/>
      <c r="Y54" s="611"/>
      <c r="Z54" s="611"/>
    </row>
    <row r="55">
      <c r="A55" s="595">
        <v>4.0</v>
      </c>
      <c r="B55" s="595" t="s">
        <v>2142</v>
      </c>
      <c r="C55" s="595" t="s">
        <v>240</v>
      </c>
      <c r="D55" s="728" t="s">
        <v>8657</v>
      </c>
      <c r="E55" s="728" t="s">
        <v>2146</v>
      </c>
      <c r="F55" s="597"/>
      <c r="G55" s="729"/>
      <c r="H55" s="730"/>
      <c r="I55" s="730"/>
      <c r="J55" s="730"/>
      <c r="K55" s="730"/>
      <c r="L55" s="731"/>
      <c r="M55" s="611"/>
      <c r="N55" s="611"/>
      <c r="O55" s="611"/>
      <c r="P55" s="611"/>
      <c r="Q55" s="611"/>
      <c r="R55" s="611"/>
      <c r="S55" s="611"/>
      <c r="T55" s="611"/>
      <c r="U55" s="611"/>
      <c r="V55" s="611"/>
      <c r="W55" s="611"/>
      <c r="X55" s="611"/>
      <c r="Y55" s="611"/>
      <c r="Z55" s="611"/>
    </row>
    <row r="56">
      <c r="A56" s="741">
        <v>4.0</v>
      </c>
      <c r="B56" s="741" t="s">
        <v>2518</v>
      </c>
      <c r="C56" s="741" t="s">
        <v>66</v>
      </c>
      <c r="D56" s="743"/>
      <c r="E56" s="743" t="s">
        <v>2521</v>
      </c>
      <c r="F56" s="749"/>
      <c r="G56" s="744"/>
      <c r="H56" s="745" t="s">
        <v>2522</v>
      </c>
      <c r="L56" s="750"/>
    </row>
    <row r="57">
      <c r="A57" s="732">
        <v>5.0</v>
      </c>
      <c r="B57" s="751" t="s">
        <v>2306</v>
      </c>
      <c r="C57" s="732" t="s">
        <v>195</v>
      </c>
      <c r="D57" s="733" t="s">
        <v>2308</v>
      </c>
      <c r="E57" s="733"/>
      <c r="F57" s="732" t="s">
        <v>2309</v>
      </c>
      <c r="G57" s="735"/>
      <c r="H57" s="736" t="s">
        <v>2310</v>
      </c>
      <c r="L57" s="752" t="s">
        <v>1414</v>
      </c>
      <c r="M57" s="738"/>
      <c r="N57" s="738"/>
      <c r="O57" s="738"/>
      <c r="P57" s="738"/>
      <c r="Q57" s="738"/>
      <c r="R57" s="738"/>
      <c r="S57" s="738"/>
      <c r="T57" s="738"/>
      <c r="U57" s="738"/>
      <c r="V57" s="738"/>
      <c r="W57" s="738"/>
      <c r="X57" s="738"/>
      <c r="Y57" s="738"/>
      <c r="Z57" s="738"/>
    </row>
    <row r="58">
      <c r="A58" s="732">
        <v>5.0</v>
      </c>
      <c r="B58" s="732" t="s">
        <v>1469</v>
      </c>
      <c r="C58" s="732" t="s">
        <v>66</v>
      </c>
      <c r="D58" s="733" t="s">
        <v>1473</v>
      </c>
      <c r="E58" s="733"/>
      <c r="F58" s="734"/>
      <c r="G58" s="735"/>
      <c r="H58" s="736" t="s">
        <v>1475</v>
      </c>
      <c r="L58" s="752" t="s">
        <v>1474</v>
      </c>
      <c r="M58" s="738"/>
      <c r="N58" s="738"/>
      <c r="O58" s="738"/>
      <c r="P58" s="738"/>
      <c r="Q58" s="738"/>
      <c r="R58" s="738"/>
      <c r="S58" s="738"/>
      <c r="T58" s="738"/>
      <c r="U58" s="738"/>
      <c r="V58" s="738"/>
      <c r="W58" s="738"/>
      <c r="X58" s="738"/>
      <c r="Y58" s="738"/>
      <c r="Z58" s="738"/>
    </row>
    <row r="59">
      <c r="A59" s="732">
        <v>5.0</v>
      </c>
      <c r="B59" s="732" t="s">
        <v>1903</v>
      </c>
      <c r="C59" s="732" t="s">
        <v>125</v>
      </c>
      <c r="D59" s="733" t="s">
        <v>1905</v>
      </c>
      <c r="E59" s="733"/>
      <c r="F59" s="734"/>
      <c r="G59" s="735"/>
      <c r="H59" s="736" t="s">
        <v>1907</v>
      </c>
      <c r="L59" s="752" t="s">
        <v>1906</v>
      </c>
      <c r="M59" s="738"/>
      <c r="N59" s="738"/>
      <c r="O59" s="738"/>
      <c r="P59" s="738"/>
      <c r="Q59" s="738"/>
      <c r="R59" s="738"/>
      <c r="S59" s="738"/>
      <c r="T59" s="738"/>
      <c r="U59" s="738"/>
      <c r="V59" s="738"/>
      <c r="W59" s="738"/>
      <c r="X59" s="738"/>
      <c r="Y59" s="738"/>
      <c r="Z59" s="738"/>
    </row>
    <row r="60">
      <c r="A60" s="732">
        <v>5.0</v>
      </c>
      <c r="B60" s="732" t="s">
        <v>1869</v>
      </c>
      <c r="C60" s="732" t="s">
        <v>125</v>
      </c>
      <c r="D60" s="733" t="s">
        <v>8658</v>
      </c>
      <c r="E60" s="733"/>
      <c r="F60" s="734"/>
      <c r="G60" s="735"/>
      <c r="H60" s="736" t="s">
        <v>1872</v>
      </c>
      <c r="L60" s="737"/>
      <c r="M60" s="738"/>
      <c r="N60" s="738"/>
      <c r="O60" s="738"/>
      <c r="P60" s="738"/>
      <c r="Q60" s="738"/>
      <c r="R60" s="738"/>
      <c r="S60" s="738"/>
      <c r="T60" s="738"/>
      <c r="U60" s="738"/>
      <c r="V60" s="738"/>
      <c r="W60" s="738"/>
      <c r="X60" s="738"/>
      <c r="Y60" s="738"/>
      <c r="Z60" s="738"/>
    </row>
    <row r="61">
      <c r="A61" s="732">
        <v>5.0</v>
      </c>
      <c r="B61" s="732" t="s">
        <v>1886</v>
      </c>
      <c r="C61" s="732" t="s">
        <v>942</v>
      </c>
      <c r="D61" s="733" t="s">
        <v>8659</v>
      </c>
      <c r="E61" s="733"/>
      <c r="F61" s="734"/>
      <c r="G61" s="735"/>
      <c r="H61" s="736" t="s">
        <v>8660</v>
      </c>
      <c r="L61" s="752" t="s">
        <v>1474</v>
      </c>
      <c r="M61" s="738"/>
      <c r="N61" s="738"/>
      <c r="O61" s="738"/>
      <c r="P61" s="738"/>
      <c r="Q61" s="738"/>
      <c r="R61" s="738"/>
      <c r="S61" s="738"/>
      <c r="T61" s="738"/>
      <c r="U61" s="738"/>
      <c r="V61" s="738"/>
      <c r="W61" s="738"/>
      <c r="X61" s="738"/>
      <c r="Y61" s="738"/>
      <c r="Z61" s="738"/>
    </row>
    <row r="62">
      <c r="A62" s="290"/>
      <c r="B62" s="575"/>
      <c r="C62" s="575"/>
      <c r="D62" s="579"/>
      <c r="E62" s="579"/>
      <c r="F62" s="290"/>
      <c r="G62" s="446"/>
      <c r="H62" s="582"/>
      <c r="L62" s="365"/>
    </row>
    <row r="63">
      <c r="A63" s="290"/>
      <c r="B63" s="575"/>
      <c r="C63" s="575"/>
      <c r="D63" s="579"/>
      <c r="E63" s="579"/>
      <c r="F63" s="290"/>
      <c r="G63" s="446"/>
      <c r="H63" s="582"/>
      <c r="L63" s="365"/>
    </row>
    <row r="64">
      <c r="A64" s="290"/>
      <c r="B64" s="575"/>
      <c r="C64" s="575"/>
      <c r="D64" s="579"/>
      <c r="E64" s="579"/>
      <c r="F64" s="290"/>
      <c r="G64" s="446"/>
      <c r="H64" s="582"/>
      <c r="L64" s="365"/>
    </row>
    <row r="65">
      <c r="A65" s="706" t="s">
        <v>109</v>
      </c>
      <c r="B65" s="567" t="s">
        <v>7</v>
      </c>
      <c r="C65" s="567" t="s">
        <v>8206</v>
      </c>
      <c r="D65" s="568" t="s">
        <v>8248</v>
      </c>
      <c r="E65" s="568" t="s">
        <v>23</v>
      </c>
      <c r="F65" s="567" t="s">
        <v>27</v>
      </c>
      <c r="G65" s="567" t="s">
        <v>28</v>
      </c>
      <c r="H65" s="568" t="s">
        <v>30</v>
      </c>
      <c r="L65" s="365"/>
    </row>
    <row r="66">
      <c r="A66" s="707">
        <v>0.0</v>
      </c>
      <c r="B66" s="707" t="s">
        <v>1440</v>
      </c>
      <c r="C66" s="707" t="s">
        <v>529</v>
      </c>
      <c r="D66" s="708" t="s">
        <v>8661</v>
      </c>
      <c r="E66" s="708">
        <v>3.6</v>
      </c>
      <c r="F66" s="707" t="s">
        <v>1444</v>
      </c>
      <c r="G66" s="753">
        <v>45590.0</v>
      </c>
      <c r="H66" s="754" t="s">
        <v>8662</v>
      </c>
      <c r="L66" s="715" t="s">
        <v>1414</v>
      </c>
      <c r="M66" s="712"/>
      <c r="N66" s="712"/>
      <c r="O66" s="712"/>
      <c r="P66" s="712"/>
      <c r="Q66" s="712"/>
      <c r="R66" s="712"/>
      <c r="S66" s="712"/>
      <c r="T66" s="712"/>
      <c r="U66" s="712"/>
      <c r="V66" s="712"/>
      <c r="W66" s="712"/>
      <c r="X66" s="712"/>
      <c r="Y66" s="712"/>
      <c r="Z66" s="712"/>
    </row>
    <row r="67">
      <c r="A67" s="741">
        <v>3.0</v>
      </c>
      <c r="B67" s="742" t="s">
        <v>2187</v>
      </c>
      <c r="C67" s="741" t="s">
        <v>66</v>
      </c>
      <c r="D67" s="743" t="s">
        <v>8663</v>
      </c>
      <c r="E67" s="743">
        <v>4.0</v>
      </c>
      <c r="F67" s="749"/>
      <c r="G67" s="744"/>
      <c r="H67" s="745" t="s">
        <v>2192</v>
      </c>
      <c r="L67" s="746" t="s">
        <v>2191</v>
      </c>
      <c r="M67" s="747"/>
      <c r="N67" s="747"/>
      <c r="O67" s="747"/>
      <c r="P67" s="747"/>
      <c r="Q67" s="747"/>
      <c r="R67" s="747"/>
      <c r="S67" s="747"/>
      <c r="T67" s="747"/>
      <c r="U67" s="747"/>
      <c r="V67" s="747"/>
      <c r="W67" s="747"/>
      <c r="X67" s="747"/>
      <c r="Y67" s="747"/>
      <c r="Z67" s="747"/>
    </row>
    <row r="68">
      <c r="A68" s="732">
        <v>5.0</v>
      </c>
      <c r="B68" s="732" t="s">
        <v>1851</v>
      </c>
      <c r="C68" s="732" t="s">
        <v>174</v>
      </c>
      <c r="D68" s="733" t="s">
        <v>1853</v>
      </c>
      <c r="E68" s="733"/>
      <c r="F68" s="734"/>
      <c r="G68" s="735"/>
      <c r="H68" s="736" t="s">
        <v>1855</v>
      </c>
      <c r="L68" s="752" t="s">
        <v>1854</v>
      </c>
      <c r="M68" s="738"/>
      <c r="N68" s="738"/>
      <c r="O68" s="738"/>
      <c r="P68" s="738"/>
      <c r="Q68" s="738"/>
      <c r="R68" s="738"/>
      <c r="S68" s="738"/>
      <c r="T68" s="738"/>
      <c r="U68" s="738"/>
      <c r="V68" s="738"/>
      <c r="W68" s="738"/>
      <c r="X68" s="738"/>
      <c r="Y68" s="738"/>
      <c r="Z68" s="738"/>
    </row>
    <row r="69">
      <c r="A69" s="732">
        <v>5.0</v>
      </c>
      <c r="B69" s="732" t="s">
        <v>1860</v>
      </c>
      <c r="C69" s="732" t="s">
        <v>125</v>
      </c>
      <c r="D69" s="733" t="s">
        <v>8664</v>
      </c>
      <c r="E69" s="733"/>
      <c r="F69" s="734"/>
      <c r="G69" s="735"/>
      <c r="H69" s="736" t="s">
        <v>1864</v>
      </c>
      <c r="L69" s="752" t="s">
        <v>1863</v>
      </c>
      <c r="M69" s="738"/>
      <c r="N69" s="738"/>
      <c r="O69" s="738"/>
      <c r="P69" s="738"/>
      <c r="Q69" s="738"/>
      <c r="R69" s="738"/>
      <c r="S69" s="738"/>
      <c r="T69" s="738"/>
      <c r="U69" s="738"/>
      <c r="V69" s="738"/>
      <c r="W69" s="738"/>
      <c r="X69" s="738"/>
      <c r="Y69" s="738"/>
      <c r="Z69" s="738"/>
    </row>
    <row r="70">
      <c r="A70" s="732">
        <v>5.0</v>
      </c>
      <c r="B70" s="732" t="s">
        <v>1877</v>
      </c>
      <c r="C70" s="732" t="s">
        <v>731</v>
      </c>
      <c r="D70" s="733" t="s">
        <v>1879</v>
      </c>
      <c r="E70" s="733"/>
      <c r="F70" s="734"/>
      <c r="G70" s="735"/>
      <c r="H70" s="736" t="s">
        <v>8665</v>
      </c>
      <c r="L70" s="736" t="s">
        <v>1880</v>
      </c>
      <c r="N70" s="738"/>
      <c r="O70" s="738"/>
      <c r="P70" s="738"/>
      <c r="Q70" s="738"/>
      <c r="R70" s="738"/>
      <c r="S70" s="738"/>
      <c r="T70" s="738"/>
      <c r="U70" s="738"/>
      <c r="V70" s="738"/>
      <c r="W70" s="738"/>
      <c r="X70" s="738"/>
      <c r="Y70" s="738"/>
      <c r="Z70" s="738"/>
    </row>
    <row r="71">
      <c r="A71" s="732">
        <v>5.0</v>
      </c>
      <c r="B71" s="732" t="s">
        <v>1890</v>
      </c>
      <c r="C71" s="732" t="s">
        <v>195</v>
      </c>
      <c r="D71" s="733" t="s">
        <v>8666</v>
      </c>
      <c r="E71" s="733"/>
      <c r="F71" s="734"/>
      <c r="G71" s="735"/>
      <c r="H71" s="736" t="s">
        <v>8667</v>
      </c>
      <c r="L71" s="736" t="s">
        <v>1892</v>
      </c>
      <c r="N71" s="738"/>
      <c r="O71" s="738"/>
      <c r="P71" s="738"/>
      <c r="Q71" s="738"/>
      <c r="R71" s="738"/>
      <c r="S71" s="738"/>
      <c r="T71" s="738"/>
      <c r="U71" s="738"/>
      <c r="V71" s="738"/>
      <c r="W71" s="738"/>
      <c r="X71" s="738"/>
      <c r="Y71" s="738"/>
      <c r="Z71" s="738"/>
    </row>
    <row r="72">
      <c r="A72" s="732">
        <v>5.0</v>
      </c>
      <c r="B72" s="732" t="s">
        <v>1882</v>
      </c>
      <c r="C72" s="732" t="s">
        <v>180</v>
      </c>
      <c r="D72" s="733" t="s">
        <v>1884</v>
      </c>
      <c r="E72" s="733"/>
      <c r="F72" s="734"/>
      <c r="G72" s="735"/>
      <c r="H72" s="736" t="s">
        <v>8668</v>
      </c>
      <c r="L72" s="736" t="s">
        <v>1414</v>
      </c>
      <c r="M72" s="738"/>
      <c r="N72" s="738"/>
      <c r="O72" s="738"/>
      <c r="P72" s="738"/>
      <c r="Q72" s="738"/>
      <c r="R72" s="738"/>
      <c r="S72" s="738"/>
      <c r="T72" s="738"/>
      <c r="U72" s="738"/>
      <c r="V72" s="738"/>
      <c r="W72" s="738"/>
      <c r="X72" s="738"/>
      <c r="Y72" s="738"/>
      <c r="Z72" s="738"/>
    </row>
    <row r="73">
      <c r="A73" s="732">
        <v>5.0</v>
      </c>
      <c r="B73" s="732" t="s">
        <v>1840</v>
      </c>
      <c r="C73" s="732" t="s">
        <v>43</v>
      </c>
      <c r="D73" s="733"/>
      <c r="E73" s="733"/>
      <c r="F73" s="734"/>
      <c r="G73" s="735"/>
      <c r="H73" s="736" t="s">
        <v>8669</v>
      </c>
      <c r="L73" s="736"/>
      <c r="M73" s="738"/>
      <c r="N73" s="738"/>
      <c r="O73" s="738"/>
      <c r="P73" s="738"/>
      <c r="Q73" s="738"/>
      <c r="R73" s="738"/>
      <c r="S73" s="738"/>
      <c r="T73" s="738"/>
      <c r="U73" s="738"/>
      <c r="V73" s="738"/>
      <c r="W73" s="738"/>
      <c r="X73" s="738"/>
      <c r="Y73" s="738"/>
      <c r="Z73" s="738"/>
    </row>
    <row r="74">
      <c r="A74" s="290"/>
      <c r="B74" s="575" t="s">
        <v>2807</v>
      </c>
      <c r="C74" s="575"/>
      <c r="D74" s="579" t="s">
        <v>2810</v>
      </c>
      <c r="E74" s="579"/>
      <c r="F74" s="290"/>
      <c r="G74" s="446"/>
      <c r="H74" s="582" t="s">
        <v>2811</v>
      </c>
      <c r="L74" s="365"/>
    </row>
    <row r="75">
      <c r="A75" s="290"/>
      <c r="B75" s="575" t="s">
        <v>2804</v>
      </c>
      <c r="C75" s="575" t="s">
        <v>2806</v>
      </c>
      <c r="D75" s="579"/>
      <c r="E75" s="579"/>
      <c r="F75" s="290"/>
      <c r="G75" s="446"/>
      <c r="H75" s="582"/>
      <c r="L75" s="365"/>
    </row>
    <row r="76">
      <c r="A76" s="706" t="s">
        <v>48</v>
      </c>
      <c r="B76" s="567" t="s">
        <v>7</v>
      </c>
      <c r="C76" s="567" t="s">
        <v>8206</v>
      </c>
      <c r="D76" s="568" t="s">
        <v>8248</v>
      </c>
      <c r="E76" s="568" t="s">
        <v>23</v>
      </c>
      <c r="F76" s="567" t="s">
        <v>27</v>
      </c>
      <c r="G76" s="567" t="s">
        <v>28</v>
      </c>
      <c r="H76" s="568" t="s">
        <v>30</v>
      </c>
      <c r="L76" s="308"/>
    </row>
    <row r="77">
      <c r="A77" s="707">
        <v>0.0</v>
      </c>
      <c r="B77" s="707" t="s">
        <v>8670</v>
      </c>
      <c r="C77" s="707" t="s">
        <v>174</v>
      </c>
      <c r="D77" s="708" t="s">
        <v>8671</v>
      </c>
      <c r="E77" s="708" t="s">
        <v>1413</v>
      </c>
      <c r="F77" s="755">
        <v>45583.0</v>
      </c>
      <c r="G77" s="714">
        <v>45584.0</v>
      </c>
      <c r="H77" s="710" t="s">
        <v>1415</v>
      </c>
      <c r="L77" s="715" t="s">
        <v>1414</v>
      </c>
      <c r="M77" s="712"/>
      <c r="N77" s="712"/>
      <c r="O77" s="712"/>
      <c r="P77" s="712"/>
      <c r="Q77" s="712"/>
      <c r="R77" s="712"/>
      <c r="S77" s="712"/>
      <c r="T77" s="712"/>
      <c r="U77" s="712"/>
      <c r="V77" s="712"/>
      <c r="W77" s="712"/>
      <c r="X77" s="712"/>
      <c r="Y77" s="712"/>
      <c r="Z77" s="712"/>
    </row>
    <row r="78">
      <c r="A78" s="707">
        <v>0.0</v>
      </c>
      <c r="B78" s="707" t="s">
        <v>8672</v>
      </c>
      <c r="C78" s="707" t="s">
        <v>66</v>
      </c>
      <c r="D78" s="708" t="s">
        <v>8673</v>
      </c>
      <c r="E78" s="708">
        <v>4.0</v>
      </c>
      <c r="F78" s="755">
        <v>45639.0</v>
      </c>
      <c r="G78" s="709"/>
      <c r="H78" s="710" t="s">
        <v>2270</v>
      </c>
      <c r="L78" s="715" t="s">
        <v>1541</v>
      </c>
      <c r="M78" s="712"/>
      <c r="N78" s="712"/>
      <c r="O78" s="712"/>
      <c r="P78" s="712"/>
      <c r="Q78" s="712"/>
      <c r="R78" s="712"/>
      <c r="S78" s="712"/>
      <c r="T78" s="712"/>
      <c r="U78" s="712"/>
      <c r="V78" s="712"/>
      <c r="W78" s="712"/>
      <c r="X78" s="712"/>
      <c r="Y78" s="712"/>
      <c r="Z78" s="712"/>
    </row>
    <row r="79">
      <c r="A79" s="741">
        <v>2.0</v>
      </c>
      <c r="B79" s="742" t="s">
        <v>8674</v>
      </c>
      <c r="C79" s="741" t="s">
        <v>66</v>
      </c>
      <c r="D79" s="743" t="s">
        <v>8675</v>
      </c>
      <c r="E79" s="676" t="s">
        <v>1540</v>
      </c>
      <c r="F79" s="749"/>
      <c r="G79" s="744"/>
      <c r="H79" s="745" t="s">
        <v>1542</v>
      </c>
      <c r="L79" s="746" t="s">
        <v>1541</v>
      </c>
      <c r="M79" s="747"/>
      <c r="N79" s="747"/>
      <c r="O79" s="747"/>
      <c r="P79" s="747"/>
      <c r="Q79" s="747"/>
      <c r="R79" s="747"/>
      <c r="S79" s="747"/>
      <c r="T79" s="747"/>
      <c r="U79" s="747"/>
      <c r="V79" s="747"/>
      <c r="W79" s="747"/>
      <c r="X79" s="747"/>
      <c r="Y79" s="747"/>
      <c r="Z79" s="747"/>
    </row>
    <row r="80">
      <c r="A80" s="741">
        <v>1.0</v>
      </c>
      <c r="B80" s="742" t="s">
        <v>2661</v>
      </c>
      <c r="C80" s="741" t="s">
        <v>180</v>
      </c>
      <c r="D80" s="741" t="s">
        <v>2665</v>
      </c>
      <c r="E80" s="749"/>
      <c r="F80" s="749"/>
      <c r="G80" s="749"/>
      <c r="H80" s="756" t="s">
        <v>2667</v>
      </c>
      <c r="L80" s="749"/>
      <c r="M80" s="749"/>
      <c r="N80" s="749"/>
      <c r="O80" s="749"/>
      <c r="P80" s="749"/>
      <c r="Q80" s="749"/>
      <c r="R80" s="749"/>
      <c r="S80" s="749"/>
      <c r="T80" s="749"/>
      <c r="U80" s="749"/>
      <c r="V80" s="749"/>
      <c r="W80" s="749"/>
      <c r="X80" s="749"/>
      <c r="Y80" s="749"/>
      <c r="Z80" s="749"/>
    </row>
    <row r="82">
      <c r="A82" s="741">
        <v>1.0</v>
      </c>
      <c r="B82" s="742" t="s">
        <v>8676</v>
      </c>
      <c r="C82" s="741" t="s">
        <v>73</v>
      </c>
      <c r="D82" s="743" t="s">
        <v>8677</v>
      </c>
      <c r="E82" s="743" t="s">
        <v>1433</v>
      </c>
      <c r="F82" s="741" t="s">
        <v>1434</v>
      </c>
      <c r="G82" s="744"/>
      <c r="H82" s="745" t="s">
        <v>8678</v>
      </c>
      <c r="L82" s="746" t="s">
        <v>8679</v>
      </c>
      <c r="M82" s="747"/>
      <c r="N82" s="747"/>
      <c r="O82" s="747"/>
      <c r="P82" s="747"/>
      <c r="Q82" s="747"/>
      <c r="R82" s="747"/>
      <c r="S82" s="747"/>
      <c r="T82" s="747"/>
      <c r="U82" s="747"/>
      <c r="V82" s="747"/>
      <c r="W82" s="747"/>
      <c r="X82" s="747"/>
      <c r="Y82" s="747"/>
      <c r="Z82" s="747"/>
    </row>
    <row r="83">
      <c r="A83" s="575">
        <v>2.0</v>
      </c>
      <c r="B83" s="575" t="s">
        <v>2385</v>
      </c>
      <c r="C83" s="575" t="s">
        <v>319</v>
      </c>
      <c r="D83" s="579" t="s">
        <v>2388</v>
      </c>
      <c r="E83" s="579" t="s">
        <v>2389</v>
      </c>
      <c r="F83" s="716" t="s">
        <v>2390</v>
      </c>
      <c r="G83" s="446"/>
      <c r="H83" s="582" t="s">
        <v>2391</v>
      </c>
      <c r="L83" s="365"/>
    </row>
    <row r="84">
      <c r="A84" s="575">
        <v>2.0</v>
      </c>
      <c r="B84" s="575" t="s">
        <v>1520</v>
      </c>
      <c r="C84" s="575" t="s">
        <v>52</v>
      </c>
      <c r="D84" s="579" t="s">
        <v>8680</v>
      </c>
      <c r="E84" s="579">
        <v>4.2</v>
      </c>
      <c r="F84" s="575" t="s">
        <v>1524</v>
      </c>
      <c r="G84" s="446"/>
      <c r="H84" s="582" t="s">
        <v>1525</v>
      </c>
      <c r="L84" s="365"/>
    </row>
    <row r="85">
      <c r="A85" s="575">
        <v>2.0</v>
      </c>
      <c r="B85" s="575" t="s">
        <v>8681</v>
      </c>
      <c r="C85" s="575" t="s">
        <v>174</v>
      </c>
      <c r="D85" s="579" t="s">
        <v>8682</v>
      </c>
      <c r="E85" s="579">
        <v>3.96</v>
      </c>
      <c r="F85" s="290"/>
      <c r="G85" s="446"/>
      <c r="H85" s="582" t="s">
        <v>1504</v>
      </c>
      <c r="L85" s="365"/>
    </row>
    <row r="86">
      <c r="A86" s="575">
        <v>2.0</v>
      </c>
      <c r="B86" s="575" t="s">
        <v>8683</v>
      </c>
      <c r="C86" s="575" t="s">
        <v>174</v>
      </c>
      <c r="D86" s="579" t="s">
        <v>1671</v>
      </c>
      <c r="E86" s="579">
        <v>4.0</v>
      </c>
      <c r="F86" s="290"/>
      <c r="G86" s="446"/>
      <c r="H86" s="582" t="s">
        <v>1672</v>
      </c>
      <c r="L86" s="365"/>
    </row>
    <row r="87">
      <c r="A87" s="575">
        <v>2.0</v>
      </c>
      <c r="B87" s="575" t="s">
        <v>8684</v>
      </c>
      <c r="C87" s="575" t="s">
        <v>66</v>
      </c>
      <c r="D87" s="579" t="s">
        <v>8685</v>
      </c>
      <c r="E87" s="579">
        <v>3.9</v>
      </c>
      <c r="F87" s="290"/>
      <c r="G87" s="446"/>
      <c r="H87" s="582" t="s">
        <v>8686</v>
      </c>
      <c r="L87" s="365"/>
    </row>
    <row r="88">
      <c r="A88" s="575">
        <v>3.0</v>
      </c>
      <c r="B88" s="575" t="s">
        <v>1727</v>
      </c>
      <c r="C88" s="575" t="s">
        <v>125</v>
      </c>
      <c r="D88" s="575" t="s">
        <v>1728</v>
      </c>
      <c r="E88" s="575">
        <v>4.2</v>
      </c>
      <c r="F88" s="575"/>
      <c r="G88" s="290"/>
      <c r="H88" s="577" t="s">
        <v>8687</v>
      </c>
      <c r="L88" s="290"/>
      <c r="M88" s="290"/>
      <c r="N88" s="290"/>
      <c r="O88" s="290"/>
      <c r="P88" s="290"/>
      <c r="Q88" s="290"/>
      <c r="R88" s="290"/>
      <c r="S88" s="290"/>
      <c r="T88" s="290"/>
      <c r="U88" s="290"/>
      <c r="V88" s="290"/>
      <c r="W88" s="290"/>
      <c r="X88" s="290"/>
      <c r="Y88" s="290"/>
      <c r="Z88" s="290"/>
    </row>
    <row r="89">
      <c r="A89" s="575">
        <v>4.0</v>
      </c>
      <c r="B89" s="575" t="s">
        <v>8688</v>
      </c>
      <c r="C89" s="575" t="s">
        <v>66</v>
      </c>
      <c r="D89" s="579" t="s">
        <v>8689</v>
      </c>
      <c r="E89" s="579" t="s">
        <v>2598</v>
      </c>
      <c r="F89" s="290"/>
      <c r="G89" s="446"/>
      <c r="H89" s="582" t="s">
        <v>2599</v>
      </c>
      <c r="L89" s="365"/>
    </row>
    <row r="90">
      <c r="A90" s="575">
        <v>4.0</v>
      </c>
      <c r="B90" s="575" t="s">
        <v>8690</v>
      </c>
      <c r="C90" s="575" t="s">
        <v>66</v>
      </c>
      <c r="D90" s="579" t="s">
        <v>8691</v>
      </c>
      <c r="E90" s="579">
        <v>3.9</v>
      </c>
      <c r="F90" s="290"/>
      <c r="G90" s="446"/>
      <c r="H90" s="582" t="s">
        <v>8692</v>
      </c>
      <c r="L90" s="365"/>
    </row>
    <row r="91">
      <c r="A91" s="570">
        <v>4.0</v>
      </c>
      <c r="B91" s="571" t="s">
        <v>1718</v>
      </c>
      <c r="C91" s="570" t="s">
        <v>2224</v>
      </c>
      <c r="D91" s="723" t="s">
        <v>8693</v>
      </c>
      <c r="E91" s="723" t="s">
        <v>8694</v>
      </c>
      <c r="F91" s="573"/>
      <c r="G91" s="724"/>
      <c r="H91" s="725" t="s">
        <v>8695</v>
      </c>
      <c r="L91" s="726" t="s">
        <v>1414</v>
      </c>
    </row>
    <row r="92">
      <c r="A92" s="570">
        <v>4.0</v>
      </c>
      <c r="B92" s="571" t="s">
        <v>8696</v>
      </c>
      <c r="C92" s="570" t="s">
        <v>66</v>
      </c>
      <c r="D92" s="723" t="s">
        <v>8697</v>
      </c>
      <c r="E92" s="723">
        <v>4.18</v>
      </c>
      <c r="F92" s="573"/>
      <c r="G92" s="724"/>
      <c r="H92" s="725" t="s">
        <v>2764</v>
      </c>
      <c r="L92" s="726" t="s">
        <v>1414</v>
      </c>
      <c r="M92" s="727"/>
      <c r="N92" s="727"/>
      <c r="O92" s="727"/>
    </row>
    <row r="93">
      <c r="A93" s="575">
        <v>4.0</v>
      </c>
      <c r="B93" s="575" t="s">
        <v>8698</v>
      </c>
      <c r="C93" s="575" t="s">
        <v>125</v>
      </c>
      <c r="D93" s="579" t="s">
        <v>8699</v>
      </c>
      <c r="E93" s="579">
        <v>4.0</v>
      </c>
      <c r="F93" s="290"/>
      <c r="G93" s="446"/>
      <c r="H93" s="582" t="s">
        <v>2236</v>
      </c>
      <c r="L93" s="365"/>
    </row>
    <row r="94">
      <c r="A94" s="575">
        <v>4.0</v>
      </c>
      <c r="B94" s="575" t="s">
        <v>8700</v>
      </c>
      <c r="C94" s="575" t="s">
        <v>508</v>
      </c>
      <c r="D94" s="579" t="s">
        <v>8701</v>
      </c>
      <c r="E94" s="579">
        <v>4.11</v>
      </c>
      <c r="F94" s="290"/>
      <c r="G94" s="446"/>
      <c r="H94" s="582" t="s">
        <v>8702</v>
      </c>
      <c r="L94" s="365"/>
    </row>
    <row r="95">
      <c r="A95" s="716">
        <v>4.0</v>
      </c>
      <c r="B95" s="716" t="s">
        <v>1804</v>
      </c>
      <c r="C95" s="716" t="s">
        <v>153</v>
      </c>
      <c r="D95" s="717" t="s">
        <v>8703</v>
      </c>
      <c r="E95" s="717" t="s">
        <v>1808</v>
      </c>
      <c r="F95" s="757"/>
      <c r="G95" s="719"/>
      <c r="H95" s="720" t="s">
        <v>1809</v>
      </c>
      <c r="L95" s="721"/>
      <c r="M95" s="722"/>
      <c r="N95" s="722"/>
      <c r="O95" s="722"/>
      <c r="P95" s="722"/>
      <c r="Q95" s="722"/>
      <c r="R95" s="722"/>
      <c r="S95" s="722"/>
      <c r="T95" s="722"/>
      <c r="U95" s="722"/>
      <c r="V95" s="722"/>
      <c r="W95" s="722"/>
      <c r="X95" s="722"/>
      <c r="Y95" s="722"/>
      <c r="Z95" s="722"/>
    </row>
    <row r="96">
      <c r="A96" s="732">
        <v>5.0</v>
      </c>
      <c r="B96" s="732" t="s">
        <v>8704</v>
      </c>
      <c r="C96" s="732" t="s">
        <v>180</v>
      </c>
      <c r="D96" s="733" t="s">
        <v>1875</v>
      </c>
      <c r="E96" s="733"/>
      <c r="F96" s="734"/>
      <c r="G96" s="735"/>
      <c r="H96" s="736" t="s">
        <v>8705</v>
      </c>
      <c r="L96" s="737"/>
      <c r="M96" s="738"/>
      <c r="N96" s="738"/>
      <c r="O96" s="738"/>
      <c r="P96" s="738"/>
      <c r="Q96" s="738"/>
      <c r="R96" s="738"/>
      <c r="S96" s="738"/>
      <c r="T96" s="738"/>
      <c r="U96" s="738"/>
      <c r="V96" s="738"/>
      <c r="W96" s="738"/>
      <c r="X96" s="738"/>
      <c r="Y96" s="738"/>
      <c r="Z96" s="738"/>
    </row>
    <row r="97">
      <c r="A97" s="732">
        <v>5.0</v>
      </c>
      <c r="B97" s="732" t="s">
        <v>8706</v>
      </c>
      <c r="C97" s="732" t="s">
        <v>330</v>
      </c>
      <c r="D97" s="733" t="s">
        <v>8707</v>
      </c>
      <c r="E97" s="733">
        <v>4.0</v>
      </c>
      <c r="F97" s="734"/>
      <c r="G97" s="735"/>
      <c r="H97" s="736" t="s">
        <v>1846</v>
      </c>
      <c r="L97" s="737"/>
      <c r="M97" s="738"/>
      <c r="N97" s="738"/>
      <c r="O97" s="738"/>
      <c r="P97" s="738"/>
      <c r="Q97" s="738"/>
      <c r="R97" s="738"/>
      <c r="S97" s="738"/>
      <c r="T97" s="738"/>
      <c r="U97" s="738"/>
      <c r="V97" s="738"/>
      <c r="W97" s="738"/>
      <c r="X97" s="738"/>
      <c r="Y97" s="738"/>
      <c r="Z97" s="738"/>
    </row>
    <row r="98">
      <c r="A98" s="732">
        <v>5.0</v>
      </c>
      <c r="B98" s="732" t="s">
        <v>1894</v>
      </c>
      <c r="C98" s="732" t="s">
        <v>502</v>
      </c>
      <c r="D98" s="733" t="s">
        <v>1896</v>
      </c>
      <c r="E98" s="733"/>
      <c r="F98" s="734"/>
      <c r="G98" s="735"/>
      <c r="H98" s="736" t="s">
        <v>1897</v>
      </c>
      <c r="L98" s="737"/>
      <c r="M98" s="738"/>
      <c r="N98" s="738"/>
      <c r="O98" s="738"/>
      <c r="P98" s="738"/>
      <c r="Q98" s="738"/>
      <c r="R98" s="738"/>
      <c r="S98" s="738"/>
      <c r="T98" s="738"/>
      <c r="U98" s="738"/>
      <c r="V98" s="738"/>
      <c r="W98" s="738"/>
      <c r="X98" s="738"/>
      <c r="Y98" s="738"/>
      <c r="Z98" s="738"/>
    </row>
    <row r="99">
      <c r="A99" s="290"/>
      <c r="B99" s="575"/>
      <c r="C99" s="575"/>
      <c r="D99" s="579"/>
      <c r="E99" s="579"/>
      <c r="F99" s="290"/>
      <c r="G99" s="446"/>
      <c r="H99" s="582"/>
      <c r="L99" s="365"/>
    </row>
    <row r="100">
      <c r="A100" s="575"/>
      <c r="B100" s="575"/>
      <c r="C100" s="575"/>
      <c r="D100" s="579"/>
      <c r="E100" s="579"/>
      <c r="F100" s="290"/>
      <c r="G100" s="446"/>
      <c r="H100" s="582"/>
      <c r="I100" s="582"/>
      <c r="J100" s="582"/>
      <c r="K100" s="582"/>
      <c r="L100" s="365"/>
    </row>
    <row r="101">
      <c r="A101" s="706" t="s">
        <v>103</v>
      </c>
      <c r="B101" s="567" t="s">
        <v>7</v>
      </c>
      <c r="C101" s="567" t="s">
        <v>8206</v>
      </c>
      <c r="D101" s="568" t="s">
        <v>8248</v>
      </c>
      <c r="E101" s="568" t="s">
        <v>23</v>
      </c>
      <c r="F101" s="567" t="s">
        <v>27</v>
      </c>
      <c r="G101" s="567" t="s">
        <v>28</v>
      </c>
      <c r="H101" s="568" t="s">
        <v>30</v>
      </c>
      <c r="L101" s="365"/>
    </row>
    <row r="102">
      <c r="A102" s="707">
        <v>0.0</v>
      </c>
      <c r="B102" s="758" t="s">
        <v>8626</v>
      </c>
      <c r="C102" s="707" t="s">
        <v>52</v>
      </c>
      <c r="D102" s="708" t="s">
        <v>8708</v>
      </c>
      <c r="E102" s="708" t="s">
        <v>8709</v>
      </c>
      <c r="F102" s="755"/>
      <c r="G102" s="714">
        <v>45837.0</v>
      </c>
      <c r="H102" s="710" t="s">
        <v>8710</v>
      </c>
      <c r="L102" s="715"/>
      <c r="M102" s="712"/>
      <c r="N102" s="712"/>
      <c r="O102" s="712"/>
      <c r="P102" s="712"/>
      <c r="Q102" s="712"/>
      <c r="R102" s="712"/>
      <c r="S102" s="712"/>
      <c r="T102" s="712"/>
      <c r="U102" s="712"/>
      <c r="V102" s="712"/>
      <c r="W102" s="712"/>
      <c r="X102" s="712"/>
      <c r="Y102" s="712"/>
      <c r="Z102" s="712"/>
    </row>
    <row r="103">
      <c r="A103" s="716">
        <v>1.0</v>
      </c>
      <c r="B103" s="759" t="s">
        <v>2349</v>
      </c>
      <c r="C103" s="716" t="s">
        <v>43</v>
      </c>
      <c r="D103" s="717" t="s">
        <v>8711</v>
      </c>
      <c r="E103" s="717">
        <v>4.0</v>
      </c>
      <c r="F103" s="760">
        <v>45556.0</v>
      </c>
      <c r="G103" s="761">
        <v>45556.0</v>
      </c>
      <c r="H103" s="720" t="s">
        <v>2353</v>
      </c>
      <c r="L103" s="370" t="s">
        <v>2352</v>
      </c>
      <c r="M103" s="722"/>
      <c r="N103" s="722"/>
      <c r="O103" s="722"/>
      <c r="P103" s="722"/>
      <c r="Q103" s="722"/>
      <c r="R103" s="722"/>
      <c r="S103" s="722"/>
      <c r="T103" s="722"/>
      <c r="U103" s="722"/>
      <c r="V103" s="722"/>
      <c r="W103" s="722"/>
      <c r="X103" s="722"/>
      <c r="Y103" s="722"/>
      <c r="Z103" s="722"/>
    </row>
    <row r="104">
      <c r="A104" s="575">
        <v>1.0</v>
      </c>
      <c r="B104" s="575" t="s">
        <v>2465</v>
      </c>
      <c r="C104" s="575" t="s">
        <v>180</v>
      </c>
      <c r="D104" s="579" t="s">
        <v>8712</v>
      </c>
      <c r="E104" s="579">
        <v>4.02</v>
      </c>
      <c r="F104" s="575"/>
      <c r="G104" s="446"/>
      <c r="H104" s="582" t="s">
        <v>2469</v>
      </c>
      <c r="L104" s="365"/>
    </row>
    <row r="105">
      <c r="A105" s="741">
        <v>2.0</v>
      </c>
      <c r="B105" s="741" t="s">
        <v>2337</v>
      </c>
      <c r="C105" s="741" t="s">
        <v>160</v>
      </c>
      <c r="D105" s="743" t="s">
        <v>8713</v>
      </c>
      <c r="E105" s="743" t="s">
        <v>8714</v>
      </c>
      <c r="F105" s="741" t="s">
        <v>8715</v>
      </c>
      <c r="G105" s="744"/>
      <c r="H105" s="745" t="s">
        <v>8716</v>
      </c>
      <c r="L105" s="746" t="s">
        <v>2343</v>
      </c>
      <c r="M105" s="747"/>
      <c r="N105" s="747"/>
      <c r="O105" s="747"/>
      <c r="P105" s="747"/>
      <c r="Q105" s="747"/>
      <c r="R105" s="747"/>
      <c r="S105" s="747"/>
      <c r="T105" s="747"/>
      <c r="U105" s="747"/>
      <c r="V105" s="747"/>
      <c r="W105" s="747"/>
      <c r="X105" s="747"/>
      <c r="Y105" s="747"/>
      <c r="Z105" s="747"/>
    </row>
    <row r="106">
      <c r="A106" s="575">
        <v>2.0</v>
      </c>
      <c r="B106" s="575" t="s">
        <v>8717</v>
      </c>
      <c r="C106" s="575" t="s">
        <v>174</v>
      </c>
      <c r="D106" s="579" t="s">
        <v>8718</v>
      </c>
      <c r="E106" s="579">
        <v>3.9</v>
      </c>
      <c r="F106" s="290"/>
      <c r="G106" s="446"/>
      <c r="H106" s="582" t="s">
        <v>1717</v>
      </c>
      <c r="L106" s="365"/>
    </row>
    <row r="107">
      <c r="A107" s="570">
        <v>2.0</v>
      </c>
      <c r="B107" s="571" t="s">
        <v>1664</v>
      </c>
      <c r="C107" s="570" t="s">
        <v>255</v>
      </c>
      <c r="D107" s="723" t="s">
        <v>1666</v>
      </c>
      <c r="E107" s="723">
        <v>3.7</v>
      </c>
      <c r="F107" s="573"/>
      <c r="G107" s="724"/>
      <c r="H107" s="725" t="s">
        <v>8719</v>
      </c>
      <c r="L107" s="726" t="s">
        <v>1541</v>
      </c>
      <c r="M107" s="727"/>
      <c r="N107" s="727"/>
      <c r="O107" s="727"/>
      <c r="P107" s="727"/>
      <c r="Q107" s="727"/>
      <c r="R107" s="727"/>
      <c r="S107" s="727"/>
      <c r="T107" s="727"/>
      <c r="U107" s="727"/>
      <c r="V107" s="727"/>
      <c r="W107" s="727"/>
      <c r="X107" s="727"/>
      <c r="Y107" s="727"/>
      <c r="Z107" s="727"/>
    </row>
    <row r="108">
      <c r="A108" s="741">
        <v>3.0</v>
      </c>
      <c r="B108" s="741" t="s">
        <v>2470</v>
      </c>
      <c r="C108" s="741" t="s">
        <v>160</v>
      </c>
      <c r="D108" s="741" t="s">
        <v>8720</v>
      </c>
      <c r="E108" s="741" t="s">
        <v>2473</v>
      </c>
      <c r="F108" s="749"/>
      <c r="G108" s="749"/>
      <c r="H108" s="756" t="s">
        <v>8721</v>
      </c>
      <c r="L108" s="749"/>
      <c r="M108" s="749"/>
      <c r="N108" s="749"/>
      <c r="O108" s="749"/>
      <c r="P108" s="749"/>
      <c r="Q108" s="749"/>
      <c r="R108" s="749"/>
      <c r="S108" s="749"/>
      <c r="T108" s="749"/>
      <c r="U108" s="749"/>
      <c r="V108" s="749"/>
      <c r="W108" s="749"/>
      <c r="X108" s="749"/>
      <c r="Y108" s="749"/>
      <c r="Z108" s="749"/>
    </row>
    <row r="109">
      <c r="A109" s="575">
        <v>3.0</v>
      </c>
      <c r="B109" s="575" t="s">
        <v>1653</v>
      </c>
      <c r="C109" s="575" t="s">
        <v>52</v>
      </c>
      <c r="D109" s="579" t="s">
        <v>8722</v>
      </c>
      <c r="E109" s="579">
        <v>4.3</v>
      </c>
      <c r="F109" s="290"/>
      <c r="G109" s="446"/>
      <c r="H109" s="582" t="s">
        <v>1657</v>
      </c>
      <c r="L109" s="365"/>
    </row>
    <row r="110">
      <c r="A110" s="575">
        <v>4.0</v>
      </c>
      <c r="B110" s="575" t="s">
        <v>1742</v>
      </c>
      <c r="C110" s="575" t="s">
        <v>66</v>
      </c>
      <c r="D110" s="579" t="s">
        <v>8723</v>
      </c>
      <c r="E110" s="579" t="s">
        <v>1745</v>
      </c>
      <c r="F110" s="290"/>
      <c r="G110" s="446"/>
      <c r="H110" s="582" t="s">
        <v>1746</v>
      </c>
      <c r="L110" s="365"/>
    </row>
    <row r="111">
      <c r="A111" s="575">
        <v>4.0</v>
      </c>
      <c r="B111" s="575" t="s">
        <v>1747</v>
      </c>
      <c r="C111" s="575" t="s">
        <v>66</v>
      </c>
      <c r="D111" s="579" t="s">
        <v>8724</v>
      </c>
      <c r="E111" s="579">
        <v>3.49</v>
      </c>
      <c r="F111" s="290"/>
      <c r="G111" s="446"/>
      <c r="H111" s="582" t="s">
        <v>8725</v>
      </c>
      <c r="L111" s="365"/>
    </row>
    <row r="112">
      <c r="A112" s="732">
        <v>5.0</v>
      </c>
      <c r="B112" s="732" t="s">
        <v>1898</v>
      </c>
      <c r="C112" s="732" t="s">
        <v>125</v>
      </c>
      <c r="D112" s="733" t="s">
        <v>119</v>
      </c>
      <c r="E112" s="733"/>
      <c r="F112" s="734"/>
      <c r="G112" s="735"/>
      <c r="H112" s="736" t="s">
        <v>1902</v>
      </c>
      <c r="L112" s="752" t="s">
        <v>1901</v>
      </c>
      <c r="M112" s="738"/>
      <c r="N112" s="738"/>
      <c r="O112" s="738"/>
      <c r="P112" s="738"/>
      <c r="Q112" s="738"/>
      <c r="R112" s="738"/>
      <c r="S112" s="738"/>
      <c r="T112" s="738"/>
      <c r="U112" s="738"/>
      <c r="V112" s="738"/>
      <c r="W112" s="738"/>
      <c r="X112" s="738"/>
      <c r="Y112" s="738"/>
      <c r="Z112" s="738"/>
    </row>
    <row r="113">
      <c r="A113" s="732">
        <v>5.0</v>
      </c>
      <c r="B113" s="732" t="s">
        <v>1912</v>
      </c>
      <c r="C113" s="732" t="s">
        <v>43</v>
      </c>
      <c r="D113" s="733" t="s">
        <v>1915</v>
      </c>
      <c r="E113" s="733"/>
      <c r="F113" s="734"/>
      <c r="G113" s="735"/>
      <c r="H113" s="736" t="s">
        <v>8726</v>
      </c>
      <c r="L113" s="737"/>
      <c r="M113" s="738"/>
      <c r="N113" s="738"/>
      <c r="O113" s="738"/>
      <c r="P113" s="738"/>
      <c r="Q113" s="738"/>
      <c r="R113" s="738"/>
      <c r="S113" s="738"/>
      <c r="T113" s="738"/>
      <c r="U113" s="738"/>
      <c r="V113" s="738"/>
      <c r="W113" s="738"/>
      <c r="X113" s="738"/>
      <c r="Y113" s="738"/>
      <c r="Z113" s="738"/>
    </row>
    <row r="114">
      <c r="A114" s="732">
        <v>5.0</v>
      </c>
      <c r="B114" s="732" t="s">
        <v>1847</v>
      </c>
      <c r="C114" s="732" t="s">
        <v>174</v>
      </c>
      <c r="D114" s="733" t="s">
        <v>1849</v>
      </c>
      <c r="E114" s="733"/>
      <c r="F114" s="734"/>
      <c r="G114" s="735"/>
      <c r="H114" s="736" t="s">
        <v>1850</v>
      </c>
      <c r="L114" s="737"/>
      <c r="M114" s="738"/>
      <c r="N114" s="738"/>
      <c r="O114" s="738"/>
      <c r="P114" s="738"/>
      <c r="Q114" s="738"/>
      <c r="R114" s="738"/>
      <c r="S114" s="738"/>
      <c r="T114" s="738"/>
      <c r="U114" s="738"/>
      <c r="V114" s="738"/>
      <c r="W114" s="738"/>
      <c r="X114" s="738"/>
      <c r="Y114" s="738"/>
      <c r="Z114" s="738"/>
    </row>
    <row r="115">
      <c r="A115" s="732">
        <v>5.0</v>
      </c>
      <c r="B115" s="732" t="s">
        <v>1908</v>
      </c>
      <c r="C115" s="732" t="s">
        <v>125</v>
      </c>
      <c r="D115" s="733" t="s">
        <v>8727</v>
      </c>
      <c r="E115" s="733"/>
      <c r="F115" s="734"/>
      <c r="G115" s="735"/>
      <c r="H115" s="736" t="s">
        <v>8728</v>
      </c>
      <c r="L115" s="737"/>
      <c r="M115" s="738"/>
      <c r="N115" s="738"/>
      <c r="O115" s="738"/>
      <c r="P115" s="738"/>
      <c r="Q115" s="738"/>
      <c r="R115" s="738"/>
      <c r="S115" s="738"/>
      <c r="T115" s="738"/>
      <c r="U115" s="738"/>
      <c r="V115" s="738"/>
      <c r="W115" s="738"/>
      <c r="X115" s="738"/>
      <c r="Y115" s="738"/>
      <c r="Z115" s="738"/>
    </row>
    <row r="116">
      <c r="A116" s="575"/>
      <c r="B116" s="575"/>
      <c r="C116" s="575"/>
      <c r="D116" s="579"/>
      <c r="E116" s="579"/>
      <c r="F116" s="290"/>
      <c r="G116" s="446"/>
      <c r="H116" s="582"/>
      <c r="I116" s="582"/>
      <c r="J116" s="582"/>
      <c r="K116" s="582"/>
      <c r="L116" s="365"/>
    </row>
    <row r="117">
      <c r="A117" s="575"/>
      <c r="B117" s="575"/>
      <c r="C117" s="575"/>
      <c r="D117" s="579"/>
      <c r="E117" s="579"/>
      <c r="F117" s="290"/>
      <c r="G117" s="446"/>
      <c r="H117" s="582"/>
      <c r="I117" s="582"/>
      <c r="J117" s="582"/>
      <c r="K117" s="582"/>
      <c r="L117" s="365"/>
    </row>
    <row r="118">
      <c r="A118" s="637"/>
      <c r="B118" s="307"/>
      <c r="C118" s="307"/>
      <c r="D118" s="638"/>
      <c r="E118" s="762"/>
      <c r="F118" s="307"/>
      <c r="G118" s="307"/>
      <c r="H118" s="641"/>
      <c r="I118" s="642"/>
      <c r="J118" s="642"/>
      <c r="K118" s="642"/>
      <c r="L118" s="365"/>
    </row>
    <row r="119">
      <c r="A119" s="637" t="s">
        <v>8356</v>
      </c>
      <c r="B119" s="307"/>
      <c r="C119" s="307"/>
      <c r="D119" s="638"/>
      <c r="E119" s="762"/>
      <c r="F119" s="307"/>
      <c r="G119" s="307"/>
      <c r="H119" s="642"/>
      <c r="L119" s="365"/>
    </row>
    <row r="120">
      <c r="A120" s="616" t="s">
        <v>2355</v>
      </c>
      <c r="B120" s="616" t="s">
        <v>2354</v>
      </c>
      <c r="C120" s="616" t="s">
        <v>153</v>
      </c>
      <c r="D120" s="676" t="s">
        <v>8729</v>
      </c>
      <c r="E120" s="676">
        <v>3.5</v>
      </c>
      <c r="F120" s="632"/>
      <c r="G120" s="678"/>
      <c r="H120" s="675" t="s">
        <v>8730</v>
      </c>
      <c r="L120" s="634"/>
      <c r="M120" s="652"/>
      <c r="N120" s="652"/>
      <c r="O120" s="652"/>
      <c r="P120" s="652"/>
      <c r="Q120" s="652"/>
      <c r="R120" s="652"/>
      <c r="S120" s="652"/>
      <c r="T120" s="652"/>
      <c r="U120" s="652"/>
      <c r="V120" s="652"/>
      <c r="W120" s="652"/>
      <c r="X120" s="652"/>
      <c r="Y120" s="652"/>
      <c r="Z120" s="652"/>
    </row>
    <row r="121">
      <c r="A121" s="616" t="s">
        <v>1981</v>
      </c>
      <c r="B121" s="616" t="s">
        <v>8731</v>
      </c>
      <c r="C121" s="616" t="s">
        <v>174</v>
      </c>
      <c r="D121" s="676" t="s">
        <v>8732</v>
      </c>
      <c r="E121" s="676">
        <v>4.0</v>
      </c>
      <c r="F121" s="632"/>
      <c r="G121" s="678"/>
      <c r="H121" s="675" t="s">
        <v>2542</v>
      </c>
      <c r="L121" s="650" t="s">
        <v>2541</v>
      </c>
      <c r="M121" s="652"/>
      <c r="N121" s="652"/>
      <c r="O121" s="652"/>
      <c r="P121" s="652"/>
      <c r="Q121" s="652"/>
      <c r="R121" s="652"/>
      <c r="S121" s="652"/>
      <c r="T121" s="652"/>
      <c r="U121" s="652"/>
      <c r="V121" s="652"/>
      <c r="W121" s="652"/>
      <c r="X121" s="652"/>
      <c r="Y121" s="652"/>
      <c r="Z121" s="652"/>
    </row>
    <row r="122">
      <c r="A122" s="616" t="s">
        <v>1981</v>
      </c>
      <c r="B122" s="616" t="s">
        <v>2182</v>
      </c>
      <c r="C122" s="616" t="s">
        <v>43</v>
      </c>
      <c r="D122" s="676" t="s">
        <v>8733</v>
      </c>
      <c r="E122" s="676">
        <v>3.7</v>
      </c>
      <c r="F122" s="632"/>
      <c r="G122" s="678"/>
      <c r="H122" s="675" t="s">
        <v>2186</v>
      </c>
      <c r="L122" s="634"/>
      <c r="M122" s="652"/>
      <c r="N122" s="652"/>
      <c r="O122" s="652"/>
      <c r="P122" s="652"/>
      <c r="Q122" s="652"/>
      <c r="R122" s="652"/>
      <c r="S122" s="652"/>
      <c r="T122" s="652"/>
      <c r="U122" s="652"/>
      <c r="V122" s="652"/>
      <c r="W122" s="652"/>
      <c r="X122" s="652"/>
      <c r="Y122" s="652"/>
      <c r="Z122" s="652"/>
    </row>
    <row r="123">
      <c r="A123" s="616" t="s">
        <v>2376</v>
      </c>
      <c r="B123" s="693" t="s">
        <v>2374</v>
      </c>
      <c r="C123" s="616" t="s">
        <v>330</v>
      </c>
      <c r="D123" s="676" t="s">
        <v>8734</v>
      </c>
      <c r="E123" s="676" t="s">
        <v>2379</v>
      </c>
      <c r="F123" s="632"/>
      <c r="G123" s="678"/>
      <c r="H123" s="675" t="s">
        <v>8735</v>
      </c>
      <c r="L123" s="650" t="s">
        <v>1892</v>
      </c>
      <c r="M123" s="652"/>
      <c r="N123" s="652"/>
      <c r="O123" s="652"/>
      <c r="P123" s="652"/>
      <c r="Q123" s="652"/>
      <c r="R123" s="652"/>
      <c r="S123" s="652"/>
      <c r="T123" s="652"/>
      <c r="U123" s="652"/>
      <c r="V123" s="652"/>
      <c r="W123" s="652"/>
      <c r="X123" s="652"/>
      <c r="Y123" s="652"/>
      <c r="Z123" s="652"/>
    </row>
    <row r="124">
      <c r="A124" s="616" t="s">
        <v>2515</v>
      </c>
      <c r="B124" s="616" t="s">
        <v>2512</v>
      </c>
      <c r="C124" s="616" t="s">
        <v>43</v>
      </c>
      <c r="D124" s="676" t="s">
        <v>2516</v>
      </c>
      <c r="E124" s="676">
        <v>4.2</v>
      </c>
      <c r="F124" s="632"/>
      <c r="G124" s="678"/>
      <c r="H124" s="675" t="s">
        <v>2517</v>
      </c>
      <c r="L124" s="650"/>
      <c r="M124" s="652"/>
      <c r="N124" s="652"/>
      <c r="O124" s="652"/>
      <c r="P124" s="652"/>
      <c r="Q124" s="652"/>
      <c r="R124" s="652"/>
      <c r="S124" s="652"/>
      <c r="T124" s="652"/>
      <c r="U124" s="652"/>
      <c r="V124" s="652"/>
      <c r="W124" s="652"/>
      <c r="X124" s="652"/>
      <c r="Y124" s="652"/>
      <c r="Z124" s="652"/>
    </row>
    <row r="125">
      <c r="A125" s="616" t="s">
        <v>2028</v>
      </c>
      <c r="B125" s="616" t="s">
        <v>8736</v>
      </c>
      <c r="C125" s="616" t="s">
        <v>153</v>
      </c>
      <c r="D125" s="676" t="s">
        <v>8737</v>
      </c>
      <c r="E125" s="676">
        <v>4.0</v>
      </c>
      <c r="F125" s="632"/>
      <c r="G125" s="678"/>
      <c r="H125" s="675" t="s">
        <v>2336</v>
      </c>
      <c r="L125" s="650"/>
      <c r="M125" s="652"/>
      <c r="N125" s="652"/>
      <c r="O125" s="652"/>
      <c r="P125" s="652"/>
      <c r="Q125" s="652"/>
      <c r="R125" s="652"/>
      <c r="S125" s="652"/>
      <c r="T125" s="652"/>
      <c r="U125" s="652"/>
      <c r="V125" s="652"/>
      <c r="W125" s="652"/>
      <c r="X125" s="652"/>
      <c r="Y125" s="652"/>
      <c r="Z125" s="652"/>
    </row>
    <row r="126">
      <c r="A126" s="616" t="s">
        <v>8738</v>
      </c>
      <c r="B126" s="616" t="s">
        <v>2121</v>
      </c>
      <c r="C126" s="616" t="s">
        <v>125</v>
      </c>
      <c r="D126" s="676" t="s">
        <v>8739</v>
      </c>
      <c r="E126" s="676">
        <v>4.25</v>
      </c>
      <c r="F126" s="632"/>
      <c r="G126" s="678"/>
      <c r="H126" s="675" t="s">
        <v>2124</v>
      </c>
      <c r="L126" s="634"/>
      <c r="M126" s="652"/>
      <c r="N126" s="652"/>
      <c r="O126" s="652"/>
      <c r="P126" s="652"/>
      <c r="Q126" s="652"/>
      <c r="R126" s="652"/>
      <c r="S126" s="652"/>
      <c r="T126" s="652"/>
      <c r="U126" s="652"/>
      <c r="V126" s="652"/>
      <c r="W126" s="652"/>
      <c r="X126" s="652"/>
      <c r="Y126" s="652"/>
      <c r="Z126" s="652"/>
    </row>
    <row r="127">
      <c r="A127" s="616" t="s">
        <v>1981</v>
      </c>
      <c r="B127" s="693" t="s">
        <v>2456</v>
      </c>
      <c r="C127" s="616" t="s">
        <v>125</v>
      </c>
      <c r="D127" s="676" t="s">
        <v>2459</v>
      </c>
      <c r="E127" s="676">
        <v>3.8</v>
      </c>
      <c r="F127" s="632"/>
      <c r="G127" s="678"/>
      <c r="H127" s="675" t="s">
        <v>2461</v>
      </c>
      <c r="L127" s="650" t="s">
        <v>2460</v>
      </c>
      <c r="M127" s="652"/>
      <c r="N127" s="652"/>
      <c r="O127" s="652"/>
      <c r="P127" s="652"/>
      <c r="Q127" s="652"/>
      <c r="R127" s="652"/>
      <c r="S127" s="652"/>
      <c r="T127" s="652"/>
      <c r="U127" s="652"/>
      <c r="V127" s="652"/>
      <c r="W127" s="652"/>
      <c r="X127" s="652"/>
      <c r="Y127" s="652"/>
      <c r="Z127" s="652"/>
    </row>
    <row r="128">
      <c r="A128" s="616" t="s">
        <v>1981</v>
      </c>
      <c r="B128" s="693" t="s">
        <v>2100</v>
      </c>
      <c r="C128" s="616" t="s">
        <v>153</v>
      </c>
      <c r="D128" s="676" t="s">
        <v>8740</v>
      </c>
      <c r="E128" s="676">
        <v>3.8</v>
      </c>
      <c r="F128" s="632"/>
      <c r="G128" s="678"/>
      <c r="H128" s="675" t="s">
        <v>2104</v>
      </c>
      <c r="L128" s="650" t="s">
        <v>1541</v>
      </c>
      <c r="M128" s="652"/>
      <c r="N128" s="652"/>
      <c r="O128" s="652"/>
      <c r="P128" s="652"/>
      <c r="Q128" s="652"/>
      <c r="R128" s="652"/>
      <c r="S128" s="652"/>
      <c r="T128" s="652"/>
      <c r="U128" s="652"/>
      <c r="V128" s="652"/>
      <c r="W128" s="652"/>
      <c r="X128" s="652"/>
      <c r="Y128" s="652"/>
      <c r="Z128" s="652"/>
    </row>
    <row r="129">
      <c r="A129" s="645" t="s">
        <v>8741</v>
      </c>
      <c r="B129" s="645" t="s">
        <v>8742</v>
      </c>
      <c r="C129" s="645" t="s">
        <v>502</v>
      </c>
      <c r="D129" s="763" t="s">
        <v>8743</v>
      </c>
      <c r="E129" s="763"/>
      <c r="F129" s="649"/>
      <c r="G129" s="664"/>
      <c r="H129" s="764" t="s">
        <v>2217</v>
      </c>
      <c r="L129" s="644" t="s">
        <v>1414</v>
      </c>
      <c r="M129" s="648"/>
      <c r="N129" s="648"/>
      <c r="O129" s="648"/>
      <c r="P129" s="648"/>
      <c r="Q129" s="648"/>
      <c r="R129" s="648"/>
    </row>
    <row r="130">
      <c r="A130" s="616" t="s">
        <v>2028</v>
      </c>
      <c r="B130" s="616" t="s">
        <v>2623</v>
      </c>
      <c r="C130" s="616" t="s">
        <v>195</v>
      </c>
      <c r="D130" s="676" t="s">
        <v>8744</v>
      </c>
      <c r="E130" s="676">
        <v>4.42</v>
      </c>
      <c r="F130" s="632"/>
      <c r="G130" s="678"/>
      <c r="H130" s="675" t="s">
        <v>2626</v>
      </c>
      <c r="L130" s="634"/>
      <c r="M130" s="652"/>
      <c r="N130" s="652"/>
      <c r="O130" s="652"/>
      <c r="P130" s="652"/>
      <c r="Q130" s="652"/>
      <c r="R130" s="652"/>
      <c r="S130" s="652"/>
      <c r="T130" s="652"/>
      <c r="U130" s="652"/>
      <c r="V130" s="652"/>
      <c r="W130" s="652"/>
      <c r="X130" s="652"/>
      <c r="Y130" s="652"/>
      <c r="Z130" s="652"/>
    </row>
    <row r="131">
      <c r="A131" s="616" t="s">
        <v>5860</v>
      </c>
      <c r="B131" s="616" t="s">
        <v>2218</v>
      </c>
      <c r="C131" s="616" t="s">
        <v>255</v>
      </c>
      <c r="D131" s="676" t="s">
        <v>2220</v>
      </c>
      <c r="E131" s="676">
        <v>4.0</v>
      </c>
      <c r="F131" s="632"/>
      <c r="G131" s="678"/>
      <c r="H131" s="675" t="s">
        <v>2221</v>
      </c>
      <c r="L131" s="650" t="s">
        <v>1541</v>
      </c>
      <c r="M131" s="652"/>
      <c r="N131" s="652"/>
      <c r="O131" s="652"/>
      <c r="P131" s="652"/>
      <c r="Q131" s="652"/>
      <c r="R131" s="652"/>
      <c r="S131" s="652"/>
      <c r="T131" s="652"/>
      <c r="U131" s="652"/>
      <c r="V131" s="652"/>
      <c r="W131" s="652"/>
      <c r="X131" s="652"/>
      <c r="Y131" s="652"/>
      <c r="Z131" s="652"/>
    </row>
    <row r="132">
      <c r="A132" s="616" t="s">
        <v>1981</v>
      </c>
      <c r="B132" s="616" t="s">
        <v>2750</v>
      </c>
      <c r="C132" s="616" t="s">
        <v>52</v>
      </c>
      <c r="D132" s="676" t="s">
        <v>2753</v>
      </c>
      <c r="E132" s="676">
        <v>3.8</v>
      </c>
      <c r="F132" s="632"/>
      <c r="G132" s="678"/>
      <c r="H132" s="675" t="s">
        <v>2754</v>
      </c>
      <c r="L132" s="634"/>
      <c r="M132" s="652"/>
      <c r="N132" s="652"/>
      <c r="O132" s="652"/>
      <c r="P132" s="652"/>
      <c r="Q132" s="652"/>
      <c r="R132" s="652"/>
      <c r="S132" s="652"/>
      <c r="T132" s="652"/>
      <c r="U132" s="652"/>
      <c r="V132" s="652"/>
      <c r="W132" s="652"/>
      <c r="X132" s="652"/>
      <c r="Y132" s="652"/>
      <c r="Z132" s="652"/>
    </row>
    <row r="133">
      <c r="A133" s="616" t="s">
        <v>2532</v>
      </c>
      <c r="B133" s="616" t="s">
        <v>2529</v>
      </c>
      <c r="C133" s="616" t="s">
        <v>153</v>
      </c>
      <c r="D133" s="676" t="s">
        <v>8745</v>
      </c>
      <c r="E133" s="676">
        <v>3.7</v>
      </c>
      <c r="F133" s="632"/>
      <c r="G133" s="678"/>
      <c r="H133" s="675" t="s">
        <v>2534</v>
      </c>
      <c r="L133" s="634"/>
      <c r="M133" s="652"/>
      <c r="N133" s="652"/>
      <c r="O133" s="652"/>
      <c r="P133" s="652"/>
      <c r="Q133" s="652"/>
      <c r="R133" s="652"/>
      <c r="S133" s="652"/>
      <c r="T133" s="652"/>
      <c r="U133" s="652"/>
      <c r="V133" s="652"/>
      <c r="W133" s="652"/>
      <c r="X133" s="652"/>
      <c r="Y133" s="652"/>
      <c r="Z133" s="652"/>
    </row>
    <row r="134">
      <c r="A134" s="616" t="s">
        <v>2028</v>
      </c>
      <c r="B134" s="693" t="s">
        <v>2646</v>
      </c>
      <c r="C134" s="616" t="s">
        <v>529</v>
      </c>
      <c r="D134" s="676" t="s">
        <v>8746</v>
      </c>
      <c r="E134" s="676">
        <v>4.72</v>
      </c>
      <c r="F134" s="632"/>
      <c r="G134" s="678"/>
      <c r="H134" s="675" t="s">
        <v>2651</v>
      </c>
      <c r="L134" s="650" t="s">
        <v>1541</v>
      </c>
      <c r="M134" s="652"/>
      <c r="N134" s="652"/>
      <c r="O134" s="652"/>
      <c r="P134" s="652"/>
      <c r="Q134" s="652"/>
      <c r="R134" s="652"/>
      <c r="S134" s="652"/>
      <c r="T134" s="652"/>
      <c r="U134" s="652"/>
      <c r="V134" s="652"/>
      <c r="W134" s="652"/>
      <c r="X134" s="652"/>
      <c r="Y134" s="652"/>
      <c r="Z134" s="652"/>
    </row>
    <row r="135">
      <c r="A135" s="616" t="s">
        <v>2028</v>
      </c>
      <c r="B135" s="693" t="s">
        <v>8747</v>
      </c>
      <c r="C135" s="616" t="s">
        <v>52</v>
      </c>
      <c r="D135" s="676" t="s">
        <v>2527</v>
      </c>
      <c r="E135" s="676">
        <v>3.6</v>
      </c>
      <c r="F135" s="632"/>
      <c r="G135" s="678"/>
      <c r="H135" s="675" t="s">
        <v>2528</v>
      </c>
      <c r="L135" s="650" t="s">
        <v>1541</v>
      </c>
      <c r="M135" s="652"/>
      <c r="N135" s="652"/>
      <c r="O135" s="652"/>
      <c r="P135" s="652"/>
      <c r="Q135" s="652"/>
      <c r="R135" s="652"/>
      <c r="S135" s="652"/>
      <c r="T135" s="652"/>
      <c r="U135" s="652"/>
      <c r="V135" s="652"/>
      <c r="W135" s="652"/>
      <c r="X135" s="652"/>
      <c r="Y135" s="652"/>
      <c r="Z135" s="652"/>
    </row>
    <row r="136">
      <c r="A136" s="616" t="s">
        <v>8748</v>
      </c>
      <c r="B136" s="616" t="s">
        <v>2087</v>
      </c>
      <c r="C136" s="616" t="s">
        <v>153</v>
      </c>
      <c r="D136" s="676" t="s">
        <v>2091</v>
      </c>
      <c r="E136" s="676">
        <v>4.3</v>
      </c>
      <c r="F136" s="632"/>
      <c r="G136" s="678"/>
      <c r="H136" s="675" t="s">
        <v>2092</v>
      </c>
      <c r="L136" s="634"/>
      <c r="M136" s="652"/>
      <c r="N136" s="652"/>
      <c r="O136" s="652"/>
      <c r="P136" s="652"/>
      <c r="Q136" s="652"/>
      <c r="R136" s="652"/>
      <c r="S136" s="652"/>
      <c r="T136" s="652"/>
      <c r="U136" s="652"/>
      <c r="V136" s="652"/>
      <c r="W136" s="652"/>
      <c r="X136" s="652"/>
      <c r="Y136" s="652"/>
      <c r="Z136" s="652"/>
    </row>
    <row r="137">
      <c r="A137" s="616" t="s">
        <v>2028</v>
      </c>
      <c r="B137" s="693" t="s">
        <v>8749</v>
      </c>
      <c r="C137" s="616" t="s">
        <v>43</v>
      </c>
      <c r="D137" s="676" t="s">
        <v>8750</v>
      </c>
      <c r="E137" s="676">
        <v>4.0</v>
      </c>
      <c r="F137" s="632"/>
      <c r="G137" s="678"/>
      <c r="H137" s="675" t="s">
        <v>2746</v>
      </c>
      <c r="L137" s="650" t="s">
        <v>1541</v>
      </c>
      <c r="M137" s="652"/>
      <c r="N137" s="652"/>
      <c r="O137" s="652"/>
      <c r="P137" s="652"/>
      <c r="Q137" s="652"/>
      <c r="R137" s="652"/>
      <c r="S137" s="652"/>
      <c r="T137" s="652"/>
      <c r="U137" s="652"/>
      <c r="V137" s="652"/>
      <c r="W137" s="652"/>
      <c r="X137" s="652"/>
      <c r="Y137" s="652"/>
      <c r="Z137" s="652"/>
    </row>
    <row r="138">
      <c r="A138" s="616" t="s">
        <v>8751</v>
      </c>
      <c r="B138" s="693" t="s">
        <v>8752</v>
      </c>
      <c r="C138" s="616" t="s">
        <v>125</v>
      </c>
      <c r="D138" s="676" t="s">
        <v>8753</v>
      </c>
      <c r="E138" s="676">
        <v>3.5</v>
      </c>
      <c r="F138" s="632"/>
      <c r="G138" s="678"/>
      <c r="H138" s="675" t="s">
        <v>2179</v>
      </c>
      <c r="L138" s="650" t="s">
        <v>1892</v>
      </c>
      <c r="M138" s="652"/>
      <c r="N138" s="652"/>
      <c r="O138" s="652"/>
      <c r="P138" s="652"/>
      <c r="Q138" s="652"/>
      <c r="R138" s="652"/>
      <c r="S138" s="652"/>
      <c r="T138" s="652"/>
      <c r="U138" s="652"/>
      <c r="V138" s="652"/>
      <c r="W138" s="652"/>
      <c r="X138" s="652"/>
      <c r="Y138" s="652"/>
      <c r="Z138" s="652"/>
    </row>
    <row r="139">
      <c r="A139" s="616" t="s">
        <v>8754</v>
      </c>
      <c r="B139" s="616" t="s">
        <v>2755</v>
      </c>
      <c r="C139" s="616" t="s">
        <v>66</v>
      </c>
      <c r="D139" s="676" t="s">
        <v>8755</v>
      </c>
      <c r="E139" s="676"/>
      <c r="F139" s="632"/>
      <c r="G139" s="678"/>
      <c r="H139" s="675" t="s">
        <v>8756</v>
      </c>
      <c r="L139" s="634"/>
      <c r="M139" s="652"/>
      <c r="N139" s="652"/>
      <c r="O139" s="652"/>
      <c r="P139" s="652"/>
      <c r="Q139" s="652"/>
      <c r="R139" s="652"/>
      <c r="S139" s="652"/>
      <c r="T139" s="652"/>
      <c r="U139" s="652"/>
      <c r="V139" s="652"/>
      <c r="W139" s="652"/>
      <c r="X139" s="652"/>
      <c r="Y139" s="652"/>
      <c r="Z139" s="652"/>
    </row>
    <row r="140">
      <c r="A140" s="616" t="s">
        <v>8757</v>
      </c>
      <c r="B140" s="616" t="s">
        <v>8758</v>
      </c>
      <c r="C140" s="616" t="s">
        <v>529</v>
      </c>
      <c r="D140" s="676" t="s">
        <v>8759</v>
      </c>
      <c r="E140" s="676">
        <v>4.0</v>
      </c>
      <c r="F140" s="632"/>
      <c r="G140" s="678"/>
      <c r="H140" s="675" t="s">
        <v>2560</v>
      </c>
      <c r="L140" s="650" t="s">
        <v>1541</v>
      </c>
      <c r="M140" s="652"/>
      <c r="N140" s="652"/>
      <c r="O140" s="652"/>
      <c r="P140" s="652"/>
      <c r="Q140" s="652"/>
      <c r="R140" s="652"/>
      <c r="S140" s="652"/>
      <c r="T140" s="652"/>
      <c r="U140" s="652"/>
      <c r="V140" s="652"/>
      <c r="W140" s="652"/>
      <c r="X140" s="652"/>
      <c r="Y140" s="652"/>
      <c r="Z140" s="652"/>
    </row>
    <row r="141">
      <c r="A141" s="616" t="s">
        <v>2144</v>
      </c>
      <c r="B141" s="693" t="s">
        <v>8760</v>
      </c>
      <c r="C141" s="616" t="s">
        <v>153</v>
      </c>
      <c r="D141" s="676" t="s">
        <v>2304</v>
      </c>
      <c r="E141" s="676">
        <v>3.7</v>
      </c>
      <c r="F141" s="632"/>
      <c r="G141" s="678"/>
      <c r="H141" s="675" t="s">
        <v>2305</v>
      </c>
      <c r="L141" s="650" t="s">
        <v>1892</v>
      </c>
      <c r="M141" s="652"/>
      <c r="N141" s="652"/>
      <c r="O141" s="652"/>
      <c r="P141" s="652"/>
      <c r="Q141" s="652"/>
      <c r="R141" s="652"/>
      <c r="S141" s="652"/>
      <c r="T141" s="652"/>
      <c r="U141" s="652"/>
      <c r="V141" s="652"/>
      <c r="W141" s="652"/>
      <c r="X141" s="652"/>
      <c r="Y141" s="652"/>
      <c r="Z141" s="652"/>
    </row>
    <row r="142">
      <c r="A142" s="616" t="s">
        <v>8761</v>
      </c>
      <c r="B142" s="693" t="s">
        <v>8762</v>
      </c>
      <c r="C142" s="616" t="s">
        <v>543</v>
      </c>
      <c r="D142" s="676" t="s">
        <v>8763</v>
      </c>
      <c r="E142" s="676" t="s">
        <v>2157</v>
      </c>
      <c r="F142" s="632"/>
      <c r="G142" s="678"/>
      <c r="H142" s="675" t="s">
        <v>2158</v>
      </c>
      <c r="L142" s="650" t="s">
        <v>1414</v>
      </c>
      <c r="M142" s="652"/>
      <c r="N142" s="652"/>
      <c r="O142" s="652"/>
      <c r="P142" s="652"/>
      <c r="Q142" s="652"/>
      <c r="R142" s="652"/>
      <c r="S142" s="652"/>
      <c r="T142" s="652"/>
      <c r="U142" s="652"/>
      <c r="V142" s="652"/>
      <c r="W142" s="652"/>
      <c r="X142" s="652"/>
      <c r="Y142" s="652"/>
      <c r="Z142" s="652"/>
    </row>
    <row r="143">
      <c r="A143" s="616" t="s">
        <v>8764</v>
      </c>
      <c r="B143" s="693" t="s">
        <v>8765</v>
      </c>
      <c r="C143" s="616" t="s">
        <v>66</v>
      </c>
      <c r="D143" s="676" t="s">
        <v>8766</v>
      </c>
      <c r="E143" s="676" t="s">
        <v>2549</v>
      </c>
      <c r="F143" s="632"/>
      <c r="G143" s="678"/>
      <c r="H143" s="675" t="s">
        <v>2550</v>
      </c>
      <c r="L143" s="650" t="s">
        <v>1414</v>
      </c>
      <c r="M143" s="652"/>
      <c r="N143" s="652"/>
      <c r="O143" s="652"/>
      <c r="P143" s="652"/>
      <c r="Q143" s="652"/>
      <c r="R143" s="652"/>
      <c r="S143" s="652"/>
      <c r="T143" s="652"/>
      <c r="U143" s="652"/>
      <c r="V143" s="652"/>
      <c r="W143" s="652"/>
      <c r="X143" s="652"/>
      <c r="Y143" s="652"/>
      <c r="Z143" s="652"/>
    </row>
    <row r="144">
      <c r="A144" s="616" t="s">
        <v>8767</v>
      </c>
      <c r="B144" s="693" t="s">
        <v>8768</v>
      </c>
      <c r="C144" s="616" t="s">
        <v>543</v>
      </c>
      <c r="D144" s="676" t="s">
        <v>8769</v>
      </c>
      <c r="E144" s="676">
        <v>3.8</v>
      </c>
      <c r="F144" s="632"/>
      <c r="G144" s="678"/>
      <c r="H144" s="675" t="s">
        <v>2781</v>
      </c>
      <c r="L144" s="650" t="s">
        <v>1892</v>
      </c>
      <c r="M144" s="652"/>
      <c r="N144" s="652"/>
      <c r="O144" s="652"/>
      <c r="P144" s="652"/>
      <c r="Q144" s="652"/>
      <c r="R144" s="652"/>
      <c r="S144" s="652"/>
      <c r="T144" s="652"/>
      <c r="U144" s="652"/>
      <c r="V144" s="652"/>
      <c r="W144" s="652"/>
      <c r="X144" s="652"/>
      <c r="Y144" s="652"/>
      <c r="Z144" s="652"/>
    </row>
    <row r="145">
      <c r="A145" s="616" t="s">
        <v>8529</v>
      </c>
      <c r="B145" s="616" t="s">
        <v>2682</v>
      </c>
      <c r="C145" s="616" t="s">
        <v>66</v>
      </c>
      <c r="D145" s="676" t="s">
        <v>8770</v>
      </c>
      <c r="E145" s="676">
        <v>4.3</v>
      </c>
      <c r="F145" s="632"/>
      <c r="G145" s="678"/>
      <c r="H145" s="675" t="s">
        <v>2687</v>
      </c>
      <c r="L145" s="634"/>
      <c r="M145" s="652"/>
      <c r="N145" s="652"/>
      <c r="O145" s="652"/>
      <c r="P145" s="652"/>
      <c r="Q145" s="652"/>
      <c r="R145" s="652"/>
      <c r="S145" s="652"/>
      <c r="T145" s="652"/>
      <c r="U145" s="652"/>
      <c r="V145" s="652"/>
      <c r="W145" s="652"/>
      <c r="X145" s="652"/>
      <c r="Y145" s="652"/>
      <c r="Z145" s="652"/>
    </row>
    <row r="146">
      <c r="A146" s="616" t="s">
        <v>2045</v>
      </c>
      <c r="B146" s="693" t="s">
        <v>2632</v>
      </c>
      <c r="C146" s="616" t="s">
        <v>153</v>
      </c>
      <c r="D146" s="676" t="s">
        <v>8771</v>
      </c>
      <c r="E146" s="676">
        <v>3.98</v>
      </c>
      <c r="F146" s="632"/>
      <c r="G146" s="678"/>
      <c r="H146" s="675" t="s">
        <v>8772</v>
      </c>
      <c r="L146" s="650" t="s">
        <v>1414</v>
      </c>
      <c r="M146" s="652"/>
      <c r="N146" s="652"/>
      <c r="O146" s="652"/>
      <c r="P146" s="652"/>
      <c r="Q146" s="652"/>
      <c r="R146" s="652"/>
      <c r="S146" s="652"/>
      <c r="T146" s="652"/>
      <c r="U146" s="652"/>
      <c r="V146" s="652"/>
      <c r="W146" s="652"/>
      <c r="X146" s="652"/>
      <c r="Y146" s="652"/>
      <c r="Z146" s="652"/>
    </row>
    <row r="147">
      <c r="A147" s="616" t="s">
        <v>2045</v>
      </c>
      <c r="B147" s="693" t="s">
        <v>2042</v>
      </c>
      <c r="C147" s="616" t="s">
        <v>73</v>
      </c>
      <c r="D147" s="676" t="s">
        <v>8773</v>
      </c>
      <c r="E147" s="676">
        <v>3.8</v>
      </c>
      <c r="F147" s="632"/>
      <c r="G147" s="678"/>
      <c r="H147" s="675" t="s">
        <v>2047</v>
      </c>
      <c r="L147" s="650" t="s">
        <v>1541</v>
      </c>
      <c r="M147" s="652"/>
      <c r="N147" s="652"/>
      <c r="O147" s="652"/>
      <c r="P147" s="652"/>
      <c r="Q147" s="652"/>
      <c r="R147" s="652"/>
      <c r="S147" s="652"/>
      <c r="T147" s="652"/>
      <c r="U147" s="652"/>
      <c r="V147" s="652"/>
      <c r="W147" s="652"/>
      <c r="X147" s="652"/>
      <c r="Y147" s="652"/>
      <c r="Z147" s="652"/>
    </row>
    <row r="148">
      <c r="A148" s="686" t="s">
        <v>8774</v>
      </c>
      <c r="B148" s="616" t="s">
        <v>2293</v>
      </c>
      <c r="C148" s="616" t="s">
        <v>2297</v>
      </c>
      <c r="D148" s="676" t="s">
        <v>8775</v>
      </c>
      <c r="E148" s="676">
        <v>4.1</v>
      </c>
      <c r="F148" s="632"/>
      <c r="G148" s="678"/>
      <c r="H148" s="675" t="s">
        <v>2298</v>
      </c>
      <c r="L148" s="650"/>
      <c r="M148" s="652"/>
      <c r="N148" s="652"/>
      <c r="O148" s="652"/>
      <c r="P148" s="652"/>
      <c r="Q148" s="652"/>
      <c r="R148" s="652"/>
      <c r="S148" s="652"/>
      <c r="T148" s="652"/>
      <c r="U148" s="652"/>
      <c r="V148" s="652"/>
      <c r="W148" s="652"/>
      <c r="X148" s="652"/>
      <c r="Y148" s="652"/>
      <c r="Z148" s="652"/>
    </row>
    <row r="149">
      <c r="A149" s="666" t="s">
        <v>8776</v>
      </c>
      <c r="B149" s="616" t="s">
        <v>8777</v>
      </c>
      <c r="C149" s="616" t="s">
        <v>174</v>
      </c>
      <c r="D149" s="676" t="s">
        <v>2213</v>
      </c>
      <c r="E149" s="676">
        <v>3.8</v>
      </c>
      <c r="F149" s="632"/>
      <c r="G149" s="678"/>
      <c r="H149" s="675" t="s">
        <v>2214</v>
      </c>
      <c r="L149" s="634"/>
      <c r="M149" s="652"/>
      <c r="N149" s="652"/>
      <c r="O149" s="652"/>
      <c r="P149" s="652"/>
      <c r="Q149" s="652"/>
      <c r="R149" s="652"/>
      <c r="S149" s="652"/>
      <c r="T149" s="652"/>
      <c r="U149" s="652"/>
      <c r="V149" s="652"/>
      <c r="W149" s="652"/>
      <c r="X149" s="652"/>
      <c r="Y149" s="652"/>
      <c r="Z149" s="652"/>
    </row>
    <row r="150">
      <c r="A150" s="616" t="s">
        <v>8463</v>
      </c>
      <c r="B150" s="693" t="s">
        <v>2707</v>
      </c>
      <c r="C150" s="616" t="s">
        <v>174</v>
      </c>
      <c r="D150" s="676" t="s">
        <v>1216</v>
      </c>
      <c r="E150" s="676">
        <v>3.88</v>
      </c>
      <c r="F150" s="632"/>
      <c r="G150" s="678"/>
      <c r="H150" s="675" t="s">
        <v>2710</v>
      </c>
      <c r="L150" s="650" t="s">
        <v>2709</v>
      </c>
      <c r="M150" s="652"/>
      <c r="N150" s="652"/>
      <c r="O150" s="652"/>
      <c r="P150" s="652"/>
      <c r="Q150" s="652"/>
      <c r="R150" s="652"/>
      <c r="S150" s="652"/>
      <c r="T150" s="652"/>
      <c r="U150" s="652"/>
      <c r="V150" s="652"/>
      <c r="W150" s="652"/>
      <c r="X150" s="652"/>
      <c r="Y150" s="652"/>
      <c r="Z150" s="652"/>
    </row>
    <row r="151">
      <c r="A151" s="616" t="s">
        <v>2127</v>
      </c>
      <c r="B151" s="693" t="s">
        <v>2125</v>
      </c>
      <c r="C151" s="616" t="s">
        <v>52</v>
      </c>
      <c r="D151" s="676" t="s">
        <v>2128</v>
      </c>
      <c r="E151" s="676" t="s">
        <v>2129</v>
      </c>
      <c r="F151" s="632"/>
      <c r="G151" s="678"/>
      <c r="H151" s="675" t="s">
        <v>2130</v>
      </c>
      <c r="L151" s="650"/>
      <c r="M151" s="652"/>
      <c r="N151" s="652"/>
      <c r="O151" s="652"/>
      <c r="P151" s="652"/>
      <c r="Q151" s="652"/>
      <c r="R151" s="652"/>
      <c r="S151" s="652"/>
      <c r="T151" s="652"/>
      <c r="U151" s="652"/>
      <c r="V151" s="652"/>
      <c r="W151" s="652"/>
      <c r="X151" s="652"/>
      <c r="Y151" s="652"/>
      <c r="Z151" s="652"/>
    </row>
    <row r="152">
      <c r="A152" s="616" t="s">
        <v>1311</v>
      </c>
      <c r="B152" s="616" t="s">
        <v>8778</v>
      </c>
      <c r="C152" s="616" t="s">
        <v>174</v>
      </c>
      <c r="D152" s="676"/>
      <c r="E152" s="676"/>
      <c r="F152" s="632"/>
      <c r="G152" s="678"/>
      <c r="H152" s="675"/>
      <c r="I152" s="675"/>
      <c r="J152" s="675"/>
      <c r="K152" s="675"/>
      <c r="L152" s="634"/>
      <c r="M152" s="652"/>
      <c r="N152" s="652"/>
      <c r="O152" s="652"/>
      <c r="P152" s="652"/>
      <c r="Q152" s="652"/>
      <c r="R152" s="652"/>
      <c r="S152" s="652"/>
      <c r="T152" s="652"/>
      <c r="U152" s="652"/>
      <c r="V152" s="652"/>
      <c r="W152" s="652"/>
      <c r="X152" s="652"/>
      <c r="Y152" s="652"/>
      <c r="Z152" s="652"/>
    </row>
    <row r="153">
      <c r="A153" s="616" t="s">
        <v>8779</v>
      </c>
      <c r="B153" s="693" t="s">
        <v>2198</v>
      </c>
      <c r="C153" s="616" t="s">
        <v>66</v>
      </c>
      <c r="D153" s="676" t="s">
        <v>8632</v>
      </c>
      <c r="E153" s="676">
        <v>4.3</v>
      </c>
      <c r="F153" s="632"/>
      <c r="G153" s="765">
        <v>45611.0</v>
      </c>
      <c r="H153" s="675" t="s">
        <v>2200</v>
      </c>
      <c r="L153" s="650" t="s">
        <v>1414</v>
      </c>
      <c r="M153" s="652"/>
      <c r="N153" s="652"/>
      <c r="O153" s="652"/>
      <c r="P153" s="652"/>
      <c r="Q153" s="652"/>
      <c r="R153" s="652"/>
      <c r="S153" s="652"/>
      <c r="T153" s="652"/>
      <c r="U153" s="652"/>
      <c r="V153" s="652"/>
      <c r="W153" s="652"/>
      <c r="X153" s="652"/>
      <c r="Y153" s="652"/>
      <c r="Z153" s="652"/>
    </row>
    <row r="154">
      <c r="A154" s="616" t="s">
        <v>2718</v>
      </c>
      <c r="B154" s="616" t="s">
        <v>2716</v>
      </c>
      <c r="C154" s="616" t="s">
        <v>125</v>
      </c>
      <c r="D154" s="676" t="s">
        <v>8780</v>
      </c>
      <c r="E154" s="676"/>
      <c r="F154" s="766">
        <v>45584.0</v>
      </c>
      <c r="G154" s="678"/>
      <c r="H154" s="675" t="s">
        <v>2720</v>
      </c>
      <c r="L154" s="650" t="s">
        <v>1414</v>
      </c>
      <c r="M154" s="652"/>
      <c r="N154" s="652"/>
      <c r="O154" s="652"/>
      <c r="P154" s="652"/>
      <c r="Q154" s="652"/>
      <c r="R154" s="652"/>
      <c r="S154" s="652"/>
      <c r="T154" s="652"/>
      <c r="U154" s="652"/>
      <c r="V154" s="652"/>
      <c r="W154" s="652"/>
      <c r="X154" s="652"/>
      <c r="Y154" s="652"/>
      <c r="Z154" s="652"/>
    </row>
    <row r="155">
      <c r="A155" s="616" t="s">
        <v>2164</v>
      </c>
      <c r="B155" s="693" t="s">
        <v>2162</v>
      </c>
      <c r="C155" s="616" t="s">
        <v>330</v>
      </c>
      <c r="D155" s="676" t="s">
        <v>2165</v>
      </c>
      <c r="E155" s="676"/>
      <c r="F155" s="632"/>
      <c r="G155" s="678"/>
      <c r="H155" s="675" t="s">
        <v>2166</v>
      </c>
      <c r="L155" s="650"/>
      <c r="M155" s="652"/>
      <c r="N155" s="652"/>
      <c r="O155" s="652"/>
      <c r="P155" s="652"/>
      <c r="Q155" s="652"/>
      <c r="R155" s="652"/>
      <c r="S155" s="652"/>
      <c r="T155" s="652"/>
      <c r="U155" s="652"/>
      <c r="V155" s="652"/>
      <c r="W155" s="652"/>
      <c r="X155" s="652"/>
      <c r="Y155" s="652"/>
      <c r="Z155" s="652"/>
    </row>
    <row r="156">
      <c r="A156" s="616" t="s">
        <v>8781</v>
      </c>
      <c r="B156" s="693" t="s">
        <v>2071</v>
      </c>
      <c r="C156" s="616" t="s">
        <v>66</v>
      </c>
      <c r="D156" s="676" t="s">
        <v>2074</v>
      </c>
      <c r="E156" s="676" t="s">
        <v>2075</v>
      </c>
      <c r="F156" s="632"/>
      <c r="G156" s="678"/>
      <c r="H156" s="675" t="s">
        <v>8782</v>
      </c>
      <c r="L156" s="650" t="s">
        <v>2076</v>
      </c>
      <c r="M156" s="652"/>
      <c r="N156" s="652"/>
      <c r="O156" s="652"/>
      <c r="P156" s="652"/>
      <c r="Q156" s="652"/>
      <c r="R156" s="652"/>
      <c r="S156" s="652"/>
      <c r="T156" s="652"/>
      <c r="U156" s="652"/>
      <c r="V156" s="652"/>
      <c r="W156" s="652"/>
      <c r="X156" s="652"/>
      <c r="Y156" s="652"/>
      <c r="Z156" s="652"/>
    </row>
    <row r="157">
      <c r="A157" s="616" t="s">
        <v>2402</v>
      </c>
      <c r="B157" s="616" t="s">
        <v>8783</v>
      </c>
      <c r="C157" s="616" t="s">
        <v>125</v>
      </c>
      <c r="D157" s="676" t="s">
        <v>2403</v>
      </c>
      <c r="E157" s="676"/>
      <c r="F157" s="632"/>
      <c r="G157" s="678"/>
      <c r="H157" s="675" t="s">
        <v>2404</v>
      </c>
      <c r="L157" s="634"/>
      <c r="M157" s="652"/>
      <c r="N157" s="652"/>
      <c r="O157" s="652"/>
      <c r="P157" s="652"/>
      <c r="Q157" s="652"/>
      <c r="R157" s="652"/>
      <c r="S157" s="652"/>
      <c r="T157" s="652"/>
      <c r="U157" s="652"/>
      <c r="V157" s="652"/>
      <c r="W157" s="652"/>
      <c r="X157" s="652"/>
      <c r="Y157" s="652"/>
      <c r="Z157" s="652"/>
    </row>
    <row r="158">
      <c r="A158" s="616" t="s">
        <v>1981</v>
      </c>
      <c r="B158" s="616" t="s">
        <v>2731</v>
      </c>
      <c r="C158" s="616" t="s">
        <v>66</v>
      </c>
      <c r="D158" s="676" t="s">
        <v>8784</v>
      </c>
      <c r="E158" s="676">
        <v>4.4</v>
      </c>
      <c r="F158" s="632"/>
      <c r="G158" s="678"/>
      <c r="H158" s="675" t="s">
        <v>2735</v>
      </c>
      <c r="L158" s="634"/>
      <c r="M158" s="652"/>
      <c r="N158" s="652"/>
      <c r="O158" s="652"/>
      <c r="P158" s="652"/>
      <c r="Q158" s="652"/>
      <c r="R158" s="652"/>
      <c r="S158" s="652"/>
      <c r="T158" s="652"/>
      <c r="U158" s="652"/>
      <c r="V158" s="652"/>
      <c r="W158" s="652"/>
      <c r="X158" s="652"/>
      <c r="Y158" s="652"/>
      <c r="Z158" s="652"/>
    </row>
    <row r="159">
      <c r="A159" s="616" t="s">
        <v>2589</v>
      </c>
      <c r="B159" s="693" t="s">
        <v>2586</v>
      </c>
      <c r="C159" s="616" t="s">
        <v>942</v>
      </c>
      <c r="D159" s="676"/>
      <c r="E159" s="676"/>
      <c r="F159" s="767">
        <v>45542.0</v>
      </c>
      <c r="G159" s="678"/>
      <c r="H159" s="675"/>
      <c r="L159" s="634"/>
      <c r="M159" s="652"/>
      <c r="N159" s="652"/>
      <c r="O159" s="652"/>
      <c r="P159" s="652"/>
      <c r="Q159" s="652"/>
      <c r="R159" s="652"/>
      <c r="S159" s="652"/>
      <c r="T159" s="652"/>
      <c r="U159" s="652"/>
      <c r="V159" s="652"/>
      <c r="W159" s="652"/>
      <c r="X159" s="652"/>
      <c r="Y159" s="652"/>
      <c r="Z159" s="652"/>
    </row>
    <row r="160">
      <c r="A160" s="616" t="s">
        <v>8785</v>
      </c>
      <c r="B160" s="616" t="s">
        <v>2080</v>
      </c>
      <c r="C160" s="616" t="s">
        <v>483</v>
      </c>
      <c r="D160" s="676" t="s">
        <v>8786</v>
      </c>
      <c r="E160" s="676" t="s">
        <v>1489</v>
      </c>
      <c r="F160" s="632"/>
      <c r="G160" s="678"/>
      <c r="H160" s="675" t="s">
        <v>8787</v>
      </c>
      <c r="L160" s="634"/>
      <c r="M160" s="652"/>
      <c r="N160" s="652"/>
      <c r="O160" s="652"/>
      <c r="P160" s="652"/>
      <c r="Q160" s="652"/>
      <c r="R160" s="652"/>
      <c r="S160" s="652"/>
      <c r="T160" s="652"/>
      <c r="U160" s="652"/>
      <c r="V160" s="652"/>
      <c r="W160" s="652"/>
      <c r="X160" s="652"/>
      <c r="Y160" s="652"/>
      <c r="Z160" s="652"/>
    </row>
    <row r="161">
      <c r="A161" s="616" t="s">
        <v>2262</v>
      </c>
      <c r="B161" s="616" t="s">
        <v>2259</v>
      </c>
      <c r="C161" s="616" t="s">
        <v>125</v>
      </c>
      <c r="D161" s="676" t="s">
        <v>8788</v>
      </c>
      <c r="E161" s="676">
        <v>4.1</v>
      </c>
      <c r="F161" s="666"/>
      <c r="G161" s="678"/>
      <c r="H161" s="675" t="s">
        <v>8789</v>
      </c>
      <c r="L161" s="650" t="s">
        <v>1414</v>
      </c>
      <c r="M161" s="652"/>
      <c r="N161" s="652"/>
      <c r="O161" s="652"/>
      <c r="P161" s="652"/>
      <c r="Q161" s="652"/>
      <c r="R161" s="652"/>
      <c r="S161" s="652"/>
      <c r="T161" s="652"/>
      <c r="U161" s="652"/>
      <c r="V161" s="652"/>
      <c r="W161" s="652"/>
      <c r="X161" s="652"/>
      <c r="Y161" s="652"/>
      <c r="Z161" s="652"/>
    </row>
    <row r="162">
      <c r="A162" s="616" t="s">
        <v>8790</v>
      </c>
      <c r="B162" s="693" t="s">
        <v>2445</v>
      </c>
      <c r="C162" s="616" t="s">
        <v>66</v>
      </c>
      <c r="D162" s="676" t="s">
        <v>8647</v>
      </c>
      <c r="E162" s="676" t="s">
        <v>2448</v>
      </c>
      <c r="F162" s="616" t="s">
        <v>1705</v>
      </c>
      <c r="G162" s="678"/>
      <c r="H162" s="675" t="s">
        <v>2449</v>
      </c>
      <c r="L162" s="650" t="s">
        <v>1541</v>
      </c>
      <c r="M162" s="652"/>
      <c r="N162" s="652"/>
      <c r="O162" s="652"/>
      <c r="P162" s="652"/>
      <c r="Q162" s="652"/>
      <c r="R162" s="652"/>
      <c r="S162" s="652"/>
      <c r="T162" s="652"/>
      <c r="U162" s="652"/>
      <c r="V162" s="652"/>
      <c r="W162" s="652"/>
      <c r="X162" s="652"/>
      <c r="Y162" s="652"/>
      <c r="Z162" s="652"/>
    </row>
    <row r="163">
      <c r="A163" s="616" t="s">
        <v>2018</v>
      </c>
      <c r="B163" s="616" t="s">
        <v>2641</v>
      </c>
      <c r="C163" s="616" t="s">
        <v>319</v>
      </c>
      <c r="D163" s="676"/>
      <c r="E163" s="676" t="s">
        <v>2644</v>
      </c>
      <c r="F163" s="632"/>
      <c r="G163" s="678"/>
      <c r="H163" s="675" t="s">
        <v>8791</v>
      </c>
      <c r="L163" s="634"/>
      <c r="M163" s="652"/>
      <c r="N163" s="652"/>
      <c r="O163" s="652"/>
      <c r="P163" s="652"/>
      <c r="Q163" s="652"/>
      <c r="R163" s="652"/>
      <c r="S163" s="652"/>
      <c r="T163" s="652"/>
      <c r="U163" s="652"/>
      <c r="V163" s="652"/>
      <c r="W163" s="652"/>
      <c r="X163" s="652"/>
      <c r="Y163" s="652"/>
      <c r="Z163" s="652"/>
    </row>
    <row r="164">
      <c r="A164" s="616" t="s">
        <v>2430</v>
      </c>
      <c r="B164" s="616" t="s">
        <v>8792</v>
      </c>
      <c r="C164" s="616" t="s">
        <v>52</v>
      </c>
      <c r="D164" s="676" t="s">
        <v>8793</v>
      </c>
      <c r="E164" s="676">
        <v>4.22</v>
      </c>
      <c r="F164" s="632"/>
      <c r="G164" s="678"/>
      <c r="H164" s="675" t="s">
        <v>8794</v>
      </c>
      <c r="L164" s="634"/>
      <c r="M164" s="652"/>
      <c r="N164" s="652"/>
      <c r="O164" s="652"/>
      <c r="P164" s="652"/>
      <c r="Q164" s="652"/>
      <c r="R164" s="652"/>
      <c r="S164" s="652"/>
      <c r="T164" s="652"/>
      <c r="U164" s="652"/>
      <c r="V164" s="652"/>
      <c r="W164" s="652"/>
      <c r="X164" s="652"/>
      <c r="Y164" s="652"/>
      <c r="Z164" s="652"/>
    </row>
    <row r="165">
      <c r="A165" s="616" t="s">
        <v>2028</v>
      </c>
      <c r="B165" s="616" t="s">
        <v>2395</v>
      </c>
      <c r="C165" s="616" t="s">
        <v>1968</v>
      </c>
      <c r="D165" s="616" t="s">
        <v>8795</v>
      </c>
      <c r="E165" s="616">
        <v>3.7</v>
      </c>
      <c r="F165" s="632"/>
      <c r="G165" s="632"/>
      <c r="H165" s="672" t="s">
        <v>2399</v>
      </c>
      <c r="L165" s="632"/>
      <c r="M165" s="632"/>
      <c r="N165" s="632"/>
      <c r="O165" s="632"/>
      <c r="P165" s="632"/>
      <c r="Q165" s="632"/>
      <c r="R165" s="632"/>
      <c r="S165" s="632"/>
      <c r="T165" s="632"/>
      <c r="U165" s="632"/>
      <c r="V165" s="632"/>
      <c r="W165" s="632"/>
      <c r="X165" s="632"/>
      <c r="Y165" s="632"/>
      <c r="Z165" s="632"/>
    </row>
    <row r="166">
      <c r="A166" s="616" t="s">
        <v>8796</v>
      </c>
      <c r="B166" s="693" t="s">
        <v>8797</v>
      </c>
      <c r="C166" s="616" t="s">
        <v>153</v>
      </c>
      <c r="D166" s="676" t="s">
        <v>8798</v>
      </c>
      <c r="E166" s="676">
        <v>3.8</v>
      </c>
      <c r="F166" s="632"/>
      <c r="G166" s="678"/>
      <c r="H166" s="675" t="s">
        <v>2409</v>
      </c>
      <c r="L166" s="634"/>
      <c r="M166" s="652"/>
      <c r="N166" s="652"/>
      <c r="O166" s="652"/>
      <c r="P166" s="652"/>
      <c r="Q166" s="652"/>
      <c r="R166" s="652"/>
      <c r="S166" s="652"/>
      <c r="T166" s="652"/>
      <c r="U166" s="652"/>
      <c r="V166" s="652"/>
      <c r="W166" s="652"/>
      <c r="X166" s="652"/>
      <c r="Y166" s="652"/>
      <c r="Z166" s="652"/>
    </row>
    <row r="167">
      <c r="A167" s="666" t="s">
        <v>8799</v>
      </c>
      <c r="B167" s="693" t="s">
        <v>2572</v>
      </c>
      <c r="C167" s="616" t="s">
        <v>319</v>
      </c>
      <c r="D167" s="676" t="s">
        <v>8800</v>
      </c>
      <c r="E167" s="676" t="s">
        <v>2576</v>
      </c>
      <c r="F167" s="632"/>
      <c r="G167" s="678"/>
      <c r="H167" s="675" t="s">
        <v>8801</v>
      </c>
      <c r="L167" s="650" t="s">
        <v>1892</v>
      </c>
      <c r="M167" s="652"/>
      <c r="N167" s="652"/>
      <c r="O167" s="652"/>
      <c r="P167" s="652"/>
      <c r="Q167" s="652"/>
      <c r="R167" s="652"/>
      <c r="S167" s="652"/>
      <c r="T167" s="652"/>
      <c r="U167" s="652"/>
      <c r="V167" s="652"/>
      <c r="W167" s="652"/>
      <c r="X167" s="652"/>
      <c r="Y167" s="652"/>
      <c r="Z167" s="652"/>
    </row>
    <row r="168">
      <c r="E168" s="366"/>
      <c r="H168" s="366"/>
      <c r="I168" s="366"/>
      <c r="J168" s="366"/>
      <c r="K168" s="366"/>
      <c r="L168" s="365"/>
    </row>
    <row r="169">
      <c r="E169" s="366"/>
      <c r="H169" s="366"/>
      <c r="I169" s="366"/>
      <c r="J169" s="366"/>
      <c r="K169" s="366"/>
      <c r="L169" s="365"/>
    </row>
    <row r="170">
      <c r="E170" s="366"/>
      <c r="H170" s="366"/>
      <c r="I170" s="366"/>
      <c r="J170" s="366"/>
      <c r="K170" s="366"/>
      <c r="L170" s="365"/>
    </row>
    <row r="171">
      <c r="E171" s="366"/>
      <c r="H171" s="366"/>
      <c r="I171" s="366"/>
      <c r="J171" s="366"/>
      <c r="K171" s="366"/>
      <c r="L171" s="365"/>
    </row>
    <row r="172">
      <c r="E172" s="366"/>
      <c r="H172" s="366"/>
      <c r="I172" s="366"/>
      <c r="J172" s="366"/>
      <c r="K172" s="366"/>
      <c r="L172" s="365"/>
    </row>
    <row r="173">
      <c r="E173" s="366"/>
      <c r="H173" s="366"/>
      <c r="I173" s="366"/>
      <c r="J173" s="366"/>
      <c r="K173" s="366"/>
      <c r="L173" s="365"/>
    </row>
    <row r="174">
      <c r="E174" s="366"/>
      <c r="H174" s="366"/>
      <c r="I174" s="366"/>
      <c r="J174" s="366"/>
      <c r="K174" s="366"/>
      <c r="L174" s="365"/>
    </row>
    <row r="175">
      <c r="E175" s="366"/>
      <c r="L175" s="365"/>
    </row>
    <row r="176">
      <c r="E176" s="366"/>
      <c r="L176" s="365"/>
    </row>
    <row r="177">
      <c r="E177" s="366"/>
      <c r="L177" s="365"/>
    </row>
    <row r="178">
      <c r="E178" s="366"/>
      <c r="L178" s="365"/>
    </row>
    <row r="179">
      <c r="E179" s="366"/>
      <c r="L179" s="365"/>
    </row>
    <row r="180">
      <c r="E180" s="366"/>
      <c r="L180" s="365"/>
    </row>
    <row r="181">
      <c r="E181" s="366"/>
      <c r="L181" s="365"/>
    </row>
    <row r="182">
      <c r="E182" s="366"/>
      <c r="L182" s="365"/>
    </row>
    <row r="183">
      <c r="E183" s="366"/>
      <c r="L183" s="365"/>
    </row>
    <row r="184">
      <c r="E184" s="366"/>
      <c r="L184" s="365"/>
    </row>
    <row r="185">
      <c r="E185" s="366"/>
      <c r="L185" s="365"/>
    </row>
    <row r="186">
      <c r="E186" s="366"/>
      <c r="L186" s="365"/>
    </row>
    <row r="187">
      <c r="E187" s="366"/>
      <c r="L187" s="365"/>
    </row>
    <row r="188">
      <c r="E188" s="366"/>
      <c r="L188" s="365"/>
    </row>
    <row r="189">
      <c r="E189" s="366"/>
      <c r="L189" s="365"/>
    </row>
    <row r="190">
      <c r="E190" s="366"/>
      <c r="L190" s="365"/>
    </row>
    <row r="191">
      <c r="E191" s="366"/>
      <c r="L191" s="365"/>
    </row>
    <row r="192">
      <c r="E192" s="366"/>
      <c r="L192" s="365"/>
    </row>
    <row r="193">
      <c r="E193" s="366"/>
      <c r="L193" s="365"/>
    </row>
    <row r="194">
      <c r="E194" s="366"/>
      <c r="L194" s="365"/>
    </row>
    <row r="195">
      <c r="E195" s="366"/>
      <c r="L195" s="365"/>
    </row>
    <row r="196">
      <c r="E196" s="366"/>
      <c r="L196" s="365"/>
    </row>
    <row r="197">
      <c r="E197" s="366"/>
      <c r="L197" s="365"/>
    </row>
    <row r="198">
      <c r="E198" s="366"/>
      <c r="L198" s="365"/>
    </row>
    <row r="199">
      <c r="E199" s="366"/>
      <c r="L199" s="365"/>
    </row>
    <row r="200">
      <c r="E200" s="366"/>
      <c r="L200" s="365"/>
    </row>
    <row r="201">
      <c r="E201" s="366"/>
      <c r="L201" s="365"/>
    </row>
    <row r="202">
      <c r="E202" s="366"/>
      <c r="L202" s="365"/>
    </row>
    <row r="203">
      <c r="E203" s="366"/>
      <c r="L203" s="365"/>
    </row>
    <row r="204">
      <c r="E204" s="366"/>
      <c r="L204" s="365"/>
    </row>
    <row r="205">
      <c r="E205" s="366"/>
      <c r="L205" s="365"/>
    </row>
    <row r="206">
      <c r="E206" s="366"/>
      <c r="L206" s="365"/>
    </row>
    <row r="207">
      <c r="E207" s="366"/>
      <c r="L207" s="365"/>
    </row>
    <row r="208">
      <c r="E208" s="366"/>
      <c r="L208" s="365"/>
    </row>
    <row r="209">
      <c r="E209" s="366"/>
      <c r="L209" s="365"/>
    </row>
    <row r="210">
      <c r="E210" s="366"/>
      <c r="L210" s="365"/>
    </row>
    <row r="211">
      <c r="E211" s="366"/>
      <c r="L211" s="365"/>
    </row>
    <row r="212">
      <c r="E212" s="366"/>
      <c r="L212" s="365"/>
    </row>
    <row r="213">
      <c r="E213" s="366"/>
      <c r="L213" s="365"/>
    </row>
    <row r="214">
      <c r="E214" s="366"/>
      <c r="L214" s="365"/>
    </row>
    <row r="215">
      <c r="E215" s="366"/>
      <c r="L215" s="365"/>
    </row>
    <row r="216">
      <c r="E216" s="366"/>
      <c r="L216" s="365"/>
    </row>
    <row r="217">
      <c r="E217" s="366"/>
      <c r="L217" s="365"/>
    </row>
    <row r="218">
      <c r="E218" s="366"/>
      <c r="L218" s="365"/>
    </row>
    <row r="219">
      <c r="E219" s="366"/>
      <c r="L219" s="365"/>
    </row>
    <row r="220">
      <c r="E220" s="366"/>
      <c r="L220" s="365"/>
    </row>
    <row r="221">
      <c r="E221" s="366"/>
      <c r="L221" s="365"/>
    </row>
    <row r="222">
      <c r="E222" s="366"/>
      <c r="L222" s="365"/>
    </row>
    <row r="223">
      <c r="E223" s="366"/>
      <c r="L223" s="365"/>
    </row>
    <row r="224">
      <c r="E224" s="366"/>
      <c r="L224" s="365"/>
    </row>
    <row r="225">
      <c r="E225" s="366"/>
      <c r="L225" s="365"/>
    </row>
    <row r="226">
      <c r="E226" s="366"/>
      <c r="L226" s="365"/>
    </row>
    <row r="227">
      <c r="E227" s="366"/>
      <c r="L227" s="365"/>
    </row>
    <row r="228">
      <c r="E228" s="366"/>
      <c r="L228" s="365"/>
    </row>
    <row r="229">
      <c r="E229" s="366"/>
      <c r="L229" s="365"/>
    </row>
    <row r="230">
      <c r="E230" s="366"/>
      <c r="L230" s="365"/>
    </row>
    <row r="231">
      <c r="E231" s="366"/>
      <c r="L231" s="365"/>
    </row>
    <row r="232">
      <c r="E232" s="366"/>
      <c r="L232" s="365"/>
    </row>
    <row r="233">
      <c r="E233" s="366"/>
      <c r="L233" s="365"/>
    </row>
    <row r="234">
      <c r="E234" s="366"/>
      <c r="L234" s="365"/>
    </row>
    <row r="235">
      <c r="E235" s="366"/>
      <c r="L235" s="365"/>
    </row>
    <row r="236">
      <c r="E236" s="366"/>
      <c r="L236" s="365"/>
    </row>
    <row r="237">
      <c r="E237" s="366"/>
      <c r="L237" s="365"/>
    </row>
    <row r="238">
      <c r="E238" s="366"/>
      <c r="L238" s="365"/>
    </row>
    <row r="239">
      <c r="E239" s="366"/>
      <c r="L239" s="365"/>
    </row>
    <row r="240">
      <c r="E240" s="366"/>
      <c r="L240" s="365"/>
    </row>
    <row r="241">
      <c r="E241" s="366"/>
      <c r="L241" s="365"/>
    </row>
    <row r="242">
      <c r="E242" s="366"/>
      <c r="L242" s="365"/>
    </row>
    <row r="243">
      <c r="E243" s="366"/>
      <c r="L243" s="365"/>
    </row>
    <row r="244">
      <c r="E244" s="366"/>
      <c r="L244" s="365"/>
    </row>
    <row r="245">
      <c r="E245" s="366"/>
      <c r="L245" s="365"/>
    </row>
    <row r="246">
      <c r="E246" s="366"/>
      <c r="L246" s="365"/>
    </row>
    <row r="247">
      <c r="E247" s="366"/>
      <c r="L247" s="365"/>
    </row>
    <row r="248">
      <c r="E248" s="366"/>
      <c r="L248" s="365"/>
    </row>
    <row r="249">
      <c r="E249" s="366"/>
      <c r="L249" s="365"/>
    </row>
    <row r="250">
      <c r="E250" s="366"/>
      <c r="L250" s="365"/>
    </row>
    <row r="251">
      <c r="E251" s="366"/>
      <c r="L251" s="365"/>
    </row>
    <row r="252">
      <c r="E252" s="366"/>
      <c r="L252" s="365"/>
    </row>
    <row r="253">
      <c r="E253" s="366"/>
      <c r="L253" s="365"/>
    </row>
    <row r="254">
      <c r="E254" s="366"/>
      <c r="L254" s="365"/>
    </row>
    <row r="255">
      <c r="E255" s="366"/>
      <c r="L255" s="365"/>
    </row>
    <row r="256">
      <c r="E256" s="366"/>
      <c r="L256" s="365"/>
    </row>
    <row r="257">
      <c r="E257" s="366"/>
      <c r="L257" s="365"/>
    </row>
    <row r="258">
      <c r="E258" s="366"/>
      <c r="L258" s="365"/>
    </row>
    <row r="259">
      <c r="E259" s="366"/>
      <c r="L259" s="365"/>
    </row>
    <row r="260">
      <c r="E260" s="366"/>
      <c r="L260" s="365"/>
    </row>
    <row r="261">
      <c r="E261" s="366"/>
      <c r="L261" s="365"/>
    </row>
    <row r="262">
      <c r="E262" s="366"/>
      <c r="L262" s="365"/>
    </row>
    <row r="263">
      <c r="E263" s="366"/>
      <c r="L263" s="365"/>
    </row>
    <row r="264">
      <c r="E264" s="366"/>
      <c r="L264" s="365"/>
    </row>
    <row r="265">
      <c r="E265" s="366"/>
      <c r="L265" s="365"/>
    </row>
    <row r="266">
      <c r="E266" s="366"/>
      <c r="L266" s="365"/>
    </row>
    <row r="267">
      <c r="E267" s="366"/>
      <c r="L267" s="365"/>
    </row>
    <row r="268">
      <c r="E268" s="366"/>
      <c r="L268" s="365"/>
    </row>
    <row r="269">
      <c r="E269" s="366"/>
      <c r="L269" s="365"/>
    </row>
    <row r="270">
      <c r="E270" s="366"/>
      <c r="L270" s="365"/>
    </row>
    <row r="271">
      <c r="E271" s="366"/>
      <c r="L271" s="365"/>
    </row>
    <row r="272">
      <c r="E272" s="366"/>
      <c r="L272" s="365"/>
    </row>
    <row r="273">
      <c r="E273" s="366"/>
      <c r="L273" s="365"/>
    </row>
    <row r="274">
      <c r="E274" s="366"/>
      <c r="L274" s="365"/>
    </row>
    <row r="275">
      <c r="E275" s="366"/>
      <c r="L275" s="365"/>
    </row>
    <row r="276">
      <c r="E276" s="366"/>
      <c r="L276" s="365"/>
    </row>
    <row r="277">
      <c r="E277" s="366"/>
      <c r="L277" s="365"/>
    </row>
    <row r="278">
      <c r="E278" s="366"/>
      <c r="L278" s="365"/>
    </row>
    <row r="279">
      <c r="E279" s="366"/>
      <c r="L279" s="365"/>
    </row>
    <row r="280">
      <c r="E280" s="366"/>
      <c r="L280" s="365"/>
    </row>
    <row r="281">
      <c r="E281" s="366"/>
      <c r="L281" s="365"/>
    </row>
    <row r="282">
      <c r="E282" s="366"/>
      <c r="L282" s="365"/>
    </row>
    <row r="283">
      <c r="E283" s="366"/>
      <c r="L283" s="365"/>
    </row>
    <row r="284">
      <c r="E284" s="366"/>
      <c r="L284" s="365"/>
    </row>
    <row r="285">
      <c r="E285" s="366"/>
      <c r="L285" s="365"/>
    </row>
    <row r="286">
      <c r="E286" s="366"/>
      <c r="L286" s="365"/>
    </row>
    <row r="287">
      <c r="E287" s="366"/>
      <c r="L287" s="365"/>
    </row>
    <row r="288">
      <c r="E288" s="366"/>
      <c r="L288" s="365"/>
    </row>
    <row r="289">
      <c r="E289" s="366"/>
      <c r="L289" s="365"/>
    </row>
    <row r="290">
      <c r="E290" s="366"/>
      <c r="L290" s="365"/>
    </row>
    <row r="291">
      <c r="E291" s="366"/>
      <c r="L291" s="365"/>
    </row>
    <row r="292">
      <c r="E292" s="366"/>
      <c r="L292" s="365"/>
    </row>
    <row r="293">
      <c r="E293" s="366"/>
      <c r="L293" s="365"/>
    </row>
    <row r="294">
      <c r="E294" s="366"/>
      <c r="L294" s="365"/>
    </row>
    <row r="295">
      <c r="E295" s="366"/>
      <c r="L295" s="365"/>
    </row>
    <row r="296">
      <c r="E296" s="366"/>
      <c r="L296" s="365"/>
    </row>
    <row r="297">
      <c r="E297" s="366"/>
      <c r="L297" s="365"/>
    </row>
    <row r="298">
      <c r="E298" s="366"/>
      <c r="L298" s="365"/>
    </row>
    <row r="299">
      <c r="E299" s="366"/>
      <c r="L299" s="365"/>
    </row>
    <row r="300">
      <c r="E300" s="366"/>
      <c r="L300" s="365"/>
    </row>
    <row r="301">
      <c r="E301" s="366"/>
      <c r="L301" s="365"/>
    </row>
    <row r="302">
      <c r="E302" s="366"/>
      <c r="L302" s="365"/>
    </row>
    <row r="303">
      <c r="E303" s="366"/>
      <c r="L303" s="365"/>
    </row>
    <row r="304">
      <c r="E304" s="366"/>
      <c r="L304" s="365"/>
    </row>
    <row r="305">
      <c r="E305" s="366"/>
      <c r="L305" s="365"/>
    </row>
    <row r="306">
      <c r="E306" s="366"/>
      <c r="L306" s="365"/>
    </row>
    <row r="307">
      <c r="E307" s="366"/>
      <c r="L307" s="365"/>
    </row>
    <row r="308">
      <c r="E308" s="366"/>
      <c r="L308" s="365"/>
    </row>
    <row r="309">
      <c r="E309" s="366"/>
      <c r="L309" s="365"/>
    </row>
    <row r="310">
      <c r="E310" s="366"/>
      <c r="L310" s="365"/>
    </row>
    <row r="311">
      <c r="E311" s="366"/>
      <c r="L311" s="365"/>
    </row>
    <row r="312">
      <c r="E312" s="366"/>
      <c r="L312" s="365"/>
    </row>
    <row r="313">
      <c r="E313" s="366"/>
      <c r="L313" s="365"/>
    </row>
    <row r="314">
      <c r="E314" s="366"/>
      <c r="L314" s="365"/>
    </row>
    <row r="315">
      <c r="E315" s="366"/>
      <c r="L315" s="365"/>
    </row>
    <row r="316">
      <c r="E316" s="366"/>
      <c r="L316" s="365"/>
    </row>
    <row r="317">
      <c r="E317" s="366"/>
      <c r="L317" s="365"/>
    </row>
    <row r="318">
      <c r="E318" s="366"/>
      <c r="L318" s="365"/>
    </row>
    <row r="319">
      <c r="E319" s="366"/>
      <c r="L319" s="365"/>
    </row>
    <row r="320">
      <c r="E320" s="366"/>
      <c r="L320" s="365"/>
    </row>
    <row r="321">
      <c r="E321" s="366"/>
      <c r="L321" s="365"/>
    </row>
    <row r="322">
      <c r="E322" s="366"/>
      <c r="L322" s="365"/>
    </row>
    <row r="323">
      <c r="E323" s="366"/>
      <c r="L323" s="365"/>
    </row>
    <row r="324">
      <c r="E324" s="366"/>
      <c r="L324" s="365"/>
    </row>
    <row r="325">
      <c r="E325" s="366"/>
      <c r="L325" s="365"/>
    </row>
    <row r="326">
      <c r="E326" s="366"/>
      <c r="L326" s="365"/>
    </row>
    <row r="327">
      <c r="E327" s="366"/>
      <c r="L327" s="365"/>
    </row>
    <row r="328">
      <c r="E328" s="366"/>
      <c r="L328" s="365"/>
    </row>
    <row r="329">
      <c r="E329" s="366"/>
      <c r="L329" s="365"/>
    </row>
    <row r="330">
      <c r="E330" s="366"/>
      <c r="L330" s="365"/>
    </row>
    <row r="331">
      <c r="E331" s="366"/>
      <c r="L331" s="365"/>
    </row>
    <row r="332">
      <c r="E332" s="366"/>
      <c r="L332" s="365"/>
    </row>
    <row r="333">
      <c r="E333" s="366"/>
      <c r="L333" s="365"/>
    </row>
    <row r="334">
      <c r="E334" s="366"/>
      <c r="L334" s="365"/>
    </row>
    <row r="335">
      <c r="E335" s="366"/>
      <c r="L335" s="365"/>
    </row>
    <row r="336">
      <c r="E336" s="366"/>
      <c r="L336" s="365"/>
    </row>
    <row r="337">
      <c r="E337" s="366"/>
      <c r="L337" s="365"/>
    </row>
    <row r="338">
      <c r="E338" s="366"/>
      <c r="L338" s="365"/>
    </row>
    <row r="339">
      <c r="E339" s="366"/>
      <c r="L339" s="365"/>
    </row>
    <row r="340">
      <c r="E340" s="366"/>
      <c r="L340" s="365"/>
    </row>
    <row r="341">
      <c r="E341" s="366"/>
      <c r="L341" s="365"/>
    </row>
    <row r="342">
      <c r="E342" s="366"/>
      <c r="L342" s="365"/>
    </row>
    <row r="343">
      <c r="E343" s="366"/>
      <c r="L343" s="365"/>
    </row>
    <row r="344">
      <c r="E344" s="366"/>
      <c r="L344" s="365"/>
    </row>
    <row r="345">
      <c r="E345" s="366"/>
      <c r="L345" s="365"/>
    </row>
    <row r="346">
      <c r="E346" s="366"/>
      <c r="L346" s="365"/>
    </row>
    <row r="347">
      <c r="E347" s="366"/>
      <c r="L347" s="365"/>
    </row>
    <row r="348">
      <c r="E348" s="366"/>
      <c r="L348" s="365"/>
    </row>
    <row r="349">
      <c r="E349" s="366"/>
      <c r="L349" s="365"/>
    </row>
    <row r="350">
      <c r="E350" s="366"/>
      <c r="L350" s="365"/>
    </row>
    <row r="351">
      <c r="E351" s="366"/>
      <c r="L351" s="365"/>
    </row>
    <row r="352">
      <c r="E352" s="366"/>
      <c r="L352" s="365"/>
    </row>
    <row r="353">
      <c r="E353" s="366"/>
      <c r="L353" s="365"/>
    </row>
    <row r="354">
      <c r="E354" s="366"/>
      <c r="L354" s="365"/>
    </row>
    <row r="355">
      <c r="E355" s="366"/>
      <c r="L355" s="365"/>
    </row>
    <row r="356">
      <c r="E356" s="366"/>
      <c r="L356" s="365"/>
    </row>
    <row r="357">
      <c r="E357" s="366"/>
      <c r="L357" s="365"/>
    </row>
    <row r="358">
      <c r="E358" s="366"/>
      <c r="L358" s="365"/>
    </row>
    <row r="359">
      <c r="E359" s="366"/>
      <c r="L359" s="365"/>
    </row>
    <row r="360">
      <c r="E360" s="366"/>
      <c r="L360" s="365"/>
    </row>
    <row r="361">
      <c r="E361" s="366"/>
      <c r="L361" s="365"/>
    </row>
    <row r="362">
      <c r="E362" s="366"/>
      <c r="L362" s="365"/>
    </row>
    <row r="363">
      <c r="E363" s="366"/>
      <c r="L363" s="365"/>
    </row>
    <row r="364">
      <c r="E364" s="366"/>
      <c r="L364" s="365"/>
    </row>
    <row r="365">
      <c r="E365" s="366"/>
      <c r="L365" s="365"/>
    </row>
    <row r="366">
      <c r="E366" s="366"/>
      <c r="L366" s="365"/>
    </row>
    <row r="367">
      <c r="E367" s="366"/>
      <c r="L367" s="365"/>
    </row>
    <row r="368">
      <c r="E368" s="366"/>
      <c r="L368" s="365"/>
    </row>
    <row r="369">
      <c r="E369" s="366"/>
      <c r="L369" s="365"/>
    </row>
    <row r="370">
      <c r="E370" s="366"/>
      <c r="L370" s="365"/>
    </row>
    <row r="371">
      <c r="E371" s="366"/>
      <c r="L371" s="365"/>
    </row>
    <row r="372">
      <c r="E372" s="366"/>
      <c r="L372" s="365"/>
    </row>
    <row r="373">
      <c r="E373" s="366"/>
      <c r="L373" s="365"/>
    </row>
    <row r="374">
      <c r="E374" s="366"/>
      <c r="L374" s="365"/>
    </row>
    <row r="375">
      <c r="E375" s="366"/>
      <c r="L375" s="365"/>
    </row>
    <row r="376">
      <c r="E376" s="366"/>
      <c r="L376" s="365"/>
    </row>
    <row r="377">
      <c r="E377" s="366"/>
      <c r="L377" s="365"/>
    </row>
    <row r="378">
      <c r="E378" s="366"/>
      <c r="L378" s="365"/>
    </row>
    <row r="379">
      <c r="E379" s="366"/>
      <c r="L379" s="365"/>
    </row>
    <row r="380">
      <c r="E380" s="366"/>
      <c r="L380" s="365"/>
    </row>
    <row r="381">
      <c r="E381" s="366"/>
      <c r="L381" s="365"/>
    </row>
    <row r="382">
      <c r="E382" s="366"/>
      <c r="L382" s="365"/>
    </row>
    <row r="383">
      <c r="E383" s="366"/>
      <c r="L383" s="365"/>
    </row>
    <row r="384">
      <c r="E384" s="366"/>
      <c r="L384" s="365"/>
    </row>
    <row r="385">
      <c r="E385" s="366"/>
      <c r="L385" s="365"/>
    </row>
    <row r="386">
      <c r="E386" s="366"/>
      <c r="L386" s="365"/>
    </row>
    <row r="387">
      <c r="E387" s="366"/>
      <c r="L387" s="365"/>
    </row>
    <row r="388">
      <c r="E388" s="366"/>
      <c r="L388" s="365"/>
    </row>
    <row r="389">
      <c r="E389" s="366"/>
      <c r="L389" s="365"/>
    </row>
    <row r="390">
      <c r="E390" s="366"/>
      <c r="L390" s="365"/>
    </row>
    <row r="391">
      <c r="E391" s="366"/>
      <c r="L391" s="365"/>
    </row>
    <row r="392">
      <c r="E392" s="366"/>
      <c r="L392" s="365"/>
    </row>
    <row r="393">
      <c r="E393" s="366"/>
      <c r="L393" s="365"/>
    </row>
    <row r="394">
      <c r="E394" s="366"/>
      <c r="L394" s="365"/>
    </row>
    <row r="395">
      <c r="E395" s="366"/>
      <c r="L395" s="365"/>
    </row>
    <row r="396">
      <c r="E396" s="366"/>
      <c r="L396" s="365"/>
    </row>
    <row r="397">
      <c r="E397" s="366"/>
      <c r="L397" s="365"/>
    </row>
    <row r="398">
      <c r="E398" s="366"/>
      <c r="L398" s="365"/>
    </row>
    <row r="399">
      <c r="E399" s="366"/>
      <c r="L399" s="365"/>
    </row>
    <row r="400">
      <c r="E400" s="366"/>
      <c r="L400" s="365"/>
    </row>
    <row r="401">
      <c r="E401" s="366"/>
      <c r="L401" s="365"/>
    </row>
    <row r="402">
      <c r="E402" s="366"/>
      <c r="L402" s="365"/>
    </row>
    <row r="403">
      <c r="E403" s="366"/>
      <c r="L403" s="365"/>
    </row>
    <row r="404">
      <c r="E404" s="366"/>
      <c r="L404" s="365"/>
    </row>
    <row r="405">
      <c r="E405" s="366"/>
      <c r="L405" s="365"/>
    </row>
    <row r="406">
      <c r="E406" s="366"/>
      <c r="L406" s="365"/>
    </row>
    <row r="407">
      <c r="E407" s="366"/>
      <c r="L407" s="365"/>
    </row>
    <row r="408">
      <c r="E408" s="366"/>
      <c r="L408" s="365"/>
    </row>
    <row r="409">
      <c r="E409" s="366"/>
      <c r="L409" s="365"/>
    </row>
    <row r="410">
      <c r="E410" s="366"/>
      <c r="L410" s="365"/>
    </row>
    <row r="411">
      <c r="E411" s="366"/>
      <c r="L411" s="365"/>
    </row>
    <row r="412">
      <c r="E412" s="366"/>
      <c r="L412" s="365"/>
    </row>
    <row r="413">
      <c r="E413" s="366"/>
      <c r="L413" s="365"/>
    </row>
    <row r="414">
      <c r="E414" s="366"/>
      <c r="L414" s="365"/>
    </row>
    <row r="415">
      <c r="E415" s="366"/>
      <c r="L415" s="365"/>
    </row>
    <row r="416">
      <c r="E416" s="366"/>
      <c r="L416" s="365"/>
    </row>
    <row r="417">
      <c r="E417" s="366"/>
      <c r="L417" s="365"/>
    </row>
    <row r="418">
      <c r="E418" s="366"/>
      <c r="L418" s="365"/>
    </row>
    <row r="419">
      <c r="E419" s="366"/>
      <c r="L419" s="365"/>
    </row>
    <row r="420">
      <c r="E420" s="366"/>
      <c r="L420" s="365"/>
    </row>
    <row r="421">
      <c r="E421" s="366"/>
      <c r="L421" s="365"/>
    </row>
    <row r="422">
      <c r="E422" s="366"/>
      <c r="L422" s="365"/>
    </row>
    <row r="423">
      <c r="E423" s="366"/>
      <c r="L423" s="365"/>
    </row>
    <row r="424">
      <c r="E424" s="366"/>
      <c r="L424" s="365"/>
    </row>
    <row r="425">
      <c r="E425" s="366"/>
      <c r="L425" s="365"/>
    </row>
    <row r="426">
      <c r="E426" s="366"/>
      <c r="L426" s="365"/>
    </row>
    <row r="427">
      <c r="E427" s="366"/>
      <c r="L427" s="365"/>
    </row>
    <row r="428">
      <c r="E428" s="366"/>
      <c r="L428" s="365"/>
    </row>
    <row r="429">
      <c r="E429" s="366"/>
      <c r="L429" s="365"/>
    </row>
    <row r="430">
      <c r="E430" s="366"/>
      <c r="L430" s="365"/>
    </row>
    <row r="431">
      <c r="E431" s="366"/>
      <c r="L431" s="365"/>
    </row>
    <row r="432">
      <c r="E432" s="366"/>
      <c r="L432" s="365"/>
    </row>
    <row r="433">
      <c r="E433" s="366"/>
      <c r="L433" s="365"/>
    </row>
    <row r="434">
      <c r="E434" s="366"/>
      <c r="L434" s="365"/>
    </row>
    <row r="435">
      <c r="E435" s="366"/>
      <c r="L435" s="365"/>
    </row>
    <row r="436">
      <c r="E436" s="366"/>
      <c r="L436" s="365"/>
    </row>
    <row r="437">
      <c r="E437" s="366"/>
      <c r="L437" s="365"/>
    </row>
    <row r="438">
      <c r="E438" s="366"/>
      <c r="L438" s="365"/>
    </row>
    <row r="439">
      <c r="E439" s="366"/>
      <c r="L439" s="365"/>
    </row>
    <row r="440">
      <c r="E440" s="366"/>
      <c r="L440" s="365"/>
    </row>
    <row r="441">
      <c r="E441" s="366"/>
      <c r="L441" s="365"/>
    </row>
    <row r="442">
      <c r="E442" s="366"/>
      <c r="L442" s="365"/>
    </row>
    <row r="443">
      <c r="E443" s="366"/>
      <c r="L443" s="365"/>
    </row>
    <row r="444">
      <c r="E444" s="366"/>
      <c r="L444" s="365"/>
    </row>
    <row r="445">
      <c r="E445" s="366"/>
      <c r="L445" s="365"/>
    </row>
    <row r="446">
      <c r="E446" s="366"/>
      <c r="L446" s="365"/>
    </row>
    <row r="447">
      <c r="E447" s="366"/>
      <c r="L447" s="365"/>
    </row>
    <row r="448">
      <c r="E448" s="366"/>
      <c r="L448" s="365"/>
    </row>
    <row r="449">
      <c r="E449" s="366"/>
      <c r="L449" s="365"/>
    </row>
    <row r="450">
      <c r="E450" s="366"/>
      <c r="L450" s="365"/>
    </row>
    <row r="451">
      <c r="E451" s="366"/>
      <c r="L451" s="365"/>
    </row>
    <row r="452">
      <c r="E452" s="366"/>
      <c r="L452" s="365"/>
    </row>
    <row r="453">
      <c r="E453" s="366"/>
      <c r="L453" s="365"/>
    </row>
    <row r="454">
      <c r="E454" s="366"/>
      <c r="L454" s="365"/>
    </row>
    <row r="455">
      <c r="E455" s="366"/>
      <c r="L455" s="365"/>
    </row>
    <row r="456">
      <c r="E456" s="366"/>
      <c r="L456" s="365"/>
    </row>
    <row r="457">
      <c r="E457" s="366"/>
      <c r="L457" s="365"/>
    </row>
    <row r="458">
      <c r="E458" s="366"/>
      <c r="L458" s="365"/>
    </row>
    <row r="459">
      <c r="E459" s="366"/>
      <c r="L459" s="365"/>
    </row>
    <row r="460">
      <c r="E460" s="366"/>
      <c r="L460" s="365"/>
    </row>
    <row r="461">
      <c r="E461" s="366"/>
      <c r="L461" s="365"/>
    </row>
    <row r="462">
      <c r="E462" s="366"/>
      <c r="L462" s="365"/>
    </row>
    <row r="463">
      <c r="E463" s="366"/>
      <c r="L463" s="365"/>
    </row>
    <row r="464">
      <c r="E464" s="366"/>
      <c r="L464" s="365"/>
    </row>
    <row r="465">
      <c r="E465" s="366"/>
      <c r="L465" s="365"/>
    </row>
    <row r="466">
      <c r="E466" s="366"/>
      <c r="L466" s="365"/>
    </row>
    <row r="467">
      <c r="E467" s="366"/>
      <c r="L467" s="365"/>
    </row>
    <row r="468">
      <c r="E468" s="366"/>
      <c r="L468" s="365"/>
    </row>
    <row r="469">
      <c r="E469" s="366"/>
      <c r="L469" s="365"/>
    </row>
    <row r="470">
      <c r="E470" s="366"/>
      <c r="L470" s="365"/>
    </row>
    <row r="471">
      <c r="E471" s="366"/>
      <c r="L471" s="365"/>
    </row>
    <row r="472">
      <c r="E472" s="366"/>
      <c r="L472" s="365"/>
    </row>
    <row r="473">
      <c r="E473" s="366"/>
      <c r="L473" s="365"/>
    </row>
    <row r="474">
      <c r="E474" s="366"/>
      <c r="L474" s="365"/>
    </row>
    <row r="475">
      <c r="E475" s="366"/>
      <c r="L475" s="365"/>
    </row>
    <row r="476">
      <c r="E476" s="366"/>
      <c r="L476" s="365"/>
    </row>
    <row r="477">
      <c r="E477" s="366"/>
      <c r="L477" s="365"/>
    </row>
    <row r="478">
      <c r="E478" s="366"/>
      <c r="L478" s="365"/>
    </row>
    <row r="479">
      <c r="E479" s="366"/>
      <c r="L479" s="365"/>
    </row>
    <row r="480">
      <c r="E480" s="366"/>
      <c r="L480" s="365"/>
    </row>
    <row r="481">
      <c r="E481" s="366"/>
      <c r="L481" s="365"/>
    </row>
    <row r="482">
      <c r="E482" s="366"/>
      <c r="L482" s="365"/>
    </row>
    <row r="483">
      <c r="E483" s="366"/>
      <c r="L483" s="365"/>
    </row>
    <row r="484">
      <c r="E484" s="366"/>
      <c r="L484" s="365"/>
    </row>
    <row r="485">
      <c r="E485" s="366"/>
      <c r="L485" s="365"/>
    </row>
    <row r="486">
      <c r="E486" s="366"/>
      <c r="L486" s="365"/>
    </row>
    <row r="487">
      <c r="E487" s="366"/>
      <c r="L487" s="365"/>
    </row>
    <row r="488">
      <c r="E488" s="366"/>
      <c r="L488" s="365"/>
    </row>
    <row r="489">
      <c r="E489" s="366"/>
      <c r="L489" s="365"/>
    </row>
    <row r="490">
      <c r="E490" s="366"/>
      <c r="L490" s="365"/>
    </row>
    <row r="491">
      <c r="E491" s="366"/>
      <c r="L491" s="365"/>
    </row>
    <row r="492">
      <c r="E492" s="366"/>
      <c r="L492" s="365"/>
    </row>
    <row r="493">
      <c r="E493" s="366"/>
      <c r="L493" s="365"/>
    </row>
    <row r="494">
      <c r="E494" s="366"/>
      <c r="L494" s="365"/>
    </row>
    <row r="495">
      <c r="E495" s="366"/>
      <c r="L495" s="365"/>
    </row>
    <row r="496">
      <c r="E496" s="366"/>
      <c r="L496" s="365"/>
    </row>
    <row r="497">
      <c r="E497" s="366"/>
      <c r="L497" s="365"/>
    </row>
    <row r="498">
      <c r="E498" s="366"/>
      <c r="L498" s="365"/>
    </row>
    <row r="499">
      <c r="E499" s="366"/>
      <c r="L499" s="365"/>
    </row>
    <row r="500">
      <c r="E500" s="366"/>
      <c r="L500" s="365"/>
    </row>
    <row r="501">
      <c r="E501" s="366"/>
      <c r="L501" s="365"/>
    </row>
    <row r="502">
      <c r="E502" s="366"/>
      <c r="L502" s="365"/>
    </row>
    <row r="503">
      <c r="E503" s="366"/>
      <c r="L503" s="365"/>
    </row>
    <row r="504">
      <c r="E504" s="366"/>
      <c r="L504" s="365"/>
    </row>
    <row r="505">
      <c r="E505" s="366"/>
      <c r="L505" s="365"/>
    </row>
    <row r="506">
      <c r="E506" s="366"/>
      <c r="L506" s="365"/>
    </row>
    <row r="507">
      <c r="E507" s="366"/>
      <c r="L507" s="365"/>
    </row>
    <row r="508">
      <c r="E508" s="366"/>
      <c r="L508" s="365"/>
    </row>
    <row r="509">
      <c r="E509" s="366"/>
      <c r="L509" s="365"/>
    </row>
    <row r="510">
      <c r="E510" s="366"/>
      <c r="L510" s="365"/>
    </row>
    <row r="511">
      <c r="E511" s="366"/>
      <c r="L511" s="365"/>
    </row>
    <row r="512">
      <c r="E512" s="366"/>
      <c r="L512" s="365"/>
    </row>
    <row r="513">
      <c r="E513" s="366"/>
      <c r="L513" s="365"/>
    </row>
    <row r="514">
      <c r="E514" s="366"/>
      <c r="L514" s="365"/>
    </row>
    <row r="515">
      <c r="E515" s="366"/>
      <c r="L515" s="365"/>
    </row>
    <row r="516">
      <c r="E516" s="366"/>
      <c r="L516" s="365"/>
    </row>
    <row r="517">
      <c r="E517" s="366"/>
      <c r="L517" s="365"/>
    </row>
    <row r="518">
      <c r="E518" s="366"/>
      <c r="L518" s="365"/>
    </row>
    <row r="519">
      <c r="E519" s="366"/>
      <c r="L519" s="365"/>
    </row>
    <row r="520">
      <c r="E520" s="366"/>
      <c r="L520" s="365"/>
    </row>
    <row r="521">
      <c r="E521" s="366"/>
      <c r="L521" s="365"/>
    </row>
    <row r="522">
      <c r="E522" s="366"/>
      <c r="L522" s="365"/>
    </row>
    <row r="523">
      <c r="E523" s="366"/>
      <c r="L523" s="365"/>
    </row>
    <row r="524">
      <c r="E524" s="366"/>
      <c r="L524" s="365"/>
    </row>
    <row r="525">
      <c r="E525" s="366"/>
      <c r="L525" s="365"/>
    </row>
    <row r="526">
      <c r="E526" s="366"/>
      <c r="L526" s="365"/>
    </row>
    <row r="527">
      <c r="E527" s="366"/>
      <c r="L527" s="365"/>
    </row>
    <row r="528">
      <c r="E528" s="366"/>
      <c r="L528" s="365"/>
    </row>
    <row r="529">
      <c r="E529" s="366"/>
      <c r="L529" s="365"/>
    </row>
    <row r="530">
      <c r="E530" s="366"/>
      <c r="L530" s="365"/>
    </row>
    <row r="531">
      <c r="E531" s="366"/>
      <c r="L531" s="365"/>
    </row>
    <row r="532">
      <c r="E532" s="366"/>
      <c r="L532" s="365"/>
    </row>
    <row r="533">
      <c r="E533" s="366"/>
      <c r="L533" s="365"/>
    </row>
    <row r="534">
      <c r="E534" s="366"/>
      <c r="L534" s="365"/>
    </row>
    <row r="535">
      <c r="E535" s="366"/>
      <c r="L535" s="365"/>
    </row>
    <row r="536">
      <c r="E536" s="366"/>
      <c r="L536" s="365"/>
    </row>
    <row r="537">
      <c r="E537" s="366"/>
      <c r="L537" s="365"/>
    </row>
    <row r="538">
      <c r="E538" s="366"/>
      <c r="L538" s="365"/>
    </row>
    <row r="539">
      <c r="E539" s="366"/>
      <c r="L539" s="365"/>
    </row>
    <row r="540">
      <c r="E540" s="366"/>
      <c r="L540" s="365"/>
    </row>
    <row r="541">
      <c r="E541" s="366"/>
      <c r="L541" s="365"/>
    </row>
    <row r="542">
      <c r="E542" s="366"/>
      <c r="L542" s="365"/>
    </row>
    <row r="543">
      <c r="E543" s="366"/>
      <c r="L543" s="365"/>
    </row>
    <row r="544">
      <c r="E544" s="366"/>
      <c r="L544" s="365"/>
    </row>
    <row r="545">
      <c r="E545" s="366"/>
      <c r="L545" s="365"/>
    </row>
    <row r="546">
      <c r="E546" s="366"/>
      <c r="L546" s="365"/>
    </row>
    <row r="547">
      <c r="E547" s="366"/>
      <c r="L547" s="365"/>
    </row>
    <row r="548">
      <c r="E548" s="366"/>
      <c r="L548" s="365"/>
    </row>
    <row r="549">
      <c r="E549" s="366"/>
      <c r="L549" s="365"/>
    </row>
    <row r="550">
      <c r="E550" s="366"/>
      <c r="L550" s="365"/>
    </row>
    <row r="551">
      <c r="E551" s="366"/>
      <c r="L551" s="365"/>
    </row>
    <row r="552">
      <c r="E552" s="366"/>
      <c r="L552" s="365"/>
    </row>
    <row r="553">
      <c r="E553" s="366"/>
      <c r="L553" s="365"/>
    </row>
    <row r="554">
      <c r="E554" s="366"/>
      <c r="L554" s="365"/>
    </row>
    <row r="555">
      <c r="E555" s="366"/>
      <c r="L555" s="365"/>
    </row>
    <row r="556">
      <c r="E556" s="366"/>
      <c r="L556" s="365"/>
    </row>
    <row r="557">
      <c r="E557" s="366"/>
      <c r="L557" s="365"/>
    </row>
    <row r="558">
      <c r="E558" s="366"/>
      <c r="L558" s="365"/>
    </row>
    <row r="559">
      <c r="E559" s="366"/>
      <c r="L559" s="365"/>
    </row>
    <row r="560">
      <c r="E560" s="366"/>
      <c r="L560" s="365"/>
    </row>
    <row r="561">
      <c r="E561" s="366"/>
      <c r="L561" s="365"/>
    </row>
    <row r="562">
      <c r="E562" s="366"/>
      <c r="L562" s="365"/>
    </row>
    <row r="563">
      <c r="E563" s="366"/>
      <c r="L563" s="365"/>
    </row>
    <row r="564">
      <c r="E564" s="366"/>
      <c r="L564" s="365"/>
    </row>
    <row r="565">
      <c r="E565" s="366"/>
      <c r="L565" s="365"/>
    </row>
    <row r="566">
      <c r="E566" s="366"/>
      <c r="L566" s="365"/>
    </row>
    <row r="567">
      <c r="E567" s="366"/>
      <c r="L567" s="365"/>
    </row>
    <row r="568">
      <c r="E568" s="366"/>
      <c r="L568" s="365"/>
    </row>
    <row r="569">
      <c r="E569" s="366"/>
      <c r="L569" s="365"/>
    </row>
    <row r="570">
      <c r="E570" s="366"/>
      <c r="L570" s="365"/>
    </row>
    <row r="571">
      <c r="E571" s="366"/>
      <c r="L571" s="365"/>
    </row>
    <row r="572">
      <c r="E572" s="366"/>
      <c r="L572" s="365"/>
    </row>
    <row r="573">
      <c r="E573" s="366"/>
      <c r="L573" s="365"/>
    </row>
    <row r="574">
      <c r="E574" s="366"/>
      <c r="L574" s="365"/>
    </row>
    <row r="575">
      <c r="E575" s="366"/>
      <c r="L575" s="365"/>
    </row>
    <row r="576">
      <c r="E576" s="366"/>
      <c r="L576" s="365"/>
    </row>
    <row r="577">
      <c r="E577" s="366"/>
      <c r="L577" s="365"/>
    </row>
    <row r="578">
      <c r="E578" s="366"/>
      <c r="L578" s="365"/>
    </row>
    <row r="579">
      <c r="E579" s="366"/>
      <c r="L579" s="365"/>
    </row>
    <row r="580">
      <c r="E580" s="366"/>
      <c r="L580" s="365"/>
    </row>
    <row r="581">
      <c r="E581" s="366"/>
      <c r="L581" s="365"/>
    </row>
    <row r="582">
      <c r="E582" s="366"/>
      <c r="L582" s="365"/>
    </row>
    <row r="583">
      <c r="E583" s="366"/>
      <c r="L583" s="365"/>
    </row>
    <row r="584">
      <c r="E584" s="366"/>
      <c r="L584" s="365"/>
    </row>
    <row r="585">
      <c r="E585" s="366"/>
      <c r="L585" s="365"/>
    </row>
    <row r="586">
      <c r="E586" s="366"/>
      <c r="L586" s="365"/>
    </row>
    <row r="587">
      <c r="E587" s="366"/>
      <c r="L587" s="365"/>
    </row>
    <row r="588">
      <c r="E588" s="366"/>
      <c r="L588" s="365"/>
    </row>
    <row r="589">
      <c r="E589" s="366"/>
      <c r="L589" s="365"/>
    </row>
    <row r="590">
      <c r="E590" s="366"/>
      <c r="L590" s="365"/>
    </row>
    <row r="591">
      <c r="E591" s="366"/>
      <c r="L591" s="365"/>
    </row>
    <row r="592">
      <c r="E592" s="366"/>
      <c r="L592" s="365"/>
    </row>
    <row r="593">
      <c r="E593" s="366"/>
      <c r="L593" s="365"/>
    </row>
    <row r="594">
      <c r="E594" s="366"/>
      <c r="L594" s="365"/>
    </row>
    <row r="595">
      <c r="E595" s="366"/>
      <c r="L595" s="365"/>
    </row>
    <row r="596">
      <c r="E596" s="366"/>
      <c r="L596" s="365"/>
    </row>
    <row r="597">
      <c r="E597" s="366"/>
      <c r="L597" s="365"/>
    </row>
    <row r="598">
      <c r="E598" s="366"/>
      <c r="L598" s="365"/>
    </row>
    <row r="599">
      <c r="E599" s="366"/>
      <c r="L599" s="365"/>
    </row>
    <row r="600">
      <c r="E600" s="366"/>
      <c r="L600" s="365"/>
    </row>
    <row r="601">
      <c r="E601" s="366"/>
      <c r="L601" s="365"/>
    </row>
    <row r="602">
      <c r="E602" s="366"/>
      <c r="L602" s="365"/>
    </row>
    <row r="603">
      <c r="E603" s="366"/>
      <c r="L603" s="365"/>
    </row>
    <row r="604">
      <c r="E604" s="366"/>
      <c r="L604" s="365"/>
    </row>
    <row r="605">
      <c r="E605" s="366"/>
      <c r="L605" s="365"/>
    </row>
    <row r="606">
      <c r="E606" s="366"/>
      <c r="L606" s="365"/>
    </row>
    <row r="607">
      <c r="E607" s="366"/>
      <c r="L607" s="365"/>
    </row>
    <row r="608">
      <c r="E608" s="366"/>
      <c r="L608" s="365"/>
    </row>
    <row r="609">
      <c r="E609" s="366"/>
      <c r="L609" s="365"/>
    </row>
    <row r="610">
      <c r="E610" s="366"/>
      <c r="L610" s="365"/>
    </row>
    <row r="611">
      <c r="E611" s="366"/>
      <c r="L611" s="365"/>
    </row>
    <row r="612">
      <c r="E612" s="366"/>
      <c r="L612" s="365"/>
    </row>
    <row r="613">
      <c r="E613" s="366"/>
      <c r="L613" s="365"/>
    </row>
    <row r="614">
      <c r="E614" s="366"/>
      <c r="L614" s="365"/>
    </row>
    <row r="615">
      <c r="E615" s="366"/>
      <c r="L615" s="365"/>
    </row>
    <row r="616">
      <c r="E616" s="366"/>
      <c r="L616" s="365"/>
    </row>
    <row r="617">
      <c r="E617" s="366"/>
      <c r="L617" s="365"/>
    </row>
    <row r="618">
      <c r="E618" s="366"/>
      <c r="L618" s="365"/>
    </row>
    <row r="619">
      <c r="E619" s="366"/>
      <c r="L619" s="365"/>
    </row>
    <row r="620">
      <c r="E620" s="366"/>
      <c r="L620" s="365"/>
    </row>
    <row r="621">
      <c r="E621" s="366"/>
      <c r="L621" s="365"/>
    </row>
    <row r="622">
      <c r="E622" s="366"/>
      <c r="L622" s="365"/>
    </row>
    <row r="623">
      <c r="E623" s="366"/>
      <c r="L623" s="365"/>
    </row>
    <row r="624">
      <c r="E624" s="366"/>
      <c r="L624" s="365"/>
    </row>
    <row r="625">
      <c r="E625" s="366"/>
      <c r="L625" s="365"/>
    </row>
    <row r="626">
      <c r="E626" s="366"/>
      <c r="L626" s="365"/>
    </row>
    <row r="627">
      <c r="E627" s="366"/>
      <c r="L627" s="365"/>
    </row>
    <row r="628">
      <c r="E628" s="366"/>
      <c r="L628" s="365"/>
    </row>
    <row r="629">
      <c r="E629" s="366"/>
      <c r="L629" s="365"/>
    </row>
    <row r="630">
      <c r="E630" s="366"/>
      <c r="L630" s="365"/>
    </row>
    <row r="631">
      <c r="E631" s="366"/>
      <c r="L631" s="365"/>
    </row>
    <row r="632">
      <c r="E632" s="366"/>
      <c r="L632" s="365"/>
    </row>
    <row r="633">
      <c r="E633" s="366"/>
      <c r="L633" s="365"/>
    </row>
    <row r="634">
      <c r="E634" s="366"/>
      <c r="L634" s="365"/>
    </row>
    <row r="635">
      <c r="E635" s="366"/>
      <c r="L635" s="365"/>
    </row>
    <row r="636">
      <c r="E636" s="366"/>
      <c r="L636" s="365"/>
    </row>
    <row r="637">
      <c r="E637" s="366"/>
      <c r="L637" s="365"/>
    </row>
    <row r="638">
      <c r="E638" s="366"/>
      <c r="L638" s="365"/>
    </row>
    <row r="639">
      <c r="E639" s="366"/>
      <c r="L639" s="365"/>
    </row>
    <row r="640">
      <c r="E640" s="366"/>
      <c r="L640" s="365"/>
    </row>
    <row r="641">
      <c r="E641" s="366"/>
      <c r="L641" s="365"/>
    </row>
    <row r="642">
      <c r="E642" s="366"/>
      <c r="L642" s="365"/>
    </row>
    <row r="643">
      <c r="E643" s="366"/>
      <c r="L643" s="365"/>
    </row>
    <row r="644">
      <c r="E644" s="366"/>
      <c r="L644" s="365"/>
    </row>
    <row r="645">
      <c r="E645" s="366"/>
      <c r="L645" s="365"/>
    </row>
    <row r="646">
      <c r="E646" s="366"/>
      <c r="L646" s="365"/>
    </row>
    <row r="647">
      <c r="E647" s="366"/>
      <c r="L647" s="365"/>
    </row>
    <row r="648">
      <c r="E648" s="366"/>
      <c r="L648" s="365"/>
    </row>
    <row r="649">
      <c r="E649" s="366"/>
      <c r="L649" s="365"/>
    </row>
    <row r="650">
      <c r="E650" s="366"/>
      <c r="L650" s="365"/>
    </row>
    <row r="651">
      <c r="E651" s="366"/>
      <c r="L651" s="365"/>
    </row>
    <row r="652">
      <c r="E652" s="366"/>
      <c r="L652" s="365"/>
    </row>
    <row r="653">
      <c r="E653" s="366"/>
      <c r="L653" s="365"/>
    </row>
    <row r="654">
      <c r="E654" s="366"/>
      <c r="L654" s="365"/>
    </row>
    <row r="655">
      <c r="E655" s="366"/>
      <c r="L655" s="365"/>
    </row>
    <row r="656">
      <c r="E656" s="366"/>
      <c r="L656" s="365"/>
    </row>
    <row r="657">
      <c r="E657" s="366"/>
      <c r="L657" s="365"/>
    </row>
    <row r="658">
      <c r="E658" s="366"/>
      <c r="L658" s="365"/>
    </row>
    <row r="659">
      <c r="E659" s="366"/>
      <c r="L659" s="365"/>
    </row>
    <row r="660">
      <c r="E660" s="366"/>
      <c r="L660" s="365"/>
    </row>
    <row r="661">
      <c r="E661" s="366"/>
      <c r="L661" s="365"/>
    </row>
    <row r="662">
      <c r="E662" s="366"/>
      <c r="L662" s="365"/>
    </row>
    <row r="663">
      <c r="E663" s="366"/>
      <c r="L663" s="365"/>
    </row>
    <row r="664">
      <c r="E664" s="366"/>
      <c r="L664" s="365"/>
    </row>
    <row r="665">
      <c r="E665" s="366"/>
      <c r="L665" s="365"/>
    </row>
    <row r="666">
      <c r="E666" s="366"/>
      <c r="L666" s="365"/>
    </row>
    <row r="667">
      <c r="E667" s="366"/>
      <c r="L667" s="365"/>
    </row>
    <row r="668">
      <c r="E668" s="366"/>
      <c r="L668" s="365"/>
    </row>
    <row r="669">
      <c r="E669" s="366"/>
      <c r="L669" s="365"/>
    </row>
    <row r="670">
      <c r="E670" s="366"/>
      <c r="L670" s="365"/>
    </row>
    <row r="671">
      <c r="E671" s="366"/>
      <c r="L671" s="365"/>
    </row>
    <row r="672">
      <c r="E672" s="366"/>
      <c r="L672" s="365"/>
    </row>
    <row r="673">
      <c r="E673" s="366"/>
      <c r="L673" s="365"/>
    </row>
    <row r="674">
      <c r="E674" s="366"/>
      <c r="L674" s="365"/>
    </row>
    <row r="675">
      <c r="E675" s="366"/>
      <c r="L675" s="365"/>
    </row>
    <row r="676">
      <c r="E676" s="366"/>
      <c r="L676" s="365"/>
    </row>
    <row r="677">
      <c r="E677" s="366"/>
      <c r="L677" s="365"/>
    </row>
    <row r="678">
      <c r="E678" s="366"/>
      <c r="L678" s="365"/>
    </row>
    <row r="679">
      <c r="E679" s="366"/>
      <c r="L679" s="365"/>
    </row>
    <row r="680">
      <c r="E680" s="366"/>
      <c r="L680" s="365"/>
    </row>
    <row r="681">
      <c r="E681" s="366"/>
      <c r="L681" s="365"/>
    </row>
    <row r="682">
      <c r="E682" s="366"/>
      <c r="L682" s="365"/>
    </row>
    <row r="683">
      <c r="E683" s="366"/>
      <c r="L683" s="365"/>
    </row>
    <row r="684">
      <c r="E684" s="366"/>
      <c r="L684" s="365"/>
    </row>
    <row r="685">
      <c r="E685" s="366"/>
      <c r="L685" s="365"/>
    </row>
    <row r="686">
      <c r="E686" s="366"/>
      <c r="L686" s="365"/>
    </row>
    <row r="687">
      <c r="E687" s="366"/>
      <c r="L687" s="365"/>
    </row>
    <row r="688">
      <c r="E688" s="366"/>
      <c r="L688" s="365"/>
    </row>
    <row r="689">
      <c r="E689" s="366"/>
      <c r="L689" s="365"/>
    </row>
    <row r="690">
      <c r="E690" s="366"/>
      <c r="L690" s="365"/>
    </row>
    <row r="691">
      <c r="E691" s="366"/>
      <c r="L691" s="365"/>
    </row>
    <row r="692">
      <c r="E692" s="366"/>
      <c r="L692" s="365"/>
    </row>
    <row r="693">
      <c r="E693" s="366"/>
      <c r="L693" s="365"/>
    </row>
    <row r="694">
      <c r="E694" s="366"/>
      <c r="L694" s="365"/>
    </row>
    <row r="695">
      <c r="E695" s="366"/>
      <c r="L695" s="365"/>
    </row>
    <row r="696">
      <c r="E696" s="366"/>
      <c r="L696" s="365"/>
    </row>
    <row r="697">
      <c r="E697" s="366"/>
      <c r="L697" s="365"/>
    </row>
    <row r="698">
      <c r="E698" s="366"/>
      <c r="L698" s="365"/>
    </row>
    <row r="699">
      <c r="E699" s="366"/>
      <c r="L699" s="365"/>
    </row>
    <row r="700">
      <c r="E700" s="366"/>
      <c r="L700" s="365"/>
    </row>
    <row r="701">
      <c r="E701" s="366"/>
      <c r="L701" s="365"/>
    </row>
    <row r="702">
      <c r="E702" s="366"/>
      <c r="L702" s="365"/>
    </row>
    <row r="703">
      <c r="E703" s="366"/>
      <c r="L703" s="365"/>
    </row>
    <row r="704">
      <c r="E704" s="366"/>
      <c r="L704" s="365"/>
    </row>
    <row r="705">
      <c r="E705" s="366"/>
      <c r="L705" s="365"/>
    </row>
    <row r="706">
      <c r="E706" s="366"/>
      <c r="L706" s="365"/>
    </row>
    <row r="707">
      <c r="E707" s="366"/>
      <c r="L707" s="365"/>
    </row>
    <row r="708">
      <c r="E708" s="366"/>
      <c r="L708" s="365"/>
    </row>
    <row r="709">
      <c r="E709" s="366"/>
      <c r="L709" s="365"/>
    </row>
    <row r="710">
      <c r="E710" s="366"/>
      <c r="L710" s="365"/>
    </row>
    <row r="711">
      <c r="E711" s="366"/>
      <c r="L711" s="365"/>
    </row>
    <row r="712">
      <c r="E712" s="366"/>
      <c r="L712" s="365"/>
    </row>
    <row r="713">
      <c r="E713" s="366"/>
      <c r="L713" s="365"/>
    </row>
    <row r="714">
      <c r="E714" s="366"/>
      <c r="L714" s="365"/>
    </row>
    <row r="715">
      <c r="E715" s="366"/>
      <c r="L715" s="365"/>
    </row>
    <row r="716">
      <c r="E716" s="366"/>
      <c r="L716" s="365"/>
    </row>
    <row r="717">
      <c r="E717" s="366"/>
      <c r="L717" s="365"/>
    </row>
    <row r="718">
      <c r="E718" s="366"/>
      <c r="L718" s="365"/>
    </row>
    <row r="719">
      <c r="E719" s="366"/>
      <c r="L719" s="365"/>
    </row>
    <row r="720">
      <c r="E720" s="366"/>
      <c r="L720" s="365"/>
    </row>
    <row r="721">
      <c r="E721" s="366"/>
      <c r="L721" s="365"/>
    </row>
    <row r="722">
      <c r="E722" s="366"/>
      <c r="L722" s="365"/>
    </row>
    <row r="723">
      <c r="E723" s="366"/>
      <c r="L723" s="365"/>
    </row>
    <row r="724">
      <c r="E724" s="366"/>
      <c r="L724" s="365"/>
    </row>
    <row r="725">
      <c r="E725" s="366"/>
      <c r="L725" s="365"/>
    </row>
    <row r="726">
      <c r="E726" s="366"/>
      <c r="L726" s="365"/>
    </row>
    <row r="727">
      <c r="E727" s="366"/>
      <c r="L727" s="365"/>
    </row>
    <row r="728">
      <c r="E728" s="366"/>
      <c r="L728" s="365"/>
    </row>
    <row r="729">
      <c r="E729" s="366"/>
      <c r="L729" s="365"/>
    </row>
    <row r="730">
      <c r="E730" s="366"/>
      <c r="L730" s="365"/>
    </row>
    <row r="731">
      <c r="E731" s="366"/>
      <c r="L731" s="365"/>
    </row>
    <row r="732">
      <c r="E732" s="366"/>
      <c r="L732" s="365"/>
    </row>
    <row r="733">
      <c r="E733" s="366"/>
      <c r="L733" s="365"/>
    </row>
    <row r="734">
      <c r="E734" s="366"/>
      <c r="L734" s="365"/>
    </row>
    <row r="735">
      <c r="E735" s="366"/>
      <c r="L735" s="365"/>
    </row>
    <row r="736">
      <c r="E736" s="366"/>
      <c r="L736" s="365"/>
    </row>
    <row r="737">
      <c r="E737" s="366"/>
      <c r="L737" s="365"/>
    </row>
    <row r="738">
      <c r="E738" s="366"/>
      <c r="L738" s="365"/>
    </row>
    <row r="739">
      <c r="E739" s="366"/>
      <c r="L739" s="365"/>
    </row>
    <row r="740">
      <c r="E740" s="366"/>
      <c r="L740" s="365"/>
    </row>
    <row r="741">
      <c r="E741" s="366"/>
      <c r="L741" s="365"/>
    </row>
    <row r="742">
      <c r="E742" s="366"/>
      <c r="L742" s="365"/>
    </row>
    <row r="743">
      <c r="E743" s="366"/>
      <c r="L743" s="365"/>
    </row>
    <row r="744">
      <c r="E744" s="366"/>
      <c r="L744" s="365"/>
    </row>
    <row r="745">
      <c r="E745" s="366"/>
      <c r="L745" s="365"/>
    </row>
    <row r="746">
      <c r="E746" s="366"/>
      <c r="L746" s="365"/>
    </row>
    <row r="747">
      <c r="E747" s="366"/>
      <c r="L747" s="365"/>
    </row>
    <row r="748">
      <c r="E748" s="366"/>
      <c r="L748" s="365"/>
    </row>
    <row r="749">
      <c r="E749" s="366"/>
      <c r="L749" s="365"/>
    </row>
    <row r="750">
      <c r="E750" s="366"/>
      <c r="L750" s="365"/>
    </row>
    <row r="751">
      <c r="E751" s="366"/>
      <c r="L751" s="365"/>
    </row>
    <row r="752">
      <c r="E752" s="366"/>
      <c r="L752" s="365"/>
    </row>
    <row r="753">
      <c r="E753" s="366"/>
      <c r="L753" s="365"/>
    </row>
    <row r="754">
      <c r="E754" s="366"/>
      <c r="L754" s="365"/>
    </row>
    <row r="755">
      <c r="E755" s="366"/>
      <c r="L755" s="365"/>
    </row>
    <row r="756">
      <c r="E756" s="366"/>
      <c r="L756" s="365"/>
    </row>
    <row r="757">
      <c r="E757" s="366"/>
      <c r="L757" s="365"/>
    </row>
    <row r="758">
      <c r="E758" s="366"/>
      <c r="L758" s="365"/>
    </row>
    <row r="759">
      <c r="E759" s="366"/>
      <c r="L759" s="365"/>
    </row>
    <row r="760">
      <c r="E760" s="366"/>
      <c r="L760" s="365"/>
    </row>
    <row r="761">
      <c r="E761" s="366"/>
      <c r="L761" s="365"/>
    </row>
    <row r="762">
      <c r="E762" s="366"/>
      <c r="L762" s="365"/>
    </row>
    <row r="763">
      <c r="E763" s="366"/>
      <c r="L763" s="365"/>
    </row>
    <row r="764">
      <c r="E764" s="366"/>
      <c r="L764" s="365"/>
    </row>
    <row r="765">
      <c r="E765" s="366"/>
      <c r="L765" s="365"/>
    </row>
    <row r="766">
      <c r="E766" s="366"/>
      <c r="L766" s="365"/>
    </row>
    <row r="767">
      <c r="E767" s="366"/>
      <c r="L767" s="365"/>
    </row>
    <row r="768">
      <c r="E768" s="366"/>
      <c r="L768" s="365"/>
    </row>
    <row r="769">
      <c r="E769" s="366"/>
      <c r="L769" s="365"/>
    </row>
    <row r="770">
      <c r="E770" s="366"/>
      <c r="L770" s="365"/>
    </row>
    <row r="771">
      <c r="E771" s="366"/>
      <c r="L771" s="365"/>
    </row>
    <row r="772">
      <c r="E772" s="366"/>
      <c r="L772" s="365"/>
    </row>
    <row r="773">
      <c r="E773" s="366"/>
      <c r="L773" s="365"/>
    </row>
    <row r="774">
      <c r="E774" s="366"/>
      <c r="L774" s="365"/>
    </row>
    <row r="775">
      <c r="E775" s="366"/>
      <c r="L775" s="365"/>
    </row>
    <row r="776">
      <c r="E776" s="366"/>
      <c r="L776" s="365"/>
    </row>
    <row r="777">
      <c r="E777" s="366"/>
      <c r="L777" s="365"/>
    </row>
    <row r="778">
      <c r="E778" s="366"/>
      <c r="L778" s="365"/>
    </row>
    <row r="779">
      <c r="E779" s="366"/>
      <c r="L779" s="365"/>
    </row>
    <row r="780">
      <c r="E780" s="366"/>
      <c r="L780" s="365"/>
    </row>
    <row r="781">
      <c r="E781" s="366"/>
      <c r="L781" s="365"/>
    </row>
    <row r="782">
      <c r="E782" s="366"/>
      <c r="L782" s="365"/>
    </row>
    <row r="783">
      <c r="E783" s="366"/>
      <c r="L783" s="365"/>
    </row>
    <row r="784">
      <c r="E784" s="366"/>
      <c r="L784" s="365"/>
    </row>
    <row r="785">
      <c r="E785" s="366"/>
      <c r="L785" s="365"/>
    </row>
    <row r="786">
      <c r="E786" s="366"/>
      <c r="L786" s="365"/>
    </row>
    <row r="787">
      <c r="E787" s="366"/>
      <c r="L787" s="365"/>
    </row>
    <row r="788">
      <c r="E788" s="366"/>
      <c r="L788" s="365"/>
    </row>
    <row r="789">
      <c r="E789" s="366"/>
      <c r="L789" s="365"/>
    </row>
    <row r="790">
      <c r="E790" s="366"/>
      <c r="L790" s="365"/>
    </row>
    <row r="791">
      <c r="E791" s="366"/>
      <c r="L791" s="365"/>
    </row>
    <row r="792">
      <c r="E792" s="366"/>
      <c r="L792" s="365"/>
    </row>
    <row r="793">
      <c r="E793" s="366"/>
      <c r="L793" s="365"/>
    </row>
    <row r="794">
      <c r="E794" s="366"/>
      <c r="L794" s="365"/>
    </row>
    <row r="795">
      <c r="E795" s="366"/>
      <c r="L795" s="365"/>
    </row>
    <row r="796">
      <c r="E796" s="366"/>
      <c r="L796" s="365"/>
    </row>
    <row r="797">
      <c r="E797" s="366"/>
      <c r="L797" s="365"/>
    </row>
    <row r="798">
      <c r="E798" s="366"/>
      <c r="L798" s="365"/>
    </row>
    <row r="799">
      <c r="E799" s="366"/>
      <c r="L799" s="365"/>
    </row>
    <row r="800">
      <c r="E800" s="366"/>
      <c r="L800" s="365"/>
    </row>
    <row r="801">
      <c r="E801" s="366"/>
      <c r="L801" s="365"/>
    </row>
    <row r="802">
      <c r="E802" s="366"/>
      <c r="L802" s="365"/>
    </row>
    <row r="803">
      <c r="E803" s="366"/>
      <c r="L803" s="365"/>
    </row>
    <row r="804">
      <c r="E804" s="366"/>
      <c r="L804" s="365"/>
    </row>
    <row r="805">
      <c r="E805" s="366"/>
      <c r="L805" s="365"/>
    </row>
    <row r="806">
      <c r="E806" s="366"/>
      <c r="L806" s="365"/>
    </row>
    <row r="807">
      <c r="E807" s="366"/>
      <c r="L807" s="365"/>
    </row>
    <row r="808">
      <c r="E808" s="366"/>
      <c r="L808" s="365"/>
    </row>
    <row r="809">
      <c r="E809" s="366"/>
      <c r="L809" s="365"/>
    </row>
    <row r="810">
      <c r="E810" s="366"/>
      <c r="L810" s="365"/>
    </row>
    <row r="811">
      <c r="E811" s="366"/>
      <c r="L811" s="365"/>
    </row>
    <row r="812">
      <c r="E812" s="366"/>
      <c r="L812" s="365"/>
    </row>
    <row r="813">
      <c r="E813" s="366"/>
      <c r="L813" s="365"/>
    </row>
    <row r="814">
      <c r="E814" s="366"/>
      <c r="L814" s="365"/>
    </row>
    <row r="815">
      <c r="E815" s="366"/>
      <c r="L815" s="365"/>
    </row>
    <row r="816">
      <c r="E816" s="366"/>
      <c r="L816" s="365"/>
    </row>
    <row r="817">
      <c r="E817" s="366"/>
      <c r="L817" s="365"/>
    </row>
    <row r="818">
      <c r="E818" s="366"/>
      <c r="L818" s="365"/>
    </row>
    <row r="819">
      <c r="E819" s="366"/>
      <c r="L819" s="365"/>
    </row>
    <row r="820">
      <c r="E820" s="366"/>
      <c r="L820" s="365"/>
    </row>
    <row r="821">
      <c r="E821" s="366"/>
      <c r="L821" s="365"/>
    </row>
    <row r="822">
      <c r="E822" s="366"/>
      <c r="L822" s="365"/>
    </row>
    <row r="823">
      <c r="E823" s="366"/>
      <c r="L823" s="365"/>
    </row>
    <row r="824">
      <c r="E824" s="366"/>
      <c r="L824" s="365"/>
    </row>
  </sheetData>
  <mergeCells count="138">
    <mergeCell ref="B1:H2"/>
    <mergeCell ref="A4:A21"/>
    <mergeCell ref="H26:K26"/>
    <mergeCell ref="H27:K27"/>
    <mergeCell ref="H28:K28"/>
    <mergeCell ref="H29:K29"/>
    <mergeCell ref="H30:K30"/>
    <mergeCell ref="H31:K31"/>
    <mergeCell ref="H32:K32"/>
    <mergeCell ref="H33:K33"/>
    <mergeCell ref="H34:K34"/>
    <mergeCell ref="H35:K35"/>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6:K56"/>
    <mergeCell ref="H57:K57"/>
    <mergeCell ref="H58:K58"/>
    <mergeCell ref="H59:K59"/>
    <mergeCell ref="H60:K60"/>
    <mergeCell ref="H61:K61"/>
    <mergeCell ref="H62:K62"/>
    <mergeCell ref="H63:K63"/>
    <mergeCell ref="H64:K64"/>
    <mergeCell ref="H65:K65"/>
    <mergeCell ref="H66:K66"/>
    <mergeCell ref="H67:K67"/>
    <mergeCell ref="H68:K68"/>
    <mergeCell ref="H69:K69"/>
    <mergeCell ref="H70:K70"/>
    <mergeCell ref="L70:M70"/>
    <mergeCell ref="H71:K71"/>
    <mergeCell ref="L71:M71"/>
    <mergeCell ref="H72:K72"/>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151:K151"/>
    <mergeCell ref="H153:K153"/>
    <mergeCell ref="H154:K154"/>
    <mergeCell ref="H155:K155"/>
    <mergeCell ref="H163:K163"/>
    <mergeCell ref="H164:K164"/>
    <mergeCell ref="H165:K165"/>
    <mergeCell ref="H166:K166"/>
    <mergeCell ref="H167:K167"/>
    <mergeCell ref="H156:K156"/>
    <mergeCell ref="H157:K157"/>
    <mergeCell ref="H158:K158"/>
    <mergeCell ref="H159:K159"/>
    <mergeCell ref="H160:K160"/>
    <mergeCell ref="H161:K161"/>
    <mergeCell ref="H162:K162"/>
    <mergeCell ref="H73:K73"/>
    <mergeCell ref="H74:K74"/>
    <mergeCell ref="H75:K75"/>
    <mergeCell ref="H76:K76"/>
    <mergeCell ref="H77:K77"/>
    <mergeCell ref="H78:K78"/>
    <mergeCell ref="H79:K79"/>
    <mergeCell ref="H80:K80"/>
    <mergeCell ref="H82:K82"/>
    <mergeCell ref="H83:K83"/>
    <mergeCell ref="H84:K84"/>
    <mergeCell ref="H85:K85"/>
    <mergeCell ref="H86:K86"/>
    <mergeCell ref="H87:K87"/>
    <mergeCell ref="H88:K88"/>
    <mergeCell ref="H89:K89"/>
    <mergeCell ref="H90:K90"/>
    <mergeCell ref="H91:K91"/>
    <mergeCell ref="H92:K92"/>
    <mergeCell ref="H93:K93"/>
    <mergeCell ref="H94:K94"/>
    <mergeCell ref="H95:K95"/>
    <mergeCell ref="H96:K96"/>
    <mergeCell ref="H97:K97"/>
    <mergeCell ref="H98:K98"/>
    <mergeCell ref="H99:K99"/>
    <mergeCell ref="H101:K101"/>
    <mergeCell ref="H102:K102"/>
    <mergeCell ref="H103:K103"/>
    <mergeCell ref="H104:K104"/>
    <mergeCell ref="H105:K105"/>
    <mergeCell ref="H106:K106"/>
    <mergeCell ref="H107:K107"/>
    <mergeCell ref="H108:K108"/>
    <mergeCell ref="H109:K109"/>
    <mergeCell ref="H110:K110"/>
    <mergeCell ref="H111:K111"/>
    <mergeCell ref="H112:K112"/>
    <mergeCell ref="H113:K113"/>
    <mergeCell ref="H114:K114"/>
    <mergeCell ref="H115:K115"/>
    <mergeCell ref="H119:K119"/>
    <mergeCell ref="H120:K120"/>
    <mergeCell ref="H121:K121"/>
    <mergeCell ref="H122:K122"/>
    <mergeCell ref="H123:K123"/>
    <mergeCell ref="H124:K124"/>
    <mergeCell ref="H125:K125"/>
    <mergeCell ref="H126:K126"/>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8" width="21.75"/>
    <col customWidth="1" min="9" max="9" width="11.38"/>
    <col customWidth="1" min="12" max="12" width="16.63"/>
  </cols>
  <sheetData>
    <row r="1">
      <c r="A1" s="352"/>
      <c r="B1" s="522" t="s">
        <v>8802</v>
      </c>
      <c r="I1" s="352"/>
      <c r="L1" s="768"/>
    </row>
    <row r="2">
      <c r="A2" s="352"/>
      <c r="I2" s="352"/>
      <c r="L2" s="768"/>
    </row>
    <row r="3">
      <c r="A3" s="352"/>
      <c r="B3" s="524" t="s">
        <v>63</v>
      </c>
      <c r="C3" s="524" t="s">
        <v>122</v>
      </c>
      <c r="D3" s="524" t="s">
        <v>4168</v>
      </c>
      <c r="E3" s="525" t="s">
        <v>109</v>
      </c>
      <c r="F3" s="524" t="s">
        <v>51</v>
      </c>
      <c r="G3" s="524" t="s">
        <v>72</v>
      </c>
      <c r="H3" s="524" t="s">
        <v>103</v>
      </c>
      <c r="I3" s="352"/>
      <c r="L3" s="768"/>
    </row>
    <row r="4">
      <c r="A4" s="694" t="s">
        <v>6524</v>
      </c>
      <c r="B4" s="695" t="s">
        <v>8803</v>
      </c>
      <c r="C4" s="695" t="s">
        <v>8216</v>
      </c>
      <c r="D4" s="540"/>
      <c r="E4" s="695" t="s">
        <v>8228</v>
      </c>
      <c r="F4" s="697" t="s">
        <v>47</v>
      </c>
      <c r="G4" s="697" t="s">
        <v>69</v>
      </c>
      <c r="H4" s="695" t="s">
        <v>8225</v>
      </c>
      <c r="I4" s="352"/>
      <c r="L4" s="768"/>
    </row>
    <row r="5">
      <c r="A5" s="401"/>
      <c r="B5" s="697" t="s">
        <v>8246</v>
      </c>
      <c r="C5" s="695" t="s">
        <v>8222</v>
      </c>
      <c r="E5" s="697" t="s">
        <v>108</v>
      </c>
      <c r="F5" s="698" t="s">
        <v>1390</v>
      </c>
      <c r="G5" s="697" t="s">
        <v>8230</v>
      </c>
      <c r="H5" s="695" t="s">
        <v>8231</v>
      </c>
      <c r="I5" s="352"/>
      <c r="L5" s="768"/>
    </row>
    <row r="6">
      <c r="A6" s="401"/>
      <c r="B6" s="697" t="s">
        <v>96</v>
      </c>
      <c r="C6" s="695" t="s">
        <v>8227</v>
      </c>
      <c r="D6" s="696"/>
      <c r="E6" s="698" t="s">
        <v>1440</v>
      </c>
      <c r="F6" s="698" t="s">
        <v>6885</v>
      </c>
      <c r="G6" s="699"/>
      <c r="H6" s="695" t="s">
        <v>8234</v>
      </c>
      <c r="I6" s="352"/>
      <c r="L6" s="768"/>
    </row>
    <row r="7">
      <c r="A7" s="401"/>
      <c r="B7" s="697" t="s">
        <v>8625</v>
      </c>
      <c r="C7" s="695" t="s">
        <v>621</v>
      </c>
      <c r="D7" s="696"/>
      <c r="E7" s="703" t="s">
        <v>2827</v>
      </c>
      <c r="F7" s="698" t="s">
        <v>2266</v>
      </c>
      <c r="G7" s="699"/>
      <c r="H7" s="695" t="s">
        <v>8238</v>
      </c>
      <c r="I7" s="352"/>
      <c r="L7" s="768"/>
    </row>
    <row r="8">
      <c r="A8" s="401"/>
      <c r="B8" s="697" t="s">
        <v>62</v>
      </c>
      <c r="C8" s="695" t="s">
        <v>8237</v>
      </c>
      <c r="D8" s="542"/>
      <c r="E8" s="702"/>
      <c r="F8" s="701"/>
      <c r="G8" s="699"/>
      <c r="H8" s="697" t="s">
        <v>7288</v>
      </c>
      <c r="I8" s="352"/>
      <c r="L8" s="768"/>
    </row>
    <row r="9">
      <c r="A9" s="401"/>
      <c r="B9" s="697" t="s">
        <v>8247</v>
      </c>
      <c r="C9" s="698" t="s">
        <v>1416</v>
      </c>
      <c r="D9" s="700"/>
      <c r="E9" s="702"/>
      <c r="F9" s="701"/>
      <c r="G9" s="547"/>
      <c r="H9" s="697" t="s">
        <v>135</v>
      </c>
      <c r="I9" s="352"/>
      <c r="L9" s="768"/>
    </row>
    <row r="10">
      <c r="A10" s="401"/>
      <c r="B10" s="698" t="s">
        <v>1382</v>
      </c>
      <c r="C10" s="698" t="s">
        <v>1454</v>
      </c>
      <c r="D10" s="700"/>
      <c r="E10" s="702"/>
      <c r="G10" s="547"/>
      <c r="H10" s="697" t="s">
        <v>102</v>
      </c>
      <c r="I10" s="352"/>
      <c r="L10" s="768"/>
    </row>
    <row r="11">
      <c r="A11" s="401"/>
      <c r="B11" s="698" t="s">
        <v>8804</v>
      </c>
      <c r="C11" s="698" t="s">
        <v>1446</v>
      </c>
      <c r="D11" s="700"/>
      <c r="E11" s="702"/>
      <c r="F11" s="701"/>
      <c r="G11" s="547"/>
      <c r="H11" s="547"/>
      <c r="I11" s="352"/>
      <c r="L11" s="768"/>
    </row>
    <row r="12">
      <c r="A12" s="401"/>
      <c r="B12" s="701"/>
      <c r="D12" s="700"/>
      <c r="E12" s="702"/>
      <c r="F12" s="701"/>
      <c r="G12" s="547"/>
      <c r="H12" s="547"/>
      <c r="I12" s="352"/>
      <c r="L12" s="768"/>
    </row>
    <row r="13">
      <c r="A13" s="401"/>
      <c r="B13" s="701"/>
      <c r="C13" s="700"/>
      <c r="D13" s="700"/>
      <c r="E13" s="702"/>
      <c r="F13" s="547"/>
      <c r="G13" s="547"/>
      <c r="H13" s="547"/>
      <c r="I13" s="352"/>
      <c r="L13" s="768"/>
    </row>
    <row r="14">
      <c r="A14" s="401"/>
      <c r="B14" s="701"/>
      <c r="C14" s="700"/>
      <c r="D14" s="700"/>
      <c r="E14" s="702"/>
      <c r="F14" s="547"/>
      <c r="G14" s="547"/>
      <c r="H14" s="547"/>
      <c r="I14" s="352"/>
      <c r="L14" s="768"/>
    </row>
    <row r="15">
      <c r="A15" s="401"/>
      <c r="B15" s="701"/>
      <c r="C15" s="700"/>
      <c r="D15" s="700"/>
      <c r="E15" s="702"/>
      <c r="F15" s="547"/>
      <c r="G15" s="547"/>
      <c r="H15" s="547"/>
      <c r="I15" s="352"/>
      <c r="L15" s="768"/>
    </row>
    <row r="16">
      <c r="A16" s="401"/>
      <c r="B16" s="701"/>
      <c r="C16" s="547"/>
      <c r="D16" s="547"/>
      <c r="E16" s="548"/>
      <c r="F16" s="547"/>
      <c r="G16" s="547"/>
      <c r="H16" s="547"/>
      <c r="I16" s="352"/>
      <c r="L16" s="768"/>
    </row>
    <row r="17">
      <c r="A17" s="401"/>
      <c r="B17" s="701"/>
      <c r="C17" s="547"/>
      <c r="D17" s="547"/>
      <c r="E17" s="695" t="s">
        <v>8195</v>
      </c>
      <c r="F17" s="547"/>
      <c r="G17" s="547"/>
      <c r="H17" s="547"/>
      <c r="I17" s="352"/>
      <c r="L17" s="768"/>
    </row>
    <row r="18">
      <c r="A18" s="401"/>
      <c r="B18" s="701"/>
      <c r="C18" s="547"/>
      <c r="D18" s="547"/>
      <c r="E18" s="697" t="s">
        <v>8197</v>
      </c>
      <c r="F18" s="547"/>
      <c r="G18" s="547"/>
      <c r="H18" s="547"/>
      <c r="I18" s="352"/>
      <c r="L18" s="768"/>
    </row>
    <row r="19">
      <c r="A19" s="401"/>
      <c r="B19" s="701"/>
      <c r="C19" s="547"/>
      <c r="D19" s="547"/>
      <c r="E19" s="698" t="s">
        <v>8199</v>
      </c>
      <c r="F19" s="547"/>
      <c r="G19" s="547"/>
      <c r="H19" s="547"/>
      <c r="I19" s="352"/>
      <c r="L19" s="768"/>
    </row>
    <row r="20">
      <c r="A20" s="401"/>
      <c r="B20" s="554"/>
      <c r="C20" s="547"/>
      <c r="D20" s="547"/>
      <c r="E20" s="703" t="s">
        <v>8200</v>
      </c>
      <c r="F20" s="547"/>
      <c r="G20" s="547"/>
      <c r="H20" s="547"/>
      <c r="I20" s="556"/>
      <c r="L20" s="768"/>
    </row>
    <row r="21">
      <c r="A21" s="403"/>
      <c r="B21" s="554"/>
      <c r="C21" s="554"/>
      <c r="D21" s="554"/>
      <c r="E21" s="557"/>
      <c r="F21" s="554"/>
      <c r="G21" s="554"/>
      <c r="H21" s="547"/>
      <c r="I21" s="559" t="s">
        <v>8202</v>
      </c>
      <c r="L21" s="768"/>
    </row>
    <row r="22">
      <c r="A22" s="704" t="s">
        <v>8202</v>
      </c>
      <c r="B22" s="561">
        <f>COUNTA(B4:B21)</f>
        <v>8</v>
      </c>
      <c r="C22" s="561">
        <f t="shared" ref="C22:D22" si="1">COUNTA(C4:C20)</f>
        <v>8</v>
      </c>
      <c r="D22" s="561">
        <f t="shared" si="1"/>
        <v>0</v>
      </c>
      <c r="E22" s="562">
        <f>COUNTA(E4:E15)</f>
        <v>4</v>
      </c>
      <c r="F22" s="705">
        <f t="shared" ref="F22:H22" si="2">COUNTA(F4:F20)</f>
        <v>4</v>
      </c>
      <c r="G22" s="561">
        <f t="shared" si="2"/>
        <v>2</v>
      </c>
      <c r="H22" s="561">
        <f t="shared" si="2"/>
        <v>7</v>
      </c>
      <c r="I22" s="564">
        <f>SUM(B22:H22)</f>
        <v>33</v>
      </c>
      <c r="L22" s="768"/>
    </row>
    <row r="23">
      <c r="A23" s="352"/>
      <c r="B23" s="352"/>
      <c r="C23" s="352"/>
      <c r="E23" s="366"/>
      <c r="H23" s="352"/>
      <c r="I23" s="352"/>
      <c r="L23" s="768"/>
    </row>
    <row r="24">
      <c r="A24" s="352"/>
      <c r="B24" s="352"/>
      <c r="C24" s="352"/>
      <c r="E24" s="366"/>
      <c r="H24" s="352"/>
      <c r="I24" s="352"/>
      <c r="L24" s="768"/>
    </row>
    <row r="25">
      <c r="E25" s="366"/>
      <c r="L25" s="768"/>
    </row>
    <row r="26">
      <c r="A26" s="706" t="s">
        <v>122</v>
      </c>
      <c r="B26" s="567" t="s">
        <v>7</v>
      </c>
      <c r="C26" s="567" t="s">
        <v>8206</v>
      </c>
      <c r="D26" s="567" t="s">
        <v>8248</v>
      </c>
      <c r="E26" s="568" t="s">
        <v>23</v>
      </c>
      <c r="F26" s="567" t="s">
        <v>27</v>
      </c>
      <c r="G26" s="567" t="s">
        <v>28</v>
      </c>
      <c r="H26" s="567" t="s">
        <v>30</v>
      </c>
      <c r="L26" s="768"/>
    </row>
    <row r="27">
      <c r="A27" s="575">
        <v>1.0</v>
      </c>
      <c r="B27" s="575" t="s">
        <v>5515</v>
      </c>
      <c r="C27" s="575" t="s">
        <v>543</v>
      </c>
      <c r="D27" s="579" t="s">
        <v>8805</v>
      </c>
      <c r="E27" s="579"/>
      <c r="F27" s="290"/>
      <c r="G27" s="446"/>
      <c r="H27" s="582" t="s">
        <v>5519</v>
      </c>
      <c r="L27" s="768"/>
    </row>
    <row r="28">
      <c r="A28" s="575">
        <v>2.0</v>
      </c>
      <c r="B28" s="575" t="s">
        <v>5319</v>
      </c>
      <c r="C28" s="575" t="s">
        <v>52</v>
      </c>
      <c r="D28" s="579" t="s">
        <v>8806</v>
      </c>
      <c r="E28" s="579">
        <v>4.3</v>
      </c>
      <c r="F28" s="290"/>
      <c r="G28" s="446"/>
      <c r="H28" s="582" t="s">
        <v>8807</v>
      </c>
      <c r="L28" s="768"/>
    </row>
    <row r="29">
      <c r="A29" s="575"/>
      <c r="B29" s="575"/>
      <c r="C29" s="575"/>
      <c r="D29" s="579"/>
      <c r="E29" s="579"/>
      <c r="F29" s="290"/>
      <c r="G29" s="446"/>
      <c r="H29" s="582"/>
      <c r="L29" s="768"/>
    </row>
    <row r="30">
      <c r="A30" s="575"/>
      <c r="B30" s="575"/>
      <c r="C30" s="575"/>
      <c r="D30" s="579"/>
      <c r="E30" s="579"/>
      <c r="F30" s="290"/>
      <c r="G30" s="446"/>
      <c r="H30" s="582"/>
      <c r="L30" s="768"/>
    </row>
    <row r="31">
      <c r="A31" s="706" t="s">
        <v>63</v>
      </c>
      <c r="B31" s="567" t="s">
        <v>7</v>
      </c>
      <c r="C31" s="567" t="s">
        <v>8206</v>
      </c>
      <c r="D31" s="568" t="s">
        <v>8248</v>
      </c>
      <c r="E31" s="568" t="s">
        <v>23</v>
      </c>
      <c r="F31" s="567" t="s">
        <v>27</v>
      </c>
      <c r="G31" s="567" t="s">
        <v>28</v>
      </c>
      <c r="H31" s="568" t="s">
        <v>30</v>
      </c>
      <c r="L31" s="768"/>
    </row>
    <row r="32">
      <c r="A32" s="575">
        <v>2.0</v>
      </c>
      <c r="B32" s="575" t="s">
        <v>2863</v>
      </c>
      <c r="C32" s="575" t="s">
        <v>73</v>
      </c>
      <c r="D32" s="579" t="s">
        <v>8808</v>
      </c>
      <c r="E32" s="579">
        <v>4.2</v>
      </c>
      <c r="F32" s="290"/>
      <c r="G32" s="446"/>
      <c r="H32" s="582" t="s">
        <v>2867</v>
      </c>
      <c r="L32" s="768"/>
    </row>
    <row r="33">
      <c r="A33" s="575">
        <v>1.0</v>
      </c>
      <c r="B33" s="575" t="s">
        <v>5430</v>
      </c>
      <c r="C33" s="575" t="s">
        <v>502</v>
      </c>
      <c r="D33" s="579" t="s">
        <v>8809</v>
      </c>
      <c r="E33" s="579">
        <v>4.24</v>
      </c>
      <c r="F33" s="290"/>
      <c r="G33" s="446"/>
      <c r="H33" s="582" t="s">
        <v>8810</v>
      </c>
      <c r="L33" s="768"/>
    </row>
    <row r="34">
      <c r="A34" s="575">
        <v>1.0</v>
      </c>
      <c r="B34" s="575" t="s">
        <v>5487</v>
      </c>
      <c r="C34" s="575" t="s">
        <v>502</v>
      </c>
      <c r="D34" s="579" t="s">
        <v>8811</v>
      </c>
      <c r="E34" s="579">
        <v>4.1</v>
      </c>
      <c r="F34" s="290"/>
      <c r="G34" s="446"/>
      <c r="H34" s="582" t="s">
        <v>8812</v>
      </c>
      <c r="L34" s="768"/>
    </row>
    <row r="35">
      <c r="A35" s="575">
        <v>2.0</v>
      </c>
      <c r="B35" s="575" t="s">
        <v>3266</v>
      </c>
      <c r="C35" s="575" t="s">
        <v>585</v>
      </c>
      <c r="D35" s="579" t="s">
        <v>8813</v>
      </c>
      <c r="E35" s="579" t="s">
        <v>3269</v>
      </c>
      <c r="F35" s="290"/>
      <c r="G35" s="446"/>
      <c r="H35" s="582" t="s">
        <v>3270</v>
      </c>
      <c r="L35" s="768"/>
    </row>
    <row r="36">
      <c r="A36" s="575">
        <v>2.0</v>
      </c>
      <c r="B36" s="575" t="s">
        <v>5278</v>
      </c>
      <c r="C36" s="575" t="s">
        <v>66</v>
      </c>
      <c r="D36" s="579" t="s">
        <v>8814</v>
      </c>
      <c r="E36" s="579" t="s">
        <v>5281</v>
      </c>
      <c r="F36" s="290"/>
      <c r="G36" s="446"/>
      <c r="H36" s="582" t="s">
        <v>5282</v>
      </c>
      <c r="L36" s="768"/>
    </row>
    <row r="37">
      <c r="A37" s="575">
        <v>1.0</v>
      </c>
      <c r="B37" s="575" t="s">
        <v>5343</v>
      </c>
      <c r="C37" s="575" t="s">
        <v>52</v>
      </c>
      <c r="D37" s="579" t="s">
        <v>8815</v>
      </c>
      <c r="E37" s="579">
        <v>3.9</v>
      </c>
      <c r="F37" s="290"/>
      <c r="G37" s="446"/>
      <c r="H37" s="582" t="s">
        <v>8816</v>
      </c>
      <c r="L37" s="768"/>
    </row>
    <row r="38">
      <c r="A38" s="290"/>
      <c r="B38" s="575"/>
      <c r="C38" s="575"/>
      <c r="D38" s="579"/>
      <c r="E38" s="579"/>
      <c r="F38" s="290"/>
      <c r="G38" s="446"/>
      <c r="H38" s="582"/>
      <c r="L38" s="768"/>
    </row>
    <row r="39">
      <c r="A39" s="706" t="s">
        <v>109</v>
      </c>
      <c r="B39" s="567" t="s">
        <v>7</v>
      </c>
      <c r="C39" s="567" t="s">
        <v>8206</v>
      </c>
      <c r="D39" s="568" t="s">
        <v>8248</v>
      </c>
      <c r="E39" s="568" t="s">
        <v>23</v>
      </c>
      <c r="F39" s="567" t="s">
        <v>27</v>
      </c>
      <c r="G39" s="567" t="s">
        <v>28</v>
      </c>
      <c r="H39" s="568" t="s">
        <v>30</v>
      </c>
      <c r="L39" s="768"/>
    </row>
    <row r="40">
      <c r="A40" s="707">
        <v>0.0</v>
      </c>
      <c r="B40" s="707" t="s">
        <v>2827</v>
      </c>
      <c r="C40" s="707" t="s">
        <v>240</v>
      </c>
      <c r="D40" s="708" t="s">
        <v>2829</v>
      </c>
      <c r="E40" s="708"/>
      <c r="F40" s="707" t="s">
        <v>2830</v>
      </c>
      <c r="G40" s="709"/>
      <c r="H40" s="710" t="s">
        <v>2831</v>
      </c>
      <c r="L40" s="769"/>
      <c r="M40" s="712"/>
      <c r="N40" s="712"/>
      <c r="O40" s="712"/>
      <c r="P40" s="712"/>
      <c r="Q40" s="712"/>
      <c r="R40" s="712"/>
      <c r="S40" s="712"/>
      <c r="T40" s="712"/>
      <c r="U40" s="712"/>
      <c r="V40" s="712"/>
      <c r="W40" s="712"/>
      <c r="X40" s="712"/>
      <c r="Y40" s="712"/>
      <c r="Z40" s="712"/>
    </row>
    <row r="41">
      <c r="A41" s="575">
        <v>1.0</v>
      </c>
      <c r="B41" s="575" t="s">
        <v>3468</v>
      </c>
      <c r="C41" s="575" t="s">
        <v>286</v>
      </c>
      <c r="D41" s="579" t="s">
        <v>8817</v>
      </c>
      <c r="E41" s="579">
        <v>4.69</v>
      </c>
      <c r="F41" s="290"/>
      <c r="G41" s="446"/>
      <c r="H41" s="582" t="s">
        <v>3472</v>
      </c>
      <c r="L41" s="768"/>
    </row>
    <row r="42">
      <c r="A42" s="575">
        <v>1.0</v>
      </c>
      <c r="B42" s="575" t="s">
        <v>5531</v>
      </c>
      <c r="C42" s="575" t="s">
        <v>125</v>
      </c>
      <c r="D42" s="579" t="s">
        <v>8818</v>
      </c>
      <c r="E42" s="579">
        <v>4.0</v>
      </c>
      <c r="F42" s="290"/>
      <c r="G42" s="446"/>
      <c r="H42" s="582" t="s">
        <v>5535</v>
      </c>
      <c r="L42" s="770" t="s">
        <v>5471</v>
      </c>
    </row>
    <row r="43">
      <c r="A43" s="575">
        <v>1.0</v>
      </c>
      <c r="B43" s="575" t="s">
        <v>5468</v>
      </c>
      <c r="C43" s="575" t="s">
        <v>66</v>
      </c>
      <c r="D43" s="579" t="s">
        <v>8632</v>
      </c>
      <c r="E43" s="579">
        <v>4.875</v>
      </c>
      <c r="F43" s="290"/>
      <c r="G43" s="446"/>
      <c r="H43" s="582" t="s">
        <v>8819</v>
      </c>
      <c r="L43" s="770" t="s">
        <v>5471</v>
      </c>
    </row>
    <row r="44">
      <c r="A44" s="290"/>
      <c r="B44" s="575"/>
      <c r="C44" s="575"/>
      <c r="D44" s="579"/>
      <c r="E44" s="579"/>
      <c r="F44" s="290"/>
      <c r="G44" s="446"/>
      <c r="H44" s="582"/>
      <c r="L44" s="768"/>
    </row>
    <row r="45">
      <c r="A45" s="706" t="s">
        <v>48</v>
      </c>
      <c r="B45" s="567" t="s">
        <v>7</v>
      </c>
      <c r="C45" s="567" t="s">
        <v>8206</v>
      </c>
      <c r="D45" s="568" t="s">
        <v>8248</v>
      </c>
      <c r="E45" s="568" t="s">
        <v>23</v>
      </c>
      <c r="F45" s="567" t="s">
        <v>27</v>
      </c>
      <c r="G45" s="567" t="s">
        <v>28</v>
      </c>
      <c r="H45" s="568" t="s">
        <v>30</v>
      </c>
      <c r="L45" s="320"/>
    </row>
    <row r="46">
      <c r="A46" s="575">
        <v>1.0</v>
      </c>
      <c r="B46" s="575" t="s">
        <v>8820</v>
      </c>
      <c r="C46" s="575" t="s">
        <v>66</v>
      </c>
      <c r="D46" s="579" t="s">
        <v>8821</v>
      </c>
      <c r="E46" s="579">
        <v>3.75</v>
      </c>
      <c r="F46" s="290"/>
      <c r="G46" s="446"/>
      <c r="H46" s="582" t="s">
        <v>8822</v>
      </c>
      <c r="L46" s="768"/>
    </row>
    <row r="47">
      <c r="A47" s="575">
        <v>1.0</v>
      </c>
      <c r="B47" s="575" t="s">
        <v>8823</v>
      </c>
      <c r="C47" s="575" t="s">
        <v>43</v>
      </c>
      <c r="D47" s="579" t="s">
        <v>8824</v>
      </c>
      <c r="E47" s="579">
        <v>4.0</v>
      </c>
      <c r="F47" s="290"/>
      <c r="G47" s="446"/>
      <c r="H47" s="582" t="s">
        <v>4803</v>
      </c>
      <c r="L47" s="770"/>
    </row>
    <row r="48">
      <c r="A48" s="575">
        <v>1.0</v>
      </c>
      <c r="B48" s="575" t="s">
        <v>8825</v>
      </c>
      <c r="C48" s="575" t="s">
        <v>585</v>
      </c>
      <c r="D48" s="579" t="s">
        <v>8826</v>
      </c>
      <c r="E48" s="579">
        <v>3.9</v>
      </c>
      <c r="F48" s="290"/>
      <c r="G48" s="446"/>
      <c r="H48" s="582" t="s">
        <v>5633</v>
      </c>
      <c r="L48" s="770"/>
    </row>
    <row r="49">
      <c r="A49" s="575">
        <v>1.0</v>
      </c>
      <c r="B49" s="575" t="s">
        <v>8827</v>
      </c>
      <c r="C49" s="575" t="s">
        <v>66</v>
      </c>
      <c r="D49" s="579" t="s">
        <v>8828</v>
      </c>
      <c r="E49" s="579" t="s">
        <v>5412</v>
      </c>
      <c r="F49" s="290"/>
      <c r="G49" s="446"/>
      <c r="H49" s="582" t="s">
        <v>8829</v>
      </c>
      <c r="L49" s="768"/>
    </row>
    <row r="50">
      <c r="A50" s="575">
        <v>1.0</v>
      </c>
      <c r="B50" s="575" t="s">
        <v>8830</v>
      </c>
      <c r="C50" s="575" t="s">
        <v>8831</v>
      </c>
      <c r="D50" s="579" t="s">
        <v>8832</v>
      </c>
      <c r="E50" s="579">
        <v>3.9</v>
      </c>
      <c r="F50" s="290"/>
      <c r="G50" s="446"/>
      <c r="H50" s="582" t="s">
        <v>5073</v>
      </c>
      <c r="L50" s="768"/>
    </row>
    <row r="51">
      <c r="A51" s="575">
        <v>2.0</v>
      </c>
      <c r="B51" s="575" t="s">
        <v>8833</v>
      </c>
      <c r="C51" s="575" t="s">
        <v>66</v>
      </c>
      <c r="D51" s="579" t="s">
        <v>8834</v>
      </c>
      <c r="E51" s="579" t="s">
        <v>5216</v>
      </c>
      <c r="F51" s="290"/>
      <c r="G51" s="446"/>
      <c r="H51" s="582" t="s">
        <v>8835</v>
      </c>
      <c r="L51" s="768"/>
    </row>
    <row r="52">
      <c r="A52" s="575">
        <v>3.0</v>
      </c>
      <c r="B52" s="575" t="s">
        <v>8836</v>
      </c>
      <c r="C52" s="575" t="s">
        <v>502</v>
      </c>
      <c r="D52" s="579" t="s">
        <v>8837</v>
      </c>
      <c r="E52" s="579" t="s">
        <v>1836</v>
      </c>
      <c r="F52" s="290"/>
      <c r="G52" s="446"/>
      <c r="H52" s="582" t="s">
        <v>3685</v>
      </c>
      <c r="L52" s="768"/>
    </row>
    <row r="53">
      <c r="A53" s="575"/>
      <c r="B53" s="575"/>
      <c r="C53" s="575"/>
      <c r="D53" s="579"/>
      <c r="E53" s="579"/>
      <c r="F53" s="290"/>
      <c r="G53" s="446"/>
      <c r="H53" s="582"/>
      <c r="L53" s="768"/>
    </row>
    <row r="54">
      <c r="A54" s="706" t="s">
        <v>103</v>
      </c>
      <c r="B54" s="567" t="s">
        <v>7</v>
      </c>
      <c r="C54" s="567" t="s">
        <v>8206</v>
      </c>
      <c r="D54" s="568" t="s">
        <v>8248</v>
      </c>
      <c r="E54" s="568" t="s">
        <v>23</v>
      </c>
      <c r="F54" s="567" t="s">
        <v>27</v>
      </c>
      <c r="G54" s="567" t="s">
        <v>28</v>
      </c>
      <c r="H54" s="568" t="s">
        <v>30</v>
      </c>
      <c r="L54" s="768"/>
    </row>
    <row r="55">
      <c r="A55" s="575">
        <v>1.0</v>
      </c>
      <c r="B55" s="575" t="s">
        <v>4179</v>
      </c>
      <c r="C55" s="575" t="s">
        <v>66</v>
      </c>
      <c r="D55" s="579" t="s">
        <v>8838</v>
      </c>
      <c r="E55" s="579" t="s">
        <v>1836</v>
      </c>
      <c r="F55" s="290"/>
      <c r="G55" s="446"/>
      <c r="H55" s="582" t="s">
        <v>8839</v>
      </c>
      <c r="L55" s="768"/>
    </row>
    <row r="56">
      <c r="A56" s="575">
        <v>1.0</v>
      </c>
      <c r="B56" s="575" t="s">
        <v>5890</v>
      </c>
      <c r="C56" s="575" t="s">
        <v>43</v>
      </c>
      <c r="D56" s="579" t="s">
        <v>8840</v>
      </c>
      <c r="E56" s="579" t="s">
        <v>5893</v>
      </c>
      <c r="F56" s="290"/>
      <c r="G56" s="446"/>
      <c r="H56" s="582" t="s">
        <v>5894</v>
      </c>
      <c r="L56" s="768"/>
    </row>
    <row r="57">
      <c r="A57" s="575">
        <v>1.0</v>
      </c>
      <c r="B57" s="575" t="s">
        <v>2926</v>
      </c>
      <c r="C57" s="575" t="s">
        <v>43</v>
      </c>
      <c r="D57" s="579" t="s">
        <v>8841</v>
      </c>
      <c r="E57" s="579" t="s">
        <v>2930</v>
      </c>
      <c r="F57" s="290"/>
      <c r="G57" s="446"/>
      <c r="H57" s="582" t="s">
        <v>8842</v>
      </c>
      <c r="L57" s="768"/>
    </row>
    <row r="58">
      <c r="A58" s="575">
        <v>3.0</v>
      </c>
      <c r="B58" s="575" t="s">
        <v>5848</v>
      </c>
      <c r="C58" s="575" t="s">
        <v>66</v>
      </c>
      <c r="D58" s="579" t="s">
        <v>8838</v>
      </c>
      <c r="E58" s="579" t="s">
        <v>1836</v>
      </c>
      <c r="F58" s="290"/>
      <c r="G58" s="446"/>
      <c r="H58" s="582" t="s">
        <v>8843</v>
      </c>
      <c r="L58" s="768"/>
    </row>
    <row r="59">
      <c r="A59" s="575">
        <v>1.0</v>
      </c>
      <c r="B59" s="575" t="s">
        <v>5421</v>
      </c>
      <c r="C59" s="575" t="s">
        <v>112</v>
      </c>
      <c r="D59" s="579" t="s">
        <v>8844</v>
      </c>
      <c r="E59" s="579" t="s">
        <v>5426</v>
      </c>
      <c r="F59" s="290"/>
      <c r="G59" s="446"/>
      <c r="H59" s="582" t="s">
        <v>8845</v>
      </c>
      <c r="L59" s="770"/>
    </row>
    <row r="60">
      <c r="A60" s="575">
        <v>1.0</v>
      </c>
      <c r="B60" s="575" t="s">
        <v>5968</v>
      </c>
      <c r="C60" s="575" t="s">
        <v>240</v>
      </c>
      <c r="D60" s="579" t="s">
        <v>8846</v>
      </c>
      <c r="E60" s="579" t="s">
        <v>5426</v>
      </c>
      <c r="F60" s="290"/>
      <c r="G60" s="446"/>
      <c r="H60" s="582" t="s">
        <v>5973</v>
      </c>
      <c r="L60" s="768"/>
    </row>
    <row r="61">
      <c r="A61" s="575">
        <v>2.0</v>
      </c>
      <c r="B61" s="575" t="s">
        <v>3182</v>
      </c>
      <c r="C61" s="575" t="s">
        <v>502</v>
      </c>
      <c r="D61" s="579" t="s">
        <v>8847</v>
      </c>
      <c r="E61" s="579" t="s">
        <v>1836</v>
      </c>
      <c r="F61" s="290"/>
      <c r="G61" s="446"/>
      <c r="H61" s="582" t="s">
        <v>3185</v>
      </c>
      <c r="L61" s="768"/>
    </row>
    <row r="62">
      <c r="A62" s="575">
        <v>2.0</v>
      </c>
      <c r="B62" s="575" t="s">
        <v>5200</v>
      </c>
      <c r="C62" s="575" t="s">
        <v>66</v>
      </c>
      <c r="D62" s="579" t="s">
        <v>8848</v>
      </c>
      <c r="E62" s="579">
        <v>4.0</v>
      </c>
      <c r="F62" s="290"/>
      <c r="G62" s="446"/>
      <c r="H62" s="582" t="s">
        <v>5204</v>
      </c>
      <c r="L62" s="768"/>
    </row>
    <row r="63">
      <c r="A63" s="575">
        <v>1.0</v>
      </c>
      <c r="B63" s="575" t="s">
        <v>4731</v>
      </c>
      <c r="C63" s="575" t="s">
        <v>66</v>
      </c>
      <c r="D63" s="579" t="s">
        <v>8632</v>
      </c>
      <c r="E63" s="579" t="s">
        <v>1836</v>
      </c>
      <c r="F63" s="290"/>
      <c r="G63" s="446"/>
      <c r="H63" s="582" t="s">
        <v>8849</v>
      </c>
      <c r="L63" s="768"/>
    </row>
    <row r="64">
      <c r="A64" s="575"/>
      <c r="B64" s="575"/>
      <c r="C64" s="575"/>
      <c r="D64" s="579"/>
      <c r="E64" s="579"/>
      <c r="F64" s="290"/>
      <c r="G64" s="446"/>
      <c r="H64" s="582"/>
      <c r="I64" s="582"/>
      <c r="J64" s="582"/>
      <c r="K64" s="582"/>
      <c r="L64" s="768"/>
    </row>
    <row r="65">
      <c r="A65" s="637"/>
      <c r="B65" s="307"/>
      <c r="C65" s="307"/>
      <c r="D65" s="638"/>
      <c r="E65" s="762"/>
      <c r="F65" s="307"/>
      <c r="G65" s="307"/>
      <c r="H65" s="641"/>
      <c r="I65" s="642"/>
      <c r="J65" s="642"/>
      <c r="K65" s="642"/>
      <c r="L65" s="768"/>
    </row>
    <row r="66">
      <c r="A66" s="637" t="s">
        <v>8356</v>
      </c>
      <c r="B66" s="307"/>
      <c r="C66" s="307"/>
      <c r="D66" s="638"/>
      <c r="E66" s="762"/>
      <c r="F66" s="307"/>
      <c r="G66" s="307"/>
      <c r="H66" s="642"/>
      <c r="L66" s="768"/>
    </row>
    <row r="67">
      <c r="E67" s="366"/>
      <c r="H67" s="366"/>
      <c r="I67" s="366"/>
      <c r="J67" s="366"/>
      <c r="K67" s="366"/>
      <c r="L67" s="768"/>
    </row>
    <row r="68">
      <c r="E68" s="366"/>
      <c r="H68" s="366"/>
      <c r="I68" s="366"/>
      <c r="J68" s="366"/>
      <c r="K68" s="366"/>
      <c r="L68" s="768"/>
    </row>
    <row r="69">
      <c r="E69" s="366"/>
      <c r="H69" s="366"/>
      <c r="I69" s="366"/>
      <c r="J69" s="366"/>
      <c r="K69" s="366"/>
      <c r="L69" s="768"/>
    </row>
    <row r="70">
      <c r="E70" s="366"/>
      <c r="L70" s="768"/>
    </row>
    <row r="71">
      <c r="E71" s="366"/>
      <c r="L71" s="768"/>
    </row>
    <row r="72">
      <c r="E72" s="366"/>
      <c r="L72" s="768"/>
    </row>
    <row r="73">
      <c r="E73" s="366"/>
      <c r="L73" s="768"/>
    </row>
    <row r="74">
      <c r="E74" s="366"/>
      <c r="L74" s="768"/>
    </row>
    <row r="75">
      <c r="E75" s="366"/>
      <c r="L75" s="768"/>
    </row>
    <row r="76">
      <c r="E76" s="366"/>
      <c r="L76" s="768"/>
    </row>
    <row r="77">
      <c r="E77" s="366"/>
      <c r="L77" s="768"/>
    </row>
    <row r="78">
      <c r="E78" s="366"/>
      <c r="L78" s="768"/>
    </row>
    <row r="79">
      <c r="E79" s="366"/>
      <c r="L79" s="768"/>
    </row>
    <row r="80">
      <c r="E80" s="366"/>
      <c r="L80" s="768"/>
    </row>
    <row r="81">
      <c r="E81" s="366"/>
      <c r="L81" s="768"/>
    </row>
    <row r="82">
      <c r="E82" s="366"/>
      <c r="L82" s="768"/>
    </row>
    <row r="83">
      <c r="E83" s="366"/>
      <c r="L83" s="768"/>
    </row>
    <row r="84">
      <c r="E84" s="366"/>
      <c r="L84" s="768"/>
    </row>
    <row r="85">
      <c r="E85" s="366"/>
      <c r="L85" s="768"/>
    </row>
    <row r="86">
      <c r="E86" s="366"/>
      <c r="L86" s="768"/>
    </row>
    <row r="87">
      <c r="E87" s="366"/>
      <c r="L87" s="768"/>
    </row>
    <row r="88">
      <c r="E88" s="366"/>
      <c r="L88" s="768"/>
    </row>
    <row r="89">
      <c r="E89" s="366"/>
      <c r="L89" s="768"/>
    </row>
    <row r="90">
      <c r="E90" s="366"/>
      <c r="L90" s="768"/>
    </row>
    <row r="91">
      <c r="E91" s="366"/>
      <c r="L91" s="768"/>
    </row>
    <row r="92">
      <c r="E92" s="366"/>
      <c r="L92" s="768"/>
    </row>
    <row r="93">
      <c r="E93" s="366"/>
      <c r="L93" s="768"/>
    </row>
    <row r="94">
      <c r="E94" s="366"/>
      <c r="L94" s="768"/>
    </row>
    <row r="95">
      <c r="E95" s="366"/>
      <c r="L95" s="768"/>
    </row>
    <row r="96">
      <c r="E96" s="366"/>
      <c r="L96" s="768"/>
    </row>
    <row r="97">
      <c r="E97" s="366"/>
      <c r="L97" s="768"/>
    </row>
    <row r="98">
      <c r="E98" s="366"/>
      <c r="L98" s="768"/>
    </row>
    <row r="99">
      <c r="E99" s="366"/>
      <c r="L99" s="768"/>
    </row>
    <row r="100">
      <c r="E100" s="366"/>
      <c r="L100" s="768"/>
    </row>
    <row r="101">
      <c r="E101" s="366"/>
      <c r="L101" s="768"/>
    </row>
    <row r="102">
      <c r="E102" s="366"/>
      <c r="L102" s="768"/>
    </row>
    <row r="103">
      <c r="E103" s="366"/>
      <c r="L103" s="768"/>
    </row>
    <row r="104">
      <c r="E104" s="366"/>
      <c r="L104" s="768"/>
    </row>
    <row r="105">
      <c r="E105" s="366"/>
      <c r="L105" s="768"/>
    </row>
    <row r="106">
      <c r="E106" s="366"/>
      <c r="L106" s="768"/>
    </row>
    <row r="107">
      <c r="E107" s="366"/>
      <c r="L107" s="768"/>
    </row>
    <row r="108">
      <c r="E108" s="366"/>
      <c r="L108" s="768"/>
    </row>
    <row r="109">
      <c r="E109" s="366"/>
      <c r="L109" s="768"/>
    </row>
    <row r="110">
      <c r="E110" s="366"/>
      <c r="L110" s="768"/>
    </row>
    <row r="111">
      <c r="E111" s="366"/>
      <c r="L111" s="768"/>
    </row>
    <row r="112">
      <c r="E112" s="366"/>
      <c r="L112" s="768"/>
    </row>
    <row r="113">
      <c r="E113" s="366"/>
      <c r="L113" s="768"/>
    </row>
    <row r="114">
      <c r="E114" s="366"/>
      <c r="L114" s="768"/>
    </row>
    <row r="115">
      <c r="E115" s="366"/>
      <c r="L115" s="768"/>
    </row>
    <row r="116">
      <c r="E116" s="366"/>
      <c r="L116" s="768"/>
    </row>
    <row r="117">
      <c r="E117" s="366"/>
      <c r="L117" s="768"/>
    </row>
    <row r="118">
      <c r="E118" s="366"/>
      <c r="L118" s="768"/>
    </row>
    <row r="119">
      <c r="E119" s="366"/>
      <c r="L119" s="768"/>
    </row>
    <row r="120">
      <c r="E120" s="366"/>
      <c r="L120" s="768"/>
    </row>
    <row r="121">
      <c r="E121" s="366"/>
      <c r="L121" s="768"/>
    </row>
    <row r="122">
      <c r="E122" s="366"/>
      <c r="L122" s="768"/>
    </row>
    <row r="123">
      <c r="E123" s="366"/>
      <c r="L123" s="768"/>
    </row>
    <row r="124">
      <c r="E124" s="366"/>
      <c r="L124" s="768"/>
    </row>
    <row r="125">
      <c r="E125" s="366"/>
      <c r="L125" s="768"/>
    </row>
    <row r="126">
      <c r="E126" s="366"/>
      <c r="L126" s="768"/>
    </row>
    <row r="127">
      <c r="E127" s="366"/>
      <c r="L127" s="768"/>
    </row>
    <row r="128">
      <c r="E128" s="366"/>
      <c r="L128" s="768"/>
    </row>
    <row r="129">
      <c r="E129" s="366"/>
      <c r="L129" s="768"/>
    </row>
    <row r="130">
      <c r="E130" s="366"/>
      <c r="L130" s="768"/>
    </row>
    <row r="131">
      <c r="E131" s="366"/>
      <c r="L131" s="768"/>
    </row>
    <row r="132">
      <c r="E132" s="366"/>
      <c r="L132" s="768"/>
    </row>
    <row r="133">
      <c r="E133" s="366"/>
      <c r="L133" s="768"/>
    </row>
    <row r="134">
      <c r="E134" s="366"/>
      <c r="L134" s="768"/>
    </row>
    <row r="135">
      <c r="E135" s="366"/>
      <c r="L135" s="768"/>
    </row>
    <row r="136">
      <c r="E136" s="366"/>
      <c r="L136" s="768"/>
    </row>
    <row r="137">
      <c r="E137" s="366"/>
      <c r="L137" s="768"/>
    </row>
    <row r="138">
      <c r="E138" s="366"/>
      <c r="L138" s="768"/>
    </row>
    <row r="139">
      <c r="E139" s="366"/>
      <c r="L139" s="768"/>
    </row>
    <row r="140">
      <c r="E140" s="366"/>
      <c r="L140" s="768"/>
    </row>
    <row r="141">
      <c r="E141" s="366"/>
      <c r="L141" s="768"/>
    </row>
    <row r="142">
      <c r="E142" s="366"/>
      <c r="L142" s="768"/>
    </row>
    <row r="143">
      <c r="E143" s="366"/>
      <c r="L143" s="768"/>
    </row>
    <row r="144">
      <c r="E144" s="366"/>
      <c r="L144" s="768"/>
    </row>
    <row r="145">
      <c r="E145" s="366"/>
      <c r="L145" s="768"/>
    </row>
    <row r="146">
      <c r="E146" s="366"/>
      <c r="L146" s="768"/>
    </row>
    <row r="147">
      <c r="E147" s="366"/>
      <c r="L147" s="768"/>
    </row>
    <row r="148">
      <c r="E148" s="366"/>
      <c r="L148" s="768"/>
    </row>
    <row r="149">
      <c r="E149" s="366"/>
      <c r="L149" s="768"/>
    </row>
    <row r="150">
      <c r="E150" s="366"/>
      <c r="L150" s="768"/>
    </row>
    <row r="151">
      <c r="E151" s="366"/>
      <c r="L151" s="768"/>
    </row>
    <row r="152">
      <c r="E152" s="366"/>
      <c r="L152" s="768"/>
    </row>
    <row r="153">
      <c r="E153" s="366"/>
      <c r="L153" s="768"/>
    </row>
    <row r="154">
      <c r="E154" s="366"/>
      <c r="L154" s="768"/>
    </row>
    <row r="155">
      <c r="E155" s="366"/>
      <c r="L155" s="768"/>
    </row>
    <row r="156">
      <c r="E156" s="366"/>
      <c r="L156" s="768"/>
    </row>
    <row r="157">
      <c r="E157" s="366"/>
      <c r="L157" s="768"/>
    </row>
    <row r="158">
      <c r="E158" s="366"/>
      <c r="L158" s="768"/>
    </row>
    <row r="159">
      <c r="E159" s="366"/>
      <c r="L159" s="768"/>
    </row>
    <row r="160">
      <c r="E160" s="366"/>
      <c r="L160" s="768"/>
    </row>
    <row r="161">
      <c r="E161" s="366"/>
      <c r="L161" s="768"/>
    </row>
    <row r="162">
      <c r="E162" s="366"/>
      <c r="L162" s="768"/>
    </row>
    <row r="163">
      <c r="E163" s="366"/>
      <c r="L163" s="768"/>
    </row>
    <row r="164">
      <c r="E164" s="366"/>
      <c r="L164" s="768"/>
    </row>
    <row r="165">
      <c r="E165" s="366"/>
      <c r="L165" s="768"/>
    </row>
    <row r="166">
      <c r="E166" s="366"/>
      <c r="L166" s="768"/>
    </row>
    <row r="167">
      <c r="E167" s="366"/>
      <c r="L167" s="768"/>
    </row>
    <row r="168">
      <c r="E168" s="366"/>
      <c r="L168" s="768"/>
    </row>
    <row r="169">
      <c r="E169" s="366"/>
      <c r="L169" s="768"/>
    </row>
    <row r="170">
      <c r="E170" s="366"/>
      <c r="L170" s="768"/>
    </row>
    <row r="171">
      <c r="E171" s="366"/>
      <c r="L171" s="768"/>
    </row>
    <row r="172">
      <c r="E172" s="366"/>
      <c r="L172" s="768"/>
    </row>
    <row r="173">
      <c r="E173" s="366"/>
      <c r="L173" s="768"/>
    </row>
    <row r="174">
      <c r="E174" s="366"/>
      <c r="L174" s="768"/>
    </row>
    <row r="175">
      <c r="E175" s="366"/>
      <c r="L175" s="768"/>
    </row>
    <row r="176">
      <c r="E176" s="366"/>
      <c r="L176" s="768"/>
    </row>
    <row r="177">
      <c r="E177" s="366"/>
      <c r="L177" s="768"/>
    </row>
    <row r="178">
      <c r="E178" s="366"/>
      <c r="L178" s="768"/>
    </row>
    <row r="179">
      <c r="E179" s="366"/>
      <c r="L179" s="768"/>
    </row>
    <row r="180">
      <c r="E180" s="366"/>
      <c r="L180" s="768"/>
    </row>
    <row r="181">
      <c r="E181" s="366"/>
      <c r="L181" s="768"/>
    </row>
    <row r="182">
      <c r="E182" s="366"/>
      <c r="L182" s="768"/>
    </row>
    <row r="183">
      <c r="E183" s="366"/>
      <c r="L183" s="768"/>
    </row>
    <row r="184">
      <c r="E184" s="366"/>
      <c r="L184" s="768"/>
    </row>
    <row r="185">
      <c r="E185" s="366"/>
      <c r="L185" s="768"/>
    </row>
    <row r="186">
      <c r="E186" s="366"/>
      <c r="L186" s="768"/>
    </row>
    <row r="187">
      <c r="E187" s="366"/>
      <c r="L187" s="768"/>
    </row>
    <row r="188">
      <c r="E188" s="366"/>
      <c r="L188" s="768"/>
    </row>
    <row r="189">
      <c r="E189" s="366"/>
      <c r="L189" s="768"/>
    </row>
    <row r="190">
      <c r="E190" s="366"/>
      <c r="L190" s="768"/>
    </row>
    <row r="191">
      <c r="E191" s="366"/>
      <c r="L191" s="768"/>
    </row>
    <row r="192">
      <c r="E192" s="366"/>
      <c r="L192" s="768"/>
    </row>
    <row r="193">
      <c r="E193" s="366"/>
      <c r="L193" s="768"/>
    </row>
    <row r="194">
      <c r="E194" s="366"/>
      <c r="L194" s="768"/>
    </row>
    <row r="195">
      <c r="E195" s="366"/>
      <c r="L195" s="768"/>
    </row>
    <row r="196">
      <c r="E196" s="366"/>
      <c r="L196" s="768"/>
    </row>
    <row r="197">
      <c r="E197" s="366"/>
      <c r="L197" s="768"/>
    </row>
    <row r="198">
      <c r="E198" s="366"/>
      <c r="L198" s="768"/>
    </row>
    <row r="199">
      <c r="E199" s="366"/>
      <c r="L199" s="768"/>
    </row>
    <row r="200">
      <c r="E200" s="366"/>
      <c r="L200" s="768"/>
    </row>
    <row r="201">
      <c r="E201" s="366"/>
      <c r="L201" s="768"/>
    </row>
    <row r="202">
      <c r="E202" s="366"/>
      <c r="L202" s="768"/>
    </row>
    <row r="203">
      <c r="E203" s="366"/>
      <c r="L203" s="768"/>
    </row>
    <row r="204">
      <c r="E204" s="366"/>
      <c r="L204" s="768"/>
    </row>
    <row r="205">
      <c r="E205" s="366"/>
      <c r="L205" s="768"/>
    </row>
    <row r="206">
      <c r="E206" s="366"/>
      <c r="L206" s="768"/>
    </row>
    <row r="207">
      <c r="E207" s="366"/>
      <c r="L207" s="768"/>
    </row>
    <row r="208">
      <c r="E208" s="366"/>
      <c r="L208" s="768"/>
    </row>
    <row r="209">
      <c r="E209" s="366"/>
      <c r="L209" s="768"/>
    </row>
    <row r="210">
      <c r="E210" s="366"/>
      <c r="L210" s="768"/>
    </row>
    <row r="211">
      <c r="E211" s="366"/>
      <c r="L211" s="768"/>
    </row>
    <row r="212">
      <c r="E212" s="366"/>
      <c r="L212" s="768"/>
    </row>
    <row r="213">
      <c r="E213" s="366"/>
      <c r="L213" s="768"/>
    </row>
    <row r="214">
      <c r="E214" s="366"/>
      <c r="L214" s="768"/>
    </row>
    <row r="215">
      <c r="E215" s="366"/>
      <c r="L215" s="768"/>
    </row>
    <row r="216">
      <c r="E216" s="366"/>
      <c r="L216" s="768"/>
    </row>
    <row r="217">
      <c r="E217" s="366"/>
      <c r="L217" s="768"/>
    </row>
    <row r="218">
      <c r="E218" s="366"/>
      <c r="L218" s="768"/>
    </row>
    <row r="219">
      <c r="E219" s="366"/>
      <c r="L219" s="768"/>
    </row>
    <row r="220">
      <c r="E220" s="366"/>
      <c r="L220" s="768"/>
    </row>
    <row r="221">
      <c r="E221" s="366"/>
      <c r="L221" s="768"/>
    </row>
    <row r="222">
      <c r="E222" s="366"/>
      <c r="L222" s="768"/>
    </row>
    <row r="223">
      <c r="E223" s="366"/>
      <c r="L223" s="768"/>
    </row>
    <row r="224">
      <c r="E224" s="366"/>
      <c r="L224" s="768"/>
    </row>
    <row r="225">
      <c r="E225" s="366"/>
      <c r="L225" s="768"/>
    </row>
    <row r="226">
      <c r="E226" s="366"/>
      <c r="L226" s="768"/>
    </row>
    <row r="227">
      <c r="E227" s="366"/>
      <c r="L227" s="768"/>
    </row>
    <row r="228">
      <c r="E228" s="366"/>
      <c r="L228" s="768"/>
    </row>
    <row r="229">
      <c r="E229" s="366"/>
      <c r="L229" s="768"/>
    </row>
    <row r="230">
      <c r="E230" s="366"/>
      <c r="L230" s="768"/>
    </row>
    <row r="231">
      <c r="E231" s="366"/>
      <c r="L231" s="768"/>
    </row>
    <row r="232">
      <c r="E232" s="366"/>
      <c r="L232" s="768"/>
    </row>
    <row r="233">
      <c r="E233" s="366"/>
      <c r="L233" s="768"/>
    </row>
    <row r="234">
      <c r="E234" s="366"/>
      <c r="L234" s="768"/>
    </row>
    <row r="235">
      <c r="E235" s="366"/>
      <c r="L235" s="768"/>
    </row>
    <row r="236">
      <c r="E236" s="366"/>
      <c r="L236" s="768"/>
    </row>
    <row r="237">
      <c r="E237" s="366"/>
      <c r="L237" s="768"/>
    </row>
    <row r="238">
      <c r="E238" s="366"/>
      <c r="L238" s="768"/>
    </row>
    <row r="239">
      <c r="E239" s="366"/>
      <c r="L239" s="768"/>
    </row>
    <row r="240">
      <c r="E240" s="366"/>
      <c r="L240" s="768"/>
    </row>
    <row r="241">
      <c r="E241" s="366"/>
      <c r="L241" s="768"/>
    </row>
    <row r="242">
      <c r="E242" s="366"/>
      <c r="L242" s="768"/>
    </row>
    <row r="243">
      <c r="E243" s="366"/>
      <c r="L243" s="768"/>
    </row>
    <row r="244">
      <c r="E244" s="366"/>
      <c r="L244" s="768"/>
    </row>
    <row r="245">
      <c r="E245" s="366"/>
      <c r="L245" s="768"/>
    </row>
    <row r="246">
      <c r="E246" s="366"/>
      <c r="L246" s="768"/>
    </row>
    <row r="247">
      <c r="E247" s="366"/>
      <c r="L247" s="768"/>
    </row>
    <row r="248">
      <c r="E248" s="366"/>
      <c r="L248" s="768"/>
    </row>
    <row r="249">
      <c r="E249" s="366"/>
      <c r="L249" s="768"/>
    </row>
    <row r="250">
      <c r="E250" s="366"/>
      <c r="L250" s="768"/>
    </row>
    <row r="251">
      <c r="E251" s="366"/>
      <c r="L251" s="768"/>
    </row>
    <row r="252">
      <c r="E252" s="366"/>
      <c r="L252" s="768"/>
    </row>
    <row r="253">
      <c r="E253" s="366"/>
      <c r="L253" s="768"/>
    </row>
    <row r="254">
      <c r="E254" s="366"/>
      <c r="L254" s="768"/>
    </row>
    <row r="255">
      <c r="E255" s="366"/>
      <c r="L255" s="768"/>
    </row>
    <row r="256">
      <c r="E256" s="366"/>
      <c r="L256" s="768"/>
    </row>
    <row r="257">
      <c r="E257" s="366"/>
      <c r="L257" s="768"/>
    </row>
    <row r="258">
      <c r="E258" s="366"/>
      <c r="L258" s="768"/>
    </row>
    <row r="259">
      <c r="E259" s="366"/>
      <c r="L259" s="768"/>
    </row>
    <row r="260">
      <c r="E260" s="366"/>
      <c r="L260" s="768"/>
    </row>
    <row r="261">
      <c r="E261" s="366"/>
      <c r="L261" s="768"/>
    </row>
    <row r="262">
      <c r="E262" s="366"/>
      <c r="L262" s="768"/>
    </row>
    <row r="263">
      <c r="E263" s="366"/>
      <c r="L263" s="768"/>
    </row>
    <row r="264">
      <c r="E264" s="366"/>
      <c r="L264" s="768"/>
    </row>
    <row r="265">
      <c r="E265" s="366"/>
      <c r="L265" s="768"/>
    </row>
    <row r="266">
      <c r="E266" s="366"/>
      <c r="L266" s="768"/>
    </row>
    <row r="267">
      <c r="E267" s="366"/>
      <c r="L267" s="768"/>
    </row>
    <row r="268">
      <c r="E268" s="366"/>
      <c r="L268" s="768"/>
    </row>
    <row r="269">
      <c r="E269" s="366"/>
      <c r="L269" s="768"/>
    </row>
    <row r="270">
      <c r="E270" s="366"/>
      <c r="L270" s="768"/>
    </row>
    <row r="271">
      <c r="E271" s="366"/>
      <c r="L271" s="768"/>
    </row>
    <row r="272">
      <c r="E272" s="366"/>
      <c r="L272" s="768"/>
    </row>
    <row r="273">
      <c r="E273" s="366"/>
      <c r="L273" s="768"/>
    </row>
    <row r="274">
      <c r="E274" s="366"/>
      <c r="L274" s="768"/>
    </row>
    <row r="275">
      <c r="E275" s="366"/>
      <c r="L275" s="768"/>
    </row>
    <row r="276">
      <c r="E276" s="366"/>
      <c r="L276" s="768"/>
    </row>
    <row r="277">
      <c r="E277" s="366"/>
      <c r="L277" s="768"/>
    </row>
    <row r="278">
      <c r="E278" s="366"/>
      <c r="L278" s="768"/>
    </row>
    <row r="279">
      <c r="E279" s="366"/>
      <c r="L279" s="768"/>
    </row>
    <row r="280">
      <c r="E280" s="366"/>
      <c r="L280" s="768"/>
    </row>
    <row r="281">
      <c r="E281" s="366"/>
      <c r="L281" s="768"/>
    </row>
    <row r="282">
      <c r="E282" s="366"/>
      <c r="L282" s="768"/>
    </row>
    <row r="283">
      <c r="E283" s="366"/>
      <c r="L283" s="768"/>
    </row>
    <row r="284">
      <c r="E284" s="366"/>
      <c r="L284" s="768"/>
    </row>
    <row r="285">
      <c r="E285" s="366"/>
      <c r="L285" s="768"/>
    </row>
    <row r="286">
      <c r="E286" s="366"/>
      <c r="L286" s="768"/>
    </row>
    <row r="287">
      <c r="E287" s="366"/>
      <c r="L287" s="768"/>
    </row>
    <row r="288">
      <c r="E288" s="366"/>
      <c r="L288" s="768"/>
    </row>
    <row r="289">
      <c r="E289" s="366"/>
      <c r="L289" s="768"/>
    </row>
    <row r="290">
      <c r="E290" s="366"/>
      <c r="L290" s="768"/>
    </row>
    <row r="291">
      <c r="E291" s="366"/>
      <c r="L291" s="768"/>
    </row>
    <row r="292">
      <c r="E292" s="366"/>
      <c r="L292" s="768"/>
    </row>
    <row r="293">
      <c r="E293" s="366"/>
      <c r="L293" s="768"/>
    </row>
    <row r="294">
      <c r="E294" s="366"/>
      <c r="L294" s="768"/>
    </row>
    <row r="295">
      <c r="E295" s="366"/>
      <c r="L295" s="768"/>
    </row>
    <row r="296">
      <c r="E296" s="366"/>
      <c r="L296" s="768"/>
    </row>
    <row r="297">
      <c r="E297" s="366"/>
      <c r="L297" s="768"/>
    </row>
    <row r="298">
      <c r="E298" s="366"/>
      <c r="L298" s="768"/>
    </row>
    <row r="299">
      <c r="E299" s="366"/>
      <c r="L299" s="768"/>
    </row>
    <row r="300">
      <c r="E300" s="366"/>
      <c r="L300" s="768"/>
    </row>
    <row r="301">
      <c r="E301" s="366"/>
      <c r="L301" s="768"/>
    </row>
    <row r="302">
      <c r="E302" s="366"/>
      <c r="L302" s="768"/>
    </row>
    <row r="303">
      <c r="E303" s="366"/>
      <c r="L303" s="768"/>
    </row>
    <row r="304">
      <c r="E304" s="366"/>
      <c r="L304" s="768"/>
    </row>
    <row r="305">
      <c r="E305" s="366"/>
      <c r="L305" s="768"/>
    </row>
    <row r="306">
      <c r="E306" s="366"/>
      <c r="L306" s="768"/>
    </row>
    <row r="307">
      <c r="E307" s="366"/>
      <c r="L307" s="768"/>
    </row>
    <row r="308">
      <c r="E308" s="366"/>
      <c r="L308" s="768"/>
    </row>
    <row r="309">
      <c r="E309" s="366"/>
      <c r="L309" s="768"/>
    </row>
    <row r="310">
      <c r="E310" s="366"/>
      <c r="L310" s="768"/>
    </row>
    <row r="311">
      <c r="E311" s="366"/>
      <c r="L311" s="768"/>
    </row>
    <row r="312">
      <c r="E312" s="366"/>
      <c r="L312" s="768"/>
    </row>
    <row r="313">
      <c r="E313" s="366"/>
      <c r="L313" s="768"/>
    </row>
    <row r="314">
      <c r="E314" s="366"/>
      <c r="L314" s="768"/>
    </row>
    <row r="315">
      <c r="E315" s="366"/>
      <c r="L315" s="768"/>
    </row>
    <row r="316">
      <c r="E316" s="366"/>
      <c r="L316" s="768"/>
    </row>
    <row r="317">
      <c r="E317" s="366"/>
      <c r="L317" s="768"/>
    </row>
    <row r="318">
      <c r="E318" s="366"/>
      <c r="L318" s="768"/>
    </row>
    <row r="319">
      <c r="E319" s="366"/>
      <c r="L319" s="768"/>
    </row>
    <row r="320">
      <c r="E320" s="366"/>
      <c r="L320" s="768"/>
    </row>
    <row r="321">
      <c r="E321" s="366"/>
      <c r="L321" s="768"/>
    </row>
    <row r="322">
      <c r="E322" s="366"/>
      <c r="L322" s="768"/>
    </row>
    <row r="323">
      <c r="E323" s="366"/>
      <c r="L323" s="768"/>
    </row>
    <row r="324">
      <c r="E324" s="366"/>
      <c r="L324" s="768"/>
    </row>
    <row r="325">
      <c r="E325" s="366"/>
      <c r="L325" s="768"/>
    </row>
    <row r="326">
      <c r="E326" s="366"/>
      <c r="L326" s="768"/>
    </row>
    <row r="327">
      <c r="E327" s="366"/>
      <c r="L327" s="768"/>
    </row>
    <row r="328">
      <c r="E328" s="366"/>
      <c r="L328" s="768"/>
    </row>
    <row r="329">
      <c r="E329" s="366"/>
      <c r="L329" s="768"/>
    </row>
    <row r="330">
      <c r="E330" s="366"/>
      <c r="L330" s="768"/>
    </row>
    <row r="331">
      <c r="E331" s="366"/>
      <c r="L331" s="768"/>
    </row>
    <row r="332">
      <c r="E332" s="366"/>
      <c r="L332" s="768"/>
    </row>
    <row r="333">
      <c r="E333" s="366"/>
      <c r="L333" s="768"/>
    </row>
    <row r="334">
      <c r="E334" s="366"/>
      <c r="L334" s="768"/>
    </row>
    <row r="335">
      <c r="E335" s="366"/>
      <c r="L335" s="768"/>
    </row>
    <row r="336">
      <c r="E336" s="366"/>
      <c r="L336" s="768"/>
    </row>
    <row r="337">
      <c r="E337" s="366"/>
      <c r="L337" s="768"/>
    </row>
    <row r="338">
      <c r="E338" s="366"/>
      <c r="L338" s="768"/>
    </row>
    <row r="339">
      <c r="E339" s="366"/>
      <c r="L339" s="768"/>
    </row>
    <row r="340">
      <c r="E340" s="366"/>
      <c r="L340" s="768"/>
    </row>
    <row r="341">
      <c r="E341" s="366"/>
      <c r="L341" s="768"/>
    </row>
    <row r="342">
      <c r="E342" s="366"/>
      <c r="L342" s="768"/>
    </row>
    <row r="343">
      <c r="E343" s="366"/>
      <c r="L343" s="768"/>
    </row>
    <row r="344">
      <c r="E344" s="366"/>
      <c r="L344" s="768"/>
    </row>
    <row r="345">
      <c r="E345" s="366"/>
      <c r="L345" s="768"/>
    </row>
    <row r="346">
      <c r="E346" s="366"/>
      <c r="L346" s="768"/>
    </row>
    <row r="347">
      <c r="E347" s="366"/>
      <c r="L347" s="768"/>
    </row>
    <row r="348">
      <c r="E348" s="366"/>
      <c r="L348" s="768"/>
    </row>
    <row r="349">
      <c r="E349" s="366"/>
      <c r="L349" s="768"/>
    </row>
    <row r="350">
      <c r="E350" s="366"/>
      <c r="L350" s="768"/>
    </row>
    <row r="351">
      <c r="E351" s="366"/>
      <c r="L351" s="768"/>
    </row>
    <row r="352">
      <c r="E352" s="366"/>
      <c r="L352" s="768"/>
    </row>
    <row r="353">
      <c r="E353" s="366"/>
      <c r="L353" s="768"/>
    </row>
    <row r="354">
      <c r="E354" s="366"/>
      <c r="L354" s="768"/>
    </row>
    <row r="355">
      <c r="E355" s="366"/>
      <c r="L355" s="768"/>
    </row>
    <row r="356">
      <c r="E356" s="366"/>
      <c r="L356" s="768"/>
    </row>
    <row r="357">
      <c r="E357" s="366"/>
      <c r="L357" s="768"/>
    </row>
    <row r="358">
      <c r="E358" s="366"/>
      <c r="L358" s="768"/>
    </row>
    <row r="359">
      <c r="E359" s="366"/>
      <c r="L359" s="768"/>
    </row>
    <row r="360">
      <c r="E360" s="366"/>
      <c r="L360" s="768"/>
    </row>
    <row r="361">
      <c r="E361" s="366"/>
      <c r="L361" s="768"/>
    </row>
    <row r="362">
      <c r="E362" s="366"/>
      <c r="L362" s="768"/>
    </row>
    <row r="363">
      <c r="E363" s="366"/>
      <c r="L363" s="768"/>
    </row>
    <row r="364">
      <c r="E364" s="366"/>
      <c r="L364" s="768"/>
    </row>
    <row r="365">
      <c r="E365" s="366"/>
      <c r="L365" s="768"/>
    </row>
    <row r="366">
      <c r="E366" s="366"/>
      <c r="L366" s="768"/>
    </row>
    <row r="367">
      <c r="E367" s="366"/>
      <c r="L367" s="768"/>
    </row>
    <row r="368">
      <c r="E368" s="366"/>
      <c r="L368" s="768"/>
    </row>
    <row r="369">
      <c r="E369" s="366"/>
      <c r="L369" s="768"/>
    </row>
    <row r="370">
      <c r="E370" s="366"/>
      <c r="L370" s="768"/>
    </row>
    <row r="371">
      <c r="E371" s="366"/>
      <c r="L371" s="768"/>
    </row>
    <row r="372">
      <c r="E372" s="366"/>
      <c r="L372" s="768"/>
    </row>
    <row r="373">
      <c r="E373" s="366"/>
      <c r="L373" s="768"/>
    </row>
    <row r="374">
      <c r="E374" s="366"/>
      <c r="L374" s="768"/>
    </row>
    <row r="375">
      <c r="E375" s="366"/>
      <c r="L375" s="768"/>
    </row>
    <row r="376">
      <c r="E376" s="366"/>
      <c r="L376" s="768"/>
    </row>
    <row r="377">
      <c r="E377" s="366"/>
      <c r="L377" s="768"/>
    </row>
    <row r="378">
      <c r="E378" s="366"/>
      <c r="L378" s="768"/>
    </row>
    <row r="379">
      <c r="E379" s="366"/>
      <c r="L379" s="768"/>
    </row>
    <row r="380">
      <c r="E380" s="366"/>
      <c r="L380" s="768"/>
    </row>
    <row r="381">
      <c r="E381" s="366"/>
      <c r="L381" s="768"/>
    </row>
    <row r="382">
      <c r="E382" s="366"/>
      <c r="L382" s="768"/>
    </row>
    <row r="383">
      <c r="E383" s="366"/>
      <c r="L383" s="768"/>
    </row>
    <row r="384">
      <c r="E384" s="366"/>
      <c r="L384" s="768"/>
    </row>
    <row r="385">
      <c r="E385" s="366"/>
      <c r="L385" s="768"/>
    </row>
    <row r="386">
      <c r="E386" s="366"/>
      <c r="L386" s="768"/>
    </row>
    <row r="387">
      <c r="E387" s="366"/>
      <c r="L387" s="768"/>
    </row>
    <row r="388">
      <c r="E388" s="366"/>
      <c r="L388" s="768"/>
    </row>
    <row r="389">
      <c r="E389" s="366"/>
      <c r="L389" s="768"/>
    </row>
    <row r="390">
      <c r="E390" s="366"/>
      <c r="L390" s="768"/>
    </row>
    <row r="391">
      <c r="E391" s="366"/>
      <c r="L391" s="768"/>
    </row>
    <row r="392">
      <c r="E392" s="366"/>
      <c r="L392" s="768"/>
    </row>
    <row r="393">
      <c r="E393" s="366"/>
      <c r="L393" s="768"/>
    </row>
    <row r="394">
      <c r="E394" s="366"/>
      <c r="L394" s="768"/>
    </row>
    <row r="395">
      <c r="E395" s="366"/>
      <c r="L395" s="768"/>
    </row>
    <row r="396">
      <c r="E396" s="366"/>
      <c r="L396" s="768"/>
    </row>
    <row r="397">
      <c r="E397" s="366"/>
      <c r="L397" s="768"/>
    </row>
    <row r="398">
      <c r="E398" s="366"/>
      <c r="L398" s="768"/>
    </row>
    <row r="399">
      <c r="E399" s="366"/>
      <c r="L399" s="768"/>
    </row>
    <row r="400">
      <c r="E400" s="366"/>
      <c r="L400" s="768"/>
    </row>
    <row r="401">
      <c r="E401" s="366"/>
      <c r="L401" s="768"/>
    </row>
    <row r="402">
      <c r="E402" s="366"/>
      <c r="L402" s="768"/>
    </row>
    <row r="403">
      <c r="E403" s="366"/>
      <c r="L403" s="768"/>
    </row>
    <row r="404">
      <c r="E404" s="366"/>
      <c r="L404" s="768"/>
    </row>
    <row r="405">
      <c r="E405" s="366"/>
      <c r="L405" s="768"/>
    </row>
    <row r="406">
      <c r="E406" s="366"/>
      <c r="L406" s="768"/>
    </row>
    <row r="407">
      <c r="E407" s="366"/>
      <c r="L407" s="768"/>
    </row>
    <row r="408">
      <c r="E408" s="366"/>
      <c r="L408" s="768"/>
    </row>
    <row r="409">
      <c r="E409" s="366"/>
      <c r="L409" s="768"/>
    </row>
    <row r="410">
      <c r="E410" s="366"/>
      <c r="L410" s="768"/>
    </row>
    <row r="411">
      <c r="E411" s="366"/>
      <c r="L411" s="768"/>
    </row>
    <row r="412">
      <c r="E412" s="366"/>
      <c r="L412" s="768"/>
    </row>
    <row r="413">
      <c r="E413" s="366"/>
      <c r="L413" s="768"/>
    </row>
    <row r="414">
      <c r="E414" s="366"/>
      <c r="L414" s="768"/>
    </row>
    <row r="415">
      <c r="E415" s="366"/>
      <c r="L415" s="768"/>
    </row>
    <row r="416">
      <c r="E416" s="366"/>
      <c r="L416" s="768"/>
    </row>
    <row r="417">
      <c r="E417" s="366"/>
      <c r="L417" s="768"/>
    </row>
    <row r="418">
      <c r="E418" s="366"/>
      <c r="L418" s="768"/>
    </row>
    <row r="419">
      <c r="E419" s="366"/>
      <c r="L419" s="768"/>
    </row>
    <row r="420">
      <c r="E420" s="366"/>
      <c r="L420" s="768"/>
    </row>
    <row r="421">
      <c r="E421" s="366"/>
      <c r="L421" s="768"/>
    </row>
    <row r="422">
      <c r="E422" s="366"/>
      <c r="L422" s="768"/>
    </row>
    <row r="423">
      <c r="E423" s="366"/>
      <c r="L423" s="768"/>
    </row>
    <row r="424">
      <c r="E424" s="366"/>
      <c r="L424" s="768"/>
    </row>
    <row r="425">
      <c r="E425" s="366"/>
      <c r="L425" s="768"/>
    </row>
    <row r="426">
      <c r="E426" s="366"/>
      <c r="L426" s="768"/>
    </row>
    <row r="427">
      <c r="E427" s="366"/>
      <c r="L427" s="768"/>
    </row>
    <row r="428">
      <c r="E428" s="366"/>
      <c r="L428" s="768"/>
    </row>
    <row r="429">
      <c r="E429" s="366"/>
      <c r="L429" s="768"/>
    </row>
    <row r="430">
      <c r="E430" s="366"/>
      <c r="L430" s="768"/>
    </row>
    <row r="431">
      <c r="E431" s="366"/>
      <c r="L431" s="768"/>
    </row>
    <row r="432">
      <c r="E432" s="366"/>
      <c r="L432" s="768"/>
    </row>
    <row r="433">
      <c r="E433" s="366"/>
      <c r="L433" s="768"/>
    </row>
    <row r="434">
      <c r="E434" s="366"/>
      <c r="L434" s="768"/>
    </row>
    <row r="435">
      <c r="E435" s="366"/>
      <c r="L435" s="768"/>
    </row>
    <row r="436">
      <c r="E436" s="366"/>
      <c r="L436" s="768"/>
    </row>
    <row r="437">
      <c r="E437" s="366"/>
      <c r="L437" s="768"/>
    </row>
    <row r="438">
      <c r="E438" s="366"/>
      <c r="L438" s="768"/>
    </row>
    <row r="439">
      <c r="E439" s="366"/>
      <c r="L439" s="768"/>
    </row>
    <row r="440">
      <c r="E440" s="366"/>
      <c r="L440" s="768"/>
    </row>
    <row r="441">
      <c r="E441" s="366"/>
      <c r="L441" s="768"/>
    </row>
    <row r="442">
      <c r="E442" s="366"/>
      <c r="L442" s="768"/>
    </row>
    <row r="443">
      <c r="E443" s="366"/>
      <c r="L443" s="768"/>
    </row>
    <row r="444">
      <c r="E444" s="366"/>
      <c r="L444" s="768"/>
    </row>
    <row r="445">
      <c r="E445" s="366"/>
      <c r="L445" s="768"/>
    </row>
    <row r="446">
      <c r="E446" s="366"/>
      <c r="L446" s="768"/>
    </row>
    <row r="447">
      <c r="E447" s="366"/>
      <c r="L447" s="768"/>
    </row>
    <row r="448">
      <c r="E448" s="366"/>
      <c r="L448" s="768"/>
    </row>
    <row r="449">
      <c r="E449" s="366"/>
      <c r="L449" s="768"/>
    </row>
    <row r="450">
      <c r="E450" s="366"/>
      <c r="L450" s="768"/>
    </row>
    <row r="451">
      <c r="E451" s="366"/>
      <c r="L451" s="768"/>
    </row>
    <row r="452">
      <c r="E452" s="366"/>
      <c r="L452" s="768"/>
    </row>
    <row r="453">
      <c r="E453" s="366"/>
      <c r="L453" s="768"/>
    </row>
    <row r="454">
      <c r="E454" s="366"/>
      <c r="L454" s="768"/>
    </row>
    <row r="455">
      <c r="E455" s="366"/>
      <c r="L455" s="768"/>
    </row>
    <row r="456">
      <c r="E456" s="366"/>
      <c r="L456" s="768"/>
    </row>
    <row r="457">
      <c r="E457" s="366"/>
      <c r="L457" s="768"/>
    </row>
    <row r="458">
      <c r="E458" s="366"/>
      <c r="L458" s="768"/>
    </row>
    <row r="459">
      <c r="E459" s="366"/>
      <c r="L459" s="768"/>
    </row>
    <row r="460">
      <c r="E460" s="366"/>
      <c r="L460" s="768"/>
    </row>
    <row r="461">
      <c r="E461" s="366"/>
      <c r="L461" s="768"/>
    </row>
    <row r="462">
      <c r="E462" s="366"/>
      <c r="L462" s="768"/>
    </row>
    <row r="463">
      <c r="E463" s="366"/>
      <c r="L463" s="768"/>
    </row>
    <row r="464">
      <c r="E464" s="366"/>
      <c r="L464" s="768"/>
    </row>
    <row r="465">
      <c r="E465" s="366"/>
      <c r="L465" s="768"/>
    </row>
    <row r="466">
      <c r="E466" s="366"/>
      <c r="L466" s="768"/>
    </row>
    <row r="467">
      <c r="E467" s="366"/>
      <c r="L467" s="768"/>
    </row>
    <row r="468">
      <c r="E468" s="366"/>
      <c r="L468" s="768"/>
    </row>
    <row r="469">
      <c r="E469" s="366"/>
      <c r="L469" s="768"/>
    </row>
    <row r="470">
      <c r="E470" s="366"/>
      <c r="L470" s="768"/>
    </row>
    <row r="471">
      <c r="E471" s="366"/>
      <c r="L471" s="768"/>
    </row>
    <row r="472">
      <c r="E472" s="366"/>
      <c r="L472" s="768"/>
    </row>
    <row r="473">
      <c r="E473" s="366"/>
      <c r="L473" s="768"/>
    </row>
    <row r="474">
      <c r="E474" s="366"/>
      <c r="L474" s="768"/>
    </row>
    <row r="475">
      <c r="E475" s="366"/>
      <c r="L475" s="768"/>
    </row>
    <row r="476">
      <c r="E476" s="366"/>
      <c r="L476" s="768"/>
    </row>
    <row r="477">
      <c r="E477" s="366"/>
      <c r="L477" s="768"/>
    </row>
    <row r="478">
      <c r="E478" s="366"/>
      <c r="L478" s="768"/>
    </row>
    <row r="479">
      <c r="E479" s="366"/>
      <c r="L479" s="768"/>
    </row>
    <row r="480">
      <c r="E480" s="366"/>
      <c r="L480" s="768"/>
    </row>
    <row r="481">
      <c r="E481" s="366"/>
      <c r="L481" s="768"/>
    </row>
    <row r="482">
      <c r="E482" s="366"/>
      <c r="L482" s="768"/>
    </row>
    <row r="483">
      <c r="E483" s="366"/>
      <c r="L483" s="768"/>
    </row>
    <row r="484">
      <c r="E484" s="366"/>
      <c r="L484" s="768"/>
    </row>
    <row r="485">
      <c r="E485" s="366"/>
      <c r="L485" s="768"/>
    </row>
    <row r="486">
      <c r="E486" s="366"/>
      <c r="L486" s="768"/>
    </row>
    <row r="487">
      <c r="E487" s="366"/>
      <c r="L487" s="768"/>
    </row>
    <row r="488">
      <c r="E488" s="366"/>
      <c r="L488" s="768"/>
    </row>
    <row r="489">
      <c r="E489" s="366"/>
      <c r="L489" s="768"/>
    </row>
    <row r="490">
      <c r="E490" s="366"/>
      <c r="L490" s="768"/>
    </row>
    <row r="491">
      <c r="E491" s="366"/>
      <c r="L491" s="768"/>
    </row>
    <row r="492">
      <c r="E492" s="366"/>
      <c r="L492" s="768"/>
    </row>
    <row r="493">
      <c r="E493" s="366"/>
      <c r="L493" s="768"/>
    </row>
    <row r="494">
      <c r="E494" s="366"/>
      <c r="L494" s="768"/>
    </row>
    <row r="495">
      <c r="E495" s="366"/>
      <c r="L495" s="768"/>
    </row>
    <row r="496">
      <c r="E496" s="366"/>
      <c r="L496" s="768"/>
    </row>
    <row r="497">
      <c r="E497" s="366"/>
      <c r="L497" s="768"/>
    </row>
    <row r="498">
      <c r="E498" s="366"/>
      <c r="L498" s="768"/>
    </row>
    <row r="499">
      <c r="E499" s="366"/>
      <c r="L499" s="768"/>
    </row>
    <row r="500">
      <c r="E500" s="366"/>
      <c r="L500" s="768"/>
    </row>
    <row r="501">
      <c r="E501" s="366"/>
      <c r="L501" s="768"/>
    </row>
    <row r="502">
      <c r="E502" s="366"/>
      <c r="L502" s="768"/>
    </row>
    <row r="503">
      <c r="E503" s="366"/>
      <c r="L503" s="768"/>
    </row>
    <row r="504">
      <c r="E504" s="366"/>
      <c r="L504" s="768"/>
    </row>
    <row r="505">
      <c r="E505" s="366"/>
      <c r="L505" s="768"/>
    </row>
    <row r="506">
      <c r="E506" s="366"/>
      <c r="L506" s="768"/>
    </row>
    <row r="507">
      <c r="E507" s="366"/>
      <c r="L507" s="768"/>
    </row>
    <row r="508">
      <c r="E508" s="366"/>
      <c r="L508" s="768"/>
    </row>
    <row r="509">
      <c r="E509" s="366"/>
      <c r="L509" s="768"/>
    </row>
    <row r="510">
      <c r="E510" s="366"/>
      <c r="L510" s="768"/>
    </row>
    <row r="511">
      <c r="E511" s="366"/>
      <c r="L511" s="768"/>
    </row>
    <row r="512">
      <c r="E512" s="366"/>
      <c r="L512" s="768"/>
    </row>
    <row r="513">
      <c r="E513" s="366"/>
      <c r="L513" s="768"/>
    </row>
    <row r="514">
      <c r="E514" s="366"/>
      <c r="L514" s="768"/>
    </row>
    <row r="515">
      <c r="E515" s="366"/>
      <c r="L515" s="768"/>
    </row>
    <row r="516">
      <c r="E516" s="366"/>
      <c r="L516" s="768"/>
    </row>
    <row r="517">
      <c r="E517" s="366"/>
      <c r="L517" s="768"/>
    </row>
    <row r="518">
      <c r="E518" s="366"/>
      <c r="L518" s="768"/>
    </row>
    <row r="519">
      <c r="E519" s="366"/>
      <c r="L519" s="768"/>
    </row>
    <row r="520">
      <c r="E520" s="366"/>
      <c r="L520" s="768"/>
    </row>
    <row r="521">
      <c r="E521" s="366"/>
      <c r="L521" s="768"/>
    </row>
    <row r="522">
      <c r="E522" s="366"/>
      <c r="L522" s="768"/>
    </row>
    <row r="523">
      <c r="E523" s="366"/>
      <c r="L523" s="768"/>
    </row>
    <row r="524">
      <c r="E524" s="366"/>
      <c r="L524" s="768"/>
    </row>
    <row r="525">
      <c r="E525" s="366"/>
      <c r="L525" s="768"/>
    </row>
    <row r="526">
      <c r="E526" s="366"/>
      <c r="L526" s="768"/>
    </row>
    <row r="527">
      <c r="E527" s="366"/>
      <c r="L527" s="768"/>
    </row>
    <row r="528">
      <c r="E528" s="366"/>
      <c r="L528" s="768"/>
    </row>
    <row r="529">
      <c r="E529" s="366"/>
      <c r="L529" s="768"/>
    </row>
    <row r="530">
      <c r="E530" s="366"/>
      <c r="L530" s="768"/>
    </row>
    <row r="531">
      <c r="E531" s="366"/>
      <c r="L531" s="768"/>
    </row>
    <row r="532">
      <c r="E532" s="366"/>
      <c r="L532" s="768"/>
    </row>
    <row r="533">
      <c r="E533" s="366"/>
      <c r="L533" s="768"/>
    </row>
    <row r="534">
      <c r="E534" s="366"/>
      <c r="L534" s="768"/>
    </row>
    <row r="535">
      <c r="E535" s="366"/>
      <c r="L535" s="768"/>
    </row>
    <row r="536">
      <c r="E536" s="366"/>
      <c r="L536" s="768"/>
    </row>
    <row r="537">
      <c r="E537" s="366"/>
      <c r="L537" s="768"/>
    </row>
    <row r="538">
      <c r="E538" s="366"/>
      <c r="L538" s="768"/>
    </row>
    <row r="539">
      <c r="E539" s="366"/>
      <c r="L539" s="768"/>
    </row>
    <row r="540">
      <c r="E540" s="366"/>
      <c r="L540" s="768"/>
    </row>
    <row r="541">
      <c r="E541" s="366"/>
      <c r="L541" s="768"/>
    </row>
    <row r="542">
      <c r="E542" s="366"/>
      <c r="L542" s="768"/>
    </row>
    <row r="543">
      <c r="E543" s="366"/>
      <c r="L543" s="768"/>
    </row>
    <row r="544">
      <c r="E544" s="366"/>
      <c r="L544" s="768"/>
    </row>
    <row r="545">
      <c r="E545" s="366"/>
      <c r="L545" s="768"/>
    </row>
    <row r="546">
      <c r="E546" s="366"/>
      <c r="L546" s="768"/>
    </row>
    <row r="547">
      <c r="E547" s="366"/>
      <c r="L547" s="768"/>
    </row>
    <row r="548">
      <c r="E548" s="366"/>
      <c r="L548" s="768"/>
    </row>
    <row r="549">
      <c r="E549" s="366"/>
      <c r="L549" s="768"/>
    </row>
    <row r="550">
      <c r="E550" s="366"/>
      <c r="L550" s="768"/>
    </row>
    <row r="551">
      <c r="E551" s="366"/>
      <c r="L551" s="768"/>
    </row>
    <row r="552">
      <c r="E552" s="366"/>
      <c r="L552" s="768"/>
    </row>
    <row r="553">
      <c r="E553" s="366"/>
      <c r="L553" s="768"/>
    </row>
    <row r="554">
      <c r="E554" s="366"/>
      <c r="L554" s="768"/>
    </row>
    <row r="555">
      <c r="E555" s="366"/>
      <c r="L555" s="768"/>
    </row>
    <row r="556">
      <c r="E556" s="366"/>
      <c r="L556" s="768"/>
    </row>
    <row r="557">
      <c r="E557" s="366"/>
      <c r="L557" s="768"/>
    </row>
    <row r="558">
      <c r="E558" s="366"/>
      <c r="L558" s="768"/>
    </row>
    <row r="559">
      <c r="E559" s="366"/>
      <c r="L559" s="768"/>
    </row>
    <row r="560">
      <c r="E560" s="366"/>
      <c r="L560" s="768"/>
    </row>
    <row r="561">
      <c r="E561" s="366"/>
      <c r="L561" s="768"/>
    </row>
    <row r="562">
      <c r="E562" s="366"/>
      <c r="L562" s="768"/>
    </row>
    <row r="563">
      <c r="E563" s="366"/>
      <c r="L563" s="768"/>
    </row>
    <row r="564">
      <c r="E564" s="366"/>
      <c r="L564" s="768"/>
    </row>
    <row r="565">
      <c r="E565" s="366"/>
      <c r="L565" s="768"/>
    </row>
    <row r="566">
      <c r="E566" s="366"/>
      <c r="L566" s="768"/>
    </row>
    <row r="567">
      <c r="E567" s="366"/>
      <c r="L567" s="768"/>
    </row>
    <row r="568">
      <c r="E568" s="366"/>
      <c r="L568" s="768"/>
    </row>
    <row r="569">
      <c r="E569" s="366"/>
      <c r="L569" s="768"/>
    </row>
    <row r="570">
      <c r="E570" s="366"/>
      <c r="L570" s="768"/>
    </row>
    <row r="571">
      <c r="E571" s="366"/>
      <c r="L571" s="768"/>
    </row>
    <row r="572">
      <c r="E572" s="366"/>
      <c r="L572" s="768"/>
    </row>
    <row r="573">
      <c r="E573" s="366"/>
      <c r="L573" s="768"/>
    </row>
    <row r="574">
      <c r="E574" s="366"/>
      <c r="L574" s="768"/>
    </row>
    <row r="575">
      <c r="E575" s="366"/>
      <c r="L575" s="768"/>
    </row>
    <row r="576">
      <c r="E576" s="366"/>
      <c r="L576" s="768"/>
    </row>
    <row r="577">
      <c r="E577" s="366"/>
      <c r="L577" s="768"/>
    </row>
    <row r="578">
      <c r="E578" s="366"/>
      <c r="L578" s="768"/>
    </row>
    <row r="579">
      <c r="E579" s="366"/>
      <c r="L579" s="768"/>
    </row>
    <row r="580">
      <c r="E580" s="366"/>
      <c r="L580" s="768"/>
    </row>
    <row r="581">
      <c r="E581" s="366"/>
      <c r="L581" s="768"/>
    </row>
    <row r="582">
      <c r="E582" s="366"/>
      <c r="L582" s="768"/>
    </row>
    <row r="583">
      <c r="E583" s="366"/>
      <c r="L583" s="768"/>
    </row>
    <row r="584">
      <c r="E584" s="366"/>
      <c r="L584" s="768"/>
    </row>
    <row r="585">
      <c r="E585" s="366"/>
      <c r="L585" s="768"/>
    </row>
    <row r="586">
      <c r="E586" s="366"/>
      <c r="L586" s="768"/>
    </row>
    <row r="587">
      <c r="E587" s="366"/>
      <c r="L587" s="768"/>
    </row>
    <row r="588">
      <c r="E588" s="366"/>
      <c r="L588" s="768"/>
    </row>
    <row r="589">
      <c r="E589" s="366"/>
      <c r="L589" s="768"/>
    </row>
    <row r="590">
      <c r="E590" s="366"/>
      <c r="L590" s="768"/>
    </row>
    <row r="591">
      <c r="E591" s="366"/>
      <c r="L591" s="768"/>
    </row>
    <row r="592">
      <c r="E592" s="366"/>
      <c r="L592" s="768"/>
    </row>
    <row r="593">
      <c r="E593" s="366"/>
      <c r="L593" s="768"/>
    </row>
    <row r="594">
      <c r="E594" s="366"/>
      <c r="L594" s="768"/>
    </row>
    <row r="595">
      <c r="E595" s="366"/>
      <c r="L595" s="768"/>
    </row>
    <row r="596">
      <c r="E596" s="366"/>
      <c r="L596" s="768"/>
    </row>
    <row r="597">
      <c r="E597" s="366"/>
      <c r="L597" s="768"/>
    </row>
    <row r="598">
      <c r="E598" s="366"/>
      <c r="L598" s="768"/>
    </row>
    <row r="599">
      <c r="E599" s="366"/>
      <c r="L599" s="768"/>
    </row>
    <row r="600">
      <c r="E600" s="366"/>
      <c r="L600" s="768"/>
    </row>
    <row r="601">
      <c r="E601" s="366"/>
      <c r="L601" s="768"/>
    </row>
    <row r="602">
      <c r="E602" s="366"/>
      <c r="L602" s="768"/>
    </row>
    <row r="603">
      <c r="E603" s="366"/>
      <c r="L603" s="768"/>
    </row>
    <row r="604">
      <c r="E604" s="366"/>
      <c r="L604" s="768"/>
    </row>
    <row r="605">
      <c r="E605" s="366"/>
      <c r="L605" s="768"/>
    </row>
    <row r="606">
      <c r="E606" s="366"/>
      <c r="L606" s="768"/>
    </row>
    <row r="607">
      <c r="E607" s="366"/>
      <c r="L607" s="768"/>
    </row>
    <row r="608">
      <c r="E608" s="366"/>
      <c r="L608" s="768"/>
    </row>
    <row r="609">
      <c r="E609" s="366"/>
      <c r="L609" s="768"/>
    </row>
    <row r="610">
      <c r="E610" s="366"/>
      <c r="L610" s="768"/>
    </row>
    <row r="611">
      <c r="E611" s="366"/>
      <c r="L611" s="768"/>
    </row>
    <row r="612">
      <c r="E612" s="366"/>
      <c r="L612" s="768"/>
    </row>
    <row r="613">
      <c r="E613" s="366"/>
      <c r="L613" s="768"/>
    </row>
    <row r="614">
      <c r="E614" s="366"/>
      <c r="L614" s="768"/>
    </row>
    <row r="615">
      <c r="E615" s="366"/>
      <c r="L615" s="768"/>
    </row>
    <row r="616">
      <c r="E616" s="366"/>
      <c r="L616" s="768"/>
    </row>
    <row r="617">
      <c r="E617" s="366"/>
      <c r="L617" s="768"/>
    </row>
    <row r="618">
      <c r="E618" s="366"/>
      <c r="L618" s="768"/>
    </row>
    <row r="619">
      <c r="E619" s="366"/>
      <c r="L619" s="768"/>
    </row>
    <row r="620">
      <c r="E620" s="366"/>
      <c r="L620" s="768"/>
    </row>
    <row r="621">
      <c r="E621" s="366"/>
      <c r="L621" s="768"/>
    </row>
    <row r="622">
      <c r="E622" s="366"/>
      <c r="L622" s="768"/>
    </row>
    <row r="623">
      <c r="E623" s="366"/>
      <c r="L623" s="768"/>
    </row>
    <row r="624">
      <c r="E624" s="366"/>
      <c r="L624" s="768"/>
    </row>
    <row r="625">
      <c r="E625" s="366"/>
      <c r="L625" s="768"/>
    </row>
    <row r="626">
      <c r="E626" s="366"/>
      <c r="L626" s="768"/>
    </row>
    <row r="627">
      <c r="E627" s="366"/>
      <c r="L627" s="768"/>
    </row>
    <row r="628">
      <c r="E628" s="366"/>
      <c r="L628" s="768"/>
    </row>
    <row r="629">
      <c r="E629" s="366"/>
      <c r="L629" s="768"/>
    </row>
    <row r="630">
      <c r="E630" s="366"/>
      <c r="L630" s="768"/>
    </row>
    <row r="631">
      <c r="E631" s="366"/>
      <c r="L631" s="768"/>
    </row>
    <row r="632">
      <c r="E632" s="366"/>
      <c r="L632" s="768"/>
    </row>
    <row r="633">
      <c r="E633" s="366"/>
      <c r="L633" s="768"/>
    </row>
    <row r="634">
      <c r="E634" s="366"/>
      <c r="L634" s="768"/>
    </row>
    <row r="635">
      <c r="E635" s="366"/>
      <c r="L635" s="768"/>
    </row>
    <row r="636">
      <c r="E636" s="366"/>
      <c r="L636" s="768"/>
    </row>
    <row r="637">
      <c r="E637" s="366"/>
      <c r="L637" s="768"/>
    </row>
    <row r="638">
      <c r="E638" s="366"/>
      <c r="L638" s="768"/>
    </row>
    <row r="639">
      <c r="E639" s="366"/>
      <c r="L639" s="768"/>
    </row>
    <row r="640">
      <c r="E640" s="366"/>
      <c r="L640" s="768"/>
    </row>
    <row r="641">
      <c r="E641" s="366"/>
      <c r="L641" s="768"/>
    </row>
    <row r="642">
      <c r="E642" s="366"/>
      <c r="L642" s="768"/>
    </row>
    <row r="643">
      <c r="E643" s="366"/>
      <c r="L643" s="768"/>
    </row>
    <row r="644">
      <c r="E644" s="366"/>
      <c r="L644" s="768"/>
    </row>
    <row r="645">
      <c r="E645" s="366"/>
      <c r="L645" s="768"/>
    </row>
    <row r="646">
      <c r="E646" s="366"/>
      <c r="L646" s="768"/>
    </row>
    <row r="647">
      <c r="E647" s="366"/>
      <c r="L647" s="768"/>
    </row>
    <row r="648">
      <c r="E648" s="366"/>
      <c r="L648" s="768"/>
    </row>
    <row r="649">
      <c r="E649" s="366"/>
      <c r="L649" s="768"/>
    </row>
    <row r="650">
      <c r="E650" s="366"/>
      <c r="L650" s="768"/>
    </row>
    <row r="651">
      <c r="E651" s="366"/>
      <c r="L651" s="768"/>
    </row>
    <row r="652">
      <c r="E652" s="366"/>
      <c r="L652" s="768"/>
    </row>
    <row r="653">
      <c r="E653" s="366"/>
      <c r="L653" s="768"/>
    </row>
    <row r="654">
      <c r="E654" s="366"/>
      <c r="L654" s="768"/>
    </row>
    <row r="655">
      <c r="E655" s="366"/>
      <c r="L655" s="768"/>
    </row>
    <row r="656">
      <c r="E656" s="366"/>
      <c r="L656" s="768"/>
    </row>
    <row r="657">
      <c r="E657" s="366"/>
      <c r="L657" s="768"/>
    </row>
    <row r="658">
      <c r="E658" s="366"/>
      <c r="L658" s="768"/>
    </row>
    <row r="659">
      <c r="E659" s="366"/>
      <c r="L659" s="768"/>
    </row>
    <row r="660">
      <c r="E660" s="366"/>
      <c r="L660" s="768"/>
    </row>
    <row r="661">
      <c r="E661" s="366"/>
      <c r="L661" s="768"/>
    </row>
    <row r="662">
      <c r="E662" s="366"/>
      <c r="L662" s="768"/>
    </row>
    <row r="663">
      <c r="E663" s="366"/>
      <c r="L663" s="768"/>
    </row>
    <row r="664">
      <c r="E664" s="366"/>
      <c r="L664" s="768"/>
    </row>
    <row r="665">
      <c r="E665" s="366"/>
      <c r="L665" s="768"/>
    </row>
    <row r="666">
      <c r="E666" s="366"/>
      <c r="L666" s="768"/>
    </row>
    <row r="667">
      <c r="E667" s="366"/>
      <c r="L667" s="768"/>
    </row>
    <row r="668">
      <c r="E668" s="366"/>
      <c r="L668" s="768"/>
    </row>
    <row r="669">
      <c r="E669" s="366"/>
      <c r="L669" s="768"/>
    </row>
    <row r="670">
      <c r="E670" s="366"/>
      <c r="L670" s="768"/>
    </row>
    <row r="671">
      <c r="E671" s="366"/>
      <c r="L671" s="768"/>
    </row>
    <row r="672">
      <c r="E672" s="366"/>
      <c r="L672" s="768"/>
    </row>
    <row r="673">
      <c r="E673" s="366"/>
      <c r="L673" s="768"/>
    </row>
    <row r="674">
      <c r="E674" s="366"/>
      <c r="L674" s="768"/>
    </row>
    <row r="675">
      <c r="E675" s="366"/>
      <c r="L675" s="768"/>
    </row>
    <row r="676">
      <c r="E676" s="366"/>
      <c r="L676" s="768"/>
    </row>
    <row r="677">
      <c r="E677" s="366"/>
      <c r="L677" s="768"/>
    </row>
    <row r="678">
      <c r="E678" s="366"/>
      <c r="L678" s="768"/>
    </row>
    <row r="679">
      <c r="E679" s="366"/>
      <c r="L679" s="768"/>
    </row>
    <row r="680">
      <c r="E680" s="366"/>
      <c r="L680" s="768"/>
    </row>
    <row r="681">
      <c r="E681" s="366"/>
      <c r="L681" s="768"/>
    </row>
    <row r="682">
      <c r="E682" s="366"/>
      <c r="L682" s="768"/>
    </row>
    <row r="683">
      <c r="E683" s="366"/>
      <c r="L683" s="768"/>
    </row>
    <row r="684">
      <c r="E684" s="366"/>
      <c r="L684" s="768"/>
    </row>
    <row r="685">
      <c r="E685" s="366"/>
      <c r="L685" s="768"/>
    </row>
    <row r="686">
      <c r="E686" s="366"/>
      <c r="L686" s="768"/>
    </row>
    <row r="687">
      <c r="E687" s="366"/>
      <c r="L687" s="768"/>
    </row>
    <row r="688">
      <c r="E688" s="366"/>
      <c r="L688" s="768"/>
    </row>
    <row r="689">
      <c r="E689" s="366"/>
      <c r="L689" s="768"/>
    </row>
    <row r="690">
      <c r="E690" s="366"/>
      <c r="L690" s="768"/>
    </row>
    <row r="691">
      <c r="E691" s="366"/>
      <c r="L691" s="768"/>
    </row>
    <row r="692">
      <c r="E692" s="366"/>
      <c r="L692" s="768"/>
    </row>
    <row r="693">
      <c r="E693" s="366"/>
      <c r="L693" s="768"/>
    </row>
    <row r="694">
      <c r="E694" s="366"/>
      <c r="L694" s="768"/>
    </row>
    <row r="695">
      <c r="E695" s="366"/>
      <c r="L695" s="768"/>
    </row>
    <row r="696">
      <c r="E696" s="366"/>
      <c r="L696" s="768"/>
    </row>
    <row r="697">
      <c r="E697" s="366"/>
      <c r="L697" s="768"/>
    </row>
    <row r="698">
      <c r="E698" s="366"/>
      <c r="L698" s="768"/>
    </row>
    <row r="699">
      <c r="E699" s="366"/>
      <c r="L699" s="768"/>
    </row>
    <row r="700">
      <c r="E700" s="366"/>
      <c r="L700" s="768"/>
    </row>
    <row r="701">
      <c r="E701" s="366"/>
      <c r="L701" s="768"/>
    </row>
    <row r="702">
      <c r="E702" s="366"/>
      <c r="L702" s="768"/>
    </row>
    <row r="703">
      <c r="E703" s="366"/>
      <c r="L703" s="768"/>
    </row>
    <row r="704">
      <c r="E704" s="366"/>
      <c r="L704" s="768"/>
    </row>
    <row r="705">
      <c r="E705" s="366"/>
      <c r="L705" s="768"/>
    </row>
    <row r="706">
      <c r="E706" s="366"/>
      <c r="L706" s="768"/>
    </row>
    <row r="707">
      <c r="E707" s="366"/>
      <c r="L707" s="768"/>
    </row>
    <row r="708">
      <c r="E708" s="366"/>
      <c r="L708" s="768"/>
    </row>
    <row r="709">
      <c r="E709" s="366"/>
      <c r="L709" s="768"/>
    </row>
    <row r="710">
      <c r="E710" s="366"/>
      <c r="L710" s="768"/>
    </row>
    <row r="711">
      <c r="E711" s="366"/>
      <c r="L711" s="768"/>
    </row>
    <row r="712">
      <c r="E712" s="366"/>
      <c r="L712" s="768"/>
    </row>
    <row r="713">
      <c r="E713" s="366"/>
      <c r="L713" s="768"/>
    </row>
    <row r="714">
      <c r="E714" s="366"/>
      <c r="L714" s="768"/>
    </row>
    <row r="715">
      <c r="E715" s="366"/>
      <c r="L715" s="768"/>
    </row>
    <row r="716">
      <c r="E716" s="366"/>
      <c r="L716" s="768"/>
    </row>
    <row r="717">
      <c r="E717" s="366"/>
      <c r="L717" s="768"/>
    </row>
    <row r="718">
      <c r="E718" s="366"/>
      <c r="L718" s="768"/>
    </row>
    <row r="719">
      <c r="E719" s="366"/>
      <c r="L719" s="768"/>
    </row>
  </sheetData>
  <mergeCells count="41">
    <mergeCell ref="B1:H2"/>
    <mergeCell ref="A4:A21"/>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9:K59"/>
    <mergeCell ref="H60:K60"/>
    <mergeCell ref="H61:K61"/>
    <mergeCell ref="H62:K62"/>
    <mergeCell ref="H63:K63"/>
    <mergeCell ref="H66:K66"/>
    <mergeCell ref="H52:K52"/>
    <mergeCell ref="H53:K53"/>
    <mergeCell ref="H54:K54"/>
    <mergeCell ref="H55:K55"/>
    <mergeCell ref="H56:K56"/>
    <mergeCell ref="H57:K57"/>
    <mergeCell ref="H58:K58"/>
  </mergeCell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hidden="1" min="1" max="1" width="12.63"/>
    <col customWidth="1" min="4" max="4" width="16.88"/>
    <col customWidth="1" min="5" max="9" width="15.88"/>
    <col customWidth="1" min="10" max="10" width="19.5"/>
    <col customWidth="1" min="11" max="11" width="6.38"/>
    <col customWidth="1" min="12" max="18" width="32.38"/>
  </cols>
  <sheetData>
    <row r="1">
      <c r="A1" s="771"/>
      <c r="B1" s="771"/>
      <c r="C1" s="771"/>
      <c r="D1" s="772"/>
      <c r="E1" s="772"/>
      <c r="F1" s="772"/>
      <c r="G1" s="772"/>
      <c r="H1" s="772"/>
      <c r="I1" s="772"/>
      <c r="J1" s="771"/>
      <c r="K1" s="773"/>
      <c r="L1" s="771"/>
      <c r="M1" s="771"/>
      <c r="N1" s="771"/>
      <c r="O1" s="771"/>
      <c r="P1" s="771"/>
      <c r="Q1" s="771"/>
      <c r="R1" s="771"/>
    </row>
    <row r="2">
      <c r="A2" s="774">
        <f>TODAY()</f>
        <v>46182</v>
      </c>
      <c r="B2" s="775" t="s">
        <v>6488</v>
      </c>
      <c r="C2" s="775" t="s">
        <v>8850</v>
      </c>
      <c r="D2" s="776" t="s">
        <v>41</v>
      </c>
      <c r="E2" s="777" t="s">
        <v>8851</v>
      </c>
      <c r="F2" s="778" t="s">
        <v>8852</v>
      </c>
      <c r="G2" s="778" t="s">
        <v>8853</v>
      </c>
      <c r="H2" s="778" t="s">
        <v>8854</v>
      </c>
      <c r="I2" s="778" t="s">
        <v>8855</v>
      </c>
      <c r="J2" s="775" t="s">
        <v>8850</v>
      </c>
      <c r="K2" s="779" t="s">
        <v>8856</v>
      </c>
      <c r="L2" s="780" t="s">
        <v>8857</v>
      </c>
      <c r="M2" s="249"/>
      <c r="N2" s="249"/>
      <c r="O2" s="249"/>
      <c r="P2" s="249"/>
      <c r="Q2" s="249"/>
      <c r="R2" s="250"/>
    </row>
    <row r="3" hidden="1">
      <c r="A3" s="781"/>
      <c r="B3" s="782" t="s">
        <v>8858</v>
      </c>
      <c r="C3" s="783">
        <v>46160.0</v>
      </c>
      <c r="D3" s="784" t="s">
        <v>8859</v>
      </c>
      <c r="E3" s="785"/>
      <c r="F3" s="786"/>
      <c r="G3" s="787"/>
      <c r="H3" s="787"/>
      <c r="I3" s="787"/>
      <c r="J3" s="783">
        <v>46160.0</v>
      </c>
      <c r="K3" s="788" t="s">
        <v>8860</v>
      </c>
      <c r="L3" s="789"/>
      <c r="M3" s="789"/>
      <c r="N3" s="789"/>
      <c r="O3" s="789"/>
      <c r="P3" s="789"/>
      <c r="Q3" s="789"/>
      <c r="R3" s="789"/>
    </row>
    <row r="4" hidden="1">
      <c r="A4" s="781"/>
      <c r="B4" s="782" t="s">
        <v>8861</v>
      </c>
      <c r="C4" s="783">
        <v>46161.0</v>
      </c>
      <c r="D4" s="784" t="s">
        <v>8859</v>
      </c>
      <c r="E4" s="785"/>
      <c r="F4" s="786"/>
      <c r="G4" s="787"/>
      <c r="H4" s="787"/>
      <c r="I4" s="787"/>
      <c r="J4" s="783">
        <v>46161.0</v>
      </c>
      <c r="K4" s="788" t="s">
        <v>8860</v>
      </c>
      <c r="L4" s="789"/>
      <c r="M4" s="789"/>
      <c r="N4" s="789"/>
      <c r="O4" s="789"/>
      <c r="P4" s="789"/>
      <c r="Q4" s="789"/>
      <c r="R4" s="789"/>
    </row>
    <row r="5" hidden="1">
      <c r="A5" s="781"/>
      <c r="B5" s="782" t="s">
        <v>8862</v>
      </c>
      <c r="C5" s="783">
        <v>46162.0</v>
      </c>
      <c r="D5" s="784" t="s">
        <v>8859</v>
      </c>
      <c r="E5" s="785"/>
      <c r="F5" s="786"/>
      <c r="G5" s="787"/>
      <c r="H5" s="787"/>
      <c r="I5" s="787"/>
      <c r="J5" s="783">
        <v>46162.0</v>
      </c>
      <c r="K5" s="788" t="s">
        <v>8860</v>
      </c>
      <c r="L5" s="789"/>
      <c r="M5" s="789"/>
      <c r="N5" s="789"/>
      <c r="O5" s="789"/>
      <c r="P5" s="789"/>
      <c r="Q5" s="789"/>
      <c r="R5" s="789"/>
    </row>
    <row r="6" hidden="1">
      <c r="A6" s="781"/>
      <c r="B6" s="782" t="s">
        <v>8863</v>
      </c>
      <c r="C6" s="783">
        <v>46163.0</v>
      </c>
      <c r="D6" s="784" t="s">
        <v>8864</v>
      </c>
      <c r="E6" s="790"/>
      <c r="F6" s="786"/>
      <c r="G6" s="787"/>
      <c r="H6" s="787"/>
      <c r="I6" s="787"/>
      <c r="J6" s="783">
        <v>46163.0</v>
      </c>
      <c r="K6" s="788" t="s">
        <v>8860</v>
      </c>
      <c r="L6" s="789"/>
      <c r="M6" s="789"/>
      <c r="N6" s="789"/>
      <c r="O6" s="789"/>
      <c r="P6" s="789"/>
      <c r="Q6" s="789"/>
      <c r="R6" s="789"/>
    </row>
    <row r="7" hidden="1">
      <c r="A7" s="781"/>
      <c r="B7" s="782" t="s">
        <v>8865</v>
      </c>
      <c r="C7" s="783">
        <v>46164.0</v>
      </c>
      <c r="D7" s="784" t="s">
        <v>8866</v>
      </c>
      <c r="E7" s="790"/>
      <c r="F7" s="786"/>
      <c r="G7" s="787"/>
      <c r="H7" s="787"/>
      <c r="I7" s="787"/>
      <c r="J7" s="783">
        <v>46164.0</v>
      </c>
      <c r="K7" s="788" t="s">
        <v>8860</v>
      </c>
      <c r="L7" s="789"/>
      <c r="M7" s="789"/>
      <c r="N7" s="789"/>
      <c r="O7" s="789"/>
      <c r="P7" s="789"/>
      <c r="Q7" s="789"/>
      <c r="R7" s="789"/>
    </row>
    <row r="8" hidden="1">
      <c r="A8" s="781"/>
      <c r="B8" s="782" t="s">
        <v>8867</v>
      </c>
      <c r="C8" s="783">
        <v>46165.0</v>
      </c>
      <c r="D8" s="784"/>
      <c r="E8" s="785"/>
      <c r="F8" s="786"/>
      <c r="G8" s="787"/>
      <c r="H8" s="787"/>
      <c r="I8" s="787"/>
      <c r="J8" s="783">
        <v>46165.0</v>
      </c>
      <c r="K8" s="788" t="s">
        <v>8860</v>
      </c>
      <c r="L8" s="789"/>
      <c r="M8" s="789"/>
      <c r="N8" s="789"/>
      <c r="O8" s="789"/>
      <c r="P8" s="789"/>
      <c r="Q8" s="789"/>
      <c r="R8" s="789"/>
    </row>
    <row r="9" hidden="1">
      <c r="A9" s="781"/>
      <c r="B9" s="782" t="s">
        <v>7559</v>
      </c>
      <c r="C9" s="783">
        <v>46166.0</v>
      </c>
      <c r="D9" s="784"/>
      <c r="E9" s="785"/>
      <c r="F9" s="786"/>
      <c r="G9" s="787"/>
      <c r="H9" s="787"/>
      <c r="I9" s="787"/>
      <c r="J9" s="783">
        <v>46166.0</v>
      </c>
      <c r="K9" s="788" t="s">
        <v>8860</v>
      </c>
      <c r="L9" s="789"/>
      <c r="M9" s="789"/>
      <c r="N9" s="789"/>
      <c r="O9" s="789"/>
      <c r="P9" s="789"/>
      <c r="Q9" s="789"/>
      <c r="R9" s="789"/>
    </row>
    <row r="10" hidden="1">
      <c r="A10" s="781"/>
      <c r="B10" s="782" t="s">
        <v>8858</v>
      </c>
      <c r="C10" s="783">
        <v>46167.0</v>
      </c>
      <c r="D10" s="784" t="s">
        <v>8868</v>
      </c>
      <c r="E10" s="790"/>
      <c r="F10" s="786"/>
      <c r="G10" s="787"/>
      <c r="H10" s="787"/>
      <c r="I10" s="787"/>
      <c r="J10" s="783">
        <v>46167.0</v>
      </c>
      <c r="K10" s="788" t="s">
        <v>8869</v>
      </c>
      <c r="L10" s="789"/>
      <c r="M10" s="789"/>
      <c r="N10" s="789"/>
      <c r="O10" s="789"/>
      <c r="P10" s="789"/>
      <c r="Q10" s="789"/>
      <c r="R10" s="789"/>
    </row>
    <row r="11" hidden="1">
      <c r="A11" s="781"/>
      <c r="B11" s="782" t="s">
        <v>8861</v>
      </c>
      <c r="C11" s="783">
        <v>46168.0</v>
      </c>
      <c r="D11" s="784"/>
      <c r="E11" s="785"/>
      <c r="F11" s="786"/>
      <c r="G11" s="787"/>
      <c r="H11" s="787"/>
      <c r="I11" s="787"/>
      <c r="J11" s="783">
        <v>46168.0</v>
      </c>
      <c r="K11" s="788" t="s">
        <v>8869</v>
      </c>
      <c r="L11" s="789"/>
      <c r="M11" s="789"/>
      <c r="N11" s="789"/>
      <c r="O11" s="789"/>
      <c r="P11" s="789"/>
      <c r="Q11" s="789"/>
      <c r="R11" s="789"/>
    </row>
    <row r="12" hidden="1">
      <c r="A12" s="781"/>
      <c r="B12" s="782" t="s">
        <v>8862</v>
      </c>
      <c r="C12" s="783">
        <v>46169.0</v>
      </c>
      <c r="D12" s="784"/>
      <c r="E12" s="785"/>
      <c r="F12" s="786"/>
      <c r="G12" s="787"/>
      <c r="H12" s="787"/>
      <c r="I12" s="787"/>
      <c r="J12" s="783">
        <v>46169.0</v>
      </c>
      <c r="K12" s="788" t="s">
        <v>8869</v>
      </c>
      <c r="L12" s="789"/>
      <c r="M12" s="789"/>
      <c r="N12" s="789"/>
      <c r="O12" s="789"/>
      <c r="P12" s="789"/>
      <c r="Q12" s="789"/>
      <c r="R12" s="789"/>
    </row>
    <row r="13" hidden="1">
      <c r="A13" s="781"/>
      <c r="B13" s="782" t="s">
        <v>8863</v>
      </c>
      <c r="C13" s="783">
        <v>46170.0</v>
      </c>
      <c r="D13" s="784" t="s">
        <v>8870</v>
      </c>
      <c r="E13" s="785"/>
      <c r="F13" s="786"/>
      <c r="G13" s="787"/>
      <c r="H13" s="787"/>
      <c r="I13" s="787"/>
      <c r="J13" s="783">
        <v>46170.0</v>
      </c>
      <c r="K13" s="788" t="s">
        <v>8869</v>
      </c>
      <c r="L13" s="789"/>
      <c r="M13" s="789"/>
      <c r="N13" s="789"/>
      <c r="O13" s="789"/>
      <c r="P13" s="789"/>
      <c r="Q13" s="789"/>
      <c r="R13" s="789"/>
    </row>
    <row r="14" hidden="1">
      <c r="A14" s="781"/>
      <c r="B14" s="782" t="s">
        <v>8865</v>
      </c>
      <c r="C14" s="783">
        <v>46171.0</v>
      </c>
      <c r="D14" s="784" t="s">
        <v>8870</v>
      </c>
      <c r="E14" s="790"/>
      <c r="F14" s="786"/>
      <c r="G14" s="787"/>
      <c r="H14" s="787"/>
      <c r="I14" s="787"/>
      <c r="J14" s="783">
        <v>46171.0</v>
      </c>
      <c r="K14" s="788" t="s">
        <v>8869</v>
      </c>
      <c r="L14" s="789"/>
      <c r="M14" s="789"/>
      <c r="N14" s="789"/>
      <c r="O14" s="789"/>
      <c r="P14" s="789"/>
      <c r="Q14" s="789"/>
      <c r="R14" s="789"/>
    </row>
    <row r="15" hidden="1">
      <c r="A15" s="781"/>
      <c r="B15" s="782" t="s">
        <v>8867</v>
      </c>
      <c r="C15" s="783">
        <v>46172.0</v>
      </c>
      <c r="D15" s="784" t="s">
        <v>8870</v>
      </c>
      <c r="E15" s="785"/>
      <c r="F15" s="786"/>
      <c r="G15" s="787"/>
      <c r="H15" s="787"/>
      <c r="I15" s="787"/>
      <c r="J15" s="783">
        <v>46172.0</v>
      </c>
      <c r="K15" s="788" t="s">
        <v>8869</v>
      </c>
      <c r="L15" s="789"/>
      <c r="M15" s="789"/>
      <c r="N15" s="789"/>
      <c r="O15" s="789"/>
      <c r="P15" s="789"/>
      <c r="Q15" s="789"/>
      <c r="R15" s="789"/>
    </row>
    <row r="16" hidden="1">
      <c r="A16" s="781"/>
      <c r="B16" s="782" t="s">
        <v>7559</v>
      </c>
      <c r="C16" s="783">
        <v>46173.0</v>
      </c>
      <c r="D16" s="784" t="s">
        <v>8870</v>
      </c>
      <c r="E16" s="785"/>
      <c r="F16" s="786"/>
      <c r="G16" s="787"/>
      <c r="H16" s="787"/>
      <c r="I16" s="787"/>
      <c r="J16" s="783">
        <v>46173.0</v>
      </c>
      <c r="K16" s="788" t="s">
        <v>8869</v>
      </c>
      <c r="L16" s="789"/>
      <c r="M16" s="789"/>
      <c r="N16" s="789"/>
      <c r="O16" s="789"/>
      <c r="P16" s="789"/>
      <c r="Q16" s="789"/>
      <c r="R16" s="789"/>
    </row>
    <row r="17">
      <c r="A17" s="781"/>
      <c r="B17" s="782" t="s">
        <v>8858</v>
      </c>
      <c r="C17" s="783">
        <v>46174.0</v>
      </c>
      <c r="D17" s="784"/>
      <c r="E17" s="785"/>
      <c r="F17" s="786"/>
      <c r="G17" s="787"/>
      <c r="H17" s="787"/>
      <c r="I17" s="787"/>
      <c r="J17" s="783">
        <v>46174.0</v>
      </c>
      <c r="K17" s="788" t="s">
        <v>8869</v>
      </c>
      <c r="L17" s="789"/>
      <c r="M17" s="789"/>
      <c r="N17" s="789"/>
      <c r="O17" s="789"/>
      <c r="P17" s="789"/>
      <c r="Q17" s="789"/>
      <c r="R17" s="789"/>
    </row>
    <row r="18">
      <c r="A18" s="781"/>
      <c r="B18" s="782" t="s">
        <v>8861</v>
      </c>
      <c r="C18" s="783">
        <v>46175.0</v>
      </c>
      <c r="D18" s="784" t="s">
        <v>8871</v>
      </c>
      <c r="E18" s="785"/>
      <c r="F18" s="786" t="s">
        <v>7603</v>
      </c>
      <c r="G18" s="791"/>
      <c r="H18" s="787"/>
      <c r="I18" s="791" t="s">
        <v>8872</v>
      </c>
      <c r="J18" s="783">
        <v>46175.0</v>
      </c>
      <c r="K18" s="788" t="s">
        <v>8860</v>
      </c>
      <c r="L18" s="789"/>
      <c r="M18" s="789" t="s">
        <v>8873</v>
      </c>
      <c r="N18" s="789"/>
      <c r="O18" s="789"/>
      <c r="P18" s="789"/>
      <c r="Q18" s="789"/>
      <c r="R18" s="789"/>
    </row>
    <row r="19">
      <c r="A19" s="781"/>
      <c r="B19" s="782" t="s">
        <v>8862</v>
      </c>
      <c r="C19" s="783">
        <v>46176.0</v>
      </c>
      <c r="D19" s="784"/>
      <c r="E19" s="785"/>
      <c r="F19" s="792"/>
      <c r="G19" s="792"/>
      <c r="H19" s="793"/>
      <c r="I19" s="793"/>
      <c r="J19" s="783">
        <v>46176.0</v>
      </c>
      <c r="K19" s="788" t="s">
        <v>8860</v>
      </c>
      <c r="L19" s="789"/>
      <c r="M19" s="789" t="s">
        <v>8874</v>
      </c>
      <c r="N19" s="789"/>
      <c r="O19" s="789"/>
      <c r="P19" s="789"/>
      <c r="Q19" s="789"/>
      <c r="R19" s="789"/>
    </row>
    <row r="20">
      <c r="A20" s="781"/>
      <c r="B20" s="782" t="s">
        <v>8863</v>
      </c>
      <c r="C20" s="783">
        <v>46177.0</v>
      </c>
      <c r="D20" s="784"/>
      <c r="E20" s="794" t="s">
        <v>8875</v>
      </c>
      <c r="F20" s="794" t="s">
        <v>8875</v>
      </c>
      <c r="G20" s="795" t="s">
        <v>8876</v>
      </c>
      <c r="H20" s="794" t="s">
        <v>8877</v>
      </c>
      <c r="I20" s="796"/>
      <c r="J20" s="797">
        <v>46177.0</v>
      </c>
      <c r="K20" s="788" t="s">
        <v>8860</v>
      </c>
      <c r="L20" s="798" t="s">
        <v>8878</v>
      </c>
      <c r="M20" s="798" t="s">
        <v>8078</v>
      </c>
      <c r="N20" s="789"/>
      <c r="O20" s="789"/>
      <c r="P20" s="789"/>
      <c r="Q20" s="789"/>
      <c r="R20" s="789"/>
    </row>
    <row r="21">
      <c r="A21" s="781"/>
      <c r="B21" s="782" t="s">
        <v>8865</v>
      </c>
      <c r="C21" s="783">
        <v>46178.0</v>
      </c>
      <c r="D21" s="784"/>
      <c r="E21" s="799"/>
      <c r="F21" s="799"/>
      <c r="G21" s="799"/>
      <c r="H21" s="799"/>
      <c r="I21" s="796"/>
      <c r="J21" s="797">
        <v>46178.0</v>
      </c>
      <c r="K21" s="788" t="s">
        <v>8860</v>
      </c>
      <c r="L21" s="798" t="s">
        <v>8878</v>
      </c>
      <c r="M21" s="798" t="s">
        <v>8078</v>
      </c>
      <c r="N21" s="789" t="s">
        <v>8879</v>
      </c>
      <c r="O21" s="789"/>
      <c r="P21" s="789"/>
      <c r="Q21" s="789"/>
      <c r="R21" s="789"/>
    </row>
    <row r="22">
      <c r="A22" s="781"/>
      <c r="B22" s="782" t="s">
        <v>8867</v>
      </c>
      <c r="C22" s="783">
        <v>46179.0</v>
      </c>
      <c r="D22" s="784"/>
      <c r="E22" s="799"/>
      <c r="F22" s="799"/>
      <c r="G22" s="799"/>
      <c r="H22" s="799"/>
      <c r="I22" s="800" t="s">
        <v>8880</v>
      </c>
      <c r="J22" s="797">
        <v>46179.0</v>
      </c>
      <c r="K22" s="788" t="s">
        <v>8860</v>
      </c>
      <c r="L22" s="798" t="s">
        <v>8878</v>
      </c>
      <c r="M22" s="798" t="s">
        <v>8078</v>
      </c>
      <c r="N22" s="789" t="s">
        <v>8879</v>
      </c>
      <c r="O22" s="798"/>
      <c r="P22" s="798"/>
      <c r="Q22" s="789"/>
      <c r="R22" s="789"/>
    </row>
    <row r="23">
      <c r="A23" s="781"/>
      <c r="B23" s="782" t="s">
        <v>7559</v>
      </c>
      <c r="C23" s="783">
        <v>46180.0</v>
      </c>
      <c r="D23" s="784"/>
      <c r="E23" s="801"/>
      <c r="F23" s="801"/>
      <c r="G23" s="801"/>
      <c r="H23" s="799"/>
      <c r="I23" s="796"/>
      <c r="J23" s="797">
        <v>46180.0</v>
      </c>
      <c r="K23" s="788" t="s">
        <v>8860</v>
      </c>
      <c r="L23" s="798" t="s">
        <v>8878</v>
      </c>
      <c r="M23" s="798" t="s">
        <v>8078</v>
      </c>
      <c r="N23" s="789" t="s">
        <v>8879</v>
      </c>
      <c r="O23" s="798"/>
      <c r="P23" s="798"/>
      <c r="Q23" s="789"/>
      <c r="R23" s="789"/>
    </row>
    <row r="24">
      <c r="A24" s="781"/>
      <c r="B24" s="782" t="s">
        <v>8858</v>
      </c>
      <c r="C24" s="783">
        <v>46181.0</v>
      </c>
      <c r="D24" s="784"/>
      <c r="E24" s="802"/>
      <c r="F24" s="795" t="s">
        <v>8881</v>
      </c>
      <c r="G24" s="803"/>
      <c r="H24" s="801"/>
      <c r="I24" s="796"/>
      <c r="J24" s="783">
        <v>46181.0</v>
      </c>
      <c r="K24" s="788" t="s">
        <v>8860</v>
      </c>
      <c r="L24" s="798" t="s">
        <v>8878</v>
      </c>
      <c r="M24" s="789" t="s">
        <v>8085</v>
      </c>
      <c r="N24" s="789" t="s">
        <v>8879</v>
      </c>
      <c r="O24" s="798"/>
      <c r="P24" s="798"/>
      <c r="Q24" s="789"/>
      <c r="R24" s="789"/>
    </row>
    <row r="25">
      <c r="A25" s="781"/>
      <c r="B25" s="782" t="s">
        <v>8861</v>
      </c>
      <c r="C25" s="783">
        <v>46182.0</v>
      </c>
      <c r="D25" s="784" t="s">
        <v>8871</v>
      </c>
      <c r="E25" s="802"/>
      <c r="F25" s="799"/>
      <c r="G25" s="804"/>
      <c r="H25" s="805"/>
      <c r="I25" s="793"/>
      <c r="J25" s="783">
        <v>46182.0</v>
      </c>
      <c r="K25" s="788" t="s">
        <v>8860</v>
      </c>
      <c r="L25" s="789"/>
      <c r="M25" s="789" t="s">
        <v>8085</v>
      </c>
      <c r="N25" s="789" t="s">
        <v>8879</v>
      </c>
      <c r="O25" s="798"/>
      <c r="P25" s="798"/>
      <c r="Q25" s="789"/>
      <c r="R25" s="789"/>
    </row>
    <row r="26">
      <c r="A26" s="781"/>
      <c r="B26" s="782" t="s">
        <v>8862</v>
      </c>
      <c r="C26" s="783">
        <v>46183.0</v>
      </c>
      <c r="D26" s="784" t="s">
        <v>8882</v>
      </c>
      <c r="E26" s="806" t="s">
        <v>8883</v>
      </c>
      <c r="F26" s="799"/>
      <c r="G26" s="807" t="s">
        <v>8884</v>
      </c>
      <c r="H26" s="808" t="s">
        <v>8883</v>
      </c>
      <c r="I26" s="806" t="s">
        <v>8883</v>
      </c>
      <c r="J26" s="783">
        <v>46183.0</v>
      </c>
      <c r="K26" s="788" t="s">
        <v>8860</v>
      </c>
      <c r="L26" s="809" t="s">
        <v>8885</v>
      </c>
      <c r="M26" s="789" t="s">
        <v>8085</v>
      </c>
      <c r="N26" s="789" t="s">
        <v>8879</v>
      </c>
      <c r="O26" s="798"/>
      <c r="P26" s="798"/>
      <c r="Q26" s="789"/>
      <c r="R26" s="789"/>
    </row>
    <row r="27">
      <c r="A27" s="781"/>
      <c r="B27" s="782" t="s">
        <v>8863</v>
      </c>
      <c r="C27" s="783">
        <v>46184.0</v>
      </c>
      <c r="D27" s="784"/>
      <c r="E27" s="802"/>
      <c r="F27" s="801"/>
      <c r="G27" s="807" t="s">
        <v>8886</v>
      </c>
      <c r="H27" s="794" t="s">
        <v>8887</v>
      </c>
      <c r="I27" s="787"/>
      <c r="J27" s="783">
        <v>46184.0</v>
      </c>
      <c r="K27" s="788" t="s">
        <v>8860</v>
      </c>
      <c r="L27" s="789" t="s">
        <v>8885</v>
      </c>
      <c r="M27" s="789" t="s">
        <v>8085</v>
      </c>
      <c r="N27" s="798" t="s">
        <v>8098</v>
      </c>
      <c r="O27" s="789" t="s">
        <v>8888</v>
      </c>
      <c r="P27" s="798"/>
      <c r="Q27" s="789"/>
      <c r="R27" s="789"/>
    </row>
    <row r="28">
      <c r="A28" s="781"/>
      <c r="B28" s="782" t="s">
        <v>8865</v>
      </c>
      <c r="C28" s="783">
        <v>46185.0</v>
      </c>
      <c r="D28" s="784"/>
      <c r="E28" s="802"/>
      <c r="F28" s="810" t="s">
        <v>8889</v>
      </c>
      <c r="G28" s="811" t="s">
        <v>8890</v>
      </c>
      <c r="H28" s="799"/>
      <c r="I28" s="790"/>
      <c r="J28" s="783">
        <v>46185.0</v>
      </c>
      <c r="K28" s="788" t="s">
        <v>8860</v>
      </c>
      <c r="L28" s="789" t="s">
        <v>8885</v>
      </c>
      <c r="M28" s="789" t="s">
        <v>8891</v>
      </c>
      <c r="N28" s="789"/>
      <c r="O28" s="789" t="s">
        <v>8888</v>
      </c>
      <c r="P28" s="798"/>
      <c r="Q28" s="798" t="s">
        <v>8892</v>
      </c>
      <c r="R28" s="798" t="s">
        <v>8893</v>
      </c>
    </row>
    <row r="29">
      <c r="A29" s="781"/>
      <c r="B29" s="782" t="s">
        <v>8867</v>
      </c>
      <c r="C29" s="783">
        <v>46186.0</v>
      </c>
      <c r="D29" s="784"/>
      <c r="E29" s="802"/>
      <c r="F29" s="799"/>
      <c r="G29" s="18"/>
      <c r="H29" s="799"/>
      <c r="I29" s="787"/>
      <c r="J29" s="783">
        <v>46186.0</v>
      </c>
      <c r="K29" s="788" t="s">
        <v>8860</v>
      </c>
      <c r="L29" s="789" t="s">
        <v>8885</v>
      </c>
      <c r="M29" s="789" t="s">
        <v>8891</v>
      </c>
      <c r="N29" s="789"/>
      <c r="O29" s="789"/>
      <c r="P29" s="798"/>
      <c r="Q29" s="789"/>
      <c r="R29" s="798" t="s">
        <v>8893</v>
      </c>
    </row>
    <row r="30">
      <c r="A30" s="781"/>
      <c r="B30" s="782" t="s">
        <v>7559</v>
      </c>
      <c r="C30" s="783">
        <v>46187.0</v>
      </c>
      <c r="D30" s="784"/>
      <c r="E30" s="802"/>
      <c r="F30" s="799"/>
      <c r="G30" s="479"/>
      <c r="H30" s="801"/>
      <c r="I30" s="787"/>
      <c r="J30" s="783">
        <v>46187.0</v>
      </c>
      <c r="K30" s="788" t="s">
        <v>8860</v>
      </c>
      <c r="L30" s="789" t="s">
        <v>8885</v>
      </c>
      <c r="M30" s="789" t="s">
        <v>8891</v>
      </c>
      <c r="N30" s="789"/>
      <c r="O30" s="789"/>
      <c r="P30" s="798"/>
      <c r="Q30" s="789"/>
      <c r="R30" s="798" t="s">
        <v>8893</v>
      </c>
    </row>
    <row r="31">
      <c r="A31" s="781"/>
      <c r="B31" s="782" t="s">
        <v>8858</v>
      </c>
      <c r="C31" s="783">
        <v>46188.0</v>
      </c>
      <c r="D31" s="784" t="s">
        <v>8894</v>
      </c>
      <c r="E31" s="812" t="s">
        <v>8894</v>
      </c>
      <c r="F31" s="799"/>
      <c r="G31" s="795" t="s">
        <v>8895</v>
      </c>
      <c r="H31" s="795" t="s">
        <v>8896</v>
      </c>
      <c r="I31" s="812" t="s">
        <v>8894</v>
      </c>
      <c r="J31" s="797">
        <v>46188.0</v>
      </c>
      <c r="K31" s="788" t="s">
        <v>8860</v>
      </c>
      <c r="L31" s="789"/>
      <c r="M31" s="789" t="s">
        <v>8891</v>
      </c>
      <c r="N31" s="789"/>
      <c r="O31" s="789" t="s">
        <v>8897</v>
      </c>
      <c r="P31" s="798"/>
      <c r="Q31" s="798" t="s">
        <v>8898</v>
      </c>
      <c r="R31" s="789" t="s">
        <v>8899</v>
      </c>
    </row>
    <row r="32">
      <c r="A32" s="781"/>
      <c r="B32" s="782" t="s">
        <v>8861</v>
      </c>
      <c r="C32" s="783">
        <v>46189.0</v>
      </c>
      <c r="D32" s="784" t="s">
        <v>8871</v>
      </c>
      <c r="E32" s="813"/>
      <c r="F32" s="801"/>
      <c r="G32" s="799"/>
      <c r="H32" s="799"/>
      <c r="I32" s="813"/>
      <c r="J32" s="797">
        <v>46189.0</v>
      </c>
      <c r="K32" s="788" t="s">
        <v>8860</v>
      </c>
      <c r="L32" s="789" t="s">
        <v>8900</v>
      </c>
      <c r="M32" s="789" t="s">
        <v>8901</v>
      </c>
      <c r="N32" s="789"/>
      <c r="O32" s="789" t="s">
        <v>8897</v>
      </c>
      <c r="P32" s="798" t="s">
        <v>8902</v>
      </c>
      <c r="Q32" s="798" t="s">
        <v>8898</v>
      </c>
      <c r="R32" s="789" t="s">
        <v>8899</v>
      </c>
    </row>
    <row r="33">
      <c r="A33" s="781"/>
      <c r="B33" s="782" t="s">
        <v>8862</v>
      </c>
      <c r="C33" s="783">
        <v>46190.0</v>
      </c>
      <c r="D33" s="784" t="s">
        <v>8894</v>
      </c>
      <c r="E33" s="813"/>
      <c r="F33" s="795" t="s">
        <v>8903</v>
      </c>
      <c r="G33" s="799"/>
      <c r="H33" s="799"/>
      <c r="I33" s="813"/>
      <c r="J33" s="797">
        <v>46190.0</v>
      </c>
      <c r="K33" s="788" t="s">
        <v>8860</v>
      </c>
      <c r="L33" s="789" t="s">
        <v>8900</v>
      </c>
      <c r="M33" s="789" t="s">
        <v>8901</v>
      </c>
      <c r="N33" s="798" t="s">
        <v>8904</v>
      </c>
      <c r="O33" s="789" t="s">
        <v>8897</v>
      </c>
      <c r="P33" s="798" t="s">
        <v>8902</v>
      </c>
      <c r="Q33" s="798" t="s">
        <v>8898</v>
      </c>
      <c r="R33" s="789" t="s">
        <v>8899</v>
      </c>
    </row>
    <row r="34">
      <c r="A34" s="781"/>
      <c r="B34" s="782" t="s">
        <v>8863</v>
      </c>
      <c r="C34" s="783">
        <v>46191.0</v>
      </c>
      <c r="D34" s="784" t="s">
        <v>8894</v>
      </c>
      <c r="E34" s="814"/>
      <c r="F34" s="799"/>
      <c r="G34" s="799"/>
      <c r="H34" s="801"/>
      <c r="I34" s="814"/>
      <c r="J34" s="797">
        <v>46191.0</v>
      </c>
      <c r="K34" s="788" t="s">
        <v>8860</v>
      </c>
      <c r="L34" s="789" t="s">
        <v>8900</v>
      </c>
      <c r="M34" s="789" t="s">
        <v>8901</v>
      </c>
      <c r="N34" s="789"/>
      <c r="O34" s="789" t="s">
        <v>8897</v>
      </c>
      <c r="P34" s="798" t="s">
        <v>8902</v>
      </c>
      <c r="Q34" s="798" t="s">
        <v>8898</v>
      </c>
      <c r="R34" s="789" t="s">
        <v>8899</v>
      </c>
    </row>
    <row r="35">
      <c r="A35" s="781"/>
      <c r="B35" s="782" t="s">
        <v>8865</v>
      </c>
      <c r="C35" s="783">
        <v>46192.0</v>
      </c>
      <c r="D35" s="815"/>
      <c r="E35" s="802" t="s">
        <v>8905</v>
      </c>
      <c r="F35" s="801"/>
      <c r="G35" s="801"/>
      <c r="H35" s="816"/>
      <c r="I35" s="817" t="s">
        <v>8906</v>
      </c>
      <c r="J35" s="783">
        <v>46192.0</v>
      </c>
      <c r="K35" s="788" t="s">
        <v>8860</v>
      </c>
      <c r="L35" s="789" t="s">
        <v>8900</v>
      </c>
      <c r="M35" s="789" t="s">
        <v>8901</v>
      </c>
      <c r="N35" s="789"/>
      <c r="O35" s="789"/>
      <c r="P35" s="798" t="s">
        <v>8902</v>
      </c>
      <c r="Q35" s="789"/>
      <c r="R35" s="789"/>
    </row>
    <row r="36">
      <c r="A36" s="781"/>
      <c r="B36" s="782" t="s">
        <v>8867</v>
      </c>
      <c r="C36" s="783">
        <v>46193.0</v>
      </c>
      <c r="D36" s="815"/>
      <c r="E36" s="785" t="s">
        <v>8905</v>
      </c>
      <c r="F36" s="818" t="s">
        <v>5874</v>
      </c>
      <c r="G36" s="819"/>
      <c r="H36" s="820"/>
      <c r="I36" s="817" t="s">
        <v>8906</v>
      </c>
      <c r="J36" s="783">
        <v>46193.0</v>
      </c>
      <c r="K36" s="788" t="s">
        <v>8869</v>
      </c>
      <c r="L36" s="789"/>
      <c r="M36" s="789"/>
      <c r="N36" s="789"/>
      <c r="O36" s="789"/>
      <c r="P36" s="798" t="s">
        <v>8902</v>
      </c>
      <c r="Q36" s="789"/>
      <c r="R36" s="789"/>
    </row>
    <row r="37">
      <c r="A37" s="781"/>
      <c r="B37" s="782" t="s">
        <v>7559</v>
      </c>
      <c r="C37" s="783">
        <v>46194.0</v>
      </c>
      <c r="D37" s="815"/>
      <c r="E37" s="785" t="s">
        <v>8905</v>
      </c>
      <c r="F37" s="818" t="s">
        <v>5874</v>
      </c>
      <c r="G37" s="820"/>
      <c r="H37" s="820"/>
      <c r="I37" s="817" t="s">
        <v>8906</v>
      </c>
      <c r="J37" s="783">
        <v>46194.0</v>
      </c>
      <c r="K37" s="788" t="s">
        <v>8869</v>
      </c>
      <c r="L37" s="789"/>
      <c r="M37" s="789"/>
      <c r="N37" s="789"/>
      <c r="O37" s="789"/>
      <c r="P37" s="798" t="s">
        <v>8902</v>
      </c>
      <c r="Q37" s="789"/>
      <c r="R37" s="789"/>
    </row>
    <row r="38">
      <c r="A38" s="781"/>
      <c r="B38" s="782" t="s">
        <v>8858</v>
      </c>
      <c r="C38" s="783">
        <v>46195.0</v>
      </c>
      <c r="D38" s="815"/>
      <c r="E38" s="785" t="s">
        <v>8905</v>
      </c>
      <c r="F38" s="818" t="s">
        <v>5874</v>
      </c>
      <c r="G38" s="821"/>
      <c r="H38" s="821"/>
      <c r="I38" s="817" t="s">
        <v>8906</v>
      </c>
      <c r="J38" s="783">
        <v>46195.0</v>
      </c>
      <c r="K38" s="788" t="s">
        <v>8869</v>
      </c>
      <c r="L38" s="789"/>
      <c r="M38" s="789"/>
      <c r="N38" s="789"/>
      <c r="O38" s="789" t="s">
        <v>8907</v>
      </c>
      <c r="P38" s="789"/>
      <c r="Q38" s="789"/>
      <c r="R38" s="789"/>
    </row>
    <row r="39">
      <c r="A39" s="781"/>
      <c r="B39" s="782" t="s">
        <v>8861</v>
      </c>
      <c r="C39" s="783">
        <v>46196.0</v>
      </c>
      <c r="D39" s="815"/>
      <c r="E39" s="802"/>
      <c r="F39" s="818" t="s">
        <v>5874</v>
      </c>
      <c r="G39" s="795" t="s">
        <v>8895</v>
      </c>
      <c r="H39" s="795" t="s">
        <v>8908</v>
      </c>
      <c r="I39" s="817" t="s">
        <v>8906</v>
      </c>
      <c r="J39" s="783">
        <v>46196.0</v>
      </c>
      <c r="K39" s="788" t="s">
        <v>8860</v>
      </c>
      <c r="L39" s="789" t="s">
        <v>8909</v>
      </c>
      <c r="M39" s="789"/>
      <c r="N39" s="789"/>
      <c r="O39" s="789" t="s">
        <v>8907</v>
      </c>
      <c r="P39" s="789"/>
      <c r="Q39" s="789" t="s">
        <v>8910</v>
      </c>
      <c r="R39" s="789" t="s">
        <v>8911</v>
      </c>
    </row>
    <row r="40">
      <c r="A40" s="781"/>
      <c r="B40" s="782" t="s">
        <v>8862</v>
      </c>
      <c r="C40" s="783">
        <v>46197.0</v>
      </c>
      <c r="D40" s="784" t="s">
        <v>8912</v>
      </c>
      <c r="E40" s="802"/>
      <c r="F40" s="818" t="s">
        <v>5874</v>
      </c>
      <c r="G40" s="801"/>
      <c r="H40" s="799"/>
      <c r="I40" s="790"/>
      <c r="J40" s="783">
        <v>46197.0</v>
      </c>
      <c r="K40" s="788" t="s">
        <v>8860</v>
      </c>
      <c r="L40" s="789" t="s">
        <v>8913</v>
      </c>
      <c r="M40" s="789" t="s">
        <v>8914</v>
      </c>
      <c r="N40" s="789"/>
      <c r="O40" s="789" t="s">
        <v>8907</v>
      </c>
      <c r="P40" s="789"/>
      <c r="Q40" s="789" t="s">
        <v>8915</v>
      </c>
      <c r="R40" s="789" t="s">
        <v>8911</v>
      </c>
    </row>
    <row r="41">
      <c r="A41" s="781"/>
      <c r="B41" s="782" t="s">
        <v>8863</v>
      </c>
      <c r="C41" s="783">
        <v>46198.0</v>
      </c>
      <c r="D41" s="784" t="s">
        <v>8916</v>
      </c>
      <c r="E41" s="802"/>
      <c r="F41" s="818" t="s">
        <v>5874</v>
      </c>
      <c r="G41" s="795" t="s">
        <v>8917</v>
      </c>
      <c r="H41" s="801"/>
      <c r="I41" s="790"/>
      <c r="J41" s="783">
        <v>46198.0</v>
      </c>
      <c r="K41" s="788" t="s">
        <v>8860</v>
      </c>
      <c r="L41" s="789" t="s">
        <v>8913</v>
      </c>
      <c r="M41" s="789" t="s">
        <v>8918</v>
      </c>
      <c r="N41" s="789"/>
      <c r="O41" s="789" t="s">
        <v>8907</v>
      </c>
      <c r="P41" s="789"/>
      <c r="Q41" s="789" t="s">
        <v>8919</v>
      </c>
      <c r="R41" s="789" t="s">
        <v>8911</v>
      </c>
    </row>
    <row r="42">
      <c r="A42" s="781"/>
      <c r="B42" s="782" t="s">
        <v>8865</v>
      </c>
      <c r="C42" s="783">
        <v>46199.0</v>
      </c>
      <c r="D42" s="815"/>
      <c r="E42" s="785"/>
      <c r="F42" s="822" t="s">
        <v>8920</v>
      </c>
      <c r="G42" s="799"/>
      <c r="H42" s="823" t="s">
        <v>8921</v>
      </c>
      <c r="I42" s="790"/>
      <c r="J42" s="783">
        <v>46199.0</v>
      </c>
      <c r="K42" s="788" t="s">
        <v>8860</v>
      </c>
      <c r="L42" s="789" t="s">
        <v>8913</v>
      </c>
      <c r="M42" s="789" t="s">
        <v>8918</v>
      </c>
      <c r="N42" s="789"/>
      <c r="O42" s="789"/>
      <c r="P42" s="789"/>
      <c r="Q42" s="789" t="s">
        <v>8919</v>
      </c>
      <c r="R42" s="789" t="s">
        <v>8911</v>
      </c>
    </row>
    <row r="43">
      <c r="A43" s="781"/>
      <c r="B43" s="782" t="s">
        <v>8867</v>
      </c>
      <c r="C43" s="783">
        <v>46200.0</v>
      </c>
      <c r="D43" s="815"/>
      <c r="E43" s="802"/>
      <c r="F43" s="824" t="s">
        <v>8917</v>
      </c>
      <c r="G43" s="795" t="s">
        <v>8922</v>
      </c>
      <c r="H43" s="825" t="s">
        <v>2557</v>
      </c>
      <c r="I43" s="795" t="s">
        <v>8923</v>
      </c>
      <c r="J43" s="783">
        <v>46200.0</v>
      </c>
      <c r="K43" s="788" t="s">
        <v>8860</v>
      </c>
      <c r="L43" s="789" t="s">
        <v>8913</v>
      </c>
      <c r="M43" s="789" t="s">
        <v>8918</v>
      </c>
      <c r="N43" s="789"/>
      <c r="O43" s="789"/>
      <c r="P43" s="789"/>
      <c r="Q43" s="789" t="s">
        <v>8919</v>
      </c>
      <c r="R43" s="789"/>
    </row>
    <row r="44">
      <c r="A44" s="781"/>
      <c r="B44" s="782" t="s">
        <v>7559</v>
      </c>
      <c r="C44" s="783">
        <v>46201.0</v>
      </c>
      <c r="D44" s="815"/>
      <c r="E44" s="802"/>
      <c r="F44" s="826"/>
      <c r="G44" s="799"/>
      <c r="H44" s="825" t="s">
        <v>2557</v>
      </c>
      <c r="I44" s="799"/>
      <c r="J44" s="783">
        <v>46201.0</v>
      </c>
      <c r="K44" s="788" t="s">
        <v>8860</v>
      </c>
      <c r="L44" s="789" t="s">
        <v>8913</v>
      </c>
      <c r="M44" s="789" t="s">
        <v>8918</v>
      </c>
      <c r="N44" s="798" t="s">
        <v>8924</v>
      </c>
      <c r="O44" s="789" t="s">
        <v>8925</v>
      </c>
      <c r="P44" s="789"/>
      <c r="Q44" s="789" t="s">
        <v>8919</v>
      </c>
      <c r="R44" s="789"/>
    </row>
    <row r="45">
      <c r="A45" s="781"/>
      <c r="B45" s="782" t="s">
        <v>8858</v>
      </c>
      <c r="C45" s="783">
        <v>46202.0</v>
      </c>
      <c r="D45" s="815"/>
      <c r="E45" s="802"/>
      <c r="F45" s="826"/>
      <c r="G45" s="799"/>
      <c r="H45" s="825" t="s">
        <v>2557</v>
      </c>
      <c r="I45" s="799"/>
      <c r="J45" s="783">
        <v>46202.0</v>
      </c>
      <c r="K45" s="788" t="s">
        <v>8860</v>
      </c>
      <c r="L45" s="789" t="s">
        <v>8913</v>
      </c>
      <c r="M45" s="789" t="s">
        <v>8918</v>
      </c>
      <c r="N45" s="798" t="s">
        <v>8924</v>
      </c>
      <c r="O45" s="789" t="s">
        <v>8925</v>
      </c>
      <c r="P45" s="789"/>
      <c r="Q45" s="789" t="s">
        <v>8919</v>
      </c>
      <c r="R45" s="789"/>
    </row>
    <row r="46">
      <c r="A46" s="781"/>
      <c r="B46" s="782" t="s">
        <v>8861</v>
      </c>
      <c r="C46" s="783">
        <v>46203.0</v>
      </c>
      <c r="D46" s="815"/>
      <c r="E46" s="802"/>
      <c r="F46" s="826"/>
      <c r="G46" s="801"/>
      <c r="H46" s="825" t="s">
        <v>2557</v>
      </c>
      <c r="I46" s="799"/>
      <c r="J46" s="783">
        <v>46203.0</v>
      </c>
      <c r="K46" s="788" t="s">
        <v>8860</v>
      </c>
      <c r="L46" s="789" t="s">
        <v>8913</v>
      </c>
      <c r="M46" s="789" t="s">
        <v>8918</v>
      </c>
      <c r="N46" s="789"/>
      <c r="O46" s="789" t="s">
        <v>8925</v>
      </c>
      <c r="P46" s="789"/>
      <c r="Q46" s="789"/>
      <c r="R46" s="789"/>
    </row>
    <row r="47">
      <c r="A47" s="781"/>
      <c r="B47" s="782" t="s">
        <v>8862</v>
      </c>
      <c r="C47" s="783">
        <v>46204.0</v>
      </c>
      <c r="D47" s="815"/>
      <c r="E47" s="802"/>
      <c r="F47" s="826"/>
      <c r="G47" s="816"/>
      <c r="H47" s="825" t="s">
        <v>2557</v>
      </c>
      <c r="I47" s="801"/>
      <c r="J47" s="783">
        <v>46204.0</v>
      </c>
      <c r="K47" s="788" t="s">
        <v>8860</v>
      </c>
      <c r="L47" s="789" t="s">
        <v>8913</v>
      </c>
      <c r="M47" s="789" t="s">
        <v>8918</v>
      </c>
      <c r="N47" s="789"/>
      <c r="O47" s="789" t="s">
        <v>8925</v>
      </c>
      <c r="P47" s="789"/>
      <c r="Q47" s="789"/>
      <c r="R47" s="789"/>
    </row>
    <row r="48">
      <c r="A48" s="781"/>
      <c r="B48" s="782" t="s">
        <v>8863</v>
      </c>
      <c r="C48" s="783">
        <v>46205.0</v>
      </c>
      <c r="D48" s="815"/>
      <c r="E48" s="785"/>
      <c r="F48" s="827"/>
      <c r="G48" s="820"/>
      <c r="H48" s="825" t="s">
        <v>2557</v>
      </c>
      <c r="I48" s="787"/>
      <c r="J48" s="783">
        <v>46205.0</v>
      </c>
      <c r="K48" s="788" t="s">
        <v>8860</v>
      </c>
      <c r="L48" s="789"/>
      <c r="M48" s="789"/>
      <c r="N48" s="789"/>
      <c r="O48" s="789" t="s">
        <v>8925</v>
      </c>
      <c r="P48" s="789"/>
      <c r="Q48" s="789"/>
      <c r="R48" s="789"/>
    </row>
    <row r="49">
      <c r="A49" s="781"/>
      <c r="B49" s="782" t="s">
        <v>8865</v>
      </c>
      <c r="C49" s="783">
        <v>46206.0</v>
      </c>
      <c r="D49" s="815"/>
      <c r="E49" s="785"/>
      <c r="F49" s="828" t="s">
        <v>4456</v>
      </c>
      <c r="G49" s="820"/>
      <c r="H49" s="825" t="s">
        <v>2557</v>
      </c>
      <c r="I49" s="787"/>
      <c r="J49" s="783">
        <v>46206.0</v>
      </c>
      <c r="K49" s="788" t="s">
        <v>8869</v>
      </c>
      <c r="L49" s="789"/>
      <c r="M49" s="789"/>
      <c r="N49" s="789"/>
      <c r="O49" s="789"/>
      <c r="P49" s="789"/>
      <c r="Q49" s="789"/>
      <c r="R49" s="789"/>
    </row>
    <row r="50">
      <c r="A50" s="781"/>
      <c r="B50" s="782" t="s">
        <v>8867</v>
      </c>
      <c r="C50" s="783">
        <v>46207.0</v>
      </c>
      <c r="D50" s="815"/>
      <c r="E50" s="785"/>
      <c r="F50" s="828" t="s">
        <v>4456</v>
      </c>
      <c r="G50" s="820"/>
      <c r="H50" s="825" t="s">
        <v>2557</v>
      </c>
      <c r="I50" s="787"/>
      <c r="J50" s="783">
        <v>46207.0</v>
      </c>
      <c r="K50" s="788" t="s">
        <v>8869</v>
      </c>
      <c r="L50" s="789"/>
      <c r="M50" s="789"/>
      <c r="N50" s="789"/>
      <c r="O50" s="789"/>
      <c r="P50" s="789"/>
      <c r="Q50" s="789"/>
      <c r="R50" s="789"/>
    </row>
    <row r="51">
      <c r="A51" s="781"/>
      <c r="B51" s="782" t="s">
        <v>7559</v>
      </c>
      <c r="C51" s="783">
        <v>46208.0</v>
      </c>
      <c r="D51" s="815"/>
      <c r="E51" s="785"/>
      <c r="F51" s="828" t="s">
        <v>4456</v>
      </c>
      <c r="G51" s="820"/>
      <c r="H51" s="825" t="s">
        <v>2557</v>
      </c>
      <c r="I51" s="787"/>
      <c r="J51" s="783">
        <v>46208.0</v>
      </c>
      <c r="K51" s="788" t="s">
        <v>8869</v>
      </c>
      <c r="L51" s="789" t="s">
        <v>8926</v>
      </c>
      <c r="M51" s="789"/>
      <c r="N51" s="789"/>
      <c r="O51" s="789" t="s">
        <v>8927</v>
      </c>
      <c r="P51" s="789"/>
      <c r="Q51" s="789"/>
      <c r="R51" s="789"/>
    </row>
    <row r="52">
      <c r="A52" s="781"/>
      <c r="B52" s="782" t="s">
        <v>8858</v>
      </c>
      <c r="C52" s="783">
        <v>46209.0</v>
      </c>
      <c r="D52" s="784" t="s">
        <v>8928</v>
      </c>
      <c r="E52" s="812" t="s">
        <v>8894</v>
      </c>
      <c r="F52" s="795" t="s">
        <v>8929</v>
      </c>
      <c r="G52" s="820"/>
      <c r="H52" s="825" t="s">
        <v>2557</v>
      </c>
      <c r="I52" s="812" t="s">
        <v>8894</v>
      </c>
      <c r="J52" s="783">
        <v>46209.0</v>
      </c>
      <c r="K52" s="788" t="s">
        <v>8860</v>
      </c>
      <c r="L52" s="789" t="s">
        <v>8926</v>
      </c>
      <c r="M52" s="789"/>
      <c r="N52" s="789"/>
      <c r="O52" s="789"/>
      <c r="P52" s="829" t="s">
        <v>8930</v>
      </c>
      <c r="Q52" s="789"/>
      <c r="R52" s="789"/>
    </row>
    <row r="53">
      <c r="A53" s="781"/>
      <c r="B53" s="782" t="s">
        <v>8861</v>
      </c>
      <c r="C53" s="783">
        <v>46210.0</v>
      </c>
      <c r="D53" s="784" t="s">
        <v>8928</v>
      </c>
      <c r="E53" s="813"/>
      <c r="F53" s="799"/>
      <c r="G53" s="821"/>
      <c r="H53" s="830" t="s">
        <v>8931</v>
      </c>
      <c r="I53" s="813"/>
      <c r="J53" s="783">
        <v>46210.0</v>
      </c>
      <c r="K53" s="788" t="s">
        <v>8860</v>
      </c>
      <c r="L53" s="789" t="s">
        <v>8926</v>
      </c>
      <c r="M53" s="789" t="s">
        <v>8932</v>
      </c>
      <c r="N53" s="789"/>
      <c r="O53" s="789"/>
      <c r="P53" s="829" t="s">
        <v>8930</v>
      </c>
      <c r="Q53" s="789"/>
      <c r="R53" s="789"/>
    </row>
    <row r="54">
      <c r="A54" s="781"/>
      <c r="B54" s="782" t="s">
        <v>8862</v>
      </c>
      <c r="C54" s="783">
        <v>46211.0</v>
      </c>
      <c r="D54" s="784" t="s">
        <v>8928</v>
      </c>
      <c r="E54" s="813"/>
      <c r="F54" s="799"/>
      <c r="G54" s="795" t="s">
        <v>8933</v>
      </c>
      <c r="H54" s="831"/>
      <c r="I54" s="813"/>
      <c r="J54" s="783">
        <v>46211.0</v>
      </c>
      <c r="K54" s="788" t="s">
        <v>8860</v>
      </c>
      <c r="L54" s="789" t="s">
        <v>8926</v>
      </c>
      <c r="M54" s="789" t="s">
        <v>8932</v>
      </c>
      <c r="N54" s="789"/>
      <c r="O54" s="789"/>
      <c r="P54" s="829" t="s">
        <v>8930</v>
      </c>
      <c r="Q54" s="789"/>
      <c r="R54" s="789"/>
    </row>
    <row r="55">
      <c r="A55" s="781"/>
      <c r="B55" s="782" t="s">
        <v>8863</v>
      </c>
      <c r="C55" s="783">
        <v>46212.0</v>
      </c>
      <c r="D55" s="784" t="s">
        <v>8928</v>
      </c>
      <c r="E55" s="814"/>
      <c r="F55" s="799"/>
      <c r="G55" s="799"/>
      <c r="H55" s="831"/>
      <c r="I55" s="814"/>
      <c r="J55" s="783">
        <v>46212.0</v>
      </c>
      <c r="K55" s="788" t="s">
        <v>8860</v>
      </c>
      <c r="L55" s="789" t="s">
        <v>8926</v>
      </c>
      <c r="M55" s="789" t="s">
        <v>8932</v>
      </c>
      <c r="N55" s="789"/>
      <c r="O55" s="789"/>
      <c r="P55" s="829" t="s">
        <v>8930</v>
      </c>
      <c r="Q55" s="789"/>
      <c r="R55" s="789"/>
    </row>
    <row r="56">
      <c r="A56" s="781"/>
      <c r="B56" s="782" t="s">
        <v>8865</v>
      </c>
      <c r="C56" s="783">
        <v>46213.0</v>
      </c>
      <c r="D56" s="784"/>
      <c r="E56" s="784"/>
      <c r="F56" s="799"/>
      <c r="G56" s="799"/>
      <c r="H56" s="831"/>
      <c r="I56" s="784"/>
      <c r="J56" s="783">
        <v>46213.0</v>
      </c>
      <c r="K56" s="788" t="s">
        <v>8860</v>
      </c>
      <c r="L56" s="789" t="s">
        <v>8926</v>
      </c>
      <c r="M56" s="789" t="s">
        <v>8932</v>
      </c>
      <c r="N56" s="789"/>
      <c r="O56" s="789"/>
      <c r="P56" s="829" t="s">
        <v>8930</v>
      </c>
      <c r="Q56" s="789"/>
      <c r="R56" s="789"/>
    </row>
    <row r="57">
      <c r="A57" s="781"/>
      <c r="B57" s="782" t="s">
        <v>8867</v>
      </c>
      <c r="C57" s="783">
        <v>46214.0</v>
      </c>
      <c r="D57" s="815"/>
      <c r="E57" s="802"/>
      <c r="F57" s="799"/>
      <c r="G57" s="799"/>
      <c r="H57" s="795" t="s">
        <v>8934</v>
      </c>
      <c r="I57" s="790"/>
      <c r="J57" s="783">
        <v>46214.0</v>
      </c>
      <c r="K57" s="788" t="s">
        <v>8860</v>
      </c>
      <c r="L57" s="789" t="s">
        <v>8926</v>
      </c>
      <c r="M57" s="789" t="s">
        <v>8932</v>
      </c>
      <c r="N57" s="789"/>
      <c r="O57" s="789" t="s">
        <v>8935</v>
      </c>
      <c r="P57" s="829" t="s">
        <v>8930</v>
      </c>
      <c r="Q57" s="789"/>
      <c r="R57" s="789"/>
    </row>
    <row r="58">
      <c r="A58" s="781"/>
      <c r="B58" s="782" t="s">
        <v>7559</v>
      </c>
      <c r="C58" s="783">
        <v>46215.0</v>
      </c>
      <c r="D58" s="815"/>
      <c r="E58" s="802"/>
      <c r="F58" s="799"/>
      <c r="G58" s="799"/>
      <c r="H58" s="799"/>
      <c r="I58" s="790"/>
      <c r="J58" s="783">
        <v>46215.0</v>
      </c>
      <c r="K58" s="788" t="s">
        <v>8860</v>
      </c>
      <c r="L58" s="789" t="s">
        <v>8926</v>
      </c>
      <c r="M58" s="789" t="s">
        <v>8932</v>
      </c>
      <c r="N58" s="789"/>
      <c r="O58" s="789" t="s">
        <v>8935</v>
      </c>
      <c r="P58" s="829" t="s">
        <v>8930</v>
      </c>
      <c r="Q58" s="789"/>
      <c r="R58" s="789"/>
    </row>
    <row r="59">
      <c r="A59" s="781"/>
      <c r="B59" s="782" t="s">
        <v>8858</v>
      </c>
      <c r="C59" s="783">
        <v>46216.0</v>
      </c>
      <c r="D59" s="815"/>
      <c r="E59" s="802"/>
      <c r="F59" s="799"/>
      <c r="G59" s="799"/>
      <c r="H59" s="799"/>
      <c r="I59" s="790"/>
      <c r="J59" s="783">
        <v>46216.0</v>
      </c>
      <c r="K59" s="788" t="s">
        <v>8860</v>
      </c>
      <c r="L59" s="789"/>
      <c r="M59" s="789"/>
      <c r="N59" s="789"/>
      <c r="O59" s="789" t="s">
        <v>8935</v>
      </c>
      <c r="P59" s="829" t="s">
        <v>8930</v>
      </c>
      <c r="Q59" s="789"/>
      <c r="R59" s="789"/>
    </row>
    <row r="60">
      <c r="A60" s="781"/>
      <c r="B60" s="782" t="s">
        <v>8861</v>
      </c>
      <c r="C60" s="783">
        <v>46217.0</v>
      </c>
      <c r="D60" s="815"/>
      <c r="E60" s="802"/>
      <c r="F60" s="801"/>
      <c r="G60" s="801"/>
      <c r="H60" s="801"/>
      <c r="I60" s="790"/>
      <c r="J60" s="783">
        <v>46217.0</v>
      </c>
      <c r="K60" s="788" t="s">
        <v>8860</v>
      </c>
      <c r="L60" s="789"/>
      <c r="M60" s="789"/>
      <c r="N60" s="789"/>
      <c r="O60" s="789" t="s">
        <v>8935</v>
      </c>
      <c r="P60" s="829" t="s">
        <v>8930</v>
      </c>
      <c r="Q60" s="789"/>
      <c r="R60" s="789"/>
    </row>
    <row r="61">
      <c r="A61" s="781"/>
      <c r="B61" s="782" t="s">
        <v>8862</v>
      </c>
      <c r="C61" s="783">
        <v>46218.0</v>
      </c>
      <c r="D61" s="815"/>
      <c r="E61" s="802"/>
      <c r="F61" s="795" t="s">
        <v>8936</v>
      </c>
      <c r="G61" s="787"/>
      <c r="H61" s="832" t="s">
        <v>8937</v>
      </c>
      <c r="I61" s="787"/>
      <c r="J61" s="783">
        <v>46218.0</v>
      </c>
      <c r="K61" s="788" t="s">
        <v>8860</v>
      </c>
      <c r="L61" s="789"/>
      <c r="M61" s="789" t="s">
        <v>8938</v>
      </c>
      <c r="N61" s="789"/>
      <c r="O61" s="789" t="s">
        <v>8935</v>
      </c>
      <c r="P61" s="829" t="s">
        <v>8930</v>
      </c>
      <c r="Q61" s="789"/>
      <c r="R61" s="789"/>
    </row>
    <row r="62">
      <c r="A62" s="781"/>
      <c r="B62" s="782" t="s">
        <v>8863</v>
      </c>
      <c r="C62" s="783">
        <v>46219.0</v>
      </c>
      <c r="D62" s="815"/>
      <c r="E62" s="802"/>
      <c r="F62" s="799"/>
      <c r="G62" s="833" t="s">
        <v>8939</v>
      </c>
      <c r="H62" s="834"/>
      <c r="I62" s="790"/>
      <c r="J62" s="783">
        <v>46219.0</v>
      </c>
      <c r="K62" s="788" t="s">
        <v>8860</v>
      </c>
      <c r="L62" s="789"/>
      <c r="M62" s="789" t="s">
        <v>8938</v>
      </c>
      <c r="N62" s="789"/>
      <c r="O62" s="789"/>
      <c r="P62" s="829" t="s">
        <v>8930</v>
      </c>
      <c r="Q62" s="789"/>
      <c r="R62" s="789"/>
    </row>
    <row r="63">
      <c r="A63" s="781"/>
      <c r="B63" s="782" t="s">
        <v>8865</v>
      </c>
      <c r="C63" s="783">
        <v>46220.0</v>
      </c>
      <c r="D63" s="815"/>
      <c r="E63" s="802"/>
      <c r="F63" s="799"/>
      <c r="G63" s="835"/>
      <c r="H63" s="795" t="s">
        <v>8940</v>
      </c>
      <c r="I63" s="790"/>
      <c r="J63" s="783">
        <v>46220.0</v>
      </c>
      <c r="K63" s="788" t="s">
        <v>8860</v>
      </c>
      <c r="L63" s="789"/>
      <c r="M63" s="789" t="s">
        <v>8938</v>
      </c>
      <c r="N63" s="789"/>
      <c r="O63" s="789"/>
      <c r="P63" s="829" t="s">
        <v>8930</v>
      </c>
      <c r="Q63" s="789"/>
      <c r="R63" s="789"/>
    </row>
    <row r="64">
      <c r="A64" s="781"/>
      <c r="B64" s="782" t="s">
        <v>8867</v>
      </c>
      <c r="C64" s="783">
        <v>46221.0</v>
      </c>
      <c r="D64" s="815"/>
      <c r="E64" s="802"/>
      <c r="F64" s="799"/>
      <c r="G64" s="835"/>
      <c r="H64" s="799"/>
      <c r="I64" s="790"/>
      <c r="J64" s="783">
        <v>46221.0</v>
      </c>
      <c r="K64" s="788" t="s">
        <v>8860</v>
      </c>
      <c r="L64" s="789"/>
      <c r="M64" s="789" t="s">
        <v>8938</v>
      </c>
      <c r="N64" s="789"/>
      <c r="O64" s="789"/>
      <c r="P64" s="829" t="s">
        <v>8930</v>
      </c>
      <c r="Q64" s="789"/>
      <c r="R64" s="789"/>
    </row>
    <row r="65">
      <c r="A65" s="781"/>
      <c r="B65" s="782" t="s">
        <v>7559</v>
      </c>
      <c r="C65" s="783">
        <v>46222.0</v>
      </c>
      <c r="D65" s="815"/>
      <c r="E65" s="785"/>
      <c r="F65" s="799"/>
      <c r="G65" s="835"/>
      <c r="H65" s="801"/>
      <c r="I65" s="790"/>
      <c r="J65" s="783">
        <v>46222.0</v>
      </c>
      <c r="K65" s="788" t="s">
        <v>8860</v>
      </c>
      <c r="L65" s="789"/>
      <c r="M65" s="789" t="s">
        <v>8938</v>
      </c>
      <c r="N65" s="789"/>
      <c r="O65" s="789"/>
      <c r="P65" s="789"/>
      <c r="Q65" s="789"/>
      <c r="R65" s="789"/>
    </row>
    <row r="66">
      <c r="A66" s="781"/>
      <c r="B66" s="782" t="s">
        <v>8858</v>
      </c>
      <c r="C66" s="783">
        <v>46223.0</v>
      </c>
      <c r="D66" s="784" t="s">
        <v>8941</v>
      </c>
      <c r="E66" s="785"/>
      <c r="F66" s="836"/>
      <c r="G66" s="837" t="s">
        <v>8941</v>
      </c>
      <c r="H66" s="366"/>
      <c r="I66" s="837" t="s">
        <v>8941</v>
      </c>
      <c r="J66" s="783">
        <v>46223.0</v>
      </c>
      <c r="K66" s="788" t="s">
        <v>8860</v>
      </c>
      <c r="L66" s="789"/>
      <c r="M66" s="789" t="s">
        <v>8938</v>
      </c>
      <c r="N66" s="789"/>
      <c r="O66" s="789"/>
      <c r="P66" s="789"/>
      <c r="Q66" s="789"/>
      <c r="R66" s="789"/>
    </row>
    <row r="67">
      <c r="A67" s="781"/>
      <c r="B67" s="782" t="s">
        <v>8861</v>
      </c>
      <c r="C67" s="783">
        <v>46224.0</v>
      </c>
      <c r="D67" s="784" t="s">
        <v>8941</v>
      </c>
      <c r="E67" s="838" t="s">
        <v>8942</v>
      </c>
      <c r="F67" s="839" t="s">
        <v>8943</v>
      </c>
      <c r="G67" s="840" t="s">
        <v>8941</v>
      </c>
      <c r="H67" s="795" t="s">
        <v>8943</v>
      </c>
      <c r="I67" s="840" t="s">
        <v>8941</v>
      </c>
      <c r="J67" s="783">
        <v>46224.0</v>
      </c>
      <c r="K67" s="788" t="s">
        <v>8860</v>
      </c>
      <c r="L67" s="798"/>
      <c r="M67" s="789" t="s">
        <v>8938</v>
      </c>
      <c r="N67" s="798" t="s">
        <v>8944</v>
      </c>
      <c r="O67" s="789"/>
      <c r="P67" s="789"/>
      <c r="Q67" s="789"/>
      <c r="R67" s="789"/>
    </row>
    <row r="68">
      <c r="A68" s="781"/>
      <c r="B68" s="782" t="s">
        <v>8862</v>
      </c>
      <c r="C68" s="783">
        <v>46225.0</v>
      </c>
      <c r="D68" s="784" t="s">
        <v>8941</v>
      </c>
      <c r="F68" s="839" t="s">
        <v>8945</v>
      </c>
      <c r="G68" s="839" t="s">
        <v>8945</v>
      </c>
      <c r="H68" s="801"/>
      <c r="I68" s="787"/>
      <c r="J68" s="783">
        <v>46225.0</v>
      </c>
      <c r="K68" s="788" t="s">
        <v>8860</v>
      </c>
      <c r="L68" s="798"/>
      <c r="M68" s="798"/>
      <c r="N68" s="798" t="s">
        <v>8944</v>
      </c>
      <c r="O68" s="798" t="s">
        <v>7949</v>
      </c>
      <c r="P68" s="789"/>
      <c r="Q68" s="789"/>
      <c r="R68" s="789"/>
    </row>
    <row r="69">
      <c r="A69" s="781"/>
      <c r="B69" s="782" t="s">
        <v>8863</v>
      </c>
      <c r="C69" s="783">
        <v>46226.0</v>
      </c>
      <c r="D69" s="815"/>
      <c r="F69" s="841"/>
      <c r="G69" s="841"/>
      <c r="H69" s="795" t="s">
        <v>8945</v>
      </c>
      <c r="I69" s="790"/>
      <c r="J69" s="783">
        <v>46226.0</v>
      </c>
      <c r="K69" s="788" t="s">
        <v>8860</v>
      </c>
      <c r="L69" s="789" t="s">
        <v>8946</v>
      </c>
      <c r="M69" s="789"/>
      <c r="N69" s="789"/>
      <c r="O69" s="789" t="s">
        <v>8942</v>
      </c>
      <c r="P69" s="789"/>
      <c r="Q69" s="789"/>
      <c r="R69" s="789"/>
    </row>
    <row r="70">
      <c r="A70" s="781"/>
      <c r="B70" s="782" t="s">
        <v>8865</v>
      </c>
      <c r="C70" s="783">
        <v>46227.0</v>
      </c>
      <c r="D70" s="815"/>
      <c r="F70" s="841"/>
      <c r="G70" s="841"/>
      <c r="H70" s="801"/>
      <c r="I70" s="790"/>
      <c r="J70" s="783">
        <v>46227.0</v>
      </c>
      <c r="K70" s="788" t="s">
        <v>8860</v>
      </c>
      <c r="L70" s="789" t="s">
        <v>8946</v>
      </c>
      <c r="M70" s="789"/>
      <c r="N70" s="789"/>
      <c r="O70" s="789" t="s">
        <v>8942</v>
      </c>
      <c r="P70" s="789"/>
      <c r="Q70" s="789"/>
      <c r="R70" s="789"/>
    </row>
    <row r="71">
      <c r="A71" s="781"/>
      <c r="B71" s="782" t="s">
        <v>8867</v>
      </c>
      <c r="C71" s="783">
        <v>46228.0</v>
      </c>
      <c r="D71" s="815"/>
      <c r="E71" s="478"/>
      <c r="F71" s="842"/>
      <c r="G71" s="842"/>
      <c r="H71" s="795" t="s">
        <v>8947</v>
      </c>
      <c r="I71" s="790"/>
      <c r="J71" s="783">
        <v>46228.0</v>
      </c>
      <c r="K71" s="788" t="s">
        <v>8860</v>
      </c>
      <c r="L71" s="789" t="s">
        <v>8946</v>
      </c>
      <c r="M71" s="789"/>
      <c r="N71" s="789"/>
      <c r="O71" s="789" t="s">
        <v>8942</v>
      </c>
      <c r="P71" s="789"/>
      <c r="Q71" s="789"/>
      <c r="R71" s="789"/>
    </row>
    <row r="72">
      <c r="A72" s="781"/>
      <c r="B72" s="782" t="s">
        <v>7559</v>
      </c>
      <c r="C72" s="783">
        <v>46229.0</v>
      </c>
      <c r="D72" s="815"/>
      <c r="E72" s="785"/>
      <c r="F72" s="843"/>
      <c r="G72" s="844"/>
      <c r="H72" s="801"/>
      <c r="I72" s="790"/>
      <c r="J72" s="783">
        <v>46229.0</v>
      </c>
      <c r="K72" s="788" t="s">
        <v>8860</v>
      </c>
      <c r="L72" s="789" t="s">
        <v>8946</v>
      </c>
      <c r="M72" s="789"/>
      <c r="N72" s="789"/>
      <c r="O72" s="789"/>
      <c r="P72" s="789"/>
      <c r="Q72" s="789"/>
      <c r="R72" s="789"/>
    </row>
    <row r="73">
      <c r="A73" s="781"/>
      <c r="B73" s="782" t="s">
        <v>8858</v>
      </c>
      <c r="C73" s="783">
        <v>46230.0</v>
      </c>
      <c r="D73" s="784" t="s">
        <v>8948</v>
      </c>
      <c r="E73" s="812" t="s">
        <v>8894</v>
      </c>
      <c r="F73" s="795" t="s">
        <v>8949</v>
      </c>
      <c r="G73" s="845"/>
      <c r="H73" s="846"/>
      <c r="I73" s="847" t="s">
        <v>8894</v>
      </c>
      <c r="J73" s="783">
        <v>46230.0</v>
      </c>
      <c r="K73" s="788" t="s">
        <v>8860</v>
      </c>
      <c r="L73" s="789" t="s">
        <v>8946</v>
      </c>
      <c r="M73" s="789"/>
      <c r="N73" s="789"/>
      <c r="O73" s="789"/>
      <c r="P73" s="789"/>
      <c r="Q73" s="789"/>
      <c r="R73" s="789"/>
    </row>
    <row r="74">
      <c r="A74" s="781"/>
      <c r="B74" s="782" t="s">
        <v>8861</v>
      </c>
      <c r="C74" s="783">
        <v>46231.0</v>
      </c>
      <c r="D74" s="784" t="s">
        <v>8948</v>
      </c>
      <c r="E74" s="813"/>
      <c r="F74" s="799"/>
      <c r="H74" s="848" t="s">
        <v>8950</v>
      </c>
      <c r="I74" s="813"/>
      <c r="J74" s="783">
        <v>46231.0</v>
      </c>
      <c r="K74" s="788" t="s">
        <v>8860</v>
      </c>
      <c r="L74" s="789"/>
      <c r="M74" s="789"/>
      <c r="N74" s="789"/>
      <c r="O74" s="789"/>
      <c r="P74" s="789"/>
      <c r="Q74" s="789"/>
      <c r="R74" s="789"/>
    </row>
    <row r="75">
      <c r="A75" s="781"/>
      <c r="B75" s="782" t="s">
        <v>8862</v>
      </c>
      <c r="C75" s="783">
        <v>46232.0</v>
      </c>
      <c r="D75" s="784" t="s">
        <v>8948</v>
      </c>
      <c r="E75" s="813"/>
      <c r="F75" s="799"/>
      <c r="G75" s="830" t="s">
        <v>8951</v>
      </c>
      <c r="H75" s="801"/>
      <c r="I75" s="813"/>
      <c r="J75" s="783">
        <v>46232.0</v>
      </c>
      <c r="K75" s="788" t="s">
        <v>8860</v>
      </c>
      <c r="L75" s="789"/>
      <c r="M75" s="789" t="s">
        <v>8952</v>
      </c>
      <c r="N75" s="789"/>
      <c r="O75" s="789"/>
      <c r="P75" s="789"/>
      <c r="Q75" s="789"/>
      <c r="R75" s="789"/>
    </row>
    <row r="76">
      <c r="A76" s="781"/>
      <c r="B76" s="782" t="s">
        <v>8863</v>
      </c>
      <c r="C76" s="783">
        <v>46233.0</v>
      </c>
      <c r="D76" s="784" t="s">
        <v>8948</v>
      </c>
      <c r="E76" s="814"/>
      <c r="F76" s="799"/>
      <c r="G76" s="849"/>
      <c r="H76" s="795" t="s">
        <v>8953</v>
      </c>
      <c r="I76" s="814"/>
      <c r="J76" s="783">
        <v>46233.0</v>
      </c>
      <c r="K76" s="788" t="s">
        <v>8860</v>
      </c>
      <c r="L76" s="789"/>
      <c r="M76" s="789" t="s">
        <v>8954</v>
      </c>
      <c r="N76" s="789"/>
      <c r="O76" s="789"/>
      <c r="P76" s="789"/>
      <c r="Q76" s="789"/>
      <c r="R76" s="789"/>
    </row>
    <row r="77">
      <c r="A77" s="781"/>
      <c r="B77" s="782" t="s">
        <v>8865</v>
      </c>
      <c r="C77" s="783">
        <v>46234.0</v>
      </c>
      <c r="D77" s="815"/>
      <c r="E77" s="850" t="s">
        <v>8357</v>
      </c>
      <c r="F77" s="799"/>
      <c r="G77" s="830" t="s">
        <v>8955</v>
      </c>
      <c r="H77" s="799"/>
      <c r="I77" s="790"/>
      <c r="J77" s="783">
        <v>46234.0</v>
      </c>
      <c r="K77" s="788" t="s">
        <v>8860</v>
      </c>
      <c r="L77" s="789" t="s">
        <v>8956</v>
      </c>
      <c r="M77" s="789" t="s">
        <v>8952</v>
      </c>
      <c r="N77" s="789"/>
      <c r="O77" s="789" t="s">
        <v>8957</v>
      </c>
      <c r="P77" s="789"/>
      <c r="Q77" s="789"/>
      <c r="R77" s="789"/>
    </row>
    <row r="78">
      <c r="A78" s="781"/>
      <c r="B78" s="782" t="s">
        <v>8867</v>
      </c>
      <c r="C78" s="783">
        <v>46235.0</v>
      </c>
      <c r="D78" s="815"/>
      <c r="E78" s="850" t="s">
        <v>8357</v>
      </c>
      <c r="F78" s="799"/>
      <c r="G78" s="831"/>
      <c r="H78" s="799"/>
      <c r="I78" s="851" t="s">
        <v>8958</v>
      </c>
      <c r="J78" s="783">
        <v>46235.0</v>
      </c>
      <c r="K78" s="788" t="s">
        <v>8860</v>
      </c>
      <c r="L78" s="789" t="s">
        <v>8956</v>
      </c>
      <c r="M78" s="789" t="s">
        <v>8959</v>
      </c>
      <c r="N78" s="798" t="s">
        <v>8924</v>
      </c>
      <c r="O78" s="789" t="s">
        <v>8957</v>
      </c>
      <c r="P78" s="789"/>
      <c r="Q78" s="789"/>
      <c r="R78" s="789"/>
    </row>
    <row r="79">
      <c r="A79" s="781"/>
      <c r="B79" s="782" t="s">
        <v>7559</v>
      </c>
      <c r="C79" s="783">
        <v>46236.0</v>
      </c>
      <c r="D79" s="815"/>
      <c r="E79" s="850" t="s">
        <v>8357</v>
      </c>
      <c r="F79" s="799"/>
      <c r="G79" s="852" t="s">
        <v>8960</v>
      </c>
      <c r="H79" s="801"/>
      <c r="I79" s="479"/>
      <c r="J79" s="783">
        <v>46236.0</v>
      </c>
      <c r="K79" s="788" t="s">
        <v>8860</v>
      </c>
      <c r="L79" s="789" t="s">
        <v>8956</v>
      </c>
      <c r="M79" s="789" t="s">
        <v>8959</v>
      </c>
      <c r="N79" s="798" t="s">
        <v>8924</v>
      </c>
      <c r="O79" s="789" t="s">
        <v>8957</v>
      </c>
      <c r="P79" s="789"/>
      <c r="Q79" s="789"/>
      <c r="R79" s="789"/>
    </row>
    <row r="80">
      <c r="A80" s="781"/>
      <c r="B80" s="782" t="s">
        <v>8858</v>
      </c>
      <c r="C80" s="783">
        <v>46237.0</v>
      </c>
      <c r="D80" s="815"/>
      <c r="E80" s="850" t="s">
        <v>8357</v>
      </c>
      <c r="F80" s="801"/>
      <c r="G80" s="790"/>
      <c r="H80" s="853"/>
      <c r="I80" s="787"/>
      <c r="J80" s="783">
        <v>46237.0</v>
      </c>
      <c r="K80" s="788" t="s">
        <v>8860</v>
      </c>
      <c r="L80" s="789" t="s">
        <v>8956</v>
      </c>
      <c r="M80" s="789"/>
      <c r="N80" s="789"/>
      <c r="O80" s="789"/>
      <c r="P80" s="789"/>
      <c r="Q80" s="789"/>
      <c r="R80" s="789"/>
    </row>
    <row r="81">
      <c r="A81" s="781"/>
      <c r="B81" s="782" t="s">
        <v>8861</v>
      </c>
      <c r="C81" s="783">
        <v>46238.0</v>
      </c>
      <c r="D81" s="815"/>
      <c r="E81" s="854" t="s">
        <v>8357</v>
      </c>
      <c r="F81" s="855"/>
      <c r="G81" s="790"/>
      <c r="H81" s="793"/>
      <c r="I81" s="787"/>
      <c r="J81" s="783">
        <v>46238.0</v>
      </c>
      <c r="K81" s="788" t="s">
        <v>8860</v>
      </c>
      <c r="L81" s="789" t="s">
        <v>8956</v>
      </c>
      <c r="M81" s="789"/>
      <c r="N81" s="789"/>
      <c r="O81" s="789"/>
      <c r="P81" s="789"/>
      <c r="Q81" s="789"/>
      <c r="R81" s="789"/>
    </row>
    <row r="82">
      <c r="A82" s="781"/>
      <c r="B82" s="782" t="s">
        <v>8862</v>
      </c>
      <c r="C82" s="783">
        <v>46239.0</v>
      </c>
      <c r="D82" s="815"/>
      <c r="E82" s="854" t="s">
        <v>8357</v>
      </c>
      <c r="F82" s="786"/>
      <c r="G82" s="795" t="s">
        <v>8961</v>
      </c>
      <c r="H82" s="787"/>
      <c r="I82" s="787"/>
      <c r="J82" s="783">
        <v>46239.0</v>
      </c>
      <c r="K82" s="788" t="s">
        <v>8860</v>
      </c>
      <c r="L82" s="789"/>
      <c r="M82" s="789" t="s">
        <v>8962</v>
      </c>
      <c r="N82" s="789"/>
      <c r="O82" s="789"/>
      <c r="P82" s="789"/>
      <c r="Q82" s="789"/>
      <c r="R82" s="789"/>
    </row>
    <row r="83">
      <c r="A83" s="781"/>
      <c r="B83" s="782" t="s">
        <v>8863</v>
      </c>
      <c r="C83" s="783">
        <v>46240.0</v>
      </c>
      <c r="D83" s="815"/>
      <c r="E83" s="785"/>
      <c r="F83" s="786"/>
      <c r="G83" s="799"/>
      <c r="H83" s="787"/>
      <c r="I83" s="787"/>
      <c r="J83" s="783">
        <v>46240.0</v>
      </c>
      <c r="K83" s="788" t="s">
        <v>8860</v>
      </c>
      <c r="L83" s="789"/>
      <c r="M83" s="789" t="s">
        <v>8962</v>
      </c>
      <c r="N83" s="789"/>
      <c r="O83" s="789"/>
      <c r="P83" s="789"/>
      <c r="Q83" s="789"/>
      <c r="R83" s="789"/>
    </row>
    <row r="84">
      <c r="A84" s="781"/>
      <c r="B84" s="782" t="s">
        <v>8865</v>
      </c>
      <c r="C84" s="783">
        <v>46241.0</v>
      </c>
      <c r="D84" s="815"/>
      <c r="E84" s="785"/>
      <c r="F84" s="786"/>
      <c r="G84" s="801"/>
      <c r="H84" s="787"/>
      <c r="I84" s="787"/>
      <c r="J84" s="783">
        <v>46241.0</v>
      </c>
      <c r="K84" s="788" t="s">
        <v>8860</v>
      </c>
      <c r="L84" s="789"/>
      <c r="M84" s="789" t="s">
        <v>8962</v>
      </c>
      <c r="N84" s="789"/>
      <c r="O84" s="789"/>
      <c r="P84" s="789"/>
      <c r="Q84" s="789"/>
      <c r="R84" s="789"/>
    </row>
    <row r="85">
      <c r="A85" s="781"/>
      <c r="B85" s="782" t="s">
        <v>8867</v>
      </c>
      <c r="C85" s="783">
        <v>46242.0</v>
      </c>
      <c r="D85" s="815"/>
      <c r="E85" s="785"/>
      <c r="F85" s="786"/>
      <c r="G85" s="787"/>
      <c r="H85" s="787"/>
      <c r="I85" s="787"/>
      <c r="J85" s="783">
        <v>46242.0</v>
      </c>
      <c r="K85" s="788" t="s">
        <v>8860</v>
      </c>
      <c r="L85" s="789"/>
      <c r="M85" s="789"/>
      <c r="N85" s="789"/>
      <c r="O85" s="789"/>
      <c r="P85" s="789"/>
      <c r="Q85" s="789"/>
      <c r="R85" s="789"/>
    </row>
    <row r="86">
      <c r="A86" s="781"/>
      <c r="B86" s="782" t="s">
        <v>7559</v>
      </c>
      <c r="C86" s="783">
        <v>46243.0</v>
      </c>
      <c r="D86" s="815"/>
      <c r="E86" s="785"/>
      <c r="F86" s="786"/>
      <c r="G86" s="787"/>
      <c r="H86" s="787"/>
      <c r="I86" s="787"/>
      <c r="J86" s="783">
        <v>46243.0</v>
      </c>
      <c r="K86" s="788" t="s">
        <v>8860</v>
      </c>
      <c r="L86" s="789"/>
      <c r="M86" s="789"/>
      <c r="N86" s="789"/>
      <c r="O86" s="789"/>
      <c r="P86" s="789"/>
      <c r="Q86" s="789"/>
      <c r="R86" s="789"/>
    </row>
    <row r="87">
      <c r="A87" s="781"/>
      <c r="B87" s="782" t="s">
        <v>8858</v>
      </c>
      <c r="C87" s="783">
        <v>46244.0</v>
      </c>
      <c r="D87" s="815"/>
      <c r="E87" s="785"/>
      <c r="F87" s="786"/>
      <c r="G87" s="787"/>
      <c r="H87" s="787"/>
      <c r="I87" s="787"/>
      <c r="J87" s="783">
        <v>46244.0</v>
      </c>
      <c r="K87" s="788" t="s">
        <v>8860</v>
      </c>
      <c r="L87" s="789"/>
      <c r="M87" s="789"/>
      <c r="N87" s="789"/>
      <c r="O87" s="789"/>
      <c r="P87" s="789"/>
      <c r="Q87" s="789"/>
      <c r="R87" s="789"/>
    </row>
    <row r="88">
      <c r="A88" s="781"/>
      <c r="B88" s="782" t="s">
        <v>8861</v>
      </c>
      <c r="C88" s="783">
        <v>46245.0</v>
      </c>
      <c r="D88" s="815"/>
      <c r="E88" s="785"/>
      <c r="F88" s="786"/>
      <c r="G88" s="787"/>
      <c r="H88" s="787"/>
      <c r="I88" s="787"/>
      <c r="J88" s="783">
        <v>46245.0</v>
      </c>
      <c r="K88" s="788" t="s">
        <v>8860</v>
      </c>
      <c r="L88" s="789"/>
      <c r="M88" s="789"/>
      <c r="N88" s="789"/>
      <c r="O88" s="789"/>
      <c r="P88" s="789"/>
      <c r="Q88" s="789"/>
      <c r="R88" s="789"/>
    </row>
    <row r="89">
      <c r="A89" s="781"/>
      <c r="B89" s="782" t="s">
        <v>8862</v>
      </c>
      <c r="C89" s="783">
        <v>46246.0</v>
      </c>
      <c r="D89" s="815"/>
      <c r="E89" s="785"/>
      <c r="F89" s="786"/>
      <c r="G89" s="787"/>
      <c r="H89" s="787"/>
      <c r="I89" s="787"/>
      <c r="J89" s="783">
        <v>46246.0</v>
      </c>
      <c r="K89" s="788" t="s">
        <v>8860</v>
      </c>
      <c r="L89" s="789"/>
      <c r="M89" s="789"/>
      <c r="N89" s="789"/>
      <c r="O89" s="789"/>
      <c r="P89" s="789"/>
      <c r="Q89" s="789"/>
      <c r="R89" s="789"/>
    </row>
    <row r="90">
      <c r="A90" s="781"/>
      <c r="B90" s="782" t="s">
        <v>8863</v>
      </c>
      <c r="C90" s="783">
        <v>46247.0</v>
      </c>
      <c r="D90" s="815"/>
      <c r="E90" s="785"/>
      <c r="F90" s="786"/>
      <c r="G90" s="787"/>
      <c r="H90" s="787"/>
      <c r="I90" s="787"/>
      <c r="J90" s="783">
        <v>46247.0</v>
      </c>
      <c r="K90" s="788" t="s">
        <v>8860</v>
      </c>
      <c r="L90" s="789"/>
      <c r="M90" s="789"/>
      <c r="N90" s="789"/>
      <c r="O90" s="789"/>
      <c r="P90" s="789"/>
      <c r="Q90" s="789"/>
      <c r="R90" s="789"/>
    </row>
    <row r="91">
      <c r="A91" s="781"/>
      <c r="B91" s="782" t="s">
        <v>8865</v>
      </c>
      <c r="C91" s="783">
        <v>46248.0</v>
      </c>
      <c r="D91" s="815"/>
      <c r="E91" s="785"/>
      <c r="F91" s="786"/>
      <c r="G91" s="787"/>
      <c r="H91" s="787"/>
      <c r="I91" s="787"/>
      <c r="J91" s="783">
        <v>46248.0</v>
      </c>
      <c r="K91" s="788" t="s">
        <v>8860</v>
      </c>
      <c r="L91" s="789"/>
      <c r="M91" s="789"/>
      <c r="N91" s="789"/>
      <c r="O91" s="789"/>
      <c r="P91" s="789"/>
      <c r="Q91" s="789"/>
      <c r="R91" s="789"/>
    </row>
    <row r="92">
      <c r="A92" s="781"/>
      <c r="B92" s="782" t="s">
        <v>8867</v>
      </c>
      <c r="C92" s="783">
        <v>46249.0</v>
      </c>
      <c r="D92" s="815" t="s">
        <v>8963</v>
      </c>
      <c r="E92" s="806" t="s">
        <v>8883</v>
      </c>
      <c r="F92" s="806" t="s">
        <v>8883</v>
      </c>
      <c r="G92" s="806" t="s">
        <v>8883</v>
      </c>
      <c r="H92" s="806" t="s">
        <v>8883</v>
      </c>
      <c r="I92" s="806" t="s">
        <v>8883</v>
      </c>
      <c r="J92" s="783">
        <v>46249.0</v>
      </c>
      <c r="K92" s="788" t="s">
        <v>8860</v>
      </c>
      <c r="L92" s="798"/>
      <c r="M92" s="789"/>
      <c r="N92" s="789"/>
      <c r="O92" s="789"/>
      <c r="P92" s="789"/>
      <c r="Q92" s="789"/>
      <c r="R92" s="789"/>
    </row>
    <row r="93">
      <c r="A93" s="781"/>
      <c r="B93" s="782" t="s">
        <v>7559</v>
      </c>
      <c r="C93" s="783">
        <v>46250.0</v>
      </c>
      <c r="D93" s="815"/>
      <c r="E93" s="785"/>
      <c r="F93" s="786"/>
      <c r="G93" s="786"/>
      <c r="H93" s="786"/>
      <c r="I93" s="786"/>
      <c r="J93" s="783">
        <v>46250.0</v>
      </c>
      <c r="K93" s="788" t="s">
        <v>8860</v>
      </c>
      <c r="L93" s="798"/>
      <c r="M93" s="789"/>
      <c r="N93" s="789"/>
      <c r="O93" s="789"/>
      <c r="P93" s="789"/>
      <c r="Q93" s="789"/>
      <c r="R93" s="789"/>
    </row>
    <row r="94">
      <c r="A94" s="781"/>
      <c r="B94" s="782" t="s">
        <v>8858</v>
      </c>
      <c r="C94" s="783">
        <v>46251.0</v>
      </c>
      <c r="D94" s="784" t="s">
        <v>8964</v>
      </c>
      <c r="E94" s="856"/>
      <c r="F94" s="786"/>
      <c r="G94" s="857"/>
      <c r="H94" s="857"/>
      <c r="I94" s="857"/>
      <c r="J94" s="783">
        <v>46251.0</v>
      </c>
      <c r="K94" s="788" t="s">
        <v>8860</v>
      </c>
      <c r="L94" s="789"/>
      <c r="M94" s="789"/>
      <c r="N94" s="789"/>
      <c r="O94" s="789"/>
      <c r="P94" s="789"/>
      <c r="Q94" s="789"/>
      <c r="R94" s="789"/>
    </row>
    <row r="95">
      <c r="A95" s="781"/>
      <c r="B95" s="782" t="s">
        <v>8861</v>
      </c>
      <c r="C95" s="783">
        <v>46252.0</v>
      </c>
      <c r="D95" s="815"/>
      <c r="E95" s="790"/>
      <c r="F95" s="857"/>
      <c r="G95" s="857"/>
      <c r="H95" s="857"/>
      <c r="I95" s="857"/>
      <c r="J95" s="783">
        <v>46252.0</v>
      </c>
      <c r="K95" s="788" t="s">
        <v>8965</v>
      </c>
      <c r="L95" s="789"/>
      <c r="M95" s="789"/>
      <c r="N95" s="789"/>
      <c r="O95" s="789"/>
      <c r="P95" s="789"/>
      <c r="Q95" s="789"/>
      <c r="R95" s="789"/>
    </row>
    <row r="96">
      <c r="A96" s="781"/>
      <c r="B96" s="782" t="s">
        <v>8862</v>
      </c>
      <c r="C96" s="783">
        <v>46253.0</v>
      </c>
      <c r="D96" s="815"/>
      <c r="E96" s="856"/>
      <c r="F96" s="857"/>
      <c r="G96" s="857"/>
      <c r="H96" s="857"/>
      <c r="I96" s="857"/>
      <c r="J96" s="783">
        <v>46253.0</v>
      </c>
      <c r="K96" s="788" t="s">
        <v>8965</v>
      </c>
      <c r="L96" s="798"/>
      <c r="M96" s="789"/>
      <c r="N96" s="789"/>
      <c r="O96" s="789"/>
      <c r="P96" s="789"/>
      <c r="Q96" s="789"/>
      <c r="R96" s="789"/>
    </row>
    <row r="97">
      <c r="A97" s="781"/>
      <c r="B97" s="782" t="s">
        <v>8863</v>
      </c>
      <c r="C97" s="783">
        <v>46254.0</v>
      </c>
      <c r="D97" s="815"/>
      <c r="E97" s="856"/>
      <c r="F97" s="857"/>
      <c r="G97" s="857"/>
      <c r="H97" s="857"/>
      <c r="I97" s="857"/>
      <c r="J97" s="783">
        <v>46254.0</v>
      </c>
      <c r="K97" s="788" t="s">
        <v>8965</v>
      </c>
      <c r="L97" s="789"/>
      <c r="M97" s="789"/>
      <c r="N97" s="789"/>
      <c r="O97" s="789"/>
      <c r="P97" s="789"/>
      <c r="Q97" s="789"/>
      <c r="R97" s="789"/>
    </row>
    <row r="98">
      <c r="A98" s="781"/>
      <c r="B98" s="782" t="s">
        <v>8865</v>
      </c>
      <c r="C98" s="783">
        <v>46255.0</v>
      </c>
      <c r="D98" s="815"/>
      <c r="E98" s="856"/>
      <c r="F98" s="857"/>
      <c r="G98" s="857"/>
      <c r="H98" s="857"/>
      <c r="I98" s="857"/>
      <c r="J98" s="783">
        <v>46255.0</v>
      </c>
      <c r="K98" s="788" t="s">
        <v>8965</v>
      </c>
      <c r="L98" s="798"/>
      <c r="M98" s="789"/>
      <c r="N98" s="789"/>
      <c r="O98" s="789"/>
      <c r="P98" s="789"/>
      <c r="Q98" s="789"/>
      <c r="R98" s="789"/>
    </row>
    <row r="99">
      <c r="A99" s="781"/>
      <c r="B99" s="782" t="s">
        <v>8867</v>
      </c>
      <c r="C99" s="783">
        <v>46256.0</v>
      </c>
      <c r="D99" s="815"/>
      <c r="E99" s="856"/>
      <c r="F99" s="857"/>
      <c r="G99" s="857"/>
      <c r="H99" s="857"/>
      <c r="I99" s="857"/>
      <c r="J99" s="783">
        <v>46256.0</v>
      </c>
      <c r="K99" s="788" t="s">
        <v>8965</v>
      </c>
      <c r="L99" s="789"/>
      <c r="M99" s="789"/>
      <c r="N99" s="789"/>
      <c r="O99" s="789"/>
      <c r="P99" s="789"/>
      <c r="Q99" s="789"/>
      <c r="R99" s="789"/>
    </row>
    <row r="100">
      <c r="A100" s="781"/>
      <c r="B100" s="782" t="s">
        <v>7559</v>
      </c>
      <c r="C100" s="783">
        <v>46257.0</v>
      </c>
      <c r="D100" s="815"/>
      <c r="E100" s="856"/>
      <c r="F100" s="857"/>
      <c r="G100" s="857"/>
      <c r="H100" s="857"/>
      <c r="I100" s="857"/>
      <c r="J100" s="783">
        <v>46257.0</v>
      </c>
      <c r="K100" s="788" t="s">
        <v>8965</v>
      </c>
      <c r="L100" s="789"/>
      <c r="M100" s="789"/>
      <c r="N100" s="789"/>
      <c r="O100" s="789"/>
      <c r="P100" s="789"/>
      <c r="Q100" s="789"/>
      <c r="R100" s="789"/>
    </row>
    <row r="101">
      <c r="A101" s="781"/>
      <c r="B101" s="782" t="s">
        <v>8858</v>
      </c>
      <c r="C101" s="783">
        <v>46258.0</v>
      </c>
      <c r="D101" s="815"/>
      <c r="E101" s="856"/>
      <c r="F101" s="857"/>
      <c r="G101" s="857"/>
      <c r="H101" s="857"/>
      <c r="I101" s="857"/>
      <c r="J101" s="783">
        <v>46258.0</v>
      </c>
      <c r="K101" s="788" t="s">
        <v>8965</v>
      </c>
      <c r="L101" s="798"/>
      <c r="M101" s="789"/>
      <c r="N101" s="789"/>
      <c r="O101" s="789"/>
      <c r="P101" s="789"/>
      <c r="Q101" s="789"/>
      <c r="R101" s="789"/>
    </row>
    <row r="102">
      <c r="A102" s="781"/>
      <c r="B102" s="782" t="s">
        <v>8861</v>
      </c>
      <c r="C102" s="783">
        <v>46259.0</v>
      </c>
      <c r="D102" s="815"/>
      <c r="E102" s="856"/>
      <c r="F102" s="857"/>
      <c r="G102" s="857"/>
      <c r="H102" s="857"/>
      <c r="I102" s="857"/>
      <c r="J102" s="783">
        <v>46259.0</v>
      </c>
      <c r="K102" s="788" t="s">
        <v>8965</v>
      </c>
      <c r="L102" s="789"/>
      <c r="M102" s="789"/>
      <c r="N102" s="789"/>
      <c r="O102" s="789"/>
      <c r="P102" s="789"/>
      <c r="Q102" s="789"/>
      <c r="R102" s="789"/>
    </row>
    <row r="103">
      <c r="A103" s="781"/>
      <c r="B103" s="782" t="s">
        <v>8862</v>
      </c>
      <c r="C103" s="783">
        <v>46260.0</v>
      </c>
      <c r="D103" s="815"/>
      <c r="E103" s="856"/>
      <c r="F103" s="857"/>
      <c r="G103" s="857"/>
      <c r="H103" s="857"/>
      <c r="I103" s="857"/>
      <c r="J103" s="783">
        <v>46260.0</v>
      </c>
      <c r="K103" s="788" t="s">
        <v>8965</v>
      </c>
      <c r="L103" s="789"/>
      <c r="M103" s="789"/>
      <c r="N103" s="789"/>
      <c r="O103" s="789"/>
      <c r="P103" s="789"/>
      <c r="Q103" s="789"/>
      <c r="R103" s="789"/>
    </row>
    <row r="104">
      <c r="A104" s="781"/>
      <c r="B104" s="782" t="s">
        <v>8863</v>
      </c>
      <c r="C104" s="783">
        <v>46261.0</v>
      </c>
      <c r="D104" s="815"/>
      <c r="E104" s="856"/>
      <c r="F104" s="857"/>
      <c r="G104" s="857"/>
      <c r="H104" s="857"/>
      <c r="I104" s="857"/>
      <c r="J104" s="783">
        <v>46261.0</v>
      </c>
      <c r="K104" s="788" t="s">
        <v>8965</v>
      </c>
      <c r="L104" s="789"/>
      <c r="M104" s="789"/>
      <c r="N104" s="789"/>
      <c r="O104" s="789"/>
      <c r="P104" s="789"/>
      <c r="Q104" s="789"/>
      <c r="R104" s="789"/>
    </row>
    <row r="105">
      <c r="A105" s="781"/>
      <c r="B105" s="782" t="s">
        <v>8865</v>
      </c>
      <c r="C105" s="783">
        <v>46262.0</v>
      </c>
      <c r="D105" s="815"/>
      <c r="E105" s="856"/>
      <c r="F105" s="857"/>
      <c r="G105" s="857"/>
      <c r="H105" s="857"/>
      <c r="I105" s="857"/>
      <c r="J105" s="783">
        <v>46262.0</v>
      </c>
      <c r="K105" s="788" t="s">
        <v>8965</v>
      </c>
      <c r="L105" s="789"/>
      <c r="M105" s="789"/>
      <c r="N105" s="789"/>
      <c r="O105" s="789"/>
      <c r="P105" s="789"/>
      <c r="Q105" s="789"/>
      <c r="R105" s="789"/>
    </row>
    <row r="106">
      <c r="A106" s="781"/>
      <c r="B106" s="782" t="s">
        <v>8867</v>
      </c>
      <c r="C106" s="783">
        <v>46263.0</v>
      </c>
      <c r="D106" s="815"/>
      <c r="E106" s="856"/>
      <c r="F106" s="857"/>
      <c r="G106" s="857"/>
      <c r="H106" s="857"/>
      <c r="I106" s="857"/>
      <c r="J106" s="783">
        <v>46263.0</v>
      </c>
      <c r="K106" s="788" t="s">
        <v>8965</v>
      </c>
      <c r="L106" s="789"/>
      <c r="M106" s="789"/>
      <c r="N106" s="789"/>
      <c r="O106" s="789"/>
      <c r="P106" s="789"/>
      <c r="Q106" s="789"/>
      <c r="R106" s="789"/>
    </row>
    <row r="107">
      <c r="A107" s="781"/>
      <c r="B107" s="782" t="s">
        <v>7559</v>
      </c>
      <c r="C107" s="783">
        <v>46264.0</v>
      </c>
      <c r="D107" s="815"/>
      <c r="E107" s="856"/>
      <c r="F107" s="857"/>
      <c r="G107" s="857"/>
      <c r="H107" s="857"/>
      <c r="I107" s="857"/>
      <c r="J107" s="783">
        <v>46264.0</v>
      </c>
      <c r="K107" s="788" t="s">
        <v>8965</v>
      </c>
      <c r="L107" s="789"/>
      <c r="M107" s="789"/>
      <c r="N107" s="789"/>
      <c r="O107" s="789"/>
      <c r="P107" s="789"/>
      <c r="Q107" s="789"/>
      <c r="R107" s="789"/>
    </row>
    <row r="108">
      <c r="A108" s="781"/>
      <c r="B108" s="782" t="s">
        <v>8858</v>
      </c>
      <c r="C108" s="783">
        <v>46265.0</v>
      </c>
      <c r="D108" s="815"/>
      <c r="E108" s="856"/>
      <c r="F108" s="857"/>
      <c r="G108" s="857"/>
      <c r="H108" s="857"/>
      <c r="I108" s="857"/>
      <c r="J108" s="783">
        <v>46265.0</v>
      </c>
      <c r="K108" s="788" t="s">
        <v>8965</v>
      </c>
      <c r="L108" s="789"/>
      <c r="M108" s="789"/>
      <c r="N108" s="789"/>
      <c r="O108" s="789"/>
      <c r="P108" s="789"/>
      <c r="Q108" s="789"/>
      <c r="R108" s="789"/>
    </row>
    <row r="109">
      <c r="A109" s="781"/>
      <c r="B109" s="782" t="s">
        <v>8861</v>
      </c>
      <c r="C109" s="783">
        <v>46266.0</v>
      </c>
      <c r="D109" s="815"/>
      <c r="E109" s="856"/>
      <c r="F109" s="857"/>
      <c r="G109" s="857"/>
      <c r="H109" s="857"/>
      <c r="I109" s="857"/>
      <c r="J109" s="783">
        <v>46266.0</v>
      </c>
      <c r="K109" s="788" t="s">
        <v>8965</v>
      </c>
      <c r="L109" s="789"/>
      <c r="M109" s="789"/>
      <c r="N109" s="789"/>
      <c r="O109" s="789"/>
      <c r="P109" s="789"/>
      <c r="Q109" s="789"/>
      <c r="R109" s="789"/>
    </row>
    <row r="110">
      <c r="A110" s="781"/>
      <c r="B110" s="782" t="s">
        <v>8862</v>
      </c>
      <c r="C110" s="783">
        <v>46267.0</v>
      </c>
      <c r="D110" s="815"/>
      <c r="E110" s="856"/>
      <c r="F110" s="857"/>
      <c r="G110" s="857"/>
      <c r="H110" s="857"/>
      <c r="I110" s="857"/>
      <c r="J110" s="783">
        <v>46267.0</v>
      </c>
      <c r="K110" s="788" t="s">
        <v>8965</v>
      </c>
      <c r="L110" s="789"/>
      <c r="M110" s="789"/>
      <c r="N110" s="789"/>
      <c r="O110" s="789"/>
      <c r="P110" s="789"/>
      <c r="Q110" s="789"/>
      <c r="R110" s="789"/>
    </row>
    <row r="111">
      <c r="A111" s="781"/>
      <c r="B111" s="782" t="s">
        <v>8863</v>
      </c>
      <c r="C111" s="783">
        <v>46268.0</v>
      </c>
      <c r="D111" s="815"/>
      <c r="E111" s="856"/>
      <c r="F111" s="857"/>
      <c r="G111" s="857"/>
      <c r="H111" s="857"/>
      <c r="I111" s="857"/>
      <c r="J111" s="783">
        <v>46268.0</v>
      </c>
      <c r="K111" s="788" t="s">
        <v>8965</v>
      </c>
      <c r="L111" s="789"/>
      <c r="M111" s="789"/>
      <c r="N111" s="789"/>
      <c r="O111" s="789"/>
      <c r="P111" s="789"/>
      <c r="Q111" s="789"/>
      <c r="R111" s="789"/>
    </row>
    <row r="112">
      <c r="A112" s="781"/>
      <c r="B112" s="782" t="s">
        <v>8865</v>
      </c>
      <c r="C112" s="783">
        <v>46269.0</v>
      </c>
      <c r="D112" s="815"/>
      <c r="E112" s="856"/>
      <c r="F112" s="857"/>
      <c r="G112" s="857"/>
      <c r="H112" s="857"/>
      <c r="I112" s="857"/>
      <c r="J112" s="783">
        <v>46269.0</v>
      </c>
      <c r="K112" s="788" t="s">
        <v>8965</v>
      </c>
      <c r="L112" s="789"/>
      <c r="M112" s="789"/>
      <c r="N112" s="789"/>
      <c r="O112" s="789"/>
      <c r="P112" s="789"/>
      <c r="Q112" s="789"/>
      <c r="R112" s="789"/>
    </row>
    <row r="113">
      <c r="A113" s="781"/>
      <c r="B113" s="782" t="s">
        <v>8867</v>
      </c>
      <c r="C113" s="783">
        <v>46270.0</v>
      </c>
      <c r="D113" s="815"/>
      <c r="E113" s="856"/>
      <c r="F113" s="857"/>
      <c r="G113" s="857"/>
      <c r="H113" s="857"/>
      <c r="I113" s="857"/>
      <c r="J113" s="783">
        <v>46270.0</v>
      </c>
      <c r="K113" s="788" t="s">
        <v>8965</v>
      </c>
      <c r="L113" s="789"/>
      <c r="M113" s="789"/>
      <c r="N113" s="789"/>
      <c r="O113" s="789"/>
      <c r="P113" s="789"/>
      <c r="Q113" s="789"/>
      <c r="R113" s="789"/>
    </row>
    <row r="114">
      <c r="A114" s="781"/>
      <c r="B114" s="782" t="s">
        <v>7559</v>
      </c>
      <c r="C114" s="783">
        <v>46271.0</v>
      </c>
      <c r="D114" s="815"/>
      <c r="E114" s="856"/>
      <c r="F114" s="857"/>
      <c r="G114" s="857"/>
      <c r="H114" s="857"/>
      <c r="I114" s="857"/>
      <c r="J114" s="783">
        <v>46271.0</v>
      </c>
      <c r="K114" s="788" t="s">
        <v>8965</v>
      </c>
      <c r="L114" s="789"/>
      <c r="M114" s="789"/>
      <c r="N114" s="789"/>
      <c r="O114" s="789"/>
      <c r="P114" s="789"/>
      <c r="Q114" s="789"/>
      <c r="R114" s="789"/>
    </row>
    <row r="115">
      <c r="A115" s="781"/>
      <c r="B115" s="782" t="s">
        <v>8858</v>
      </c>
      <c r="C115" s="783">
        <v>46272.0</v>
      </c>
      <c r="D115" s="815"/>
      <c r="E115" s="856"/>
      <c r="F115" s="857"/>
      <c r="G115" s="857"/>
      <c r="H115" s="857"/>
      <c r="I115" s="857"/>
      <c r="J115" s="783">
        <v>46272.0</v>
      </c>
      <c r="K115" s="788" t="s">
        <v>8965</v>
      </c>
      <c r="L115" s="789"/>
      <c r="M115" s="789"/>
      <c r="N115" s="789"/>
      <c r="O115" s="789"/>
      <c r="P115" s="789"/>
      <c r="Q115" s="789"/>
      <c r="R115" s="789"/>
    </row>
    <row r="116">
      <c r="A116" s="781"/>
      <c r="B116" s="782" t="s">
        <v>8861</v>
      </c>
      <c r="C116" s="783">
        <v>46273.0</v>
      </c>
      <c r="D116" s="815"/>
      <c r="E116" s="856"/>
      <c r="F116" s="857"/>
      <c r="G116" s="857"/>
      <c r="H116" s="857"/>
      <c r="I116" s="857"/>
      <c r="J116" s="783">
        <v>46273.0</v>
      </c>
      <c r="K116" s="788" t="s">
        <v>8965</v>
      </c>
      <c r="L116" s="789"/>
      <c r="M116" s="789"/>
      <c r="N116" s="789"/>
      <c r="O116" s="789"/>
      <c r="P116" s="789"/>
      <c r="Q116" s="789"/>
      <c r="R116" s="789"/>
    </row>
    <row r="117">
      <c r="A117" s="781"/>
      <c r="B117" s="782" t="s">
        <v>8862</v>
      </c>
      <c r="C117" s="783">
        <v>46274.0</v>
      </c>
      <c r="D117" s="815"/>
      <c r="E117" s="856"/>
      <c r="F117" s="857"/>
      <c r="G117" s="857"/>
      <c r="H117" s="857"/>
      <c r="I117" s="857"/>
      <c r="J117" s="783">
        <v>46274.0</v>
      </c>
      <c r="K117" s="788" t="s">
        <v>8965</v>
      </c>
      <c r="L117" s="789"/>
      <c r="M117" s="789"/>
      <c r="N117" s="789"/>
      <c r="O117" s="789"/>
      <c r="P117" s="789"/>
      <c r="Q117" s="789"/>
      <c r="R117" s="789"/>
    </row>
    <row r="118">
      <c r="A118" s="781"/>
      <c r="B118" s="782" t="s">
        <v>8863</v>
      </c>
      <c r="C118" s="783">
        <v>46275.0</v>
      </c>
      <c r="D118" s="815"/>
      <c r="E118" s="856"/>
      <c r="F118" s="857"/>
      <c r="G118" s="857"/>
      <c r="H118" s="858" t="s">
        <v>8966</v>
      </c>
      <c r="I118" s="857"/>
      <c r="J118" s="783">
        <v>46275.0</v>
      </c>
      <c r="K118" s="788" t="s">
        <v>8860</v>
      </c>
      <c r="L118" s="789"/>
      <c r="M118" s="789"/>
      <c r="N118" s="789"/>
      <c r="O118" s="789"/>
      <c r="P118" s="789"/>
      <c r="Q118" s="789"/>
      <c r="R118" s="789"/>
    </row>
    <row r="119">
      <c r="A119" s="781"/>
      <c r="B119" s="782" t="s">
        <v>8865</v>
      </c>
      <c r="C119" s="783">
        <v>46276.0</v>
      </c>
      <c r="D119" s="815"/>
      <c r="E119" s="856"/>
      <c r="F119" s="857"/>
      <c r="G119" s="857"/>
      <c r="H119" s="401"/>
      <c r="I119" s="857"/>
      <c r="J119" s="783">
        <v>46276.0</v>
      </c>
      <c r="K119" s="788"/>
      <c r="L119" s="789"/>
      <c r="M119" s="789"/>
      <c r="N119" s="789"/>
      <c r="O119" s="789"/>
      <c r="P119" s="789"/>
      <c r="Q119" s="789"/>
      <c r="R119" s="789"/>
    </row>
    <row r="120">
      <c r="A120" s="781"/>
      <c r="B120" s="782" t="s">
        <v>8867</v>
      </c>
      <c r="C120" s="783">
        <v>46277.0</v>
      </c>
      <c r="D120" s="815"/>
      <c r="E120" s="856"/>
      <c r="F120" s="857"/>
      <c r="G120" s="857"/>
      <c r="H120" s="401"/>
      <c r="I120" s="857"/>
      <c r="J120" s="783">
        <v>46277.0</v>
      </c>
      <c r="K120" s="788"/>
      <c r="L120" s="789"/>
      <c r="M120" s="789"/>
      <c r="N120" s="789"/>
      <c r="O120" s="789"/>
      <c r="P120" s="789"/>
      <c r="Q120" s="789"/>
      <c r="R120" s="789"/>
    </row>
    <row r="121">
      <c r="A121" s="781"/>
      <c r="B121" s="782" t="s">
        <v>7559</v>
      </c>
      <c r="C121" s="783">
        <v>46278.0</v>
      </c>
      <c r="D121" s="815"/>
      <c r="E121" s="856"/>
      <c r="F121" s="857"/>
      <c r="G121" s="857"/>
      <c r="H121" s="403"/>
      <c r="I121" s="857"/>
      <c r="J121" s="783">
        <v>46278.0</v>
      </c>
      <c r="K121" s="788"/>
      <c r="L121" s="789"/>
      <c r="M121" s="789"/>
      <c r="N121" s="789"/>
      <c r="O121" s="789"/>
      <c r="P121" s="789"/>
      <c r="Q121" s="789"/>
      <c r="R121" s="789"/>
    </row>
    <row r="122">
      <c r="A122" s="781"/>
      <c r="B122" s="782" t="s">
        <v>8858</v>
      </c>
      <c r="C122" s="783">
        <v>46279.0</v>
      </c>
      <c r="D122" s="815"/>
      <c r="E122" s="856"/>
      <c r="F122" s="857"/>
      <c r="G122" s="857"/>
      <c r="H122" s="857"/>
      <c r="I122" s="857"/>
      <c r="J122" s="783">
        <v>46279.0</v>
      </c>
      <c r="K122" s="788"/>
      <c r="L122" s="789"/>
      <c r="M122" s="789"/>
      <c r="N122" s="789"/>
      <c r="O122" s="789"/>
      <c r="P122" s="789"/>
      <c r="Q122" s="789"/>
      <c r="R122" s="789"/>
    </row>
    <row r="123">
      <c r="A123" s="781"/>
      <c r="B123" s="782" t="s">
        <v>8861</v>
      </c>
      <c r="C123" s="783">
        <v>46280.0</v>
      </c>
      <c r="D123" s="815"/>
      <c r="E123" s="856"/>
      <c r="F123" s="857"/>
      <c r="G123" s="857"/>
      <c r="H123" s="857"/>
      <c r="I123" s="857"/>
      <c r="J123" s="783">
        <v>46280.0</v>
      </c>
      <c r="K123" s="788"/>
      <c r="L123" s="789"/>
      <c r="M123" s="789"/>
      <c r="N123" s="789"/>
      <c r="O123" s="789"/>
      <c r="P123" s="789"/>
      <c r="Q123" s="789"/>
      <c r="R123" s="789"/>
    </row>
    <row r="124">
      <c r="A124" s="781"/>
      <c r="B124" s="782" t="s">
        <v>8862</v>
      </c>
      <c r="C124" s="783">
        <v>46281.0</v>
      </c>
      <c r="D124" s="815"/>
      <c r="E124" s="856"/>
      <c r="F124" s="857"/>
      <c r="G124" s="857"/>
      <c r="H124" s="857"/>
      <c r="I124" s="857"/>
      <c r="J124" s="783">
        <v>46281.0</v>
      </c>
      <c r="K124" s="788"/>
      <c r="L124" s="789"/>
      <c r="M124" s="789"/>
      <c r="N124" s="789"/>
      <c r="O124" s="789"/>
      <c r="P124" s="789"/>
      <c r="Q124" s="789"/>
      <c r="R124" s="789"/>
    </row>
    <row r="125">
      <c r="A125" s="781"/>
      <c r="B125" s="782" t="s">
        <v>8863</v>
      </c>
      <c r="C125" s="783">
        <v>46282.0</v>
      </c>
      <c r="D125" s="815"/>
      <c r="E125" s="856"/>
      <c r="F125" s="858" t="s">
        <v>8967</v>
      </c>
      <c r="G125" s="858" t="s">
        <v>8968</v>
      </c>
      <c r="H125" s="857"/>
      <c r="I125" s="857"/>
      <c r="J125" s="783">
        <v>46282.0</v>
      </c>
      <c r="K125" s="788"/>
      <c r="L125" s="789"/>
      <c r="M125" s="789"/>
      <c r="N125" s="789"/>
      <c r="O125" s="789"/>
      <c r="P125" s="789"/>
      <c r="Q125" s="789"/>
      <c r="R125" s="789"/>
    </row>
    <row r="126">
      <c r="A126" s="781"/>
      <c r="B126" s="782" t="s">
        <v>8865</v>
      </c>
      <c r="C126" s="783">
        <v>46283.0</v>
      </c>
      <c r="D126" s="815"/>
      <c r="E126" s="856"/>
      <c r="F126" s="401"/>
      <c r="G126" s="401"/>
      <c r="H126" s="857"/>
      <c r="I126" s="857"/>
      <c r="J126" s="783">
        <v>46283.0</v>
      </c>
      <c r="K126" s="788"/>
      <c r="L126" s="789"/>
      <c r="M126" s="789"/>
      <c r="N126" s="789"/>
      <c r="O126" s="789"/>
      <c r="P126" s="789"/>
      <c r="Q126" s="789"/>
      <c r="R126" s="789"/>
    </row>
    <row r="127">
      <c r="A127" s="781"/>
      <c r="B127" s="782" t="s">
        <v>8867</v>
      </c>
      <c r="C127" s="783">
        <v>46284.0</v>
      </c>
      <c r="D127" s="815"/>
      <c r="E127" s="856"/>
      <c r="F127" s="401"/>
      <c r="G127" s="401"/>
      <c r="H127" s="857"/>
      <c r="I127" s="857"/>
      <c r="J127" s="783">
        <v>46284.0</v>
      </c>
      <c r="K127" s="788"/>
      <c r="L127" s="789"/>
      <c r="M127" s="789"/>
      <c r="N127" s="789"/>
      <c r="O127" s="789"/>
      <c r="P127" s="789"/>
      <c r="Q127" s="789"/>
      <c r="R127" s="789"/>
    </row>
    <row r="128">
      <c r="A128" s="781"/>
      <c r="B128" s="782" t="s">
        <v>7559</v>
      </c>
      <c r="C128" s="783">
        <v>46285.0</v>
      </c>
      <c r="D128" s="815"/>
      <c r="E128" s="856"/>
      <c r="F128" s="403"/>
      <c r="G128" s="403"/>
      <c r="H128" s="857"/>
      <c r="I128" s="857"/>
      <c r="J128" s="783">
        <v>46285.0</v>
      </c>
      <c r="K128" s="788"/>
      <c r="L128" s="789"/>
      <c r="M128" s="789"/>
      <c r="N128" s="789"/>
      <c r="O128" s="789"/>
      <c r="P128" s="789"/>
      <c r="Q128" s="789"/>
      <c r="R128" s="789"/>
    </row>
    <row r="129">
      <c r="A129" s="781"/>
      <c r="B129" s="782" t="s">
        <v>8858</v>
      </c>
      <c r="C129" s="783">
        <v>46286.0</v>
      </c>
      <c r="D129" s="815"/>
      <c r="E129" s="856"/>
      <c r="F129" s="857"/>
      <c r="G129" s="857"/>
      <c r="H129" s="857"/>
      <c r="I129" s="857"/>
      <c r="J129" s="783">
        <v>46286.0</v>
      </c>
      <c r="K129" s="788"/>
      <c r="L129" s="789"/>
      <c r="M129" s="789"/>
      <c r="N129" s="789"/>
      <c r="O129" s="789"/>
      <c r="P129" s="789"/>
      <c r="Q129" s="789"/>
      <c r="R129" s="789"/>
    </row>
    <row r="130">
      <c r="A130" s="781"/>
      <c r="B130" s="782" t="s">
        <v>8861</v>
      </c>
      <c r="C130" s="783">
        <v>46287.0</v>
      </c>
      <c r="D130" s="815"/>
      <c r="E130" s="856"/>
      <c r="F130" s="857"/>
      <c r="G130" s="857"/>
      <c r="H130" s="857"/>
      <c r="I130" s="857"/>
      <c r="J130" s="783">
        <v>46287.0</v>
      </c>
      <c r="K130" s="788"/>
      <c r="L130" s="789"/>
      <c r="M130" s="789"/>
      <c r="N130" s="789"/>
      <c r="O130" s="789"/>
      <c r="P130" s="789"/>
      <c r="Q130" s="789"/>
      <c r="R130" s="789"/>
    </row>
    <row r="131">
      <c r="A131" s="781"/>
      <c r="B131" s="782" t="s">
        <v>8862</v>
      </c>
      <c r="C131" s="783">
        <v>46288.0</v>
      </c>
      <c r="D131" s="815"/>
      <c r="E131" s="856"/>
      <c r="F131" s="857"/>
      <c r="G131" s="857"/>
      <c r="H131" s="857"/>
      <c r="I131" s="857"/>
      <c r="J131" s="783">
        <v>46288.0</v>
      </c>
      <c r="K131" s="788"/>
      <c r="L131" s="789"/>
      <c r="M131" s="789"/>
      <c r="N131" s="789"/>
      <c r="O131" s="789"/>
      <c r="P131" s="789"/>
      <c r="Q131" s="789"/>
      <c r="R131" s="789"/>
    </row>
    <row r="132">
      <c r="A132" s="781"/>
      <c r="B132" s="782" t="s">
        <v>8863</v>
      </c>
      <c r="C132" s="783">
        <v>46289.0</v>
      </c>
      <c r="D132" s="815"/>
      <c r="E132" s="856"/>
      <c r="F132" s="857"/>
      <c r="G132" s="857"/>
      <c r="H132" s="858" t="s">
        <v>8968</v>
      </c>
      <c r="I132" s="857"/>
      <c r="J132" s="783">
        <v>46289.0</v>
      </c>
      <c r="K132" s="788"/>
      <c r="L132" s="789"/>
      <c r="M132" s="789"/>
      <c r="N132" s="789"/>
      <c r="O132" s="789"/>
      <c r="P132" s="789"/>
      <c r="Q132" s="789"/>
      <c r="R132" s="789"/>
    </row>
    <row r="133">
      <c r="A133" s="781"/>
      <c r="B133" s="782" t="s">
        <v>8865</v>
      </c>
      <c r="C133" s="783">
        <v>46290.0</v>
      </c>
      <c r="D133" s="815"/>
      <c r="E133" s="856"/>
      <c r="F133" s="857"/>
      <c r="G133" s="857"/>
      <c r="H133" s="401"/>
      <c r="I133" s="857"/>
      <c r="J133" s="783">
        <v>46290.0</v>
      </c>
      <c r="K133" s="788"/>
      <c r="L133" s="789"/>
      <c r="M133" s="789"/>
      <c r="N133" s="789"/>
      <c r="O133" s="789"/>
      <c r="P133" s="789"/>
      <c r="Q133" s="789"/>
      <c r="R133" s="789"/>
    </row>
    <row r="134">
      <c r="A134" s="781"/>
      <c r="B134" s="782" t="s">
        <v>8867</v>
      </c>
      <c r="C134" s="783">
        <v>46291.0</v>
      </c>
      <c r="D134" s="815"/>
      <c r="E134" s="856"/>
      <c r="F134" s="857"/>
      <c r="G134" s="857"/>
      <c r="H134" s="401"/>
      <c r="I134" s="857"/>
      <c r="J134" s="783">
        <v>46291.0</v>
      </c>
      <c r="K134" s="788"/>
      <c r="L134" s="789"/>
      <c r="M134" s="789"/>
      <c r="N134" s="789"/>
      <c r="O134" s="789"/>
      <c r="P134" s="789"/>
      <c r="Q134" s="789"/>
      <c r="R134" s="789"/>
    </row>
    <row r="135">
      <c r="A135" s="781"/>
      <c r="B135" s="782" t="s">
        <v>7559</v>
      </c>
      <c r="C135" s="783">
        <v>46292.0</v>
      </c>
      <c r="D135" s="815"/>
      <c r="E135" s="856"/>
      <c r="F135" s="857"/>
      <c r="G135" s="857"/>
      <c r="H135" s="403"/>
      <c r="I135" s="857"/>
      <c r="J135" s="783">
        <v>46292.0</v>
      </c>
      <c r="K135" s="788"/>
      <c r="L135" s="789"/>
      <c r="M135" s="789"/>
      <c r="N135" s="789"/>
      <c r="O135" s="789"/>
      <c r="P135" s="789"/>
      <c r="Q135" s="789"/>
      <c r="R135" s="789"/>
    </row>
    <row r="136">
      <c r="A136" s="781"/>
      <c r="B136" s="782" t="s">
        <v>8858</v>
      </c>
      <c r="C136" s="783">
        <v>46293.0</v>
      </c>
      <c r="D136" s="815"/>
      <c r="E136" s="856"/>
      <c r="F136" s="857"/>
      <c r="G136" s="857"/>
      <c r="H136" s="857"/>
      <c r="I136" s="857"/>
      <c r="J136" s="783">
        <v>46293.0</v>
      </c>
      <c r="K136" s="788"/>
      <c r="L136" s="789"/>
      <c r="M136" s="789"/>
      <c r="N136" s="789"/>
      <c r="O136" s="789"/>
      <c r="P136" s="789"/>
      <c r="Q136" s="789"/>
      <c r="R136" s="789"/>
    </row>
    <row r="137">
      <c r="A137" s="781"/>
      <c r="B137" s="782" t="s">
        <v>8861</v>
      </c>
      <c r="C137" s="783">
        <v>46294.0</v>
      </c>
      <c r="D137" s="815"/>
      <c r="E137" s="856"/>
      <c r="F137" s="857"/>
      <c r="G137" s="857"/>
      <c r="H137" s="857"/>
      <c r="I137" s="857"/>
      <c r="J137" s="783">
        <v>46294.0</v>
      </c>
      <c r="K137" s="788"/>
      <c r="L137" s="789"/>
      <c r="M137" s="789"/>
      <c r="N137" s="789"/>
      <c r="O137" s="789"/>
      <c r="P137" s="789"/>
      <c r="Q137" s="789"/>
      <c r="R137" s="789"/>
    </row>
    <row r="138">
      <c r="A138" s="781"/>
      <c r="B138" s="782" t="s">
        <v>8862</v>
      </c>
      <c r="C138" s="783">
        <v>46295.0</v>
      </c>
      <c r="D138" s="815"/>
      <c r="E138" s="856"/>
      <c r="F138" s="857"/>
      <c r="G138" s="857"/>
      <c r="H138" s="857"/>
      <c r="I138" s="857"/>
      <c r="J138" s="783">
        <v>46295.0</v>
      </c>
      <c r="K138" s="788"/>
      <c r="L138" s="789"/>
      <c r="M138" s="789"/>
      <c r="N138" s="789"/>
      <c r="O138" s="789"/>
      <c r="P138" s="789"/>
      <c r="Q138" s="789"/>
      <c r="R138" s="789"/>
    </row>
    <row r="139">
      <c r="A139" s="781"/>
      <c r="B139" s="782" t="s">
        <v>8863</v>
      </c>
      <c r="C139" s="783">
        <v>46296.0</v>
      </c>
      <c r="D139" s="815"/>
      <c r="E139" s="856"/>
      <c r="F139" s="858" t="s">
        <v>8969</v>
      </c>
      <c r="G139" s="857"/>
      <c r="H139" s="858" t="s">
        <v>8969</v>
      </c>
      <c r="I139" s="857"/>
      <c r="J139" s="783">
        <v>46296.0</v>
      </c>
      <c r="K139" s="788"/>
      <c r="L139" s="789"/>
      <c r="M139" s="789"/>
      <c r="N139" s="789"/>
      <c r="O139" s="789"/>
      <c r="P139" s="789"/>
      <c r="Q139" s="789"/>
      <c r="R139" s="789"/>
    </row>
    <row r="140">
      <c r="A140" s="781"/>
      <c r="B140" s="782" t="s">
        <v>8865</v>
      </c>
      <c r="C140" s="783">
        <v>46297.0</v>
      </c>
      <c r="D140" s="815"/>
      <c r="E140" s="856"/>
      <c r="F140" s="401"/>
      <c r="G140" s="857"/>
      <c r="H140" s="401"/>
      <c r="I140" s="857"/>
      <c r="J140" s="783">
        <v>46297.0</v>
      </c>
      <c r="K140" s="788"/>
      <c r="L140" s="789"/>
      <c r="M140" s="789"/>
      <c r="N140" s="789"/>
      <c r="O140" s="789"/>
      <c r="P140" s="789"/>
      <c r="Q140" s="789"/>
      <c r="R140" s="789"/>
    </row>
    <row r="141">
      <c r="A141" s="781"/>
      <c r="B141" s="782" t="s">
        <v>8867</v>
      </c>
      <c r="C141" s="783">
        <v>46298.0</v>
      </c>
      <c r="D141" s="815"/>
      <c r="E141" s="856"/>
      <c r="F141" s="401"/>
      <c r="G141" s="857"/>
      <c r="H141" s="401"/>
      <c r="I141" s="857"/>
      <c r="J141" s="783">
        <v>46298.0</v>
      </c>
      <c r="K141" s="788"/>
      <c r="L141" s="789"/>
      <c r="M141" s="789"/>
      <c r="N141" s="789"/>
      <c r="O141" s="789"/>
      <c r="P141" s="789"/>
      <c r="Q141" s="789"/>
      <c r="R141" s="789"/>
    </row>
    <row r="142">
      <c r="A142" s="781"/>
      <c r="B142" s="782" t="s">
        <v>7559</v>
      </c>
      <c r="C142" s="783">
        <v>46299.0</v>
      </c>
      <c r="D142" s="815"/>
      <c r="E142" s="856"/>
      <c r="F142" s="403"/>
      <c r="G142" s="857"/>
      <c r="H142" s="403"/>
      <c r="I142" s="857"/>
      <c r="J142" s="783">
        <v>46299.0</v>
      </c>
      <c r="K142" s="788"/>
      <c r="L142" s="789"/>
      <c r="M142" s="789"/>
      <c r="N142" s="789"/>
      <c r="O142" s="789"/>
      <c r="P142" s="789"/>
      <c r="Q142" s="789"/>
      <c r="R142" s="789"/>
    </row>
    <row r="143">
      <c r="A143" s="781"/>
      <c r="B143" s="782" t="s">
        <v>8858</v>
      </c>
      <c r="C143" s="783">
        <v>46300.0</v>
      </c>
      <c r="D143" s="815"/>
      <c r="E143" s="856"/>
      <c r="F143" s="857"/>
      <c r="G143" s="857"/>
      <c r="H143" s="857"/>
      <c r="I143" s="857"/>
      <c r="J143" s="783">
        <v>46300.0</v>
      </c>
      <c r="K143" s="788"/>
      <c r="L143" s="789"/>
      <c r="M143" s="789"/>
      <c r="N143" s="789"/>
      <c r="O143" s="789"/>
      <c r="P143" s="789"/>
      <c r="Q143" s="789"/>
      <c r="R143" s="789"/>
    </row>
    <row r="144">
      <c r="A144" s="781"/>
      <c r="B144" s="782" t="s">
        <v>8861</v>
      </c>
      <c r="C144" s="783">
        <v>46301.0</v>
      </c>
      <c r="D144" s="815"/>
      <c r="E144" s="856"/>
      <c r="F144" s="857"/>
      <c r="G144" s="857"/>
      <c r="H144" s="857"/>
      <c r="I144" s="857"/>
      <c r="J144" s="783">
        <v>46301.0</v>
      </c>
      <c r="K144" s="788"/>
      <c r="L144" s="789"/>
      <c r="M144" s="789"/>
      <c r="N144" s="789"/>
      <c r="O144" s="789"/>
      <c r="P144" s="789"/>
      <c r="Q144" s="789"/>
      <c r="R144" s="789"/>
    </row>
    <row r="145">
      <c r="A145" s="781"/>
      <c r="B145" s="782" t="s">
        <v>8862</v>
      </c>
      <c r="C145" s="783">
        <v>46302.0</v>
      </c>
      <c r="D145" s="815"/>
      <c r="E145" s="856"/>
      <c r="F145" s="857"/>
      <c r="G145" s="857"/>
      <c r="H145" s="857"/>
      <c r="I145" s="857"/>
      <c r="J145" s="783">
        <v>46302.0</v>
      </c>
      <c r="K145" s="788"/>
      <c r="L145" s="789"/>
      <c r="M145" s="789"/>
      <c r="N145" s="789"/>
      <c r="O145" s="789"/>
      <c r="P145" s="789"/>
      <c r="Q145" s="789"/>
      <c r="R145" s="789"/>
    </row>
    <row r="146">
      <c r="A146" s="781"/>
      <c r="B146" s="782" t="s">
        <v>8863</v>
      </c>
      <c r="C146" s="783">
        <v>46303.0</v>
      </c>
      <c r="D146" s="815"/>
      <c r="E146" s="856"/>
      <c r="F146" s="857"/>
      <c r="G146" s="858" t="s">
        <v>1592</v>
      </c>
      <c r="H146" s="857"/>
      <c r="I146" s="857"/>
      <c r="J146" s="783">
        <v>46303.0</v>
      </c>
      <c r="K146" s="788"/>
      <c r="L146" s="789"/>
      <c r="M146" s="789"/>
      <c r="N146" s="789"/>
      <c r="O146" s="789"/>
      <c r="P146" s="789"/>
      <c r="Q146" s="789"/>
      <c r="R146" s="789"/>
    </row>
    <row r="147">
      <c r="A147" s="781"/>
      <c r="B147" s="782" t="s">
        <v>8865</v>
      </c>
      <c r="C147" s="783">
        <v>46304.0</v>
      </c>
      <c r="D147" s="815"/>
      <c r="E147" s="856"/>
      <c r="F147" s="857"/>
      <c r="G147" s="401"/>
      <c r="H147" s="857"/>
      <c r="I147" s="857"/>
      <c r="J147" s="783">
        <v>46304.0</v>
      </c>
      <c r="K147" s="788"/>
      <c r="L147" s="789"/>
      <c r="M147" s="789"/>
      <c r="N147" s="789"/>
      <c r="O147" s="789"/>
      <c r="P147" s="789"/>
      <c r="Q147" s="789"/>
      <c r="R147" s="789"/>
    </row>
    <row r="148">
      <c r="A148" s="781"/>
      <c r="B148" s="782" t="s">
        <v>8867</v>
      </c>
      <c r="C148" s="783">
        <v>46305.0</v>
      </c>
      <c r="D148" s="815"/>
      <c r="E148" s="856"/>
      <c r="F148" s="857"/>
      <c r="G148" s="401"/>
      <c r="H148" s="857"/>
      <c r="I148" s="857"/>
      <c r="J148" s="783">
        <v>46305.0</v>
      </c>
      <c r="K148" s="788"/>
      <c r="L148" s="789"/>
      <c r="M148" s="789"/>
      <c r="N148" s="789"/>
      <c r="O148" s="789"/>
      <c r="P148" s="789"/>
      <c r="Q148" s="789"/>
      <c r="R148" s="789"/>
    </row>
    <row r="149">
      <c r="A149" s="781"/>
      <c r="B149" s="782" t="s">
        <v>7559</v>
      </c>
      <c r="C149" s="783">
        <v>46306.0</v>
      </c>
      <c r="D149" s="815"/>
      <c r="E149" s="856"/>
      <c r="F149" s="857"/>
      <c r="G149" s="403"/>
      <c r="H149" s="857"/>
      <c r="I149" s="857"/>
      <c r="J149" s="783">
        <v>46306.0</v>
      </c>
      <c r="K149" s="788"/>
      <c r="L149" s="789"/>
      <c r="M149" s="789"/>
      <c r="N149" s="789"/>
      <c r="O149" s="789"/>
      <c r="P149" s="789"/>
      <c r="Q149" s="789"/>
      <c r="R149" s="789"/>
    </row>
    <row r="150">
      <c r="A150" s="781"/>
      <c r="B150" s="782" t="s">
        <v>8858</v>
      </c>
      <c r="C150" s="783">
        <v>46307.0</v>
      </c>
      <c r="D150" s="815"/>
      <c r="E150" s="856"/>
      <c r="F150" s="857"/>
      <c r="G150" s="857"/>
      <c r="H150" s="857"/>
      <c r="I150" s="857"/>
      <c r="J150" s="783">
        <v>46307.0</v>
      </c>
      <c r="K150" s="788"/>
      <c r="L150" s="789"/>
      <c r="M150" s="789"/>
      <c r="N150" s="789"/>
      <c r="O150" s="789"/>
      <c r="P150" s="789"/>
      <c r="Q150" s="789"/>
      <c r="R150" s="789"/>
    </row>
    <row r="151">
      <c r="A151" s="781"/>
      <c r="B151" s="782" t="s">
        <v>8861</v>
      </c>
      <c r="C151" s="783">
        <v>46308.0</v>
      </c>
      <c r="D151" s="815"/>
      <c r="E151" s="856"/>
      <c r="F151" s="857"/>
      <c r="G151" s="857"/>
      <c r="H151" s="857"/>
      <c r="I151" s="857"/>
      <c r="J151" s="783">
        <v>46308.0</v>
      </c>
      <c r="K151" s="788"/>
      <c r="L151" s="789"/>
      <c r="M151" s="789"/>
      <c r="N151" s="789"/>
      <c r="O151" s="789"/>
      <c r="P151" s="789"/>
      <c r="Q151" s="789"/>
      <c r="R151" s="789"/>
    </row>
    <row r="152">
      <c r="A152" s="781"/>
      <c r="B152" s="782" t="s">
        <v>8862</v>
      </c>
      <c r="C152" s="783">
        <v>46309.0</v>
      </c>
      <c r="D152" s="815"/>
      <c r="E152" s="856"/>
      <c r="F152" s="857"/>
      <c r="G152" s="857"/>
      <c r="H152" s="857"/>
      <c r="I152" s="857"/>
      <c r="J152" s="783">
        <v>46309.0</v>
      </c>
      <c r="K152" s="788"/>
      <c r="L152" s="789"/>
      <c r="M152" s="789"/>
      <c r="N152" s="789"/>
      <c r="O152" s="789"/>
      <c r="P152" s="789"/>
      <c r="Q152" s="789"/>
      <c r="R152" s="789"/>
    </row>
    <row r="153">
      <c r="A153" s="781"/>
      <c r="B153" s="782" t="s">
        <v>8863</v>
      </c>
      <c r="C153" s="783">
        <v>46310.0</v>
      </c>
      <c r="D153" s="815"/>
      <c r="E153" s="856"/>
      <c r="F153" s="857"/>
      <c r="G153" s="857"/>
      <c r="H153" s="857"/>
      <c r="I153" s="857"/>
      <c r="J153" s="783">
        <v>46310.0</v>
      </c>
      <c r="K153" s="788"/>
      <c r="L153" s="789"/>
      <c r="M153" s="789"/>
      <c r="N153" s="789"/>
      <c r="O153" s="789"/>
      <c r="P153" s="789"/>
      <c r="Q153" s="789"/>
      <c r="R153" s="789"/>
    </row>
    <row r="154">
      <c r="A154" s="781"/>
      <c r="B154" s="782" t="s">
        <v>8865</v>
      </c>
      <c r="C154" s="783">
        <v>46311.0</v>
      </c>
      <c r="D154" s="815"/>
      <c r="E154" s="856"/>
      <c r="F154" s="857"/>
      <c r="G154" s="857"/>
      <c r="H154" s="857"/>
      <c r="I154" s="857"/>
      <c r="J154" s="783">
        <v>46311.0</v>
      </c>
      <c r="K154" s="788"/>
      <c r="L154" s="789"/>
      <c r="M154" s="789"/>
      <c r="N154" s="789"/>
      <c r="O154" s="789"/>
      <c r="P154" s="789"/>
      <c r="Q154" s="789"/>
      <c r="R154" s="789"/>
    </row>
    <row r="155">
      <c r="A155" s="781"/>
      <c r="B155" s="782" t="s">
        <v>8867</v>
      </c>
      <c r="C155" s="783">
        <v>46312.0</v>
      </c>
      <c r="D155" s="815"/>
      <c r="E155" s="856"/>
      <c r="F155" s="857"/>
      <c r="G155" s="857"/>
      <c r="H155" s="857"/>
      <c r="I155" s="857"/>
      <c r="J155" s="783">
        <v>46312.0</v>
      </c>
      <c r="K155" s="788"/>
      <c r="L155" s="789"/>
      <c r="M155" s="789"/>
      <c r="N155" s="789"/>
      <c r="O155" s="789"/>
      <c r="P155" s="789"/>
      <c r="Q155" s="789"/>
      <c r="R155" s="789"/>
    </row>
    <row r="156">
      <c r="A156" s="781"/>
      <c r="B156" s="782" t="s">
        <v>7559</v>
      </c>
      <c r="C156" s="783">
        <v>46313.0</v>
      </c>
      <c r="D156" s="815"/>
      <c r="E156" s="856"/>
      <c r="F156" s="857"/>
      <c r="G156" s="857"/>
      <c r="H156" s="857"/>
      <c r="I156" s="857"/>
      <c r="J156" s="783">
        <v>46313.0</v>
      </c>
      <c r="K156" s="788"/>
      <c r="L156" s="789"/>
      <c r="M156" s="789"/>
      <c r="N156" s="789"/>
      <c r="O156" s="789"/>
      <c r="P156" s="789"/>
      <c r="Q156" s="789"/>
      <c r="R156" s="789"/>
    </row>
    <row r="157">
      <c r="A157" s="781"/>
      <c r="B157" s="782" t="s">
        <v>8858</v>
      </c>
      <c r="C157" s="783">
        <v>46314.0</v>
      </c>
      <c r="D157" s="815"/>
      <c r="E157" s="856"/>
      <c r="F157" s="857"/>
      <c r="G157" s="857"/>
      <c r="H157" s="857"/>
      <c r="I157" s="857"/>
      <c r="J157" s="783">
        <v>46314.0</v>
      </c>
      <c r="K157" s="788"/>
      <c r="L157" s="789"/>
      <c r="M157" s="789"/>
      <c r="N157" s="789"/>
      <c r="O157" s="789"/>
      <c r="P157" s="789"/>
      <c r="Q157" s="789"/>
      <c r="R157" s="789"/>
    </row>
    <row r="158">
      <c r="A158" s="781"/>
      <c r="B158" s="782" t="s">
        <v>8861</v>
      </c>
      <c r="C158" s="783">
        <v>46315.0</v>
      </c>
      <c r="D158" s="815"/>
      <c r="E158" s="856"/>
      <c r="F158" s="857"/>
      <c r="G158" s="857"/>
      <c r="H158" s="857"/>
      <c r="I158" s="857"/>
      <c r="J158" s="783">
        <v>46315.0</v>
      </c>
      <c r="K158" s="788"/>
      <c r="L158" s="789"/>
      <c r="M158" s="789"/>
      <c r="N158" s="789"/>
      <c r="O158" s="789"/>
      <c r="P158" s="789"/>
      <c r="Q158" s="789"/>
      <c r="R158" s="789"/>
    </row>
    <row r="159">
      <c r="A159" s="781"/>
      <c r="B159" s="782" t="s">
        <v>8862</v>
      </c>
      <c r="C159" s="783">
        <v>46316.0</v>
      </c>
      <c r="D159" s="815"/>
      <c r="E159" s="856"/>
      <c r="F159" s="857"/>
      <c r="G159" s="857"/>
      <c r="H159" s="857"/>
      <c r="I159" s="857"/>
      <c r="J159" s="783">
        <v>46316.0</v>
      </c>
      <c r="K159" s="788"/>
      <c r="L159" s="789"/>
      <c r="M159" s="789"/>
      <c r="N159" s="789"/>
      <c r="O159" s="789"/>
      <c r="P159" s="789"/>
      <c r="Q159" s="789"/>
      <c r="R159" s="789"/>
    </row>
    <row r="160">
      <c r="A160" s="781"/>
      <c r="B160" s="782" t="s">
        <v>8863</v>
      </c>
      <c r="C160" s="783">
        <v>46317.0</v>
      </c>
      <c r="D160" s="815"/>
      <c r="E160" s="856"/>
      <c r="F160" s="857"/>
      <c r="G160" s="857"/>
      <c r="H160" s="857"/>
      <c r="I160" s="857"/>
      <c r="J160" s="783">
        <v>46317.0</v>
      </c>
      <c r="K160" s="788"/>
      <c r="L160" s="789"/>
      <c r="M160" s="789"/>
      <c r="N160" s="789"/>
      <c r="O160" s="789"/>
      <c r="P160" s="789"/>
      <c r="Q160" s="789"/>
      <c r="R160" s="789"/>
    </row>
    <row r="161">
      <c r="A161" s="781"/>
      <c r="B161" s="782" t="s">
        <v>8865</v>
      </c>
      <c r="C161" s="783">
        <v>46318.0</v>
      </c>
      <c r="D161" s="815"/>
      <c r="E161" s="856"/>
      <c r="F161" s="857"/>
      <c r="G161" s="857"/>
      <c r="H161" s="857"/>
      <c r="I161" s="857"/>
      <c r="J161" s="783">
        <v>46318.0</v>
      </c>
      <c r="K161" s="788"/>
      <c r="L161" s="789"/>
      <c r="M161" s="789"/>
      <c r="N161" s="789"/>
      <c r="O161" s="789"/>
      <c r="P161" s="789"/>
      <c r="Q161" s="789"/>
      <c r="R161" s="789"/>
    </row>
    <row r="162">
      <c r="A162" s="781"/>
      <c r="B162" s="782" t="s">
        <v>8867</v>
      </c>
      <c r="C162" s="783">
        <v>46319.0</v>
      </c>
      <c r="D162" s="815"/>
      <c r="E162" s="856"/>
      <c r="F162" s="857"/>
      <c r="G162" s="857"/>
      <c r="H162" s="857"/>
      <c r="I162" s="857"/>
      <c r="J162" s="783">
        <v>46319.0</v>
      </c>
      <c r="K162" s="788"/>
      <c r="L162" s="789"/>
      <c r="M162" s="789"/>
      <c r="N162" s="789"/>
      <c r="O162" s="789"/>
      <c r="P162" s="789"/>
      <c r="Q162" s="789"/>
      <c r="R162" s="789"/>
    </row>
    <row r="163">
      <c r="A163" s="781"/>
      <c r="B163" s="782" t="s">
        <v>7559</v>
      </c>
      <c r="C163" s="783">
        <v>46320.0</v>
      </c>
      <c r="D163" s="815"/>
      <c r="E163" s="856"/>
      <c r="F163" s="857"/>
      <c r="G163" s="857"/>
      <c r="H163" s="857"/>
      <c r="I163" s="857"/>
      <c r="J163" s="783">
        <v>46320.0</v>
      </c>
      <c r="K163" s="788"/>
      <c r="L163" s="789"/>
      <c r="M163" s="789"/>
      <c r="N163" s="789"/>
      <c r="O163" s="789"/>
      <c r="P163" s="789"/>
      <c r="Q163" s="789"/>
      <c r="R163" s="789"/>
    </row>
    <row r="164">
      <c r="A164" s="781"/>
      <c r="B164" s="782" t="s">
        <v>8858</v>
      </c>
      <c r="C164" s="783">
        <v>46321.0</v>
      </c>
      <c r="D164" s="815"/>
      <c r="E164" s="856"/>
      <c r="F164" s="857"/>
      <c r="G164" s="857"/>
      <c r="H164" s="857"/>
      <c r="I164" s="857"/>
      <c r="J164" s="783">
        <v>46321.0</v>
      </c>
      <c r="K164" s="788"/>
      <c r="L164" s="789"/>
      <c r="M164" s="789"/>
      <c r="N164" s="789"/>
      <c r="O164" s="789"/>
      <c r="P164" s="789"/>
      <c r="Q164" s="789"/>
      <c r="R164" s="789"/>
    </row>
    <row r="165">
      <c r="A165" s="781"/>
      <c r="B165" s="782" t="s">
        <v>8861</v>
      </c>
      <c r="C165" s="783">
        <v>46322.0</v>
      </c>
      <c r="D165" s="815"/>
      <c r="E165" s="856"/>
      <c r="F165" s="857"/>
      <c r="G165" s="857"/>
      <c r="H165" s="857"/>
      <c r="I165" s="857"/>
      <c r="J165" s="783">
        <v>46322.0</v>
      </c>
      <c r="K165" s="788"/>
      <c r="L165" s="789"/>
      <c r="M165" s="789"/>
      <c r="N165" s="789"/>
      <c r="O165" s="789"/>
      <c r="P165" s="789"/>
      <c r="Q165" s="789"/>
      <c r="R165" s="789"/>
    </row>
    <row r="166">
      <c r="A166" s="781"/>
      <c r="B166" s="782" t="s">
        <v>8862</v>
      </c>
      <c r="C166" s="783">
        <v>46323.0</v>
      </c>
      <c r="D166" s="815"/>
      <c r="E166" s="856"/>
      <c r="F166" s="857"/>
      <c r="G166" s="857"/>
      <c r="H166" s="857"/>
      <c r="I166" s="857"/>
      <c r="J166" s="783">
        <v>46323.0</v>
      </c>
      <c r="K166" s="788"/>
      <c r="L166" s="789"/>
      <c r="M166" s="789"/>
      <c r="N166" s="789"/>
      <c r="O166" s="789"/>
      <c r="P166" s="789"/>
      <c r="Q166" s="789"/>
      <c r="R166" s="789"/>
    </row>
    <row r="167">
      <c r="A167" s="781"/>
      <c r="B167" s="782" t="s">
        <v>8863</v>
      </c>
      <c r="C167" s="783">
        <v>46324.0</v>
      </c>
      <c r="D167" s="815"/>
      <c r="E167" s="856"/>
      <c r="F167" s="857"/>
      <c r="G167" s="857"/>
      <c r="H167" s="857"/>
      <c r="I167" s="857"/>
      <c r="J167" s="783">
        <v>46324.0</v>
      </c>
      <c r="K167" s="788"/>
      <c r="L167" s="789"/>
      <c r="M167" s="789"/>
      <c r="N167" s="789"/>
      <c r="O167" s="789"/>
      <c r="P167" s="789"/>
      <c r="Q167" s="789"/>
      <c r="R167" s="789"/>
    </row>
    <row r="168">
      <c r="A168" s="781"/>
      <c r="B168" s="782" t="s">
        <v>8865</v>
      </c>
      <c r="C168" s="783">
        <v>46325.0</v>
      </c>
      <c r="D168" s="815"/>
      <c r="E168" s="856"/>
      <c r="F168" s="857"/>
      <c r="G168" s="857"/>
      <c r="H168" s="857"/>
      <c r="I168" s="857"/>
      <c r="J168" s="783">
        <v>46325.0</v>
      </c>
      <c r="K168" s="788"/>
      <c r="L168" s="789"/>
      <c r="M168" s="789"/>
      <c r="N168" s="789"/>
      <c r="O168" s="789"/>
      <c r="P168" s="789"/>
      <c r="Q168" s="789"/>
      <c r="R168" s="789"/>
    </row>
    <row r="169">
      <c r="A169" s="781"/>
      <c r="B169" s="782" t="s">
        <v>8867</v>
      </c>
      <c r="C169" s="783">
        <v>46326.0</v>
      </c>
      <c r="D169" s="815"/>
      <c r="E169" s="856"/>
      <c r="F169" s="857"/>
      <c r="G169" s="857"/>
      <c r="H169" s="857"/>
      <c r="I169" s="857"/>
      <c r="J169" s="783">
        <v>46326.0</v>
      </c>
      <c r="K169" s="788"/>
      <c r="L169" s="789"/>
      <c r="M169" s="789"/>
      <c r="N169" s="789"/>
      <c r="O169" s="789"/>
      <c r="P169" s="789"/>
      <c r="Q169" s="789"/>
      <c r="R169" s="789"/>
    </row>
    <row r="170">
      <c r="A170" s="781"/>
      <c r="B170" s="782" t="s">
        <v>7559</v>
      </c>
      <c r="C170" s="783">
        <v>46327.0</v>
      </c>
      <c r="D170" s="815"/>
      <c r="E170" s="856"/>
      <c r="F170" s="857"/>
      <c r="G170" s="857"/>
      <c r="H170" s="857"/>
      <c r="I170" s="857"/>
      <c r="J170" s="783">
        <v>46327.0</v>
      </c>
      <c r="K170" s="788"/>
      <c r="L170" s="789"/>
      <c r="M170" s="789"/>
      <c r="N170" s="789"/>
      <c r="O170" s="789"/>
      <c r="P170" s="789"/>
      <c r="Q170" s="789"/>
      <c r="R170" s="789"/>
    </row>
    <row r="171">
      <c r="A171" s="781"/>
      <c r="B171" s="782" t="s">
        <v>8858</v>
      </c>
      <c r="C171" s="783">
        <v>46328.0</v>
      </c>
      <c r="D171" s="815"/>
      <c r="E171" s="856"/>
      <c r="F171" s="857"/>
      <c r="G171" s="857"/>
      <c r="H171" s="857"/>
      <c r="I171" s="857"/>
      <c r="J171" s="783">
        <v>46328.0</v>
      </c>
      <c r="K171" s="788"/>
      <c r="L171" s="789"/>
      <c r="M171" s="789"/>
      <c r="N171" s="789"/>
      <c r="O171" s="789"/>
      <c r="P171" s="789"/>
      <c r="Q171" s="789"/>
      <c r="R171" s="789"/>
    </row>
    <row r="172">
      <c r="A172" s="781"/>
      <c r="B172" s="782" t="s">
        <v>8861</v>
      </c>
      <c r="C172" s="783">
        <v>46329.0</v>
      </c>
      <c r="D172" s="815"/>
      <c r="E172" s="856"/>
      <c r="F172" s="857"/>
      <c r="G172" s="857"/>
      <c r="H172" s="857"/>
      <c r="I172" s="857"/>
      <c r="J172" s="783">
        <v>46329.0</v>
      </c>
      <c r="K172" s="788"/>
      <c r="L172" s="789"/>
      <c r="M172" s="789"/>
      <c r="N172" s="789"/>
      <c r="O172" s="789"/>
      <c r="P172" s="789"/>
      <c r="Q172" s="789"/>
      <c r="R172" s="789"/>
    </row>
    <row r="173">
      <c r="A173" s="781"/>
      <c r="B173" s="782" t="s">
        <v>8862</v>
      </c>
      <c r="C173" s="783">
        <v>46330.0</v>
      </c>
      <c r="D173" s="815"/>
      <c r="E173" s="856"/>
      <c r="F173" s="857"/>
      <c r="G173" s="857"/>
      <c r="H173" s="857"/>
      <c r="I173" s="857"/>
      <c r="J173" s="783">
        <v>46330.0</v>
      </c>
      <c r="K173" s="788"/>
      <c r="L173" s="789"/>
      <c r="M173" s="789"/>
      <c r="N173" s="789"/>
      <c r="O173" s="789"/>
      <c r="P173" s="789"/>
      <c r="Q173" s="789"/>
      <c r="R173" s="789"/>
    </row>
    <row r="174">
      <c r="A174" s="781"/>
      <c r="B174" s="782" t="s">
        <v>8863</v>
      </c>
      <c r="C174" s="783">
        <v>46331.0</v>
      </c>
      <c r="D174" s="815"/>
      <c r="E174" s="856"/>
      <c r="F174" s="857"/>
      <c r="G174" s="857"/>
      <c r="H174" s="857"/>
      <c r="I174" s="857"/>
      <c r="J174" s="783">
        <v>46331.0</v>
      </c>
      <c r="K174" s="788"/>
      <c r="L174" s="789"/>
      <c r="M174" s="789"/>
      <c r="N174" s="789"/>
      <c r="O174" s="789"/>
      <c r="P174" s="789"/>
      <c r="Q174" s="789"/>
      <c r="R174" s="789"/>
    </row>
    <row r="175">
      <c r="A175" s="781"/>
      <c r="B175" s="782" t="s">
        <v>8865</v>
      </c>
      <c r="C175" s="783">
        <v>46332.0</v>
      </c>
      <c r="D175" s="815"/>
      <c r="E175" s="856"/>
      <c r="F175" s="857"/>
      <c r="G175" s="857"/>
      <c r="H175" s="857"/>
      <c r="I175" s="857"/>
      <c r="J175" s="783">
        <v>46332.0</v>
      </c>
      <c r="K175" s="788"/>
      <c r="L175" s="789"/>
      <c r="M175" s="789"/>
      <c r="N175" s="789"/>
      <c r="O175" s="789"/>
      <c r="P175" s="789"/>
      <c r="Q175" s="789"/>
      <c r="R175" s="789"/>
    </row>
    <row r="176">
      <c r="A176" s="781"/>
      <c r="B176" s="782" t="s">
        <v>8867</v>
      </c>
      <c r="C176" s="783">
        <v>46333.0</v>
      </c>
      <c r="D176" s="815"/>
      <c r="E176" s="856"/>
      <c r="F176" s="857"/>
      <c r="G176" s="857"/>
      <c r="H176" s="857"/>
      <c r="I176" s="857"/>
      <c r="J176" s="783">
        <v>46333.0</v>
      </c>
      <c r="K176" s="788"/>
      <c r="L176" s="789"/>
      <c r="M176" s="789"/>
      <c r="N176" s="789"/>
      <c r="O176" s="789"/>
      <c r="P176" s="789"/>
      <c r="Q176" s="789"/>
      <c r="R176" s="789"/>
    </row>
    <row r="177">
      <c r="A177" s="781"/>
      <c r="B177" s="782" t="s">
        <v>7559</v>
      </c>
      <c r="C177" s="783">
        <v>46334.0</v>
      </c>
      <c r="D177" s="815"/>
      <c r="E177" s="856"/>
      <c r="F177" s="857"/>
      <c r="G177" s="857"/>
      <c r="H177" s="857"/>
      <c r="I177" s="857"/>
      <c r="J177" s="783">
        <v>46334.0</v>
      </c>
      <c r="K177" s="788"/>
      <c r="L177" s="789"/>
      <c r="M177" s="789"/>
      <c r="N177" s="789"/>
      <c r="O177" s="789"/>
      <c r="P177" s="789"/>
      <c r="Q177" s="789"/>
      <c r="R177" s="789"/>
    </row>
    <row r="178">
      <c r="A178" s="781"/>
      <c r="B178" s="782" t="s">
        <v>8858</v>
      </c>
      <c r="C178" s="783">
        <v>46335.0</v>
      </c>
      <c r="D178" s="815"/>
      <c r="E178" s="856"/>
      <c r="F178" s="857"/>
      <c r="G178" s="857"/>
      <c r="H178" s="857"/>
      <c r="I178" s="857"/>
      <c r="J178" s="783">
        <v>46335.0</v>
      </c>
      <c r="K178" s="788"/>
      <c r="L178" s="789"/>
      <c r="M178" s="789"/>
      <c r="N178" s="789"/>
      <c r="O178" s="789"/>
      <c r="P178" s="789"/>
      <c r="Q178" s="789"/>
      <c r="R178" s="789"/>
    </row>
    <row r="179">
      <c r="A179" s="781"/>
      <c r="B179" s="782" t="s">
        <v>8861</v>
      </c>
      <c r="C179" s="783">
        <v>46336.0</v>
      </c>
      <c r="D179" s="815"/>
      <c r="E179" s="856"/>
      <c r="F179" s="857"/>
      <c r="G179" s="857"/>
      <c r="H179" s="857"/>
      <c r="I179" s="857"/>
      <c r="J179" s="783">
        <v>46336.0</v>
      </c>
      <c r="K179" s="788"/>
      <c r="L179" s="789"/>
      <c r="M179" s="789"/>
      <c r="N179" s="789"/>
      <c r="O179" s="789"/>
      <c r="P179" s="789"/>
      <c r="Q179" s="789"/>
      <c r="R179" s="789"/>
    </row>
    <row r="180">
      <c r="A180" s="781"/>
      <c r="B180" s="782" t="s">
        <v>8862</v>
      </c>
      <c r="C180" s="783">
        <v>46337.0</v>
      </c>
      <c r="D180" s="815"/>
      <c r="E180" s="856"/>
      <c r="F180" s="857"/>
      <c r="G180" s="857"/>
      <c r="H180" s="857"/>
      <c r="I180" s="857"/>
      <c r="J180" s="783">
        <v>46337.0</v>
      </c>
      <c r="K180" s="788"/>
      <c r="L180" s="789"/>
      <c r="M180" s="789"/>
      <c r="N180" s="789"/>
      <c r="O180" s="789"/>
      <c r="P180" s="789"/>
      <c r="Q180" s="789"/>
      <c r="R180" s="789"/>
    </row>
    <row r="181">
      <c r="A181" s="781"/>
      <c r="B181" s="782" t="s">
        <v>8863</v>
      </c>
      <c r="C181" s="783">
        <v>46338.0</v>
      </c>
      <c r="D181" s="815"/>
      <c r="E181" s="856"/>
      <c r="F181" s="857"/>
      <c r="G181" s="857"/>
      <c r="H181" s="857"/>
      <c r="I181" s="857"/>
      <c r="J181" s="783">
        <v>46338.0</v>
      </c>
      <c r="K181" s="788"/>
      <c r="L181" s="789"/>
      <c r="M181" s="789"/>
      <c r="N181" s="789"/>
      <c r="O181" s="789"/>
      <c r="P181" s="789"/>
      <c r="Q181" s="789"/>
      <c r="R181" s="789"/>
    </row>
    <row r="182">
      <c r="A182" s="781"/>
      <c r="B182" s="782" t="s">
        <v>8865</v>
      </c>
      <c r="C182" s="783">
        <v>46339.0</v>
      </c>
      <c r="D182" s="815"/>
      <c r="E182" s="856"/>
      <c r="F182" s="857"/>
      <c r="G182" s="857"/>
      <c r="H182" s="857"/>
      <c r="I182" s="857"/>
      <c r="J182" s="783">
        <v>46339.0</v>
      </c>
      <c r="K182" s="788"/>
      <c r="L182" s="789"/>
      <c r="M182" s="789"/>
      <c r="N182" s="789"/>
      <c r="O182" s="789"/>
      <c r="P182" s="789"/>
      <c r="Q182" s="789"/>
      <c r="R182" s="789"/>
    </row>
    <row r="183">
      <c r="A183" s="781"/>
      <c r="B183" s="782" t="s">
        <v>8867</v>
      </c>
      <c r="C183" s="783">
        <v>46340.0</v>
      </c>
      <c r="D183" s="815"/>
      <c r="E183" s="856"/>
      <c r="F183" s="857"/>
      <c r="G183" s="857"/>
      <c r="H183" s="857"/>
      <c r="I183" s="857"/>
      <c r="J183" s="783">
        <v>46340.0</v>
      </c>
      <c r="K183" s="788"/>
      <c r="L183" s="789"/>
      <c r="M183" s="789"/>
      <c r="N183" s="789"/>
      <c r="O183" s="789"/>
      <c r="P183" s="789"/>
      <c r="Q183" s="789"/>
      <c r="R183" s="789"/>
    </row>
    <row r="184">
      <c r="A184" s="781"/>
      <c r="B184" s="782" t="s">
        <v>7559</v>
      </c>
      <c r="C184" s="783">
        <v>46341.0</v>
      </c>
      <c r="D184" s="815"/>
      <c r="E184" s="856"/>
      <c r="F184" s="857"/>
      <c r="G184" s="857"/>
      <c r="H184" s="857"/>
      <c r="I184" s="857"/>
      <c r="J184" s="783">
        <v>46341.0</v>
      </c>
      <c r="K184" s="788"/>
      <c r="L184" s="789"/>
      <c r="M184" s="789"/>
      <c r="N184" s="789"/>
      <c r="O184" s="789"/>
      <c r="P184" s="789"/>
      <c r="Q184" s="789"/>
      <c r="R184" s="789"/>
    </row>
    <row r="185">
      <c r="A185" s="781"/>
      <c r="B185" s="782" t="s">
        <v>8858</v>
      </c>
      <c r="C185" s="783">
        <v>46342.0</v>
      </c>
      <c r="D185" s="815"/>
      <c r="E185" s="856"/>
      <c r="F185" s="857"/>
      <c r="G185" s="857"/>
      <c r="H185" s="857"/>
      <c r="I185" s="857"/>
      <c r="J185" s="783">
        <v>46342.0</v>
      </c>
      <c r="K185" s="788"/>
      <c r="L185" s="789"/>
      <c r="M185" s="789"/>
      <c r="N185" s="789"/>
      <c r="O185" s="789"/>
      <c r="P185" s="789"/>
      <c r="Q185" s="789"/>
      <c r="R185" s="789"/>
    </row>
    <row r="186">
      <c r="A186" s="781"/>
      <c r="B186" s="782" t="s">
        <v>8861</v>
      </c>
      <c r="C186" s="783">
        <v>46343.0</v>
      </c>
      <c r="D186" s="815"/>
      <c r="E186" s="856"/>
      <c r="F186" s="857"/>
      <c r="G186" s="857"/>
      <c r="H186" s="857"/>
      <c r="I186" s="857"/>
      <c r="J186" s="783">
        <v>46343.0</v>
      </c>
      <c r="K186" s="788"/>
      <c r="L186" s="789"/>
      <c r="M186" s="789"/>
      <c r="N186" s="789"/>
      <c r="O186" s="789"/>
      <c r="P186" s="789"/>
      <c r="Q186" s="789"/>
      <c r="R186" s="789"/>
    </row>
    <row r="187">
      <c r="A187" s="781"/>
      <c r="B187" s="782" t="s">
        <v>8862</v>
      </c>
      <c r="C187" s="783">
        <v>46344.0</v>
      </c>
      <c r="D187" s="815"/>
      <c r="E187" s="856"/>
      <c r="F187" s="857"/>
      <c r="G187" s="857"/>
      <c r="H187" s="857"/>
      <c r="I187" s="857"/>
      <c r="J187" s="783">
        <v>46344.0</v>
      </c>
      <c r="K187" s="788"/>
      <c r="L187" s="789"/>
      <c r="M187" s="789"/>
      <c r="N187" s="789"/>
      <c r="O187" s="789"/>
      <c r="P187" s="789"/>
      <c r="Q187" s="789"/>
      <c r="R187" s="789"/>
    </row>
    <row r="188">
      <c r="A188" s="781"/>
      <c r="B188" s="782" t="s">
        <v>8863</v>
      </c>
      <c r="C188" s="783">
        <v>46345.0</v>
      </c>
      <c r="D188" s="815"/>
      <c r="E188" s="856"/>
      <c r="F188" s="857"/>
      <c r="G188" s="857"/>
      <c r="H188" s="857"/>
      <c r="I188" s="857"/>
      <c r="J188" s="783">
        <v>46345.0</v>
      </c>
      <c r="K188" s="788"/>
      <c r="L188" s="789"/>
      <c r="M188" s="789"/>
      <c r="N188" s="789"/>
      <c r="O188" s="789"/>
      <c r="P188" s="789"/>
      <c r="Q188" s="789"/>
      <c r="R188" s="789"/>
    </row>
    <row r="189">
      <c r="A189" s="781"/>
      <c r="B189" s="782" t="s">
        <v>8865</v>
      </c>
      <c r="C189" s="783">
        <v>46346.0</v>
      </c>
      <c r="D189" s="815"/>
      <c r="E189" s="856"/>
      <c r="F189" s="857"/>
      <c r="G189" s="857"/>
      <c r="H189" s="857"/>
      <c r="I189" s="857"/>
      <c r="J189" s="783">
        <v>46346.0</v>
      </c>
      <c r="K189" s="788"/>
      <c r="L189" s="789"/>
      <c r="M189" s="789"/>
      <c r="N189" s="789"/>
      <c r="O189" s="789"/>
      <c r="P189" s="789"/>
      <c r="Q189" s="789"/>
      <c r="R189" s="789"/>
    </row>
    <row r="190">
      <c r="A190" s="781"/>
      <c r="B190" s="782" t="s">
        <v>8867</v>
      </c>
      <c r="C190" s="783">
        <v>46347.0</v>
      </c>
      <c r="D190" s="815"/>
      <c r="E190" s="856"/>
      <c r="F190" s="857"/>
      <c r="G190" s="857"/>
      <c r="H190" s="857"/>
      <c r="I190" s="857"/>
      <c r="J190" s="783">
        <v>46347.0</v>
      </c>
      <c r="K190" s="788"/>
      <c r="L190" s="789"/>
      <c r="M190" s="789"/>
      <c r="N190" s="789"/>
      <c r="O190" s="789"/>
      <c r="P190" s="789"/>
      <c r="Q190" s="789"/>
      <c r="R190" s="789"/>
    </row>
    <row r="191">
      <c r="A191" s="781"/>
      <c r="B191" s="782" t="s">
        <v>7559</v>
      </c>
      <c r="C191" s="783">
        <v>46348.0</v>
      </c>
      <c r="D191" s="815"/>
      <c r="E191" s="856"/>
      <c r="F191" s="857"/>
      <c r="G191" s="857"/>
      <c r="H191" s="857"/>
      <c r="I191" s="857"/>
      <c r="J191" s="783">
        <v>46348.0</v>
      </c>
      <c r="K191" s="788"/>
      <c r="L191" s="789"/>
      <c r="M191" s="789"/>
      <c r="N191" s="789"/>
      <c r="O191" s="789"/>
      <c r="P191" s="789"/>
      <c r="Q191" s="789"/>
      <c r="R191" s="789"/>
    </row>
    <row r="192">
      <c r="A192" s="781"/>
      <c r="B192" s="782" t="s">
        <v>8858</v>
      </c>
      <c r="C192" s="783">
        <v>46349.0</v>
      </c>
      <c r="D192" s="815"/>
      <c r="E192" s="856"/>
      <c r="F192" s="857"/>
      <c r="G192" s="857"/>
      <c r="H192" s="857"/>
      <c r="I192" s="857"/>
      <c r="J192" s="783">
        <v>46349.0</v>
      </c>
      <c r="K192" s="788"/>
      <c r="L192" s="789"/>
      <c r="M192" s="789"/>
      <c r="N192" s="789"/>
      <c r="O192" s="789"/>
      <c r="P192" s="789"/>
      <c r="Q192" s="789"/>
      <c r="R192" s="789"/>
    </row>
    <row r="193">
      <c r="A193" s="781"/>
      <c r="B193" s="782" t="s">
        <v>8861</v>
      </c>
      <c r="C193" s="783">
        <v>46350.0</v>
      </c>
      <c r="D193" s="815"/>
      <c r="E193" s="856"/>
      <c r="F193" s="857"/>
      <c r="G193" s="857"/>
      <c r="H193" s="857"/>
      <c r="I193" s="857"/>
      <c r="J193" s="783">
        <v>46350.0</v>
      </c>
      <c r="K193" s="788"/>
      <c r="L193" s="789"/>
      <c r="M193" s="789"/>
      <c r="N193" s="789"/>
      <c r="O193" s="789"/>
      <c r="P193" s="789"/>
      <c r="Q193" s="789"/>
      <c r="R193" s="789"/>
    </row>
    <row r="194">
      <c r="A194" s="781"/>
      <c r="B194" s="782" t="s">
        <v>8862</v>
      </c>
      <c r="C194" s="783">
        <v>46351.0</v>
      </c>
      <c r="D194" s="815"/>
      <c r="E194" s="856"/>
      <c r="F194" s="857"/>
      <c r="G194" s="857"/>
      <c r="H194" s="857"/>
      <c r="I194" s="857"/>
      <c r="J194" s="783">
        <v>46351.0</v>
      </c>
      <c r="K194" s="788"/>
      <c r="L194" s="789"/>
      <c r="M194" s="789"/>
      <c r="N194" s="789"/>
      <c r="O194" s="789"/>
      <c r="P194" s="789"/>
      <c r="Q194" s="789"/>
      <c r="R194" s="789"/>
    </row>
    <row r="195">
      <c r="A195" s="781"/>
      <c r="B195" s="782" t="s">
        <v>8863</v>
      </c>
      <c r="C195" s="783">
        <v>46352.0</v>
      </c>
      <c r="D195" s="815"/>
      <c r="E195" s="856"/>
      <c r="F195" s="857"/>
      <c r="G195" s="857"/>
      <c r="H195" s="857"/>
      <c r="I195" s="857"/>
      <c r="J195" s="783">
        <v>46352.0</v>
      </c>
      <c r="K195" s="788"/>
      <c r="L195" s="789"/>
      <c r="M195" s="789"/>
      <c r="N195" s="789"/>
      <c r="O195" s="789"/>
      <c r="P195" s="789"/>
      <c r="Q195" s="789"/>
      <c r="R195" s="789"/>
    </row>
    <row r="196">
      <c r="A196" s="781"/>
      <c r="B196" s="782" t="s">
        <v>8865</v>
      </c>
      <c r="C196" s="783">
        <v>46353.0</v>
      </c>
      <c r="D196" s="815"/>
      <c r="E196" s="856"/>
      <c r="F196" s="857"/>
      <c r="G196" s="857"/>
      <c r="H196" s="857"/>
      <c r="I196" s="857"/>
      <c r="J196" s="783">
        <v>46353.0</v>
      </c>
      <c r="K196" s="788"/>
      <c r="L196" s="789"/>
      <c r="M196" s="789"/>
      <c r="N196" s="789"/>
      <c r="O196" s="789"/>
      <c r="P196" s="789"/>
      <c r="Q196" s="789"/>
      <c r="R196" s="789"/>
    </row>
    <row r="197">
      <c r="A197" s="781"/>
      <c r="B197" s="782" t="s">
        <v>8867</v>
      </c>
      <c r="C197" s="783">
        <v>46354.0</v>
      </c>
      <c r="D197" s="815"/>
      <c r="E197" s="856"/>
      <c r="F197" s="857"/>
      <c r="G197" s="857"/>
      <c r="H197" s="857"/>
      <c r="I197" s="857"/>
      <c r="J197" s="783">
        <v>46354.0</v>
      </c>
      <c r="K197" s="788"/>
      <c r="L197" s="789"/>
      <c r="M197" s="789"/>
      <c r="N197" s="789"/>
      <c r="O197" s="789"/>
      <c r="P197" s="789"/>
      <c r="Q197" s="789"/>
      <c r="R197" s="789"/>
    </row>
    <row r="198">
      <c r="A198" s="781"/>
      <c r="B198" s="782" t="s">
        <v>7559</v>
      </c>
      <c r="C198" s="783">
        <v>46355.0</v>
      </c>
      <c r="D198" s="815"/>
      <c r="E198" s="856"/>
      <c r="F198" s="857"/>
      <c r="G198" s="857"/>
      <c r="H198" s="857"/>
      <c r="I198" s="857"/>
      <c r="J198" s="783">
        <v>46355.0</v>
      </c>
      <c r="K198" s="788"/>
      <c r="L198" s="789"/>
      <c r="M198" s="789"/>
      <c r="N198" s="789"/>
      <c r="O198" s="789"/>
      <c r="P198" s="789"/>
      <c r="Q198" s="789"/>
      <c r="R198" s="789"/>
    </row>
    <row r="199">
      <c r="A199" s="781"/>
      <c r="B199" s="782" t="s">
        <v>8858</v>
      </c>
      <c r="C199" s="783">
        <v>46356.0</v>
      </c>
      <c r="D199" s="815"/>
      <c r="E199" s="856"/>
      <c r="F199" s="857"/>
      <c r="G199" s="857"/>
      <c r="H199" s="857"/>
      <c r="I199" s="857"/>
      <c r="J199" s="783">
        <v>46356.0</v>
      </c>
      <c r="K199" s="788"/>
      <c r="L199" s="789"/>
      <c r="M199" s="789"/>
      <c r="N199" s="789"/>
      <c r="O199" s="789"/>
      <c r="P199" s="789"/>
      <c r="Q199" s="789"/>
      <c r="R199" s="789"/>
    </row>
    <row r="200">
      <c r="A200" s="781"/>
      <c r="B200" s="782" t="s">
        <v>8861</v>
      </c>
      <c r="C200" s="783">
        <v>46357.0</v>
      </c>
      <c r="D200" s="815"/>
      <c r="E200" s="856"/>
      <c r="F200" s="857"/>
      <c r="G200" s="857"/>
      <c r="H200" s="857"/>
      <c r="I200" s="857"/>
      <c r="J200" s="783">
        <v>46357.0</v>
      </c>
      <c r="K200" s="788"/>
      <c r="L200" s="789"/>
      <c r="M200" s="789"/>
      <c r="N200" s="789"/>
      <c r="O200" s="789"/>
      <c r="P200" s="789"/>
      <c r="Q200" s="789"/>
      <c r="R200" s="789"/>
    </row>
    <row r="201">
      <c r="A201" s="781"/>
      <c r="B201" s="782" t="s">
        <v>8862</v>
      </c>
      <c r="C201" s="783">
        <v>46358.0</v>
      </c>
      <c r="D201" s="815"/>
      <c r="E201" s="856"/>
      <c r="F201" s="857"/>
      <c r="G201" s="857"/>
      <c r="H201" s="857"/>
      <c r="I201" s="857"/>
      <c r="J201" s="783">
        <v>46358.0</v>
      </c>
      <c r="K201" s="788"/>
      <c r="L201" s="789"/>
      <c r="M201" s="789"/>
      <c r="N201" s="789"/>
      <c r="O201" s="789"/>
      <c r="P201" s="789"/>
      <c r="Q201" s="789"/>
      <c r="R201" s="789"/>
    </row>
    <row r="202">
      <c r="A202" s="781"/>
      <c r="B202" s="782" t="s">
        <v>8863</v>
      </c>
      <c r="C202" s="783">
        <v>46359.0</v>
      </c>
      <c r="D202" s="815"/>
      <c r="E202" s="856"/>
      <c r="F202" s="857"/>
      <c r="G202" s="857"/>
      <c r="H202" s="857"/>
      <c r="I202" s="857"/>
      <c r="J202" s="783">
        <v>46359.0</v>
      </c>
      <c r="K202" s="788"/>
      <c r="L202" s="789"/>
      <c r="M202" s="789"/>
      <c r="N202" s="789"/>
      <c r="O202" s="789"/>
      <c r="P202" s="789"/>
      <c r="Q202" s="789"/>
      <c r="R202" s="789"/>
    </row>
    <row r="203">
      <c r="A203" s="781"/>
      <c r="B203" s="782" t="s">
        <v>8865</v>
      </c>
      <c r="C203" s="783">
        <v>46360.0</v>
      </c>
      <c r="D203" s="815"/>
      <c r="E203" s="856"/>
      <c r="F203" s="857"/>
      <c r="G203" s="857"/>
      <c r="H203" s="857"/>
      <c r="I203" s="857"/>
      <c r="J203" s="783">
        <v>46360.0</v>
      </c>
      <c r="K203" s="788"/>
      <c r="L203" s="789"/>
      <c r="M203" s="789"/>
      <c r="N203" s="789"/>
      <c r="O203" s="789"/>
      <c r="P203" s="789"/>
      <c r="Q203" s="789"/>
      <c r="R203" s="789"/>
    </row>
    <row r="204">
      <c r="A204" s="781"/>
      <c r="B204" s="782" t="s">
        <v>8867</v>
      </c>
      <c r="C204" s="783">
        <v>46361.0</v>
      </c>
      <c r="D204" s="815"/>
      <c r="E204" s="856"/>
      <c r="F204" s="857"/>
      <c r="G204" s="857"/>
      <c r="H204" s="857"/>
      <c r="I204" s="857"/>
      <c r="J204" s="783">
        <v>46361.0</v>
      </c>
      <c r="K204" s="788"/>
      <c r="L204" s="789"/>
      <c r="M204" s="789"/>
      <c r="N204" s="789"/>
      <c r="O204" s="789"/>
      <c r="P204" s="789"/>
      <c r="Q204" s="789"/>
      <c r="R204" s="789"/>
    </row>
    <row r="205">
      <c r="A205" s="781"/>
      <c r="B205" s="782" t="s">
        <v>7559</v>
      </c>
      <c r="C205" s="783">
        <v>46362.0</v>
      </c>
      <c r="D205" s="815"/>
      <c r="E205" s="856"/>
      <c r="F205" s="857"/>
      <c r="G205" s="857"/>
      <c r="H205" s="857"/>
      <c r="I205" s="857"/>
      <c r="J205" s="783">
        <v>46362.0</v>
      </c>
      <c r="K205" s="788"/>
      <c r="L205" s="789"/>
      <c r="M205" s="789"/>
      <c r="N205" s="789"/>
      <c r="O205" s="789"/>
      <c r="P205" s="789"/>
      <c r="Q205" s="789"/>
      <c r="R205" s="789"/>
    </row>
    <row r="206">
      <c r="A206" s="781"/>
      <c r="B206" s="782" t="s">
        <v>8858</v>
      </c>
      <c r="C206" s="783">
        <v>46363.0</v>
      </c>
      <c r="D206" s="815"/>
      <c r="E206" s="856"/>
      <c r="F206" s="857"/>
      <c r="G206" s="857"/>
      <c r="H206" s="857"/>
      <c r="I206" s="857"/>
      <c r="J206" s="783">
        <v>46363.0</v>
      </c>
      <c r="K206" s="788"/>
      <c r="L206" s="789"/>
      <c r="M206" s="789"/>
      <c r="N206" s="789"/>
      <c r="O206" s="789"/>
      <c r="P206" s="789"/>
      <c r="Q206" s="789"/>
      <c r="R206" s="789"/>
    </row>
    <row r="207">
      <c r="A207" s="781"/>
      <c r="B207" s="782" t="s">
        <v>8861</v>
      </c>
      <c r="C207" s="783">
        <v>46364.0</v>
      </c>
      <c r="D207" s="815"/>
      <c r="E207" s="856"/>
      <c r="F207" s="857"/>
      <c r="G207" s="857"/>
      <c r="H207" s="857"/>
      <c r="I207" s="857"/>
      <c r="J207" s="783">
        <v>46364.0</v>
      </c>
      <c r="K207" s="788"/>
      <c r="L207" s="789"/>
      <c r="M207" s="789"/>
      <c r="N207" s="789"/>
      <c r="O207" s="789"/>
      <c r="P207" s="789"/>
      <c r="Q207" s="789"/>
      <c r="R207" s="789"/>
    </row>
    <row r="208">
      <c r="A208" s="781"/>
      <c r="B208" s="782" t="s">
        <v>8862</v>
      </c>
      <c r="C208" s="783">
        <v>46365.0</v>
      </c>
      <c r="D208" s="815"/>
      <c r="E208" s="856"/>
      <c r="F208" s="857"/>
      <c r="G208" s="857"/>
      <c r="H208" s="857"/>
      <c r="I208" s="857"/>
      <c r="J208" s="783">
        <v>46365.0</v>
      </c>
      <c r="K208" s="788"/>
      <c r="L208" s="789"/>
      <c r="M208" s="789"/>
      <c r="N208" s="789"/>
      <c r="O208" s="789"/>
      <c r="P208" s="789"/>
      <c r="Q208" s="789"/>
      <c r="R208" s="789"/>
    </row>
    <row r="209">
      <c r="A209" s="781"/>
      <c r="B209" s="782" t="s">
        <v>8863</v>
      </c>
      <c r="C209" s="783">
        <v>46366.0</v>
      </c>
      <c r="D209" s="815"/>
      <c r="E209" s="856"/>
      <c r="F209" s="857"/>
      <c r="G209" s="857"/>
      <c r="H209" s="857"/>
      <c r="I209" s="857"/>
      <c r="J209" s="783">
        <v>46366.0</v>
      </c>
      <c r="K209" s="788"/>
      <c r="L209" s="789"/>
      <c r="M209" s="789"/>
      <c r="N209" s="789"/>
      <c r="O209" s="789"/>
      <c r="P209" s="789"/>
      <c r="Q209" s="789"/>
      <c r="R209" s="789"/>
    </row>
    <row r="210">
      <c r="A210" s="781"/>
      <c r="B210" s="782" t="s">
        <v>8865</v>
      </c>
      <c r="C210" s="783">
        <v>46367.0</v>
      </c>
      <c r="D210" s="815"/>
      <c r="E210" s="856"/>
      <c r="F210" s="857"/>
      <c r="G210" s="857"/>
      <c r="H210" s="857"/>
      <c r="I210" s="857"/>
      <c r="J210" s="783">
        <v>46367.0</v>
      </c>
      <c r="K210" s="788"/>
      <c r="L210" s="789"/>
      <c r="M210" s="789"/>
      <c r="N210" s="789"/>
      <c r="O210" s="789"/>
      <c r="P210" s="789"/>
      <c r="Q210" s="789"/>
      <c r="R210" s="789"/>
    </row>
    <row r="211">
      <c r="A211" s="781"/>
      <c r="B211" s="782" t="s">
        <v>8867</v>
      </c>
      <c r="C211" s="783">
        <v>46368.0</v>
      </c>
      <c r="D211" s="815"/>
      <c r="E211" s="856"/>
      <c r="F211" s="857"/>
      <c r="G211" s="857"/>
      <c r="H211" s="857"/>
      <c r="I211" s="857"/>
      <c r="J211" s="783">
        <v>46368.0</v>
      </c>
      <c r="K211" s="788"/>
      <c r="L211" s="789"/>
      <c r="M211" s="789"/>
      <c r="N211" s="789"/>
      <c r="O211" s="789"/>
      <c r="P211" s="789"/>
      <c r="Q211" s="789"/>
      <c r="R211" s="789"/>
    </row>
    <row r="212">
      <c r="A212" s="781"/>
      <c r="B212" s="782" t="s">
        <v>7559</v>
      </c>
      <c r="C212" s="783">
        <v>46369.0</v>
      </c>
      <c r="D212" s="815"/>
      <c r="E212" s="856"/>
      <c r="F212" s="857"/>
      <c r="G212" s="857"/>
      <c r="H212" s="857"/>
      <c r="I212" s="857"/>
      <c r="J212" s="783">
        <v>46369.0</v>
      </c>
      <c r="K212" s="788"/>
      <c r="L212" s="789"/>
      <c r="M212" s="789"/>
      <c r="N212" s="789"/>
      <c r="O212" s="789"/>
      <c r="P212" s="789"/>
      <c r="Q212" s="789"/>
      <c r="R212" s="789"/>
    </row>
    <row r="213">
      <c r="A213" s="781"/>
      <c r="B213" s="782" t="s">
        <v>8858</v>
      </c>
      <c r="C213" s="783">
        <v>46370.0</v>
      </c>
      <c r="D213" s="815"/>
      <c r="E213" s="856"/>
      <c r="F213" s="857"/>
      <c r="G213" s="857"/>
      <c r="H213" s="857"/>
      <c r="I213" s="857"/>
      <c r="J213" s="783">
        <v>46370.0</v>
      </c>
      <c r="K213" s="788"/>
      <c r="L213" s="789"/>
      <c r="M213" s="789"/>
      <c r="N213" s="789"/>
      <c r="O213" s="789"/>
      <c r="P213" s="789"/>
      <c r="Q213" s="789"/>
      <c r="R213" s="789"/>
    </row>
    <row r="214">
      <c r="A214" s="781"/>
      <c r="B214" s="782" t="s">
        <v>8861</v>
      </c>
      <c r="C214" s="783">
        <v>46371.0</v>
      </c>
      <c r="D214" s="815"/>
      <c r="E214" s="856"/>
      <c r="F214" s="857"/>
      <c r="G214" s="857"/>
      <c r="H214" s="857"/>
      <c r="I214" s="857"/>
      <c r="J214" s="783">
        <v>46371.0</v>
      </c>
      <c r="K214" s="788"/>
      <c r="L214" s="789"/>
      <c r="M214" s="789"/>
      <c r="N214" s="789"/>
      <c r="O214" s="789"/>
      <c r="P214" s="789"/>
      <c r="Q214" s="789"/>
      <c r="R214" s="789"/>
    </row>
    <row r="215">
      <c r="A215" s="781"/>
      <c r="B215" s="782" t="s">
        <v>8862</v>
      </c>
      <c r="C215" s="783">
        <v>46372.0</v>
      </c>
      <c r="D215" s="815"/>
      <c r="E215" s="856"/>
      <c r="F215" s="857"/>
      <c r="G215" s="857"/>
      <c r="H215" s="857"/>
      <c r="I215" s="857"/>
      <c r="J215" s="783">
        <v>46372.0</v>
      </c>
      <c r="K215" s="788"/>
      <c r="L215" s="789"/>
      <c r="M215" s="789"/>
      <c r="N215" s="789"/>
      <c r="O215" s="789"/>
      <c r="P215" s="789"/>
      <c r="Q215" s="789"/>
      <c r="R215" s="789"/>
    </row>
    <row r="216">
      <c r="A216" s="781"/>
      <c r="B216" s="782" t="s">
        <v>8863</v>
      </c>
      <c r="C216" s="783">
        <v>46373.0</v>
      </c>
      <c r="D216" s="815"/>
      <c r="E216" s="856"/>
      <c r="F216" s="857"/>
      <c r="G216" s="857"/>
      <c r="H216" s="857"/>
      <c r="I216" s="857"/>
      <c r="J216" s="783">
        <v>46373.0</v>
      </c>
      <c r="K216" s="788"/>
      <c r="L216" s="789"/>
      <c r="M216" s="789"/>
      <c r="N216" s="789"/>
      <c r="O216" s="789"/>
      <c r="P216" s="789"/>
      <c r="Q216" s="789"/>
      <c r="R216" s="789"/>
    </row>
    <row r="217">
      <c r="A217" s="781"/>
      <c r="B217" s="782"/>
      <c r="C217" s="783"/>
      <c r="D217" s="815"/>
      <c r="E217" s="856"/>
      <c r="F217" s="857"/>
      <c r="G217" s="857"/>
      <c r="H217" s="857"/>
      <c r="I217" s="857"/>
      <c r="J217" s="783"/>
      <c r="K217" s="788"/>
      <c r="L217" s="789"/>
      <c r="M217" s="789"/>
      <c r="N217" s="789"/>
      <c r="O217" s="789"/>
      <c r="P217" s="789"/>
      <c r="Q217" s="789"/>
      <c r="R217" s="789"/>
    </row>
    <row r="218">
      <c r="A218" s="781"/>
      <c r="B218" s="782"/>
      <c r="C218" s="783"/>
      <c r="D218" s="815"/>
      <c r="E218" s="856"/>
      <c r="F218" s="857"/>
      <c r="G218" s="857"/>
      <c r="H218" s="857"/>
      <c r="I218" s="857"/>
      <c r="J218" s="783"/>
      <c r="K218" s="788"/>
      <c r="L218" s="789"/>
      <c r="M218" s="789"/>
      <c r="N218" s="789"/>
      <c r="O218" s="789"/>
      <c r="P218" s="789"/>
      <c r="Q218" s="789"/>
      <c r="R218" s="789"/>
    </row>
    <row r="219">
      <c r="A219" s="781"/>
      <c r="B219" s="782"/>
      <c r="C219" s="783"/>
      <c r="D219" s="815"/>
      <c r="E219" s="856"/>
      <c r="F219" s="857"/>
      <c r="G219" s="857"/>
      <c r="H219" s="857"/>
      <c r="I219" s="857"/>
      <c r="J219" s="783"/>
      <c r="K219" s="788"/>
      <c r="L219" s="789"/>
      <c r="M219" s="789"/>
      <c r="N219" s="789"/>
      <c r="O219" s="789"/>
      <c r="P219" s="789"/>
      <c r="Q219" s="789"/>
      <c r="R219" s="789"/>
    </row>
    <row r="220">
      <c r="A220" s="781"/>
      <c r="B220" s="782"/>
      <c r="C220" s="783"/>
      <c r="D220" s="815"/>
      <c r="E220" s="856"/>
      <c r="F220" s="857"/>
      <c r="G220" s="857"/>
      <c r="H220" s="857"/>
      <c r="I220" s="857"/>
      <c r="J220" s="783"/>
      <c r="K220" s="788"/>
      <c r="L220" s="789"/>
      <c r="M220" s="789"/>
      <c r="N220" s="789"/>
      <c r="O220" s="789"/>
      <c r="P220" s="789"/>
      <c r="Q220" s="789"/>
      <c r="R220" s="789"/>
    </row>
    <row r="221">
      <c r="A221" s="781"/>
      <c r="B221" s="782"/>
      <c r="C221" s="783"/>
      <c r="D221" s="815"/>
      <c r="E221" s="856"/>
      <c r="F221" s="857"/>
      <c r="G221" s="857"/>
      <c r="H221" s="857"/>
      <c r="I221" s="857"/>
      <c r="J221" s="783"/>
      <c r="K221" s="788"/>
      <c r="L221" s="789"/>
      <c r="M221" s="789"/>
      <c r="N221" s="789"/>
      <c r="O221" s="789"/>
      <c r="P221" s="789"/>
      <c r="Q221" s="789"/>
      <c r="R221" s="789"/>
    </row>
    <row r="222">
      <c r="A222" s="781"/>
      <c r="B222" s="782"/>
      <c r="C222" s="783"/>
      <c r="D222" s="815"/>
      <c r="E222" s="856"/>
      <c r="F222" s="857"/>
      <c r="G222" s="857"/>
      <c r="H222" s="857"/>
      <c r="I222" s="857"/>
      <c r="J222" s="783"/>
      <c r="K222" s="788"/>
      <c r="L222" s="789"/>
      <c r="M222" s="789"/>
      <c r="N222" s="789"/>
      <c r="O222" s="789"/>
      <c r="P222" s="789"/>
      <c r="Q222" s="789"/>
      <c r="R222" s="789"/>
    </row>
    <row r="223">
      <c r="A223" s="781"/>
      <c r="B223" s="782"/>
      <c r="C223" s="783"/>
      <c r="D223" s="815"/>
      <c r="E223" s="856"/>
      <c r="F223" s="857"/>
      <c r="G223" s="857"/>
      <c r="H223" s="857"/>
      <c r="I223" s="857"/>
      <c r="J223" s="783"/>
      <c r="K223" s="788"/>
      <c r="L223" s="789"/>
      <c r="M223" s="789"/>
      <c r="N223" s="789"/>
      <c r="O223" s="789"/>
      <c r="P223" s="789"/>
      <c r="Q223" s="789"/>
      <c r="R223" s="789"/>
    </row>
    <row r="224">
      <c r="A224" s="781"/>
      <c r="B224" s="782"/>
      <c r="C224" s="783"/>
      <c r="D224" s="815"/>
      <c r="E224" s="856"/>
      <c r="F224" s="857"/>
      <c r="G224" s="857"/>
      <c r="H224" s="857"/>
      <c r="I224" s="857"/>
      <c r="J224" s="783"/>
      <c r="K224" s="788"/>
      <c r="L224" s="789"/>
      <c r="M224" s="789"/>
      <c r="N224" s="789"/>
      <c r="O224" s="789"/>
      <c r="P224" s="789"/>
      <c r="Q224" s="789"/>
      <c r="R224" s="789"/>
    </row>
    <row r="225">
      <c r="A225" s="781"/>
      <c r="B225" s="782"/>
      <c r="C225" s="783"/>
      <c r="D225" s="815"/>
      <c r="E225" s="856"/>
      <c r="F225" s="857"/>
      <c r="G225" s="857"/>
      <c r="H225" s="857"/>
      <c r="I225" s="857"/>
      <c r="J225" s="783"/>
      <c r="K225" s="788"/>
      <c r="L225" s="789"/>
      <c r="M225" s="789"/>
      <c r="N225" s="789"/>
      <c r="O225" s="789"/>
      <c r="P225" s="789"/>
      <c r="Q225" s="789"/>
      <c r="R225" s="789"/>
    </row>
    <row r="226">
      <c r="A226" s="781"/>
      <c r="B226" s="782"/>
      <c r="C226" s="783"/>
      <c r="D226" s="815"/>
      <c r="E226" s="856"/>
      <c r="F226" s="857"/>
      <c r="G226" s="857"/>
      <c r="H226" s="857"/>
      <c r="I226" s="857"/>
      <c r="J226" s="783"/>
      <c r="K226" s="788"/>
      <c r="L226" s="789"/>
      <c r="M226" s="789"/>
      <c r="N226" s="789"/>
      <c r="O226" s="789"/>
      <c r="P226" s="789"/>
      <c r="Q226" s="789"/>
      <c r="R226" s="789"/>
    </row>
    <row r="227">
      <c r="A227" s="781"/>
      <c r="B227" s="782"/>
      <c r="C227" s="783"/>
      <c r="D227" s="815"/>
      <c r="E227" s="856"/>
      <c r="F227" s="857"/>
      <c r="G227" s="857"/>
      <c r="H227" s="857"/>
      <c r="I227" s="857"/>
      <c r="J227" s="783"/>
      <c r="K227" s="788"/>
      <c r="L227" s="789"/>
      <c r="M227" s="789"/>
      <c r="N227" s="789"/>
      <c r="O227" s="789"/>
      <c r="P227" s="789"/>
      <c r="Q227" s="789"/>
      <c r="R227" s="789"/>
    </row>
    <row r="228">
      <c r="A228" s="781"/>
      <c r="B228" s="782"/>
      <c r="C228" s="783"/>
      <c r="D228" s="815"/>
      <c r="E228" s="856"/>
      <c r="F228" s="857"/>
      <c r="G228" s="857"/>
      <c r="H228" s="857"/>
      <c r="I228" s="857"/>
      <c r="J228" s="783"/>
      <c r="K228" s="788"/>
      <c r="L228" s="789"/>
      <c r="M228" s="789"/>
      <c r="N228" s="789"/>
      <c r="O228" s="789"/>
      <c r="P228" s="789"/>
      <c r="Q228" s="789"/>
      <c r="R228" s="789"/>
    </row>
    <row r="229">
      <c r="A229" s="781"/>
      <c r="B229" s="782"/>
      <c r="C229" s="783"/>
      <c r="D229" s="815"/>
      <c r="E229" s="856"/>
      <c r="F229" s="857"/>
      <c r="G229" s="857"/>
      <c r="H229" s="857"/>
      <c r="I229" s="857"/>
      <c r="J229" s="783"/>
      <c r="K229" s="788"/>
      <c r="L229" s="789"/>
      <c r="M229" s="789"/>
      <c r="N229" s="789"/>
      <c r="O229" s="789"/>
      <c r="P229" s="789"/>
      <c r="Q229" s="789"/>
      <c r="R229" s="789"/>
    </row>
    <row r="230">
      <c r="A230" s="781"/>
      <c r="B230" s="782"/>
      <c r="C230" s="783"/>
      <c r="D230" s="815"/>
      <c r="E230" s="856"/>
      <c r="F230" s="857"/>
      <c r="G230" s="857"/>
      <c r="H230" s="857"/>
      <c r="I230" s="857"/>
      <c r="J230" s="783"/>
      <c r="K230" s="788"/>
      <c r="L230" s="789"/>
      <c r="M230" s="789"/>
      <c r="N230" s="789"/>
      <c r="O230" s="789"/>
      <c r="P230" s="789"/>
      <c r="Q230" s="789"/>
      <c r="R230" s="789"/>
    </row>
    <row r="231">
      <c r="A231" s="781"/>
      <c r="B231" s="782"/>
      <c r="C231" s="783"/>
      <c r="D231" s="815"/>
      <c r="E231" s="856"/>
      <c r="F231" s="857"/>
      <c r="G231" s="857"/>
      <c r="H231" s="857"/>
      <c r="I231" s="857"/>
      <c r="J231" s="783"/>
      <c r="K231" s="788"/>
      <c r="L231" s="789"/>
      <c r="M231" s="789"/>
      <c r="N231" s="789"/>
      <c r="O231" s="789"/>
      <c r="P231" s="789"/>
      <c r="Q231" s="789"/>
      <c r="R231" s="789"/>
    </row>
    <row r="232">
      <c r="A232" s="781"/>
      <c r="B232" s="782"/>
      <c r="C232" s="783"/>
      <c r="D232" s="815"/>
      <c r="E232" s="856"/>
      <c r="F232" s="857"/>
      <c r="G232" s="857"/>
      <c r="H232" s="857"/>
      <c r="I232" s="857"/>
      <c r="J232" s="783"/>
      <c r="K232" s="788"/>
      <c r="L232" s="789"/>
      <c r="M232" s="789"/>
      <c r="N232" s="789"/>
      <c r="O232" s="789"/>
      <c r="P232" s="789"/>
      <c r="Q232" s="789"/>
      <c r="R232" s="789"/>
    </row>
    <row r="233">
      <c r="A233" s="781"/>
      <c r="B233" s="782"/>
      <c r="C233" s="783"/>
      <c r="D233" s="815"/>
      <c r="E233" s="856"/>
      <c r="F233" s="857"/>
      <c r="G233" s="857"/>
      <c r="H233" s="857"/>
      <c r="I233" s="857"/>
      <c r="J233" s="783"/>
      <c r="K233" s="788"/>
      <c r="L233" s="789"/>
      <c r="M233" s="789"/>
      <c r="N233" s="789"/>
      <c r="O233" s="789"/>
      <c r="P233" s="789"/>
      <c r="Q233" s="789"/>
      <c r="R233" s="789"/>
    </row>
    <row r="234">
      <c r="A234" s="781"/>
      <c r="B234" s="782"/>
      <c r="C234" s="783"/>
      <c r="D234" s="815"/>
      <c r="E234" s="856"/>
      <c r="F234" s="857"/>
      <c r="G234" s="857"/>
      <c r="H234" s="857"/>
      <c r="I234" s="857"/>
      <c r="J234" s="783"/>
      <c r="K234" s="788"/>
      <c r="L234" s="789"/>
      <c r="M234" s="789"/>
      <c r="N234" s="789"/>
      <c r="O234" s="789"/>
      <c r="P234" s="789"/>
      <c r="Q234" s="789"/>
      <c r="R234" s="789"/>
    </row>
    <row r="235">
      <c r="A235" s="781"/>
      <c r="B235" s="782"/>
      <c r="C235" s="783"/>
      <c r="D235" s="815"/>
      <c r="E235" s="856"/>
      <c r="F235" s="857"/>
      <c r="G235" s="857"/>
      <c r="H235" s="857"/>
      <c r="I235" s="857"/>
      <c r="J235" s="783"/>
      <c r="K235" s="788"/>
      <c r="L235" s="789"/>
      <c r="M235" s="789"/>
      <c r="N235" s="789"/>
      <c r="O235" s="789"/>
      <c r="P235" s="789"/>
      <c r="Q235" s="789"/>
      <c r="R235" s="789"/>
    </row>
    <row r="236">
      <c r="A236" s="781"/>
      <c r="B236" s="782"/>
      <c r="C236" s="783"/>
      <c r="D236" s="815"/>
      <c r="E236" s="856"/>
      <c r="F236" s="857"/>
      <c r="G236" s="857"/>
      <c r="H236" s="857"/>
      <c r="I236" s="857"/>
      <c r="J236" s="783"/>
      <c r="K236" s="788"/>
      <c r="L236" s="789"/>
      <c r="M236" s="789"/>
      <c r="N236" s="789"/>
      <c r="O236" s="789"/>
      <c r="P236" s="789"/>
      <c r="Q236" s="789"/>
      <c r="R236" s="789"/>
    </row>
    <row r="237">
      <c r="A237" s="781"/>
      <c r="B237" s="782"/>
      <c r="C237" s="783"/>
      <c r="D237" s="815"/>
      <c r="E237" s="856"/>
      <c r="F237" s="857"/>
      <c r="G237" s="857"/>
      <c r="H237" s="857"/>
      <c r="I237" s="857"/>
      <c r="J237" s="783"/>
      <c r="K237" s="788"/>
      <c r="L237" s="789"/>
      <c r="M237" s="789"/>
      <c r="N237" s="789"/>
      <c r="O237" s="789"/>
      <c r="P237" s="789"/>
      <c r="Q237" s="789"/>
      <c r="R237" s="789"/>
    </row>
    <row r="238">
      <c r="A238" s="781"/>
      <c r="B238" s="782"/>
      <c r="C238" s="783"/>
      <c r="D238" s="815"/>
      <c r="E238" s="856"/>
      <c r="F238" s="857"/>
      <c r="G238" s="857"/>
      <c r="H238" s="857"/>
      <c r="I238" s="857"/>
      <c r="J238" s="783"/>
      <c r="K238" s="788"/>
      <c r="L238" s="789"/>
      <c r="M238" s="789"/>
      <c r="N238" s="789"/>
      <c r="O238" s="789"/>
      <c r="P238" s="789"/>
      <c r="Q238" s="789"/>
      <c r="R238" s="789"/>
    </row>
    <row r="239">
      <c r="A239" s="781"/>
      <c r="B239" s="782"/>
      <c r="C239" s="783"/>
      <c r="D239" s="815"/>
      <c r="E239" s="856"/>
      <c r="F239" s="857"/>
      <c r="G239" s="857"/>
      <c r="H239" s="857"/>
      <c r="I239" s="857"/>
      <c r="J239" s="783"/>
      <c r="K239" s="788"/>
      <c r="L239" s="789"/>
      <c r="M239" s="789"/>
      <c r="N239" s="789"/>
      <c r="O239" s="789"/>
      <c r="P239" s="789"/>
      <c r="Q239" s="789"/>
      <c r="R239" s="789"/>
    </row>
    <row r="240">
      <c r="A240" s="781"/>
      <c r="B240" s="782"/>
      <c r="C240" s="783"/>
      <c r="D240" s="815"/>
      <c r="E240" s="856"/>
      <c r="F240" s="857"/>
      <c r="G240" s="857"/>
      <c r="H240" s="857"/>
      <c r="I240" s="857"/>
      <c r="J240" s="783"/>
      <c r="K240" s="788"/>
      <c r="L240" s="789"/>
      <c r="M240" s="789"/>
      <c r="N240" s="789"/>
      <c r="O240" s="789"/>
      <c r="P240" s="789"/>
      <c r="Q240" s="789"/>
      <c r="R240" s="789"/>
    </row>
    <row r="241">
      <c r="A241" s="781"/>
      <c r="B241" s="782"/>
      <c r="C241" s="783"/>
      <c r="D241" s="815"/>
      <c r="E241" s="856"/>
      <c r="F241" s="857"/>
      <c r="G241" s="857"/>
      <c r="H241" s="857"/>
      <c r="I241" s="857"/>
      <c r="J241" s="783"/>
      <c r="K241" s="788"/>
      <c r="L241" s="789"/>
      <c r="M241" s="789"/>
      <c r="N241" s="789"/>
      <c r="O241" s="789"/>
      <c r="P241" s="789"/>
      <c r="Q241" s="789"/>
      <c r="R241" s="789"/>
    </row>
    <row r="242">
      <c r="A242" s="781"/>
      <c r="B242" s="782"/>
      <c r="C242" s="783"/>
      <c r="D242" s="815"/>
      <c r="E242" s="856"/>
      <c r="F242" s="857"/>
      <c r="G242" s="857"/>
      <c r="H242" s="857"/>
      <c r="I242" s="857"/>
      <c r="J242" s="783"/>
      <c r="K242" s="788"/>
      <c r="L242" s="789"/>
      <c r="M242" s="789"/>
      <c r="N242" s="789"/>
      <c r="O242" s="789"/>
      <c r="P242" s="789"/>
      <c r="Q242" s="789"/>
      <c r="R242" s="789"/>
    </row>
    <row r="243">
      <c r="A243" s="781"/>
      <c r="B243" s="782"/>
      <c r="C243" s="783"/>
      <c r="D243" s="815"/>
      <c r="E243" s="856"/>
      <c r="F243" s="857"/>
      <c r="G243" s="857"/>
      <c r="H243" s="857"/>
      <c r="I243" s="857"/>
      <c r="J243" s="783"/>
      <c r="K243" s="788"/>
      <c r="L243" s="789"/>
      <c r="M243" s="789"/>
      <c r="N243" s="789"/>
      <c r="O243" s="789"/>
      <c r="P243" s="789"/>
      <c r="Q243" s="789"/>
      <c r="R243" s="789"/>
    </row>
    <row r="244">
      <c r="A244" s="781"/>
      <c r="B244" s="782"/>
      <c r="C244" s="783"/>
      <c r="D244" s="815"/>
      <c r="E244" s="856"/>
      <c r="F244" s="857"/>
      <c r="G244" s="857"/>
      <c r="H244" s="857"/>
      <c r="I244" s="857"/>
      <c r="J244" s="783"/>
      <c r="K244" s="788"/>
      <c r="L244" s="789"/>
      <c r="M244" s="789"/>
      <c r="N244" s="789"/>
      <c r="O244" s="789"/>
      <c r="P244" s="789"/>
      <c r="Q244" s="789"/>
      <c r="R244" s="789"/>
    </row>
    <row r="245">
      <c r="A245" s="781"/>
      <c r="B245" s="782"/>
      <c r="C245" s="783"/>
      <c r="D245" s="815"/>
      <c r="E245" s="856"/>
      <c r="F245" s="857"/>
      <c r="G245" s="857"/>
      <c r="H245" s="857"/>
      <c r="I245" s="857"/>
      <c r="J245" s="783"/>
      <c r="K245" s="788"/>
      <c r="L245" s="789"/>
      <c r="M245" s="789"/>
      <c r="N245" s="789"/>
      <c r="O245" s="789"/>
      <c r="P245" s="789"/>
      <c r="Q245" s="789"/>
      <c r="R245" s="789"/>
    </row>
    <row r="246">
      <c r="A246" s="781"/>
      <c r="B246" s="782"/>
      <c r="C246" s="783"/>
      <c r="D246" s="815"/>
      <c r="E246" s="856"/>
      <c r="F246" s="857"/>
      <c r="G246" s="857"/>
      <c r="H246" s="857"/>
      <c r="I246" s="857"/>
      <c r="J246" s="783"/>
      <c r="K246" s="788"/>
      <c r="L246" s="789"/>
      <c r="M246" s="789"/>
      <c r="N246" s="789"/>
      <c r="O246" s="789"/>
      <c r="P246" s="789"/>
      <c r="Q246" s="789"/>
      <c r="R246" s="789"/>
    </row>
    <row r="247">
      <c r="A247" s="781"/>
      <c r="B247" s="782"/>
      <c r="C247" s="783"/>
      <c r="D247" s="815"/>
      <c r="E247" s="856"/>
      <c r="F247" s="857"/>
      <c r="G247" s="857"/>
      <c r="H247" s="857"/>
      <c r="I247" s="857"/>
      <c r="J247" s="783"/>
      <c r="K247" s="788"/>
      <c r="L247" s="789"/>
      <c r="M247" s="789"/>
      <c r="N247" s="789"/>
      <c r="O247" s="789"/>
      <c r="P247" s="789"/>
      <c r="Q247" s="789"/>
      <c r="R247" s="789"/>
    </row>
    <row r="248">
      <c r="A248" s="781"/>
      <c r="B248" s="782"/>
      <c r="C248" s="783"/>
      <c r="D248" s="815"/>
      <c r="E248" s="856"/>
      <c r="F248" s="857"/>
      <c r="G248" s="857"/>
      <c r="H248" s="857"/>
      <c r="I248" s="857"/>
      <c r="J248" s="783"/>
      <c r="K248" s="788"/>
      <c r="L248" s="789"/>
      <c r="M248" s="789"/>
      <c r="N248" s="789"/>
      <c r="O248" s="789"/>
      <c r="P248" s="789"/>
      <c r="Q248" s="789"/>
      <c r="R248" s="789"/>
    </row>
    <row r="249">
      <c r="A249" s="781"/>
      <c r="B249" s="782"/>
      <c r="C249" s="783"/>
      <c r="D249" s="815"/>
      <c r="E249" s="856"/>
      <c r="F249" s="857"/>
      <c r="G249" s="857"/>
      <c r="H249" s="857"/>
      <c r="I249" s="857"/>
      <c r="J249" s="783"/>
      <c r="K249" s="788"/>
      <c r="L249" s="789"/>
      <c r="M249" s="789"/>
      <c r="N249" s="789"/>
      <c r="O249" s="789"/>
      <c r="P249" s="789"/>
      <c r="Q249" s="789"/>
      <c r="R249" s="789"/>
    </row>
    <row r="250">
      <c r="A250" s="781"/>
      <c r="B250" s="782"/>
      <c r="C250" s="783"/>
      <c r="D250" s="815"/>
      <c r="E250" s="856"/>
      <c r="F250" s="857"/>
      <c r="G250" s="857"/>
      <c r="H250" s="857"/>
      <c r="I250" s="857"/>
      <c r="J250" s="783"/>
      <c r="K250" s="788"/>
      <c r="L250" s="789"/>
      <c r="M250" s="789"/>
      <c r="N250" s="789"/>
      <c r="O250" s="789"/>
      <c r="P250" s="789"/>
      <c r="Q250" s="789"/>
      <c r="R250" s="789"/>
    </row>
    <row r="251">
      <c r="A251" s="781"/>
      <c r="B251" s="782"/>
      <c r="C251" s="783"/>
      <c r="D251" s="815"/>
      <c r="E251" s="856"/>
      <c r="F251" s="857"/>
      <c r="G251" s="857"/>
      <c r="H251" s="857"/>
      <c r="I251" s="857"/>
      <c r="J251" s="783"/>
      <c r="K251" s="788"/>
      <c r="L251" s="789"/>
      <c r="M251" s="789"/>
      <c r="N251" s="789"/>
      <c r="O251" s="789"/>
      <c r="P251" s="789"/>
      <c r="Q251" s="789"/>
      <c r="R251" s="789"/>
    </row>
    <row r="252">
      <c r="A252" s="781"/>
      <c r="B252" s="782"/>
      <c r="C252" s="783"/>
      <c r="D252" s="815"/>
      <c r="E252" s="856"/>
      <c r="F252" s="857"/>
      <c r="G252" s="857"/>
      <c r="H252" s="857"/>
      <c r="I252" s="857"/>
      <c r="J252" s="783"/>
      <c r="K252" s="788"/>
      <c r="L252" s="789"/>
      <c r="M252" s="789"/>
      <c r="N252" s="789"/>
      <c r="O252" s="789"/>
      <c r="P252" s="789"/>
      <c r="Q252" s="789"/>
      <c r="R252" s="789"/>
    </row>
    <row r="253">
      <c r="A253" s="781"/>
      <c r="B253" s="782"/>
      <c r="C253" s="783"/>
      <c r="D253" s="815"/>
      <c r="E253" s="856"/>
      <c r="F253" s="857"/>
      <c r="G253" s="857"/>
      <c r="H253" s="857"/>
      <c r="I253" s="857"/>
      <c r="J253" s="783"/>
      <c r="K253" s="788"/>
      <c r="L253" s="789"/>
      <c r="M253" s="789"/>
      <c r="N253" s="789"/>
      <c r="O253" s="789"/>
      <c r="P253" s="789"/>
      <c r="Q253" s="789"/>
      <c r="R253" s="789"/>
    </row>
    <row r="254">
      <c r="A254" s="781"/>
      <c r="B254" s="782"/>
      <c r="C254" s="783"/>
      <c r="D254" s="815"/>
      <c r="E254" s="856"/>
      <c r="F254" s="857"/>
      <c r="G254" s="857"/>
      <c r="H254" s="857"/>
      <c r="I254" s="857"/>
      <c r="J254" s="783"/>
      <c r="K254" s="788"/>
      <c r="L254" s="789"/>
      <c r="M254" s="789"/>
      <c r="N254" s="789"/>
      <c r="O254" s="789"/>
      <c r="P254" s="789"/>
      <c r="Q254" s="789"/>
      <c r="R254" s="789"/>
    </row>
    <row r="255">
      <c r="A255" s="781"/>
      <c r="B255" s="782"/>
      <c r="C255" s="783"/>
      <c r="D255" s="815"/>
      <c r="E255" s="856"/>
      <c r="F255" s="857"/>
      <c r="G255" s="857"/>
      <c r="H255" s="857"/>
      <c r="I255" s="857"/>
      <c r="J255" s="783"/>
      <c r="K255" s="788"/>
      <c r="L255" s="789"/>
      <c r="M255" s="789"/>
      <c r="N255" s="789"/>
      <c r="O255" s="789"/>
      <c r="P255" s="789"/>
      <c r="Q255" s="789"/>
      <c r="R255" s="789"/>
    </row>
    <row r="256">
      <c r="A256" s="781"/>
      <c r="B256" s="782"/>
      <c r="C256" s="783"/>
      <c r="D256" s="815"/>
      <c r="E256" s="856"/>
      <c r="F256" s="857"/>
      <c r="G256" s="857"/>
      <c r="H256" s="857"/>
      <c r="I256" s="857"/>
      <c r="J256" s="783"/>
      <c r="K256" s="788"/>
      <c r="L256" s="789"/>
      <c r="M256" s="789"/>
      <c r="N256" s="789"/>
      <c r="O256" s="789"/>
      <c r="P256" s="789"/>
      <c r="Q256" s="789"/>
      <c r="R256" s="789"/>
    </row>
    <row r="257">
      <c r="A257" s="781"/>
      <c r="B257" s="782"/>
      <c r="C257" s="783"/>
      <c r="D257" s="815"/>
      <c r="E257" s="856"/>
      <c r="F257" s="857"/>
      <c r="G257" s="857"/>
      <c r="H257" s="857"/>
      <c r="I257" s="857"/>
      <c r="J257" s="783"/>
      <c r="K257" s="788"/>
      <c r="L257" s="789"/>
      <c r="M257" s="789"/>
      <c r="N257" s="789"/>
      <c r="O257" s="789"/>
      <c r="P257" s="789"/>
      <c r="Q257" s="789"/>
      <c r="R257" s="789"/>
    </row>
    <row r="258">
      <c r="A258" s="781"/>
      <c r="B258" s="782"/>
      <c r="C258" s="783"/>
      <c r="D258" s="815"/>
      <c r="E258" s="856"/>
      <c r="F258" s="857"/>
      <c r="G258" s="857"/>
      <c r="H258" s="857"/>
      <c r="I258" s="857"/>
      <c r="J258" s="783"/>
      <c r="K258" s="788"/>
      <c r="L258" s="789"/>
      <c r="M258" s="789"/>
      <c r="N258" s="789"/>
      <c r="O258" s="789"/>
      <c r="P258" s="789"/>
      <c r="Q258" s="789"/>
      <c r="R258" s="789"/>
    </row>
    <row r="259">
      <c r="A259" s="781"/>
      <c r="B259" s="782"/>
      <c r="C259" s="783"/>
      <c r="D259" s="815"/>
      <c r="E259" s="856"/>
      <c r="F259" s="857"/>
      <c r="G259" s="857"/>
      <c r="H259" s="857"/>
      <c r="I259" s="857"/>
      <c r="J259" s="783"/>
      <c r="K259" s="788"/>
      <c r="L259" s="789"/>
      <c r="M259" s="789"/>
      <c r="N259" s="789"/>
      <c r="O259" s="789"/>
      <c r="P259" s="789"/>
      <c r="Q259" s="789"/>
      <c r="R259" s="789"/>
    </row>
    <row r="260">
      <c r="A260" s="781"/>
      <c r="B260" s="782"/>
      <c r="C260" s="783"/>
      <c r="D260" s="815"/>
      <c r="E260" s="856"/>
      <c r="F260" s="857"/>
      <c r="G260" s="857"/>
      <c r="H260" s="857"/>
      <c r="I260" s="857"/>
      <c r="J260" s="783"/>
      <c r="K260" s="788"/>
      <c r="L260" s="789"/>
      <c r="M260" s="789"/>
      <c r="N260" s="789"/>
      <c r="O260" s="789"/>
      <c r="P260" s="789"/>
      <c r="Q260" s="789"/>
      <c r="R260" s="789"/>
    </row>
    <row r="261">
      <c r="A261" s="781"/>
      <c r="B261" s="782"/>
      <c r="C261" s="783"/>
      <c r="D261" s="815"/>
      <c r="E261" s="856"/>
      <c r="F261" s="857"/>
      <c r="G261" s="857"/>
      <c r="H261" s="857"/>
      <c r="I261" s="857"/>
      <c r="J261" s="783"/>
      <c r="K261" s="788"/>
      <c r="L261" s="789"/>
      <c r="M261" s="789"/>
      <c r="N261" s="789"/>
      <c r="O261" s="789"/>
      <c r="P261" s="789"/>
      <c r="Q261" s="789"/>
      <c r="R261" s="789"/>
    </row>
    <row r="262">
      <c r="A262" s="781"/>
      <c r="B262" s="782"/>
      <c r="C262" s="783"/>
      <c r="D262" s="815"/>
      <c r="E262" s="856"/>
      <c r="F262" s="857"/>
      <c r="G262" s="857"/>
      <c r="H262" s="857"/>
      <c r="I262" s="857"/>
      <c r="J262" s="783"/>
      <c r="K262" s="788"/>
      <c r="L262" s="789"/>
      <c r="M262" s="789"/>
      <c r="N262" s="789"/>
      <c r="O262" s="789"/>
      <c r="P262" s="789"/>
      <c r="Q262" s="789"/>
      <c r="R262" s="789"/>
    </row>
    <row r="263">
      <c r="A263" s="781"/>
      <c r="B263" s="782"/>
      <c r="C263" s="783"/>
      <c r="D263" s="815"/>
      <c r="E263" s="856"/>
      <c r="F263" s="857"/>
      <c r="G263" s="857"/>
      <c r="H263" s="857"/>
      <c r="I263" s="857"/>
      <c r="J263" s="783"/>
      <c r="K263" s="788"/>
      <c r="L263" s="789"/>
      <c r="M263" s="789"/>
      <c r="N263" s="789"/>
      <c r="O263" s="789"/>
      <c r="P263" s="789"/>
      <c r="Q263" s="789"/>
      <c r="R263" s="789"/>
    </row>
    <row r="264">
      <c r="A264" s="781"/>
      <c r="B264" s="782"/>
      <c r="C264" s="783"/>
      <c r="D264" s="815"/>
      <c r="E264" s="856"/>
      <c r="F264" s="857"/>
      <c r="G264" s="857"/>
      <c r="H264" s="857"/>
      <c r="I264" s="857"/>
      <c r="J264" s="783"/>
      <c r="K264" s="788"/>
      <c r="L264" s="789"/>
      <c r="M264" s="789"/>
      <c r="N264" s="789"/>
      <c r="O264" s="789"/>
      <c r="P264" s="789"/>
      <c r="Q264" s="789"/>
      <c r="R264" s="789"/>
    </row>
    <row r="265">
      <c r="A265" s="781"/>
      <c r="B265" s="782"/>
      <c r="C265" s="783"/>
      <c r="D265" s="815"/>
      <c r="E265" s="856"/>
      <c r="F265" s="857"/>
      <c r="G265" s="857"/>
      <c r="H265" s="857"/>
      <c r="I265" s="857"/>
      <c r="J265" s="783"/>
      <c r="K265" s="788"/>
      <c r="L265" s="789"/>
      <c r="M265" s="789"/>
      <c r="N265" s="789"/>
      <c r="O265" s="789"/>
      <c r="P265" s="789"/>
      <c r="Q265" s="789"/>
      <c r="R265" s="789"/>
    </row>
    <row r="266">
      <c r="A266" s="781"/>
      <c r="B266" s="782"/>
      <c r="C266" s="783"/>
      <c r="D266" s="815"/>
      <c r="E266" s="856"/>
      <c r="F266" s="857"/>
      <c r="G266" s="857"/>
      <c r="H266" s="857"/>
      <c r="I266" s="857"/>
      <c r="J266" s="783"/>
      <c r="K266" s="788"/>
      <c r="L266" s="789"/>
      <c r="M266" s="789"/>
      <c r="N266" s="789"/>
      <c r="O266" s="789"/>
      <c r="P266" s="789"/>
      <c r="Q266" s="789"/>
      <c r="R266" s="789"/>
    </row>
    <row r="267">
      <c r="A267" s="781"/>
      <c r="B267" s="782"/>
      <c r="C267" s="783"/>
      <c r="D267" s="815"/>
      <c r="E267" s="856"/>
      <c r="F267" s="857"/>
      <c r="G267" s="857"/>
      <c r="H267" s="857"/>
      <c r="I267" s="857"/>
      <c r="J267" s="783"/>
      <c r="K267" s="788"/>
      <c r="L267" s="789"/>
      <c r="M267" s="789"/>
      <c r="N267" s="789"/>
      <c r="O267" s="789"/>
      <c r="P267" s="789"/>
      <c r="Q267" s="789"/>
      <c r="R267" s="789"/>
    </row>
    <row r="268">
      <c r="A268" s="781"/>
      <c r="B268" s="782"/>
      <c r="C268" s="783"/>
      <c r="D268" s="815"/>
      <c r="E268" s="856"/>
      <c r="F268" s="857"/>
      <c r="G268" s="857"/>
      <c r="H268" s="857"/>
      <c r="I268" s="857"/>
      <c r="J268" s="783"/>
      <c r="K268" s="788"/>
      <c r="L268" s="789"/>
      <c r="M268" s="789"/>
      <c r="N268" s="789"/>
      <c r="O268" s="789"/>
      <c r="P268" s="789"/>
      <c r="Q268" s="789"/>
      <c r="R268" s="789"/>
    </row>
    <row r="269">
      <c r="A269" s="781"/>
      <c r="B269" s="782"/>
      <c r="C269" s="783"/>
      <c r="D269" s="815"/>
      <c r="E269" s="856"/>
      <c r="F269" s="857"/>
      <c r="G269" s="857"/>
      <c r="H269" s="857"/>
      <c r="I269" s="857"/>
      <c r="J269" s="783"/>
      <c r="K269" s="788"/>
      <c r="L269" s="789"/>
      <c r="M269" s="789"/>
      <c r="N269" s="789"/>
      <c r="O269" s="789"/>
      <c r="P269" s="789"/>
      <c r="Q269" s="789"/>
      <c r="R269" s="789"/>
    </row>
    <row r="270">
      <c r="A270" s="781"/>
      <c r="B270" s="782"/>
      <c r="C270" s="783"/>
      <c r="D270" s="815"/>
      <c r="E270" s="856"/>
      <c r="F270" s="857"/>
      <c r="G270" s="857"/>
      <c r="H270" s="857"/>
      <c r="I270" s="857"/>
      <c r="J270" s="783"/>
      <c r="K270" s="788"/>
      <c r="L270" s="789"/>
      <c r="M270" s="789"/>
      <c r="N270" s="789"/>
      <c r="O270" s="789"/>
      <c r="P270" s="789"/>
      <c r="Q270" s="789"/>
      <c r="R270" s="789"/>
    </row>
    <row r="271">
      <c r="A271" s="781"/>
      <c r="B271" s="782"/>
      <c r="C271" s="783"/>
      <c r="D271" s="815"/>
      <c r="E271" s="856"/>
      <c r="F271" s="857"/>
      <c r="G271" s="857"/>
      <c r="H271" s="857"/>
      <c r="I271" s="857"/>
      <c r="J271" s="783"/>
      <c r="K271" s="788"/>
      <c r="L271" s="789"/>
      <c r="M271" s="789"/>
      <c r="N271" s="789"/>
      <c r="O271" s="789"/>
      <c r="P271" s="789"/>
      <c r="Q271" s="789"/>
      <c r="R271" s="789"/>
    </row>
    <row r="272">
      <c r="A272" s="446"/>
      <c r="B272" s="446"/>
      <c r="C272" s="446"/>
      <c r="D272" s="859"/>
      <c r="E272" s="446"/>
      <c r="F272" s="446"/>
      <c r="G272" s="446"/>
      <c r="H272" s="446"/>
      <c r="I272" s="446"/>
      <c r="J272" s="446"/>
      <c r="K272" s="860"/>
      <c r="L272" s="446"/>
      <c r="M272" s="446"/>
      <c r="N272" s="446"/>
      <c r="O272" s="446"/>
      <c r="P272" s="446"/>
      <c r="Q272" s="446"/>
      <c r="R272" s="446"/>
    </row>
    <row r="273">
      <c r="A273" s="446"/>
      <c r="B273" s="446"/>
      <c r="C273" s="446"/>
      <c r="D273" s="859"/>
      <c r="E273" s="446"/>
      <c r="F273" s="446"/>
      <c r="G273" s="446"/>
      <c r="H273" s="446"/>
      <c r="I273" s="446"/>
      <c r="J273" s="446"/>
      <c r="K273" s="860"/>
      <c r="L273" s="446"/>
      <c r="M273" s="446"/>
      <c r="N273" s="446"/>
      <c r="O273" s="446"/>
      <c r="P273" s="446"/>
      <c r="Q273" s="446"/>
      <c r="R273" s="446"/>
    </row>
    <row r="274">
      <c r="A274" s="446"/>
      <c r="B274" s="446"/>
      <c r="C274" s="446"/>
      <c r="D274" s="859"/>
      <c r="E274" s="446"/>
      <c r="F274" s="446"/>
      <c r="G274" s="446"/>
      <c r="H274" s="446"/>
      <c r="I274" s="446"/>
      <c r="J274" s="446"/>
      <c r="K274" s="860"/>
      <c r="L274" s="446"/>
      <c r="M274" s="446"/>
      <c r="N274" s="446"/>
      <c r="O274" s="446"/>
      <c r="P274" s="446"/>
      <c r="Q274" s="446"/>
      <c r="R274" s="446"/>
    </row>
    <row r="275">
      <c r="A275" s="446"/>
      <c r="B275" s="446"/>
      <c r="C275" s="446"/>
      <c r="D275" s="859"/>
      <c r="E275" s="446"/>
      <c r="F275" s="446"/>
      <c r="G275" s="446"/>
      <c r="H275" s="446"/>
      <c r="I275" s="446"/>
      <c r="J275" s="446"/>
      <c r="K275" s="860"/>
      <c r="L275" s="446"/>
      <c r="M275" s="446"/>
      <c r="N275" s="446"/>
      <c r="O275" s="446"/>
      <c r="P275" s="446"/>
      <c r="Q275" s="446"/>
      <c r="R275" s="446"/>
    </row>
    <row r="276">
      <c r="A276" s="446"/>
      <c r="B276" s="446"/>
      <c r="C276" s="446"/>
      <c r="D276" s="859"/>
      <c r="E276" s="446"/>
      <c r="F276" s="446"/>
      <c r="G276" s="446"/>
      <c r="H276" s="446"/>
      <c r="I276" s="446"/>
      <c r="J276" s="446"/>
      <c r="K276" s="860"/>
      <c r="L276" s="446"/>
      <c r="M276" s="446"/>
      <c r="N276" s="446"/>
      <c r="O276" s="446"/>
      <c r="P276" s="446"/>
      <c r="Q276" s="446"/>
      <c r="R276" s="446"/>
    </row>
    <row r="277">
      <c r="A277" s="446"/>
      <c r="B277" s="446"/>
      <c r="C277" s="446"/>
      <c r="D277" s="859"/>
      <c r="E277" s="446"/>
      <c r="F277" s="446"/>
      <c r="G277" s="446"/>
      <c r="H277" s="446"/>
      <c r="I277" s="446"/>
      <c r="J277" s="446"/>
      <c r="K277" s="860"/>
      <c r="L277" s="446"/>
      <c r="M277" s="446"/>
      <c r="N277" s="446"/>
      <c r="O277" s="446"/>
      <c r="P277" s="446"/>
      <c r="Q277" s="446"/>
      <c r="R277" s="446"/>
    </row>
    <row r="278">
      <c r="A278" s="446"/>
      <c r="B278" s="446"/>
      <c r="C278" s="446"/>
      <c r="D278" s="859"/>
      <c r="E278" s="446"/>
      <c r="F278" s="446"/>
      <c r="G278" s="446"/>
      <c r="H278" s="446"/>
      <c r="I278" s="446"/>
      <c r="J278" s="446"/>
      <c r="K278" s="860"/>
      <c r="L278" s="446"/>
      <c r="M278" s="446"/>
      <c r="N278" s="446"/>
      <c r="O278" s="446"/>
      <c r="P278" s="446"/>
      <c r="Q278" s="446"/>
      <c r="R278" s="446"/>
    </row>
    <row r="279">
      <c r="A279" s="446"/>
      <c r="B279" s="446"/>
      <c r="C279" s="446"/>
      <c r="D279" s="859"/>
      <c r="E279" s="446"/>
      <c r="F279" s="446"/>
      <c r="G279" s="446"/>
      <c r="H279" s="446"/>
      <c r="I279" s="446"/>
      <c r="J279" s="446"/>
      <c r="K279" s="860"/>
      <c r="L279" s="446"/>
      <c r="M279" s="446"/>
      <c r="N279" s="446"/>
      <c r="O279" s="446"/>
      <c r="P279" s="446"/>
      <c r="Q279" s="446"/>
      <c r="R279" s="446"/>
    </row>
    <row r="280">
      <c r="A280" s="446"/>
      <c r="B280" s="446"/>
      <c r="C280" s="446"/>
      <c r="D280" s="859"/>
      <c r="E280" s="446"/>
      <c r="F280" s="446"/>
      <c r="G280" s="446"/>
      <c r="H280" s="446"/>
      <c r="I280" s="446"/>
      <c r="J280" s="446"/>
      <c r="K280" s="860"/>
      <c r="L280" s="446"/>
      <c r="M280" s="446"/>
      <c r="N280" s="446"/>
      <c r="O280" s="446"/>
      <c r="P280" s="446"/>
      <c r="Q280" s="446"/>
      <c r="R280" s="446"/>
    </row>
    <row r="281">
      <c r="A281" s="446"/>
      <c r="B281" s="446"/>
      <c r="C281" s="446"/>
      <c r="D281" s="859"/>
      <c r="E281" s="446"/>
      <c r="F281" s="446"/>
      <c r="G281" s="446"/>
      <c r="H281" s="446"/>
      <c r="I281" s="446"/>
      <c r="J281" s="446"/>
      <c r="K281" s="860"/>
      <c r="L281" s="446"/>
      <c r="M281" s="446"/>
      <c r="N281" s="446"/>
      <c r="O281" s="446"/>
      <c r="P281" s="446"/>
      <c r="Q281" s="446"/>
      <c r="R281" s="446"/>
    </row>
    <row r="282">
      <c r="A282" s="446"/>
      <c r="B282" s="446"/>
      <c r="C282" s="446"/>
      <c r="D282" s="859"/>
      <c r="E282" s="446"/>
      <c r="F282" s="446"/>
      <c r="G282" s="446"/>
      <c r="H282" s="446"/>
      <c r="I282" s="446"/>
      <c r="J282" s="446"/>
      <c r="K282" s="860"/>
      <c r="L282" s="446"/>
      <c r="M282" s="446"/>
      <c r="N282" s="446"/>
      <c r="O282" s="446"/>
      <c r="P282" s="446"/>
      <c r="Q282" s="446"/>
      <c r="R282" s="446"/>
    </row>
    <row r="283">
      <c r="A283" s="446"/>
      <c r="B283" s="446"/>
      <c r="C283" s="446"/>
      <c r="D283" s="859"/>
      <c r="E283" s="446"/>
      <c r="F283" s="446"/>
      <c r="G283" s="446"/>
      <c r="H283" s="446"/>
      <c r="I283" s="446"/>
      <c r="J283" s="446"/>
      <c r="K283" s="860"/>
      <c r="L283" s="446"/>
      <c r="M283" s="446"/>
      <c r="N283" s="446"/>
      <c r="O283" s="446"/>
      <c r="P283" s="446"/>
      <c r="Q283" s="446"/>
      <c r="R283" s="446"/>
    </row>
    <row r="284">
      <c r="A284" s="446"/>
      <c r="B284" s="446"/>
      <c r="C284" s="446"/>
      <c r="D284" s="859"/>
      <c r="E284" s="446"/>
      <c r="F284" s="446"/>
      <c r="G284" s="446"/>
      <c r="H284" s="446"/>
      <c r="I284" s="446"/>
      <c r="J284" s="446"/>
      <c r="K284" s="860"/>
      <c r="L284" s="446"/>
      <c r="M284" s="446"/>
      <c r="N284" s="446"/>
      <c r="O284" s="446"/>
      <c r="P284" s="446"/>
      <c r="Q284" s="446"/>
      <c r="R284" s="446"/>
    </row>
    <row r="285">
      <c r="A285" s="446"/>
      <c r="B285" s="446"/>
      <c r="C285" s="446"/>
      <c r="D285" s="859"/>
      <c r="E285" s="446"/>
      <c r="F285" s="446"/>
      <c r="G285" s="446"/>
      <c r="H285" s="446"/>
      <c r="I285" s="446"/>
      <c r="J285" s="446"/>
      <c r="K285" s="860"/>
      <c r="L285" s="446"/>
      <c r="M285" s="446"/>
      <c r="N285" s="446"/>
      <c r="O285" s="446"/>
      <c r="P285" s="446"/>
      <c r="Q285" s="446"/>
      <c r="R285" s="446"/>
    </row>
    <row r="286">
      <c r="A286" s="446"/>
      <c r="B286" s="446"/>
      <c r="C286" s="446"/>
      <c r="D286" s="859"/>
      <c r="E286" s="446"/>
      <c r="F286" s="446"/>
      <c r="G286" s="446"/>
      <c r="H286" s="446"/>
      <c r="I286" s="446"/>
      <c r="J286" s="446"/>
      <c r="K286" s="860"/>
      <c r="L286" s="446"/>
      <c r="M286" s="446"/>
      <c r="N286" s="446"/>
      <c r="O286" s="446"/>
      <c r="P286" s="446"/>
      <c r="Q286" s="446"/>
      <c r="R286" s="446"/>
    </row>
    <row r="287">
      <c r="A287" s="446"/>
      <c r="B287" s="446"/>
      <c r="C287" s="446"/>
      <c r="D287" s="859"/>
      <c r="E287" s="446"/>
      <c r="F287" s="446"/>
      <c r="G287" s="446"/>
      <c r="H287" s="446"/>
      <c r="I287" s="446"/>
      <c r="J287" s="446"/>
      <c r="K287" s="860"/>
      <c r="L287" s="446"/>
      <c r="M287" s="446"/>
      <c r="N287" s="446"/>
      <c r="O287" s="446"/>
      <c r="P287" s="446"/>
      <c r="Q287" s="446"/>
      <c r="R287" s="446"/>
    </row>
    <row r="288">
      <c r="A288" s="446"/>
      <c r="B288" s="446"/>
      <c r="C288" s="446"/>
      <c r="D288" s="859"/>
      <c r="E288" s="446"/>
      <c r="F288" s="446"/>
      <c r="G288" s="446"/>
      <c r="H288" s="446"/>
      <c r="I288" s="446"/>
      <c r="J288" s="446"/>
      <c r="K288" s="860"/>
      <c r="L288" s="446"/>
      <c r="M288" s="446"/>
      <c r="N288" s="446"/>
      <c r="O288" s="446"/>
      <c r="P288" s="446"/>
      <c r="Q288" s="446"/>
      <c r="R288" s="446"/>
    </row>
    <row r="289">
      <c r="A289" s="446"/>
      <c r="B289" s="446"/>
      <c r="C289" s="446"/>
      <c r="D289" s="859"/>
      <c r="E289" s="446"/>
      <c r="F289" s="446"/>
      <c r="G289" s="446"/>
      <c r="H289" s="446"/>
      <c r="I289" s="446"/>
      <c r="J289" s="446"/>
      <c r="K289" s="860"/>
      <c r="L289" s="446"/>
      <c r="M289" s="446"/>
      <c r="N289" s="446"/>
      <c r="O289" s="446"/>
      <c r="P289" s="446"/>
      <c r="Q289" s="446"/>
      <c r="R289" s="446"/>
    </row>
    <row r="290">
      <c r="A290" s="446"/>
      <c r="B290" s="446"/>
      <c r="C290" s="446"/>
      <c r="D290" s="859"/>
      <c r="E290" s="446"/>
      <c r="F290" s="446"/>
      <c r="G290" s="446"/>
      <c r="H290" s="446"/>
      <c r="I290" s="446"/>
      <c r="J290" s="446"/>
      <c r="K290" s="860"/>
      <c r="L290" s="446"/>
      <c r="M290" s="446"/>
      <c r="N290" s="446"/>
      <c r="O290" s="446"/>
      <c r="P290" s="446"/>
      <c r="Q290" s="446"/>
      <c r="R290" s="446"/>
    </row>
    <row r="291">
      <c r="A291" s="446"/>
      <c r="B291" s="446"/>
      <c r="C291" s="446"/>
      <c r="D291" s="859"/>
      <c r="E291" s="446"/>
      <c r="F291" s="446"/>
      <c r="G291" s="446"/>
      <c r="H291" s="446"/>
      <c r="I291" s="446"/>
      <c r="J291" s="446"/>
      <c r="K291" s="860"/>
      <c r="L291" s="446"/>
      <c r="M291" s="446"/>
      <c r="N291" s="446"/>
      <c r="O291" s="446"/>
      <c r="P291" s="446"/>
      <c r="Q291" s="446"/>
      <c r="R291" s="446"/>
    </row>
    <row r="292">
      <c r="A292" s="446"/>
      <c r="B292" s="446"/>
      <c r="C292" s="446"/>
      <c r="D292" s="859"/>
      <c r="E292" s="446"/>
      <c r="F292" s="446"/>
      <c r="G292" s="446"/>
      <c r="H292" s="446"/>
      <c r="I292" s="446"/>
      <c r="J292" s="446"/>
      <c r="K292" s="860"/>
      <c r="L292" s="446"/>
      <c r="M292" s="446"/>
      <c r="N292" s="446"/>
      <c r="O292" s="446"/>
      <c r="P292" s="446"/>
      <c r="Q292" s="446"/>
      <c r="R292" s="446"/>
    </row>
    <row r="293">
      <c r="A293" s="446"/>
      <c r="B293" s="446"/>
      <c r="C293" s="446"/>
      <c r="D293" s="859"/>
      <c r="E293" s="446"/>
      <c r="F293" s="446"/>
      <c r="G293" s="446"/>
      <c r="H293" s="446"/>
      <c r="I293" s="446"/>
      <c r="J293" s="446"/>
      <c r="K293" s="860"/>
      <c r="L293" s="446"/>
      <c r="M293" s="446"/>
      <c r="N293" s="446"/>
      <c r="O293" s="446"/>
      <c r="P293" s="446"/>
      <c r="Q293" s="446"/>
      <c r="R293" s="446"/>
    </row>
    <row r="294">
      <c r="A294" s="446"/>
      <c r="B294" s="446"/>
      <c r="C294" s="446"/>
      <c r="D294" s="859"/>
      <c r="E294" s="446"/>
      <c r="F294" s="446"/>
      <c r="G294" s="446"/>
      <c r="H294" s="446"/>
      <c r="I294" s="446"/>
      <c r="J294" s="446"/>
      <c r="K294" s="860"/>
      <c r="L294" s="446"/>
      <c r="M294" s="446"/>
      <c r="N294" s="446"/>
      <c r="O294" s="446"/>
      <c r="P294" s="446"/>
      <c r="Q294" s="446"/>
      <c r="R294" s="446"/>
    </row>
    <row r="295">
      <c r="A295" s="446"/>
      <c r="B295" s="446"/>
      <c r="C295" s="446"/>
      <c r="D295" s="859"/>
      <c r="E295" s="446"/>
      <c r="F295" s="446"/>
      <c r="G295" s="446"/>
      <c r="H295" s="446"/>
      <c r="I295" s="446"/>
      <c r="J295" s="446"/>
      <c r="K295" s="860"/>
      <c r="L295" s="446"/>
      <c r="M295" s="446"/>
      <c r="N295" s="446"/>
      <c r="O295" s="446"/>
      <c r="P295" s="446"/>
      <c r="Q295" s="446"/>
      <c r="R295" s="446"/>
    </row>
    <row r="296">
      <c r="A296" s="446"/>
      <c r="B296" s="446"/>
      <c r="C296" s="446"/>
      <c r="D296" s="859"/>
      <c r="E296" s="446"/>
      <c r="F296" s="446"/>
      <c r="G296" s="446"/>
      <c r="H296" s="446"/>
      <c r="I296" s="446"/>
      <c r="J296" s="446"/>
      <c r="K296" s="860"/>
      <c r="L296" s="446"/>
      <c r="M296" s="446"/>
      <c r="N296" s="446"/>
      <c r="O296" s="446"/>
      <c r="P296" s="446"/>
      <c r="Q296" s="446"/>
      <c r="R296" s="446"/>
    </row>
    <row r="297">
      <c r="A297" s="446"/>
      <c r="B297" s="446"/>
      <c r="C297" s="446"/>
      <c r="D297" s="859"/>
      <c r="E297" s="446"/>
      <c r="F297" s="446"/>
      <c r="G297" s="446"/>
      <c r="H297" s="446"/>
      <c r="I297" s="446"/>
      <c r="J297" s="446"/>
      <c r="K297" s="860"/>
      <c r="L297" s="446"/>
      <c r="M297" s="446"/>
      <c r="N297" s="446"/>
      <c r="O297" s="446"/>
      <c r="P297" s="446"/>
      <c r="Q297" s="446"/>
      <c r="R297" s="446"/>
    </row>
    <row r="298">
      <c r="A298" s="446"/>
      <c r="B298" s="446"/>
      <c r="C298" s="446"/>
      <c r="D298" s="859"/>
      <c r="E298" s="446"/>
      <c r="F298" s="446"/>
      <c r="G298" s="446"/>
      <c r="H298" s="446"/>
      <c r="I298" s="446"/>
      <c r="J298" s="446"/>
      <c r="K298" s="860"/>
      <c r="L298" s="446"/>
      <c r="M298" s="446"/>
      <c r="N298" s="446"/>
      <c r="O298" s="446"/>
      <c r="P298" s="446"/>
      <c r="Q298" s="446"/>
      <c r="R298" s="446"/>
    </row>
    <row r="299">
      <c r="A299" s="446"/>
      <c r="B299" s="446"/>
      <c r="C299" s="446"/>
      <c r="D299" s="859"/>
      <c r="E299" s="446"/>
      <c r="F299" s="446"/>
      <c r="G299" s="446"/>
      <c r="H299" s="446"/>
      <c r="I299" s="446"/>
      <c r="J299" s="446"/>
      <c r="K299" s="860"/>
      <c r="L299" s="446"/>
      <c r="M299" s="446"/>
      <c r="N299" s="446"/>
      <c r="O299" s="446"/>
      <c r="P299" s="446"/>
      <c r="Q299" s="446"/>
      <c r="R299" s="446"/>
    </row>
    <row r="300">
      <c r="A300" s="446"/>
      <c r="B300" s="446"/>
      <c r="C300" s="446"/>
      <c r="D300" s="859"/>
      <c r="E300" s="446"/>
      <c r="F300" s="446"/>
      <c r="G300" s="446"/>
      <c r="H300" s="446"/>
      <c r="I300" s="446"/>
      <c r="J300" s="446"/>
      <c r="K300" s="860"/>
      <c r="L300" s="446"/>
      <c r="M300" s="446"/>
      <c r="N300" s="446"/>
      <c r="O300" s="446"/>
      <c r="P300" s="446"/>
      <c r="Q300" s="446"/>
      <c r="R300" s="446"/>
    </row>
    <row r="301">
      <c r="A301" s="446"/>
      <c r="B301" s="446"/>
      <c r="C301" s="446"/>
      <c r="D301" s="859"/>
      <c r="E301" s="446"/>
      <c r="F301" s="446"/>
      <c r="G301" s="446"/>
      <c r="H301" s="446"/>
      <c r="I301" s="446"/>
      <c r="J301" s="446"/>
      <c r="K301" s="860"/>
      <c r="L301" s="446"/>
      <c r="M301" s="446"/>
      <c r="N301" s="446"/>
      <c r="O301" s="446"/>
      <c r="P301" s="446"/>
      <c r="Q301" s="446"/>
      <c r="R301" s="446"/>
    </row>
    <row r="302">
      <c r="A302" s="446"/>
      <c r="B302" s="446"/>
      <c r="C302" s="446"/>
      <c r="D302" s="859"/>
      <c r="E302" s="446"/>
      <c r="F302" s="446"/>
      <c r="G302" s="446"/>
      <c r="H302" s="446"/>
      <c r="I302" s="446"/>
      <c r="J302" s="446"/>
      <c r="K302" s="860"/>
      <c r="L302" s="446"/>
      <c r="M302" s="446"/>
      <c r="N302" s="446"/>
      <c r="O302" s="446"/>
      <c r="P302" s="446"/>
      <c r="Q302" s="446"/>
      <c r="R302" s="446"/>
    </row>
    <row r="303">
      <c r="A303" s="446"/>
      <c r="B303" s="446"/>
      <c r="C303" s="446"/>
      <c r="D303" s="859"/>
      <c r="E303" s="446"/>
      <c r="F303" s="446"/>
      <c r="G303" s="446"/>
      <c r="H303" s="446"/>
      <c r="I303" s="446"/>
      <c r="J303" s="446"/>
      <c r="K303" s="860"/>
      <c r="L303" s="446"/>
      <c r="M303" s="446"/>
      <c r="N303" s="446"/>
      <c r="O303" s="446"/>
      <c r="P303" s="446"/>
      <c r="Q303" s="446"/>
      <c r="R303" s="446"/>
    </row>
    <row r="304">
      <c r="A304" s="446"/>
      <c r="B304" s="446"/>
      <c r="C304" s="446"/>
      <c r="D304" s="859"/>
      <c r="E304" s="446"/>
      <c r="F304" s="446"/>
      <c r="G304" s="446"/>
      <c r="H304" s="446"/>
      <c r="I304" s="446"/>
      <c r="J304" s="446"/>
      <c r="K304" s="860"/>
      <c r="L304" s="446"/>
      <c r="M304" s="446"/>
      <c r="N304" s="446"/>
      <c r="O304" s="446"/>
      <c r="P304" s="446"/>
      <c r="Q304" s="446"/>
      <c r="R304" s="446"/>
    </row>
    <row r="305">
      <c r="A305" s="446"/>
      <c r="B305" s="446"/>
      <c r="C305" s="446"/>
      <c r="D305" s="859"/>
      <c r="E305" s="446"/>
      <c r="F305" s="446"/>
      <c r="G305" s="446"/>
      <c r="H305" s="446"/>
      <c r="I305" s="446"/>
      <c r="J305" s="446"/>
      <c r="K305" s="860"/>
      <c r="L305" s="446"/>
      <c r="M305" s="446"/>
      <c r="N305" s="446"/>
      <c r="O305" s="446"/>
      <c r="P305" s="446"/>
      <c r="Q305" s="446"/>
      <c r="R305" s="446"/>
    </row>
    <row r="306">
      <c r="A306" s="446"/>
      <c r="B306" s="446"/>
      <c r="C306" s="446"/>
      <c r="D306" s="859"/>
      <c r="E306" s="446"/>
      <c r="F306" s="446"/>
      <c r="G306" s="446"/>
      <c r="H306" s="446"/>
      <c r="I306" s="446"/>
      <c r="J306" s="446"/>
      <c r="K306" s="860"/>
      <c r="L306" s="446"/>
      <c r="M306" s="446"/>
      <c r="N306" s="446"/>
      <c r="O306" s="446"/>
      <c r="P306" s="446"/>
      <c r="Q306" s="446"/>
      <c r="R306" s="446"/>
    </row>
    <row r="307">
      <c r="A307" s="446"/>
      <c r="B307" s="446"/>
      <c r="C307" s="446"/>
      <c r="D307" s="859"/>
      <c r="E307" s="446"/>
      <c r="F307" s="446"/>
      <c r="G307" s="446"/>
      <c r="H307" s="446"/>
      <c r="I307" s="446"/>
      <c r="J307" s="446"/>
      <c r="K307" s="860"/>
      <c r="L307" s="446"/>
      <c r="M307" s="446"/>
      <c r="N307" s="446"/>
      <c r="O307" s="446"/>
      <c r="P307" s="446"/>
      <c r="Q307" s="446"/>
      <c r="R307" s="446"/>
    </row>
    <row r="308">
      <c r="A308" s="446"/>
      <c r="B308" s="446"/>
      <c r="C308" s="446"/>
      <c r="D308" s="859"/>
      <c r="E308" s="446"/>
      <c r="F308" s="446"/>
      <c r="G308" s="446"/>
      <c r="H308" s="446"/>
      <c r="I308" s="446"/>
      <c r="J308" s="446"/>
      <c r="K308" s="860"/>
      <c r="L308" s="446"/>
      <c r="M308" s="446"/>
      <c r="N308" s="446"/>
      <c r="O308" s="446"/>
      <c r="P308" s="446"/>
      <c r="Q308" s="446"/>
      <c r="R308" s="446"/>
    </row>
    <row r="309">
      <c r="A309" s="446"/>
      <c r="B309" s="446"/>
      <c r="C309" s="446"/>
      <c r="D309" s="859"/>
      <c r="E309" s="446"/>
      <c r="F309" s="446"/>
      <c r="G309" s="446"/>
      <c r="H309" s="446"/>
      <c r="I309" s="446"/>
      <c r="J309" s="446"/>
      <c r="K309" s="860"/>
      <c r="L309" s="446"/>
      <c r="M309" s="446"/>
      <c r="N309" s="446"/>
      <c r="O309" s="446"/>
      <c r="P309" s="446"/>
      <c r="Q309" s="446"/>
      <c r="R309" s="446"/>
    </row>
    <row r="310">
      <c r="A310" s="446"/>
      <c r="B310" s="446"/>
      <c r="C310" s="446"/>
      <c r="D310" s="859"/>
      <c r="E310" s="446"/>
      <c r="F310" s="446"/>
      <c r="G310" s="446"/>
      <c r="H310" s="446"/>
      <c r="I310" s="446"/>
      <c r="J310" s="446"/>
      <c r="K310" s="860"/>
      <c r="L310" s="446"/>
      <c r="M310" s="446"/>
      <c r="N310" s="446"/>
      <c r="O310" s="446"/>
      <c r="P310" s="446"/>
      <c r="Q310" s="446"/>
      <c r="R310" s="446"/>
    </row>
    <row r="311">
      <c r="A311" s="446"/>
      <c r="B311" s="446"/>
      <c r="C311" s="446"/>
      <c r="D311" s="859"/>
      <c r="E311" s="446"/>
      <c r="F311" s="446"/>
      <c r="G311" s="446"/>
      <c r="H311" s="446"/>
      <c r="I311" s="446"/>
      <c r="J311" s="446"/>
      <c r="K311" s="860"/>
      <c r="L311" s="446"/>
      <c r="M311" s="446"/>
      <c r="N311" s="446"/>
      <c r="O311" s="446"/>
      <c r="P311" s="446"/>
      <c r="Q311" s="446"/>
      <c r="R311" s="446"/>
    </row>
    <row r="312">
      <c r="A312" s="446"/>
      <c r="B312" s="446"/>
      <c r="C312" s="446"/>
      <c r="D312" s="859"/>
      <c r="E312" s="446"/>
      <c r="F312" s="446"/>
      <c r="G312" s="446"/>
      <c r="H312" s="446"/>
      <c r="I312" s="446"/>
      <c r="J312" s="446"/>
      <c r="K312" s="860"/>
      <c r="L312" s="446"/>
      <c r="M312" s="446"/>
      <c r="N312" s="446"/>
      <c r="O312" s="446"/>
      <c r="P312" s="446"/>
      <c r="Q312" s="446"/>
      <c r="R312" s="446"/>
    </row>
    <row r="313">
      <c r="A313" s="446"/>
      <c r="B313" s="446"/>
      <c r="C313" s="446"/>
      <c r="D313" s="859"/>
      <c r="E313" s="446"/>
      <c r="F313" s="446"/>
      <c r="G313" s="446"/>
      <c r="H313" s="446"/>
      <c r="I313" s="446"/>
      <c r="J313" s="446"/>
      <c r="K313" s="860"/>
      <c r="L313" s="446"/>
      <c r="M313" s="446"/>
      <c r="N313" s="446"/>
      <c r="O313" s="446"/>
      <c r="P313" s="446"/>
      <c r="Q313" s="446"/>
      <c r="R313" s="446"/>
    </row>
    <row r="314">
      <c r="A314" s="446"/>
      <c r="B314" s="446"/>
      <c r="C314" s="446"/>
      <c r="D314" s="859"/>
      <c r="E314" s="446"/>
      <c r="F314" s="446"/>
      <c r="G314" s="446"/>
      <c r="H314" s="446"/>
      <c r="I314" s="446"/>
      <c r="J314" s="446"/>
      <c r="K314" s="860"/>
      <c r="L314" s="446"/>
      <c r="M314" s="446"/>
      <c r="N314" s="446"/>
      <c r="O314" s="446"/>
      <c r="P314" s="446"/>
      <c r="Q314" s="446"/>
      <c r="R314" s="446"/>
    </row>
    <row r="315">
      <c r="A315" s="446"/>
      <c r="B315" s="446"/>
      <c r="C315" s="446"/>
      <c r="D315" s="859"/>
      <c r="E315" s="446"/>
      <c r="F315" s="446"/>
      <c r="G315" s="446"/>
      <c r="H315" s="446"/>
      <c r="I315" s="446"/>
      <c r="J315" s="446"/>
      <c r="K315" s="860"/>
      <c r="L315" s="446"/>
      <c r="M315" s="446"/>
      <c r="N315" s="446"/>
      <c r="O315" s="446"/>
      <c r="P315" s="446"/>
      <c r="Q315" s="446"/>
      <c r="R315" s="446"/>
    </row>
    <row r="316">
      <c r="A316" s="446"/>
      <c r="B316" s="446"/>
      <c r="C316" s="446"/>
      <c r="D316" s="859"/>
      <c r="E316" s="446"/>
      <c r="F316" s="446"/>
      <c r="G316" s="446"/>
      <c r="H316" s="446"/>
      <c r="I316" s="446"/>
      <c r="J316" s="446"/>
      <c r="K316" s="860"/>
      <c r="L316" s="446"/>
      <c r="M316" s="446"/>
      <c r="N316" s="446"/>
      <c r="O316" s="446"/>
      <c r="P316" s="446"/>
      <c r="Q316" s="446"/>
      <c r="R316" s="446"/>
    </row>
    <row r="317">
      <c r="A317" s="446"/>
      <c r="B317" s="446"/>
      <c r="C317" s="446"/>
      <c r="D317" s="859"/>
      <c r="E317" s="446"/>
      <c r="F317" s="446"/>
      <c r="G317" s="446"/>
      <c r="H317" s="446"/>
      <c r="I317" s="446"/>
      <c r="J317" s="446"/>
      <c r="K317" s="860"/>
      <c r="L317" s="446"/>
      <c r="M317" s="446"/>
      <c r="N317" s="446"/>
      <c r="O317" s="446"/>
      <c r="P317" s="446"/>
      <c r="Q317" s="446"/>
      <c r="R317" s="446"/>
    </row>
    <row r="318">
      <c r="A318" s="446"/>
      <c r="B318" s="446"/>
      <c r="C318" s="446"/>
      <c r="D318" s="859"/>
      <c r="E318" s="446"/>
      <c r="F318" s="446"/>
      <c r="G318" s="446"/>
      <c r="H318" s="446"/>
      <c r="I318" s="446"/>
      <c r="J318" s="446"/>
      <c r="K318" s="860"/>
      <c r="L318" s="446"/>
      <c r="M318" s="446"/>
      <c r="N318" s="446"/>
      <c r="O318" s="446"/>
      <c r="P318" s="446"/>
      <c r="Q318" s="446"/>
      <c r="R318" s="446"/>
    </row>
    <row r="319">
      <c r="A319" s="446"/>
      <c r="B319" s="446"/>
      <c r="C319" s="446"/>
      <c r="D319" s="859"/>
      <c r="E319" s="446"/>
      <c r="F319" s="446"/>
      <c r="G319" s="446"/>
      <c r="H319" s="446"/>
      <c r="I319" s="446"/>
      <c r="J319" s="446"/>
      <c r="K319" s="860"/>
      <c r="L319" s="446"/>
      <c r="M319" s="446"/>
      <c r="N319" s="446"/>
      <c r="O319" s="446"/>
      <c r="P319" s="446"/>
      <c r="Q319" s="446"/>
      <c r="R319" s="446"/>
    </row>
    <row r="320">
      <c r="A320" s="446"/>
      <c r="B320" s="446"/>
      <c r="C320" s="446"/>
      <c r="D320" s="859"/>
      <c r="E320" s="446"/>
      <c r="F320" s="446"/>
      <c r="G320" s="446"/>
      <c r="H320" s="446"/>
      <c r="I320" s="446"/>
      <c r="J320" s="446"/>
      <c r="K320" s="860"/>
      <c r="L320" s="446"/>
      <c r="M320" s="446"/>
      <c r="N320" s="446"/>
      <c r="O320" s="446"/>
      <c r="P320" s="446"/>
      <c r="Q320" s="446"/>
      <c r="R320" s="446"/>
    </row>
    <row r="321">
      <c r="A321" s="446"/>
      <c r="B321" s="446"/>
      <c r="C321" s="446"/>
      <c r="D321" s="859"/>
      <c r="E321" s="446"/>
      <c r="F321" s="446"/>
      <c r="G321" s="446"/>
      <c r="H321" s="446"/>
      <c r="I321" s="446"/>
      <c r="J321" s="446"/>
      <c r="K321" s="860"/>
      <c r="L321" s="446"/>
      <c r="M321" s="446"/>
      <c r="N321" s="446"/>
      <c r="O321" s="446"/>
      <c r="P321" s="446"/>
      <c r="Q321" s="446"/>
      <c r="R321" s="446"/>
    </row>
    <row r="322">
      <c r="A322" s="446"/>
      <c r="B322" s="446"/>
      <c r="C322" s="446"/>
      <c r="D322" s="859"/>
      <c r="E322" s="446"/>
      <c r="F322" s="446"/>
      <c r="G322" s="446"/>
      <c r="H322" s="446"/>
      <c r="I322" s="446"/>
      <c r="J322" s="446"/>
      <c r="K322" s="860"/>
      <c r="L322" s="446"/>
      <c r="M322" s="446"/>
      <c r="N322" s="446"/>
      <c r="O322" s="446"/>
      <c r="P322" s="446"/>
      <c r="Q322" s="446"/>
      <c r="R322" s="446"/>
    </row>
    <row r="323">
      <c r="A323" s="446"/>
      <c r="B323" s="446"/>
      <c r="C323" s="446"/>
      <c r="D323" s="859"/>
      <c r="E323" s="446"/>
      <c r="F323" s="446"/>
      <c r="G323" s="446"/>
      <c r="H323" s="446"/>
      <c r="I323" s="446"/>
      <c r="J323" s="446"/>
      <c r="K323" s="860"/>
      <c r="L323" s="446"/>
      <c r="M323" s="446"/>
      <c r="N323" s="446"/>
      <c r="O323" s="446"/>
      <c r="P323" s="446"/>
      <c r="Q323" s="446"/>
      <c r="R323" s="446"/>
    </row>
    <row r="324">
      <c r="A324" s="446"/>
      <c r="B324" s="446"/>
      <c r="C324" s="446"/>
      <c r="D324" s="859"/>
      <c r="E324" s="446"/>
      <c r="F324" s="446"/>
      <c r="G324" s="446"/>
      <c r="H324" s="446"/>
      <c r="I324" s="446"/>
      <c r="J324" s="446"/>
      <c r="K324" s="860"/>
      <c r="L324" s="446"/>
      <c r="M324" s="446"/>
      <c r="N324" s="446"/>
      <c r="O324" s="446"/>
      <c r="P324" s="446"/>
      <c r="Q324" s="446"/>
      <c r="R324" s="446"/>
    </row>
    <row r="325">
      <c r="A325" s="446"/>
      <c r="B325" s="446"/>
      <c r="C325" s="446"/>
      <c r="D325" s="859"/>
      <c r="E325" s="446"/>
      <c r="F325" s="446"/>
      <c r="G325" s="446"/>
      <c r="H325" s="446"/>
      <c r="I325" s="446"/>
      <c r="J325" s="446"/>
      <c r="K325" s="860"/>
      <c r="L325" s="446"/>
      <c r="M325" s="446"/>
      <c r="N325" s="446"/>
      <c r="O325" s="446"/>
      <c r="P325" s="446"/>
      <c r="Q325" s="446"/>
      <c r="R325" s="446"/>
    </row>
    <row r="326">
      <c r="A326" s="446"/>
      <c r="B326" s="446"/>
      <c r="C326" s="446"/>
      <c r="D326" s="859"/>
      <c r="E326" s="446"/>
      <c r="F326" s="446"/>
      <c r="G326" s="446"/>
      <c r="H326" s="446"/>
      <c r="I326" s="446"/>
      <c r="J326" s="446"/>
      <c r="K326" s="860"/>
      <c r="L326" s="446"/>
      <c r="M326" s="446"/>
      <c r="N326" s="446"/>
      <c r="O326" s="446"/>
      <c r="P326" s="446"/>
      <c r="Q326" s="446"/>
      <c r="R326" s="446"/>
    </row>
    <row r="327">
      <c r="A327" s="446"/>
      <c r="B327" s="446"/>
      <c r="C327" s="446"/>
      <c r="D327" s="859"/>
      <c r="E327" s="446"/>
      <c r="F327" s="446"/>
      <c r="G327" s="446"/>
      <c r="H327" s="446"/>
      <c r="I327" s="446"/>
      <c r="J327" s="446"/>
      <c r="K327" s="860"/>
      <c r="L327" s="446"/>
      <c r="M327" s="446"/>
      <c r="N327" s="446"/>
      <c r="O327" s="446"/>
      <c r="P327" s="446"/>
      <c r="Q327" s="446"/>
      <c r="R327" s="446"/>
    </row>
    <row r="328">
      <c r="A328" s="446"/>
      <c r="B328" s="446"/>
      <c r="C328" s="446"/>
      <c r="D328" s="859"/>
      <c r="E328" s="446"/>
      <c r="F328" s="446"/>
      <c r="G328" s="446"/>
      <c r="H328" s="446"/>
      <c r="I328" s="446"/>
      <c r="J328" s="446"/>
      <c r="K328" s="860"/>
      <c r="L328" s="446"/>
      <c r="M328" s="446"/>
      <c r="N328" s="446"/>
      <c r="O328" s="446"/>
      <c r="P328" s="446"/>
      <c r="Q328" s="446"/>
      <c r="R328" s="446"/>
    </row>
    <row r="329">
      <c r="A329" s="446"/>
      <c r="B329" s="446"/>
      <c r="C329" s="446"/>
      <c r="D329" s="859"/>
      <c r="E329" s="446"/>
      <c r="F329" s="446"/>
      <c r="G329" s="446"/>
      <c r="H329" s="446"/>
      <c r="I329" s="446"/>
      <c r="J329" s="446"/>
      <c r="K329" s="860"/>
      <c r="L329" s="446"/>
      <c r="M329" s="446"/>
      <c r="N329" s="446"/>
      <c r="O329" s="446"/>
      <c r="P329" s="446"/>
      <c r="Q329" s="446"/>
      <c r="R329" s="446"/>
    </row>
    <row r="330">
      <c r="A330" s="446"/>
      <c r="B330" s="446"/>
      <c r="C330" s="446"/>
      <c r="D330" s="859"/>
      <c r="E330" s="446"/>
      <c r="F330" s="446"/>
      <c r="G330" s="446"/>
      <c r="H330" s="446"/>
      <c r="I330" s="446"/>
      <c r="J330" s="446"/>
      <c r="K330" s="860"/>
      <c r="L330" s="446"/>
      <c r="M330" s="446"/>
      <c r="N330" s="446"/>
      <c r="O330" s="446"/>
      <c r="P330" s="446"/>
      <c r="Q330" s="446"/>
      <c r="R330" s="446"/>
    </row>
    <row r="331">
      <c r="A331" s="446"/>
      <c r="B331" s="446"/>
      <c r="C331" s="446"/>
      <c r="D331" s="859"/>
      <c r="E331" s="446"/>
      <c r="F331" s="446"/>
      <c r="G331" s="446"/>
      <c r="H331" s="446"/>
      <c r="I331" s="446"/>
      <c r="J331" s="446"/>
      <c r="K331" s="860"/>
      <c r="L331" s="446"/>
      <c r="M331" s="446"/>
      <c r="N331" s="446"/>
      <c r="O331" s="446"/>
      <c r="P331" s="446"/>
      <c r="Q331" s="446"/>
      <c r="R331" s="446"/>
    </row>
    <row r="332">
      <c r="A332" s="446"/>
      <c r="B332" s="446"/>
      <c r="C332" s="446"/>
      <c r="D332" s="859"/>
      <c r="E332" s="446"/>
      <c r="F332" s="446"/>
      <c r="G332" s="446"/>
      <c r="H332" s="446"/>
      <c r="I332" s="446"/>
      <c r="J332" s="446"/>
      <c r="K332" s="860"/>
      <c r="L332" s="446"/>
      <c r="M332" s="446"/>
      <c r="N332" s="446"/>
      <c r="O332" s="446"/>
      <c r="P332" s="446"/>
      <c r="Q332" s="446"/>
      <c r="R332" s="446"/>
    </row>
    <row r="333">
      <c r="A333" s="446"/>
      <c r="B333" s="446"/>
      <c r="C333" s="446"/>
      <c r="D333" s="859"/>
      <c r="E333" s="446"/>
      <c r="F333" s="446"/>
      <c r="G333" s="446"/>
      <c r="H333" s="446"/>
      <c r="I333" s="446"/>
      <c r="J333" s="446"/>
      <c r="K333" s="860"/>
      <c r="L333" s="446"/>
      <c r="M333" s="446"/>
      <c r="N333" s="446"/>
      <c r="O333" s="446"/>
      <c r="P333" s="446"/>
      <c r="Q333" s="446"/>
      <c r="R333" s="446"/>
    </row>
    <row r="334">
      <c r="A334" s="446"/>
      <c r="B334" s="446"/>
      <c r="C334" s="446"/>
      <c r="D334" s="859"/>
      <c r="E334" s="446"/>
      <c r="F334" s="446"/>
      <c r="G334" s="446"/>
      <c r="H334" s="446"/>
      <c r="I334" s="446"/>
      <c r="J334" s="446"/>
      <c r="K334" s="860"/>
      <c r="L334" s="446"/>
      <c r="M334" s="446"/>
      <c r="N334" s="446"/>
      <c r="O334" s="446"/>
      <c r="P334" s="446"/>
      <c r="Q334" s="446"/>
      <c r="R334" s="446"/>
    </row>
    <row r="335">
      <c r="A335" s="446"/>
      <c r="B335" s="446"/>
      <c r="C335" s="446"/>
      <c r="D335" s="859"/>
      <c r="E335" s="446"/>
      <c r="F335" s="446"/>
      <c r="G335" s="446"/>
      <c r="H335" s="446"/>
      <c r="I335" s="446"/>
      <c r="J335" s="446"/>
      <c r="K335" s="860"/>
      <c r="L335" s="446"/>
      <c r="M335" s="446"/>
      <c r="N335" s="446"/>
      <c r="O335" s="446"/>
      <c r="P335" s="446"/>
      <c r="Q335" s="446"/>
      <c r="R335" s="446"/>
    </row>
    <row r="336">
      <c r="A336" s="446"/>
      <c r="B336" s="446"/>
      <c r="C336" s="446"/>
      <c r="D336" s="859"/>
      <c r="E336" s="446"/>
      <c r="F336" s="446"/>
      <c r="G336" s="446"/>
      <c r="H336" s="446"/>
      <c r="I336" s="446"/>
      <c r="J336" s="446"/>
      <c r="K336" s="860"/>
      <c r="L336" s="446"/>
      <c r="M336" s="446"/>
      <c r="N336" s="446"/>
      <c r="O336" s="446"/>
      <c r="P336" s="446"/>
      <c r="Q336" s="446"/>
      <c r="R336" s="446"/>
    </row>
    <row r="337">
      <c r="A337" s="446"/>
      <c r="B337" s="446"/>
      <c r="C337" s="446"/>
      <c r="D337" s="859"/>
      <c r="E337" s="446"/>
      <c r="F337" s="446"/>
      <c r="G337" s="446"/>
      <c r="H337" s="446"/>
      <c r="I337" s="446"/>
      <c r="J337" s="446"/>
      <c r="K337" s="860"/>
      <c r="L337" s="446"/>
      <c r="M337" s="446"/>
      <c r="N337" s="446"/>
      <c r="O337" s="446"/>
      <c r="P337" s="446"/>
      <c r="Q337" s="446"/>
      <c r="R337" s="446"/>
    </row>
    <row r="338">
      <c r="A338" s="446"/>
      <c r="B338" s="446"/>
      <c r="C338" s="446"/>
      <c r="D338" s="859"/>
      <c r="E338" s="446"/>
      <c r="F338" s="446"/>
      <c r="G338" s="446"/>
      <c r="H338" s="446"/>
      <c r="I338" s="446"/>
      <c r="J338" s="446"/>
      <c r="K338" s="860"/>
      <c r="L338" s="446"/>
      <c r="M338" s="446"/>
      <c r="N338" s="446"/>
      <c r="O338" s="446"/>
      <c r="P338" s="446"/>
      <c r="Q338" s="446"/>
      <c r="R338" s="446"/>
    </row>
    <row r="339">
      <c r="A339" s="446"/>
      <c r="B339" s="446"/>
      <c r="C339" s="446"/>
      <c r="D339" s="859"/>
      <c r="E339" s="446"/>
      <c r="F339" s="446"/>
      <c r="G339" s="446"/>
      <c r="H339" s="446"/>
      <c r="I339" s="446"/>
      <c r="J339" s="446"/>
      <c r="K339" s="860"/>
      <c r="L339" s="446"/>
      <c r="M339" s="446"/>
      <c r="N339" s="446"/>
      <c r="O339" s="446"/>
      <c r="P339" s="446"/>
      <c r="Q339" s="446"/>
      <c r="R339" s="446"/>
    </row>
    <row r="340">
      <c r="A340" s="446"/>
      <c r="B340" s="446"/>
      <c r="C340" s="446"/>
      <c r="D340" s="859"/>
      <c r="E340" s="446"/>
      <c r="F340" s="446"/>
      <c r="G340" s="446"/>
      <c r="H340" s="446"/>
      <c r="I340" s="446"/>
      <c r="J340" s="446"/>
      <c r="K340" s="860"/>
      <c r="L340" s="446"/>
      <c r="M340" s="446"/>
      <c r="N340" s="446"/>
      <c r="O340" s="446"/>
      <c r="P340" s="446"/>
      <c r="Q340" s="446"/>
      <c r="R340" s="446"/>
    </row>
    <row r="341">
      <c r="A341" s="446"/>
      <c r="B341" s="446"/>
      <c r="C341" s="446"/>
      <c r="D341" s="859"/>
      <c r="E341" s="446"/>
      <c r="F341" s="446"/>
      <c r="G341" s="446"/>
      <c r="H341" s="446"/>
      <c r="I341" s="446"/>
      <c r="J341" s="446"/>
      <c r="K341" s="860"/>
      <c r="L341" s="446"/>
      <c r="M341" s="446"/>
      <c r="N341" s="446"/>
      <c r="O341" s="446"/>
      <c r="P341" s="446"/>
      <c r="Q341" s="446"/>
      <c r="R341" s="446"/>
    </row>
    <row r="342">
      <c r="A342" s="446"/>
      <c r="B342" s="446"/>
      <c r="C342" s="446"/>
      <c r="D342" s="859"/>
      <c r="E342" s="446"/>
      <c r="F342" s="446"/>
      <c r="G342" s="446"/>
      <c r="H342" s="446"/>
      <c r="I342" s="446"/>
      <c r="J342" s="446"/>
      <c r="K342" s="860"/>
      <c r="L342" s="446"/>
      <c r="M342" s="446"/>
      <c r="N342" s="446"/>
      <c r="O342" s="446"/>
      <c r="P342" s="446"/>
      <c r="Q342" s="446"/>
      <c r="R342" s="446"/>
    </row>
    <row r="343">
      <c r="A343" s="446"/>
      <c r="B343" s="446"/>
      <c r="C343" s="446"/>
      <c r="D343" s="859"/>
      <c r="E343" s="446"/>
      <c r="F343" s="446"/>
      <c r="G343" s="446"/>
      <c r="H343" s="446"/>
      <c r="I343" s="446"/>
      <c r="J343" s="446"/>
      <c r="K343" s="860"/>
      <c r="L343" s="446"/>
      <c r="M343" s="446"/>
      <c r="N343" s="446"/>
      <c r="O343" s="446"/>
      <c r="P343" s="446"/>
      <c r="Q343" s="446"/>
      <c r="R343" s="446"/>
    </row>
    <row r="344">
      <c r="A344" s="446"/>
      <c r="B344" s="446"/>
      <c r="C344" s="446"/>
      <c r="D344" s="859"/>
      <c r="E344" s="446"/>
      <c r="F344" s="446"/>
      <c r="G344" s="446"/>
      <c r="H344" s="446"/>
      <c r="I344" s="446"/>
      <c r="J344" s="446"/>
      <c r="K344" s="860"/>
      <c r="L344" s="446"/>
      <c r="M344" s="446"/>
      <c r="N344" s="446"/>
      <c r="O344" s="446"/>
      <c r="P344" s="446"/>
      <c r="Q344" s="446"/>
      <c r="R344" s="446"/>
    </row>
    <row r="345">
      <c r="A345" s="446"/>
      <c r="B345" s="446"/>
      <c r="C345" s="446"/>
      <c r="D345" s="859"/>
      <c r="E345" s="446"/>
      <c r="F345" s="446"/>
      <c r="G345" s="446"/>
      <c r="H345" s="446"/>
      <c r="I345" s="446"/>
      <c r="J345" s="446"/>
      <c r="K345" s="860"/>
      <c r="L345" s="446"/>
      <c r="M345" s="446"/>
      <c r="N345" s="446"/>
      <c r="O345" s="446"/>
      <c r="P345" s="446"/>
      <c r="Q345" s="446"/>
      <c r="R345" s="446"/>
    </row>
    <row r="346">
      <c r="A346" s="446"/>
      <c r="B346" s="446"/>
      <c r="C346" s="446"/>
      <c r="D346" s="859"/>
      <c r="E346" s="446"/>
      <c r="F346" s="446"/>
      <c r="G346" s="446"/>
      <c r="H346" s="446"/>
      <c r="I346" s="446"/>
      <c r="J346" s="446"/>
      <c r="K346" s="860"/>
      <c r="L346" s="446"/>
      <c r="M346" s="446"/>
      <c r="N346" s="446"/>
      <c r="O346" s="446"/>
      <c r="P346" s="446"/>
      <c r="Q346" s="446"/>
      <c r="R346" s="446"/>
    </row>
    <row r="347">
      <c r="A347" s="446"/>
      <c r="B347" s="446"/>
      <c r="C347" s="446"/>
      <c r="D347" s="859"/>
      <c r="E347" s="446"/>
      <c r="F347" s="446"/>
      <c r="G347" s="446"/>
      <c r="H347" s="446"/>
      <c r="I347" s="446"/>
      <c r="J347" s="446"/>
      <c r="K347" s="860"/>
      <c r="L347" s="446"/>
      <c r="M347" s="446"/>
      <c r="N347" s="446"/>
      <c r="O347" s="446"/>
      <c r="P347" s="446"/>
      <c r="Q347" s="446"/>
      <c r="R347" s="446"/>
    </row>
    <row r="348">
      <c r="A348" s="446"/>
      <c r="B348" s="446"/>
      <c r="C348" s="446"/>
      <c r="D348" s="859"/>
      <c r="E348" s="446"/>
      <c r="F348" s="446"/>
      <c r="G348" s="446"/>
      <c r="H348" s="446"/>
      <c r="I348" s="446"/>
      <c r="J348" s="446"/>
      <c r="K348" s="860"/>
      <c r="L348" s="446"/>
      <c r="M348" s="446"/>
      <c r="N348" s="446"/>
      <c r="O348" s="446"/>
      <c r="P348" s="446"/>
      <c r="Q348" s="446"/>
      <c r="R348" s="446"/>
    </row>
    <row r="349">
      <c r="A349" s="446"/>
      <c r="B349" s="446"/>
      <c r="C349" s="446"/>
      <c r="D349" s="859"/>
      <c r="E349" s="446"/>
      <c r="F349" s="446"/>
      <c r="G349" s="446"/>
      <c r="H349" s="446"/>
      <c r="I349" s="446"/>
      <c r="J349" s="446"/>
      <c r="K349" s="860"/>
      <c r="L349" s="446"/>
      <c r="M349" s="446"/>
      <c r="N349" s="446"/>
      <c r="O349" s="446"/>
      <c r="P349" s="446"/>
      <c r="Q349" s="446"/>
      <c r="R349" s="446"/>
    </row>
    <row r="350">
      <c r="A350" s="446"/>
      <c r="B350" s="446"/>
      <c r="C350" s="446"/>
      <c r="D350" s="859"/>
      <c r="E350" s="446"/>
      <c r="F350" s="446"/>
      <c r="G350" s="446"/>
      <c r="H350" s="446"/>
      <c r="I350" s="446"/>
      <c r="J350" s="446"/>
      <c r="K350" s="860"/>
      <c r="L350" s="446"/>
      <c r="M350" s="446"/>
      <c r="N350" s="446"/>
      <c r="O350" s="446"/>
      <c r="P350" s="446"/>
      <c r="Q350" s="446"/>
      <c r="R350" s="446"/>
    </row>
    <row r="351">
      <c r="A351" s="446"/>
      <c r="B351" s="446"/>
      <c r="C351" s="446"/>
      <c r="D351" s="859"/>
      <c r="E351" s="446"/>
      <c r="F351" s="446"/>
      <c r="G351" s="446"/>
      <c r="H351" s="446"/>
      <c r="I351" s="446"/>
      <c r="J351" s="446"/>
      <c r="K351" s="860"/>
      <c r="L351" s="446"/>
      <c r="M351" s="446"/>
      <c r="N351" s="446"/>
      <c r="O351" s="446"/>
      <c r="P351" s="446"/>
      <c r="Q351" s="446"/>
      <c r="R351" s="446"/>
    </row>
    <row r="352">
      <c r="A352" s="446"/>
      <c r="B352" s="446"/>
      <c r="C352" s="446"/>
      <c r="D352" s="859"/>
      <c r="E352" s="446"/>
      <c r="F352" s="446"/>
      <c r="G352" s="446"/>
      <c r="H352" s="446"/>
      <c r="I352" s="446"/>
      <c r="J352" s="446"/>
      <c r="K352" s="860"/>
      <c r="L352" s="446"/>
      <c r="M352" s="446"/>
      <c r="N352" s="446"/>
      <c r="O352" s="446"/>
      <c r="P352" s="446"/>
      <c r="Q352" s="446"/>
      <c r="R352" s="446"/>
    </row>
    <row r="353">
      <c r="A353" s="446"/>
      <c r="B353" s="446"/>
      <c r="C353" s="446"/>
      <c r="D353" s="859"/>
      <c r="E353" s="446"/>
      <c r="F353" s="446"/>
      <c r="G353" s="446"/>
      <c r="H353" s="446"/>
      <c r="I353" s="446"/>
      <c r="J353" s="446"/>
      <c r="K353" s="860"/>
      <c r="L353" s="446"/>
      <c r="M353" s="446"/>
      <c r="N353" s="446"/>
      <c r="O353" s="446"/>
      <c r="P353" s="446"/>
      <c r="Q353" s="446"/>
      <c r="R353" s="446"/>
    </row>
    <row r="354">
      <c r="A354" s="446"/>
      <c r="B354" s="446"/>
      <c r="C354" s="446"/>
      <c r="D354" s="859"/>
      <c r="E354" s="446"/>
      <c r="F354" s="446"/>
      <c r="G354" s="446"/>
      <c r="H354" s="446"/>
      <c r="I354" s="446"/>
      <c r="J354" s="446"/>
      <c r="K354" s="860"/>
      <c r="L354" s="446"/>
      <c r="M354" s="446"/>
      <c r="N354" s="446"/>
      <c r="O354" s="446"/>
      <c r="P354" s="446"/>
      <c r="Q354" s="446"/>
      <c r="R354" s="446"/>
    </row>
    <row r="355">
      <c r="A355" s="446"/>
      <c r="B355" s="446"/>
      <c r="C355" s="446"/>
      <c r="D355" s="859"/>
      <c r="E355" s="446"/>
      <c r="F355" s="446"/>
      <c r="G355" s="446"/>
      <c r="H355" s="446"/>
      <c r="I355" s="446"/>
      <c r="J355" s="446"/>
      <c r="K355" s="860"/>
      <c r="L355" s="446"/>
      <c r="M355" s="446"/>
      <c r="N355" s="446"/>
      <c r="O355" s="446"/>
      <c r="P355" s="446"/>
      <c r="Q355" s="446"/>
      <c r="R355" s="446"/>
    </row>
    <row r="356">
      <c r="A356" s="446"/>
      <c r="B356" s="446"/>
      <c r="C356" s="446"/>
      <c r="D356" s="859"/>
      <c r="E356" s="446"/>
      <c r="F356" s="446"/>
      <c r="G356" s="446"/>
      <c r="H356" s="446"/>
      <c r="I356" s="446"/>
      <c r="J356" s="446"/>
      <c r="K356" s="860"/>
      <c r="L356" s="446"/>
      <c r="M356" s="446"/>
      <c r="N356" s="446"/>
      <c r="O356" s="446"/>
      <c r="P356" s="446"/>
      <c r="Q356" s="446"/>
      <c r="R356" s="446"/>
    </row>
    <row r="357">
      <c r="A357" s="446"/>
      <c r="B357" s="446"/>
      <c r="C357" s="446"/>
      <c r="D357" s="859"/>
      <c r="E357" s="446"/>
      <c r="F357" s="446"/>
      <c r="G357" s="446"/>
      <c r="H357" s="446"/>
      <c r="I357" s="446"/>
      <c r="J357" s="446"/>
      <c r="K357" s="860"/>
      <c r="L357" s="446"/>
      <c r="M357" s="446"/>
      <c r="N357" s="446"/>
      <c r="O357" s="446"/>
      <c r="P357" s="446"/>
      <c r="Q357" s="446"/>
      <c r="R357" s="446"/>
    </row>
    <row r="358">
      <c r="A358" s="446"/>
      <c r="B358" s="446"/>
      <c r="C358" s="446"/>
      <c r="D358" s="859"/>
      <c r="E358" s="446"/>
      <c r="F358" s="446"/>
      <c r="G358" s="446"/>
      <c r="H358" s="446"/>
      <c r="I358" s="446"/>
      <c r="J358" s="446"/>
      <c r="K358" s="860"/>
      <c r="L358" s="446"/>
      <c r="M358" s="446"/>
      <c r="N358" s="446"/>
      <c r="O358" s="446"/>
      <c r="P358" s="446"/>
      <c r="Q358" s="446"/>
      <c r="R358" s="446"/>
    </row>
    <row r="359">
      <c r="A359" s="446"/>
      <c r="B359" s="446"/>
      <c r="C359" s="446"/>
      <c r="D359" s="859"/>
      <c r="E359" s="446"/>
      <c r="F359" s="446"/>
      <c r="G359" s="446"/>
      <c r="H359" s="446"/>
      <c r="I359" s="446"/>
      <c r="J359" s="446"/>
      <c r="K359" s="860"/>
      <c r="L359" s="446"/>
      <c r="M359" s="446"/>
      <c r="N359" s="446"/>
      <c r="O359" s="446"/>
      <c r="P359" s="446"/>
      <c r="Q359" s="446"/>
      <c r="R359" s="446"/>
    </row>
    <row r="360">
      <c r="A360" s="446"/>
      <c r="B360" s="446"/>
      <c r="C360" s="446"/>
      <c r="D360" s="859"/>
      <c r="E360" s="446"/>
      <c r="F360" s="446"/>
      <c r="G360" s="446"/>
      <c r="H360" s="446"/>
      <c r="I360" s="446"/>
      <c r="J360" s="446"/>
      <c r="K360" s="860"/>
      <c r="L360" s="446"/>
      <c r="M360" s="446"/>
      <c r="N360" s="446"/>
      <c r="O360" s="446"/>
      <c r="P360" s="446"/>
      <c r="Q360" s="446"/>
      <c r="R360" s="446"/>
    </row>
    <row r="361">
      <c r="A361" s="446"/>
      <c r="B361" s="446"/>
      <c r="C361" s="446"/>
      <c r="D361" s="859"/>
      <c r="E361" s="446"/>
      <c r="F361" s="446"/>
      <c r="G361" s="446"/>
      <c r="H361" s="446"/>
      <c r="I361" s="446"/>
      <c r="J361" s="446"/>
      <c r="K361" s="860"/>
      <c r="L361" s="446"/>
      <c r="M361" s="446"/>
      <c r="N361" s="446"/>
      <c r="O361" s="446"/>
      <c r="P361" s="446"/>
      <c r="Q361" s="446"/>
      <c r="R361" s="446"/>
    </row>
    <row r="362">
      <c r="A362" s="446"/>
      <c r="B362" s="446"/>
      <c r="C362" s="446"/>
      <c r="D362" s="859"/>
      <c r="E362" s="446"/>
      <c r="F362" s="446"/>
      <c r="G362" s="446"/>
      <c r="H362" s="446"/>
      <c r="I362" s="446"/>
      <c r="J362" s="446"/>
      <c r="K362" s="860"/>
      <c r="L362" s="446"/>
      <c r="M362" s="446"/>
      <c r="N362" s="446"/>
      <c r="O362" s="446"/>
      <c r="P362" s="446"/>
      <c r="Q362" s="446"/>
      <c r="R362" s="446"/>
    </row>
    <row r="363">
      <c r="A363" s="446"/>
      <c r="B363" s="446"/>
      <c r="C363" s="446"/>
      <c r="D363" s="859"/>
      <c r="E363" s="446"/>
      <c r="F363" s="446"/>
      <c r="G363" s="446"/>
      <c r="H363" s="446"/>
      <c r="I363" s="446"/>
      <c r="J363" s="446"/>
      <c r="K363" s="860"/>
      <c r="L363" s="446"/>
      <c r="M363" s="446"/>
      <c r="N363" s="446"/>
      <c r="O363" s="446"/>
      <c r="P363" s="446"/>
      <c r="Q363" s="446"/>
      <c r="R363" s="446"/>
    </row>
    <row r="364">
      <c r="A364" s="446"/>
      <c r="B364" s="446"/>
      <c r="C364" s="446"/>
      <c r="D364" s="859"/>
      <c r="E364" s="446"/>
      <c r="F364" s="446"/>
      <c r="G364" s="446"/>
      <c r="H364" s="446"/>
      <c r="I364" s="446"/>
      <c r="J364" s="446"/>
      <c r="K364" s="860"/>
      <c r="L364" s="446"/>
      <c r="M364" s="446"/>
      <c r="N364" s="446"/>
      <c r="O364" s="446"/>
      <c r="P364" s="446"/>
      <c r="Q364" s="446"/>
      <c r="R364" s="446"/>
    </row>
    <row r="365">
      <c r="A365" s="446"/>
      <c r="B365" s="446"/>
      <c r="C365" s="446"/>
      <c r="D365" s="859"/>
      <c r="E365" s="446"/>
      <c r="F365" s="446"/>
      <c r="G365" s="446"/>
      <c r="H365" s="446"/>
      <c r="I365" s="446"/>
      <c r="J365" s="446"/>
      <c r="K365" s="860"/>
      <c r="L365" s="446"/>
      <c r="M365" s="446"/>
      <c r="N365" s="446"/>
      <c r="O365" s="446"/>
      <c r="P365" s="446"/>
      <c r="Q365" s="446"/>
      <c r="R365" s="446"/>
    </row>
    <row r="366">
      <c r="A366" s="446"/>
      <c r="B366" s="446"/>
      <c r="C366" s="446"/>
      <c r="D366" s="859"/>
      <c r="E366" s="446"/>
      <c r="F366" s="446"/>
      <c r="G366" s="446"/>
      <c r="H366" s="446"/>
      <c r="I366" s="446"/>
      <c r="J366" s="446"/>
      <c r="K366" s="860"/>
      <c r="L366" s="446"/>
      <c r="M366" s="446"/>
      <c r="N366" s="446"/>
      <c r="O366" s="446"/>
      <c r="P366" s="446"/>
      <c r="Q366" s="446"/>
      <c r="R366" s="446"/>
    </row>
    <row r="367">
      <c r="A367" s="446"/>
      <c r="B367" s="446"/>
      <c r="C367" s="446"/>
      <c r="D367" s="859"/>
      <c r="E367" s="446"/>
      <c r="F367" s="446"/>
      <c r="G367" s="446"/>
      <c r="H367" s="446"/>
      <c r="I367" s="446"/>
      <c r="J367" s="446"/>
      <c r="K367" s="860"/>
      <c r="L367" s="446"/>
      <c r="M367" s="446"/>
      <c r="N367" s="446"/>
      <c r="O367" s="446"/>
      <c r="P367" s="446"/>
      <c r="Q367" s="446"/>
      <c r="R367" s="446"/>
    </row>
    <row r="368">
      <c r="A368" s="446"/>
      <c r="B368" s="446"/>
      <c r="C368" s="446"/>
      <c r="D368" s="859"/>
      <c r="E368" s="446"/>
      <c r="F368" s="446"/>
      <c r="G368" s="446"/>
      <c r="H368" s="446"/>
      <c r="I368" s="446"/>
      <c r="J368" s="446"/>
      <c r="K368" s="860"/>
      <c r="L368" s="446"/>
      <c r="M368" s="446"/>
      <c r="N368" s="446"/>
      <c r="O368" s="446"/>
      <c r="P368" s="446"/>
      <c r="Q368" s="446"/>
      <c r="R368" s="446"/>
    </row>
    <row r="369">
      <c r="A369" s="446"/>
      <c r="B369" s="446"/>
      <c r="C369" s="446"/>
      <c r="D369" s="859"/>
      <c r="E369" s="446"/>
      <c r="F369" s="446"/>
      <c r="G369" s="446"/>
      <c r="H369" s="446"/>
      <c r="I369" s="446"/>
      <c r="J369" s="446"/>
      <c r="K369" s="860"/>
      <c r="L369" s="446"/>
      <c r="M369" s="446"/>
      <c r="N369" s="446"/>
      <c r="O369" s="446"/>
      <c r="P369" s="446"/>
      <c r="Q369" s="446"/>
      <c r="R369" s="446"/>
    </row>
    <row r="370">
      <c r="A370" s="446"/>
      <c r="B370" s="446"/>
      <c r="C370" s="446"/>
      <c r="D370" s="859"/>
      <c r="E370" s="446"/>
      <c r="F370" s="446"/>
      <c r="G370" s="446"/>
      <c r="H370" s="446"/>
      <c r="I370" s="446"/>
      <c r="J370" s="446"/>
      <c r="K370" s="860"/>
      <c r="L370" s="446"/>
      <c r="M370" s="446"/>
      <c r="N370" s="446"/>
      <c r="O370" s="446"/>
      <c r="P370" s="446"/>
      <c r="Q370" s="446"/>
      <c r="R370" s="446"/>
    </row>
    <row r="371">
      <c r="A371" s="446"/>
      <c r="B371" s="446"/>
      <c r="C371" s="446"/>
      <c r="D371" s="859"/>
      <c r="E371" s="446"/>
      <c r="F371" s="446"/>
      <c r="G371" s="446"/>
      <c r="H371" s="446"/>
      <c r="I371" s="446"/>
      <c r="J371" s="446"/>
      <c r="K371" s="860"/>
      <c r="L371" s="446"/>
      <c r="M371" s="446"/>
      <c r="N371" s="446"/>
      <c r="O371" s="446"/>
      <c r="P371" s="446"/>
      <c r="Q371" s="446"/>
      <c r="R371" s="446"/>
    </row>
    <row r="372">
      <c r="A372" s="446"/>
      <c r="B372" s="446"/>
      <c r="C372" s="446"/>
      <c r="D372" s="859"/>
      <c r="E372" s="446"/>
      <c r="F372" s="446"/>
      <c r="G372" s="446"/>
      <c r="H372" s="446"/>
      <c r="I372" s="446"/>
      <c r="J372" s="446"/>
      <c r="K372" s="860"/>
      <c r="L372" s="446"/>
      <c r="M372" s="446"/>
      <c r="N372" s="446"/>
      <c r="O372" s="446"/>
      <c r="P372" s="446"/>
      <c r="Q372" s="446"/>
      <c r="R372" s="446"/>
    </row>
    <row r="373">
      <c r="A373" s="446"/>
      <c r="B373" s="446"/>
      <c r="C373" s="446"/>
      <c r="D373" s="859"/>
      <c r="E373" s="446"/>
      <c r="F373" s="446"/>
      <c r="G373" s="446"/>
      <c r="H373" s="446"/>
      <c r="I373" s="446"/>
      <c r="J373" s="446"/>
      <c r="K373" s="860"/>
      <c r="L373" s="446"/>
      <c r="M373" s="446"/>
      <c r="N373" s="446"/>
      <c r="O373" s="446"/>
      <c r="P373" s="446"/>
      <c r="Q373" s="446"/>
      <c r="R373" s="446"/>
    </row>
    <row r="374">
      <c r="A374" s="446"/>
      <c r="B374" s="446"/>
      <c r="C374" s="446"/>
      <c r="D374" s="859"/>
      <c r="E374" s="446"/>
      <c r="F374" s="446"/>
      <c r="G374" s="446"/>
      <c r="H374" s="446"/>
      <c r="I374" s="446"/>
      <c r="J374" s="446"/>
      <c r="K374" s="860"/>
      <c r="L374" s="446"/>
      <c r="M374" s="446"/>
      <c r="N374" s="446"/>
      <c r="O374" s="446"/>
      <c r="P374" s="446"/>
      <c r="Q374" s="446"/>
      <c r="R374" s="446"/>
    </row>
    <row r="375">
      <c r="A375" s="446"/>
      <c r="B375" s="446"/>
      <c r="C375" s="446"/>
      <c r="D375" s="859"/>
      <c r="E375" s="446"/>
      <c r="F375" s="446"/>
      <c r="G375" s="446"/>
      <c r="H375" s="446"/>
      <c r="I375" s="446"/>
      <c r="J375" s="446"/>
      <c r="K375" s="860"/>
      <c r="L375" s="446"/>
      <c r="M375" s="446"/>
      <c r="N375" s="446"/>
      <c r="O375" s="446"/>
      <c r="P375" s="446"/>
      <c r="Q375" s="446"/>
      <c r="R375" s="446"/>
    </row>
    <row r="376">
      <c r="A376" s="446"/>
      <c r="B376" s="446"/>
      <c r="C376" s="446"/>
      <c r="D376" s="859"/>
      <c r="E376" s="446"/>
      <c r="F376" s="446"/>
      <c r="G376" s="446"/>
      <c r="H376" s="446"/>
      <c r="I376" s="446"/>
      <c r="J376" s="446"/>
      <c r="K376" s="860"/>
      <c r="L376" s="446"/>
      <c r="M376" s="446"/>
      <c r="N376" s="446"/>
      <c r="O376" s="446"/>
      <c r="P376" s="446"/>
      <c r="Q376" s="446"/>
      <c r="R376" s="446"/>
    </row>
    <row r="377">
      <c r="A377" s="446"/>
      <c r="B377" s="446"/>
      <c r="C377" s="446"/>
      <c r="D377" s="859"/>
      <c r="E377" s="446"/>
      <c r="F377" s="446"/>
      <c r="G377" s="446"/>
      <c r="H377" s="446"/>
      <c r="I377" s="446"/>
      <c r="J377" s="446"/>
      <c r="K377" s="860"/>
      <c r="L377" s="446"/>
      <c r="M377" s="446"/>
      <c r="N377" s="446"/>
      <c r="O377" s="446"/>
      <c r="P377" s="446"/>
      <c r="Q377" s="446"/>
      <c r="R377" s="446"/>
    </row>
    <row r="378">
      <c r="A378" s="446"/>
      <c r="B378" s="446"/>
      <c r="C378" s="446"/>
      <c r="D378" s="859"/>
      <c r="E378" s="446"/>
      <c r="F378" s="446"/>
      <c r="G378" s="446"/>
      <c r="H378" s="446"/>
      <c r="I378" s="446"/>
      <c r="J378" s="446"/>
      <c r="K378" s="860"/>
      <c r="L378" s="446"/>
      <c r="M378" s="446"/>
      <c r="N378" s="446"/>
      <c r="O378" s="446"/>
      <c r="P378" s="446"/>
      <c r="Q378" s="446"/>
      <c r="R378" s="446"/>
    </row>
    <row r="379">
      <c r="A379" s="446"/>
      <c r="B379" s="446"/>
      <c r="C379" s="446"/>
      <c r="D379" s="859"/>
      <c r="E379" s="446"/>
      <c r="F379" s="446"/>
      <c r="G379" s="446"/>
      <c r="H379" s="446"/>
      <c r="I379" s="446"/>
      <c r="J379" s="446"/>
      <c r="K379" s="860"/>
      <c r="L379" s="446"/>
      <c r="M379" s="446"/>
      <c r="N379" s="446"/>
      <c r="O379" s="446"/>
      <c r="P379" s="446"/>
      <c r="Q379" s="446"/>
      <c r="R379" s="446"/>
    </row>
    <row r="380">
      <c r="A380" s="446"/>
      <c r="B380" s="446"/>
      <c r="C380" s="446"/>
      <c r="D380" s="859"/>
      <c r="E380" s="446"/>
      <c r="F380" s="446"/>
      <c r="G380" s="446"/>
      <c r="H380" s="446"/>
      <c r="I380" s="446"/>
      <c r="J380" s="446"/>
      <c r="K380" s="860"/>
      <c r="L380" s="446"/>
      <c r="M380" s="446"/>
      <c r="N380" s="446"/>
      <c r="O380" s="446"/>
      <c r="P380" s="446"/>
      <c r="Q380" s="446"/>
      <c r="R380" s="446"/>
    </row>
    <row r="381">
      <c r="A381" s="446"/>
      <c r="B381" s="446"/>
      <c r="C381" s="446"/>
      <c r="D381" s="859"/>
      <c r="E381" s="446"/>
      <c r="F381" s="446"/>
      <c r="G381" s="446"/>
      <c r="H381" s="446"/>
      <c r="I381" s="446"/>
      <c r="J381" s="446"/>
      <c r="K381" s="860"/>
      <c r="L381" s="446"/>
      <c r="M381" s="446"/>
      <c r="N381" s="446"/>
      <c r="O381" s="446"/>
      <c r="P381" s="446"/>
      <c r="Q381" s="446"/>
      <c r="R381" s="446"/>
    </row>
    <row r="382">
      <c r="A382" s="446"/>
      <c r="B382" s="446"/>
      <c r="C382" s="446"/>
      <c r="D382" s="859"/>
      <c r="E382" s="446"/>
      <c r="F382" s="446"/>
      <c r="G382" s="446"/>
      <c r="H382" s="446"/>
      <c r="I382" s="446"/>
      <c r="J382" s="446"/>
      <c r="K382" s="860"/>
      <c r="L382" s="446"/>
      <c r="M382" s="446"/>
      <c r="N382" s="446"/>
      <c r="O382" s="446"/>
      <c r="P382" s="446"/>
      <c r="Q382" s="446"/>
      <c r="R382" s="446"/>
    </row>
    <row r="383">
      <c r="A383" s="446"/>
      <c r="B383" s="446"/>
      <c r="C383" s="446"/>
      <c r="D383" s="859"/>
      <c r="E383" s="446"/>
      <c r="F383" s="446"/>
      <c r="G383" s="446"/>
      <c r="H383" s="446"/>
      <c r="I383" s="446"/>
      <c r="J383" s="446"/>
      <c r="K383" s="860"/>
      <c r="L383" s="446"/>
      <c r="M383" s="446"/>
      <c r="N383" s="446"/>
      <c r="O383" s="446"/>
      <c r="P383" s="446"/>
      <c r="Q383" s="446"/>
      <c r="R383" s="446"/>
    </row>
    <row r="384">
      <c r="A384" s="446"/>
      <c r="B384" s="446"/>
      <c r="C384" s="446"/>
      <c r="D384" s="859"/>
      <c r="E384" s="446"/>
      <c r="F384" s="446"/>
      <c r="G384" s="446"/>
      <c r="H384" s="446"/>
      <c r="I384" s="446"/>
      <c r="J384" s="446"/>
      <c r="K384" s="860"/>
      <c r="L384" s="446"/>
      <c r="M384" s="446"/>
      <c r="N384" s="446"/>
      <c r="O384" s="446"/>
      <c r="P384" s="446"/>
      <c r="Q384" s="446"/>
      <c r="R384" s="446"/>
    </row>
    <row r="385">
      <c r="A385" s="446"/>
      <c r="B385" s="446"/>
      <c r="C385" s="446"/>
      <c r="D385" s="859"/>
      <c r="E385" s="446"/>
      <c r="F385" s="446"/>
      <c r="G385" s="446"/>
      <c r="H385" s="446"/>
      <c r="I385" s="446"/>
      <c r="J385" s="446"/>
      <c r="K385" s="860"/>
      <c r="L385" s="446"/>
      <c r="M385" s="446"/>
      <c r="N385" s="446"/>
      <c r="O385" s="446"/>
      <c r="P385" s="446"/>
      <c r="Q385" s="446"/>
      <c r="R385" s="446"/>
    </row>
    <row r="386">
      <c r="A386" s="446"/>
      <c r="B386" s="446"/>
      <c r="C386" s="446"/>
      <c r="D386" s="859"/>
      <c r="E386" s="446"/>
      <c r="F386" s="446"/>
      <c r="G386" s="446"/>
      <c r="H386" s="446"/>
      <c r="I386" s="446"/>
      <c r="J386" s="446"/>
      <c r="K386" s="860"/>
      <c r="L386" s="446"/>
      <c r="M386" s="446"/>
      <c r="N386" s="446"/>
      <c r="O386" s="446"/>
      <c r="P386" s="446"/>
      <c r="Q386" s="446"/>
      <c r="R386" s="446"/>
    </row>
    <row r="387">
      <c r="A387" s="446"/>
      <c r="B387" s="446"/>
      <c r="C387" s="446"/>
      <c r="D387" s="859"/>
      <c r="E387" s="446"/>
      <c r="F387" s="446"/>
      <c r="G387" s="446"/>
      <c r="H387" s="446"/>
      <c r="I387" s="446"/>
      <c r="J387" s="446"/>
      <c r="K387" s="860"/>
      <c r="L387" s="446"/>
      <c r="M387" s="446"/>
      <c r="N387" s="446"/>
      <c r="O387" s="446"/>
      <c r="P387" s="446"/>
      <c r="Q387" s="446"/>
      <c r="R387" s="446"/>
    </row>
    <row r="388">
      <c r="A388" s="446"/>
      <c r="B388" s="446"/>
      <c r="C388" s="446"/>
      <c r="D388" s="859"/>
      <c r="E388" s="446"/>
      <c r="F388" s="446"/>
      <c r="G388" s="446"/>
      <c r="H388" s="446"/>
      <c r="I388" s="446"/>
      <c r="J388" s="446"/>
      <c r="K388" s="860"/>
      <c r="L388" s="446"/>
      <c r="M388" s="446"/>
      <c r="N388" s="446"/>
      <c r="O388" s="446"/>
      <c r="P388" s="446"/>
      <c r="Q388" s="446"/>
      <c r="R388" s="446"/>
    </row>
    <row r="389">
      <c r="A389" s="446"/>
      <c r="B389" s="446"/>
      <c r="C389" s="446"/>
      <c r="D389" s="859"/>
      <c r="E389" s="446"/>
      <c r="F389" s="446"/>
      <c r="G389" s="446"/>
      <c r="H389" s="446"/>
      <c r="I389" s="446"/>
      <c r="J389" s="446"/>
      <c r="K389" s="860"/>
      <c r="L389" s="446"/>
      <c r="M389" s="446"/>
      <c r="N389" s="446"/>
      <c r="O389" s="446"/>
      <c r="P389" s="446"/>
      <c r="Q389" s="446"/>
      <c r="R389" s="446"/>
    </row>
    <row r="390">
      <c r="A390" s="446"/>
      <c r="B390" s="446"/>
      <c r="C390" s="446"/>
      <c r="D390" s="859"/>
      <c r="E390" s="446"/>
      <c r="F390" s="446"/>
      <c r="G390" s="446"/>
      <c r="H390" s="446"/>
      <c r="I390" s="446"/>
      <c r="J390" s="446"/>
      <c r="K390" s="860"/>
      <c r="L390" s="446"/>
      <c r="M390" s="446"/>
      <c r="N390" s="446"/>
      <c r="O390" s="446"/>
      <c r="P390" s="446"/>
      <c r="Q390" s="446"/>
      <c r="R390" s="446"/>
    </row>
    <row r="391">
      <c r="A391" s="446"/>
      <c r="B391" s="446"/>
      <c r="C391" s="446"/>
      <c r="D391" s="859"/>
      <c r="E391" s="446"/>
      <c r="F391" s="446"/>
      <c r="G391" s="446"/>
      <c r="H391" s="446"/>
      <c r="I391" s="446"/>
      <c r="J391" s="446"/>
      <c r="K391" s="860"/>
      <c r="L391" s="446"/>
      <c r="M391" s="446"/>
      <c r="N391" s="446"/>
      <c r="O391" s="446"/>
      <c r="P391" s="446"/>
      <c r="Q391" s="446"/>
      <c r="R391" s="446"/>
    </row>
    <row r="392">
      <c r="A392" s="446"/>
      <c r="B392" s="446"/>
      <c r="C392" s="446"/>
      <c r="D392" s="859"/>
      <c r="E392" s="446"/>
      <c r="F392" s="446"/>
      <c r="G392" s="446"/>
      <c r="H392" s="446"/>
      <c r="I392" s="446"/>
      <c r="J392" s="446"/>
      <c r="K392" s="860"/>
      <c r="L392" s="446"/>
      <c r="M392" s="446"/>
      <c r="N392" s="446"/>
      <c r="O392" s="446"/>
      <c r="P392" s="446"/>
      <c r="Q392" s="446"/>
      <c r="R392" s="446"/>
    </row>
    <row r="393">
      <c r="A393" s="446"/>
      <c r="B393" s="446"/>
      <c r="C393" s="446"/>
      <c r="D393" s="859"/>
      <c r="E393" s="446"/>
      <c r="F393" s="446"/>
      <c r="G393" s="446"/>
      <c r="H393" s="446"/>
      <c r="I393" s="446"/>
      <c r="J393" s="446"/>
      <c r="K393" s="860"/>
      <c r="L393" s="446"/>
      <c r="M393" s="446"/>
      <c r="N393" s="446"/>
      <c r="O393" s="446"/>
      <c r="P393" s="446"/>
      <c r="Q393" s="446"/>
      <c r="R393" s="446"/>
    </row>
    <row r="394">
      <c r="A394" s="446"/>
      <c r="B394" s="446"/>
      <c r="C394" s="446"/>
      <c r="D394" s="859"/>
      <c r="E394" s="446"/>
      <c r="F394" s="446"/>
      <c r="G394" s="446"/>
      <c r="H394" s="446"/>
      <c r="I394" s="446"/>
      <c r="J394" s="446"/>
      <c r="K394" s="860"/>
      <c r="L394" s="446"/>
      <c r="M394" s="446"/>
      <c r="N394" s="446"/>
      <c r="O394" s="446"/>
      <c r="P394" s="446"/>
      <c r="Q394" s="446"/>
      <c r="R394" s="446"/>
    </row>
    <row r="395">
      <c r="A395" s="446"/>
      <c r="B395" s="446"/>
      <c r="C395" s="446"/>
      <c r="D395" s="859"/>
      <c r="E395" s="446"/>
      <c r="F395" s="446"/>
      <c r="G395" s="446"/>
      <c r="H395" s="446"/>
      <c r="I395" s="446"/>
      <c r="J395" s="446"/>
      <c r="K395" s="860"/>
      <c r="L395" s="446"/>
      <c r="M395" s="446"/>
      <c r="N395" s="446"/>
      <c r="O395" s="446"/>
      <c r="P395" s="446"/>
      <c r="Q395" s="446"/>
      <c r="R395" s="446"/>
    </row>
    <row r="396">
      <c r="A396" s="446"/>
      <c r="B396" s="446"/>
      <c r="C396" s="446"/>
      <c r="D396" s="859"/>
      <c r="E396" s="446"/>
      <c r="F396" s="446"/>
      <c r="G396" s="446"/>
      <c r="H396" s="446"/>
      <c r="I396" s="446"/>
      <c r="J396" s="446"/>
      <c r="K396" s="860"/>
      <c r="L396" s="446"/>
      <c r="M396" s="446"/>
      <c r="N396" s="446"/>
      <c r="O396" s="446"/>
      <c r="P396" s="446"/>
      <c r="Q396" s="446"/>
      <c r="R396" s="446"/>
    </row>
    <row r="397">
      <c r="A397" s="446"/>
      <c r="B397" s="446"/>
      <c r="C397" s="446"/>
      <c r="D397" s="859"/>
      <c r="E397" s="446"/>
      <c r="F397" s="446"/>
      <c r="G397" s="446"/>
      <c r="H397" s="446"/>
      <c r="I397" s="446"/>
      <c r="J397" s="446"/>
      <c r="K397" s="860"/>
      <c r="L397" s="446"/>
      <c r="M397" s="446"/>
      <c r="N397" s="446"/>
      <c r="O397" s="446"/>
      <c r="P397" s="446"/>
      <c r="Q397" s="446"/>
      <c r="R397" s="446"/>
    </row>
    <row r="398">
      <c r="A398" s="446"/>
      <c r="B398" s="446"/>
      <c r="C398" s="446"/>
      <c r="D398" s="859"/>
      <c r="E398" s="446"/>
      <c r="F398" s="446"/>
      <c r="G398" s="446"/>
      <c r="H398" s="446"/>
      <c r="I398" s="446"/>
      <c r="J398" s="446"/>
      <c r="K398" s="860"/>
      <c r="L398" s="446"/>
      <c r="M398" s="446"/>
      <c r="N398" s="446"/>
      <c r="O398" s="446"/>
      <c r="P398" s="446"/>
      <c r="Q398" s="446"/>
      <c r="R398" s="446"/>
    </row>
    <row r="399">
      <c r="A399" s="446"/>
      <c r="B399" s="446"/>
      <c r="C399" s="446"/>
      <c r="D399" s="859"/>
      <c r="E399" s="446"/>
      <c r="F399" s="446"/>
      <c r="G399" s="446"/>
      <c r="H399" s="446"/>
      <c r="I399" s="446"/>
      <c r="J399" s="446"/>
      <c r="K399" s="860"/>
      <c r="L399" s="446"/>
      <c r="M399" s="446"/>
      <c r="N399" s="446"/>
      <c r="O399" s="446"/>
      <c r="P399" s="446"/>
      <c r="Q399" s="446"/>
      <c r="R399" s="446"/>
    </row>
    <row r="400">
      <c r="A400" s="446"/>
      <c r="B400" s="446"/>
      <c r="C400" s="446"/>
      <c r="D400" s="859"/>
      <c r="E400" s="446"/>
      <c r="F400" s="446"/>
      <c r="G400" s="446"/>
      <c r="H400" s="446"/>
      <c r="I400" s="446"/>
      <c r="J400" s="446"/>
      <c r="K400" s="860"/>
      <c r="L400" s="446"/>
      <c r="M400" s="446"/>
      <c r="N400" s="446"/>
      <c r="O400" s="446"/>
      <c r="P400" s="446"/>
      <c r="Q400" s="446"/>
      <c r="R400" s="446"/>
    </row>
    <row r="401">
      <c r="A401" s="446"/>
      <c r="B401" s="446"/>
      <c r="C401" s="446"/>
      <c r="D401" s="859"/>
      <c r="E401" s="446"/>
      <c r="F401" s="446"/>
      <c r="G401" s="446"/>
      <c r="H401" s="446"/>
      <c r="I401" s="446"/>
      <c r="J401" s="446"/>
      <c r="K401" s="860"/>
      <c r="L401" s="446"/>
      <c r="M401" s="446"/>
      <c r="N401" s="446"/>
      <c r="O401" s="446"/>
      <c r="P401" s="446"/>
      <c r="Q401" s="446"/>
      <c r="R401" s="446"/>
    </row>
    <row r="402">
      <c r="A402" s="446"/>
      <c r="B402" s="446"/>
      <c r="C402" s="446"/>
      <c r="D402" s="859"/>
      <c r="E402" s="446"/>
      <c r="F402" s="446"/>
      <c r="G402" s="446"/>
      <c r="H402" s="446"/>
      <c r="I402" s="446"/>
      <c r="J402" s="446"/>
      <c r="K402" s="860"/>
      <c r="L402" s="446"/>
      <c r="M402" s="446"/>
      <c r="N402" s="446"/>
      <c r="O402" s="446"/>
      <c r="P402" s="446"/>
      <c r="Q402" s="446"/>
      <c r="R402" s="446"/>
    </row>
    <row r="403">
      <c r="A403" s="446"/>
      <c r="B403" s="446"/>
      <c r="C403" s="446"/>
      <c r="D403" s="859"/>
      <c r="E403" s="446"/>
      <c r="F403" s="446"/>
      <c r="G403" s="446"/>
      <c r="H403" s="446"/>
      <c r="I403" s="446"/>
      <c r="J403" s="446"/>
      <c r="K403" s="860"/>
      <c r="L403" s="446"/>
      <c r="M403" s="446"/>
      <c r="N403" s="446"/>
      <c r="O403" s="446"/>
      <c r="P403" s="446"/>
      <c r="Q403" s="446"/>
      <c r="R403" s="446"/>
    </row>
    <row r="404">
      <c r="A404" s="446"/>
      <c r="B404" s="446"/>
      <c r="C404" s="446"/>
      <c r="D404" s="859"/>
      <c r="E404" s="446"/>
      <c r="F404" s="446"/>
      <c r="G404" s="446"/>
      <c r="H404" s="446"/>
      <c r="I404" s="446"/>
      <c r="J404" s="446"/>
      <c r="K404" s="860"/>
      <c r="L404" s="446"/>
      <c r="M404" s="446"/>
      <c r="N404" s="446"/>
      <c r="O404" s="446"/>
      <c r="P404" s="446"/>
      <c r="Q404" s="446"/>
      <c r="R404" s="446"/>
    </row>
    <row r="405">
      <c r="A405" s="446"/>
      <c r="B405" s="446"/>
      <c r="C405" s="446"/>
      <c r="D405" s="859"/>
      <c r="E405" s="446"/>
      <c r="F405" s="446"/>
      <c r="G405" s="446"/>
      <c r="H405" s="446"/>
      <c r="I405" s="446"/>
      <c r="J405" s="446"/>
      <c r="K405" s="860"/>
      <c r="L405" s="446"/>
      <c r="M405" s="446"/>
      <c r="N405" s="446"/>
      <c r="O405" s="446"/>
      <c r="P405" s="446"/>
      <c r="Q405" s="446"/>
      <c r="R405" s="446"/>
    </row>
    <row r="406">
      <c r="A406" s="446"/>
      <c r="B406" s="446"/>
      <c r="C406" s="446"/>
      <c r="D406" s="859"/>
      <c r="E406" s="446"/>
      <c r="F406" s="446"/>
      <c r="G406" s="446"/>
      <c r="H406" s="446"/>
      <c r="I406" s="446"/>
      <c r="J406" s="446"/>
      <c r="K406" s="860"/>
      <c r="L406" s="446"/>
      <c r="M406" s="446"/>
      <c r="N406" s="446"/>
      <c r="O406" s="446"/>
      <c r="P406" s="446"/>
      <c r="Q406" s="446"/>
      <c r="R406" s="446"/>
    </row>
    <row r="407">
      <c r="A407" s="446"/>
      <c r="B407" s="446"/>
      <c r="C407" s="446"/>
      <c r="D407" s="859"/>
      <c r="E407" s="446"/>
      <c r="F407" s="446"/>
      <c r="G407" s="446"/>
      <c r="H407" s="446"/>
      <c r="I407" s="446"/>
      <c r="J407" s="446"/>
      <c r="K407" s="860"/>
      <c r="L407" s="446"/>
      <c r="M407" s="446"/>
      <c r="N407" s="446"/>
      <c r="O407" s="446"/>
      <c r="P407" s="446"/>
      <c r="Q407" s="446"/>
      <c r="R407" s="446"/>
    </row>
    <row r="408">
      <c r="A408" s="446"/>
      <c r="B408" s="446"/>
      <c r="C408" s="446"/>
      <c r="D408" s="859"/>
      <c r="E408" s="446"/>
      <c r="F408" s="446"/>
      <c r="G408" s="446"/>
      <c r="H408" s="446"/>
      <c r="I408" s="446"/>
      <c r="J408" s="446"/>
      <c r="K408" s="860"/>
      <c r="L408" s="446"/>
      <c r="M408" s="446"/>
      <c r="N408" s="446"/>
      <c r="O408" s="446"/>
      <c r="P408" s="446"/>
      <c r="Q408" s="446"/>
      <c r="R408" s="446"/>
    </row>
    <row r="409">
      <c r="A409" s="446"/>
      <c r="B409" s="446"/>
      <c r="C409" s="446"/>
      <c r="D409" s="859"/>
      <c r="E409" s="446"/>
      <c r="F409" s="446"/>
      <c r="G409" s="446"/>
      <c r="H409" s="446"/>
      <c r="I409" s="446"/>
      <c r="J409" s="446"/>
      <c r="K409" s="860"/>
      <c r="L409" s="446"/>
      <c r="M409" s="446"/>
      <c r="N409" s="446"/>
      <c r="O409" s="446"/>
      <c r="P409" s="446"/>
      <c r="Q409" s="446"/>
      <c r="R409" s="446"/>
    </row>
    <row r="410">
      <c r="A410" s="446"/>
      <c r="B410" s="446"/>
      <c r="C410" s="446"/>
      <c r="D410" s="859"/>
      <c r="E410" s="446"/>
      <c r="F410" s="446"/>
      <c r="G410" s="446"/>
      <c r="H410" s="446"/>
      <c r="I410" s="446"/>
      <c r="J410" s="446"/>
      <c r="K410" s="860"/>
      <c r="L410" s="446"/>
      <c r="M410" s="446"/>
      <c r="N410" s="446"/>
      <c r="O410" s="446"/>
      <c r="P410" s="446"/>
      <c r="Q410" s="446"/>
      <c r="R410" s="446"/>
    </row>
    <row r="411">
      <c r="A411" s="446"/>
      <c r="B411" s="446"/>
      <c r="C411" s="446"/>
      <c r="D411" s="859"/>
      <c r="E411" s="446"/>
      <c r="F411" s="446"/>
      <c r="G411" s="446"/>
      <c r="H411" s="446"/>
      <c r="I411" s="446"/>
      <c r="J411" s="446"/>
      <c r="K411" s="860"/>
      <c r="L411" s="446"/>
      <c r="M411" s="446"/>
      <c r="N411" s="446"/>
      <c r="O411" s="446"/>
      <c r="P411" s="446"/>
      <c r="Q411" s="446"/>
      <c r="R411" s="446"/>
    </row>
    <row r="412">
      <c r="A412" s="446"/>
      <c r="B412" s="446"/>
      <c r="C412" s="446"/>
      <c r="D412" s="859"/>
      <c r="E412" s="446"/>
      <c r="F412" s="446"/>
      <c r="G412" s="446"/>
      <c r="H412" s="446"/>
      <c r="I412" s="446"/>
      <c r="J412" s="446"/>
      <c r="K412" s="860"/>
      <c r="L412" s="446"/>
      <c r="M412" s="446"/>
      <c r="N412" s="446"/>
      <c r="O412" s="446"/>
      <c r="P412" s="446"/>
      <c r="Q412" s="446"/>
      <c r="R412" s="446"/>
    </row>
    <row r="413">
      <c r="A413" s="446"/>
      <c r="B413" s="446"/>
      <c r="C413" s="446"/>
      <c r="D413" s="859"/>
      <c r="E413" s="446"/>
      <c r="F413" s="446"/>
      <c r="G413" s="446"/>
      <c r="H413" s="446"/>
      <c r="I413" s="446"/>
      <c r="J413" s="446"/>
      <c r="K413" s="860"/>
      <c r="L413" s="446"/>
      <c r="M413" s="446"/>
      <c r="N413" s="446"/>
      <c r="O413" s="446"/>
      <c r="P413" s="446"/>
      <c r="Q413" s="446"/>
      <c r="R413" s="446"/>
    </row>
    <row r="414">
      <c r="A414" s="446"/>
      <c r="B414" s="446"/>
      <c r="C414" s="446"/>
      <c r="D414" s="859"/>
      <c r="E414" s="446"/>
      <c r="F414" s="446"/>
      <c r="G414" s="446"/>
      <c r="H414" s="446"/>
      <c r="I414" s="446"/>
      <c r="J414" s="446"/>
      <c r="K414" s="860"/>
      <c r="L414" s="446"/>
      <c r="M414" s="446"/>
      <c r="N414" s="446"/>
      <c r="O414" s="446"/>
      <c r="P414" s="446"/>
      <c r="Q414" s="446"/>
      <c r="R414" s="446"/>
    </row>
    <row r="415">
      <c r="A415" s="446"/>
      <c r="B415" s="446"/>
      <c r="C415" s="446"/>
      <c r="D415" s="859"/>
      <c r="E415" s="446"/>
      <c r="F415" s="446"/>
      <c r="G415" s="446"/>
      <c r="H415" s="446"/>
      <c r="I415" s="446"/>
      <c r="J415" s="446"/>
      <c r="K415" s="860"/>
      <c r="L415" s="446"/>
      <c r="M415" s="446"/>
      <c r="N415" s="446"/>
      <c r="O415" s="446"/>
      <c r="P415" s="446"/>
      <c r="Q415" s="446"/>
      <c r="R415" s="446"/>
    </row>
    <row r="416">
      <c r="A416" s="446"/>
      <c r="B416" s="446"/>
      <c r="C416" s="446"/>
      <c r="D416" s="859"/>
      <c r="E416" s="446"/>
      <c r="F416" s="446"/>
      <c r="G416" s="446"/>
      <c r="H416" s="446"/>
      <c r="I416" s="446"/>
      <c r="J416" s="446"/>
      <c r="K416" s="860"/>
      <c r="L416" s="446"/>
      <c r="M416" s="446"/>
      <c r="N416" s="446"/>
      <c r="O416" s="446"/>
      <c r="P416" s="446"/>
      <c r="Q416" s="446"/>
      <c r="R416" s="446"/>
    </row>
    <row r="417">
      <c r="A417" s="446"/>
      <c r="B417" s="446"/>
      <c r="C417" s="446"/>
      <c r="D417" s="859"/>
      <c r="E417" s="446"/>
      <c r="F417" s="446"/>
      <c r="G417" s="446"/>
      <c r="H417" s="446"/>
      <c r="I417" s="446"/>
      <c r="J417" s="446"/>
      <c r="K417" s="860"/>
      <c r="L417" s="446"/>
      <c r="M417" s="446"/>
      <c r="N417" s="446"/>
      <c r="O417" s="446"/>
      <c r="P417" s="446"/>
      <c r="Q417" s="446"/>
      <c r="R417" s="446"/>
    </row>
    <row r="418">
      <c r="A418" s="446"/>
      <c r="B418" s="446"/>
      <c r="C418" s="446"/>
      <c r="D418" s="859"/>
      <c r="E418" s="446"/>
      <c r="F418" s="446"/>
      <c r="G418" s="446"/>
      <c r="H418" s="446"/>
      <c r="I418" s="446"/>
      <c r="J418" s="446"/>
      <c r="K418" s="860"/>
      <c r="L418" s="446"/>
      <c r="M418" s="446"/>
      <c r="N418" s="446"/>
      <c r="O418" s="446"/>
      <c r="P418" s="446"/>
      <c r="Q418" s="446"/>
      <c r="R418" s="446"/>
    </row>
    <row r="419">
      <c r="A419" s="446"/>
      <c r="B419" s="446"/>
      <c r="C419" s="446"/>
      <c r="D419" s="859"/>
      <c r="E419" s="446"/>
      <c r="F419" s="446"/>
      <c r="G419" s="446"/>
      <c r="H419" s="446"/>
      <c r="I419" s="446"/>
      <c r="J419" s="446"/>
      <c r="K419" s="860"/>
      <c r="L419" s="446"/>
      <c r="M419" s="446"/>
      <c r="N419" s="446"/>
      <c r="O419" s="446"/>
      <c r="P419" s="446"/>
      <c r="Q419" s="446"/>
      <c r="R419" s="446"/>
    </row>
    <row r="420">
      <c r="A420" s="446"/>
      <c r="B420" s="446"/>
      <c r="C420" s="446"/>
      <c r="D420" s="859"/>
      <c r="E420" s="446"/>
      <c r="F420" s="446"/>
      <c r="G420" s="446"/>
      <c r="H420" s="446"/>
      <c r="I420" s="446"/>
      <c r="J420" s="446"/>
      <c r="K420" s="860"/>
      <c r="L420" s="446"/>
      <c r="M420" s="446"/>
      <c r="N420" s="446"/>
      <c r="O420" s="446"/>
      <c r="P420" s="446"/>
      <c r="Q420" s="446"/>
      <c r="R420" s="446"/>
    </row>
    <row r="421">
      <c r="A421" s="446"/>
      <c r="B421" s="446"/>
      <c r="C421" s="446"/>
      <c r="D421" s="859"/>
      <c r="E421" s="446"/>
      <c r="F421" s="446"/>
      <c r="G421" s="446"/>
      <c r="H421" s="446"/>
      <c r="I421" s="446"/>
      <c r="J421" s="446"/>
      <c r="K421" s="860"/>
      <c r="L421" s="446"/>
      <c r="M421" s="446"/>
      <c r="N421" s="446"/>
      <c r="O421" s="446"/>
      <c r="P421" s="446"/>
      <c r="Q421" s="446"/>
      <c r="R421" s="446"/>
    </row>
    <row r="422">
      <c r="A422" s="446"/>
      <c r="B422" s="446"/>
      <c r="C422" s="446"/>
      <c r="D422" s="859"/>
      <c r="E422" s="446"/>
      <c r="F422" s="446"/>
      <c r="G422" s="446"/>
      <c r="H422" s="446"/>
      <c r="I422" s="446"/>
      <c r="J422" s="446"/>
      <c r="K422" s="860"/>
      <c r="L422" s="446"/>
      <c r="M422" s="446"/>
      <c r="N422" s="446"/>
      <c r="O422" s="446"/>
      <c r="P422" s="446"/>
      <c r="Q422" s="446"/>
      <c r="R422" s="446"/>
    </row>
    <row r="423">
      <c r="A423" s="446"/>
      <c r="B423" s="446"/>
      <c r="C423" s="446"/>
      <c r="D423" s="859"/>
      <c r="E423" s="446"/>
      <c r="F423" s="446"/>
      <c r="G423" s="446"/>
      <c r="H423" s="446"/>
      <c r="I423" s="446"/>
      <c r="J423" s="446"/>
      <c r="K423" s="860"/>
      <c r="L423" s="446"/>
      <c r="M423" s="446"/>
      <c r="N423" s="446"/>
      <c r="O423" s="446"/>
      <c r="P423" s="446"/>
      <c r="Q423" s="446"/>
      <c r="R423" s="446"/>
    </row>
    <row r="424">
      <c r="A424" s="446"/>
      <c r="B424" s="446"/>
      <c r="C424" s="446"/>
      <c r="D424" s="859"/>
      <c r="E424" s="446"/>
      <c r="F424" s="446"/>
      <c r="G424" s="446"/>
      <c r="H424" s="446"/>
      <c r="I424" s="446"/>
      <c r="J424" s="446"/>
      <c r="K424" s="860"/>
      <c r="L424" s="446"/>
      <c r="M424" s="446"/>
      <c r="N424" s="446"/>
      <c r="O424" s="446"/>
      <c r="P424" s="446"/>
      <c r="Q424" s="446"/>
      <c r="R424" s="446"/>
    </row>
    <row r="425">
      <c r="A425" s="446"/>
      <c r="B425" s="446"/>
      <c r="C425" s="446"/>
      <c r="D425" s="859"/>
      <c r="E425" s="446"/>
      <c r="F425" s="446"/>
      <c r="G425" s="446"/>
      <c r="H425" s="446"/>
      <c r="I425" s="446"/>
      <c r="J425" s="446"/>
      <c r="K425" s="860"/>
      <c r="L425" s="446"/>
      <c r="M425" s="446"/>
      <c r="N425" s="446"/>
      <c r="O425" s="446"/>
      <c r="P425" s="446"/>
      <c r="Q425" s="446"/>
      <c r="R425" s="446"/>
    </row>
    <row r="426">
      <c r="A426" s="446"/>
      <c r="B426" s="446"/>
      <c r="C426" s="446"/>
      <c r="D426" s="859"/>
      <c r="E426" s="446"/>
      <c r="F426" s="446"/>
      <c r="G426" s="446"/>
      <c r="H426" s="446"/>
      <c r="I426" s="446"/>
      <c r="J426" s="446"/>
      <c r="K426" s="860"/>
      <c r="L426" s="446"/>
      <c r="M426" s="446"/>
      <c r="N426" s="446"/>
      <c r="O426" s="446"/>
      <c r="P426" s="446"/>
      <c r="Q426" s="446"/>
      <c r="R426" s="446"/>
    </row>
    <row r="427">
      <c r="A427" s="446"/>
      <c r="B427" s="446"/>
      <c r="C427" s="446"/>
      <c r="D427" s="859"/>
      <c r="E427" s="446"/>
      <c r="F427" s="446"/>
      <c r="G427" s="446"/>
      <c r="H427" s="446"/>
      <c r="I427" s="446"/>
      <c r="J427" s="446"/>
      <c r="K427" s="860"/>
      <c r="L427" s="446"/>
      <c r="M427" s="446"/>
      <c r="N427" s="446"/>
      <c r="O427" s="446"/>
      <c r="P427" s="446"/>
      <c r="Q427" s="446"/>
      <c r="R427" s="446"/>
    </row>
    <row r="428">
      <c r="A428" s="446"/>
      <c r="B428" s="446"/>
      <c r="C428" s="446"/>
      <c r="D428" s="859"/>
      <c r="E428" s="446"/>
      <c r="F428" s="446"/>
      <c r="G428" s="446"/>
      <c r="H428" s="446"/>
      <c r="I428" s="446"/>
      <c r="J428" s="446"/>
      <c r="K428" s="860"/>
      <c r="L428" s="446"/>
      <c r="M428" s="446"/>
      <c r="N428" s="446"/>
      <c r="O428" s="446"/>
      <c r="P428" s="446"/>
      <c r="Q428" s="446"/>
      <c r="R428" s="446"/>
    </row>
    <row r="429">
      <c r="A429" s="446"/>
      <c r="B429" s="446"/>
      <c r="C429" s="446"/>
      <c r="D429" s="859"/>
      <c r="E429" s="446"/>
      <c r="F429" s="446"/>
      <c r="G429" s="446"/>
      <c r="H429" s="446"/>
      <c r="I429" s="446"/>
      <c r="J429" s="446"/>
      <c r="K429" s="860"/>
      <c r="L429" s="446"/>
      <c r="M429" s="446"/>
      <c r="N429" s="446"/>
      <c r="O429" s="446"/>
      <c r="P429" s="446"/>
      <c r="Q429" s="446"/>
      <c r="R429" s="446"/>
    </row>
    <row r="430">
      <c r="A430" s="446"/>
      <c r="B430" s="446"/>
      <c r="C430" s="446"/>
      <c r="D430" s="859"/>
      <c r="E430" s="446"/>
      <c r="F430" s="446"/>
      <c r="G430" s="446"/>
      <c r="H430" s="446"/>
      <c r="I430" s="446"/>
      <c r="J430" s="446"/>
      <c r="K430" s="860"/>
      <c r="L430" s="446"/>
      <c r="M430" s="446"/>
      <c r="N430" s="446"/>
      <c r="O430" s="446"/>
      <c r="P430" s="446"/>
      <c r="Q430" s="446"/>
      <c r="R430" s="446"/>
    </row>
    <row r="431">
      <c r="A431" s="446"/>
      <c r="B431" s="446"/>
      <c r="C431" s="446"/>
      <c r="D431" s="859"/>
      <c r="E431" s="446"/>
      <c r="F431" s="446"/>
      <c r="G431" s="446"/>
      <c r="H431" s="446"/>
      <c r="I431" s="446"/>
      <c r="J431" s="446"/>
      <c r="K431" s="860"/>
      <c r="L431" s="446"/>
      <c r="M431" s="446"/>
      <c r="N431" s="446"/>
      <c r="O431" s="446"/>
      <c r="P431" s="446"/>
      <c r="Q431" s="446"/>
      <c r="R431" s="446"/>
    </row>
    <row r="432">
      <c r="A432" s="446"/>
      <c r="B432" s="446"/>
      <c r="C432" s="446"/>
      <c r="D432" s="859"/>
      <c r="E432" s="446"/>
      <c r="F432" s="446"/>
      <c r="G432" s="446"/>
      <c r="H432" s="446"/>
      <c r="I432" s="446"/>
      <c r="J432" s="446"/>
      <c r="K432" s="860"/>
      <c r="L432" s="446"/>
      <c r="M432" s="446"/>
      <c r="N432" s="446"/>
      <c r="O432" s="446"/>
      <c r="P432" s="446"/>
      <c r="Q432" s="446"/>
      <c r="R432" s="446"/>
    </row>
    <row r="433">
      <c r="A433" s="446"/>
      <c r="B433" s="446"/>
      <c r="C433" s="446"/>
      <c r="D433" s="859"/>
      <c r="E433" s="446"/>
      <c r="F433" s="446"/>
      <c r="G433" s="446"/>
      <c r="H433" s="446"/>
      <c r="I433" s="446"/>
      <c r="J433" s="446"/>
      <c r="K433" s="860"/>
      <c r="L433" s="446"/>
      <c r="M433" s="446"/>
      <c r="N433" s="446"/>
      <c r="O433" s="446"/>
      <c r="P433" s="446"/>
      <c r="Q433" s="446"/>
      <c r="R433" s="446"/>
    </row>
    <row r="434">
      <c r="A434" s="446"/>
      <c r="B434" s="446"/>
      <c r="C434" s="446"/>
      <c r="D434" s="859"/>
      <c r="E434" s="446"/>
      <c r="F434" s="446"/>
      <c r="G434" s="446"/>
      <c r="H434" s="446"/>
      <c r="I434" s="446"/>
      <c r="J434" s="446"/>
      <c r="K434" s="860"/>
      <c r="L434" s="446"/>
      <c r="M434" s="446"/>
      <c r="N434" s="446"/>
      <c r="O434" s="446"/>
      <c r="P434" s="446"/>
      <c r="Q434" s="446"/>
      <c r="R434" s="446"/>
    </row>
    <row r="435">
      <c r="A435" s="446"/>
      <c r="B435" s="446"/>
      <c r="C435" s="446"/>
      <c r="D435" s="859"/>
      <c r="E435" s="446"/>
      <c r="F435" s="446"/>
      <c r="G435" s="446"/>
      <c r="H435" s="446"/>
      <c r="I435" s="446"/>
      <c r="J435" s="446"/>
      <c r="K435" s="860"/>
      <c r="L435" s="446"/>
      <c r="M435" s="446"/>
      <c r="N435" s="446"/>
      <c r="O435" s="446"/>
      <c r="P435" s="446"/>
      <c r="Q435" s="446"/>
      <c r="R435" s="446"/>
    </row>
    <row r="436">
      <c r="A436" s="446"/>
      <c r="B436" s="446"/>
      <c r="C436" s="446"/>
      <c r="D436" s="859"/>
      <c r="E436" s="446"/>
      <c r="F436" s="446"/>
      <c r="G436" s="446"/>
      <c r="H436" s="446"/>
      <c r="I436" s="446"/>
      <c r="J436" s="446"/>
      <c r="K436" s="860"/>
      <c r="L436" s="446"/>
      <c r="M436" s="446"/>
      <c r="N436" s="446"/>
      <c r="O436" s="446"/>
      <c r="P436" s="446"/>
      <c r="Q436" s="446"/>
      <c r="R436" s="446"/>
    </row>
    <row r="437">
      <c r="A437" s="446"/>
      <c r="B437" s="446"/>
      <c r="C437" s="446"/>
      <c r="D437" s="859"/>
      <c r="E437" s="446"/>
      <c r="F437" s="446"/>
      <c r="G437" s="446"/>
      <c r="H437" s="446"/>
      <c r="I437" s="446"/>
      <c r="J437" s="446"/>
      <c r="K437" s="860"/>
      <c r="L437" s="446"/>
      <c r="M437" s="446"/>
      <c r="N437" s="446"/>
      <c r="O437" s="446"/>
      <c r="P437" s="446"/>
      <c r="Q437" s="446"/>
      <c r="R437" s="446"/>
    </row>
    <row r="438">
      <c r="A438" s="446"/>
      <c r="B438" s="446"/>
      <c r="C438" s="446"/>
      <c r="D438" s="859"/>
      <c r="E438" s="446"/>
      <c r="F438" s="446"/>
      <c r="G438" s="446"/>
      <c r="H438" s="446"/>
      <c r="I438" s="446"/>
      <c r="J438" s="446"/>
      <c r="K438" s="860"/>
      <c r="L438" s="446"/>
      <c r="M438" s="446"/>
      <c r="N438" s="446"/>
      <c r="O438" s="446"/>
      <c r="P438" s="446"/>
      <c r="Q438" s="446"/>
      <c r="R438" s="446"/>
    </row>
    <row r="439">
      <c r="A439" s="446"/>
      <c r="B439" s="446"/>
      <c r="C439" s="446"/>
      <c r="D439" s="859"/>
      <c r="E439" s="446"/>
      <c r="F439" s="446"/>
      <c r="G439" s="446"/>
      <c r="H439" s="446"/>
      <c r="I439" s="446"/>
      <c r="J439" s="446"/>
      <c r="K439" s="860"/>
      <c r="L439" s="446"/>
      <c r="M439" s="446"/>
      <c r="N439" s="446"/>
      <c r="O439" s="446"/>
      <c r="P439" s="446"/>
      <c r="Q439" s="446"/>
      <c r="R439" s="446"/>
    </row>
    <row r="440">
      <c r="A440" s="446"/>
      <c r="B440" s="446"/>
      <c r="C440" s="446"/>
      <c r="D440" s="859"/>
      <c r="E440" s="446"/>
      <c r="F440" s="446"/>
      <c r="G440" s="446"/>
      <c r="H440" s="446"/>
      <c r="I440" s="446"/>
      <c r="J440" s="446"/>
      <c r="K440" s="860"/>
      <c r="L440" s="446"/>
      <c r="M440" s="446"/>
      <c r="N440" s="446"/>
      <c r="O440" s="446"/>
      <c r="P440" s="446"/>
      <c r="Q440" s="446"/>
      <c r="R440" s="446"/>
    </row>
    <row r="441">
      <c r="A441" s="446"/>
      <c r="B441" s="446"/>
      <c r="C441" s="446"/>
      <c r="D441" s="859"/>
      <c r="E441" s="446"/>
      <c r="F441" s="446"/>
      <c r="G441" s="446"/>
      <c r="H441" s="446"/>
      <c r="I441" s="446"/>
      <c r="J441" s="446"/>
      <c r="K441" s="860"/>
      <c r="L441" s="446"/>
      <c r="M441" s="446"/>
      <c r="N441" s="446"/>
      <c r="O441" s="446"/>
      <c r="P441" s="446"/>
      <c r="Q441" s="446"/>
      <c r="R441" s="446"/>
    </row>
    <row r="442">
      <c r="A442" s="446"/>
      <c r="B442" s="446"/>
      <c r="C442" s="446"/>
      <c r="D442" s="859"/>
      <c r="E442" s="446"/>
      <c r="F442" s="446"/>
      <c r="G442" s="446"/>
      <c r="H442" s="446"/>
      <c r="I442" s="446"/>
      <c r="J442" s="446"/>
      <c r="K442" s="860"/>
      <c r="L442" s="446"/>
      <c r="M442" s="446"/>
      <c r="N442" s="446"/>
      <c r="O442" s="446"/>
      <c r="P442" s="446"/>
      <c r="Q442" s="446"/>
      <c r="R442" s="446"/>
    </row>
    <row r="443">
      <c r="A443" s="446"/>
      <c r="B443" s="446"/>
      <c r="C443" s="446"/>
      <c r="D443" s="859"/>
      <c r="E443" s="446"/>
      <c r="F443" s="446"/>
      <c r="G443" s="446"/>
      <c r="H443" s="446"/>
      <c r="I443" s="446"/>
      <c r="J443" s="446"/>
      <c r="K443" s="860"/>
      <c r="L443" s="446"/>
      <c r="M443" s="446"/>
      <c r="N443" s="446"/>
      <c r="O443" s="446"/>
      <c r="P443" s="446"/>
      <c r="Q443" s="446"/>
      <c r="R443" s="446"/>
    </row>
    <row r="444">
      <c r="A444" s="446"/>
      <c r="B444" s="446"/>
      <c r="C444" s="446"/>
      <c r="D444" s="859"/>
      <c r="E444" s="446"/>
      <c r="F444" s="446"/>
      <c r="G444" s="446"/>
      <c r="H444" s="446"/>
      <c r="I444" s="446"/>
      <c r="J444" s="446"/>
      <c r="K444" s="860"/>
      <c r="L444" s="446"/>
      <c r="M444" s="446"/>
      <c r="N444" s="446"/>
      <c r="O444" s="446"/>
      <c r="P444" s="446"/>
      <c r="Q444" s="446"/>
      <c r="R444" s="446"/>
    </row>
    <row r="445">
      <c r="A445" s="446"/>
      <c r="B445" s="446"/>
      <c r="C445" s="446"/>
      <c r="D445" s="859"/>
      <c r="E445" s="446"/>
      <c r="F445" s="446"/>
      <c r="G445" s="446"/>
      <c r="H445" s="446"/>
      <c r="I445" s="446"/>
      <c r="J445" s="446"/>
      <c r="K445" s="860"/>
      <c r="L445" s="446"/>
      <c r="M445" s="446"/>
      <c r="N445" s="446"/>
      <c r="O445" s="446"/>
      <c r="P445" s="446"/>
      <c r="Q445" s="446"/>
      <c r="R445" s="446"/>
    </row>
    <row r="446">
      <c r="A446" s="446"/>
      <c r="B446" s="446"/>
      <c r="C446" s="446"/>
      <c r="D446" s="859"/>
      <c r="E446" s="446"/>
      <c r="F446" s="446"/>
      <c r="G446" s="446"/>
      <c r="H446" s="446"/>
      <c r="I446" s="446"/>
      <c r="J446" s="446"/>
      <c r="K446" s="860"/>
      <c r="L446" s="446"/>
      <c r="M446" s="446"/>
      <c r="N446" s="446"/>
      <c r="O446" s="446"/>
      <c r="P446" s="446"/>
      <c r="Q446" s="446"/>
      <c r="R446" s="446"/>
    </row>
    <row r="447">
      <c r="A447" s="446"/>
      <c r="B447" s="446"/>
      <c r="C447" s="446"/>
      <c r="D447" s="859"/>
      <c r="E447" s="446"/>
      <c r="F447" s="446"/>
      <c r="G447" s="446"/>
      <c r="H447" s="446"/>
      <c r="I447" s="446"/>
      <c r="J447" s="446"/>
      <c r="K447" s="860"/>
      <c r="L447" s="446"/>
      <c r="M447" s="446"/>
      <c r="N447" s="446"/>
      <c r="O447" s="446"/>
      <c r="P447" s="446"/>
      <c r="Q447" s="446"/>
      <c r="R447" s="446"/>
    </row>
    <row r="448">
      <c r="A448" s="446"/>
      <c r="B448" s="446"/>
      <c r="C448" s="446"/>
      <c r="D448" s="859"/>
      <c r="E448" s="446"/>
      <c r="F448" s="446"/>
      <c r="G448" s="446"/>
      <c r="H448" s="446"/>
      <c r="I448" s="446"/>
      <c r="J448" s="446"/>
      <c r="K448" s="860"/>
      <c r="L448" s="446"/>
      <c r="M448" s="446"/>
      <c r="N448" s="446"/>
      <c r="O448" s="446"/>
      <c r="P448" s="446"/>
      <c r="Q448" s="446"/>
      <c r="R448" s="446"/>
    </row>
    <row r="449">
      <c r="A449" s="446"/>
      <c r="B449" s="446"/>
      <c r="C449" s="446"/>
      <c r="D449" s="859"/>
      <c r="E449" s="446"/>
      <c r="F449" s="446"/>
      <c r="G449" s="446"/>
      <c r="H449" s="446"/>
      <c r="I449" s="446"/>
      <c r="J449" s="446"/>
      <c r="K449" s="860"/>
      <c r="L449" s="446"/>
      <c r="M449" s="446"/>
      <c r="N449" s="446"/>
      <c r="O449" s="446"/>
      <c r="P449" s="446"/>
      <c r="Q449" s="446"/>
      <c r="R449" s="446"/>
    </row>
    <row r="450">
      <c r="A450" s="446"/>
      <c r="B450" s="446"/>
      <c r="C450" s="446"/>
      <c r="D450" s="859"/>
      <c r="E450" s="446"/>
      <c r="F450" s="446"/>
      <c r="G450" s="446"/>
      <c r="H450" s="446"/>
      <c r="I450" s="446"/>
      <c r="J450" s="446"/>
      <c r="K450" s="860"/>
      <c r="L450" s="446"/>
      <c r="M450" s="446"/>
      <c r="N450" s="446"/>
      <c r="O450" s="446"/>
      <c r="P450" s="446"/>
      <c r="Q450" s="446"/>
      <c r="R450" s="446"/>
    </row>
    <row r="451">
      <c r="A451" s="446"/>
      <c r="B451" s="446"/>
      <c r="C451" s="446"/>
      <c r="D451" s="859"/>
      <c r="E451" s="446"/>
      <c r="F451" s="446"/>
      <c r="G451" s="446"/>
      <c r="H451" s="446"/>
      <c r="I451" s="446"/>
      <c r="J451" s="446"/>
      <c r="K451" s="860"/>
      <c r="L451" s="446"/>
      <c r="M451" s="446"/>
      <c r="N451" s="446"/>
      <c r="O451" s="446"/>
      <c r="P451" s="446"/>
      <c r="Q451" s="446"/>
      <c r="R451" s="446"/>
    </row>
    <row r="452">
      <c r="A452" s="446"/>
      <c r="B452" s="446"/>
      <c r="C452" s="446"/>
      <c r="D452" s="859"/>
      <c r="E452" s="446"/>
      <c r="F452" s="446"/>
      <c r="G452" s="446"/>
      <c r="H452" s="446"/>
      <c r="I452" s="446"/>
      <c r="J452" s="446"/>
      <c r="K452" s="860"/>
      <c r="L452" s="446"/>
      <c r="M452" s="446"/>
      <c r="N452" s="446"/>
      <c r="O452" s="446"/>
      <c r="P452" s="446"/>
      <c r="Q452" s="446"/>
      <c r="R452" s="446"/>
    </row>
    <row r="453">
      <c r="A453" s="446"/>
      <c r="B453" s="446"/>
      <c r="C453" s="446"/>
      <c r="D453" s="859"/>
      <c r="E453" s="446"/>
      <c r="F453" s="446"/>
      <c r="G453" s="446"/>
      <c r="H453" s="446"/>
      <c r="I453" s="446"/>
      <c r="J453" s="446"/>
      <c r="K453" s="860"/>
      <c r="L453" s="446"/>
      <c r="M453" s="446"/>
      <c r="N453" s="446"/>
      <c r="O453" s="446"/>
      <c r="P453" s="446"/>
      <c r="Q453" s="446"/>
      <c r="R453" s="446"/>
    </row>
    <row r="454">
      <c r="A454" s="446"/>
      <c r="B454" s="446"/>
      <c r="C454" s="446"/>
      <c r="D454" s="859"/>
      <c r="E454" s="446"/>
      <c r="F454" s="446"/>
      <c r="G454" s="446"/>
      <c r="H454" s="446"/>
      <c r="I454" s="446"/>
      <c r="J454" s="446"/>
      <c r="K454" s="860"/>
      <c r="L454" s="446"/>
      <c r="M454" s="446"/>
      <c r="N454" s="446"/>
      <c r="O454" s="446"/>
      <c r="P454" s="446"/>
      <c r="Q454" s="446"/>
      <c r="R454" s="446"/>
    </row>
    <row r="455">
      <c r="A455" s="446"/>
      <c r="B455" s="446"/>
      <c r="C455" s="446"/>
      <c r="D455" s="859"/>
      <c r="E455" s="446"/>
      <c r="F455" s="446"/>
      <c r="G455" s="446"/>
      <c r="H455" s="446"/>
      <c r="I455" s="446"/>
      <c r="J455" s="446"/>
      <c r="K455" s="860"/>
      <c r="L455" s="446"/>
      <c r="M455" s="446"/>
      <c r="N455" s="446"/>
      <c r="O455" s="446"/>
      <c r="P455" s="446"/>
      <c r="Q455" s="446"/>
      <c r="R455" s="446"/>
    </row>
    <row r="456">
      <c r="A456" s="446"/>
      <c r="B456" s="446"/>
      <c r="C456" s="446"/>
      <c r="D456" s="859"/>
      <c r="E456" s="446"/>
      <c r="F456" s="446"/>
      <c r="G456" s="446"/>
      <c r="H456" s="446"/>
      <c r="I456" s="446"/>
      <c r="J456" s="446"/>
      <c r="K456" s="860"/>
      <c r="L456" s="446"/>
      <c r="M456" s="446"/>
      <c r="N456" s="446"/>
      <c r="O456" s="446"/>
      <c r="P456" s="446"/>
      <c r="Q456" s="446"/>
      <c r="R456" s="446"/>
    </row>
    <row r="457">
      <c r="A457" s="446"/>
      <c r="B457" s="446"/>
      <c r="C457" s="446"/>
      <c r="D457" s="859"/>
      <c r="E457" s="446"/>
      <c r="F457" s="446"/>
      <c r="G457" s="446"/>
      <c r="H457" s="446"/>
      <c r="I457" s="446"/>
      <c r="J457" s="446"/>
      <c r="K457" s="860"/>
      <c r="L457" s="446"/>
      <c r="M457" s="446"/>
      <c r="N457" s="446"/>
      <c r="O457" s="446"/>
      <c r="P457" s="446"/>
      <c r="Q457" s="446"/>
      <c r="R457" s="446"/>
    </row>
    <row r="458">
      <c r="A458" s="446"/>
      <c r="B458" s="446"/>
      <c r="C458" s="446"/>
      <c r="D458" s="859"/>
      <c r="E458" s="446"/>
      <c r="F458" s="446"/>
      <c r="G458" s="446"/>
      <c r="H458" s="446"/>
      <c r="I458" s="446"/>
      <c r="J458" s="446"/>
      <c r="K458" s="860"/>
      <c r="L458" s="446"/>
      <c r="M458" s="446"/>
      <c r="N458" s="446"/>
      <c r="O458" s="446"/>
      <c r="P458" s="446"/>
      <c r="Q458" s="446"/>
      <c r="R458" s="446"/>
    </row>
    <row r="459">
      <c r="A459" s="446"/>
      <c r="B459" s="446"/>
      <c r="C459" s="446"/>
      <c r="D459" s="859"/>
      <c r="E459" s="446"/>
      <c r="F459" s="446"/>
      <c r="G459" s="446"/>
      <c r="H459" s="446"/>
      <c r="I459" s="446"/>
      <c r="J459" s="446"/>
      <c r="K459" s="860"/>
      <c r="L459" s="446"/>
      <c r="M459" s="446"/>
      <c r="N459" s="446"/>
      <c r="O459" s="446"/>
      <c r="P459" s="446"/>
      <c r="Q459" s="446"/>
      <c r="R459" s="446"/>
    </row>
    <row r="460">
      <c r="A460" s="446"/>
      <c r="B460" s="446"/>
      <c r="C460" s="446"/>
      <c r="D460" s="859"/>
      <c r="E460" s="446"/>
      <c r="F460" s="446"/>
      <c r="G460" s="446"/>
      <c r="H460" s="446"/>
      <c r="I460" s="446"/>
      <c r="J460" s="446"/>
      <c r="K460" s="860"/>
      <c r="L460" s="446"/>
      <c r="M460" s="446"/>
      <c r="N460" s="446"/>
      <c r="O460" s="446"/>
      <c r="P460" s="446"/>
      <c r="Q460" s="446"/>
      <c r="R460" s="446"/>
    </row>
    <row r="461">
      <c r="A461" s="446"/>
      <c r="B461" s="446"/>
      <c r="C461" s="446"/>
      <c r="D461" s="859"/>
      <c r="E461" s="446"/>
      <c r="F461" s="446"/>
      <c r="G461" s="446"/>
      <c r="H461" s="446"/>
      <c r="I461" s="446"/>
      <c r="J461" s="446"/>
      <c r="K461" s="860"/>
      <c r="L461" s="446"/>
      <c r="M461" s="446"/>
      <c r="N461" s="446"/>
      <c r="O461" s="446"/>
      <c r="P461" s="446"/>
      <c r="Q461" s="446"/>
      <c r="R461" s="446"/>
    </row>
    <row r="462">
      <c r="A462" s="446"/>
      <c r="B462" s="446"/>
      <c r="C462" s="446"/>
      <c r="D462" s="859"/>
      <c r="E462" s="446"/>
      <c r="F462" s="446"/>
      <c r="G462" s="446"/>
      <c r="H462" s="446"/>
      <c r="I462" s="446"/>
      <c r="J462" s="446"/>
      <c r="K462" s="860"/>
      <c r="L462" s="446"/>
      <c r="M462" s="446"/>
      <c r="N462" s="446"/>
      <c r="O462" s="446"/>
      <c r="P462" s="446"/>
      <c r="Q462" s="446"/>
      <c r="R462" s="446"/>
    </row>
    <row r="463">
      <c r="A463" s="446"/>
      <c r="B463" s="446"/>
      <c r="C463" s="446"/>
      <c r="D463" s="859"/>
      <c r="E463" s="446"/>
      <c r="F463" s="446"/>
      <c r="G463" s="446"/>
      <c r="H463" s="446"/>
      <c r="I463" s="446"/>
      <c r="J463" s="446"/>
      <c r="K463" s="860"/>
      <c r="L463" s="446"/>
      <c r="M463" s="446"/>
      <c r="N463" s="446"/>
      <c r="O463" s="446"/>
      <c r="P463" s="446"/>
      <c r="Q463" s="446"/>
      <c r="R463" s="446"/>
    </row>
    <row r="464">
      <c r="A464" s="446"/>
      <c r="B464" s="446"/>
      <c r="C464" s="446"/>
      <c r="D464" s="859"/>
      <c r="E464" s="446"/>
      <c r="F464" s="446"/>
      <c r="G464" s="446"/>
      <c r="H464" s="446"/>
      <c r="I464" s="446"/>
      <c r="J464" s="446"/>
      <c r="K464" s="860"/>
      <c r="L464" s="446"/>
      <c r="M464" s="446"/>
      <c r="N464" s="446"/>
      <c r="O464" s="446"/>
      <c r="P464" s="446"/>
      <c r="Q464" s="446"/>
      <c r="R464" s="446"/>
    </row>
    <row r="465">
      <c r="A465" s="446"/>
      <c r="B465" s="446"/>
      <c r="C465" s="446"/>
      <c r="D465" s="859"/>
      <c r="E465" s="446"/>
      <c r="F465" s="446"/>
      <c r="G465" s="446"/>
      <c r="H465" s="446"/>
      <c r="I465" s="446"/>
      <c r="J465" s="446"/>
      <c r="K465" s="860"/>
      <c r="L465" s="446"/>
      <c r="M465" s="446"/>
      <c r="N465" s="446"/>
      <c r="O465" s="446"/>
      <c r="P465" s="446"/>
      <c r="Q465" s="446"/>
      <c r="R465" s="446"/>
    </row>
    <row r="466">
      <c r="A466" s="446"/>
      <c r="B466" s="446"/>
      <c r="C466" s="446"/>
      <c r="D466" s="859"/>
      <c r="E466" s="446"/>
      <c r="F466" s="446"/>
      <c r="G466" s="446"/>
      <c r="H466" s="446"/>
      <c r="I466" s="446"/>
      <c r="J466" s="446"/>
      <c r="K466" s="860"/>
      <c r="L466" s="446"/>
      <c r="M466" s="446"/>
      <c r="N466" s="446"/>
      <c r="O466" s="446"/>
      <c r="P466" s="446"/>
      <c r="Q466" s="446"/>
      <c r="R466" s="446"/>
    </row>
    <row r="467">
      <c r="A467" s="446"/>
      <c r="B467" s="446"/>
      <c r="C467" s="446"/>
      <c r="D467" s="859"/>
      <c r="E467" s="446"/>
      <c r="F467" s="446"/>
      <c r="G467" s="446"/>
      <c r="H467" s="446"/>
      <c r="I467" s="446"/>
      <c r="J467" s="446"/>
      <c r="K467" s="860"/>
      <c r="L467" s="446"/>
      <c r="M467" s="446"/>
      <c r="N467" s="446"/>
      <c r="O467" s="446"/>
      <c r="P467" s="446"/>
      <c r="Q467" s="446"/>
      <c r="R467" s="446"/>
    </row>
    <row r="468">
      <c r="A468" s="446"/>
      <c r="B468" s="446"/>
      <c r="C468" s="446"/>
      <c r="D468" s="859"/>
      <c r="E468" s="446"/>
      <c r="F468" s="446"/>
      <c r="G468" s="446"/>
      <c r="H468" s="446"/>
      <c r="I468" s="446"/>
      <c r="J468" s="446"/>
      <c r="K468" s="860"/>
      <c r="L468" s="446"/>
      <c r="M468" s="446"/>
      <c r="N468" s="446"/>
      <c r="O468" s="446"/>
      <c r="P468" s="446"/>
      <c r="Q468" s="446"/>
      <c r="R468" s="446"/>
    </row>
    <row r="469">
      <c r="A469" s="446"/>
      <c r="B469" s="446"/>
      <c r="C469" s="446"/>
      <c r="D469" s="859"/>
      <c r="E469" s="446"/>
      <c r="F469" s="446"/>
      <c r="G469" s="446"/>
      <c r="H469" s="446"/>
      <c r="I469" s="446"/>
      <c r="J469" s="446"/>
      <c r="K469" s="860"/>
      <c r="L469" s="446"/>
      <c r="M469" s="446"/>
      <c r="N469" s="446"/>
      <c r="O469" s="446"/>
      <c r="P469" s="446"/>
      <c r="Q469" s="446"/>
      <c r="R469" s="446"/>
    </row>
    <row r="470">
      <c r="A470" s="446"/>
      <c r="B470" s="446"/>
      <c r="C470" s="446"/>
      <c r="D470" s="859"/>
      <c r="E470" s="446"/>
      <c r="F470" s="446"/>
      <c r="G470" s="446"/>
      <c r="H470" s="446"/>
      <c r="I470" s="446"/>
      <c r="J470" s="446"/>
      <c r="K470" s="860"/>
      <c r="L470" s="446"/>
      <c r="M470" s="446"/>
      <c r="N470" s="446"/>
      <c r="O470" s="446"/>
      <c r="P470" s="446"/>
      <c r="Q470" s="446"/>
      <c r="R470" s="446"/>
    </row>
    <row r="471">
      <c r="A471" s="446"/>
      <c r="B471" s="446"/>
      <c r="C471" s="446"/>
      <c r="D471" s="859"/>
      <c r="E471" s="446"/>
      <c r="F471" s="446"/>
      <c r="G471" s="446"/>
      <c r="H471" s="446"/>
      <c r="I471" s="446"/>
      <c r="J471" s="446"/>
      <c r="K471" s="860"/>
      <c r="L471" s="446"/>
      <c r="M471" s="446"/>
      <c r="N471" s="446"/>
      <c r="O471" s="446"/>
      <c r="P471" s="446"/>
      <c r="Q471" s="446"/>
      <c r="R471" s="446"/>
    </row>
    <row r="472">
      <c r="A472" s="446"/>
      <c r="B472" s="446"/>
      <c r="C472" s="446"/>
      <c r="D472" s="859"/>
      <c r="E472" s="446"/>
      <c r="F472" s="446"/>
      <c r="G472" s="446"/>
      <c r="H472" s="446"/>
      <c r="I472" s="446"/>
      <c r="J472" s="446"/>
      <c r="K472" s="860"/>
      <c r="L472" s="446"/>
      <c r="M472" s="446"/>
      <c r="N472" s="446"/>
      <c r="O472" s="446"/>
      <c r="P472" s="446"/>
      <c r="Q472" s="446"/>
      <c r="R472" s="446"/>
    </row>
    <row r="473">
      <c r="A473" s="446"/>
      <c r="B473" s="446"/>
      <c r="C473" s="446"/>
      <c r="D473" s="859"/>
      <c r="E473" s="446"/>
      <c r="F473" s="446"/>
      <c r="G473" s="446"/>
      <c r="H473" s="446"/>
      <c r="I473" s="446"/>
      <c r="J473" s="446"/>
      <c r="K473" s="860"/>
      <c r="L473" s="446"/>
      <c r="M473" s="446"/>
      <c r="N473" s="446"/>
      <c r="O473" s="446"/>
      <c r="P473" s="446"/>
      <c r="Q473" s="446"/>
      <c r="R473" s="446"/>
    </row>
    <row r="474">
      <c r="A474" s="446"/>
      <c r="B474" s="446"/>
      <c r="C474" s="446"/>
      <c r="D474" s="859"/>
      <c r="E474" s="446"/>
      <c r="F474" s="446"/>
      <c r="G474" s="446"/>
      <c r="H474" s="446"/>
      <c r="I474" s="446"/>
      <c r="J474" s="446"/>
      <c r="K474" s="860"/>
      <c r="L474" s="446"/>
      <c r="M474" s="446"/>
      <c r="N474" s="446"/>
      <c r="O474" s="446"/>
      <c r="P474" s="446"/>
      <c r="Q474" s="446"/>
      <c r="R474" s="446"/>
    </row>
    <row r="475">
      <c r="A475" s="446"/>
      <c r="B475" s="446"/>
      <c r="C475" s="446"/>
      <c r="D475" s="859"/>
      <c r="E475" s="446"/>
      <c r="F475" s="446"/>
      <c r="G475" s="446"/>
      <c r="H475" s="446"/>
      <c r="I475" s="446"/>
      <c r="J475" s="446"/>
      <c r="K475" s="860"/>
      <c r="L475" s="446"/>
      <c r="M475" s="446"/>
      <c r="N475" s="446"/>
      <c r="O475" s="446"/>
      <c r="P475" s="446"/>
      <c r="Q475" s="446"/>
      <c r="R475" s="446"/>
    </row>
    <row r="476">
      <c r="A476" s="446"/>
      <c r="B476" s="446"/>
      <c r="C476" s="446"/>
      <c r="D476" s="859"/>
      <c r="E476" s="446"/>
      <c r="F476" s="446"/>
      <c r="G476" s="446"/>
      <c r="H476" s="446"/>
      <c r="I476" s="446"/>
      <c r="J476" s="446"/>
      <c r="K476" s="860"/>
      <c r="L476" s="446"/>
      <c r="M476" s="446"/>
      <c r="N476" s="446"/>
      <c r="O476" s="446"/>
      <c r="P476" s="446"/>
      <c r="Q476" s="446"/>
      <c r="R476" s="446"/>
    </row>
    <row r="477">
      <c r="A477" s="446"/>
      <c r="B477" s="446"/>
      <c r="C477" s="446"/>
      <c r="D477" s="859"/>
      <c r="E477" s="446"/>
      <c r="F477" s="446"/>
      <c r="G477" s="446"/>
      <c r="H477" s="446"/>
      <c r="I477" s="446"/>
      <c r="J477" s="446"/>
      <c r="K477" s="860"/>
      <c r="L477" s="446"/>
      <c r="M477" s="446"/>
      <c r="N477" s="446"/>
      <c r="O477" s="446"/>
      <c r="P477" s="446"/>
      <c r="Q477" s="446"/>
      <c r="R477" s="446"/>
    </row>
    <row r="478">
      <c r="A478" s="446"/>
      <c r="B478" s="446"/>
      <c r="C478" s="446"/>
      <c r="D478" s="859"/>
      <c r="E478" s="446"/>
      <c r="F478" s="446"/>
      <c r="G478" s="446"/>
      <c r="H478" s="446"/>
      <c r="I478" s="446"/>
      <c r="J478" s="446"/>
      <c r="K478" s="860"/>
      <c r="L478" s="446"/>
      <c r="M478" s="446"/>
      <c r="N478" s="446"/>
      <c r="O478" s="446"/>
      <c r="P478" s="446"/>
      <c r="Q478" s="446"/>
      <c r="R478" s="446"/>
    </row>
    <row r="479">
      <c r="A479" s="446"/>
      <c r="B479" s="446"/>
      <c r="C479" s="446"/>
      <c r="D479" s="859"/>
      <c r="E479" s="446"/>
      <c r="F479" s="446"/>
      <c r="G479" s="446"/>
      <c r="H479" s="446"/>
      <c r="I479" s="446"/>
      <c r="J479" s="446"/>
      <c r="K479" s="860"/>
      <c r="L479" s="446"/>
      <c r="M479" s="446"/>
      <c r="N479" s="446"/>
      <c r="O479" s="446"/>
      <c r="P479" s="446"/>
      <c r="Q479" s="446"/>
      <c r="R479" s="446"/>
    </row>
    <row r="480">
      <c r="A480" s="446"/>
      <c r="B480" s="446"/>
      <c r="C480" s="446"/>
      <c r="D480" s="859"/>
      <c r="E480" s="446"/>
      <c r="F480" s="446"/>
      <c r="G480" s="446"/>
      <c r="H480" s="446"/>
      <c r="I480" s="446"/>
      <c r="J480" s="446"/>
      <c r="K480" s="860"/>
      <c r="L480" s="446"/>
      <c r="M480" s="446"/>
      <c r="N480" s="446"/>
      <c r="O480" s="446"/>
      <c r="P480" s="446"/>
      <c r="Q480" s="446"/>
      <c r="R480" s="446"/>
    </row>
    <row r="481">
      <c r="A481" s="446"/>
      <c r="B481" s="446"/>
      <c r="C481" s="446"/>
      <c r="D481" s="859"/>
      <c r="E481" s="446"/>
      <c r="F481" s="446"/>
      <c r="G481" s="446"/>
      <c r="H481" s="446"/>
      <c r="I481" s="446"/>
      <c r="J481" s="446"/>
      <c r="K481" s="860"/>
      <c r="L481" s="446"/>
      <c r="M481" s="446"/>
      <c r="N481" s="446"/>
      <c r="O481" s="446"/>
      <c r="P481" s="446"/>
      <c r="Q481" s="446"/>
      <c r="R481" s="446"/>
    </row>
    <row r="482">
      <c r="A482" s="446"/>
      <c r="B482" s="446"/>
      <c r="C482" s="446"/>
      <c r="D482" s="859"/>
      <c r="E482" s="446"/>
      <c r="F482" s="446"/>
      <c r="G482" s="446"/>
      <c r="H482" s="446"/>
      <c r="I482" s="446"/>
      <c r="J482" s="446"/>
      <c r="K482" s="860"/>
      <c r="L482" s="446"/>
      <c r="M482" s="446"/>
      <c r="N482" s="446"/>
      <c r="O482" s="446"/>
      <c r="P482" s="446"/>
      <c r="Q482" s="446"/>
      <c r="R482" s="446"/>
    </row>
    <row r="483">
      <c r="A483" s="446"/>
      <c r="B483" s="446"/>
      <c r="C483" s="446"/>
      <c r="D483" s="859"/>
      <c r="E483" s="446"/>
      <c r="F483" s="446"/>
      <c r="G483" s="446"/>
      <c r="H483" s="446"/>
      <c r="I483" s="446"/>
      <c r="J483" s="446"/>
      <c r="K483" s="860"/>
      <c r="L483" s="446"/>
      <c r="M483" s="446"/>
      <c r="N483" s="446"/>
      <c r="O483" s="446"/>
      <c r="P483" s="446"/>
      <c r="Q483" s="446"/>
      <c r="R483" s="446"/>
    </row>
    <row r="484">
      <c r="A484" s="446"/>
      <c r="B484" s="446"/>
      <c r="C484" s="446"/>
      <c r="D484" s="859"/>
      <c r="E484" s="446"/>
      <c r="F484" s="446"/>
      <c r="G484" s="446"/>
      <c r="H484" s="446"/>
      <c r="I484" s="446"/>
      <c r="J484" s="446"/>
      <c r="K484" s="860"/>
      <c r="L484" s="446"/>
      <c r="M484" s="446"/>
      <c r="N484" s="446"/>
      <c r="O484" s="446"/>
      <c r="P484" s="446"/>
      <c r="Q484" s="446"/>
      <c r="R484" s="446"/>
    </row>
    <row r="485">
      <c r="A485" s="446"/>
      <c r="B485" s="446"/>
      <c r="C485" s="446"/>
      <c r="D485" s="859"/>
      <c r="E485" s="446"/>
      <c r="F485" s="446"/>
      <c r="G485" s="446"/>
      <c r="H485" s="446"/>
      <c r="I485" s="446"/>
      <c r="J485" s="446"/>
      <c r="K485" s="860"/>
      <c r="L485" s="446"/>
      <c r="M485" s="446"/>
      <c r="N485" s="446"/>
      <c r="O485" s="446"/>
      <c r="P485" s="446"/>
      <c r="Q485" s="446"/>
      <c r="R485" s="446"/>
    </row>
    <row r="486">
      <c r="A486" s="446"/>
      <c r="B486" s="446"/>
      <c r="C486" s="446"/>
      <c r="D486" s="859"/>
      <c r="E486" s="446"/>
      <c r="F486" s="446"/>
      <c r="G486" s="446"/>
      <c r="H486" s="446"/>
      <c r="I486" s="446"/>
      <c r="J486" s="446"/>
      <c r="K486" s="860"/>
      <c r="L486" s="446"/>
      <c r="M486" s="446"/>
      <c r="N486" s="446"/>
      <c r="O486" s="446"/>
      <c r="P486" s="446"/>
      <c r="Q486" s="446"/>
      <c r="R486" s="446"/>
    </row>
    <row r="487">
      <c r="A487" s="446"/>
      <c r="B487" s="446"/>
      <c r="C487" s="446"/>
      <c r="D487" s="859"/>
      <c r="E487" s="446"/>
      <c r="F487" s="446"/>
      <c r="G487" s="446"/>
      <c r="H487" s="446"/>
      <c r="I487" s="446"/>
      <c r="J487" s="446"/>
      <c r="K487" s="860"/>
      <c r="L487" s="446"/>
      <c r="M487" s="446"/>
      <c r="N487" s="446"/>
      <c r="O487" s="446"/>
      <c r="P487" s="446"/>
      <c r="Q487" s="446"/>
      <c r="R487" s="446"/>
    </row>
    <row r="488">
      <c r="A488" s="446"/>
      <c r="B488" s="446"/>
      <c r="C488" s="446"/>
      <c r="D488" s="859"/>
      <c r="E488" s="446"/>
      <c r="F488" s="446"/>
      <c r="G488" s="446"/>
      <c r="H488" s="446"/>
      <c r="I488" s="446"/>
      <c r="J488" s="446"/>
      <c r="K488" s="860"/>
      <c r="L488" s="446"/>
      <c r="M488" s="446"/>
      <c r="N488" s="446"/>
      <c r="O488" s="446"/>
      <c r="P488" s="446"/>
      <c r="Q488" s="446"/>
      <c r="R488" s="446"/>
    </row>
    <row r="489">
      <c r="A489" s="446"/>
      <c r="B489" s="446"/>
      <c r="C489" s="446"/>
      <c r="D489" s="859"/>
      <c r="E489" s="446"/>
      <c r="F489" s="446"/>
      <c r="G489" s="446"/>
      <c r="H489" s="446"/>
      <c r="I489" s="446"/>
      <c r="J489" s="446"/>
      <c r="K489" s="860"/>
      <c r="L489" s="446"/>
      <c r="M489" s="446"/>
      <c r="N489" s="446"/>
      <c r="O489" s="446"/>
      <c r="P489" s="446"/>
      <c r="Q489" s="446"/>
      <c r="R489" s="446"/>
    </row>
    <row r="490">
      <c r="A490" s="446"/>
      <c r="B490" s="446"/>
      <c r="C490" s="446"/>
      <c r="D490" s="859"/>
      <c r="E490" s="446"/>
      <c r="F490" s="446"/>
      <c r="G490" s="446"/>
      <c r="H490" s="446"/>
      <c r="I490" s="446"/>
      <c r="J490" s="446"/>
      <c r="K490" s="860"/>
      <c r="L490" s="446"/>
      <c r="M490" s="446"/>
      <c r="N490" s="446"/>
      <c r="O490" s="446"/>
      <c r="P490" s="446"/>
      <c r="Q490" s="446"/>
      <c r="R490" s="446"/>
    </row>
    <row r="491">
      <c r="A491" s="446"/>
      <c r="B491" s="446"/>
      <c r="C491" s="446"/>
      <c r="D491" s="859"/>
      <c r="E491" s="446"/>
      <c r="F491" s="446"/>
      <c r="G491" s="446"/>
      <c r="H491" s="446"/>
      <c r="I491" s="446"/>
      <c r="J491" s="446"/>
      <c r="K491" s="860"/>
      <c r="L491" s="446"/>
      <c r="M491" s="446"/>
      <c r="N491" s="446"/>
      <c r="O491" s="446"/>
      <c r="P491" s="446"/>
      <c r="Q491" s="446"/>
      <c r="R491" s="446"/>
    </row>
    <row r="492">
      <c r="A492" s="446"/>
      <c r="B492" s="446"/>
      <c r="C492" s="446"/>
      <c r="D492" s="859"/>
      <c r="E492" s="446"/>
      <c r="F492" s="446"/>
      <c r="G492" s="446"/>
      <c r="H492" s="446"/>
      <c r="I492" s="446"/>
      <c r="J492" s="446"/>
      <c r="K492" s="860"/>
      <c r="L492" s="446"/>
      <c r="M492" s="446"/>
      <c r="N492" s="446"/>
      <c r="O492" s="446"/>
      <c r="P492" s="446"/>
      <c r="Q492" s="446"/>
      <c r="R492" s="446"/>
    </row>
    <row r="493">
      <c r="A493" s="446"/>
      <c r="B493" s="446"/>
      <c r="C493" s="446"/>
      <c r="D493" s="859"/>
      <c r="E493" s="446"/>
      <c r="F493" s="446"/>
      <c r="G493" s="446"/>
      <c r="H493" s="446"/>
      <c r="I493" s="446"/>
      <c r="J493" s="446"/>
      <c r="K493" s="860"/>
      <c r="L493" s="446"/>
      <c r="M493" s="446"/>
      <c r="N493" s="446"/>
      <c r="O493" s="446"/>
      <c r="P493" s="446"/>
      <c r="Q493" s="446"/>
      <c r="R493" s="446"/>
    </row>
    <row r="494">
      <c r="A494" s="446"/>
      <c r="B494" s="446"/>
      <c r="C494" s="446"/>
      <c r="D494" s="859"/>
      <c r="E494" s="446"/>
      <c r="F494" s="446"/>
      <c r="G494" s="446"/>
      <c r="H494" s="446"/>
      <c r="I494" s="446"/>
      <c r="J494" s="446"/>
      <c r="K494" s="860"/>
      <c r="L494" s="446"/>
      <c r="M494" s="446"/>
      <c r="N494" s="446"/>
      <c r="O494" s="446"/>
      <c r="P494" s="446"/>
      <c r="Q494" s="446"/>
      <c r="R494" s="446"/>
    </row>
    <row r="495">
      <c r="A495" s="446"/>
      <c r="B495" s="446"/>
      <c r="C495" s="446"/>
      <c r="D495" s="859"/>
      <c r="E495" s="446"/>
      <c r="F495" s="446"/>
      <c r="G495" s="446"/>
      <c r="H495" s="446"/>
      <c r="I495" s="446"/>
      <c r="J495" s="446"/>
      <c r="K495" s="860"/>
      <c r="L495" s="446"/>
      <c r="M495" s="446"/>
      <c r="N495" s="446"/>
      <c r="O495" s="446"/>
      <c r="P495" s="446"/>
      <c r="Q495" s="446"/>
      <c r="R495" s="446"/>
    </row>
    <row r="496">
      <c r="A496" s="446"/>
      <c r="B496" s="446"/>
      <c r="C496" s="446"/>
      <c r="D496" s="859"/>
      <c r="E496" s="446"/>
      <c r="F496" s="446"/>
      <c r="G496" s="446"/>
      <c r="H496" s="446"/>
      <c r="I496" s="446"/>
      <c r="J496" s="446"/>
      <c r="K496" s="860"/>
      <c r="L496" s="446"/>
      <c r="M496" s="446"/>
      <c r="N496" s="446"/>
      <c r="O496" s="446"/>
      <c r="P496" s="446"/>
      <c r="Q496" s="446"/>
      <c r="R496" s="446"/>
    </row>
    <row r="497">
      <c r="A497" s="446"/>
      <c r="B497" s="446"/>
      <c r="C497" s="446"/>
      <c r="D497" s="859"/>
      <c r="E497" s="446"/>
      <c r="F497" s="446"/>
      <c r="G497" s="446"/>
      <c r="H497" s="446"/>
      <c r="I497" s="446"/>
      <c r="J497" s="446"/>
      <c r="K497" s="860"/>
      <c r="L497" s="446"/>
      <c r="M497" s="446"/>
      <c r="N497" s="446"/>
      <c r="O497" s="446"/>
      <c r="P497" s="446"/>
      <c r="Q497" s="446"/>
      <c r="R497" s="446"/>
    </row>
    <row r="498">
      <c r="A498" s="446"/>
      <c r="B498" s="446"/>
      <c r="C498" s="446"/>
      <c r="D498" s="859"/>
      <c r="E498" s="446"/>
      <c r="F498" s="446"/>
      <c r="G498" s="446"/>
      <c r="H498" s="446"/>
      <c r="I498" s="446"/>
      <c r="J498" s="446"/>
      <c r="K498" s="860"/>
      <c r="L498" s="446"/>
      <c r="M498" s="446"/>
      <c r="N498" s="446"/>
      <c r="O498" s="446"/>
      <c r="P498" s="446"/>
      <c r="Q498" s="446"/>
      <c r="R498" s="446"/>
    </row>
    <row r="499">
      <c r="A499" s="446"/>
      <c r="B499" s="446"/>
      <c r="C499" s="446"/>
      <c r="D499" s="859"/>
      <c r="E499" s="446"/>
      <c r="F499" s="446"/>
      <c r="G499" s="446"/>
      <c r="H499" s="446"/>
      <c r="I499" s="446"/>
      <c r="J499" s="446"/>
      <c r="K499" s="860"/>
      <c r="L499" s="446"/>
      <c r="M499" s="446"/>
      <c r="N499" s="446"/>
      <c r="O499" s="446"/>
      <c r="P499" s="446"/>
      <c r="Q499" s="446"/>
      <c r="R499" s="446"/>
    </row>
    <row r="500">
      <c r="A500" s="446"/>
      <c r="B500" s="446"/>
      <c r="C500" s="446"/>
      <c r="D500" s="859"/>
      <c r="E500" s="446"/>
      <c r="F500" s="446"/>
      <c r="G500" s="446"/>
      <c r="H500" s="446"/>
      <c r="I500" s="446"/>
      <c r="J500" s="446"/>
      <c r="K500" s="860"/>
      <c r="L500" s="446"/>
      <c r="M500" s="446"/>
      <c r="N500" s="446"/>
      <c r="O500" s="446"/>
      <c r="P500" s="446"/>
      <c r="Q500" s="446"/>
      <c r="R500" s="446"/>
    </row>
    <row r="501">
      <c r="A501" s="446"/>
      <c r="B501" s="446"/>
      <c r="C501" s="446"/>
      <c r="D501" s="859"/>
      <c r="E501" s="446"/>
      <c r="F501" s="446"/>
      <c r="G501" s="446"/>
      <c r="H501" s="446"/>
      <c r="I501" s="446"/>
      <c r="J501" s="446"/>
      <c r="K501" s="860"/>
      <c r="L501" s="446"/>
      <c r="M501" s="446"/>
      <c r="N501" s="446"/>
      <c r="O501" s="446"/>
      <c r="P501" s="446"/>
      <c r="Q501" s="446"/>
      <c r="R501" s="446"/>
    </row>
    <row r="502">
      <c r="A502" s="446"/>
      <c r="B502" s="446"/>
      <c r="C502" s="446"/>
      <c r="D502" s="859"/>
      <c r="E502" s="446"/>
      <c r="F502" s="446"/>
      <c r="G502" s="446"/>
      <c r="H502" s="446"/>
      <c r="I502" s="446"/>
      <c r="J502" s="446"/>
      <c r="K502" s="860"/>
      <c r="L502" s="446"/>
      <c r="M502" s="446"/>
      <c r="N502" s="446"/>
      <c r="O502" s="446"/>
      <c r="P502" s="446"/>
      <c r="Q502" s="446"/>
      <c r="R502" s="446"/>
    </row>
    <row r="503">
      <c r="A503" s="446"/>
      <c r="B503" s="446"/>
      <c r="C503" s="446"/>
      <c r="D503" s="859"/>
      <c r="E503" s="446"/>
      <c r="F503" s="446"/>
      <c r="G503" s="446"/>
      <c r="H503" s="446"/>
      <c r="I503" s="446"/>
      <c r="J503" s="446"/>
      <c r="K503" s="860"/>
      <c r="L503" s="446"/>
      <c r="M503" s="446"/>
      <c r="N503" s="446"/>
      <c r="O503" s="446"/>
      <c r="P503" s="446"/>
      <c r="Q503" s="446"/>
      <c r="R503" s="446"/>
    </row>
    <row r="504">
      <c r="A504" s="446"/>
      <c r="B504" s="446"/>
      <c r="C504" s="446"/>
      <c r="D504" s="859"/>
      <c r="E504" s="446"/>
      <c r="F504" s="446"/>
      <c r="G504" s="446"/>
      <c r="H504" s="446"/>
      <c r="I504" s="446"/>
      <c r="J504" s="446"/>
      <c r="K504" s="860"/>
      <c r="L504" s="446"/>
      <c r="M504" s="446"/>
      <c r="N504" s="446"/>
      <c r="O504" s="446"/>
      <c r="P504" s="446"/>
      <c r="Q504" s="446"/>
      <c r="R504" s="446"/>
    </row>
    <row r="505">
      <c r="A505" s="446"/>
      <c r="B505" s="446"/>
      <c r="C505" s="446"/>
      <c r="D505" s="859"/>
      <c r="E505" s="446"/>
      <c r="F505" s="446"/>
      <c r="G505" s="446"/>
      <c r="H505" s="446"/>
      <c r="I505" s="446"/>
      <c r="J505" s="446"/>
      <c r="K505" s="860"/>
      <c r="L505" s="446"/>
      <c r="M505" s="446"/>
      <c r="N505" s="446"/>
      <c r="O505" s="446"/>
      <c r="P505" s="446"/>
      <c r="Q505" s="446"/>
      <c r="R505" s="446"/>
    </row>
    <row r="506">
      <c r="A506" s="446"/>
      <c r="B506" s="446"/>
      <c r="C506" s="446"/>
      <c r="D506" s="859"/>
      <c r="E506" s="446"/>
      <c r="F506" s="446"/>
      <c r="G506" s="446"/>
      <c r="H506" s="446"/>
      <c r="I506" s="446"/>
      <c r="J506" s="446"/>
      <c r="K506" s="860"/>
      <c r="L506" s="446"/>
      <c r="M506" s="446"/>
      <c r="N506" s="446"/>
      <c r="O506" s="446"/>
      <c r="P506" s="446"/>
      <c r="Q506" s="446"/>
      <c r="R506" s="446"/>
    </row>
    <row r="507">
      <c r="A507" s="446"/>
      <c r="B507" s="446"/>
      <c r="C507" s="446"/>
      <c r="D507" s="859"/>
      <c r="E507" s="446"/>
      <c r="F507" s="446"/>
      <c r="G507" s="446"/>
      <c r="H507" s="446"/>
      <c r="I507" s="446"/>
      <c r="J507" s="446"/>
      <c r="K507" s="860"/>
      <c r="L507" s="446"/>
      <c r="M507" s="446"/>
      <c r="N507" s="446"/>
      <c r="O507" s="446"/>
      <c r="P507" s="446"/>
      <c r="Q507" s="446"/>
      <c r="R507" s="446"/>
    </row>
    <row r="508">
      <c r="A508" s="446"/>
      <c r="B508" s="446"/>
      <c r="C508" s="446"/>
      <c r="D508" s="859"/>
      <c r="E508" s="446"/>
      <c r="F508" s="446"/>
      <c r="G508" s="446"/>
      <c r="H508" s="446"/>
      <c r="I508" s="446"/>
      <c r="J508" s="446"/>
      <c r="K508" s="860"/>
      <c r="L508" s="446"/>
      <c r="M508" s="446"/>
      <c r="N508" s="446"/>
      <c r="O508" s="446"/>
      <c r="P508" s="446"/>
      <c r="Q508" s="446"/>
      <c r="R508" s="446"/>
    </row>
    <row r="509">
      <c r="A509" s="446"/>
      <c r="B509" s="446"/>
      <c r="C509" s="446"/>
      <c r="D509" s="859"/>
      <c r="E509" s="446"/>
      <c r="F509" s="446"/>
      <c r="G509" s="446"/>
      <c r="H509" s="446"/>
      <c r="I509" s="446"/>
      <c r="J509" s="446"/>
      <c r="K509" s="860"/>
      <c r="L509" s="446"/>
      <c r="M509" s="446"/>
      <c r="N509" s="446"/>
      <c r="O509" s="446"/>
      <c r="P509" s="446"/>
      <c r="Q509" s="446"/>
      <c r="R509" s="446"/>
    </row>
    <row r="510">
      <c r="A510" s="446"/>
      <c r="B510" s="446"/>
      <c r="C510" s="446"/>
      <c r="D510" s="859"/>
      <c r="E510" s="446"/>
      <c r="F510" s="446"/>
      <c r="G510" s="446"/>
      <c r="H510" s="446"/>
      <c r="I510" s="446"/>
      <c r="J510" s="446"/>
      <c r="K510" s="860"/>
      <c r="L510" s="446"/>
      <c r="M510" s="446"/>
      <c r="N510" s="446"/>
      <c r="O510" s="446"/>
      <c r="P510" s="446"/>
      <c r="Q510" s="446"/>
      <c r="R510" s="446"/>
    </row>
    <row r="511">
      <c r="A511" s="446"/>
      <c r="B511" s="446"/>
      <c r="C511" s="446"/>
      <c r="D511" s="859"/>
      <c r="E511" s="446"/>
      <c r="F511" s="446"/>
      <c r="G511" s="446"/>
      <c r="H511" s="446"/>
      <c r="I511" s="446"/>
      <c r="J511" s="446"/>
      <c r="K511" s="860"/>
      <c r="L511" s="446"/>
      <c r="M511" s="446"/>
      <c r="N511" s="446"/>
      <c r="O511" s="446"/>
      <c r="P511" s="446"/>
      <c r="Q511" s="446"/>
      <c r="R511" s="446"/>
    </row>
    <row r="512">
      <c r="A512" s="446"/>
      <c r="B512" s="446"/>
      <c r="C512" s="446"/>
      <c r="D512" s="859"/>
      <c r="E512" s="446"/>
      <c r="F512" s="446"/>
      <c r="G512" s="446"/>
      <c r="H512" s="446"/>
      <c r="I512" s="446"/>
      <c r="J512" s="446"/>
      <c r="K512" s="860"/>
      <c r="L512" s="446"/>
      <c r="M512" s="446"/>
      <c r="N512" s="446"/>
      <c r="O512" s="446"/>
      <c r="P512" s="446"/>
      <c r="Q512" s="446"/>
      <c r="R512" s="446"/>
    </row>
    <row r="513">
      <c r="A513" s="446"/>
      <c r="B513" s="446"/>
      <c r="C513" s="446"/>
      <c r="D513" s="859"/>
      <c r="E513" s="446"/>
      <c r="F513" s="446"/>
      <c r="G513" s="446"/>
      <c r="H513" s="446"/>
      <c r="I513" s="446"/>
      <c r="J513" s="446"/>
      <c r="K513" s="860"/>
      <c r="L513" s="446"/>
      <c r="M513" s="446"/>
      <c r="N513" s="446"/>
      <c r="O513" s="446"/>
      <c r="P513" s="446"/>
      <c r="Q513" s="446"/>
      <c r="R513" s="446"/>
    </row>
    <row r="514">
      <c r="A514" s="446"/>
      <c r="B514" s="446"/>
      <c r="C514" s="446"/>
      <c r="D514" s="859"/>
      <c r="E514" s="446"/>
      <c r="F514" s="446"/>
      <c r="G514" s="446"/>
      <c r="H514" s="446"/>
      <c r="I514" s="446"/>
      <c r="J514" s="446"/>
      <c r="K514" s="860"/>
      <c r="L514" s="446"/>
      <c r="M514" s="446"/>
      <c r="N514" s="446"/>
      <c r="O514" s="446"/>
      <c r="P514" s="446"/>
      <c r="Q514" s="446"/>
      <c r="R514" s="446"/>
    </row>
    <row r="515">
      <c r="A515" s="446"/>
      <c r="B515" s="446"/>
      <c r="C515" s="446"/>
      <c r="D515" s="859"/>
      <c r="E515" s="446"/>
      <c r="F515" s="446"/>
      <c r="G515" s="446"/>
      <c r="H515" s="446"/>
      <c r="I515" s="446"/>
      <c r="J515" s="446"/>
      <c r="K515" s="860"/>
      <c r="L515" s="446"/>
      <c r="M515" s="446"/>
      <c r="N515" s="446"/>
      <c r="O515" s="446"/>
      <c r="P515" s="446"/>
      <c r="Q515" s="446"/>
      <c r="R515" s="446"/>
    </row>
    <row r="516">
      <c r="A516" s="446"/>
      <c r="B516" s="446"/>
      <c r="C516" s="446"/>
      <c r="D516" s="859"/>
      <c r="E516" s="446"/>
      <c r="F516" s="446"/>
      <c r="G516" s="446"/>
      <c r="H516" s="446"/>
      <c r="I516" s="446"/>
      <c r="J516" s="446"/>
      <c r="K516" s="860"/>
      <c r="L516" s="446"/>
      <c r="M516" s="446"/>
      <c r="N516" s="446"/>
      <c r="O516" s="446"/>
      <c r="P516" s="446"/>
      <c r="Q516" s="446"/>
      <c r="R516" s="446"/>
    </row>
    <row r="517">
      <c r="A517" s="446"/>
      <c r="B517" s="446"/>
      <c r="C517" s="446"/>
      <c r="D517" s="859"/>
      <c r="E517" s="446"/>
      <c r="F517" s="446"/>
      <c r="G517" s="446"/>
      <c r="H517" s="446"/>
      <c r="I517" s="446"/>
      <c r="J517" s="446"/>
      <c r="K517" s="860"/>
      <c r="L517" s="446"/>
      <c r="M517" s="446"/>
      <c r="N517" s="446"/>
      <c r="O517" s="446"/>
      <c r="P517" s="446"/>
      <c r="Q517" s="446"/>
      <c r="R517" s="446"/>
    </row>
    <row r="518">
      <c r="A518" s="446"/>
      <c r="B518" s="446"/>
      <c r="C518" s="446"/>
      <c r="D518" s="859"/>
      <c r="E518" s="446"/>
      <c r="F518" s="446"/>
      <c r="G518" s="446"/>
      <c r="H518" s="446"/>
      <c r="I518" s="446"/>
      <c r="J518" s="446"/>
      <c r="K518" s="860"/>
      <c r="L518" s="446"/>
      <c r="M518" s="446"/>
      <c r="N518" s="446"/>
      <c r="O518" s="446"/>
      <c r="P518" s="446"/>
      <c r="Q518" s="446"/>
      <c r="R518" s="446"/>
    </row>
    <row r="519">
      <c r="A519" s="446"/>
      <c r="B519" s="446"/>
      <c r="C519" s="446"/>
      <c r="D519" s="859"/>
      <c r="E519" s="446"/>
      <c r="F519" s="446"/>
      <c r="G519" s="446"/>
      <c r="H519" s="446"/>
      <c r="I519" s="446"/>
      <c r="J519" s="446"/>
      <c r="K519" s="860"/>
      <c r="L519" s="446"/>
      <c r="M519" s="446"/>
      <c r="N519" s="446"/>
      <c r="O519" s="446"/>
      <c r="P519" s="446"/>
      <c r="Q519" s="446"/>
      <c r="R519" s="446"/>
    </row>
    <row r="520">
      <c r="A520" s="446"/>
      <c r="B520" s="446"/>
      <c r="C520" s="446"/>
      <c r="D520" s="859"/>
      <c r="E520" s="446"/>
      <c r="F520" s="446"/>
      <c r="G520" s="446"/>
      <c r="H520" s="446"/>
      <c r="I520" s="446"/>
      <c r="J520" s="446"/>
      <c r="K520" s="860"/>
      <c r="L520" s="446"/>
      <c r="M520" s="446"/>
      <c r="N520" s="446"/>
      <c r="O520" s="446"/>
      <c r="P520" s="446"/>
      <c r="Q520" s="446"/>
      <c r="R520" s="446"/>
    </row>
    <row r="521">
      <c r="A521" s="446"/>
      <c r="B521" s="446"/>
      <c r="C521" s="446"/>
      <c r="D521" s="859"/>
      <c r="E521" s="446"/>
      <c r="F521" s="446"/>
      <c r="G521" s="446"/>
      <c r="H521" s="446"/>
      <c r="I521" s="446"/>
      <c r="J521" s="446"/>
      <c r="K521" s="860"/>
      <c r="L521" s="446"/>
      <c r="M521" s="446"/>
      <c r="N521" s="446"/>
      <c r="O521" s="446"/>
      <c r="P521" s="446"/>
      <c r="Q521" s="446"/>
      <c r="R521" s="446"/>
    </row>
    <row r="522">
      <c r="A522" s="446"/>
      <c r="B522" s="446"/>
      <c r="C522" s="446"/>
      <c r="D522" s="859"/>
      <c r="E522" s="446"/>
      <c r="F522" s="446"/>
      <c r="G522" s="446"/>
      <c r="H522" s="446"/>
      <c r="I522" s="446"/>
      <c r="J522" s="446"/>
      <c r="K522" s="860"/>
      <c r="L522" s="446"/>
      <c r="M522" s="446"/>
      <c r="N522" s="446"/>
      <c r="O522" s="446"/>
      <c r="P522" s="446"/>
      <c r="Q522" s="446"/>
      <c r="R522" s="446"/>
    </row>
    <row r="523">
      <c r="A523" s="446"/>
      <c r="B523" s="446"/>
      <c r="C523" s="446"/>
      <c r="D523" s="859"/>
      <c r="E523" s="446"/>
      <c r="F523" s="446"/>
      <c r="G523" s="446"/>
      <c r="H523" s="446"/>
      <c r="I523" s="446"/>
      <c r="J523" s="446"/>
      <c r="K523" s="860"/>
      <c r="L523" s="446"/>
      <c r="M523" s="446"/>
      <c r="N523" s="446"/>
      <c r="O523" s="446"/>
      <c r="P523" s="446"/>
      <c r="Q523" s="446"/>
      <c r="R523" s="446"/>
    </row>
    <row r="524">
      <c r="A524" s="446"/>
      <c r="B524" s="446"/>
      <c r="C524" s="446"/>
      <c r="D524" s="859"/>
      <c r="E524" s="446"/>
      <c r="F524" s="446"/>
      <c r="G524" s="446"/>
      <c r="H524" s="446"/>
      <c r="I524" s="446"/>
      <c r="J524" s="446"/>
      <c r="K524" s="860"/>
      <c r="L524" s="446"/>
      <c r="M524" s="446"/>
      <c r="N524" s="446"/>
      <c r="O524" s="446"/>
      <c r="P524" s="446"/>
      <c r="Q524" s="446"/>
      <c r="R524" s="446"/>
    </row>
    <row r="525">
      <c r="A525" s="446"/>
      <c r="B525" s="446"/>
      <c r="C525" s="446"/>
      <c r="D525" s="859"/>
      <c r="E525" s="446"/>
      <c r="F525" s="446"/>
      <c r="G525" s="446"/>
      <c r="H525" s="446"/>
      <c r="I525" s="446"/>
      <c r="J525" s="446"/>
      <c r="K525" s="860"/>
      <c r="L525" s="446"/>
      <c r="M525" s="446"/>
      <c r="N525" s="446"/>
      <c r="O525" s="446"/>
      <c r="P525" s="446"/>
      <c r="Q525" s="446"/>
      <c r="R525" s="446"/>
    </row>
    <row r="526">
      <c r="A526" s="446"/>
      <c r="B526" s="446"/>
      <c r="C526" s="446"/>
      <c r="D526" s="859"/>
      <c r="E526" s="446"/>
      <c r="F526" s="446"/>
      <c r="G526" s="446"/>
      <c r="H526" s="446"/>
      <c r="I526" s="446"/>
      <c r="J526" s="446"/>
      <c r="K526" s="860"/>
      <c r="L526" s="446"/>
      <c r="M526" s="446"/>
      <c r="N526" s="446"/>
      <c r="O526" s="446"/>
      <c r="P526" s="446"/>
      <c r="Q526" s="446"/>
      <c r="R526" s="446"/>
    </row>
    <row r="527">
      <c r="A527" s="446"/>
      <c r="B527" s="446"/>
      <c r="C527" s="446"/>
      <c r="D527" s="859"/>
      <c r="E527" s="446"/>
      <c r="F527" s="446"/>
      <c r="G527" s="446"/>
      <c r="H527" s="446"/>
      <c r="I527" s="446"/>
      <c r="J527" s="446"/>
      <c r="K527" s="860"/>
      <c r="L527" s="446"/>
      <c r="M527" s="446"/>
      <c r="N527" s="446"/>
      <c r="O527" s="446"/>
      <c r="P527" s="446"/>
      <c r="Q527" s="446"/>
      <c r="R527" s="446"/>
    </row>
    <row r="528">
      <c r="A528" s="446"/>
      <c r="B528" s="446"/>
      <c r="C528" s="446"/>
      <c r="D528" s="859"/>
      <c r="E528" s="446"/>
      <c r="F528" s="446"/>
      <c r="G528" s="446"/>
      <c r="H528" s="446"/>
      <c r="I528" s="446"/>
      <c r="J528" s="446"/>
      <c r="K528" s="860"/>
      <c r="L528" s="446"/>
      <c r="M528" s="446"/>
      <c r="N528" s="446"/>
      <c r="O528" s="446"/>
      <c r="P528" s="446"/>
      <c r="Q528" s="446"/>
      <c r="R528" s="446"/>
    </row>
    <row r="529">
      <c r="A529" s="446"/>
      <c r="B529" s="446"/>
      <c r="C529" s="446"/>
      <c r="D529" s="859"/>
      <c r="E529" s="446"/>
      <c r="F529" s="446"/>
      <c r="G529" s="446"/>
      <c r="H529" s="446"/>
      <c r="I529" s="446"/>
      <c r="J529" s="446"/>
      <c r="K529" s="860"/>
      <c r="L529" s="446"/>
      <c r="M529" s="446"/>
      <c r="N529" s="446"/>
      <c r="O529" s="446"/>
      <c r="P529" s="446"/>
      <c r="Q529" s="446"/>
      <c r="R529" s="446"/>
    </row>
    <row r="530">
      <c r="A530" s="446"/>
      <c r="B530" s="446"/>
      <c r="C530" s="446"/>
      <c r="D530" s="859"/>
      <c r="E530" s="446"/>
      <c r="F530" s="446"/>
      <c r="G530" s="446"/>
      <c r="H530" s="446"/>
      <c r="I530" s="446"/>
      <c r="J530" s="446"/>
      <c r="K530" s="860"/>
      <c r="L530" s="446"/>
      <c r="M530" s="446"/>
      <c r="N530" s="446"/>
      <c r="O530" s="446"/>
      <c r="P530" s="446"/>
      <c r="Q530" s="446"/>
      <c r="R530" s="446"/>
    </row>
    <row r="531">
      <c r="A531" s="446"/>
      <c r="B531" s="446"/>
      <c r="C531" s="446"/>
      <c r="D531" s="859"/>
      <c r="E531" s="446"/>
      <c r="F531" s="446"/>
      <c r="G531" s="446"/>
      <c r="H531" s="446"/>
      <c r="I531" s="446"/>
      <c r="J531" s="446"/>
      <c r="K531" s="860"/>
      <c r="L531" s="446"/>
      <c r="M531" s="446"/>
      <c r="N531" s="446"/>
      <c r="O531" s="446"/>
      <c r="P531" s="446"/>
      <c r="Q531" s="446"/>
      <c r="R531" s="446"/>
    </row>
    <row r="532">
      <c r="A532" s="446"/>
      <c r="B532" s="446"/>
      <c r="C532" s="446"/>
      <c r="D532" s="859"/>
      <c r="E532" s="446"/>
      <c r="F532" s="446"/>
      <c r="G532" s="446"/>
      <c r="H532" s="446"/>
      <c r="I532" s="446"/>
      <c r="J532" s="446"/>
      <c r="K532" s="860"/>
      <c r="L532" s="446"/>
      <c r="M532" s="446"/>
      <c r="N532" s="446"/>
      <c r="O532" s="446"/>
      <c r="P532" s="446"/>
      <c r="Q532" s="446"/>
      <c r="R532" s="446"/>
    </row>
    <row r="533">
      <c r="A533" s="446"/>
      <c r="B533" s="446"/>
      <c r="C533" s="446"/>
      <c r="D533" s="859"/>
      <c r="E533" s="446"/>
      <c r="F533" s="446"/>
      <c r="G533" s="446"/>
      <c r="H533" s="446"/>
      <c r="I533" s="446"/>
      <c r="J533" s="446"/>
      <c r="K533" s="860"/>
      <c r="L533" s="446"/>
      <c r="M533" s="446"/>
      <c r="N533" s="446"/>
      <c r="O533" s="446"/>
      <c r="P533" s="446"/>
      <c r="Q533" s="446"/>
      <c r="R533" s="446"/>
    </row>
    <row r="534">
      <c r="A534" s="446"/>
      <c r="B534" s="446"/>
      <c r="C534" s="446"/>
      <c r="D534" s="859"/>
      <c r="E534" s="446"/>
      <c r="F534" s="446"/>
      <c r="G534" s="446"/>
      <c r="H534" s="446"/>
      <c r="I534" s="446"/>
      <c r="J534" s="446"/>
      <c r="K534" s="860"/>
      <c r="L534" s="446"/>
      <c r="M534" s="446"/>
      <c r="N534" s="446"/>
      <c r="O534" s="446"/>
      <c r="P534" s="446"/>
      <c r="Q534" s="446"/>
      <c r="R534" s="446"/>
    </row>
    <row r="535">
      <c r="A535" s="446"/>
      <c r="B535" s="446"/>
      <c r="C535" s="446"/>
      <c r="D535" s="859"/>
      <c r="E535" s="446"/>
      <c r="F535" s="446"/>
      <c r="G535" s="446"/>
      <c r="H535" s="446"/>
      <c r="I535" s="446"/>
      <c r="J535" s="446"/>
      <c r="K535" s="860"/>
      <c r="L535" s="446"/>
      <c r="M535" s="446"/>
      <c r="N535" s="446"/>
      <c r="O535" s="446"/>
      <c r="P535" s="446"/>
      <c r="Q535" s="446"/>
      <c r="R535" s="446"/>
    </row>
    <row r="536">
      <c r="A536" s="446"/>
      <c r="B536" s="446"/>
      <c r="C536" s="446"/>
      <c r="D536" s="859"/>
      <c r="E536" s="446"/>
      <c r="F536" s="446"/>
      <c r="G536" s="446"/>
      <c r="H536" s="446"/>
      <c r="I536" s="446"/>
      <c r="J536" s="446"/>
      <c r="K536" s="860"/>
      <c r="L536" s="446"/>
      <c r="M536" s="446"/>
      <c r="N536" s="446"/>
      <c r="O536" s="446"/>
      <c r="P536" s="446"/>
      <c r="Q536" s="446"/>
      <c r="R536" s="446"/>
    </row>
    <row r="537">
      <c r="A537" s="446"/>
      <c r="B537" s="446"/>
      <c r="C537" s="446"/>
      <c r="D537" s="859"/>
      <c r="E537" s="446"/>
      <c r="F537" s="446"/>
      <c r="G537" s="446"/>
      <c r="H537" s="446"/>
      <c r="I537" s="446"/>
      <c r="J537" s="446"/>
      <c r="K537" s="860"/>
      <c r="L537" s="446"/>
      <c r="M537" s="446"/>
      <c r="N537" s="446"/>
      <c r="O537" s="446"/>
      <c r="P537" s="446"/>
      <c r="Q537" s="446"/>
      <c r="R537" s="446"/>
    </row>
    <row r="538">
      <c r="A538" s="446"/>
      <c r="B538" s="446"/>
      <c r="C538" s="446"/>
      <c r="D538" s="859"/>
      <c r="E538" s="446"/>
      <c r="F538" s="446"/>
      <c r="G538" s="446"/>
      <c r="H538" s="446"/>
      <c r="I538" s="446"/>
      <c r="J538" s="446"/>
      <c r="K538" s="860"/>
      <c r="L538" s="446"/>
      <c r="M538" s="446"/>
      <c r="N538" s="446"/>
      <c r="O538" s="446"/>
      <c r="P538" s="446"/>
      <c r="Q538" s="446"/>
      <c r="R538" s="446"/>
    </row>
    <row r="539">
      <c r="A539" s="446"/>
      <c r="B539" s="446"/>
      <c r="C539" s="446"/>
      <c r="D539" s="859"/>
      <c r="E539" s="446"/>
      <c r="F539" s="446"/>
      <c r="G539" s="446"/>
      <c r="H539" s="446"/>
      <c r="I539" s="446"/>
      <c r="J539" s="446"/>
      <c r="K539" s="860"/>
      <c r="L539" s="446"/>
      <c r="M539" s="446"/>
      <c r="N539" s="446"/>
      <c r="O539" s="446"/>
      <c r="P539" s="446"/>
      <c r="Q539" s="446"/>
      <c r="R539" s="446"/>
    </row>
    <row r="540">
      <c r="A540" s="446"/>
      <c r="B540" s="446"/>
      <c r="C540" s="446"/>
      <c r="D540" s="859"/>
      <c r="E540" s="446"/>
      <c r="F540" s="446"/>
      <c r="G540" s="446"/>
      <c r="H540" s="446"/>
      <c r="I540" s="446"/>
      <c r="J540" s="446"/>
      <c r="K540" s="860"/>
      <c r="L540" s="446"/>
      <c r="M540" s="446"/>
      <c r="N540" s="446"/>
      <c r="O540" s="446"/>
      <c r="P540" s="446"/>
      <c r="Q540" s="446"/>
      <c r="R540" s="446"/>
    </row>
    <row r="541">
      <c r="A541" s="446"/>
      <c r="B541" s="446"/>
      <c r="C541" s="446"/>
      <c r="D541" s="859"/>
      <c r="E541" s="446"/>
      <c r="F541" s="446"/>
      <c r="G541" s="446"/>
      <c r="H541" s="446"/>
      <c r="I541" s="446"/>
      <c r="J541" s="446"/>
      <c r="K541" s="860"/>
      <c r="L541" s="446"/>
      <c r="M541" s="446"/>
      <c r="N541" s="446"/>
      <c r="O541" s="446"/>
      <c r="P541" s="446"/>
      <c r="Q541" s="446"/>
      <c r="R541" s="446"/>
    </row>
    <row r="542">
      <c r="A542" s="446"/>
      <c r="B542" s="446"/>
      <c r="C542" s="446"/>
      <c r="D542" s="859"/>
      <c r="E542" s="446"/>
      <c r="F542" s="446"/>
      <c r="G542" s="446"/>
      <c r="H542" s="446"/>
      <c r="I542" s="446"/>
      <c r="J542" s="446"/>
      <c r="K542" s="860"/>
      <c r="L542" s="446"/>
      <c r="M542" s="446"/>
      <c r="N542" s="446"/>
      <c r="O542" s="446"/>
      <c r="P542" s="446"/>
      <c r="Q542" s="446"/>
      <c r="R542" s="446"/>
    </row>
    <row r="543">
      <c r="A543" s="446"/>
      <c r="B543" s="446"/>
      <c r="C543" s="446"/>
      <c r="D543" s="859"/>
      <c r="E543" s="446"/>
      <c r="F543" s="446"/>
      <c r="G543" s="446"/>
      <c r="H543" s="446"/>
      <c r="I543" s="446"/>
      <c r="J543" s="446"/>
      <c r="K543" s="860"/>
      <c r="L543" s="446"/>
      <c r="M543" s="446"/>
      <c r="N543" s="446"/>
      <c r="O543" s="446"/>
      <c r="P543" s="446"/>
      <c r="Q543" s="446"/>
      <c r="R543" s="446"/>
    </row>
    <row r="544">
      <c r="A544" s="446"/>
      <c r="B544" s="446"/>
      <c r="C544" s="446"/>
      <c r="D544" s="859"/>
      <c r="E544" s="446"/>
      <c r="F544" s="446"/>
      <c r="G544" s="446"/>
      <c r="H544" s="446"/>
      <c r="I544" s="446"/>
      <c r="J544" s="446"/>
      <c r="K544" s="860"/>
      <c r="L544" s="446"/>
      <c r="M544" s="446"/>
      <c r="N544" s="446"/>
      <c r="O544" s="446"/>
      <c r="P544" s="446"/>
      <c r="Q544" s="446"/>
      <c r="R544" s="446"/>
    </row>
    <row r="545">
      <c r="A545" s="446"/>
      <c r="B545" s="446"/>
      <c r="C545" s="446"/>
      <c r="D545" s="859"/>
      <c r="E545" s="446"/>
      <c r="F545" s="446"/>
      <c r="G545" s="446"/>
      <c r="H545" s="446"/>
      <c r="I545" s="446"/>
      <c r="J545" s="446"/>
      <c r="K545" s="860"/>
      <c r="L545" s="446"/>
      <c r="M545" s="446"/>
      <c r="N545" s="446"/>
      <c r="O545" s="446"/>
      <c r="P545" s="446"/>
      <c r="Q545" s="446"/>
      <c r="R545" s="446"/>
    </row>
    <row r="546">
      <c r="A546" s="446"/>
      <c r="B546" s="446"/>
      <c r="C546" s="446"/>
      <c r="D546" s="859"/>
      <c r="E546" s="446"/>
      <c r="F546" s="446"/>
      <c r="G546" s="446"/>
      <c r="H546" s="446"/>
      <c r="I546" s="446"/>
      <c r="J546" s="446"/>
      <c r="K546" s="860"/>
      <c r="L546" s="446"/>
      <c r="M546" s="446"/>
      <c r="N546" s="446"/>
      <c r="O546" s="446"/>
      <c r="P546" s="446"/>
      <c r="Q546" s="446"/>
      <c r="R546" s="446"/>
    </row>
    <row r="547">
      <c r="A547" s="446"/>
      <c r="B547" s="446"/>
      <c r="C547" s="446"/>
      <c r="D547" s="859"/>
      <c r="E547" s="446"/>
      <c r="F547" s="446"/>
      <c r="G547" s="446"/>
      <c r="H547" s="446"/>
      <c r="I547" s="446"/>
      <c r="J547" s="446"/>
      <c r="K547" s="860"/>
      <c r="L547" s="446"/>
      <c r="M547" s="446"/>
      <c r="N547" s="446"/>
      <c r="O547" s="446"/>
      <c r="P547" s="446"/>
      <c r="Q547" s="446"/>
      <c r="R547" s="446"/>
    </row>
    <row r="548">
      <c r="A548" s="446"/>
      <c r="B548" s="446"/>
      <c r="C548" s="446"/>
      <c r="D548" s="859"/>
      <c r="E548" s="446"/>
      <c r="F548" s="446"/>
      <c r="G548" s="446"/>
      <c r="H548" s="446"/>
      <c r="I548" s="446"/>
      <c r="J548" s="446"/>
      <c r="K548" s="860"/>
      <c r="L548" s="446"/>
      <c r="M548" s="446"/>
      <c r="N548" s="446"/>
      <c r="O548" s="446"/>
      <c r="P548" s="446"/>
      <c r="Q548" s="446"/>
      <c r="R548" s="446"/>
    </row>
    <row r="549">
      <c r="A549" s="446"/>
      <c r="B549" s="446"/>
      <c r="C549" s="446"/>
      <c r="D549" s="859"/>
      <c r="E549" s="446"/>
      <c r="F549" s="446"/>
      <c r="G549" s="446"/>
      <c r="H549" s="446"/>
      <c r="I549" s="446"/>
      <c r="J549" s="446"/>
      <c r="K549" s="860"/>
      <c r="L549" s="446"/>
      <c r="M549" s="446"/>
      <c r="N549" s="446"/>
      <c r="O549" s="446"/>
      <c r="P549" s="446"/>
      <c r="Q549" s="446"/>
      <c r="R549" s="446"/>
    </row>
    <row r="550">
      <c r="A550" s="446"/>
      <c r="B550" s="446"/>
      <c r="C550" s="446"/>
      <c r="D550" s="859"/>
      <c r="E550" s="446"/>
      <c r="F550" s="446"/>
      <c r="G550" s="446"/>
      <c r="H550" s="446"/>
      <c r="I550" s="446"/>
      <c r="J550" s="446"/>
      <c r="K550" s="860"/>
      <c r="L550" s="446"/>
      <c r="M550" s="446"/>
      <c r="N550" s="446"/>
      <c r="O550" s="446"/>
      <c r="P550" s="446"/>
      <c r="Q550" s="446"/>
      <c r="R550" s="446"/>
    </row>
    <row r="551">
      <c r="A551" s="446"/>
      <c r="B551" s="446"/>
      <c r="C551" s="446"/>
      <c r="D551" s="859"/>
      <c r="E551" s="446"/>
      <c r="F551" s="446"/>
      <c r="G551" s="446"/>
      <c r="H551" s="446"/>
      <c r="I551" s="446"/>
      <c r="J551" s="446"/>
      <c r="K551" s="860"/>
      <c r="L551" s="446"/>
      <c r="M551" s="446"/>
      <c r="N551" s="446"/>
      <c r="O551" s="446"/>
      <c r="P551" s="446"/>
      <c r="Q551" s="446"/>
      <c r="R551" s="446"/>
    </row>
    <row r="552">
      <c r="A552" s="446"/>
      <c r="B552" s="446"/>
      <c r="C552" s="446"/>
      <c r="D552" s="859"/>
      <c r="E552" s="446"/>
      <c r="F552" s="446"/>
      <c r="G552" s="446"/>
      <c r="H552" s="446"/>
      <c r="I552" s="446"/>
      <c r="J552" s="446"/>
      <c r="K552" s="860"/>
      <c r="L552" s="446"/>
      <c r="M552" s="446"/>
      <c r="N552" s="446"/>
      <c r="O552" s="446"/>
      <c r="P552" s="446"/>
      <c r="Q552" s="446"/>
      <c r="R552" s="446"/>
    </row>
    <row r="553">
      <c r="A553" s="446"/>
      <c r="B553" s="446"/>
      <c r="C553" s="446"/>
      <c r="D553" s="859"/>
      <c r="E553" s="446"/>
      <c r="F553" s="446"/>
      <c r="G553" s="446"/>
      <c r="H553" s="446"/>
      <c r="I553" s="446"/>
      <c r="J553" s="446"/>
      <c r="K553" s="860"/>
      <c r="L553" s="446"/>
      <c r="M553" s="446"/>
      <c r="N553" s="446"/>
      <c r="O553" s="446"/>
      <c r="P553" s="446"/>
      <c r="Q553" s="446"/>
      <c r="R553" s="446"/>
    </row>
    <row r="554">
      <c r="A554" s="446"/>
      <c r="B554" s="446"/>
      <c r="C554" s="446"/>
      <c r="D554" s="859"/>
      <c r="E554" s="446"/>
      <c r="F554" s="446"/>
      <c r="G554" s="446"/>
      <c r="H554" s="446"/>
      <c r="I554" s="446"/>
      <c r="J554" s="446"/>
      <c r="K554" s="860"/>
      <c r="L554" s="446"/>
      <c r="M554" s="446"/>
      <c r="N554" s="446"/>
      <c r="O554" s="446"/>
      <c r="P554" s="446"/>
      <c r="Q554" s="446"/>
      <c r="R554" s="446"/>
    </row>
    <row r="555">
      <c r="A555" s="446"/>
      <c r="B555" s="446"/>
      <c r="C555" s="446"/>
      <c r="D555" s="859"/>
      <c r="E555" s="446"/>
      <c r="F555" s="446"/>
      <c r="G555" s="446"/>
      <c r="H555" s="446"/>
      <c r="I555" s="446"/>
      <c r="J555" s="446"/>
      <c r="K555" s="860"/>
      <c r="L555" s="446"/>
      <c r="M555" s="446"/>
      <c r="N555" s="446"/>
      <c r="O555" s="446"/>
      <c r="P555" s="446"/>
      <c r="Q555" s="446"/>
      <c r="R555" s="446"/>
    </row>
    <row r="556">
      <c r="A556" s="446"/>
      <c r="B556" s="446"/>
      <c r="C556" s="446"/>
      <c r="D556" s="859"/>
      <c r="E556" s="446"/>
      <c r="F556" s="446"/>
      <c r="G556" s="446"/>
      <c r="H556" s="446"/>
      <c r="I556" s="446"/>
      <c r="J556" s="446"/>
      <c r="K556" s="860"/>
      <c r="L556" s="446"/>
      <c r="M556" s="446"/>
      <c r="N556" s="446"/>
      <c r="O556" s="446"/>
      <c r="P556" s="446"/>
      <c r="Q556" s="446"/>
      <c r="R556" s="446"/>
    </row>
    <row r="557">
      <c r="A557" s="446"/>
      <c r="B557" s="446"/>
      <c r="C557" s="446"/>
      <c r="D557" s="859"/>
      <c r="E557" s="446"/>
      <c r="F557" s="446"/>
      <c r="G557" s="446"/>
      <c r="H557" s="446"/>
      <c r="I557" s="446"/>
      <c r="J557" s="446"/>
      <c r="K557" s="860"/>
      <c r="L557" s="446"/>
      <c r="M557" s="446"/>
      <c r="N557" s="446"/>
      <c r="O557" s="446"/>
      <c r="P557" s="446"/>
      <c r="Q557" s="446"/>
      <c r="R557" s="446"/>
    </row>
    <row r="558">
      <c r="A558" s="446"/>
      <c r="B558" s="446"/>
      <c r="C558" s="446"/>
      <c r="D558" s="859"/>
      <c r="E558" s="446"/>
      <c r="F558" s="446"/>
      <c r="G558" s="446"/>
      <c r="H558" s="446"/>
      <c r="I558" s="446"/>
      <c r="J558" s="446"/>
      <c r="K558" s="860"/>
      <c r="L558" s="446"/>
      <c r="M558" s="446"/>
      <c r="N558" s="446"/>
      <c r="O558" s="446"/>
      <c r="P558" s="446"/>
      <c r="Q558" s="446"/>
      <c r="R558" s="446"/>
    </row>
    <row r="559">
      <c r="A559" s="446"/>
      <c r="B559" s="446"/>
      <c r="C559" s="446"/>
      <c r="D559" s="859"/>
      <c r="E559" s="446"/>
      <c r="F559" s="446"/>
      <c r="G559" s="446"/>
      <c r="H559" s="446"/>
      <c r="I559" s="446"/>
      <c r="J559" s="446"/>
      <c r="K559" s="860"/>
      <c r="L559" s="446"/>
      <c r="M559" s="446"/>
      <c r="N559" s="446"/>
      <c r="O559" s="446"/>
      <c r="P559" s="446"/>
      <c r="Q559" s="446"/>
      <c r="R559" s="446"/>
    </row>
    <row r="560">
      <c r="A560" s="446"/>
      <c r="B560" s="446"/>
      <c r="C560" s="446"/>
      <c r="D560" s="859"/>
      <c r="E560" s="446"/>
      <c r="F560" s="446"/>
      <c r="G560" s="446"/>
      <c r="H560" s="446"/>
      <c r="I560" s="446"/>
      <c r="J560" s="446"/>
      <c r="K560" s="860"/>
      <c r="L560" s="446"/>
      <c r="M560" s="446"/>
      <c r="N560" s="446"/>
      <c r="O560" s="446"/>
      <c r="P560" s="446"/>
      <c r="Q560" s="446"/>
      <c r="R560" s="446"/>
    </row>
    <row r="561">
      <c r="A561" s="446"/>
      <c r="B561" s="446"/>
      <c r="C561" s="446"/>
      <c r="D561" s="859"/>
      <c r="E561" s="446"/>
      <c r="F561" s="446"/>
      <c r="G561" s="446"/>
      <c r="H561" s="446"/>
      <c r="I561" s="446"/>
      <c r="J561" s="446"/>
      <c r="K561" s="860"/>
      <c r="L561" s="446"/>
      <c r="M561" s="446"/>
      <c r="N561" s="446"/>
      <c r="O561" s="446"/>
      <c r="P561" s="446"/>
      <c r="Q561" s="446"/>
      <c r="R561" s="446"/>
    </row>
    <row r="562">
      <c r="A562" s="446"/>
      <c r="B562" s="446"/>
      <c r="C562" s="446"/>
      <c r="D562" s="859"/>
      <c r="E562" s="446"/>
      <c r="F562" s="446"/>
      <c r="G562" s="446"/>
      <c r="H562" s="446"/>
      <c r="I562" s="446"/>
      <c r="J562" s="446"/>
      <c r="K562" s="860"/>
      <c r="L562" s="446"/>
      <c r="M562" s="446"/>
      <c r="N562" s="446"/>
      <c r="O562" s="446"/>
      <c r="P562" s="446"/>
      <c r="Q562" s="446"/>
      <c r="R562" s="446"/>
    </row>
    <row r="563">
      <c r="A563" s="446"/>
      <c r="B563" s="446"/>
      <c r="C563" s="446"/>
      <c r="D563" s="859"/>
      <c r="E563" s="446"/>
      <c r="F563" s="446"/>
      <c r="G563" s="446"/>
      <c r="H563" s="446"/>
      <c r="I563" s="446"/>
      <c r="J563" s="446"/>
      <c r="K563" s="860"/>
      <c r="L563" s="446"/>
      <c r="M563" s="446"/>
      <c r="N563" s="446"/>
      <c r="O563" s="446"/>
      <c r="P563" s="446"/>
      <c r="Q563" s="446"/>
      <c r="R563" s="446"/>
    </row>
    <row r="564">
      <c r="A564" s="446"/>
      <c r="B564" s="446"/>
      <c r="C564" s="446"/>
      <c r="D564" s="859"/>
      <c r="E564" s="446"/>
      <c r="F564" s="446"/>
      <c r="G564" s="446"/>
      <c r="H564" s="446"/>
      <c r="I564" s="446"/>
      <c r="J564" s="446"/>
      <c r="K564" s="860"/>
      <c r="L564" s="446"/>
      <c r="M564" s="446"/>
      <c r="N564" s="446"/>
      <c r="O564" s="446"/>
      <c r="P564" s="446"/>
      <c r="Q564" s="446"/>
      <c r="R564" s="446"/>
    </row>
    <row r="565">
      <c r="A565" s="446"/>
      <c r="B565" s="446"/>
      <c r="C565" s="446"/>
      <c r="D565" s="859"/>
      <c r="E565" s="446"/>
      <c r="F565" s="446"/>
      <c r="G565" s="446"/>
      <c r="H565" s="446"/>
      <c r="I565" s="446"/>
      <c r="J565" s="446"/>
      <c r="K565" s="860"/>
      <c r="L565" s="446"/>
      <c r="M565" s="446"/>
      <c r="N565" s="446"/>
      <c r="O565" s="446"/>
      <c r="P565" s="446"/>
      <c r="Q565" s="446"/>
      <c r="R565" s="446"/>
    </row>
    <row r="566">
      <c r="A566" s="446"/>
      <c r="B566" s="446"/>
      <c r="C566" s="446"/>
      <c r="D566" s="859"/>
      <c r="E566" s="446"/>
      <c r="F566" s="446"/>
      <c r="G566" s="446"/>
      <c r="H566" s="446"/>
      <c r="I566" s="446"/>
      <c r="J566" s="446"/>
      <c r="K566" s="860"/>
      <c r="L566" s="446"/>
      <c r="M566" s="446"/>
      <c r="N566" s="446"/>
      <c r="O566" s="446"/>
      <c r="P566" s="446"/>
      <c r="Q566" s="446"/>
      <c r="R566" s="446"/>
    </row>
    <row r="567">
      <c r="A567" s="446"/>
      <c r="B567" s="446"/>
      <c r="C567" s="446"/>
      <c r="D567" s="859"/>
      <c r="E567" s="446"/>
      <c r="F567" s="446"/>
      <c r="G567" s="446"/>
      <c r="H567" s="446"/>
      <c r="I567" s="446"/>
      <c r="J567" s="446"/>
      <c r="K567" s="860"/>
      <c r="L567" s="446"/>
      <c r="M567" s="446"/>
      <c r="N567" s="446"/>
      <c r="O567" s="446"/>
      <c r="P567" s="446"/>
      <c r="Q567" s="446"/>
      <c r="R567" s="446"/>
    </row>
    <row r="568">
      <c r="A568" s="446"/>
      <c r="B568" s="446"/>
      <c r="C568" s="446"/>
      <c r="D568" s="859"/>
      <c r="E568" s="446"/>
      <c r="F568" s="446"/>
      <c r="G568" s="446"/>
      <c r="H568" s="446"/>
      <c r="I568" s="446"/>
      <c r="J568" s="446"/>
      <c r="K568" s="860"/>
      <c r="L568" s="446"/>
      <c r="M568" s="446"/>
      <c r="N568" s="446"/>
      <c r="O568" s="446"/>
      <c r="P568" s="446"/>
      <c r="Q568" s="446"/>
      <c r="R568" s="446"/>
    </row>
    <row r="569">
      <c r="A569" s="446"/>
      <c r="B569" s="446"/>
      <c r="C569" s="446"/>
      <c r="D569" s="859"/>
      <c r="E569" s="446"/>
      <c r="F569" s="446"/>
      <c r="G569" s="446"/>
      <c r="H569" s="446"/>
      <c r="I569" s="446"/>
      <c r="J569" s="446"/>
      <c r="K569" s="860"/>
      <c r="L569" s="446"/>
      <c r="M569" s="446"/>
      <c r="N569" s="446"/>
      <c r="O569" s="446"/>
      <c r="P569" s="446"/>
      <c r="Q569" s="446"/>
      <c r="R569" s="446"/>
    </row>
    <row r="570">
      <c r="A570" s="446"/>
      <c r="B570" s="446"/>
      <c r="C570" s="446"/>
      <c r="D570" s="859"/>
      <c r="E570" s="446"/>
      <c r="F570" s="446"/>
      <c r="G570" s="446"/>
      <c r="H570" s="446"/>
      <c r="I570" s="446"/>
      <c r="J570" s="446"/>
      <c r="K570" s="860"/>
      <c r="L570" s="446"/>
      <c r="M570" s="446"/>
      <c r="N570" s="446"/>
      <c r="O570" s="446"/>
      <c r="P570" s="446"/>
      <c r="Q570" s="446"/>
      <c r="R570" s="446"/>
    </row>
    <row r="571">
      <c r="A571" s="446"/>
      <c r="B571" s="446"/>
      <c r="C571" s="446"/>
      <c r="D571" s="859"/>
      <c r="E571" s="446"/>
      <c r="F571" s="446"/>
      <c r="G571" s="446"/>
      <c r="H571" s="446"/>
      <c r="I571" s="446"/>
      <c r="J571" s="446"/>
      <c r="K571" s="860"/>
      <c r="L571" s="446"/>
      <c r="M571" s="446"/>
      <c r="N571" s="446"/>
      <c r="O571" s="446"/>
      <c r="P571" s="446"/>
      <c r="Q571" s="446"/>
      <c r="R571" s="446"/>
    </row>
    <row r="572">
      <c r="A572" s="446"/>
      <c r="B572" s="446"/>
      <c r="C572" s="446"/>
      <c r="D572" s="859"/>
      <c r="E572" s="446"/>
      <c r="F572" s="446"/>
      <c r="G572" s="446"/>
      <c r="H572" s="446"/>
      <c r="I572" s="446"/>
      <c r="J572" s="446"/>
      <c r="K572" s="860"/>
      <c r="L572" s="446"/>
      <c r="M572" s="446"/>
      <c r="N572" s="446"/>
      <c r="O572" s="446"/>
      <c r="P572" s="446"/>
      <c r="Q572" s="446"/>
      <c r="R572" s="446"/>
    </row>
    <row r="573">
      <c r="A573" s="446"/>
      <c r="B573" s="446"/>
      <c r="C573" s="446"/>
      <c r="D573" s="859"/>
      <c r="E573" s="446"/>
      <c r="F573" s="446"/>
      <c r="G573" s="446"/>
      <c r="H573" s="446"/>
      <c r="I573" s="446"/>
      <c r="J573" s="446"/>
      <c r="K573" s="860"/>
      <c r="L573" s="446"/>
      <c r="M573" s="446"/>
      <c r="N573" s="446"/>
      <c r="O573" s="446"/>
      <c r="P573" s="446"/>
      <c r="Q573" s="446"/>
      <c r="R573" s="446"/>
    </row>
    <row r="574">
      <c r="A574" s="446"/>
      <c r="B574" s="446"/>
      <c r="C574" s="446"/>
      <c r="D574" s="859"/>
      <c r="E574" s="446"/>
      <c r="F574" s="446"/>
      <c r="G574" s="446"/>
      <c r="H574" s="446"/>
      <c r="I574" s="446"/>
      <c r="J574" s="446"/>
      <c r="K574" s="860"/>
      <c r="L574" s="446"/>
      <c r="M574" s="446"/>
      <c r="N574" s="446"/>
      <c r="O574" s="446"/>
      <c r="P574" s="446"/>
      <c r="Q574" s="446"/>
      <c r="R574" s="446"/>
    </row>
    <row r="575">
      <c r="A575" s="446"/>
      <c r="B575" s="446"/>
      <c r="C575" s="446"/>
      <c r="D575" s="859"/>
      <c r="E575" s="446"/>
      <c r="F575" s="446"/>
      <c r="G575" s="446"/>
      <c r="H575" s="446"/>
      <c r="I575" s="446"/>
      <c r="J575" s="446"/>
      <c r="K575" s="860"/>
      <c r="L575" s="446"/>
      <c r="M575" s="446"/>
      <c r="N575" s="446"/>
      <c r="O575" s="446"/>
      <c r="P575" s="446"/>
      <c r="Q575" s="446"/>
      <c r="R575" s="446"/>
    </row>
    <row r="576">
      <c r="A576" s="446"/>
      <c r="B576" s="446"/>
      <c r="C576" s="446"/>
      <c r="D576" s="859"/>
      <c r="E576" s="446"/>
      <c r="F576" s="446"/>
      <c r="G576" s="446"/>
      <c r="H576" s="446"/>
      <c r="I576" s="446"/>
      <c r="J576" s="446"/>
      <c r="K576" s="860"/>
      <c r="L576" s="446"/>
      <c r="M576" s="446"/>
      <c r="N576" s="446"/>
      <c r="O576" s="446"/>
      <c r="P576" s="446"/>
      <c r="Q576" s="446"/>
      <c r="R576" s="446"/>
    </row>
    <row r="577">
      <c r="A577" s="446"/>
      <c r="B577" s="446"/>
      <c r="C577" s="446"/>
      <c r="D577" s="859"/>
      <c r="E577" s="446"/>
      <c r="F577" s="446"/>
      <c r="G577" s="446"/>
      <c r="H577" s="446"/>
      <c r="I577" s="446"/>
      <c r="J577" s="446"/>
      <c r="K577" s="860"/>
      <c r="L577" s="446"/>
      <c r="M577" s="446"/>
      <c r="N577" s="446"/>
      <c r="O577" s="446"/>
      <c r="P577" s="446"/>
      <c r="Q577" s="446"/>
      <c r="R577" s="446"/>
    </row>
    <row r="578">
      <c r="A578" s="446"/>
      <c r="B578" s="446"/>
      <c r="C578" s="446"/>
      <c r="D578" s="859"/>
      <c r="E578" s="446"/>
      <c r="F578" s="446"/>
      <c r="G578" s="446"/>
      <c r="H578" s="446"/>
      <c r="I578" s="446"/>
      <c r="J578" s="446"/>
      <c r="K578" s="860"/>
      <c r="L578" s="446"/>
      <c r="M578" s="446"/>
      <c r="N578" s="446"/>
      <c r="O578" s="446"/>
      <c r="P578" s="446"/>
      <c r="Q578" s="446"/>
      <c r="R578" s="446"/>
    </row>
    <row r="579">
      <c r="A579" s="446"/>
      <c r="B579" s="446"/>
      <c r="C579" s="446"/>
      <c r="D579" s="859"/>
      <c r="E579" s="446"/>
      <c r="F579" s="446"/>
      <c r="G579" s="446"/>
      <c r="H579" s="446"/>
      <c r="I579" s="446"/>
      <c r="J579" s="446"/>
      <c r="K579" s="860"/>
      <c r="L579" s="446"/>
      <c r="M579" s="446"/>
      <c r="N579" s="446"/>
      <c r="O579" s="446"/>
      <c r="P579" s="446"/>
      <c r="Q579" s="446"/>
      <c r="R579" s="446"/>
    </row>
    <row r="580">
      <c r="A580" s="446"/>
      <c r="B580" s="446"/>
      <c r="C580" s="446"/>
      <c r="D580" s="859"/>
      <c r="E580" s="446"/>
      <c r="F580" s="446"/>
      <c r="G580" s="446"/>
      <c r="H580" s="446"/>
      <c r="I580" s="446"/>
      <c r="J580" s="446"/>
      <c r="K580" s="860"/>
      <c r="L580" s="446"/>
      <c r="M580" s="446"/>
      <c r="N580" s="446"/>
      <c r="O580" s="446"/>
      <c r="P580" s="446"/>
      <c r="Q580" s="446"/>
      <c r="R580" s="446"/>
    </row>
    <row r="581">
      <c r="A581" s="446"/>
      <c r="B581" s="446"/>
      <c r="C581" s="446"/>
      <c r="D581" s="859"/>
      <c r="E581" s="446"/>
      <c r="F581" s="446"/>
      <c r="G581" s="446"/>
      <c r="H581" s="446"/>
      <c r="I581" s="446"/>
      <c r="J581" s="446"/>
      <c r="K581" s="860"/>
      <c r="L581" s="446"/>
      <c r="M581" s="446"/>
      <c r="N581" s="446"/>
      <c r="O581" s="446"/>
      <c r="P581" s="446"/>
      <c r="Q581" s="446"/>
      <c r="R581" s="446"/>
    </row>
    <row r="582">
      <c r="A582" s="446"/>
      <c r="B582" s="446"/>
      <c r="C582" s="446"/>
      <c r="D582" s="859"/>
      <c r="E582" s="446"/>
      <c r="F582" s="446"/>
      <c r="G582" s="446"/>
      <c r="H582" s="446"/>
      <c r="I582" s="446"/>
      <c r="J582" s="446"/>
      <c r="K582" s="860"/>
      <c r="L582" s="446"/>
      <c r="M582" s="446"/>
      <c r="N582" s="446"/>
      <c r="O582" s="446"/>
      <c r="P582" s="446"/>
      <c r="Q582" s="446"/>
      <c r="R582" s="446"/>
    </row>
    <row r="583">
      <c r="A583" s="446"/>
      <c r="B583" s="446"/>
      <c r="C583" s="446"/>
      <c r="D583" s="859"/>
      <c r="E583" s="446"/>
      <c r="F583" s="446"/>
      <c r="G583" s="446"/>
      <c r="H583" s="446"/>
      <c r="I583" s="446"/>
      <c r="J583" s="446"/>
      <c r="K583" s="860"/>
      <c r="L583" s="446"/>
      <c r="M583" s="446"/>
      <c r="N583" s="446"/>
      <c r="O583" s="446"/>
      <c r="P583" s="446"/>
      <c r="Q583" s="446"/>
      <c r="R583" s="446"/>
    </row>
    <row r="584">
      <c r="A584" s="446"/>
      <c r="B584" s="446"/>
      <c r="C584" s="446"/>
      <c r="D584" s="859"/>
      <c r="E584" s="446"/>
      <c r="F584" s="446"/>
      <c r="G584" s="446"/>
      <c r="H584" s="446"/>
      <c r="I584" s="446"/>
      <c r="J584" s="446"/>
      <c r="K584" s="860"/>
      <c r="L584" s="446"/>
      <c r="M584" s="446"/>
      <c r="N584" s="446"/>
      <c r="O584" s="446"/>
      <c r="P584" s="446"/>
      <c r="Q584" s="446"/>
      <c r="R584" s="446"/>
    </row>
    <row r="585">
      <c r="A585" s="446"/>
      <c r="B585" s="446"/>
      <c r="C585" s="446"/>
      <c r="D585" s="859"/>
      <c r="E585" s="446"/>
      <c r="F585" s="446"/>
      <c r="G585" s="446"/>
      <c r="H585" s="446"/>
      <c r="I585" s="446"/>
      <c r="J585" s="446"/>
      <c r="K585" s="860"/>
      <c r="L585" s="446"/>
      <c r="M585" s="446"/>
      <c r="N585" s="446"/>
      <c r="O585" s="446"/>
      <c r="P585" s="446"/>
      <c r="Q585" s="446"/>
      <c r="R585" s="446"/>
    </row>
    <row r="586">
      <c r="A586" s="446"/>
      <c r="B586" s="446"/>
      <c r="C586" s="446"/>
      <c r="D586" s="859"/>
      <c r="E586" s="446"/>
      <c r="F586" s="446"/>
      <c r="G586" s="446"/>
      <c r="H586" s="446"/>
      <c r="I586" s="446"/>
      <c r="J586" s="446"/>
      <c r="K586" s="860"/>
      <c r="L586" s="446"/>
      <c r="M586" s="446"/>
      <c r="N586" s="446"/>
      <c r="O586" s="446"/>
      <c r="P586" s="446"/>
      <c r="Q586" s="446"/>
      <c r="R586" s="446"/>
    </row>
    <row r="587">
      <c r="A587" s="446"/>
      <c r="B587" s="446"/>
      <c r="C587" s="446"/>
      <c r="D587" s="859"/>
      <c r="E587" s="446"/>
      <c r="F587" s="446"/>
      <c r="G587" s="446"/>
      <c r="H587" s="446"/>
      <c r="I587" s="446"/>
      <c r="J587" s="446"/>
      <c r="K587" s="860"/>
      <c r="L587" s="446"/>
      <c r="M587" s="446"/>
      <c r="N587" s="446"/>
      <c r="O587" s="446"/>
      <c r="P587" s="446"/>
      <c r="Q587" s="446"/>
      <c r="R587" s="446"/>
    </row>
    <row r="588">
      <c r="A588" s="446"/>
      <c r="B588" s="446"/>
      <c r="C588" s="446"/>
      <c r="D588" s="859"/>
      <c r="E588" s="446"/>
      <c r="F588" s="446"/>
      <c r="G588" s="446"/>
      <c r="H588" s="446"/>
      <c r="I588" s="446"/>
      <c r="J588" s="446"/>
      <c r="K588" s="860"/>
      <c r="L588" s="446"/>
      <c r="M588" s="446"/>
      <c r="N588" s="446"/>
      <c r="O588" s="446"/>
      <c r="P588" s="446"/>
      <c r="Q588" s="446"/>
      <c r="R588" s="446"/>
    </row>
    <row r="589">
      <c r="A589" s="446"/>
      <c r="B589" s="446"/>
      <c r="C589" s="446"/>
      <c r="D589" s="859"/>
      <c r="E589" s="446"/>
      <c r="F589" s="446"/>
      <c r="G589" s="446"/>
      <c r="H589" s="446"/>
      <c r="I589" s="446"/>
      <c r="J589" s="446"/>
      <c r="K589" s="860"/>
      <c r="L589" s="446"/>
      <c r="M589" s="446"/>
      <c r="N589" s="446"/>
      <c r="O589" s="446"/>
      <c r="P589" s="446"/>
      <c r="Q589" s="446"/>
      <c r="R589" s="446"/>
    </row>
    <row r="590">
      <c r="A590" s="446"/>
      <c r="B590" s="446"/>
      <c r="C590" s="446"/>
      <c r="D590" s="859"/>
      <c r="E590" s="446"/>
      <c r="F590" s="446"/>
      <c r="G590" s="446"/>
      <c r="H590" s="446"/>
      <c r="I590" s="446"/>
      <c r="J590" s="446"/>
      <c r="K590" s="860"/>
      <c r="L590" s="446"/>
      <c r="M590" s="446"/>
      <c r="N590" s="446"/>
      <c r="O590" s="446"/>
      <c r="P590" s="446"/>
      <c r="Q590" s="446"/>
      <c r="R590" s="446"/>
    </row>
    <row r="591">
      <c r="A591" s="446"/>
      <c r="B591" s="446"/>
      <c r="C591" s="446"/>
      <c r="D591" s="859"/>
      <c r="E591" s="446"/>
      <c r="F591" s="446"/>
      <c r="G591" s="446"/>
      <c r="H591" s="446"/>
      <c r="I591" s="446"/>
      <c r="J591" s="446"/>
      <c r="K591" s="860"/>
      <c r="L591" s="446"/>
      <c r="M591" s="446"/>
      <c r="N591" s="446"/>
      <c r="O591" s="446"/>
      <c r="P591" s="446"/>
      <c r="Q591" s="446"/>
      <c r="R591" s="446"/>
    </row>
    <row r="592">
      <c r="A592" s="446"/>
      <c r="B592" s="446"/>
      <c r="C592" s="446"/>
      <c r="D592" s="859"/>
      <c r="E592" s="446"/>
      <c r="F592" s="446"/>
      <c r="G592" s="446"/>
      <c r="H592" s="446"/>
      <c r="I592" s="446"/>
      <c r="J592" s="446"/>
      <c r="K592" s="860"/>
      <c r="L592" s="446"/>
      <c r="M592" s="446"/>
      <c r="N592" s="446"/>
      <c r="O592" s="446"/>
      <c r="P592" s="446"/>
      <c r="Q592" s="446"/>
      <c r="R592" s="446"/>
    </row>
    <row r="593">
      <c r="A593" s="446"/>
      <c r="B593" s="446"/>
      <c r="C593" s="446"/>
      <c r="D593" s="859"/>
      <c r="E593" s="446"/>
      <c r="F593" s="446"/>
      <c r="G593" s="446"/>
      <c r="H593" s="446"/>
      <c r="I593" s="446"/>
      <c r="J593" s="446"/>
      <c r="K593" s="860"/>
      <c r="L593" s="446"/>
      <c r="M593" s="446"/>
      <c r="N593" s="446"/>
      <c r="O593" s="446"/>
      <c r="P593" s="446"/>
      <c r="Q593" s="446"/>
      <c r="R593" s="446"/>
    </row>
    <row r="594">
      <c r="A594" s="446"/>
      <c r="B594" s="446"/>
      <c r="C594" s="446"/>
      <c r="D594" s="859"/>
      <c r="E594" s="446"/>
      <c r="F594" s="446"/>
      <c r="G594" s="446"/>
      <c r="H594" s="446"/>
      <c r="I594" s="446"/>
      <c r="J594" s="446"/>
      <c r="K594" s="860"/>
      <c r="L594" s="446"/>
      <c r="M594" s="446"/>
      <c r="N594" s="446"/>
      <c r="O594" s="446"/>
      <c r="P594" s="446"/>
      <c r="Q594" s="446"/>
      <c r="R594" s="446"/>
    </row>
    <row r="595">
      <c r="A595" s="446"/>
      <c r="B595" s="446"/>
      <c r="C595" s="446"/>
      <c r="D595" s="859"/>
      <c r="E595" s="446"/>
      <c r="F595" s="446"/>
      <c r="G595" s="446"/>
      <c r="H595" s="446"/>
      <c r="I595" s="446"/>
      <c r="J595" s="446"/>
      <c r="K595" s="860"/>
      <c r="L595" s="446"/>
      <c r="M595" s="446"/>
      <c r="N595" s="446"/>
      <c r="O595" s="446"/>
      <c r="P595" s="446"/>
      <c r="Q595" s="446"/>
      <c r="R595" s="446"/>
    </row>
    <row r="596">
      <c r="A596" s="446"/>
      <c r="B596" s="446"/>
      <c r="C596" s="446"/>
      <c r="D596" s="859"/>
      <c r="E596" s="446"/>
      <c r="F596" s="446"/>
      <c r="G596" s="446"/>
      <c r="H596" s="446"/>
      <c r="I596" s="446"/>
      <c r="J596" s="446"/>
      <c r="K596" s="860"/>
      <c r="L596" s="446"/>
      <c r="M596" s="446"/>
      <c r="N596" s="446"/>
      <c r="O596" s="446"/>
      <c r="P596" s="446"/>
      <c r="Q596" s="446"/>
      <c r="R596" s="446"/>
    </row>
    <row r="597">
      <c r="A597" s="446"/>
      <c r="B597" s="446"/>
      <c r="C597" s="446"/>
      <c r="D597" s="859"/>
      <c r="E597" s="446"/>
      <c r="F597" s="446"/>
      <c r="G597" s="446"/>
      <c r="H597" s="446"/>
      <c r="I597" s="446"/>
      <c r="J597" s="446"/>
      <c r="K597" s="860"/>
      <c r="L597" s="446"/>
      <c r="M597" s="446"/>
      <c r="N597" s="446"/>
      <c r="O597" s="446"/>
      <c r="P597" s="446"/>
      <c r="Q597" s="446"/>
      <c r="R597" s="446"/>
    </row>
    <row r="598">
      <c r="A598" s="446"/>
      <c r="B598" s="446"/>
      <c r="C598" s="446"/>
      <c r="D598" s="859"/>
      <c r="E598" s="446"/>
      <c r="F598" s="446"/>
      <c r="G598" s="446"/>
      <c r="H598" s="446"/>
      <c r="I598" s="446"/>
      <c r="J598" s="446"/>
      <c r="K598" s="860"/>
      <c r="L598" s="446"/>
      <c r="M598" s="446"/>
      <c r="N598" s="446"/>
      <c r="O598" s="446"/>
      <c r="P598" s="446"/>
      <c r="Q598" s="446"/>
      <c r="R598" s="446"/>
    </row>
    <row r="599">
      <c r="A599" s="446"/>
      <c r="B599" s="446"/>
      <c r="C599" s="446"/>
      <c r="D599" s="859"/>
      <c r="E599" s="446"/>
      <c r="F599" s="446"/>
      <c r="G599" s="446"/>
      <c r="H599" s="446"/>
      <c r="I599" s="446"/>
      <c r="J599" s="446"/>
      <c r="K599" s="860"/>
      <c r="L599" s="446"/>
      <c r="M599" s="446"/>
      <c r="N599" s="446"/>
      <c r="O599" s="446"/>
      <c r="P599" s="446"/>
      <c r="Q599" s="446"/>
      <c r="R599" s="446"/>
    </row>
    <row r="600">
      <c r="A600" s="446"/>
      <c r="B600" s="446"/>
      <c r="C600" s="446"/>
      <c r="D600" s="859"/>
      <c r="E600" s="446"/>
      <c r="F600" s="446"/>
      <c r="G600" s="446"/>
      <c r="H600" s="446"/>
      <c r="I600" s="446"/>
      <c r="J600" s="446"/>
      <c r="K600" s="860"/>
      <c r="L600" s="446"/>
      <c r="M600" s="446"/>
      <c r="N600" s="446"/>
      <c r="O600" s="446"/>
      <c r="P600" s="446"/>
      <c r="Q600" s="446"/>
      <c r="R600" s="446"/>
    </row>
    <row r="601">
      <c r="A601" s="446"/>
      <c r="B601" s="446"/>
      <c r="C601" s="446"/>
      <c r="D601" s="859"/>
      <c r="E601" s="446"/>
      <c r="F601" s="446"/>
      <c r="G601" s="446"/>
      <c r="H601" s="446"/>
      <c r="I601" s="446"/>
      <c r="J601" s="446"/>
      <c r="K601" s="860"/>
      <c r="L601" s="446"/>
      <c r="M601" s="446"/>
      <c r="N601" s="446"/>
      <c r="O601" s="446"/>
      <c r="P601" s="446"/>
      <c r="Q601" s="446"/>
      <c r="R601" s="446"/>
    </row>
    <row r="602">
      <c r="A602" s="446"/>
      <c r="B602" s="446"/>
      <c r="C602" s="446"/>
      <c r="D602" s="859"/>
      <c r="E602" s="446"/>
      <c r="F602" s="446"/>
      <c r="G602" s="446"/>
      <c r="H602" s="446"/>
      <c r="I602" s="446"/>
      <c r="J602" s="446"/>
      <c r="K602" s="860"/>
      <c r="L602" s="446"/>
      <c r="M602" s="446"/>
      <c r="N602" s="446"/>
      <c r="O602" s="446"/>
      <c r="P602" s="446"/>
      <c r="Q602" s="446"/>
      <c r="R602" s="446"/>
    </row>
    <row r="603">
      <c r="A603" s="446"/>
      <c r="B603" s="446"/>
      <c r="C603" s="446"/>
      <c r="D603" s="859"/>
      <c r="E603" s="446"/>
      <c r="F603" s="446"/>
      <c r="G603" s="446"/>
      <c r="H603" s="446"/>
      <c r="I603" s="446"/>
      <c r="J603" s="446"/>
      <c r="K603" s="860"/>
      <c r="L603" s="446"/>
      <c r="M603" s="446"/>
      <c r="N603" s="446"/>
      <c r="O603" s="446"/>
      <c r="P603" s="446"/>
      <c r="Q603" s="446"/>
      <c r="R603" s="446"/>
    </row>
    <row r="604">
      <c r="A604" s="446"/>
      <c r="B604" s="446"/>
      <c r="C604" s="446"/>
      <c r="D604" s="859"/>
      <c r="E604" s="446"/>
      <c r="F604" s="446"/>
      <c r="G604" s="446"/>
      <c r="H604" s="446"/>
      <c r="I604" s="446"/>
      <c r="J604" s="446"/>
      <c r="K604" s="860"/>
      <c r="L604" s="446"/>
      <c r="M604" s="446"/>
      <c r="N604" s="446"/>
      <c r="O604" s="446"/>
      <c r="P604" s="446"/>
      <c r="Q604" s="446"/>
      <c r="R604" s="446"/>
    </row>
    <row r="605">
      <c r="A605" s="446"/>
      <c r="B605" s="446"/>
      <c r="C605" s="446"/>
      <c r="D605" s="859"/>
      <c r="E605" s="446"/>
      <c r="F605" s="446"/>
      <c r="G605" s="446"/>
      <c r="H605" s="446"/>
      <c r="I605" s="446"/>
      <c r="J605" s="446"/>
      <c r="K605" s="860"/>
      <c r="L605" s="446"/>
      <c r="M605" s="446"/>
      <c r="N605" s="446"/>
      <c r="O605" s="446"/>
      <c r="P605" s="446"/>
      <c r="Q605" s="446"/>
      <c r="R605" s="446"/>
    </row>
    <row r="606">
      <c r="A606" s="446"/>
      <c r="B606" s="446"/>
      <c r="C606" s="446"/>
      <c r="D606" s="859"/>
      <c r="E606" s="446"/>
      <c r="F606" s="446"/>
      <c r="G606" s="446"/>
      <c r="H606" s="446"/>
      <c r="I606" s="446"/>
      <c r="J606" s="446"/>
      <c r="K606" s="860"/>
      <c r="L606" s="446"/>
      <c r="M606" s="446"/>
      <c r="N606" s="446"/>
      <c r="O606" s="446"/>
      <c r="P606" s="446"/>
      <c r="Q606" s="446"/>
      <c r="R606" s="446"/>
    </row>
    <row r="607">
      <c r="A607" s="446"/>
      <c r="B607" s="446"/>
      <c r="C607" s="446"/>
      <c r="D607" s="859"/>
      <c r="E607" s="446"/>
      <c r="F607" s="446"/>
      <c r="G607" s="446"/>
      <c r="H607" s="446"/>
      <c r="I607" s="446"/>
      <c r="J607" s="446"/>
      <c r="K607" s="860"/>
      <c r="L607" s="446"/>
      <c r="M607" s="446"/>
      <c r="N607" s="446"/>
      <c r="O607" s="446"/>
      <c r="P607" s="446"/>
      <c r="Q607" s="446"/>
      <c r="R607" s="446"/>
    </row>
    <row r="608">
      <c r="A608" s="446"/>
      <c r="B608" s="446"/>
      <c r="C608" s="446"/>
      <c r="D608" s="859"/>
      <c r="E608" s="446"/>
      <c r="F608" s="446"/>
      <c r="G608" s="446"/>
      <c r="H608" s="446"/>
      <c r="I608" s="446"/>
      <c r="J608" s="446"/>
      <c r="K608" s="860"/>
      <c r="L608" s="446"/>
      <c r="M608" s="446"/>
      <c r="N608" s="446"/>
      <c r="O608" s="446"/>
      <c r="P608" s="446"/>
      <c r="Q608" s="446"/>
      <c r="R608" s="446"/>
    </row>
    <row r="609">
      <c r="A609" s="446"/>
      <c r="B609" s="446"/>
      <c r="C609" s="446"/>
      <c r="D609" s="859"/>
      <c r="E609" s="446"/>
      <c r="F609" s="446"/>
      <c r="G609" s="446"/>
      <c r="H609" s="446"/>
      <c r="I609" s="446"/>
      <c r="J609" s="446"/>
      <c r="K609" s="860"/>
      <c r="L609" s="446"/>
      <c r="M609" s="446"/>
      <c r="N609" s="446"/>
      <c r="O609" s="446"/>
      <c r="P609" s="446"/>
      <c r="Q609" s="446"/>
      <c r="R609" s="446"/>
    </row>
    <row r="610">
      <c r="A610" s="446"/>
      <c r="B610" s="446"/>
      <c r="C610" s="446"/>
      <c r="D610" s="859"/>
      <c r="E610" s="446"/>
      <c r="F610" s="446"/>
      <c r="G610" s="446"/>
      <c r="H610" s="446"/>
      <c r="I610" s="446"/>
      <c r="J610" s="446"/>
      <c r="K610" s="860"/>
      <c r="L610" s="446"/>
      <c r="M610" s="446"/>
      <c r="N610" s="446"/>
      <c r="O610" s="446"/>
      <c r="P610" s="446"/>
      <c r="Q610" s="446"/>
      <c r="R610" s="446"/>
    </row>
    <row r="611">
      <c r="A611" s="446"/>
      <c r="B611" s="446"/>
      <c r="C611" s="446"/>
      <c r="D611" s="859"/>
      <c r="E611" s="446"/>
      <c r="F611" s="446"/>
      <c r="G611" s="446"/>
      <c r="H611" s="446"/>
      <c r="I611" s="446"/>
      <c r="J611" s="446"/>
      <c r="K611" s="860"/>
      <c r="L611" s="446"/>
      <c r="M611" s="446"/>
      <c r="N611" s="446"/>
      <c r="O611" s="446"/>
      <c r="P611" s="446"/>
      <c r="Q611" s="446"/>
      <c r="R611" s="446"/>
    </row>
    <row r="612">
      <c r="A612" s="446"/>
      <c r="B612" s="446"/>
      <c r="C612" s="446"/>
      <c r="D612" s="859"/>
      <c r="E612" s="446"/>
      <c r="F612" s="446"/>
      <c r="G612" s="446"/>
      <c r="H612" s="446"/>
      <c r="I612" s="446"/>
      <c r="J612" s="446"/>
      <c r="K612" s="860"/>
      <c r="L612" s="446"/>
      <c r="M612" s="446"/>
      <c r="N612" s="446"/>
      <c r="O612" s="446"/>
      <c r="P612" s="446"/>
      <c r="Q612" s="446"/>
      <c r="R612" s="446"/>
    </row>
    <row r="613">
      <c r="A613" s="446"/>
      <c r="B613" s="446"/>
      <c r="C613" s="446"/>
      <c r="D613" s="859"/>
      <c r="E613" s="446"/>
      <c r="F613" s="446"/>
      <c r="G613" s="446"/>
      <c r="H613" s="446"/>
      <c r="I613" s="446"/>
      <c r="J613" s="446"/>
      <c r="K613" s="860"/>
      <c r="L613" s="446"/>
      <c r="M613" s="446"/>
      <c r="N613" s="446"/>
      <c r="O613" s="446"/>
      <c r="P613" s="446"/>
      <c r="Q613" s="446"/>
      <c r="R613" s="446"/>
    </row>
    <row r="614">
      <c r="A614" s="446"/>
      <c r="B614" s="446"/>
      <c r="C614" s="446"/>
      <c r="D614" s="859"/>
      <c r="E614" s="446"/>
      <c r="F614" s="446"/>
      <c r="G614" s="446"/>
      <c r="H614" s="446"/>
      <c r="I614" s="446"/>
      <c r="J614" s="446"/>
      <c r="K614" s="860"/>
      <c r="L614" s="446"/>
      <c r="M614" s="446"/>
      <c r="N614" s="446"/>
      <c r="O614" s="446"/>
      <c r="P614" s="446"/>
      <c r="Q614" s="446"/>
      <c r="R614" s="446"/>
    </row>
    <row r="615">
      <c r="A615" s="446"/>
      <c r="B615" s="446"/>
      <c r="C615" s="446"/>
      <c r="D615" s="859"/>
      <c r="E615" s="446"/>
      <c r="F615" s="446"/>
      <c r="G615" s="446"/>
      <c r="H615" s="446"/>
      <c r="I615" s="446"/>
      <c r="J615" s="446"/>
      <c r="K615" s="860"/>
      <c r="L615" s="446"/>
      <c r="M615" s="446"/>
      <c r="N615" s="446"/>
      <c r="O615" s="446"/>
      <c r="P615" s="446"/>
      <c r="Q615" s="446"/>
      <c r="R615" s="446"/>
    </row>
    <row r="616">
      <c r="A616" s="446"/>
      <c r="B616" s="446"/>
      <c r="C616" s="446"/>
      <c r="D616" s="859"/>
      <c r="E616" s="446"/>
      <c r="F616" s="446"/>
      <c r="G616" s="446"/>
      <c r="H616" s="446"/>
      <c r="I616" s="446"/>
      <c r="J616" s="446"/>
      <c r="K616" s="860"/>
      <c r="L616" s="446"/>
      <c r="M616" s="446"/>
      <c r="N616" s="446"/>
      <c r="O616" s="446"/>
      <c r="P616" s="446"/>
      <c r="Q616" s="446"/>
      <c r="R616" s="446"/>
    </row>
    <row r="617">
      <c r="A617" s="446"/>
      <c r="B617" s="446"/>
      <c r="C617" s="446"/>
      <c r="D617" s="859"/>
      <c r="E617" s="446"/>
      <c r="F617" s="446"/>
      <c r="G617" s="446"/>
      <c r="H617" s="446"/>
      <c r="I617" s="446"/>
      <c r="J617" s="446"/>
      <c r="K617" s="860"/>
      <c r="L617" s="446"/>
      <c r="M617" s="446"/>
      <c r="N617" s="446"/>
      <c r="O617" s="446"/>
      <c r="P617" s="446"/>
      <c r="Q617" s="446"/>
      <c r="R617" s="446"/>
    </row>
    <row r="618">
      <c r="A618" s="446"/>
      <c r="B618" s="446"/>
      <c r="C618" s="446"/>
      <c r="D618" s="859"/>
      <c r="E618" s="446"/>
      <c r="F618" s="446"/>
      <c r="G618" s="446"/>
      <c r="H618" s="446"/>
      <c r="I618" s="446"/>
      <c r="J618" s="446"/>
      <c r="K618" s="860"/>
      <c r="L618" s="446"/>
      <c r="M618" s="446"/>
      <c r="N618" s="446"/>
      <c r="O618" s="446"/>
      <c r="P618" s="446"/>
      <c r="Q618" s="446"/>
      <c r="R618" s="446"/>
    </row>
    <row r="619">
      <c r="A619" s="446"/>
      <c r="B619" s="446"/>
      <c r="C619" s="446"/>
      <c r="D619" s="859"/>
      <c r="E619" s="446"/>
      <c r="F619" s="446"/>
      <c r="G619" s="446"/>
      <c r="H619" s="446"/>
      <c r="I619" s="446"/>
      <c r="J619" s="446"/>
      <c r="K619" s="860"/>
      <c r="L619" s="446"/>
      <c r="M619" s="446"/>
      <c r="N619" s="446"/>
      <c r="O619" s="446"/>
      <c r="P619" s="446"/>
      <c r="Q619" s="446"/>
      <c r="R619" s="446"/>
    </row>
    <row r="620">
      <c r="A620" s="446"/>
      <c r="B620" s="446"/>
      <c r="C620" s="446"/>
      <c r="D620" s="859"/>
      <c r="E620" s="446"/>
      <c r="F620" s="446"/>
      <c r="G620" s="446"/>
      <c r="H620" s="446"/>
      <c r="I620" s="446"/>
      <c r="J620" s="446"/>
      <c r="K620" s="860"/>
      <c r="L620" s="446"/>
      <c r="M620" s="446"/>
      <c r="N620" s="446"/>
      <c r="O620" s="446"/>
      <c r="P620" s="446"/>
      <c r="Q620" s="446"/>
      <c r="R620" s="446"/>
    </row>
    <row r="621">
      <c r="A621" s="446"/>
      <c r="B621" s="446"/>
      <c r="C621" s="446"/>
      <c r="D621" s="859"/>
      <c r="E621" s="446"/>
      <c r="F621" s="446"/>
      <c r="G621" s="446"/>
      <c r="H621" s="446"/>
      <c r="I621" s="446"/>
      <c r="J621" s="446"/>
      <c r="K621" s="860"/>
      <c r="L621" s="446"/>
      <c r="M621" s="446"/>
      <c r="N621" s="446"/>
      <c r="O621" s="446"/>
      <c r="P621" s="446"/>
      <c r="Q621" s="446"/>
      <c r="R621" s="446"/>
    </row>
    <row r="622">
      <c r="A622" s="446"/>
      <c r="B622" s="446"/>
      <c r="C622" s="446"/>
      <c r="D622" s="859"/>
      <c r="E622" s="446"/>
      <c r="F622" s="446"/>
      <c r="G622" s="446"/>
      <c r="H622" s="446"/>
      <c r="I622" s="446"/>
      <c r="J622" s="446"/>
      <c r="K622" s="860"/>
      <c r="L622" s="446"/>
      <c r="M622" s="446"/>
      <c r="N622" s="446"/>
      <c r="O622" s="446"/>
      <c r="P622" s="446"/>
      <c r="Q622" s="446"/>
      <c r="R622" s="446"/>
    </row>
    <row r="623">
      <c r="A623" s="446"/>
      <c r="B623" s="446"/>
      <c r="C623" s="446"/>
      <c r="D623" s="859"/>
      <c r="E623" s="446"/>
      <c r="F623" s="446"/>
      <c r="G623" s="446"/>
      <c r="H623" s="446"/>
      <c r="I623" s="446"/>
      <c r="J623" s="446"/>
      <c r="K623" s="860"/>
      <c r="L623" s="446"/>
      <c r="M623" s="446"/>
      <c r="N623" s="446"/>
      <c r="O623" s="446"/>
      <c r="P623" s="446"/>
      <c r="Q623" s="446"/>
      <c r="R623" s="446"/>
    </row>
    <row r="624">
      <c r="A624" s="446"/>
      <c r="B624" s="446"/>
      <c r="C624" s="446"/>
      <c r="D624" s="859"/>
      <c r="E624" s="446"/>
      <c r="F624" s="446"/>
      <c r="G624" s="446"/>
      <c r="H624" s="446"/>
      <c r="I624" s="446"/>
      <c r="J624" s="446"/>
      <c r="K624" s="860"/>
      <c r="L624" s="446"/>
      <c r="M624" s="446"/>
      <c r="N624" s="446"/>
      <c r="O624" s="446"/>
      <c r="P624" s="446"/>
      <c r="Q624" s="446"/>
      <c r="R624" s="446"/>
    </row>
    <row r="625">
      <c r="A625" s="446"/>
      <c r="B625" s="446"/>
      <c r="C625" s="446"/>
      <c r="D625" s="859"/>
      <c r="E625" s="446"/>
      <c r="F625" s="446"/>
      <c r="G625" s="446"/>
      <c r="H625" s="446"/>
      <c r="I625" s="446"/>
      <c r="J625" s="446"/>
      <c r="K625" s="860"/>
      <c r="L625" s="446"/>
      <c r="M625" s="446"/>
      <c r="N625" s="446"/>
      <c r="O625" s="446"/>
      <c r="P625" s="446"/>
      <c r="Q625" s="446"/>
      <c r="R625" s="446"/>
    </row>
    <row r="626">
      <c r="A626" s="446"/>
      <c r="B626" s="446"/>
      <c r="C626" s="446"/>
      <c r="D626" s="859"/>
      <c r="E626" s="446"/>
      <c r="F626" s="446"/>
      <c r="G626" s="446"/>
      <c r="H626" s="446"/>
      <c r="I626" s="446"/>
      <c r="J626" s="446"/>
      <c r="K626" s="860"/>
      <c r="L626" s="446"/>
      <c r="M626" s="446"/>
      <c r="N626" s="446"/>
      <c r="O626" s="446"/>
      <c r="P626" s="446"/>
      <c r="Q626" s="446"/>
      <c r="R626" s="446"/>
    </row>
    <row r="627">
      <c r="A627" s="446"/>
      <c r="B627" s="446"/>
      <c r="C627" s="446"/>
      <c r="D627" s="859"/>
      <c r="E627" s="446"/>
      <c r="F627" s="446"/>
      <c r="G627" s="446"/>
      <c r="H627" s="446"/>
      <c r="I627" s="446"/>
      <c r="J627" s="446"/>
      <c r="K627" s="860"/>
      <c r="L627" s="446"/>
      <c r="M627" s="446"/>
      <c r="N627" s="446"/>
      <c r="O627" s="446"/>
      <c r="P627" s="446"/>
      <c r="Q627" s="446"/>
      <c r="R627" s="446"/>
    </row>
    <row r="628">
      <c r="A628" s="446"/>
      <c r="B628" s="446"/>
      <c r="C628" s="446"/>
      <c r="D628" s="859"/>
      <c r="E628" s="446"/>
      <c r="F628" s="446"/>
      <c r="G628" s="446"/>
      <c r="H628" s="446"/>
      <c r="I628" s="446"/>
      <c r="J628" s="446"/>
      <c r="K628" s="860"/>
      <c r="L628" s="446"/>
      <c r="M628" s="446"/>
      <c r="N628" s="446"/>
      <c r="O628" s="446"/>
      <c r="P628" s="446"/>
      <c r="Q628" s="446"/>
      <c r="R628" s="446"/>
    </row>
    <row r="629">
      <c r="A629" s="446"/>
      <c r="B629" s="446"/>
      <c r="C629" s="446"/>
      <c r="D629" s="859"/>
      <c r="E629" s="446"/>
      <c r="F629" s="446"/>
      <c r="G629" s="446"/>
      <c r="H629" s="446"/>
      <c r="I629" s="446"/>
      <c r="J629" s="446"/>
      <c r="K629" s="860"/>
      <c r="L629" s="446"/>
      <c r="M629" s="446"/>
      <c r="N629" s="446"/>
      <c r="O629" s="446"/>
      <c r="P629" s="446"/>
      <c r="Q629" s="446"/>
      <c r="R629" s="446"/>
    </row>
    <row r="630">
      <c r="A630" s="446"/>
      <c r="B630" s="446"/>
      <c r="C630" s="446"/>
      <c r="D630" s="859"/>
      <c r="E630" s="446"/>
      <c r="F630" s="446"/>
      <c r="G630" s="446"/>
      <c r="H630" s="446"/>
      <c r="I630" s="446"/>
      <c r="J630" s="446"/>
      <c r="K630" s="860"/>
      <c r="L630" s="446"/>
      <c r="M630" s="446"/>
      <c r="N630" s="446"/>
      <c r="O630" s="446"/>
      <c r="P630" s="446"/>
      <c r="Q630" s="446"/>
      <c r="R630" s="446"/>
    </row>
    <row r="631">
      <c r="A631" s="446"/>
      <c r="B631" s="446"/>
      <c r="C631" s="446"/>
      <c r="D631" s="859"/>
      <c r="E631" s="446"/>
      <c r="F631" s="446"/>
      <c r="G631" s="446"/>
      <c r="H631" s="446"/>
      <c r="I631" s="446"/>
      <c r="J631" s="446"/>
      <c r="K631" s="860"/>
      <c r="L631" s="446"/>
      <c r="M631" s="446"/>
      <c r="N631" s="446"/>
      <c r="O631" s="446"/>
      <c r="P631" s="446"/>
      <c r="Q631" s="446"/>
      <c r="R631" s="446"/>
    </row>
    <row r="632">
      <c r="A632" s="446"/>
      <c r="B632" s="446"/>
      <c r="C632" s="446"/>
      <c r="D632" s="859"/>
      <c r="E632" s="446"/>
      <c r="F632" s="446"/>
      <c r="G632" s="446"/>
      <c r="H632" s="446"/>
      <c r="I632" s="446"/>
      <c r="J632" s="446"/>
      <c r="K632" s="860"/>
      <c r="L632" s="446"/>
      <c r="M632" s="446"/>
      <c r="N632" s="446"/>
      <c r="O632" s="446"/>
      <c r="P632" s="446"/>
      <c r="Q632" s="446"/>
      <c r="R632" s="446"/>
    </row>
    <row r="633">
      <c r="A633" s="446"/>
      <c r="B633" s="446"/>
      <c r="C633" s="446"/>
      <c r="D633" s="859"/>
      <c r="E633" s="446"/>
      <c r="F633" s="446"/>
      <c r="G633" s="446"/>
      <c r="H633" s="446"/>
      <c r="I633" s="446"/>
      <c r="J633" s="446"/>
      <c r="K633" s="860"/>
      <c r="L633" s="446"/>
      <c r="M633" s="446"/>
      <c r="N633" s="446"/>
      <c r="O633" s="446"/>
      <c r="P633" s="446"/>
      <c r="Q633" s="446"/>
      <c r="R633" s="446"/>
    </row>
    <row r="634">
      <c r="A634" s="446"/>
      <c r="B634" s="446"/>
      <c r="C634" s="446"/>
      <c r="D634" s="859"/>
      <c r="E634" s="446"/>
      <c r="F634" s="446"/>
      <c r="G634" s="446"/>
      <c r="H634" s="446"/>
      <c r="I634" s="446"/>
      <c r="J634" s="446"/>
      <c r="K634" s="860"/>
      <c r="L634" s="446"/>
      <c r="M634" s="446"/>
      <c r="N634" s="446"/>
      <c r="O634" s="446"/>
      <c r="P634" s="446"/>
      <c r="Q634" s="446"/>
      <c r="R634" s="446"/>
    </row>
    <row r="635">
      <c r="A635" s="446"/>
      <c r="B635" s="446"/>
      <c r="C635" s="446"/>
      <c r="D635" s="859"/>
      <c r="E635" s="446"/>
      <c r="F635" s="446"/>
      <c r="G635" s="446"/>
      <c r="H635" s="446"/>
      <c r="I635" s="446"/>
      <c r="J635" s="446"/>
      <c r="K635" s="860"/>
      <c r="L635" s="446"/>
      <c r="M635" s="446"/>
      <c r="N635" s="446"/>
      <c r="O635" s="446"/>
      <c r="P635" s="446"/>
      <c r="Q635" s="446"/>
      <c r="R635" s="446"/>
    </row>
    <row r="636">
      <c r="A636" s="446"/>
      <c r="B636" s="446"/>
      <c r="C636" s="446"/>
      <c r="D636" s="859"/>
      <c r="E636" s="446"/>
      <c r="F636" s="446"/>
      <c r="G636" s="446"/>
      <c r="H636" s="446"/>
      <c r="I636" s="446"/>
      <c r="J636" s="446"/>
      <c r="K636" s="860"/>
      <c r="L636" s="446"/>
      <c r="M636" s="446"/>
      <c r="N636" s="446"/>
      <c r="O636" s="446"/>
      <c r="P636" s="446"/>
      <c r="Q636" s="446"/>
      <c r="R636" s="446"/>
    </row>
    <row r="637">
      <c r="A637" s="446"/>
      <c r="B637" s="446"/>
      <c r="C637" s="446"/>
      <c r="D637" s="859"/>
      <c r="E637" s="446"/>
      <c r="F637" s="446"/>
      <c r="G637" s="446"/>
      <c r="H637" s="446"/>
      <c r="I637" s="446"/>
      <c r="J637" s="446"/>
      <c r="K637" s="860"/>
      <c r="L637" s="446"/>
      <c r="M637" s="446"/>
      <c r="N637" s="446"/>
      <c r="O637" s="446"/>
      <c r="P637" s="446"/>
      <c r="Q637" s="446"/>
      <c r="R637" s="446"/>
    </row>
    <row r="638">
      <c r="A638" s="446"/>
      <c r="B638" s="446"/>
      <c r="C638" s="446"/>
      <c r="D638" s="859"/>
      <c r="E638" s="446"/>
      <c r="F638" s="446"/>
      <c r="G638" s="446"/>
      <c r="H638" s="446"/>
      <c r="I638" s="446"/>
      <c r="J638" s="446"/>
      <c r="K638" s="860"/>
      <c r="L638" s="446"/>
      <c r="M638" s="446"/>
      <c r="N638" s="446"/>
      <c r="O638" s="446"/>
      <c r="P638" s="446"/>
      <c r="Q638" s="446"/>
      <c r="R638" s="446"/>
    </row>
    <row r="639">
      <c r="A639" s="446"/>
      <c r="B639" s="446"/>
      <c r="C639" s="446"/>
      <c r="D639" s="859"/>
      <c r="E639" s="446"/>
      <c r="F639" s="446"/>
      <c r="G639" s="446"/>
      <c r="H639" s="446"/>
      <c r="I639" s="446"/>
      <c r="J639" s="446"/>
      <c r="K639" s="860"/>
      <c r="L639" s="446"/>
      <c r="M639" s="446"/>
      <c r="N639" s="446"/>
      <c r="O639" s="446"/>
      <c r="P639" s="446"/>
      <c r="Q639" s="446"/>
      <c r="R639" s="446"/>
    </row>
    <row r="640">
      <c r="A640" s="446"/>
      <c r="B640" s="446"/>
      <c r="C640" s="446"/>
      <c r="D640" s="859"/>
      <c r="E640" s="446"/>
      <c r="F640" s="446"/>
      <c r="G640" s="446"/>
      <c r="H640" s="446"/>
      <c r="I640" s="446"/>
      <c r="J640" s="446"/>
      <c r="K640" s="860"/>
      <c r="L640" s="446"/>
      <c r="M640" s="446"/>
      <c r="N640" s="446"/>
      <c r="O640" s="446"/>
      <c r="P640" s="446"/>
      <c r="Q640" s="446"/>
      <c r="R640" s="446"/>
    </row>
    <row r="641">
      <c r="A641" s="446"/>
      <c r="B641" s="446"/>
      <c r="C641" s="446"/>
      <c r="D641" s="859"/>
      <c r="E641" s="446"/>
      <c r="F641" s="446"/>
      <c r="G641" s="446"/>
      <c r="H641" s="446"/>
      <c r="I641" s="446"/>
      <c r="J641" s="446"/>
      <c r="K641" s="860"/>
      <c r="L641" s="446"/>
      <c r="M641" s="446"/>
      <c r="N641" s="446"/>
      <c r="O641" s="446"/>
      <c r="P641" s="446"/>
      <c r="Q641" s="446"/>
      <c r="R641" s="446"/>
    </row>
    <row r="642">
      <c r="A642" s="446"/>
      <c r="B642" s="446"/>
      <c r="C642" s="446"/>
      <c r="D642" s="859"/>
      <c r="E642" s="446"/>
      <c r="F642" s="446"/>
      <c r="G642" s="446"/>
      <c r="H642" s="446"/>
      <c r="I642" s="446"/>
      <c r="J642" s="446"/>
      <c r="K642" s="860"/>
      <c r="L642" s="446"/>
      <c r="M642" s="446"/>
      <c r="N642" s="446"/>
      <c r="O642" s="446"/>
      <c r="P642" s="446"/>
      <c r="Q642" s="446"/>
      <c r="R642" s="446"/>
    </row>
    <row r="643">
      <c r="A643" s="446"/>
      <c r="B643" s="446"/>
      <c r="C643" s="446"/>
      <c r="D643" s="859"/>
      <c r="E643" s="446"/>
      <c r="F643" s="446"/>
      <c r="G643" s="446"/>
      <c r="H643" s="446"/>
      <c r="I643" s="446"/>
      <c r="J643" s="446"/>
      <c r="K643" s="860"/>
      <c r="L643" s="446"/>
      <c r="M643" s="446"/>
      <c r="N643" s="446"/>
      <c r="O643" s="446"/>
      <c r="P643" s="446"/>
      <c r="Q643" s="446"/>
      <c r="R643" s="446"/>
    </row>
    <row r="644">
      <c r="A644" s="446"/>
      <c r="B644" s="446"/>
      <c r="C644" s="446"/>
      <c r="D644" s="859"/>
      <c r="E644" s="446"/>
      <c r="F644" s="446"/>
      <c r="G644" s="446"/>
      <c r="H644" s="446"/>
      <c r="I644" s="446"/>
      <c r="J644" s="446"/>
      <c r="K644" s="860"/>
      <c r="L644" s="446"/>
      <c r="M644" s="446"/>
      <c r="N644" s="446"/>
      <c r="O644" s="446"/>
      <c r="P644" s="446"/>
      <c r="Q644" s="446"/>
      <c r="R644" s="446"/>
    </row>
    <row r="645">
      <c r="A645" s="446"/>
      <c r="B645" s="446"/>
      <c r="C645" s="446"/>
      <c r="D645" s="859"/>
      <c r="E645" s="446"/>
      <c r="F645" s="446"/>
      <c r="G645" s="446"/>
      <c r="H645" s="446"/>
      <c r="I645" s="446"/>
      <c r="J645" s="446"/>
      <c r="K645" s="860"/>
      <c r="L645" s="446"/>
      <c r="M645" s="446"/>
      <c r="N645" s="446"/>
      <c r="O645" s="446"/>
      <c r="P645" s="446"/>
      <c r="Q645" s="446"/>
      <c r="R645" s="446"/>
    </row>
    <row r="646">
      <c r="A646" s="446"/>
      <c r="B646" s="446"/>
      <c r="C646" s="446"/>
      <c r="D646" s="859"/>
      <c r="E646" s="446"/>
      <c r="F646" s="446"/>
      <c r="G646" s="446"/>
      <c r="H646" s="446"/>
      <c r="I646" s="446"/>
      <c r="J646" s="446"/>
      <c r="K646" s="860"/>
      <c r="L646" s="446"/>
      <c r="M646" s="446"/>
      <c r="N646" s="446"/>
      <c r="O646" s="446"/>
      <c r="P646" s="446"/>
      <c r="Q646" s="446"/>
      <c r="R646" s="446"/>
    </row>
    <row r="647">
      <c r="A647" s="446"/>
      <c r="B647" s="446"/>
      <c r="C647" s="446"/>
      <c r="D647" s="859"/>
      <c r="E647" s="446"/>
      <c r="F647" s="446"/>
      <c r="G647" s="446"/>
      <c r="H647" s="446"/>
      <c r="I647" s="446"/>
      <c r="J647" s="446"/>
      <c r="K647" s="860"/>
      <c r="L647" s="446"/>
      <c r="M647" s="446"/>
      <c r="N647" s="446"/>
      <c r="O647" s="446"/>
      <c r="P647" s="446"/>
      <c r="Q647" s="446"/>
      <c r="R647" s="446"/>
    </row>
    <row r="648">
      <c r="A648" s="446"/>
      <c r="B648" s="446"/>
      <c r="C648" s="446"/>
      <c r="D648" s="859"/>
      <c r="E648" s="446"/>
      <c r="F648" s="446"/>
      <c r="G648" s="446"/>
      <c r="H648" s="446"/>
      <c r="I648" s="446"/>
      <c r="J648" s="446"/>
      <c r="K648" s="860"/>
      <c r="L648" s="446"/>
      <c r="M648" s="446"/>
      <c r="N648" s="446"/>
      <c r="O648" s="446"/>
      <c r="P648" s="446"/>
      <c r="Q648" s="446"/>
      <c r="R648" s="446"/>
    </row>
    <row r="649">
      <c r="A649" s="446"/>
      <c r="B649" s="446"/>
      <c r="C649" s="446"/>
      <c r="D649" s="859"/>
      <c r="E649" s="446"/>
      <c r="F649" s="446"/>
      <c r="G649" s="446"/>
      <c r="H649" s="446"/>
      <c r="I649" s="446"/>
      <c r="J649" s="446"/>
      <c r="K649" s="860"/>
      <c r="L649" s="446"/>
      <c r="M649" s="446"/>
      <c r="N649" s="446"/>
      <c r="O649" s="446"/>
      <c r="P649" s="446"/>
      <c r="Q649" s="446"/>
      <c r="R649" s="446"/>
    </row>
    <row r="650">
      <c r="A650" s="446"/>
      <c r="B650" s="446"/>
      <c r="C650" s="446"/>
      <c r="D650" s="859"/>
      <c r="E650" s="446"/>
      <c r="F650" s="446"/>
      <c r="G650" s="446"/>
      <c r="H650" s="446"/>
      <c r="I650" s="446"/>
      <c r="J650" s="446"/>
      <c r="K650" s="860"/>
      <c r="L650" s="446"/>
      <c r="M650" s="446"/>
      <c r="N650" s="446"/>
      <c r="O650" s="446"/>
      <c r="P650" s="446"/>
      <c r="Q650" s="446"/>
      <c r="R650" s="446"/>
    </row>
    <row r="651">
      <c r="A651" s="446"/>
      <c r="B651" s="446"/>
      <c r="C651" s="446"/>
      <c r="D651" s="859"/>
      <c r="E651" s="446"/>
      <c r="F651" s="446"/>
      <c r="G651" s="446"/>
      <c r="H651" s="446"/>
      <c r="I651" s="446"/>
      <c r="J651" s="446"/>
      <c r="K651" s="860"/>
      <c r="L651" s="446"/>
      <c r="M651" s="446"/>
      <c r="N651" s="446"/>
      <c r="O651" s="446"/>
      <c r="P651" s="446"/>
      <c r="Q651" s="446"/>
      <c r="R651" s="446"/>
    </row>
    <row r="652">
      <c r="A652" s="446"/>
      <c r="B652" s="446"/>
      <c r="C652" s="446"/>
      <c r="D652" s="859"/>
      <c r="E652" s="446"/>
      <c r="F652" s="446"/>
      <c r="G652" s="446"/>
      <c r="H652" s="446"/>
      <c r="I652" s="446"/>
      <c r="J652" s="446"/>
      <c r="K652" s="860"/>
      <c r="L652" s="446"/>
      <c r="M652" s="446"/>
      <c r="N652" s="446"/>
      <c r="O652" s="446"/>
      <c r="P652" s="446"/>
      <c r="Q652" s="446"/>
      <c r="R652" s="446"/>
    </row>
    <row r="653">
      <c r="A653" s="446"/>
      <c r="B653" s="446"/>
      <c r="C653" s="446"/>
      <c r="D653" s="859"/>
      <c r="E653" s="446"/>
      <c r="F653" s="446"/>
      <c r="G653" s="446"/>
      <c r="H653" s="446"/>
      <c r="I653" s="446"/>
      <c r="J653" s="446"/>
      <c r="K653" s="860"/>
      <c r="L653" s="446"/>
      <c r="M653" s="446"/>
      <c r="N653" s="446"/>
      <c r="O653" s="446"/>
      <c r="P653" s="446"/>
      <c r="Q653" s="446"/>
      <c r="R653" s="446"/>
    </row>
    <row r="654">
      <c r="A654" s="446"/>
      <c r="B654" s="446"/>
      <c r="C654" s="446"/>
      <c r="D654" s="859"/>
      <c r="E654" s="446"/>
      <c r="F654" s="446"/>
      <c r="G654" s="446"/>
      <c r="H654" s="446"/>
      <c r="I654" s="446"/>
      <c r="J654" s="446"/>
      <c r="K654" s="860"/>
      <c r="L654" s="446"/>
      <c r="M654" s="446"/>
      <c r="N654" s="446"/>
      <c r="O654" s="446"/>
      <c r="P654" s="446"/>
      <c r="Q654" s="446"/>
      <c r="R654" s="446"/>
    </row>
    <row r="655">
      <c r="A655" s="446"/>
      <c r="B655" s="446"/>
      <c r="C655" s="446"/>
      <c r="D655" s="859"/>
      <c r="E655" s="446"/>
      <c r="F655" s="446"/>
      <c r="G655" s="446"/>
      <c r="H655" s="446"/>
      <c r="I655" s="446"/>
      <c r="J655" s="446"/>
      <c r="K655" s="860"/>
      <c r="L655" s="446"/>
      <c r="M655" s="446"/>
      <c r="N655" s="446"/>
      <c r="O655" s="446"/>
      <c r="P655" s="446"/>
      <c r="Q655" s="446"/>
      <c r="R655" s="446"/>
    </row>
    <row r="656">
      <c r="A656" s="446"/>
      <c r="B656" s="446"/>
      <c r="C656" s="446"/>
      <c r="D656" s="859"/>
      <c r="E656" s="446"/>
      <c r="F656" s="446"/>
      <c r="G656" s="446"/>
      <c r="H656" s="446"/>
      <c r="I656" s="446"/>
      <c r="J656" s="446"/>
      <c r="K656" s="860"/>
      <c r="L656" s="446"/>
      <c r="M656" s="446"/>
      <c r="N656" s="446"/>
      <c r="O656" s="446"/>
      <c r="P656" s="446"/>
      <c r="Q656" s="446"/>
      <c r="R656" s="446"/>
    </row>
    <row r="657">
      <c r="A657" s="446"/>
      <c r="B657" s="446"/>
      <c r="C657" s="446"/>
      <c r="D657" s="859"/>
      <c r="E657" s="446"/>
      <c r="F657" s="446"/>
      <c r="G657" s="446"/>
      <c r="H657" s="446"/>
      <c r="I657" s="446"/>
      <c r="J657" s="446"/>
      <c r="K657" s="860"/>
      <c r="L657" s="446"/>
      <c r="M657" s="446"/>
      <c r="N657" s="446"/>
      <c r="O657" s="446"/>
      <c r="P657" s="446"/>
      <c r="Q657" s="446"/>
      <c r="R657" s="446"/>
    </row>
    <row r="658">
      <c r="A658" s="446"/>
      <c r="B658" s="446"/>
      <c r="C658" s="446"/>
      <c r="D658" s="859"/>
      <c r="E658" s="446"/>
      <c r="F658" s="446"/>
      <c r="G658" s="446"/>
      <c r="H658" s="446"/>
      <c r="I658" s="446"/>
      <c r="J658" s="446"/>
      <c r="K658" s="860"/>
      <c r="L658" s="446"/>
      <c r="M658" s="446"/>
      <c r="N658" s="446"/>
      <c r="O658" s="446"/>
      <c r="P658" s="446"/>
      <c r="Q658" s="446"/>
      <c r="R658" s="446"/>
    </row>
    <row r="659">
      <c r="A659" s="446"/>
      <c r="B659" s="446"/>
      <c r="C659" s="446"/>
      <c r="D659" s="859"/>
      <c r="E659" s="446"/>
      <c r="F659" s="446"/>
      <c r="G659" s="446"/>
      <c r="H659" s="446"/>
      <c r="I659" s="446"/>
      <c r="J659" s="446"/>
      <c r="K659" s="860"/>
      <c r="L659" s="446"/>
      <c r="M659" s="446"/>
      <c r="N659" s="446"/>
      <c r="O659" s="446"/>
      <c r="P659" s="446"/>
      <c r="Q659" s="446"/>
      <c r="R659" s="446"/>
    </row>
    <row r="660">
      <c r="A660" s="446"/>
      <c r="B660" s="446"/>
      <c r="C660" s="446"/>
      <c r="D660" s="859"/>
      <c r="E660" s="446"/>
      <c r="F660" s="446"/>
      <c r="G660" s="446"/>
      <c r="H660" s="446"/>
      <c r="I660" s="446"/>
      <c r="J660" s="446"/>
      <c r="K660" s="860"/>
      <c r="L660" s="446"/>
      <c r="M660" s="446"/>
      <c r="N660" s="446"/>
      <c r="O660" s="446"/>
      <c r="P660" s="446"/>
      <c r="Q660" s="446"/>
      <c r="R660" s="446"/>
    </row>
    <row r="661">
      <c r="A661" s="446"/>
      <c r="B661" s="446"/>
      <c r="C661" s="446"/>
      <c r="D661" s="859"/>
      <c r="E661" s="446"/>
      <c r="F661" s="446"/>
      <c r="G661" s="446"/>
      <c r="H661" s="446"/>
      <c r="I661" s="446"/>
      <c r="J661" s="446"/>
      <c r="K661" s="860"/>
      <c r="L661" s="446"/>
      <c r="M661" s="446"/>
      <c r="N661" s="446"/>
      <c r="O661" s="446"/>
      <c r="P661" s="446"/>
      <c r="Q661" s="446"/>
      <c r="R661" s="446"/>
    </row>
    <row r="662">
      <c r="A662" s="446"/>
      <c r="B662" s="446"/>
      <c r="C662" s="446"/>
      <c r="D662" s="859"/>
      <c r="E662" s="446"/>
      <c r="F662" s="446"/>
      <c r="G662" s="446"/>
      <c r="H662" s="446"/>
      <c r="I662" s="446"/>
      <c r="J662" s="446"/>
      <c r="K662" s="860"/>
      <c r="L662" s="446"/>
      <c r="M662" s="446"/>
      <c r="N662" s="446"/>
      <c r="O662" s="446"/>
      <c r="P662" s="446"/>
      <c r="Q662" s="446"/>
      <c r="R662" s="446"/>
    </row>
    <row r="663">
      <c r="A663" s="446"/>
      <c r="B663" s="446"/>
      <c r="C663" s="446"/>
      <c r="D663" s="859"/>
      <c r="E663" s="446"/>
      <c r="F663" s="446"/>
      <c r="G663" s="446"/>
      <c r="H663" s="446"/>
      <c r="I663" s="446"/>
      <c r="J663" s="446"/>
      <c r="K663" s="860"/>
      <c r="L663" s="446"/>
      <c r="M663" s="446"/>
      <c r="N663" s="446"/>
      <c r="O663" s="446"/>
      <c r="P663" s="446"/>
      <c r="Q663" s="446"/>
      <c r="R663" s="446"/>
    </row>
    <row r="664">
      <c r="A664" s="446"/>
      <c r="B664" s="446"/>
      <c r="C664" s="446"/>
      <c r="D664" s="859"/>
      <c r="E664" s="446"/>
      <c r="F664" s="446"/>
      <c r="G664" s="446"/>
      <c r="H664" s="446"/>
      <c r="I664" s="446"/>
      <c r="J664" s="446"/>
      <c r="K664" s="860"/>
      <c r="L664" s="446"/>
      <c r="M664" s="446"/>
      <c r="N664" s="446"/>
      <c r="O664" s="446"/>
      <c r="P664" s="446"/>
      <c r="Q664" s="446"/>
      <c r="R664" s="446"/>
    </row>
    <row r="665">
      <c r="A665" s="446"/>
      <c r="B665" s="446"/>
      <c r="C665" s="446"/>
      <c r="D665" s="859"/>
      <c r="E665" s="446"/>
      <c r="F665" s="446"/>
      <c r="G665" s="446"/>
      <c r="H665" s="446"/>
      <c r="I665" s="446"/>
      <c r="J665" s="446"/>
      <c r="K665" s="860"/>
      <c r="L665" s="446"/>
      <c r="M665" s="446"/>
      <c r="N665" s="446"/>
      <c r="O665" s="446"/>
      <c r="P665" s="446"/>
      <c r="Q665" s="446"/>
      <c r="R665" s="446"/>
    </row>
    <row r="666">
      <c r="A666" s="446"/>
      <c r="B666" s="446"/>
      <c r="C666" s="446"/>
      <c r="D666" s="859"/>
      <c r="E666" s="446"/>
      <c r="F666" s="446"/>
      <c r="G666" s="446"/>
      <c r="H666" s="446"/>
      <c r="I666" s="446"/>
      <c r="J666" s="446"/>
      <c r="K666" s="860"/>
      <c r="L666" s="446"/>
      <c r="M666" s="446"/>
      <c r="N666" s="446"/>
      <c r="O666" s="446"/>
      <c r="P666" s="446"/>
      <c r="Q666" s="446"/>
      <c r="R666" s="446"/>
    </row>
    <row r="667">
      <c r="A667" s="446"/>
      <c r="B667" s="446"/>
      <c r="C667" s="446"/>
      <c r="D667" s="859"/>
      <c r="E667" s="446"/>
      <c r="F667" s="446"/>
      <c r="G667" s="446"/>
      <c r="H667" s="446"/>
      <c r="I667" s="446"/>
      <c r="J667" s="446"/>
      <c r="K667" s="860"/>
      <c r="L667" s="446"/>
      <c r="M667" s="446"/>
      <c r="N667" s="446"/>
      <c r="O667" s="446"/>
      <c r="P667" s="446"/>
      <c r="Q667" s="446"/>
      <c r="R667" s="446"/>
    </row>
    <row r="668">
      <c r="A668" s="446"/>
      <c r="B668" s="446"/>
      <c r="C668" s="446"/>
      <c r="D668" s="859"/>
      <c r="E668" s="446"/>
      <c r="F668" s="446"/>
      <c r="G668" s="446"/>
      <c r="H668" s="446"/>
      <c r="I668" s="446"/>
      <c r="J668" s="446"/>
      <c r="K668" s="860"/>
      <c r="L668" s="446"/>
      <c r="M668" s="446"/>
      <c r="N668" s="446"/>
      <c r="O668" s="446"/>
      <c r="P668" s="446"/>
      <c r="Q668" s="446"/>
      <c r="R668" s="446"/>
    </row>
    <row r="669">
      <c r="A669" s="446"/>
      <c r="B669" s="446"/>
      <c r="C669" s="446"/>
      <c r="D669" s="859"/>
      <c r="E669" s="446"/>
      <c r="F669" s="446"/>
      <c r="G669" s="446"/>
      <c r="H669" s="446"/>
      <c r="I669" s="446"/>
      <c r="J669" s="446"/>
      <c r="K669" s="860"/>
      <c r="L669" s="446"/>
      <c r="M669" s="446"/>
      <c r="N669" s="446"/>
      <c r="O669" s="446"/>
      <c r="P669" s="446"/>
      <c r="Q669" s="446"/>
      <c r="R669" s="446"/>
    </row>
    <row r="670">
      <c r="A670" s="446"/>
      <c r="B670" s="446"/>
      <c r="C670" s="446"/>
      <c r="D670" s="859"/>
      <c r="E670" s="446"/>
      <c r="F670" s="446"/>
      <c r="G670" s="446"/>
      <c r="H670" s="446"/>
      <c r="I670" s="446"/>
      <c r="J670" s="446"/>
      <c r="K670" s="860"/>
      <c r="L670" s="446"/>
      <c r="M670" s="446"/>
      <c r="N670" s="446"/>
      <c r="O670" s="446"/>
      <c r="P670" s="446"/>
      <c r="Q670" s="446"/>
      <c r="R670" s="446"/>
    </row>
  </sheetData>
  <mergeCells count="50">
    <mergeCell ref="L2:R2"/>
    <mergeCell ref="E20:E23"/>
    <mergeCell ref="F20:F23"/>
    <mergeCell ref="G20:G23"/>
    <mergeCell ref="H20:H24"/>
    <mergeCell ref="F24:F27"/>
    <mergeCell ref="F28:F32"/>
    <mergeCell ref="H27:H30"/>
    <mergeCell ref="G28:G30"/>
    <mergeCell ref="E31:E34"/>
    <mergeCell ref="G31:G35"/>
    <mergeCell ref="H31:H34"/>
    <mergeCell ref="I31:I34"/>
    <mergeCell ref="F33:F35"/>
    <mergeCell ref="I43:I47"/>
    <mergeCell ref="I52:I55"/>
    <mergeCell ref="G39:G40"/>
    <mergeCell ref="H39:H41"/>
    <mergeCell ref="G41:G42"/>
    <mergeCell ref="F43:F48"/>
    <mergeCell ref="G43:G46"/>
    <mergeCell ref="E52:E55"/>
    <mergeCell ref="H53:H56"/>
    <mergeCell ref="H69:H70"/>
    <mergeCell ref="H71:H72"/>
    <mergeCell ref="I73:I76"/>
    <mergeCell ref="H74:H75"/>
    <mergeCell ref="H76:H79"/>
    <mergeCell ref="I78:I79"/>
    <mergeCell ref="H118:H121"/>
    <mergeCell ref="F52:F60"/>
    <mergeCell ref="G54:G60"/>
    <mergeCell ref="H57:H60"/>
    <mergeCell ref="F61:F66"/>
    <mergeCell ref="H63:H65"/>
    <mergeCell ref="E67:E71"/>
    <mergeCell ref="H67:H68"/>
    <mergeCell ref="F125:F128"/>
    <mergeCell ref="G125:G128"/>
    <mergeCell ref="H132:H135"/>
    <mergeCell ref="F139:F142"/>
    <mergeCell ref="H139:H142"/>
    <mergeCell ref="G146:G149"/>
    <mergeCell ref="F68:F71"/>
    <mergeCell ref="G68:G71"/>
    <mergeCell ref="E73:E76"/>
    <mergeCell ref="F73:F80"/>
    <mergeCell ref="G75:G76"/>
    <mergeCell ref="G77:G78"/>
    <mergeCell ref="G82:G84"/>
  </mergeCells>
  <conditionalFormatting sqref="A3:R670">
    <cfRule type="expression" dxfId="16" priority="1">
      <formula>($C3&lt;=TODAY()) * ($C3&lt;&gt;"")</formula>
    </cfRule>
  </conditionalFormatting>
  <conditionalFormatting sqref="A3:R670">
    <cfRule type="expression" dxfId="17" priority="2">
      <formula>($K3="DEAD")</formula>
    </cfRule>
  </conditionalFormatting>
  <conditionalFormatting sqref="A3:R670">
    <cfRule type="expression" dxfId="18" priority="3">
      <formula>($K3="QUIET")</formula>
    </cfRule>
  </conditionalFormatting>
  <conditionalFormatting sqref="D3:D670 E31:E34 I31:I34 E52:E56 I52:I56 E73:E76 I73:I76">
    <cfRule type="notContainsBlanks" dxfId="19" priority="4">
      <formula>LEN(TRIM(D3))&gt;0</formula>
    </cfRule>
  </conditionalFormatting>
  <hyperlinks>
    <hyperlink r:id="rId1" ref="L26"/>
  </hyperlinks>
  <printOptions gridLines="1" horizontalCentered="1"/>
  <pageMargins bottom="0.75" footer="0.0" header="0.0" left="0.25" right="0.25" top="0.75"/>
  <pageSetup scale="86" cellComments="atEnd" orientation="landscape"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0"/>
    <col customWidth="1" min="4" max="4" width="27.38"/>
  </cols>
  <sheetData>
    <row r="1">
      <c r="A1" s="861" t="s">
        <v>7357</v>
      </c>
      <c r="B1" s="861" t="s">
        <v>8850</v>
      </c>
      <c r="C1" s="861" t="s">
        <v>8970</v>
      </c>
      <c r="D1" s="861" t="s">
        <v>8971</v>
      </c>
      <c r="E1" s="391"/>
      <c r="F1" s="391"/>
      <c r="G1" s="391"/>
      <c r="H1" s="391"/>
      <c r="I1" s="391"/>
      <c r="J1" s="391"/>
      <c r="K1" s="391"/>
      <c r="L1" s="391"/>
      <c r="M1" s="391"/>
      <c r="N1" s="391"/>
      <c r="O1" s="391"/>
      <c r="P1" s="391"/>
      <c r="Q1" s="391"/>
      <c r="R1" s="391"/>
      <c r="S1" s="391"/>
      <c r="T1" s="391"/>
      <c r="U1" s="391"/>
      <c r="V1" s="391"/>
      <c r="W1" s="391"/>
      <c r="X1" s="391"/>
      <c r="Y1" s="391"/>
      <c r="Z1" s="391"/>
    </row>
    <row r="2">
      <c r="A2" s="395" t="s">
        <v>1395</v>
      </c>
      <c r="B2" s="862">
        <v>46180.0</v>
      </c>
      <c r="C2" s="863">
        <v>1708.25</v>
      </c>
      <c r="D2" s="395" t="s">
        <v>6547</v>
      </c>
      <c r="E2" s="391"/>
      <c r="F2" s="391"/>
      <c r="G2" s="391"/>
      <c r="H2" s="391"/>
      <c r="I2" s="391"/>
      <c r="J2" s="391"/>
      <c r="K2" s="391"/>
      <c r="L2" s="391"/>
      <c r="M2" s="391"/>
      <c r="N2" s="391"/>
      <c r="O2" s="391"/>
      <c r="P2" s="391"/>
      <c r="Q2" s="391"/>
      <c r="R2" s="391"/>
      <c r="S2" s="391"/>
      <c r="T2" s="391"/>
      <c r="U2" s="391"/>
      <c r="V2" s="391"/>
      <c r="W2" s="391"/>
      <c r="X2" s="391"/>
      <c r="Y2" s="391"/>
      <c r="Z2" s="391"/>
    </row>
    <row r="3">
      <c r="A3" s="395" t="s">
        <v>6387</v>
      </c>
      <c r="B3" s="862">
        <v>46180.0</v>
      </c>
      <c r="C3" s="863">
        <v>1218.0</v>
      </c>
      <c r="D3" s="395"/>
      <c r="E3" s="391"/>
      <c r="F3" s="391"/>
      <c r="G3" s="391"/>
      <c r="H3" s="391"/>
      <c r="I3" s="391"/>
      <c r="J3" s="391"/>
      <c r="K3" s="391"/>
      <c r="L3" s="391"/>
      <c r="M3" s="391"/>
      <c r="N3" s="391"/>
      <c r="O3" s="391"/>
      <c r="P3" s="391"/>
      <c r="Q3" s="391"/>
      <c r="R3" s="391"/>
      <c r="S3" s="391"/>
      <c r="T3" s="391"/>
      <c r="U3" s="391"/>
      <c r="V3" s="391"/>
      <c r="W3" s="391"/>
      <c r="X3" s="391"/>
      <c r="Y3" s="391"/>
      <c r="Z3" s="391"/>
    </row>
    <row r="4">
      <c r="A4" s="395"/>
      <c r="B4" s="862"/>
      <c r="C4" s="863">
        <v>0.0</v>
      </c>
      <c r="D4" s="395"/>
      <c r="E4" s="391"/>
      <c r="F4" s="391"/>
      <c r="G4" s="391"/>
      <c r="H4" s="391"/>
      <c r="I4" s="391"/>
      <c r="J4" s="391"/>
      <c r="K4" s="391"/>
      <c r="L4" s="391"/>
      <c r="M4" s="391"/>
      <c r="N4" s="391"/>
      <c r="O4" s="391"/>
      <c r="P4" s="391"/>
      <c r="Q4" s="391"/>
      <c r="R4" s="391"/>
      <c r="S4" s="391"/>
      <c r="T4" s="391"/>
      <c r="U4" s="391"/>
      <c r="V4" s="391"/>
      <c r="W4" s="391"/>
      <c r="X4" s="391"/>
      <c r="Y4" s="391"/>
      <c r="Z4" s="391"/>
    </row>
    <row r="5">
      <c r="A5" s="395"/>
      <c r="B5" s="862"/>
      <c r="C5" s="863">
        <v>0.0</v>
      </c>
      <c r="D5" s="395"/>
      <c r="E5" s="391"/>
      <c r="F5" s="391"/>
      <c r="G5" s="391"/>
      <c r="H5" s="391"/>
      <c r="I5" s="391"/>
      <c r="J5" s="391"/>
      <c r="K5" s="391"/>
      <c r="L5" s="391"/>
      <c r="M5" s="391"/>
      <c r="N5" s="391"/>
      <c r="O5" s="391"/>
      <c r="P5" s="391"/>
      <c r="Q5" s="391"/>
      <c r="R5" s="391"/>
      <c r="S5" s="391"/>
      <c r="T5" s="391"/>
      <c r="U5" s="391"/>
      <c r="V5" s="391"/>
      <c r="W5" s="391"/>
      <c r="X5" s="391"/>
      <c r="Y5" s="391"/>
      <c r="Z5" s="391"/>
    </row>
    <row r="6">
      <c r="A6" s="395"/>
      <c r="B6" s="862"/>
      <c r="C6" s="863">
        <v>0.0</v>
      </c>
      <c r="D6" s="395"/>
      <c r="E6" s="391"/>
      <c r="F6" s="391"/>
      <c r="G6" s="391"/>
      <c r="H6" s="391"/>
      <c r="I6" s="391"/>
      <c r="J6" s="391"/>
      <c r="K6" s="391"/>
      <c r="L6" s="391"/>
      <c r="M6" s="391"/>
      <c r="N6" s="391"/>
      <c r="O6" s="391"/>
      <c r="P6" s="391"/>
      <c r="Q6" s="391"/>
      <c r="R6" s="391"/>
      <c r="S6" s="391"/>
      <c r="T6" s="391"/>
      <c r="U6" s="391"/>
      <c r="V6" s="391"/>
      <c r="W6" s="391"/>
      <c r="X6" s="391"/>
      <c r="Y6" s="391"/>
      <c r="Z6" s="391"/>
    </row>
    <row r="7">
      <c r="A7" s="395"/>
      <c r="B7" s="862"/>
      <c r="C7" s="863">
        <v>0.0</v>
      </c>
      <c r="D7" s="395"/>
      <c r="E7" s="391"/>
      <c r="F7" s="391"/>
      <c r="G7" s="391"/>
      <c r="H7" s="391"/>
      <c r="I7" s="391"/>
      <c r="J7" s="391"/>
      <c r="K7" s="391"/>
      <c r="L7" s="391"/>
      <c r="M7" s="391"/>
      <c r="N7" s="391"/>
      <c r="O7" s="391"/>
      <c r="P7" s="391"/>
      <c r="Q7" s="391"/>
      <c r="R7" s="391"/>
      <c r="S7" s="391"/>
      <c r="T7" s="391"/>
      <c r="U7" s="391"/>
      <c r="V7" s="391"/>
      <c r="W7" s="391"/>
      <c r="X7" s="391"/>
      <c r="Y7" s="391"/>
      <c r="Z7" s="391"/>
    </row>
    <row r="8">
      <c r="A8" s="395"/>
      <c r="B8" s="862"/>
      <c r="C8" s="863">
        <v>0.0</v>
      </c>
      <c r="D8" s="395"/>
      <c r="E8" s="391"/>
      <c r="F8" s="391"/>
      <c r="G8" s="391"/>
      <c r="H8" s="391"/>
      <c r="I8" s="391"/>
      <c r="J8" s="391"/>
      <c r="K8" s="391"/>
      <c r="L8" s="391"/>
      <c r="M8" s="391"/>
      <c r="N8" s="391"/>
      <c r="O8" s="391"/>
      <c r="P8" s="391"/>
      <c r="Q8" s="391"/>
      <c r="R8" s="391"/>
      <c r="S8" s="391"/>
      <c r="T8" s="391"/>
      <c r="U8" s="391"/>
      <c r="V8" s="391"/>
      <c r="W8" s="391"/>
      <c r="X8" s="391"/>
      <c r="Y8" s="391"/>
      <c r="Z8" s="391"/>
    </row>
    <row r="9">
      <c r="A9" s="395"/>
      <c r="B9" s="862"/>
      <c r="C9" s="863">
        <v>0.0</v>
      </c>
      <c r="D9" s="395"/>
      <c r="E9" s="391"/>
      <c r="F9" s="391"/>
      <c r="G9" s="391"/>
      <c r="H9" s="391"/>
      <c r="I9" s="391"/>
      <c r="J9" s="391"/>
      <c r="K9" s="391"/>
      <c r="L9" s="391"/>
      <c r="M9" s="391"/>
      <c r="N9" s="391"/>
      <c r="O9" s="391"/>
      <c r="P9" s="391"/>
      <c r="Q9" s="391"/>
      <c r="R9" s="391"/>
      <c r="S9" s="391"/>
      <c r="T9" s="391"/>
      <c r="U9" s="391"/>
      <c r="V9" s="391"/>
      <c r="W9" s="391"/>
      <c r="X9" s="391"/>
      <c r="Y9" s="391"/>
      <c r="Z9" s="391"/>
    </row>
    <row r="10">
      <c r="A10" s="395"/>
      <c r="B10" s="862"/>
      <c r="C10" s="863">
        <v>0.0</v>
      </c>
      <c r="D10" s="395"/>
      <c r="E10" s="391"/>
      <c r="F10" s="391"/>
      <c r="G10" s="391"/>
      <c r="H10" s="391"/>
      <c r="I10" s="391"/>
      <c r="J10" s="391"/>
      <c r="K10" s="391"/>
      <c r="L10" s="391"/>
      <c r="M10" s="391"/>
      <c r="N10" s="391"/>
      <c r="O10" s="391"/>
      <c r="P10" s="391"/>
      <c r="Q10" s="391"/>
      <c r="R10" s="391"/>
      <c r="S10" s="391"/>
      <c r="T10" s="391"/>
      <c r="U10" s="391"/>
      <c r="V10" s="391"/>
      <c r="W10" s="391"/>
      <c r="X10" s="391"/>
      <c r="Y10" s="391"/>
      <c r="Z10" s="391"/>
    </row>
    <row r="11">
      <c r="A11" s="395"/>
      <c r="B11" s="862"/>
      <c r="C11" s="863">
        <v>0.0</v>
      </c>
      <c r="D11" s="395"/>
      <c r="E11" s="391"/>
      <c r="F11" s="391"/>
      <c r="G11" s="391"/>
      <c r="H11" s="391"/>
      <c r="I11" s="391"/>
      <c r="J11" s="391"/>
      <c r="K11" s="391"/>
      <c r="L11" s="391"/>
      <c r="M11" s="391"/>
      <c r="N11" s="391"/>
      <c r="O11" s="391"/>
      <c r="P11" s="391"/>
      <c r="Q11" s="391"/>
      <c r="R11" s="391"/>
      <c r="S11" s="391"/>
      <c r="T11" s="391"/>
      <c r="U11" s="391"/>
      <c r="V11" s="391"/>
      <c r="W11" s="391"/>
      <c r="X11" s="391"/>
      <c r="Y11" s="391"/>
      <c r="Z11" s="391"/>
    </row>
    <row r="12">
      <c r="A12" s="395"/>
      <c r="B12" s="862"/>
      <c r="C12" s="863">
        <v>0.0</v>
      </c>
      <c r="D12" s="395"/>
      <c r="E12" s="391"/>
      <c r="F12" s="391"/>
      <c r="G12" s="391"/>
      <c r="H12" s="391"/>
      <c r="I12" s="391"/>
      <c r="J12" s="391"/>
      <c r="K12" s="391"/>
      <c r="L12" s="391"/>
      <c r="M12" s="391"/>
      <c r="N12" s="391"/>
      <c r="O12" s="391"/>
      <c r="P12" s="391"/>
      <c r="Q12" s="391"/>
      <c r="R12" s="391"/>
      <c r="S12" s="391"/>
      <c r="T12" s="391"/>
      <c r="U12" s="391"/>
      <c r="V12" s="391"/>
      <c r="W12" s="391"/>
      <c r="X12" s="391"/>
      <c r="Y12" s="391"/>
      <c r="Z12" s="391"/>
    </row>
    <row r="13">
      <c r="A13" s="395"/>
      <c r="B13" s="862"/>
      <c r="C13" s="863">
        <v>0.0</v>
      </c>
      <c r="D13" s="395"/>
      <c r="E13" s="391"/>
      <c r="F13" s="391"/>
      <c r="G13" s="391"/>
      <c r="H13" s="391"/>
      <c r="I13" s="391"/>
      <c r="J13" s="391"/>
      <c r="K13" s="391"/>
      <c r="L13" s="391"/>
      <c r="M13" s="391"/>
      <c r="N13" s="391"/>
      <c r="O13" s="391"/>
      <c r="P13" s="391"/>
      <c r="Q13" s="391"/>
      <c r="R13" s="391"/>
      <c r="S13" s="391"/>
      <c r="T13" s="391"/>
      <c r="U13" s="391"/>
      <c r="V13" s="391"/>
      <c r="W13" s="391"/>
      <c r="X13" s="391"/>
      <c r="Y13" s="391"/>
      <c r="Z13" s="391"/>
    </row>
    <row r="14">
      <c r="A14" s="395"/>
      <c r="B14" s="862"/>
      <c r="C14" s="863">
        <v>0.0</v>
      </c>
      <c r="D14" s="395"/>
      <c r="E14" s="391"/>
      <c r="F14" s="391"/>
      <c r="G14" s="391"/>
      <c r="H14" s="391"/>
      <c r="I14" s="391"/>
      <c r="J14" s="391"/>
      <c r="K14" s="391"/>
      <c r="L14" s="391"/>
      <c r="M14" s="391"/>
      <c r="N14" s="391"/>
      <c r="O14" s="391"/>
      <c r="P14" s="391"/>
      <c r="Q14" s="391"/>
      <c r="R14" s="391"/>
      <c r="S14" s="391"/>
      <c r="T14" s="391"/>
      <c r="U14" s="391"/>
      <c r="V14" s="391"/>
      <c r="W14" s="391"/>
      <c r="X14" s="391"/>
      <c r="Y14" s="391"/>
      <c r="Z14" s="391"/>
    </row>
    <row r="15">
      <c r="A15" s="395"/>
      <c r="B15" s="862"/>
      <c r="C15" s="863">
        <v>0.0</v>
      </c>
      <c r="D15" s="395"/>
      <c r="E15" s="391"/>
      <c r="F15" s="391"/>
      <c r="G15" s="391"/>
      <c r="H15" s="391"/>
      <c r="I15" s="391"/>
      <c r="J15" s="391"/>
      <c r="K15" s="391"/>
      <c r="L15" s="391"/>
      <c r="M15" s="391"/>
      <c r="N15" s="391"/>
      <c r="O15" s="391"/>
      <c r="P15" s="391"/>
      <c r="Q15" s="391"/>
      <c r="R15" s="391"/>
      <c r="S15" s="391"/>
      <c r="T15" s="391"/>
      <c r="U15" s="391"/>
      <c r="V15" s="391"/>
      <c r="W15" s="391"/>
      <c r="X15" s="391"/>
      <c r="Y15" s="391"/>
      <c r="Z15" s="391"/>
    </row>
    <row r="16">
      <c r="A16" s="395"/>
      <c r="B16" s="862"/>
      <c r="C16" s="863">
        <v>0.0</v>
      </c>
      <c r="D16" s="395"/>
      <c r="E16" s="391"/>
      <c r="F16" s="391"/>
      <c r="G16" s="391"/>
      <c r="H16" s="391"/>
      <c r="I16" s="391"/>
      <c r="J16" s="391"/>
      <c r="K16" s="391"/>
      <c r="L16" s="391"/>
      <c r="M16" s="391"/>
      <c r="N16" s="391"/>
      <c r="O16" s="391"/>
      <c r="P16" s="391"/>
      <c r="Q16" s="391"/>
      <c r="R16" s="391"/>
      <c r="S16" s="391"/>
      <c r="T16" s="391"/>
      <c r="U16" s="391"/>
      <c r="V16" s="391"/>
      <c r="W16" s="391"/>
      <c r="X16" s="391"/>
      <c r="Y16" s="391"/>
      <c r="Z16" s="391"/>
    </row>
    <row r="17">
      <c r="A17" s="395"/>
      <c r="B17" s="862"/>
      <c r="C17" s="863">
        <v>0.0</v>
      </c>
      <c r="D17" s="395"/>
      <c r="E17" s="391"/>
      <c r="F17" s="391"/>
      <c r="G17" s="391"/>
      <c r="H17" s="391"/>
      <c r="I17" s="391"/>
      <c r="J17" s="391"/>
      <c r="K17" s="391"/>
      <c r="L17" s="391"/>
      <c r="M17" s="391"/>
      <c r="N17" s="391"/>
      <c r="O17" s="391"/>
      <c r="P17" s="391"/>
      <c r="Q17" s="391"/>
      <c r="R17" s="391"/>
      <c r="S17" s="391"/>
      <c r="T17" s="391"/>
      <c r="U17" s="391"/>
      <c r="V17" s="391"/>
      <c r="W17" s="391"/>
      <c r="X17" s="391"/>
      <c r="Y17" s="391"/>
      <c r="Z17" s="391"/>
    </row>
    <row r="18">
      <c r="A18" s="395"/>
      <c r="B18" s="862"/>
      <c r="C18" s="863">
        <v>0.0</v>
      </c>
      <c r="D18" s="395"/>
      <c r="E18" s="391"/>
      <c r="F18" s="391"/>
      <c r="G18" s="391"/>
      <c r="H18" s="391"/>
      <c r="I18" s="391"/>
      <c r="J18" s="391"/>
      <c r="K18" s="391"/>
      <c r="L18" s="391"/>
      <c r="M18" s="391"/>
      <c r="N18" s="391"/>
      <c r="O18" s="391"/>
      <c r="P18" s="391"/>
      <c r="Q18" s="391"/>
      <c r="R18" s="391"/>
      <c r="S18" s="391"/>
      <c r="T18" s="391"/>
      <c r="U18" s="391"/>
      <c r="V18" s="391"/>
      <c r="W18" s="391"/>
      <c r="X18" s="391"/>
      <c r="Y18" s="391"/>
      <c r="Z18" s="391"/>
    </row>
    <row r="19">
      <c r="A19" s="395"/>
      <c r="B19" s="862"/>
      <c r="C19" s="863">
        <v>0.0</v>
      </c>
      <c r="D19" s="395"/>
      <c r="E19" s="391"/>
      <c r="F19" s="391"/>
      <c r="G19" s="391"/>
      <c r="H19" s="391"/>
      <c r="I19" s="391"/>
      <c r="J19" s="391"/>
      <c r="K19" s="391"/>
      <c r="L19" s="391"/>
      <c r="M19" s="391"/>
      <c r="N19" s="391"/>
      <c r="O19" s="391"/>
      <c r="P19" s="391"/>
      <c r="Q19" s="391"/>
      <c r="R19" s="391"/>
      <c r="S19" s="391"/>
      <c r="T19" s="391"/>
      <c r="U19" s="391"/>
      <c r="V19" s="391"/>
      <c r="W19" s="391"/>
      <c r="X19" s="391"/>
      <c r="Y19" s="391"/>
      <c r="Z19" s="391"/>
    </row>
    <row r="20">
      <c r="A20" s="395"/>
      <c r="B20" s="862"/>
      <c r="C20" s="863">
        <v>0.0</v>
      </c>
      <c r="D20" s="395"/>
      <c r="E20" s="391"/>
      <c r="F20" s="391"/>
      <c r="G20" s="391"/>
      <c r="H20" s="391"/>
      <c r="I20" s="391"/>
      <c r="J20" s="391"/>
      <c r="K20" s="391"/>
      <c r="L20" s="391"/>
      <c r="M20" s="391"/>
      <c r="N20" s="391"/>
      <c r="O20" s="391"/>
      <c r="P20" s="391"/>
      <c r="Q20" s="391"/>
      <c r="R20" s="391"/>
      <c r="S20" s="391"/>
      <c r="T20" s="391"/>
      <c r="U20" s="391"/>
      <c r="V20" s="391"/>
      <c r="W20" s="391"/>
      <c r="X20" s="391"/>
      <c r="Y20" s="391"/>
      <c r="Z20" s="391"/>
    </row>
    <row r="21">
      <c r="A21" s="864"/>
      <c r="B21" s="864"/>
      <c r="C21" s="865"/>
      <c r="D21" s="391"/>
      <c r="E21" s="391"/>
      <c r="F21" s="391"/>
      <c r="G21" s="391"/>
      <c r="H21" s="391"/>
      <c r="I21" s="391"/>
      <c r="J21" s="391"/>
      <c r="K21" s="391"/>
      <c r="L21" s="391"/>
      <c r="M21" s="391"/>
      <c r="N21" s="391"/>
      <c r="O21" s="391"/>
      <c r="P21" s="391"/>
      <c r="Q21" s="391"/>
      <c r="R21" s="391"/>
      <c r="S21" s="391"/>
      <c r="T21" s="391"/>
      <c r="U21" s="391"/>
      <c r="V21" s="391"/>
      <c r="W21" s="391"/>
      <c r="X21" s="391"/>
      <c r="Y21" s="391"/>
      <c r="Z21" s="391"/>
    </row>
    <row r="22">
      <c r="A22" s="864" t="s">
        <v>8972</v>
      </c>
      <c r="C22" s="866">
        <f>SUM(C2:C20)</f>
        <v>2926.25</v>
      </c>
      <c r="D22" s="391"/>
      <c r="E22" s="391"/>
      <c r="F22" s="391"/>
      <c r="G22" s="391"/>
      <c r="H22" s="391"/>
      <c r="I22" s="391"/>
      <c r="J22" s="391"/>
      <c r="K22" s="391"/>
      <c r="L22" s="391"/>
      <c r="M22" s="391"/>
      <c r="N22" s="391"/>
      <c r="O22" s="391"/>
      <c r="P22" s="391"/>
      <c r="Q22" s="391"/>
      <c r="R22" s="391"/>
      <c r="S22" s="391"/>
      <c r="T22" s="391"/>
      <c r="U22" s="391"/>
      <c r="V22" s="391"/>
      <c r="W22" s="391"/>
      <c r="X22" s="391"/>
      <c r="Y22" s="391"/>
      <c r="Z22" s="391"/>
    </row>
    <row r="23">
      <c r="A23" s="391"/>
      <c r="B23" s="391"/>
      <c r="C23" s="391"/>
      <c r="D23" s="391"/>
      <c r="E23" s="391"/>
      <c r="F23" s="391"/>
      <c r="G23" s="391"/>
      <c r="H23" s="391"/>
      <c r="I23" s="391"/>
      <c r="J23" s="391"/>
      <c r="K23" s="391"/>
      <c r="L23" s="391"/>
      <c r="M23" s="391"/>
      <c r="N23" s="391"/>
      <c r="O23" s="391"/>
      <c r="P23" s="391"/>
      <c r="Q23" s="391"/>
      <c r="R23" s="391"/>
      <c r="S23" s="391"/>
      <c r="T23" s="391"/>
      <c r="U23" s="391"/>
      <c r="V23" s="391"/>
      <c r="W23" s="391"/>
      <c r="X23" s="391"/>
      <c r="Y23" s="391"/>
      <c r="Z23" s="391"/>
    </row>
    <row r="24">
      <c r="A24" s="391"/>
      <c r="B24" s="391"/>
      <c r="C24" s="391"/>
      <c r="D24" s="391"/>
      <c r="E24" s="391"/>
      <c r="F24" s="391"/>
      <c r="G24" s="391"/>
      <c r="H24" s="391"/>
      <c r="I24" s="391"/>
      <c r="J24" s="391"/>
      <c r="K24" s="391"/>
      <c r="L24" s="391"/>
      <c r="M24" s="391"/>
      <c r="N24" s="391"/>
      <c r="O24" s="391"/>
      <c r="P24" s="391"/>
      <c r="Q24" s="391"/>
      <c r="R24" s="391"/>
      <c r="S24" s="391"/>
      <c r="T24" s="391"/>
      <c r="U24" s="391"/>
      <c r="V24" s="391"/>
      <c r="W24" s="391"/>
      <c r="X24" s="391"/>
      <c r="Y24" s="391"/>
      <c r="Z24" s="391"/>
    </row>
    <row r="25">
      <c r="A25" s="391"/>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row>
    <row r="26">
      <c r="A26" s="391"/>
      <c r="B26" s="391"/>
      <c r="C26" s="391"/>
      <c r="D26" s="391"/>
      <c r="E26" s="391"/>
      <c r="F26" s="391"/>
      <c r="G26" s="391"/>
      <c r="H26" s="391"/>
      <c r="I26" s="391"/>
      <c r="J26" s="391"/>
      <c r="K26" s="391"/>
      <c r="L26" s="391"/>
      <c r="M26" s="391"/>
      <c r="N26" s="391"/>
      <c r="O26" s="391"/>
      <c r="P26" s="391"/>
      <c r="Q26" s="391"/>
      <c r="R26" s="391"/>
      <c r="S26" s="391"/>
      <c r="T26" s="391"/>
      <c r="U26" s="391"/>
      <c r="V26" s="391"/>
      <c r="W26" s="391"/>
      <c r="X26" s="391"/>
      <c r="Y26" s="391"/>
      <c r="Z26" s="391"/>
    </row>
    <row r="27">
      <c r="A27" s="391"/>
      <c r="B27" s="391"/>
      <c r="C27" s="391"/>
      <c r="D27" s="391"/>
      <c r="E27" s="391"/>
      <c r="F27" s="391"/>
      <c r="G27" s="391"/>
      <c r="H27" s="391"/>
      <c r="I27" s="391"/>
      <c r="J27" s="391"/>
      <c r="K27" s="391"/>
      <c r="L27" s="391"/>
      <c r="M27" s="391"/>
      <c r="N27" s="391"/>
      <c r="O27" s="391"/>
      <c r="P27" s="391"/>
      <c r="Q27" s="391"/>
      <c r="R27" s="391"/>
      <c r="S27" s="391"/>
      <c r="T27" s="391"/>
      <c r="U27" s="391"/>
      <c r="V27" s="391"/>
      <c r="W27" s="391"/>
      <c r="X27" s="391"/>
      <c r="Y27" s="391"/>
      <c r="Z27" s="391"/>
    </row>
    <row r="28">
      <c r="A28" s="391"/>
      <c r="B28" s="391"/>
      <c r="C28" s="391"/>
      <c r="D28" s="391"/>
      <c r="E28" s="391"/>
      <c r="F28" s="391"/>
      <c r="G28" s="391"/>
      <c r="H28" s="391"/>
      <c r="I28" s="391"/>
      <c r="J28" s="391"/>
      <c r="K28" s="391"/>
      <c r="L28" s="391"/>
      <c r="M28" s="391"/>
      <c r="N28" s="391"/>
      <c r="O28" s="391"/>
      <c r="P28" s="391"/>
      <c r="Q28" s="391"/>
      <c r="R28" s="391"/>
      <c r="S28" s="391"/>
      <c r="T28" s="391"/>
      <c r="U28" s="391"/>
      <c r="V28" s="391"/>
      <c r="W28" s="391"/>
      <c r="X28" s="391"/>
      <c r="Y28" s="391"/>
      <c r="Z28" s="391"/>
    </row>
    <row r="29">
      <c r="A29" s="391"/>
      <c r="B29" s="391"/>
      <c r="C29" s="391"/>
      <c r="D29" s="391"/>
      <c r="E29" s="391"/>
      <c r="F29" s="391"/>
      <c r="G29" s="391"/>
      <c r="H29" s="391"/>
      <c r="I29" s="391"/>
      <c r="J29" s="391"/>
      <c r="K29" s="391"/>
      <c r="L29" s="391"/>
      <c r="M29" s="391"/>
      <c r="N29" s="391"/>
      <c r="O29" s="391"/>
      <c r="P29" s="391"/>
      <c r="Q29" s="391"/>
      <c r="R29" s="391"/>
      <c r="S29" s="391"/>
      <c r="T29" s="391"/>
      <c r="U29" s="391"/>
      <c r="V29" s="391"/>
      <c r="W29" s="391"/>
      <c r="X29" s="391"/>
      <c r="Y29" s="391"/>
      <c r="Z29" s="391"/>
    </row>
    <row r="30">
      <c r="A30" s="391"/>
      <c r="B30" s="391"/>
      <c r="C30" s="391"/>
      <c r="D30" s="391"/>
      <c r="E30" s="391"/>
      <c r="F30" s="391"/>
      <c r="G30" s="391"/>
      <c r="H30" s="391"/>
      <c r="I30" s="391"/>
      <c r="J30" s="391"/>
      <c r="K30" s="391"/>
      <c r="L30" s="391"/>
      <c r="M30" s="391"/>
      <c r="N30" s="391"/>
      <c r="O30" s="391"/>
      <c r="P30" s="391"/>
      <c r="Q30" s="391"/>
      <c r="R30" s="391"/>
      <c r="S30" s="391"/>
      <c r="T30" s="391"/>
      <c r="U30" s="391"/>
      <c r="V30" s="391"/>
      <c r="W30" s="391"/>
      <c r="X30" s="391"/>
      <c r="Y30" s="391"/>
      <c r="Z30" s="391"/>
    </row>
    <row r="31">
      <c r="A31" s="391"/>
      <c r="B31" s="391"/>
      <c r="C31" s="391"/>
      <c r="D31" s="391"/>
      <c r="E31" s="391"/>
      <c r="F31" s="391"/>
      <c r="G31" s="391"/>
      <c r="H31" s="391"/>
      <c r="I31" s="391"/>
      <c r="J31" s="391"/>
      <c r="K31" s="391"/>
      <c r="L31" s="391"/>
      <c r="M31" s="391"/>
      <c r="N31" s="391"/>
      <c r="O31" s="391"/>
      <c r="P31" s="391"/>
      <c r="Q31" s="391"/>
      <c r="R31" s="391"/>
      <c r="S31" s="391"/>
      <c r="T31" s="391"/>
      <c r="U31" s="391"/>
      <c r="V31" s="391"/>
      <c r="W31" s="391"/>
      <c r="X31" s="391"/>
      <c r="Y31" s="391"/>
      <c r="Z31" s="391"/>
    </row>
    <row r="32">
      <c r="A32" s="391"/>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row>
    <row r="33">
      <c r="A33" s="391"/>
      <c r="B33" s="391"/>
      <c r="C33" s="391"/>
      <c r="D33" s="391"/>
      <c r="E33" s="391"/>
      <c r="F33" s="391"/>
      <c r="G33" s="391"/>
      <c r="H33" s="391"/>
      <c r="I33" s="391"/>
      <c r="J33" s="391"/>
      <c r="K33" s="391"/>
      <c r="L33" s="391"/>
      <c r="M33" s="391"/>
      <c r="N33" s="391"/>
      <c r="O33" s="391"/>
      <c r="P33" s="391"/>
      <c r="Q33" s="391"/>
      <c r="R33" s="391"/>
      <c r="S33" s="391"/>
      <c r="T33" s="391"/>
      <c r="U33" s="391"/>
      <c r="V33" s="391"/>
      <c r="W33" s="391"/>
      <c r="X33" s="391"/>
      <c r="Y33" s="391"/>
      <c r="Z33" s="391"/>
    </row>
    <row r="34">
      <c r="A34" s="391"/>
      <c r="B34" s="391"/>
      <c r="C34" s="391"/>
      <c r="D34" s="391"/>
      <c r="E34" s="391"/>
      <c r="F34" s="391"/>
      <c r="G34" s="391"/>
      <c r="H34" s="391"/>
      <c r="I34" s="391"/>
      <c r="J34" s="391"/>
      <c r="K34" s="391"/>
      <c r="L34" s="391"/>
      <c r="M34" s="391"/>
      <c r="N34" s="391"/>
      <c r="O34" s="391"/>
      <c r="P34" s="391"/>
      <c r="Q34" s="391"/>
      <c r="R34" s="391"/>
      <c r="S34" s="391"/>
      <c r="T34" s="391"/>
      <c r="U34" s="391"/>
      <c r="V34" s="391"/>
      <c r="W34" s="391"/>
      <c r="X34" s="391"/>
      <c r="Y34" s="391"/>
      <c r="Z34" s="391"/>
    </row>
    <row r="35">
      <c r="A35" s="391"/>
      <c r="B35" s="391"/>
      <c r="C35" s="391"/>
      <c r="D35" s="391"/>
      <c r="E35" s="391"/>
      <c r="F35" s="391"/>
      <c r="G35" s="391"/>
      <c r="H35" s="391"/>
      <c r="I35" s="391"/>
      <c r="J35" s="391"/>
      <c r="K35" s="391"/>
      <c r="L35" s="391"/>
      <c r="M35" s="391"/>
      <c r="N35" s="391"/>
      <c r="O35" s="391"/>
      <c r="P35" s="391"/>
      <c r="Q35" s="391"/>
      <c r="R35" s="391"/>
      <c r="S35" s="391"/>
      <c r="T35" s="391"/>
      <c r="U35" s="391"/>
      <c r="V35" s="391"/>
      <c r="W35" s="391"/>
      <c r="X35" s="391"/>
      <c r="Y35" s="391"/>
      <c r="Z35" s="391"/>
    </row>
    <row r="36">
      <c r="A36" s="391"/>
      <c r="B36" s="391"/>
      <c r="C36" s="391"/>
      <c r="D36" s="391"/>
      <c r="E36" s="391"/>
      <c r="F36" s="391"/>
      <c r="G36" s="391"/>
      <c r="H36" s="391"/>
      <c r="I36" s="391"/>
      <c r="J36" s="391"/>
      <c r="K36" s="391"/>
      <c r="L36" s="391"/>
      <c r="M36" s="391"/>
      <c r="N36" s="391"/>
      <c r="O36" s="391"/>
      <c r="P36" s="391"/>
      <c r="Q36" s="391"/>
      <c r="R36" s="391"/>
      <c r="S36" s="391"/>
      <c r="T36" s="391"/>
      <c r="U36" s="391"/>
      <c r="V36" s="391"/>
      <c r="W36" s="391"/>
      <c r="X36" s="391"/>
      <c r="Y36" s="391"/>
      <c r="Z36" s="391"/>
    </row>
    <row r="37">
      <c r="A37" s="391"/>
      <c r="B37" s="391"/>
      <c r="C37" s="391"/>
      <c r="D37" s="391"/>
      <c r="E37" s="391"/>
      <c r="F37" s="391"/>
      <c r="G37" s="391"/>
      <c r="H37" s="391"/>
      <c r="I37" s="391"/>
      <c r="J37" s="391"/>
      <c r="K37" s="391"/>
      <c r="L37" s="391"/>
      <c r="M37" s="391"/>
      <c r="N37" s="391"/>
      <c r="O37" s="391"/>
      <c r="P37" s="391"/>
      <c r="Q37" s="391"/>
      <c r="R37" s="391"/>
      <c r="S37" s="391"/>
      <c r="T37" s="391"/>
      <c r="U37" s="391"/>
      <c r="V37" s="391"/>
      <c r="W37" s="391"/>
      <c r="X37" s="391"/>
      <c r="Y37" s="391"/>
      <c r="Z37" s="391"/>
    </row>
    <row r="38">
      <c r="A38" s="391"/>
      <c r="B38" s="391"/>
      <c r="C38" s="391"/>
      <c r="D38" s="391"/>
      <c r="E38" s="391"/>
      <c r="F38" s="391"/>
      <c r="G38" s="391"/>
      <c r="H38" s="391"/>
      <c r="I38" s="391"/>
      <c r="J38" s="391"/>
      <c r="K38" s="391"/>
      <c r="L38" s="391"/>
      <c r="M38" s="391"/>
      <c r="N38" s="391"/>
      <c r="O38" s="391"/>
      <c r="P38" s="391"/>
      <c r="Q38" s="391"/>
      <c r="R38" s="391"/>
      <c r="S38" s="391"/>
      <c r="T38" s="391"/>
      <c r="U38" s="391"/>
      <c r="V38" s="391"/>
      <c r="W38" s="391"/>
      <c r="X38" s="391"/>
      <c r="Y38" s="391"/>
      <c r="Z38" s="391"/>
    </row>
    <row r="39">
      <c r="A39" s="391"/>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row>
    <row r="40">
      <c r="A40" s="391"/>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row>
    <row r="41">
      <c r="A41" s="391"/>
      <c r="B41" s="391"/>
      <c r="C41" s="391"/>
      <c r="D41" s="391"/>
      <c r="E41" s="391"/>
      <c r="F41" s="391"/>
      <c r="G41" s="391"/>
      <c r="H41" s="391"/>
      <c r="I41" s="391"/>
      <c r="J41" s="391"/>
      <c r="K41" s="391"/>
      <c r="L41" s="391"/>
      <c r="M41" s="391"/>
      <c r="N41" s="391"/>
      <c r="O41" s="391"/>
      <c r="P41" s="391"/>
      <c r="Q41" s="391"/>
      <c r="R41" s="391"/>
      <c r="S41" s="391"/>
      <c r="T41" s="391"/>
      <c r="U41" s="391"/>
      <c r="V41" s="391"/>
      <c r="W41" s="391"/>
      <c r="X41" s="391"/>
      <c r="Y41" s="391"/>
      <c r="Z41" s="391"/>
    </row>
    <row r="42">
      <c r="A42" s="391"/>
      <c r="B42" s="391"/>
      <c r="C42" s="391"/>
      <c r="D42" s="391"/>
      <c r="E42" s="391"/>
      <c r="F42" s="391"/>
      <c r="G42" s="391"/>
      <c r="H42" s="391"/>
      <c r="I42" s="391"/>
      <c r="J42" s="391"/>
      <c r="K42" s="391"/>
      <c r="L42" s="391"/>
      <c r="M42" s="391"/>
      <c r="N42" s="391"/>
      <c r="O42" s="391"/>
      <c r="P42" s="391"/>
      <c r="Q42" s="391"/>
      <c r="R42" s="391"/>
      <c r="S42" s="391"/>
      <c r="T42" s="391"/>
      <c r="U42" s="391"/>
      <c r="V42" s="391"/>
      <c r="W42" s="391"/>
      <c r="X42" s="391"/>
      <c r="Y42" s="391"/>
      <c r="Z42" s="391"/>
    </row>
    <row r="43">
      <c r="A43" s="391"/>
      <c r="B43" s="391"/>
      <c r="C43" s="391"/>
      <c r="D43" s="391"/>
      <c r="E43" s="391"/>
      <c r="F43" s="391"/>
      <c r="G43" s="391"/>
      <c r="H43" s="391"/>
      <c r="I43" s="391"/>
      <c r="J43" s="391"/>
      <c r="K43" s="391"/>
      <c r="L43" s="391"/>
      <c r="M43" s="391"/>
      <c r="N43" s="391"/>
      <c r="O43" s="391"/>
      <c r="P43" s="391"/>
      <c r="Q43" s="391"/>
      <c r="R43" s="391"/>
      <c r="S43" s="391"/>
      <c r="T43" s="391"/>
      <c r="U43" s="391"/>
      <c r="V43" s="391"/>
      <c r="W43" s="391"/>
      <c r="X43" s="391"/>
      <c r="Y43" s="391"/>
      <c r="Z43" s="391"/>
    </row>
    <row r="44">
      <c r="A44" s="391"/>
      <c r="B44" s="391"/>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row>
    <row r="45">
      <c r="A45" s="391"/>
      <c r="B45" s="391"/>
      <c r="C45" s="391"/>
      <c r="D45" s="391"/>
      <c r="E45" s="391"/>
      <c r="F45" s="391"/>
      <c r="G45" s="391"/>
      <c r="H45" s="391"/>
      <c r="I45" s="391"/>
      <c r="J45" s="391"/>
      <c r="K45" s="391"/>
      <c r="L45" s="391"/>
      <c r="M45" s="391"/>
      <c r="N45" s="391"/>
      <c r="O45" s="391"/>
      <c r="P45" s="391"/>
      <c r="Q45" s="391"/>
      <c r="R45" s="391"/>
      <c r="S45" s="391"/>
      <c r="T45" s="391"/>
      <c r="U45" s="391"/>
      <c r="V45" s="391"/>
      <c r="W45" s="391"/>
      <c r="X45" s="391"/>
      <c r="Y45" s="391"/>
      <c r="Z45" s="391"/>
    </row>
    <row r="46">
      <c r="A46" s="391"/>
      <c r="B46" s="391"/>
      <c r="C46" s="391"/>
      <c r="D46" s="391"/>
      <c r="E46" s="391"/>
      <c r="F46" s="391"/>
      <c r="G46" s="391"/>
      <c r="H46" s="391"/>
      <c r="I46" s="391"/>
      <c r="J46" s="391"/>
      <c r="K46" s="391"/>
      <c r="L46" s="391"/>
      <c r="M46" s="391"/>
      <c r="N46" s="391"/>
      <c r="O46" s="391"/>
      <c r="P46" s="391"/>
      <c r="Q46" s="391"/>
      <c r="R46" s="391"/>
      <c r="S46" s="391"/>
      <c r="T46" s="391"/>
      <c r="U46" s="391"/>
      <c r="V46" s="391"/>
      <c r="W46" s="391"/>
      <c r="X46" s="391"/>
      <c r="Y46" s="391"/>
      <c r="Z46" s="391"/>
    </row>
    <row r="47">
      <c r="A47" s="391"/>
      <c r="B47" s="391"/>
      <c r="C47" s="391"/>
      <c r="D47" s="391"/>
      <c r="E47" s="391"/>
      <c r="F47" s="391"/>
      <c r="G47" s="391"/>
      <c r="H47" s="391"/>
      <c r="I47" s="391"/>
      <c r="J47" s="391"/>
      <c r="K47" s="391"/>
      <c r="L47" s="391"/>
      <c r="M47" s="391"/>
      <c r="N47" s="391"/>
      <c r="O47" s="391"/>
      <c r="P47" s="391"/>
      <c r="Q47" s="391"/>
      <c r="R47" s="391"/>
      <c r="S47" s="391"/>
      <c r="T47" s="391"/>
      <c r="U47" s="391"/>
      <c r="V47" s="391"/>
      <c r="W47" s="391"/>
      <c r="X47" s="391"/>
      <c r="Y47" s="391"/>
      <c r="Z47" s="391"/>
    </row>
    <row r="48">
      <c r="A48" s="391"/>
      <c r="B48" s="391"/>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row>
    <row r="49">
      <c r="A49" s="391"/>
      <c r="B49" s="391"/>
      <c r="C49" s="391"/>
      <c r="D49" s="391"/>
      <c r="E49" s="391"/>
      <c r="F49" s="391"/>
      <c r="G49" s="391"/>
      <c r="H49" s="391"/>
      <c r="I49" s="391"/>
      <c r="J49" s="391"/>
      <c r="K49" s="391"/>
      <c r="L49" s="391"/>
      <c r="M49" s="391"/>
      <c r="N49" s="391"/>
      <c r="O49" s="391"/>
      <c r="P49" s="391"/>
      <c r="Q49" s="391"/>
      <c r="R49" s="391"/>
      <c r="S49" s="391"/>
      <c r="T49" s="391"/>
      <c r="U49" s="391"/>
      <c r="V49" s="391"/>
      <c r="W49" s="391"/>
      <c r="X49" s="391"/>
      <c r="Y49" s="391"/>
      <c r="Z49" s="391"/>
    </row>
    <row r="50">
      <c r="A50" s="391"/>
      <c r="B50" s="391"/>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row>
    <row r="51">
      <c r="A51" s="391"/>
      <c r="B51" s="391"/>
      <c r="C51" s="391"/>
      <c r="D51" s="391"/>
      <c r="E51" s="391"/>
      <c r="F51" s="391"/>
      <c r="G51" s="391"/>
      <c r="H51" s="391"/>
      <c r="I51" s="391"/>
      <c r="J51" s="391"/>
      <c r="K51" s="391"/>
      <c r="L51" s="391"/>
      <c r="M51" s="391"/>
      <c r="N51" s="391"/>
      <c r="O51" s="391"/>
      <c r="P51" s="391"/>
      <c r="Q51" s="391"/>
      <c r="R51" s="391"/>
      <c r="S51" s="391"/>
      <c r="T51" s="391"/>
      <c r="U51" s="391"/>
      <c r="V51" s="391"/>
      <c r="W51" s="391"/>
      <c r="X51" s="391"/>
      <c r="Y51" s="391"/>
      <c r="Z51" s="391"/>
    </row>
    <row r="52">
      <c r="A52" s="391"/>
      <c r="B52" s="391"/>
      <c r="C52" s="391"/>
      <c r="D52" s="391"/>
      <c r="E52" s="391"/>
      <c r="F52" s="391"/>
      <c r="G52" s="391"/>
      <c r="H52" s="391"/>
      <c r="I52" s="391"/>
      <c r="J52" s="391"/>
      <c r="K52" s="391"/>
      <c r="L52" s="391"/>
      <c r="M52" s="391"/>
      <c r="N52" s="391"/>
      <c r="O52" s="391"/>
      <c r="P52" s="391"/>
      <c r="Q52" s="391"/>
      <c r="R52" s="391"/>
      <c r="S52" s="391"/>
      <c r="T52" s="391"/>
      <c r="U52" s="391"/>
      <c r="V52" s="391"/>
      <c r="W52" s="391"/>
      <c r="X52" s="391"/>
      <c r="Y52" s="391"/>
      <c r="Z52" s="391"/>
    </row>
    <row r="53">
      <c r="A53" s="391"/>
      <c r="B53" s="391"/>
      <c r="C53" s="391"/>
      <c r="D53" s="391"/>
      <c r="E53" s="391"/>
      <c r="F53" s="391"/>
      <c r="G53" s="391"/>
      <c r="H53" s="391"/>
      <c r="I53" s="391"/>
      <c r="J53" s="391"/>
      <c r="K53" s="391"/>
      <c r="L53" s="391"/>
      <c r="M53" s="391"/>
      <c r="N53" s="391"/>
      <c r="O53" s="391"/>
      <c r="P53" s="391"/>
      <c r="Q53" s="391"/>
      <c r="R53" s="391"/>
      <c r="S53" s="391"/>
      <c r="T53" s="391"/>
      <c r="U53" s="391"/>
      <c r="V53" s="391"/>
      <c r="W53" s="391"/>
      <c r="X53" s="391"/>
      <c r="Y53" s="391"/>
      <c r="Z53" s="391"/>
    </row>
    <row r="54">
      <c r="A54" s="391"/>
      <c r="B54" s="391"/>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row>
    <row r="55">
      <c r="A55" s="391"/>
      <c r="B55" s="391"/>
      <c r="C55" s="391"/>
      <c r="D55" s="391"/>
      <c r="E55" s="391"/>
      <c r="F55" s="391"/>
      <c r="G55" s="391"/>
      <c r="H55" s="391"/>
      <c r="I55" s="391"/>
      <c r="J55" s="391"/>
      <c r="K55" s="391"/>
      <c r="L55" s="391"/>
      <c r="M55" s="391"/>
      <c r="N55" s="391"/>
      <c r="O55" s="391"/>
      <c r="P55" s="391"/>
      <c r="Q55" s="391"/>
      <c r="R55" s="391"/>
      <c r="S55" s="391"/>
      <c r="T55" s="391"/>
      <c r="U55" s="391"/>
      <c r="V55" s="391"/>
      <c r="W55" s="391"/>
      <c r="X55" s="391"/>
      <c r="Y55" s="391"/>
      <c r="Z55" s="391"/>
    </row>
    <row r="56">
      <c r="A56" s="391"/>
      <c r="B56" s="391"/>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row>
    <row r="57">
      <c r="A57" s="391"/>
      <c r="B57" s="391"/>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row>
    <row r="58">
      <c r="A58" s="391"/>
      <c r="B58" s="391"/>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row>
    <row r="59">
      <c r="A59" s="391"/>
      <c r="B59" s="391"/>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row>
    <row r="60">
      <c r="A60" s="391"/>
      <c r="B60" s="391"/>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row>
    <row r="61">
      <c r="A61" s="391"/>
      <c r="B61" s="391"/>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row>
    <row r="62">
      <c r="A62" s="391"/>
      <c r="B62" s="391"/>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row>
    <row r="63">
      <c r="A63" s="391"/>
      <c r="B63" s="391"/>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row>
    <row r="64">
      <c r="A64" s="391"/>
      <c r="B64" s="391"/>
      <c r="C64" s="391"/>
      <c r="D64" s="391"/>
      <c r="E64" s="391"/>
      <c r="F64" s="391"/>
      <c r="G64" s="391"/>
      <c r="H64" s="391"/>
      <c r="I64" s="391"/>
      <c r="J64" s="391"/>
      <c r="K64" s="391"/>
      <c r="L64" s="391"/>
      <c r="M64" s="391"/>
      <c r="N64" s="391"/>
      <c r="O64" s="391"/>
      <c r="P64" s="391"/>
      <c r="Q64" s="391"/>
      <c r="R64" s="391"/>
      <c r="S64" s="391"/>
      <c r="T64" s="391"/>
      <c r="U64" s="391"/>
      <c r="V64" s="391"/>
      <c r="W64" s="391"/>
      <c r="X64" s="391"/>
      <c r="Y64" s="391"/>
      <c r="Z64" s="391"/>
    </row>
    <row r="65">
      <c r="A65" s="391"/>
      <c r="B65" s="391"/>
      <c r="C65" s="391"/>
      <c r="D65" s="391"/>
      <c r="E65" s="391"/>
      <c r="F65" s="391"/>
      <c r="G65" s="391"/>
      <c r="H65" s="391"/>
      <c r="I65" s="391"/>
      <c r="J65" s="391"/>
      <c r="K65" s="391"/>
      <c r="L65" s="391"/>
      <c r="M65" s="391"/>
      <c r="N65" s="391"/>
      <c r="O65" s="391"/>
      <c r="P65" s="391"/>
      <c r="Q65" s="391"/>
      <c r="R65" s="391"/>
      <c r="S65" s="391"/>
      <c r="T65" s="391"/>
      <c r="U65" s="391"/>
      <c r="V65" s="391"/>
      <c r="W65" s="391"/>
      <c r="X65" s="391"/>
      <c r="Y65" s="391"/>
      <c r="Z65" s="391"/>
    </row>
    <row r="66">
      <c r="A66" s="391"/>
      <c r="B66" s="391"/>
      <c r="C66" s="391"/>
      <c r="D66" s="391"/>
      <c r="E66" s="391"/>
      <c r="F66" s="391"/>
      <c r="G66" s="391"/>
      <c r="H66" s="391"/>
      <c r="I66" s="391"/>
      <c r="J66" s="391"/>
      <c r="K66" s="391"/>
      <c r="L66" s="391"/>
      <c r="M66" s="391"/>
      <c r="N66" s="391"/>
      <c r="O66" s="391"/>
      <c r="P66" s="391"/>
      <c r="Q66" s="391"/>
      <c r="R66" s="391"/>
      <c r="S66" s="391"/>
      <c r="T66" s="391"/>
      <c r="U66" s="391"/>
      <c r="V66" s="391"/>
      <c r="W66" s="391"/>
      <c r="X66" s="391"/>
      <c r="Y66" s="391"/>
      <c r="Z66" s="391"/>
    </row>
    <row r="67">
      <c r="A67" s="391"/>
      <c r="B67" s="391"/>
      <c r="C67" s="391"/>
      <c r="D67" s="391"/>
      <c r="E67" s="391"/>
      <c r="F67" s="391"/>
      <c r="G67" s="391"/>
      <c r="H67" s="391"/>
      <c r="I67" s="391"/>
      <c r="J67" s="391"/>
      <c r="K67" s="391"/>
      <c r="L67" s="391"/>
      <c r="M67" s="391"/>
      <c r="N67" s="391"/>
      <c r="O67" s="391"/>
      <c r="P67" s="391"/>
      <c r="Q67" s="391"/>
      <c r="R67" s="391"/>
      <c r="S67" s="391"/>
      <c r="T67" s="391"/>
      <c r="U67" s="391"/>
      <c r="V67" s="391"/>
      <c r="W67" s="391"/>
      <c r="X67" s="391"/>
      <c r="Y67" s="391"/>
      <c r="Z67" s="391"/>
    </row>
    <row r="68">
      <c r="A68" s="391"/>
      <c r="B68" s="391"/>
      <c r="C68" s="391"/>
      <c r="D68" s="391"/>
      <c r="E68" s="391"/>
      <c r="F68" s="391"/>
      <c r="G68" s="391"/>
      <c r="H68" s="391"/>
      <c r="I68" s="391"/>
      <c r="J68" s="391"/>
      <c r="K68" s="391"/>
      <c r="L68" s="391"/>
      <c r="M68" s="391"/>
      <c r="N68" s="391"/>
      <c r="O68" s="391"/>
      <c r="P68" s="391"/>
      <c r="Q68" s="391"/>
      <c r="R68" s="391"/>
      <c r="S68" s="391"/>
      <c r="T68" s="391"/>
      <c r="U68" s="391"/>
      <c r="V68" s="391"/>
      <c r="W68" s="391"/>
      <c r="X68" s="391"/>
      <c r="Y68" s="391"/>
      <c r="Z68" s="391"/>
    </row>
    <row r="69">
      <c r="A69" s="391"/>
      <c r="B69" s="391"/>
      <c r="C69" s="391"/>
      <c r="D69" s="391"/>
      <c r="E69" s="391"/>
      <c r="F69" s="391"/>
      <c r="G69" s="391"/>
      <c r="H69" s="391"/>
      <c r="I69" s="391"/>
      <c r="J69" s="391"/>
      <c r="K69" s="391"/>
      <c r="L69" s="391"/>
      <c r="M69" s="391"/>
      <c r="N69" s="391"/>
      <c r="O69" s="391"/>
      <c r="P69" s="391"/>
      <c r="Q69" s="391"/>
      <c r="R69" s="391"/>
      <c r="S69" s="391"/>
      <c r="T69" s="391"/>
      <c r="U69" s="391"/>
      <c r="V69" s="391"/>
      <c r="W69" s="391"/>
      <c r="X69" s="391"/>
      <c r="Y69" s="391"/>
      <c r="Z69" s="391"/>
    </row>
    <row r="70">
      <c r="A70" s="391"/>
      <c r="B70" s="391"/>
      <c r="C70" s="391"/>
      <c r="D70" s="391"/>
      <c r="E70" s="391"/>
      <c r="F70" s="391"/>
      <c r="G70" s="391"/>
      <c r="H70" s="391"/>
      <c r="I70" s="391"/>
      <c r="J70" s="391"/>
      <c r="K70" s="391"/>
      <c r="L70" s="391"/>
      <c r="M70" s="391"/>
      <c r="N70" s="391"/>
      <c r="O70" s="391"/>
      <c r="P70" s="391"/>
      <c r="Q70" s="391"/>
      <c r="R70" s="391"/>
      <c r="S70" s="391"/>
      <c r="T70" s="391"/>
      <c r="U70" s="391"/>
      <c r="V70" s="391"/>
      <c r="W70" s="391"/>
      <c r="X70" s="391"/>
      <c r="Y70" s="391"/>
      <c r="Z70" s="391"/>
    </row>
    <row r="71">
      <c r="A71" s="391"/>
      <c r="B71" s="391"/>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row>
    <row r="72">
      <c r="A72" s="391"/>
      <c r="B72" s="391"/>
      <c r="C72" s="391"/>
      <c r="D72" s="391"/>
      <c r="E72" s="391"/>
      <c r="F72" s="391"/>
      <c r="G72" s="391"/>
      <c r="H72" s="391"/>
      <c r="I72" s="391"/>
      <c r="J72" s="391"/>
      <c r="K72" s="391"/>
      <c r="L72" s="391"/>
      <c r="M72" s="391"/>
      <c r="N72" s="391"/>
      <c r="O72" s="391"/>
      <c r="P72" s="391"/>
      <c r="Q72" s="391"/>
      <c r="R72" s="391"/>
      <c r="S72" s="391"/>
      <c r="T72" s="391"/>
      <c r="U72" s="391"/>
      <c r="V72" s="391"/>
      <c r="W72" s="391"/>
      <c r="X72" s="391"/>
      <c r="Y72" s="391"/>
      <c r="Z72" s="391"/>
    </row>
    <row r="73">
      <c r="A73" s="391"/>
      <c r="B73" s="391"/>
      <c r="C73" s="391"/>
      <c r="D73" s="391"/>
      <c r="E73" s="391"/>
      <c r="F73" s="391"/>
      <c r="G73" s="391"/>
      <c r="H73" s="391"/>
      <c r="I73" s="391"/>
      <c r="J73" s="391"/>
      <c r="K73" s="391"/>
      <c r="L73" s="391"/>
      <c r="M73" s="391"/>
      <c r="N73" s="391"/>
      <c r="O73" s="391"/>
      <c r="P73" s="391"/>
      <c r="Q73" s="391"/>
      <c r="R73" s="391"/>
      <c r="S73" s="391"/>
      <c r="T73" s="391"/>
      <c r="U73" s="391"/>
      <c r="V73" s="391"/>
      <c r="W73" s="391"/>
      <c r="X73" s="391"/>
      <c r="Y73" s="391"/>
      <c r="Z73" s="391"/>
    </row>
    <row r="74">
      <c r="A74" s="391"/>
      <c r="B74" s="391"/>
      <c r="C74" s="391"/>
      <c r="D74" s="391"/>
      <c r="E74" s="391"/>
      <c r="F74" s="391"/>
      <c r="G74" s="391"/>
      <c r="H74" s="391"/>
      <c r="I74" s="391"/>
      <c r="J74" s="391"/>
      <c r="K74" s="391"/>
      <c r="L74" s="391"/>
      <c r="M74" s="391"/>
      <c r="N74" s="391"/>
      <c r="O74" s="391"/>
      <c r="P74" s="391"/>
      <c r="Q74" s="391"/>
      <c r="R74" s="391"/>
      <c r="S74" s="391"/>
      <c r="T74" s="391"/>
      <c r="U74" s="391"/>
      <c r="V74" s="391"/>
      <c r="W74" s="391"/>
      <c r="X74" s="391"/>
      <c r="Y74" s="391"/>
      <c r="Z74" s="391"/>
    </row>
    <row r="75">
      <c r="A75" s="391"/>
      <c r="B75" s="391"/>
      <c r="C75" s="391"/>
      <c r="D75" s="391"/>
      <c r="E75" s="391"/>
      <c r="F75" s="391"/>
      <c r="G75" s="391"/>
      <c r="H75" s="391"/>
      <c r="I75" s="391"/>
      <c r="J75" s="391"/>
      <c r="K75" s="391"/>
      <c r="L75" s="391"/>
      <c r="M75" s="391"/>
      <c r="N75" s="391"/>
      <c r="O75" s="391"/>
      <c r="P75" s="391"/>
      <c r="Q75" s="391"/>
      <c r="R75" s="391"/>
      <c r="S75" s="391"/>
      <c r="T75" s="391"/>
      <c r="U75" s="391"/>
      <c r="V75" s="391"/>
      <c r="W75" s="391"/>
      <c r="X75" s="391"/>
      <c r="Y75" s="391"/>
      <c r="Z75" s="391"/>
    </row>
    <row r="76">
      <c r="A76" s="391"/>
      <c r="B76" s="391"/>
      <c r="C76" s="391"/>
      <c r="D76" s="391"/>
      <c r="E76" s="391"/>
      <c r="F76" s="391"/>
      <c r="G76" s="391"/>
      <c r="H76" s="391"/>
      <c r="I76" s="391"/>
      <c r="J76" s="391"/>
      <c r="K76" s="391"/>
      <c r="L76" s="391"/>
      <c r="M76" s="391"/>
      <c r="N76" s="391"/>
      <c r="O76" s="391"/>
      <c r="P76" s="391"/>
      <c r="Q76" s="391"/>
      <c r="R76" s="391"/>
      <c r="S76" s="391"/>
      <c r="T76" s="391"/>
      <c r="U76" s="391"/>
      <c r="V76" s="391"/>
      <c r="W76" s="391"/>
      <c r="X76" s="391"/>
      <c r="Y76" s="391"/>
      <c r="Z76" s="391"/>
    </row>
    <row r="77">
      <c r="A77" s="391"/>
      <c r="B77" s="391"/>
      <c r="C77" s="391"/>
      <c r="D77" s="391"/>
      <c r="E77" s="391"/>
      <c r="F77" s="391"/>
      <c r="G77" s="391"/>
      <c r="H77" s="391"/>
      <c r="I77" s="391"/>
      <c r="J77" s="391"/>
      <c r="K77" s="391"/>
      <c r="L77" s="391"/>
      <c r="M77" s="391"/>
      <c r="N77" s="391"/>
      <c r="O77" s="391"/>
      <c r="P77" s="391"/>
      <c r="Q77" s="391"/>
      <c r="R77" s="391"/>
      <c r="S77" s="391"/>
      <c r="T77" s="391"/>
      <c r="U77" s="391"/>
      <c r="V77" s="391"/>
      <c r="W77" s="391"/>
      <c r="X77" s="391"/>
      <c r="Y77" s="391"/>
      <c r="Z77" s="391"/>
    </row>
    <row r="78">
      <c r="A78" s="391"/>
      <c r="B78" s="391"/>
      <c r="C78" s="391"/>
      <c r="D78" s="391"/>
      <c r="E78" s="391"/>
      <c r="F78" s="391"/>
      <c r="G78" s="391"/>
      <c r="H78" s="391"/>
      <c r="I78" s="391"/>
      <c r="J78" s="391"/>
      <c r="K78" s="391"/>
      <c r="L78" s="391"/>
      <c r="M78" s="391"/>
      <c r="N78" s="391"/>
      <c r="O78" s="391"/>
      <c r="P78" s="391"/>
      <c r="Q78" s="391"/>
      <c r="R78" s="391"/>
      <c r="S78" s="391"/>
      <c r="T78" s="391"/>
      <c r="U78" s="391"/>
      <c r="V78" s="391"/>
      <c r="W78" s="391"/>
      <c r="X78" s="391"/>
      <c r="Y78" s="391"/>
      <c r="Z78" s="391"/>
    </row>
    <row r="79">
      <c r="A79" s="391"/>
      <c r="B79" s="391"/>
      <c r="C79" s="391"/>
      <c r="D79" s="391"/>
      <c r="E79" s="391"/>
      <c r="F79" s="391"/>
      <c r="G79" s="391"/>
      <c r="H79" s="391"/>
      <c r="I79" s="391"/>
      <c r="J79" s="391"/>
      <c r="K79" s="391"/>
      <c r="L79" s="391"/>
      <c r="M79" s="391"/>
      <c r="N79" s="391"/>
      <c r="O79" s="391"/>
      <c r="P79" s="391"/>
      <c r="Q79" s="391"/>
      <c r="R79" s="391"/>
      <c r="S79" s="391"/>
      <c r="T79" s="391"/>
      <c r="U79" s="391"/>
      <c r="V79" s="391"/>
      <c r="W79" s="391"/>
      <c r="X79" s="391"/>
      <c r="Y79" s="391"/>
      <c r="Z79" s="391"/>
    </row>
    <row r="80">
      <c r="A80" s="391"/>
      <c r="B80" s="391"/>
      <c r="C80" s="391"/>
      <c r="D80" s="391"/>
      <c r="E80" s="391"/>
      <c r="F80" s="391"/>
      <c r="G80" s="391"/>
      <c r="H80" s="391"/>
      <c r="I80" s="391"/>
      <c r="J80" s="391"/>
      <c r="K80" s="391"/>
      <c r="L80" s="391"/>
      <c r="M80" s="391"/>
      <c r="N80" s="391"/>
      <c r="O80" s="391"/>
      <c r="P80" s="391"/>
      <c r="Q80" s="391"/>
      <c r="R80" s="391"/>
      <c r="S80" s="391"/>
      <c r="T80" s="391"/>
      <c r="U80" s="391"/>
      <c r="V80" s="391"/>
      <c r="W80" s="391"/>
      <c r="X80" s="391"/>
      <c r="Y80" s="391"/>
      <c r="Z80" s="391"/>
    </row>
    <row r="81">
      <c r="A81" s="391"/>
      <c r="B81" s="391"/>
      <c r="C81" s="391"/>
      <c r="D81" s="391"/>
      <c r="E81" s="391"/>
      <c r="F81" s="391"/>
      <c r="G81" s="391"/>
      <c r="H81" s="391"/>
      <c r="I81" s="391"/>
      <c r="J81" s="391"/>
      <c r="K81" s="391"/>
      <c r="L81" s="391"/>
      <c r="M81" s="391"/>
      <c r="N81" s="391"/>
      <c r="O81" s="391"/>
      <c r="P81" s="391"/>
      <c r="Q81" s="391"/>
      <c r="R81" s="391"/>
      <c r="S81" s="391"/>
      <c r="T81" s="391"/>
      <c r="U81" s="391"/>
      <c r="V81" s="391"/>
      <c r="W81" s="391"/>
      <c r="X81" s="391"/>
      <c r="Y81" s="391"/>
      <c r="Z81" s="391"/>
    </row>
    <row r="82">
      <c r="A82" s="391"/>
      <c r="B82" s="391"/>
      <c r="C82" s="391"/>
      <c r="D82" s="391"/>
      <c r="E82" s="391"/>
      <c r="F82" s="391"/>
      <c r="G82" s="391"/>
      <c r="H82" s="391"/>
      <c r="I82" s="391"/>
      <c r="J82" s="391"/>
      <c r="K82" s="391"/>
      <c r="L82" s="391"/>
      <c r="M82" s="391"/>
      <c r="N82" s="391"/>
      <c r="O82" s="391"/>
      <c r="P82" s="391"/>
      <c r="Q82" s="391"/>
      <c r="R82" s="391"/>
      <c r="S82" s="391"/>
      <c r="T82" s="391"/>
      <c r="U82" s="391"/>
      <c r="V82" s="391"/>
      <c r="W82" s="391"/>
      <c r="X82" s="391"/>
      <c r="Y82" s="391"/>
      <c r="Z82" s="391"/>
    </row>
    <row r="83">
      <c r="A83" s="391"/>
      <c r="B83" s="391"/>
      <c r="C83" s="391"/>
      <c r="D83" s="391"/>
      <c r="E83" s="391"/>
      <c r="F83" s="391"/>
      <c r="G83" s="391"/>
      <c r="H83" s="391"/>
      <c r="I83" s="391"/>
      <c r="J83" s="391"/>
      <c r="K83" s="391"/>
      <c r="L83" s="391"/>
      <c r="M83" s="391"/>
      <c r="N83" s="391"/>
      <c r="O83" s="391"/>
      <c r="P83" s="391"/>
      <c r="Q83" s="391"/>
      <c r="R83" s="391"/>
      <c r="S83" s="391"/>
      <c r="T83" s="391"/>
      <c r="U83" s="391"/>
      <c r="V83" s="391"/>
      <c r="W83" s="391"/>
      <c r="X83" s="391"/>
      <c r="Y83" s="391"/>
      <c r="Z83" s="391"/>
    </row>
    <row r="84">
      <c r="A84" s="391"/>
      <c r="B84" s="391"/>
      <c r="C84" s="391"/>
      <c r="D84" s="391"/>
      <c r="E84" s="391"/>
      <c r="F84" s="391"/>
      <c r="G84" s="391"/>
      <c r="H84" s="391"/>
      <c r="I84" s="391"/>
      <c r="J84" s="391"/>
      <c r="K84" s="391"/>
      <c r="L84" s="391"/>
      <c r="M84" s="391"/>
      <c r="N84" s="391"/>
      <c r="O84" s="391"/>
      <c r="P84" s="391"/>
      <c r="Q84" s="391"/>
      <c r="R84" s="391"/>
      <c r="S84" s="391"/>
      <c r="T84" s="391"/>
      <c r="U84" s="391"/>
      <c r="V84" s="391"/>
      <c r="W84" s="391"/>
      <c r="X84" s="391"/>
      <c r="Y84" s="391"/>
      <c r="Z84" s="391"/>
    </row>
    <row r="85">
      <c r="A85" s="391"/>
      <c r="B85" s="391"/>
      <c r="C85" s="391"/>
      <c r="D85" s="391"/>
      <c r="E85" s="391"/>
      <c r="F85" s="391"/>
      <c r="G85" s="391"/>
      <c r="H85" s="391"/>
      <c r="I85" s="391"/>
      <c r="J85" s="391"/>
      <c r="K85" s="391"/>
      <c r="L85" s="391"/>
      <c r="M85" s="391"/>
      <c r="N85" s="391"/>
      <c r="O85" s="391"/>
      <c r="P85" s="391"/>
      <c r="Q85" s="391"/>
      <c r="R85" s="391"/>
      <c r="S85" s="391"/>
      <c r="T85" s="391"/>
      <c r="U85" s="391"/>
      <c r="V85" s="391"/>
      <c r="W85" s="391"/>
      <c r="X85" s="391"/>
      <c r="Y85" s="391"/>
      <c r="Z85" s="391"/>
    </row>
    <row r="86">
      <c r="A86" s="391"/>
      <c r="B86" s="391"/>
      <c r="C86" s="391"/>
      <c r="D86" s="391"/>
      <c r="E86" s="391"/>
      <c r="F86" s="391"/>
      <c r="G86" s="391"/>
      <c r="H86" s="391"/>
      <c r="I86" s="391"/>
      <c r="J86" s="391"/>
      <c r="K86" s="391"/>
      <c r="L86" s="391"/>
      <c r="M86" s="391"/>
      <c r="N86" s="391"/>
      <c r="O86" s="391"/>
      <c r="P86" s="391"/>
      <c r="Q86" s="391"/>
      <c r="R86" s="391"/>
      <c r="S86" s="391"/>
      <c r="T86" s="391"/>
      <c r="U86" s="391"/>
      <c r="V86" s="391"/>
      <c r="W86" s="391"/>
      <c r="X86" s="391"/>
      <c r="Y86" s="391"/>
      <c r="Z86" s="391"/>
    </row>
    <row r="87">
      <c r="A87" s="391"/>
      <c r="B87" s="391"/>
      <c r="C87" s="391"/>
      <c r="D87" s="391"/>
      <c r="E87" s="391"/>
      <c r="F87" s="391"/>
      <c r="G87" s="391"/>
      <c r="H87" s="391"/>
      <c r="I87" s="391"/>
      <c r="J87" s="391"/>
      <c r="K87" s="391"/>
      <c r="L87" s="391"/>
      <c r="M87" s="391"/>
      <c r="N87" s="391"/>
      <c r="O87" s="391"/>
      <c r="P87" s="391"/>
      <c r="Q87" s="391"/>
      <c r="R87" s="391"/>
      <c r="S87" s="391"/>
      <c r="T87" s="391"/>
      <c r="U87" s="391"/>
      <c r="V87" s="391"/>
      <c r="W87" s="391"/>
      <c r="X87" s="391"/>
      <c r="Y87" s="391"/>
      <c r="Z87" s="391"/>
    </row>
    <row r="88">
      <c r="A88" s="391"/>
      <c r="B88" s="391"/>
      <c r="C88" s="391"/>
      <c r="D88" s="391"/>
      <c r="E88" s="391"/>
      <c r="F88" s="391"/>
      <c r="G88" s="391"/>
      <c r="H88" s="391"/>
      <c r="I88" s="391"/>
      <c r="J88" s="391"/>
      <c r="K88" s="391"/>
      <c r="L88" s="391"/>
      <c r="M88" s="391"/>
      <c r="N88" s="391"/>
      <c r="O88" s="391"/>
      <c r="P88" s="391"/>
      <c r="Q88" s="391"/>
      <c r="R88" s="391"/>
      <c r="S88" s="391"/>
      <c r="T88" s="391"/>
      <c r="U88" s="391"/>
      <c r="V88" s="391"/>
      <c r="W88" s="391"/>
      <c r="X88" s="391"/>
      <c r="Y88" s="391"/>
      <c r="Z88" s="391"/>
    </row>
    <row r="89">
      <c r="A89" s="391"/>
      <c r="B89" s="391"/>
      <c r="C89" s="391"/>
      <c r="D89" s="391"/>
      <c r="E89" s="391"/>
      <c r="F89" s="391"/>
      <c r="G89" s="391"/>
      <c r="H89" s="391"/>
      <c r="I89" s="391"/>
      <c r="J89" s="391"/>
      <c r="K89" s="391"/>
      <c r="L89" s="391"/>
      <c r="M89" s="391"/>
      <c r="N89" s="391"/>
      <c r="O89" s="391"/>
      <c r="P89" s="391"/>
      <c r="Q89" s="391"/>
      <c r="R89" s="391"/>
      <c r="S89" s="391"/>
      <c r="T89" s="391"/>
      <c r="U89" s="391"/>
      <c r="V89" s="391"/>
      <c r="W89" s="391"/>
      <c r="X89" s="391"/>
      <c r="Y89" s="391"/>
      <c r="Z89" s="391"/>
    </row>
    <row r="90">
      <c r="A90" s="391"/>
      <c r="B90" s="391"/>
      <c r="C90" s="391"/>
      <c r="D90" s="391"/>
      <c r="E90" s="391"/>
      <c r="F90" s="391"/>
      <c r="G90" s="391"/>
      <c r="H90" s="391"/>
      <c r="I90" s="391"/>
      <c r="J90" s="391"/>
      <c r="K90" s="391"/>
      <c r="L90" s="391"/>
      <c r="M90" s="391"/>
      <c r="N90" s="391"/>
      <c r="O90" s="391"/>
      <c r="P90" s="391"/>
      <c r="Q90" s="391"/>
      <c r="R90" s="391"/>
      <c r="S90" s="391"/>
      <c r="T90" s="391"/>
      <c r="U90" s="391"/>
      <c r="V90" s="391"/>
      <c r="W90" s="391"/>
      <c r="X90" s="391"/>
      <c r="Y90" s="391"/>
      <c r="Z90" s="391"/>
    </row>
    <row r="91">
      <c r="A91" s="391"/>
      <c r="B91" s="391"/>
      <c r="C91" s="391"/>
      <c r="D91" s="391"/>
      <c r="E91" s="391"/>
      <c r="F91" s="391"/>
      <c r="G91" s="391"/>
      <c r="H91" s="391"/>
      <c r="I91" s="391"/>
      <c r="J91" s="391"/>
      <c r="K91" s="391"/>
      <c r="L91" s="391"/>
      <c r="M91" s="391"/>
      <c r="N91" s="391"/>
      <c r="O91" s="391"/>
      <c r="P91" s="391"/>
      <c r="Q91" s="391"/>
      <c r="R91" s="391"/>
      <c r="S91" s="391"/>
      <c r="T91" s="391"/>
      <c r="U91" s="391"/>
      <c r="V91" s="391"/>
      <c r="W91" s="391"/>
      <c r="X91" s="391"/>
      <c r="Y91" s="391"/>
      <c r="Z91" s="391"/>
    </row>
    <row r="92">
      <c r="A92" s="391"/>
      <c r="B92" s="391"/>
      <c r="C92" s="391"/>
      <c r="D92" s="391"/>
      <c r="E92" s="391"/>
      <c r="F92" s="391"/>
      <c r="G92" s="391"/>
      <c r="H92" s="391"/>
      <c r="I92" s="391"/>
      <c r="J92" s="391"/>
      <c r="K92" s="391"/>
      <c r="L92" s="391"/>
      <c r="M92" s="391"/>
      <c r="N92" s="391"/>
      <c r="O92" s="391"/>
      <c r="P92" s="391"/>
      <c r="Q92" s="391"/>
      <c r="R92" s="391"/>
      <c r="S92" s="391"/>
      <c r="T92" s="391"/>
      <c r="U92" s="391"/>
      <c r="V92" s="391"/>
      <c r="W92" s="391"/>
      <c r="X92" s="391"/>
      <c r="Y92" s="391"/>
      <c r="Z92" s="391"/>
    </row>
    <row r="93">
      <c r="A93" s="391"/>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row>
    <row r="94">
      <c r="A94" s="391"/>
      <c r="B94" s="391"/>
      <c r="C94" s="391"/>
      <c r="D94" s="391"/>
      <c r="E94" s="391"/>
      <c r="F94" s="391"/>
      <c r="G94" s="391"/>
      <c r="H94" s="391"/>
      <c r="I94" s="391"/>
      <c r="J94" s="391"/>
      <c r="K94" s="391"/>
      <c r="L94" s="391"/>
      <c r="M94" s="391"/>
      <c r="N94" s="391"/>
      <c r="O94" s="391"/>
      <c r="P94" s="391"/>
      <c r="Q94" s="391"/>
      <c r="R94" s="391"/>
      <c r="S94" s="391"/>
      <c r="T94" s="391"/>
      <c r="U94" s="391"/>
      <c r="V94" s="391"/>
      <c r="W94" s="391"/>
      <c r="X94" s="391"/>
      <c r="Y94" s="391"/>
      <c r="Z94" s="391"/>
    </row>
    <row r="95">
      <c r="A95" s="391"/>
      <c r="B95" s="391"/>
      <c r="C95" s="391"/>
      <c r="D95" s="391"/>
      <c r="E95" s="391"/>
      <c r="F95" s="391"/>
      <c r="G95" s="391"/>
      <c r="H95" s="391"/>
      <c r="I95" s="391"/>
      <c r="J95" s="391"/>
      <c r="K95" s="391"/>
      <c r="L95" s="391"/>
      <c r="M95" s="391"/>
      <c r="N95" s="391"/>
      <c r="O95" s="391"/>
      <c r="P95" s="391"/>
      <c r="Q95" s="391"/>
      <c r="R95" s="391"/>
      <c r="S95" s="391"/>
      <c r="T95" s="391"/>
      <c r="U95" s="391"/>
      <c r="V95" s="391"/>
      <c r="W95" s="391"/>
      <c r="X95" s="391"/>
      <c r="Y95" s="391"/>
      <c r="Z95" s="391"/>
    </row>
    <row r="96">
      <c r="A96" s="391"/>
      <c r="B96" s="391"/>
      <c r="C96" s="391"/>
      <c r="D96" s="391"/>
      <c r="E96" s="391"/>
      <c r="F96" s="391"/>
      <c r="G96" s="391"/>
      <c r="H96" s="391"/>
      <c r="I96" s="391"/>
      <c r="J96" s="391"/>
      <c r="K96" s="391"/>
      <c r="L96" s="391"/>
      <c r="M96" s="391"/>
      <c r="N96" s="391"/>
      <c r="O96" s="391"/>
      <c r="P96" s="391"/>
      <c r="Q96" s="391"/>
      <c r="R96" s="391"/>
      <c r="S96" s="391"/>
      <c r="T96" s="391"/>
      <c r="U96" s="391"/>
      <c r="V96" s="391"/>
      <c r="W96" s="391"/>
      <c r="X96" s="391"/>
      <c r="Y96" s="391"/>
      <c r="Z96" s="391"/>
    </row>
    <row r="97">
      <c r="A97" s="391"/>
      <c r="B97" s="391"/>
      <c r="C97" s="391"/>
      <c r="D97" s="391"/>
      <c r="E97" s="391"/>
      <c r="F97" s="391"/>
      <c r="G97" s="391"/>
      <c r="H97" s="391"/>
      <c r="I97" s="391"/>
      <c r="J97" s="391"/>
      <c r="K97" s="391"/>
      <c r="L97" s="391"/>
      <c r="M97" s="391"/>
      <c r="N97" s="391"/>
      <c r="O97" s="391"/>
      <c r="P97" s="391"/>
      <c r="Q97" s="391"/>
      <c r="R97" s="391"/>
      <c r="S97" s="391"/>
      <c r="T97" s="391"/>
      <c r="U97" s="391"/>
      <c r="V97" s="391"/>
      <c r="W97" s="391"/>
      <c r="X97" s="391"/>
      <c r="Y97" s="391"/>
      <c r="Z97" s="391"/>
    </row>
    <row r="98">
      <c r="A98" s="391"/>
      <c r="B98" s="391"/>
      <c r="C98" s="391"/>
      <c r="D98" s="391"/>
      <c r="E98" s="391"/>
      <c r="F98" s="391"/>
      <c r="G98" s="391"/>
      <c r="H98" s="391"/>
      <c r="I98" s="391"/>
      <c r="J98" s="391"/>
      <c r="K98" s="391"/>
      <c r="L98" s="391"/>
      <c r="M98" s="391"/>
      <c r="N98" s="391"/>
      <c r="O98" s="391"/>
      <c r="P98" s="391"/>
      <c r="Q98" s="391"/>
      <c r="R98" s="391"/>
      <c r="S98" s="391"/>
      <c r="T98" s="391"/>
      <c r="U98" s="391"/>
      <c r="V98" s="391"/>
      <c r="W98" s="391"/>
      <c r="X98" s="391"/>
      <c r="Y98" s="391"/>
      <c r="Z98" s="391"/>
    </row>
    <row r="99">
      <c r="A99" s="391"/>
      <c r="B99" s="391"/>
      <c r="C99" s="391"/>
      <c r="D99" s="391"/>
      <c r="E99" s="391"/>
      <c r="F99" s="391"/>
      <c r="G99" s="391"/>
      <c r="H99" s="391"/>
      <c r="I99" s="391"/>
      <c r="J99" s="391"/>
      <c r="K99" s="391"/>
      <c r="L99" s="391"/>
      <c r="M99" s="391"/>
      <c r="N99" s="391"/>
      <c r="O99" s="391"/>
      <c r="P99" s="391"/>
      <c r="Q99" s="391"/>
      <c r="R99" s="391"/>
      <c r="S99" s="391"/>
      <c r="T99" s="391"/>
      <c r="U99" s="391"/>
      <c r="V99" s="391"/>
      <c r="W99" s="391"/>
      <c r="X99" s="391"/>
      <c r="Y99" s="391"/>
      <c r="Z99" s="391"/>
    </row>
    <row r="100">
      <c r="A100" s="391"/>
      <c r="B100" s="391"/>
      <c r="C100" s="391"/>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row>
    <row r="101">
      <c r="A101" s="391"/>
      <c r="B101" s="391"/>
      <c r="C101" s="391"/>
      <c r="D101" s="391"/>
      <c r="E101" s="391"/>
      <c r="F101" s="391"/>
      <c r="G101" s="391"/>
      <c r="H101" s="391"/>
      <c r="I101" s="391"/>
      <c r="J101" s="391"/>
      <c r="K101" s="391"/>
      <c r="L101" s="391"/>
      <c r="M101" s="391"/>
      <c r="N101" s="391"/>
      <c r="O101" s="391"/>
      <c r="P101" s="391"/>
      <c r="Q101" s="391"/>
      <c r="R101" s="391"/>
      <c r="S101" s="391"/>
      <c r="T101" s="391"/>
      <c r="U101" s="391"/>
      <c r="V101" s="391"/>
      <c r="W101" s="391"/>
      <c r="X101" s="391"/>
      <c r="Y101" s="391"/>
      <c r="Z101" s="391"/>
    </row>
    <row r="102">
      <c r="A102" s="391"/>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row>
    <row r="103">
      <c r="A103" s="391"/>
      <c r="B103" s="391"/>
      <c r="C103" s="391"/>
      <c r="D103" s="391"/>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row>
    <row r="104">
      <c r="A104" s="391"/>
      <c r="B104" s="391"/>
      <c r="C104" s="391"/>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row>
    <row r="105">
      <c r="A105" s="391"/>
      <c r="B105" s="391"/>
      <c r="C105" s="391"/>
      <c r="D105" s="391"/>
      <c r="E105" s="391"/>
      <c r="F105" s="391"/>
      <c r="G105" s="391"/>
      <c r="H105" s="391"/>
      <c r="I105" s="391"/>
      <c r="J105" s="391"/>
      <c r="K105" s="391"/>
      <c r="L105" s="391"/>
      <c r="M105" s="391"/>
      <c r="N105" s="391"/>
      <c r="O105" s="391"/>
      <c r="P105" s="391"/>
      <c r="Q105" s="391"/>
      <c r="R105" s="391"/>
      <c r="S105" s="391"/>
      <c r="T105" s="391"/>
      <c r="U105" s="391"/>
      <c r="V105" s="391"/>
      <c r="W105" s="391"/>
      <c r="X105" s="391"/>
      <c r="Y105" s="391"/>
      <c r="Z105" s="391"/>
    </row>
    <row r="106">
      <c r="A106" s="391"/>
      <c r="B106" s="391"/>
      <c r="C106" s="391"/>
      <c r="D106" s="391"/>
      <c r="E106" s="391"/>
      <c r="F106" s="391"/>
      <c r="G106" s="391"/>
      <c r="H106" s="391"/>
      <c r="I106" s="391"/>
      <c r="J106" s="391"/>
      <c r="K106" s="391"/>
      <c r="L106" s="391"/>
      <c r="M106" s="391"/>
      <c r="N106" s="391"/>
      <c r="O106" s="391"/>
      <c r="P106" s="391"/>
      <c r="Q106" s="391"/>
      <c r="R106" s="391"/>
      <c r="S106" s="391"/>
      <c r="T106" s="391"/>
      <c r="U106" s="391"/>
      <c r="V106" s="391"/>
      <c r="W106" s="391"/>
      <c r="X106" s="391"/>
      <c r="Y106" s="391"/>
      <c r="Z106" s="391"/>
    </row>
    <row r="107">
      <c r="A107" s="391"/>
      <c r="B107" s="391"/>
      <c r="C107" s="391"/>
      <c r="D107" s="391"/>
      <c r="E107" s="391"/>
      <c r="F107" s="391"/>
      <c r="G107" s="391"/>
      <c r="H107" s="391"/>
      <c r="I107" s="391"/>
      <c r="J107" s="391"/>
      <c r="K107" s="391"/>
      <c r="L107" s="391"/>
      <c r="M107" s="391"/>
      <c r="N107" s="391"/>
      <c r="O107" s="391"/>
      <c r="P107" s="391"/>
      <c r="Q107" s="391"/>
      <c r="R107" s="391"/>
      <c r="S107" s="391"/>
      <c r="T107" s="391"/>
      <c r="U107" s="391"/>
      <c r="V107" s="391"/>
      <c r="W107" s="391"/>
      <c r="X107" s="391"/>
      <c r="Y107" s="391"/>
      <c r="Z107" s="391"/>
    </row>
    <row r="108">
      <c r="A108" s="391"/>
      <c r="B108" s="391"/>
      <c r="C108" s="391"/>
      <c r="D108" s="391"/>
      <c r="E108" s="391"/>
      <c r="F108" s="391"/>
      <c r="G108" s="391"/>
      <c r="H108" s="391"/>
      <c r="I108" s="391"/>
      <c r="J108" s="391"/>
      <c r="K108" s="391"/>
      <c r="L108" s="391"/>
      <c r="M108" s="391"/>
      <c r="N108" s="391"/>
      <c r="O108" s="391"/>
      <c r="P108" s="391"/>
      <c r="Q108" s="391"/>
      <c r="R108" s="391"/>
      <c r="S108" s="391"/>
      <c r="T108" s="391"/>
      <c r="U108" s="391"/>
      <c r="V108" s="391"/>
      <c r="W108" s="391"/>
      <c r="X108" s="391"/>
      <c r="Y108" s="391"/>
      <c r="Z108" s="391"/>
    </row>
    <row r="109">
      <c r="A109" s="391"/>
      <c r="B109" s="391"/>
      <c r="C109" s="391"/>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row>
    <row r="110">
      <c r="A110" s="391"/>
      <c r="B110" s="391"/>
      <c r="C110" s="391"/>
      <c r="D110" s="391"/>
      <c r="E110" s="391"/>
      <c r="F110" s="391"/>
      <c r="G110" s="391"/>
      <c r="H110" s="391"/>
      <c r="I110" s="391"/>
      <c r="J110" s="391"/>
      <c r="K110" s="391"/>
      <c r="L110" s="391"/>
      <c r="M110" s="391"/>
      <c r="N110" s="391"/>
      <c r="O110" s="391"/>
      <c r="P110" s="391"/>
      <c r="Q110" s="391"/>
      <c r="R110" s="391"/>
      <c r="S110" s="391"/>
      <c r="T110" s="391"/>
      <c r="U110" s="391"/>
      <c r="V110" s="391"/>
      <c r="W110" s="391"/>
      <c r="X110" s="391"/>
      <c r="Y110" s="391"/>
      <c r="Z110" s="391"/>
    </row>
    <row r="111">
      <c r="A111" s="391"/>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row>
    <row r="112">
      <c r="A112" s="391"/>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row>
    <row r="113">
      <c r="A113" s="391"/>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row>
    <row r="114">
      <c r="A114" s="391"/>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row>
    <row r="115">
      <c r="A115" s="391"/>
      <c r="B115" s="391"/>
      <c r="C115" s="391"/>
      <c r="D115" s="391"/>
      <c r="E115" s="391"/>
      <c r="F115" s="391"/>
      <c r="G115" s="391"/>
      <c r="H115" s="391"/>
      <c r="I115" s="391"/>
      <c r="J115" s="391"/>
      <c r="K115" s="391"/>
      <c r="L115" s="391"/>
      <c r="M115" s="391"/>
      <c r="N115" s="391"/>
      <c r="O115" s="391"/>
      <c r="P115" s="391"/>
      <c r="Q115" s="391"/>
      <c r="R115" s="391"/>
      <c r="S115" s="391"/>
      <c r="T115" s="391"/>
      <c r="U115" s="391"/>
      <c r="V115" s="391"/>
      <c r="W115" s="391"/>
      <c r="X115" s="391"/>
      <c r="Y115" s="391"/>
      <c r="Z115" s="391"/>
    </row>
    <row r="116">
      <c r="A116" s="391"/>
      <c r="B116" s="391"/>
      <c r="C116" s="391"/>
      <c r="D116" s="391"/>
      <c r="E116" s="391"/>
      <c r="F116" s="391"/>
      <c r="G116" s="391"/>
      <c r="H116" s="391"/>
      <c r="I116" s="391"/>
      <c r="J116" s="391"/>
      <c r="K116" s="391"/>
      <c r="L116" s="391"/>
      <c r="M116" s="391"/>
      <c r="N116" s="391"/>
      <c r="O116" s="391"/>
      <c r="P116" s="391"/>
      <c r="Q116" s="391"/>
      <c r="R116" s="391"/>
      <c r="S116" s="391"/>
      <c r="T116" s="391"/>
      <c r="U116" s="391"/>
      <c r="V116" s="391"/>
      <c r="W116" s="391"/>
      <c r="X116" s="391"/>
      <c r="Y116" s="391"/>
      <c r="Z116" s="391"/>
    </row>
    <row r="117">
      <c r="A117" s="391"/>
      <c r="B117" s="391"/>
      <c r="C117" s="391"/>
      <c r="D117" s="391"/>
      <c r="E117" s="391"/>
      <c r="F117" s="391"/>
      <c r="G117" s="391"/>
      <c r="H117" s="391"/>
      <c r="I117" s="391"/>
      <c r="J117" s="391"/>
      <c r="K117" s="391"/>
      <c r="L117" s="391"/>
      <c r="M117" s="391"/>
      <c r="N117" s="391"/>
      <c r="O117" s="391"/>
      <c r="P117" s="391"/>
      <c r="Q117" s="391"/>
      <c r="R117" s="391"/>
      <c r="S117" s="391"/>
      <c r="T117" s="391"/>
      <c r="U117" s="391"/>
      <c r="V117" s="391"/>
      <c r="W117" s="391"/>
      <c r="X117" s="391"/>
      <c r="Y117" s="391"/>
      <c r="Z117" s="391"/>
    </row>
    <row r="118">
      <c r="A118" s="391"/>
      <c r="B118" s="391"/>
      <c r="C118" s="391"/>
      <c r="D118" s="391"/>
      <c r="E118" s="391"/>
      <c r="F118" s="391"/>
      <c r="G118" s="391"/>
      <c r="H118" s="391"/>
      <c r="I118" s="391"/>
      <c r="J118" s="391"/>
      <c r="K118" s="391"/>
      <c r="L118" s="391"/>
      <c r="M118" s="391"/>
      <c r="N118" s="391"/>
      <c r="O118" s="391"/>
      <c r="P118" s="391"/>
      <c r="Q118" s="391"/>
      <c r="R118" s="391"/>
      <c r="S118" s="391"/>
      <c r="T118" s="391"/>
      <c r="U118" s="391"/>
      <c r="V118" s="391"/>
      <c r="W118" s="391"/>
      <c r="X118" s="391"/>
      <c r="Y118" s="391"/>
      <c r="Z118" s="391"/>
    </row>
    <row r="119">
      <c r="A119" s="391"/>
      <c r="B119" s="391"/>
      <c r="C119" s="391"/>
      <c r="D119" s="391"/>
      <c r="E119" s="391"/>
      <c r="F119" s="391"/>
      <c r="G119" s="391"/>
      <c r="H119" s="391"/>
      <c r="I119" s="391"/>
      <c r="J119" s="391"/>
      <c r="K119" s="391"/>
      <c r="L119" s="391"/>
      <c r="M119" s="391"/>
      <c r="N119" s="391"/>
      <c r="O119" s="391"/>
      <c r="P119" s="391"/>
      <c r="Q119" s="391"/>
      <c r="R119" s="391"/>
      <c r="S119" s="391"/>
      <c r="T119" s="391"/>
      <c r="U119" s="391"/>
      <c r="V119" s="391"/>
      <c r="W119" s="391"/>
      <c r="X119" s="391"/>
      <c r="Y119" s="391"/>
      <c r="Z119" s="391"/>
    </row>
    <row r="120">
      <c r="A120" s="391"/>
      <c r="B120" s="391"/>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row>
    <row r="121">
      <c r="A121" s="391"/>
      <c r="B121" s="391"/>
      <c r="C121" s="391"/>
      <c r="D121" s="391"/>
      <c r="E121" s="391"/>
      <c r="F121" s="391"/>
      <c r="G121" s="391"/>
      <c r="H121" s="391"/>
      <c r="I121" s="391"/>
      <c r="J121" s="391"/>
      <c r="K121" s="391"/>
      <c r="L121" s="391"/>
      <c r="M121" s="391"/>
      <c r="N121" s="391"/>
      <c r="O121" s="391"/>
      <c r="P121" s="391"/>
      <c r="Q121" s="391"/>
      <c r="R121" s="391"/>
      <c r="S121" s="391"/>
      <c r="T121" s="391"/>
      <c r="U121" s="391"/>
      <c r="V121" s="391"/>
      <c r="W121" s="391"/>
      <c r="X121" s="391"/>
      <c r="Y121" s="391"/>
      <c r="Z121" s="391"/>
    </row>
    <row r="122">
      <c r="A122" s="391"/>
      <c r="B122" s="391"/>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row>
    <row r="123">
      <c r="A123" s="391"/>
      <c r="B123" s="391"/>
      <c r="C123" s="391"/>
      <c r="D123" s="391"/>
      <c r="E123" s="391"/>
      <c r="F123" s="391"/>
      <c r="G123" s="391"/>
      <c r="H123" s="391"/>
      <c r="I123" s="391"/>
      <c r="J123" s="391"/>
      <c r="K123" s="391"/>
      <c r="L123" s="391"/>
      <c r="M123" s="391"/>
      <c r="N123" s="391"/>
      <c r="O123" s="391"/>
      <c r="P123" s="391"/>
      <c r="Q123" s="391"/>
      <c r="R123" s="391"/>
      <c r="S123" s="391"/>
      <c r="T123" s="391"/>
      <c r="U123" s="391"/>
      <c r="V123" s="391"/>
      <c r="W123" s="391"/>
      <c r="X123" s="391"/>
      <c r="Y123" s="391"/>
      <c r="Z123" s="391"/>
    </row>
    <row r="124">
      <c r="A124" s="391"/>
      <c r="B124" s="391"/>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row>
    <row r="125">
      <c r="A125" s="391"/>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row>
    <row r="126">
      <c r="A126" s="391"/>
      <c r="B126" s="391"/>
      <c r="C126" s="391"/>
      <c r="D126" s="391"/>
      <c r="E126" s="391"/>
      <c r="F126" s="391"/>
      <c r="G126" s="391"/>
      <c r="H126" s="391"/>
      <c r="I126" s="391"/>
      <c r="J126" s="391"/>
      <c r="K126" s="391"/>
      <c r="L126" s="391"/>
      <c r="M126" s="391"/>
      <c r="N126" s="391"/>
      <c r="O126" s="391"/>
      <c r="P126" s="391"/>
      <c r="Q126" s="391"/>
      <c r="R126" s="391"/>
      <c r="S126" s="391"/>
      <c r="T126" s="391"/>
      <c r="U126" s="391"/>
      <c r="V126" s="391"/>
      <c r="W126" s="391"/>
      <c r="X126" s="391"/>
      <c r="Y126" s="391"/>
      <c r="Z126" s="391"/>
    </row>
    <row r="127">
      <c r="A127" s="391"/>
      <c r="B127" s="391"/>
      <c r="C127" s="391"/>
      <c r="D127" s="391"/>
      <c r="E127" s="391"/>
      <c r="F127" s="391"/>
      <c r="G127" s="391"/>
      <c r="H127" s="391"/>
      <c r="I127" s="391"/>
      <c r="J127" s="391"/>
      <c r="K127" s="391"/>
      <c r="L127" s="391"/>
      <c r="M127" s="391"/>
      <c r="N127" s="391"/>
      <c r="O127" s="391"/>
      <c r="P127" s="391"/>
      <c r="Q127" s="391"/>
      <c r="R127" s="391"/>
      <c r="S127" s="391"/>
      <c r="T127" s="391"/>
      <c r="U127" s="391"/>
      <c r="V127" s="391"/>
      <c r="W127" s="391"/>
      <c r="X127" s="391"/>
      <c r="Y127" s="391"/>
      <c r="Z127" s="391"/>
    </row>
    <row r="128">
      <c r="A128" s="391"/>
      <c r="B128" s="391"/>
      <c r="C128" s="391"/>
      <c r="D128" s="391"/>
      <c r="E128" s="391"/>
      <c r="F128" s="391"/>
      <c r="G128" s="391"/>
      <c r="H128" s="391"/>
      <c r="I128" s="391"/>
      <c r="J128" s="391"/>
      <c r="K128" s="391"/>
      <c r="L128" s="391"/>
      <c r="M128" s="391"/>
      <c r="N128" s="391"/>
      <c r="O128" s="391"/>
      <c r="P128" s="391"/>
      <c r="Q128" s="391"/>
      <c r="R128" s="391"/>
      <c r="S128" s="391"/>
      <c r="T128" s="391"/>
      <c r="U128" s="391"/>
      <c r="V128" s="391"/>
      <c r="W128" s="391"/>
      <c r="X128" s="391"/>
      <c r="Y128" s="391"/>
      <c r="Z128" s="391"/>
    </row>
    <row r="129">
      <c r="A129" s="391"/>
      <c r="B129" s="391"/>
      <c r="C129" s="391"/>
      <c r="D129" s="391"/>
      <c r="E129" s="391"/>
      <c r="F129" s="391"/>
      <c r="G129" s="391"/>
      <c r="H129" s="391"/>
      <c r="I129" s="391"/>
      <c r="J129" s="391"/>
      <c r="K129" s="391"/>
      <c r="L129" s="391"/>
      <c r="M129" s="391"/>
      <c r="N129" s="391"/>
      <c r="O129" s="391"/>
      <c r="P129" s="391"/>
      <c r="Q129" s="391"/>
      <c r="R129" s="391"/>
      <c r="S129" s="391"/>
      <c r="T129" s="391"/>
      <c r="U129" s="391"/>
      <c r="V129" s="391"/>
      <c r="W129" s="391"/>
      <c r="X129" s="391"/>
      <c r="Y129" s="391"/>
      <c r="Z129" s="391"/>
    </row>
    <row r="130">
      <c r="A130" s="391"/>
      <c r="B130" s="391"/>
      <c r="C130" s="391"/>
      <c r="D130" s="391"/>
      <c r="E130" s="391"/>
      <c r="F130" s="391"/>
      <c r="G130" s="391"/>
      <c r="H130" s="391"/>
      <c r="I130" s="391"/>
      <c r="J130" s="391"/>
      <c r="K130" s="391"/>
      <c r="L130" s="391"/>
      <c r="M130" s="391"/>
      <c r="N130" s="391"/>
      <c r="O130" s="391"/>
      <c r="P130" s="391"/>
      <c r="Q130" s="391"/>
      <c r="R130" s="391"/>
      <c r="S130" s="391"/>
      <c r="T130" s="391"/>
      <c r="U130" s="391"/>
      <c r="V130" s="391"/>
      <c r="W130" s="391"/>
      <c r="X130" s="391"/>
      <c r="Y130" s="391"/>
      <c r="Z130" s="391"/>
    </row>
    <row r="131">
      <c r="A131" s="391"/>
      <c r="B131" s="391"/>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row>
    <row r="132">
      <c r="A132" s="391"/>
      <c r="B132" s="391"/>
      <c r="C132" s="391"/>
      <c r="D132" s="391"/>
      <c r="E132" s="391"/>
      <c r="F132" s="391"/>
      <c r="G132" s="391"/>
      <c r="H132" s="391"/>
      <c r="I132" s="391"/>
      <c r="J132" s="391"/>
      <c r="K132" s="391"/>
      <c r="L132" s="391"/>
      <c r="M132" s="391"/>
      <c r="N132" s="391"/>
      <c r="O132" s="391"/>
      <c r="P132" s="391"/>
      <c r="Q132" s="391"/>
      <c r="R132" s="391"/>
      <c r="S132" s="391"/>
      <c r="T132" s="391"/>
      <c r="U132" s="391"/>
      <c r="V132" s="391"/>
      <c r="W132" s="391"/>
      <c r="X132" s="391"/>
      <c r="Y132" s="391"/>
      <c r="Z132" s="391"/>
    </row>
    <row r="133">
      <c r="A133" s="391"/>
      <c r="B133" s="391"/>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row>
    <row r="134">
      <c r="A134" s="391"/>
      <c r="B134" s="391"/>
      <c r="C134" s="391"/>
      <c r="D134" s="391"/>
      <c r="E134" s="391"/>
      <c r="F134" s="391"/>
      <c r="G134" s="391"/>
      <c r="H134" s="391"/>
      <c r="I134" s="391"/>
      <c r="J134" s="391"/>
      <c r="K134" s="391"/>
      <c r="L134" s="391"/>
      <c r="M134" s="391"/>
      <c r="N134" s="391"/>
      <c r="O134" s="391"/>
      <c r="P134" s="391"/>
      <c r="Q134" s="391"/>
      <c r="R134" s="391"/>
      <c r="S134" s="391"/>
      <c r="T134" s="391"/>
      <c r="U134" s="391"/>
      <c r="V134" s="391"/>
      <c r="W134" s="391"/>
      <c r="X134" s="391"/>
      <c r="Y134" s="391"/>
      <c r="Z134" s="391"/>
    </row>
    <row r="135">
      <c r="A135" s="391"/>
      <c r="B135" s="391"/>
      <c r="C135" s="391"/>
      <c r="D135" s="391"/>
      <c r="E135" s="391"/>
      <c r="F135" s="391"/>
      <c r="G135" s="391"/>
      <c r="H135" s="391"/>
      <c r="I135" s="391"/>
      <c r="J135" s="391"/>
      <c r="K135" s="391"/>
      <c r="L135" s="391"/>
      <c r="M135" s="391"/>
      <c r="N135" s="391"/>
      <c r="O135" s="391"/>
      <c r="P135" s="391"/>
      <c r="Q135" s="391"/>
      <c r="R135" s="391"/>
      <c r="S135" s="391"/>
      <c r="T135" s="391"/>
      <c r="U135" s="391"/>
      <c r="V135" s="391"/>
      <c r="W135" s="391"/>
      <c r="X135" s="391"/>
      <c r="Y135" s="391"/>
      <c r="Z135" s="391"/>
    </row>
    <row r="136">
      <c r="A136" s="391"/>
      <c r="B136" s="391"/>
      <c r="C136" s="391"/>
      <c r="D136" s="391"/>
      <c r="E136" s="391"/>
      <c r="F136" s="391"/>
      <c r="G136" s="391"/>
      <c r="H136" s="391"/>
      <c r="I136" s="391"/>
      <c r="J136" s="391"/>
      <c r="K136" s="391"/>
      <c r="L136" s="391"/>
      <c r="M136" s="391"/>
      <c r="N136" s="391"/>
      <c r="O136" s="391"/>
      <c r="P136" s="391"/>
      <c r="Q136" s="391"/>
      <c r="R136" s="391"/>
      <c r="S136" s="391"/>
      <c r="T136" s="391"/>
      <c r="U136" s="391"/>
      <c r="V136" s="391"/>
      <c r="W136" s="391"/>
      <c r="X136" s="391"/>
      <c r="Y136" s="391"/>
      <c r="Z136" s="391"/>
    </row>
    <row r="137">
      <c r="A137" s="391"/>
      <c r="B137" s="391"/>
      <c r="C137" s="391"/>
      <c r="D137" s="391"/>
      <c r="E137" s="391"/>
      <c r="F137" s="391"/>
      <c r="G137" s="391"/>
      <c r="H137" s="391"/>
      <c r="I137" s="391"/>
      <c r="J137" s="391"/>
      <c r="K137" s="391"/>
      <c r="L137" s="391"/>
      <c r="M137" s="391"/>
      <c r="N137" s="391"/>
      <c r="O137" s="391"/>
      <c r="P137" s="391"/>
      <c r="Q137" s="391"/>
      <c r="R137" s="391"/>
      <c r="S137" s="391"/>
      <c r="T137" s="391"/>
      <c r="U137" s="391"/>
      <c r="V137" s="391"/>
      <c r="W137" s="391"/>
      <c r="X137" s="391"/>
      <c r="Y137" s="391"/>
      <c r="Z137" s="391"/>
    </row>
    <row r="138">
      <c r="A138" s="391"/>
      <c r="B138" s="391"/>
      <c r="C138" s="391"/>
      <c r="D138" s="391"/>
      <c r="E138" s="391"/>
      <c r="F138" s="391"/>
      <c r="G138" s="391"/>
      <c r="H138" s="391"/>
      <c r="I138" s="391"/>
      <c r="J138" s="391"/>
      <c r="K138" s="391"/>
      <c r="L138" s="391"/>
      <c r="M138" s="391"/>
      <c r="N138" s="391"/>
      <c r="O138" s="391"/>
      <c r="P138" s="391"/>
      <c r="Q138" s="391"/>
      <c r="R138" s="391"/>
      <c r="S138" s="391"/>
      <c r="T138" s="391"/>
      <c r="U138" s="391"/>
      <c r="V138" s="391"/>
      <c r="W138" s="391"/>
      <c r="X138" s="391"/>
      <c r="Y138" s="391"/>
      <c r="Z138" s="391"/>
    </row>
    <row r="139">
      <c r="A139" s="391"/>
      <c r="B139" s="391"/>
      <c r="C139" s="391"/>
      <c r="D139" s="391"/>
      <c r="E139" s="391"/>
      <c r="F139" s="391"/>
      <c r="G139" s="391"/>
      <c r="H139" s="391"/>
      <c r="I139" s="391"/>
      <c r="J139" s="391"/>
      <c r="K139" s="391"/>
      <c r="L139" s="391"/>
      <c r="M139" s="391"/>
      <c r="N139" s="391"/>
      <c r="O139" s="391"/>
      <c r="P139" s="391"/>
      <c r="Q139" s="391"/>
      <c r="R139" s="391"/>
      <c r="S139" s="391"/>
      <c r="T139" s="391"/>
      <c r="U139" s="391"/>
      <c r="V139" s="391"/>
      <c r="W139" s="391"/>
      <c r="X139" s="391"/>
      <c r="Y139" s="391"/>
      <c r="Z139" s="391"/>
    </row>
    <row r="140">
      <c r="A140" s="391"/>
      <c r="B140" s="391"/>
      <c r="C140" s="391"/>
      <c r="D140" s="391"/>
      <c r="E140" s="391"/>
      <c r="F140" s="391"/>
      <c r="G140" s="391"/>
      <c r="H140" s="391"/>
      <c r="I140" s="391"/>
      <c r="J140" s="391"/>
      <c r="K140" s="391"/>
      <c r="L140" s="391"/>
      <c r="M140" s="391"/>
      <c r="N140" s="391"/>
      <c r="O140" s="391"/>
      <c r="P140" s="391"/>
      <c r="Q140" s="391"/>
      <c r="R140" s="391"/>
      <c r="S140" s="391"/>
      <c r="T140" s="391"/>
      <c r="U140" s="391"/>
      <c r="V140" s="391"/>
      <c r="W140" s="391"/>
      <c r="X140" s="391"/>
      <c r="Y140" s="391"/>
      <c r="Z140" s="391"/>
    </row>
    <row r="141">
      <c r="A141" s="391"/>
      <c r="B141" s="391"/>
      <c r="C141" s="391"/>
      <c r="D141" s="391"/>
      <c r="E141" s="391"/>
      <c r="F141" s="391"/>
      <c r="G141" s="391"/>
      <c r="H141" s="391"/>
      <c r="I141" s="391"/>
      <c r="J141" s="391"/>
      <c r="K141" s="391"/>
      <c r="L141" s="391"/>
      <c r="M141" s="391"/>
      <c r="N141" s="391"/>
      <c r="O141" s="391"/>
      <c r="P141" s="391"/>
      <c r="Q141" s="391"/>
      <c r="R141" s="391"/>
      <c r="S141" s="391"/>
      <c r="T141" s="391"/>
      <c r="U141" s="391"/>
      <c r="V141" s="391"/>
      <c r="W141" s="391"/>
      <c r="X141" s="391"/>
      <c r="Y141" s="391"/>
      <c r="Z141" s="391"/>
    </row>
    <row r="142">
      <c r="A142" s="391"/>
      <c r="B142" s="391"/>
      <c r="C142" s="391"/>
      <c r="D142" s="391"/>
      <c r="E142" s="391"/>
      <c r="F142" s="391"/>
      <c r="G142" s="391"/>
      <c r="H142" s="391"/>
      <c r="I142" s="391"/>
      <c r="J142" s="391"/>
      <c r="K142" s="391"/>
      <c r="L142" s="391"/>
      <c r="M142" s="391"/>
      <c r="N142" s="391"/>
      <c r="O142" s="391"/>
      <c r="P142" s="391"/>
      <c r="Q142" s="391"/>
      <c r="R142" s="391"/>
      <c r="S142" s="391"/>
      <c r="T142" s="391"/>
      <c r="U142" s="391"/>
      <c r="V142" s="391"/>
      <c r="W142" s="391"/>
      <c r="X142" s="391"/>
      <c r="Y142" s="391"/>
      <c r="Z142" s="391"/>
    </row>
    <row r="143">
      <c r="A143" s="391"/>
      <c r="B143" s="391"/>
      <c r="C143" s="391"/>
      <c r="D143" s="391"/>
      <c r="E143" s="391"/>
      <c r="F143" s="391"/>
      <c r="G143" s="391"/>
      <c r="H143" s="391"/>
      <c r="I143" s="391"/>
      <c r="J143" s="391"/>
      <c r="K143" s="391"/>
      <c r="L143" s="391"/>
      <c r="M143" s="391"/>
      <c r="N143" s="391"/>
      <c r="O143" s="391"/>
      <c r="P143" s="391"/>
      <c r="Q143" s="391"/>
      <c r="R143" s="391"/>
      <c r="S143" s="391"/>
      <c r="T143" s="391"/>
      <c r="U143" s="391"/>
      <c r="V143" s="391"/>
      <c r="W143" s="391"/>
      <c r="X143" s="391"/>
      <c r="Y143" s="391"/>
      <c r="Z143" s="391"/>
    </row>
    <row r="144">
      <c r="A144" s="391"/>
      <c r="B144" s="391"/>
      <c r="C144" s="391"/>
      <c r="D144" s="391"/>
      <c r="E144" s="391"/>
      <c r="F144" s="391"/>
      <c r="G144" s="391"/>
      <c r="H144" s="391"/>
      <c r="I144" s="391"/>
      <c r="J144" s="391"/>
      <c r="K144" s="391"/>
      <c r="L144" s="391"/>
      <c r="M144" s="391"/>
      <c r="N144" s="391"/>
      <c r="O144" s="391"/>
      <c r="P144" s="391"/>
      <c r="Q144" s="391"/>
      <c r="R144" s="391"/>
      <c r="S144" s="391"/>
      <c r="T144" s="391"/>
      <c r="U144" s="391"/>
      <c r="V144" s="391"/>
      <c r="W144" s="391"/>
      <c r="X144" s="391"/>
      <c r="Y144" s="391"/>
      <c r="Z144" s="391"/>
    </row>
    <row r="145">
      <c r="A145" s="391"/>
      <c r="B145" s="391"/>
      <c r="C145" s="391"/>
      <c r="D145" s="391"/>
      <c r="E145" s="391"/>
      <c r="F145" s="391"/>
      <c r="G145" s="391"/>
      <c r="H145" s="391"/>
      <c r="I145" s="391"/>
      <c r="J145" s="391"/>
      <c r="K145" s="391"/>
      <c r="L145" s="391"/>
      <c r="M145" s="391"/>
      <c r="N145" s="391"/>
      <c r="O145" s="391"/>
      <c r="P145" s="391"/>
      <c r="Q145" s="391"/>
      <c r="R145" s="391"/>
      <c r="S145" s="391"/>
      <c r="T145" s="391"/>
      <c r="U145" s="391"/>
      <c r="V145" s="391"/>
      <c r="W145" s="391"/>
      <c r="X145" s="391"/>
      <c r="Y145" s="391"/>
      <c r="Z145" s="391"/>
    </row>
    <row r="146">
      <c r="A146" s="391"/>
      <c r="B146" s="391"/>
      <c r="C146" s="391"/>
      <c r="D146" s="391"/>
      <c r="E146" s="391"/>
      <c r="F146" s="391"/>
      <c r="G146" s="391"/>
      <c r="H146" s="391"/>
      <c r="I146" s="391"/>
      <c r="J146" s="391"/>
      <c r="K146" s="391"/>
      <c r="L146" s="391"/>
      <c r="M146" s="391"/>
      <c r="N146" s="391"/>
      <c r="O146" s="391"/>
      <c r="P146" s="391"/>
      <c r="Q146" s="391"/>
      <c r="R146" s="391"/>
      <c r="S146" s="391"/>
      <c r="T146" s="391"/>
      <c r="U146" s="391"/>
      <c r="V146" s="391"/>
      <c r="W146" s="391"/>
      <c r="X146" s="391"/>
      <c r="Y146" s="391"/>
      <c r="Z146" s="391"/>
    </row>
    <row r="147">
      <c r="A147" s="391"/>
      <c r="B147" s="391"/>
      <c r="C147" s="391"/>
      <c r="D147" s="391"/>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row>
    <row r="148">
      <c r="A148" s="391"/>
      <c r="B148" s="391"/>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row>
    <row r="149">
      <c r="A149" s="391"/>
      <c r="B149" s="391"/>
      <c r="C149" s="391"/>
      <c r="D149" s="391"/>
      <c r="E149" s="391"/>
      <c r="F149" s="391"/>
      <c r="G149" s="391"/>
      <c r="H149" s="391"/>
      <c r="I149" s="391"/>
      <c r="J149" s="391"/>
      <c r="K149" s="391"/>
      <c r="L149" s="391"/>
      <c r="M149" s="391"/>
      <c r="N149" s="391"/>
      <c r="O149" s="391"/>
      <c r="P149" s="391"/>
      <c r="Q149" s="391"/>
      <c r="R149" s="391"/>
      <c r="S149" s="391"/>
      <c r="T149" s="391"/>
      <c r="U149" s="391"/>
      <c r="V149" s="391"/>
      <c r="W149" s="391"/>
      <c r="X149" s="391"/>
      <c r="Y149" s="391"/>
      <c r="Z149" s="391"/>
    </row>
    <row r="150">
      <c r="A150" s="391"/>
      <c r="B150" s="391"/>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row>
    <row r="151">
      <c r="A151" s="391"/>
      <c r="B151" s="391"/>
      <c r="C151" s="391"/>
      <c r="D151" s="391"/>
      <c r="E151" s="391"/>
      <c r="F151" s="391"/>
      <c r="G151" s="391"/>
      <c r="H151" s="391"/>
      <c r="I151" s="391"/>
      <c r="J151" s="391"/>
      <c r="K151" s="391"/>
      <c r="L151" s="391"/>
      <c r="M151" s="391"/>
      <c r="N151" s="391"/>
      <c r="O151" s="391"/>
      <c r="P151" s="391"/>
      <c r="Q151" s="391"/>
      <c r="R151" s="391"/>
      <c r="S151" s="391"/>
      <c r="T151" s="391"/>
      <c r="U151" s="391"/>
      <c r="V151" s="391"/>
      <c r="W151" s="391"/>
      <c r="X151" s="391"/>
      <c r="Y151" s="391"/>
      <c r="Z151" s="391"/>
    </row>
    <row r="152">
      <c r="A152" s="391"/>
      <c r="B152" s="391"/>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row>
    <row r="153">
      <c r="A153" s="391"/>
      <c r="B153" s="391"/>
      <c r="C153" s="391"/>
      <c r="D153" s="391"/>
      <c r="E153" s="391"/>
      <c r="F153" s="391"/>
      <c r="G153" s="391"/>
      <c r="H153" s="391"/>
      <c r="I153" s="391"/>
      <c r="J153" s="391"/>
      <c r="K153" s="391"/>
      <c r="L153" s="391"/>
      <c r="M153" s="391"/>
      <c r="N153" s="391"/>
      <c r="O153" s="391"/>
      <c r="P153" s="391"/>
      <c r="Q153" s="391"/>
      <c r="R153" s="391"/>
      <c r="S153" s="391"/>
      <c r="T153" s="391"/>
      <c r="U153" s="391"/>
      <c r="V153" s="391"/>
      <c r="W153" s="391"/>
      <c r="X153" s="391"/>
      <c r="Y153" s="391"/>
      <c r="Z153" s="391"/>
    </row>
    <row r="154">
      <c r="A154" s="391"/>
      <c r="B154" s="391"/>
      <c r="C154" s="391"/>
      <c r="D154" s="391"/>
      <c r="E154" s="391"/>
      <c r="F154" s="391"/>
      <c r="G154" s="391"/>
      <c r="H154" s="391"/>
      <c r="I154" s="391"/>
      <c r="J154" s="391"/>
      <c r="K154" s="391"/>
      <c r="L154" s="391"/>
      <c r="M154" s="391"/>
      <c r="N154" s="391"/>
      <c r="O154" s="391"/>
      <c r="P154" s="391"/>
      <c r="Q154" s="391"/>
      <c r="R154" s="391"/>
      <c r="S154" s="391"/>
      <c r="T154" s="391"/>
      <c r="U154" s="391"/>
      <c r="V154" s="391"/>
      <c r="W154" s="391"/>
      <c r="X154" s="391"/>
      <c r="Y154" s="391"/>
      <c r="Z154" s="391"/>
    </row>
    <row r="155">
      <c r="A155" s="391"/>
      <c r="B155" s="391"/>
      <c r="C155" s="391"/>
      <c r="D155" s="391"/>
      <c r="E155" s="391"/>
      <c r="F155" s="391"/>
      <c r="G155" s="391"/>
      <c r="H155" s="391"/>
      <c r="I155" s="391"/>
      <c r="J155" s="391"/>
      <c r="K155" s="391"/>
      <c r="L155" s="391"/>
      <c r="M155" s="391"/>
      <c r="N155" s="391"/>
      <c r="O155" s="391"/>
      <c r="P155" s="391"/>
      <c r="Q155" s="391"/>
      <c r="R155" s="391"/>
      <c r="S155" s="391"/>
      <c r="T155" s="391"/>
      <c r="U155" s="391"/>
      <c r="V155" s="391"/>
      <c r="W155" s="391"/>
      <c r="X155" s="391"/>
      <c r="Y155" s="391"/>
      <c r="Z155" s="391"/>
    </row>
    <row r="156">
      <c r="A156" s="391"/>
      <c r="B156" s="391"/>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row>
    <row r="157">
      <c r="A157" s="391"/>
      <c r="B157" s="391"/>
      <c r="C157" s="391"/>
      <c r="D157" s="391"/>
      <c r="E157" s="391"/>
      <c r="F157" s="391"/>
      <c r="G157" s="391"/>
      <c r="H157" s="391"/>
      <c r="I157" s="391"/>
      <c r="J157" s="391"/>
      <c r="K157" s="391"/>
      <c r="L157" s="391"/>
      <c r="M157" s="391"/>
      <c r="N157" s="391"/>
      <c r="O157" s="391"/>
      <c r="P157" s="391"/>
      <c r="Q157" s="391"/>
      <c r="R157" s="391"/>
      <c r="S157" s="391"/>
      <c r="T157" s="391"/>
      <c r="U157" s="391"/>
      <c r="V157" s="391"/>
      <c r="W157" s="391"/>
      <c r="X157" s="391"/>
      <c r="Y157" s="391"/>
      <c r="Z157" s="391"/>
    </row>
    <row r="158">
      <c r="A158" s="391"/>
      <c r="B158" s="391"/>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row>
    <row r="159">
      <c r="A159" s="391"/>
      <c r="B159" s="391"/>
      <c r="C159" s="391"/>
      <c r="D159" s="391"/>
      <c r="E159" s="391"/>
      <c r="F159" s="391"/>
      <c r="G159" s="391"/>
      <c r="H159" s="391"/>
      <c r="I159" s="391"/>
      <c r="J159" s="391"/>
      <c r="K159" s="391"/>
      <c r="L159" s="391"/>
      <c r="M159" s="391"/>
      <c r="N159" s="391"/>
      <c r="O159" s="391"/>
      <c r="P159" s="391"/>
      <c r="Q159" s="391"/>
      <c r="R159" s="391"/>
      <c r="S159" s="391"/>
      <c r="T159" s="391"/>
      <c r="U159" s="391"/>
      <c r="V159" s="391"/>
      <c r="W159" s="391"/>
      <c r="X159" s="391"/>
      <c r="Y159" s="391"/>
      <c r="Z159" s="391"/>
    </row>
    <row r="160">
      <c r="A160" s="391"/>
      <c r="B160" s="391"/>
      <c r="C160" s="391"/>
      <c r="D160" s="391"/>
      <c r="E160" s="391"/>
      <c r="F160" s="391"/>
      <c r="G160" s="391"/>
      <c r="H160" s="391"/>
      <c r="I160" s="391"/>
      <c r="J160" s="391"/>
      <c r="K160" s="391"/>
      <c r="L160" s="391"/>
      <c r="M160" s="391"/>
      <c r="N160" s="391"/>
      <c r="O160" s="391"/>
      <c r="P160" s="391"/>
      <c r="Q160" s="391"/>
      <c r="R160" s="391"/>
      <c r="S160" s="391"/>
      <c r="T160" s="391"/>
      <c r="U160" s="391"/>
      <c r="V160" s="391"/>
      <c r="W160" s="391"/>
      <c r="X160" s="391"/>
      <c r="Y160" s="391"/>
      <c r="Z160" s="391"/>
    </row>
    <row r="161">
      <c r="A161" s="391"/>
      <c r="B161" s="391"/>
      <c r="C161" s="391"/>
      <c r="D161" s="391"/>
      <c r="E161" s="391"/>
      <c r="F161" s="391"/>
      <c r="G161" s="391"/>
      <c r="H161" s="391"/>
      <c r="I161" s="391"/>
      <c r="J161" s="391"/>
      <c r="K161" s="391"/>
      <c r="L161" s="391"/>
      <c r="M161" s="391"/>
      <c r="N161" s="391"/>
      <c r="O161" s="391"/>
      <c r="P161" s="391"/>
      <c r="Q161" s="391"/>
      <c r="R161" s="391"/>
      <c r="S161" s="391"/>
      <c r="T161" s="391"/>
      <c r="U161" s="391"/>
      <c r="V161" s="391"/>
      <c r="W161" s="391"/>
      <c r="X161" s="391"/>
      <c r="Y161" s="391"/>
      <c r="Z161" s="391"/>
    </row>
    <row r="162">
      <c r="A162" s="391"/>
      <c r="B162" s="391"/>
      <c r="C162" s="391"/>
      <c r="D162" s="391"/>
      <c r="E162" s="391"/>
      <c r="F162" s="391"/>
      <c r="G162" s="391"/>
      <c r="H162" s="391"/>
      <c r="I162" s="391"/>
      <c r="J162" s="391"/>
      <c r="K162" s="391"/>
      <c r="L162" s="391"/>
      <c r="M162" s="391"/>
      <c r="N162" s="391"/>
      <c r="O162" s="391"/>
      <c r="P162" s="391"/>
      <c r="Q162" s="391"/>
      <c r="R162" s="391"/>
      <c r="S162" s="391"/>
      <c r="T162" s="391"/>
      <c r="U162" s="391"/>
      <c r="V162" s="391"/>
      <c r="W162" s="391"/>
      <c r="X162" s="391"/>
      <c r="Y162" s="391"/>
      <c r="Z162" s="391"/>
    </row>
    <row r="163">
      <c r="A163" s="391"/>
      <c r="B163" s="391"/>
      <c r="C163" s="391"/>
      <c r="D163" s="391"/>
      <c r="E163" s="391"/>
      <c r="F163" s="391"/>
      <c r="G163" s="391"/>
      <c r="H163" s="391"/>
      <c r="I163" s="391"/>
      <c r="J163" s="391"/>
      <c r="K163" s="391"/>
      <c r="L163" s="391"/>
      <c r="M163" s="391"/>
      <c r="N163" s="391"/>
      <c r="O163" s="391"/>
      <c r="P163" s="391"/>
      <c r="Q163" s="391"/>
      <c r="R163" s="391"/>
      <c r="S163" s="391"/>
      <c r="T163" s="391"/>
      <c r="U163" s="391"/>
      <c r="V163" s="391"/>
      <c r="W163" s="391"/>
      <c r="X163" s="391"/>
      <c r="Y163" s="391"/>
      <c r="Z163" s="391"/>
    </row>
    <row r="164">
      <c r="A164" s="391"/>
      <c r="B164" s="391"/>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row>
    <row r="165">
      <c r="A165" s="391"/>
      <c r="B165" s="391"/>
      <c r="C165" s="391"/>
      <c r="D165" s="391"/>
      <c r="E165" s="391"/>
      <c r="F165" s="391"/>
      <c r="G165" s="391"/>
      <c r="H165" s="391"/>
      <c r="I165" s="391"/>
      <c r="J165" s="391"/>
      <c r="K165" s="391"/>
      <c r="L165" s="391"/>
      <c r="M165" s="391"/>
      <c r="N165" s="391"/>
      <c r="O165" s="391"/>
      <c r="P165" s="391"/>
      <c r="Q165" s="391"/>
      <c r="R165" s="391"/>
      <c r="S165" s="391"/>
      <c r="T165" s="391"/>
      <c r="U165" s="391"/>
      <c r="V165" s="391"/>
      <c r="W165" s="391"/>
      <c r="X165" s="391"/>
      <c r="Y165" s="391"/>
      <c r="Z165" s="391"/>
    </row>
    <row r="166">
      <c r="A166" s="391"/>
      <c r="B166" s="391"/>
      <c r="C166" s="391"/>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row>
    <row r="167">
      <c r="A167" s="391"/>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row>
    <row r="168">
      <c r="A168" s="391"/>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row>
    <row r="169">
      <c r="A169" s="391"/>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row>
    <row r="170">
      <c r="A170" s="391"/>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row>
    <row r="171">
      <c r="A171" s="391"/>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row>
    <row r="172">
      <c r="A172" s="391"/>
      <c r="B172" s="391"/>
      <c r="C172" s="391"/>
      <c r="D172" s="391"/>
      <c r="E172" s="391"/>
      <c r="F172" s="391"/>
      <c r="G172" s="391"/>
      <c r="H172" s="391"/>
      <c r="I172" s="391"/>
      <c r="J172" s="391"/>
      <c r="K172" s="391"/>
      <c r="L172" s="391"/>
      <c r="M172" s="391"/>
      <c r="N172" s="391"/>
      <c r="O172" s="391"/>
      <c r="P172" s="391"/>
      <c r="Q172" s="391"/>
      <c r="R172" s="391"/>
      <c r="S172" s="391"/>
      <c r="T172" s="391"/>
      <c r="U172" s="391"/>
      <c r="V172" s="391"/>
      <c r="W172" s="391"/>
      <c r="X172" s="391"/>
      <c r="Y172" s="391"/>
      <c r="Z172" s="391"/>
    </row>
    <row r="173">
      <c r="A173" s="391"/>
      <c r="B173" s="391"/>
      <c r="C173" s="391"/>
      <c r="D173" s="391"/>
      <c r="E173" s="391"/>
      <c r="F173" s="391"/>
      <c r="G173" s="391"/>
      <c r="H173" s="391"/>
      <c r="I173" s="391"/>
      <c r="J173" s="391"/>
      <c r="K173" s="391"/>
      <c r="L173" s="391"/>
      <c r="M173" s="391"/>
      <c r="N173" s="391"/>
      <c r="O173" s="391"/>
      <c r="P173" s="391"/>
      <c r="Q173" s="391"/>
      <c r="R173" s="391"/>
      <c r="S173" s="391"/>
      <c r="T173" s="391"/>
      <c r="U173" s="391"/>
      <c r="V173" s="391"/>
      <c r="W173" s="391"/>
      <c r="X173" s="391"/>
      <c r="Y173" s="391"/>
      <c r="Z173" s="391"/>
    </row>
    <row r="174">
      <c r="A174" s="391"/>
      <c r="B174" s="391"/>
      <c r="C174" s="391"/>
      <c r="D174" s="391"/>
      <c r="E174" s="391"/>
      <c r="F174" s="391"/>
      <c r="G174" s="391"/>
      <c r="H174" s="391"/>
      <c r="I174" s="391"/>
      <c r="J174" s="391"/>
      <c r="K174" s="391"/>
      <c r="L174" s="391"/>
      <c r="M174" s="391"/>
      <c r="N174" s="391"/>
      <c r="O174" s="391"/>
      <c r="P174" s="391"/>
      <c r="Q174" s="391"/>
      <c r="R174" s="391"/>
      <c r="S174" s="391"/>
      <c r="T174" s="391"/>
      <c r="U174" s="391"/>
      <c r="V174" s="391"/>
      <c r="W174" s="391"/>
      <c r="X174" s="391"/>
      <c r="Y174" s="391"/>
      <c r="Z174" s="391"/>
    </row>
    <row r="175">
      <c r="A175" s="391"/>
      <c r="B175" s="391"/>
      <c r="C175" s="391"/>
      <c r="D175" s="391"/>
      <c r="E175" s="391"/>
      <c r="F175" s="391"/>
      <c r="G175" s="391"/>
      <c r="H175" s="391"/>
      <c r="I175" s="391"/>
      <c r="J175" s="391"/>
      <c r="K175" s="391"/>
      <c r="L175" s="391"/>
      <c r="M175" s="391"/>
      <c r="N175" s="391"/>
      <c r="O175" s="391"/>
      <c r="P175" s="391"/>
      <c r="Q175" s="391"/>
      <c r="R175" s="391"/>
      <c r="S175" s="391"/>
      <c r="T175" s="391"/>
      <c r="U175" s="391"/>
      <c r="V175" s="391"/>
      <c r="W175" s="391"/>
      <c r="X175" s="391"/>
      <c r="Y175" s="391"/>
      <c r="Z175" s="391"/>
    </row>
    <row r="176">
      <c r="A176" s="391"/>
      <c r="B176" s="391"/>
      <c r="C176" s="391"/>
      <c r="D176" s="391"/>
      <c r="E176" s="391"/>
      <c r="F176" s="391"/>
      <c r="G176" s="391"/>
      <c r="H176" s="391"/>
      <c r="I176" s="391"/>
      <c r="J176" s="391"/>
      <c r="K176" s="391"/>
      <c r="L176" s="391"/>
      <c r="M176" s="391"/>
      <c r="N176" s="391"/>
      <c r="O176" s="391"/>
      <c r="P176" s="391"/>
      <c r="Q176" s="391"/>
      <c r="R176" s="391"/>
      <c r="S176" s="391"/>
      <c r="T176" s="391"/>
      <c r="U176" s="391"/>
      <c r="V176" s="391"/>
      <c r="W176" s="391"/>
      <c r="X176" s="391"/>
      <c r="Y176" s="391"/>
      <c r="Z176" s="391"/>
    </row>
    <row r="177">
      <c r="A177" s="391"/>
      <c r="B177" s="391"/>
      <c r="C177" s="391"/>
      <c r="D177" s="391"/>
      <c r="E177" s="391"/>
      <c r="F177" s="391"/>
      <c r="G177" s="391"/>
      <c r="H177" s="391"/>
      <c r="I177" s="391"/>
      <c r="J177" s="391"/>
      <c r="K177" s="391"/>
      <c r="L177" s="391"/>
      <c r="M177" s="391"/>
      <c r="N177" s="391"/>
      <c r="O177" s="391"/>
      <c r="P177" s="391"/>
      <c r="Q177" s="391"/>
      <c r="R177" s="391"/>
      <c r="S177" s="391"/>
      <c r="T177" s="391"/>
      <c r="U177" s="391"/>
      <c r="V177" s="391"/>
      <c r="W177" s="391"/>
      <c r="X177" s="391"/>
      <c r="Y177" s="391"/>
      <c r="Z177" s="391"/>
    </row>
    <row r="178">
      <c r="A178" s="391"/>
      <c r="B178" s="391"/>
      <c r="C178" s="391"/>
      <c r="D178" s="391"/>
      <c r="E178" s="391"/>
      <c r="F178" s="391"/>
      <c r="G178" s="391"/>
      <c r="H178" s="391"/>
      <c r="I178" s="391"/>
      <c r="J178" s="391"/>
      <c r="K178" s="391"/>
      <c r="L178" s="391"/>
      <c r="M178" s="391"/>
      <c r="N178" s="391"/>
      <c r="O178" s="391"/>
      <c r="P178" s="391"/>
      <c r="Q178" s="391"/>
      <c r="R178" s="391"/>
      <c r="S178" s="391"/>
      <c r="T178" s="391"/>
      <c r="U178" s="391"/>
      <c r="V178" s="391"/>
      <c r="W178" s="391"/>
      <c r="X178" s="391"/>
      <c r="Y178" s="391"/>
      <c r="Z178" s="391"/>
    </row>
    <row r="179">
      <c r="A179" s="391"/>
      <c r="B179" s="391"/>
      <c r="C179" s="391"/>
      <c r="D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row>
    <row r="180">
      <c r="A180" s="391"/>
      <c r="B180" s="391"/>
      <c r="C180" s="391"/>
      <c r="D180" s="391"/>
      <c r="E180" s="391"/>
      <c r="F180" s="391"/>
      <c r="G180" s="391"/>
      <c r="H180" s="391"/>
      <c r="I180" s="391"/>
      <c r="J180" s="391"/>
      <c r="K180" s="391"/>
      <c r="L180" s="391"/>
      <c r="M180" s="391"/>
      <c r="N180" s="391"/>
      <c r="O180" s="391"/>
      <c r="P180" s="391"/>
      <c r="Q180" s="391"/>
      <c r="R180" s="391"/>
      <c r="S180" s="391"/>
      <c r="T180" s="391"/>
      <c r="U180" s="391"/>
      <c r="V180" s="391"/>
      <c r="W180" s="391"/>
      <c r="X180" s="391"/>
      <c r="Y180" s="391"/>
      <c r="Z180" s="391"/>
    </row>
    <row r="181">
      <c r="A181" s="391"/>
      <c r="B181" s="391"/>
      <c r="C181" s="391"/>
      <c r="D181" s="391"/>
      <c r="E181" s="391"/>
      <c r="F181" s="391"/>
      <c r="G181" s="391"/>
      <c r="H181" s="391"/>
      <c r="I181" s="391"/>
      <c r="J181" s="391"/>
      <c r="K181" s="391"/>
      <c r="L181" s="391"/>
      <c r="M181" s="391"/>
      <c r="N181" s="391"/>
      <c r="O181" s="391"/>
      <c r="P181" s="391"/>
      <c r="Q181" s="391"/>
      <c r="R181" s="391"/>
      <c r="S181" s="391"/>
      <c r="T181" s="391"/>
      <c r="U181" s="391"/>
      <c r="V181" s="391"/>
      <c r="W181" s="391"/>
      <c r="X181" s="391"/>
      <c r="Y181" s="391"/>
      <c r="Z181" s="391"/>
    </row>
    <row r="182">
      <c r="A182" s="391"/>
      <c r="B182" s="391"/>
      <c r="C182" s="391"/>
      <c r="D182" s="391"/>
      <c r="E182" s="391"/>
      <c r="F182" s="391"/>
      <c r="G182" s="391"/>
      <c r="H182" s="391"/>
      <c r="I182" s="391"/>
      <c r="J182" s="391"/>
      <c r="K182" s="391"/>
      <c r="L182" s="391"/>
      <c r="M182" s="391"/>
      <c r="N182" s="391"/>
      <c r="O182" s="391"/>
      <c r="P182" s="391"/>
      <c r="Q182" s="391"/>
      <c r="R182" s="391"/>
      <c r="S182" s="391"/>
      <c r="T182" s="391"/>
      <c r="U182" s="391"/>
      <c r="V182" s="391"/>
      <c r="W182" s="391"/>
      <c r="X182" s="391"/>
      <c r="Y182" s="391"/>
      <c r="Z182" s="391"/>
    </row>
    <row r="183">
      <c r="A183" s="391"/>
      <c r="B183" s="391"/>
      <c r="C183" s="391"/>
      <c r="D183" s="391"/>
      <c r="E183" s="391"/>
      <c r="F183" s="391"/>
      <c r="G183" s="391"/>
      <c r="H183" s="391"/>
      <c r="I183" s="391"/>
      <c r="J183" s="391"/>
      <c r="K183" s="391"/>
      <c r="L183" s="391"/>
      <c r="M183" s="391"/>
      <c r="N183" s="391"/>
      <c r="O183" s="391"/>
      <c r="P183" s="391"/>
      <c r="Q183" s="391"/>
      <c r="R183" s="391"/>
      <c r="S183" s="391"/>
      <c r="T183" s="391"/>
      <c r="U183" s="391"/>
      <c r="V183" s="391"/>
      <c r="W183" s="391"/>
      <c r="X183" s="391"/>
      <c r="Y183" s="391"/>
      <c r="Z183" s="391"/>
    </row>
    <row r="184">
      <c r="A184" s="391"/>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c r="X184" s="391"/>
      <c r="Y184" s="391"/>
      <c r="Z184" s="391"/>
    </row>
    <row r="185">
      <c r="A185" s="391"/>
      <c r="B185" s="391"/>
      <c r="C185" s="391"/>
      <c r="D185" s="391"/>
      <c r="E185" s="391"/>
      <c r="F185" s="391"/>
      <c r="G185" s="391"/>
      <c r="H185" s="391"/>
      <c r="I185" s="391"/>
      <c r="J185" s="391"/>
      <c r="K185" s="391"/>
      <c r="L185" s="391"/>
      <c r="M185" s="391"/>
      <c r="N185" s="391"/>
      <c r="O185" s="391"/>
      <c r="P185" s="391"/>
      <c r="Q185" s="391"/>
      <c r="R185" s="391"/>
      <c r="S185" s="391"/>
      <c r="T185" s="391"/>
      <c r="U185" s="391"/>
      <c r="V185" s="391"/>
      <c r="W185" s="391"/>
      <c r="X185" s="391"/>
      <c r="Y185" s="391"/>
      <c r="Z185" s="391"/>
    </row>
    <row r="186">
      <c r="A186" s="391"/>
      <c r="B186" s="391"/>
      <c r="C186" s="391"/>
      <c r="D186" s="391"/>
      <c r="E186" s="391"/>
      <c r="F186" s="391"/>
      <c r="G186" s="391"/>
      <c r="H186" s="391"/>
      <c r="I186" s="391"/>
      <c r="J186" s="391"/>
      <c r="K186" s="391"/>
      <c r="L186" s="391"/>
      <c r="M186" s="391"/>
      <c r="N186" s="391"/>
      <c r="O186" s="391"/>
      <c r="P186" s="391"/>
      <c r="Q186" s="391"/>
      <c r="R186" s="391"/>
      <c r="S186" s="391"/>
      <c r="T186" s="391"/>
      <c r="U186" s="391"/>
      <c r="V186" s="391"/>
      <c r="W186" s="391"/>
      <c r="X186" s="391"/>
      <c r="Y186" s="391"/>
      <c r="Z186" s="391"/>
    </row>
    <row r="187">
      <c r="A187" s="391"/>
      <c r="B187" s="391"/>
      <c r="C187" s="391"/>
      <c r="D187" s="391"/>
      <c r="E187" s="391"/>
      <c r="F187" s="391"/>
      <c r="G187" s="391"/>
      <c r="H187" s="391"/>
      <c r="I187" s="391"/>
      <c r="J187" s="391"/>
      <c r="K187" s="391"/>
      <c r="L187" s="391"/>
      <c r="M187" s="391"/>
      <c r="N187" s="391"/>
      <c r="O187" s="391"/>
      <c r="P187" s="391"/>
      <c r="Q187" s="391"/>
      <c r="R187" s="391"/>
      <c r="S187" s="391"/>
      <c r="T187" s="391"/>
      <c r="U187" s="391"/>
      <c r="V187" s="391"/>
      <c r="W187" s="391"/>
      <c r="X187" s="391"/>
      <c r="Y187" s="391"/>
      <c r="Z187" s="391"/>
    </row>
    <row r="188">
      <c r="A188" s="391"/>
      <c r="B188" s="391"/>
      <c r="C188" s="391"/>
      <c r="D188" s="391"/>
      <c r="E188" s="391"/>
      <c r="F188" s="391"/>
      <c r="G188" s="391"/>
      <c r="H188" s="391"/>
      <c r="I188" s="391"/>
      <c r="J188" s="391"/>
      <c r="K188" s="391"/>
      <c r="L188" s="391"/>
      <c r="M188" s="391"/>
      <c r="N188" s="391"/>
      <c r="O188" s="391"/>
      <c r="P188" s="391"/>
      <c r="Q188" s="391"/>
      <c r="R188" s="391"/>
      <c r="S188" s="391"/>
      <c r="T188" s="391"/>
      <c r="U188" s="391"/>
      <c r="V188" s="391"/>
      <c r="W188" s="391"/>
      <c r="X188" s="391"/>
      <c r="Y188" s="391"/>
      <c r="Z188" s="391"/>
    </row>
    <row r="189">
      <c r="A189" s="391"/>
      <c r="B189" s="391"/>
      <c r="C189" s="391"/>
      <c r="D189" s="391"/>
      <c r="E189" s="391"/>
      <c r="F189" s="391"/>
      <c r="G189" s="391"/>
      <c r="H189" s="391"/>
      <c r="I189" s="391"/>
      <c r="J189" s="391"/>
      <c r="K189" s="391"/>
      <c r="L189" s="391"/>
      <c r="M189" s="391"/>
      <c r="N189" s="391"/>
      <c r="O189" s="391"/>
      <c r="P189" s="391"/>
      <c r="Q189" s="391"/>
      <c r="R189" s="391"/>
      <c r="S189" s="391"/>
      <c r="T189" s="391"/>
      <c r="U189" s="391"/>
      <c r="V189" s="391"/>
      <c r="W189" s="391"/>
      <c r="X189" s="391"/>
      <c r="Y189" s="391"/>
      <c r="Z189" s="391"/>
    </row>
    <row r="190">
      <c r="A190" s="391"/>
      <c r="B190" s="391"/>
      <c r="C190" s="391"/>
      <c r="D190" s="391"/>
      <c r="E190" s="391"/>
      <c r="F190" s="391"/>
      <c r="G190" s="391"/>
      <c r="H190" s="391"/>
      <c r="I190" s="391"/>
      <c r="J190" s="391"/>
      <c r="K190" s="391"/>
      <c r="L190" s="391"/>
      <c r="M190" s="391"/>
      <c r="N190" s="391"/>
      <c r="O190" s="391"/>
      <c r="P190" s="391"/>
      <c r="Q190" s="391"/>
      <c r="R190" s="391"/>
      <c r="S190" s="391"/>
      <c r="T190" s="391"/>
      <c r="U190" s="391"/>
      <c r="V190" s="391"/>
      <c r="W190" s="391"/>
      <c r="X190" s="391"/>
      <c r="Y190" s="391"/>
      <c r="Z190" s="391"/>
    </row>
    <row r="191">
      <c r="A191" s="391"/>
      <c r="B191" s="391"/>
      <c r="C191" s="391"/>
      <c r="D191" s="391"/>
      <c r="E191" s="391"/>
      <c r="F191" s="391"/>
      <c r="G191" s="391"/>
      <c r="H191" s="391"/>
      <c r="I191" s="391"/>
      <c r="J191" s="391"/>
      <c r="K191" s="391"/>
      <c r="L191" s="391"/>
      <c r="M191" s="391"/>
      <c r="N191" s="391"/>
      <c r="O191" s="391"/>
      <c r="P191" s="391"/>
      <c r="Q191" s="391"/>
      <c r="R191" s="391"/>
      <c r="S191" s="391"/>
      <c r="T191" s="391"/>
      <c r="U191" s="391"/>
      <c r="V191" s="391"/>
      <c r="W191" s="391"/>
      <c r="X191" s="391"/>
      <c r="Y191" s="391"/>
      <c r="Z191" s="391"/>
    </row>
    <row r="192">
      <c r="A192" s="391"/>
      <c r="B192" s="391"/>
      <c r="C192" s="391"/>
      <c r="D192" s="391"/>
      <c r="E192" s="391"/>
      <c r="F192" s="391"/>
      <c r="G192" s="391"/>
      <c r="H192" s="391"/>
      <c r="I192" s="391"/>
      <c r="J192" s="391"/>
      <c r="K192" s="391"/>
      <c r="L192" s="391"/>
      <c r="M192" s="391"/>
      <c r="N192" s="391"/>
      <c r="O192" s="391"/>
      <c r="P192" s="391"/>
      <c r="Q192" s="391"/>
      <c r="R192" s="391"/>
      <c r="S192" s="391"/>
      <c r="T192" s="391"/>
      <c r="U192" s="391"/>
      <c r="V192" s="391"/>
      <c r="W192" s="391"/>
      <c r="X192" s="391"/>
      <c r="Y192" s="391"/>
      <c r="Z192" s="391"/>
    </row>
    <row r="193">
      <c r="A193" s="391"/>
      <c r="B193" s="391"/>
      <c r="C193" s="391"/>
      <c r="D193" s="391"/>
      <c r="E193" s="391"/>
      <c r="F193" s="391"/>
      <c r="G193" s="391"/>
      <c r="H193" s="391"/>
      <c r="I193" s="391"/>
      <c r="J193" s="391"/>
      <c r="K193" s="391"/>
      <c r="L193" s="391"/>
      <c r="M193" s="391"/>
      <c r="N193" s="391"/>
      <c r="O193" s="391"/>
      <c r="P193" s="391"/>
      <c r="Q193" s="391"/>
      <c r="R193" s="391"/>
      <c r="S193" s="391"/>
      <c r="T193" s="391"/>
      <c r="U193" s="391"/>
      <c r="V193" s="391"/>
      <c r="W193" s="391"/>
      <c r="X193" s="391"/>
      <c r="Y193" s="391"/>
      <c r="Z193" s="391"/>
    </row>
    <row r="194">
      <c r="A194" s="391"/>
      <c r="B194" s="391"/>
      <c r="C194" s="391"/>
      <c r="D194" s="391"/>
      <c r="E194" s="391"/>
      <c r="F194" s="391"/>
      <c r="G194" s="391"/>
      <c r="H194" s="391"/>
      <c r="I194" s="391"/>
      <c r="J194" s="391"/>
      <c r="K194" s="391"/>
      <c r="L194" s="391"/>
      <c r="M194" s="391"/>
      <c r="N194" s="391"/>
      <c r="O194" s="391"/>
      <c r="P194" s="391"/>
      <c r="Q194" s="391"/>
      <c r="R194" s="391"/>
      <c r="S194" s="391"/>
      <c r="T194" s="391"/>
      <c r="U194" s="391"/>
      <c r="V194" s="391"/>
      <c r="W194" s="391"/>
      <c r="X194" s="391"/>
      <c r="Y194" s="391"/>
      <c r="Z194" s="391"/>
    </row>
    <row r="195">
      <c r="A195" s="391"/>
      <c r="B195" s="391"/>
      <c r="C195" s="391"/>
      <c r="D195" s="391"/>
      <c r="E195" s="391"/>
      <c r="F195" s="391"/>
      <c r="G195" s="391"/>
      <c r="H195" s="391"/>
      <c r="I195" s="391"/>
      <c r="J195" s="391"/>
      <c r="K195" s="391"/>
      <c r="L195" s="391"/>
      <c r="M195" s="391"/>
      <c r="N195" s="391"/>
      <c r="O195" s="391"/>
      <c r="P195" s="391"/>
      <c r="Q195" s="391"/>
      <c r="R195" s="391"/>
      <c r="S195" s="391"/>
      <c r="T195" s="391"/>
      <c r="U195" s="391"/>
      <c r="V195" s="391"/>
      <c r="W195" s="391"/>
      <c r="X195" s="391"/>
      <c r="Y195" s="391"/>
      <c r="Z195" s="391"/>
    </row>
    <row r="196">
      <c r="A196" s="391"/>
      <c r="B196" s="391"/>
      <c r="C196" s="391"/>
      <c r="D196" s="391"/>
      <c r="E196" s="391"/>
      <c r="F196" s="391"/>
      <c r="G196" s="391"/>
      <c r="H196" s="391"/>
      <c r="I196" s="391"/>
      <c r="J196" s="391"/>
      <c r="K196" s="391"/>
      <c r="L196" s="391"/>
      <c r="M196" s="391"/>
      <c r="N196" s="391"/>
      <c r="O196" s="391"/>
      <c r="P196" s="391"/>
      <c r="Q196" s="391"/>
      <c r="R196" s="391"/>
      <c r="S196" s="391"/>
      <c r="T196" s="391"/>
      <c r="U196" s="391"/>
      <c r="V196" s="391"/>
      <c r="W196" s="391"/>
      <c r="X196" s="391"/>
      <c r="Y196" s="391"/>
      <c r="Z196" s="391"/>
    </row>
    <row r="197">
      <c r="A197" s="391"/>
      <c r="B197" s="391"/>
      <c r="C197" s="391"/>
      <c r="D197" s="391"/>
      <c r="E197" s="391"/>
      <c r="F197" s="391"/>
      <c r="G197" s="391"/>
      <c r="H197" s="391"/>
      <c r="I197" s="391"/>
      <c r="J197" s="391"/>
      <c r="K197" s="391"/>
      <c r="L197" s="391"/>
      <c r="M197" s="391"/>
      <c r="N197" s="391"/>
      <c r="O197" s="391"/>
      <c r="P197" s="391"/>
      <c r="Q197" s="391"/>
      <c r="R197" s="391"/>
      <c r="S197" s="391"/>
      <c r="T197" s="391"/>
      <c r="U197" s="391"/>
      <c r="V197" s="391"/>
      <c r="W197" s="391"/>
      <c r="X197" s="391"/>
      <c r="Y197" s="391"/>
      <c r="Z197" s="391"/>
    </row>
    <row r="198">
      <c r="A198" s="391"/>
      <c r="B198" s="391"/>
      <c r="C198" s="391"/>
      <c r="D198" s="391"/>
      <c r="E198" s="391"/>
      <c r="F198" s="391"/>
      <c r="G198" s="391"/>
      <c r="H198" s="391"/>
      <c r="I198" s="391"/>
      <c r="J198" s="391"/>
      <c r="K198" s="391"/>
      <c r="L198" s="391"/>
      <c r="M198" s="391"/>
      <c r="N198" s="391"/>
      <c r="O198" s="391"/>
      <c r="P198" s="391"/>
      <c r="Q198" s="391"/>
      <c r="R198" s="391"/>
      <c r="S198" s="391"/>
      <c r="T198" s="391"/>
      <c r="U198" s="391"/>
      <c r="V198" s="391"/>
      <c r="W198" s="391"/>
      <c r="X198" s="391"/>
      <c r="Y198" s="391"/>
      <c r="Z198" s="391"/>
    </row>
    <row r="199">
      <c r="A199" s="391"/>
      <c r="B199" s="391"/>
      <c r="C199" s="391"/>
      <c r="D199" s="391"/>
      <c r="E199" s="391"/>
      <c r="F199" s="391"/>
      <c r="G199" s="391"/>
      <c r="H199" s="391"/>
      <c r="I199" s="391"/>
      <c r="J199" s="391"/>
      <c r="K199" s="391"/>
      <c r="L199" s="391"/>
      <c r="M199" s="391"/>
      <c r="N199" s="391"/>
      <c r="O199" s="391"/>
      <c r="P199" s="391"/>
      <c r="Q199" s="391"/>
      <c r="R199" s="391"/>
      <c r="S199" s="391"/>
      <c r="T199" s="391"/>
      <c r="U199" s="391"/>
      <c r="V199" s="391"/>
      <c r="W199" s="391"/>
      <c r="X199" s="391"/>
      <c r="Y199" s="391"/>
      <c r="Z199" s="391"/>
    </row>
    <row r="200">
      <c r="A200" s="39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row>
    <row r="201">
      <c r="A201" s="391"/>
      <c r="B201" s="391"/>
      <c r="C201" s="391"/>
      <c r="D201" s="391"/>
      <c r="E201" s="391"/>
      <c r="F201" s="391"/>
      <c r="G201" s="391"/>
      <c r="H201" s="391"/>
      <c r="I201" s="391"/>
      <c r="J201" s="391"/>
      <c r="K201" s="391"/>
      <c r="L201" s="391"/>
      <c r="M201" s="391"/>
      <c r="N201" s="391"/>
      <c r="O201" s="391"/>
      <c r="P201" s="391"/>
      <c r="Q201" s="391"/>
      <c r="R201" s="391"/>
      <c r="S201" s="391"/>
      <c r="T201" s="391"/>
      <c r="U201" s="391"/>
      <c r="V201" s="391"/>
      <c r="W201" s="391"/>
      <c r="X201" s="391"/>
      <c r="Y201" s="391"/>
      <c r="Z201" s="391"/>
    </row>
    <row r="202">
      <c r="A202" s="391"/>
      <c r="B202" s="391"/>
      <c r="C202" s="391"/>
      <c r="D202" s="391"/>
      <c r="E202" s="391"/>
      <c r="F202" s="391"/>
      <c r="G202" s="391"/>
      <c r="H202" s="391"/>
      <c r="I202" s="391"/>
      <c r="J202" s="391"/>
      <c r="K202" s="391"/>
      <c r="L202" s="391"/>
      <c r="M202" s="391"/>
      <c r="N202" s="391"/>
      <c r="O202" s="391"/>
      <c r="P202" s="391"/>
      <c r="Q202" s="391"/>
      <c r="R202" s="391"/>
      <c r="S202" s="391"/>
      <c r="T202" s="391"/>
      <c r="U202" s="391"/>
      <c r="V202" s="391"/>
      <c r="W202" s="391"/>
      <c r="X202" s="391"/>
      <c r="Y202" s="391"/>
      <c r="Z202" s="391"/>
    </row>
    <row r="203">
      <c r="A203" s="391"/>
      <c r="B203" s="391"/>
      <c r="C203" s="391"/>
      <c r="D203" s="391"/>
      <c r="E203" s="391"/>
      <c r="F203" s="391"/>
      <c r="G203" s="391"/>
      <c r="H203" s="391"/>
      <c r="I203" s="391"/>
      <c r="J203" s="391"/>
      <c r="K203" s="391"/>
      <c r="L203" s="391"/>
      <c r="M203" s="391"/>
      <c r="N203" s="391"/>
      <c r="O203" s="391"/>
      <c r="P203" s="391"/>
      <c r="Q203" s="391"/>
      <c r="R203" s="391"/>
      <c r="S203" s="391"/>
      <c r="T203" s="391"/>
      <c r="U203" s="391"/>
      <c r="V203" s="391"/>
      <c r="W203" s="391"/>
      <c r="X203" s="391"/>
      <c r="Y203" s="391"/>
      <c r="Z203" s="391"/>
    </row>
    <row r="204">
      <c r="A204" s="391"/>
      <c r="B204" s="391"/>
      <c r="C204" s="391"/>
      <c r="D204" s="391"/>
      <c r="E204" s="391"/>
      <c r="F204" s="391"/>
      <c r="G204" s="391"/>
      <c r="H204" s="391"/>
      <c r="I204" s="391"/>
      <c r="J204" s="391"/>
      <c r="K204" s="391"/>
      <c r="L204" s="391"/>
      <c r="M204" s="391"/>
      <c r="N204" s="391"/>
      <c r="O204" s="391"/>
      <c r="P204" s="391"/>
      <c r="Q204" s="391"/>
      <c r="R204" s="391"/>
      <c r="S204" s="391"/>
      <c r="T204" s="391"/>
      <c r="U204" s="391"/>
      <c r="V204" s="391"/>
      <c r="W204" s="391"/>
      <c r="X204" s="391"/>
      <c r="Y204" s="391"/>
      <c r="Z204" s="391"/>
    </row>
    <row r="205">
      <c r="A205" s="391"/>
      <c r="B205" s="391"/>
      <c r="C205" s="391"/>
      <c r="D205" s="391"/>
      <c r="E205" s="391"/>
      <c r="F205" s="391"/>
      <c r="G205" s="391"/>
      <c r="H205" s="391"/>
      <c r="I205" s="391"/>
      <c r="J205" s="391"/>
      <c r="K205" s="391"/>
      <c r="L205" s="391"/>
      <c r="M205" s="391"/>
      <c r="N205" s="391"/>
      <c r="O205" s="391"/>
      <c r="P205" s="391"/>
      <c r="Q205" s="391"/>
      <c r="R205" s="391"/>
      <c r="S205" s="391"/>
      <c r="T205" s="391"/>
      <c r="U205" s="391"/>
      <c r="V205" s="391"/>
      <c r="W205" s="391"/>
      <c r="X205" s="391"/>
      <c r="Y205" s="391"/>
      <c r="Z205" s="391"/>
    </row>
    <row r="206">
      <c r="A206" s="391"/>
      <c r="B206" s="391"/>
      <c r="C206" s="391"/>
      <c r="D206" s="391"/>
      <c r="E206" s="391"/>
      <c r="F206" s="391"/>
      <c r="G206" s="391"/>
      <c r="H206" s="391"/>
      <c r="I206" s="391"/>
      <c r="J206" s="391"/>
      <c r="K206" s="391"/>
      <c r="L206" s="391"/>
      <c r="M206" s="391"/>
      <c r="N206" s="391"/>
      <c r="O206" s="391"/>
      <c r="P206" s="391"/>
      <c r="Q206" s="391"/>
      <c r="R206" s="391"/>
      <c r="S206" s="391"/>
      <c r="T206" s="391"/>
      <c r="U206" s="391"/>
      <c r="V206" s="391"/>
      <c r="W206" s="391"/>
      <c r="X206" s="391"/>
      <c r="Y206" s="391"/>
      <c r="Z206" s="391"/>
    </row>
    <row r="207">
      <c r="A207" s="391"/>
      <c r="B207" s="391"/>
      <c r="C207" s="391"/>
      <c r="D207" s="391"/>
      <c r="E207" s="391"/>
      <c r="F207" s="391"/>
      <c r="G207" s="391"/>
      <c r="H207" s="391"/>
      <c r="I207" s="391"/>
      <c r="J207" s="391"/>
      <c r="K207" s="391"/>
      <c r="L207" s="391"/>
      <c r="M207" s="391"/>
      <c r="N207" s="391"/>
      <c r="O207" s="391"/>
      <c r="P207" s="391"/>
      <c r="Q207" s="391"/>
      <c r="R207" s="391"/>
      <c r="S207" s="391"/>
      <c r="T207" s="391"/>
      <c r="U207" s="391"/>
      <c r="V207" s="391"/>
      <c r="W207" s="391"/>
      <c r="X207" s="391"/>
      <c r="Y207" s="391"/>
      <c r="Z207" s="391"/>
    </row>
    <row r="208">
      <c r="A208" s="391"/>
      <c r="B208" s="391"/>
      <c r="C208" s="391"/>
      <c r="D208" s="391"/>
      <c r="E208" s="391"/>
      <c r="F208" s="391"/>
      <c r="G208" s="391"/>
      <c r="H208" s="391"/>
      <c r="I208" s="391"/>
      <c r="J208" s="391"/>
      <c r="K208" s="391"/>
      <c r="L208" s="391"/>
      <c r="M208" s="391"/>
      <c r="N208" s="391"/>
      <c r="O208" s="391"/>
      <c r="P208" s="391"/>
      <c r="Q208" s="391"/>
      <c r="R208" s="391"/>
      <c r="S208" s="391"/>
      <c r="T208" s="391"/>
      <c r="U208" s="391"/>
      <c r="V208" s="391"/>
      <c r="W208" s="391"/>
      <c r="X208" s="391"/>
      <c r="Y208" s="391"/>
      <c r="Z208" s="391"/>
    </row>
    <row r="209">
      <c r="A209" s="391"/>
      <c r="B209" s="391"/>
      <c r="C209" s="391"/>
      <c r="D209" s="391"/>
      <c r="E209" s="391"/>
      <c r="F209" s="391"/>
      <c r="G209" s="391"/>
      <c r="H209" s="391"/>
      <c r="I209" s="391"/>
      <c r="J209" s="391"/>
      <c r="K209" s="391"/>
      <c r="L209" s="391"/>
      <c r="M209" s="391"/>
      <c r="N209" s="391"/>
      <c r="O209" s="391"/>
      <c r="P209" s="391"/>
      <c r="Q209" s="391"/>
      <c r="R209" s="391"/>
      <c r="S209" s="391"/>
      <c r="T209" s="391"/>
      <c r="U209" s="391"/>
      <c r="V209" s="391"/>
      <c r="W209" s="391"/>
      <c r="X209" s="391"/>
      <c r="Y209" s="391"/>
      <c r="Z209" s="391"/>
    </row>
    <row r="210">
      <c r="A210" s="391"/>
      <c r="B210" s="391"/>
      <c r="C210" s="391"/>
      <c r="D210" s="391"/>
      <c r="E210" s="391"/>
      <c r="F210" s="391"/>
      <c r="G210" s="391"/>
      <c r="H210" s="391"/>
      <c r="I210" s="391"/>
      <c r="J210" s="391"/>
      <c r="K210" s="391"/>
      <c r="L210" s="391"/>
      <c r="M210" s="391"/>
      <c r="N210" s="391"/>
      <c r="O210" s="391"/>
      <c r="P210" s="391"/>
      <c r="Q210" s="391"/>
      <c r="R210" s="391"/>
      <c r="S210" s="391"/>
      <c r="T210" s="391"/>
      <c r="U210" s="391"/>
      <c r="V210" s="391"/>
      <c r="W210" s="391"/>
      <c r="X210" s="391"/>
      <c r="Y210" s="391"/>
      <c r="Z210" s="391"/>
    </row>
    <row r="211">
      <c r="A211" s="391"/>
      <c r="B211" s="391"/>
      <c r="C211" s="391"/>
      <c r="D211" s="391"/>
      <c r="E211" s="391"/>
      <c r="F211" s="391"/>
      <c r="G211" s="391"/>
      <c r="H211" s="391"/>
      <c r="I211" s="391"/>
      <c r="J211" s="391"/>
      <c r="K211" s="391"/>
      <c r="L211" s="391"/>
      <c r="M211" s="391"/>
      <c r="N211" s="391"/>
      <c r="O211" s="391"/>
      <c r="P211" s="391"/>
      <c r="Q211" s="391"/>
      <c r="R211" s="391"/>
      <c r="S211" s="391"/>
      <c r="T211" s="391"/>
      <c r="U211" s="391"/>
      <c r="V211" s="391"/>
      <c r="W211" s="391"/>
      <c r="X211" s="391"/>
      <c r="Y211" s="391"/>
      <c r="Z211" s="391"/>
    </row>
    <row r="212">
      <c r="A212" s="391"/>
      <c r="B212" s="391"/>
      <c r="C212" s="391"/>
      <c r="D212" s="391"/>
      <c r="E212" s="391"/>
      <c r="F212" s="391"/>
      <c r="G212" s="391"/>
      <c r="H212" s="391"/>
      <c r="I212" s="391"/>
      <c r="J212" s="391"/>
      <c r="K212" s="391"/>
      <c r="L212" s="391"/>
      <c r="M212" s="391"/>
      <c r="N212" s="391"/>
      <c r="O212" s="391"/>
      <c r="P212" s="391"/>
      <c r="Q212" s="391"/>
      <c r="R212" s="391"/>
      <c r="S212" s="391"/>
      <c r="T212" s="391"/>
      <c r="U212" s="391"/>
      <c r="V212" s="391"/>
      <c r="W212" s="391"/>
      <c r="X212" s="391"/>
      <c r="Y212" s="391"/>
      <c r="Z212" s="391"/>
    </row>
    <row r="213">
      <c r="A213" s="391"/>
      <c r="B213" s="391"/>
      <c r="C213" s="391"/>
      <c r="D213" s="391"/>
      <c r="E213" s="391"/>
      <c r="F213" s="391"/>
      <c r="G213" s="391"/>
      <c r="H213" s="391"/>
      <c r="I213" s="391"/>
      <c r="J213" s="391"/>
      <c r="K213" s="391"/>
      <c r="L213" s="391"/>
      <c r="M213" s="391"/>
      <c r="N213" s="391"/>
      <c r="O213" s="391"/>
      <c r="P213" s="391"/>
      <c r="Q213" s="391"/>
      <c r="R213" s="391"/>
      <c r="S213" s="391"/>
      <c r="T213" s="391"/>
      <c r="U213" s="391"/>
      <c r="V213" s="391"/>
      <c r="W213" s="391"/>
      <c r="X213" s="391"/>
      <c r="Y213" s="391"/>
      <c r="Z213" s="391"/>
    </row>
    <row r="214">
      <c r="A214" s="391"/>
      <c r="B214" s="391"/>
      <c r="C214" s="391"/>
      <c r="D214" s="391"/>
      <c r="E214" s="391"/>
      <c r="F214" s="391"/>
      <c r="G214" s="391"/>
      <c r="H214" s="391"/>
      <c r="I214" s="391"/>
      <c r="J214" s="391"/>
      <c r="K214" s="391"/>
      <c r="L214" s="391"/>
      <c r="M214" s="391"/>
      <c r="N214" s="391"/>
      <c r="O214" s="391"/>
      <c r="P214" s="391"/>
      <c r="Q214" s="391"/>
      <c r="R214" s="391"/>
      <c r="S214" s="391"/>
      <c r="T214" s="391"/>
      <c r="U214" s="391"/>
      <c r="V214" s="391"/>
      <c r="W214" s="391"/>
      <c r="X214" s="391"/>
      <c r="Y214" s="391"/>
      <c r="Z214" s="391"/>
    </row>
    <row r="215">
      <c r="A215" s="391"/>
      <c r="B215" s="391"/>
      <c r="C215" s="391"/>
      <c r="D215" s="391"/>
      <c r="E215" s="391"/>
      <c r="F215" s="391"/>
      <c r="G215" s="391"/>
      <c r="H215" s="391"/>
      <c r="I215" s="391"/>
      <c r="J215" s="391"/>
      <c r="K215" s="391"/>
      <c r="L215" s="391"/>
      <c r="M215" s="391"/>
      <c r="N215" s="391"/>
      <c r="O215" s="391"/>
      <c r="P215" s="391"/>
      <c r="Q215" s="391"/>
      <c r="R215" s="391"/>
      <c r="S215" s="391"/>
      <c r="T215" s="391"/>
      <c r="U215" s="391"/>
      <c r="V215" s="391"/>
      <c r="W215" s="391"/>
      <c r="X215" s="391"/>
      <c r="Y215" s="391"/>
      <c r="Z215" s="391"/>
    </row>
    <row r="216">
      <c r="A216" s="391"/>
      <c r="B216" s="391"/>
      <c r="C216" s="391"/>
      <c r="D216" s="391"/>
      <c r="E216" s="391"/>
      <c r="F216" s="391"/>
      <c r="G216" s="391"/>
      <c r="H216" s="391"/>
      <c r="I216" s="391"/>
      <c r="J216" s="391"/>
      <c r="K216" s="391"/>
      <c r="L216" s="391"/>
      <c r="M216" s="391"/>
      <c r="N216" s="391"/>
      <c r="O216" s="391"/>
      <c r="P216" s="391"/>
      <c r="Q216" s="391"/>
      <c r="R216" s="391"/>
      <c r="S216" s="391"/>
      <c r="T216" s="391"/>
      <c r="U216" s="391"/>
      <c r="V216" s="391"/>
      <c r="W216" s="391"/>
      <c r="X216" s="391"/>
      <c r="Y216" s="391"/>
      <c r="Z216" s="391"/>
    </row>
    <row r="217">
      <c r="A217" s="391"/>
      <c r="B217" s="391"/>
      <c r="C217" s="391"/>
      <c r="D217" s="391"/>
      <c r="E217" s="391"/>
      <c r="F217" s="391"/>
      <c r="G217" s="391"/>
      <c r="H217" s="391"/>
      <c r="I217" s="391"/>
      <c r="J217" s="391"/>
      <c r="K217" s="391"/>
      <c r="L217" s="391"/>
      <c r="M217" s="391"/>
      <c r="N217" s="391"/>
      <c r="O217" s="391"/>
      <c r="P217" s="391"/>
      <c r="Q217" s="391"/>
      <c r="R217" s="391"/>
      <c r="S217" s="391"/>
      <c r="T217" s="391"/>
      <c r="U217" s="391"/>
      <c r="V217" s="391"/>
      <c r="W217" s="391"/>
      <c r="X217" s="391"/>
      <c r="Y217" s="391"/>
      <c r="Z217" s="391"/>
    </row>
    <row r="218">
      <c r="A218" s="391"/>
      <c r="B218" s="391"/>
      <c r="C218" s="391"/>
      <c r="D218" s="391"/>
      <c r="E218" s="391"/>
      <c r="F218" s="391"/>
      <c r="G218" s="391"/>
      <c r="H218" s="391"/>
      <c r="I218" s="391"/>
      <c r="J218" s="391"/>
      <c r="K218" s="391"/>
      <c r="L218" s="391"/>
      <c r="M218" s="391"/>
      <c r="N218" s="391"/>
      <c r="O218" s="391"/>
      <c r="P218" s="391"/>
      <c r="Q218" s="391"/>
      <c r="R218" s="391"/>
      <c r="S218" s="391"/>
      <c r="T218" s="391"/>
      <c r="U218" s="391"/>
      <c r="V218" s="391"/>
      <c r="W218" s="391"/>
      <c r="X218" s="391"/>
      <c r="Y218" s="391"/>
      <c r="Z218" s="391"/>
    </row>
    <row r="219">
      <c r="A219" s="391"/>
      <c r="B219" s="391"/>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row>
    <row r="220">
      <c r="A220" s="391"/>
      <c r="B220" s="391"/>
      <c r="C220" s="391"/>
      <c r="D220" s="391"/>
      <c r="E220" s="391"/>
      <c r="F220" s="391"/>
      <c r="G220" s="391"/>
      <c r="H220" s="391"/>
      <c r="I220" s="391"/>
      <c r="J220" s="391"/>
      <c r="K220" s="391"/>
      <c r="L220" s="391"/>
      <c r="M220" s="391"/>
      <c r="N220" s="391"/>
      <c r="O220" s="391"/>
      <c r="P220" s="391"/>
      <c r="Q220" s="391"/>
      <c r="R220" s="391"/>
      <c r="S220" s="391"/>
      <c r="T220" s="391"/>
      <c r="U220" s="391"/>
      <c r="V220" s="391"/>
      <c r="W220" s="391"/>
      <c r="X220" s="391"/>
      <c r="Y220" s="391"/>
      <c r="Z220" s="391"/>
    </row>
    <row r="221">
      <c r="A221" s="391"/>
      <c r="B221" s="391"/>
      <c r="C221" s="391"/>
      <c r="D221" s="391"/>
      <c r="E221" s="391"/>
      <c r="F221" s="391"/>
      <c r="G221" s="391"/>
      <c r="H221" s="391"/>
      <c r="I221" s="391"/>
      <c r="J221" s="391"/>
      <c r="K221" s="391"/>
      <c r="L221" s="391"/>
      <c r="M221" s="391"/>
      <c r="N221" s="391"/>
      <c r="O221" s="391"/>
      <c r="P221" s="391"/>
      <c r="Q221" s="391"/>
      <c r="R221" s="391"/>
      <c r="S221" s="391"/>
      <c r="T221" s="391"/>
      <c r="U221" s="391"/>
      <c r="V221" s="391"/>
      <c r="W221" s="391"/>
      <c r="X221" s="391"/>
      <c r="Y221" s="391"/>
      <c r="Z221" s="391"/>
    </row>
    <row r="222">
      <c r="A222" s="391"/>
      <c r="B222" s="391"/>
      <c r="C222" s="391"/>
      <c r="D222" s="391"/>
      <c r="E222" s="391"/>
      <c r="F222" s="391"/>
      <c r="G222" s="391"/>
      <c r="H222" s="391"/>
      <c r="I222" s="391"/>
      <c r="J222" s="391"/>
      <c r="K222" s="391"/>
      <c r="L222" s="391"/>
      <c r="M222" s="391"/>
      <c r="N222" s="391"/>
      <c r="O222" s="391"/>
      <c r="P222" s="391"/>
      <c r="Q222" s="391"/>
      <c r="R222" s="391"/>
      <c r="S222" s="391"/>
      <c r="T222" s="391"/>
      <c r="U222" s="391"/>
      <c r="V222" s="391"/>
      <c r="W222" s="391"/>
      <c r="X222" s="391"/>
      <c r="Y222" s="391"/>
      <c r="Z222" s="391"/>
    </row>
    <row r="223">
      <c r="A223" s="391"/>
      <c r="B223" s="391"/>
      <c r="C223" s="391"/>
      <c r="D223" s="391"/>
      <c r="E223" s="391"/>
      <c r="F223" s="391"/>
      <c r="G223" s="391"/>
      <c r="H223" s="391"/>
      <c r="I223" s="391"/>
      <c r="J223" s="391"/>
      <c r="K223" s="391"/>
      <c r="L223" s="391"/>
      <c r="M223" s="391"/>
      <c r="N223" s="391"/>
      <c r="O223" s="391"/>
      <c r="P223" s="391"/>
      <c r="Q223" s="391"/>
      <c r="R223" s="391"/>
      <c r="S223" s="391"/>
      <c r="T223" s="391"/>
      <c r="U223" s="391"/>
      <c r="V223" s="391"/>
      <c r="W223" s="391"/>
      <c r="X223" s="391"/>
      <c r="Y223" s="391"/>
      <c r="Z223" s="391"/>
    </row>
    <row r="224">
      <c r="A224" s="391"/>
      <c r="B224" s="391"/>
      <c r="C224" s="391"/>
      <c r="D224" s="391"/>
      <c r="E224" s="391"/>
      <c r="F224" s="391"/>
      <c r="G224" s="391"/>
      <c r="H224" s="391"/>
      <c r="I224" s="391"/>
      <c r="J224" s="391"/>
      <c r="K224" s="391"/>
      <c r="L224" s="391"/>
      <c r="M224" s="391"/>
      <c r="N224" s="391"/>
      <c r="O224" s="391"/>
      <c r="P224" s="391"/>
      <c r="Q224" s="391"/>
      <c r="R224" s="391"/>
      <c r="S224" s="391"/>
      <c r="T224" s="391"/>
      <c r="U224" s="391"/>
      <c r="V224" s="391"/>
      <c r="W224" s="391"/>
      <c r="X224" s="391"/>
      <c r="Y224" s="391"/>
      <c r="Z224" s="391"/>
    </row>
    <row r="225">
      <c r="A225" s="391"/>
      <c r="B225" s="391"/>
      <c r="C225" s="391"/>
      <c r="D225" s="391"/>
      <c r="E225" s="391"/>
      <c r="F225" s="391"/>
      <c r="G225" s="391"/>
      <c r="H225" s="391"/>
      <c r="I225" s="391"/>
      <c r="J225" s="391"/>
      <c r="K225" s="391"/>
      <c r="L225" s="391"/>
      <c r="M225" s="391"/>
      <c r="N225" s="391"/>
      <c r="O225" s="391"/>
      <c r="P225" s="391"/>
      <c r="Q225" s="391"/>
      <c r="R225" s="391"/>
      <c r="S225" s="391"/>
      <c r="T225" s="391"/>
      <c r="U225" s="391"/>
      <c r="V225" s="391"/>
      <c r="W225" s="391"/>
      <c r="X225" s="391"/>
      <c r="Y225" s="391"/>
      <c r="Z225" s="391"/>
    </row>
    <row r="226">
      <c r="A226" s="391"/>
      <c r="B226" s="391"/>
      <c r="C226" s="391"/>
      <c r="D226" s="391"/>
      <c r="E226" s="391"/>
      <c r="F226" s="391"/>
      <c r="G226" s="391"/>
      <c r="H226" s="391"/>
      <c r="I226" s="391"/>
      <c r="J226" s="391"/>
      <c r="K226" s="391"/>
      <c r="L226" s="391"/>
      <c r="M226" s="391"/>
      <c r="N226" s="391"/>
      <c r="O226" s="391"/>
      <c r="P226" s="391"/>
      <c r="Q226" s="391"/>
      <c r="R226" s="391"/>
      <c r="S226" s="391"/>
      <c r="T226" s="391"/>
      <c r="U226" s="391"/>
      <c r="V226" s="391"/>
      <c r="W226" s="391"/>
      <c r="X226" s="391"/>
      <c r="Y226" s="391"/>
      <c r="Z226" s="391"/>
    </row>
    <row r="227">
      <c r="A227" s="391"/>
      <c r="B227" s="391"/>
      <c r="C227" s="391"/>
      <c r="D227" s="391"/>
      <c r="E227" s="391"/>
      <c r="F227" s="391"/>
      <c r="G227" s="391"/>
      <c r="H227" s="391"/>
      <c r="I227" s="391"/>
      <c r="J227" s="391"/>
      <c r="K227" s="391"/>
      <c r="L227" s="391"/>
      <c r="M227" s="391"/>
      <c r="N227" s="391"/>
      <c r="O227" s="391"/>
      <c r="P227" s="391"/>
      <c r="Q227" s="391"/>
      <c r="R227" s="391"/>
      <c r="S227" s="391"/>
      <c r="T227" s="391"/>
      <c r="U227" s="391"/>
      <c r="V227" s="391"/>
      <c r="W227" s="391"/>
      <c r="X227" s="391"/>
      <c r="Y227" s="391"/>
      <c r="Z227" s="391"/>
    </row>
    <row r="228">
      <c r="A228" s="391"/>
      <c r="B228" s="391"/>
      <c r="C228" s="391"/>
      <c r="D228" s="391"/>
      <c r="E228" s="391"/>
      <c r="F228" s="391"/>
      <c r="G228" s="391"/>
      <c r="H228" s="391"/>
      <c r="I228" s="391"/>
      <c r="J228" s="391"/>
      <c r="K228" s="391"/>
      <c r="L228" s="391"/>
      <c r="M228" s="391"/>
      <c r="N228" s="391"/>
      <c r="O228" s="391"/>
      <c r="P228" s="391"/>
      <c r="Q228" s="391"/>
      <c r="R228" s="391"/>
      <c r="S228" s="391"/>
      <c r="T228" s="391"/>
      <c r="U228" s="391"/>
      <c r="V228" s="391"/>
      <c r="W228" s="391"/>
      <c r="X228" s="391"/>
      <c r="Y228" s="391"/>
      <c r="Z228" s="391"/>
    </row>
    <row r="229">
      <c r="A229" s="391"/>
      <c r="B229" s="391"/>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row>
    <row r="230">
      <c r="A230" s="391"/>
      <c r="B230" s="391"/>
      <c r="C230" s="391"/>
      <c r="D230" s="391"/>
      <c r="E230" s="391"/>
      <c r="F230" s="391"/>
      <c r="G230" s="391"/>
      <c r="H230" s="391"/>
      <c r="I230" s="391"/>
      <c r="J230" s="391"/>
      <c r="K230" s="391"/>
      <c r="L230" s="391"/>
      <c r="M230" s="391"/>
      <c r="N230" s="391"/>
      <c r="O230" s="391"/>
      <c r="P230" s="391"/>
      <c r="Q230" s="391"/>
      <c r="R230" s="391"/>
      <c r="S230" s="391"/>
      <c r="T230" s="391"/>
      <c r="U230" s="391"/>
      <c r="V230" s="391"/>
      <c r="W230" s="391"/>
      <c r="X230" s="391"/>
      <c r="Y230" s="391"/>
      <c r="Z230" s="391"/>
    </row>
    <row r="231">
      <c r="A231" s="391"/>
      <c r="B231" s="391"/>
      <c r="C231" s="391"/>
      <c r="D231" s="391"/>
      <c r="E231" s="391"/>
      <c r="F231" s="391"/>
      <c r="G231" s="391"/>
      <c r="H231" s="391"/>
      <c r="I231" s="391"/>
      <c r="J231" s="391"/>
      <c r="K231" s="391"/>
      <c r="L231" s="391"/>
      <c r="M231" s="391"/>
      <c r="N231" s="391"/>
      <c r="O231" s="391"/>
      <c r="P231" s="391"/>
      <c r="Q231" s="391"/>
      <c r="R231" s="391"/>
      <c r="S231" s="391"/>
      <c r="T231" s="391"/>
      <c r="U231" s="391"/>
      <c r="V231" s="391"/>
      <c r="W231" s="391"/>
      <c r="X231" s="391"/>
      <c r="Y231" s="391"/>
      <c r="Z231" s="391"/>
    </row>
    <row r="232">
      <c r="A232" s="391"/>
      <c r="B232" s="391"/>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row>
    <row r="233">
      <c r="A233" s="391"/>
      <c r="B233" s="391"/>
      <c r="C233" s="391"/>
      <c r="D233" s="391"/>
      <c r="E233" s="391"/>
      <c r="F233" s="391"/>
      <c r="G233" s="391"/>
      <c r="H233" s="391"/>
      <c r="I233" s="391"/>
      <c r="J233" s="391"/>
      <c r="K233" s="391"/>
      <c r="L233" s="391"/>
      <c r="M233" s="391"/>
      <c r="N233" s="391"/>
      <c r="O233" s="391"/>
      <c r="P233" s="391"/>
      <c r="Q233" s="391"/>
      <c r="R233" s="391"/>
      <c r="S233" s="391"/>
      <c r="T233" s="391"/>
      <c r="U233" s="391"/>
      <c r="V233" s="391"/>
      <c r="W233" s="391"/>
      <c r="X233" s="391"/>
      <c r="Y233" s="391"/>
      <c r="Z233" s="391"/>
    </row>
    <row r="234">
      <c r="A234" s="391"/>
      <c r="B234" s="391"/>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row>
    <row r="235">
      <c r="A235" s="391"/>
      <c r="B235" s="391"/>
      <c r="C235" s="391"/>
      <c r="D235" s="391"/>
      <c r="E235" s="391"/>
      <c r="F235" s="391"/>
      <c r="G235" s="391"/>
      <c r="H235" s="391"/>
      <c r="I235" s="391"/>
      <c r="J235" s="391"/>
      <c r="K235" s="391"/>
      <c r="L235" s="391"/>
      <c r="M235" s="391"/>
      <c r="N235" s="391"/>
      <c r="O235" s="391"/>
      <c r="P235" s="391"/>
      <c r="Q235" s="391"/>
      <c r="R235" s="391"/>
      <c r="S235" s="391"/>
      <c r="T235" s="391"/>
      <c r="U235" s="391"/>
      <c r="V235" s="391"/>
      <c r="W235" s="391"/>
      <c r="X235" s="391"/>
      <c r="Y235" s="391"/>
      <c r="Z235" s="391"/>
    </row>
    <row r="236">
      <c r="A236" s="391"/>
      <c r="B236" s="391"/>
      <c r="C236" s="391"/>
      <c r="D236" s="391"/>
      <c r="E236" s="391"/>
      <c r="F236" s="391"/>
      <c r="G236" s="391"/>
      <c r="H236" s="391"/>
      <c r="I236" s="391"/>
      <c r="J236" s="391"/>
      <c r="K236" s="391"/>
      <c r="L236" s="391"/>
      <c r="M236" s="391"/>
      <c r="N236" s="391"/>
      <c r="O236" s="391"/>
      <c r="P236" s="391"/>
      <c r="Q236" s="391"/>
      <c r="R236" s="391"/>
      <c r="S236" s="391"/>
      <c r="T236" s="391"/>
      <c r="U236" s="391"/>
      <c r="V236" s="391"/>
      <c r="W236" s="391"/>
      <c r="X236" s="391"/>
      <c r="Y236" s="391"/>
      <c r="Z236" s="391"/>
    </row>
    <row r="237">
      <c r="A237" s="391"/>
      <c r="B237" s="391"/>
      <c r="C237" s="391"/>
      <c r="D237" s="391"/>
      <c r="E237" s="391"/>
      <c r="F237" s="391"/>
      <c r="G237" s="391"/>
      <c r="H237" s="391"/>
      <c r="I237" s="391"/>
      <c r="J237" s="391"/>
      <c r="K237" s="391"/>
      <c r="L237" s="391"/>
      <c r="M237" s="391"/>
      <c r="N237" s="391"/>
      <c r="O237" s="391"/>
      <c r="P237" s="391"/>
      <c r="Q237" s="391"/>
      <c r="R237" s="391"/>
      <c r="S237" s="391"/>
      <c r="T237" s="391"/>
      <c r="U237" s="391"/>
      <c r="V237" s="391"/>
      <c r="W237" s="391"/>
      <c r="X237" s="391"/>
      <c r="Y237" s="391"/>
      <c r="Z237" s="391"/>
    </row>
    <row r="238">
      <c r="A238" s="391"/>
      <c r="B238" s="391"/>
      <c r="C238" s="391"/>
      <c r="D238" s="391"/>
      <c r="E238" s="391"/>
      <c r="F238" s="391"/>
      <c r="G238" s="391"/>
      <c r="H238" s="391"/>
      <c r="I238" s="391"/>
      <c r="J238" s="391"/>
      <c r="K238" s="391"/>
      <c r="L238" s="391"/>
      <c r="M238" s="391"/>
      <c r="N238" s="391"/>
      <c r="O238" s="391"/>
      <c r="P238" s="391"/>
      <c r="Q238" s="391"/>
      <c r="R238" s="391"/>
      <c r="S238" s="391"/>
      <c r="T238" s="391"/>
      <c r="U238" s="391"/>
      <c r="V238" s="391"/>
      <c r="W238" s="391"/>
      <c r="X238" s="391"/>
      <c r="Y238" s="391"/>
      <c r="Z238" s="391"/>
    </row>
    <row r="239">
      <c r="A239" s="391"/>
      <c r="B239" s="391"/>
      <c r="C239" s="391"/>
      <c r="D239" s="391"/>
      <c r="E239" s="391"/>
      <c r="F239" s="391"/>
      <c r="G239" s="391"/>
      <c r="H239" s="391"/>
      <c r="I239" s="391"/>
      <c r="J239" s="391"/>
      <c r="K239" s="391"/>
      <c r="L239" s="391"/>
      <c r="M239" s="391"/>
      <c r="N239" s="391"/>
      <c r="O239" s="391"/>
      <c r="P239" s="391"/>
      <c r="Q239" s="391"/>
      <c r="R239" s="391"/>
      <c r="S239" s="391"/>
      <c r="T239" s="391"/>
      <c r="U239" s="391"/>
      <c r="V239" s="391"/>
      <c r="W239" s="391"/>
      <c r="X239" s="391"/>
      <c r="Y239" s="391"/>
      <c r="Z239" s="391"/>
    </row>
    <row r="240">
      <c r="A240" s="391"/>
      <c r="B240" s="391"/>
      <c r="C240" s="391"/>
      <c r="D240" s="391"/>
      <c r="E240" s="391"/>
      <c r="F240" s="391"/>
      <c r="G240" s="391"/>
      <c r="H240" s="391"/>
      <c r="I240" s="391"/>
      <c r="J240" s="391"/>
      <c r="K240" s="391"/>
      <c r="L240" s="391"/>
      <c r="M240" s="391"/>
      <c r="N240" s="391"/>
      <c r="O240" s="391"/>
      <c r="P240" s="391"/>
      <c r="Q240" s="391"/>
      <c r="R240" s="391"/>
      <c r="S240" s="391"/>
      <c r="T240" s="391"/>
      <c r="U240" s="391"/>
      <c r="V240" s="391"/>
      <c r="W240" s="391"/>
      <c r="X240" s="391"/>
      <c r="Y240" s="391"/>
      <c r="Z240" s="391"/>
    </row>
    <row r="241">
      <c r="A241" s="391"/>
      <c r="B241" s="391"/>
      <c r="C241" s="391"/>
      <c r="D241" s="391"/>
      <c r="E241" s="391"/>
      <c r="F241" s="391"/>
      <c r="G241" s="391"/>
      <c r="H241" s="391"/>
      <c r="I241" s="391"/>
      <c r="J241" s="391"/>
      <c r="K241" s="391"/>
      <c r="L241" s="391"/>
      <c r="M241" s="391"/>
      <c r="N241" s="391"/>
      <c r="O241" s="391"/>
      <c r="P241" s="391"/>
      <c r="Q241" s="391"/>
      <c r="R241" s="391"/>
      <c r="S241" s="391"/>
      <c r="T241" s="391"/>
      <c r="U241" s="391"/>
      <c r="V241" s="391"/>
      <c r="W241" s="391"/>
      <c r="X241" s="391"/>
      <c r="Y241" s="391"/>
      <c r="Z241" s="391"/>
    </row>
    <row r="242">
      <c r="A242" s="391"/>
      <c r="B242" s="391"/>
      <c r="C242" s="391"/>
      <c r="D242" s="391"/>
      <c r="E242" s="391"/>
      <c r="F242" s="391"/>
      <c r="G242" s="391"/>
      <c r="H242" s="391"/>
      <c r="I242" s="391"/>
      <c r="J242" s="391"/>
      <c r="K242" s="391"/>
      <c r="L242" s="391"/>
      <c r="M242" s="391"/>
      <c r="N242" s="391"/>
      <c r="O242" s="391"/>
      <c r="P242" s="391"/>
      <c r="Q242" s="391"/>
      <c r="R242" s="391"/>
      <c r="S242" s="391"/>
      <c r="T242" s="391"/>
      <c r="U242" s="391"/>
      <c r="V242" s="391"/>
      <c r="W242" s="391"/>
      <c r="X242" s="391"/>
      <c r="Y242" s="391"/>
      <c r="Z242" s="391"/>
    </row>
    <row r="243">
      <c r="A243" s="391"/>
      <c r="B243" s="391"/>
      <c r="C243" s="391"/>
      <c r="D243" s="391"/>
      <c r="E243" s="391"/>
      <c r="F243" s="391"/>
      <c r="G243" s="391"/>
      <c r="H243" s="391"/>
      <c r="I243" s="391"/>
      <c r="J243" s="391"/>
      <c r="K243" s="391"/>
      <c r="L243" s="391"/>
      <c r="M243" s="391"/>
      <c r="N243" s="391"/>
      <c r="O243" s="391"/>
      <c r="P243" s="391"/>
      <c r="Q243" s="391"/>
      <c r="R243" s="391"/>
      <c r="S243" s="391"/>
      <c r="T243" s="391"/>
      <c r="U243" s="391"/>
      <c r="V243" s="391"/>
      <c r="W243" s="391"/>
      <c r="X243" s="391"/>
      <c r="Y243" s="391"/>
      <c r="Z243" s="391"/>
    </row>
    <row r="244">
      <c r="A244" s="391"/>
      <c r="B244" s="391"/>
      <c r="C244" s="391"/>
      <c r="D244" s="391"/>
      <c r="E244" s="391"/>
      <c r="F244" s="391"/>
      <c r="G244" s="391"/>
      <c r="H244" s="391"/>
      <c r="I244" s="391"/>
      <c r="J244" s="391"/>
      <c r="K244" s="391"/>
      <c r="L244" s="391"/>
      <c r="M244" s="391"/>
      <c r="N244" s="391"/>
      <c r="O244" s="391"/>
      <c r="P244" s="391"/>
      <c r="Q244" s="391"/>
      <c r="R244" s="391"/>
      <c r="S244" s="391"/>
      <c r="T244" s="391"/>
      <c r="U244" s="391"/>
      <c r="V244" s="391"/>
      <c r="W244" s="391"/>
      <c r="X244" s="391"/>
      <c r="Y244" s="391"/>
      <c r="Z244" s="391"/>
    </row>
    <row r="245">
      <c r="A245" s="391"/>
      <c r="B245" s="391"/>
      <c r="C245" s="391"/>
      <c r="D245" s="391"/>
      <c r="E245" s="391"/>
      <c r="F245" s="391"/>
      <c r="G245" s="391"/>
      <c r="H245" s="391"/>
      <c r="I245" s="391"/>
      <c r="J245" s="391"/>
      <c r="K245" s="391"/>
      <c r="L245" s="391"/>
      <c r="M245" s="391"/>
      <c r="N245" s="391"/>
      <c r="O245" s="391"/>
      <c r="P245" s="391"/>
      <c r="Q245" s="391"/>
      <c r="R245" s="391"/>
      <c r="S245" s="391"/>
      <c r="T245" s="391"/>
      <c r="U245" s="391"/>
      <c r="V245" s="391"/>
      <c r="W245" s="391"/>
      <c r="X245" s="391"/>
      <c r="Y245" s="391"/>
      <c r="Z245" s="391"/>
    </row>
    <row r="246">
      <c r="A246" s="391"/>
      <c r="B246" s="391"/>
      <c r="C246" s="391"/>
      <c r="D246" s="391"/>
      <c r="E246" s="391"/>
      <c r="F246" s="391"/>
      <c r="G246" s="391"/>
      <c r="H246" s="391"/>
      <c r="I246" s="391"/>
      <c r="J246" s="391"/>
      <c r="K246" s="391"/>
      <c r="L246" s="391"/>
      <c r="M246" s="391"/>
      <c r="N246" s="391"/>
      <c r="O246" s="391"/>
      <c r="P246" s="391"/>
      <c r="Q246" s="391"/>
      <c r="R246" s="391"/>
      <c r="S246" s="391"/>
      <c r="T246" s="391"/>
      <c r="U246" s="391"/>
      <c r="V246" s="391"/>
      <c r="W246" s="391"/>
      <c r="X246" s="391"/>
      <c r="Y246" s="391"/>
      <c r="Z246" s="391"/>
    </row>
    <row r="247">
      <c r="A247" s="391"/>
      <c r="B247" s="391"/>
      <c r="C247" s="391"/>
      <c r="D247" s="391"/>
      <c r="E247" s="391"/>
      <c r="F247" s="391"/>
      <c r="G247" s="391"/>
      <c r="H247" s="391"/>
      <c r="I247" s="391"/>
      <c r="J247" s="391"/>
      <c r="K247" s="391"/>
      <c r="L247" s="391"/>
      <c r="M247" s="391"/>
      <c r="N247" s="391"/>
      <c r="O247" s="391"/>
      <c r="P247" s="391"/>
      <c r="Q247" s="391"/>
      <c r="R247" s="391"/>
      <c r="S247" s="391"/>
      <c r="T247" s="391"/>
      <c r="U247" s="391"/>
      <c r="V247" s="391"/>
      <c r="W247" s="391"/>
      <c r="X247" s="391"/>
      <c r="Y247" s="391"/>
      <c r="Z247" s="391"/>
    </row>
    <row r="248">
      <c r="A248" s="391"/>
      <c r="B248" s="391"/>
      <c r="C248" s="391"/>
      <c r="D248" s="391"/>
      <c r="E248" s="391"/>
      <c r="F248" s="391"/>
      <c r="G248" s="391"/>
      <c r="H248" s="391"/>
      <c r="I248" s="391"/>
      <c r="J248" s="391"/>
      <c r="K248" s="391"/>
      <c r="L248" s="391"/>
      <c r="M248" s="391"/>
      <c r="N248" s="391"/>
      <c r="O248" s="391"/>
      <c r="P248" s="391"/>
      <c r="Q248" s="391"/>
      <c r="R248" s="391"/>
      <c r="S248" s="391"/>
      <c r="T248" s="391"/>
      <c r="U248" s="391"/>
      <c r="V248" s="391"/>
      <c r="W248" s="391"/>
      <c r="X248" s="391"/>
      <c r="Y248" s="391"/>
      <c r="Z248" s="391"/>
    </row>
    <row r="249">
      <c r="A249" s="391"/>
      <c r="B249" s="391"/>
      <c r="C249" s="391"/>
      <c r="D249" s="391"/>
      <c r="E249" s="391"/>
      <c r="F249" s="391"/>
      <c r="G249" s="391"/>
      <c r="H249" s="391"/>
      <c r="I249" s="391"/>
      <c r="J249" s="391"/>
      <c r="K249" s="391"/>
      <c r="L249" s="391"/>
      <c r="M249" s="391"/>
      <c r="N249" s="391"/>
      <c r="O249" s="391"/>
      <c r="P249" s="391"/>
      <c r="Q249" s="391"/>
      <c r="R249" s="391"/>
      <c r="S249" s="391"/>
      <c r="T249" s="391"/>
      <c r="U249" s="391"/>
      <c r="V249" s="391"/>
      <c r="W249" s="391"/>
      <c r="X249" s="391"/>
      <c r="Y249" s="391"/>
      <c r="Z249" s="391"/>
    </row>
    <row r="250">
      <c r="A250" s="391"/>
      <c r="B250" s="391"/>
      <c r="C250" s="391"/>
      <c r="D250" s="391"/>
      <c r="E250" s="391"/>
      <c r="F250" s="391"/>
      <c r="G250" s="391"/>
      <c r="H250" s="391"/>
      <c r="I250" s="391"/>
      <c r="J250" s="391"/>
      <c r="K250" s="391"/>
      <c r="L250" s="391"/>
      <c r="M250" s="391"/>
      <c r="N250" s="391"/>
      <c r="O250" s="391"/>
      <c r="P250" s="391"/>
      <c r="Q250" s="391"/>
      <c r="R250" s="391"/>
      <c r="S250" s="391"/>
      <c r="T250" s="391"/>
      <c r="U250" s="391"/>
      <c r="V250" s="391"/>
      <c r="W250" s="391"/>
      <c r="X250" s="391"/>
      <c r="Y250" s="391"/>
      <c r="Z250" s="391"/>
    </row>
    <row r="251">
      <c r="A251" s="391"/>
      <c r="B251" s="391"/>
      <c r="C251" s="391"/>
      <c r="D251" s="391"/>
      <c r="E251" s="391"/>
      <c r="F251" s="391"/>
      <c r="G251" s="391"/>
      <c r="H251" s="391"/>
      <c r="I251" s="391"/>
      <c r="J251" s="391"/>
      <c r="K251" s="391"/>
      <c r="L251" s="391"/>
      <c r="M251" s="391"/>
      <c r="N251" s="391"/>
      <c r="O251" s="391"/>
      <c r="P251" s="391"/>
      <c r="Q251" s="391"/>
      <c r="R251" s="391"/>
      <c r="S251" s="391"/>
      <c r="T251" s="391"/>
      <c r="U251" s="391"/>
      <c r="V251" s="391"/>
      <c r="W251" s="391"/>
      <c r="X251" s="391"/>
      <c r="Y251" s="391"/>
      <c r="Z251" s="391"/>
    </row>
    <row r="252">
      <c r="A252" s="391"/>
      <c r="B252" s="391"/>
      <c r="C252" s="391"/>
      <c r="D252" s="391"/>
      <c r="E252" s="391"/>
      <c r="F252" s="391"/>
      <c r="G252" s="391"/>
      <c r="H252" s="391"/>
      <c r="I252" s="391"/>
      <c r="J252" s="391"/>
      <c r="K252" s="391"/>
      <c r="L252" s="391"/>
      <c r="M252" s="391"/>
      <c r="N252" s="391"/>
      <c r="O252" s="391"/>
      <c r="P252" s="391"/>
      <c r="Q252" s="391"/>
      <c r="R252" s="391"/>
      <c r="S252" s="391"/>
      <c r="T252" s="391"/>
      <c r="U252" s="391"/>
      <c r="V252" s="391"/>
      <c r="W252" s="391"/>
      <c r="X252" s="391"/>
      <c r="Y252" s="391"/>
      <c r="Z252" s="391"/>
    </row>
    <row r="253">
      <c r="A253" s="391"/>
      <c r="B253" s="391"/>
      <c r="C253" s="391"/>
      <c r="D253" s="391"/>
      <c r="E253" s="391"/>
      <c r="F253" s="391"/>
      <c r="G253" s="391"/>
      <c r="H253" s="391"/>
      <c r="I253" s="391"/>
      <c r="J253" s="391"/>
      <c r="K253" s="391"/>
      <c r="L253" s="391"/>
      <c r="M253" s="391"/>
      <c r="N253" s="391"/>
      <c r="O253" s="391"/>
      <c r="P253" s="391"/>
      <c r="Q253" s="391"/>
      <c r="R253" s="391"/>
      <c r="S253" s="391"/>
      <c r="T253" s="391"/>
      <c r="U253" s="391"/>
      <c r="V253" s="391"/>
      <c r="W253" s="391"/>
      <c r="X253" s="391"/>
      <c r="Y253" s="391"/>
      <c r="Z253" s="391"/>
    </row>
    <row r="254">
      <c r="A254" s="391"/>
      <c r="B254" s="391"/>
      <c r="C254" s="391"/>
      <c r="D254" s="391"/>
      <c r="E254" s="391"/>
      <c r="F254" s="391"/>
      <c r="G254" s="391"/>
      <c r="H254" s="391"/>
      <c r="I254" s="391"/>
      <c r="J254" s="391"/>
      <c r="K254" s="391"/>
      <c r="L254" s="391"/>
      <c r="M254" s="391"/>
      <c r="N254" s="391"/>
      <c r="O254" s="391"/>
      <c r="P254" s="391"/>
      <c r="Q254" s="391"/>
      <c r="R254" s="391"/>
      <c r="S254" s="391"/>
      <c r="T254" s="391"/>
      <c r="U254" s="391"/>
      <c r="V254" s="391"/>
      <c r="W254" s="391"/>
      <c r="X254" s="391"/>
      <c r="Y254" s="391"/>
      <c r="Z254" s="391"/>
    </row>
    <row r="255">
      <c r="A255" s="391"/>
      <c r="B255" s="391"/>
      <c r="C255" s="391"/>
      <c r="D255" s="391"/>
      <c r="E255" s="391"/>
      <c r="F255" s="391"/>
      <c r="G255" s="391"/>
      <c r="H255" s="391"/>
      <c r="I255" s="391"/>
      <c r="J255" s="391"/>
      <c r="K255" s="391"/>
      <c r="L255" s="391"/>
      <c r="M255" s="391"/>
      <c r="N255" s="391"/>
      <c r="O255" s="391"/>
      <c r="P255" s="391"/>
      <c r="Q255" s="391"/>
      <c r="R255" s="391"/>
      <c r="S255" s="391"/>
      <c r="T255" s="391"/>
      <c r="U255" s="391"/>
      <c r="V255" s="391"/>
      <c r="W255" s="391"/>
      <c r="X255" s="391"/>
      <c r="Y255" s="391"/>
      <c r="Z255" s="391"/>
    </row>
    <row r="256">
      <c r="A256" s="391"/>
      <c r="B256" s="391"/>
      <c r="C256" s="391"/>
      <c r="D256" s="391"/>
      <c r="E256" s="391"/>
      <c r="F256" s="391"/>
      <c r="G256" s="391"/>
      <c r="H256" s="391"/>
      <c r="I256" s="391"/>
      <c r="J256" s="391"/>
      <c r="K256" s="391"/>
      <c r="L256" s="391"/>
      <c r="M256" s="391"/>
      <c r="N256" s="391"/>
      <c r="O256" s="391"/>
      <c r="P256" s="391"/>
      <c r="Q256" s="391"/>
      <c r="R256" s="391"/>
      <c r="S256" s="391"/>
      <c r="T256" s="391"/>
      <c r="U256" s="391"/>
      <c r="V256" s="391"/>
      <c r="W256" s="391"/>
      <c r="X256" s="391"/>
      <c r="Y256" s="391"/>
      <c r="Z256" s="391"/>
    </row>
    <row r="257">
      <c r="A257" s="391"/>
      <c r="B257" s="391"/>
      <c r="C257" s="391"/>
      <c r="D257" s="391"/>
      <c r="E257" s="391"/>
      <c r="F257" s="391"/>
      <c r="G257" s="391"/>
      <c r="H257" s="391"/>
      <c r="I257" s="391"/>
      <c r="J257" s="391"/>
      <c r="K257" s="391"/>
      <c r="L257" s="391"/>
      <c r="M257" s="391"/>
      <c r="N257" s="391"/>
      <c r="O257" s="391"/>
      <c r="P257" s="391"/>
      <c r="Q257" s="391"/>
      <c r="R257" s="391"/>
      <c r="S257" s="391"/>
      <c r="T257" s="391"/>
      <c r="U257" s="391"/>
      <c r="V257" s="391"/>
      <c r="W257" s="391"/>
      <c r="X257" s="391"/>
      <c r="Y257" s="391"/>
      <c r="Z257" s="391"/>
    </row>
    <row r="258">
      <c r="A258" s="391"/>
      <c r="B258" s="391"/>
      <c r="C258" s="391"/>
      <c r="D258" s="391"/>
      <c r="E258" s="391"/>
      <c r="F258" s="391"/>
      <c r="G258" s="391"/>
      <c r="H258" s="391"/>
      <c r="I258" s="391"/>
      <c r="J258" s="391"/>
      <c r="K258" s="391"/>
      <c r="L258" s="391"/>
      <c r="M258" s="391"/>
      <c r="N258" s="391"/>
      <c r="O258" s="391"/>
      <c r="P258" s="391"/>
      <c r="Q258" s="391"/>
      <c r="R258" s="391"/>
      <c r="S258" s="391"/>
      <c r="T258" s="391"/>
      <c r="U258" s="391"/>
      <c r="V258" s="391"/>
      <c r="W258" s="391"/>
      <c r="X258" s="391"/>
      <c r="Y258" s="391"/>
      <c r="Z258" s="391"/>
    </row>
    <row r="259">
      <c r="A259" s="391"/>
      <c r="B259" s="391"/>
      <c r="C259" s="391"/>
      <c r="D259" s="391"/>
      <c r="E259" s="391"/>
      <c r="F259" s="391"/>
      <c r="G259" s="391"/>
      <c r="H259" s="391"/>
      <c r="I259" s="391"/>
      <c r="J259" s="391"/>
      <c r="K259" s="391"/>
      <c r="L259" s="391"/>
      <c r="M259" s="391"/>
      <c r="N259" s="391"/>
      <c r="O259" s="391"/>
      <c r="P259" s="391"/>
      <c r="Q259" s="391"/>
      <c r="R259" s="391"/>
      <c r="S259" s="391"/>
      <c r="T259" s="391"/>
      <c r="U259" s="391"/>
      <c r="V259" s="391"/>
      <c r="W259" s="391"/>
      <c r="X259" s="391"/>
      <c r="Y259" s="391"/>
      <c r="Z259" s="391"/>
    </row>
    <row r="260">
      <c r="A260" s="391"/>
      <c r="B260" s="391"/>
      <c r="C260" s="391"/>
      <c r="D260" s="391"/>
      <c r="E260" s="391"/>
      <c r="F260" s="391"/>
      <c r="G260" s="391"/>
      <c r="H260" s="391"/>
      <c r="I260" s="391"/>
      <c r="J260" s="391"/>
      <c r="K260" s="391"/>
      <c r="L260" s="391"/>
      <c r="M260" s="391"/>
      <c r="N260" s="391"/>
      <c r="O260" s="391"/>
      <c r="P260" s="391"/>
      <c r="Q260" s="391"/>
      <c r="R260" s="391"/>
      <c r="S260" s="391"/>
      <c r="T260" s="391"/>
      <c r="U260" s="391"/>
      <c r="V260" s="391"/>
      <c r="W260" s="391"/>
      <c r="X260" s="391"/>
      <c r="Y260" s="391"/>
      <c r="Z260" s="391"/>
    </row>
    <row r="261">
      <c r="A261" s="391"/>
      <c r="B261" s="391"/>
      <c r="C261" s="391"/>
      <c r="D261" s="391"/>
      <c r="E261" s="391"/>
      <c r="F261" s="391"/>
      <c r="G261" s="391"/>
      <c r="H261" s="391"/>
      <c r="I261" s="391"/>
      <c r="J261" s="391"/>
      <c r="K261" s="391"/>
      <c r="L261" s="391"/>
      <c r="M261" s="391"/>
      <c r="N261" s="391"/>
      <c r="O261" s="391"/>
      <c r="P261" s="391"/>
      <c r="Q261" s="391"/>
      <c r="R261" s="391"/>
      <c r="S261" s="391"/>
      <c r="T261" s="391"/>
      <c r="U261" s="391"/>
      <c r="V261" s="391"/>
      <c r="W261" s="391"/>
      <c r="X261" s="391"/>
      <c r="Y261" s="391"/>
      <c r="Z261" s="391"/>
    </row>
    <row r="262">
      <c r="A262" s="391"/>
      <c r="B262" s="391"/>
      <c r="C262" s="391"/>
      <c r="D262" s="391"/>
      <c r="E262" s="391"/>
      <c r="F262" s="391"/>
      <c r="G262" s="391"/>
      <c r="H262" s="391"/>
      <c r="I262" s="391"/>
      <c r="J262" s="391"/>
      <c r="K262" s="391"/>
      <c r="L262" s="391"/>
      <c r="M262" s="391"/>
      <c r="N262" s="391"/>
      <c r="O262" s="391"/>
      <c r="P262" s="391"/>
      <c r="Q262" s="391"/>
      <c r="R262" s="391"/>
      <c r="S262" s="391"/>
      <c r="T262" s="391"/>
      <c r="U262" s="391"/>
      <c r="V262" s="391"/>
      <c r="W262" s="391"/>
      <c r="X262" s="391"/>
      <c r="Y262" s="391"/>
      <c r="Z262" s="391"/>
    </row>
    <row r="263">
      <c r="A263" s="391"/>
      <c r="B263" s="391"/>
      <c r="C263" s="391"/>
      <c r="D263" s="391"/>
      <c r="E263" s="391"/>
      <c r="F263" s="391"/>
      <c r="G263" s="391"/>
      <c r="H263" s="391"/>
      <c r="I263" s="391"/>
      <c r="J263" s="391"/>
      <c r="K263" s="391"/>
      <c r="L263" s="391"/>
      <c r="M263" s="391"/>
      <c r="N263" s="391"/>
      <c r="O263" s="391"/>
      <c r="P263" s="391"/>
      <c r="Q263" s="391"/>
      <c r="R263" s="391"/>
      <c r="S263" s="391"/>
      <c r="T263" s="391"/>
      <c r="U263" s="391"/>
      <c r="V263" s="391"/>
      <c r="W263" s="391"/>
      <c r="X263" s="391"/>
      <c r="Y263" s="391"/>
      <c r="Z263" s="391"/>
    </row>
    <row r="264">
      <c r="A264" s="391"/>
      <c r="B264" s="391"/>
      <c r="C264" s="391"/>
      <c r="D264" s="391"/>
      <c r="E264" s="391"/>
      <c r="F264" s="391"/>
      <c r="G264" s="391"/>
      <c r="H264" s="391"/>
      <c r="I264" s="391"/>
      <c r="J264" s="391"/>
      <c r="K264" s="391"/>
      <c r="L264" s="391"/>
      <c r="M264" s="391"/>
      <c r="N264" s="391"/>
      <c r="O264" s="391"/>
      <c r="P264" s="391"/>
      <c r="Q264" s="391"/>
      <c r="R264" s="391"/>
      <c r="S264" s="391"/>
      <c r="T264" s="391"/>
      <c r="U264" s="391"/>
      <c r="V264" s="391"/>
      <c r="W264" s="391"/>
      <c r="X264" s="391"/>
      <c r="Y264" s="391"/>
      <c r="Z264" s="391"/>
    </row>
    <row r="265">
      <c r="A265" s="391"/>
      <c r="B265" s="391"/>
      <c r="C265" s="391"/>
      <c r="D265" s="391"/>
      <c r="E265" s="391"/>
      <c r="F265" s="391"/>
      <c r="G265" s="391"/>
      <c r="H265" s="391"/>
      <c r="I265" s="391"/>
      <c r="J265" s="391"/>
      <c r="K265" s="391"/>
      <c r="L265" s="391"/>
      <c r="M265" s="391"/>
      <c r="N265" s="391"/>
      <c r="O265" s="391"/>
      <c r="P265" s="391"/>
      <c r="Q265" s="391"/>
      <c r="R265" s="391"/>
      <c r="S265" s="391"/>
      <c r="T265" s="391"/>
      <c r="U265" s="391"/>
      <c r="V265" s="391"/>
      <c r="W265" s="391"/>
      <c r="X265" s="391"/>
      <c r="Y265" s="391"/>
      <c r="Z265" s="391"/>
    </row>
    <row r="266">
      <c r="A266" s="391"/>
      <c r="B266" s="391"/>
      <c r="C266" s="391"/>
      <c r="D266" s="391"/>
      <c r="E266" s="391"/>
      <c r="F266" s="391"/>
      <c r="G266" s="391"/>
      <c r="H266" s="391"/>
      <c r="I266" s="391"/>
      <c r="J266" s="391"/>
      <c r="K266" s="391"/>
      <c r="L266" s="391"/>
      <c r="M266" s="391"/>
      <c r="N266" s="391"/>
      <c r="O266" s="391"/>
      <c r="P266" s="391"/>
      <c r="Q266" s="391"/>
      <c r="R266" s="391"/>
      <c r="S266" s="391"/>
      <c r="T266" s="391"/>
      <c r="U266" s="391"/>
      <c r="V266" s="391"/>
      <c r="W266" s="391"/>
      <c r="X266" s="391"/>
      <c r="Y266" s="391"/>
      <c r="Z266" s="391"/>
    </row>
    <row r="267">
      <c r="A267" s="391"/>
      <c r="B267" s="391"/>
      <c r="C267" s="391"/>
      <c r="D267" s="391"/>
      <c r="E267" s="391"/>
      <c r="F267" s="391"/>
      <c r="G267" s="391"/>
      <c r="H267" s="391"/>
      <c r="I267" s="391"/>
      <c r="J267" s="391"/>
      <c r="K267" s="391"/>
      <c r="L267" s="391"/>
      <c r="M267" s="391"/>
      <c r="N267" s="391"/>
      <c r="O267" s="391"/>
      <c r="P267" s="391"/>
      <c r="Q267" s="391"/>
      <c r="R267" s="391"/>
      <c r="S267" s="391"/>
      <c r="T267" s="391"/>
      <c r="U267" s="391"/>
      <c r="V267" s="391"/>
      <c r="W267" s="391"/>
      <c r="X267" s="391"/>
      <c r="Y267" s="391"/>
      <c r="Z267" s="391"/>
    </row>
    <row r="268">
      <c r="A268" s="391"/>
      <c r="B268" s="391"/>
      <c r="C268" s="391"/>
      <c r="D268" s="391"/>
      <c r="E268" s="391"/>
      <c r="F268" s="391"/>
      <c r="G268" s="391"/>
      <c r="H268" s="391"/>
      <c r="I268" s="391"/>
      <c r="J268" s="391"/>
      <c r="K268" s="391"/>
      <c r="L268" s="391"/>
      <c r="M268" s="391"/>
      <c r="N268" s="391"/>
      <c r="O268" s="391"/>
      <c r="P268" s="391"/>
      <c r="Q268" s="391"/>
      <c r="R268" s="391"/>
      <c r="S268" s="391"/>
      <c r="T268" s="391"/>
      <c r="U268" s="391"/>
      <c r="V268" s="391"/>
      <c r="W268" s="391"/>
      <c r="X268" s="391"/>
      <c r="Y268" s="391"/>
      <c r="Z268" s="391"/>
    </row>
    <row r="269">
      <c r="A269" s="391"/>
      <c r="B269" s="391"/>
      <c r="C269" s="391"/>
      <c r="D269" s="391"/>
      <c r="E269" s="391"/>
      <c r="F269" s="391"/>
      <c r="G269" s="391"/>
      <c r="H269" s="391"/>
      <c r="I269" s="391"/>
      <c r="J269" s="391"/>
      <c r="K269" s="391"/>
      <c r="L269" s="391"/>
      <c r="M269" s="391"/>
      <c r="N269" s="391"/>
      <c r="O269" s="391"/>
      <c r="P269" s="391"/>
      <c r="Q269" s="391"/>
      <c r="R269" s="391"/>
      <c r="S269" s="391"/>
      <c r="T269" s="391"/>
      <c r="U269" s="391"/>
      <c r="V269" s="391"/>
      <c r="W269" s="391"/>
      <c r="X269" s="391"/>
      <c r="Y269" s="391"/>
      <c r="Z269" s="391"/>
    </row>
    <row r="270">
      <c r="A270" s="391"/>
      <c r="B270" s="391"/>
      <c r="C270" s="391"/>
      <c r="D270" s="391"/>
      <c r="E270" s="391"/>
      <c r="F270" s="391"/>
      <c r="G270" s="391"/>
      <c r="H270" s="391"/>
      <c r="I270" s="391"/>
      <c r="J270" s="391"/>
      <c r="K270" s="391"/>
      <c r="L270" s="391"/>
      <c r="M270" s="391"/>
      <c r="N270" s="391"/>
      <c r="O270" s="391"/>
      <c r="P270" s="391"/>
      <c r="Q270" s="391"/>
      <c r="R270" s="391"/>
      <c r="S270" s="391"/>
      <c r="T270" s="391"/>
      <c r="U270" s="391"/>
      <c r="V270" s="391"/>
      <c r="W270" s="391"/>
      <c r="X270" s="391"/>
      <c r="Y270" s="391"/>
      <c r="Z270" s="391"/>
    </row>
    <row r="271">
      <c r="A271" s="391"/>
      <c r="B271" s="391"/>
      <c r="C271" s="391"/>
      <c r="D271" s="391"/>
      <c r="E271" s="391"/>
      <c r="F271" s="391"/>
      <c r="G271" s="391"/>
      <c r="H271" s="391"/>
      <c r="I271" s="391"/>
      <c r="J271" s="391"/>
      <c r="K271" s="391"/>
      <c r="L271" s="391"/>
      <c r="M271" s="391"/>
      <c r="N271" s="391"/>
      <c r="O271" s="391"/>
      <c r="P271" s="391"/>
      <c r="Q271" s="391"/>
      <c r="R271" s="391"/>
      <c r="S271" s="391"/>
      <c r="T271" s="391"/>
      <c r="U271" s="391"/>
      <c r="V271" s="391"/>
      <c r="W271" s="391"/>
      <c r="X271" s="391"/>
      <c r="Y271" s="391"/>
      <c r="Z271" s="391"/>
    </row>
    <row r="272">
      <c r="A272" s="391"/>
      <c r="B272" s="391"/>
      <c r="C272" s="391"/>
      <c r="D272" s="391"/>
      <c r="E272" s="391"/>
      <c r="F272" s="391"/>
      <c r="G272" s="391"/>
      <c r="H272" s="391"/>
      <c r="I272" s="391"/>
      <c r="J272" s="391"/>
      <c r="K272" s="391"/>
      <c r="L272" s="391"/>
      <c r="M272" s="391"/>
      <c r="N272" s="391"/>
      <c r="O272" s="391"/>
      <c r="P272" s="391"/>
      <c r="Q272" s="391"/>
      <c r="R272" s="391"/>
      <c r="S272" s="391"/>
      <c r="T272" s="391"/>
      <c r="U272" s="391"/>
      <c r="V272" s="391"/>
      <c r="W272" s="391"/>
      <c r="X272" s="391"/>
      <c r="Y272" s="391"/>
      <c r="Z272" s="391"/>
    </row>
    <row r="273">
      <c r="A273" s="391"/>
      <c r="B273" s="391"/>
      <c r="C273" s="391"/>
      <c r="D273" s="391"/>
      <c r="E273" s="391"/>
      <c r="F273" s="391"/>
      <c r="G273" s="391"/>
      <c r="H273" s="391"/>
      <c r="I273" s="391"/>
      <c r="J273" s="391"/>
      <c r="K273" s="391"/>
      <c r="L273" s="391"/>
      <c r="M273" s="391"/>
      <c r="N273" s="391"/>
      <c r="O273" s="391"/>
      <c r="P273" s="391"/>
      <c r="Q273" s="391"/>
      <c r="R273" s="391"/>
      <c r="S273" s="391"/>
      <c r="T273" s="391"/>
      <c r="U273" s="391"/>
      <c r="V273" s="391"/>
      <c r="W273" s="391"/>
      <c r="X273" s="391"/>
      <c r="Y273" s="391"/>
      <c r="Z273" s="391"/>
    </row>
    <row r="274">
      <c r="A274" s="391"/>
      <c r="B274" s="391"/>
      <c r="C274" s="391"/>
      <c r="D274" s="391"/>
      <c r="E274" s="391"/>
      <c r="F274" s="391"/>
      <c r="G274" s="391"/>
      <c r="H274" s="391"/>
      <c r="I274" s="391"/>
      <c r="J274" s="391"/>
      <c r="K274" s="391"/>
      <c r="L274" s="391"/>
      <c r="M274" s="391"/>
      <c r="N274" s="391"/>
      <c r="O274" s="391"/>
      <c r="P274" s="391"/>
      <c r="Q274" s="391"/>
      <c r="R274" s="391"/>
      <c r="S274" s="391"/>
      <c r="T274" s="391"/>
      <c r="U274" s="391"/>
      <c r="V274" s="391"/>
      <c r="W274" s="391"/>
      <c r="X274" s="391"/>
      <c r="Y274" s="391"/>
      <c r="Z274" s="391"/>
    </row>
    <row r="275">
      <c r="A275" s="391"/>
      <c r="B275" s="391"/>
      <c r="C275" s="391"/>
      <c r="D275" s="391"/>
      <c r="E275" s="391"/>
      <c r="F275" s="391"/>
      <c r="G275" s="391"/>
      <c r="H275" s="391"/>
      <c r="I275" s="391"/>
      <c r="J275" s="391"/>
      <c r="K275" s="391"/>
      <c r="L275" s="391"/>
      <c r="M275" s="391"/>
      <c r="N275" s="391"/>
      <c r="O275" s="391"/>
      <c r="P275" s="391"/>
      <c r="Q275" s="391"/>
      <c r="R275" s="391"/>
      <c r="S275" s="391"/>
      <c r="T275" s="391"/>
      <c r="U275" s="391"/>
      <c r="V275" s="391"/>
      <c r="W275" s="391"/>
      <c r="X275" s="391"/>
      <c r="Y275" s="391"/>
      <c r="Z275" s="391"/>
    </row>
    <row r="276">
      <c r="A276" s="391"/>
      <c r="B276" s="391"/>
      <c r="C276" s="391"/>
      <c r="D276" s="391"/>
      <c r="E276" s="391"/>
      <c r="F276" s="391"/>
      <c r="G276" s="391"/>
      <c r="H276" s="391"/>
      <c r="I276" s="391"/>
      <c r="J276" s="391"/>
      <c r="K276" s="391"/>
      <c r="L276" s="391"/>
      <c r="M276" s="391"/>
      <c r="N276" s="391"/>
      <c r="O276" s="391"/>
      <c r="P276" s="391"/>
      <c r="Q276" s="391"/>
      <c r="R276" s="391"/>
      <c r="S276" s="391"/>
      <c r="T276" s="391"/>
      <c r="U276" s="391"/>
      <c r="V276" s="391"/>
      <c r="W276" s="391"/>
      <c r="X276" s="391"/>
      <c r="Y276" s="391"/>
      <c r="Z276" s="391"/>
    </row>
    <row r="277">
      <c r="A277" s="391"/>
      <c r="B277" s="391"/>
      <c r="C277" s="391"/>
      <c r="D277" s="391"/>
      <c r="E277" s="391"/>
      <c r="F277" s="391"/>
      <c r="G277" s="391"/>
      <c r="H277" s="391"/>
      <c r="I277" s="391"/>
      <c r="J277" s="391"/>
      <c r="K277" s="391"/>
      <c r="L277" s="391"/>
      <c r="M277" s="391"/>
      <c r="N277" s="391"/>
      <c r="O277" s="391"/>
      <c r="P277" s="391"/>
      <c r="Q277" s="391"/>
      <c r="R277" s="391"/>
      <c r="S277" s="391"/>
      <c r="T277" s="391"/>
      <c r="U277" s="391"/>
      <c r="V277" s="391"/>
      <c r="W277" s="391"/>
      <c r="X277" s="391"/>
      <c r="Y277" s="391"/>
      <c r="Z277" s="391"/>
    </row>
    <row r="278">
      <c r="A278" s="391"/>
      <c r="B278" s="391"/>
      <c r="C278" s="391"/>
      <c r="D278" s="391"/>
      <c r="E278" s="391"/>
      <c r="F278" s="391"/>
      <c r="G278" s="391"/>
      <c r="H278" s="391"/>
      <c r="I278" s="391"/>
      <c r="J278" s="391"/>
      <c r="K278" s="391"/>
      <c r="L278" s="391"/>
      <c r="M278" s="391"/>
      <c r="N278" s="391"/>
      <c r="O278" s="391"/>
      <c r="P278" s="391"/>
      <c r="Q278" s="391"/>
      <c r="R278" s="391"/>
      <c r="S278" s="391"/>
      <c r="T278" s="391"/>
      <c r="U278" s="391"/>
      <c r="V278" s="391"/>
      <c r="W278" s="391"/>
      <c r="X278" s="391"/>
      <c r="Y278" s="391"/>
      <c r="Z278" s="391"/>
    </row>
    <row r="279">
      <c r="A279" s="391"/>
      <c r="B279" s="391"/>
      <c r="C279" s="391"/>
      <c r="D279" s="391"/>
      <c r="E279" s="391"/>
      <c r="F279" s="391"/>
      <c r="G279" s="391"/>
      <c r="H279" s="391"/>
      <c r="I279" s="391"/>
      <c r="J279" s="391"/>
      <c r="K279" s="391"/>
      <c r="L279" s="391"/>
      <c r="M279" s="391"/>
      <c r="N279" s="391"/>
      <c r="O279" s="391"/>
      <c r="P279" s="391"/>
      <c r="Q279" s="391"/>
      <c r="R279" s="391"/>
      <c r="S279" s="391"/>
      <c r="T279" s="391"/>
      <c r="U279" s="391"/>
      <c r="V279" s="391"/>
      <c r="W279" s="391"/>
      <c r="X279" s="391"/>
      <c r="Y279" s="391"/>
      <c r="Z279" s="391"/>
    </row>
    <row r="280">
      <c r="A280" s="391"/>
      <c r="B280" s="391"/>
      <c r="C280" s="391"/>
      <c r="D280" s="391"/>
      <c r="E280" s="391"/>
      <c r="F280" s="391"/>
      <c r="G280" s="391"/>
      <c r="H280" s="391"/>
      <c r="I280" s="391"/>
      <c r="J280" s="391"/>
      <c r="K280" s="391"/>
      <c r="L280" s="391"/>
      <c r="M280" s="391"/>
      <c r="N280" s="391"/>
      <c r="O280" s="391"/>
      <c r="P280" s="391"/>
      <c r="Q280" s="391"/>
      <c r="R280" s="391"/>
      <c r="S280" s="391"/>
      <c r="T280" s="391"/>
      <c r="U280" s="391"/>
      <c r="V280" s="391"/>
      <c r="W280" s="391"/>
      <c r="X280" s="391"/>
      <c r="Y280" s="391"/>
      <c r="Z280" s="391"/>
    </row>
    <row r="281">
      <c r="A281" s="391"/>
      <c r="B281" s="391"/>
      <c r="C281" s="391"/>
      <c r="D281" s="391"/>
      <c r="E281" s="391"/>
      <c r="F281" s="391"/>
      <c r="G281" s="391"/>
      <c r="H281" s="391"/>
      <c r="I281" s="391"/>
      <c r="J281" s="391"/>
      <c r="K281" s="391"/>
      <c r="L281" s="391"/>
      <c r="M281" s="391"/>
      <c r="N281" s="391"/>
      <c r="O281" s="391"/>
      <c r="P281" s="391"/>
      <c r="Q281" s="391"/>
      <c r="R281" s="391"/>
      <c r="S281" s="391"/>
      <c r="T281" s="391"/>
      <c r="U281" s="391"/>
      <c r="V281" s="391"/>
      <c r="W281" s="391"/>
      <c r="X281" s="391"/>
      <c r="Y281" s="391"/>
      <c r="Z281" s="391"/>
    </row>
    <row r="282">
      <c r="A282" s="391"/>
      <c r="B282" s="391"/>
      <c r="C282" s="391"/>
      <c r="D282" s="391"/>
      <c r="E282" s="391"/>
      <c r="F282" s="391"/>
      <c r="G282" s="391"/>
      <c r="H282" s="391"/>
      <c r="I282" s="391"/>
      <c r="J282" s="391"/>
      <c r="K282" s="391"/>
      <c r="L282" s="391"/>
      <c r="M282" s="391"/>
      <c r="N282" s="391"/>
      <c r="O282" s="391"/>
      <c r="P282" s="391"/>
      <c r="Q282" s="391"/>
      <c r="R282" s="391"/>
      <c r="S282" s="391"/>
      <c r="T282" s="391"/>
      <c r="U282" s="391"/>
      <c r="V282" s="391"/>
      <c r="W282" s="391"/>
      <c r="X282" s="391"/>
      <c r="Y282" s="391"/>
      <c r="Z282" s="391"/>
    </row>
    <row r="283">
      <c r="A283" s="391"/>
      <c r="B283" s="391"/>
      <c r="C283" s="391"/>
      <c r="D283" s="391"/>
      <c r="E283" s="391"/>
      <c r="F283" s="391"/>
      <c r="G283" s="391"/>
      <c r="H283" s="391"/>
      <c r="I283" s="391"/>
      <c r="J283" s="391"/>
      <c r="K283" s="391"/>
      <c r="L283" s="391"/>
      <c r="M283" s="391"/>
      <c r="N283" s="391"/>
      <c r="O283" s="391"/>
      <c r="P283" s="391"/>
      <c r="Q283" s="391"/>
      <c r="R283" s="391"/>
      <c r="S283" s="391"/>
      <c r="T283" s="391"/>
      <c r="U283" s="391"/>
      <c r="V283" s="391"/>
      <c r="W283" s="391"/>
      <c r="X283" s="391"/>
      <c r="Y283" s="391"/>
      <c r="Z283" s="391"/>
    </row>
    <row r="284">
      <c r="A284" s="391"/>
      <c r="B284" s="391"/>
      <c r="C284" s="391"/>
      <c r="D284" s="391"/>
      <c r="E284" s="391"/>
      <c r="F284" s="391"/>
      <c r="G284" s="391"/>
      <c r="H284" s="391"/>
      <c r="I284" s="391"/>
      <c r="J284" s="391"/>
      <c r="K284" s="391"/>
      <c r="L284" s="391"/>
      <c r="M284" s="391"/>
      <c r="N284" s="391"/>
      <c r="O284" s="391"/>
      <c r="P284" s="391"/>
      <c r="Q284" s="391"/>
      <c r="R284" s="391"/>
      <c r="S284" s="391"/>
      <c r="T284" s="391"/>
      <c r="U284" s="391"/>
      <c r="V284" s="391"/>
      <c r="W284" s="391"/>
      <c r="X284" s="391"/>
      <c r="Y284" s="391"/>
      <c r="Z284" s="391"/>
    </row>
    <row r="285">
      <c r="A285" s="391"/>
      <c r="B285" s="391"/>
      <c r="C285" s="391"/>
      <c r="D285" s="391"/>
      <c r="E285" s="391"/>
      <c r="F285" s="391"/>
      <c r="G285" s="391"/>
      <c r="H285" s="391"/>
      <c r="I285" s="391"/>
      <c r="J285" s="391"/>
      <c r="K285" s="391"/>
      <c r="L285" s="391"/>
      <c r="M285" s="391"/>
      <c r="N285" s="391"/>
      <c r="O285" s="391"/>
      <c r="P285" s="391"/>
      <c r="Q285" s="391"/>
      <c r="R285" s="391"/>
      <c r="S285" s="391"/>
      <c r="T285" s="391"/>
      <c r="U285" s="391"/>
      <c r="V285" s="391"/>
      <c r="W285" s="391"/>
      <c r="X285" s="391"/>
      <c r="Y285" s="391"/>
      <c r="Z285" s="391"/>
    </row>
    <row r="286">
      <c r="A286" s="391"/>
      <c r="B286" s="391"/>
      <c r="C286" s="391"/>
      <c r="D286" s="391"/>
      <c r="E286" s="391"/>
      <c r="F286" s="391"/>
      <c r="G286" s="391"/>
      <c r="H286" s="391"/>
      <c r="I286" s="391"/>
      <c r="J286" s="391"/>
      <c r="K286" s="391"/>
      <c r="L286" s="391"/>
      <c r="M286" s="391"/>
      <c r="N286" s="391"/>
      <c r="O286" s="391"/>
      <c r="P286" s="391"/>
      <c r="Q286" s="391"/>
      <c r="R286" s="391"/>
      <c r="S286" s="391"/>
      <c r="T286" s="391"/>
      <c r="U286" s="391"/>
      <c r="V286" s="391"/>
      <c r="W286" s="391"/>
      <c r="X286" s="391"/>
      <c r="Y286" s="391"/>
      <c r="Z286" s="391"/>
    </row>
    <row r="287">
      <c r="A287" s="391"/>
      <c r="B287" s="391"/>
      <c r="C287" s="391"/>
      <c r="D287" s="391"/>
      <c r="E287" s="391"/>
      <c r="F287" s="391"/>
      <c r="G287" s="391"/>
      <c r="H287" s="391"/>
      <c r="I287" s="391"/>
      <c r="J287" s="391"/>
      <c r="K287" s="391"/>
      <c r="L287" s="391"/>
      <c r="M287" s="391"/>
      <c r="N287" s="391"/>
      <c r="O287" s="391"/>
      <c r="P287" s="391"/>
      <c r="Q287" s="391"/>
      <c r="R287" s="391"/>
      <c r="S287" s="391"/>
      <c r="T287" s="391"/>
      <c r="U287" s="391"/>
      <c r="V287" s="391"/>
      <c r="W287" s="391"/>
      <c r="X287" s="391"/>
      <c r="Y287" s="391"/>
      <c r="Z287" s="391"/>
    </row>
    <row r="288">
      <c r="A288" s="391"/>
      <c r="B288" s="391"/>
      <c r="C288" s="391"/>
      <c r="D288" s="391"/>
      <c r="E288" s="391"/>
      <c r="F288" s="391"/>
      <c r="G288" s="391"/>
      <c r="H288" s="391"/>
      <c r="I288" s="391"/>
      <c r="J288" s="391"/>
      <c r="K288" s="391"/>
      <c r="L288" s="391"/>
      <c r="M288" s="391"/>
      <c r="N288" s="391"/>
      <c r="O288" s="391"/>
      <c r="P288" s="391"/>
      <c r="Q288" s="391"/>
      <c r="R288" s="391"/>
      <c r="S288" s="391"/>
      <c r="T288" s="391"/>
      <c r="U288" s="391"/>
      <c r="V288" s="391"/>
      <c r="W288" s="391"/>
      <c r="X288" s="391"/>
      <c r="Y288" s="391"/>
      <c r="Z288" s="391"/>
    </row>
    <row r="289">
      <c r="A289" s="391"/>
      <c r="B289" s="391"/>
      <c r="C289" s="391"/>
      <c r="D289" s="391"/>
      <c r="E289" s="391"/>
      <c r="F289" s="391"/>
      <c r="G289" s="391"/>
      <c r="H289" s="391"/>
      <c r="I289" s="391"/>
      <c r="J289" s="391"/>
      <c r="K289" s="391"/>
      <c r="L289" s="391"/>
      <c r="M289" s="391"/>
      <c r="N289" s="391"/>
      <c r="O289" s="391"/>
      <c r="P289" s="391"/>
      <c r="Q289" s="391"/>
      <c r="R289" s="391"/>
      <c r="S289" s="391"/>
      <c r="T289" s="391"/>
      <c r="U289" s="391"/>
      <c r="V289" s="391"/>
      <c r="W289" s="391"/>
      <c r="X289" s="391"/>
      <c r="Y289" s="391"/>
      <c r="Z289" s="391"/>
    </row>
    <row r="290">
      <c r="A290" s="391"/>
      <c r="B290" s="391"/>
      <c r="C290" s="391"/>
      <c r="D290" s="391"/>
      <c r="E290" s="391"/>
      <c r="F290" s="391"/>
      <c r="G290" s="391"/>
      <c r="H290" s="391"/>
      <c r="I290" s="391"/>
      <c r="J290" s="391"/>
      <c r="K290" s="391"/>
      <c r="L290" s="391"/>
      <c r="M290" s="391"/>
      <c r="N290" s="391"/>
      <c r="O290" s="391"/>
      <c r="P290" s="391"/>
      <c r="Q290" s="391"/>
      <c r="R290" s="391"/>
      <c r="S290" s="391"/>
      <c r="T290" s="391"/>
      <c r="U290" s="391"/>
      <c r="V290" s="391"/>
      <c r="W290" s="391"/>
      <c r="X290" s="391"/>
      <c r="Y290" s="391"/>
      <c r="Z290" s="391"/>
    </row>
    <row r="291">
      <c r="A291" s="391"/>
      <c r="B291" s="391"/>
      <c r="C291" s="391"/>
      <c r="D291" s="391"/>
      <c r="E291" s="391"/>
      <c r="F291" s="391"/>
      <c r="G291" s="391"/>
      <c r="H291" s="391"/>
      <c r="I291" s="391"/>
      <c r="J291" s="391"/>
      <c r="K291" s="391"/>
      <c r="L291" s="391"/>
      <c r="M291" s="391"/>
      <c r="N291" s="391"/>
      <c r="O291" s="391"/>
      <c r="P291" s="391"/>
      <c r="Q291" s="391"/>
      <c r="R291" s="391"/>
      <c r="S291" s="391"/>
      <c r="T291" s="391"/>
      <c r="U291" s="391"/>
      <c r="V291" s="391"/>
      <c r="W291" s="391"/>
      <c r="X291" s="391"/>
      <c r="Y291" s="391"/>
      <c r="Z291" s="391"/>
    </row>
    <row r="292">
      <c r="A292" s="391"/>
      <c r="B292" s="391"/>
      <c r="C292" s="391"/>
      <c r="D292" s="391"/>
      <c r="E292" s="391"/>
      <c r="F292" s="391"/>
      <c r="G292" s="391"/>
      <c r="H292" s="391"/>
      <c r="I292" s="391"/>
      <c r="J292" s="391"/>
      <c r="K292" s="391"/>
      <c r="L292" s="391"/>
      <c r="M292" s="391"/>
      <c r="N292" s="391"/>
      <c r="O292" s="391"/>
      <c r="P292" s="391"/>
      <c r="Q292" s="391"/>
      <c r="R292" s="391"/>
      <c r="S292" s="391"/>
      <c r="T292" s="391"/>
      <c r="U292" s="391"/>
      <c r="V292" s="391"/>
      <c r="W292" s="391"/>
      <c r="X292" s="391"/>
      <c r="Y292" s="391"/>
      <c r="Z292" s="391"/>
    </row>
    <row r="293">
      <c r="A293" s="391"/>
      <c r="B293" s="391"/>
      <c r="C293" s="391"/>
      <c r="D293" s="391"/>
      <c r="E293" s="391"/>
      <c r="F293" s="391"/>
      <c r="G293" s="391"/>
      <c r="H293" s="391"/>
      <c r="I293" s="391"/>
      <c r="J293" s="391"/>
      <c r="K293" s="391"/>
      <c r="L293" s="391"/>
      <c r="M293" s="391"/>
      <c r="N293" s="391"/>
      <c r="O293" s="391"/>
      <c r="P293" s="391"/>
      <c r="Q293" s="391"/>
      <c r="R293" s="391"/>
      <c r="S293" s="391"/>
      <c r="T293" s="391"/>
      <c r="U293" s="391"/>
      <c r="V293" s="391"/>
      <c r="W293" s="391"/>
      <c r="X293" s="391"/>
      <c r="Y293" s="391"/>
      <c r="Z293" s="391"/>
    </row>
    <row r="294">
      <c r="A294" s="391"/>
      <c r="B294" s="391"/>
      <c r="C294" s="391"/>
      <c r="D294" s="391"/>
      <c r="E294" s="391"/>
      <c r="F294" s="391"/>
      <c r="G294" s="391"/>
      <c r="H294" s="391"/>
      <c r="I294" s="391"/>
      <c r="J294" s="391"/>
      <c r="K294" s="391"/>
      <c r="L294" s="391"/>
      <c r="M294" s="391"/>
      <c r="N294" s="391"/>
      <c r="O294" s="391"/>
      <c r="P294" s="391"/>
      <c r="Q294" s="391"/>
      <c r="R294" s="391"/>
      <c r="S294" s="391"/>
      <c r="T294" s="391"/>
      <c r="U294" s="391"/>
      <c r="V294" s="391"/>
      <c r="W294" s="391"/>
      <c r="X294" s="391"/>
      <c r="Y294" s="391"/>
      <c r="Z294" s="391"/>
    </row>
    <row r="295">
      <c r="A295" s="391"/>
      <c r="B295" s="391"/>
      <c r="C295" s="391"/>
      <c r="D295" s="391"/>
      <c r="E295" s="391"/>
      <c r="F295" s="391"/>
      <c r="G295" s="391"/>
      <c r="H295" s="391"/>
      <c r="I295" s="391"/>
      <c r="J295" s="391"/>
      <c r="K295" s="391"/>
      <c r="L295" s="391"/>
      <c r="M295" s="391"/>
      <c r="N295" s="391"/>
      <c r="O295" s="391"/>
      <c r="P295" s="391"/>
      <c r="Q295" s="391"/>
      <c r="R295" s="391"/>
      <c r="S295" s="391"/>
      <c r="T295" s="391"/>
      <c r="U295" s="391"/>
      <c r="V295" s="391"/>
      <c r="W295" s="391"/>
      <c r="X295" s="391"/>
      <c r="Y295" s="391"/>
      <c r="Z295" s="391"/>
    </row>
    <row r="296">
      <c r="A296" s="391"/>
      <c r="B296" s="391"/>
      <c r="C296" s="391"/>
      <c r="D296" s="391"/>
      <c r="E296" s="391"/>
      <c r="F296" s="391"/>
      <c r="G296" s="391"/>
      <c r="H296" s="391"/>
      <c r="I296" s="391"/>
      <c r="J296" s="391"/>
      <c r="K296" s="391"/>
      <c r="L296" s="391"/>
      <c r="M296" s="391"/>
      <c r="N296" s="391"/>
      <c r="O296" s="391"/>
      <c r="P296" s="391"/>
      <c r="Q296" s="391"/>
      <c r="R296" s="391"/>
      <c r="S296" s="391"/>
      <c r="T296" s="391"/>
      <c r="U296" s="391"/>
      <c r="V296" s="391"/>
      <c r="W296" s="391"/>
      <c r="X296" s="391"/>
      <c r="Y296" s="391"/>
      <c r="Z296" s="391"/>
    </row>
    <row r="297">
      <c r="A297" s="391"/>
      <c r="B297" s="391"/>
      <c r="C297" s="391"/>
      <c r="D297" s="391"/>
      <c r="E297" s="391"/>
      <c r="F297" s="391"/>
      <c r="G297" s="391"/>
      <c r="H297" s="391"/>
      <c r="I297" s="391"/>
      <c r="J297" s="391"/>
      <c r="K297" s="391"/>
      <c r="L297" s="391"/>
      <c r="M297" s="391"/>
      <c r="N297" s="391"/>
      <c r="O297" s="391"/>
      <c r="P297" s="391"/>
      <c r="Q297" s="391"/>
      <c r="R297" s="391"/>
      <c r="S297" s="391"/>
      <c r="T297" s="391"/>
      <c r="U297" s="391"/>
      <c r="V297" s="391"/>
      <c r="W297" s="391"/>
      <c r="X297" s="391"/>
      <c r="Y297" s="391"/>
      <c r="Z297" s="391"/>
    </row>
    <row r="298">
      <c r="A298" s="391"/>
      <c r="B298" s="391"/>
      <c r="C298" s="391"/>
      <c r="D298" s="391"/>
      <c r="E298" s="391"/>
      <c r="F298" s="391"/>
      <c r="G298" s="391"/>
      <c r="H298" s="391"/>
      <c r="I298" s="391"/>
      <c r="J298" s="391"/>
      <c r="K298" s="391"/>
      <c r="L298" s="391"/>
      <c r="M298" s="391"/>
      <c r="N298" s="391"/>
      <c r="O298" s="391"/>
      <c r="P298" s="391"/>
      <c r="Q298" s="391"/>
      <c r="R298" s="391"/>
      <c r="S298" s="391"/>
      <c r="T298" s="391"/>
      <c r="U298" s="391"/>
      <c r="V298" s="391"/>
      <c r="W298" s="391"/>
      <c r="X298" s="391"/>
      <c r="Y298" s="391"/>
      <c r="Z298" s="391"/>
    </row>
    <row r="299">
      <c r="A299" s="391"/>
      <c r="B299" s="391"/>
      <c r="C299" s="391"/>
      <c r="D299" s="391"/>
      <c r="E299" s="391"/>
      <c r="F299" s="391"/>
      <c r="G299" s="391"/>
      <c r="H299" s="391"/>
      <c r="I299" s="391"/>
      <c r="J299" s="391"/>
      <c r="K299" s="391"/>
      <c r="L299" s="391"/>
      <c r="M299" s="391"/>
      <c r="N299" s="391"/>
      <c r="O299" s="391"/>
      <c r="P299" s="391"/>
      <c r="Q299" s="391"/>
      <c r="R299" s="391"/>
      <c r="S299" s="391"/>
      <c r="T299" s="391"/>
      <c r="U299" s="391"/>
      <c r="V299" s="391"/>
      <c r="W299" s="391"/>
      <c r="X299" s="391"/>
      <c r="Y299" s="391"/>
      <c r="Z299" s="391"/>
    </row>
    <row r="300">
      <c r="A300" s="391"/>
      <c r="B300" s="391"/>
      <c r="C300" s="391"/>
      <c r="D300" s="391"/>
      <c r="E300" s="391"/>
      <c r="F300" s="391"/>
      <c r="G300" s="391"/>
      <c r="H300" s="391"/>
      <c r="I300" s="391"/>
      <c r="J300" s="391"/>
      <c r="K300" s="391"/>
      <c r="L300" s="391"/>
      <c r="M300" s="391"/>
      <c r="N300" s="391"/>
      <c r="O300" s="391"/>
      <c r="P300" s="391"/>
      <c r="Q300" s="391"/>
      <c r="R300" s="391"/>
      <c r="S300" s="391"/>
      <c r="T300" s="391"/>
      <c r="U300" s="391"/>
      <c r="V300" s="391"/>
      <c r="W300" s="391"/>
      <c r="X300" s="391"/>
      <c r="Y300" s="391"/>
      <c r="Z300" s="391"/>
    </row>
    <row r="301">
      <c r="A301" s="391"/>
      <c r="B301" s="391"/>
      <c r="C301" s="391"/>
      <c r="D301" s="391"/>
      <c r="E301" s="391"/>
      <c r="F301" s="391"/>
      <c r="G301" s="391"/>
      <c r="H301" s="391"/>
      <c r="I301" s="391"/>
      <c r="J301" s="391"/>
      <c r="K301" s="391"/>
      <c r="L301" s="391"/>
      <c r="M301" s="391"/>
      <c r="N301" s="391"/>
      <c r="O301" s="391"/>
      <c r="P301" s="391"/>
      <c r="Q301" s="391"/>
      <c r="R301" s="391"/>
      <c r="S301" s="391"/>
      <c r="T301" s="391"/>
      <c r="U301" s="391"/>
      <c r="V301" s="391"/>
      <c r="W301" s="391"/>
      <c r="X301" s="391"/>
      <c r="Y301" s="391"/>
      <c r="Z301" s="391"/>
    </row>
    <row r="302">
      <c r="A302" s="391"/>
      <c r="B302" s="391"/>
      <c r="C302" s="391"/>
      <c r="D302" s="391"/>
      <c r="E302" s="391"/>
      <c r="F302" s="391"/>
      <c r="G302" s="391"/>
      <c r="H302" s="391"/>
      <c r="I302" s="391"/>
      <c r="J302" s="391"/>
      <c r="K302" s="391"/>
      <c r="L302" s="391"/>
      <c r="M302" s="391"/>
      <c r="N302" s="391"/>
      <c r="O302" s="391"/>
      <c r="P302" s="391"/>
      <c r="Q302" s="391"/>
      <c r="R302" s="391"/>
      <c r="S302" s="391"/>
      <c r="T302" s="391"/>
      <c r="U302" s="391"/>
      <c r="V302" s="391"/>
      <c r="W302" s="391"/>
      <c r="X302" s="391"/>
      <c r="Y302" s="391"/>
      <c r="Z302" s="391"/>
    </row>
    <row r="303">
      <c r="A303" s="391"/>
      <c r="B303" s="391"/>
      <c r="C303" s="391"/>
      <c r="D303" s="391"/>
      <c r="E303" s="391"/>
      <c r="F303" s="391"/>
      <c r="G303" s="391"/>
      <c r="H303" s="391"/>
      <c r="I303" s="391"/>
      <c r="J303" s="391"/>
      <c r="K303" s="391"/>
      <c r="L303" s="391"/>
      <c r="M303" s="391"/>
      <c r="N303" s="391"/>
      <c r="O303" s="391"/>
      <c r="P303" s="391"/>
      <c r="Q303" s="391"/>
      <c r="R303" s="391"/>
      <c r="S303" s="391"/>
      <c r="T303" s="391"/>
      <c r="U303" s="391"/>
      <c r="V303" s="391"/>
      <c r="W303" s="391"/>
      <c r="X303" s="391"/>
      <c r="Y303" s="391"/>
      <c r="Z303" s="391"/>
    </row>
    <row r="304">
      <c r="A304" s="391"/>
      <c r="B304" s="391"/>
      <c r="C304" s="391"/>
      <c r="D304" s="391"/>
      <c r="E304" s="391"/>
      <c r="F304" s="391"/>
      <c r="G304" s="391"/>
      <c r="H304" s="391"/>
      <c r="I304" s="391"/>
      <c r="J304" s="391"/>
      <c r="K304" s="391"/>
      <c r="L304" s="391"/>
      <c r="M304" s="391"/>
      <c r="N304" s="391"/>
      <c r="O304" s="391"/>
      <c r="P304" s="391"/>
      <c r="Q304" s="391"/>
      <c r="R304" s="391"/>
      <c r="S304" s="391"/>
      <c r="T304" s="391"/>
      <c r="U304" s="391"/>
      <c r="V304" s="391"/>
      <c r="W304" s="391"/>
      <c r="X304" s="391"/>
      <c r="Y304" s="391"/>
      <c r="Z304" s="391"/>
    </row>
    <row r="305">
      <c r="A305" s="391"/>
      <c r="B305" s="391"/>
      <c r="C305" s="391"/>
      <c r="D305" s="391"/>
      <c r="E305" s="391"/>
      <c r="F305" s="391"/>
      <c r="G305" s="391"/>
      <c r="H305" s="391"/>
      <c r="I305" s="391"/>
      <c r="J305" s="391"/>
      <c r="K305" s="391"/>
      <c r="L305" s="391"/>
      <c r="M305" s="391"/>
      <c r="N305" s="391"/>
      <c r="O305" s="391"/>
      <c r="P305" s="391"/>
      <c r="Q305" s="391"/>
      <c r="R305" s="391"/>
      <c r="S305" s="391"/>
      <c r="T305" s="391"/>
      <c r="U305" s="391"/>
      <c r="V305" s="391"/>
      <c r="W305" s="391"/>
      <c r="X305" s="391"/>
      <c r="Y305" s="391"/>
      <c r="Z305" s="391"/>
    </row>
    <row r="306">
      <c r="A306" s="391"/>
      <c r="B306" s="391"/>
      <c r="C306" s="391"/>
      <c r="D306" s="391"/>
      <c r="E306" s="391"/>
      <c r="F306" s="391"/>
      <c r="G306" s="391"/>
      <c r="H306" s="391"/>
      <c r="I306" s="391"/>
      <c r="J306" s="391"/>
      <c r="K306" s="391"/>
      <c r="L306" s="391"/>
      <c r="M306" s="391"/>
      <c r="N306" s="391"/>
      <c r="O306" s="391"/>
      <c r="P306" s="391"/>
      <c r="Q306" s="391"/>
      <c r="R306" s="391"/>
      <c r="S306" s="391"/>
      <c r="T306" s="391"/>
      <c r="U306" s="391"/>
      <c r="V306" s="391"/>
      <c r="W306" s="391"/>
      <c r="X306" s="391"/>
      <c r="Y306" s="391"/>
      <c r="Z306" s="391"/>
    </row>
    <row r="307">
      <c r="A307" s="391"/>
      <c r="B307" s="391"/>
      <c r="C307" s="391"/>
      <c r="D307" s="391"/>
      <c r="E307" s="391"/>
      <c r="F307" s="391"/>
      <c r="G307" s="391"/>
      <c r="H307" s="391"/>
      <c r="I307" s="391"/>
      <c r="J307" s="391"/>
      <c r="K307" s="391"/>
      <c r="L307" s="391"/>
      <c r="M307" s="391"/>
      <c r="N307" s="391"/>
      <c r="O307" s="391"/>
      <c r="P307" s="391"/>
      <c r="Q307" s="391"/>
      <c r="R307" s="391"/>
      <c r="S307" s="391"/>
      <c r="T307" s="391"/>
      <c r="U307" s="391"/>
      <c r="V307" s="391"/>
      <c r="W307" s="391"/>
      <c r="X307" s="391"/>
      <c r="Y307" s="391"/>
      <c r="Z307" s="391"/>
    </row>
    <row r="308">
      <c r="A308" s="391"/>
      <c r="B308" s="391"/>
      <c r="C308" s="391"/>
      <c r="D308" s="391"/>
      <c r="E308" s="391"/>
      <c r="F308" s="391"/>
      <c r="G308" s="391"/>
      <c r="H308" s="391"/>
      <c r="I308" s="391"/>
      <c r="J308" s="391"/>
      <c r="K308" s="391"/>
      <c r="L308" s="391"/>
      <c r="M308" s="391"/>
      <c r="N308" s="391"/>
      <c r="O308" s="391"/>
      <c r="P308" s="391"/>
      <c r="Q308" s="391"/>
      <c r="R308" s="391"/>
      <c r="S308" s="391"/>
      <c r="T308" s="391"/>
      <c r="U308" s="391"/>
      <c r="V308" s="391"/>
      <c r="W308" s="391"/>
      <c r="X308" s="391"/>
      <c r="Y308" s="391"/>
      <c r="Z308" s="391"/>
    </row>
    <row r="309">
      <c r="A309" s="391"/>
      <c r="B309" s="391"/>
      <c r="C309" s="391"/>
      <c r="D309" s="391"/>
      <c r="E309" s="391"/>
      <c r="F309" s="391"/>
      <c r="G309" s="391"/>
      <c r="H309" s="391"/>
      <c r="I309" s="391"/>
      <c r="J309" s="391"/>
      <c r="K309" s="391"/>
      <c r="L309" s="391"/>
      <c r="M309" s="391"/>
      <c r="N309" s="391"/>
      <c r="O309" s="391"/>
      <c r="P309" s="391"/>
      <c r="Q309" s="391"/>
      <c r="R309" s="391"/>
      <c r="S309" s="391"/>
      <c r="T309" s="391"/>
      <c r="U309" s="391"/>
      <c r="V309" s="391"/>
      <c r="W309" s="391"/>
      <c r="X309" s="391"/>
      <c r="Y309" s="391"/>
      <c r="Z309" s="391"/>
    </row>
    <row r="310">
      <c r="A310" s="391"/>
      <c r="B310" s="391"/>
      <c r="C310" s="391"/>
      <c r="D310" s="391"/>
      <c r="E310" s="391"/>
      <c r="F310" s="391"/>
      <c r="G310" s="391"/>
      <c r="H310" s="391"/>
      <c r="I310" s="391"/>
      <c r="J310" s="391"/>
      <c r="K310" s="391"/>
      <c r="L310" s="391"/>
      <c r="M310" s="391"/>
      <c r="N310" s="391"/>
      <c r="O310" s="391"/>
      <c r="P310" s="391"/>
      <c r="Q310" s="391"/>
      <c r="R310" s="391"/>
      <c r="S310" s="391"/>
      <c r="T310" s="391"/>
      <c r="U310" s="391"/>
      <c r="V310" s="391"/>
      <c r="W310" s="391"/>
      <c r="X310" s="391"/>
      <c r="Y310" s="391"/>
      <c r="Z310" s="391"/>
    </row>
    <row r="311">
      <c r="A311" s="391"/>
      <c r="B311" s="391"/>
      <c r="C311" s="391"/>
      <c r="D311" s="391"/>
      <c r="E311" s="391"/>
      <c r="F311" s="391"/>
      <c r="G311" s="391"/>
      <c r="H311" s="391"/>
      <c r="I311" s="391"/>
      <c r="J311" s="391"/>
      <c r="K311" s="391"/>
      <c r="L311" s="391"/>
      <c r="M311" s="391"/>
      <c r="N311" s="391"/>
      <c r="O311" s="391"/>
      <c r="P311" s="391"/>
      <c r="Q311" s="391"/>
      <c r="R311" s="391"/>
      <c r="S311" s="391"/>
      <c r="T311" s="391"/>
      <c r="U311" s="391"/>
      <c r="V311" s="391"/>
      <c r="W311" s="391"/>
      <c r="X311" s="391"/>
      <c r="Y311" s="391"/>
      <c r="Z311" s="391"/>
    </row>
    <row r="312">
      <c r="A312" s="391"/>
      <c r="B312" s="391"/>
      <c r="C312" s="391"/>
      <c r="D312" s="391"/>
      <c r="E312" s="391"/>
      <c r="F312" s="391"/>
      <c r="G312" s="391"/>
      <c r="H312" s="391"/>
      <c r="I312" s="391"/>
      <c r="J312" s="391"/>
      <c r="K312" s="391"/>
      <c r="L312" s="391"/>
      <c r="M312" s="391"/>
      <c r="N312" s="391"/>
      <c r="O312" s="391"/>
      <c r="P312" s="391"/>
      <c r="Q312" s="391"/>
      <c r="R312" s="391"/>
      <c r="S312" s="391"/>
      <c r="T312" s="391"/>
      <c r="U312" s="391"/>
      <c r="V312" s="391"/>
      <c r="W312" s="391"/>
      <c r="X312" s="391"/>
      <c r="Y312" s="391"/>
      <c r="Z312" s="391"/>
    </row>
    <row r="313">
      <c r="A313" s="391"/>
      <c r="B313" s="391"/>
      <c r="C313" s="391"/>
      <c r="D313" s="391"/>
      <c r="E313" s="391"/>
      <c r="F313" s="391"/>
      <c r="G313" s="391"/>
      <c r="H313" s="391"/>
      <c r="I313" s="391"/>
      <c r="J313" s="391"/>
      <c r="K313" s="391"/>
      <c r="L313" s="391"/>
      <c r="M313" s="391"/>
      <c r="N313" s="391"/>
      <c r="O313" s="391"/>
      <c r="P313" s="391"/>
      <c r="Q313" s="391"/>
      <c r="R313" s="391"/>
      <c r="S313" s="391"/>
      <c r="T313" s="391"/>
      <c r="U313" s="391"/>
      <c r="V313" s="391"/>
      <c r="W313" s="391"/>
      <c r="X313" s="391"/>
      <c r="Y313" s="391"/>
      <c r="Z313" s="391"/>
    </row>
    <row r="314">
      <c r="A314" s="391"/>
      <c r="B314" s="391"/>
      <c r="C314" s="391"/>
      <c r="D314" s="391"/>
      <c r="E314" s="391"/>
      <c r="F314" s="391"/>
      <c r="G314" s="391"/>
      <c r="H314" s="391"/>
      <c r="I314" s="391"/>
      <c r="J314" s="391"/>
      <c r="K314" s="391"/>
      <c r="L314" s="391"/>
      <c r="M314" s="391"/>
      <c r="N314" s="391"/>
      <c r="O314" s="391"/>
      <c r="P314" s="391"/>
      <c r="Q314" s="391"/>
      <c r="R314" s="391"/>
      <c r="S314" s="391"/>
      <c r="T314" s="391"/>
      <c r="U314" s="391"/>
      <c r="V314" s="391"/>
      <c r="W314" s="391"/>
      <c r="X314" s="391"/>
      <c r="Y314" s="391"/>
      <c r="Z314" s="391"/>
    </row>
    <row r="315">
      <c r="A315" s="391"/>
      <c r="B315" s="391"/>
      <c r="C315" s="391"/>
      <c r="D315" s="391"/>
      <c r="E315" s="391"/>
      <c r="F315" s="391"/>
      <c r="G315" s="391"/>
      <c r="H315" s="391"/>
      <c r="I315" s="391"/>
      <c r="J315" s="391"/>
      <c r="K315" s="391"/>
      <c r="L315" s="391"/>
      <c r="M315" s="391"/>
      <c r="N315" s="391"/>
      <c r="O315" s="391"/>
      <c r="P315" s="391"/>
      <c r="Q315" s="391"/>
      <c r="R315" s="391"/>
      <c r="S315" s="391"/>
      <c r="T315" s="391"/>
      <c r="U315" s="391"/>
      <c r="V315" s="391"/>
      <c r="W315" s="391"/>
      <c r="X315" s="391"/>
      <c r="Y315" s="391"/>
      <c r="Z315" s="391"/>
    </row>
    <row r="316">
      <c r="A316" s="391"/>
      <c r="B316" s="391"/>
      <c r="C316" s="391"/>
      <c r="D316" s="391"/>
      <c r="E316" s="391"/>
      <c r="F316" s="391"/>
      <c r="G316" s="391"/>
      <c r="H316" s="391"/>
      <c r="I316" s="391"/>
      <c r="J316" s="391"/>
      <c r="K316" s="391"/>
      <c r="L316" s="391"/>
      <c r="M316" s="391"/>
      <c r="N316" s="391"/>
      <c r="O316" s="391"/>
      <c r="P316" s="391"/>
      <c r="Q316" s="391"/>
      <c r="R316" s="391"/>
      <c r="S316" s="391"/>
      <c r="T316" s="391"/>
      <c r="U316" s="391"/>
      <c r="V316" s="391"/>
      <c r="W316" s="391"/>
      <c r="X316" s="391"/>
      <c r="Y316" s="391"/>
      <c r="Z316" s="391"/>
    </row>
    <row r="317">
      <c r="A317" s="391"/>
      <c r="B317" s="391"/>
      <c r="C317" s="391"/>
      <c r="D317" s="391"/>
      <c r="E317" s="391"/>
      <c r="F317" s="391"/>
      <c r="G317" s="391"/>
      <c r="H317" s="391"/>
      <c r="I317" s="391"/>
      <c r="J317" s="391"/>
      <c r="K317" s="391"/>
      <c r="L317" s="391"/>
      <c r="M317" s="391"/>
      <c r="N317" s="391"/>
      <c r="O317" s="391"/>
      <c r="P317" s="391"/>
      <c r="Q317" s="391"/>
      <c r="R317" s="391"/>
      <c r="S317" s="391"/>
      <c r="T317" s="391"/>
      <c r="U317" s="391"/>
      <c r="V317" s="391"/>
      <c r="W317" s="391"/>
      <c r="X317" s="391"/>
      <c r="Y317" s="391"/>
      <c r="Z317" s="391"/>
    </row>
    <row r="318">
      <c r="A318" s="391"/>
      <c r="B318" s="391"/>
      <c r="C318" s="391"/>
      <c r="D318" s="391"/>
      <c r="E318" s="391"/>
      <c r="F318" s="391"/>
      <c r="G318" s="391"/>
      <c r="H318" s="391"/>
      <c r="I318" s="391"/>
      <c r="J318" s="391"/>
      <c r="K318" s="391"/>
      <c r="L318" s="391"/>
      <c r="M318" s="391"/>
      <c r="N318" s="391"/>
      <c r="O318" s="391"/>
      <c r="P318" s="391"/>
      <c r="Q318" s="391"/>
      <c r="R318" s="391"/>
      <c r="S318" s="391"/>
      <c r="T318" s="391"/>
      <c r="U318" s="391"/>
      <c r="V318" s="391"/>
      <c r="W318" s="391"/>
      <c r="X318" s="391"/>
      <c r="Y318" s="391"/>
      <c r="Z318" s="391"/>
    </row>
    <row r="319">
      <c r="A319" s="391"/>
      <c r="B319" s="391"/>
      <c r="C319" s="391"/>
      <c r="D319" s="391"/>
      <c r="E319" s="391"/>
      <c r="F319" s="391"/>
      <c r="G319" s="391"/>
      <c r="H319" s="391"/>
      <c r="I319" s="391"/>
      <c r="J319" s="391"/>
      <c r="K319" s="391"/>
      <c r="L319" s="391"/>
      <c r="M319" s="391"/>
      <c r="N319" s="391"/>
      <c r="O319" s="391"/>
      <c r="P319" s="391"/>
      <c r="Q319" s="391"/>
      <c r="R319" s="391"/>
      <c r="S319" s="391"/>
      <c r="T319" s="391"/>
      <c r="U319" s="391"/>
      <c r="V319" s="391"/>
      <c r="W319" s="391"/>
      <c r="X319" s="391"/>
      <c r="Y319" s="391"/>
      <c r="Z319" s="391"/>
    </row>
    <row r="320">
      <c r="A320" s="391"/>
      <c r="B320" s="391"/>
      <c r="C320" s="391"/>
      <c r="D320" s="391"/>
      <c r="E320" s="391"/>
      <c r="F320" s="391"/>
      <c r="G320" s="391"/>
      <c r="H320" s="391"/>
      <c r="I320" s="391"/>
      <c r="J320" s="391"/>
      <c r="K320" s="391"/>
      <c r="L320" s="391"/>
      <c r="M320" s="391"/>
      <c r="N320" s="391"/>
      <c r="O320" s="391"/>
      <c r="P320" s="391"/>
      <c r="Q320" s="391"/>
      <c r="R320" s="391"/>
      <c r="S320" s="391"/>
      <c r="T320" s="391"/>
      <c r="U320" s="391"/>
      <c r="V320" s="391"/>
      <c r="W320" s="391"/>
      <c r="X320" s="391"/>
      <c r="Y320" s="391"/>
      <c r="Z320" s="391"/>
    </row>
    <row r="321">
      <c r="A321" s="391"/>
      <c r="B321" s="391"/>
      <c r="C321" s="391"/>
      <c r="D321" s="391"/>
      <c r="E321" s="391"/>
      <c r="F321" s="391"/>
      <c r="G321" s="391"/>
      <c r="H321" s="391"/>
      <c r="I321" s="391"/>
      <c r="J321" s="391"/>
      <c r="K321" s="391"/>
      <c r="L321" s="391"/>
      <c r="M321" s="391"/>
      <c r="N321" s="391"/>
      <c r="O321" s="391"/>
      <c r="P321" s="391"/>
      <c r="Q321" s="391"/>
      <c r="R321" s="391"/>
      <c r="S321" s="391"/>
      <c r="T321" s="391"/>
      <c r="U321" s="391"/>
      <c r="V321" s="391"/>
      <c r="W321" s="391"/>
      <c r="X321" s="391"/>
      <c r="Y321" s="391"/>
      <c r="Z321" s="391"/>
    </row>
    <row r="322">
      <c r="A322" s="391"/>
      <c r="B322" s="391"/>
      <c r="C322" s="391"/>
      <c r="D322" s="391"/>
      <c r="E322" s="391"/>
      <c r="F322" s="391"/>
      <c r="G322" s="391"/>
      <c r="H322" s="391"/>
      <c r="I322" s="391"/>
      <c r="J322" s="391"/>
      <c r="K322" s="391"/>
      <c r="L322" s="391"/>
      <c r="M322" s="391"/>
      <c r="N322" s="391"/>
      <c r="O322" s="391"/>
      <c r="P322" s="391"/>
      <c r="Q322" s="391"/>
      <c r="R322" s="391"/>
      <c r="S322" s="391"/>
      <c r="T322" s="391"/>
      <c r="U322" s="391"/>
      <c r="V322" s="391"/>
      <c r="W322" s="391"/>
      <c r="X322" s="391"/>
      <c r="Y322" s="391"/>
      <c r="Z322" s="391"/>
    </row>
    <row r="323">
      <c r="A323" s="391"/>
      <c r="B323" s="391"/>
      <c r="C323" s="391"/>
      <c r="D323" s="391"/>
      <c r="E323" s="391"/>
      <c r="F323" s="391"/>
      <c r="G323" s="391"/>
      <c r="H323" s="391"/>
      <c r="I323" s="391"/>
      <c r="J323" s="391"/>
      <c r="K323" s="391"/>
      <c r="L323" s="391"/>
      <c r="M323" s="391"/>
      <c r="N323" s="391"/>
      <c r="O323" s="391"/>
      <c r="P323" s="391"/>
      <c r="Q323" s="391"/>
      <c r="R323" s="391"/>
      <c r="S323" s="391"/>
      <c r="T323" s="391"/>
      <c r="U323" s="391"/>
      <c r="V323" s="391"/>
      <c r="W323" s="391"/>
      <c r="X323" s="391"/>
      <c r="Y323" s="391"/>
      <c r="Z323" s="391"/>
    </row>
    <row r="324">
      <c r="A324" s="391"/>
      <c r="B324" s="391"/>
      <c r="C324" s="391"/>
      <c r="D324" s="391"/>
      <c r="E324" s="391"/>
      <c r="F324" s="391"/>
      <c r="G324" s="391"/>
      <c r="H324" s="391"/>
      <c r="I324" s="391"/>
      <c r="J324" s="391"/>
      <c r="K324" s="391"/>
      <c r="L324" s="391"/>
      <c r="M324" s="391"/>
      <c r="N324" s="391"/>
      <c r="O324" s="391"/>
      <c r="P324" s="391"/>
      <c r="Q324" s="391"/>
      <c r="R324" s="391"/>
      <c r="S324" s="391"/>
      <c r="T324" s="391"/>
      <c r="U324" s="391"/>
      <c r="V324" s="391"/>
      <c r="W324" s="391"/>
      <c r="X324" s="391"/>
      <c r="Y324" s="391"/>
      <c r="Z324" s="391"/>
    </row>
    <row r="325">
      <c r="A325" s="391"/>
      <c r="B325" s="391"/>
      <c r="C325" s="391"/>
      <c r="D325" s="391"/>
      <c r="E325" s="391"/>
      <c r="F325" s="391"/>
      <c r="G325" s="391"/>
      <c r="H325" s="391"/>
      <c r="I325" s="391"/>
      <c r="J325" s="391"/>
      <c r="K325" s="391"/>
      <c r="L325" s="391"/>
      <c r="M325" s="391"/>
      <c r="N325" s="391"/>
      <c r="O325" s="391"/>
      <c r="P325" s="391"/>
      <c r="Q325" s="391"/>
      <c r="R325" s="391"/>
      <c r="S325" s="391"/>
      <c r="T325" s="391"/>
      <c r="U325" s="391"/>
      <c r="V325" s="391"/>
      <c r="W325" s="391"/>
      <c r="X325" s="391"/>
      <c r="Y325" s="391"/>
      <c r="Z325" s="391"/>
    </row>
    <row r="326">
      <c r="A326" s="391"/>
      <c r="B326" s="391"/>
      <c r="C326" s="391"/>
      <c r="D326" s="391"/>
      <c r="E326" s="391"/>
      <c r="F326" s="391"/>
      <c r="G326" s="391"/>
      <c r="H326" s="391"/>
      <c r="I326" s="391"/>
      <c r="J326" s="391"/>
      <c r="K326" s="391"/>
      <c r="L326" s="391"/>
      <c r="M326" s="391"/>
      <c r="N326" s="391"/>
      <c r="O326" s="391"/>
      <c r="P326" s="391"/>
      <c r="Q326" s="391"/>
      <c r="R326" s="391"/>
      <c r="S326" s="391"/>
      <c r="T326" s="391"/>
      <c r="U326" s="391"/>
      <c r="V326" s="391"/>
      <c r="W326" s="391"/>
      <c r="X326" s="391"/>
      <c r="Y326" s="391"/>
      <c r="Z326" s="391"/>
    </row>
    <row r="327">
      <c r="A327" s="391"/>
      <c r="B327" s="391"/>
      <c r="C327" s="391"/>
      <c r="D327" s="391"/>
      <c r="E327" s="391"/>
      <c r="F327" s="391"/>
      <c r="G327" s="391"/>
      <c r="H327" s="391"/>
      <c r="I327" s="391"/>
      <c r="J327" s="391"/>
      <c r="K327" s="391"/>
      <c r="L327" s="391"/>
      <c r="M327" s="391"/>
      <c r="N327" s="391"/>
      <c r="O327" s="391"/>
      <c r="P327" s="391"/>
      <c r="Q327" s="391"/>
      <c r="R327" s="391"/>
      <c r="S327" s="391"/>
      <c r="T327" s="391"/>
      <c r="U327" s="391"/>
      <c r="V327" s="391"/>
      <c r="W327" s="391"/>
      <c r="X327" s="391"/>
      <c r="Y327" s="391"/>
      <c r="Z327" s="391"/>
    </row>
    <row r="328">
      <c r="A328" s="391"/>
      <c r="B328" s="391"/>
      <c r="C328" s="391"/>
      <c r="D328" s="391"/>
      <c r="E328" s="391"/>
      <c r="F328" s="391"/>
      <c r="G328" s="391"/>
      <c r="H328" s="391"/>
      <c r="I328" s="391"/>
      <c r="J328" s="391"/>
      <c r="K328" s="391"/>
      <c r="L328" s="391"/>
      <c r="M328" s="391"/>
      <c r="N328" s="391"/>
      <c r="O328" s="391"/>
      <c r="P328" s="391"/>
      <c r="Q328" s="391"/>
      <c r="R328" s="391"/>
      <c r="S328" s="391"/>
      <c r="T328" s="391"/>
      <c r="U328" s="391"/>
      <c r="V328" s="391"/>
      <c r="W328" s="391"/>
      <c r="X328" s="391"/>
      <c r="Y328" s="391"/>
      <c r="Z328" s="391"/>
    </row>
    <row r="329">
      <c r="A329" s="391"/>
      <c r="B329" s="391"/>
      <c r="C329" s="391"/>
      <c r="D329" s="391"/>
      <c r="E329" s="391"/>
      <c r="F329" s="391"/>
      <c r="G329" s="391"/>
      <c r="H329" s="391"/>
      <c r="I329" s="391"/>
      <c r="J329" s="391"/>
      <c r="K329" s="391"/>
      <c r="L329" s="391"/>
      <c r="M329" s="391"/>
      <c r="N329" s="391"/>
      <c r="O329" s="391"/>
      <c r="P329" s="391"/>
      <c r="Q329" s="391"/>
      <c r="R329" s="391"/>
      <c r="S329" s="391"/>
      <c r="T329" s="391"/>
      <c r="U329" s="391"/>
      <c r="V329" s="391"/>
      <c r="W329" s="391"/>
      <c r="X329" s="391"/>
      <c r="Y329" s="391"/>
      <c r="Z329" s="391"/>
    </row>
    <row r="330">
      <c r="A330" s="391"/>
      <c r="B330" s="391"/>
      <c r="C330" s="391"/>
      <c r="D330" s="391"/>
      <c r="E330" s="391"/>
      <c r="F330" s="391"/>
      <c r="G330" s="391"/>
      <c r="H330" s="391"/>
      <c r="I330" s="391"/>
      <c r="J330" s="391"/>
      <c r="K330" s="391"/>
      <c r="L330" s="391"/>
      <c r="M330" s="391"/>
      <c r="N330" s="391"/>
      <c r="O330" s="391"/>
      <c r="P330" s="391"/>
      <c r="Q330" s="391"/>
      <c r="R330" s="391"/>
      <c r="S330" s="391"/>
      <c r="T330" s="391"/>
      <c r="U330" s="391"/>
      <c r="V330" s="391"/>
      <c r="W330" s="391"/>
      <c r="X330" s="391"/>
      <c r="Y330" s="391"/>
      <c r="Z330" s="391"/>
    </row>
    <row r="331">
      <c r="A331" s="391"/>
      <c r="B331" s="391"/>
      <c r="C331" s="391"/>
      <c r="D331" s="391"/>
      <c r="E331" s="391"/>
      <c r="F331" s="391"/>
      <c r="G331" s="391"/>
      <c r="H331" s="391"/>
      <c r="I331" s="391"/>
      <c r="J331" s="391"/>
      <c r="K331" s="391"/>
      <c r="L331" s="391"/>
      <c r="M331" s="391"/>
      <c r="N331" s="391"/>
      <c r="O331" s="391"/>
      <c r="P331" s="391"/>
      <c r="Q331" s="391"/>
      <c r="R331" s="391"/>
      <c r="S331" s="391"/>
      <c r="T331" s="391"/>
      <c r="U331" s="391"/>
      <c r="V331" s="391"/>
      <c r="W331" s="391"/>
      <c r="X331" s="391"/>
      <c r="Y331" s="391"/>
      <c r="Z331" s="391"/>
    </row>
    <row r="332">
      <c r="A332" s="391"/>
      <c r="B332" s="391"/>
      <c r="C332" s="391"/>
      <c r="D332" s="391"/>
      <c r="E332" s="391"/>
      <c r="F332" s="391"/>
      <c r="G332" s="391"/>
      <c r="H332" s="391"/>
      <c r="I332" s="391"/>
      <c r="J332" s="391"/>
      <c r="K332" s="391"/>
      <c r="L332" s="391"/>
      <c r="M332" s="391"/>
      <c r="N332" s="391"/>
      <c r="O332" s="391"/>
      <c r="P332" s="391"/>
      <c r="Q332" s="391"/>
      <c r="R332" s="391"/>
      <c r="S332" s="391"/>
      <c r="T332" s="391"/>
      <c r="U332" s="391"/>
      <c r="V332" s="391"/>
      <c r="W332" s="391"/>
      <c r="X332" s="391"/>
      <c r="Y332" s="391"/>
      <c r="Z332" s="391"/>
    </row>
    <row r="333">
      <c r="A333" s="391"/>
      <c r="B333" s="391"/>
      <c r="C333" s="391"/>
      <c r="D333" s="391"/>
      <c r="E333" s="391"/>
      <c r="F333" s="391"/>
      <c r="G333" s="391"/>
      <c r="H333" s="391"/>
      <c r="I333" s="391"/>
      <c r="J333" s="391"/>
      <c r="K333" s="391"/>
      <c r="L333" s="391"/>
      <c r="M333" s="391"/>
      <c r="N333" s="391"/>
      <c r="O333" s="391"/>
      <c r="P333" s="391"/>
      <c r="Q333" s="391"/>
      <c r="R333" s="391"/>
      <c r="S333" s="391"/>
      <c r="T333" s="391"/>
      <c r="U333" s="391"/>
      <c r="V333" s="391"/>
      <c r="W333" s="391"/>
      <c r="X333" s="391"/>
      <c r="Y333" s="391"/>
      <c r="Z333" s="391"/>
    </row>
    <row r="334">
      <c r="A334" s="391"/>
      <c r="B334" s="391"/>
      <c r="C334" s="391"/>
      <c r="D334" s="391"/>
      <c r="E334" s="391"/>
      <c r="F334" s="391"/>
      <c r="G334" s="391"/>
      <c r="H334" s="391"/>
      <c r="I334" s="391"/>
      <c r="J334" s="391"/>
      <c r="K334" s="391"/>
      <c r="L334" s="391"/>
      <c r="M334" s="391"/>
      <c r="N334" s="391"/>
      <c r="O334" s="391"/>
      <c r="P334" s="391"/>
      <c r="Q334" s="391"/>
      <c r="R334" s="391"/>
      <c r="S334" s="391"/>
      <c r="T334" s="391"/>
      <c r="U334" s="391"/>
      <c r="V334" s="391"/>
      <c r="W334" s="391"/>
      <c r="X334" s="391"/>
      <c r="Y334" s="391"/>
      <c r="Z334" s="391"/>
    </row>
    <row r="335">
      <c r="A335" s="391"/>
      <c r="B335" s="391"/>
      <c r="C335" s="391"/>
      <c r="D335" s="391"/>
      <c r="E335" s="391"/>
      <c r="F335" s="391"/>
      <c r="G335" s="391"/>
      <c r="H335" s="391"/>
      <c r="I335" s="391"/>
      <c r="J335" s="391"/>
      <c r="K335" s="391"/>
      <c r="L335" s="391"/>
      <c r="M335" s="391"/>
      <c r="N335" s="391"/>
      <c r="O335" s="391"/>
      <c r="P335" s="391"/>
      <c r="Q335" s="391"/>
      <c r="R335" s="391"/>
      <c r="S335" s="391"/>
      <c r="T335" s="391"/>
      <c r="U335" s="391"/>
      <c r="V335" s="391"/>
      <c r="W335" s="391"/>
      <c r="X335" s="391"/>
      <c r="Y335" s="391"/>
      <c r="Z335" s="391"/>
    </row>
    <row r="336">
      <c r="A336" s="391"/>
      <c r="B336" s="391"/>
      <c r="C336" s="391"/>
      <c r="D336" s="391"/>
      <c r="E336" s="391"/>
      <c r="F336" s="391"/>
      <c r="G336" s="391"/>
      <c r="H336" s="391"/>
      <c r="I336" s="391"/>
      <c r="J336" s="391"/>
      <c r="K336" s="391"/>
      <c r="L336" s="391"/>
      <c r="M336" s="391"/>
      <c r="N336" s="391"/>
      <c r="O336" s="391"/>
      <c r="P336" s="391"/>
      <c r="Q336" s="391"/>
      <c r="R336" s="391"/>
      <c r="S336" s="391"/>
      <c r="T336" s="391"/>
      <c r="U336" s="391"/>
      <c r="V336" s="391"/>
      <c r="W336" s="391"/>
      <c r="X336" s="391"/>
      <c r="Y336" s="391"/>
      <c r="Z336" s="391"/>
    </row>
    <row r="337">
      <c r="A337" s="391"/>
      <c r="B337" s="391"/>
      <c r="C337" s="391"/>
      <c r="D337" s="391"/>
      <c r="E337" s="391"/>
      <c r="F337" s="391"/>
      <c r="G337" s="391"/>
      <c r="H337" s="391"/>
      <c r="I337" s="391"/>
      <c r="J337" s="391"/>
      <c r="K337" s="391"/>
      <c r="L337" s="391"/>
      <c r="M337" s="391"/>
      <c r="N337" s="391"/>
      <c r="O337" s="391"/>
      <c r="P337" s="391"/>
      <c r="Q337" s="391"/>
      <c r="R337" s="391"/>
      <c r="S337" s="391"/>
      <c r="T337" s="391"/>
      <c r="U337" s="391"/>
      <c r="V337" s="391"/>
      <c r="W337" s="391"/>
      <c r="X337" s="391"/>
      <c r="Y337" s="391"/>
      <c r="Z337" s="391"/>
    </row>
    <row r="338">
      <c r="A338" s="391"/>
      <c r="B338" s="391"/>
      <c r="C338" s="391"/>
      <c r="D338" s="391"/>
      <c r="E338" s="391"/>
      <c r="F338" s="391"/>
      <c r="G338" s="391"/>
      <c r="H338" s="391"/>
      <c r="I338" s="391"/>
      <c r="J338" s="391"/>
      <c r="K338" s="391"/>
      <c r="L338" s="391"/>
      <c r="M338" s="391"/>
      <c r="N338" s="391"/>
      <c r="O338" s="391"/>
      <c r="P338" s="391"/>
      <c r="Q338" s="391"/>
      <c r="R338" s="391"/>
      <c r="S338" s="391"/>
      <c r="T338" s="391"/>
      <c r="U338" s="391"/>
      <c r="V338" s="391"/>
      <c r="W338" s="391"/>
      <c r="X338" s="391"/>
      <c r="Y338" s="391"/>
      <c r="Z338" s="391"/>
    </row>
    <row r="339">
      <c r="A339" s="391"/>
      <c r="B339" s="391"/>
      <c r="C339" s="391"/>
      <c r="D339" s="391"/>
      <c r="E339" s="391"/>
      <c r="F339" s="391"/>
      <c r="G339" s="391"/>
      <c r="H339" s="391"/>
      <c r="I339" s="391"/>
      <c r="J339" s="391"/>
      <c r="K339" s="391"/>
      <c r="L339" s="391"/>
      <c r="M339" s="391"/>
      <c r="N339" s="391"/>
      <c r="O339" s="391"/>
      <c r="P339" s="391"/>
      <c r="Q339" s="391"/>
      <c r="R339" s="391"/>
      <c r="S339" s="391"/>
      <c r="T339" s="391"/>
      <c r="U339" s="391"/>
      <c r="V339" s="391"/>
      <c r="W339" s="391"/>
      <c r="X339" s="391"/>
      <c r="Y339" s="391"/>
      <c r="Z339" s="391"/>
    </row>
    <row r="340">
      <c r="A340" s="391"/>
      <c r="B340" s="391"/>
      <c r="C340" s="391"/>
      <c r="D340" s="391"/>
      <c r="E340" s="391"/>
      <c r="F340" s="391"/>
      <c r="G340" s="391"/>
      <c r="H340" s="391"/>
      <c r="I340" s="391"/>
      <c r="J340" s="391"/>
      <c r="K340" s="391"/>
      <c r="L340" s="391"/>
      <c r="M340" s="391"/>
      <c r="N340" s="391"/>
      <c r="O340" s="391"/>
      <c r="P340" s="391"/>
      <c r="Q340" s="391"/>
      <c r="R340" s="391"/>
      <c r="S340" s="391"/>
      <c r="T340" s="391"/>
      <c r="U340" s="391"/>
      <c r="V340" s="391"/>
      <c r="W340" s="391"/>
      <c r="X340" s="391"/>
      <c r="Y340" s="391"/>
      <c r="Z340" s="391"/>
    </row>
    <row r="341">
      <c r="A341" s="391"/>
      <c r="B341" s="391"/>
      <c r="C341" s="391"/>
      <c r="D341" s="391"/>
      <c r="E341" s="391"/>
      <c r="F341" s="391"/>
      <c r="G341" s="391"/>
      <c r="H341" s="391"/>
      <c r="I341" s="391"/>
      <c r="J341" s="391"/>
      <c r="K341" s="391"/>
      <c r="L341" s="391"/>
      <c r="M341" s="391"/>
      <c r="N341" s="391"/>
      <c r="O341" s="391"/>
      <c r="P341" s="391"/>
      <c r="Q341" s="391"/>
      <c r="R341" s="391"/>
      <c r="S341" s="391"/>
      <c r="T341" s="391"/>
      <c r="U341" s="391"/>
      <c r="V341" s="391"/>
      <c r="W341" s="391"/>
      <c r="X341" s="391"/>
      <c r="Y341" s="391"/>
      <c r="Z341" s="391"/>
    </row>
    <row r="342">
      <c r="A342" s="391"/>
      <c r="B342" s="391"/>
      <c r="C342" s="391"/>
      <c r="D342" s="391"/>
      <c r="E342" s="391"/>
      <c r="F342" s="391"/>
      <c r="G342" s="391"/>
      <c r="H342" s="391"/>
      <c r="I342" s="391"/>
      <c r="J342" s="391"/>
      <c r="K342" s="391"/>
      <c r="L342" s="391"/>
      <c r="M342" s="391"/>
      <c r="N342" s="391"/>
      <c r="O342" s="391"/>
      <c r="P342" s="391"/>
      <c r="Q342" s="391"/>
      <c r="R342" s="391"/>
      <c r="S342" s="391"/>
      <c r="T342" s="391"/>
      <c r="U342" s="391"/>
      <c r="V342" s="391"/>
      <c r="W342" s="391"/>
      <c r="X342" s="391"/>
      <c r="Y342" s="391"/>
      <c r="Z342" s="391"/>
    </row>
    <row r="343">
      <c r="A343" s="391"/>
      <c r="B343" s="391"/>
      <c r="C343" s="391"/>
      <c r="D343" s="391"/>
      <c r="E343" s="391"/>
      <c r="F343" s="391"/>
      <c r="G343" s="391"/>
      <c r="H343" s="391"/>
      <c r="I343" s="391"/>
      <c r="J343" s="391"/>
      <c r="K343" s="391"/>
      <c r="L343" s="391"/>
      <c r="M343" s="391"/>
      <c r="N343" s="391"/>
      <c r="O343" s="391"/>
      <c r="P343" s="391"/>
      <c r="Q343" s="391"/>
      <c r="R343" s="391"/>
      <c r="S343" s="391"/>
      <c r="T343" s="391"/>
      <c r="U343" s="391"/>
      <c r="V343" s="391"/>
      <c r="W343" s="391"/>
      <c r="X343" s="391"/>
      <c r="Y343" s="391"/>
      <c r="Z343" s="391"/>
    </row>
    <row r="344">
      <c r="A344" s="391"/>
      <c r="B344" s="391"/>
      <c r="C344" s="391"/>
      <c r="D344" s="391"/>
      <c r="E344" s="391"/>
      <c r="F344" s="391"/>
      <c r="G344" s="391"/>
      <c r="H344" s="391"/>
      <c r="I344" s="391"/>
      <c r="J344" s="391"/>
      <c r="K344" s="391"/>
      <c r="L344" s="391"/>
      <c r="M344" s="391"/>
      <c r="N344" s="391"/>
      <c r="O344" s="391"/>
      <c r="P344" s="391"/>
      <c r="Q344" s="391"/>
      <c r="R344" s="391"/>
      <c r="S344" s="391"/>
      <c r="T344" s="391"/>
      <c r="U344" s="391"/>
      <c r="V344" s="391"/>
      <c r="W344" s="391"/>
      <c r="X344" s="391"/>
      <c r="Y344" s="391"/>
      <c r="Z344" s="391"/>
    </row>
    <row r="345">
      <c r="A345" s="391"/>
      <c r="B345" s="391"/>
      <c r="C345" s="391"/>
      <c r="D345" s="391"/>
      <c r="E345" s="391"/>
      <c r="F345" s="391"/>
      <c r="G345" s="391"/>
      <c r="H345" s="391"/>
      <c r="I345" s="391"/>
      <c r="J345" s="391"/>
      <c r="K345" s="391"/>
      <c r="L345" s="391"/>
      <c r="M345" s="391"/>
      <c r="N345" s="391"/>
      <c r="O345" s="391"/>
      <c r="P345" s="391"/>
      <c r="Q345" s="391"/>
      <c r="R345" s="391"/>
      <c r="S345" s="391"/>
      <c r="T345" s="391"/>
      <c r="U345" s="391"/>
      <c r="V345" s="391"/>
      <c r="W345" s="391"/>
      <c r="X345" s="391"/>
      <c r="Y345" s="391"/>
      <c r="Z345" s="391"/>
    </row>
    <row r="346">
      <c r="A346" s="391"/>
      <c r="B346" s="391"/>
      <c r="C346" s="391"/>
      <c r="D346" s="391"/>
      <c r="E346" s="391"/>
      <c r="F346" s="391"/>
      <c r="G346" s="391"/>
      <c r="H346" s="391"/>
      <c r="I346" s="391"/>
      <c r="J346" s="391"/>
      <c r="K346" s="391"/>
      <c r="L346" s="391"/>
      <c r="M346" s="391"/>
      <c r="N346" s="391"/>
      <c r="O346" s="391"/>
      <c r="P346" s="391"/>
      <c r="Q346" s="391"/>
      <c r="R346" s="391"/>
      <c r="S346" s="391"/>
      <c r="T346" s="391"/>
      <c r="U346" s="391"/>
      <c r="V346" s="391"/>
      <c r="W346" s="391"/>
      <c r="X346" s="391"/>
      <c r="Y346" s="391"/>
      <c r="Z346" s="391"/>
    </row>
    <row r="347">
      <c r="A347" s="391"/>
      <c r="B347" s="391"/>
      <c r="C347" s="391"/>
      <c r="D347" s="391"/>
      <c r="E347" s="391"/>
      <c r="F347" s="391"/>
      <c r="G347" s="391"/>
      <c r="H347" s="391"/>
      <c r="I347" s="391"/>
      <c r="J347" s="391"/>
      <c r="K347" s="391"/>
      <c r="L347" s="391"/>
      <c r="M347" s="391"/>
      <c r="N347" s="391"/>
      <c r="O347" s="391"/>
      <c r="P347" s="391"/>
      <c r="Q347" s="391"/>
      <c r="R347" s="391"/>
      <c r="S347" s="391"/>
      <c r="T347" s="391"/>
      <c r="U347" s="391"/>
      <c r="V347" s="391"/>
      <c r="W347" s="391"/>
      <c r="X347" s="391"/>
      <c r="Y347" s="391"/>
      <c r="Z347" s="391"/>
    </row>
    <row r="348">
      <c r="A348" s="391"/>
      <c r="B348" s="391"/>
      <c r="C348" s="391"/>
      <c r="D348" s="391"/>
      <c r="E348" s="391"/>
      <c r="F348" s="391"/>
      <c r="G348" s="391"/>
      <c r="H348" s="391"/>
      <c r="I348" s="391"/>
      <c r="J348" s="391"/>
      <c r="K348" s="391"/>
      <c r="L348" s="391"/>
      <c r="M348" s="391"/>
      <c r="N348" s="391"/>
      <c r="O348" s="391"/>
      <c r="P348" s="391"/>
      <c r="Q348" s="391"/>
      <c r="R348" s="391"/>
      <c r="S348" s="391"/>
      <c r="T348" s="391"/>
      <c r="U348" s="391"/>
      <c r="V348" s="391"/>
      <c r="W348" s="391"/>
      <c r="X348" s="391"/>
      <c r="Y348" s="391"/>
      <c r="Z348" s="391"/>
    </row>
    <row r="349">
      <c r="A349" s="391"/>
      <c r="B349" s="391"/>
      <c r="C349" s="391"/>
      <c r="D349" s="391"/>
      <c r="E349" s="391"/>
      <c r="F349" s="391"/>
      <c r="G349" s="391"/>
      <c r="H349" s="391"/>
      <c r="I349" s="391"/>
      <c r="J349" s="391"/>
      <c r="K349" s="391"/>
      <c r="L349" s="391"/>
      <c r="M349" s="391"/>
      <c r="N349" s="391"/>
      <c r="O349" s="391"/>
      <c r="P349" s="391"/>
      <c r="Q349" s="391"/>
      <c r="R349" s="391"/>
      <c r="S349" s="391"/>
      <c r="T349" s="391"/>
      <c r="U349" s="391"/>
      <c r="V349" s="391"/>
      <c r="W349" s="391"/>
      <c r="X349" s="391"/>
      <c r="Y349" s="391"/>
      <c r="Z349" s="391"/>
    </row>
    <row r="350">
      <c r="A350" s="391"/>
      <c r="B350" s="391"/>
      <c r="C350" s="391"/>
      <c r="D350" s="391"/>
      <c r="E350" s="391"/>
      <c r="F350" s="391"/>
      <c r="G350" s="391"/>
      <c r="H350" s="391"/>
      <c r="I350" s="391"/>
      <c r="J350" s="391"/>
      <c r="K350" s="391"/>
      <c r="L350" s="391"/>
      <c r="M350" s="391"/>
      <c r="N350" s="391"/>
      <c r="O350" s="391"/>
      <c r="P350" s="391"/>
      <c r="Q350" s="391"/>
      <c r="R350" s="391"/>
      <c r="S350" s="391"/>
      <c r="T350" s="391"/>
      <c r="U350" s="391"/>
      <c r="V350" s="391"/>
      <c r="W350" s="391"/>
      <c r="X350" s="391"/>
      <c r="Y350" s="391"/>
      <c r="Z350" s="391"/>
    </row>
    <row r="351">
      <c r="A351" s="391"/>
      <c r="B351" s="391"/>
      <c r="C351" s="391"/>
      <c r="D351" s="391"/>
      <c r="E351" s="391"/>
      <c r="F351" s="391"/>
      <c r="G351" s="391"/>
      <c r="H351" s="391"/>
      <c r="I351" s="391"/>
      <c r="J351" s="391"/>
      <c r="K351" s="391"/>
      <c r="L351" s="391"/>
      <c r="M351" s="391"/>
      <c r="N351" s="391"/>
      <c r="O351" s="391"/>
      <c r="P351" s="391"/>
      <c r="Q351" s="391"/>
      <c r="R351" s="391"/>
      <c r="S351" s="391"/>
      <c r="T351" s="391"/>
      <c r="U351" s="391"/>
      <c r="V351" s="391"/>
      <c r="W351" s="391"/>
      <c r="X351" s="391"/>
      <c r="Y351" s="391"/>
      <c r="Z351" s="391"/>
    </row>
    <row r="352">
      <c r="A352" s="391"/>
      <c r="B352" s="391"/>
      <c r="C352" s="391"/>
      <c r="D352" s="391"/>
      <c r="E352" s="391"/>
      <c r="F352" s="391"/>
      <c r="G352" s="391"/>
      <c r="H352" s="391"/>
      <c r="I352" s="391"/>
      <c r="J352" s="391"/>
      <c r="K352" s="391"/>
      <c r="L352" s="391"/>
      <c r="M352" s="391"/>
      <c r="N352" s="391"/>
      <c r="O352" s="391"/>
      <c r="P352" s="391"/>
      <c r="Q352" s="391"/>
      <c r="R352" s="391"/>
      <c r="S352" s="391"/>
      <c r="T352" s="391"/>
      <c r="U352" s="391"/>
      <c r="V352" s="391"/>
      <c r="W352" s="391"/>
      <c r="X352" s="391"/>
      <c r="Y352" s="391"/>
      <c r="Z352" s="391"/>
    </row>
    <row r="353">
      <c r="A353" s="391"/>
      <c r="B353" s="391"/>
      <c r="C353" s="391"/>
      <c r="D353" s="391"/>
      <c r="E353" s="391"/>
      <c r="F353" s="391"/>
      <c r="G353" s="391"/>
      <c r="H353" s="391"/>
      <c r="I353" s="391"/>
      <c r="J353" s="391"/>
      <c r="K353" s="391"/>
      <c r="L353" s="391"/>
      <c r="M353" s="391"/>
      <c r="N353" s="391"/>
      <c r="O353" s="391"/>
      <c r="P353" s="391"/>
      <c r="Q353" s="391"/>
      <c r="R353" s="391"/>
      <c r="S353" s="391"/>
      <c r="T353" s="391"/>
      <c r="U353" s="391"/>
      <c r="V353" s="391"/>
      <c r="W353" s="391"/>
      <c r="X353" s="391"/>
      <c r="Y353" s="391"/>
      <c r="Z353" s="391"/>
    </row>
    <row r="354">
      <c r="A354" s="391"/>
      <c r="B354" s="391"/>
      <c r="C354" s="391"/>
      <c r="D354" s="391"/>
      <c r="E354" s="391"/>
      <c r="F354" s="391"/>
      <c r="G354" s="391"/>
      <c r="H354" s="391"/>
      <c r="I354" s="391"/>
      <c r="J354" s="391"/>
      <c r="K354" s="391"/>
      <c r="L354" s="391"/>
      <c r="M354" s="391"/>
      <c r="N354" s="391"/>
      <c r="O354" s="391"/>
      <c r="P354" s="391"/>
      <c r="Q354" s="391"/>
      <c r="R354" s="391"/>
      <c r="S354" s="391"/>
      <c r="T354" s="391"/>
      <c r="U354" s="391"/>
      <c r="V354" s="391"/>
      <c r="W354" s="391"/>
      <c r="X354" s="391"/>
      <c r="Y354" s="391"/>
      <c r="Z354" s="391"/>
    </row>
    <row r="355">
      <c r="A355" s="391"/>
      <c r="B355" s="391"/>
      <c r="C355" s="391"/>
      <c r="D355" s="391"/>
      <c r="E355" s="391"/>
      <c r="F355" s="391"/>
      <c r="G355" s="391"/>
      <c r="H355" s="391"/>
      <c r="I355" s="391"/>
      <c r="J355" s="391"/>
      <c r="K355" s="391"/>
      <c r="L355" s="391"/>
      <c r="M355" s="391"/>
      <c r="N355" s="391"/>
      <c r="O355" s="391"/>
      <c r="P355" s="391"/>
      <c r="Q355" s="391"/>
      <c r="R355" s="391"/>
      <c r="S355" s="391"/>
      <c r="T355" s="391"/>
      <c r="U355" s="391"/>
      <c r="V355" s="391"/>
      <c r="W355" s="391"/>
      <c r="X355" s="391"/>
      <c r="Y355" s="391"/>
      <c r="Z355" s="391"/>
    </row>
    <row r="356">
      <c r="A356" s="391"/>
      <c r="B356" s="391"/>
      <c r="C356" s="391"/>
      <c r="D356" s="391"/>
      <c r="E356" s="391"/>
      <c r="F356" s="391"/>
      <c r="G356" s="391"/>
      <c r="H356" s="391"/>
      <c r="I356" s="391"/>
      <c r="J356" s="391"/>
      <c r="K356" s="391"/>
      <c r="L356" s="391"/>
      <c r="M356" s="391"/>
      <c r="N356" s="391"/>
      <c r="O356" s="391"/>
      <c r="P356" s="391"/>
      <c r="Q356" s="391"/>
      <c r="R356" s="391"/>
      <c r="S356" s="391"/>
      <c r="T356" s="391"/>
      <c r="U356" s="391"/>
      <c r="V356" s="391"/>
      <c r="W356" s="391"/>
      <c r="X356" s="391"/>
      <c r="Y356" s="391"/>
      <c r="Z356" s="391"/>
    </row>
    <row r="357">
      <c r="A357" s="391"/>
      <c r="B357" s="391"/>
      <c r="C357" s="391"/>
      <c r="D357" s="391"/>
      <c r="E357" s="391"/>
      <c r="F357" s="391"/>
      <c r="G357" s="391"/>
      <c r="H357" s="391"/>
      <c r="I357" s="391"/>
      <c r="J357" s="391"/>
      <c r="K357" s="391"/>
      <c r="L357" s="391"/>
      <c r="M357" s="391"/>
      <c r="N357" s="391"/>
      <c r="O357" s="391"/>
      <c r="P357" s="391"/>
      <c r="Q357" s="391"/>
      <c r="R357" s="391"/>
      <c r="S357" s="391"/>
      <c r="T357" s="391"/>
      <c r="U357" s="391"/>
      <c r="V357" s="391"/>
      <c r="W357" s="391"/>
      <c r="X357" s="391"/>
      <c r="Y357" s="391"/>
      <c r="Z357" s="391"/>
    </row>
    <row r="358">
      <c r="A358" s="391"/>
      <c r="B358" s="391"/>
      <c r="C358" s="391"/>
      <c r="D358" s="391"/>
      <c r="E358" s="391"/>
      <c r="F358" s="391"/>
      <c r="G358" s="391"/>
      <c r="H358" s="391"/>
      <c r="I358" s="391"/>
      <c r="J358" s="391"/>
      <c r="K358" s="391"/>
      <c r="L358" s="391"/>
      <c r="M358" s="391"/>
      <c r="N358" s="391"/>
      <c r="O358" s="391"/>
      <c r="P358" s="391"/>
      <c r="Q358" s="391"/>
      <c r="R358" s="391"/>
      <c r="S358" s="391"/>
      <c r="T358" s="391"/>
      <c r="U358" s="391"/>
      <c r="V358" s="391"/>
      <c r="W358" s="391"/>
      <c r="X358" s="391"/>
      <c r="Y358" s="391"/>
      <c r="Z358" s="391"/>
    </row>
    <row r="359">
      <c r="A359" s="391"/>
      <c r="B359" s="391"/>
      <c r="C359" s="391"/>
      <c r="D359" s="391"/>
      <c r="E359" s="391"/>
      <c r="F359" s="391"/>
      <c r="G359" s="391"/>
      <c r="H359" s="391"/>
      <c r="I359" s="391"/>
      <c r="J359" s="391"/>
      <c r="K359" s="391"/>
      <c r="L359" s="391"/>
      <c r="M359" s="391"/>
      <c r="N359" s="391"/>
      <c r="O359" s="391"/>
      <c r="P359" s="391"/>
      <c r="Q359" s="391"/>
      <c r="R359" s="391"/>
      <c r="S359" s="391"/>
      <c r="T359" s="391"/>
      <c r="U359" s="391"/>
      <c r="V359" s="391"/>
      <c r="W359" s="391"/>
      <c r="X359" s="391"/>
      <c r="Y359" s="391"/>
      <c r="Z359" s="391"/>
    </row>
    <row r="360">
      <c r="A360" s="391"/>
      <c r="B360" s="391"/>
      <c r="C360" s="391"/>
      <c r="D360" s="391"/>
      <c r="E360" s="391"/>
      <c r="F360" s="391"/>
      <c r="G360" s="391"/>
      <c r="H360" s="391"/>
      <c r="I360" s="391"/>
      <c r="J360" s="391"/>
      <c r="K360" s="391"/>
      <c r="L360" s="391"/>
      <c r="M360" s="391"/>
      <c r="N360" s="391"/>
      <c r="O360" s="391"/>
      <c r="P360" s="391"/>
      <c r="Q360" s="391"/>
      <c r="R360" s="391"/>
      <c r="S360" s="391"/>
      <c r="T360" s="391"/>
      <c r="U360" s="391"/>
      <c r="V360" s="391"/>
      <c r="W360" s="391"/>
      <c r="X360" s="391"/>
      <c r="Y360" s="391"/>
      <c r="Z360" s="391"/>
    </row>
    <row r="361">
      <c r="A361" s="391"/>
      <c r="B361" s="391"/>
      <c r="C361" s="391"/>
      <c r="D361" s="391"/>
      <c r="E361" s="391"/>
      <c r="F361" s="391"/>
      <c r="G361" s="391"/>
      <c r="H361" s="391"/>
      <c r="I361" s="391"/>
      <c r="J361" s="391"/>
      <c r="K361" s="391"/>
      <c r="L361" s="391"/>
      <c r="M361" s="391"/>
      <c r="N361" s="391"/>
      <c r="O361" s="391"/>
      <c r="P361" s="391"/>
      <c r="Q361" s="391"/>
      <c r="R361" s="391"/>
      <c r="S361" s="391"/>
      <c r="T361" s="391"/>
      <c r="U361" s="391"/>
      <c r="V361" s="391"/>
      <c r="W361" s="391"/>
      <c r="X361" s="391"/>
      <c r="Y361" s="391"/>
      <c r="Z361" s="391"/>
    </row>
    <row r="362">
      <c r="A362" s="391"/>
      <c r="B362" s="391"/>
      <c r="C362" s="391"/>
      <c r="D362" s="391"/>
      <c r="E362" s="391"/>
      <c r="F362" s="391"/>
      <c r="G362" s="391"/>
      <c r="H362" s="391"/>
      <c r="I362" s="391"/>
      <c r="J362" s="391"/>
      <c r="K362" s="391"/>
      <c r="L362" s="391"/>
      <c r="M362" s="391"/>
      <c r="N362" s="391"/>
      <c r="O362" s="391"/>
      <c r="P362" s="391"/>
      <c r="Q362" s="391"/>
      <c r="R362" s="391"/>
      <c r="S362" s="391"/>
      <c r="T362" s="391"/>
      <c r="U362" s="391"/>
      <c r="V362" s="391"/>
      <c r="W362" s="391"/>
      <c r="X362" s="391"/>
      <c r="Y362" s="391"/>
      <c r="Z362" s="391"/>
    </row>
    <row r="363">
      <c r="A363" s="391"/>
      <c r="B363" s="391"/>
      <c r="C363" s="391"/>
      <c r="D363" s="391"/>
      <c r="E363" s="391"/>
      <c r="F363" s="391"/>
      <c r="G363" s="391"/>
      <c r="H363" s="391"/>
      <c r="I363" s="391"/>
      <c r="J363" s="391"/>
      <c r="K363" s="391"/>
      <c r="L363" s="391"/>
      <c r="M363" s="391"/>
      <c r="N363" s="391"/>
      <c r="O363" s="391"/>
      <c r="P363" s="391"/>
      <c r="Q363" s="391"/>
      <c r="R363" s="391"/>
      <c r="S363" s="391"/>
      <c r="T363" s="391"/>
      <c r="U363" s="391"/>
      <c r="V363" s="391"/>
      <c r="W363" s="391"/>
      <c r="X363" s="391"/>
      <c r="Y363" s="391"/>
      <c r="Z363" s="391"/>
    </row>
    <row r="364">
      <c r="A364" s="391"/>
      <c r="B364" s="391"/>
      <c r="C364" s="391"/>
      <c r="D364" s="391"/>
      <c r="E364" s="391"/>
      <c r="F364" s="391"/>
      <c r="G364" s="391"/>
      <c r="H364" s="391"/>
      <c r="I364" s="391"/>
      <c r="J364" s="391"/>
      <c r="K364" s="391"/>
      <c r="L364" s="391"/>
      <c r="M364" s="391"/>
      <c r="N364" s="391"/>
      <c r="O364" s="391"/>
      <c r="P364" s="391"/>
      <c r="Q364" s="391"/>
      <c r="R364" s="391"/>
      <c r="S364" s="391"/>
      <c r="T364" s="391"/>
      <c r="U364" s="391"/>
      <c r="V364" s="391"/>
      <c r="W364" s="391"/>
      <c r="X364" s="391"/>
      <c r="Y364" s="391"/>
      <c r="Z364" s="391"/>
    </row>
    <row r="365">
      <c r="A365" s="391"/>
      <c r="B365" s="391"/>
      <c r="C365" s="391"/>
      <c r="D365" s="391"/>
      <c r="E365" s="391"/>
      <c r="F365" s="391"/>
      <c r="G365" s="391"/>
      <c r="H365" s="391"/>
      <c r="I365" s="391"/>
      <c r="J365" s="391"/>
      <c r="K365" s="391"/>
      <c r="L365" s="391"/>
      <c r="M365" s="391"/>
      <c r="N365" s="391"/>
      <c r="O365" s="391"/>
      <c r="P365" s="391"/>
      <c r="Q365" s="391"/>
      <c r="R365" s="391"/>
      <c r="S365" s="391"/>
      <c r="T365" s="391"/>
      <c r="U365" s="391"/>
      <c r="V365" s="391"/>
      <c r="W365" s="391"/>
      <c r="X365" s="391"/>
      <c r="Y365" s="391"/>
      <c r="Z365" s="391"/>
    </row>
    <row r="366">
      <c r="A366" s="391"/>
      <c r="B366" s="391"/>
      <c r="C366" s="391"/>
      <c r="D366" s="391"/>
      <c r="E366" s="391"/>
      <c r="F366" s="391"/>
      <c r="G366" s="391"/>
      <c r="H366" s="391"/>
      <c r="I366" s="391"/>
      <c r="J366" s="391"/>
      <c r="K366" s="391"/>
      <c r="L366" s="391"/>
      <c r="M366" s="391"/>
      <c r="N366" s="391"/>
      <c r="O366" s="391"/>
      <c r="P366" s="391"/>
      <c r="Q366" s="391"/>
      <c r="R366" s="391"/>
      <c r="S366" s="391"/>
      <c r="T366" s="391"/>
      <c r="U366" s="391"/>
      <c r="V366" s="391"/>
      <c r="W366" s="391"/>
      <c r="X366" s="391"/>
      <c r="Y366" s="391"/>
      <c r="Z366" s="391"/>
    </row>
    <row r="367">
      <c r="A367" s="391"/>
      <c r="B367" s="391"/>
      <c r="C367" s="391"/>
      <c r="D367" s="391"/>
      <c r="E367" s="391"/>
      <c r="F367" s="391"/>
      <c r="G367" s="391"/>
      <c r="H367" s="391"/>
      <c r="I367" s="391"/>
      <c r="J367" s="391"/>
      <c r="K367" s="391"/>
      <c r="L367" s="391"/>
      <c r="M367" s="391"/>
      <c r="N367" s="391"/>
      <c r="O367" s="391"/>
      <c r="P367" s="391"/>
      <c r="Q367" s="391"/>
      <c r="R367" s="391"/>
      <c r="S367" s="391"/>
      <c r="T367" s="391"/>
      <c r="U367" s="391"/>
      <c r="V367" s="391"/>
      <c r="W367" s="391"/>
      <c r="X367" s="391"/>
      <c r="Y367" s="391"/>
      <c r="Z367" s="391"/>
    </row>
    <row r="368">
      <c r="A368" s="391"/>
      <c r="B368" s="391"/>
      <c r="C368" s="391"/>
      <c r="D368" s="391"/>
      <c r="E368" s="391"/>
      <c r="F368" s="391"/>
      <c r="G368" s="391"/>
      <c r="H368" s="391"/>
      <c r="I368" s="391"/>
      <c r="J368" s="391"/>
      <c r="K368" s="391"/>
      <c r="L368" s="391"/>
      <c r="M368" s="391"/>
      <c r="N368" s="391"/>
      <c r="O368" s="391"/>
      <c r="P368" s="391"/>
      <c r="Q368" s="391"/>
      <c r="R368" s="391"/>
      <c r="S368" s="391"/>
      <c r="T368" s="391"/>
      <c r="U368" s="391"/>
      <c r="V368" s="391"/>
      <c r="W368" s="391"/>
      <c r="X368" s="391"/>
      <c r="Y368" s="391"/>
      <c r="Z368" s="391"/>
    </row>
    <row r="369">
      <c r="A369" s="391"/>
      <c r="B369" s="391"/>
      <c r="C369" s="391"/>
      <c r="D369" s="391"/>
      <c r="E369" s="391"/>
      <c r="F369" s="391"/>
      <c r="G369" s="391"/>
      <c r="H369" s="391"/>
      <c r="I369" s="391"/>
      <c r="J369" s="391"/>
      <c r="K369" s="391"/>
      <c r="L369" s="391"/>
      <c r="M369" s="391"/>
      <c r="N369" s="391"/>
      <c r="O369" s="391"/>
      <c r="P369" s="391"/>
      <c r="Q369" s="391"/>
      <c r="R369" s="391"/>
      <c r="S369" s="391"/>
      <c r="T369" s="391"/>
      <c r="U369" s="391"/>
      <c r="V369" s="391"/>
      <c r="W369" s="391"/>
      <c r="X369" s="391"/>
      <c r="Y369" s="391"/>
      <c r="Z369" s="391"/>
    </row>
    <row r="370">
      <c r="A370" s="391"/>
      <c r="B370" s="391"/>
      <c r="C370" s="391"/>
      <c r="D370" s="391"/>
      <c r="E370" s="391"/>
      <c r="F370" s="391"/>
      <c r="G370" s="391"/>
      <c r="H370" s="391"/>
      <c r="I370" s="391"/>
      <c r="J370" s="391"/>
      <c r="K370" s="391"/>
      <c r="L370" s="391"/>
      <c r="M370" s="391"/>
      <c r="N370" s="391"/>
      <c r="O370" s="391"/>
      <c r="P370" s="391"/>
      <c r="Q370" s="391"/>
      <c r="R370" s="391"/>
      <c r="S370" s="391"/>
      <c r="T370" s="391"/>
      <c r="U370" s="391"/>
      <c r="V370" s="391"/>
      <c r="W370" s="391"/>
      <c r="X370" s="391"/>
      <c r="Y370" s="391"/>
      <c r="Z370" s="391"/>
    </row>
    <row r="371">
      <c r="A371" s="391"/>
      <c r="B371" s="391"/>
      <c r="C371" s="391"/>
      <c r="D371" s="391"/>
      <c r="E371" s="391"/>
      <c r="F371" s="391"/>
      <c r="G371" s="391"/>
      <c r="H371" s="391"/>
      <c r="I371" s="391"/>
      <c r="J371" s="391"/>
      <c r="K371" s="391"/>
      <c r="L371" s="391"/>
      <c r="M371" s="391"/>
      <c r="N371" s="391"/>
      <c r="O371" s="391"/>
      <c r="P371" s="391"/>
      <c r="Q371" s="391"/>
      <c r="R371" s="391"/>
      <c r="S371" s="391"/>
      <c r="T371" s="391"/>
      <c r="U371" s="391"/>
      <c r="V371" s="391"/>
      <c r="W371" s="391"/>
      <c r="X371" s="391"/>
      <c r="Y371" s="391"/>
      <c r="Z371" s="391"/>
    </row>
    <row r="372">
      <c r="A372" s="391"/>
      <c r="B372" s="391"/>
      <c r="C372" s="391"/>
      <c r="D372" s="391"/>
      <c r="E372" s="391"/>
      <c r="F372" s="391"/>
      <c r="G372" s="391"/>
      <c r="H372" s="391"/>
      <c r="I372" s="391"/>
      <c r="J372" s="391"/>
      <c r="K372" s="391"/>
      <c r="L372" s="391"/>
      <c r="M372" s="391"/>
      <c r="N372" s="391"/>
      <c r="O372" s="391"/>
      <c r="P372" s="391"/>
      <c r="Q372" s="391"/>
      <c r="R372" s="391"/>
      <c r="S372" s="391"/>
      <c r="T372" s="391"/>
      <c r="U372" s="391"/>
      <c r="V372" s="391"/>
      <c r="W372" s="391"/>
      <c r="X372" s="391"/>
      <c r="Y372" s="391"/>
      <c r="Z372" s="391"/>
    </row>
    <row r="373">
      <c r="A373" s="391"/>
      <c r="B373" s="391"/>
      <c r="C373" s="391"/>
      <c r="D373" s="391"/>
      <c r="E373" s="391"/>
      <c r="F373" s="391"/>
      <c r="G373" s="391"/>
      <c r="H373" s="391"/>
      <c r="I373" s="391"/>
      <c r="J373" s="391"/>
      <c r="K373" s="391"/>
      <c r="L373" s="391"/>
      <c r="M373" s="391"/>
      <c r="N373" s="391"/>
      <c r="O373" s="391"/>
      <c r="P373" s="391"/>
      <c r="Q373" s="391"/>
      <c r="R373" s="391"/>
      <c r="S373" s="391"/>
      <c r="T373" s="391"/>
      <c r="U373" s="391"/>
      <c r="V373" s="391"/>
      <c r="W373" s="391"/>
      <c r="X373" s="391"/>
      <c r="Y373" s="391"/>
      <c r="Z373" s="391"/>
    </row>
    <row r="374">
      <c r="A374" s="391"/>
      <c r="B374" s="391"/>
      <c r="C374" s="391"/>
      <c r="D374" s="391"/>
      <c r="E374" s="391"/>
      <c r="F374" s="391"/>
      <c r="G374" s="391"/>
      <c r="H374" s="391"/>
      <c r="I374" s="391"/>
      <c r="J374" s="391"/>
      <c r="K374" s="391"/>
      <c r="L374" s="391"/>
      <c r="M374" s="391"/>
      <c r="N374" s="391"/>
      <c r="O374" s="391"/>
      <c r="P374" s="391"/>
      <c r="Q374" s="391"/>
      <c r="R374" s="391"/>
      <c r="S374" s="391"/>
      <c r="T374" s="391"/>
      <c r="U374" s="391"/>
      <c r="V374" s="391"/>
      <c r="W374" s="391"/>
      <c r="X374" s="391"/>
      <c r="Y374" s="391"/>
      <c r="Z374" s="391"/>
    </row>
    <row r="375">
      <c r="A375" s="391"/>
      <c r="B375" s="391"/>
      <c r="C375" s="391"/>
      <c r="D375" s="391"/>
      <c r="E375" s="391"/>
      <c r="F375" s="391"/>
      <c r="G375" s="391"/>
      <c r="H375" s="391"/>
      <c r="I375" s="391"/>
      <c r="J375" s="391"/>
      <c r="K375" s="391"/>
      <c r="L375" s="391"/>
      <c r="M375" s="391"/>
      <c r="N375" s="391"/>
      <c r="O375" s="391"/>
      <c r="P375" s="391"/>
      <c r="Q375" s="391"/>
      <c r="R375" s="391"/>
      <c r="S375" s="391"/>
      <c r="T375" s="391"/>
      <c r="U375" s="391"/>
      <c r="V375" s="391"/>
      <c r="W375" s="391"/>
      <c r="X375" s="391"/>
      <c r="Y375" s="391"/>
      <c r="Z375" s="391"/>
    </row>
    <row r="376">
      <c r="A376" s="391"/>
      <c r="B376" s="391"/>
      <c r="C376" s="391"/>
      <c r="D376" s="391"/>
      <c r="E376" s="391"/>
      <c r="F376" s="391"/>
      <c r="G376" s="391"/>
      <c r="H376" s="391"/>
      <c r="I376" s="391"/>
      <c r="J376" s="391"/>
      <c r="K376" s="391"/>
      <c r="L376" s="391"/>
      <c r="M376" s="391"/>
      <c r="N376" s="391"/>
      <c r="O376" s="391"/>
      <c r="P376" s="391"/>
      <c r="Q376" s="391"/>
      <c r="R376" s="391"/>
      <c r="S376" s="391"/>
      <c r="T376" s="391"/>
      <c r="U376" s="391"/>
      <c r="V376" s="391"/>
      <c r="W376" s="391"/>
      <c r="X376" s="391"/>
      <c r="Y376" s="391"/>
      <c r="Z376" s="391"/>
    </row>
    <row r="377">
      <c r="A377" s="391"/>
      <c r="B377" s="391"/>
      <c r="C377" s="391"/>
      <c r="D377" s="391"/>
      <c r="E377" s="391"/>
      <c r="F377" s="391"/>
      <c r="G377" s="391"/>
      <c r="H377" s="391"/>
      <c r="I377" s="391"/>
      <c r="J377" s="391"/>
      <c r="K377" s="391"/>
      <c r="L377" s="391"/>
      <c r="M377" s="391"/>
      <c r="N377" s="391"/>
      <c r="O377" s="391"/>
      <c r="P377" s="391"/>
      <c r="Q377" s="391"/>
      <c r="R377" s="391"/>
      <c r="S377" s="391"/>
      <c r="T377" s="391"/>
      <c r="U377" s="391"/>
      <c r="V377" s="391"/>
      <c r="W377" s="391"/>
      <c r="X377" s="391"/>
      <c r="Y377" s="391"/>
      <c r="Z377" s="391"/>
    </row>
    <row r="378">
      <c r="A378" s="391"/>
      <c r="B378" s="391"/>
      <c r="C378" s="391"/>
      <c r="D378" s="391"/>
      <c r="E378" s="391"/>
      <c r="F378" s="391"/>
      <c r="G378" s="391"/>
      <c r="H378" s="391"/>
      <c r="I378" s="391"/>
      <c r="J378" s="391"/>
      <c r="K378" s="391"/>
      <c r="L378" s="391"/>
      <c r="M378" s="391"/>
      <c r="N378" s="391"/>
      <c r="O378" s="391"/>
      <c r="P378" s="391"/>
      <c r="Q378" s="391"/>
      <c r="R378" s="391"/>
      <c r="S378" s="391"/>
      <c r="T378" s="391"/>
      <c r="U378" s="391"/>
      <c r="V378" s="391"/>
      <c r="W378" s="391"/>
      <c r="X378" s="391"/>
      <c r="Y378" s="391"/>
      <c r="Z378" s="391"/>
    </row>
    <row r="379">
      <c r="A379" s="391"/>
      <c r="B379" s="391"/>
      <c r="C379" s="391"/>
      <c r="D379" s="391"/>
      <c r="E379" s="391"/>
      <c r="F379" s="391"/>
      <c r="G379" s="391"/>
      <c r="H379" s="391"/>
      <c r="I379" s="391"/>
      <c r="J379" s="391"/>
      <c r="K379" s="391"/>
      <c r="L379" s="391"/>
      <c r="M379" s="391"/>
      <c r="N379" s="391"/>
      <c r="O379" s="391"/>
      <c r="P379" s="391"/>
      <c r="Q379" s="391"/>
      <c r="R379" s="391"/>
      <c r="S379" s="391"/>
      <c r="T379" s="391"/>
      <c r="U379" s="391"/>
      <c r="V379" s="391"/>
      <c r="W379" s="391"/>
      <c r="X379" s="391"/>
      <c r="Y379" s="391"/>
      <c r="Z379" s="391"/>
    </row>
    <row r="380">
      <c r="A380" s="391"/>
      <c r="B380" s="391"/>
      <c r="C380" s="391"/>
      <c r="D380" s="391"/>
      <c r="E380" s="391"/>
      <c r="F380" s="391"/>
      <c r="G380" s="391"/>
      <c r="H380" s="391"/>
      <c r="I380" s="391"/>
      <c r="J380" s="391"/>
      <c r="K380" s="391"/>
      <c r="L380" s="391"/>
      <c r="M380" s="391"/>
      <c r="N380" s="391"/>
      <c r="O380" s="391"/>
      <c r="P380" s="391"/>
      <c r="Q380" s="391"/>
      <c r="R380" s="391"/>
      <c r="S380" s="391"/>
      <c r="T380" s="391"/>
      <c r="U380" s="391"/>
      <c r="V380" s="391"/>
      <c r="W380" s="391"/>
      <c r="X380" s="391"/>
      <c r="Y380" s="391"/>
      <c r="Z380" s="391"/>
    </row>
    <row r="381">
      <c r="A381" s="391"/>
      <c r="B381" s="391"/>
      <c r="C381" s="391"/>
      <c r="D381" s="391"/>
      <c r="E381" s="391"/>
      <c r="F381" s="391"/>
      <c r="G381" s="391"/>
      <c r="H381" s="391"/>
      <c r="I381" s="391"/>
      <c r="J381" s="391"/>
      <c r="K381" s="391"/>
      <c r="L381" s="391"/>
      <c r="M381" s="391"/>
      <c r="N381" s="391"/>
      <c r="O381" s="391"/>
      <c r="P381" s="391"/>
      <c r="Q381" s="391"/>
      <c r="R381" s="391"/>
      <c r="S381" s="391"/>
      <c r="T381" s="391"/>
      <c r="U381" s="391"/>
      <c r="V381" s="391"/>
      <c r="W381" s="391"/>
      <c r="X381" s="391"/>
      <c r="Y381" s="391"/>
      <c r="Z381" s="391"/>
    </row>
    <row r="382">
      <c r="A382" s="391"/>
      <c r="B382" s="391"/>
      <c r="C382" s="391"/>
      <c r="D382" s="391"/>
      <c r="E382" s="391"/>
      <c r="F382" s="391"/>
      <c r="G382" s="391"/>
      <c r="H382" s="391"/>
      <c r="I382" s="391"/>
      <c r="J382" s="391"/>
      <c r="K382" s="391"/>
      <c r="L382" s="391"/>
      <c r="M382" s="391"/>
      <c r="N382" s="391"/>
      <c r="O382" s="391"/>
      <c r="P382" s="391"/>
      <c r="Q382" s="391"/>
      <c r="R382" s="391"/>
      <c r="S382" s="391"/>
      <c r="T382" s="391"/>
      <c r="U382" s="391"/>
      <c r="V382" s="391"/>
      <c r="W382" s="391"/>
      <c r="X382" s="391"/>
      <c r="Y382" s="391"/>
      <c r="Z382" s="391"/>
    </row>
    <row r="383">
      <c r="A383" s="391"/>
      <c r="B383" s="391"/>
      <c r="C383" s="391"/>
      <c r="D383" s="391"/>
      <c r="E383" s="391"/>
      <c r="F383" s="391"/>
      <c r="G383" s="391"/>
      <c r="H383" s="391"/>
      <c r="I383" s="391"/>
      <c r="J383" s="391"/>
      <c r="K383" s="391"/>
      <c r="L383" s="391"/>
      <c r="M383" s="391"/>
      <c r="N383" s="391"/>
      <c r="O383" s="391"/>
      <c r="P383" s="391"/>
      <c r="Q383" s="391"/>
      <c r="R383" s="391"/>
      <c r="S383" s="391"/>
      <c r="T383" s="391"/>
      <c r="U383" s="391"/>
      <c r="V383" s="391"/>
      <c r="W383" s="391"/>
      <c r="X383" s="391"/>
      <c r="Y383" s="391"/>
      <c r="Z383" s="391"/>
    </row>
    <row r="384">
      <c r="A384" s="391"/>
      <c r="B384" s="391"/>
      <c r="C384" s="391"/>
      <c r="D384" s="391"/>
      <c r="E384" s="391"/>
      <c r="F384" s="391"/>
      <c r="G384" s="391"/>
      <c r="H384" s="391"/>
      <c r="I384" s="391"/>
      <c r="J384" s="391"/>
      <c r="K384" s="391"/>
      <c r="L384" s="391"/>
      <c r="M384" s="391"/>
      <c r="N384" s="391"/>
      <c r="O384" s="391"/>
      <c r="P384" s="391"/>
      <c r="Q384" s="391"/>
      <c r="R384" s="391"/>
      <c r="S384" s="391"/>
      <c r="T384" s="391"/>
      <c r="U384" s="391"/>
      <c r="V384" s="391"/>
      <c r="W384" s="391"/>
      <c r="X384" s="391"/>
      <c r="Y384" s="391"/>
      <c r="Z384" s="391"/>
    </row>
    <row r="385">
      <c r="A385" s="391"/>
      <c r="B385" s="391"/>
      <c r="C385" s="391"/>
      <c r="D385" s="391"/>
      <c r="E385" s="391"/>
      <c r="F385" s="391"/>
      <c r="G385" s="391"/>
      <c r="H385" s="391"/>
      <c r="I385" s="391"/>
      <c r="J385" s="391"/>
      <c r="K385" s="391"/>
      <c r="L385" s="391"/>
      <c r="M385" s="391"/>
      <c r="N385" s="391"/>
      <c r="O385" s="391"/>
      <c r="P385" s="391"/>
      <c r="Q385" s="391"/>
      <c r="R385" s="391"/>
      <c r="S385" s="391"/>
      <c r="T385" s="391"/>
      <c r="U385" s="391"/>
      <c r="V385" s="391"/>
      <c r="W385" s="391"/>
      <c r="X385" s="391"/>
      <c r="Y385" s="391"/>
      <c r="Z385" s="391"/>
    </row>
    <row r="386">
      <c r="A386" s="391"/>
      <c r="B386" s="391"/>
      <c r="C386" s="391"/>
      <c r="D386" s="391"/>
      <c r="E386" s="391"/>
      <c r="F386" s="391"/>
      <c r="G386" s="391"/>
      <c r="H386" s="391"/>
      <c r="I386" s="391"/>
      <c r="J386" s="391"/>
      <c r="K386" s="391"/>
      <c r="L386" s="391"/>
      <c r="M386" s="391"/>
      <c r="N386" s="391"/>
      <c r="O386" s="391"/>
      <c r="P386" s="391"/>
      <c r="Q386" s="391"/>
      <c r="R386" s="391"/>
      <c r="S386" s="391"/>
      <c r="T386" s="391"/>
      <c r="U386" s="391"/>
      <c r="V386" s="391"/>
      <c r="W386" s="391"/>
      <c r="X386" s="391"/>
      <c r="Y386" s="391"/>
      <c r="Z386" s="391"/>
    </row>
    <row r="387">
      <c r="A387" s="391"/>
      <c r="B387" s="391"/>
      <c r="C387" s="391"/>
      <c r="D387" s="391"/>
      <c r="E387" s="391"/>
      <c r="F387" s="391"/>
      <c r="G387" s="391"/>
      <c r="H387" s="391"/>
      <c r="I387" s="391"/>
      <c r="J387" s="391"/>
      <c r="K387" s="391"/>
      <c r="L387" s="391"/>
      <c r="M387" s="391"/>
      <c r="N387" s="391"/>
      <c r="O387" s="391"/>
      <c r="P387" s="391"/>
      <c r="Q387" s="391"/>
      <c r="R387" s="391"/>
      <c r="S387" s="391"/>
      <c r="T387" s="391"/>
      <c r="U387" s="391"/>
      <c r="V387" s="391"/>
      <c r="W387" s="391"/>
      <c r="X387" s="391"/>
      <c r="Y387" s="391"/>
      <c r="Z387" s="391"/>
    </row>
    <row r="388">
      <c r="A388" s="391"/>
      <c r="B388" s="391"/>
      <c r="C388" s="391"/>
      <c r="D388" s="391"/>
      <c r="E388" s="391"/>
      <c r="F388" s="391"/>
      <c r="G388" s="391"/>
      <c r="H388" s="391"/>
      <c r="I388" s="391"/>
      <c r="J388" s="391"/>
      <c r="K388" s="391"/>
      <c r="L388" s="391"/>
      <c r="M388" s="391"/>
      <c r="N388" s="391"/>
      <c r="O388" s="391"/>
      <c r="P388" s="391"/>
      <c r="Q388" s="391"/>
      <c r="R388" s="391"/>
      <c r="S388" s="391"/>
      <c r="T388" s="391"/>
      <c r="U388" s="391"/>
      <c r="V388" s="391"/>
      <c r="W388" s="391"/>
      <c r="X388" s="391"/>
      <c r="Y388" s="391"/>
      <c r="Z388" s="391"/>
    </row>
    <row r="389">
      <c r="A389" s="391"/>
      <c r="B389" s="391"/>
      <c r="C389" s="391"/>
      <c r="D389" s="391"/>
      <c r="E389" s="391"/>
      <c r="F389" s="391"/>
      <c r="G389" s="391"/>
      <c r="H389" s="391"/>
      <c r="I389" s="391"/>
      <c r="J389" s="391"/>
      <c r="K389" s="391"/>
      <c r="L389" s="391"/>
      <c r="M389" s="391"/>
      <c r="N389" s="391"/>
      <c r="O389" s="391"/>
      <c r="P389" s="391"/>
      <c r="Q389" s="391"/>
      <c r="R389" s="391"/>
      <c r="S389" s="391"/>
      <c r="T389" s="391"/>
      <c r="U389" s="391"/>
      <c r="V389" s="391"/>
      <c r="W389" s="391"/>
      <c r="X389" s="391"/>
      <c r="Y389" s="391"/>
      <c r="Z389" s="391"/>
    </row>
    <row r="390">
      <c r="A390" s="391"/>
      <c r="B390" s="391"/>
      <c r="C390" s="391"/>
      <c r="D390" s="391"/>
      <c r="E390" s="391"/>
      <c r="F390" s="391"/>
      <c r="G390" s="391"/>
      <c r="H390" s="391"/>
      <c r="I390" s="391"/>
      <c r="J390" s="391"/>
      <c r="K390" s="391"/>
      <c r="L390" s="391"/>
      <c r="M390" s="391"/>
      <c r="N390" s="391"/>
      <c r="O390" s="391"/>
      <c r="P390" s="391"/>
      <c r="Q390" s="391"/>
      <c r="R390" s="391"/>
      <c r="S390" s="391"/>
      <c r="T390" s="391"/>
      <c r="U390" s="391"/>
      <c r="V390" s="391"/>
      <c r="W390" s="391"/>
      <c r="X390" s="391"/>
      <c r="Y390" s="391"/>
      <c r="Z390" s="391"/>
    </row>
    <row r="391">
      <c r="A391" s="391"/>
      <c r="B391" s="391"/>
      <c r="C391" s="391"/>
      <c r="D391" s="391"/>
      <c r="E391" s="391"/>
      <c r="F391" s="391"/>
      <c r="G391" s="391"/>
      <c r="H391" s="391"/>
      <c r="I391" s="391"/>
      <c r="J391" s="391"/>
      <c r="K391" s="391"/>
      <c r="L391" s="391"/>
      <c r="M391" s="391"/>
      <c r="N391" s="391"/>
      <c r="O391" s="391"/>
      <c r="P391" s="391"/>
      <c r="Q391" s="391"/>
      <c r="R391" s="391"/>
      <c r="S391" s="391"/>
      <c r="T391" s="391"/>
      <c r="U391" s="391"/>
      <c r="V391" s="391"/>
      <c r="W391" s="391"/>
      <c r="X391" s="391"/>
      <c r="Y391" s="391"/>
      <c r="Z391" s="391"/>
    </row>
    <row r="392">
      <c r="A392" s="391"/>
      <c r="B392" s="391"/>
      <c r="C392" s="391"/>
      <c r="D392" s="391"/>
      <c r="E392" s="391"/>
      <c r="F392" s="391"/>
      <c r="G392" s="391"/>
      <c r="H392" s="391"/>
      <c r="I392" s="391"/>
      <c r="J392" s="391"/>
      <c r="K392" s="391"/>
      <c r="L392" s="391"/>
      <c r="M392" s="391"/>
      <c r="N392" s="391"/>
      <c r="O392" s="391"/>
      <c r="P392" s="391"/>
      <c r="Q392" s="391"/>
      <c r="R392" s="391"/>
      <c r="S392" s="391"/>
      <c r="T392" s="391"/>
      <c r="U392" s="391"/>
      <c r="V392" s="391"/>
      <c r="W392" s="391"/>
      <c r="X392" s="391"/>
      <c r="Y392" s="391"/>
      <c r="Z392" s="391"/>
    </row>
    <row r="393">
      <c r="A393" s="391"/>
      <c r="B393" s="391"/>
      <c r="C393" s="391"/>
      <c r="D393" s="391"/>
      <c r="E393" s="391"/>
      <c r="F393" s="391"/>
      <c r="G393" s="391"/>
      <c r="H393" s="391"/>
      <c r="I393" s="391"/>
      <c r="J393" s="391"/>
      <c r="K393" s="391"/>
      <c r="L393" s="391"/>
      <c r="M393" s="391"/>
      <c r="N393" s="391"/>
      <c r="O393" s="391"/>
      <c r="P393" s="391"/>
      <c r="Q393" s="391"/>
      <c r="R393" s="391"/>
      <c r="S393" s="391"/>
      <c r="T393" s="391"/>
      <c r="U393" s="391"/>
      <c r="V393" s="391"/>
      <c r="W393" s="391"/>
      <c r="X393" s="391"/>
      <c r="Y393" s="391"/>
      <c r="Z393" s="391"/>
    </row>
    <row r="394">
      <c r="A394" s="391"/>
      <c r="B394" s="391"/>
      <c r="C394" s="391"/>
      <c r="D394" s="391"/>
      <c r="E394" s="391"/>
      <c r="F394" s="391"/>
      <c r="G394" s="391"/>
      <c r="H394" s="391"/>
      <c r="I394" s="391"/>
      <c r="J394" s="391"/>
      <c r="K394" s="391"/>
      <c r="L394" s="391"/>
      <c r="M394" s="391"/>
      <c r="N394" s="391"/>
      <c r="O394" s="391"/>
      <c r="P394" s="391"/>
      <c r="Q394" s="391"/>
      <c r="R394" s="391"/>
      <c r="S394" s="391"/>
      <c r="T394" s="391"/>
      <c r="U394" s="391"/>
      <c r="V394" s="391"/>
      <c r="W394" s="391"/>
      <c r="X394" s="391"/>
      <c r="Y394" s="391"/>
      <c r="Z394" s="391"/>
    </row>
    <row r="395">
      <c r="A395" s="391"/>
      <c r="B395" s="391"/>
      <c r="C395" s="391"/>
      <c r="D395" s="391"/>
      <c r="E395" s="391"/>
      <c r="F395" s="391"/>
      <c r="G395" s="391"/>
      <c r="H395" s="391"/>
      <c r="I395" s="391"/>
      <c r="J395" s="391"/>
      <c r="K395" s="391"/>
      <c r="L395" s="391"/>
      <c r="M395" s="391"/>
      <c r="N395" s="391"/>
      <c r="O395" s="391"/>
      <c r="P395" s="391"/>
      <c r="Q395" s="391"/>
      <c r="R395" s="391"/>
      <c r="S395" s="391"/>
      <c r="T395" s="391"/>
      <c r="U395" s="391"/>
      <c r="V395" s="391"/>
      <c r="W395" s="391"/>
      <c r="X395" s="391"/>
      <c r="Y395" s="391"/>
      <c r="Z395" s="391"/>
    </row>
    <row r="396">
      <c r="A396" s="391"/>
      <c r="B396" s="391"/>
      <c r="C396" s="391"/>
      <c r="D396" s="391"/>
      <c r="E396" s="391"/>
      <c r="F396" s="391"/>
      <c r="G396" s="391"/>
      <c r="H396" s="391"/>
      <c r="I396" s="391"/>
      <c r="J396" s="391"/>
      <c r="K396" s="391"/>
      <c r="L396" s="391"/>
      <c r="M396" s="391"/>
      <c r="N396" s="391"/>
      <c r="O396" s="391"/>
      <c r="P396" s="391"/>
      <c r="Q396" s="391"/>
      <c r="R396" s="391"/>
      <c r="S396" s="391"/>
      <c r="T396" s="391"/>
      <c r="U396" s="391"/>
      <c r="V396" s="391"/>
      <c r="W396" s="391"/>
      <c r="X396" s="391"/>
      <c r="Y396" s="391"/>
      <c r="Z396" s="391"/>
    </row>
    <row r="397">
      <c r="A397" s="391"/>
      <c r="B397" s="391"/>
      <c r="C397" s="391"/>
      <c r="D397" s="391"/>
      <c r="E397" s="391"/>
      <c r="F397" s="391"/>
      <c r="G397" s="391"/>
      <c r="H397" s="391"/>
      <c r="I397" s="391"/>
      <c r="J397" s="391"/>
      <c r="K397" s="391"/>
      <c r="L397" s="391"/>
      <c r="M397" s="391"/>
      <c r="N397" s="391"/>
      <c r="O397" s="391"/>
      <c r="P397" s="391"/>
      <c r="Q397" s="391"/>
      <c r="R397" s="391"/>
      <c r="S397" s="391"/>
      <c r="T397" s="391"/>
      <c r="U397" s="391"/>
      <c r="V397" s="391"/>
      <c r="W397" s="391"/>
      <c r="X397" s="391"/>
      <c r="Y397" s="391"/>
      <c r="Z397" s="391"/>
    </row>
    <row r="398">
      <c r="A398" s="391"/>
      <c r="B398" s="391"/>
      <c r="C398" s="391"/>
      <c r="D398" s="391"/>
      <c r="E398" s="391"/>
      <c r="F398" s="391"/>
      <c r="G398" s="391"/>
      <c r="H398" s="391"/>
      <c r="I398" s="391"/>
      <c r="J398" s="391"/>
      <c r="K398" s="391"/>
      <c r="L398" s="391"/>
      <c r="M398" s="391"/>
      <c r="N398" s="391"/>
      <c r="O398" s="391"/>
      <c r="P398" s="391"/>
      <c r="Q398" s="391"/>
      <c r="R398" s="391"/>
      <c r="S398" s="391"/>
      <c r="T398" s="391"/>
      <c r="U398" s="391"/>
      <c r="V398" s="391"/>
      <c r="W398" s="391"/>
      <c r="X398" s="391"/>
      <c r="Y398" s="391"/>
      <c r="Z398" s="391"/>
    </row>
    <row r="399">
      <c r="A399" s="391"/>
      <c r="B399" s="391"/>
      <c r="C399" s="391"/>
      <c r="D399" s="391"/>
      <c r="E399" s="391"/>
      <c r="F399" s="391"/>
      <c r="G399" s="391"/>
      <c r="H399" s="391"/>
      <c r="I399" s="391"/>
      <c r="J399" s="391"/>
      <c r="K399" s="391"/>
      <c r="L399" s="391"/>
      <c r="M399" s="391"/>
      <c r="N399" s="391"/>
      <c r="O399" s="391"/>
      <c r="P399" s="391"/>
      <c r="Q399" s="391"/>
      <c r="R399" s="391"/>
      <c r="S399" s="391"/>
      <c r="T399" s="391"/>
      <c r="U399" s="391"/>
      <c r="V399" s="391"/>
      <c r="W399" s="391"/>
      <c r="X399" s="391"/>
      <c r="Y399" s="391"/>
      <c r="Z399" s="391"/>
    </row>
    <row r="400">
      <c r="A400" s="391"/>
      <c r="B400" s="391"/>
      <c r="C400" s="391"/>
      <c r="D400" s="391"/>
      <c r="E400" s="391"/>
      <c r="F400" s="391"/>
      <c r="G400" s="391"/>
      <c r="H400" s="391"/>
      <c r="I400" s="391"/>
      <c r="J400" s="391"/>
      <c r="K400" s="391"/>
      <c r="L400" s="391"/>
      <c r="M400" s="391"/>
      <c r="N400" s="391"/>
      <c r="O400" s="391"/>
      <c r="P400" s="391"/>
      <c r="Q400" s="391"/>
      <c r="R400" s="391"/>
      <c r="S400" s="391"/>
      <c r="T400" s="391"/>
      <c r="U400" s="391"/>
      <c r="V400" s="391"/>
      <c r="W400" s="391"/>
      <c r="X400" s="391"/>
      <c r="Y400" s="391"/>
      <c r="Z400" s="391"/>
    </row>
    <row r="401">
      <c r="A401" s="391"/>
      <c r="B401" s="391"/>
      <c r="C401" s="391"/>
      <c r="D401" s="391"/>
      <c r="E401" s="391"/>
      <c r="F401" s="391"/>
      <c r="G401" s="391"/>
      <c r="H401" s="391"/>
      <c r="I401" s="391"/>
      <c r="J401" s="391"/>
      <c r="K401" s="391"/>
      <c r="L401" s="391"/>
      <c r="M401" s="391"/>
      <c r="N401" s="391"/>
      <c r="O401" s="391"/>
      <c r="P401" s="391"/>
      <c r="Q401" s="391"/>
      <c r="R401" s="391"/>
      <c r="S401" s="391"/>
      <c r="T401" s="391"/>
      <c r="U401" s="391"/>
      <c r="V401" s="391"/>
      <c r="W401" s="391"/>
      <c r="X401" s="391"/>
      <c r="Y401" s="391"/>
      <c r="Z401" s="391"/>
    </row>
    <row r="402">
      <c r="A402" s="391"/>
      <c r="B402" s="391"/>
      <c r="C402" s="391"/>
      <c r="D402" s="391"/>
      <c r="E402" s="391"/>
      <c r="F402" s="391"/>
      <c r="G402" s="391"/>
      <c r="H402" s="391"/>
      <c r="I402" s="391"/>
      <c r="J402" s="391"/>
      <c r="K402" s="391"/>
      <c r="L402" s="391"/>
      <c r="M402" s="391"/>
      <c r="N402" s="391"/>
      <c r="O402" s="391"/>
      <c r="P402" s="391"/>
      <c r="Q402" s="391"/>
      <c r="R402" s="391"/>
      <c r="S402" s="391"/>
      <c r="T402" s="391"/>
      <c r="U402" s="391"/>
      <c r="V402" s="391"/>
      <c r="W402" s="391"/>
      <c r="X402" s="391"/>
      <c r="Y402" s="391"/>
      <c r="Z402" s="391"/>
    </row>
    <row r="403">
      <c r="A403" s="391"/>
      <c r="B403" s="391"/>
      <c r="C403" s="391"/>
      <c r="D403" s="391"/>
      <c r="E403" s="391"/>
      <c r="F403" s="391"/>
      <c r="G403" s="391"/>
      <c r="H403" s="391"/>
      <c r="I403" s="391"/>
      <c r="J403" s="391"/>
      <c r="K403" s="391"/>
      <c r="L403" s="391"/>
      <c r="M403" s="391"/>
      <c r="N403" s="391"/>
      <c r="O403" s="391"/>
      <c r="P403" s="391"/>
      <c r="Q403" s="391"/>
      <c r="R403" s="391"/>
      <c r="S403" s="391"/>
      <c r="T403" s="391"/>
      <c r="U403" s="391"/>
      <c r="V403" s="391"/>
      <c r="W403" s="391"/>
      <c r="X403" s="391"/>
      <c r="Y403" s="391"/>
      <c r="Z403" s="391"/>
    </row>
    <row r="404">
      <c r="A404" s="391"/>
      <c r="B404" s="391"/>
      <c r="C404" s="391"/>
      <c r="D404" s="391"/>
      <c r="E404" s="391"/>
      <c r="F404" s="391"/>
      <c r="G404" s="391"/>
      <c r="H404" s="391"/>
      <c r="I404" s="391"/>
      <c r="J404" s="391"/>
      <c r="K404" s="391"/>
      <c r="L404" s="391"/>
      <c r="M404" s="391"/>
      <c r="N404" s="391"/>
      <c r="O404" s="391"/>
      <c r="P404" s="391"/>
      <c r="Q404" s="391"/>
      <c r="R404" s="391"/>
      <c r="S404" s="391"/>
      <c r="T404" s="391"/>
      <c r="U404" s="391"/>
      <c r="V404" s="391"/>
      <c r="W404" s="391"/>
      <c r="X404" s="391"/>
      <c r="Y404" s="391"/>
      <c r="Z404" s="391"/>
    </row>
    <row r="405">
      <c r="A405" s="391"/>
      <c r="B405" s="391"/>
      <c r="C405" s="391"/>
      <c r="D405" s="391"/>
      <c r="E405" s="391"/>
      <c r="F405" s="391"/>
      <c r="G405" s="391"/>
      <c r="H405" s="391"/>
      <c r="I405" s="391"/>
      <c r="J405" s="391"/>
      <c r="K405" s="391"/>
      <c r="L405" s="391"/>
      <c r="M405" s="391"/>
      <c r="N405" s="391"/>
      <c r="O405" s="391"/>
      <c r="P405" s="391"/>
      <c r="Q405" s="391"/>
      <c r="R405" s="391"/>
      <c r="S405" s="391"/>
      <c r="T405" s="391"/>
      <c r="U405" s="391"/>
      <c r="V405" s="391"/>
      <c r="W405" s="391"/>
      <c r="X405" s="391"/>
      <c r="Y405" s="391"/>
      <c r="Z405" s="391"/>
    </row>
    <row r="406">
      <c r="A406" s="391"/>
      <c r="B406" s="391"/>
      <c r="C406" s="391"/>
      <c r="D406" s="391"/>
      <c r="E406" s="391"/>
      <c r="F406" s="391"/>
      <c r="G406" s="391"/>
      <c r="H406" s="391"/>
      <c r="I406" s="391"/>
      <c r="J406" s="391"/>
      <c r="K406" s="391"/>
      <c r="L406" s="391"/>
      <c r="M406" s="391"/>
      <c r="N406" s="391"/>
      <c r="O406" s="391"/>
      <c r="P406" s="391"/>
      <c r="Q406" s="391"/>
      <c r="R406" s="391"/>
      <c r="S406" s="391"/>
      <c r="T406" s="391"/>
      <c r="U406" s="391"/>
      <c r="V406" s="391"/>
      <c r="W406" s="391"/>
      <c r="X406" s="391"/>
      <c r="Y406" s="391"/>
      <c r="Z406" s="391"/>
    </row>
    <row r="407">
      <c r="A407" s="391"/>
      <c r="B407" s="391"/>
      <c r="C407" s="391"/>
      <c r="D407" s="391"/>
      <c r="E407" s="391"/>
      <c r="F407" s="391"/>
      <c r="G407" s="391"/>
      <c r="H407" s="391"/>
      <c r="I407" s="391"/>
      <c r="J407" s="391"/>
      <c r="K407" s="391"/>
      <c r="L407" s="391"/>
      <c r="M407" s="391"/>
      <c r="N407" s="391"/>
      <c r="O407" s="391"/>
      <c r="P407" s="391"/>
      <c r="Q407" s="391"/>
      <c r="R407" s="391"/>
      <c r="S407" s="391"/>
      <c r="T407" s="391"/>
      <c r="U407" s="391"/>
      <c r="V407" s="391"/>
      <c r="W407" s="391"/>
      <c r="X407" s="391"/>
      <c r="Y407" s="391"/>
      <c r="Z407" s="391"/>
    </row>
    <row r="408">
      <c r="A408" s="391"/>
      <c r="B408" s="391"/>
      <c r="C408" s="391"/>
      <c r="D408" s="391"/>
      <c r="E408" s="391"/>
      <c r="F408" s="391"/>
      <c r="G408" s="391"/>
      <c r="H408" s="391"/>
      <c r="I408" s="391"/>
      <c r="J408" s="391"/>
      <c r="K408" s="391"/>
      <c r="L408" s="391"/>
      <c r="M408" s="391"/>
      <c r="N408" s="391"/>
      <c r="O408" s="391"/>
      <c r="P408" s="391"/>
      <c r="Q408" s="391"/>
      <c r="R408" s="391"/>
      <c r="S408" s="391"/>
      <c r="T408" s="391"/>
      <c r="U408" s="391"/>
      <c r="V408" s="391"/>
      <c r="W408" s="391"/>
      <c r="X408" s="391"/>
      <c r="Y408" s="391"/>
      <c r="Z408" s="391"/>
    </row>
    <row r="409">
      <c r="A409" s="391"/>
      <c r="B409" s="391"/>
      <c r="C409" s="391"/>
      <c r="D409" s="391"/>
      <c r="E409" s="391"/>
      <c r="F409" s="391"/>
      <c r="G409" s="391"/>
      <c r="H409" s="391"/>
      <c r="I409" s="391"/>
      <c r="J409" s="391"/>
      <c r="K409" s="391"/>
      <c r="L409" s="391"/>
      <c r="M409" s="391"/>
      <c r="N409" s="391"/>
      <c r="O409" s="391"/>
      <c r="P409" s="391"/>
      <c r="Q409" s="391"/>
      <c r="R409" s="391"/>
      <c r="S409" s="391"/>
      <c r="T409" s="391"/>
      <c r="U409" s="391"/>
      <c r="V409" s="391"/>
      <c r="W409" s="391"/>
      <c r="X409" s="391"/>
      <c r="Y409" s="391"/>
      <c r="Z409" s="391"/>
    </row>
    <row r="410">
      <c r="A410" s="391"/>
      <c r="B410" s="391"/>
      <c r="C410" s="391"/>
      <c r="D410" s="391"/>
      <c r="E410" s="391"/>
      <c r="F410" s="391"/>
      <c r="G410" s="391"/>
      <c r="H410" s="391"/>
      <c r="I410" s="391"/>
      <c r="J410" s="391"/>
      <c r="K410" s="391"/>
      <c r="L410" s="391"/>
      <c r="M410" s="391"/>
      <c r="N410" s="391"/>
      <c r="O410" s="391"/>
      <c r="P410" s="391"/>
      <c r="Q410" s="391"/>
      <c r="R410" s="391"/>
      <c r="S410" s="391"/>
      <c r="T410" s="391"/>
      <c r="U410" s="391"/>
      <c r="V410" s="391"/>
      <c r="W410" s="391"/>
      <c r="X410" s="391"/>
      <c r="Y410" s="391"/>
      <c r="Z410" s="391"/>
    </row>
    <row r="411">
      <c r="A411" s="391"/>
      <c r="B411" s="391"/>
      <c r="C411" s="391"/>
      <c r="D411" s="391"/>
      <c r="E411" s="391"/>
      <c r="F411" s="391"/>
      <c r="G411" s="391"/>
      <c r="H411" s="391"/>
      <c r="I411" s="391"/>
      <c r="J411" s="391"/>
      <c r="K411" s="391"/>
      <c r="L411" s="391"/>
      <c r="M411" s="391"/>
      <c r="N411" s="391"/>
      <c r="O411" s="391"/>
      <c r="P411" s="391"/>
      <c r="Q411" s="391"/>
      <c r="R411" s="391"/>
      <c r="S411" s="391"/>
      <c r="T411" s="391"/>
      <c r="U411" s="391"/>
      <c r="V411" s="391"/>
      <c r="W411" s="391"/>
      <c r="X411" s="391"/>
      <c r="Y411" s="391"/>
      <c r="Z411" s="391"/>
    </row>
    <row r="412">
      <c r="A412" s="391"/>
      <c r="B412" s="391"/>
      <c r="C412" s="391"/>
      <c r="D412" s="391"/>
      <c r="E412" s="391"/>
      <c r="F412" s="391"/>
      <c r="G412" s="391"/>
      <c r="H412" s="391"/>
      <c r="I412" s="391"/>
      <c r="J412" s="391"/>
      <c r="K412" s="391"/>
      <c r="L412" s="391"/>
      <c r="M412" s="391"/>
      <c r="N412" s="391"/>
      <c r="O412" s="391"/>
      <c r="P412" s="391"/>
      <c r="Q412" s="391"/>
      <c r="R412" s="391"/>
      <c r="S412" s="391"/>
      <c r="T412" s="391"/>
      <c r="U412" s="391"/>
      <c r="V412" s="391"/>
      <c r="W412" s="391"/>
      <c r="X412" s="391"/>
      <c r="Y412" s="391"/>
      <c r="Z412" s="391"/>
    </row>
    <row r="413">
      <c r="A413" s="391"/>
      <c r="B413" s="391"/>
      <c r="C413" s="391"/>
      <c r="D413" s="391"/>
      <c r="E413" s="391"/>
      <c r="F413" s="391"/>
      <c r="G413" s="391"/>
      <c r="H413" s="391"/>
      <c r="I413" s="391"/>
      <c r="J413" s="391"/>
      <c r="K413" s="391"/>
      <c r="L413" s="391"/>
      <c r="M413" s="391"/>
      <c r="N413" s="391"/>
      <c r="O413" s="391"/>
      <c r="P413" s="391"/>
      <c r="Q413" s="391"/>
      <c r="R413" s="391"/>
      <c r="S413" s="391"/>
      <c r="T413" s="391"/>
      <c r="U413" s="391"/>
      <c r="V413" s="391"/>
      <c r="W413" s="391"/>
      <c r="X413" s="391"/>
      <c r="Y413" s="391"/>
      <c r="Z413" s="391"/>
    </row>
    <row r="414">
      <c r="A414" s="391"/>
      <c r="B414" s="391"/>
      <c r="C414" s="391"/>
      <c r="D414" s="391"/>
      <c r="E414" s="391"/>
      <c r="F414" s="391"/>
      <c r="G414" s="391"/>
      <c r="H414" s="391"/>
      <c r="I414" s="391"/>
      <c r="J414" s="391"/>
      <c r="K414" s="391"/>
      <c r="L414" s="391"/>
      <c r="M414" s="391"/>
      <c r="N414" s="391"/>
      <c r="O414" s="391"/>
      <c r="P414" s="391"/>
      <c r="Q414" s="391"/>
      <c r="R414" s="391"/>
      <c r="S414" s="391"/>
      <c r="T414" s="391"/>
      <c r="U414" s="391"/>
      <c r="V414" s="391"/>
      <c r="W414" s="391"/>
      <c r="X414" s="391"/>
      <c r="Y414" s="391"/>
      <c r="Z414" s="391"/>
    </row>
    <row r="415">
      <c r="A415" s="391"/>
      <c r="B415" s="391"/>
      <c r="C415" s="391"/>
      <c r="D415" s="391"/>
      <c r="E415" s="391"/>
      <c r="F415" s="391"/>
      <c r="G415" s="391"/>
      <c r="H415" s="391"/>
      <c r="I415" s="391"/>
      <c r="J415" s="391"/>
      <c r="K415" s="391"/>
      <c r="L415" s="391"/>
      <c r="M415" s="391"/>
      <c r="N415" s="391"/>
      <c r="O415" s="391"/>
      <c r="P415" s="391"/>
      <c r="Q415" s="391"/>
      <c r="R415" s="391"/>
      <c r="S415" s="391"/>
      <c r="T415" s="391"/>
      <c r="U415" s="391"/>
      <c r="V415" s="391"/>
      <c r="W415" s="391"/>
      <c r="X415" s="391"/>
      <c r="Y415" s="391"/>
      <c r="Z415" s="391"/>
    </row>
    <row r="416">
      <c r="A416" s="391"/>
      <c r="B416" s="391"/>
      <c r="C416" s="391"/>
      <c r="D416" s="391"/>
      <c r="E416" s="391"/>
      <c r="F416" s="391"/>
      <c r="G416" s="391"/>
      <c r="H416" s="391"/>
      <c r="I416" s="391"/>
      <c r="J416" s="391"/>
      <c r="K416" s="391"/>
      <c r="L416" s="391"/>
      <c r="M416" s="391"/>
      <c r="N416" s="391"/>
      <c r="O416" s="391"/>
      <c r="P416" s="391"/>
      <c r="Q416" s="391"/>
      <c r="R416" s="391"/>
      <c r="S416" s="391"/>
      <c r="T416" s="391"/>
      <c r="U416" s="391"/>
      <c r="V416" s="391"/>
      <c r="W416" s="391"/>
      <c r="X416" s="391"/>
      <c r="Y416" s="391"/>
      <c r="Z416" s="391"/>
    </row>
    <row r="417">
      <c r="A417" s="391"/>
      <c r="B417" s="391"/>
      <c r="C417" s="391"/>
      <c r="D417" s="391"/>
      <c r="E417" s="391"/>
      <c r="F417" s="391"/>
      <c r="G417" s="391"/>
      <c r="H417" s="391"/>
      <c r="I417" s="391"/>
      <c r="J417" s="391"/>
      <c r="K417" s="391"/>
      <c r="L417" s="391"/>
      <c r="M417" s="391"/>
      <c r="N417" s="391"/>
      <c r="O417" s="391"/>
      <c r="P417" s="391"/>
      <c r="Q417" s="391"/>
      <c r="R417" s="391"/>
      <c r="S417" s="391"/>
      <c r="T417" s="391"/>
      <c r="U417" s="391"/>
      <c r="V417" s="391"/>
      <c r="W417" s="391"/>
      <c r="X417" s="391"/>
      <c r="Y417" s="391"/>
      <c r="Z417" s="391"/>
    </row>
    <row r="418">
      <c r="A418" s="391"/>
      <c r="B418" s="391"/>
      <c r="C418" s="391"/>
      <c r="D418" s="391"/>
      <c r="E418" s="391"/>
      <c r="F418" s="391"/>
      <c r="G418" s="391"/>
      <c r="H418" s="391"/>
      <c r="I418" s="391"/>
      <c r="J418" s="391"/>
      <c r="K418" s="391"/>
      <c r="L418" s="391"/>
      <c r="M418" s="391"/>
      <c r="N418" s="391"/>
      <c r="O418" s="391"/>
      <c r="P418" s="391"/>
      <c r="Q418" s="391"/>
      <c r="R418" s="391"/>
      <c r="S418" s="391"/>
      <c r="T418" s="391"/>
      <c r="U418" s="391"/>
      <c r="V418" s="391"/>
      <c r="W418" s="391"/>
      <c r="X418" s="391"/>
      <c r="Y418" s="391"/>
      <c r="Z418" s="391"/>
    </row>
    <row r="419">
      <c r="A419" s="391"/>
      <c r="B419" s="391"/>
      <c r="C419" s="391"/>
      <c r="D419" s="391"/>
      <c r="E419" s="391"/>
      <c r="F419" s="391"/>
      <c r="G419" s="391"/>
      <c r="H419" s="391"/>
      <c r="I419" s="391"/>
      <c r="J419" s="391"/>
      <c r="K419" s="391"/>
      <c r="L419" s="391"/>
      <c r="M419" s="391"/>
      <c r="N419" s="391"/>
      <c r="O419" s="391"/>
      <c r="P419" s="391"/>
      <c r="Q419" s="391"/>
      <c r="R419" s="391"/>
      <c r="S419" s="391"/>
      <c r="T419" s="391"/>
      <c r="U419" s="391"/>
      <c r="V419" s="391"/>
      <c r="W419" s="391"/>
      <c r="X419" s="391"/>
      <c r="Y419" s="391"/>
      <c r="Z419" s="391"/>
    </row>
    <row r="420">
      <c r="A420" s="391"/>
      <c r="B420" s="391"/>
      <c r="C420" s="391"/>
      <c r="D420" s="391"/>
      <c r="E420" s="391"/>
      <c r="F420" s="391"/>
      <c r="G420" s="391"/>
      <c r="H420" s="391"/>
      <c r="I420" s="391"/>
      <c r="J420" s="391"/>
      <c r="K420" s="391"/>
      <c r="L420" s="391"/>
      <c r="M420" s="391"/>
      <c r="N420" s="391"/>
      <c r="O420" s="391"/>
      <c r="P420" s="391"/>
      <c r="Q420" s="391"/>
      <c r="R420" s="391"/>
      <c r="S420" s="391"/>
      <c r="T420" s="391"/>
      <c r="U420" s="391"/>
      <c r="V420" s="391"/>
      <c r="W420" s="391"/>
      <c r="X420" s="391"/>
      <c r="Y420" s="391"/>
      <c r="Z420" s="391"/>
    </row>
    <row r="421">
      <c r="A421" s="391"/>
      <c r="B421" s="391"/>
      <c r="C421" s="391"/>
      <c r="D421" s="391"/>
      <c r="E421" s="391"/>
      <c r="F421" s="391"/>
      <c r="G421" s="391"/>
      <c r="H421" s="391"/>
      <c r="I421" s="391"/>
      <c r="J421" s="391"/>
      <c r="K421" s="391"/>
      <c r="L421" s="391"/>
      <c r="M421" s="391"/>
      <c r="N421" s="391"/>
      <c r="O421" s="391"/>
      <c r="P421" s="391"/>
      <c r="Q421" s="391"/>
      <c r="R421" s="391"/>
      <c r="S421" s="391"/>
      <c r="T421" s="391"/>
      <c r="U421" s="391"/>
      <c r="V421" s="391"/>
      <c r="W421" s="391"/>
      <c r="X421" s="391"/>
      <c r="Y421" s="391"/>
      <c r="Z421" s="391"/>
    </row>
    <row r="422">
      <c r="A422" s="391"/>
      <c r="B422" s="391"/>
      <c r="C422" s="391"/>
      <c r="D422" s="391"/>
      <c r="E422" s="391"/>
      <c r="F422" s="391"/>
      <c r="G422" s="391"/>
      <c r="H422" s="391"/>
      <c r="I422" s="391"/>
      <c r="J422" s="391"/>
      <c r="K422" s="391"/>
      <c r="L422" s="391"/>
      <c r="M422" s="391"/>
      <c r="N422" s="391"/>
      <c r="O422" s="391"/>
      <c r="P422" s="391"/>
      <c r="Q422" s="391"/>
      <c r="R422" s="391"/>
      <c r="S422" s="391"/>
      <c r="T422" s="391"/>
      <c r="U422" s="391"/>
      <c r="V422" s="391"/>
      <c r="W422" s="391"/>
      <c r="X422" s="391"/>
      <c r="Y422" s="391"/>
      <c r="Z422" s="391"/>
    </row>
    <row r="423">
      <c r="A423" s="391"/>
      <c r="B423" s="391"/>
      <c r="C423" s="391"/>
      <c r="D423" s="391"/>
      <c r="E423" s="391"/>
      <c r="F423" s="391"/>
      <c r="G423" s="391"/>
      <c r="H423" s="391"/>
      <c r="I423" s="391"/>
      <c r="J423" s="391"/>
      <c r="K423" s="391"/>
      <c r="L423" s="391"/>
      <c r="M423" s="391"/>
      <c r="N423" s="391"/>
      <c r="O423" s="391"/>
      <c r="P423" s="391"/>
      <c r="Q423" s="391"/>
      <c r="R423" s="391"/>
      <c r="S423" s="391"/>
      <c r="T423" s="391"/>
      <c r="U423" s="391"/>
      <c r="V423" s="391"/>
      <c r="W423" s="391"/>
      <c r="X423" s="391"/>
      <c r="Y423" s="391"/>
      <c r="Z423" s="391"/>
    </row>
    <row r="424">
      <c r="A424" s="391"/>
      <c r="B424" s="391"/>
      <c r="C424" s="391"/>
      <c r="D424" s="391"/>
      <c r="E424" s="391"/>
      <c r="F424" s="391"/>
      <c r="G424" s="391"/>
      <c r="H424" s="391"/>
      <c r="I424" s="391"/>
      <c r="J424" s="391"/>
      <c r="K424" s="391"/>
      <c r="L424" s="391"/>
      <c r="M424" s="391"/>
      <c r="N424" s="391"/>
      <c r="O424" s="391"/>
      <c r="P424" s="391"/>
      <c r="Q424" s="391"/>
      <c r="R424" s="391"/>
      <c r="S424" s="391"/>
      <c r="T424" s="391"/>
      <c r="U424" s="391"/>
      <c r="V424" s="391"/>
      <c r="W424" s="391"/>
      <c r="X424" s="391"/>
      <c r="Y424" s="391"/>
      <c r="Z424" s="391"/>
    </row>
    <row r="425">
      <c r="A425" s="391"/>
      <c r="B425" s="391"/>
      <c r="C425" s="391"/>
      <c r="D425" s="391"/>
      <c r="E425" s="391"/>
      <c r="F425" s="391"/>
      <c r="G425" s="391"/>
      <c r="H425" s="391"/>
      <c r="I425" s="391"/>
      <c r="J425" s="391"/>
      <c r="K425" s="391"/>
      <c r="L425" s="391"/>
      <c r="M425" s="391"/>
      <c r="N425" s="391"/>
      <c r="O425" s="391"/>
      <c r="P425" s="391"/>
      <c r="Q425" s="391"/>
      <c r="R425" s="391"/>
      <c r="S425" s="391"/>
      <c r="T425" s="391"/>
      <c r="U425" s="391"/>
      <c r="V425" s="391"/>
      <c r="W425" s="391"/>
      <c r="X425" s="391"/>
      <c r="Y425" s="391"/>
      <c r="Z425" s="391"/>
    </row>
    <row r="426">
      <c r="A426" s="391"/>
      <c r="B426" s="391"/>
      <c r="C426" s="391"/>
      <c r="D426" s="391"/>
      <c r="E426" s="391"/>
      <c r="F426" s="391"/>
      <c r="G426" s="391"/>
      <c r="H426" s="391"/>
      <c r="I426" s="391"/>
      <c r="J426" s="391"/>
      <c r="K426" s="391"/>
      <c r="L426" s="391"/>
      <c r="M426" s="391"/>
      <c r="N426" s="391"/>
      <c r="O426" s="391"/>
      <c r="P426" s="391"/>
      <c r="Q426" s="391"/>
      <c r="R426" s="391"/>
      <c r="S426" s="391"/>
      <c r="T426" s="391"/>
      <c r="U426" s="391"/>
      <c r="V426" s="391"/>
      <c r="W426" s="391"/>
      <c r="X426" s="391"/>
      <c r="Y426" s="391"/>
      <c r="Z426" s="391"/>
    </row>
    <row r="427">
      <c r="A427" s="391"/>
      <c r="B427" s="391"/>
      <c r="C427" s="391"/>
      <c r="D427" s="391"/>
      <c r="E427" s="391"/>
      <c r="F427" s="391"/>
      <c r="G427" s="391"/>
      <c r="H427" s="391"/>
      <c r="I427" s="391"/>
      <c r="J427" s="391"/>
      <c r="K427" s="391"/>
      <c r="L427" s="391"/>
      <c r="M427" s="391"/>
      <c r="N427" s="391"/>
      <c r="O427" s="391"/>
      <c r="P427" s="391"/>
      <c r="Q427" s="391"/>
      <c r="R427" s="391"/>
      <c r="S427" s="391"/>
      <c r="T427" s="391"/>
      <c r="U427" s="391"/>
      <c r="V427" s="391"/>
      <c r="W427" s="391"/>
      <c r="X427" s="391"/>
      <c r="Y427" s="391"/>
      <c r="Z427" s="391"/>
    </row>
    <row r="428">
      <c r="A428" s="391"/>
      <c r="B428" s="391"/>
      <c r="C428" s="391"/>
      <c r="D428" s="391"/>
      <c r="E428" s="391"/>
      <c r="F428" s="391"/>
      <c r="G428" s="391"/>
      <c r="H428" s="391"/>
      <c r="I428" s="391"/>
      <c r="J428" s="391"/>
      <c r="K428" s="391"/>
      <c r="L428" s="391"/>
      <c r="M428" s="391"/>
      <c r="N428" s="391"/>
      <c r="O428" s="391"/>
      <c r="P428" s="391"/>
      <c r="Q428" s="391"/>
      <c r="R428" s="391"/>
      <c r="S428" s="391"/>
      <c r="T428" s="391"/>
      <c r="U428" s="391"/>
      <c r="V428" s="391"/>
      <c r="W428" s="391"/>
      <c r="X428" s="391"/>
      <c r="Y428" s="391"/>
      <c r="Z428" s="391"/>
    </row>
    <row r="429">
      <c r="A429" s="391"/>
      <c r="B429" s="391"/>
      <c r="C429" s="391"/>
      <c r="D429" s="391"/>
      <c r="E429" s="391"/>
      <c r="F429" s="391"/>
      <c r="G429" s="391"/>
      <c r="H429" s="391"/>
      <c r="I429" s="391"/>
      <c r="J429" s="391"/>
      <c r="K429" s="391"/>
      <c r="L429" s="391"/>
      <c r="M429" s="391"/>
      <c r="N429" s="391"/>
      <c r="O429" s="391"/>
      <c r="P429" s="391"/>
      <c r="Q429" s="391"/>
      <c r="R429" s="391"/>
      <c r="S429" s="391"/>
      <c r="T429" s="391"/>
      <c r="U429" s="391"/>
      <c r="V429" s="391"/>
      <c r="W429" s="391"/>
      <c r="X429" s="391"/>
      <c r="Y429" s="391"/>
      <c r="Z429" s="391"/>
    </row>
    <row r="430">
      <c r="A430" s="391"/>
      <c r="B430" s="391"/>
      <c r="C430" s="391"/>
      <c r="D430" s="391"/>
      <c r="E430" s="391"/>
      <c r="F430" s="391"/>
      <c r="G430" s="391"/>
      <c r="H430" s="391"/>
      <c r="I430" s="391"/>
      <c r="J430" s="391"/>
      <c r="K430" s="391"/>
      <c r="L430" s="391"/>
      <c r="M430" s="391"/>
      <c r="N430" s="391"/>
      <c r="O430" s="391"/>
      <c r="P430" s="391"/>
      <c r="Q430" s="391"/>
      <c r="R430" s="391"/>
      <c r="S430" s="391"/>
      <c r="T430" s="391"/>
      <c r="U430" s="391"/>
      <c r="V430" s="391"/>
      <c r="W430" s="391"/>
      <c r="X430" s="391"/>
      <c r="Y430" s="391"/>
      <c r="Z430" s="391"/>
    </row>
    <row r="431">
      <c r="A431" s="391"/>
      <c r="B431" s="391"/>
      <c r="C431" s="391"/>
      <c r="D431" s="391"/>
      <c r="E431" s="391"/>
      <c r="F431" s="391"/>
      <c r="G431" s="391"/>
      <c r="H431" s="391"/>
      <c r="I431" s="391"/>
      <c r="J431" s="391"/>
      <c r="K431" s="391"/>
      <c r="L431" s="391"/>
      <c r="M431" s="391"/>
      <c r="N431" s="391"/>
      <c r="O431" s="391"/>
      <c r="P431" s="391"/>
      <c r="Q431" s="391"/>
      <c r="R431" s="391"/>
      <c r="S431" s="391"/>
      <c r="T431" s="391"/>
      <c r="U431" s="391"/>
      <c r="V431" s="391"/>
      <c r="W431" s="391"/>
      <c r="X431" s="391"/>
      <c r="Y431" s="391"/>
      <c r="Z431" s="391"/>
    </row>
    <row r="432">
      <c r="A432" s="391"/>
      <c r="B432" s="391"/>
      <c r="C432" s="391"/>
      <c r="D432" s="391"/>
      <c r="E432" s="391"/>
      <c r="F432" s="391"/>
      <c r="G432" s="391"/>
      <c r="H432" s="391"/>
      <c r="I432" s="391"/>
      <c r="J432" s="391"/>
      <c r="K432" s="391"/>
      <c r="L432" s="391"/>
      <c r="M432" s="391"/>
      <c r="N432" s="391"/>
      <c r="O432" s="391"/>
      <c r="P432" s="391"/>
      <c r="Q432" s="391"/>
      <c r="R432" s="391"/>
      <c r="S432" s="391"/>
      <c r="T432" s="391"/>
      <c r="U432" s="391"/>
      <c r="V432" s="391"/>
      <c r="W432" s="391"/>
      <c r="X432" s="391"/>
      <c r="Y432" s="391"/>
      <c r="Z432" s="391"/>
    </row>
    <row r="433">
      <c r="A433" s="391"/>
      <c r="B433" s="391"/>
      <c r="C433" s="391"/>
      <c r="D433" s="391"/>
      <c r="E433" s="391"/>
      <c r="F433" s="391"/>
      <c r="G433" s="391"/>
      <c r="H433" s="391"/>
      <c r="I433" s="391"/>
      <c r="J433" s="391"/>
      <c r="K433" s="391"/>
      <c r="L433" s="391"/>
      <c r="M433" s="391"/>
      <c r="N433" s="391"/>
      <c r="O433" s="391"/>
      <c r="P433" s="391"/>
      <c r="Q433" s="391"/>
      <c r="R433" s="391"/>
      <c r="S433" s="391"/>
      <c r="T433" s="391"/>
      <c r="U433" s="391"/>
      <c r="V433" s="391"/>
      <c r="W433" s="391"/>
      <c r="X433" s="391"/>
      <c r="Y433" s="391"/>
      <c r="Z433" s="391"/>
    </row>
    <row r="434">
      <c r="A434" s="391"/>
      <c r="B434" s="391"/>
      <c r="C434" s="391"/>
      <c r="D434" s="391"/>
      <c r="E434" s="391"/>
      <c r="F434" s="391"/>
      <c r="G434" s="391"/>
      <c r="H434" s="391"/>
      <c r="I434" s="391"/>
      <c r="J434" s="391"/>
      <c r="K434" s="391"/>
      <c r="L434" s="391"/>
      <c r="M434" s="391"/>
      <c r="N434" s="391"/>
      <c r="O434" s="391"/>
      <c r="P434" s="391"/>
      <c r="Q434" s="391"/>
      <c r="R434" s="391"/>
      <c r="S434" s="391"/>
      <c r="T434" s="391"/>
      <c r="U434" s="391"/>
      <c r="V434" s="391"/>
      <c r="W434" s="391"/>
      <c r="X434" s="391"/>
      <c r="Y434" s="391"/>
      <c r="Z434" s="391"/>
    </row>
    <row r="435">
      <c r="A435" s="391"/>
      <c r="B435" s="391"/>
      <c r="C435" s="391"/>
      <c r="D435" s="391"/>
      <c r="E435" s="391"/>
      <c r="F435" s="391"/>
      <c r="G435" s="391"/>
      <c r="H435" s="391"/>
      <c r="I435" s="391"/>
      <c r="J435" s="391"/>
      <c r="K435" s="391"/>
      <c r="L435" s="391"/>
      <c r="M435" s="391"/>
      <c r="N435" s="391"/>
      <c r="O435" s="391"/>
      <c r="P435" s="391"/>
      <c r="Q435" s="391"/>
      <c r="R435" s="391"/>
      <c r="S435" s="391"/>
      <c r="T435" s="391"/>
      <c r="U435" s="391"/>
      <c r="V435" s="391"/>
      <c r="W435" s="391"/>
      <c r="X435" s="391"/>
      <c r="Y435" s="391"/>
      <c r="Z435" s="391"/>
    </row>
    <row r="436">
      <c r="A436" s="391"/>
      <c r="B436" s="391"/>
      <c r="C436" s="391"/>
      <c r="D436" s="391"/>
      <c r="E436" s="391"/>
      <c r="F436" s="391"/>
      <c r="G436" s="391"/>
      <c r="H436" s="391"/>
      <c r="I436" s="391"/>
      <c r="J436" s="391"/>
      <c r="K436" s="391"/>
      <c r="L436" s="391"/>
      <c r="M436" s="391"/>
      <c r="N436" s="391"/>
      <c r="O436" s="391"/>
      <c r="P436" s="391"/>
      <c r="Q436" s="391"/>
      <c r="R436" s="391"/>
      <c r="S436" s="391"/>
      <c r="T436" s="391"/>
      <c r="U436" s="391"/>
      <c r="V436" s="391"/>
      <c r="W436" s="391"/>
      <c r="X436" s="391"/>
      <c r="Y436" s="391"/>
      <c r="Z436" s="391"/>
    </row>
    <row r="437">
      <c r="A437" s="391"/>
      <c r="B437" s="391"/>
      <c r="C437" s="391"/>
      <c r="D437" s="391"/>
      <c r="E437" s="391"/>
      <c r="F437" s="391"/>
      <c r="G437" s="391"/>
      <c r="H437" s="391"/>
      <c r="I437" s="391"/>
      <c r="J437" s="391"/>
      <c r="K437" s="391"/>
      <c r="L437" s="391"/>
      <c r="M437" s="391"/>
      <c r="N437" s="391"/>
      <c r="O437" s="391"/>
      <c r="P437" s="391"/>
      <c r="Q437" s="391"/>
      <c r="R437" s="391"/>
      <c r="S437" s="391"/>
      <c r="T437" s="391"/>
      <c r="U437" s="391"/>
      <c r="V437" s="391"/>
      <c r="W437" s="391"/>
      <c r="X437" s="391"/>
      <c r="Y437" s="391"/>
      <c r="Z437" s="391"/>
    </row>
    <row r="438">
      <c r="A438" s="391"/>
      <c r="B438" s="391"/>
      <c r="C438" s="391"/>
      <c r="D438" s="391"/>
      <c r="E438" s="391"/>
      <c r="F438" s="391"/>
      <c r="G438" s="391"/>
      <c r="H438" s="391"/>
      <c r="I438" s="391"/>
      <c r="J438" s="391"/>
      <c r="K438" s="391"/>
      <c r="L438" s="391"/>
      <c r="M438" s="391"/>
      <c r="N438" s="391"/>
      <c r="O438" s="391"/>
      <c r="P438" s="391"/>
      <c r="Q438" s="391"/>
      <c r="R438" s="391"/>
      <c r="S438" s="391"/>
      <c r="T438" s="391"/>
      <c r="U438" s="391"/>
      <c r="V438" s="391"/>
      <c r="W438" s="391"/>
      <c r="X438" s="391"/>
      <c r="Y438" s="391"/>
      <c r="Z438" s="391"/>
    </row>
    <row r="439">
      <c r="A439" s="391"/>
      <c r="B439" s="391"/>
      <c r="C439" s="391"/>
      <c r="D439" s="391"/>
      <c r="E439" s="391"/>
      <c r="F439" s="391"/>
      <c r="G439" s="391"/>
      <c r="H439" s="391"/>
      <c r="I439" s="391"/>
      <c r="J439" s="391"/>
      <c r="K439" s="391"/>
      <c r="L439" s="391"/>
      <c r="M439" s="391"/>
      <c r="N439" s="391"/>
      <c r="O439" s="391"/>
      <c r="P439" s="391"/>
      <c r="Q439" s="391"/>
      <c r="R439" s="391"/>
      <c r="S439" s="391"/>
      <c r="T439" s="391"/>
      <c r="U439" s="391"/>
      <c r="V439" s="391"/>
      <c r="W439" s="391"/>
      <c r="X439" s="391"/>
      <c r="Y439" s="391"/>
      <c r="Z439" s="391"/>
    </row>
    <row r="440">
      <c r="A440" s="391"/>
      <c r="B440" s="391"/>
      <c r="C440" s="391"/>
      <c r="D440" s="391"/>
      <c r="E440" s="391"/>
      <c r="F440" s="391"/>
      <c r="G440" s="391"/>
      <c r="H440" s="391"/>
      <c r="I440" s="391"/>
      <c r="J440" s="391"/>
      <c r="K440" s="391"/>
      <c r="L440" s="391"/>
      <c r="M440" s="391"/>
      <c r="N440" s="391"/>
      <c r="O440" s="391"/>
      <c r="P440" s="391"/>
      <c r="Q440" s="391"/>
      <c r="R440" s="391"/>
      <c r="S440" s="391"/>
      <c r="T440" s="391"/>
      <c r="U440" s="391"/>
      <c r="V440" s="391"/>
      <c r="W440" s="391"/>
      <c r="X440" s="391"/>
      <c r="Y440" s="391"/>
      <c r="Z440" s="391"/>
    </row>
    <row r="441">
      <c r="A441" s="391"/>
      <c r="B441" s="391"/>
      <c r="C441" s="391"/>
      <c r="D441" s="391"/>
      <c r="E441" s="391"/>
      <c r="F441" s="391"/>
      <c r="G441" s="391"/>
      <c r="H441" s="391"/>
      <c r="I441" s="391"/>
      <c r="J441" s="391"/>
      <c r="K441" s="391"/>
      <c r="L441" s="391"/>
      <c r="M441" s="391"/>
      <c r="N441" s="391"/>
      <c r="O441" s="391"/>
      <c r="P441" s="391"/>
      <c r="Q441" s="391"/>
      <c r="R441" s="391"/>
      <c r="S441" s="391"/>
      <c r="T441" s="391"/>
      <c r="U441" s="391"/>
      <c r="V441" s="391"/>
      <c r="W441" s="391"/>
      <c r="X441" s="391"/>
      <c r="Y441" s="391"/>
      <c r="Z441" s="391"/>
    </row>
    <row r="442">
      <c r="A442" s="391"/>
      <c r="B442" s="391"/>
      <c r="C442" s="391"/>
      <c r="D442" s="391"/>
      <c r="E442" s="391"/>
      <c r="F442" s="391"/>
      <c r="G442" s="391"/>
      <c r="H442" s="391"/>
      <c r="I442" s="391"/>
      <c r="J442" s="391"/>
      <c r="K442" s="391"/>
      <c r="L442" s="391"/>
      <c r="M442" s="391"/>
      <c r="N442" s="391"/>
      <c r="O442" s="391"/>
      <c r="P442" s="391"/>
      <c r="Q442" s="391"/>
      <c r="R442" s="391"/>
      <c r="S442" s="391"/>
      <c r="T442" s="391"/>
      <c r="U442" s="391"/>
      <c r="V442" s="391"/>
      <c r="W442" s="391"/>
      <c r="X442" s="391"/>
      <c r="Y442" s="391"/>
      <c r="Z442" s="391"/>
    </row>
    <row r="443">
      <c r="A443" s="391"/>
      <c r="B443" s="391"/>
      <c r="C443" s="391"/>
      <c r="D443" s="391"/>
      <c r="E443" s="391"/>
      <c r="F443" s="391"/>
      <c r="G443" s="391"/>
      <c r="H443" s="391"/>
      <c r="I443" s="391"/>
      <c r="J443" s="391"/>
      <c r="K443" s="391"/>
      <c r="L443" s="391"/>
      <c r="M443" s="391"/>
      <c r="N443" s="391"/>
      <c r="O443" s="391"/>
      <c r="P443" s="391"/>
      <c r="Q443" s="391"/>
      <c r="R443" s="391"/>
      <c r="S443" s="391"/>
      <c r="T443" s="391"/>
      <c r="U443" s="391"/>
      <c r="V443" s="391"/>
      <c r="W443" s="391"/>
      <c r="X443" s="391"/>
      <c r="Y443" s="391"/>
      <c r="Z443" s="391"/>
    </row>
    <row r="444">
      <c r="A444" s="391"/>
      <c r="B444" s="391"/>
      <c r="C444" s="391"/>
      <c r="D444" s="391"/>
      <c r="E444" s="391"/>
      <c r="F444" s="391"/>
      <c r="G444" s="391"/>
      <c r="H444" s="391"/>
      <c r="I444" s="391"/>
      <c r="J444" s="391"/>
      <c r="K444" s="391"/>
      <c r="L444" s="391"/>
      <c r="M444" s="391"/>
      <c r="N444" s="391"/>
      <c r="O444" s="391"/>
      <c r="P444" s="391"/>
      <c r="Q444" s="391"/>
      <c r="R444" s="391"/>
      <c r="S444" s="391"/>
      <c r="T444" s="391"/>
      <c r="U444" s="391"/>
      <c r="V444" s="391"/>
      <c r="W444" s="391"/>
      <c r="X444" s="391"/>
      <c r="Y444" s="391"/>
      <c r="Z444" s="391"/>
    </row>
    <row r="445">
      <c r="A445" s="391"/>
      <c r="B445" s="391"/>
      <c r="C445" s="391"/>
      <c r="D445" s="391"/>
      <c r="E445" s="391"/>
      <c r="F445" s="391"/>
      <c r="G445" s="391"/>
      <c r="H445" s="391"/>
      <c r="I445" s="391"/>
      <c r="J445" s="391"/>
      <c r="K445" s="391"/>
      <c r="L445" s="391"/>
      <c r="M445" s="391"/>
      <c r="N445" s="391"/>
      <c r="O445" s="391"/>
      <c r="P445" s="391"/>
      <c r="Q445" s="391"/>
      <c r="R445" s="391"/>
      <c r="S445" s="391"/>
      <c r="T445" s="391"/>
      <c r="U445" s="391"/>
      <c r="V445" s="391"/>
      <c r="W445" s="391"/>
      <c r="X445" s="391"/>
      <c r="Y445" s="391"/>
      <c r="Z445" s="391"/>
    </row>
    <row r="446">
      <c r="A446" s="391"/>
      <c r="B446" s="391"/>
      <c r="C446" s="391"/>
      <c r="D446" s="391"/>
      <c r="E446" s="391"/>
      <c r="F446" s="391"/>
      <c r="G446" s="391"/>
      <c r="H446" s="391"/>
      <c r="I446" s="391"/>
      <c r="J446" s="391"/>
      <c r="K446" s="391"/>
      <c r="L446" s="391"/>
      <c r="M446" s="391"/>
      <c r="N446" s="391"/>
      <c r="O446" s="391"/>
      <c r="P446" s="391"/>
      <c r="Q446" s="391"/>
      <c r="R446" s="391"/>
      <c r="S446" s="391"/>
      <c r="T446" s="391"/>
      <c r="U446" s="391"/>
      <c r="V446" s="391"/>
      <c r="W446" s="391"/>
      <c r="X446" s="391"/>
      <c r="Y446" s="391"/>
      <c r="Z446" s="391"/>
    </row>
    <row r="447">
      <c r="A447" s="391"/>
      <c r="B447" s="391"/>
      <c r="C447" s="391"/>
      <c r="D447" s="391"/>
      <c r="E447" s="391"/>
      <c r="F447" s="391"/>
      <c r="G447" s="391"/>
      <c r="H447" s="391"/>
      <c r="I447" s="391"/>
      <c r="J447" s="391"/>
      <c r="K447" s="391"/>
      <c r="L447" s="391"/>
      <c r="M447" s="391"/>
      <c r="N447" s="391"/>
      <c r="O447" s="391"/>
      <c r="P447" s="391"/>
      <c r="Q447" s="391"/>
      <c r="R447" s="391"/>
      <c r="S447" s="391"/>
      <c r="T447" s="391"/>
      <c r="U447" s="391"/>
      <c r="V447" s="391"/>
      <c r="W447" s="391"/>
      <c r="X447" s="391"/>
      <c r="Y447" s="391"/>
      <c r="Z447" s="391"/>
    </row>
    <row r="448">
      <c r="A448" s="391"/>
      <c r="B448" s="391"/>
      <c r="C448" s="391"/>
      <c r="D448" s="391"/>
      <c r="E448" s="391"/>
      <c r="F448" s="391"/>
      <c r="G448" s="391"/>
      <c r="H448" s="391"/>
      <c r="I448" s="391"/>
      <c r="J448" s="391"/>
      <c r="K448" s="391"/>
      <c r="L448" s="391"/>
      <c r="M448" s="391"/>
      <c r="N448" s="391"/>
      <c r="O448" s="391"/>
      <c r="P448" s="391"/>
      <c r="Q448" s="391"/>
      <c r="R448" s="391"/>
      <c r="S448" s="391"/>
      <c r="T448" s="391"/>
      <c r="U448" s="391"/>
      <c r="V448" s="391"/>
      <c r="W448" s="391"/>
      <c r="X448" s="391"/>
      <c r="Y448" s="391"/>
      <c r="Z448" s="391"/>
    </row>
    <row r="449">
      <c r="A449" s="391"/>
      <c r="B449" s="391"/>
      <c r="C449" s="391"/>
      <c r="D449" s="391"/>
      <c r="E449" s="391"/>
      <c r="F449" s="391"/>
      <c r="G449" s="391"/>
      <c r="H449" s="391"/>
      <c r="I449" s="391"/>
      <c r="J449" s="391"/>
      <c r="K449" s="391"/>
      <c r="L449" s="391"/>
      <c r="M449" s="391"/>
      <c r="N449" s="391"/>
      <c r="O449" s="391"/>
      <c r="P449" s="391"/>
      <c r="Q449" s="391"/>
      <c r="R449" s="391"/>
      <c r="S449" s="391"/>
      <c r="T449" s="391"/>
      <c r="U449" s="391"/>
      <c r="V449" s="391"/>
      <c r="W449" s="391"/>
      <c r="X449" s="391"/>
      <c r="Y449" s="391"/>
      <c r="Z449" s="391"/>
    </row>
    <row r="450">
      <c r="A450" s="391"/>
      <c r="B450" s="391"/>
      <c r="C450" s="391"/>
      <c r="D450" s="391"/>
      <c r="E450" s="391"/>
      <c r="F450" s="391"/>
      <c r="G450" s="391"/>
      <c r="H450" s="391"/>
      <c r="I450" s="391"/>
      <c r="J450" s="391"/>
      <c r="K450" s="391"/>
      <c r="L450" s="391"/>
      <c r="M450" s="391"/>
      <c r="N450" s="391"/>
      <c r="O450" s="391"/>
      <c r="P450" s="391"/>
      <c r="Q450" s="391"/>
      <c r="R450" s="391"/>
      <c r="S450" s="391"/>
      <c r="T450" s="391"/>
      <c r="U450" s="391"/>
      <c r="V450" s="391"/>
      <c r="W450" s="391"/>
      <c r="X450" s="391"/>
      <c r="Y450" s="391"/>
      <c r="Z450" s="391"/>
    </row>
    <row r="451">
      <c r="A451" s="391"/>
      <c r="B451" s="391"/>
      <c r="C451" s="391"/>
      <c r="D451" s="391"/>
      <c r="E451" s="391"/>
      <c r="F451" s="391"/>
      <c r="G451" s="391"/>
      <c r="H451" s="391"/>
      <c r="I451" s="391"/>
      <c r="J451" s="391"/>
      <c r="K451" s="391"/>
      <c r="L451" s="391"/>
      <c r="M451" s="391"/>
      <c r="N451" s="391"/>
      <c r="O451" s="391"/>
      <c r="P451" s="391"/>
      <c r="Q451" s="391"/>
      <c r="R451" s="391"/>
      <c r="S451" s="391"/>
      <c r="T451" s="391"/>
      <c r="U451" s="391"/>
      <c r="V451" s="391"/>
      <c r="W451" s="391"/>
      <c r="X451" s="391"/>
      <c r="Y451" s="391"/>
      <c r="Z451" s="391"/>
    </row>
    <row r="452">
      <c r="A452" s="391"/>
      <c r="B452" s="391"/>
      <c r="C452" s="391"/>
      <c r="D452" s="391"/>
      <c r="E452" s="391"/>
      <c r="F452" s="391"/>
      <c r="G452" s="391"/>
      <c r="H452" s="391"/>
      <c r="I452" s="391"/>
      <c r="J452" s="391"/>
      <c r="K452" s="391"/>
      <c r="L452" s="391"/>
      <c r="M452" s="391"/>
      <c r="N452" s="391"/>
      <c r="O452" s="391"/>
      <c r="P452" s="391"/>
      <c r="Q452" s="391"/>
      <c r="R452" s="391"/>
      <c r="S452" s="391"/>
      <c r="T452" s="391"/>
      <c r="U452" s="391"/>
      <c r="V452" s="391"/>
      <c r="W452" s="391"/>
      <c r="X452" s="391"/>
      <c r="Y452" s="391"/>
      <c r="Z452" s="391"/>
    </row>
    <row r="453">
      <c r="A453" s="391"/>
      <c r="B453" s="391"/>
      <c r="C453" s="391"/>
      <c r="D453" s="391"/>
      <c r="E453" s="391"/>
      <c r="F453" s="391"/>
      <c r="G453" s="391"/>
      <c r="H453" s="391"/>
      <c r="I453" s="391"/>
      <c r="J453" s="391"/>
      <c r="K453" s="391"/>
      <c r="L453" s="391"/>
      <c r="M453" s="391"/>
      <c r="N453" s="391"/>
      <c r="O453" s="391"/>
      <c r="P453" s="391"/>
      <c r="Q453" s="391"/>
      <c r="R453" s="391"/>
      <c r="S453" s="391"/>
      <c r="T453" s="391"/>
      <c r="U453" s="391"/>
      <c r="V453" s="391"/>
      <c r="W453" s="391"/>
      <c r="X453" s="391"/>
      <c r="Y453" s="391"/>
      <c r="Z453" s="391"/>
    </row>
    <row r="454">
      <c r="A454" s="391"/>
      <c r="B454" s="391"/>
      <c r="C454" s="391"/>
      <c r="D454" s="391"/>
      <c r="E454" s="391"/>
      <c r="F454" s="391"/>
      <c r="G454" s="391"/>
      <c r="H454" s="391"/>
      <c r="I454" s="391"/>
      <c r="J454" s="391"/>
      <c r="K454" s="391"/>
      <c r="L454" s="391"/>
      <c r="M454" s="391"/>
      <c r="N454" s="391"/>
      <c r="O454" s="391"/>
      <c r="P454" s="391"/>
      <c r="Q454" s="391"/>
      <c r="R454" s="391"/>
      <c r="S454" s="391"/>
      <c r="T454" s="391"/>
      <c r="U454" s="391"/>
      <c r="V454" s="391"/>
      <c r="W454" s="391"/>
      <c r="X454" s="391"/>
      <c r="Y454" s="391"/>
      <c r="Z454" s="391"/>
    </row>
    <row r="455">
      <c r="A455" s="391"/>
      <c r="B455" s="391"/>
      <c r="C455" s="391"/>
      <c r="D455" s="391"/>
      <c r="E455" s="391"/>
      <c r="F455" s="391"/>
      <c r="G455" s="391"/>
      <c r="H455" s="391"/>
      <c r="I455" s="391"/>
      <c r="J455" s="391"/>
      <c r="K455" s="391"/>
      <c r="L455" s="391"/>
      <c r="M455" s="391"/>
      <c r="N455" s="391"/>
      <c r="O455" s="391"/>
      <c r="P455" s="391"/>
      <c r="Q455" s="391"/>
      <c r="R455" s="391"/>
      <c r="S455" s="391"/>
      <c r="T455" s="391"/>
      <c r="U455" s="391"/>
      <c r="V455" s="391"/>
      <c r="W455" s="391"/>
      <c r="X455" s="391"/>
      <c r="Y455" s="391"/>
      <c r="Z455" s="391"/>
    </row>
    <row r="456">
      <c r="A456" s="391"/>
      <c r="B456" s="391"/>
      <c r="C456" s="391"/>
      <c r="D456" s="391"/>
      <c r="E456" s="391"/>
      <c r="F456" s="391"/>
      <c r="G456" s="391"/>
      <c r="H456" s="391"/>
      <c r="I456" s="391"/>
      <c r="J456" s="391"/>
      <c r="K456" s="391"/>
      <c r="L456" s="391"/>
      <c r="M456" s="391"/>
      <c r="N456" s="391"/>
      <c r="O456" s="391"/>
      <c r="P456" s="391"/>
      <c r="Q456" s="391"/>
      <c r="R456" s="391"/>
      <c r="S456" s="391"/>
      <c r="T456" s="391"/>
      <c r="U456" s="391"/>
      <c r="V456" s="391"/>
      <c r="W456" s="391"/>
      <c r="X456" s="391"/>
      <c r="Y456" s="391"/>
      <c r="Z456" s="391"/>
    </row>
    <row r="457">
      <c r="A457" s="391"/>
      <c r="B457" s="391"/>
      <c r="C457" s="391"/>
      <c r="D457" s="391"/>
      <c r="E457" s="391"/>
      <c r="F457" s="391"/>
      <c r="G457" s="391"/>
      <c r="H457" s="391"/>
      <c r="I457" s="391"/>
      <c r="J457" s="391"/>
      <c r="K457" s="391"/>
      <c r="L457" s="391"/>
      <c r="M457" s="391"/>
      <c r="N457" s="391"/>
      <c r="O457" s="391"/>
      <c r="P457" s="391"/>
      <c r="Q457" s="391"/>
      <c r="R457" s="391"/>
      <c r="S457" s="391"/>
      <c r="T457" s="391"/>
      <c r="U457" s="391"/>
      <c r="V457" s="391"/>
      <c r="W457" s="391"/>
      <c r="X457" s="391"/>
      <c r="Y457" s="391"/>
      <c r="Z457" s="391"/>
    </row>
    <row r="458">
      <c r="A458" s="391"/>
      <c r="B458" s="391"/>
      <c r="C458" s="391"/>
      <c r="D458" s="391"/>
      <c r="E458" s="391"/>
      <c r="F458" s="391"/>
      <c r="G458" s="391"/>
      <c r="H458" s="391"/>
      <c r="I458" s="391"/>
      <c r="J458" s="391"/>
      <c r="K458" s="391"/>
      <c r="L458" s="391"/>
      <c r="M458" s="391"/>
      <c r="N458" s="391"/>
      <c r="O458" s="391"/>
      <c r="P458" s="391"/>
      <c r="Q458" s="391"/>
      <c r="R458" s="391"/>
      <c r="S458" s="391"/>
      <c r="T458" s="391"/>
      <c r="U458" s="391"/>
      <c r="V458" s="391"/>
      <c r="W458" s="391"/>
      <c r="X458" s="391"/>
      <c r="Y458" s="391"/>
      <c r="Z458" s="391"/>
    </row>
    <row r="459">
      <c r="A459" s="391"/>
      <c r="B459" s="391"/>
      <c r="C459" s="391"/>
      <c r="D459" s="391"/>
      <c r="E459" s="391"/>
      <c r="F459" s="391"/>
      <c r="G459" s="391"/>
      <c r="H459" s="391"/>
      <c r="I459" s="391"/>
      <c r="J459" s="391"/>
      <c r="K459" s="391"/>
      <c r="L459" s="391"/>
      <c r="M459" s="391"/>
      <c r="N459" s="391"/>
      <c r="O459" s="391"/>
      <c r="P459" s="391"/>
      <c r="Q459" s="391"/>
      <c r="R459" s="391"/>
      <c r="S459" s="391"/>
      <c r="T459" s="391"/>
      <c r="U459" s="391"/>
      <c r="V459" s="391"/>
      <c r="W459" s="391"/>
      <c r="X459" s="391"/>
      <c r="Y459" s="391"/>
      <c r="Z459" s="391"/>
    </row>
    <row r="460">
      <c r="A460" s="391"/>
      <c r="B460" s="391"/>
      <c r="C460" s="391"/>
      <c r="D460" s="391"/>
      <c r="E460" s="391"/>
      <c r="F460" s="391"/>
      <c r="G460" s="391"/>
      <c r="H460" s="391"/>
      <c r="I460" s="391"/>
      <c r="J460" s="391"/>
      <c r="K460" s="391"/>
      <c r="L460" s="391"/>
      <c r="M460" s="391"/>
      <c r="N460" s="391"/>
      <c r="O460" s="391"/>
      <c r="P460" s="391"/>
      <c r="Q460" s="391"/>
      <c r="R460" s="391"/>
      <c r="S460" s="391"/>
      <c r="T460" s="391"/>
      <c r="U460" s="391"/>
      <c r="V460" s="391"/>
      <c r="W460" s="391"/>
      <c r="X460" s="391"/>
      <c r="Y460" s="391"/>
      <c r="Z460" s="391"/>
    </row>
    <row r="461">
      <c r="A461" s="391"/>
      <c r="B461" s="391"/>
      <c r="C461" s="391"/>
      <c r="D461" s="391"/>
      <c r="E461" s="391"/>
      <c r="F461" s="391"/>
      <c r="G461" s="391"/>
      <c r="H461" s="391"/>
      <c r="I461" s="391"/>
      <c r="J461" s="391"/>
      <c r="K461" s="391"/>
      <c r="L461" s="391"/>
      <c r="M461" s="391"/>
      <c r="N461" s="391"/>
      <c r="O461" s="391"/>
      <c r="P461" s="391"/>
      <c r="Q461" s="391"/>
      <c r="R461" s="391"/>
      <c r="S461" s="391"/>
      <c r="T461" s="391"/>
      <c r="U461" s="391"/>
      <c r="V461" s="391"/>
      <c r="W461" s="391"/>
      <c r="X461" s="391"/>
      <c r="Y461" s="391"/>
      <c r="Z461" s="391"/>
    </row>
    <row r="462">
      <c r="A462" s="391"/>
      <c r="B462" s="391"/>
      <c r="C462" s="391"/>
      <c r="D462" s="391"/>
      <c r="E462" s="391"/>
      <c r="F462" s="391"/>
      <c r="G462" s="391"/>
      <c r="H462" s="391"/>
      <c r="I462" s="391"/>
      <c r="J462" s="391"/>
      <c r="K462" s="391"/>
      <c r="L462" s="391"/>
      <c r="M462" s="391"/>
      <c r="N462" s="391"/>
      <c r="O462" s="391"/>
      <c r="P462" s="391"/>
      <c r="Q462" s="391"/>
      <c r="R462" s="391"/>
      <c r="S462" s="391"/>
      <c r="T462" s="391"/>
      <c r="U462" s="391"/>
      <c r="V462" s="391"/>
      <c r="W462" s="391"/>
      <c r="X462" s="391"/>
      <c r="Y462" s="391"/>
      <c r="Z462" s="391"/>
    </row>
    <row r="463">
      <c r="A463" s="391"/>
      <c r="B463" s="391"/>
      <c r="C463" s="391"/>
      <c r="D463" s="391"/>
      <c r="E463" s="391"/>
      <c r="F463" s="391"/>
      <c r="G463" s="391"/>
      <c r="H463" s="391"/>
      <c r="I463" s="391"/>
      <c r="J463" s="391"/>
      <c r="K463" s="391"/>
      <c r="L463" s="391"/>
      <c r="M463" s="391"/>
      <c r="N463" s="391"/>
      <c r="O463" s="391"/>
      <c r="P463" s="391"/>
      <c r="Q463" s="391"/>
      <c r="R463" s="391"/>
      <c r="S463" s="391"/>
      <c r="T463" s="391"/>
      <c r="U463" s="391"/>
      <c r="V463" s="391"/>
      <c r="W463" s="391"/>
      <c r="X463" s="391"/>
      <c r="Y463" s="391"/>
      <c r="Z463" s="391"/>
    </row>
    <row r="464">
      <c r="A464" s="391"/>
      <c r="B464" s="391"/>
      <c r="C464" s="391"/>
      <c r="D464" s="391"/>
      <c r="E464" s="391"/>
      <c r="F464" s="391"/>
      <c r="G464" s="391"/>
      <c r="H464" s="391"/>
      <c r="I464" s="391"/>
      <c r="J464" s="391"/>
      <c r="K464" s="391"/>
      <c r="L464" s="391"/>
      <c r="M464" s="391"/>
      <c r="N464" s="391"/>
      <c r="O464" s="391"/>
      <c r="P464" s="391"/>
      <c r="Q464" s="391"/>
      <c r="R464" s="391"/>
      <c r="S464" s="391"/>
      <c r="T464" s="391"/>
      <c r="U464" s="391"/>
      <c r="V464" s="391"/>
      <c r="W464" s="391"/>
      <c r="X464" s="391"/>
      <c r="Y464" s="391"/>
      <c r="Z464" s="391"/>
    </row>
    <row r="465">
      <c r="A465" s="391"/>
      <c r="B465" s="391"/>
      <c r="C465" s="391"/>
      <c r="D465" s="391"/>
      <c r="E465" s="391"/>
      <c r="F465" s="391"/>
      <c r="G465" s="391"/>
      <c r="H465" s="391"/>
      <c r="I465" s="391"/>
      <c r="J465" s="391"/>
      <c r="K465" s="391"/>
      <c r="L465" s="391"/>
      <c r="M465" s="391"/>
      <c r="N465" s="391"/>
      <c r="O465" s="391"/>
      <c r="P465" s="391"/>
      <c r="Q465" s="391"/>
      <c r="R465" s="391"/>
      <c r="S465" s="391"/>
      <c r="T465" s="391"/>
      <c r="U465" s="391"/>
      <c r="V465" s="391"/>
      <c r="W465" s="391"/>
      <c r="X465" s="391"/>
      <c r="Y465" s="391"/>
      <c r="Z465" s="391"/>
    </row>
    <row r="466">
      <c r="A466" s="391"/>
      <c r="B466" s="391"/>
      <c r="C466" s="391"/>
      <c r="D466" s="391"/>
      <c r="E466" s="391"/>
      <c r="F466" s="391"/>
      <c r="G466" s="391"/>
      <c r="H466" s="391"/>
      <c r="I466" s="391"/>
      <c r="J466" s="391"/>
      <c r="K466" s="391"/>
      <c r="L466" s="391"/>
      <c r="M466" s="391"/>
      <c r="N466" s="391"/>
      <c r="O466" s="391"/>
      <c r="P466" s="391"/>
      <c r="Q466" s="391"/>
      <c r="R466" s="391"/>
      <c r="S466" s="391"/>
      <c r="T466" s="391"/>
      <c r="U466" s="391"/>
      <c r="V466" s="391"/>
      <c r="W466" s="391"/>
      <c r="X466" s="391"/>
      <c r="Y466" s="391"/>
      <c r="Z466" s="391"/>
    </row>
    <row r="467">
      <c r="A467" s="391"/>
      <c r="B467" s="391"/>
      <c r="C467" s="391"/>
      <c r="D467" s="391"/>
      <c r="E467" s="391"/>
      <c r="F467" s="391"/>
      <c r="G467" s="391"/>
      <c r="H467" s="391"/>
      <c r="I467" s="391"/>
      <c r="J467" s="391"/>
      <c r="K467" s="391"/>
      <c r="L467" s="391"/>
      <c r="M467" s="391"/>
      <c r="N467" s="391"/>
      <c r="O467" s="391"/>
      <c r="P467" s="391"/>
      <c r="Q467" s="391"/>
      <c r="R467" s="391"/>
      <c r="S467" s="391"/>
      <c r="T467" s="391"/>
      <c r="U467" s="391"/>
      <c r="V467" s="391"/>
      <c r="W467" s="391"/>
      <c r="X467" s="391"/>
      <c r="Y467" s="391"/>
      <c r="Z467" s="391"/>
    </row>
    <row r="468">
      <c r="A468" s="391"/>
      <c r="B468" s="391"/>
      <c r="C468" s="391"/>
      <c r="D468" s="391"/>
      <c r="E468" s="391"/>
      <c r="F468" s="391"/>
      <c r="G468" s="391"/>
      <c r="H468" s="391"/>
      <c r="I468" s="391"/>
      <c r="J468" s="391"/>
      <c r="K468" s="391"/>
      <c r="L468" s="391"/>
      <c r="M468" s="391"/>
      <c r="N468" s="391"/>
      <c r="O468" s="391"/>
      <c r="P468" s="391"/>
      <c r="Q468" s="391"/>
      <c r="R468" s="391"/>
      <c r="S468" s="391"/>
      <c r="T468" s="391"/>
      <c r="U468" s="391"/>
      <c r="V468" s="391"/>
      <c r="W468" s="391"/>
      <c r="X468" s="391"/>
      <c r="Y468" s="391"/>
      <c r="Z468" s="391"/>
    </row>
    <row r="469">
      <c r="A469" s="391"/>
      <c r="B469" s="391"/>
      <c r="C469" s="391"/>
      <c r="D469" s="391"/>
      <c r="E469" s="391"/>
      <c r="F469" s="391"/>
      <c r="G469" s="391"/>
      <c r="H469" s="391"/>
      <c r="I469" s="391"/>
      <c r="J469" s="391"/>
      <c r="K469" s="391"/>
      <c r="L469" s="391"/>
      <c r="M469" s="391"/>
      <c r="N469" s="391"/>
      <c r="O469" s="391"/>
      <c r="P469" s="391"/>
      <c r="Q469" s="391"/>
      <c r="R469" s="391"/>
      <c r="S469" s="391"/>
      <c r="T469" s="391"/>
      <c r="U469" s="391"/>
      <c r="V469" s="391"/>
      <c r="W469" s="391"/>
      <c r="X469" s="391"/>
      <c r="Y469" s="391"/>
      <c r="Z469" s="391"/>
    </row>
    <row r="470">
      <c r="A470" s="391"/>
      <c r="B470" s="391"/>
      <c r="C470" s="391"/>
      <c r="D470" s="391"/>
      <c r="E470" s="391"/>
      <c r="F470" s="391"/>
      <c r="G470" s="391"/>
      <c r="H470" s="391"/>
      <c r="I470" s="391"/>
      <c r="J470" s="391"/>
      <c r="K470" s="391"/>
      <c r="L470" s="391"/>
      <c r="M470" s="391"/>
      <c r="N470" s="391"/>
      <c r="O470" s="391"/>
      <c r="P470" s="391"/>
      <c r="Q470" s="391"/>
      <c r="R470" s="391"/>
      <c r="S470" s="391"/>
      <c r="T470" s="391"/>
      <c r="U470" s="391"/>
      <c r="V470" s="391"/>
      <c r="W470" s="391"/>
      <c r="X470" s="391"/>
      <c r="Y470" s="391"/>
      <c r="Z470" s="391"/>
    </row>
    <row r="471">
      <c r="A471" s="391"/>
      <c r="B471" s="391"/>
      <c r="C471" s="391"/>
      <c r="D471" s="391"/>
      <c r="E471" s="391"/>
      <c r="F471" s="391"/>
      <c r="G471" s="391"/>
      <c r="H471" s="391"/>
      <c r="I471" s="391"/>
      <c r="J471" s="391"/>
      <c r="K471" s="391"/>
      <c r="L471" s="391"/>
      <c r="M471" s="391"/>
      <c r="N471" s="391"/>
      <c r="O471" s="391"/>
      <c r="P471" s="391"/>
      <c r="Q471" s="391"/>
      <c r="R471" s="391"/>
      <c r="S471" s="391"/>
      <c r="T471" s="391"/>
      <c r="U471" s="391"/>
      <c r="V471" s="391"/>
      <c r="W471" s="391"/>
      <c r="X471" s="391"/>
      <c r="Y471" s="391"/>
      <c r="Z471" s="391"/>
    </row>
    <row r="472">
      <c r="A472" s="391"/>
      <c r="B472" s="391"/>
      <c r="C472" s="391"/>
      <c r="D472" s="391"/>
      <c r="E472" s="391"/>
      <c r="F472" s="391"/>
      <c r="G472" s="391"/>
      <c r="H472" s="391"/>
      <c r="I472" s="391"/>
      <c r="J472" s="391"/>
      <c r="K472" s="391"/>
      <c r="L472" s="391"/>
      <c r="M472" s="391"/>
      <c r="N472" s="391"/>
      <c r="O472" s="391"/>
      <c r="P472" s="391"/>
      <c r="Q472" s="391"/>
      <c r="R472" s="391"/>
      <c r="S472" s="391"/>
      <c r="T472" s="391"/>
      <c r="U472" s="391"/>
      <c r="V472" s="391"/>
      <c r="W472" s="391"/>
      <c r="X472" s="391"/>
      <c r="Y472" s="391"/>
      <c r="Z472" s="391"/>
    </row>
    <row r="473">
      <c r="A473" s="391"/>
      <c r="B473" s="391"/>
      <c r="C473" s="391"/>
      <c r="D473" s="391"/>
      <c r="E473" s="391"/>
      <c r="F473" s="391"/>
      <c r="G473" s="391"/>
      <c r="H473" s="391"/>
      <c r="I473" s="391"/>
      <c r="J473" s="391"/>
      <c r="K473" s="391"/>
      <c r="L473" s="391"/>
      <c r="M473" s="391"/>
      <c r="N473" s="391"/>
      <c r="O473" s="391"/>
      <c r="P473" s="391"/>
      <c r="Q473" s="391"/>
      <c r="R473" s="391"/>
      <c r="S473" s="391"/>
      <c r="T473" s="391"/>
      <c r="U473" s="391"/>
      <c r="V473" s="391"/>
      <c r="W473" s="391"/>
      <c r="X473" s="391"/>
      <c r="Y473" s="391"/>
      <c r="Z473" s="391"/>
    </row>
    <row r="474">
      <c r="A474" s="391"/>
      <c r="B474" s="391"/>
      <c r="C474" s="391"/>
      <c r="D474" s="391"/>
      <c r="E474" s="391"/>
      <c r="F474" s="391"/>
      <c r="G474" s="391"/>
      <c r="H474" s="391"/>
      <c r="I474" s="391"/>
      <c r="J474" s="391"/>
      <c r="K474" s="391"/>
      <c r="L474" s="391"/>
      <c r="M474" s="391"/>
      <c r="N474" s="391"/>
      <c r="O474" s="391"/>
      <c r="P474" s="391"/>
      <c r="Q474" s="391"/>
      <c r="R474" s="391"/>
      <c r="S474" s="391"/>
      <c r="T474" s="391"/>
      <c r="U474" s="391"/>
      <c r="V474" s="391"/>
      <c r="W474" s="391"/>
      <c r="X474" s="391"/>
      <c r="Y474" s="391"/>
      <c r="Z474" s="391"/>
    </row>
    <row r="475">
      <c r="A475" s="391"/>
      <c r="B475" s="391"/>
      <c r="C475" s="391"/>
      <c r="D475" s="391"/>
      <c r="E475" s="391"/>
      <c r="F475" s="391"/>
      <c r="G475" s="391"/>
      <c r="H475" s="391"/>
      <c r="I475" s="391"/>
      <c r="J475" s="391"/>
      <c r="K475" s="391"/>
      <c r="L475" s="391"/>
      <c r="M475" s="391"/>
      <c r="N475" s="391"/>
      <c r="O475" s="391"/>
      <c r="P475" s="391"/>
      <c r="Q475" s="391"/>
      <c r="R475" s="391"/>
      <c r="S475" s="391"/>
      <c r="T475" s="391"/>
      <c r="U475" s="391"/>
      <c r="V475" s="391"/>
      <c r="W475" s="391"/>
      <c r="X475" s="391"/>
      <c r="Y475" s="391"/>
      <c r="Z475" s="391"/>
    </row>
    <row r="476">
      <c r="A476" s="391"/>
      <c r="B476" s="391"/>
      <c r="C476" s="391"/>
      <c r="D476" s="391"/>
      <c r="E476" s="391"/>
      <c r="F476" s="391"/>
      <c r="G476" s="391"/>
      <c r="H476" s="391"/>
      <c r="I476" s="391"/>
      <c r="J476" s="391"/>
      <c r="K476" s="391"/>
      <c r="L476" s="391"/>
      <c r="M476" s="391"/>
      <c r="N476" s="391"/>
      <c r="O476" s="391"/>
      <c r="P476" s="391"/>
      <c r="Q476" s="391"/>
      <c r="R476" s="391"/>
      <c r="S476" s="391"/>
      <c r="T476" s="391"/>
      <c r="U476" s="391"/>
      <c r="V476" s="391"/>
      <c r="W476" s="391"/>
      <c r="X476" s="391"/>
      <c r="Y476" s="391"/>
      <c r="Z476" s="391"/>
    </row>
    <row r="477">
      <c r="A477" s="391"/>
      <c r="B477" s="391"/>
      <c r="C477" s="391"/>
      <c r="D477" s="391"/>
      <c r="E477" s="391"/>
      <c r="F477" s="391"/>
      <c r="G477" s="391"/>
      <c r="H477" s="391"/>
      <c r="I477" s="391"/>
      <c r="J477" s="391"/>
      <c r="K477" s="391"/>
      <c r="L477" s="391"/>
      <c r="M477" s="391"/>
      <c r="N477" s="391"/>
      <c r="O477" s="391"/>
      <c r="P477" s="391"/>
      <c r="Q477" s="391"/>
      <c r="R477" s="391"/>
      <c r="S477" s="391"/>
      <c r="T477" s="391"/>
      <c r="U477" s="391"/>
      <c r="V477" s="391"/>
      <c r="W477" s="391"/>
      <c r="X477" s="391"/>
      <c r="Y477" s="391"/>
      <c r="Z477" s="391"/>
    </row>
    <row r="478">
      <c r="A478" s="391"/>
      <c r="B478" s="391"/>
      <c r="C478" s="391"/>
      <c r="D478" s="391"/>
      <c r="E478" s="391"/>
      <c r="F478" s="391"/>
      <c r="G478" s="391"/>
      <c r="H478" s="391"/>
      <c r="I478" s="391"/>
      <c r="J478" s="391"/>
      <c r="K478" s="391"/>
      <c r="L478" s="391"/>
      <c r="M478" s="391"/>
      <c r="N478" s="391"/>
      <c r="O478" s="391"/>
      <c r="P478" s="391"/>
      <c r="Q478" s="391"/>
      <c r="R478" s="391"/>
      <c r="S478" s="391"/>
      <c r="T478" s="391"/>
      <c r="U478" s="391"/>
      <c r="V478" s="391"/>
      <c r="W478" s="391"/>
      <c r="X478" s="391"/>
      <c r="Y478" s="391"/>
      <c r="Z478" s="391"/>
    </row>
    <row r="479">
      <c r="A479" s="391"/>
      <c r="B479" s="391"/>
      <c r="C479" s="391"/>
      <c r="D479" s="391"/>
      <c r="E479" s="391"/>
      <c r="F479" s="391"/>
      <c r="G479" s="391"/>
      <c r="H479" s="391"/>
      <c r="I479" s="391"/>
      <c r="J479" s="391"/>
      <c r="K479" s="391"/>
      <c r="L479" s="391"/>
      <c r="M479" s="391"/>
      <c r="N479" s="391"/>
      <c r="O479" s="391"/>
      <c r="P479" s="391"/>
      <c r="Q479" s="391"/>
      <c r="R479" s="391"/>
      <c r="S479" s="391"/>
      <c r="T479" s="391"/>
      <c r="U479" s="391"/>
      <c r="V479" s="391"/>
      <c r="W479" s="391"/>
      <c r="X479" s="391"/>
      <c r="Y479" s="391"/>
      <c r="Z479" s="391"/>
    </row>
    <row r="480">
      <c r="A480" s="391"/>
      <c r="B480" s="391"/>
      <c r="C480" s="391"/>
      <c r="D480" s="391"/>
      <c r="E480" s="391"/>
      <c r="F480" s="391"/>
      <c r="G480" s="391"/>
      <c r="H480" s="391"/>
      <c r="I480" s="391"/>
      <c r="J480" s="391"/>
      <c r="K480" s="391"/>
      <c r="L480" s="391"/>
      <c r="M480" s="391"/>
      <c r="N480" s="391"/>
      <c r="O480" s="391"/>
      <c r="P480" s="391"/>
      <c r="Q480" s="391"/>
      <c r="R480" s="391"/>
      <c r="S480" s="391"/>
      <c r="T480" s="391"/>
      <c r="U480" s="391"/>
      <c r="V480" s="391"/>
      <c r="W480" s="391"/>
      <c r="X480" s="391"/>
      <c r="Y480" s="391"/>
      <c r="Z480" s="391"/>
    </row>
    <row r="481">
      <c r="A481" s="391"/>
      <c r="B481" s="391"/>
      <c r="C481" s="391"/>
      <c r="D481" s="391"/>
      <c r="E481" s="391"/>
      <c r="F481" s="391"/>
      <c r="G481" s="391"/>
      <c r="H481" s="391"/>
      <c r="I481" s="391"/>
      <c r="J481" s="391"/>
      <c r="K481" s="391"/>
      <c r="L481" s="391"/>
      <c r="M481" s="391"/>
      <c r="N481" s="391"/>
      <c r="O481" s="391"/>
      <c r="P481" s="391"/>
      <c r="Q481" s="391"/>
      <c r="R481" s="391"/>
      <c r="S481" s="391"/>
      <c r="T481" s="391"/>
      <c r="U481" s="391"/>
      <c r="V481" s="391"/>
      <c r="W481" s="391"/>
      <c r="X481" s="391"/>
      <c r="Y481" s="391"/>
      <c r="Z481" s="391"/>
    </row>
    <row r="482">
      <c r="A482" s="391"/>
      <c r="B482" s="391"/>
      <c r="C482" s="391"/>
      <c r="D482" s="391"/>
      <c r="E482" s="391"/>
      <c r="F482" s="391"/>
      <c r="G482" s="391"/>
      <c r="H482" s="391"/>
      <c r="I482" s="391"/>
      <c r="J482" s="391"/>
      <c r="K482" s="391"/>
      <c r="L482" s="391"/>
      <c r="M482" s="391"/>
      <c r="N482" s="391"/>
      <c r="O482" s="391"/>
      <c r="P482" s="391"/>
      <c r="Q482" s="391"/>
      <c r="R482" s="391"/>
      <c r="S482" s="391"/>
      <c r="T482" s="391"/>
      <c r="U482" s="391"/>
      <c r="V482" s="391"/>
      <c r="W482" s="391"/>
      <c r="X482" s="391"/>
      <c r="Y482" s="391"/>
      <c r="Z482" s="391"/>
    </row>
    <row r="483">
      <c r="A483" s="391"/>
      <c r="B483" s="391"/>
      <c r="C483" s="391"/>
      <c r="D483" s="391"/>
      <c r="E483" s="391"/>
      <c r="F483" s="391"/>
      <c r="G483" s="391"/>
      <c r="H483" s="391"/>
      <c r="I483" s="391"/>
      <c r="J483" s="391"/>
      <c r="K483" s="391"/>
      <c r="L483" s="391"/>
      <c r="M483" s="391"/>
      <c r="N483" s="391"/>
      <c r="O483" s="391"/>
      <c r="P483" s="391"/>
      <c r="Q483" s="391"/>
      <c r="R483" s="391"/>
      <c r="S483" s="391"/>
      <c r="T483" s="391"/>
      <c r="U483" s="391"/>
      <c r="V483" s="391"/>
      <c r="W483" s="391"/>
      <c r="X483" s="391"/>
      <c r="Y483" s="391"/>
      <c r="Z483" s="391"/>
    </row>
    <row r="484">
      <c r="A484" s="391"/>
      <c r="B484" s="391"/>
      <c r="C484" s="391"/>
      <c r="D484" s="391"/>
      <c r="E484" s="391"/>
      <c r="F484" s="391"/>
      <c r="G484" s="391"/>
      <c r="H484" s="391"/>
      <c r="I484" s="391"/>
      <c r="J484" s="391"/>
      <c r="K484" s="391"/>
      <c r="L484" s="391"/>
      <c r="M484" s="391"/>
      <c r="N484" s="391"/>
      <c r="O484" s="391"/>
      <c r="P484" s="391"/>
      <c r="Q484" s="391"/>
      <c r="R484" s="391"/>
      <c r="S484" s="391"/>
      <c r="T484" s="391"/>
      <c r="U484" s="391"/>
      <c r="V484" s="391"/>
      <c r="W484" s="391"/>
      <c r="X484" s="391"/>
      <c r="Y484" s="391"/>
      <c r="Z484" s="391"/>
    </row>
    <row r="485">
      <c r="A485" s="391"/>
      <c r="B485" s="391"/>
      <c r="C485" s="391"/>
      <c r="D485" s="391"/>
      <c r="E485" s="391"/>
      <c r="F485" s="391"/>
      <c r="G485" s="391"/>
      <c r="H485" s="391"/>
      <c r="I485" s="391"/>
      <c r="J485" s="391"/>
      <c r="K485" s="391"/>
      <c r="L485" s="391"/>
      <c r="M485" s="391"/>
      <c r="N485" s="391"/>
      <c r="O485" s="391"/>
      <c r="P485" s="391"/>
      <c r="Q485" s="391"/>
      <c r="R485" s="391"/>
      <c r="S485" s="391"/>
      <c r="T485" s="391"/>
      <c r="U485" s="391"/>
      <c r="V485" s="391"/>
      <c r="W485" s="391"/>
      <c r="X485" s="391"/>
      <c r="Y485" s="391"/>
      <c r="Z485" s="391"/>
    </row>
    <row r="486">
      <c r="A486" s="391"/>
      <c r="B486" s="391"/>
      <c r="C486" s="391"/>
      <c r="D486" s="391"/>
      <c r="E486" s="391"/>
      <c r="F486" s="391"/>
      <c r="G486" s="391"/>
      <c r="H486" s="391"/>
      <c r="I486" s="391"/>
      <c r="J486" s="391"/>
      <c r="K486" s="391"/>
      <c r="L486" s="391"/>
      <c r="M486" s="391"/>
      <c r="N486" s="391"/>
      <c r="O486" s="391"/>
      <c r="P486" s="391"/>
      <c r="Q486" s="391"/>
      <c r="R486" s="391"/>
      <c r="S486" s="391"/>
      <c r="T486" s="391"/>
      <c r="U486" s="391"/>
      <c r="V486" s="391"/>
      <c r="W486" s="391"/>
      <c r="X486" s="391"/>
      <c r="Y486" s="391"/>
      <c r="Z486" s="391"/>
    </row>
    <row r="487">
      <c r="A487" s="391"/>
      <c r="B487" s="391"/>
      <c r="C487" s="391"/>
      <c r="D487" s="391"/>
      <c r="E487" s="391"/>
      <c r="F487" s="391"/>
      <c r="G487" s="391"/>
      <c r="H487" s="391"/>
      <c r="I487" s="391"/>
      <c r="J487" s="391"/>
      <c r="K487" s="391"/>
      <c r="L487" s="391"/>
      <c r="M487" s="391"/>
      <c r="N487" s="391"/>
      <c r="O487" s="391"/>
      <c r="P487" s="391"/>
      <c r="Q487" s="391"/>
      <c r="R487" s="391"/>
      <c r="S487" s="391"/>
      <c r="T487" s="391"/>
      <c r="U487" s="391"/>
      <c r="V487" s="391"/>
      <c r="W487" s="391"/>
      <c r="X487" s="391"/>
      <c r="Y487" s="391"/>
      <c r="Z487" s="391"/>
    </row>
    <row r="488">
      <c r="A488" s="391"/>
      <c r="B488" s="391"/>
      <c r="C488" s="391"/>
      <c r="D488" s="391"/>
      <c r="E488" s="391"/>
      <c r="F488" s="391"/>
      <c r="G488" s="391"/>
      <c r="H488" s="391"/>
      <c r="I488" s="391"/>
      <c r="J488" s="391"/>
      <c r="K488" s="391"/>
      <c r="L488" s="391"/>
      <c r="M488" s="391"/>
      <c r="N488" s="391"/>
      <c r="O488" s="391"/>
      <c r="P488" s="391"/>
      <c r="Q488" s="391"/>
      <c r="R488" s="391"/>
      <c r="S488" s="391"/>
      <c r="T488" s="391"/>
      <c r="U488" s="391"/>
      <c r="V488" s="391"/>
      <c r="W488" s="391"/>
      <c r="X488" s="391"/>
      <c r="Y488" s="391"/>
      <c r="Z488" s="391"/>
    </row>
    <row r="489">
      <c r="A489" s="391"/>
      <c r="B489" s="391"/>
      <c r="C489" s="391"/>
      <c r="D489" s="391"/>
      <c r="E489" s="391"/>
      <c r="F489" s="391"/>
      <c r="G489" s="391"/>
      <c r="H489" s="391"/>
      <c r="I489" s="391"/>
      <c r="J489" s="391"/>
      <c r="K489" s="391"/>
      <c r="L489" s="391"/>
      <c r="M489" s="391"/>
      <c r="N489" s="391"/>
      <c r="O489" s="391"/>
      <c r="P489" s="391"/>
      <c r="Q489" s="391"/>
      <c r="R489" s="391"/>
      <c r="S489" s="391"/>
      <c r="T489" s="391"/>
      <c r="U489" s="391"/>
      <c r="V489" s="391"/>
      <c r="W489" s="391"/>
      <c r="X489" s="391"/>
      <c r="Y489" s="391"/>
      <c r="Z489" s="391"/>
    </row>
    <row r="490">
      <c r="A490" s="391"/>
      <c r="B490" s="391"/>
      <c r="C490" s="391"/>
      <c r="D490" s="391"/>
      <c r="E490" s="391"/>
      <c r="F490" s="391"/>
      <c r="G490" s="391"/>
      <c r="H490" s="391"/>
      <c r="I490" s="391"/>
      <c r="J490" s="391"/>
      <c r="K490" s="391"/>
      <c r="L490" s="391"/>
      <c r="M490" s="391"/>
      <c r="N490" s="391"/>
      <c r="O490" s="391"/>
      <c r="P490" s="391"/>
      <c r="Q490" s="391"/>
      <c r="R490" s="391"/>
      <c r="S490" s="391"/>
      <c r="T490" s="391"/>
      <c r="U490" s="391"/>
      <c r="V490" s="391"/>
      <c r="W490" s="391"/>
      <c r="X490" s="391"/>
      <c r="Y490" s="391"/>
      <c r="Z490" s="391"/>
    </row>
    <row r="491">
      <c r="A491" s="391"/>
      <c r="B491" s="391"/>
      <c r="C491" s="391"/>
      <c r="D491" s="391"/>
      <c r="E491" s="391"/>
      <c r="F491" s="391"/>
      <c r="G491" s="391"/>
      <c r="H491" s="391"/>
      <c r="I491" s="391"/>
      <c r="J491" s="391"/>
      <c r="K491" s="391"/>
      <c r="L491" s="391"/>
      <c r="M491" s="391"/>
      <c r="N491" s="391"/>
      <c r="O491" s="391"/>
      <c r="P491" s="391"/>
      <c r="Q491" s="391"/>
      <c r="R491" s="391"/>
      <c r="S491" s="391"/>
      <c r="T491" s="391"/>
      <c r="U491" s="391"/>
      <c r="V491" s="391"/>
      <c r="W491" s="391"/>
      <c r="X491" s="391"/>
      <c r="Y491" s="391"/>
      <c r="Z491" s="391"/>
    </row>
    <row r="492">
      <c r="A492" s="391"/>
      <c r="B492" s="391"/>
      <c r="C492" s="391"/>
      <c r="D492" s="391"/>
      <c r="E492" s="391"/>
      <c r="F492" s="391"/>
      <c r="G492" s="391"/>
      <c r="H492" s="391"/>
      <c r="I492" s="391"/>
      <c r="J492" s="391"/>
      <c r="K492" s="391"/>
      <c r="L492" s="391"/>
      <c r="M492" s="391"/>
      <c r="N492" s="391"/>
      <c r="O492" s="391"/>
      <c r="P492" s="391"/>
      <c r="Q492" s="391"/>
      <c r="R492" s="391"/>
      <c r="S492" s="391"/>
      <c r="T492" s="391"/>
      <c r="U492" s="391"/>
      <c r="V492" s="391"/>
      <c r="W492" s="391"/>
      <c r="X492" s="391"/>
      <c r="Y492" s="391"/>
      <c r="Z492" s="391"/>
    </row>
    <row r="493">
      <c r="A493" s="391"/>
      <c r="B493" s="391"/>
      <c r="C493" s="391"/>
      <c r="D493" s="391"/>
      <c r="E493" s="391"/>
      <c r="F493" s="391"/>
      <c r="G493" s="391"/>
      <c r="H493" s="391"/>
      <c r="I493" s="391"/>
      <c r="J493" s="391"/>
      <c r="K493" s="391"/>
      <c r="L493" s="391"/>
      <c r="M493" s="391"/>
      <c r="N493" s="391"/>
      <c r="O493" s="391"/>
      <c r="P493" s="391"/>
      <c r="Q493" s="391"/>
      <c r="R493" s="391"/>
      <c r="S493" s="391"/>
      <c r="T493" s="391"/>
      <c r="U493" s="391"/>
      <c r="V493" s="391"/>
      <c r="W493" s="391"/>
      <c r="X493" s="391"/>
      <c r="Y493" s="391"/>
      <c r="Z493" s="391"/>
    </row>
    <row r="494">
      <c r="A494" s="391"/>
      <c r="B494" s="391"/>
      <c r="C494" s="391"/>
      <c r="D494" s="391"/>
      <c r="E494" s="391"/>
      <c r="F494" s="391"/>
      <c r="G494" s="391"/>
      <c r="H494" s="391"/>
      <c r="I494" s="391"/>
      <c r="J494" s="391"/>
      <c r="K494" s="391"/>
      <c r="L494" s="391"/>
      <c r="M494" s="391"/>
      <c r="N494" s="391"/>
      <c r="O494" s="391"/>
      <c r="P494" s="391"/>
      <c r="Q494" s="391"/>
      <c r="R494" s="391"/>
      <c r="S494" s="391"/>
      <c r="T494" s="391"/>
      <c r="U494" s="391"/>
      <c r="V494" s="391"/>
      <c r="W494" s="391"/>
      <c r="X494" s="391"/>
      <c r="Y494" s="391"/>
      <c r="Z494" s="391"/>
    </row>
    <row r="495">
      <c r="A495" s="391"/>
      <c r="B495" s="391"/>
      <c r="C495" s="391"/>
      <c r="D495" s="391"/>
      <c r="E495" s="391"/>
      <c r="F495" s="391"/>
      <c r="G495" s="391"/>
      <c r="H495" s="391"/>
      <c r="I495" s="391"/>
      <c r="J495" s="391"/>
      <c r="K495" s="391"/>
      <c r="L495" s="391"/>
      <c r="M495" s="391"/>
      <c r="N495" s="391"/>
      <c r="O495" s="391"/>
      <c r="P495" s="391"/>
      <c r="Q495" s="391"/>
      <c r="R495" s="391"/>
      <c r="S495" s="391"/>
      <c r="T495" s="391"/>
      <c r="U495" s="391"/>
      <c r="V495" s="391"/>
      <c r="W495" s="391"/>
      <c r="X495" s="391"/>
      <c r="Y495" s="391"/>
      <c r="Z495" s="391"/>
    </row>
    <row r="496">
      <c r="A496" s="391"/>
      <c r="B496" s="391"/>
      <c r="C496" s="391"/>
      <c r="D496" s="391"/>
      <c r="E496" s="391"/>
      <c r="F496" s="391"/>
      <c r="G496" s="391"/>
      <c r="H496" s="391"/>
      <c r="I496" s="391"/>
      <c r="J496" s="391"/>
      <c r="K496" s="391"/>
      <c r="L496" s="391"/>
      <c r="M496" s="391"/>
      <c r="N496" s="391"/>
      <c r="O496" s="391"/>
      <c r="P496" s="391"/>
      <c r="Q496" s="391"/>
      <c r="R496" s="391"/>
      <c r="S496" s="391"/>
      <c r="T496" s="391"/>
      <c r="U496" s="391"/>
      <c r="V496" s="391"/>
      <c r="W496" s="391"/>
      <c r="X496" s="391"/>
      <c r="Y496" s="391"/>
      <c r="Z496" s="391"/>
    </row>
    <row r="497">
      <c r="A497" s="391"/>
      <c r="B497" s="391"/>
      <c r="C497" s="391"/>
      <c r="D497" s="391"/>
      <c r="E497" s="391"/>
      <c r="F497" s="391"/>
      <c r="G497" s="391"/>
      <c r="H497" s="391"/>
      <c r="I497" s="391"/>
      <c r="J497" s="391"/>
      <c r="K497" s="391"/>
      <c r="L497" s="391"/>
      <c r="M497" s="391"/>
      <c r="N497" s="391"/>
      <c r="O497" s="391"/>
      <c r="P497" s="391"/>
      <c r="Q497" s="391"/>
      <c r="R497" s="391"/>
      <c r="S497" s="391"/>
      <c r="T497" s="391"/>
      <c r="U497" s="391"/>
      <c r="V497" s="391"/>
      <c r="W497" s="391"/>
      <c r="X497" s="391"/>
      <c r="Y497" s="391"/>
      <c r="Z497" s="391"/>
    </row>
    <row r="498">
      <c r="A498" s="391"/>
      <c r="B498" s="391"/>
      <c r="C498" s="391"/>
      <c r="D498" s="391"/>
      <c r="E498" s="391"/>
      <c r="F498" s="391"/>
      <c r="G498" s="391"/>
      <c r="H498" s="391"/>
      <c r="I498" s="391"/>
      <c r="J498" s="391"/>
      <c r="K498" s="391"/>
      <c r="L498" s="391"/>
      <c r="M498" s="391"/>
      <c r="N498" s="391"/>
      <c r="O498" s="391"/>
      <c r="P498" s="391"/>
      <c r="Q498" s="391"/>
      <c r="R498" s="391"/>
      <c r="S498" s="391"/>
      <c r="T498" s="391"/>
      <c r="U498" s="391"/>
      <c r="V498" s="391"/>
      <c r="W498" s="391"/>
      <c r="X498" s="391"/>
      <c r="Y498" s="391"/>
      <c r="Z498" s="391"/>
    </row>
    <row r="499">
      <c r="A499" s="391"/>
      <c r="B499" s="391"/>
      <c r="C499" s="391"/>
      <c r="D499" s="391"/>
      <c r="E499" s="391"/>
      <c r="F499" s="391"/>
      <c r="G499" s="391"/>
      <c r="H499" s="391"/>
      <c r="I499" s="391"/>
      <c r="J499" s="391"/>
      <c r="K499" s="391"/>
      <c r="L499" s="391"/>
      <c r="M499" s="391"/>
      <c r="N499" s="391"/>
      <c r="O499" s="391"/>
      <c r="P499" s="391"/>
      <c r="Q499" s="391"/>
      <c r="R499" s="391"/>
      <c r="S499" s="391"/>
      <c r="T499" s="391"/>
      <c r="U499" s="391"/>
      <c r="V499" s="391"/>
      <c r="W499" s="391"/>
      <c r="X499" s="391"/>
      <c r="Y499" s="391"/>
      <c r="Z499" s="391"/>
    </row>
    <row r="500">
      <c r="A500" s="391"/>
      <c r="B500" s="391"/>
      <c r="C500" s="391"/>
      <c r="D500" s="391"/>
      <c r="E500" s="391"/>
      <c r="F500" s="391"/>
      <c r="G500" s="391"/>
      <c r="H500" s="391"/>
      <c r="I500" s="391"/>
      <c r="J500" s="391"/>
      <c r="K500" s="391"/>
      <c r="L500" s="391"/>
      <c r="M500" s="391"/>
      <c r="N500" s="391"/>
      <c r="O500" s="391"/>
      <c r="P500" s="391"/>
      <c r="Q500" s="391"/>
      <c r="R500" s="391"/>
      <c r="S500" s="391"/>
      <c r="T500" s="391"/>
      <c r="U500" s="391"/>
      <c r="V500" s="391"/>
      <c r="W500" s="391"/>
      <c r="X500" s="391"/>
      <c r="Y500" s="391"/>
      <c r="Z500" s="391"/>
    </row>
    <row r="501">
      <c r="A501" s="391"/>
      <c r="B501" s="391"/>
      <c r="C501" s="391"/>
      <c r="D501" s="391"/>
      <c r="E501" s="391"/>
      <c r="F501" s="391"/>
      <c r="G501" s="391"/>
      <c r="H501" s="391"/>
      <c r="I501" s="391"/>
      <c r="J501" s="391"/>
      <c r="K501" s="391"/>
      <c r="L501" s="391"/>
      <c r="M501" s="391"/>
      <c r="N501" s="391"/>
      <c r="O501" s="391"/>
      <c r="P501" s="391"/>
      <c r="Q501" s="391"/>
      <c r="R501" s="391"/>
      <c r="S501" s="391"/>
      <c r="T501" s="391"/>
      <c r="U501" s="391"/>
      <c r="V501" s="391"/>
      <c r="W501" s="391"/>
      <c r="X501" s="391"/>
      <c r="Y501" s="391"/>
      <c r="Z501" s="391"/>
    </row>
    <row r="502">
      <c r="A502" s="391"/>
      <c r="B502" s="391"/>
      <c r="C502" s="391"/>
      <c r="D502" s="391"/>
      <c r="E502" s="391"/>
      <c r="F502" s="391"/>
      <c r="G502" s="391"/>
      <c r="H502" s="391"/>
      <c r="I502" s="391"/>
      <c r="J502" s="391"/>
      <c r="K502" s="391"/>
      <c r="L502" s="391"/>
      <c r="M502" s="391"/>
      <c r="N502" s="391"/>
      <c r="O502" s="391"/>
      <c r="P502" s="391"/>
      <c r="Q502" s="391"/>
      <c r="R502" s="391"/>
      <c r="S502" s="391"/>
      <c r="T502" s="391"/>
      <c r="U502" s="391"/>
      <c r="V502" s="391"/>
      <c r="W502" s="391"/>
      <c r="X502" s="391"/>
      <c r="Y502" s="391"/>
      <c r="Z502" s="391"/>
    </row>
    <row r="503">
      <c r="A503" s="391"/>
      <c r="B503" s="391"/>
      <c r="C503" s="391"/>
      <c r="D503" s="391"/>
      <c r="E503" s="391"/>
      <c r="F503" s="391"/>
      <c r="G503" s="391"/>
      <c r="H503" s="391"/>
      <c r="I503" s="391"/>
      <c r="J503" s="391"/>
      <c r="K503" s="391"/>
      <c r="L503" s="391"/>
      <c r="M503" s="391"/>
      <c r="N503" s="391"/>
      <c r="O503" s="391"/>
      <c r="P503" s="391"/>
      <c r="Q503" s="391"/>
      <c r="R503" s="391"/>
      <c r="S503" s="391"/>
      <c r="T503" s="391"/>
      <c r="U503" s="391"/>
      <c r="V503" s="391"/>
      <c r="W503" s="391"/>
      <c r="X503" s="391"/>
      <c r="Y503" s="391"/>
      <c r="Z503" s="391"/>
    </row>
    <row r="504">
      <c r="A504" s="391"/>
      <c r="B504" s="391"/>
      <c r="C504" s="391"/>
      <c r="D504" s="391"/>
      <c r="E504" s="391"/>
      <c r="F504" s="391"/>
      <c r="G504" s="391"/>
      <c r="H504" s="391"/>
      <c r="I504" s="391"/>
      <c r="J504" s="391"/>
      <c r="K504" s="391"/>
      <c r="L504" s="391"/>
      <c r="M504" s="391"/>
      <c r="N504" s="391"/>
      <c r="O504" s="391"/>
      <c r="P504" s="391"/>
      <c r="Q504" s="391"/>
      <c r="R504" s="391"/>
      <c r="S504" s="391"/>
      <c r="T504" s="391"/>
      <c r="U504" s="391"/>
      <c r="V504" s="391"/>
      <c r="W504" s="391"/>
      <c r="X504" s="391"/>
      <c r="Y504" s="391"/>
      <c r="Z504" s="391"/>
    </row>
    <row r="505">
      <c r="A505" s="391"/>
      <c r="B505" s="391"/>
      <c r="C505" s="391"/>
      <c r="D505" s="391"/>
      <c r="E505" s="391"/>
      <c r="F505" s="391"/>
      <c r="G505" s="391"/>
      <c r="H505" s="391"/>
      <c r="I505" s="391"/>
      <c r="J505" s="391"/>
      <c r="K505" s="391"/>
      <c r="L505" s="391"/>
      <c r="M505" s="391"/>
      <c r="N505" s="391"/>
      <c r="O505" s="391"/>
      <c r="P505" s="391"/>
      <c r="Q505" s="391"/>
      <c r="R505" s="391"/>
      <c r="S505" s="391"/>
      <c r="T505" s="391"/>
      <c r="U505" s="391"/>
      <c r="V505" s="391"/>
      <c r="W505" s="391"/>
      <c r="X505" s="391"/>
      <c r="Y505" s="391"/>
      <c r="Z505" s="391"/>
    </row>
    <row r="506">
      <c r="A506" s="391"/>
      <c r="B506" s="391"/>
      <c r="C506" s="391"/>
      <c r="D506" s="391"/>
      <c r="E506" s="391"/>
      <c r="F506" s="391"/>
      <c r="G506" s="391"/>
      <c r="H506" s="391"/>
      <c r="I506" s="391"/>
      <c r="J506" s="391"/>
      <c r="K506" s="391"/>
      <c r="L506" s="391"/>
      <c r="M506" s="391"/>
      <c r="N506" s="391"/>
      <c r="O506" s="391"/>
      <c r="P506" s="391"/>
      <c r="Q506" s="391"/>
      <c r="R506" s="391"/>
      <c r="S506" s="391"/>
      <c r="T506" s="391"/>
      <c r="U506" s="391"/>
      <c r="V506" s="391"/>
      <c r="W506" s="391"/>
      <c r="X506" s="391"/>
      <c r="Y506" s="391"/>
      <c r="Z506" s="391"/>
    </row>
    <row r="507">
      <c r="A507" s="391"/>
      <c r="B507" s="391"/>
      <c r="C507" s="391"/>
      <c r="D507" s="391"/>
      <c r="E507" s="391"/>
      <c r="F507" s="391"/>
      <c r="G507" s="391"/>
      <c r="H507" s="391"/>
      <c r="I507" s="391"/>
      <c r="J507" s="391"/>
      <c r="K507" s="391"/>
      <c r="L507" s="391"/>
      <c r="M507" s="391"/>
      <c r="N507" s="391"/>
      <c r="O507" s="391"/>
      <c r="P507" s="391"/>
      <c r="Q507" s="391"/>
      <c r="R507" s="391"/>
      <c r="S507" s="391"/>
      <c r="T507" s="391"/>
      <c r="U507" s="391"/>
      <c r="V507" s="391"/>
      <c r="W507" s="391"/>
      <c r="X507" s="391"/>
      <c r="Y507" s="391"/>
      <c r="Z507" s="391"/>
    </row>
    <row r="508">
      <c r="A508" s="391"/>
      <c r="B508" s="391"/>
      <c r="C508" s="391"/>
      <c r="D508" s="391"/>
      <c r="E508" s="391"/>
      <c r="F508" s="391"/>
      <c r="G508" s="391"/>
      <c r="H508" s="391"/>
      <c r="I508" s="391"/>
      <c r="J508" s="391"/>
      <c r="K508" s="391"/>
      <c r="L508" s="391"/>
      <c r="M508" s="391"/>
      <c r="N508" s="391"/>
      <c r="O508" s="391"/>
      <c r="P508" s="391"/>
      <c r="Q508" s="391"/>
      <c r="R508" s="391"/>
      <c r="S508" s="391"/>
      <c r="T508" s="391"/>
      <c r="U508" s="391"/>
      <c r="V508" s="391"/>
      <c r="W508" s="391"/>
      <c r="X508" s="391"/>
      <c r="Y508" s="391"/>
      <c r="Z508" s="391"/>
    </row>
    <row r="509">
      <c r="A509" s="391"/>
      <c r="B509" s="391"/>
      <c r="C509" s="391"/>
      <c r="D509" s="391"/>
      <c r="E509" s="391"/>
      <c r="F509" s="391"/>
      <c r="G509" s="391"/>
      <c r="H509" s="391"/>
      <c r="I509" s="391"/>
      <c r="J509" s="391"/>
      <c r="K509" s="391"/>
      <c r="L509" s="391"/>
      <c r="M509" s="391"/>
      <c r="N509" s="391"/>
      <c r="O509" s="391"/>
      <c r="P509" s="391"/>
      <c r="Q509" s="391"/>
      <c r="R509" s="391"/>
      <c r="S509" s="391"/>
      <c r="T509" s="391"/>
      <c r="U509" s="391"/>
      <c r="V509" s="391"/>
      <c r="W509" s="391"/>
      <c r="X509" s="391"/>
      <c r="Y509" s="391"/>
      <c r="Z509" s="391"/>
    </row>
    <row r="510">
      <c r="A510" s="391"/>
      <c r="B510" s="391"/>
      <c r="C510" s="391"/>
      <c r="D510" s="391"/>
      <c r="E510" s="391"/>
      <c r="F510" s="391"/>
      <c r="G510" s="391"/>
      <c r="H510" s="391"/>
      <c r="I510" s="391"/>
      <c r="J510" s="391"/>
      <c r="K510" s="391"/>
      <c r="L510" s="391"/>
      <c r="M510" s="391"/>
      <c r="N510" s="391"/>
      <c r="O510" s="391"/>
      <c r="P510" s="391"/>
      <c r="Q510" s="391"/>
      <c r="R510" s="391"/>
      <c r="S510" s="391"/>
      <c r="T510" s="391"/>
      <c r="U510" s="391"/>
      <c r="V510" s="391"/>
      <c r="W510" s="391"/>
      <c r="X510" s="391"/>
      <c r="Y510" s="391"/>
      <c r="Z510" s="391"/>
    </row>
    <row r="511">
      <c r="A511" s="391"/>
      <c r="B511" s="391"/>
      <c r="C511" s="391"/>
      <c r="D511" s="391"/>
      <c r="E511" s="391"/>
      <c r="F511" s="391"/>
      <c r="G511" s="391"/>
      <c r="H511" s="391"/>
      <c r="I511" s="391"/>
      <c r="J511" s="391"/>
      <c r="K511" s="391"/>
      <c r="L511" s="391"/>
      <c r="M511" s="391"/>
      <c r="N511" s="391"/>
      <c r="O511" s="391"/>
      <c r="P511" s="391"/>
      <c r="Q511" s="391"/>
      <c r="R511" s="391"/>
      <c r="S511" s="391"/>
      <c r="T511" s="391"/>
      <c r="U511" s="391"/>
      <c r="V511" s="391"/>
      <c r="W511" s="391"/>
      <c r="X511" s="391"/>
      <c r="Y511" s="391"/>
      <c r="Z511" s="391"/>
    </row>
    <row r="512">
      <c r="A512" s="391"/>
      <c r="B512" s="391"/>
      <c r="C512" s="391"/>
      <c r="D512" s="391"/>
      <c r="E512" s="391"/>
      <c r="F512" s="391"/>
      <c r="G512" s="391"/>
      <c r="H512" s="391"/>
      <c r="I512" s="391"/>
      <c r="J512" s="391"/>
      <c r="K512" s="391"/>
      <c r="L512" s="391"/>
      <c r="M512" s="391"/>
      <c r="N512" s="391"/>
      <c r="O512" s="391"/>
      <c r="P512" s="391"/>
      <c r="Q512" s="391"/>
      <c r="R512" s="391"/>
      <c r="S512" s="391"/>
      <c r="T512" s="391"/>
      <c r="U512" s="391"/>
      <c r="V512" s="391"/>
      <c r="W512" s="391"/>
      <c r="X512" s="391"/>
      <c r="Y512" s="391"/>
      <c r="Z512" s="391"/>
    </row>
    <row r="513">
      <c r="A513" s="391"/>
      <c r="B513" s="391"/>
      <c r="C513" s="391"/>
      <c r="D513" s="391"/>
      <c r="E513" s="391"/>
      <c r="F513" s="391"/>
      <c r="G513" s="391"/>
      <c r="H513" s="391"/>
      <c r="I513" s="391"/>
      <c r="J513" s="391"/>
      <c r="K513" s="391"/>
      <c r="L513" s="391"/>
      <c r="M513" s="391"/>
      <c r="N513" s="391"/>
      <c r="O513" s="391"/>
      <c r="P513" s="391"/>
      <c r="Q513" s="391"/>
      <c r="R513" s="391"/>
      <c r="S513" s="391"/>
      <c r="T513" s="391"/>
      <c r="U513" s="391"/>
      <c r="V513" s="391"/>
      <c r="W513" s="391"/>
      <c r="X513" s="391"/>
      <c r="Y513" s="391"/>
      <c r="Z513" s="391"/>
    </row>
    <row r="514">
      <c r="A514" s="391"/>
      <c r="B514" s="391"/>
      <c r="C514" s="391"/>
      <c r="D514" s="391"/>
      <c r="E514" s="391"/>
      <c r="F514" s="391"/>
      <c r="G514" s="391"/>
      <c r="H514" s="391"/>
      <c r="I514" s="391"/>
      <c r="J514" s="391"/>
      <c r="K514" s="391"/>
      <c r="L514" s="391"/>
      <c r="M514" s="391"/>
      <c r="N514" s="391"/>
      <c r="O514" s="391"/>
      <c r="P514" s="391"/>
      <c r="Q514" s="391"/>
      <c r="R514" s="391"/>
      <c r="S514" s="391"/>
      <c r="T514" s="391"/>
      <c r="U514" s="391"/>
      <c r="V514" s="391"/>
      <c r="W514" s="391"/>
      <c r="X514" s="391"/>
      <c r="Y514" s="391"/>
      <c r="Z514" s="391"/>
    </row>
    <row r="515">
      <c r="A515" s="391"/>
      <c r="B515" s="391"/>
      <c r="C515" s="391"/>
      <c r="D515" s="391"/>
      <c r="E515" s="391"/>
      <c r="F515" s="391"/>
      <c r="G515" s="391"/>
      <c r="H515" s="391"/>
      <c r="I515" s="391"/>
      <c r="J515" s="391"/>
      <c r="K515" s="391"/>
      <c r="L515" s="391"/>
      <c r="M515" s="391"/>
      <c r="N515" s="391"/>
      <c r="O515" s="391"/>
      <c r="P515" s="391"/>
      <c r="Q515" s="391"/>
      <c r="R515" s="391"/>
      <c r="S515" s="391"/>
      <c r="T515" s="391"/>
      <c r="U515" s="391"/>
      <c r="V515" s="391"/>
      <c r="W515" s="391"/>
      <c r="X515" s="391"/>
      <c r="Y515" s="391"/>
      <c r="Z515" s="391"/>
    </row>
    <row r="516">
      <c r="A516" s="391"/>
      <c r="B516" s="391"/>
      <c r="C516" s="391"/>
      <c r="D516" s="391"/>
      <c r="E516" s="391"/>
      <c r="F516" s="391"/>
      <c r="G516" s="391"/>
      <c r="H516" s="391"/>
      <c r="I516" s="391"/>
      <c r="J516" s="391"/>
      <c r="K516" s="391"/>
      <c r="L516" s="391"/>
      <c r="M516" s="391"/>
      <c r="N516" s="391"/>
      <c r="O516" s="391"/>
      <c r="P516" s="391"/>
      <c r="Q516" s="391"/>
      <c r="R516" s="391"/>
      <c r="S516" s="391"/>
      <c r="T516" s="391"/>
      <c r="U516" s="391"/>
      <c r="V516" s="391"/>
      <c r="W516" s="391"/>
      <c r="X516" s="391"/>
      <c r="Y516" s="391"/>
      <c r="Z516" s="391"/>
    </row>
    <row r="517">
      <c r="A517" s="391"/>
      <c r="B517" s="391"/>
      <c r="C517" s="391"/>
      <c r="D517" s="391"/>
      <c r="E517" s="391"/>
      <c r="F517" s="391"/>
      <c r="G517" s="391"/>
      <c r="H517" s="391"/>
      <c r="I517" s="391"/>
      <c r="J517" s="391"/>
      <c r="K517" s="391"/>
      <c r="L517" s="391"/>
      <c r="M517" s="391"/>
      <c r="N517" s="391"/>
      <c r="O517" s="391"/>
      <c r="P517" s="391"/>
      <c r="Q517" s="391"/>
      <c r="R517" s="391"/>
      <c r="S517" s="391"/>
      <c r="T517" s="391"/>
      <c r="U517" s="391"/>
      <c r="V517" s="391"/>
      <c r="W517" s="391"/>
      <c r="X517" s="391"/>
      <c r="Y517" s="391"/>
      <c r="Z517" s="391"/>
    </row>
    <row r="518">
      <c r="A518" s="391"/>
      <c r="B518" s="391"/>
      <c r="C518" s="391"/>
      <c r="D518" s="391"/>
      <c r="E518" s="391"/>
      <c r="F518" s="391"/>
      <c r="G518" s="391"/>
      <c r="H518" s="391"/>
      <c r="I518" s="391"/>
      <c r="J518" s="391"/>
      <c r="K518" s="391"/>
      <c r="L518" s="391"/>
      <c r="M518" s="391"/>
      <c r="N518" s="391"/>
      <c r="O518" s="391"/>
      <c r="P518" s="391"/>
      <c r="Q518" s="391"/>
      <c r="R518" s="391"/>
      <c r="S518" s="391"/>
      <c r="T518" s="391"/>
      <c r="U518" s="391"/>
      <c r="V518" s="391"/>
      <c r="W518" s="391"/>
      <c r="X518" s="391"/>
      <c r="Y518" s="391"/>
      <c r="Z518" s="391"/>
    </row>
    <row r="519">
      <c r="A519" s="391"/>
      <c r="B519" s="391"/>
      <c r="C519" s="391"/>
      <c r="D519" s="391"/>
      <c r="E519" s="391"/>
      <c r="F519" s="391"/>
      <c r="G519" s="391"/>
      <c r="H519" s="391"/>
      <c r="I519" s="391"/>
      <c r="J519" s="391"/>
      <c r="K519" s="391"/>
      <c r="L519" s="391"/>
      <c r="M519" s="391"/>
      <c r="N519" s="391"/>
      <c r="O519" s="391"/>
      <c r="P519" s="391"/>
      <c r="Q519" s="391"/>
      <c r="R519" s="391"/>
      <c r="S519" s="391"/>
      <c r="T519" s="391"/>
      <c r="U519" s="391"/>
      <c r="V519" s="391"/>
      <c r="W519" s="391"/>
      <c r="X519" s="391"/>
      <c r="Y519" s="391"/>
      <c r="Z519" s="391"/>
    </row>
    <row r="520">
      <c r="A520" s="391"/>
      <c r="B520" s="391"/>
      <c r="C520" s="391"/>
      <c r="D520" s="391"/>
      <c r="E520" s="391"/>
      <c r="F520" s="391"/>
      <c r="G520" s="391"/>
      <c r="H520" s="391"/>
      <c r="I520" s="391"/>
      <c r="J520" s="391"/>
      <c r="K520" s="391"/>
      <c r="L520" s="391"/>
      <c r="M520" s="391"/>
      <c r="N520" s="391"/>
      <c r="O520" s="391"/>
      <c r="P520" s="391"/>
      <c r="Q520" s="391"/>
      <c r="R520" s="391"/>
      <c r="S520" s="391"/>
      <c r="T520" s="391"/>
      <c r="U520" s="391"/>
      <c r="V520" s="391"/>
      <c r="W520" s="391"/>
      <c r="X520" s="391"/>
      <c r="Y520" s="391"/>
      <c r="Z520" s="391"/>
    </row>
    <row r="521">
      <c r="A521" s="391"/>
      <c r="B521" s="391"/>
      <c r="C521" s="391"/>
      <c r="D521" s="391"/>
      <c r="E521" s="391"/>
      <c r="F521" s="391"/>
      <c r="G521" s="391"/>
      <c r="H521" s="391"/>
      <c r="I521" s="391"/>
      <c r="J521" s="391"/>
      <c r="K521" s="391"/>
      <c r="L521" s="391"/>
      <c r="M521" s="391"/>
      <c r="N521" s="391"/>
      <c r="O521" s="391"/>
      <c r="P521" s="391"/>
      <c r="Q521" s="391"/>
      <c r="R521" s="391"/>
      <c r="S521" s="391"/>
      <c r="T521" s="391"/>
      <c r="U521" s="391"/>
      <c r="V521" s="391"/>
      <c r="W521" s="391"/>
      <c r="X521" s="391"/>
      <c r="Y521" s="391"/>
      <c r="Z521" s="391"/>
    </row>
    <row r="522">
      <c r="A522" s="391"/>
      <c r="B522" s="391"/>
      <c r="C522" s="391"/>
      <c r="D522" s="391"/>
      <c r="E522" s="391"/>
      <c r="F522" s="391"/>
      <c r="G522" s="391"/>
      <c r="H522" s="391"/>
      <c r="I522" s="391"/>
      <c r="J522" s="391"/>
      <c r="K522" s="391"/>
      <c r="L522" s="391"/>
      <c r="M522" s="391"/>
      <c r="N522" s="391"/>
      <c r="O522" s="391"/>
      <c r="P522" s="391"/>
      <c r="Q522" s="391"/>
      <c r="R522" s="391"/>
      <c r="S522" s="391"/>
      <c r="T522" s="391"/>
      <c r="U522" s="391"/>
      <c r="V522" s="391"/>
      <c r="W522" s="391"/>
      <c r="X522" s="391"/>
      <c r="Y522" s="391"/>
      <c r="Z522" s="391"/>
    </row>
    <row r="523">
      <c r="A523" s="391"/>
      <c r="B523" s="391"/>
      <c r="C523" s="391"/>
      <c r="D523" s="391"/>
      <c r="E523" s="391"/>
      <c r="F523" s="391"/>
      <c r="G523" s="391"/>
      <c r="H523" s="391"/>
      <c r="I523" s="391"/>
      <c r="J523" s="391"/>
      <c r="K523" s="391"/>
      <c r="L523" s="391"/>
      <c r="M523" s="391"/>
      <c r="N523" s="391"/>
      <c r="O523" s="391"/>
      <c r="P523" s="391"/>
      <c r="Q523" s="391"/>
      <c r="R523" s="391"/>
      <c r="S523" s="391"/>
      <c r="T523" s="391"/>
      <c r="U523" s="391"/>
      <c r="V523" s="391"/>
      <c r="W523" s="391"/>
      <c r="X523" s="391"/>
      <c r="Y523" s="391"/>
      <c r="Z523" s="391"/>
    </row>
    <row r="524">
      <c r="A524" s="391"/>
      <c r="B524" s="391"/>
      <c r="C524" s="391"/>
      <c r="D524" s="391"/>
      <c r="E524" s="391"/>
      <c r="F524" s="391"/>
      <c r="G524" s="391"/>
      <c r="H524" s="391"/>
      <c r="I524" s="391"/>
      <c r="J524" s="391"/>
      <c r="K524" s="391"/>
      <c r="L524" s="391"/>
      <c r="M524" s="391"/>
      <c r="N524" s="391"/>
      <c r="O524" s="391"/>
      <c r="P524" s="391"/>
      <c r="Q524" s="391"/>
      <c r="R524" s="391"/>
      <c r="S524" s="391"/>
      <c r="T524" s="391"/>
      <c r="U524" s="391"/>
      <c r="V524" s="391"/>
      <c r="W524" s="391"/>
      <c r="X524" s="391"/>
      <c r="Y524" s="391"/>
      <c r="Z524" s="391"/>
    </row>
    <row r="525">
      <c r="A525" s="391"/>
      <c r="B525" s="391"/>
      <c r="C525" s="391"/>
      <c r="D525" s="391"/>
      <c r="E525" s="391"/>
      <c r="F525" s="391"/>
      <c r="G525" s="391"/>
      <c r="H525" s="391"/>
      <c r="I525" s="391"/>
      <c r="J525" s="391"/>
      <c r="K525" s="391"/>
      <c r="L525" s="391"/>
      <c r="M525" s="391"/>
      <c r="N525" s="391"/>
      <c r="O525" s="391"/>
      <c r="P525" s="391"/>
      <c r="Q525" s="391"/>
      <c r="R525" s="391"/>
      <c r="S525" s="391"/>
      <c r="T525" s="391"/>
      <c r="U525" s="391"/>
      <c r="V525" s="391"/>
      <c r="W525" s="391"/>
      <c r="X525" s="391"/>
      <c r="Y525" s="391"/>
      <c r="Z525" s="391"/>
    </row>
    <row r="526">
      <c r="A526" s="391"/>
      <c r="B526" s="391"/>
      <c r="C526" s="391"/>
      <c r="D526" s="391"/>
      <c r="E526" s="391"/>
      <c r="F526" s="391"/>
      <c r="G526" s="391"/>
      <c r="H526" s="391"/>
      <c r="I526" s="391"/>
      <c r="J526" s="391"/>
      <c r="K526" s="391"/>
      <c r="L526" s="391"/>
      <c r="M526" s="391"/>
      <c r="N526" s="391"/>
      <c r="O526" s="391"/>
      <c r="P526" s="391"/>
      <c r="Q526" s="391"/>
      <c r="R526" s="391"/>
      <c r="S526" s="391"/>
      <c r="T526" s="391"/>
      <c r="U526" s="391"/>
      <c r="V526" s="391"/>
      <c r="W526" s="391"/>
      <c r="X526" s="391"/>
      <c r="Y526" s="391"/>
      <c r="Z526" s="391"/>
    </row>
    <row r="527">
      <c r="A527" s="391"/>
      <c r="B527" s="391"/>
      <c r="C527" s="391"/>
      <c r="D527" s="391"/>
      <c r="E527" s="391"/>
      <c r="F527" s="391"/>
      <c r="G527" s="391"/>
      <c r="H527" s="391"/>
      <c r="I527" s="391"/>
      <c r="J527" s="391"/>
      <c r="K527" s="391"/>
      <c r="L527" s="391"/>
      <c r="M527" s="391"/>
      <c r="N527" s="391"/>
      <c r="O527" s="391"/>
      <c r="P527" s="391"/>
      <c r="Q527" s="391"/>
      <c r="R527" s="391"/>
      <c r="S527" s="391"/>
      <c r="T527" s="391"/>
      <c r="U527" s="391"/>
      <c r="V527" s="391"/>
      <c r="W527" s="391"/>
      <c r="X527" s="391"/>
      <c r="Y527" s="391"/>
      <c r="Z527" s="391"/>
    </row>
    <row r="528">
      <c r="A528" s="391"/>
      <c r="B528" s="391"/>
      <c r="C528" s="391"/>
      <c r="D528" s="391"/>
      <c r="E528" s="391"/>
      <c r="F528" s="391"/>
      <c r="G528" s="391"/>
      <c r="H528" s="391"/>
      <c r="I528" s="391"/>
      <c r="J528" s="391"/>
      <c r="K528" s="391"/>
      <c r="L528" s="391"/>
      <c r="M528" s="391"/>
      <c r="N528" s="391"/>
      <c r="O528" s="391"/>
      <c r="P528" s="391"/>
      <c r="Q528" s="391"/>
      <c r="R528" s="391"/>
      <c r="S528" s="391"/>
      <c r="T528" s="391"/>
      <c r="U528" s="391"/>
      <c r="V528" s="391"/>
      <c r="W528" s="391"/>
      <c r="X528" s="391"/>
      <c r="Y528" s="391"/>
      <c r="Z528" s="391"/>
    </row>
    <row r="529">
      <c r="A529" s="391"/>
      <c r="B529" s="391"/>
      <c r="C529" s="391"/>
      <c r="D529" s="391"/>
      <c r="E529" s="391"/>
      <c r="F529" s="391"/>
      <c r="G529" s="391"/>
      <c r="H529" s="391"/>
      <c r="I529" s="391"/>
      <c r="J529" s="391"/>
      <c r="K529" s="391"/>
      <c r="L529" s="391"/>
      <c r="M529" s="391"/>
      <c r="N529" s="391"/>
      <c r="O529" s="391"/>
      <c r="P529" s="391"/>
      <c r="Q529" s="391"/>
      <c r="R529" s="391"/>
      <c r="S529" s="391"/>
      <c r="T529" s="391"/>
      <c r="U529" s="391"/>
      <c r="V529" s="391"/>
      <c r="W529" s="391"/>
      <c r="X529" s="391"/>
      <c r="Y529" s="391"/>
      <c r="Z529" s="391"/>
    </row>
    <row r="530">
      <c r="A530" s="391"/>
      <c r="B530" s="391"/>
      <c r="C530" s="391"/>
      <c r="D530" s="391"/>
      <c r="E530" s="391"/>
      <c r="F530" s="391"/>
      <c r="G530" s="391"/>
      <c r="H530" s="391"/>
      <c r="I530" s="391"/>
      <c r="J530" s="391"/>
      <c r="K530" s="391"/>
      <c r="L530" s="391"/>
      <c r="M530" s="391"/>
      <c r="N530" s="391"/>
      <c r="O530" s="391"/>
      <c r="P530" s="391"/>
      <c r="Q530" s="391"/>
      <c r="R530" s="391"/>
      <c r="S530" s="391"/>
      <c r="T530" s="391"/>
      <c r="U530" s="391"/>
      <c r="V530" s="391"/>
      <c r="W530" s="391"/>
      <c r="X530" s="391"/>
      <c r="Y530" s="391"/>
      <c r="Z530" s="391"/>
    </row>
    <row r="531">
      <c r="A531" s="391"/>
      <c r="B531" s="391"/>
      <c r="C531" s="391"/>
      <c r="D531" s="391"/>
      <c r="E531" s="391"/>
      <c r="F531" s="391"/>
      <c r="G531" s="391"/>
      <c r="H531" s="391"/>
      <c r="I531" s="391"/>
      <c r="J531" s="391"/>
      <c r="K531" s="391"/>
      <c r="L531" s="391"/>
      <c r="M531" s="391"/>
      <c r="N531" s="391"/>
      <c r="O531" s="391"/>
      <c r="P531" s="391"/>
      <c r="Q531" s="391"/>
      <c r="R531" s="391"/>
      <c r="S531" s="391"/>
      <c r="T531" s="391"/>
      <c r="U531" s="391"/>
      <c r="V531" s="391"/>
      <c r="W531" s="391"/>
      <c r="X531" s="391"/>
      <c r="Y531" s="391"/>
      <c r="Z531" s="391"/>
    </row>
    <row r="532">
      <c r="A532" s="391"/>
      <c r="B532" s="391"/>
      <c r="C532" s="391"/>
      <c r="D532" s="391"/>
      <c r="E532" s="391"/>
      <c r="F532" s="391"/>
      <c r="G532" s="391"/>
      <c r="H532" s="391"/>
      <c r="I532" s="391"/>
      <c r="J532" s="391"/>
      <c r="K532" s="391"/>
      <c r="L532" s="391"/>
      <c r="M532" s="391"/>
      <c r="N532" s="391"/>
      <c r="O532" s="391"/>
      <c r="P532" s="391"/>
      <c r="Q532" s="391"/>
      <c r="R532" s="391"/>
      <c r="S532" s="391"/>
      <c r="T532" s="391"/>
      <c r="U532" s="391"/>
      <c r="V532" s="391"/>
      <c r="W532" s="391"/>
      <c r="X532" s="391"/>
      <c r="Y532" s="391"/>
      <c r="Z532" s="391"/>
    </row>
    <row r="533">
      <c r="A533" s="391"/>
      <c r="B533" s="391"/>
      <c r="C533" s="391"/>
      <c r="D533" s="391"/>
      <c r="E533" s="391"/>
      <c r="F533" s="391"/>
      <c r="G533" s="391"/>
      <c r="H533" s="391"/>
      <c r="I533" s="391"/>
      <c r="J533" s="391"/>
      <c r="K533" s="391"/>
      <c r="L533" s="391"/>
      <c r="M533" s="391"/>
      <c r="N533" s="391"/>
      <c r="O533" s="391"/>
      <c r="P533" s="391"/>
      <c r="Q533" s="391"/>
      <c r="R533" s="391"/>
      <c r="S533" s="391"/>
      <c r="T533" s="391"/>
      <c r="U533" s="391"/>
      <c r="V533" s="391"/>
      <c r="W533" s="391"/>
      <c r="X533" s="391"/>
      <c r="Y533" s="391"/>
      <c r="Z533" s="391"/>
    </row>
    <row r="534">
      <c r="A534" s="391"/>
      <c r="B534" s="391"/>
      <c r="C534" s="391"/>
      <c r="D534" s="391"/>
      <c r="E534" s="391"/>
      <c r="F534" s="391"/>
      <c r="G534" s="391"/>
      <c r="H534" s="391"/>
      <c r="I534" s="391"/>
      <c r="J534" s="391"/>
      <c r="K534" s="391"/>
      <c r="L534" s="391"/>
      <c r="M534" s="391"/>
      <c r="N534" s="391"/>
      <c r="O534" s="391"/>
      <c r="P534" s="391"/>
      <c r="Q534" s="391"/>
      <c r="R534" s="391"/>
      <c r="S534" s="391"/>
      <c r="T534" s="391"/>
      <c r="U534" s="391"/>
      <c r="V534" s="391"/>
      <c r="W534" s="391"/>
      <c r="X534" s="391"/>
      <c r="Y534" s="391"/>
      <c r="Z534" s="391"/>
    </row>
    <row r="535">
      <c r="A535" s="391"/>
      <c r="B535" s="391"/>
      <c r="C535" s="391"/>
      <c r="D535" s="391"/>
      <c r="E535" s="391"/>
      <c r="F535" s="391"/>
      <c r="G535" s="391"/>
      <c r="H535" s="391"/>
      <c r="I535" s="391"/>
      <c r="J535" s="391"/>
      <c r="K535" s="391"/>
      <c r="L535" s="391"/>
      <c r="M535" s="391"/>
      <c r="N535" s="391"/>
      <c r="O535" s="391"/>
      <c r="P535" s="391"/>
      <c r="Q535" s="391"/>
      <c r="R535" s="391"/>
      <c r="S535" s="391"/>
      <c r="T535" s="391"/>
      <c r="U535" s="391"/>
      <c r="V535" s="391"/>
      <c r="W535" s="391"/>
      <c r="X535" s="391"/>
      <c r="Y535" s="391"/>
      <c r="Z535" s="391"/>
    </row>
    <row r="536">
      <c r="A536" s="391"/>
      <c r="B536" s="391"/>
      <c r="C536" s="391"/>
      <c r="D536" s="391"/>
      <c r="E536" s="391"/>
      <c r="F536" s="391"/>
      <c r="G536" s="391"/>
      <c r="H536" s="391"/>
      <c r="I536" s="391"/>
      <c r="J536" s="391"/>
      <c r="K536" s="391"/>
      <c r="L536" s="391"/>
      <c r="M536" s="391"/>
      <c r="N536" s="391"/>
      <c r="O536" s="391"/>
      <c r="P536" s="391"/>
      <c r="Q536" s="391"/>
      <c r="R536" s="391"/>
      <c r="S536" s="391"/>
      <c r="T536" s="391"/>
      <c r="U536" s="391"/>
      <c r="V536" s="391"/>
      <c r="W536" s="391"/>
      <c r="X536" s="391"/>
      <c r="Y536" s="391"/>
      <c r="Z536" s="391"/>
    </row>
    <row r="537">
      <c r="A537" s="391"/>
      <c r="B537" s="391"/>
      <c r="C537" s="391"/>
      <c r="D537" s="391"/>
      <c r="E537" s="391"/>
      <c r="F537" s="391"/>
      <c r="G537" s="391"/>
      <c r="H537" s="391"/>
      <c r="I537" s="391"/>
      <c r="J537" s="391"/>
      <c r="K537" s="391"/>
      <c r="L537" s="391"/>
      <c r="M537" s="391"/>
      <c r="N537" s="391"/>
      <c r="O537" s="391"/>
      <c r="P537" s="391"/>
      <c r="Q537" s="391"/>
      <c r="R537" s="391"/>
      <c r="S537" s="391"/>
      <c r="T537" s="391"/>
      <c r="U537" s="391"/>
      <c r="V537" s="391"/>
      <c r="W537" s="391"/>
      <c r="X537" s="391"/>
      <c r="Y537" s="391"/>
      <c r="Z537" s="391"/>
    </row>
    <row r="538">
      <c r="A538" s="391"/>
      <c r="B538" s="391"/>
      <c r="C538" s="391"/>
      <c r="D538" s="391"/>
      <c r="E538" s="391"/>
      <c r="F538" s="391"/>
      <c r="G538" s="391"/>
      <c r="H538" s="391"/>
      <c r="I538" s="391"/>
      <c r="J538" s="391"/>
      <c r="K538" s="391"/>
      <c r="L538" s="391"/>
      <c r="M538" s="391"/>
      <c r="N538" s="391"/>
      <c r="O538" s="391"/>
      <c r="P538" s="391"/>
      <c r="Q538" s="391"/>
      <c r="R538" s="391"/>
      <c r="S538" s="391"/>
      <c r="T538" s="391"/>
      <c r="U538" s="391"/>
      <c r="V538" s="391"/>
      <c r="W538" s="391"/>
      <c r="X538" s="391"/>
      <c r="Y538" s="391"/>
      <c r="Z538" s="391"/>
    </row>
    <row r="539">
      <c r="A539" s="391"/>
      <c r="B539" s="391"/>
      <c r="C539" s="391"/>
      <c r="D539" s="391"/>
      <c r="E539" s="391"/>
      <c r="F539" s="391"/>
      <c r="G539" s="391"/>
      <c r="H539" s="391"/>
      <c r="I539" s="391"/>
      <c r="J539" s="391"/>
      <c r="K539" s="391"/>
      <c r="L539" s="391"/>
      <c r="M539" s="391"/>
      <c r="N539" s="391"/>
      <c r="O539" s="391"/>
      <c r="P539" s="391"/>
      <c r="Q539" s="391"/>
      <c r="R539" s="391"/>
      <c r="S539" s="391"/>
      <c r="T539" s="391"/>
      <c r="U539" s="391"/>
      <c r="V539" s="391"/>
      <c r="W539" s="391"/>
      <c r="X539" s="391"/>
      <c r="Y539" s="391"/>
      <c r="Z539" s="391"/>
    </row>
    <row r="540">
      <c r="A540" s="391"/>
      <c r="B540" s="391"/>
      <c r="C540" s="391"/>
      <c r="D540" s="391"/>
      <c r="E540" s="391"/>
      <c r="F540" s="391"/>
      <c r="G540" s="391"/>
      <c r="H540" s="391"/>
      <c r="I540" s="391"/>
      <c r="J540" s="391"/>
      <c r="K540" s="391"/>
      <c r="L540" s="391"/>
      <c r="M540" s="391"/>
      <c r="N540" s="391"/>
      <c r="O540" s="391"/>
      <c r="P540" s="391"/>
      <c r="Q540" s="391"/>
      <c r="R540" s="391"/>
      <c r="S540" s="391"/>
      <c r="T540" s="391"/>
      <c r="U540" s="391"/>
      <c r="V540" s="391"/>
      <c r="W540" s="391"/>
      <c r="X540" s="391"/>
      <c r="Y540" s="391"/>
      <c r="Z540" s="391"/>
    </row>
    <row r="541">
      <c r="A541" s="391"/>
      <c r="B541" s="391"/>
      <c r="C541" s="391"/>
      <c r="D541" s="391"/>
      <c r="E541" s="391"/>
      <c r="F541" s="391"/>
      <c r="G541" s="391"/>
      <c r="H541" s="391"/>
      <c r="I541" s="391"/>
      <c r="J541" s="391"/>
      <c r="K541" s="391"/>
      <c r="L541" s="391"/>
      <c r="M541" s="391"/>
      <c r="N541" s="391"/>
      <c r="O541" s="391"/>
      <c r="P541" s="391"/>
      <c r="Q541" s="391"/>
      <c r="R541" s="391"/>
      <c r="S541" s="391"/>
      <c r="T541" s="391"/>
      <c r="U541" s="391"/>
      <c r="V541" s="391"/>
      <c r="W541" s="391"/>
      <c r="X541" s="391"/>
      <c r="Y541" s="391"/>
      <c r="Z541" s="391"/>
    </row>
    <row r="542">
      <c r="A542" s="391"/>
      <c r="B542" s="391"/>
      <c r="C542" s="391"/>
      <c r="D542" s="391"/>
      <c r="E542" s="391"/>
      <c r="F542" s="391"/>
      <c r="G542" s="391"/>
      <c r="H542" s="391"/>
      <c r="I542" s="391"/>
      <c r="J542" s="391"/>
      <c r="K542" s="391"/>
      <c r="L542" s="391"/>
      <c r="M542" s="391"/>
      <c r="N542" s="391"/>
      <c r="O542" s="391"/>
      <c r="P542" s="391"/>
      <c r="Q542" s="391"/>
      <c r="R542" s="391"/>
      <c r="S542" s="391"/>
      <c r="T542" s="391"/>
      <c r="U542" s="391"/>
      <c r="V542" s="391"/>
      <c r="W542" s="391"/>
      <c r="X542" s="391"/>
      <c r="Y542" s="391"/>
      <c r="Z542" s="391"/>
    </row>
    <row r="543">
      <c r="A543" s="391"/>
      <c r="B543" s="391"/>
      <c r="C543" s="391"/>
      <c r="D543" s="391"/>
      <c r="E543" s="391"/>
      <c r="F543" s="391"/>
      <c r="G543" s="391"/>
      <c r="H543" s="391"/>
      <c r="I543" s="391"/>
      <c r="J543" s="391"/>
      <c r="K543" s="391"/>
      <c r="L543" s="391"/>
      <c r="M543" s="391"/>
      <c r="N543" s="391"/>
      <c r="O543" s="391"/>
      <c r="P543" s="391"/>
      <c r="Q543" s="391"/>
      <c r="R543" s="391"/>
      <c r="S543" s="391"/>
      <c r="T543" s="391"/>
      <c r="U543" s="391"/>
      <c r="V543" s="391"/>
      <c r="W543" s="391"/>
      <c r="X543" s="391"/>
      <c r="Y543" s="391"/>
      <c r="Z543" s="391"/>
    </row>
    <row r="544">
      <c r="A544" s="391"/>
      <c r="B544" s="391"/>
      <c r="C544" s="391"/>
      <c r="D544" s="391"/>
      <c r="E544" s="391"/>
      <c r="F544" s="391"/>
      <c r="G544" s="391"/>
      <c r="H544" s="391"/>
      <c r="I544" s="391"/>
      <c r="J544" s="391"/>
      <c r="K544" s="391"/>
      <c r="L544" s="391"/>
      <c r="M544" s="391"/>
      <c r="N544" s="391"/>
      <c r="O544" s="391"/>
      <c r="P544" s="391"/>
      <c r="Q544" s="391"/>
      <c r="R544" s="391"/>
      <c r="S544" s="391"/>
      <c r="T544" s="391"/>
      <c r="U544" s="391"/>
      <c r="V544" s="391"/>
      <c r="W544" s="391"/>
      <c r="X544" s="391"/>
      <c r="Y544" s="391"/>
      <c r="Z544" s="391"/>
    </row>
    <row r="545">
      <c r="A545" s="391"/>
      <c r="B545" s="391"/>
      <c r="C545" s="391"/>
      <c r="D545" s="391"/>
      <c r="E545" s="391"/>
      <c r="F545" s="391"/>
      <c r="G545" s="391"/>
      <c r="H545" s="391"/>
      <c r="I545" s="391"/>
      <c r="J545" s="391"/>
      <c r="K545" s="391"/>
      <c r="L545" s="391"/>
      <c r="M545" s="391"/>
      <c r="N545" s="391"/>
      <c r="O545" s="391"/>
      <c r="P545" s="391"/>
      <c r="Q545" s="391"/>
      <c r="R545" s="391"/>
      <c r="S545" s="391"/>
      <c r="T545" s="391"/>
      <c r="U545" s="391"/>
      <c r="V545" s="391"/>
      <c r="W545" s="391"/>
      <c r="X545" s="391"/>
      <c r="Y545" s="391"/>
      <c r="Z545" s="391"/>
    </row>
    <row r="546">
      <c r="A546" s="391"/>
      <c r="B546" s="391"/>
      <c r="C546" s="391"/>
      <c r="D546" s="391"/>
      <c r="E546" s="391"/>
      <c r="F546" s="391"/>
      <c r="G546" s="391"/>
      <c r="H546" s="391"/>
      <c r="I546" s="391"/>
      <c r="J546" s="391"/>
      <c r="K546" s="391"/>
      <c r="L546" s="391"/>
      <c r="M546" s="391"/>
      <c r="N546" s="391"/>
      <c r="O546" s="391"/>
      <c r="P546" s="391"/>
      <c r="Q546" s="391"/>
      <c r="R546" s="391"/>
      <c r="S546" s="391"/>
      <c r="T546" s="391"/>
      <c r="U546" s="391"/>
      <c r="V546" s="391"/>
      <c r="W546" s="391"/>
      <c r="X546" s="391"/>
      <c r="Y546" s="391"/>
      <c r="Z546" s="391"/>
    </row>
    <row r="547">
      <c r="A547" s="391"/>
      <c r="B547" s="391"/>
      <c r="C547" s="391"/>
      <c r="D547" s="391"/>
      <c r="E547" s="391"/>
      <c r="F547" s="391"/>
      <c r="G547" s="391"/>
      <c r="H547" s="391"/>
      <c r="I547" s="391"/>
      <c r="J547" s="391"/>
      <c r="K547" s="391"/>
      <c r="L547" s="391"/>
      <c r="M547" s="391"/>
      <c r="N547" s="391"/>
      <c r="O547" s="391"/>
      <c r="P547" s="391"/>
      <c r="Q547" s="391"/>
      <c r="R547" s="391"/>
      <c r="S547" s="391"/>
      <c r="T547" s="391"/>
      <c r="U547" s="391"/>
      <c r="V547" s="391"/>
      <c r="W547" s="391"/>
      <c r="X547" s="391"/>
      <c r="Y547" s="391"/>
      <c r="Z547" s="391"/>
    </row>
    <row r="548">
      <c r="A548" s="391"/>
      <c r="B548" s="391"/>
      <c r="C548" s="391"/>
      <c r="D548" s="391"/>
      <c r="E548" s="391"/>
      <c r="F548" s="391"/>
      <c r="G548" s="391"/>
      <c r="H548" s="391"/>
      <c r="I548" s="391"/>
      <c r="J548" s="391"/>
      <c r="K548" s="391"/>
      <c r="L548" s="391"/>
      <c r="M548" s="391"/>
      <c r="N548" s="391"/>
      <c r="O548" s="391"/>
      <c r="P548" s="391"/>
      <c r="Q548" s="391"/>
      <c r="R548" s="391"/>
      <c r="S548" s="391"/>
      <c r="T548" s="391"/>
      <c r="U548" s="391"/>
      <c r="V548" s="391"/>
      <c r="W548" s="391"/>
      <c r="X548" s="391"/>
      <c r="Y548" s="391"/>
      <c r="Z548" s="391"/>
    </row>
    <row r="549">
      <c r="A549" s="391"/>
      <c r="B549" s="391"/>
      <c r="C549" s="391"/>
      <c r="D549" s="391"/>
      <c r="E549" s="391"/>
      <c r="F549" s="391"/>
      <c r="G549" s="391"/>
      <c r="H549" s="391"/>
      <c r="I549" s="391"/>
      <c r="J549" s="391"/>
      <c r="K549" s="391"/>
      <c r="L549" s="391"/>
      <c r="M549" s="391"/>
      <c r="N549" s="391"/>
      <c r="O549" s="391"/>
      <c r="P549" s="391"/>
      <c r="Q549" s="391"/>
      <c r="R549" s="391"/>
      <c r="S549" s="391"/>
      <c r="T549" s="391"/>
      <c r="U549" s="391"/>
      <c r="V549" s="391"/>
      <c r="W549" s="391"/>
      <c r="X549" s="391"/>
      <c r="Y549" s="391"/>
      <c r="Z549" s="391"/>
    </row>
    <row r="550">
      <c r="A550" s="391"/>
      <c r="B550" s="391"/>
      <c r="C550" s="391"/>
      <c r="D550" s="391"/>
      <c r="E550" s="391"/>
      <c r="F550" s="391"/>
      <c r="G550" s="391"/>
      <c r="H550" s="391"/>
      <c r="I550" s="391"/>
      <c r="J550" s="391"/>
      <c r="K550" s="391"/>
      <c r="L550" s="391"/>
      <c r="M550" s="391"/>
      <c r="N550" s="391"/>
      <c r="O550" s="391"/>
      <c r="P550" s="391"/>
      <c r="Q550" s="391"/>
      <c r="R550" s="391"/>
      <c r="S550" s="391"/>
      <c r="T550" s="391"/>
      <c r="U550" s="391"/>
      <c r="V550" s="391"/>
      <c r="W550" s="391"/>
      <c r="X550" s="391"/>
      <c r="Y550" s="391"/>
      <c r="Z550" s="391"/>
    </row>
    <row r="551">
      <c r="A551" s="391"/>
      <c r="B551" s="391"/>
      <c r="C551" s="391"/>
      <c r="D551" s="391"/>
      <c r="E551" s="391"/>
      <c r="F551" s="391"/>
      <c r="G551" s="391"/>
      <c r="H551" s="391"/>
      <c r="I551" s="391"/>
      <c r="J551" s="391"/>
      <c r="K551" s="391"/>
      <c r="L551" s="391"/>
      <c r="M551" s="391"/>
      <c r="N551" s="391"/>
      <c r="O551" s="391"/>
      <c r="P551" s="391"/>
      <c r="Q551" s="391"/>
      <c r="R551" s="391"/>
      <c r="S551" s="391"/>
      <c r="T551" s="391"/>
      <c r="U551" s="391"/>
      <c r="V551" s="391"/>
      <c r="W551" s="391"/>
      <c r="X551" s="391"/>
      <c r="Y551" s="391"/>
      <c r="Z551" s="391"/>
    </row>
    <row r="552">
      <c r="A552" s="391"/>
      <c r="B552" s="391"/>
      <c r="C552" s="391"/>
      <c r="D552" s="391"/>
      <c r="E552" s="391"/>
      <c r="F552" s="391"/>
      <c r="G552" s="391"/>
      <c r="H552" s="391"/>
      <c r="I552" s="391"/>
      <c r="J552" s="391"/>
      <c r="K552" s="391"/>
      <c r="L552" s="391"/>
      <c r="M552" s="391"/>
      <c r="N552" s="391"/>
      <c r="O552" s="391"/>
      <c r="P552" s="391"/>
      <c r="Q552" s="391"/>
      <c r="R552" s="391"/>
      <c r="S552" s="391"/>
      <c r="T552" s="391"/>
      <c r="U552" s="391"/>
      <c r="V552" s="391"/>
      <c r="W552" s="391"/>
      <c r="X552" s="391"/>
      <c r="Y552" s="391"/>
      <c r="Z552" s="391"/>
    </row>
    <row r="553">
      <c r="A553" s="391"/>
      <c r="B553" s="391"/>
      <c r="C553" s="391"/>
      <c r="D553" s="391"/>
      <c r="E553" s="391"/>
      <c r="F553" s="391"/>
      <c r="G553" s="391"/>
      <c r="H553" s="391"/>
      <c r="I553" s="391"/>
      <c r="J553" s="391"/>
      <c r="K553" s="391"/>
      <c r="L553" s="391"/>
      <c r="M553" s="391"/>
      <c r="N553" s="391"/>
      <c r="O553" s="391"/>
      <c r="P553" s="391"/>
      <c r="Q553" s="391"/>
      <c r="R553" s="391"/>
      <c r="S553" s="391"/>
      <c r="T553" s="391"/>
      <c r="U553" s="391"/>
      <c r="V553" s="391"/>
      <c r="W553" s="391"/>
      <c r="X553" s="391"/>
      <c r="Y553" s="391"/>
      <c r="Z553" s="391"/>
    </row>
    <row r="554">
      <c r="A554" s="391"/>
      <c r="B554" s="391"/>
      <c r="C554" s="391"/>
      <c r="D554" s="391"/>
      <c r="E554" s="391"/>
      <c r="F554" s="391"/>
      <c r="G554" s="391"/>
      <c r="H554" s="391"/>
      <c r="I554" s="391"/>
      <c r="J554" s="391"/>
      <c r="K554" s="391"/>
      <c r="L554" s="391"/>
      <c r="M554" s="391"/>
      <c r="N554" s="391"/>
      <c r="O554" s="391"/>
      <c r="P554" s="391"/>
      <c r="Q554" s="391"/>
      <c r="R554" s="391"/>
      <c r="S554" s="391"/>
      <c r="T554" s="391"/>
      <c r="U554" s="391"/>
      <c r="V554" s="391"/>
      <c r="W554" s="391"/>
      <c r="X554" s="391"/>
      <c r="Y554" s="391"/>
      <c r="Z554" s="391"/>
    </row>
    <row r="555">
      <c r="A555" s="391"/>
      <c r="B555" s="391"/>
      <c r="C555" s="391"/>
      <c r="D555" s="391"/>
      <c r="E555" s="391"/>
      <c r="F555" s="391"/>
      <c r="G555" s="391"/>
      <c r="H555" s="391"/>
      <c r="I555" s="391"/>
      <c r="J555" s="391"/>
      <c r="K555" s="391"/>
      <c r="L555" s="391"/>
      <c r="M555" s="391"/>
      <c r="N555" s="391"/>
      <c r="O555" s="391"/>
      <c r="P555" s="391"/>
      <c r="Q555" s="391"/>
      <c r="R555" s="391"/>
      <c r="S555" s="391"/>
      <c r="T555" s="391"/>
      <c r="U555" s="391"/>
      <c r="V555" s="391"/>
      <c r="W555" s="391"/>
      <c r="X555" s="391"/>
      <c r="Y555" s="391"/>
      <c r="Z555" s="391"/>
    </row>
    <row r="556">
      <c r="A556" s="391"/>
      <c r="B556" s="391"/>
      <c r="C556" s="391"/>
      <c r="D556" s="391"/>
      <c r="E556" s="391"/>
      <c r="F556" s="391"/>
      <c r="G556" s="391"/>
      <c r="H556" s="391"/>
      <c r="I556" s="391"/>
      <c r="J556" s="391"/>
      <c r="K556" s="391"/>
      <c r="L556" s="391"/>
      <c r="M556" s="391"/>
      <c r="N556" s="391"/>
      <c r="O556" s="391"/>
      <c r="P556" s="391"/>
      <c r="Q556" s="391"/>
      <c r="R556" s="391"/>
      <c r="S556" s="391"/>
      <c r="T556" s="391"/>
      <c r="U556" s="391"/>
      <c r="V556" s="391"/>
      <c r="W556" s="391"/>
      <c r="X556" s="391"/>
      <c r="Y556" s="391"/>
      <c r="Z556" s="391"/>
    </row>
    <row r="557">
      <c r="A557" s="391"/>
      <c r="B557" s="391"/>
      <c r="C557" s="391"/>
      <c r="D557" s="391"/>
      <c r="E557" s="391"/>
      <c r="F557" s="391"/>
      <c r="G557" s="391"/>
      <c r="H557" s="391"/>
      <c r="I557" s="391"/>
      <c r="J557" s="391"/>
      <c r="K557" s="391"/>
      <c r="L557" s="391"/>
      <c r="M557" s="391"/>
      <c r="N557" s="391"/>
      <c r="O557" s="391"/>
      <c r="P557" s="391"/>
      <c r="Q557" s="391"/>
      <c r="R557" s="391"/>
      <c r="S557" s="391"/>
      <c r="T557" s="391"/>
      <c r="U557" s="391"/>
      <c r="V557" s="391"/>
      <c r="W557" s="391"/>
      <c r="X557" s="391"/>
      <c r="Y557" s="391"/>
      <c r="Z557" s="391"/>
    </row>
    <row r="558">
      <c r="A558" s="391"/>
      <c r="B558" s="391"/>
      <c r="C558" s="391"/>
      <c r="D558" s="391"/>
      <c r="E558" s="391"/>
      <c r="F558" s="391"/>
      <c r="G558" s="391"/>
      <c r="H558" s="391"/>
      <c r="I558" s="391"/>
      <c r="J558" s="391"/>
      <c r="K558" s="391"/>
      <c r="L558" s="391"/>
      <c r="M558" s="391"/>
      <c r="N558" s="391"/>
      <c r="O558" s="391"/>
      <c r="P558" s="391"/>
      <c r="Q558" s="391"/>
      <c r="R558" s="391"/>
      <c r="S558" s="391"/>
      <c r="T558" s="391"/>
      <c r="U558" s="391"/>
      <c r="V558" s="391"/>
      <c r="W558" s="391"/>
      <c r="X558" s="391"/>
      <c r="Y558" s="391"/>
      <c r="Z558" s="391"/>
    </row>
    <row r="559">
      <c r="A559" s="391"/>
      <c r="B559" s="391"/>
      <c r="C559" s="391"/>
      <c r="D559" s="391"/>
      <c r="E559" s="391"/>
      <c r="F559" s="391"/>
      <c r="G559" s="391"/>
      <c r="H559" s="391"/>
      <c r="I559" s="391"/>
      <c r="J559" s="391"/>
      <c r="K559" s="391"/>
      <c r="L559" s="391"/>
      <c r="M559" s="391"/>
      <c r="N559" s="391"/>
      <c r="O559" s="391"/>
      <c r="P559" s="391"/>
      <c r="Q559" s="391"/>
      <c r="R559" s="391"/>
      <c r="S559" s="391"/>
      <c r="T559" s="391"/>
      <c r="U559" s="391"/>
      <c r="V559" s="391"/>
      <c r="W559" s="391"/>
      <c r="X559" s="391"/>
      <c r="Y559" s="391"/>
      <c r="Z559" s="391"/>
    </row>
    <row r="560">
      <c r="A560" s="391"/>
      <c r="B560" s="391"/>
      <c r="C560" s="391"/>
      <c r="D560" s="391"/>
      <c r="E560" s="391"/>
      <c r="F560" s="391"/>
      <c r="G560" s="391"/>
      <c r="H560" s="391"/>
      <c r="I560" s="391"/>
      <c r="J560" s="391"/>
      <c r="K560" s="391"/>
      <c r="L560" s="391"/>
      <c r="M560" s="391"/>
      <c r="N560" s="391"/>
      <c r="O560" s="391"/>
      <c r="P560" s="391"/>
      <c r="Q560" s="391"/>
      <c r="R560" s="391"/>
      <c r="S560" s="391"/>
      <c r="T560" s="391"/>
      <c r="U560" s="391"/>
      <c r="V560" s="391"/>
      <c r="W560" s="391"/>
      <c r="X560" s="391"/>
      <c r="Y560" s="391"/>
      <c r="Z560" s="391"/>
    </row>
    <row r="561">
      <c r="A561" s="391"/>
      <c r="B561" s="391"/>
      <c r="C561" s="391"/>
      <c r="D561" s="391"/>
      <c r="E561" s="391"/>
      <c r="F561" s="391"/>
      <c r="G561" s="391"/>
      <c r="H561" s="391"/>
      <c r="I561" s="391"/>
      <c r="J561" s="391"/>
      <c r="K561" s="391"/>
      <c r="L561" s="391"/>
      <c r="M561" s="391"/>
      <c r="N561" s="391"/>
      <c r="O561" s="391"/>
      <c r="P561" s="391"/>
      <c r="Q561" s="391"/>
      <c r="R561" s="391"/>
      <c r="S561" s="391"/>
      <c r="T561" s="391"/>
      <c r="U561" s="391"/>
      <c r="V561" s="391"/>
      <c r="W561" s="391"/>
      <c r="X561" s="391"/>
      <c r="Y561" s="391"/>
      <c r="Z561" s="391"/>
    </row>
    <row r="562">
      <c r="A562" s="391"/>
      <c r="B562" s="391"/>
      <c r="C562" s="391"/>
      <c r="D562" s="391"/>
      <c r="E562" s="391"/>
      <c r="F562" s="391"/>
      <c r="G562" s="391"/>
      <c r="H562" s="391"/>
      <c r="I562" s="391"/>
      <c r="J562" s="391"/>
      <c r="K562" s="391"/>
      <c r="L562" s="391"/>
      <c r="M562" s="391"/>
      <c r="N562" s="391"/>
      <c r="O562" s="391"/>
      <c r="P562" s="391"/>
      <c r="Q562" s="391"/>
      <c r="R562" s="391"/>
      <c r="S562" s="391"/>
      <c r="T562" s="391"/>
      <c r="U562" s="391"/>
      <c r="V562" s="391"/>
      <c r="W562" s="391"/>
      <c r="X562" s="391"/>
      <c r="Y562" s="391"/>
      <c r="Z562" s="391"/>
    </row>
    <row r="563">
      <c r="A563" s="391"/>
      <c r="B563" s="391"/>
      <c r="C563" s="391"/>
      <c r="D563" s="391"/>
      <c r="E563" s="391"/>
      <c r="F563" s="391"/>
      <c r="G563" s="391"/>
      <c r="H563" s="391"/>
      <c r="I563" s="391"/>
      <c r="J563" s="391"/>
      <c r="K563" s="391"/>
      <c r="L563" s="391"/>
      <c r="M563" s="391"/>
      <c r="N563" s="391"/>
      <c r="O563" s="391"/>
      <c r="P563" s="391"/>
      <c r="Q563" s="391"/>
      <c r="R563" s="391"/>
      <c r="S563" s="391"/>
      <c r="T563" s="391"/>
      <c r="U563" s="391"/>
      <c r="V563" s="391"/>
      <c r="W563" s="391"/>
      <c r="X563" s="391"/>
      <c r="Y563" s="391"/>
      <c r="Z563" s="391"/>
    </row>
    <row r="564">
      <c r="A564" s="391"/>
      <c r="B564" s="391"/>
      <c r="C564" s="391"/>
      <c r="D564" s="391"/>
      <c r="E564" s="391"/>
      <c r="F564" s="391"/>
      <c r="G564" s="391"/>
      <c r="H564" s="391"/>
      <c r="I564" s="391"/>
      <c r="J564" s="391"/>
      <c r="K564" s="391"/>
      <c r="L564" s="391"/>
      <c r="M564" s="391"/>
      <c r="N564" s="391"/>
      <c r="O564" s="391"/>
      <c r="P564" s="391"/>
      <c r="Q564" s="391"/>
      <c r="R564" s="391"/>
      <c r="S564" s="391"/>
      <c r="T564" s="391"/>
      <c r="U564" s="391"/>
      <c r="V564" s="391"/>
      <c r="W564" s="391"/>
      <c r="X564" s="391"/>
      <c r="Y564" s="391"/>
      <c r="Z564" s="391"/>
    </row>
    <row r="565">
      <c r="A565" s="391"/>
      <c r="B565" s="391"/>
      <c r="C565" s="391"/>
      <c r="D565" s="391"/>
      <c r="E565" s="391"/>
      <c r="F565" s="391"/>
      <c r="G565" s="391"/>
      <c r="H565" s="391"/>
      <c r="I565" s="391"/>
      <c r="J565" s="391"/>
      <c r="K565" s="391"/>
      <c r="L565" s="391"/>
      <c r="M565" s="391"/>
      <c r="N565" s="391"/>
      <c r="O565" s="391"/>
      <c r="P565" s="391"/>
      <c r="Q565" s="391"/>
      <c r="R565" s="391"/>
      <c r="S565" s="391"/>
      <c r="T565" s="391"/>
      <c r="U565" s="391"/>
      <c r="V565" s="391"/>
      <c r="W565" s="391"/>
      <c r="X565" s="391"/>
      <c r="Y565" s="391"/>
      <c r="Z565" s="391"/>
    </row>
    <row r="566">
      <c r="A566" s="391"/>
      <c r="B566" s="391"/>
      <c r="C566" s="391"/>
      <c r="D566" s="391"/>
      <c r="E566" s="391"/>
      <c r="F566" s="391"/>
      <c r="G566" s="391"/>
      <c r="H566" s="391"/>
      <c r="I566" s="391"/>
      <c r="J566" s="391"/>
      <c r="K566" s="391"/>
      <c r="L566" s="391"/>
      <c r="M566" s="391"/>
      <c r="N566" s="391"/>
      <c r="O566" s="391"/>
      <c r="P566" s="391"/>
      <c r="Q566" s="391"/>
      <c r="R566" s="391"/>
      <c r="S566" s="391"/>
      <c r="T566" s="391"/>
      <c r="U566" s="391"/>
      <c r="V566" s="391"/>
      <c r="W566" s="391"/>
      <c r="X566" s="391"/>
      <c r="Y566" s="391"/>
      <c r="Z566" s="391"/>
    </row>
    <row r="567">
      <c r="A567" s="391"/>
      <c r="B567" s="391"/>
      <c r="C567" s="391"/>
      <c r="D567" s="391"/>
      <c r="E567" s="391"/>
      <c r="F567" s="391"/>
      <c r="G567" s="391"/>
      <c r="H567" s="391"/>
      <c r="I567" s="391"/>
      <c r="J567" s="391"/>
      <c r="K567" s="391"/>
      <c r="L567" s="391"/>
      <c r="M567" s="391"/>
      <c r="N567" s="391"/>
      <c r="O567" s="391"/>
      <c r="P567" s="391"/>
      <c r="Q567" s="391"/>
      <c r="R567" s="391"/>
      <c r="S567" s="391"/>
      <c r="T567" s="391"/>
      <c r="U567" s="391"/>
      <c r="V567" s="391"/>
      <c r="W567" s="391"/>
      <c r="X567" s="391"/>
      <c r="Y567" s="391"/>
      <c r="Z567" s="391"/>
    </row>
    <row r="568">
      <c r="A568" s="391"/>
      <c r="B568" s="391"/>
      <c r="C568" s="391"/>
      <c r="D568" s="391"/>
      <c r="E568" s="391"/>
      <c r="F568" s="391"/>
      <c r="G568" s="391"/>
      <c r="H568" s="391"/>
      <c r="I568" s="391"/>
      <c r="J568" s="391"/>
      <c r="K568" s="391"/>
      <c r="L568" s="391"/>
      <c r="M568" s="391"/>
      <c r="N568" s="391"/>
      <c r="O568" s="391"/>
      <c r="P568" s="391"/>
      <c r="Q568" s="391"/>
      <c r="R568" s="391"/>
      <c r="S568" s="391"/>
      <c r="T568" s="391"/>
      <c r="U568" s="391"/>
      <c r="V568" s="391"/>
      <c r="W568" s="391"/>
      <c r="X568" s="391"/>
      <c r="Y568" s="391"/>
      <c r="Z568" s="391"/>
    </row>
    <row r="569">
      <c r="A569" s="391"/>
      <c r="B569" s="391"/>
      <c r="C569" s="391"/>
      <c r="D569" s="391"/>
      <c r="E569" s="391"/>
      <c r="F569" s="391"/>
      <c r="G569" s="391"/>
      <c r="H569" s="391"/>
      <c r="I569" s="391"/>
      <c r="J569" s="391"/>
      <c r="K569" s="391"/>
      <c r="L569" s="391"/>
      <c r="M569" s="391"/>
      <c r="N569" s="391"/>
      <c r="O569" s="391"/>
      <c r="P569" s="391"/>
      <c r="Q569" s="391"/>
      <c r="R569" s="391"/>
      <c r="S569" s="391"/>
      <c r="T569" s="391"/>
      <c r="U569" s="391"/>
      <c r="V569" s="391"/>
      <c r="W569" s="391"/>
      <c r="X569" s="391"/>
      <c r="Y569" s="391"/>
      <c r="Z569" s="391"/>
    </row>
    <row r="570">
      <c r="A570" s="391"/>
      <c r="B570" s="391"/>
      <c r="C570" s="391"/>
      <c r="D570" s="391"/>
      <c r="E570" s="391"/>
      <c r="F570" s="391"/>
      <c r="G570" s="391"/>
      <c r="H570" s="391"/>
      <c r="I570" s="391"/>
      <c r="J570" s="391"/>
      <c r="K570" s="391"/>
      <c r="L570" s="391"/>
      <c r="M570" s="391"/>
      <c r="N570" s="391"/>
      <c r="O570" s="391"/>
      <c r="P570" s="391"/>
      <c r="Q570" s="391"/>
      <c r="R570" s="391"/>
      <c r="S570" s="391"/>
      <c r="T570" s="391"/>
      <c r="U570" s="391"/>
      <c r="V570" s="391"/>
      <c r="W570" s="391"/>
      <c r="X570" s="391"/>
      <c r="Y570" s="391"/>
      <c r="Z570" s="391"/>
    </row>
    <row r="571">
      <c r="A571" s="391"/>
      <c r="B571" s="391"/>
      <c r="C571" s="391"/>
      <c r="D571" s="391"/>
      <c r="E571" s="391"/>
      <c r="F571" s="391"/>
      <c r="G571" s="391"/>
      <c r="H571" s="391"/>
      <c r="I571" s="391"/>
      <c r="J571" s="391"/>
      <c r="K571" s="391"/>
      <c r="L571" s="391"/>
      <c r="M571" s="391"/>
      <c r="N571" s="391"/>
      <c r="O571" s="391"/>
      <c r="P571" s="391"/>
      <c r="Q571" s="391"/>
      <c r="R571" s="391"/>
      <c r="S571" s="391"/>
      <c r="T571" s="391"/>
      <c r="U571" s="391"/>
      <c r="V571" s="391"/>
      <c r="W571" s="391"/>
      <c r="X571" s="391"/>
      <c r="Y571" s="391"/>
      <c r="Z571" s="391"/>
    </row>
    <row r="572">
      <c r="A572" s="391"/>
      <c r="B572" s="391"/>
      <c r="C572" s="391"/>
      <c r="D572" s="391"/>
      <c r="E572" s="391"/>
      <c r="F572" s="391"/>
      <c r="G572" s="391"/>
      <c r="H572" s="391"/>
      <c r="I572" s="391"/>
      <c r="J572" s="391"/>
      <c r="K572" s="391"/>
      <c r="L572" s="391"/>
      <c r="M572" s="391"/>
      <c r="N572" s="391"/>
      <c r="O572" s="391"/>
      <c r="P572" s="391"/>
      <c r="Q572" s="391"/>
      <c r="R572" s="391"/>
      <c r="S572" s="391"/>
      <c r="T572" s="391"/>
      <c r="U572" s="391"/>
      <c r="V572" s="391"/>
      <c r="W572" s="391"/>
      <c r="X572" s="391"/>
      <c r="Y572" s="391"/>
      <c r="Z572" s="391"/>
    </row>
    <row r="573">
      <c r="A573" s="391"/>
      <c r="B573" s="391"/>
      <c r="C573" s="391"/>
      <c r="D573" s="391"/>
      <c r="E573" s="391"/>
      <c r="F573" s="391"/>
      <c r="G573" s="391"/>
      <c r="H573" s="391"/>
      <c r="I573" s="391"/>
      <c r="J573" s="391"/>
      <c r="K573" s="391"/>
      <c r="L573" s="391"/>
      <c r="M573" s="391"/>
      <c r="N573" s="391"/>
      <c r="O573" s="391"/>
      <c r="P573" s="391"/>
      <c r="Q573" s="391"/>
      <c r="R573" s="391"/>
      <c r="S573" s="391"/>
      <c r="T573" s="391"/>
      <c r="U573" s="391"/>
      <c r="V573" s="391"/>
      <c r="W573" s="391"/>
      <c r="X573" s="391"/>
      <c r="Y573" s="391"/>
      <c r="Z573" s="391"/>
    </row>
    <row r="574">
      <c r="A574" s="391"/>
      <c r="B574" s="391"/>
      <c r="C574" s="391"/>
      <c r="D574" s="391"/>
      <c r="E574" s="391"/>
      <c r="F574" s="391"/>
      <c r="G574" s="391"/>
      <c r="H574" s="391"/>
      <c r="I574" s="391"/>
      <c r="J574" s="391"/>
      <c r="K574" s="391"/>
      <c r="L574" s="391"/>
      <c r="M574" s="391"/>
      <c r="N574" s="391"/>
      <c r="O574" s="391"/>
      <c r="P574" s="391"/>
      <c r="Q574" s="391"/>
      <c r="R574" s="391"/>
      <c r="S574" s="391"/>
      <c r="T574" s="391"/>
      <c r="U574" s="391"/>
      <c r="V574" s="391"/>
      <c r="W574" s="391"/>
      <c r="X574" s="391"/>
      <c r="Y574" s="391"/>
      <c r="Z574" s="391"/>
    </row>
    <row r="575">
      <c r="A575" s="391"/>
      <c r="B575" s="391"/>
      <c r="C575" s="391"/>
      <c r="D575" s="391"/>
      <c r="E575" s="391"/>
      <c r="F575" s="391"/>
      <c r="G575" s="391"/>
      <c r="H575" s="391"/>
      <c r="I575" s="391"/>
      <c r="J575" s="391"/>
      <c r="K575" s="391"/>
      <c r="L575" s="391"/>
      <c r="M575" s="391"/>
      <c r="N575" s="391"/>
      <c r="O575" s="391"/>
      <c r="P575" s="391"/>
      <c r="Q575" s="391"/>
      <c r="R575" s="391"/>
      <c r="S575" s="391"/>
      <c r="T575" s="391"/>
      <c r="U575" s="391"/>
      <c r="V575" s="391"/>
      <c r="W575" s="391"/>
      <c r="X575" s="391"/>
      <c r="Y575" s="391"/>
      <c r="Z575" s="391"/>
    </row>
    <row r="576">
      <c r="A576" s="391"/>
      <c r="B576" s="391"/>
      <c r="C576" s="391"/>
      <c r="D576" s="391"/>
      <c r="E576" s="391"/>
      <c r="F576" s="391"/>
      <c r="G576" s="391"/>
      <c r="H576" s="391"/>
      <c r="I576" s="391"/>
      <c r="J576" s="391"/>
      <c r="K576" s="391"/>
      <c r="L576" s="391"/>
      <c r="M576" s="391"/>
      <c r="N576" s="391"/>
      <c r="O576" s="391"/>
      <c r="P576" s="391"/>
      <c r="Q576" s="391"/>
      <c r="R576" s="391"/>
      <c r="S576" s="391"/>
      <c r="T576" s="391"/>
      <c r="U576" s="391"/>
      <c r="V576" s="391"/>
      <c r="W576" s="391"/>
      <c r="X576" s="391"/>
      <c r="Y576" s="391"/>
      <c r="Z576" s="391"/>
    </row>
    <row r="577">
      <c r="A577" s="391"/>
      <c r="B577" s="391"/>
      <c r="C577" s="391"/>
      <c r="D577" s="391"/>
      <c r="E577" s="391"/>
      <c r="F577" s="391"/>
      <c r="G577" s="391"/>
      <c r="H577" s="391"/>
      <c r="I577" s="391"/>
      <c r="J577" s="391"/>
      <c r="K577" s="391"/>
      <c r="L577" s="391"/>
      <c r="M577" s="391"/>
      <c r="N577" s="391"/>
      <c r="O577" s="391"/>
      <c r="P577" s="391"/>
      <c r="Q577" s="391"/>
      <c r="R577" s="391"/>
      <c r="S577" s="391"/>
      <c r="T577" s="391"/>
      <c r="U577" s="391"/>
      <c r="V577" s="391"/>
      <c r="W577" s="391"/>
      <c r="X577" s="391"/>
      <c r="Y577" s="391"/>
      <c r="Z577" s="391"/>
    </row>
    <row r="578">
      <c r="A578" s="391"/>
      <c r="B578" s="391"/>
      <c r="C578" s="391"/>
      <c r="D578" s="391"/>
      <c r="E578" s="391"/>
      <c r="F578" s="391"/>
      <c r="G578" s="391"/>
      <c r="H578" s="391"/>
      <c r="I578" s="391"/>
      <c r="J578" s="391"/>
      <c r="K578" s="391"/>
      <c r="L578" s="391"/>
      <c r="M578" s="391"/>
      <c r="N578" s="391"/>
      <c r="O578" s="391"/>
      <c r="P578" s="391"/>
      <c r="Q578" s="391"/>
      <c r="R578" s="391"/>
      <c r="S578" s="391"/>
      <c r="T578" s="391"/>
      <c r="U578" s="391"/>
      <c r="V578" s="391"/>
      <c r="W578" s="391"/>
      <c r="X578" s="391"/>
      <c r="Y578" s="391"/>
      <c r="Z578" s="391"/>
    </row>
    <row r="579">
      <c r="A579" s="391"/>
      <c r="B579" s="391"/>
      <c r="C579" s="391"/>
      <c r="D579" s="391"/>
      <c r="E579" s="391"/>
      <c r="F579" s="391"/>
      <c r="G579" s="391"/>
      <c r="H579" s="391"/>
      <c r="I579" s="391"/>
      <c r="J579" s="391"/>
      <c r="K579" s="391"/>
      <c r="L579" s="391"/>
      <c r="M579" s="391"/>
      <c r="N579" s="391"/>
      <c r="O579" s="391"/>
      <c r="P579" s="391"/>
      <c r="Q579" s="391"/>
      <c r="R579" s="391"/>
      <c r="S579" s="391"/>
      <c r="T579" s="391"/>
      <c r="U579" s="391"/>
      <c r="V579" s="391"/>
      <c r="W579" s="391"/>
      <c r="X579" s="391"/>
      <c r="Y579" s="391"/>
      <c r="Z579" s="391"/>
    </row>
    <row r="580">
      <c r="A580" s="391"/>
      <c r="B580" s="391"/>
      <c r="C580" s="391"/>
      <c r="D580" s="391"/>
      <c r="E580" s="391"/>
      <c r="F580" s="391"/>
      <c r="G580" s="391"/>
      <c r="H580" s="391"/>
      <c r="I580" s="391"/>
      <c r="J580" s="391"/>
      <c r="K580" s="391"/>
      <c r="L580" s="391"/>
      <c r="M580" s="391"/>
      <c r="N580" s="391"/>
      <c r="O580" s="391"/>
      <c r="P580" s="391"/>
      <c r="Q580" s="391"/>
      <c r="R580" s="391"/>
      <c r="S580" s="391"/>
      <c r="T580" s="391"/>
      <c r="U580" s="391"/>
      <c r="V580" s="391"/>
      <c r="W580" s="391"/>
      <c r="X580" s="391"/>
      <c r="Y580" s="391"/>
      <c r="Z580" s="391"/>
    </row>
    <row r="581">
      <c r="A581" s="391"/>
      <c r="B581" s="391"/>
      <c r="C581" s="391"/>
      <c r="D581" s="391"/>
      <c r="E581" s="391"/>
      <c r="F581" s="391"/>
      <c r="G581" s="391"/>
      <c r="H581" s="391"/>
      <c r="I581" s="391"/>
      <c r="J581" s="391"/>
      <c r="K581" s="391"/>
      <c r="L581" s="391"/>
      <c r="M581" s="391"/>
      <c r="N581" s="391"/>
      <c r="O581" s="391"/>
      <c r="P581" s="391"/>
      <c r="Q581" s="391"/>
      <c r="R581" s="391"/>
      <c r="S581" s="391"/>
      <c r="T581" s="391"/>
      <c r="U581" s="391"/>
      <c r="V581" s="391"/>
      <c r="W581" s="391"/>
      <c r="X581" s="391"/>
      <c r="Y581" s="391"/>
      <c r="Z581" s="391"/>
    </row>
    <row r="582">
      <c r="A582" s="391"/>
      <c r="B582" s="391"/>
      <c r="C582" s="391"/>
      <c r="D582" s="391"/>
      <c r="E582" s="391"/>
      <c r="F582" s="391"/>
      <c r="G582" s="391"/>
      <c r="H582" s="391"/>
      <c r="I582" s="391"/>
      <c r="J582" s="391"/>
      <c r="K582" s="391"/>
      <c r="L582" s="391"/>
      <c r="M582" s="391"/>
      <c r="N582" s="391"/>
      <c r="O582" s="391"/>
      <c r="P582" s="391"/>
      <c r="Q582" s="391"/>
      <c r="R582" s="391"/>
      <c r="S582" s="391"/>
      <c r="T582" s="391"/>
      <c r="U582" s="391"/>
      <c r="V582" s="391"/>
      <c r="W582" s="391"/>
      <c r="X582" s="391"/>
      <c r="Y582" s="391"/>
      <c r="Z582" s="391"/>
    </row>
    <row r="583">
      <c r="A583" s="391"/>
      <c r="B583" s="391"/>
      <c r="C583" s="391"/>
      <c r="D583" s="391"/>
      <c r="E583" s="391"/>
      <c r="F583" s="391"/>
      <c r="G583" s="391"/>
      <c r="H583" s="391"/>
      <c r="I583" s="391"/>
      <c r="J583" s="391"/>
      <c r="K583" s="391"/>
      <c r="L583" s="391"/>
      <c r="M583" s="391"/>
      <c r="N583" s="391"/>
      <c r="O583" s="391"/>
      <c r="P583" s="391"/>
      <c r="Q583" s="391"/>
      <c r="R583" s="391"/>
      <c r="S583" s="391"/>
      <c r="T583" s="391"/>
      <c r="U583" s="391"/>
      <c r="V583" s="391"/>
      <c r="W583" s="391"/>
      <c r="X583" s="391"/>
      <c r="Y583" s="391"/>
      <c r="Z583" s="391"/>
    </row>
    <row r="584">
      <c r="A584" s="391"/>
      <c r="B584" s="391"/>
      <c r="C584" s="391"/>
      <c r="D584" s="391"/>
      <c r="E584" s="391"/>
      <c r="F584" s="391"/>
      <c r="G584" s="391"/>
      <c r="H584" s="391"/>
      <c r="I584" s="391"/>
      <c r="J584" s="391"/>
      <c r="K584" s="391"/>
      <c r="L584" s="391"/>
      <c r="M584" s="391"/>
      <c r="N584" s="391"/>
      <c r="O584" s="391"/>
      <c r="P584" s="391"/>
      <c r="Q584" s="391"/>
      <c r="R584" s="391"/>
      <c r="S584" s="391"/>
      <c r="T584" s="391"/>
      <c r="U584" s="391"/>
      <c r="V584" s="391"/>
      <c r="W584" s="391"/>
      <c r="X584" s="391"/>
      <c r="Y584" s="391"/>
      <c r="Z584" s="391"/>
    </row>
    <row r="585">
      <c r="A585" s="391"/>
      <c r="B585" s="391"/>
      <c r="C585" s="391"/>
      <c r="D585" s="391"/>
      <c r="E585" s="391"/>
      <c r="F585" s="391"/>
      <c r="G585" s="391"/>
      <c r="H585" s="391"/>
      <c r="I585" s="391"/>
      <c r="J585" s="391"/>
      <c r="K585" s="391"/>
      <c r="L585" s="391"/>
      <c r="M585" s="391"/>
      <c r="N585" s="391"/>
      <c r="O585" s="391"/>
      <c r="P585" s="391"/>
      <c r="Q585" s="391"/>
      <c r="R585" s="391"/>
      <c r="S585" s="391"/>
      <c r="T585" s="391"/>
      <c r="U585" s="391"/>
      <c r="V585" s="391"/>
      <c r="W585" s="391"/>
      <c r="X585" s="391"/>
      <c r="Y585" s="391"/>
      <c r="Z585" s="391"/>
    </row>
    <row r="586">
      <c r="A586" s="391"/>
      <c r="B586" s="391"/>
      <c r="C586" s="391"/>
      <c r="D586" s="391"/>
      <c r="E586" s="391"/>
      <c r="F586" s="391"/>
      <c r="G586" s="391"/>
      <c r="H586" s="391"/>
      <c r="I586" s="391"/>
      <c r="J586" s="391"/>
      <c r="K586" s="391"/>
      <c r="L586" s="391"/>
      <c r="M586" s="391"/>
      <c r="N586" s="391"/>
      <c r="O586" s="391"/>
      <c r="P586" s="391"/>
      <c r="Q586" s="391"/>
      <c r="R586" s="391"/>
      <c r="S586" s="391"/>
      <c r="T586" s="391"/>
      <c r="U586" s="391"/>
      <c r="V586" s="391"/>
      <c r="W586" s="391"/>
      <c r="X586" s="391"/>
      <c r="Y586" s="391"/>
      <c r="Z586" s="391"/>
    </row>
    <row r="587">
      <c r="A587" s="391"/>
      <c r="B587" s="391"/>
      <c r="C587" s="391"/>
      <c r="D587" s="391"/>
      <c r="E587" s="391"/>
      <c r="F587" s="391"/>
      <c r="G587" s="391"/>
      <c r="H587" s="391"/>
      <c r="I587" s="391"/>
      <c r="J587" s="391"/>
      <c r="K587" s="391"/>
      <c r="L587" s="391"/>
      <c r="M587" s="391"/>
      <c r="N587" s="391"/>
      <c r="O587" s="391"/>
      <c r="P587" s="391"/>
      <c r="Q587" s="391"/>
      <c r="R587" s="391"/>
      <c r="S587" s="391"/>
      <c r="T587" s="391"/>
      <c r="U587" s="391"/>
      <c r="V587" s="391"/>
      <c r="W587" s="391"/>
      <c r="X587" s="391"/>
      <c r="Y587" s="391"/>
      <c r="Z587" s="391"/>
    </row>
    <row r="588">
      <c r="A588" s="391"/>
      <c r="B588" s="391"/>
      <c r="C588" s="391"/>
      <c r="D588" s="391"/>
      <c r="E588" s="391"/>
      <c r="F588" s="391"/>
      <c r="G588" s="391"/>
      <c r="H588" s="391"/>
      <c r="I588" s="391"/>
      <c r="J588" s="391"/>
      <c r="K588" s="391"/>
      <c r="L588" s="391"/>
      <c r="M588" s="391"/>
      <c r="N588" s="391"/>
      <c r="O588" s="391"/>
      <c r="P588" s="391"/>
      <c r="Q588" s="391"/>
      <c r="R588" s="391"/>
      <c r="S588" s="391"/>
      <c r="T588" s="391"/>
      <c r="U588" s="391"/>
      <c r="V588" s="391"/>
      <c r="W588" s="391"/>
      <c r="X588" s="391"/>
      <c r="Y588" s="391"/>
      <c r="Z588" s="391"/>
    </row>
    <row r="589">
      <c r="A589" s="391"/>
      <c r="B589" s="391"/>
      <c r="C589" s="391"/>
      <c r="D589" s="391"/>
      <c r="E589" s="391"/>
      <c r="F589" s="391"/>
      <c r="G589" s="391"/>
      <c r="H589" s="391"/>
      <c r="I589" s="391"/>
      <c r="J589" s="391"/>
      <c r="K589" s="391"/>
      <c r="L589" s="391"/>
      <c r="M589" s="391"/>
      <c r="N589" s="391"/>
      <c r="O589" s="391"/>
      <c r="P589" s="391"/>
      <c r="Q589" s="391"/>
      <c r="R589" s="391"/>
      <c r="S589" s="391"/>
      <c r="T589" s="391"/>
      <c r="U589" s="391"/>
      <c r="V589" s="391"/>
      <c r="W589" s="391"/>
      <c r="X589" s="391"/>
      <c r="Y589" s="391"/>
      <c r="Z589" s="391"/>
    </row>
    <row r="590">
      <c r="A590" s="391"/>
      <c r="B590" s="391"/>
      <c r="C590" s="391"/>
      <c r="D590" s="391"/>
      <c r="E590" s="391"/>
      <c r="F590" s="391"/>
      <c r="G590" s="391"/>
      <c r="H590" s="391"/>
      <c r="I590" s="391"/>
      <c r="J590" s="391"/>
      <c r="K590" s="391"/>
      <c r="L590" s="391"/>
      <c r="M590" s="391"/>
      <c r="N590" s="391"/>
      <c r="O590" s="391"/>
      <c r="P590" s="391"/>
      <c r="Q590" s="391"/>
      <c r="R590" s="391"/>
      <c r="S590" s="391"/>
      <c r="T590" s="391"/>
      <c r="U590" s="391"/>
      <c r="V590" s="391"/>
      <c r="W590" s="391"/>
      <c r="X590" s="391"/>
      <c r="Y590" s="391"/>
      <c r="Z590" s="391"/>
    </row>
    <row r="591">
      <c r="A591" s="391"/>
      <c r="B591" s="391"/>
      <c r="C591" s="391"/>
      <c r="D591" s="391"/>
      <c r="E591" s="391"/>
      <c r="F591" s="391"/>
      <c r="G591" s="391"/>
      <c r="H591" s="391"/>
      <c r="I591" s="391"/>
      <c r="J591" s="391"/>
      <c r="K591" s="391"/>
      <c r="L591" s="391"/>
      <c r="M591" s="391"/>
      <c r="N591" s="391"/>
      <c r="O591" s="391"/>
      <c r="P591" s="391"/>
      <c r="Q591" s="391"/>
      <c r="R591" s="391"/>
      <c r="S591" s="391"/>
      <c r="T591" s="391"/>
      <c r="U591" s="391"/>
      <c r="V591" s="391"/>
      <c r="W591" s="391"/>
      <c r="X591" s="391"/>
      <c r="Y591" s="391"/>
      <c r="Z591" s="391"/>
    </row>
    <row r="592">
      <c r="A592" s="391"/>
      <c r="B592" s="391"/>
      <c r="C592" s="391"/>
      <c r="D592" s="391"/>
      <c r="E592" s="391"/>
      <c r="F592" s="391"/>
      <c r="G592" s="391"/>
      <c r="H592" s="391"/>
      <c r="I592" s="391"/>
      <c r="J592" s="391"/>
      <c r="K592" s="391"/>
      <c r="L592" s="391"/>
      <c r="M592" s="391"/>
      <c r="N592" s="391"/>
      <c r="O592" s="391"/>
      <c r="P592" s="391"/>
      <c r="Q592" s="391"/>
      <c r="R592" s="391"/>
      <c r="S592" s="391"/>
      <c r="T592" s="391"/>
      <c r="U592" s="391"/>
      <c r="V592" s="391"/>
      <c r="W592" s="391"/>
      <c r="X592" s="391"/>
      <c r="Y592" s="391"/>
      <c r="Z592" s="391"/>
    </row>
    <row r="593">
      <c r="A593" s="391"/>
      <c r="B593" s="391"/>
      <c r="C593" s="391"/>
      <c r="D593" s="391"/>
      <c r="E593" s="391"/>
      <c r="F593" s="391"/>
      <c r="G593" s="391"/>
      <c r="H593" s="391"/>
      <c r="I593" s="391"/>
      <c r="J593" s="391"/>
      <c r="K593" s="391"/>
      <c r="L593" s="391"/>
      <c r="M593" s="391"/>
      <c r="N593" s="391"/>
      <c r="O593" s="391"/>
      <c r="P593" s="391"/>
      <c r="Q593" s="391"/>
      <c r="R593" s="391"/>
      <c r="S593" s="391"/>
      <c r="T593" s="391"/>
      <c r="U593" s="391"/>
      <c r="V593" s="391"/>
      <c r="W593" s="391"/>
      <c r="X593" s="391"/>
      <c r="Y593" s="391"/>
      <c r="Z593" s="391"/>
    </row>
    <row r="594">
      <c r="A594" s="391"/>
      <c r="B594" s="391"/>
      <c r="C594" s="391"/>
      <c r="D594" s="391"/>
      <c r="E594" s="391"/>
      <c r="F594" s="391"/>
      <c r="G594" s="391"/>
      <c r="H594" s="391"/>
      <c r="I594" s="391"/>
      <c r="J594" s="391"/>
      <c r="K594" s="391"/>
      <c r="L594" s="391"/>
      <c r="M594" s="391"/>
      <c r="N594" s="391"/>
      <c r="O594" s="391"/>
      <c r="P594" s="391"/>
      <c r="Q594" s="391"/>
      <c r="R594" s="391"/>
      <c r="S594" s="391"/>
      <c r="T594" s="391"/>
      <c r="U594" s="391"/>
      <c r="V594" s="391"/>
      <c r="W594" s="391"/>
      <c r="X594" s="391"/>
      <c r="Y594" s="391"/>
      <c r="Z594" s="391"/>
    </row>
    <row r="595">
      <c r="A595" s="391"/>
      <c r="B595" s="391"/>
      <c r="C595" s="391"/>
      <c r="D595" s="391"/>
      <c r="E595" s="391"/>
      <c r="F595" s="391"/>
      <c r="G595" s="391"/>
      <c r="H595" s="391"/>
      <c r="I595" s="391"/>
      <c r="J595" s="391"/>
      <c r="K595" s="391"/>
      <c r="L595" s="391"/>
      <c r="M595" s="391"/>
      <c r="N595" s="391"/>
      <c r="O595" s="391"/>
      <c r="P595" s="391"/>
      <c r="Q595" s="391"/>
      <c r="R595" s="391"/>
      <c r="S595" s="391"/>
      <c r="T595" s="391"/>
      <c r="U595" s="391"/>
      <c r="V595" s="391"/>
      <c r="W595" s="391"/>
      <c r="X595" s="391"/>
      <c r="Y595" s="391"/>
      <c r="Z595" s="391"/>
    </row>
    <row r="596">
      <c r="A596" s="391"/>
      <c r="B596" s="391"/>
      <c r="C596" s="391"/>
      <c r="D596" s="391"/>
      <c r="E596" s="391"/>
      <c r="F596" s="391"/>
      <c r="G596" s="391"/>
      <c r="H596" s="391"/>
      <c r="I596" s="391"/>
      <c r="J596" s="391"/>
      <c r="K596" s="391"/>
      <c r="L596" s="391"/>
      <c r="M596" s="391"/>
      <c r="N596" s="391"/>
      <c r="O596" s="391"/>
      <c r="P596" s="391"/>
      <c r="Q596" s="391"/>
      <c r="R596" s="391"/>
      <c r="S596" s="391"/>
      <c r="T596" s="391"/>
      <c r="U596" s="391"/>
      <c r="V596" s="391"/>
      <c r="W596" s="391"/>
      <c r="X596" s="391"/>
      <c r="Y596" s="391"/>
      <c r="Z596" s="391"/>
    </row>
    <row r="597">
      <c r="A597" s="391"/>
      <c r="B597" s="391"/>
      <c r="C597" s="391"/>
      <c r="D597" s="391"/>
      <c r="E597" s="391"/>
      <c r="F597" s="391"/>
      <c r="G597" s="391"/>
      <c r="H597" s="391"/>
      <c r="I597" s="391"/>
      <c r="J597" s="391"/>
      <c r="K597" s="391"/>
      <c r="L597" s="391"/>
      <c r="M597" s="391"/>
      <c r="N597" s="391"/>
      <c r="O597" s="391"/>
      <c r="P597" s="391"/>
      <c r="Q597" s="391"/>
      <c r="R597" s="391"/>
      <c r="S597" s="391"/>
      <c r="T597" s="391"/>
      <c r="U597" s="391"/>
      <c r="V597" s="391"/>
      <c r="W597" s="391"/>
      <c r="X597" s="391"/>
      <c r="Y597" s="391"/>
      <c r="Z597" s="391"/>
    </row>
    <row r="598">
      <c r="A598" s="391"/>
      <c r="B598" s="391"/>
      <c r="C598" s="391"/>
      <c r="D598" s="391"/>
      <c r="E598" s="391"/>
      <c r="F598" s="391"/>
      <c r="G598" s="391"/>
      <c r="H598" s="391"/>
      <c r="I598" s="391"/>
      <c r="J598" s="391"/>
      <c r="K598" s="391"/>
      <c r="L598" s="391"/>
      <c r="M598" s="391"/>
      <c r="N598" s="391"/>
      <c r="O598" s="391"/>
      <c r="P598" s="391"/>
      <c r="Q598" s="391"/>
      <c r="R598" s="391"/>
      <c r="S598" s="391"/>
      <c r="T598" s="391"/>
      <c r="U598" s="391"/>
      <c r="V598" s="391"/>
      <c r="W598" s="391"/>
      <c r="X598" s="391"/>
      <c r="Y598" s="391"/>
      <c r="Z598" s="391"/>
    </row>
    <row r="599">
      <c r="A599" s="391"/>
      <c r="B599" s="391"/>
      <c r="C599" s="391"/>
      <c r="D599" s="391"/>
      <c r="E599" s="391"/>
      <c r="F599" s="391"/>
      <c r="G599" s="391"/>
      <c r="H599" s="391"/>
      <c r="I599" s="391"/>
      <c r="J599" s="391"/>
      <c r="K599" s="391"/>
      <c r="L599" s="391"/>
      <c r="M599" s="391"/>
      <c r="N599" s="391"/>
      <c r="O599" s="391"/>
      <c r="P599" s="391"/>
      <c r="Q599" s="391"/>
      <c r="R599" s="391"/>
      <c r="S599" s="391"/>
      <c r="T599" s="391"/>
      <c r="U599" s="391"/>
      <c r="V599" s="391"/>
      <c r="W599" s="391"/>
      <c r="X599" s="391"/>
      <c r="Y599" s="391"/>
      <c r="Z599" s="391"/>
    </row>
    <row r="600">
      <c r="A600" s="391"/>
      <c r="B600" s="391"/>
      <c r="C600" s="391"/>
      <c r="D600" s="391"/>
      <c r="E600" s="391"/>
      <c r="F600" s="391"/>
      <c r="G600" s="391"/>
      <c r="H600" s="391"/>
      <c r="I600" s="391"/>
      <c r="J600" s="391"/>
      <c r="K600" s="391"/>
      <c r="L600" s="391"/>
      <c r="M600" s="391"/>
      <c r="N600" s="391"/>
      <c r="O600" s="391"/>
      <c r="P600" s="391"/>
      <c r="Q600" s="391"/>
      <c r="R600" s="391"/>
      <c r="S600" s="391"/>
      <c r="T600" s="391"/>
      <c r="U600" s="391"/>
      <c r="V600" s="391"/>
      <c r="W600" s="391"/>
      <c r="X600" s="391"/>
      <c r="Y600" s="391"/>
      <c r="Z600" s="391"/>
    </row>
    <row r="601">
      <c r="A601" s="391"/>
      <c r="B601" s="391"/>
      <c r="C601" s="391"/>
      <c r="D601" s="391"/>
      <c r="E601" s="391"/>
      <c r="F601" s="391"/>
      <c r="G601" s="391"/>
      <c r="H601" s="391"/>
      <c r="I601" s="391"/>
      <c r="J601" s="391"/>
      <c r="K601" s="391"/>
      <c r="L601" s="391"/>
      <c r="M601" s="391"/>
      <c r="N601" s="391"/>
      <c r="O601" s="391"/>
      <c r="P601" s="391"/>
      <c r="Q601" s="391"/>
      <c r="R601" s="391"/>
      <c r="S601" s="391"/>
      <c r="T601" s="391"/>
      <c r="U601" s="391"/>
      <c r="V601" s="391"/>
      <c r="W601" s="391"/>
      <c r="X601" s="391"/>
      <c r="Y601" s="391"/>
      <c r="Z601" s="391"/>
    </row>
    <row r="602">
      <c r="A602" s="391"/>
      <c r="B602" s="391"/>
      <c r="C602" s="391"/>
      <c r="D602" s="391"/>
      <c r="E602" s="391"/>
      <c r="F602" s="391"/>
      <c r="G602" s="391"/>
      <c r="H602" s="391"/>
      <c r="I602" s="391"/>
      <c r="J602" s="391"/>
      <c r="K602" s="391"/>
      <c r="L602" s="391"/>
      <c r="M602" s="391"/>
      <c r="N602" s="391"/>
      <c r="O602" s="391"/>
      <c r="P602" s="391"/>
      <c r="Q602" s="391"/>
      <c r="R602" s="391"/>
      <c r="S602" s="391"/>
      <c r="T602" s="391"/>
      <c r="U602" s="391"/>
      <c r="V602" s="391"/>
      <c r="W602" s="391"/>
      <c r="X602" s="391"/>
      <c r="Y602" s="391"/>
      <c r="Z602" s="391"/>
    </row>
    <row r="603">
      <c r="A603" s="391"/>
      <c r="B603" s="391"/>
      <c r="C603" s="391"/>
      <c r="D603" s="391"/>
      <c r="E603" s="391"/>
      <c r="F603" s="391"/>
      <c r="G603" s="391"/>
      <c r="H603" s="391"/>
      <c r="I603" s="391"/>
      <c r="J603" s="391"/>
      <c r="K603" s="391"/>
      <c r="L603" s="391"/>
      <c r="M603" s="391"/>
      <c r="N603" s="391"/>
      <c r="O603" s="391"/>
      <c r="P603" s="391"/>
      <c r="Q603" s="391"/>
      <c r="R603" s="391"/>
      <c r="S603" s="391"/>
      <c r="T603" s="391"/>
      <c r="U603" s="391"/>
      <c r="V603" s="391"/>
      <c r="W603" s="391"/>
      <c r="X603" s="391"/>
      <c r="Y603" s="391"/>
      <c r="Z603" s="391"/>
    </row>
    <row r="604">
      <c r="A604" s="391"/>
      <c r="B604" s="391"/>
      <c r="C604" s="391"/>
      <c r="D604" s="391"/>
      <c r="E604" s="391"/>
      <c r="F604" s="391"/>
      <c r="G604" s="391"/>
      <c r="H604" s="391"/>
      <c r="I604" s="391"/>
      <c r="J604" s="391"/>
      <c r="K604" s="391"/>
      <c r="L604" s="391"/>
      <c r="M604" s="391"/>
      <c r="N604" s="391"/>
      <c r="O604" s="391"/>
      <c r="P604" s="391"/>
      <c r="Q604" s="391"/>
      <c r="R604" s="391"/>
      <c r="S604" s="391"/>
      <c r="T604" s="391"/>
      <c r="U604" s="391"/>
      <c r="V604" s="391"/>
      <c r="W604" s="391"/>
      <c r="X604" s="391"/>
      <c r="Y604" s="391"/>
      <c r="Z604" s="391"/>
    </row>
    <row r="605">
      <c r="A605" s="391"/>
      <c r="B605" s="391"/>
      <c r="C605" s="391"/>
      <c r="D605" s="391"/>
      <c r="E605" s="391"/>
      <c r="F605" s="391"/>
      <c r="G605" s="391"/>
      <c r="H605" s="391"/>
      <c r="I605" s="391"/>
      <c r="J605" s="391"/>
      <c r="K605" s="391"/>
      <c r="L605" s="391"/>
      <c r="M605" s="391"/>
      <c r="N605" s="391"/>
      <c r="O605" s="391"/>
      <c r="P605" s="391"/>
      <c r="Q605" s="391"/>
      <c r="R605" s="391"/>
      <c r="S605" s="391"/>
      <c r="T605" s="391"/>
      <c r="U605" s="391"/>
      <c r="V605" s="391"/>
      <c r="W605" s="391"/>
      <c r="X605" s="391"/>
      <c r="Y605" s="391"/>
      <c r="Z605" s="391"/>
    </row>
    <row r="606">
      <c r="A606" s="391"/>
      <c r="B606" s="391"/>
      <c r="C606" s="391"/>
      <c r="D606" s="391"/>
      <c r="E606" s="391"/>
      <c r="F606" s="391"/>
      <c r="G606" s="391"/>
      <c r="H606" s="391"/>
      <c r="I606" s="391"/>
      <c r="J606" s="391"/>
      <c r="K606" s="391"/>
      <c r="L606" s="391"/>
      <c r="M606" s="391"/>
      <c r="N606" s="391"/>
      <c r="O606" s="391"/>
      <c r="P606" s="391"/>
      <c r="Q606" s="391"/>
      <c r="R606" s="391"/>
      <c r="S606" s="391"/>
      <c r="T606" s="391"/>
      <c r="U606" s="391"/>
      <c r="V606" s="391"/>
      <c r="W606" s="391"/>
      <c r="X606" s="391"/>
      <c r="Y606" s="391"/>
      <c r="Z606" s="391"/>
    </row>
    <row r="607">
      <c r="A607" s="391"/>
      <c r="B607" s="391"/>
      <c r="C607" s="391"/>
      <c r="D607" s="391"/>
      <c r="E607" s="391"/>
      <c r="F607" s="391"/>
      <c r="G607" s="391"/>
      <c r="H607" s="391"/>
      <c r="I607" s="391"/>
      <c r="J607" s="391"/>
      <c r="K607" s="391"/>
      <c r="L607" s="391"/>
      <c r="M607" s="391"/>
      <c r="N607" s="391"/>
      <c r="O607" s="391"/>
      <c r="P607" s="391"/>
      <c r="Q607" s="391"/>
      <c r="R607" s="391"/>
      <c r="S607" s="391"/>
      <c r="T607" s="391"/>
      <c r="U607" s="391"/>
      <c r="V607" s="391"/>
      <c r="W607" s="391"/>
      <c r="X607" s="391"/>
      <c r="Y607" s="391"/>
      <c r="Z607" s="391"/>
    </row>
    <row r="608">
      <c r="A608" s="391"/>
      <c r="B608" s="391"/>
      <c r="C608" s="391"/>
      <c r="D608" s="391"/>
      <c r="E608" s="391"/>
      <c r="F608" s="391"/>
      <c r="G608" s="391"/>
      <c r="H608" s="391"/>
      <c r="I608" s="391"/>
      <c r="J608" s="391"/>
      <c r="K608" s="391"/>
      <c r="L608" s="391"/>
      <c r="M608" s="391"/>
      <c r="N608" s="391"/>
      <c r="O608" s="391"/>
      <c r="P608" s="391"/>
      <c r="Q608" s="391"/>
      <c r="R608" s="391"/>
      <c r="S608" s="391"/>
      <c r="T608" s="391"/>
      <c r="U608" s="391"/>
      <c r="V608" s="391"/>
      <c r="W608" s="391"/>
      <c r="X608" s="391"/>
      <c r="Y608" s="391"/>
      <c r="Z608" s="391"/>
    </row>
    <row r="609">
      <c r="A609" s="391"/>
      <c r="B609" s="391"/>
      <c r="C609" s="391"/>
      <c r="D609" s="391"/>
      <c r="E609" s="391"/>
      <c r="F609" s="391"/>
      <c r="G609" s="391"/>
      <c r="H609" s="391"/>
      <c r="I609" s="391"/>
      <c r="J609" s="391"/>
      <c r="K609" s="391"/>
      <c r="L609" s="391"/>
      <c r="M609" s="391"/>
      <c r="N609" s="391"/>
      <c r="O609" s="391"/>
      <c r="P609" s="391"/>
      <c r="Q609" s="391"/>
      <c r="R609" s="391"/>
      <c r="S609" s="391"/>
      <c r="T609" s="391"/>
      <c r="U609" s="391"/>
      <c r="V609" s="391"/>
      <c r="W609" s="391"/>
      <c r="X609" s="391"/>
      <c r="Y609" s="391"/>
      <c r="Z609" s="391"/>
    </row>
    <row r="610">
      <c r="A610" s="391"/>
      <c r="B610" s="391"/>
      <c r="C610" s="391"/>
      <c r="D610" s="391"/>
      <c r="E610" s="391"/>
      <c r="F610" s="391"/>
      <c r="G610" s="391"/>
      <c r="H610" s="391"/>
      <c r="I610" s="391"/>
      <c r="J610" s="391"/>
      <c r="K610" s="391"/>
      <c r="L610" s="391"/>
      <c r="M610" s="391"/>
      <c r="N610" s="391"/>
      <c r="O610" s="391"/>
      <c r="P610" s="391"/>
      <c r="Q610" s="391"/>
      <c r="R610" s="391"/>
      <c r="S610" s="391"/>
      <c r="T610" s="391"/>
      <c r="U610" s="391"/>
      <c r="V610" s="391"/>
      <c r="W610" s="391"/>
      <c r="X610" s="391"/>
      <c r="Y610" s="391"/>
      <c r="Z610" s="391"/>
    </row>
    <row r="611">
      <c r="A611" s="391"/>
      <c r="B611" s="391"/>
      <c r="C611" s="391"/>
      <c r="D611" s="391"/>
      <c r="E611" s="391"/>
      <c r="F611" s="391"/>
      <c r="G611" s="391"/>
      <c r="H611" s="391"/>
      <c r="I611" s="391"/>
      <c r="J611" s="391"/>
      <c r="K611" s="391"/>
      <c r="L611" s="391"/>
      <c r="M611" s="391"/>
      <c r="N611" s="391"/>
      <c r="O611" s="391"/>
      <c r="P611" s="391"/>
      <c r="Q611" s="391"/>
      <c r="R611" s="391"/>
      <c r="S611" s="391"/>
      <c r="T611" s="391"/>
      <c r="U611" s="391"/>
      <c r="V611" s="391"/>
      <c r="W611" s="391"/>
      <c r="X611" s="391"/>
      <c r="Y611" s="391"/>
      <c r="Z611" s="391"/>
    </row>
    <row r="612">
      <c r="A612" s="391"/>
      <c r="B612" s="391"/>
      <c r="C612" s="391"/>
      <c r="D612" s="391"/>
      <c r="E612" s="391"/>
      <c r="F612" s="391"/>
      <c r="G612" s="391"/>
      <c r="H612" s="391"/>
      <c r="I612" s="391"/>
      <c r="J612" s="391"/>
      <c r="K612" s="391"/>
      <c r="L612" s="391"/>
      <c r="M612" s="391"/>
      <c r="N612" s="391"/>
      <c r="O612" s="391"/>
      <c r="P612" s="391"/>
      <c r="Q612" s="391"/>
      <c r="R612" s="391"/>
      <c r="S612" s="391"/>
      <c r="T612" s="391"/>
      <c r="U612" s="391"/>
      <c r="V612" s="391"/>
      <c r="W612" s="391"/>
      <c r="X612" s="391"/>
      <c r="Y612" s="391"/>
      <c r="Z612" s="391"/>
    </row>
    <row r="613">
      <c r="A613" s="391"/>
      <c r="B613" s="391"/>
      <c r="C613" s="391"/>
      <c r="D613" s="391"/>
      <c r="E613" s="391"/>
      <c r="F613" s="391"/>
      <c r="G613" s="391"/>
      <c r="H613" s="391"/>
      <c r="I613" s="391"/>
      <c r="J613" s="391"/>
      <c r="K613" s="391"/>
      <c r="L613" s="391"/>
      <c r="M613" s="391"/>
      <c r="N613" s="391"/>
      <c r="O613" s="391"/>
      <c r="P613" s="391"/>
      <c r="Q613" s="391"/>
      <c r="R613" s="391"/>
      <c r="S613" s="391"/>
      <c r="T613" s="391"/>
      <c r="U613" s="391"/>
      <c r="V613" s="391"/>
      <c r="W613" s="391"/>
      <c r="X613" s="391"/>
      <c r="Y613" s="391"/>
      <c r="Z613" s="391"/>
    </row>
    <row r="614">
      <c r="A614" s="391"/>
      <c r="B614" s="391"/>
      <c r="C614" s="391"/>
      <c r="D614" s="391"/>
      <c r="E614" s="391"/>
      <c r="F614" s="391"/>
      <c r="G614" s="391"/>
      <c r="H614" s="391"/>
      <c r="I614" s="391"/>
      <c r="J614" s="391"/>
      <c r="K614" s="391"/>
      <c r="L614" s="391"/>
      <c r="M614" s="391"/>
      <c r="N614" s="391"/>
      <c r="O614" s="391"/>
      <c r="P614" s="391"/>
      <c r="Q614" s="391"/>
      <c r="R614" s="391"/>
      <c r="S614" s="391"/>
      <c r="T614" s="391"/>
      <c r="U614" s="391"/>
      <c r="V614" s="391"/>
      <c r="W614" s="391"/>
      <c r="X614" s="391"/>
      <c r="Y614" s="391"/>
      <c r="Z614" s="391"/>
    </row>
    <row r="615">
      <c r="A615" s="391"/>
      <c r="B615" s="391"/>
      <c r="C615" s="391"/>
      <c r="D615" s="391"/>
      <c r="E615" s="391"/>
      <c r="F615" s="391"/>
      <c r="G615" s="391"/>
      <c r="H615" s="391"/>
      <c r="I615" s="391"/>
      <c r="J615" s="391"/>
      <c r="K615" s="391"/>
      <c r="L615" s="391"/>
      <c r="M615" s="391"/>
      <c r="N615" s="391"/>
      <c r="O615" s="391"/>
      <c r="P615" s="391"/>
      <c r="Q615" s="391"/>
      <c r="R615" s="391"/>
      <c r="S615" s="391"/>
      <c r="T615" s="391"/>
      <c r="U615" s="391"/>
      <c r="V615" s="391"/>
      <c r="W615" s="391"/>
      <c r="X615" s="391"/>
      <c r="Y615" s="391"/>
      <c r="Z615" s="391"/>
    </row>
    <row r="616">
      <c r="A616" s="391"/>
      <c r="B616" s="391"/>
      <c r="C616" s="391"/>
      <c r="D616" s="391"/>
      <c r="E616" s="391"/>
      <c r="F616" s="391"/>
      <c r="G616" s="391"/>
      <c r="H616" s="391"/>
      <c r="I616" s="391"/>
      <c r="J616" s="391"/>
      <c r="K616" s="391"/>
      <c r="L616" s="391"/>
      <c r="M616" s="391"/>
      <c r="N616" s="391"/>
      <c r="O616" s="391"/>
      <c r="P616" s="391"/>
      <c r="Q616" s="391"/>
      <c r="R616" s="391"/>
      <c r="S616" s="391"/>
      <c r="T616" s="391"/>
      <c r="U616" s="391"/>
      <c r="V616" s="391"/>
      <c r="W616" s="391"/>
      <c r="X616" s="391"/>
      <c r="Y616" s="391"/>
      <c r="Z616" s="391"/>
    </row>
    <row r="617">
      <c r="A617" s="391"/>
      <c r="B617" s="391"/>
      <c r="C617" s="391"/>
      <c r="D617" s="391"/>
      <c r="E617" s="391"/>
      <c r="F617" s="391"/>
      <c r="G617" s="391"/>
      <c r="H617" s="391"/>
      <c r="I617" s="391"/>
      <c r="J617" s="391"/>
      <c r="K617" s="391"/>
      <c r="L617" s="391"/>
      <c r="M617" s="391"/>
      <c r="N617" s="391"/>
      <c r="O617" s="391"/>
      <c r="P617" s="391"/>
      <c r="Q617" s="391"/>
      <c r="R617" s="391"/>
      <c r="S617" s="391"/>
      <c r="T617" s="391"/>
      <c r="U617" s="391"/>
      <c r="V617" s="391"/>
      <c r="W617" s="391"/>
      <c r="X617" s="391"/>
      <c r="Y617" s="391"/>
      <c r="Z617" s="391"/>
    </row>
    <row r="618">
      <c r="A618" s="391"/>
      <c r="B618" s="391"/>
      <c r="C618" s="391"/>
      <c r="D618" s="391"/>
      <c r="E618" s="391"/>
      <c r="F618" s="391"/>
      <c r="G618" s="391"/>
      <c r="H618" s="391"/>
      <c r="I618" s="391"/>
      <c r="J618" s="391"/>
      <c r="K618" s="391"/>
      <c r="L618" s="391"/>
      <c r="M618" s="391"/>
      <c r="N618" s="391"/>
      <c r="O618" s="391"/>
      <c r="P618" s="391"/>
      <c r="Q618" s="391"/>
      <c r="R618" s="391"/>
      <c r="S618" s="391"/>
      <c r="T618" s="391"/>
      <c r="U618" s="391"/>
      <c r="V618" s="391"/>
      <c r="W618" s="391"/>
      <c r="X618" s="391"/>
      <c r="Y618" s="391"/>
      <c r="Z618" s="391"/>
    </row>
    <row r="619">
      <c r="A619" s="391"/>
      <c r="B619" s="391"/>
      <c r="C619" s="391"/>
      <c r="D619" s="391"/>
      <c r="E619" s="391"/>
      <c r="F619" s="391"/>
      <c r="G619" s="391"/>
      <c r="H619" s="391"/>
      <c r="I619" s="391"/>
      <c r="J619" s="391"/>
      <c r="K619" s="391"/>
      <c r="L619" s="391"/>
      <c r="M619" s="391"/>
      <c r="N619" s="391"/>
      <c r="O619" s="391"/>
      <c r="P619" s="391"/>
      <c r="Q619" s="391"/>
      <c r="R619" s="391"/>
      <c r="S619" s="391"/>
      <c r="T619" s="391"/>
      <c r="U619" s="391"/>
      <c r="V619" s="391"/>
      <c r="W619" s="391"/>
      <c r="X619" s="391"/>
      <c r="Y619" s="391"/>
      <c r="Z619" s="391"/>
    </row>
    <row r="620">
      <c r="A620" s="391"/>
      <c r="B620" s="391"/>
      <c r="C620" s="391"/>
      <c r="D620" s="391"/>
      <c r="E620" s="391"/>
      <c r="F620" s="391"/>
      <c r="G620" s="391"/>
      <c r="H620" s="391"/>
      <c r="I620" s="391"/>
      <c r="J620" s="391"/>
      <c r="K620" s="391"/>
      <c r="L620" s="391"/>
      <c r="M620" s="391"/>
      <c r="N620" s="391"/>
      <c r="O620" s="391"/>
      <c r="P620" s="391"/>
      <c r="Q620" s="391"/>
      <c r="R620" s="391"/>
      <c r="S620" s="391"/>
      <c r="T620" s="391"/>
      <c r="U620" s="391"/>
      <c r="V620" s="391"/>
      <c r="W620" s="391"/>
      <c r="X620" s="391"/>
      <c r="Y620" s="391"/>
      <c r="Z620" s="391"/>
    </row>
    <row r="621">
      <c r="A621" s="391"/>
      <c r="B621" s="391"/>
      <c r="C621" s="391"/>
      <c r="D621" s="391"/>
      <c r="E621" s="391"/>
      <c r="F621" s="391"/>
      <c r="G621" s="391"/>
      <c r="H621" s="391"/>
      <c r="I621" s="391"/>
      <c r="J621" s="391"/>
      <c r="K621" s="391"/>
      <c r="L621" s="391"/>
      <c r="M621" s="391"/>
      <c r="N621" s="391"/>
      <c r="O621" s="391"/>
      <c r="P621" s="391"/>
      <c r="Q621" s="391"/>
      <c r="R621" s="391"/>
      <c r="S621" s="391"/>
      <c r="T621" s="391"/>
      <c r="U621" s="391"/>
      <c r="V621" s="391"/>
      <c r="W621" s="391"/>
      <c r="X621" s="391"/>
      <c r="Y621" s="391"/>
      <c r="Z621" s="391"/>
    </row>
    <row r="622">
      <c r="A622" s="391"/>
      <c r="B622" s="391"/>
      <c r="C622" s="391"/>
      <c r="D622" s="391"/>
      <c r="E622" s="391"/>
      <c r="F622" s="391"/>
      <c r="G622" s="391"/>
      <c r="H622" s="391"/>
      <c r="I622" s="391"/>
      <c r="J622" s="391"/>
      <c r="K622" s="391"/>
      <c r="L622" s="391"/>
      <c r="M622" s="391"/>
      <c r="N622" s="391"/>
      <c r="O622" s="391"/>
      <c r="P622" s="391"/>
      <c r="Q622" s="391"/>
      <c r="R622" s="391"/>
      <c r="S622" s="391"/>
      <c r="T622" s="391"/>
      <c r="U622" s="391"/>
      <c r="V622" s="391"/>
      <c r="W622" s="391"/>
      <c r="X622" s="391"/>
      <c r="Y622" s="391"/>
      <c r="Z622" s="391"/>
    </row>
    <row r="623">
      <c r="A623" s="391"/>
      <c r="B623" s="391"/>
      <c r="C623" s="391"/>
      <c r="D623" s="391"/>
      <c r="E623" s="391"/>
      <c r="F623" s="391"/>
      <c r="G623" s="391"/>
      <c r="H623" s="391"/>
      <c r="I623" s="391"/>
      <c r="J623" s="391"/>
      <c r="K623" s="391"/>
      <c r="L623" s="391"/>
      <c r="M623" s="391"/>
      <c r="N623" s="391"/>
      <c r="O623" s="391"/>
      <c r="P623" s="391"/>
      <c r="Q623" s="391"/>
      <c r="R623" s="391"/>
      <c r="S623" s="391"/>
      <c r="T623" s="391"/>
      <c r="U623" s="391"/>
      <c r="V623" s="391"/>
      <c r="W623" s="391"/>
      <c r="X623" s="391"/>
      <c r="Y623" s="391"/>
      <c r="Z623" s="391"/>
    </row>
    <row r="624">
      <c r="A624" s="391"/>
      <c r="B624" s="391"/>
      <c r="C624" s="391"/>
      <c r="D624" s="391"/>
      <c r="E624" s="391"/>
      <c r="F624" s="391"/>
      <c r="G624" s="391"/>
      <c r="H624" s="391"/>
      <c r="I624" s="391"/>
      <c r="J624" s="391"/>
      <c r="K624" s="391"/>
      <c r="L624" s="391"/>
      <c r="M624" s="391"/>
      <c r="N624" s="391"/>
      <c r="O624" s="391"/>
      <c r="P624" s="391"/>
      <c r="Q624" s="391"/>
      <c r="R624" s="391"/>
      <c r="S624" s="391"/>
      <c r="T624" s="391"/>
      <c r="U624" s="391"/>
      <c r="V624" s="391"/>
      <c r="W624" s="391"/>
      <c r="X624" s="391"/>
      <c r="Y624" s="391"/>
      <c r="Z624" s="391"/>
    </row>
    <row r="625">
      <c r="A625" s="391"/>
      <c r="B625" s="391"/>
      <c r="C625" s="391"/>
      <c r="D625" s="391"/>
      <c r="E625" s="391"/>
      <c r="F625" s="391"/>
      <c r="G625" s="391"/>
      <c r="H625" s="391"/>
      <c r="I625" s="391"/>
      <c r="J625" s="391"/>
      <c r="K625" s="391"/>
      <c r="L625" s="391"/>
      <c r="M625" s="391"/>
      <c r="N625" s="391"/>
      <c r="O625" s="391"/>
      <c r="P625" s="391"/>
      <c r="Q625" s="391"/>
      <c r="R625" s="391"/>
      <c r="S625" s="391"/>
      <c r="T625" s="391"/>
      <c r="U625" s="391"/>
      <c r="V625" s="391"/>
      <c r="W625" s="391"/>
      <c r="X625" s="391"/>
      <c r="Y625" s="391"/>
      <c r="Z625" s="391"/>
    </row>
    <row r="626">
      <c r="A626" s="391"/>
      <c r="B626" s="391"/>
      <c r="C626" s="391"/>
      <c r="D626" s="391"/>
      <c r="E626" s="391"/>
      <c r="F626" s="391"/>
      <c r="G626" s="391"/>
      <c r="H626" s="391"/>
      <c r="I626" s="391"/>
      <c r="J626" s="391"/>
      <c r="K626" s="391"/>
      <c r="L626" s="391"/>
      <c r="M626" s="391"/>
      <c r="N626" s="391"/>
      <c r="O626" s="391"/>
      <c r="P626" s="391"/>
      <c r="Q626" s="391"/>
      <c r="R626" s="391"/>
      <c r="S626" s="391"/>
      <c r="T626" s="391"/>
      <c r="U626" s="391"/>
      <c r="V626" s="391"/>
      <c r="W626" s="391"/>
      <c r="X626" s="391"/>
      <c r="Y626" s="391"/>
      <c r="Z626" s="391"/>
    </row>
    <row r="627">
      <c r="A627" s="391"/>
      <c r="B627" s="391"/>
      <c r="C627" s="391"/>
      <c r="D627" s="391"/>
      <c r="E627" s="391"/>
      <c r="F627" s="391"/>
      <c r="G627" s="391"/>
      <c r="H627" s="391"/>
      <c r="I627" s="391"/>
      <c r="J627" s="391"/>
      <c r="K627" s="391"/>
      <c r="L627" s="391"/>
      <c r="M627" s="391"/>
      <c r="N627" s="391"/>
      <c r="O627" s="391"/>
      <c r="P627" s="391"/>
      <c r="Q627" s="391"/>
      <c r="R627" s="391"/>
      <c r="S627" s="391"/>
      <c r="T627" s="391"/>
      <c r="U627" s="391"/>
      <c r="V627" s="391"/>
      <c r="W627" s="391"/>
      <c r="X627" s="391"/>
      <c r="Y627" s="391"/>
      <c r="Z627" s="391"/>
    </row>
    <row r="628">
      <c r="A628" s="391"/>
      <c r="B628" s="391"/>
      <c r="C628" s="391"/>
      <c r="D628" s="391"/>
      <c r="E628" s="391"/>
      <c r="F628" s="391"/>
      <c r="G628" s="391"/>
      <c r="H628" s="391"/>
      <c r="I628" s="391"/>
      <c r="J628" s="391"/>
      <c r="K628" s="391"/>
      <c r="L628" s="391"/>
      <c r="M628" s="391"/>
      <c r="N628" s="391"/>
      <c r="O628" s="391"/>
      <c r="P628" s="391"/>
      <c r="Q628" s="391"/>
      <c r="R628" s="391"/>
      <c r="S628" s="391"/>
      <c r="T628" s="391"/>
      <c r="U628" s="391"/>
      <c r="V628" s="391"/>
      <c r="W628" s="391"/>
      <c r="X628" s="391"/>
      <c r="Y628" s="391"/>
      <c r="Z628" s="391"/>
    </row>
    <row r="629">
      <c r="A629" s="391"/>
      <c r="B629" s="391"/>
      <c r="C629" s="391"/>
      <c r="D629" s="391"/>
      <c r="E629" s="391"/>
      <c r="F629" s="391"/>
      <c r="G629" s="391"/>
      <c r="H629" s="391"/>
      <c r="I629" s="391"/>
      <c r="J629" s="391"/>
      <c r="K629" s="391"/>
      <c r="L629" s="391"/>
      <c r="M629" s="391"/>
      <c r="N629" s="391"/>
      <c r="O629" s="391"/>
      <c r="P629" s="391"/>
      <c r="Q629" s="391"/>
      <c r="R629" s="391"/>
      <c r="S629" s="391"/>
      <c r="T629" s="391"/>
      <c r="U629" s="391"/>
      <c r="V629" s="391"/>
      <c r="W629" s="391"/>
      <c r="X629" s="391"/>
      <c r="Y629" s="391"/>
      <c r="Z629" s="391"/>
    </row>
    <row r="630">
      <c r="A630" s="391"/>
      <c r="B630" s="391"/>
      <c r="C630" s="391"/>
      <c r="D630" s="391"/>
      <c r="E630" s="391"/>
      <c r="F630" s="391"/>
      <c r="G630" s="391"/>
      <c r="H630" s="391"/>
      <c r="I630" s="391"/>
      <c r="J630" s="391"/>
      <c r="K630" s="391"/>
      <c r="L630" s="391"/>
      <c r="M630" s="391"/>
      <c r="N630" s="391"/>
      <c r="O630" s="391"/>
      <c r="P630" s="391"/>
      <c r="Q630" s="391"/>
      <c r="R630" s="391"/>
      <c r="S630" s="391"/>
      <c r="T630" s="391"/>
      <c r="U630" s="391"/>
      <c r="V630" s="391"/>
      <c r="W630" s="391"/>
      <c r="X630" s="391"/>
      <c r="Y630" s="391"/>
      <c r="Z630" s="391"/>
    </row>
    <row r="631">
      <c r="A631" s="391"/>
      <c r="B631" s="391"/>
      <c r="C631" s="391"/>
      <c r="D631" s="391"/>
      <c r="E631" s="391"/>
      <c r="F631" s="391"/>
      <c r="G631" s="391"/>
      <c r="H631" s="391"/>
      <c r="I631" s="391"/>
      <c r="J631" s="391"/>
      <c r="K631" s="391"/>
      <c r="L631" s="391"/>
      <c r="M631" s="391"/>
      <c r="N631" s="391"/>
      <c r="O631" s="391"/>
      <c r="P631" s="391"/>
      <c r="Q631" s="391"/>
      <c r="R631" s="391"/>
      <c r="S631" s="391"/>
      <c r="T631" s="391"/>
      <c r="U631" s="391"/>
      <c r="V631" s="391"/>
      <c r="W631" s="391"/>
      <c r="X631" s="391"/>
      <c r="Y631" s="391"/>
      <c r="Z631" s="391"/>
    </row>
    <row r="632">
      <c r="A632" s="391"/>
      <c r="B632" s="391"/>
      <c r="C632" s="391"/>
      <c r="D632" s="391"/>
      <c r="E632" s="391"/>
      <c r="F632" s="391"/>
      <c r="G632" s="391"/>
      <c r="H632" s="391"/>
      <c r="I632" s="391"/>
      <c r="J632" s="391"/>
      <c r="K632" s="391"/>
      <c r="L632" s="391"/>
      <c r="M632" s="391"/>
      <c r="N632" s="391"/>
      <c r="O632" s="391"/>
      <c r="P632" s="391"/>
      <c r="Q632" s="391"/>
      <c r="R632" s="391"/>
      <c r="S632" s="391"/>
      <c r="T632" s="391"/>
      <c r="U632" s="391"/>
      <c r="V632" s="391"/>
      <c r="W632" s="391"/>
      <c r="X632" s="391"/>
      <c r="Y632" s="391"/>
      <c r="Z632" s="391"/>
    </row>
    <row r="633">
      <c r="A633" s="391"/>
      <c r="B633" s="391"/>
      <c r="C633" s="391"/>
      <c r="D633" s="391"/>
      <c r="E633" s="391"/>
      <c r="F633" s="391"/>
      <c r="G633" s="391"/>
      <c r="H633" s="391"/>
      <c r="I633" s="391"/>
      <c r="J633" s="391"/>
      <c r="K633" s="391"/>
      <c r="L633" s="391"/>
      <c r="M633" s="391"/>
      <c r="N633" s="391"/>
      <c r="O633" s="391"/>
      <c r="P633" s="391"/>
      <c r="Q633" s="391"/>
      <c r="R633" s="391"/>
      <c r="S633" s="391"/>
      <c r="T633" s="391"/>
      <c r="U633" s="391"/>
      <c r="V633" s="391"/>
      <c r="W633" s="391"/>
      <c r="X633" s="391"/>
      <c r="Y633" s="391"/>
      <c r="Z633" s="391"/>
    </row>
    <row r="634">
      <c r="A634" s="391"/>
      <c r="B634" s="391"/>
      <c r="C634" s="391"/>
      <c r="D634" s="391"/>
      <c r="E634" s="391"/>
      <c r="F634" s="391"/>
      <c r="G634" s="391"/>
      <c r="H634" s="391"/>
      <c r="I634" s="391"/>
      <c r="J634" s="391"/>
      <c r="K634" s="391"/>
      <c r="L634" s="391"/>
      <c r="M634" s="391"/>
      <c r="N634" s="391"/>
      <c r="O634" s="391"/>
      <c r="P634" s="391"/>
      <c r="Q634" s="391"/>
      <c r="R634" s="391"/>
      <c r="S634" s="391"/>
      <c r="T634" s="391"/>
      <c r="U634" s="391"/>
      <c r="V634" s="391"/>
      <c r="W634" s="391"/>
      <c r="X634" s="391"/>
      <c r="Y634" s="391"/>
      <c r="Z634" s="391"/>
    </row>
    <row r="635">
      <c r="A635" s="391"/>
      <c r="B635" s="391"/>
      <c r="C635" s="391"/>
      <c r="D635" s="391"/>
      <c r="E635" s="391"/>
      <c r="F635" s="391"/>
      <c r="G635" s="391"/>
      <c r="H635" s="391"/>
      <c r="I635" s="391"/>
      <c r="J635" s="391"/>
      <c r="K635" s="391"/>
      <c r="L635" s="391"/>
      <c r="M635" s="391"/>
      <c r="N635" s="391"/>
      <c r="O635" s="391"/>
      <c r="P635" s="391"/>
      <c r="Q635" s="391"/>
      <c r="R635" s="391"/>
      <c r="S635" s="391"/>
      <c r="T635" s="391"/>
      <c r="U635" s="391"/>
      <c r="V635" s="391"/>
      <c r="W635" s="391"/>
      <c r="X635" s="391"/>
      <c r="Y635" s="391"/>
      <c r="Z635" s="391"/>
    </row>
    <row r="636">
      <c r="A636" s="391"/>
      <c r="B636" s="391"/>
      <c r="C636" s="391"/>
      <c r="D636" s="391"/>
      <c r="E636" s="391"/>
      <c r="F636" s="391"/>
      <c r="G636" s="391"/>
      <c r="H636" s="391"/>
      <c r="I636" s="391"/>
      <c r="J636" s="391"/>
      <c r="K636" s="391"/>
      <c r="L636" s="391"/>
      <c r="M636" s="391"/>
      <c r="N636" s="391"/>
      <c r="O636" s="391"/>
      <c r="P636" s="391"/>
      <c r="Q636" s="391"/>
      <c r="R636" s="391"/>
      <c r="S636" s="391"/>
      <c r="T636" s="391"/>
      <c r="U636" s="391"/>
      <c r="V636" s="391"/>
      <c r="W636" s="391"/>
      <c r="X636" s="391"/>
      <c r="Y636" s="391"/>
      <c r="Z636" s="391"/>
    </row>
    <row r="637">
      <c r="A637" s="391"/>
      <c r="B637" s="391"/>
      <c r="C637" s="391"/>
      <c r="D637" s="391"/>
      <c r="E637" s="391"/>
      <c r="F637" s="391"/>
      <c r="G637" s="391"/>
      <c r="H637" s="391"/>
      <c r="I637" s="391"/>
      <c r="J637" s="391"/>
      <c r="K637" s="391"/>
      <c r="L637" s="391"/>
      <c r="M637" s="391"/>
      <c r="N637" s="391"/>
      <c r="O637" s="391"/>
      <c r="P637" s="391"/>
      <c r="Q637" s="391"/>
      <c r="R637" s="391"/>
      <c r="S637" s="391"/>
      <c r="T637" s="391"/>
      <c r="U637" s="391"/>
      <c r="V637" s="391"/>
      <c r="W637" s="391"/>
      <c r="X637" s="391"/>
      <c r="Y637" s="391"/>
      <c r="Z637" s="391"/>
    </row>
    <row r="638">
      <c r="A638" s="391"/>
      <c r="B638" s="391"/>
      <c r="C638" s="391"/>
      <c r="D638" s="391"/>
      <c r="E638" s="391"/>
      <c r="F638" s="391"/>
      <c r="G638" s="391"/>
      <c r="H638" s="391"/>
      <c r="I638" s="391"/>
      <c r="J638" s="391"/>
      <c r="K638" s="391"/>
      <c r="L638" s="391"/>
      <c r="M638" s="391"/>
      <c r="N638" s="391"/>
      <c r="O638" s="391"/>
      <c r="P638" s="391"/>
      <c r="Q638" s="391"/>
      <c r="R638" s="391"/>
      <c r="S638" s="391"/>
      <c r="T638" s="391"/>
      <c r="U638" s="391"/>
      <c r="V638" s="391"/>
      <c r="W638" s="391"/>
      <c r="X638" s="391"/>
      <c r="Y638" s="391"/>
      <c r="Z638" s="391"/>
    </row>
    <row r="639">
      <c r="A639" s="391"/>
      <c r="B639" s="391"/>
      <c r="C639" s="391"/>
      <c r="D639" s="391"/>
      <c r="E639" s="391"/>
      <c r="F639" s="391"/>
      <c r="G639" s="391"/>
      <c r="H639" s="391"/>
      <c r="I639" s="391"/>
      <c r="J639" s="391"/>
      <c r="K639" s="391"/>
      <c r="L639" s="391"/>
      <c r="M639" s="391"/>
      <c r="N639" s="391"/>
      <c r="O639" s="391"/>
      <c r="P639" s="391"/>
      <c r="Q639" s="391"/>
      <c r="R639" s="391"/>
      <c r="S639" s="391"/>
      <c r="T639" s="391"/>
      <c r="U639" s="391"/>
      <c r="V639" s="391"/>
      <c r="W639" s="391"/>
      <c r="X639" s="391"/>
      <c r="Y639" s="391"/>
      <c r="Z639" s="391"/>
    </row>
    <row r="640">
      <c r="A640" s="391"/>
      <c r="B640" s="391"/>
      <c r="C640" s="391"/>
      <c r="D640" s="391"/>
      <c r="E640" s="391"/>
      <c r="F640" s="391"/>
      <c r="G640" s="391"/>
      <c r="H640" s="391"/>
      <c r="I640" s="391"/>
      <c r="J640" s="391"/>
      <c r="K640" s="391"/>
      <c r="L640" s="391"/>
      <c r="M640" s="391"/>
      <c r="N640" s="391"/>
      <c r="O640" s="391"/>
      <c r="P640" s="391"/>
      <c r="Q640" s="391"/>
      <c r="R640" s="391"/>
      <c r="S640" s="391"/>
      <c r="T640" s="391"/>
      <c r="U640" s="391"/>
      <c r="V640" s="391"/>
      <c r="W640" s="391"/>
      <c r="X640" s="391"/>
      <c r="Y640" s="391"/>
      <c r="Z640" s="391"/>
    </row>
    <row r="641">
      <c r="A641" s="391"/>
      <c r="B641" s="391"/>
      <c r="C641" s="391"/>
      <c r="D641" s="391"/>
      <c r="E641" s="391"/>
      <c r="F641" s="391"/>
      <c r="G641" s="391"/>
      <c r="H641" s="391"/>
      <c r="I641" s="391"/>
      <c r="J641" s="391"/>
      <c r="K641" s="391"/>
      <c r="L641" s="391"/>
      <c r="M641" s="391"/>
      <c r="N641" s="391"/>
      <c r="O641" s="391"/>
      <c r="P641" s="391"/>
      <c r="Q641" s="391"/>
      <c r="R641" s="391"/>
      <c r="S641" s="391"/>
      <c r="T641" s="391"/>
      <c r="U641" s="391"/>
      <c r="V641" s="391"/>
      <c r="W641" s="391"/>
      <c r="X641" s="391"/>
      <c r="Y641" s="391"/>
      <c r="Z641" s="391"/>
    </row>
    <row r="642">
      <c r="A642" s="391"/>
      <c r="B642" s="391"/>
      <c r="C642" s="391"/>
      <c r="D642" s="391"/>
      <c r="E642" s="391"/>
      <c r="F642" s="391"/>
      <c r="G642" s="391"/>
      <c r="H642" s="391"/>
      <c r="I642" s="391"/>
      <c r="J642" s="391"/>
      <c r="K642" s="391"/>
      <c r="L642" s="391"/>
      <c r="M642" s="391"/>
      <c r="N642" s="391"/>
      <c r="O642" s="391"/>
      <c r="P642" s="391"/>
      <c r="Q642" s="391"/>
      <c r="R642" s="391"/>
      <c r="S642" s="391"/>
      <c r="T642" s="391"/>
      <c r="U642" s="391"/>
      <c r="V642" s="391"/>
      <c r="W642" s="391"/>
      <c r="X642" s="391"/>
      <c r="Y642" s="391"/>
      <c r="Z642" s="391"/>
    </row>
    <row r="643">
      <c r="A643" s="391"/>
      <c r="B643" s="391"/>
      <c r="C643" s="391"/>
      <c r="D643" s="391"/>
      <c r="E643" s="391"/>
      <c r="F643" s="391"/>
      <c r="G643" s="391"/>
      <c r="H643" s="391"/>
      <c r="I643" s="391"/>
      <c r="J643" s="391"/>
      <c r="K643" s="391"/>
      <c r="L643" s="391"/>
      <c r="M643" s="391"/>
      <c r="N643" s="391"/>
      <c r="O643" s="391"/>
      <c r="P643" s="391"/>
      <c r="Q643" s="391"/>
      <c r="R643" s="391"/>
      <c r="S643" s="391"/>
      <c r="T643" s="391"/>
      <c r="U643" s="391"/>
      <c r="V643" s="391"/>
      <c r="W643" s="391"/>
      <c r="X643" s="391"/>
      <c r="Y643" s="391"/>
      <c r="Z643" s="391"/>
    </row>
    <row r="644">
      <c r="A644" s="391"/>
      <c r="B644" s="391"/>
      <c r="C644" s="391"/>
      <c r="D644" s="391"/>
      <c r="E644" s="391"/>
      <c r="F644" s="391"/>
      <c r="G644" s="391"/>
      <c r="H644" s="391"/>
      <c r="I644" s="391"/>
      <c r="J644" s="391"/>
      <c r="K644" s="391"/>
      <c r="L644" s="391"/>
      <c r="M644" s="391"/>
      <c r="N644" s="391"/>
      <c r="O644" s="391"/>
      <c r="P644" s="391"/>
      <c r="Q644" s="391"/>
      <c r="R644" s="391"/>
      <c r="S644" s="391"/>
      <c r="T644" s="391"/>
      <c r="U644" s="391"/>
      <c r="V644" s="391"/>
      <c r="W644" s="391"/>
      <c r="X644" s="391"/>
      <c r="Y644" s="391"/>
      <c r="Z644" s="391"/>
    </row>
    <row r="645">
      <c r="A645" s="391"/>
      <c r="B645" s="391"/>
      <c r="C645" s="391"/>
      <c r="D645" s="391"/>
      <c r="E645" s="391"/>
      <c r="F645" s="391"/>
      <c r="G645" s="391"/>
      <c r="H645" s="391"/>
      <c r="I645" s="391"/>
      <c r="J645" s="391"/>
      <c r="K645" s="391"/>
      <c r="L645" s="391"/>
      <c r="M645" s="391"/>
      <c r="N645" s="391"/>
      <c r="O645" s="391"/>
      <c r="P645" s="391"/>
      <c r="Q645" s="391"/>
      <c r="R645" s="391"/>
      <c r="S645" s="391"/>
      <c r="T645" s="391"/>
      <c r="U645" s="391"/>
      <c r="V645" s="391"/>
      <c r="W645" s="391"/>
      <c r="X645" s="391"/>
      <c r="Y645" s="391"/>
      <c r="Z645" s="391"/>
    </row>
    <row r="646">
      <c r="A646" s="391"/>
      <c r="B646" s="391"/>
      <c r="C646" s="391"/>
      <c r="D646" s="391"/>
      <c r="E646" s="391"/>
      <c r="F646" s="391"/>
      <c r="G646" s="391"/>
      <c r="H646" s="391"/>
      <c r="I646" s="391"/>
      <c r="J646" s="391"/>
      <c r="K646" s="391"/>
      <c r="L646" s="391"/>
      <c r="M646" s="391"/>
      <c r="N646" s="391"/>
      <c r="O646" s="391"/>
      <c r="P646" s="391"/>
      <c r="Q646" s="391"/>
      <c r="R646" s="391"/>
      <c r="S646" s="391"/>
      <c r="T646" s="391"/>
      <c r="U646" s="391"/>
      <c r="V646" s="391"/>
      <c r="W646" s="391"/>
      <c r="X646" s="391"/>
      <c r="Y646" s="391"/>
      <c r="Z646" s="391"/>
    </row>
    <row r="647">
      <c r="A647" s="391"/>
      <c r="B647" s="391"/>
      <c r="C647" s="391"/>
      <c r="D647" s="391"/>
      <c r="E647" s="391"/>
      <c r="F647" s="391"/>
      <c r="G647" s="391"/>
      <c r="H647" s="391"/>
      <c r="I647" s="391"/>
      <c r="J647" s="391"/>
      <c r="K647" s="391"/>
      <c r="L647" s="391"/>
      <c r="M647" s="391"/>
      <c r="N647" s="391"/>
      <c r="O647" s="391"/>
      <c r="P647" s="391"/>
      <c r="Q647" s="391"/>
      <c r="R647" s="391"/>
      <c r="S647" s="391"/>
      <c r="T647" s="391"/>
      <c r="U647" s="391"/>
      <c r="V647" s="391"/>
      <c r="W647" s="391"/>
      <c r="X647" s="391"/>
      <c r="Y647" s="391"/>
      <c r="Z647" s="391"/>
    </row>
    <row r="648">
      <c r="A648" s="391"/>
      <c r="B648" s="391"/>
      <c r="C648" s="391"/>
      <c r="D648" s="391"/>
      <c r="E648" s="391"/>
      <c r="F648" s="391"/>
      <c r="G648" s="391"/>
      <c r="H648" s="391"/>
      <c r="I648" s="391"/>
      <c r="J648" s="391"/>
      <c r="K648" s="391"/>
      <c r="L648" s="391"/>
      <c r="M648" s="391"/>
      <c r="N648" s="391"/>
      <c r="O648" s="391"/>
      <c r="P648" s="391"/>
      <c r="Q648" s="391"/>
      <c r="R648" s="391"/>
      <c r="S648" s="391"/>
      <c r="T648" s="391"/>
      <c r="U648" s="391"/>
      <c r="V648" s="391"/>
      <c r="W648" s="391"/>
      <c r="X648" s="391"/>
      <c r="Y648" s="391"/>
      <c r="Z648" s="391"/>
    </row>
    <row r="649">
      <c r="A649" s="391"/>
      <c r="B649" s="391"/>
      <c r="C649" s="391"/>
      <c r="D649" s="391"/>
      <c r="E649" s="391"/>
      <c r="F649" s="391"/>
      <c r="G649" s="391"/>
      <c r="H649" s="391"/>
      <c r="I649" s="391"/>
      <c r="J649" s="391"/>
      <c r="K649" s="391"/>
      <c r="L649" s="391"/>
      <c r="M649" s="391"/>
      <c r="N649" s="391"/>
      <c r="O649" s="391"/>
      <c r="P649" s="391"/>
      <c r="Q649" s="391"/>
      <c r="R649" s="391"/>
      <c r="S649" s="391"/>
      <c r="T649" s="391"/>
      <c r="U649" s="391"/>
      <c r="V649" s="391"/>
      <c r="W649" s="391"/>
      <c r="X649" s="391"/>
      <c r="Y649" s="391"/>
      <c r="Z649" s="391"/>
    </row>
    <row r="650">
      <c r="A650" s="391"/>
      <c r="B650" s="391"/>
      <c r="C650" s="391"/>
      <c r="D650" s="391"/>
      <c r="E650" s="391"/>
      <c r="F650" s="391"/>
      <c r="G650" s="391"/>
      <c r="H650" s="391"/>
      <c r="I650" s="391"/>
      <c r="J650" s="391"/>
      <c r="K650" s="391"/>
      <c r="L650" s="391"/>
      <c r="M650" s="391"/>
      <c r="N650" s="391"/>
      <c r="O650" s="391"/>
      <c r="P650" s="391"/>
      <c r="Q650" s="391"/>
      <c r="R650" s="391"/>
      <c r="S650" s="391"/>
      <c r="T650" s="391"/>
      <c r="U650" s="391"/>
      <c r="V650" s="391"/>
      <c r="W650" s="391"/>
      <c r="X650" s="391"/>
      <c r="Y650" s="391"/>
      <c r="Z650" s="391"/>
    </row>
    <row r="651">
      <c r="A651" s="391"/>
      <c r="B651" s="391"/>
      <c r="C651" s="391"/>
      <c r="D651" s="391"/>
      <c r="E651" s="391"/>
      <c r="F651" s="391"/>
      <c r="G651" s="391"/>
      <c r="H651" s="391"/>
      <c r="I651" s="391"/>
      <c r="J651" s="391"/>
      <c r="K651" s="391"/>
      <c r="L651" s="391"/>
      <c r="M651" s="391"/>
      <c r="N651" s="391"/>
      <c r="O651" s="391"/>
      <c r="P651" s="391"/>
      <c r="Q651" s="391"/>
      <c r="R651" s="391"/>
      <c r="S651" s="391"/>
      <c r="T651" s="391"/>
      <c r="U651" s="391"/>
      <c r="V651" s="391"/>
      <c r="W651" s="391"/>
      <c r="X651" s="391"/>
      <c r="Y651" s="391"/>
      <c r="Z651" s="391"/>
    </row>
    <row r="652">
      <c r="A652" s="391"/>
      <c r="B652" s="391"/>
      <c r="C652" s="391"/>
      <c r="D652" s="391"/>
      <c r="E652" s="391"/>
      <c r="F652" s="391"/>
      <c r="G652" s="391"/>
      <c r="H652" s="391"/>
      <c r="I652" s="391"/>
      <c r="J652" s="391"/>
      <c r="K652" s="391"/>
      <c r="L652" s="391"/>
      <c r="M652" s="391"/>
      <c r="N652" s="391"/>
      <c r="O652" s="391"/>
      <c r="P652" s="391"/>
      <c r="Q652" s="391"/>
      <c r="R652" s="391"/>
      <c r="S652" s="391"/>
      <c r="T652" s="391"/>
      <c r="U652" s="391"/>
      <c r="V652" s="391"/>
      <c r="W652" s="391"/>
      <c r="X652" s="391"/>
      <c r="Y652" s="391"/>
      <c r="Z652" s="391"/>
    </row>
    <row r="653">
      <c r="A653" s="391"/>
      <c r="B653" s="391"/>
      <c r="C653" s="391"/>
      <c r="D653" s="391"/>
      <c r="E653" s="391"/>
      <c r="F653" s="391"/>
      <c r="G653" s="391"/>
      <c r="H653" s="391"/>
      <c r="I653" s="391"/>
      <c r="J653" s="391"/>
      <c r="K653" s="391"/>
      <c r="L653" s="391"/>
      <c r="M653" s="391"/>
      <c r="N653" s="391"/>
      <c r="O653" s="391"/>
      <c r="P653" s="391"/>
      <c r="Q653" s="391"/>
      <c r="R653" s="391"/>
      <c r="S653" s="391"/>
      <c r="T653" s="391"/>
      <c r="U653" s="391"/>
      <c r="V653" s="391"/>
      <c r="W653" s="391"/>
      <c r="X653" s="391"/>
      <c r="Y653" s="391"/>
      <c r="Z653" s="391"/>
    </row>
    <row r="654">
      <c r="A654" s="391"/>
      <c r="B654" s="391"/>
      <c r="C654" s="391"/>
      <c r="D654" s="391"/>
      <c r="E654" s="391"/>
      <c r="F654" s="391"/>
      <c r="G654" s="391"/>
      <c r="H654" s="391"/>
      <c r="I654" s="391"/>
      <c r="J654" s="391"/>
      <c r="K654" s="391"/>
      <c r="L654" s="391"/>
      <c r="M654" s="391"/>
      <c r="N654" s="391"/>
      <c r="O654" s="391"/>
      <c r="P654" s="391"/>
      <c r="Q654" s="391"/>
      <c r="R654" s="391"/>
      <c r="S654" s="391"/>
      <c r="T654" s="391"/>
      <c r="U654" s="391"/>
      <c r="V654" s="391"/>
      <c r="W654" s="391"/>
      <c r="X654" s="391"/>
      <c r="Y654" s="391"/>
      <c r="Z654" s="391"/>
    </row>
    <row r="655">
      <c r="A655" s="391"/>
      <c r="B655" s="391"/>
      <c r="C655" s="391"/>
      <c r="D655" s="391"/>
      <c r="E655" s="391"/>
      <c r="F655" s="391"/>
      <c r="G655" s="391"/>
      <c r="H655" s="391"/>
      <c r="I655" s="391"/>
      <c r="J655" s="391"/>
      <c r="K655" s="391"/>
      <c r="L655" s="391"/>
      <c r="M655" s="391"/>
      <c r="N655" s="391"/>
      <c r="O655" s="391"/>
      <c r="P655" s="391"/>
      <c r="Q655" s="391"/>
      <c r="R655" s="391"/>
      <c r="S655" s="391"/>
      <c r="T655" s="391"/>
      <c r="U655" s="391"/>
      <c r="V655" s="391"/>
      <c r="W655" s="391"/>
      <c r="X655" s="391"/>
      <c r="Y655" s="391"/>
      <c r="Z655" s="391"/>
    </row>
    <row r="656">
      <c r="A656" s="391"/>
      <c r="B656" s="391"/>
      <c r="C656" s="391"/>
      <c r="D656" s="391"/>
      <c r="E656" s="391"/>
      <c r="F656" s="391"/>
      <c r="G656" s="391"/>
      <c r="H656" s="391"/>
      <c r="I656" s="391"/>
      <c r="J656" s="391"/>
      <c r="K656" s="391"/>
      <c r="L656" s="391"/>
      <c r="M656" s="391"/>
      <c r="N656" s="391"/>
      <c r="O656" s="391"/>
      <c r="P656" s="391"/>
      <c r="Q656" s="391"/>
      <c r="R656" s="391"/>
      <c r="S656" s="391"/>
      <c r="T656" s="391"/>
      <c r="U656" s="391"/>
      <c r="V656" s="391"/>
      <c r="W656" s="391"/>
      <c r="X656" s="391"/>
      <c r="Y656" s="391"/>
      <c r="Z656" s="391"/>
    </row>
    <row r="657">
      <c r="A657" s="391"/>
      <c r="B657" s="391"/>
      <c r="C657" s="391"/>
      <c r="D657" s="391"/>
      <c r="E657" s="391"/>
      <c r="F657" s="391"/>
      <c r="G657" s="391"/>
      <c r="H657" s="391"/>
      <c r="I657" s="391"/>
      <c r="J657" s="391"/>
      <c r="K657" s="391"/>
      <c r="L657" s="391"/>
      <c r="M657" s="391"/>
      <c r="N657" s="391"/>
      <c r="O657" s="391"/>
      <c r="P657" s="391"/>
      <c r="Q657" s="391"/>
      <c r="R657" s="391"/>
      <c r="S657" s="391"/>
      <c r="T657" s="391"/>
      <c r="U657" s="391"/>
      <c r="V657" s="391"/>
      <c r="W657" s="391"/>
      <c r="X657" s="391"/>
      <c r="Y657" s="391"/>
      <c r="Z657" s="391"/>
    </row>
    <row r="658">
      <c r="A658" s="391"/>
      <c r="B658" s="391"/>
      <c r="C658" s="391"/>
      <c r="D658" s="391"/>
      <c r="E658" s="391"/>
      <c r="F658" s="391"/>
      <c r="G658" s="391"/>
      <c r="H658" s="391"/>
      <c r="I658" s="391"/>
      <c r="J658" s="391"/>
      <c r="K658" s="391"/>
      <c r="L658" s="391"/>
      <c r="M658" s="391"/>
      <c r="N658" s="391"/>
      <c r="O658" s="391"/>
      <c r="P658" s="391"/>
      <c r="Q658" s="391"/>
      <c r="R658" s="391"/>
      <c r="S658" s="391"/>
      <c r="T658" s="391"/>
      <c r="U658" s="391"/>
      <c r="V658" s="391"/>
      <c r="W658" s="391"/>
      <c r="X658" s="391"/>
      <c r="Y658" s="391"/>
      <c r="Z658" s="391"/>
    </row>
    <row r="659">
      <c r="A659" s="391"/>
      <c r="B659" s="391"/>
      <c r="C659" s="391"/>
      <c r="D659" s="391"/>
      <c r="E659" s="391"/>
      <c r="F659" s="391"/>
      <c r="G659" s="391"/>
      <c r="H659" s="391"/>
      <c r="I659" s="391"/>
      <c r="J659" s="391"/>
      <c r="K659" s="391"/>
      <c r="L659" s="391"/>
      <c r="M659" s="391"/>
      <c r="N659" s="391"/>
      <c r="O659" s="391"/>
      <c r="P659" s="391"/>
      <c r="Q659" s="391"/>
      <c r="R659" s="391"/>
      <c r="S659" s="391"/>
      <c r="T659" s="391"/>
      <c r="U659" s="391"/>
      <c r="V659" s="391"/>
      <c r="W659" s="391"/>
      <c r="X659" s="391"/>
      <c r="Y659" s="391"/>
      <c r="Z659" s="391"/>
    </row>
    <row r="660">
      <c r="A660" s="391"/>
      <c r="B660" s="391"/>
      <c r="C660" s="391"/>
      <c r="D660" s="391"/>
      <c r="E660" s="391"/>
      <c r="F660" s="391"/>
      <c r="G660" s="391"/>
      <c r="H660" s="391"/>
      <c r="I660" s="391"/>
      <c r="J660" s="391"/>
      <c r="K660" s="391"/>
      <c r="L660" s="391"/>
      <c r="M660" s="391"/>
      <c r="N660" s="391"/>
      <c r="O660" s="391"/>
      <c r="P660" s="391"/>
      <c r="Q660" s="391"/>
      <c r="R660" s="391"/>
      <c r="S660" s="391"/>
      <c r="T660" s="391"/>
      <c r="U660" s="391"/>
      <c r="V660" s="391"/>
      <c r="W660" s="391"/>
      <c r="X660" s="391"/>
      <c r="Y660" s="391"/>
      <c r="Z660" s="391"/>
    </row>
    <row r="661">
      <c r="A661" s="391"/>
      <c r="B661" s="391"/>
      <c r="C661" s="391"/>
      <c r="D661" s="391"/>
      <c r="E661" s="391"/>
      <c r="F661" s="391"/>
      <c r="G661" s="391"/>
      <c r="H661" s="391"/>
      <c r="I661" s="391"/>
      <c r="J661" s="391"/>
      <c r="K661" s="391"/>
      <c r="L661" s="391"/>
      <c r="M661" s="391"/>
      <c r="N661" s="391"/>
      <c r="O661" s="391"/>
      <c r="P661" s="391"/>
      <c r="Q661" s="391"/>
      <c r="R661" s="391"/>
      <c r="S661" s="391"/>
      <c r="T661" s="391"/>
      <c r="U661" s="391"/>
      <c r="V661" s="391"/>
      <c r="W661" s="391"/>
      <c r="X661" s="391"/>
      <c r="Y661" s="391"/>
      <c r="Z661" s="391"/>
    </row>
    <row r="662">
      <c r="A662" s="391"/>
      <c r="B662" s="391"/>
      <c r="C662" s="391"/>
      <c r="D662" s="391"/>
      <c r="E662" s="391"/>
      <c r="F662" s="391"/>
      <c r="G662" s="391"/>
      <c r="H662" s="391"/>
      <c r="I662" s="391"/>
      <c r="J662" s="391"/>
      <c r="K662" s="391"/>
      <c r="L662" s="391"/>
      <c r="M662" s="391"/>
      <c r="N662" s="391"/>
      <c r="O662" s="391"/>
      <c r="P662" s="391"/>
      <c r="Q662" s="391"/>
      <c r="R662" s="391"/>
      <c r="S662" s="391"/>
      <c r="T662" s="391"/>
      <c r="U662" s="391"/>
      <c r="V662" s="391"/>
      <c r="W662" s="391"/>
      <c r="X662" s="391"/>
      <c r="Y662" s="391"/>
      <c r="Z662" s="391"/>
    </row>
    <row r="663">
      <c r="A663" s="391"/>
      <c r="B663" s="391"/>
      <c r="C663" s="391"/>
      <c r="D663" s="391"/>
      <c r="E663" s="391"/>
      <c r="F663" s="391"/>
      <c r="G663" s="391"/>
      <c r="H663" s="391"/>
      <c r="I663" s="391"/>
      <c r="J663" s="391"/>
      <c r="K663" s="391"/>
      <c r="L663" s="391"/>
      <c r="M663" s="391"/>
      <c r="N663" s="391"/>
      <c r="O663" s="391"/>
      <c r="P663" s="391"/>
      <c r="Q663" s="391"/>
      <c r="R663" s="391"/>
      <c r="S663" s="391"/>
      <c r="T663" s="391"/>
      <c r="U663" s="391"/>
      <c r="V663" s="391"/>
      <c r="W663" s="391"/>
      <c r="X663" s="391"/>
      <c r="Y663" s="391"/>
      <c r="Z663" s="391"/>
    </row>
    <row r="664">
      <c r="A664" s="391"/>
      <c r="B664" s="391"/>
      <c r="C664" s="391"/>
      <c r="D664" s="391"/>
      <c r="E664" s="391"/>
      <c r="F664" s="391"/>
      <c r="G664" s="391"/>
      <c r="H664" s="391"/>
      <c r="I664" s="391"/>
      <c r="J664" s="391"/>
      <c r="K664" s="391"/>
      <c r="L664" s="391"/>
      <c r="M664" s="391"/>
      <c r="N664" s="391"/>
      <c r="O664" s="391"/>
      <c r="P664" s="391"/>
      <c r="Q664" s="391"/>
      <c r="R664" s="391"/>
      <c r="S664" s="391"/>
      <c r="T664" s="391"/>
      <c r="U664" s="391"/>
      <c r="V664" s="391"/>
      <c r="W664" s="391"/>
      <c r="X664" s="391"/>
      <c r="Y664" s="391"/>
      <c r="Z664" s="391"/>
    </row>
    <row r="665">
      <c r="A665" s="391"/>
      <c r="B665" s="391"/>
      <c r="C665" s="391"/>
      <c r="D665" s="391"/>
      <c r="E665" s="391"/>
      <c r="F665" s="391"/>
      <c r="G665" s="391"/>
      <c r="H665" s="391"/>
      <c r="I665" s="391"/>
      <c r="J665" s="391"/>
      <c r="K665" s="391"/>
      <c r="L665" s="391"/>
      <c r="M665" s="391"/>
      <c r="N665" s="391"/>
      <c r="O665" s="391"/>
      <c r="P665" s="391"/>
      <c r="Q665" s="391"/>
      <c r="R665" s="391"/>
      <c r="S665" s="391"/>
      <c r="T665" s="391"/>
      <c r="U665" s="391"/>
      <c r="V665" s="391"/>
      <c r="W665" s="391"/>
      <c r="X665" s="391"/>
      <c r="Y665" s="391"/>
      <c r="Z665" s="391"/>
    </row>
    <row r="666">
      <c r="A666" s="391"/>
      <c r="B666" s="391"/>
      <c r="C666" s="391"/>
      <c r="D666" s="391"/>
      <c r="E666" s="391"/>
      <c r="F666" s="391"/>
      <c r="G666" s="391"/>
      <c r="H666" s="391"/>
      <c r="I666" s="391"/>
      <c r="J666" s="391"/>
      <c r="K666" s="391"/>
      <c r="L666" s="391"/>
      <c r="M666" s="391"/>
      <c r="N666" s="391"/>
      <c r="O666" s="391"/>
      <c r="P666" s="391"/>
      <c r="Q666" s="391"/>
      <c r="R666" s="391"/>
      <c r="S666" s="391"/>
      <c r="T666" s="391"/>
      <c r="U666" s="391"/>
      <c r="V666" s="391"/>
      <c r="W666" s="391"/>
      <c r="X666" s="391"/>
      <c r="Y666" s="391"/>
      <c r="Z666" s="391"/>
    </row>
    <row r="667">
      <c r="A667" s="391"/>
      <c r="B667" s="391"/>
      <c r="C667" s="391"/>
      <c r="D667" s="391"/>
      <c r="E667" s="391"/>
      <c r="F667" s="391"/>
      <c r="G667" s="391"/>
      <c r="H667" s="391"/>
      <c r="I667" s="391"/>
      <c r="J667" s="391"/>
      <c r="K667" s="391"/>
      <c r="L667" s="391"/>
      <c r="M667" s="391"/>
      <c r="N667" s="391"/>
      <c r="O667" s="391"/>
      <c r="P667" s="391"/>
      <c r="Q667" s="391"/>
      <c r="R667" s="391"/>
      <c r="S667" s="391"/>
      <c r="T667" s="391"/>
      <c r="U667" s="391"/>
      <c r="V667" s="391"/>
      <c r="W667" s="391"/>
      <c r="X667" s="391"/>
      <c r="Y667" s="391"/>
      <c r="Z667" s="391"/>
    </row>
    <row r="668">
      <c r="A668" s="391"/>
      <c r="B668" s="391"/>
      <c r="C668" s="391"/>
      <c r="D668" s="391"/>
      <c r="E668" s="391"/>
      <c r="F668" s="391"/>
      <c r="G668" s="391"/>
      <c r="H668" s="391"/>
      <c r="I668" s="391"/>
      <c r="J668" s="391"/>
      <c r="K668" s="391"/>
      <c r="L668" s="391"/>
      <c r="M668" s="391"/>
      <c r="N668" s="391"/>
      <c r="O668" s="391"/>
      <c r="P668" s="391"/>
      <c r="Q668" s="391"/>
      <c r="R668" s="391"/>
      <c r="S668" s="391"/>
      <c r="T668" s="391"/>
      <c r="U668" s="391"/>
      <c r="V668" s="391"/>
      <c r="W668" s="391"/>
      <c r="X668" s="391"/>
      <c r="Y668" s="391"/>
      <c r="Z668" s="391"/>
    </row>
    <row r="669">
      <c r="A669" s="391"/>
      <c r="B669" s="391"/>
      <c r="C669" s="391"/>
      <c r="D669" s="391"/>
      <c r="E669" s="391"/>
      <c r="F669" s="391"/>
      <c r="G669" s="391"/>
      <c r="H669" s="391"/>
      <c r="I669" s="391"/>
      <c r="J669" s="391"/>
      <c r="K669" s="391"/>
      <c r="L669" s="391"/>
      <c r="M669" s="391"/>
      <c r="N669" s="391"/>
      <c r="O669" s="391"/>
      <c r="P669" s="391"/>
      <c r="Q669" s="391"/>
      <c r="R669" s="391"/>
      <c r="S669" s="391"/>
      <c r="T669" s="391"/>
      <c r="U669" s="391"/>
      <c r="V669" s="391"/>
      <c r="W669" s="391"/>
      <c r="X669" s="391"/>
      <c r="Y669" s="391"/>
      <c r="Z669" s="391"/>
    </row>
    <row r="670">
      <c r="A670" s="391"/>
      <c r="B670" s="391"/>
      <c r="C670" s="391"/>
      <c r="D670" s="391"/>
      <c r="E670" s="391"/>
      <c r="F670" s="391"/>
      <c r="G670" s="391"/>
      <c r="H670" s="391"/>
      <c r="I670" s="391"/>
      <c r="J670" s="391"/>
      <c r="K670" s="391"/>
      <c r="L670" s="391"/>
      <c r="M670" s="391"/>
      <c r="N670" s="391"/>
      <c r="O670" s="391"/>
      <c r="P670" s="391"/>
      <c r="Q670" s="391"/>
      <c r="R670" s="391"/>
      <c r="S670" s="391"/>
      <c r="T670" s="391"/>
      <c r="U670" s="391"/>
      <c r="V670" s="391"/>
      <c r="W670" s="391"/>
      <c r="X670" s="391"/>
      <c r="Y670" s="391"/>
      <c r="Z670" s="391"/>
    </row>
    <row r="671">
      <c r="A671" s="391"/>
      <c r="B671" s="391"/>
      <c r="C671" s="391"/>
      <c r="D671" s="391"/>
      <c r="E671" s="391"/>
      <c r="F671" s="391"/>
      <c r="G671" s="391"/>
      <c r="H671" s="391"/>
      <c r="I671" s="391"/>
      <c r="J671" s="391"/>
      <c r="K671" s="391"/>
      <c r="L671" s="391"/>
      <c r="M671" s="391"/>
      <c r="N671" s="391"/>
      <c r="O671" s="391"/>
      <c r="P671" s="391"/>
      <c r="Q671" s="391"/>
      <c r="R671" s="391"/>
      <c r="S671" s="391"/>
      <c r="T671" s="391"/>
      <c r="U671" s="391"/>
      <c r="V671" s="391"/>
      <c r="W671" s="391"/>
      <c r="X671" s="391"/>
      <c r="Y671" s="391"/>
      <c r="Z671" s="391"/>
    </row>
    <row r="672">
      <c r="A672" s="391"/>
      <c r="B672" s="391"/>
      <c r="C672" s="391"/>
      <c r="D672" s="391"/>
      <c r="E672" s="391"/>
      <c r="F672" s="391"/>
      <c r="G672" s="391"/>
      <c r="H672" s="391"/>
      <c r="I672" s="391"/>
      <c r="J672" s="391"/>
      <c r="K672" s="391"/>
      <c r="L672" s="391"/>
      <c r="M672" s="391"/>
      <c r="N672" s="391"/>
      <c r="O672" s="391"/>
      <c r="P672" s="391"/>
      <c r="Q672" s="391"/>
      <c r="R672" s="391"/>
      <c r="S672" s="391"/>
      <c r="T672" s="391"/>
      <c r="U672" s="391"/>
      <c r="V672" s="391"/>
      <c r="W672" s="391"/>
      <c r="X672" s="391"/>
      <c r="Y672" s="391"/>
      <c r="Z672" s="391"/>
    </row>
    <row r="673">
      <c r="A673" s="391"/>
      <c r="B673" s="391"/>
      <c r="C673" s="391"/>
      <c r="D673" s="391"/>
      <c r="E673" s="391"/>
      <c r="F673" s="391"/>
      <c r="G673" s="391"/>
      <c r="H673" s="391"/>
      <c r="I673" s="391"/>
      <c r="J673" s="391"/>
      <c r="K673" s="391"/>
      <c r="L673" s="391"/>
      <c r="M673" s="391"/>
      <c r="N673" s="391"/>
      <c r="O673" s="391"/>
      <c r="P673" s="391"/>
      <c r="Q673" s="391"/>
      <c r="R673" s="391"/>
      <c r="S673" s="391"/>
      <c r="T673" s="391"/>
      <c r="U673" s="391"/>
      <c r="V673" s="391"/>
      <c r="W673" s="391"/>
      <c r="X673" s="391"/>
      <c r="Y673" s="391"/>
      <c r="Z673" s="391"/>
    </row>
    <row r="674">
      <c r="A674" s="391"/>
      <c r="B674" s="391"/>
      <c r="C674" s="391"/>
      <c r="D674" s="391"/>
      <c r="E674" s="391"/>
      <c r="F674" s="391"/>
      <c r="G674" s="391"/>
      <c r="H674" s="391"/>
      <c r="I674" s="391"/>
      <c r="J674" s="391"/>
      <c r="K674" s="391"/>
      <c r="L674" s="391"/>
      <c r="M674" s="391"/>
      <c r="N674" s="391"/>
      <c r="O674" s="391"/>
      <c r="P674" s="391"/>
      <c r="Q674" s="391"/>
      <c r="R674" s="391"/>
      <c r="S674" s="391"/>
      <c r="T674" s="391"/>
      <c r="U674" s="391"/>
      <c r="V674" s="391"/>
      <c r="W674" s="391"/>
      <c r="X674" s="391"/>
      <c r="Y674" s="391"/>
      <c r="Z674" s="391"/>
    </row>
    <row r="675">
      <c r="A675" s="391"/>
      <c r="B675" s="391"/>
      <c r="C675" s="391"/>
      <c r="D675" s="391"/>
      <c r="E675" s="391"/>
      <c r="F675" s="391"/>
      <c r="G675" s="391"/>
      <c r="H675" s="391"/>
      <c r="I675" s="391"/>
      <c r="J675" s="391"/>
      <c r="K675" s="391"/>
      <c r="L675" s="391"/>
      <c r="M675" s="391"/>
      <c r="N675" s="391"/>
      <c r="O675" s="391"/>
      <c r="P675" s="391"/>
      <c r="Q675" s="391"/>
      <c r="R675" s="391"/>
      <c r="S675" s="391"/>
      <c r="T675" s="391"/>
      <c r="U675" s="391"/>
      <c r="V675" s="391"/>
      <c r="W675" s="391"/>
      <c r="X675" s="391"/>
      <c r="Y675" s="391"/>
      <c r="Z675" s="391"/>
    </row>
    <row r="676">
      <c r="A676" s="391"/>
      <c r="B676" s="391"/>
      <c r="C676" s="391"/>
      <c r="D676" s="391"/>
      <c r="E676" s="391"/>
      <c r="F676" s="391"/>
      <c r="G676" s="391"/>
      <c r="H676" s="391"/>
      <c r="I676" s="391"/>
      <c r="J676" s="391"/>
      <c r="K676" s="391"/>
      <c r="L676" s="391"/>
      <c r="M676" s="391"/>
      <c r="N676" s="391"/>
      <c r="O676" s="391"/>
      <c r="P676" s="391"/>
      <c r="Q676" s="391"/>
      <c r="R676" s="391"/>
      <c r="S676" s="391"/>
      <c r="T676" s="391"/>
      <c r="U676" s="391"/>
      <c r="V676" s="391"/>
      <c r="W676" s="391"/>
      <c r="X676" s="391"/>
      <c r="Y676" s="391"/>
      <c r="Z676" s="391"/>
    </row>
    <row r="677">
      <c r="A677" s="391"/>
      <c r="B677" s="391"/>
      <c r="C677" s="391"/>
      <c r="D677" s="391"/>
      <c r="E677" s="391"/>
      <c r="F677" s="391"/>
      <c r="G677" s="391"/>
      <c r="H677" s="391"/>
      <c r="I677" s="391"/>
      <c r="J677" s="391"/>
      <c r="K677" s="391"/>
      <c r="L677" s="391"/>
      <c r="M677" s="391"/>
      <c r="N677" s="391"/>
      <c r="O677" s="391"/>
      <c r="P677" s="391"/>
      <c r="Q677" s="391"/>
      <c r="R677" s="391"/>
      <c r="S677" s="391"/>
      <c r="T677" s="391"/>
      <c r="U677" s="391"/>
      <c r="V677" s="391"/>
      <c r="W677" s="391"/>
      <c r="X677" s="391"/>
      <c r="Y677" s="391"/>
      <c r="Z677" s="391"/>
    </row>
    <row r="678">
      <c r="A678" s="391"/>
      <c r="B678" s="391"/>
      <c r="C678" s="391"/>
      <c r="D678" s="391"/>
      <c r="E678" s="391"/>
      <c r="F678" s="391"/>
      <c r="G678" s="391"/>
      <c r="H678" s="391"/>
      <c r="I678" s="391"/>
      <c r="J678" s="391"/>
      <c r="K678" s="391"/>
      <c r="L678" s="391"/>
      <c r="M678" s="391"/>
      <c r="N678" s="391"/>
      <c r="O678" s="391"/>
      <c r="P678" s="391"/>
      <c r="Q678" s="391"/>
      <c r="R678" s="391"/>
      <c r="S678" s="391"/>
      <c r="T678" s="391"/>
      <c r="U678" s="391"/>
      <c r="V678" s="391"/>
      <c r="W678" s="391"/>
      <c r="X678" s="391"/>
      <c r="Y678" s="391"/>
      <c r="Z678" s="391"/>
    </row>
    <row r="679">
      <c r="A679" s="391"/>
      <c r="B679" s="391"/>
      <c r="C679" s="391"/>
      <c r="D679" s="391"/>
      <c r="E679" s="391"/>
      <c r="F679" s="391"/>
      <c r="G679" s="391"/>
      <c r="H679" s="391"/>
      <c r="I679" s="391"/>
      <c r="J679" s="391"/>
      <c r="K679" s="391"/>
      <c r="L679" s="391"/>
      <c r="M679" s="391"/>
      <c r="N679" s="391"/>
      <c r="O679" s="391"/>
      <c r="P679" s="391"/>
      <c r="Q679" s="391"/>
      <c r="R679" s="391"/>
      <c r="S679" s="391"/>
      <c r="T679" s="391"/>
      <c r="U679" s="391"/>
      <c r="V679" s="391"/>
      <c r="W679" s="391"/>
      <c r="X679" s="391"/>
      <c r="Y679" s="391"/>
      <c r="Z679" s="391"/>
    </row>
    <row r="680">
      <c r="A680" s="391"/>
      <c r="B680" s="391"/>
      <c r="C680" s="391"/>
      <c r="D680" s="391"/>
      <c r="E680" s="391"/>
      <c r="F680" s="391"/>
      <c r="G680" s="391"/>
      <c r="H680" s="391"/>
      <c r="I680" s="391"/>
      <c r="J680" s="391"/>
      <c r="K680" s="391"/>
      <c r="L680" s="391"/>
      <c r="M680" s="391"/>
      <c r="N680" s="391"/>
      <c r="O680" s="391"/>
      <c r="P680" s="391"/>
      <c r="Q680" s="391"/>
      <c r="R680" s="391"/>
      <c r="S680" s="391"/>
      <c r="T680" s="391"/>
      <c r="U680" s="391"/>
      <c r="V680" s="391"/>
      <c r="W680" s="391"/>
      <c r="X680" s="391"/>
      <c r="Y680" s="391"/>
      <c r="Z680" s="391"/>
    </row>
    <row r="681">
      <c r="A681" s="391"/>
      <c r="B681" s="391"/>
      <c r="C681" s="391"/>
      <c r="D681" s="391"/>
      <c r="E681" s="391"/>
      <c r="F681" s="391"/>
      <c r="G681" s="391"/>
      <c r="H681" s="391"/>
      <c r="I681" s="391"/>
      <c r="J681" s="391"/>
      <c r="K681" s="391"/>
      <c r="L681" s="391"/>
      <c r="M681" s="391"/>
      <c r="N681" s="391"/>
      <c r="O681" s="391"/>
      <c r="P681" s="391"/>
      <c r="Q681" s="391"/>
      <c r="R681" s="391"/>
      <c r="S681" s="391"/>
      <c r="T681" s="391"/>
      <c r="U681" s="391"/>
      <c r="V681" s="391"/>
      <c r="W681" s="391"/>
      <c r="X681" s="391"/>
      <c r="Y681" s="391"/>
      <c r="Z681" s="391"/>
    </row>
    <row r="682">
      <c r="A682" s="391"/>
      <c r="B682" s="391"/>
      <c r="C682" s="391"/>
      <c r="D682" s="391"/>
      <c r="E682" s="391"/>
      <c r="F682" s="391"/>
      <c r="G682" s="391"/>
      <c r="H682" s="391"/>
      <c r="I682" s="391"/>
      <c r="J682" s="391"/>
      <c r="K682" s="391"/>
      <c r="L682" s="391"/>
      <c r="M682" s="391"/>
      <c r="N682" s="391"/>
      <c r="O682" s="391"/>
      <c r="P682" s="391"/>
      <c r="Q682" s="391"/>
      <c r="R682" s="391"/>
      <c r="S682" s="391"/>
      <c r="T682" s="391"/>
      <c r="U682" s="391"/>
      <c r="V682" s="391"/>
      <c r="W682" s="391"/>
      <c r="X682" s="391"/>
      <c r="Y682" s="391"/>
      <c r="Z682" s="391"/>
    </row>
    <row r="683">
      <c r="A683" s="391"/>
      <c r="B683" s="391"/>
      <c r="C683" s="391"/>
      <c r="D683" s="391"/>
      <c r="E683" s="391"/>
      <c r="F683" s="391"/>
      <c r="G683" s="391"/>
      <c r="H683" s="391"/>
      <c r="I683" s="391"/>
      <c r="J683" s="391"/>
      <c r="K683" s="391"/>
      <c r="L683" s="391"/>
      <c r="M683" s="391"/>
      <c r="N683" s="391"/>
      <c r="O683" s="391"/>
      <c r="P683" s="391"/>
      <c r="Q683" s="391"/>
      <c r="R683" s="391"/>
      <c r="S683" s="391"/>
      <c r="T683" s="391"/>
      <c r="U683" s="391"/>
      <c r="V683" s="391"/>
      <c r="W683" s="391"/>
      <c r="X683" s="391"/>
      <c r="Y683" s="391"/>
      <c r="Z683" s="391"/>
    </row>
    <row r="684">
      <c r="A684" s="391"/>
      <c r="B684" s="391"/>
      <c r="C684" s="391"/>
      <c r="D684" s="391"/>
      <c r="E684" s="391"/>
      <c r="F684" s="391"/>
      <c r="G684" s="391"/>
      <c r="H684" s="391"/>
      <c r="I684" s="391"/>
      <c r="J684" s="391"/>
      <c r="K684" s="391"/>
      <c r="L684" s="391"/>
      <c r="M684" s="391"/>
      <c r="N684" s="391"/>
      <c r="O684" s="391"/>
      <c r="P684" s="391"/>
      <c r="Q684" s="391"/>
      <c r="R684" s="391"/>
      <c r="S684" s="391"/>
      <c r="T684" s="391"/>
      <c r="U684" s="391"/>
      <c r="V684" s="391"/>
      <c r="W684" s="391"/>
      <c r="X684" s="391"/>
      <c r="Y684" s="391"/>
      <c r="Z684" s="391"/>
    </row>
    <row r="685">
      <c r="A685" s="391"/>
      <c r="B685" s="391"/>
      <c r="C685" s="391"/>
      <c r="D685" s="391"/>
      <c r="E685" s="391"/>
      <c r="F685" s="391"/>
      <c r="G685" s="391"/>
      <c r="H685" s="391"/>
      <c r="I685" s="391"/>
      <c r="J685" s="391"/>
      <c r="K685" s="391"/>
      <c r="L685" s="391"/>
      <c r="M685" s="391"/>
      <c r="N685" s="391"/>
      <c r="O685" s="391"/>
      <c r="P685" s="391"/>
      <c r="Q685" s="391"/>
      <c r="R685" s="391"/>
      <c r="S685" s="391"/>
      <c r="T685" s="391"/>
      <c r="U685" s="391"/>
      <c r="V685" s="391"/>
      <c r="W685" s="391"/>
      <c r="X685" s="391"/>
      <c r="Y685" s="391"/>
      <c r="Z685" s="391"/>
    </row>
    <row r="686">
      <c r="A686" s="391"/>
      <c r="B686" s="391"/>
      <c r="C686" s="391"/>
      <c r="D686" s="391"/>
      <c r="E686" s="391"/>
      <c r="F686" s="391"/>
      <c r="G686" s="391"/>
      <c r="H686" s="391"/>
      <c r="I686" s="391"/>
      <c r="J686" s="391"/>
      <c r="K686" s="391"/>
      <c r="L686" s="391"/>
      <c r="M686" s="391"/>
      <c r="N686" s="391"/>
      <c r="O686" s="391"/>
      <c r="P686" s="391"/>
      <c r="Q686" s="391"/>
      <c r="R686" s="391"/>
      <c r="S686" s="391"/>
      <c r="T686" s="391"/>
      <c r="U686" s="391"/>
      <c r="V686" s="391"/>
      <c r="W686" s="391"/>
      <c r="X686" s="391"/>
      <c r="Y686" s="391"/>
      <c r="Z686" s="391"/>
    </row>
    <row r="687">
      <c r="A687" s="391"/>
      <c r="B687" s="391"/>
      <c r="C687" s="391"/>
      <c r="D687" s="391"/>
      <c r="E687" s="391"/>
      <c r="F687" s="391"/>
      <c r="G687" s="391"/>
      <c r="H687" s="391"/>
      <c r="I687" s="391"/>
      <c r="J687" s="391"/>
      <c r="K687" s="391"/>
      <c r="L687" s="391"/>
      <c r="M687" s="391"/>
      <c r="N687" s="391"/>
      <c r="O687" s="391"/>
      <c r="P687" s="391"/>
      <c r="Q687" s="391"/>
      <c r="R687" s="391"/>
      <c r="S687" s="391"/>
      <c r="T687" s="391"/>
      <c r="U687" s="391"/>
      <c r="V687" s="391"/>
      <c r="W687" s="391"/>
      <c r="X687" s="391"/>
      <c r="Y687" s="391"/>
      <c r="Z687" s="391"/>
    </row>
    <row r="688">
      <c r="A688" s="391"/>
      <c r="B688" s="391"/>
      <c r="C688" s="391"/>
      <c r="D688" s="391"/>
      <c r="E688" s="391"/>
      <c r="F688" s="391"/>
      <c r="G688" s="391"/>
      <c r="H688" s="391"/>
      <c r="I688" s="391"/>
      <c r="J688" s="391"/>
      <c r="K688" s="391"/>
      <c r="L688" s="391"/>
      <c r="M688" s="391"/>
      <c r="N688" s="391"/>
      <c r="O688" s="391"/>
      <c r="P688" s="391"/>
      <c r="Q688" s="391"/>
      <c r="R688" s="391"/>
      <c r="S688" s="391"/>
      <c r="T688" s="391"/>
      <c r="U688" s="391"/>
      <c r="V688" s="391"/>
      <c r="W688" s="391"/>
      <c r="X688" s="391"/>
      <c r="Y688" s="391"/>
      <c r="Z688" s="391"/>
    </row>
    <row r="689">
      <c r="A689" s="391"/>
      <c r="B689" s="391"/>
      <c r="C689" s="391"/>
      <c r="D689" s="391"/>
      <c r="E689" s="391"/>
      <c r="F689" s="391"/>
      <c r="G689" s="391"/>
      <c r="H689" s="391"/>
      <c r="I689" s="391"/>
      <c r="J689" s="391"/>
      <c r="K689" s="391"/>
      <c r="L689" s="391"/>
      <c r="M689" s="391"/>
      <c r="N689" s="391"/>
      <c r="O689" s="391"/>
      <c r="P689" s="391"/>
      <c r="Q689" s="391"/>
      <c r="R689" s="391"/>
      <c r="S689" s="391"/>
      <c r="T689" s="391"/>
      <c r="U689" s="391"/>
      <c r="V689" s="391"/>
      <c r="W689" s="391"/>
      <c r="X689" s="391"/>
      <c r="Y689" s="391"/>
      <c r="Z689" s="391"/>
    </row>
    <row r="690">
      <c r="A690" s="391"/>
      <c r="B690" s="391"/>
      <c r="C690" s="391"/>
      <c r="D690" s="391"/>
      <c r="E690" s="391"/>
      <c r="F690" s="391"/>
      <c r="G690" s="391"/>
      <c r="H690" s="391"/>
      <c r="I690" s="391"/>
      <c r="J690" s="391"/>
      <c r="K690" s="391"/>
      <c r="L690" s="391"/>
      <c r="M690" s="391"/>
      <c r="N690" s="391"/>
      <c r="O690" s="391"/>
      <c r="P690" s="391"/>
      <c r="Q690" s="391"/>
      <c r="R690" s="391"/>
      <c r="S690" s="391"/>
      <c r="T690" s="391"/>
      <c r="U690" s="391"/>
      <c r="V690" s="391"/>
      <c r="W690" s="391"/>
      <c r="X690" s="391"/>
      <c r="Y690" s="391"/>
      <c r="Z690" s="391"/>
    </row>
    <row r="691">
      <c r="A691" s="391"/>
      <c r="B691" s="391"/>
      <c r="C691" s="391"/>
      <c r="D691" s="391"/>
      <c r="E691" s="391"/>
      <c r="F691" s="391"/>
      <c r="G691" s="391"/>
      <c r="H691" s="391"/>
      <c r="I691" s="391"/>
      <c r="J691" s="391"/>
      <c r="K691" s="391"/>
      <c r="L691" s="391"/>
      <c r="M691" s="391"/>
      <c r="N691" s="391"/>
      <c r="O691" s="391"/>
      <c r="P691" s="391"/>
      <c r="Q691" s="391"/>
      <c r="R691" s="391"/>
      <c r="S691" s="391"/>
      <c r="T691" s="391"/>
      <c r="U691" s="391"/>
      <c r="V691" s="391"/>
      <c r="W691" s="391"/>
      <c r="X691" s="391"/>
      <c r="Y691" s="391"/>
      <c r="Z691" s="391"/>
    </row>
    <row r="692">
      <c r="A692" s="391"/>
      <c r="B692" s="391"/>
      <c r="C692" s="391"/>
      <c r="D692" s="391"/>
      <c r="E692" s="391"/>
      <c r="F692" s="391"/>
      <c r="G692" s="391"/>
      <c r="H692" s="391"/>
      <c r="I692" s="391"/>
      <c r="J692" s="391"/>
      <c r="K692" s="391"/>
      <c r="L692" s="391"/>
      <c r="M692" s="391"/>
      <c r="N692" s="391"/>
      <c r="O692" s="391"/>
      <c r="P692" s="391"/>
      <c r="Q692" s="391"/>
      <c r="R692" s="391"/>
      <c r="S692" s="391"/>
      <c r="T692" s="391"/>
      <c r="U692" s="391"/>
      <c r="V692" s="391"/>
      <c r="W692" s="391"/>
      <c r="X692" s="391"/>
      <c r="Y692" s="391"/>
      <c r="Z692" s="391"/>
    </row>
    <row r="693">
      <c r="A693" s="391"/>
      <c r="B693" s="391"/>
      <c r="C693" s="391"/>
      <c r="D693" s="391"/>
      <c r="E693" s="391"/>
      <c r="F693" s="391"/>
      <c r="G693" s="391"/>
      <c r="H693" s="391"/>
      <c r="I693" s="391"/>
      <c r="J693" s="391"/>
      <c r="K693" s="391"/>
      <c r="L693" s="391"/>
      <c r="M693" s="391"/>
      <c r="N693" s="391"/>
      <c r="O693" s="391"/>
      <c r="P693" s="391"/>
      <c r="Q693" s="391"/>
      <c r="R693" s="391"/>
      <c r="S693" s="391"/>
      <c r="T693" s="391"/>
      <c r="U693" s="391"/>
      <c r="V693" s="391"/>
      <c r="W693" s="391"/>
      <c r="X693" s="391"/>
      <c r="Y693" s="391"/>
      <c r="Z693" s="391"/>
    </row>
    <row r="694">
      <c r="A694" s="391"/>
      <c r="B694" s="391"/>
      <c r="C694" s="391"/>
      <c r="D694" s="391"/>
      <c r="E694" s="391"/>
      <c r="F694" s="391"/>
      <c r="G694" s="391"/>
      <c r="H694" s="391"/>
      <c r="I694" s="391"/>
      <c r="J694" s="391"/>
      <c r="K694" s="391"/>
      <c r="L694" s="391"/>
      <c r="M694" s="391"/>
      <c r="N694" s="391"/>
      <c r="O694" s="391"/>
      <c r="P694" s="391"/>
      <c r="Q694" s="391"/>
      <c r="R694" s="391"/>
      <c r="S694" s="391"/>
      <c r="T694" s="391"/>
      <c r="U694" s="391"/>
      <c r="V694" s="391"/>
      <c r="W694" s="391"/>
      <c r="X694" s="391"/>
      <c r="Y694" s="391"/>
      <c r="Z694" s="391"/>
    </row>
    <row r="695">
      <c r="A695" s="391"/>
      <c r="B695" s="391"/>
      <c r="C695" s="391"/>
      <c r="D695" s="391"/>
      <c r="E695" s="391"/>
      <c r="F695" s="391"/>
      <c r="G695" s="391"/>
      <c r="H695" s="391"/>
      <c r="I695" s="391"/>
      <c r="J695" s="391"/>
      <c r="K695" s="391"/>
      <c r="L695" s="391"/>
      <c r="M695" s="391"/>
      <c r="N695" s="391"/>
      <c r="O695" s="391"/>
      <c r="P695" s="391"/>
      <c r="Q695" s="391"/>
      <c r="R695" s="391"/>
      <c r="S695" s="391"/>
      <c r="T695" s="391"/>
      <c r="U695" s="391"/>
      <c r="V695" s="391"/>
      <c r="W695" s="391"/>
      <c r="X695" s="391"/>
      <c r="Y695" s="391"/>
      <c r="Z695" s="391"/>
    </row>
    <row r="696">
      <c r="A696" s="391"/>
      <c r="B696" s="391"/>
      <c r="C696" s="391"/>
      <c r="D696" s="391"/>
      <c r="E696" s="391"/>
      <c r="F696" s="391"/>
      <c r="G696" s="391"/>
      <c r="H696" s="391"/>
      <c r="I696" s="391"/>
      <c r="J696" s="391"/>
      <c r="K696" s="391"/>
      <c r="L696" s="391"/>
      <c r="M696" s="391"/>
      <c r="N696" s="391"/>
      <c r="O696" s="391"/>
      <c r="P696" s="391"/>
      <c r="Q696" s="391"/>
      <c r="R696" s="391"/>
      <c r="S696" s="391"/>
      <c r="T696" s="391"/>
      <c r="U696" s="391"/>
      <c r="V696" s="391"/>
      <c r="W696" s="391"/>
      <c r="X696" s="391"/>
      <c r="Y696" s="391"/>
      <c r="Z696" s="391"/>
    </row>
    <row r="697">
      <c r="A697" s="391"/>
      <c r="B697" s="391"/>
      <c r="C697" s="391"/>
      <c r="D697" s="391"/>
      <c r="E697" s="391"/>
      <c r="F697" s="391"/>
      <c r="G697" s="391"/>
      <c r="H697" s="391"/>
      <c r="I697" s="391"/>
      <c r="J697" s="391"/>
      <c r="K697" s="391"/>
      <c r="L697" s="391"/>
      <c r="M697" s="391"/>
      <c r="N697" s="391"/>
      <c r="O697" s="391"/>
      <c r="P697" s="391"/>
      <c r="Q697" s="391"/>
      <c r="R697" s="391"/>
      <c r="S697" s="391"/>
      <c r="T697" s="391"/>
      <c r="U697" s="391"/>
      <c r="V697" s="391"/>
      <c r="W697" s="391"/>
      <c r="X697" s="391"/>
      <c r="Y697" s="391"/>
      <c r="Z697" s="391"/>
    </row>
    <row r="698">
      <c r="A698" s="391"/>
      <c r="B698" s="391"/>
      <c r="C698" s="391"/>
      <c r="D698" s="391"/>
      <c r="E698" s="391"/>
      <c r="F698" s="391"/>
      <c r="G698" s="391"/>
      <c r="H698" s="391"/>
      <c r="I698" s="391"/>
      <c r="J698" s="391"/>
      <c r="K698" s="391"/>
      <c r="L698" s="391"/>
      <c r="M698" s="391"/>
      <c r="N698" s="391"/>
      <c r="O698" s="391"/>
      <c r="P698" s="391"/>
      <c r="Q698" s="391"/>
      <c r="R698" s="391"/>
      <c r="S698" s="391"/>
      <c r="T698" s="391"/>
      <c r="U698" s="391"/>
      <c r="V698" s="391"/>
      <c r="W698" s="391"/>
      <c r="X698" s="391"/>
      <c r="Y698" s="391"/>
      <c r="Z698" s="391"/>
    </row>
    <row r="699">
      <c r="A699" s="391"/>
      <c r="B699" s="391"/>
      <c r="C699" s="391"/>
      <c r="D699" s="391"/>
      <c r="E699" s="391"/>
      <c r="F699" s="391"/>
      <c r="G699" s="391"/>
      <c r="H699" s="391"/>
      <c r="I699" s="391"/>
      <c r="J699" s="391"/>
      <c r="K699" s="391"/>
      <c r="L699" s="391"/>
      <c r="M699" s="391"/>
      <c r="N699" s="391"/>
      <c r="O699" s="391"/>
      <c r="P699" s="391"/>
      <c r="Q699" s="391"/>
      <c r="R699" s="391"/>
      <c r="S699" s="391"/>
      <c r="T699" s="391"/>
      <c r="U699" s="391"/>
      <c r="V699" s="391"/>
      <c r="W699" s="391"/>
      <c r="X699" s="391"/>
      <c r="Y699" s="391"/>
      <c r="Z699" s="391"/>
    </row>
    <row r="700">
      <c r="A700" s="391"/>
      <c r="B700" s="391"/>
      <c r="C700" s="391"/>
      <c r="D700" s="391"/>
      <c r="E700" s="391"/>
      <c r="F700" s="391"/>
      <c r="G700" s="391"/>
      <c r="H700" s="391"/>
      <c r="I700" s="391"/>
      <c r="J700" s="391"/>
      <c r="K700" s="391"/>
      <c r="L700" s="391"/>
      <c r="M700" s="391"/>
      <c r="N700" s="391"/>
      <c r="O700" s="391"/>
      <c r="P700" s="391"/>
      <c r="Q700" s="391"/>
      <c r="R700" s="391"/>
      <c r="S700" s="391"/>
      <c r="T700" s="391"/>
      <c r="U700" s="391"/>
      <c r="V700" s="391"/>
      <c r="W700" s="391"/>
      <c r="X700" s="391"/>
      <c r="Y700" s="391"/>
      <c r="Z700" s="391"/>
    </row>
    <row r="701">
      <c r="A701" s="391"/>
      <c r="B701" s="391"/>
      <c r="C701" s="391"/>
      <c r="D701" s="391"/>
      <c r="E701" s="391"/>
      <c r="F701" s="391"/>
      <c r="G701" s="391"/>
      <c r="H701" s="391"/>
      <c r="I701" s="391"/>
      <c r="J701" s="391"/>
      <c r="K701" s="391"/>
      <c r="L701" s="391"/>
      <c r="M701" s="391"/>
      <c r="N701" s="391"/>
      <c r="O701" s="391"/>
      <c r="P701" s="391"/>
      <c r="Q701" s="391"/>
      <c r="R701" s="391"/>
      <c r="S701" s="391"/>
      <c r="T701" s="391"/>
      <c r="U701" s="391"/>
      <c r="V701" s="391"/>
      <c r="W701" s="391"/>
      <c r="X701" s="391"/>
      <c r="Y701" s="391"/>
      <c r="Z701" s="391"/>
    </row>
    <row r="702">
      <c r="A702" s="391"/>
      <c r="B702" s="391"/>
      <c r="C702" s="391"/>
      <c r="D702" s="391"/>
      <c r="E702" s="391"/>
      <c r="F702" s="391"/>
      <c r="G702" s="391"/>
      <c r="H702" s="391"/>
      <c r="I702" s="391"/>
      <c r="J702" s="391"/>
      <c r="K702" s="391"/>
      <c r="L702" s="391"/>
      <c r="M702" s="391"/>
      <c r="N702" s="391"/>
      <c r="O702" s="391"/>
      <c r="P702" s="391"/>
      <c r="Q702" s="391"/>
      <c r="R702" s="391"/>
      <c r="S702" s="391"/>
      <c r="T702" s="391"/>
      <c r="U702" s="391"/>
      <c r="V702" s="391"/>
      <c r="W702" s="391"/>
      <c r="X702" s="391"/>
      <c r="Y702" s="391"/>
      <c r="Z702" s="391"/>
    </row>
    <row r="703">
      <c r="A703" s="391"/>
      <c r="B703" s="391"/>
      <c r="C703" s="391"/>
      <c r="D703" s="391"/>
      <c r="E703" s="391"/>
      <c r="F703" s="391"/>
      <c r="G703" s="391"/>
      <c r="H703" s="391"/>
      <c r="I703" s="391"/>
      <c r="J703" s="391"/>
      <c r="K703" s="391"/>
      <c r="L703" s="391"/>
      <c r="M703" s="391"/>
      <c r="N703" s="391"/>
      <c r="O703" s="391"/>
      <c r="P703" s="391"/>
      <c r="Q703" s="391"/>
      <c r="R703" s="391"/>
      <c r="S703" s="391"/>
      <c r="T703" s="391"/>
      <c r="U703" s="391"/>
      <c r="V703" s="391"/>
      <c r="W703" s="391"/>
      <c r="X703" s="391"/>
      <c r="Y703" s="391"/>
      <c r="Z703" s="391"/>
    </row>
    <row r="704">
      <c r="A704" s="391"/>
      <c r="B704" s="391"/>
      <c r="C704" s="391"/>
      <c r="D704" s="391"/>
      <c r="E704" s="391"/>
      <c r="F704" s="391"/>
      <c r="G704" s="391"/>
      <c r="H704" s="391"/>
      <c r="I704" s="391"/>
      <c r="J704" s="391"/>
      <c r="K704" s="391"/>
      <c r="L704" s="391"/>
      <c r="M704" s="391"/>
      <c r="N704" s="391"/>
      <c r="O704" s="391"/>
      <c r="P704" s="391"/>
      <c r="Q704" s="391"/>
      <c r="R704" s="391"/>
      <c r="S704" s="391"/>
      <c r="T704" s="391"/>
      <c r="U704" s="391"/>
      <c r="V704" s="391"/>
      <c r="W704" s="391"/>
      <c r="X704" s="391"/>
      <c r="Y704" s="391"/>
      <c r="Z704" s="391"/>
    </row>
    <row r="705">
      <c r="A705" s="391"/>
      <c r="B705" s="391"/>
      <c r="C705" s="391"/>
      <c r="D705" s="391"/>
      <c r="E705" s="391"/>
      <c r="F705" s="391"/>
      <c r="G705" s="391"/>
      <c r="H705" s="391"/>
      <c r="I705" s="391"/>
      <c r="J705" s="391"/>
      <c r="K705" s="391"/>
      <c r="L705" s="391"/>
      <c r="M705" s="391"/>
      <c r="N705" s="391"/>
      <c r="O705" s="391"/>
      <c r="P705" s="391"/>
      <c r="Q705" s="391"/>
      <c r="R705" s="391"/>
      <c r="S705" s="391"/>
      <c r="T705" s="391"/>
      <c r="U705" s="391"/>
      <c r="V705" s="391"/>
      <c r="W705" s="391"/>
      <c r="X705" s="391"/>
      <c r="Y705" s="391"/>
      <c r="Z705" s="391"/>
    </row>
    <row r="706">
      <c r="A706" s="391"/>
      <c r="B706" s="391"/>
      <c r="C706" s="391"/>
      <c r="D706" s="391"/>
      <c r="E706" s="391"/>
      <c r="F706" s="391"/>
      <c r="G706" s="391"/>
      <c r="H706" s="391"/>
      <c r="I706" s="391"/>
      <c r="J706" s="391"/>
      <c r="K706" s="391"/>
      <c r="L706" s="391"/>
      <c r="M706" s="391"/>
      <c r="N706" s="391"/>
      <c r="O706" s="391"/>
      <c r="P706" s="391"/>
      <c r="Q706" s="391"/>
      <c r="R706" s="391"/>
      <c r="S706" s="391"/>
      <c r="T706" s="391"/>
      <c r="U706" s="391"/>
      <c r="V706" s="391"/>
      <c r="W706" s="391"/>
      <c r="X706" s="391"/>
      <c r="Y706" s="391"/>
      <c r="Z706" s="391"/>
    </row>
    <row r="707">
      <c r="A707" s="391"/>
      <c r="B707" s="391"/>
      <c r="C707" s="391"/>
      <c r="D707" s="391"/>
      <c r="E707" s="391"/>
      <c r="F707" s="391"/>
      <c r="G707" s="391"/>
      <c r="H707" s="391"/>
      <c r="I707" s="391"/>
      <c r="J707" s="391"/>
      <c r="K707" s="391"/>
      <c r="L707" s="391"/>
      <c r="M707" s="391"/>
      <c r="N707" s="391"/>
      <c r="O707" s="391"/>
      <c r="P707" s="391"/>
      <c r="Q707" s="391"/>
      <c r="R707" s="391"/>
      <c r="S707" s="391"/>
      <c r="T707" s="391"/>
      <c r="U707" s="391"/>
      <c r="V707" s="391"/>
      <c r="W707" s="391"/>
      <c r="X707" s="391"/>
      <c r="Y707" s="391"/>
      <c r="Z707" s="391"/>
    </row>
    <row r="708">
      <c r="A708" s="391"/>
      <c r="B708" s="391"/>
      <c r="C708" s="391"/>
      <c r="D708" s="391"/>
      <c r="E708" s="391"/>
      <c r="F708" s="391"/>
      <c r="G708" s="391"/>
      <c r="H708" s="391"/>
      <c r="I708" s="391"/>
      <c r="J708" s="391"/>
      <c r="K708" s="391"/>
      <c r="L708" s="391"/>
      <c r="M708" s="391"/>
      <c r="N708" s="391"/>
      <c r="O708" s="391"/>
      <c r="P708" s="391"/>
      <c r="Q708" s="391"/>
      <c r="R708" s="391"/>
      <c r="S708" s="391"/>
      <c r="T708" s="391"/>
      <c r="U708" s="391"/>
      <c r="V708" s="391"/>
      <c r="W708" s="391"/>
      <c r="X708" s="391"/>
      <c r="Y708" s="391"/>
      <c r="Z708" s="391"/>
    </row>
    <row r="709">
      <c r="A709" s="391"/>
      <c r="B709" s="391"/>
      <c r="C709" s="391"/>
      <c r="D709" s="391"/>
      <c r="E709" s="391"/>
      <c r="F709" s="391"/>
      <c r="G709" s="391"/>
      <c r="H709" s="391"/>
      <c r="I709" s="391"/>
      <c r="J709" s="391"/>
      <c r="K709" s="391"/>
      <c r="L709" s="391"/>
      <c r="M709" s="391"/>
      <c r="N709" s="391"/>
      <c r="O709" s="391"/>
      <c r="P709" s="391"/>
      <c r="Q709" s="391"/>
      <c r="R709" s="391"/>
      <c r="S709" s="391"/>
      <c r="T709" s="391"/>
      <c r="U709" s="391"/>
      <c r="V709" s="391"/>
      <c r="W709" s="391"/>
      <c r="X709" s="391"/>
      <c r="Y709" s="391"/>
      <c r="Z709" s="391"/>
    </row>
    <row r="710">
      <c r="A710" s="391"/>
      <c r="B710" s="391"/>
      <c r="C710" s="391"/>
      <c r="D710" s="391"/>
      <c r="E710" s="391"/>
      <c r="F710" s="391"/>
      <c r="G710" s="391"/>
      <c r="H710" s="391"/>
      <c r="I710" s="391"/>
      <c r="J710" s="391"/>
      <c r="K710" s="391"/>
      <c r="L710" s="391"/>
      <c r="M710" s="391"/>
      <c r="N710" s="391"/>
      <c r="O710" s="391"/>
      <c r="P710" s="391"/>
      <c r="Q710" s="391"/>
      <c r="R710" s="391"/>
      <c r="S710" s="391"/>
      <c r="T710" s="391"/>
      <c r="U710" s="391"/>
      <c r="V710" s="391"/>
      <c r="W710" s="391"/>
      <c r="X710" s="391"/>
      <c r="Y710" s="391"/>
      <c r="Z710" s="391"/>
    </row>
    <row r="711">
      <c r="A711" s="391"/>
      <c r="B711" s="391"/>
      <c r="C711" s="391"/>
      <c r="D711" s="391"/>
      <c r="E711" s="391"/>
      <c r="F711" s="391"/>
      <c r="G711" s="391"/>
      <c r="H711" s="391"/>
      <c r="I711" s="391"/>
      <c r="J711" s="391"/>
      <c r="K711" s="391"/>
      <c r="L711" s="391"/>
      <c r="M711" s="391"/>
      <c r="N711" s="391"/>
      <c r="O711" s="391"/>
      <c r="P711" s="391"/>
      <c r="Q711" s="391"/>
      <c r="R711" s="391"/>
      <c r="S711" s="391"/>
      <c r="T711" s="391"/>
      <c r="U711" s="391"/>
      <c r="V711" s="391"/>
      <c r="W711" s="391"/>
      <c r="X711" s="391"/>
      <c r="Y711" s="391"/>
      <c r="Z711" s="391"/>
    </row>
    <row r="712">
      <c r="A712" s="391"/>
      <c r="B712" s="391"/>
      <c r="C712" s="391"/>
      <c r="D712" s="391"/>
      <c r="E712" s="391"/>
      <c r="F712" s="391"/>
      <c r="G712" s="391"/>
      <c r="H712" s="391"/>
      <c r="I712" s="391"/>
      <c r="J712" s="391"/>
      <c r="K712" s="391"/>
      <c r="L712" s="391"/>
      <c r="M712" s="391"/>
      <c r="N712" s="391"/>
      <c r="O712" s="391"/>
      <c r="P712" s="391"/>
      <c r="Q712" s="391"/>
      <c r="R712" s="391"/>
      <c r="S712" s="391"/>
      <c r="T712" s="391"/>
      <c r="U712" s="391"/>
      <c r="V712" s="391"/>
      <c r="W712" s="391"/>
      <c r="X712" s="391"/>
      <c r="Y712" s="391"/>
      <c r="Z712" s="391"/>
    </row>
    <row r="713">
      <c r="A713" s="391"/>
      <c r="B713" s="391"/>
      <c r="C713" s="391"/>
      <c r="D713" s="391"/>
      <c r="E713" s="391"/>
      <c r="F713" s="391"/>
      <c r="G713" s="391"/>
      <c r="H713" s="391"/>
      <c r="I713" s="391"/>
      <c r="J713" s="391"/>
      <c r="K713" s="391"/>
      <c r="L713" s="391"/>
      <c r="M713" s="391"/>
      <c r="N713" s="391"/>
      <c r="O713" s="391"/>
      <c r="P713" s="391"/>
      <c r="Q713" s="391"/>
      <c r="R713" s="391"/>
      <c r="S713" s="391"/>
      <c r="T713" s="391"/>
      <c r="U713" s="391"/>
      <c r="V713" s="391"/>
      <c r="W713" s="391"/>
      <c r="X713" s="391"/>
      <c r="Y713" s="391"/>
      <c r="Z713" s="391"/>
    </row>
    <row r="714">
      <c r="A714" s="391"/>
      <c r="B714" s="391"/>
      <c r="C714" s="391"/>
      <c r="D714" s="391"/>
      <c r="E714" s="391"/>
      <c r="F714" s="391"/>
      <c r="G714" s="391"/>
      <c r="H714" s="391"/>
      <c r="I714" s="391"/>
      <c r="J714" s="391"/>
      <c r="K714" s="391"/>
      <c r="L714" s="391"/>
      <c r="M714" s="391"/>
      <c r="N714" s="391"/>
      <c r="O714" s="391"/>
      <c r="P714" s="391"/>
      <c r="Q714" s="391"/>
      <c r="R714" s="391"/>
      <c r="S714" s="391"/>
      <c r="T714" s="391"/>
      <c r="U714" s="391"/>
      <c r="V714" s="391"/>
      <c r="W714" s="391"/>
      <c r="X714" s="391"/>
      <c r="Y714" s="391"/>
      <c r="Z714" s="391"/>
    </row>
    <row r="715">
      <c r="A715" s="391"/>
      <c r="B715" s="391"/>
      <c r="C715" s="391"/>
      <c r="D715" s="391"/>
      <c r="E715" s="391"/>
      <c r="F715" s="391"/>
      <c r="G715" s="391"/>
      <c r="H715" s="391"/>
      <c r="I715" s="391"/>
      <c r="J715" s="391"/>
      <c r="K715" s="391"/>
      <c r="L715" s="391"/>
      <c r="M715" s="391"/>
      <c r="N715" s="391"/>
      <c r="O715" s="391"/>
      <c r="P715" s="391"/>
      <c r="Q715" s="391"/>
      <c r="R715" s="391"/>
      <c r="S715" s="391"/>
      <c r="T715" s="391"/>
      <c r="U715" s="391"/>
      <c r="V715" s="391"/>
      <c r="W715" s="391"/>
      <c r="X715" s="391"/>
      <c r="Y715" s="391"/>
      <c r="Z715" s="391"/>
    </row>
    <row r="716">
      <c r="A716" s="391"/>
      <c r="B716" s="391"/>
      <c r="C716" s="391"/>
      <c r="D716" s="391"/>
      <c r="E716" s="391"/>
      <c r="F716" s="391"/>
      <c r="G716" s="391"/>
      <c r="H716" s="391"/>
      <c r="I716" s="391"/>
      <c r="J716" s="391"/>
      <c r="K716" s="391"/>
      <c r="L716" s="391"/>
      <c r="M716" s="391"/>
      <c r="N716" s="391"/>
      <c r="O716" s="391"/>
      <c r="P716" s="391"/>
      <c r="Q716" s="391"/>
      <c r="R716" s="391"/>
      <c r="S716" s="391"/>
      <c r="T716" s="391"/>
      <c r="U716" s="391"/>
      <c r="V716" s="391"/>
      <c r="W716" s="391"/>
      <c r="X716" s="391"/>
      <c r="Y716" s="391"/>
      <c r="Z716" s="391"/>
    </row>
    <row r="717">
      <c r="A717" s="391"/>
      <c r="B717" s="391"/>
      <c r="C717" s="391"/>
      <c r="D717" s="391"/>
      <c r="E717" s="391"/>
      <c r="F717" s="391"/>
      <c r="G717" s="391"/>
      <c r="H717" s="391"/>
      <c r="I717" s="391"/>
      <c r="J717" s="391"/>
      <c r="K717" s="391"/>
      <c r="L717" s="391"/>
      <c r="M717" s="391"/>
      <c r="N717" s="391"/>
      <c r="O717" s="391"/>
      <c r="P717" s="391"/>
      <c r="Q717" s="391"/>
      <c r="R717" s="391"/>
      <c r="S717" s="391"/>
      <c r="T717" s="391"/>
      <c r="U717" s="391"/>
      <c r="V717" s="391"/>
      <c r="W717" s="391"/>
      <c r="X717" s="391"/>
      <c r="Y717" s="391"/>
      <c r="Z717" s="391"/>
    </row>
    <row r="718">
      <c r="A718" s="391"/>
      <c r="B718" s="391"/>
      <c r="C718" s="391"/>
      <c r="D718" s="391"/>
      <c r="E718" s="391"/>
      <c r="F718" s="391"/>
      <c r="G718" s="391"/>
      <c r="H718" s="391"/>
      <c r="I718" s="391"/>
      <c r="J718" s="391"/>
      <c r="K718" s="391"/>
      <c r="L718" s="391"/>
      <c r="M718" s="391"/>
      <c r="N718" s="391"/>
      <c r="O718" s="391"/>
      <c r="P718" s="391"/>
      <c r="Q718" s="391"/>
      <c r="R718" s="391"/>
      <c r="S718" s="391"/>
      <c r="T718" s="391"/>
      <c r="U718" s="391"/>
      <c r="V718" s="391"/>
      <c r="W718" s="391"/>
      <c r="X718" s="391"/>
      <c r="Y718" s="391"/>
      <c r="Z718" s="391"/>
    </row>
    <row r="719">
      <c r="A719" s="391"/>
      <c r="B719" s="391"/>
      <c r="C719" s="391"/>
      <c r="D719" s="391"/>
      <c r="E719" s="391"/>
      <c r="F719" s="391"/>
      <c r="G719" s="391"/>
      <c r="H719" s="391"/>
      <c r="I719" s="391"/>
      <c r="J719" s="391"/>
      <c r="K719" s="391"/>
      <c r="L719" s="391"/>
      <c r="M719" s="391"/>
      <c r="N719" s="391"/>
      <c r="O719" s="391"/>
      <c r="P719" s="391"/>
      <c r="Q719" s="391"/>
      <c r="R719" s="391"/>
      <c r="S719" s="391"/>
      <c r="T719" s="391"/>
      <c r="U719" s="391"/>
      <c r="V719" s="391"/>
      <c r="W719" s="391"/>
      <c r="X719" s="391"/>
      <c r="Y719" s="391"/>
      <c r="Z719" s="391"/>
    </row>
    <row r="720">
      <c r="A720" s="391"/>
      <c r="B720" s="391"/>
      <c r="C720" s="391"/>
      <c r="D720" s="391"/>
      <c r="E720" s="391"/>
      <c r="F720" s="391"/>
      <c r="G720" s="391"/>
      <c r="H720" s="391"/>
      <c r="I720" s="391"/>
      <c r="J720" s="391"/>
      <c r="K720" s="391"/>
      <c r="L720" s="391"/>
      <c r="M720" s="391"/>
      <c r="N720" s="391"/>
      <c r="O720" s="391"/>
      <c r="P720" s="391"/>
      <c r="Q720" s="391"/>
      <c r="R720" s="391"/>
      <c r="S720" s="391"/>
      <c r="T720" s="391"/>
      <c r="U720" s="391"/>
      <c r="V720" s="391"/>
      <c r="W720" s="391"/>
      <c r="X720" s="391"/>
      <c r="Y720" s="391"/>
      <c r="Z720" s="391"/>
    </row>
    <row r="721">
      <c r="A721" s="391"/>
      <c r="B721" s="391"/>
      <c r="C721" s="391"/>
      <c r="D721" s="391"/>
      <c r="E721" s="391"/>
      <c r="F721" s="391"/>
      <c r="G721" s="391"/>
      <c r="H721" s="391"/>
      <c r="I721" s="391"/>
      <c r="J721" s="391"/>
      <c r="K721" s="391"/>
      <c r="L721" s="391"/>
      <c r="M721" s="391"/>
      <c r="N721" s="391"/>
      <c r="O721" s="391"/>
      <c r="P721" s="391"/>
      <c r="Q721" s="391"/>
      <c r="R721" s="391"/>
      <c r="S721" s="391"/>
      <c r="T721" s="391"/>
      <c r="U721" s="391"/>
      <c r="V721" s="391"/>
      <c r="W721" s="391"/>
      <c r="X721" s="391"/>
      <c r="Y721" s="391"/>
      <c r="Z721" s="391"/>
    </row>
    <row r="722">
      <c r="A722" s="391"/>
      <c r="B722" s="391"/>
      <c r="C722" s="391"/>
      <c r="D722" s="391"/>
      <c r="E722" s="391"/>
      <c r="F722" s="391"/>
      <c r="G722" s="391"/>
      <c r="H722" s="391"/>
      <c r="I722" s="391"/>
      <c r="J722" s="391"/>
      <c r="K722" s="391"/>
      <c r="L722" s="391"/>
      <c r="M722" s="391"/>
      <c r="N722" s="391"/>
      <c r="O722" s="391"/>
      <c r="P722" s="391"/>
      <c r="Q722" s="391"/>
      <c r="R722" s="391"/>
      <c r="S722" s="391"/>
      <c r="T722" s="391"/>
      <c r="U722" s="391"/>
      <c r="V722" s="391"/>
      <c r="W722" s="391"/>
      <c r="X722" s="391"/>
      <c r="Y722" s="391"/>
      <c r="Z722" s="391"/>
    </row>
    <row r="723">
      <c r="A723" s="391"/>
      <c r="B723" s="391"/>
      <c r="C723" s="391"/>
      <c r="D723" s="391"/>
      <c r="E723" s="391"/>
      <c r="F723" s="391"/>
      <c r="G723" s="391"/>
      <c r="H723" s="391"/>
      <c r="I723" s="391"/>
      <c r="J723" s="391"/>
      <c r="K723" s="391"/>
      <c r="L723" s="391"/>
      <c r="M723" s="391"/>
      <c r="N723" s="391"/>
      <c r="O723" s="391"/>
      <c r="P723" s="391"/>
      <c r="Q723" s="391"/>
      <c r="R723" s="391"/>
      <c r="S723" s="391"/>
      <c r="T723" s="391"/>
      <c r="U723" s="391"/>
      <c r="V723" s="391"/>
      <c r="W723" s="391"/>
      <c r="X723" s="391"/>
      <c r="Y723" s="391"/>
      <c r="Z723" s="391"/>
    </row>
    <row r="724">
      <c r="A724" s="391"/>
      <c r="B724" s="391"/>
      <c r="C724" s="391"/>
      <c r="D724" s="391"/>
      <c r="E724" s="391"/>
      <c r="F724" s="391"/>
      <c r="G724" s="391"/>
      <c r="H724" s="391"/>
      <c r="I724" s="391"/>
      <c r="J724" s="391"/>
      <c r="K724" s="391"/>
      <c r="L724" s="391"/>
      <c r="M724" s="391"/>
      <c r="N724" s="391"/>
      <c r="O724" s="391"/>
      <c r="P724" s="391"/>
      <c r="Q724" s="391"/>
      <c r="R724" s="391"/>
      <c r="S724" s="391"/>
      <c r="T724" s="391"/>
      <c r="U724" s="391"/>
      <c r="V724" s="391"/>
      <c r="W724" s="391"/>
      <c r="X724" s="391"/>
      <c r="Y724" s="391"/>
      <c r="Z724" s="391"/>
    </row>
    <row r="725">
      <c r="A725" s="391"/>
      <c r="B725" s="391"/>
      <c r="C725" s="391"/>
      <c r="D725" s="391"/>
      <c r="E725" s="391"/>
      <c r="F725" s="391"/>
      <c r="G725" s="391"/>
      <c r="H725" s="391"/>
      <c r="I725" s="391"/>
      <c r="J725" s="391"/>
      <c r="K725" s="391"/>
      <c r="L725" s="391"/>
      <c r="M725" s="391"/>
      <c r="N725" s="391"/>
      <c r="O725" s="391"/>
      <c r="P725" s="391"/>
      <c r="Q725" s="391"/>
      <c r="R725" s="391"/>
      <c r="S725" s="391"/>
      <c r="T725" s="391"/>
      <c r="U725" s="391"/>
      <c r="V725" s="391"/>
      <c r="W725" s="391"/>
      <c r="X725" s="391"/>
      <c r="Y725" s="391"/>
      <c r="Z725" s="391"/>
    </row>
    <row r="726">
      <c r="A726" s="391"/>
      <c r="B726" s="391"/>
      <c r="C726" s="391"/>
      <c r="D726" s="391"/>
      <c r="E726" s="391"/>
      <c r="F726" s="391"/>
      <c r="G726" s="391"/>
      <c r="H726" s="391"/>
      <c r="I726" s="391"/>
      <c r="J726" s="391"/>
      <c r="K726" s="391"/>
      <c r="L726" s="391"/>
      <c r="M726" s="391"/>
      <c r="N726" s="391"/>
      <c r="O726" s="391"/>
      <c r="P726" s="391"/>
      <c r="Q726" s="391"/>
      <c r="R726" s="391"/>
      <c r="S726" s="391"/>
      <c r="T726" s="391"/>
      <c r="U726" s="391"/>
      <c r="V726" s="391"/>
      <c r="W726" s="391"/>
      <c r="X726" s="391"/>
      <c r="Y726" s="391"/>
      <c r="Z726" s="391"/>
    </row>
    <row r="727">
      <c r="A727" s="391"/>
      <c r="B727" s="391"/>
      <c r="C727" s="391"/>
      <c r="D727" s="391"/>
      <c r="E727" s="391"/>
      <c r="F727" s="391"/>
      <c r="G727" s="391"/>
      <c r="H727" s="391"/>
      <c r="I727" s="391"/>
      <c r="J727" s="391"/>
      <c r="K727" s="391"/>
      <c r="L727" s="391"/>
      <c r="M727" s="391"/>
      <c r="N727" s="391"/>
      <c r="O727" s="391"/>
      <c r="P727" s="391"/>
      <c r="Q727" s="391"/>
      <c r="R727" s="391"/>
      <c r="S727" s="391"/>
      <c r="T727" s="391"/>
      <c r="U727" s="391"/>
      <c r="V727" s="391"/>
      <c r="W727" s="391"/>
      <c r="X727" s="391"/>
      <c r="Y727" s="391"/>
      <c r="Z727" s="391"/>
    </row>
    <row r="728">
      <c r="A728" s="391"/>
      <c r="B728" s="391"/>
      <c r="C728" s="391"/>
      <c r="D728" s="391"/>
      <c r="E728" s="391"/>
      <c r="F728" s="391"/>
      <c r="G728" s="391"/>
      <c r="H728" s="391"/>
      <c r="I728" s="391"/>
      <c r="J728" s="391"/>
      <c r="K728" s="391"/>
      <c r="L728" s="391"/>
      <c r="M728" s="391"/>
      <c r="N728" s="391"/>
      <c r="O728" s="391"/>
      <c r="P728" s="391"/>
      <c r="Q728" s="391"/>
      <c r="R728" s="391"/>
      <c r="S728" s="391"/>
      <c r="T728" s="391"/>
      <c r="U728" s="391"/>
      <c r="V728" s="391"/>
      <c r="W728" s="391"/>
      <c r="X728" s="391"/>
      <c r="Y728" s="391"/>
      <c r="Z728" s="391"/>
    </row>
    <row r="729">
      <c r="A729" s="391"/>
      <c r="B729" s="391"/>
      <c r="C729" s="391"/>
      <c r="D729" s="391"/>
      <c r="E729" s="391"/>
      <c r="F729" s="391"/>
      <c r="G729" s="391"/>
      <c r="H729" s="391"/>
      <c r="I729" s="391"/>
      <c r="J729" s="391"/>
      <c r="K729" s="391"/>
      <c r="L729" s="391"/>
      <c r="M729" s="391"/>
      <c r="N729" s="391"/>
      <c r="O729" s="391"/>
      <c r="P729" s="391"/>
      <c r="Q729" s="391"/>
      <c r="R729" s="391"/>
      <c r="S729" s="391"/>
      <c r="T729" s="391"/>
      <c r="U729" s="391"/>
      <c r="V729" s="391"/>
      <c r="W729" s="391"/>
      <c r="X729" s="391"/>
      <c r="Y729" s="391"/>
      <c r="Z729" s="391"/>
    </row>
    <row r="730">
      <c r="A730" s="391"/>
      <c r="B730" s="391"/>
      <c r="C730" s="391"/>
      <c r="D730" s="391"/>
      <c r="E730" s="391"/>
      <c r="F730" s="391"/>
      <c r="G730" s="391"/>
      <c r="H730" s="391"/>
      <c r="I730" s="391"/>
      <c r="J730" s="391"/>
      <c r="K730" s="391"/>
      <c r="L730" s="391"/>
      <c r="M730" s="391"/>
      <c r="N730" s="391"/>
      <c r="O730" s="391"/>
      <c r="P730" s="391"/>
      <c r="Q730" s="391"/>
      <c r="R730" s="391"/>
      <c r="S730" s="391"/>
      <c r="T730" s="391"/>
      <c r="U730" s="391"/>
      <c r="V730" s="391"/>
      <c r="W730" s="391"/>
      <c r="X730" s="391"/>
      <c r="Y730" s="391"/>
      <c r="Z730" s="391"/>
    </row>
    <row r="731">
      <c r="A731" s="391"/>
      <c r="B731" s="391"/>
      <c r="C731" s="391"/>
      <c r="D731" s="391"/>
      <c r="E731" s="391"/>
      <c r="F731" s="391"/>
      <c r="G731" s="391"/>
      <c r="H731" s="391"/>
      <c r="I731" s="391"/>
      <c r="J731" s="391"/>
      <c r="K731" s="391"/>
      <c r="L731" s="391"/>
      <c r="M731" s="391"/>
      <c r="N731" s="391"/>
      <c r="O731" s="391"/>
      <c r="P731" s="391"/>
      <c r="Q731" s="391"/>
      <c r="R731" s="391"/>
      <c r="S731" s="391"/>
      <c r="T731" s="391"/>
      <c r="U731" s="391"/>
      <c r="V731" s="391"/>
      <c r="W731" s="391"/>
      <c r="X731" s="391"/>
      <c r="Y731" s="391"/>
      <c r="Z731" s="391"/>
    </row>
    <row r="732">
      <c r="A732" s="391"/>
      <c r="B732" s="391"/>
      <c r="C732" s="391"/>
      <c r="D732" s="391"/>
      <c r="E732" s="391"/>
      <c r="F732" s="391"/>
      <c r="G732" s="391"/>
      <c r="H732" s="391"/>
      <c r="I732" s="391"/>
      <c r="J732" s="391"/>
      <c r="K732" s="391"/>
      <c r="L732" s="391"/>
      <c r="M732" s="391"/>
      <c r="N732" s="391"/>
      <c r="O732" s="391"/>
      <c r="P732" s="391"/>
      <c r="Q732" s="391"/>
      <c r="R732" s="391"/>
      <c r="S732" s="391"/>
      <c r="T732" s="391"/>
      <c r="U732" s="391"/>
      <c r="V732" s="391"/>
      <c r="W732" s="391"/>
      <c r="X732" s="391"/>
      <c r="Y732" s="391"/>
      <c r="Z732" s="391"/>
    </row>
    <row r="733">
      <c r="A733" s="391"/>
      <c r="B733" s="391"/>
      <c r="C733" s="391"/>
      <c r="D733" s="391"/>
      <c r="E733" s="391"/>
      <c r="F733" s="391"/>
      <c r="G733" s="391"/>
      <c r="H733" s="391"/>
      <c r="I733" s="391"/>
      <c r="J733" s="391"/>
      <c r="K733" s="391"/>
      <c r="L733" s="391"/>
      <c r="M733" s="391"/>
      <c r="N733" s="391"/>
      <c r="O733" s="391"/>
      <c r="P733" s="391"/>
      <c r="Q733" s="391"/>
      <c r="R733" s="391"/>
      <c r="S733" s="391"/>
      <c r="T733" s="391"/>
      <c r="U733" s="391"/>
      <c r="V733" s="391"/>
      <c r="W733" s="391"/>
      <c r="X733" s="391"/>
      <c r="Y733" s="391"/>
      <c r="Z733" s="391"/>
    </row>
    <row r="734">
      <c r="A734" s="391"/>
      <c r="B734" s="391"/>
      <c r="C734" s="391"/>
      <c r="D734" s="391"/>
      <c r="E734" s="391"/>
      <c r="F734" s="391"/>
      <c r="G734" s="391"/>
      <c r="H734" s="391"/>
      <c r="I734" s="391"/>
      <c r="J734" s="391"/>
      <c r="K734" s="391"/>
      <c r="L734" s="391"/>
      <c r="M734" s="391"/>
      <c r="N734" s="391"/>
      <c r="O734" s="391"/>
      <c r="P734" s="391"/>
      <c r="Q734" s="391"/>
      <c r="R734" s="391"/>
      <c r="S734" s="391"/>
      <c r="T734" s="391"/>
      <c r="U734" s="391"/>
      <c r="V734" s="391"/>
      <c r="W734" s="391"/>
      <c r="X734" s="391"/>
      <c r="Y734" s="391"/>
      <c r="Z734" s="391"/>
    </row>
    <row r="735">
      <c r="A735" s="391"/>
      <c r="B735" s="391"/>
      <c r="C735" s="391"/>
      <c r="D735" s="391"/>
      <c r="E735" s="391"/>
      <c r="F735" s="391"/>
      <c r="G735" s="391"/>
      <c r="H735" s="391"/>
      <c r="I735" s="391"/>
      <c r="J735" s="391"/>
      <c r="K735" s="391"/>
      <c r="L735" s="391"/>
      <c r="M735" s="391"/>
      <c r="N735" s="391"/>
      <c r="O735" s="391"/>
      <c r="P735" s="391"/>
      <c r="Q735" s="391"/>
      <c r="R735" s="391"/>
      <c r="S735" s="391"/>
      <c r="T735" s="391"/>
      <c r="U735" s="391"/>
      <c r="V735" s="391"/>
      <c r="W735" s="391"/>
      <c r="X735" s="391"/>
      <c r="Y735" s="391"/>
      <c r="Z735" s="391"/>
    </row>
    <row r="736">
      <c r="A736" s="391"/>
      <c r="B736" s="391"/>
      <c r="C736" s="391"/>
      <c r="D736" s="391"/>
      <c r="E736" s="391"/>
      <c r="F736" s="391"/>
      <c r="G736" s="391"/>
      <c r="H736" s="391"/>
      <c r="I736" s="391"/>
      <c r="J736" s="391"/>
      <c r="K736" s="391"/>
      <c r="L736" s="391"/>
      <c r="M736" s="391"/>
      <c r="N736" s="391"/>
      <c r="O736" s="391"/>
      <c r="P736" s="391"/>
      <c r="Q736" s="391"/>
      <c r="R736" s="391"/>
      <c r="S736" s="391"/>
      <c r="T736" s="391"/>
      <c r="U736" s="391"/>
      <c r="V736" s="391"/>
      <c r="W736" s="391"/>
      <c r="X736" s="391"/>
      <c r="Y736" s="391"/>
      <c r="Z736" s="391"/>
    </row>
    <row r="737">
      <c r="A737" s="391"/>
      <c r="B737" s="391"/>
      <c r="C737" s="391"/>
      <c r="D737" s="391"/>
      <c r="E737" s="391"/>
      <c r="F737" s="391"/>
      <c r="G737" s="391"/>
      <c r="H737" s="391"/>
      <c r="I737" s="391"/>
      <c r="J737" s="391"/>
      <c r="K737" s="391"/>
      <c r="L737" s="391"/>
      <c r="M737" s="391"/>
      <c r="N737" s="391"/>
      <c r="O737" s="391"/>
      <c r="P737" s="391"/>
      <c r="Q737" s="391"/>
      <c r="R737" s="391"/>
      <c r="S737" s="391"/>
      <c r="T737" s="391"/>
      <c r="U737" s="391"/>
      <c r="V737" s="391"/>
      <c r="W737" s="391"/>
      <c r="X737" s="391"/>
      <c r="Y737" s="391"/>
      <c r="Z737" s="391"/>
    </row>
    <row r="738">
      <c r="A738" s="391"/>
      <c r="B738" s="391"/>
      <c r="C738" s="391"/>
      <c r="D738" s="391"/>
      <c r="E738" s="391"/>
      <c r="F738" s="391"/>
      <c r="G738" s="391"/>
      <c r="H738" s="391"/>
      <c r="I738" s="391"/>
      <c r="J738" s="391"/>
      <c r="K738" s="391"/>
      <c r="L738" s="391"/>
      <c r="M738" s="391"/>
      <c r="N738" s="391"/>
      <c r="O738" s="391"/>
      <c r="P738" s="391"/>
      <c r="Q738" s="391"/>
      <c r="R738" s="391"/>
      <c r="S738" s="391"/>
      <c r="T738" s="391"/>
      <c r="U738" s="391"/>
      <c r="V738" s="391"/>
      <c r="W738" s="391"/>
      <c r="X738" s="391"/>
      <c r="Y738" s="391"/>
      <c r="Z738" s="391"/>
    </row>
    <row r="739">
      <c r="A739" s="391"/>
      <c r="B739" s="391"/>
      <c r="C739" s="391"/>
      <c r="D739" s="391"/>
      <c r="E739" s="391"/>
      <c r="F739" s="391"/>
      <c r="G739" s="391"/>
      <c r="H739" s="391"/>
      <c r="I739" s="391"/>
      <c r="J739" s="391"/>
      <c r="K739" s="391"/>
      <c r="L739" s="391"/>
      <c r="M739" s="391"/>
      <c r="N739" s="391"/>
      <c r="O739" s="391"/>
      <c r="P739" s="391"/>
      <c r="Q739" s="391"/>
      <c r="R739" s="391"/>
      <c r="S739" s="391"/>
      <c r="T739" s="391"/>
      <c r="U739" s="391"/>
      <c r="V739" s="391"/>
      <c r="W739" s="391"/>
      <c r="X739" s="391"/>
      <c r="Y739" s="391"/>
      <c r="Z739" s="391"/>
    </row>
    <row r="740">
      <c r="A740" s="391"/>
      <c r="B740" s="391"/>
      <c r="C740" s="391"/>
      <c r="D740" s="391"/>
      <c r="E740" s="391"/>
      <c r="F740" s="391"/>
      <c r="G740" s="391"/>
      <c r="H740" s="391"/>
      <c r="I740" s="391"/>
      <c r="J740" s="391"/>
      <c r="K740" s="391"/>
      <c r="L740" s="391"/>
      <c r="M740" s="391"/>
      <c r="N740" s="391"/>
      <c r="O740" s="391"/>
      <c r="P740" s="391"/>
      <c r="Q740" s="391"/>
      <c r="R740" s="391"/>
      <c r="S740" s="391"/>
      <c r="T740" s="391"/>
      <c r="U740" s="391"/>
      <c r="V740" s="391"/>
      <c r="W740" s="391"/>
      <c r="X740" s="391"/>
      <c r="Y740" s="391"/>
      <c r="Z740" s="391"/>
    </row>
    <row r="741">
      <c r="A741" s="391"/>
      <c r="B741" s="391"/>
      <c r="C741" s="391"/>
      <c r="D741" s="391"/>
      <c r="E741" s="391"/>
      <c r="F741" s="391"/>
      <c r="G741" s="391"/>
      <c r="H741" s="391"/>
      <c r="I741" s="391"/>
      <c r="J741" s="391"/>
      <c r="K741" s="391"/>
      <c r="L741" s="391"/>
      <c r="M741" s="391"/>
      <c r="N741" s="391"/>
      <c r="O741" s="391"/>
      <c r="P741" s="391"/>
      <c r="Q741" s="391"/>
      <c r="R741" s="391"/>
      <c r="S741" s="391"/>
      <c r="T741" s="391"/>
      <c r="U741" s="391"/>
      <c r="V741" s="391"/>
      <c r="W741" s="391"/>
      <c r="X741" s="391"/>
      <c r="Y741" s="391"/>
      <c r="Z741" s="391"/>
    </row>
    <row r="742">
      <c r="A742" s="391"/>
      <c r="B742" s="391"/>
      <c r="C742" s="391"/>
      <c r="D742" s="391"/>
      <c r="E742" s="391"/>
      <c r="F742" s="391"/>
      <c r="G742" s="391"/>
      <c r="H742" s="391"/>
      <c r="I742" s="391"/>
      <c r="J742" s="391"/>
      <c r="K742" s="391"/>
      <c r="L742" s="391"/>
      <c r="M742" s="391"/>
      <c r="N742" s="391"/>
      <c r="O742" s="391"/>
      <c r="P742" s="391"/>
      <c r="Q742" s="391"/>
      <c r="R742" s="391"/>
      <c r="S742" s="391"/>
      <c r="T742" s="391"/>
      <c r="U742" s="391"/>
      <c r="V742" s="391"/>
      <c r="W742" s="391"/>
      <c r="X742" s="391"/>
      <c r="Y742" s="391"/>
      <c r="Z742" s="391"/>
    </row>
    <row r="743">
      <c r="A743" s="391"/>
      <c r="B743" s="391"/>
      <c r="C743" s="391"/>
      <c r="D743" s="391"/>
      <c r="E743" s="391"/>
      <c r="F743" s="391"/>
      <c r="G743" s="391"/>
      <c r="H743" s="391"/>
      <c r="I743" s="391"/>
      <c r="J743" s="391"/>
      <c r="K743" s="391"/>
      <c r="L743" s="391"/>
      <c r="M743" s="391"/>
      <c r="N743" s="391"/>
      <c r="O743" s="391"/>
      <c r="P743" s="391"/>
      <c r="Q743" s="391"/>
      <c r="R743" s="391"/>
      <c r="S743" s="391"/>
      <c r="T743" s="391"/>
      <c r="U743" s="391"/>
      <c r="V743" s="391"/>
      <c r="W743" s="391"/>
      <c r="X743" s="391"/>
      <c r="Y743" s="391"/>
      <c r="Z743" s="391"/>
    </row>
    <row r="744">
      <c r="A744" s="391"/>
      <c r="B744" s="391"/>
      <c r="C744" s="391"/>
      <c r="D744" s="391"/>
      <c r="E744" s="391"/>
      <c r="F744" s="391"/>
      <c r="G744" s="391"/>
      <c r="H744" s="391"/>
      <c r="I744" s="391"/>
      <c r="J744" s="391"/>
      <c r="K744" s="391"/>
      <c r="L744" s="391"/>
      <c r="M744" s="391"/>
      <c r="N744" s="391"/>
      <c r="O744" s="391"/>
      <c r="P744" s="391"/>
      <c r="Q744" s="391"/>
      <c r="R744" s="391"/>
      <c r="S744" s="391"/>
      <c r="T744" s="391"/>
      <c r="U744" s="391"/>
      <c r="V744" s="391"/>
      <c r="W744" s="391"/>
      <c r="X744" s="391"/>
      <c r="Y744" s="391"/>
      <c r="Z744" s="391"/>
    </row>
    <row r="745">
      <c r="A745" s="391"/>
      <c r="B745" s="391"/>
      <c r="C745" s="391"/>
      <c r="D745" s="391"/>
      <c r="E745" s="391"/>
      <c r="F745" s="391"/>
      <c r="G745" s="391"/>
      <c r="H745" s="391"/>
      <c r="I745" s="391"/>
      <c r="J745" s="391"/>
      <c r="K745" s="391"/>
      <c r="L745" s="391"/>
      <c r="M745" s="391"/>
      <c r="N745" s="391"/>
      <c r="O745" s="391"/>
      <c r="P745" s="391"/>
      <c r="Q745" s="391"/>
      <c r="R745" s="391"/>
      <c r="S745" s="391"/>
      <c r="T745" s="391"/>
      <c r="U745" s="391"/>
      <c r="V745" s="391"/>
      <c r="W745" s="391"/>
      <c r="X745" s="391"/>
      <c r="Y745" s="391"/>
      <c r="Z745" s="391"/>
    </row>
    <row r="746">
      <c r="A746" s="391"/>
      <c r="B746" s="391"/>
      <c r="C746" s="391"/>
      <c r="D746" s="391"/>
      <c r="E746" s="391"/>
      <c r="F746" s="391"/>
      <c r="G746" s="391"/>
      <c r="H746" s="391"/>
      <c r="I746" s="391"/>
      <c r="J746" s="391"/>
      <c r="K746" s="391"/>
      <c r="L746" s="391"/>
      <c r="M746" s="391"/>
      <c r="N746" s="391"/>
      <c r="O746" s="391"/>
      <c r="P746" s="391"/>
      <c r="Q746" s="391"/>
      <c r="R746" s="391"/>
      <c r="S746" s="391"/>
      <c r="T746" s="391"/>
      <c r="U746" s="391"/>
      <c r="V746" s="391"/>
      <c r="W746" s="391"/>
      <c r="X746" s="391"/>
      <c r="Y746" s="391"/>
      <c r="Z746" s="391"/>
    </row>
    <row r="747">
      <c r="A747" s="391"/>
      <c r="B747" s="391"/>
      <c r="C747" s="391"/>
      <c r="D747" s="391"/>
      <c r="E747" s="391"/>
      <c r="F747" s="391"/>
      <c r="G747" s="391"/>
      <c r="H747" s="391"/>
      <c r="I747" s="391"/>
      <c r="J747" s="391"/>
      <c r="K747" s="391"/>
      <c r="L747" s="391"/>
      <c r="M747" s="391"/>
      <c r="N747" s="391"/>
      <c r="O747" s="391"/>
      <c r="P747" s="391"/>
      <c r="Q747" s="391"/>
      <c r="R747" s="391"/>
      <c r="S747" s="391"/>
      <c r="T747" s="391"/>
      <c r="U747" s="391"/>
      <c r="V747" s="391"/>
      <c r="W747" s="391"/>
      <c r="X747" s="391"/>
      <c r="Y747" s="391"/>
      <c r="Z747" s="391"/>
    </row>
    <row r="748">
      <c r="A748" s="391"/>
      <c r="B748" s="391"/>
      <c r="C748" s="391"/>
      <c r="D748" s="391"/>
      <c r="E748" s="391"/>
      <c r="F748" s="391"/>
      <c r="G748" s="391"/>
      <c r="H748" s="391"/>
      <c r="I748" s="391"/>
      <c r="J748" s="391"/>
      <c r="K748" s="391"/>
      <c r="L748" s="391"/>
      <c r="M748" s="391"/>
      <c r="N748" s="391"/>
      <c r="O748" s="391"/>
      <c r="P748" s="391"/>
      <c r="Q748" s="391"/>
      <c r="R748" s="391"/>
      <c r="S748" s="391"/>
      <c r="T748" s="391"/>
      <c r="U748" s="391"/>
      <c r="V748" s="391"/>
      <c r="W748" s="391"/>
      <c r="X748" s="391"/>
      <c r="Y748" s="391"/>
      <c r="Z748" s="391"/>
    </row>
    <row r="749">
      <c r="A749" s="391"/>
      <c r="B749" s="391"/>
      <c r="C749" s="391"/>
      <c r="D749" s="391"/>
      <c r="E749" s="391"/>
      <c r="F749" s="391"/>
      <c r="G749" s="391"/>
      <c r="H749" s="391"/>
      <c r="I749" s="391"/>
      <c r="J749" s="391"/>
      <c r="K749" s="391"/>
      <c r="L749" s="391"/>
      <c r="M749" s="391"/>
      <c r="N749" s="391"/>
      <c r="O749" s="391"/>
      <c r="P749" s="391"/>
      <c r="Q749" s="391"/>
      <c r="R749" s="391"/>
      <c r="S749" s="391"/>
      <c r="T749" s="391"/>
      <c r="U749" s="391"/>
      <c r="V749" s="391"/>
      <c r="W749" s="391"/>
      <c r="X749" s="391"/>
      <c r="Y749" s="391"/>
      <c r="Z749" s="391"/>
    </row>
    <row r="750">
      <c r="A750" s="391"/>
      <c r="B750" s="391"/>
      <c r="C750" s="391"/>
      <c r="D750" s="391"/>
      <c r="E750" s="391"/>
      <c r="F750" s="391"/>
      <c r="G750" s="391"/>
      <c r="H750" s="391"/>
      <c r="I750" s="391"/>
      <c r="J750" s="391"/>
      <c r="K750" s="391"/>
      <c r="L750" s="391"/>
      <c r="M750" s="391"/>
      <c r="N750" s="391"/>
      <c r="O750" s="391"/>
      <c r="P750" s="391"/>
      <c r="Q750" s="391"/>
      <c r="R750" s="391"/>
      <c r="S750" s="391"/>
      <c r="T750" s="391"/>
      <c r="U750" s="391"/>
      <c r="V750" s="391"/>
      <c r="W750" s="391"/>
      <c r="X750" s="391"/>
      <c r="Y750" s="391"/>
      <c r="Z750" s="391"/>
    </row>
    <row r="751">
      <c r="A751" s="391"/>
      <c r="B751" s="391"/>
      <c r="C751" s="391"/>
      <c r="D751" s="391"/>
      <c r="E751" s="391"/>
      <c r="F751" s="391"/>
      <c r="G751" s="391"/>
      <c r="H751" s="391"/>
      <c r="I751" s="391"/>
      <c r="J751" s="391"/>
      <c r="K751" s="391"/>
      <c r="L751" s="391"/>
      <c r="M751" s="391"/>
      <c r="N751" s="391"/>
      <c r="O751" s="391"/>
      <c r="P751" s="391"/>
      <c r="Q751" s="391"/>
      <c r="R751" s="391"/>
      <c r="S751" s="391"/>
      <c r="T751" s="391"/>
      <c r="U751" s="391"/>
      <c r="V751" s="391"/>
      <c r="W751" s="391"/>
      <c r="X751" s="391"/>
      <c r="Y751" s="391"/>
      <c r="Z751" s="391"/>
    </row>
    <row r="752">
      <c r="A752" s="391"/>
      <c r="B752" s="391"/>
      <c r="C752" s="391"/>
      <c r="D752" s="391"/>
      <c r="E752" s="391"/>
      <c r="F752" s="391"/>
      <c r="G752" s="391"/>
      <c r="H752" s="391"/>
      <c r="I752" s="391"/>
      <c r="J752" s="391"/>
      <c r="K752" s="391"/>
      <c r="L752" s="391"/>
      <c r="M752" s="391"/>
      <c r="N752" s="391"/>
      <c r="O752" s="391"/>
      <c r="P752" s="391"/>
      <c r="Q752" s="391"/>
      <c r="R752" s="391"/>
      <c r="S752" s="391"/>
      <c r="T752" s="391"/>
      <c r="U752" s="391"/>
      <c r="V752" s="391"/>
      <c r="W752" s="391"/>
      <c r="X752" s="391"/>
      <c r="Y752" s="391"/>
      <c r="Z752" s="391"/>
    </row>
    <row r="753">
      <c r="A753" s="391"/>
      <c r="B753" s="391"/>
      <c r="C753" s="391"/>
      <c r="D753" s="391"/>
      <c r="E753" s="391"/>
      <c r="F753" s="391"/>
      <c r="G753" s="391"/>
      <c r="H753" s="391"/>
      <c r="I753" s="391"/>
      <c r="J753" s="391"/>
      <c r="K753" s="391"/>
      <c r="L753" s="391"/>
      <c r="M753" s="391"/>
      <c r="N753" s="391"/>
      <c r="O753" s="391"/>
      <c r="P753" s="391"/>
      <c r="Q753" s="391"/>
      <c r="R753" s="391"/>
      <c r="S753" s="391"/>
      <c r="T753" s="391"/>
      <c r="U753" s="391"/>
      <c r="V753" s="391"/>
      <c r="W753" s="391"/>
      <c r="X753" s="391"/>
      <c r="Y753" s="391"/>
      <c r="Z753" s="391"/>
    </row>
    <row r="754">
      <c r="A754" s="391"/>
      <c r="B754" s="391"/>
      <c r="C754" s="391"/>
      <c r="D754" s="391"/>
      <c r="E754" s="391"/>
      <c r="F754" s="391"/>
      <c r="G754" s="391"/>
      <c r="H754" s="391"/>
      <c r="I754" s="391"/>
      <c r="J754" s="391"/>
      <c r="K754" s="391"/>
      <c r="L754" s="391"/>
      <c r="M754" s="391"/>
      <c r="N754" s="391"/>
      <c r="O754" s="391"/>
      <c r="P754" s="391"/>
      <c r="Q754" s="391"/>
      <c r="R754" s="391"/>
      <c r="S754" s="391"/>
      <c r="T754" s="391"/>
      <c r="U754" s="391"/>
      <c r="V754" s="391"/>
      <c r="W754" s="391"/>
      <c r="X754" s="391"/>
      <c r="Y754" s="391"/>
      <c r="Z754" s="391"/>
    </row>
    <row r="755">
      <c r="A755" s="391"/>
      <c r="B755" s="391"/>
      <c r="C755" s="391"/>
      <c r="D755" s="391"/>
      <c r="E755" s="391"/>
      <c r="F755" s="391"/>
      <c r="G755" s="391"/>
      <c r="H755" s="391"/>
      <c r="I755" s="391"/>
      <c r="J755" s="391"/>
      <c r="K755" s="391"/>
      <c r="L755" s="391"/>
      <c r="M755" s="391"/>
      <c r="N755" s="391"/>
      <c r="O755" s="391"/>
      <c r="P755" s="391"/>
      <c r="Q755" s="391"/>
      <c r="R755" s="391"/>
      <c r="S755" s="391"/>
      <c r="T755" s="391"/>
      <c r="U755" s="391"/>
      <c r="V755" s="391"/>
      <c r="W755" s="391"/>
      <c r="X755" s="391"/>
      <c r="Y755" s="391"/>
      <c r="Z755" s="391"/>
    </row>
    <row r="756">
      <c r="A756" s="391"/>
      <c r="B756" s="391"/>
      <c r="C756" s="391"/>
      <c r="D756" s="391"/>
      <c r="E756" s="391"/>
      <c r="F756" s="391"/>
      <c r="G756" s="391"/>
      <c r="H756" s="391"/>
      <c r="I756" s="391"/>
      <c r="J756" s="391"/>
      <c r="K756" s="391"/>
      <c r="L756" s="391"/>
      <c r="M756" s="391"/>
      <c r="N756" s="391"/>
      <c r="O756" s="391"/>
      <c r="P756" s="391"/>
      <c r="Q756" s="391"/>
      <c r="R756" s="391"/>
      <c r="S756" s="391"/>
      <c r="T756" s="391"/>
      <c r="U756" s="391"/>
      <c r="V756" s="391"/>
      <c r="W756" s="391"/>
      <c r="X756" s="391"/>
      <c r="Y756" s="391"/>
      <c r="Z756" s="391"/>
    </row>
    <row r="757">
      <c r="A757" s="391"/>
      <c r="B757" s="391"/>
      <c r="C757" s="391"/>
      <c r="D757" s="391"/>
      <c r="E757" s="391"/>
      <c r="F757" s="391"/>
      <c r="G757" s="391"/>
      <c r="H757" s="391"/>
      <c r="I757" s="391"/>
      <c r="J757" s="391"/>
      <c r="K757" s="391"/>
      <c r="L757" s="391"/>
      <c r="M757" s="391"/>
      <c r="N757" s="391"/>
      <c r="O757" s="391"/>
      <c r="P757" s="391"/>
      <c r="Q757" s="391"/>
      <c r="R757" s="391"/>
      <c r="S757" s="391"/>
      <c r="T757" s="391"/>
      <c r="U757" s="391"/>
      <c r="V757" s="391"/>
      <c r="W757" s="391"/>
      <c r="X757" s="391"/>
      <c r="Y757" s="391"/>
      <c r="Z757" s="391"/>
    </row>
    <row r="758">
      <c r="A758" s="391"/>
      <c r="B758" s="391"/>
      <c r="C758" s="391"/>
      <c r="D758" s="391"/>
      <c r="E758" s="391"/>
      <c r="F758" s="391"/>
      <c r="G758" s="391"/>
      <c r="H758" s="391"/>
      <c r="I758" s="391"/>
      <c r="J758" s="391"/>
      <c r="K758" s="391"/>
      <c r="L758" s="391"/>
      <c r="M758" s="391"/>
      <c r="N758" s="391"/>
      <c r="O758" s="391"/>
      <c r="P758" s="391"/>
      <c r="Q758" s="391"/>
      <c r="R758" s="391"/>
      <c r="S758" s="391"/>
      <c r="T758" s="391"/>
      <c r="U758" s="391"/>
      <c r="V758" s="391"/>
      <c r="W758" s="391"/>
      <c r="X758" s="391"/>
      <c r="Y758" s="391"/>
      <c r="Z758" s="391"/>
    </row>
    <row r="759">
      <c r="A759" s="391"/>
      <c r="B759" s="391"/>
      <c r="C759" s="391"/>
      <c r="D759" s="391"/>
      <c r="E759" s="391"/>
      <c r="F759" s="391"/>
      <c r="G759" s="391"/>
      <c r="H759" s="391"/>
      <c r="I759" s="391"/>
      <c r="J759" s="391"/>
      <c r="K759" s="391"/>
      <c r="L759" s="391"/>
      <c r="M759" s="391"/>
      <c r="N759" s="391"/>
      <c r="O759" s="391"/>
      <c r="P759" s="391"/>
      <c r="Q759" s="391"/>
      <c r="R759" s="391"/>
      <c r="S759" s="391"/>
      <c r="T759" s="391"/>
      <c r="U759" s="391"/>
      <c r="V759" s="391"/>
      <c r="W759" s="391"/>
      <c r="X759" s="391"/>
      <c r="Y759" s="391"/>
      <c r="Z759" s="391"/>
    </row>
    <row r="760">
      <c r="A760" s="391"/>
      <c r="B760" s="391"/>
      <c r="C760" s="391"/>
      <c r="D760" s="391"/>
      <c r="E760" s="391"/>
      <c r="F760" s="391"/>
      <c r="G760" s="391"/>
      <c r="H760" s="391"/>
      <c r="I760" s="391"/>
      <c r="J760" s="391"/>
      <c r="K760" s="391"/>
      <c r="L760" s="391"/>
      <c r="M760" s="391"/>
      <c r="N760" s="391"/>
      <c r="O760" s="391"/>
      <c r="P760" s="391"/>
      <c r="Q760" s="391"/>
      <c r="R760" s="391"/>
      <c r="S760" s="391"/>
      <c r="T760" s="391"/>
      <c r="U760" s="391"/>
      <c r="V760" s="391"/>
      <c r="W760" s="391"/>
      <c r="X760" s="391"/>
      <c r="Y760" s="391"/>
      <c r="Z760" s="391"/>
    </row>
    <row r="761">
      <c r="A761" s="391"/>
      <c r="B761" s="391"/>
      <c r="C761" s="391"/>
      <c r="D761" s="391"/>
      <c r="E761" s="391"/>
      <c r="F761" s="391"/>
      <c r="G761" s="391"/>
      <c r="H761" s="391"/>
      <c r="I761" s="391"/>
      <c r="J761" s="391"/>
      <c r="K761" s="391"/>
      <c r="L761" s="391"/>
      <c r="M761" s="391"/>
      <c r="N761" s="391"/>
      <c r="O761" s="391"/>
      <c r="P761" s="391"/>
      <c r="Q761" s="391"/>
      <c r="R761" s="391"/>
      <c r="S761" s="391"/>
      <c r="T761" s="391"/>
      <c r="U761" s="391"/>
      <c r="V761" s="391"/>
      <c r="W761" s="391"/>
      <c r="X761" s="391"/>
      <c r="Y761" s="391"/>
      <c r="Z761" s="391"/>
    </row>
    <row r="762">
      <c r="A762" s="391"/>
      <c r="B762" s="391"/>
      <c r="C762" s="391"/>
      <c r="D762" s="391"/>
      <c r="E762" s="391"/>
      <c r="F762" s="391"/>
      <c r="G762" s="391"/>
      <c r="H762" s="391"/>
      <c r="I762" s="391"/>
      <c r="J762" s="391"/>
      <c r="K762" s="391"/>
      <c r="L762" s="391"/>
      <c r="M762" s="391"/>
      <c r="N762" s="391"/>
      <c r="O762" s="391"/>
      <c r="P762" s="391"/>
      <c r="Q762" s="391"/>
      <c r="R762" s="391"/>
      <c r="S762" s="391"/>
      <c r="T762" s="391"/>
      <c r="U762" s="391"/>
      <c r="V762" s="391"/>
      <c r="W762" s="391"/>
      <c r="X762" s="391"/>
      <c r="Y762" s="391"/>
      <c r="Z762" s="391"/>
    </row>
    <row r="763">
      <c r="A763" s="391"/>
      <c r="B763" s="391"/>
      <c r="C763" s="391"/>
      <c r="D763" s="391"/>
      <c r="E763" s="391"/>
      <c r="F763" s="391"/>
      <c r="G763" s="391"/>
      <c r="H763" s="391"/>
      <c r="I763" s="391"/>
      <c r="J763" s="391"/>
      <c r="K763" s="391"/>
      <c r="L763" s="391"/>
      <c r="M763" s="391"/>
      <c r="N763" s="391"/>
      <c r="O763" s="391"/>
      <c r="P763" s="391"/>
      <c r="Q763" s="391"/>
      <c r="R763" s="391"/>
      <c r="S763" s="391"/>
      <c r="T763" s="391"/>
      <c r="U763" s="391"/>
      <c r="V763" s="391"/>
      <c r="W763" s="391"/>
      <c r="X763" s="391"/>
      <c r="Y763" s="391"/>
      <c r="Z763" s="391"/>
    </row>
    <row r="764">
      <c r="A764" s="391"/>
      <c r="B764" s="391"/>
      <c r="C764" s="391"/>
      <c r="D764" s="391"/>
      <c r="E764" s="391"/>
      <c r="F764" s="391"/>
      <c r="G764" s="391"/>
      <c r="H764" s="391"/>
      <c r="I764" s="391"/>
      <c r="J764" s="391"/>
      <c r="K764" s="391"/>
      <c r="L764" s="391"/>
      <c r="M764" s="391"/>
      <c r="N764" s="391"/>
      <c r="O764" s="391"/>
      <c r="P764" s="391"/>
      <c r="Q764" s="391"/>
      <c r="R764" s="391"/>
      <c r="S764" s="391"/>
      <c r="T764" s="391"/>
      <c r="U764" s="391"/>
      <c r="V764" s="391"/>
      <c r="W764" s="391"/>
      <c r="X764" s="391"/>
      <c r="Y764" s="391"/>
      <c r="Z764" s="391"/>
    </row>
    <row r="765">
      <c r="A765" s="391"/>
      <c r="B765" s="391"/>
      <c r="C765" s="391"/>
      <c r="D765" s="391"/>
      <c r="E765" s="391"/>
      <c r="F765" s="391"/>
      <c r="G765" s="391"/>
      <c r="H765" s="391"/>
      <c r="I765" s="391"/>
      <c r="J765" s="391"/>
      <c r="K765" s="391"/>
      <c r="L765" s="391"/>
      <c r="M765" s="391"/>
      <c r="N765" s="391"/>
      <c r="O765" s="391"/>
      <c r="P765" s="391"/>
      <c r="Q765" s="391"/>
      <c r="R765" s="391"/>
      <c r="S765" s="391"/>
      <c r="T765" s="391"/>
      <c r="U765" s="391"/>
      <c r="V765" s="391"/>
      <c r="W765" s="391"/>
      <c r="X765" s="391"/>
      <c r="Y765" s="391"/>
      <c r="Z765" s="391"/>
    </row>
    <row r="766">
      <c r="A766" s="391"/>
      <c r="B766" s="391"/>
      <c r="C766" s="391"/>
      <c r="D766" s="391"/>
      <c r="E766" s="391"/>
      <c r="F766" s="391"/>
      <c r="G766" s="391"/>
      <c r="H766" s="391"/>
      <c r="I766" s="391"/>
      <c r="J766" s="391"/>
      <c r="K766" s="391"/>
      <c r="L766" s="391"/>
      <c r="M766" s="391"/>
      <c r="N766" s="391"/>
      <c r="O766" s="391"/>
      <c r="P766" s="391"/>
      <c r="Q766" s="391"/>
      <c r="R766" s="391"/>
      <c r="S766" s="391"/>
      <c r="T766" s="391"/>
      <c r="U766" s="391"/>
      <c r="V766" s="391"/>
      <c r="W766" s="391"/>
      <c r="X766" s="391"/>
      <c r="Y766" s="391"/>
      <c r="Z766" s="391"/>
    </row>
    <row r="767">
      <c r="A767" s="391"/>
      <c r="B767" s="391"/>
      <c r="C767" s="391"/>
      <c r="D767" s="391"/>
      <c r="E767" s="391"/>
      <c r="F767" s="391"/>
      <c r="G767" s="391"/>
      <c r="H767" s="391"/>
      <c r="I767" s="391"/>
      <c r="J767" s="391"/>
      <c r="K767" s="391"/>
      <c r="L767" s="391"/>
      <c r="M767" s="391"/>
      <c r="N767" s="391"/>
      <c r="O767" s="391"/>
      <c r="P767" s="391"/>
      <c r="Q767" s="391"/>
      <c r="R767" s="391"/>
      <c r="S767" s="391"/>
      <c r="T767" s="391"/>
      <c r="U767" s="391"/>
      <c r="V767" s="391"/>
      <c r="W767" s="391"/>
      <c r="X767" s="391"/>
      <c r="Y767" s="391"/>
      <c r="Z767" s="391"/>
    </row>
    <row r="768">
      <c r="A768" s="391"/>
      <c r="B768" s="391"/>
      <c r="C768" s="391"/>
      <c r="D768" s="391"/>
      <c r="E768" s="391"/>
      <c r="F768" s="391"/>
      <c r="G768" s="391"/>
      <c r="H768" s="391"/>
      <c r="I768" s="391"/>
      <c r="J768" s="391"/>
      <c r="K768" s="391"/>
      <c r="L768" s="391"/>
      <c r="M768" s="391"/>
      <c r="N768" s="391"/>
      <c r="O768" s="391"/>
      <c r="P768" s="391"/>
      <c r="Q768" s="391"/>
      <c r="R768" s="391"/>
      <c r="S768" s="391"/>
      <c r="T768" s="391"/>
      <c r="U768" s="391"/>
      <c r="V768" s="391"/>
      <c r="W768" s="391"/>
      <c r="X768" s="391"/>
      <c r="Y768" s="391"/>
      <c r="Z768" s="391"/>
    </row>
    <row r="769">
      <c r="A769" s="391"/>
      <c r="B769" s="391"/>
      <c r="C769" s="391"/>
      <c r="D769" s="391"/>
      <c r="E769" s="391"/>
      <c r="F769" s="391"/>
      <c r="G769" s="391"/>
      <c r="H769" s="391"/>
      <c r="I769" s="391"/>
      <c r="J769" s="391"/>
      <c r="K769" s="391"/>
      <c r="L769" s="391"/>
      <c r="M769" s="391"/>
      <c r="N769" s="391"/>
      <c r="O769" s="391"/>
      <c r="P769" s="391"/>
      <c r="Q769" s="391"/>
      <c r="R769" s="391"/>
      <c r="S769" s="391"/>
      <c r="T769" s="391"/>
      <c r="U769" s="391"/>
      <c r="V769" s="391"/>
      <c r="W769" s="391"/>
      <c r="X769" s="391"/>
      <c r="Y769" s="391"/>
      <c r="Z769" s="391"/>
    </row>
    <row r="770">
      <c r="A770" s="391"/>
      <c r="B770" s="391"/>
      <c r="C770" s="391"/>
      <c r="D770" s="391"/>
      <c r="E770" s="391"/>
      <c r="F770" s="391"/>
      <c r="G770" s="391"/>
      <c r="H770" s="391"/>
      <c r="I770" s="391"/>
      <c r="J770" s="391"/>
      <c r="K770" s="391"/>
      <c r="L770" s="391"/>
      <c r="M770" s="391"/>
      <c r="N770" s="391"/>
      <c r="O770" s="391"/>
      <c r="P770" s="391"/>
      <c r="Q770" s="391"/>
      <c r="R770" s="391"/>
      <c r="S770" s="391"/>
      <c r="T770" s="391"/>
      <c r="U770" s="391"/>
      <c r="V770" s="391"/>
      <c r="W770" s="391"/>
      <c r="X770" s="391"/>
      <c r="Y770" s="391"/>
      <c r="Z770" s="391"/>
    </row>
    <row r="771">
      <c r="A771" s="391"/>
      <c r="B771" s="391"/>
      <c r="C771" s="391"/>
      <c r="D771" s="391"/>
      <c r="E771" s="391"/>
      <c r="F771" s="391"/>
      <c r="G771" s="391"/>
      <c r="H771" s="391"/>
      <c r="I771" s="391"/>
      <c r="J771" s="391"/>
      <c r="K771" s="391"/>
      <c r="L771" s="391"/>
      <c r="M771" s="391"/>
      <c r="N771" s="391"/>
      <c r="O771" s="391"/>
      <c r="P771" s="391"/>
      <c r="Q771" s="391"/>
      <c r="R771" s="391"/>
      <c r="S771" s="391"/>
      <c r="T771" s="391"/>
      <c r="U771" s="391"/>
      <c r="V771" s="391"/>
      <c r="W771" s="391"/>
      <c r="X771" s="391"/>
      <c r="Y771" s="391"/>
      <c r="Z771" s="391"/>
    </row>
    <row r="772">
      <c r="A772" s="391"/>
      <c r="B772" s="391"/>
      <c r="C772" s="391"/>
      <c r="D772" s="391"/>
      <c r="E772" s="391"/>
      <c r="F772" s="391"/>
      <c r="G772" s="391"/>
      <c r="H772" s="391"/>
      <c r="I772" s="391"/>
      <c r="J772" s="391"/>
      <c r="K772" s="391"/>
      <c r="L772" s="391"/>
      <c r="M772" s="391"/>
      <c r="N772" s="391"/>
      <c r="O772" s="391"/>
      <c r="P772" s="391"/>
      <c r="Q772" s="391"/>
      <c r="R772" s="391"/>
      <c r="S772" s="391"/>
      <c r="T772" s="391"/>
      <c r="U772" s="391"/>
      <c r="V772" s="391"/>
      <c r="W772" s="391"/>
      <c r="X772" s="391"/>
      <c r="Y772" s="391"/>
      <c r="Z772" s="391"/>
    </row>
    <row r="773">
      <c r="A773" s="391"/>
      <c r="B773" s="391"/>
      <c r="C773" s="391"/>
      <c r="D773" s="391"/>
      <c r="E773" s="391"/>
      <c r="F773" s="391"/>
      <c r="G773" s="391"/>
      <c r="H773" s="391"/>
      <c r="I773" s="391"/>
      <c r="J773" s="391"/>
      <c r="K773" s="391"/>
      <c r="L773" s="391"/>
      <c r="M773" s="391"/>
      <c r="N773" s="391"/>
      <c r="O773" s="391"/>
      <c r="P773" s="391"/>
      <c r="Q773" s="391"/>
      <c r="R773" s="391"/>
      <c r="S773" s="391"/>
      <c r="T773" s="391"/>
      <c r="U773" s="391"/>
      <c r="V773" s="391"/>
      <c r="W773" s="391"/>
      <c r="X773" s="391"/>
      <c r="Y773" s="391"/>
      <c r="Z773" s="391"/>
    </row>
    <row r="774">
      <c r="A774" s="391"/>
      <c r="B774" s="391"/>
      <c r="C774" s="391"/>
      <c r="D774" s="391"/>
      <c r="E774" s="391"/>
      <c r="F774" s="391"/>
      <c r="G774" s="391"/>
      <c r="H774" s="391"/>
      <c r="I774" s="391"/>
      <c r="J774" s="391"/>
      <c r="K774" s="391"/>
      <c r="L774" s="391"/>
      <c r="M774" s="391"/>
      <c r="N774" s="391"/>
      <c r="O774" s="391"/>
      <c r="P774" s="391"/>
      <c r="Q774" s="391"/>
      <c r="R774" s="391"/>
      <c r="S774" s="391"/>
      <c r="T774" s="391"/>
      <c r="U774" s="391"/>
      <c r="V774" s="391"/>
      <c r="W774" s="391"/>
      <c r="X774" s="391"/>
      <c r="Y774" s="391"/>
      <c r="Z774" s="391"/>
    </row>
    <row r="775">
      <c r="A775" s="391"/>
      <c r="B775" s="391"/>
      <c r="C775" s="391"/>
      <c r="D775" s="391"/>
      <c r="E775" s="391"/>
      <c r="F775" s="391"/>
      <c r="G775" s="391"/>
      <c r="H775" s="391"/>
      <c r="I775" s="391"/>
      <c r="J775" s="391"/>
      <c r="K775" s="391"/>
      <c r="L775" s="391"/>
      <c r="M775" s="391"/>
      <c r="N775" s="391"/>
      <c r="O775" s="391"/>
      <c r="P775" s="391"/>
      <c r="Q775" s="391"/>
      <c r="R775" s="391"/>
      <c r="S775" s="391"/>
      <c r="T775" s="391"/>
      <c r="U775" s="391"/>
      <c r="V775" s="391"/>
      <c r="W775" s="391"/>
      <c r="X775" s="391"/>
      <c r="Y775" s="391"/>
      <c r="Z775" s="391"/>
    </row>
    <row r="776">
      <c r="A776" s="391"/>
      <c r="B776" s="391"/>
      <c r="C776" s="391"/>
      <c r="D776" s="391"/>
      <c r="E776" s="391"/>
      <c r="F776" s="391"/>
      <c r="G776" s="391"/>
      <c r="H776" s="391"/>
      <c r="I776" s="391"/>
      <c r="J776" s="391"/>
      <c r="K776" s="391"/>
      <c r="L776" s="391"/>
      <c r="M776" s="391"/>
      <c r="N776" s="391"/>
      <c r="O776" s="391"/>
      <c r="P776" s="391"/>
      <c r="Q776" s="391"/>
      <c r="R776" s="391"/>
      <c r="S776" s="391"/>
      <c r="T776" s="391"/>
      <c r="U776" s="391"/>
      <c r="V776" s="391"/>
      <c r="W776" s="391"/>
      <c r="X776" s="391"/>
      <c r="Y776" s="391"/>
      <c r="Z776" s="391"/>
    </row>
    <row r="777">
      <c r="A777" s="391"/>
      <c r="B777" s="391"/>
      <c r="C777" s="391"/>
      <c r="D777" s="391"/>
      <c r="E777" s="391"/>
      <c r="F777" s="391"/>
      <c r="G777" s="391"/>
      <c r="H777" s="391"/>
      <c r="I777" s="391"/>
      <c r="J777" s="391"/>
      <c r="K777" s="391"/>
      <c r="L777" s="391"/>
      <c r="M777" s="391"/>
      <c r="N777" s="391"/>
      <c r="O777" s="391"/>
      <c r="P777" s="391"/>
      <c r="Q777" s="391"/>
      <c r="R777" s="391"/>
      <c r="S777" s="391"/>
      <c r="T777" s="391"/>
      <c r="U777" s="391"/>
      <c r="V777" s="391"/>
      <c r="W777" s="391"/>
      <c r="X777" s="391"/>
      <c r="Y777" s="391"/>
      <c r="Z777" s="391"/>
    </row>
    <row r="778">
      <c r="A778" s="391"/>
      <c r="B778" s="391"/>
      <c r="C778" s="391"/>
      <c r="D778" s="391"/>
      <c r="E778" s="391"/>
      <c r="F778" s="391"/>
      <c r="G778" s="391"/>
      <c r="H778" s="391"/>
      <c r="I778" s="391"/>
      <c r="J778" s="391"/>
      <c r="K778" s="391"/>
      <c r="L778" s="391"/>
      <c r="M778" s="391"/>
      <c r="N778" s="391"/>
      <c r="O778" s="391"/>
      <c r="P778" s="391"/>
      <c r="Q778" s="391"/>
      <c r="R778" s="391"/>
      <c r="S778" s="391"/>
      <c r="T778" s="391"/>
      <c r="U778" s="391"/>
      <c r="V778" s="391"/>
      <c r="W778" s="391"/>
      <c r="X778" s="391"/>
      <c r="Y778" s="391"/>
      <c r="Z778" s="391"/>
    </row>
    <row r="779">
      <c r="A779" s="391"/>
      <c r="B779" s="391"/>
      <c r="C779" s="391"/>
      <c r="D779" s="391"/>
      <c r="E779" s="391"/>
      <c r="F779" s="391"/>
      <c r="G779" s="391"/>
      <c r="H779" s="391"/>
      <c r="I779" s="391"/>
      <c r="J779" s="391"/>
      <c r="K779" s="391"/>
      <c r="L779" s="391"/>
      <c r="M779" s="391"/>
      <c r="N779" s="391"/>
      <c r="O779" s="391"/>
      <c r="P779" s="391"/>
      <c r="Q779" s="391"/>
      <c r="R779" s="391"/>
      <c r="S779" s="391"/>
      <c r="T779" s="391"/>
      <c r="U779" s="391"/>
      <c r="V779" s="391"/>
      <c r="W779" s="391"/>
      <c r="X779" s="391"/>
      <c r="Y779" s="391"/>
      <c r="Z779" s="391"/>
    </row>
    <row r="780">
      <c r="A780" s="391"/>
      <c r="B780" s="391"/>
      <c r="C780" s="391"/>
      <c r="D780" s="391"/>
      <c r="E780" s="391"/>
      <c r="F780" s="391"/>
      <c r="G780" s="391"/>
      <c r="H780" s="391"/>
      <c r="I780" s="391"/>
      <c r="J780" s="391"/>
      <c r="K780" s="391"/>
      <c r="L780" s="391"/>
      <c r="M780" s="391"/>
      <c r="N780" s="391"/>
      <c r="O780" s="391"/>
      <c r="P780" s="391"/>
      <c r="Q780" s="391"/>
      <c r="R780" s="391"/>
      <c r="S780" s="391"/>
      <c r="T780" s="391"/>
      <c r="U780" s="391"/>
      <c r="V780" s="391"/>
      <c r="W780" s="391"/>
      <c r="X780" s="391"/>
      <c r="Y780" s="391"/>
      <c r="Z780" s="391"/>
    </row>
    <row r="781">
      <c r="A781" s="391"/>
      <c r="B781" s="391"/>
      <c r="C781" s="391"/>
      <c r="D781" s="391"/>
      <c r="E781" s="391"/>
      <c r="F781" s="391"/>
      <c r="G781" s="391"/>
      <c r="H781" s="391"/>
      <c r="I781" s="391"/>
      <c r="J781" s="391"/>
      <c r="K781" s="391"/>
      <c r="L781" s="391"/>
      <c r="M781" s="391"/>
      <c r="N781" s="391"/>
      <c r="O781" s="391"/>
      <c r="P781" s="391"/>
      <c r="Q781" s="391"/>
      <c r="R781" s="391"/>
      <c r="S781" s="391"/>
      <c r="T781" s="391"/>
      <c r="U781" s="391"/>
      <c r="V781" s="391"/>
      <c r="W781" s="391"/>
      <c r="X781" s="391"/>
      <c r="Y781" s="391"/>
      <c r="Z781" s="391"/>
    </row>
    <row r="782">
      <c r="A782" s="391"/>
      <c r="B782" s="391"/>
      <c r="C782" s="391"/>
      <c r="D782" s="391"/>
      <c r="E782" s="391"/>
      <c r="F782" s="391"/>
      <c r="G782" s="391"/>
      <c r="H782" s="391"/>
      <c r="I782" s="391"/>
      <c r="J782" s="391"/>
      <c r="K782" s="391"/>
      <c r="L782" s="391"/>
      <c r="M782" s="391"/>
      <c r="N782" s="391"/>
      <c r="O782" s="391"/>
      <c r="P782" s="391"/>
      <c r="Q782" s="391"/>
      <c r="R782" s="391"/>
      <c r="S782" s="391"/>
      <c r="T782" s="391"/>
      <c r="U782" s="391"/>
      <c r="V782" s="391"/>
      <c r="W782" s="391"/>
      <c r="X782" s="391"/>
      <c r="Y782" s="391"/>
      <c r="Z782" s="391"/>
    </row>
    <row r="783">
      <c r="A783" s="391"/>
      <c r="B783" s="391"/>
      <c r="C783" s="391"/>
      <c r="D783" s="391"/>
      <c r="E783" s="391"/>
      <c r="F783" s="391"/>
      <c r="G783" s="391"/>
      <c r="H783" s="391"/>
      <c r="I783" s="391"/>
      <c r="J783" s="391"/>
      <c r="K783" s="391"/>
      <c r="L783" s="391"/>
      <c r="M783" s="391"/>
      <c r="N783" s="391"/>
      <c r="O783" s="391"/>
      <c r="P783" s="391"/>
      <c r="Q783" s="391"/>
      <c r="R783" s="391"/>
      <c r="S783" s="391"/>
      <c r="T783" s="391"/>
      <c r="U783" s="391"/>
      <c r="V783" s="391"/>
      <c r="W783" s="391"/>
      <c r="X783" s="391"/>
      <c r="Y783" s="391"/>
      <c r="Z783" s="391"/>
    </row>
    <row r="784">
      <c r="A784" s="391"/>
      <c r="B784" s="391"/>
      <c r="C784" s="391"/>
      <c r="D784" s="391"/>
      <c r="E784" s="391"/>
      <c r="F784" s="391"/>
      <c r="G784" s="391"/>
      <c r="H784" s="391"/>
      <c r="I784" s="391"/>
      <c r="J784" s="391"/>
      <c r="K784" s="391"/>
      <c r="L784" s="391"/>
      <c r="M784" s="391"/>
      <c r="N784" s="391"/>
      <c r="O784" s="391"/>
      <c r="P784" s="391"/>
      <c r="Q784" s="391"/>
      <c r="R784" s="391"/>
      <c r="S784" s="391"/>
      <c r="T784" s="391"/>
      <c r="U784" s="391"/>
      <c r="V784" s="391"/>
      <c r="W784" s="391"/>
      <c r="X784" s="391"/>
      <c r="Y784" s="391"/>
      <c r="Z784" s="391"/>
    </row>
    <row r="785">
      <c r="A785" s="391"/>
      <c r="B785" s="391"/>
      <c r="C785" s="391"/>
      <c r="D785" s="391"/>
      <c r="E785" s="391"/>
      <c r="F785" s="391"/>
      <c r="G785" s="391"/>
      <c r="H785" s="391"/>
      <c r="I785" s="391"/>
      <c r="J785" s="391"/>
      <c r="K785" s="391"/>
      <c r="L785" s="391"/>
      <c r="M785" s="391"/>
      <c r="N785" s="391"/>
      <c r="O785" s="391"/>
      <c r="P785" s="391"/>
      <c r="Q785" s="391"/>
      <c r="R785" s="391"/>
      <c r="S785" s="391"/>
      <c r="T785" s="391"/>
      <c r="U785" s="391"/>
      <c r="V785" s="391"/>
      <c r="W785" s="391"/>
      <c r="X785" s="391"/>
      <c r="Y785" s="391"/>
      <c r="Z785" s="391"/>
    </row>
    <row r="786">
      <c r="A786" s="391"/>
      <c r="B786" s="391"/>
      <c r="C786" s="391"/>
      <c r="D786" s="391"/>
      <c r="E786" s="391"/>
      <c r="F786" s="391"/>
      <c r="G786" s="391"/>
      <c r="H786" s="391"/>
      <c r="I786" s="391"/>
      <c r="J786" s="391"/>
      <c r="K786" s="391"/>
      <c r="L786" s="391"/>
      <c r="M786" s="391"/>
      <c r="N786" s="391"/>
      <c r="O786" s="391"/>
      <c r="P786" s="391"/>
      <c r="Q786" s="391"/>
      <c r="R786" s="391"/>
      <c r="S786" s="391"/>
      <c r="T786" s="391"/>
      <c r="U786" s="391"/>
      <c r="V786" s="391"/>
      <c r="W786" s="391"/>
      <c r="X786" s="391"/>
      <c r="Y786" s="391"/>
      <c r="Z786" s="391"/>
    </row>
    <row r="787">
      <c r="A787" s="391"/>
      <c r="B787" s="391"/>
      <c r="C787" s="391"/>
      <c r="D787" s="391"/>
      <c r="E787" s="391"/>
      <c r="F787" s="391"/>
      <c r="G787" s="391"/>
      <c r="H787" s="391"/>
      <c r="I787" s="391"/>
      <c r="J787" s="391"/>
      <c r="K787" s="391"/>
      <c r="L787" s="391"/>
      <c r="M787" s="391"/>
      <c r="N787" s="391"/>
      <c r="O787" s="391"/>
      <c r="P787" s="391"/>
      <c r="Q787" s="391"/>
      <c r="R787" s="391"/>
      <c r="S787" s="391"/>
      <c r="T787" s="391"/>
      <c r="U787" s="391"/>
      <c r="V787" s="391"/>
      <c r="W787" s="391"/>
      <c r="X787" s="391"/>
      <c r="Y787" s="391"/>
      <c r="Z787" s="391"/>
    </row>
    <row r="788">
      <c r="A788" s="391"/>
      <c r="B788" s="391"/>
      <c r="C788" s="391"/>
      <c r="D788" s="391"/>
      <c r="E788" s="391"/>
      <c r="F788" s="391"/>
      <c r="G788" s="391"/>
      <c r="H788" s="391"/>
      <c r="I788" s="391"/>
      <c r="J788" s="391"/>
      <c r="K788" s="391"/>
      <c r="L788" s="391"/>
      <c r="M788" s="391"/>
      <c r="N788" s="391"/>
      <c r="O788" s="391"/>
      <c r="P788" s="391"/>
      <c r="Q788" s="391"/>
      <c r="R788" s="391"/>
      <c r="S788" s="391"/>
      <c r="T788" s="391"/>
      <c r="U788" s="391"/>
      <c r="V788" s="391"/>
      <c r="W788" s="391"/>
      <c r="X788" s="391"/>
      <c r="Y788" s="391"/>
      <c r="Z788" s="391"/>
    </row>
    <row r="789">
      <c r="A789" s="391"/>
      <c r="B789" s="391"/>
      <c r="C789" s="391"/>
      <c r="D789" s="391"/>
      <c r="E789" s="391"/>
      <c r="F789" s="391"/>
      <c r="G789" s="391"/>
      <c r="H789" s="391"/>
      <c r="I789" s="391"/>
      <c r="J789" s="391"/>
      <c r="K789" s="391"/>
      <c r="L789" s="391"/>
      <c r="M789" s="391"/>
      <c r="N789" s="391"/>
      <c r="O789" s="391"/>
      <c r="P789" s="391"/>
      <c r="Q789" s="391"/>
      <c r="R789" s="391"/>
      <c r="S789" s="391"/>
      <c r="T789" s="391"/>
      <c r="U789" s="391"/>
      <c r="V789" s="391"/>
      <c r="W789" s="391"/>
      <c r="X789" s="391"/>
      <c r="Y789" s="391"/>
      <c r="Z789" s="391"/>
    </row>
    <row r="790">
      <c r="A790" s="391"/>
      <c r="B790" s="391"/>
      <c r="C790" s="391"/>
      <c r="D790" s="391"/>
      <c r="E790" s="391"/>
      <c r="F790" s="391"/>
      <c r="G790" s="391"/>
      <c r="H790" s="391"/>
      <c r="I790" s="391"/>
      <c r="J790" s="391"/>
      <c r="K790" s="391"/>
      <c r="L790" s="391"/>
      <c r="M790" s="391"/>
      <c r="N790" s="391"/>
      <c r="O790" s="391"/>
      <c r="P790" s="391"/>
      <c r="Q790" s="391"/>
      <c r="R790" s="391"/>
      <c r="S790" s="391"/>
      <c r="T790" s="391"/>
      <c r="U790" s="391"/>
      <c r="V790" s="391"/>
      <c r="W790" s="391"/>
      <c r="X790" s="391"/>
      <c r="Y790" s="391"/>
      <c r="Z790" s="391"/>
    </row>
    <row r="791">
      <c r="A791" s="391"/>
      <c r="B791" s="391"/>
      <c r="C791" s="391"/>
      <c r="D791" s="391"/>
      <c r="E791" s="391"/>
      <c r="F791" s="391"/>
      <c r="G791" s="391"/>
      <c r="H791" s="391"/>
      <c r="I791" s="391"/>
      <c r="J791" s="391"/>
      <c r="K791" s="391"/>
      <c r="L791" s="391"/>
      <c r="M791" s="391"/>
      <c r="N791" s="391"/>
      <c r="O791" s="391"/>
      <c r="P791" s="391"/>
      <c r="Q791" s="391"/>
      <c r="R791" s="391"/>
      <c r="S791" s="391"/>
      <c r="T791" s="391"/>
      <c r="U791" s="391"/>
      <c r="V791" s="391"/>
      <c r="W791" s="391"/>
      <c r="X791" s="391"/>
      <c r="Y791" s="391"/>
      <c r="Z791" s="391"/>
    </row>
    <row r="792">
      <c r="A792" s="391"/>
      <c r="B792" s="391"/>
      <c r="C792" s="391"/>
      <c r="D792" s="391"/>
      <c r="E792" s="391"/>
      <c r="F792" s="391"/>
      <c r="G792" s="391"/>
      <c r="H792" s="391"/>
      <c r="I792" s="391"/>
      <c r="J792" s="391"/>
      <c r="K792" s="391"/>
      <c r="L792" s="391"/>
      <c r="M792" s="391"/>
      <c r="N792" s="391"/>
      <c r="O792" s="391"/>
      <c r="P792" s="391"/>
      <c r="Q792" s="391"/>
      <c r="R792" s="391"/>
      <c r="S792" s="391"/>
      <c r="T792" s="391"/>
      <c r="U792" s="391"/>
      <c r="V792" s="391"/>
      <c r="W792" s="391"/>
      <c r="X792" s="391"/>
      <c r="Y792" s="391"/>
      <c r="Z792" s="391"/>
    </row>
    <row r="793">
      <c r="A793" s="391"/>
      <c r="B793" s="391"/>
      <c r="C793" s="391"/>
      <c r="D793" s="391"/>
      <c r="E793" s="391"/>
      <c r="F793" s="391"/>
      <c r="G793" s="391"/>
      <c r="H793" s="391"/>
      <c r="I793" s="391"/>
      <c r="J793" s="391"/>
      <c r="K793" s="391"/>
      <c r="L793" s="391"/>
      <c r="M793" s="391"/>
      <c r="N793" s="391"/>
      <c r="O793" s="391"/>
      <c r="P793" s="391"/>
      <c r="Q793" s="391"/>
      <c r="R793" s="391"/>
      <c r="S793" s="391"/>
      <c r="T793" s="391"/>
      <c r="U793" s="391"/>
      <c r="V793" s="391"/>
      <c r="W793" s="391"/>
      <c r="X793" s="391"/>
      <c r="Y793" s="391"/>
      <c r="Z793" s="391"/>
    </row>
    <row r="794">
      <c r="A794" s="391"/>
      <c r="B794" s="391"/>
      <c r="C794" s="391"/>
      <c r="D794" s="391"/>
      <c r="E794" s="391"/>
      <c r="F794" s="391"/>
      <c r="G794" s="391"/>
      <c r="H794" s="391"/>
      <c r="I794" s="391"/>
      <c r="J794" s="391"/>
      <c r="K794" s="391"/>
      <c r="L794" s="391"/>
      <c r="M794" s="391"/>
      <c r="N794" s="391"/>
      <c r="O794" s="391"/>
      <c r="P794" s="391"/>
      <c r="Q794" s="391"/>
      <c r="R794" s="391"/>
      <c r="S794" s="391"/>
      <c r="T794" s="391"/>
      <c r="U794" s="391"/>
      <c r="V794" s="391"/>
      <c r="W794" s="391"/>
      <c r="X794" s="391"/>
      <c r="Y794" s="391"/>
      <c r="Z794" s="391"/>
    </row>
    <row r="795">
      <c r="A795" s="391"/>
      <c r="B795" s="391"/>
      <c r="C795" s="391"/>
      <c r="D795" s="391"/>
      <c r="E795" s="391"/>
      <c r="F795" s="391"/>
      <c r="G795" s="391"/>
      <c r="H795" s="391"/>
      <c r="I795" s="391"/>
      <c r="J795" s="391"/>
      <c r="K795" s="391"/>
      <c r="L795" s="391"/>
      <c r="M795" s="391"/>
      <c r="N795" s="391"/>
      <c r="O795" s="391"/>
      <c r="P795" s="391"/>
      <c r="Q795" s="391"/>
      <c r="R795" s="391"/>
      <c r="S795" s="391"/>
      <c r="T795" s="391"/>
      <c r="U795" s="391"/>
      <c r="V795" s="391"/>
      <c r="W795" s="391"/>
      <c r="X795" s="391"/>
      <c r="Y795" s="391"/>
      <c r="Z795" s="391"/>
    </row>
    <row r="796">
      <c r="A796" s="391"/>
      <c r="B796" s="391"/>
      <c r="C796" s="391"/>
      <c r="D796" s="391"/>
      <c r="E796" s="391"/>
      <c r="F796" s="391"/>
      <c r="G796" s="391"/>
      <c r="H796" s="391"/>
      <c r="I796" s="391"/>
      <c r="J796" s="391"/>
      <c r="K796" s="391"/>
      <c r="L796" s="391"/>
      <c r="M796" s="391"/>
      <c r="N796" s="391"/>
      <c r="O796" s="391"/>
      <c r="P796" s="391"/>
      <c r="Q796" s="391"/>
      <c r="R796" s="391"/>
      <c r="S796" s="391"/>
      <c r="T796" s="391"/>
      <c r="U796" s="391"/>
      <c r="V796" s="391"/>
      <c r="W796" s="391"/>
      <c r="X796" s="391"/>
      <c r="Y796" s="391"/>
      <c r="Z796" s="391"/>
    </row>
    <row r="797">
      <c r="A797" s="391"/>
      <c r="B797" s="391"/>
      <c r="C797" s="391"/>
      <c r="D797" s="391"/>
      <c r="E797" s="391"/>
      <c r="F797" s="391"/>
      <c r="G797" s="391"/>
      <c r="H797" s="391"/>
      <c r="I797" s="391"/>
      <c r="J797" s="391"/>
      <c r="K797" s="391"/>
      <c r="L797" s="391"/>
      <c r="M797" s="391"/>
      <c r="N797" s="391"/>
      <c r="O797" s="391"/>
      <c r="P797" s="391"/>
      <c r="Q797" s="391"/>
      <c r="R797" s="391"/>
      <c r="S797" s="391"/>
      <c r="T797" s="391"/>
      <c r="U797" s="391"/>
      <c r="V797" s="391"/>
      <c r="W797" s="391"/>
      <c r="X797" s="391"/>
      <c r="Y797" s="391"/>
      <c r="Z797" s="391"/>
    </row>
    <row r="798">
      <c r="A798" s="391"/>
      <c r="B798" s="391"/>
      <c r="C798" s="391"/>
      <c r="D798" s="391"/>
      <c r="E798" s="391"/>
      <c r="F798" s="391"/>
      <c r="G798" s="391"/>
      <c r="H798" s="391"/>
      <c r="I798" s="391"/>
      <c r="J798" s="391"/>
      <c r="K798" s="391"/>
      <c r="L798" s="391"/>
      <c r="M798" s="391"/>
      <c r="N798" s="391"/>
      <c r="O798" s="391"/>
      <c r="P798" s="391"/>
      <c r="Q798" s="391"/>
      <c r="R798" s="391"/>
      <c r="S798" s="391"/>
      <c r="T798" s="391"/>
      <c r="U798" s="391"/>
      <c r="V798" s="391"/>
      <c r="W798" s="391"/>
      <c r="X798" s="391"/>
      <c r="Y798" s="391"/>
      <c r="Z798" s="391"/>
    </row>
    <row r="799">
      <c r="A799" s="391"/>
      <c r="B799" s="391"/>
      <c r="C799" s="391"/>
      <c r="D799" s="391"/>
      <c r="E799" s="391"/>
      <c r="F799" s="391"/>
      <c r="G799" s="391"/>
      <c r="H799" s="391"/>
      <c r="I799" s="391"/>
      <c r="J799" s="391"/>
      <c r="K799" s="391"/>
      <c r="L799" s="391"/>
      <c r="M799" s="391"/>
      <c r="N799" s="391"/>
      <c r="O799" s="391"/>
      <c r="P799" s="391"/>
      <c r="Q799" s="391"/>
      <c r="R799" s="391"/>
      <c r="S799" s="391"/>
      <c r="T799" s="391"/>
      <c r="U799" s="391"/>
      <c r="V799" s="391"/>
      <c r="W799" s="391"/>
      <c r="X799" s="391"/>
      <c r="Y799" s="391"/>
      <c r="Z799" s="391"/>
    </row>
    <row r="800">
      <c r="A800" s="391"/>
      <c r="B800" s="391"/>
      <c r="C800" s="391"/>
      <c r="D800" s="391"/>
      <c r="E800" s="391"/>
      <c r="F800" s="391"/>
      <c r="G800" s="391"/>
      <c r="H800" s="391"/>
      <c r="I800" s="391"/>
      <c r="J800" s="391"/>
      <c r="K800" s="391"/>
      <c r="L800" s="391"/>
      <c r="M800" s="391"/>
      <c r="N800" s="391"/>
      <c r="O800" s="391"/>
      <c r="P800" s="391"/>
      <c r="Q800" s="391"/>
      <c r="R800" s="391"/>
      <c r="S800" s="391"/>
      <c r="T800" s="391"/>
      <c r="U800" s="391"/>
      <c r="V800" s="391"/>
      <c r="W800" s="391"/>
      <c r="X800" s="391"/>
      <c r="Y800" s="391"/>
      <c r="Z800" s="391"/>
    </row>
    <row r="801">
      <c r="A801" s="391"/>
      <c r="B801" s="391"/>
      <c r="C801" s="391"/>
      <c r="D801" s="391"/>
      <c r="E801" s="391"/>
      <c r="F801" s="391"/>
      <c r="G801" s="391"/>
      <c r="H801" s="391"/>
      <c r="I801" s="391"/>
      <c r="J801" s="391"/>
      <c r="K801" s="391"/>
      <c r="L801" s="391"/>
      <c r="M801" s="391"/>
      <c r="N801" s="391"/>
      <c r="O801" s="391"/>
      <c r="P801" s="391"/>
      <c r="Q801" s="391"/>
      <c r="R801" s="391"/>
      <c r="S801" s="391"/>
      <c r="T801" s="391"/>
      <c r="U801" s="391"/>
      <c r="V801" s="391"/>
      <c r="W801" s="391"/>
      <c r="X801" s="391"/>
      <c r="Y801" s="391"/>
      <c r="Z801" s="391"/>
    </row>
    <row r="802">
      <c r="A802" s="391"/>
      <c r="B802" s="391"/>
      <c r="C802" s="391"/>
      <c r="D802" s="391"/>
      <c r="E802" s="391"/>
      <c r="F802" s="391"/>
      <c r="G802" s="391"/>
      <c r="H802" s="391"/>
      <c r="I802" s="391"/>
      <c r="J802" s="391"/>
      <c r="K802" s="391"/>
      <c r="L802" s="391"/>
      <c r="M802" s="391"/>
      <c r="N802" s="391"/>
      <c r="O802" s="391"/>
      <c r="P802" s="391"/>
      <c r="Q802" s="391"/>
      <c r="R802" s="391"/>
      <c r="S802" s="391"/>
      <c r="T802" s="391"/>
      <c r="U802" s="391"/>
      <c r="V802" s="391"/>
      <c r="W802" s="391"/>
      <c r="X802" s="391"/>
      <c r="Y802" s="391"/>
      <c r="Z802" s="391"/>
    </row>
    <row r="803">
      <c r="A803" s="391"/>
      <c r="B803" s="391"/>
      <c r="C803" s="391"/>
      <c r="D803" s="391"/>
      <c r="E803" s="391"/>
      <c r="F803" s="391"/>
      <c r="G803" s="391"/>
      <c r="H803" s="391"/>
      <c r="I803" s="391"/>
      <c r="J803" s="391"/>
      <c r="K803" s="391"/>
      <c r="L803" s="391"/>
      <c r="M803" s="391"/>
      <c r="N803" s="391"/>
      <c r="O803" s="391"/>
      <c r="P803" s="391"/>
      <c r="Q803" s="391"/>
      <c r="R803" s="391"/>
      <c r="S803" s="391"/>
      <c r="T803" s="391"/>
      <c r="U803" s="391"/>
      <c r="V803" s="391"/>
      <c r="W803" s="391"/>
      <c r="X803" s="391"/>
      <c r="Y803" s="391"/>
      <c r="Z803" s="391"/>
    </row>
    <row r="804">
      <c r="A804" s="391"/>
      <c r="B804" s="391"/>
      <c r="C804" s="391"/>
      <c r="D804" s="391"/>
      <c r="E804" s="391"/>
      <c r="F804" s="391"/>
      <c r="G804" s="391"/>
      <c r="H804" s="391"/>
      <c r="I804" s="391"/>
      <c r="J804" s="391"/>
      <c r="K804" s="391"/>
      <c r="L804" s="391"/>
      <c r="M804" s="391"/>
      <c r="N804" s="391"/>
      <c r="O804" s="391"/>
      <c r="P804" s="391"/>
      <c r="Q804" s="391"/>
      <c r="R804" s="391"/>
      <c r="S804" s="391"/>
      <c r="T804" s="391"/>
      <c r="U804" s="391"/>
      <c r="V804" s="391"/>
      <c r="W804" s="391"/>
      <c r="X804" s="391"/>
      <c r="Y804" s="391"/>
      <c r="Z804" s="391"/>
    </row>
    <row r="805">
      <c r="A805" s="391"/>
      <c r="B805" s="391"/>
      <c r="C805" s="391"/>
      <c r="D805" s="391"/>
      <c r="E805" s="391"/>
      <c r="F805" s="391"/>
      <c r="G805" s="391"/>
      <c r="H805" s="391"/>
      <c r="I805" s="391"/>
      <c r="J805" s="391"/>
      <c r="K805" s="391"/>
      <c r="L805" s="391"/>
      <c r="M805" s="391"/>
      <c r="N805" s="391"/>
      <c r="O805" s="391"/>
      <c r="P805" s="391"/>
      <c r="Q805" s="391"/>
      <c r="R805" s="391"/>
      <c r="S805" s="391"/>
      <c r="T805" s="391"/>
      <c r="U805" s="391"/>
      <c r="V805" s="391"/>
      <c r="W805" s="391"/>
      <c r="X805" s="391"/>
      <c r="Y805" s="391"/>
      <c r="Z805" s="391"/>
    </row>
    <row r="806">
      <c r="A806" s="391"/>
      <c r="B806" s="391"/>
      <c r="C806" s="391"/>
      <c r="D806" s="391"/>
      <c r="E806" s="391"/>
      <c r="F806" s="391"/>
      <c r="G806" s="391"/>
      <c r="H806" s="391"/>
      <c r="I806" s="391"/>
      <c r="J806" s="391"/>
      <c r="K806" s="391"/>
      <c r="L806" s="391"/>
      <c r="M806" s="391"/>
      <c r="N806" s="391"/>
      <c r="O806" s="391"/>
      <c r="P806" s="391"/>
      <c r="Q806" s="391"/>
      <c r="R806" s="391"/>
      <c r="S806" s="391"/>
      <c r="T806" s="391"/>
      <c r="U806" s="391"/>
      <c r="V806" s="391"/>
      <c r="W806" s="391"/>
      <c r="X806" s="391"/>
      <c r="Y806" s="391"/>
      <c r="Z806" s="391"/>
    </row>
    <row r="807">
      <c r="A807" s="391"/>
      <c r="B807" s="391"/>
      <c r="C807" s="391"/>
      <c r="D807" s="391"/>
      <c r="E807" s="391"/>
      <c r="F807" s="391"/>
      <c r="G807" s="391"/>
      <c r="H807" s="391"/>
      <c r="I807" s="391"/>
      <c r="J807" s="391"/>
      <c r="K807" s="391"/>
      <c r="L807" s="391"/>
      <c r="M807" s="391"/>
      <c r="N807" s="391"/>
      <c r="O807" s="391"/>
      <c r="P807" s="391"/>
      <c r="Q807" s="391"/>
      <c r="R807" s="391"/>
      <c r="S807" s="391"/>
      <c r="T807" s="391"/>
      <c r="U807" s="391"/>
      <c r="V807" s="391"/>
      <c r="W807" s="391"/>
      <c r="X807" s="391"/>
      <c r="Y807" s="391"/>
      <c r="Z807" s="391"/>
    </row>
    <row r="808">
      <c r="A808" s="391"/>
      <c r="B808" s="391"/>
      <c r="C808" s="391"/>
      <c r="D808" s="391"/>
      <c r="E808" s="391"/>
      <c r="F808" s="391"/>
      <c r="G808" s="391"/>
      <c r="H808" s="391"/>
      <c r="I808" s="391"/>
      <c r="J808" s="391"/>
      <c r="K808" s="391"/>
      <c r="L808" s="391"/>
      <c r="M808" s="391"/>
      <c r="N808" s="391"/>
      <c r="O808" s="391"/>
      <c r="P808" s="391"/>
      <c r="Q808" s="391"/>
      <c r="R808" s="391"/>
      <c r="S808" s="391"/>
      <c r="T808" s="391"/>
      <c r="U808" s="391"/>
      <c r="V808" s="391"/>
      <c r="W808" s="391"/>
      <c r="X808" s="391"/>
      <c r="Y808" s="391"/>
      <c r="Z808" s="391"/>
    </row>
    <row r="809">
      <c r="A809" s="391"/>
      <c r="B809" s="391"/>
      <c r="C809" s="391"/>
      <c r="D809" s="391"/>
      <c r="E809" s="391"/>
      <c r="F809" s="391"/>
      <c r="G809" s="391"/>
      <c r="H809" s="391"/>
      <c r="I809" s="391"/>
      <c r="J809" s="391"/>
      <c r="K809" s="391"/>
      <c r="L809" s="391"/>
      <c r="M809" s="391"/>
      <c r="N809" s="391"/>
      <c r="O809" s="391"/>
      <c r="P809" s="391"/>
      <c r="Q809" s="391"/>
      <c r="R809" s="391"/>
      <c r="S809" s="391"/>
      <c r="T809" s="391"/>
      <c r="U809" s="391"/>
      <c r="V809" s="391"/>
      <c r="W809" s="391"/>
      <c r="X809" s="391"/>
      <c r="Y809" s="391"/>
      <c r="Z809" s="391"/>
    </row>
    <row r="810">
      <c r="A810" s="391"/>
      <c r="B810" s="391"/>
      <c r="C810" s="391"/>
      <c r="D810" s="391"/>
      <c r="E810" s="391"/>
      <c r="F810" s="391"/>
      <c r="G810" s="391"/>
      <c r="H810" s="391"/>
      <c r="I810" s="391"/>
      <c r="J810" s="391"/>
      <c r="K810" s="391"/>
      <c r="L810" s="391"/>
      <c r="M810" s="391"/>
      <c r="N810" s="391"/>
      <c r="O810" s="391"/>
      <c r="P810" s="391"/>
      <c r="Q810" s="391"/>
      <c r="R810" s="391"/>
      <c r="S810" s="391"/>
      <c r="T810" s="391"/>
      <c r="U810" s="391"/>
      <c r="V810" s="391"/>
      <c r="W810" s="391"/>
      <c r="X810" s="391"/>
      <c r="Y810" s="391"/>
      <c r="Z810" s="391"/>
    </row>
    <row r="811">
      <c r="A811" s="391"/>
      <c r="B811" s="391"/>
      <c r="C811" s="391"/>
      <c r="D811" s="391"/>
      <c r="E811" s="391"/>
      <c r="F811" s="391"/>
      <c r="G811" s="391"/>
      <c r="H811" s="391"/>
      <c r="I811" s="391"/>
      <c r="J811" s="391"/>
      <c r="K811" s="391"/>
      <c r="L811" s="391"/>
      <c r="M811" s="391"/>
      <c r="N811" s="391"/>
      <c r="O811" s="391"/>
      <c r="P811" s="391"/>
      <c r="Q811" s="391"/>
      <c r="R811" s="391"/>
      <c r="S811" s="391"/>
      <c r="T811" s="391"/>
      <c r="U811" s="391"/>
      <c r="V811" s="391"/>
      <c r="W811" s="391"/>
      <c r="X811" s="391"/>
      <c r="Y811" s="391"/>
      <c r="Z811" s="391"/>
    </row>
    <row r="812">
      <c r="A812" s="391"/>
      <c r="B812" s="391"/>
      <c r="C812" s="391"/>
      <c r="D812" s="391"/>
      <c r="E812" s="391"/>
      <c r="F812" s="391"/>
      <c r="G812" s="391"/>
      <c r="H812" s="391"/>
      <c r="I812" s="391"/>
      <c r="J812" s="391"/>
      <c r="K812" s="391"/>
      <c r="L812" s="391"/>
      <c r="M812" s="391"/>
      <c r="N812" s="391"/>
      <c r="O812" s="391"/>
      <c r="P812" s="391"/>
      <c r="Q812" s="391"/>
      <c r="R812" s="391"/>
      <c r="S812" s="391"/>
      <c r="T812" s="391"/>
      <c r="U812" s="391"/>
      <c r="V812" s="391"/>
      <c r="W812" s="391"/>
      <c r="X812" s="391"/>
      <c r="Y812" s="391"/>
      <c r="Z812" s="391"/>
    </row>
    <row r="813">
      <c r="A813" s="391"/>
      <c r="B813" s="391"/>
      <c r="C813" s="391"/>
      <c r="D813" s="391"/>
      <c r="E813" s="391"/>
      <c r="F813" s="391"/>
      <c r="G813" s="391"/>
      <c r="H813" s="391"/>
      <c r="I813" s="391"/>
      <c r="J813" s="391"/>
      <c r="K813" s="391"/>
      <c r="L813" s="391"/>
      <c r="M813" s="391"/>
      <c r="N813" s="391"/>
      <c r="O813" s="391"/>
      <c r="P813" s="391"/>
      <c r="Q813" s="391"/>
      <c r="R813" s="391"/>
      <c r="S813" s="391"/>
      <c r="T813" s="391"/>
      <c r="U813" s="391"/>
      <c r="V813" s="391"/>
      <c r="W813" s="391"/>
      <c r="X813" s="391"/>
      <c r="Y813" s="391"/>
      <c r="Z813" s="391"/>
    </row>
    <row r="814">
      <c r="A814" s="391"/>
      <c r="B814" s="391"/>
      <c r="C814" s="391"/>
      <c r="D814" s="391"/>
      <c r="E814" s="391"/>
      <c r="F814" s="391"/>
      <c r="G814" s="391"/>
      <c r="H814" s="391"/>
      <c r="I814" s="391"/>
      <c r="J814" s="391"/>
      <c r="K814" s="391"/>
      <c r="L814" s="391"/>
      <c r="M814" s="391"/>
      <c r="N814" s="391"/>
      <c r="O814" s="391"/>
      <c r="P814" s="391"/>
      <c r="Q814" s="391"/>
      <c r="R814" s="391"/>
      <c r="S814" s="391"/>
      <c r="T814" s="391"/>
      <c r="U814" s="391"/>
      <c r="V814" s="391"/>
      <c r="W814" s="391"/>
      <c r="X814" s="391"/>
      <c r="Y814" s="391"/>
      <c r="Z814" s="391"/>
    </row>
    <row r="815">
      <c r="A815" s="391"/>
      <c r="B815" s="391"/>
      <c r="C815" s="391"/>
      <c r="D815" s="391"/>
      <c r="E815" s="391"/>
      <c r="F815" s="391"/>
      <c r="G815" s="391"/>
      <c r="H815" s="391"/>
      <c r="I815" s="391"/>
      <c r="J815" s="391"/>
      <c r="K815" s="391"/>
      <c r="L815" s="391"/>
      <c r="M815" s="391"/>
      <c r="N815" s="391"/>
      <c r="O815" s="391"/>
      <c r="P815" s="391"/>
      <c r="Q815" s="391"/>
      <c r="R815" s="391"/>
      <c r="S815" s="391"/>
      <c r="T815" s="391"/>
      <c r="U815" s="391"/>
      <c r="V815" s="391"/>
      <c r="W815" s="391"/>
      <c r="X815" s="391"/>
      <c r="Y815" s="391"/>
      <c r="Z815" s="391"/>
    </row>
    <row r="816">
      <c r="A816" s="391"/>
      <c r="B816" s="391"/>
      <c r="C816" s="391"/>
      <c r="D816" s="391"/>
      <c r="E816" s="391"/>
      <c r="F816" s="391"/>
      <c r="G816" s="391"/>
      <c r="H816" s="391"/>
      <c r="I816" s="391"/>
      <c r="J816" s="391"/>
      <c r="K816" s="391"/>
      <c r="L816" s="391"/>
      <c r="M816" s="391"/>
      <c r="N816" s="391"/>
      <c r="O816" s="391"/>
      <c r="P816" s="391"/>
      <c r="Q816" s="391"/>
      <c r="R816" s="391"/>
      <c r="S816" s="391"/>
      <c r="T816" s="391"/>
      <c r="U816" s="391"/>
      <c r="V816" s="391"/>
      <c r="W816" s="391"/>
      <c r="X816" s="391"/>
      <c r="Y816" s="391"/>
      <c r="Z816" s="391"/>
    </row>
    <row r="817">
      <c r="A817" s="391"/>
      <c r="B817" s="391"/>
      <c r="C817" s="391"/>
      <c r="D817" s="391"/>
      <c r="E817" s="391"/>
      <c r="F817" s="391"/>
      <c r="G817" s="391"/>
      <c r="H817" s="391"/>
      <c r="I817" s="391"/>
      <c r="J817" s="391"/>
      <c r="K817" s="391"/>
      <c r="L817" s="391"/>
      <c r="M817" s="391"/>
      <c r="N817" s="391"/>
      <c r="O817" s="391"/>
      <c r="P817" s="391"/>
      <c r="Q817" s="391"/>
      <c r="R817" s="391"/>
      <c r="S817" s="391"/>
      <c r="T817" s="391"/>
      <c r="U817" s="391"/>
      <c r="V817" s="391"/>
      <c r="W817" s="391"/>
      <c r="X817" s="391"/>
      <c r="Y817" s="391"/>
      <c r="Z817" s="391"/>
    </row>
    <row r="818">
      <c r="A818" s="391"/>
      <c r="B818" s="391"/>
      <c r="C818" s="391"/>
      <c r="D818" s="391"/>
      <c r="E818" s="391"/>
      <c r="F818" s="391"/>
      <c r="G818" s="391"/>
      <c r="H818" s="391"/>
      <c r="I818" s="391"/>
      <c r="J818" s="391"/>
      <c r="K818" s="391"/>
      <c r="L818" s="391"/>
      <c r="M818" s="391"/>
      <c r="N818" s="391"/>
      <c r="O818" s="391"/>
      <c r="P818" s="391"/>
      <c r="Q818" s="391"/>
      <c r="R818" s="391"/>
      <c r="S818" s="391"/>
      <c r="T818" s="391"/>
      <c r="U818" s="391"/>
      <c r="V818" s="391"/>
      <c r="W818" s="391"/>
      <c r="X818" s="391"/>
      <c r="Y818" s="391"/>
      <c r="Z818" s="391"/>
    </row>
    <row r="819">
      <c r="A819" s="391"/>
      <c r="B819" s="391"/>
      <c r="C819" s="391"/>
      <c r="D819" s="391"/>
      <c r="E819" s="391"/>
      <c r="F819" s="391"/>
      <c r="G819" s="391"/>
      <c r="H819" s="391"/>
      <c r="I819" s="391"/>
      <c r="J819" s="391"/>
      <c r="K819" s="391"/>
      <c r="L819" s="391"/>
      <c r="M819" s="391"/>
      <c r="N819" s="391"/>
      <c r="O819" s="391"/>
      <c r="P819" s="391"/>
      <c r="Q819" s="391"/>
      <c r="R819" s="391"/>
      <c r="S819" s="391"/>
      <c r="T819" s="391"/>
      <c r="U819" s="391"/>
      <c r="V819" s="391"/>
      <c r="W819" s="391"/>
      <c r="X819" s="391"/>
      <c r="Y819" s="391"/>
      <c r="Z819" s="391"/>
    </row>
    <row r="820">
      <c r="A820" s="391"/>
      <c r="B820" s="391"/>
      <c r="C820" s="391"/>
      <c r="D820" s="391"/>
      <c r="E820" s="391"/>
      <c r="F820" s="391"/>
      <c r="G820" s="391"/>
      <c r="H820" s="391"/>
      <c r="I820" s="391"/>
      <c r="J820" s="391"/>
      <c r="K820" s="391"/>
      <c r="L820" s="391"/>
      <c r="M820" s="391"/>
      <c r="N820" s="391"/>
      <c r="O820" s="391"/>
      <c r="P820" s="391"/>
      <c r="Q820" s="391"/>
      <c r="R820" s="391"/>
      <c r="S820" s="391"/>
      <c r="T820" s="391"/>
      <c r="U820" s="391"/>
      <c r="V820" s="391"/>
      <c r="W820" s="391"/>
      <c r="X820" s="391"/>
      <c r="Y820" s="391"/>
      <c r="Z820" s="391"/>
    </row>
    <row r="821">
      <c r="A821" s="391"/>
      <c r="B821" s="391"/>
      <c r="C821" s="391"/>
      <c r="D821" s="391"/>
      <c r="E821" s="391"/>
      <c r="F821" s="391"/>
      <c r="G821" s="391"/>
      <c r="H821" s="391"/>
      <c r="I821" s="391"/>
      <c r="J821" s="391"/>
      <c r="K821" s="391"/>
      <c r="L821" s="391"/>
      <c r="M821" s="391"/>
      <c r="N821" s="391"/>
      <c r="O821" s="391"/>
      <c r="P821" s="391"/>
      <c r="Q821" s="391"/>
      <c r="R821" s="391"/>
      <c r="S821" s="391"/>
      <c r="T821" s="391"/>
      <c r="U821" s="391"/>
      <c r="V821" s="391"/>
      <c r="W821" s="391"/>
      <c r="X821" s="391"/>
      <c r="Y821" s="391"/>
      <c r="Z821" s="391"/>
    </row>
    <row r="822">
      <c r="A822" s="391"/>
      <c r="B822" s="391"/>
      <c r="C822" s="391"/>
      <c r="D822" s="391"/>
      <c r="E822" s="391"/>
      <c r="F822" s="391"/>
      <c r="G822" s="391"/>
      <c r="H822" s="391"/>
      <c r="I822" s="391"/>
      <c r="J822" s="391"/>
      <c r="K822" s="391"/>
      <c r="L822" s="391"/>
      <c r="M822" s="391"/>
      <c r="N822" s="391"/>
      <c r="O822" s="391"/>
      <c r="P822" s="391"/>
      <c r="Q822" s="391"/>
      <c r="R822" s="391"/>
      <c r="S822" s="391"/>
      <c r="T822" s="391"/>
      <c r="U822" s="391"/>
      <c r="V822" s="391"/>
      <c r="W822" s="391"/>
      <c r="X822" s="391"/>
      <c r="Y822" s="391"/>
      <c r="Z822" s="391"/>
    </row>
    <row r="823">
      <c r="A823" s="391"/>
      <c r="B823" s="391"/>
      <c r="C823" s="391"/>
      <c r="D823" s="391"/>
      <c r="E823" s="391"/>
      <c r="F823" s="391"/>
      <c r="G823" s="391"/>
      <c r="H823" s="391"/>
      <c r="I823" s="391"/>
      <c r="J823" s="391"/>
      <c r="K823" s="391"/>
      <c r="L823" s="391"/>
      <c r="M823" s="391"/>
      <c r="N823" s="391"/>
      <c r="O823" s="391"/>
      <c r="P823" s="391"/>
      <c r="Q823" s="391"/>
      <c r="R823" s="391"/>
      <c r="S823" s="391"/>
      <c r="T823" s="391"/>
      <c r="U823" s="391"/>
      <c r="V823" s="391"/>
      <c r="W823" s="391"/>
      <c r="X823" s="391"/>
      <c r="Y823" s="391"/>
      <c r="Z823" s="391"/>
    </row>
    <row r="824">
      <c r="A824" s="391"/>
      <c r="B824" s="391"/>
      <c r="C824" s="391"/>
      <c r="D824" s="391"/>
      <c r="E824" s="391"/>
      <c r="F824" s="391"/>
      <c r="G824" s="391"/>
      <c r="H824" s="391"/>
      <c r="I824" s="391"/>
      <c r="J824" s="391"/>
      <c r="K824" s="391"/>
      <c r="L824" s="391"/>
      <c r="M824" s="391"/>
      <c r="N824" s="391"/>
      <c r="O824" s="391"/>
      <c r="P824" s="391"/>
      <c r="Q824" s="391"/>
      <c r="R824" s="391"/>
      <c r="S824" s="391"/>
      <c r="T824" s="391"/>
      <c r="U824" s="391"/>
      <c r="V824" s="391"/>
      <c r="W824" s="391"/>
      <c r="X824" s="391"/>
      <c r="Y824" s="391"/>
      <c r="Z824" s="391"/>
    </row>
    <row r="825">
      <c r="A825" s="391"/>
      <c r="B825" s="391"/>
      <c r="C825" s="391"/>
      <c r="D825" s="391"/>
      <c r="E825" s="391"/>
      <c r="F825" s="391"/>
      <c r="G825" s="391"/>
      <c r="H825" s="391"/>
      <c r="I825" s="391"/>
      <c r="J825" s="391"/>
      <c r="K825" s="391"/>
      <c r="L825" s="391"/>
      <c r="M825" s="391"/>
      <c r="N825" s="391"/>
      <c r="O825" s="391"/>
      <c r="P825" s="391"/>
      <c r="Q825" s="391"/>
      <c r="R825" s="391"/>
      <c r="S825" s="391"/>
      <c r="T825" s="391"/>
      <c r="U825" s="391"/>
      <c r="V825" s="391"/>
      <c r="W825" s="391"/>
      <c r="X825" s="391"/>
      <c r="Y825" s="391"/>
      <c r="Z825" s="391"/>
    </row>
    <row r="826">
      <c r="A826" s="391"/>
      <c r="B826" s="391"/>
      <c r="C826" s="391"/>
      <c r="D826" s="391"/>
      <c r="E826" s="391"/>
      <c r="F826" s="391"/>
      <c r="G826" s="391"/>
      <c r="H826" s="391"/>
      <c r="I826" s="391"/>
      <c r="J826" s="391"/>
      <c r="K826" s="391"/>
      <c r="L826" s="391"/>
      <c r="M826" s="391"/>
      <c r="N826" s="391"/>
      <c r="O826" s="391"/>
      <c r="P826" s="391"/>
      <c r="Q826" s="391"/>
      <c r="R826" s="391"/>
      <c r="S826" s="391"/>
      <c r="T826" s="391"/>
      <c r="U826" s="391"/>
      <c r="V826" s="391"/>
      <c r="W826" s="391"/>
      <c r="X826" s="391"/>
      <c r="Y826" s="391"/>
      <c r="Z826" s="391"/>
    </row>
    <row r="827">
      <c r="A827" s="391"/>
      <c r="B827" s="391"/>
      <c r="C827" s="391"/>
      <c r="D827" s="391"/>
      <c r="E827" s="391"/>
      <c r="F827" s="391"/>
      <c r="G827" s="391"/>
      <c r="H827" s="391"/>
      <c r="I827" s="391"/>
      <c r="J827" s="391"/>
      <c r="K827" s="391"/>
      <c r="L827" s="391"/>
      <c r="M827" s="391"/>
      <c r="N827" s="391"/>
      <c r="O827" s="391"/>
      <c r="P827" s="391"/>
      <c r="Q827" s="391"/>
      <c r="R827" s="391"/>
      <c r="S827" s="391"/>
      <c r="T827" s="391"/>
      <c r="U827" s="391"/>
      <c r="V827" s="391"/>
      <c r="W827" s="391"/>
      <c r="X827" s="391"/>
      <c r="Y827" s="391"/>
      <c r="Z827" s="391"/>
    </row>
    <row r="828">
      <c r="A828" s="391"/>
      <c r="B828" s="391"/>
      <c r="C828" s="391"/>
      <c r="D828" s="391"/>
      <c r="E828" s="391"/>
      <c r="F828" s="391"/>
      <c r="G828" s="391"/>
      <c r="H828" s="391"/>
      <c r="I828" s="391"/>
      <c r="J828" s="391"/>
      <c r="K828" s="391"/>
      <c r="L828" s="391"/>
      <c r="M828" s="391"/>
      <c r="N828" s="391"/>
      <c r="O828" s="391"/>
      <c r="P828" s="391"/>
      <c r="Q828" s="391"/>
      <c r="R828" s="391"/>
      <c r="S828" s="391"/>
      <c r="T828" s="391"/>
      <c r="U828" s="391"/>
      <c r="V828" s="391"/>
      <c r="W828" s="391"/>
      <c r="X828" s="391"/>
      <c r="Y828" s="391"/>
      <c r="Z828" s="391"/>
    </row>
    <row r="829">
      <c r="A829" s="391"/>
      <c r="B829" s="391"/>
      <c r="C829" s="391"/>
      <c r="D829" s="391"/>
      <c r="E829" s="391"/>
      <c r="F829" s="391"/>
      <c r="G829" s="391"/>
      <c r="H829" s="391"/>
      <c r="I829" s="391"/>
      <c r="J829" s="391"/>
      <c r="K829" s="391"/>
      <c r="L829" s="391"/>
      <c r="M829" s="391"/>
      <c r="N829" s="391"/>
      <c r="O829" s="391"/>
      <c r="P829" s="391"/>
      <c r="Q829" s="391"/>
      <c r="R829" s="391"/>
      <c r="S829" s="391"/>
      <c r="T829" s="391"/>
      <c r="U829" s="391"/>
      <c r="V829" s="391"/>
      <c r="W829" s="391"/>
      <c r="X829" s="391"/>
      <c r="Y829" s="391"/>
      <c r="Z829" s="391"/>
    </row>
    <row r="830">
      <c r="A830" s="391"/>
      <c r="B830" s="391"/>
      <c r="C830" s="391"/>
      <c r="D830" s="391"/>
      <c r="E830" s="391"/>
      <c r="F830" s="391"/>
      <c r="G830" s="391"/>
      <c r="H830" s="391"/>
      <c r="I830" s="391"/>
      <c r="J830" s="391"/>
      <c r="K830" s="391"/>
      <c r="L830" s="391"/>
      <c r="M830" s="391"/>
      <c r="N830" s="391"/>
      <c r="O830" s="391"/>
      <c r="P830" s="391"/>
      <c r="Q830" s="391"/>
      <c r="R830" s="391"/>
      <c r="S830" s="391"/>
      <c r="T830" s="391"/>
      <c r="U830" s="391"/>
      <c r="V830" s="391"/>
      <c r="W830" s="391"/>
      <c r="X830" s="391"/>
      <c r="Y830" s="391"/>
      <c r="Z830" s="391"/>
    </row>
    <row r="831">
      <c r="A831" s="391"/>
      <c r="B831" s="391"/>
      <c r="C831" s="391"/>
      <c r="D831" s="391"/>
      <c r="E831" s="391"/>
      <c r="F831" s="391"/>
      <c r="G831" s="391"/>
      <c r="H831" s="391"/>
      <c r="I831" s="391"/>
      <c r="J831" s="391"/>
      <c r="K831" s="391"/>
      <c r="L831" s="391"/>
      <c r="M831" s="391"/>
      <c r="N831" s="391"/>
      <c r="O831" s="391"/>
      <c r="P831" s="391"/>
      <c r="Q831" s="391"/>
      <c r="R831" s="391"/>
      <c r="S831" s="391"/>
      <c r="T831" s="391"/>
      <c r="U831" s="391"/>
      <c r="V831" s="391"/>
      <c r="W831" s="391"/>
      <c r="X831" s="391"/>
      <c r="Y831" s="391"/>
      <c r="Z831" s="391"/>
    </row>
    <row r="832">
      <c r="A832" s="391"/>
      <c r="B832" s="391"/>
      <c r="C832" s="391"/>
      <c r="D832" s="391"/>
      <c r="E832" s="391"/>
      <c r="F832" s="391"/>
      <c r="G832" s="391"/>
      <c r="H832" s="391"/>
      <c r="I832" s="391"/>
      <c r="J832" s="391"/>
      <c r="K832" s="391"/>
      <c r="L832" s="391"/>
      <c r="M832" s="391"/>
      <c r="N832" s="391"/>
      <c r="O832" s="391"/>
      <c r="P832" s="391"/>
      <c r="Q832" s="391"/>
      <c r="R832" s="391"/>
      <c r="S832" s="391"/>
      <c r="T832" s="391"/>
      <c r="U832" s="391"/>
      <c r="V832" s="391"/>
      <c r="W832" s="391"/>
      <c r="X832" s="391"/>
      <c r="Y832" s="391"/>
      <c r="Z832" s="391"/>
    </row>
    <row r="833">
      <c r="A833" s="391"/>
      <c r="B833" s="391"/>
      <c r="C833" s="391"/>
      <c r="D833" s="391"/>
      <c r="E833" s="391"/>
      <c r="F833" s="391"/>
      <c r="G833" s="391"/>
      <c r="H833" s="391"/>
      <c r="I833" s="391"/>
      <c r="J833" s="391"/>
      <c r="K833" s="391"/>
      <c r="L833" s="391"/>
      <c r="M833" s="391"/>
      <c r="N833" s="391"/>
      <c r="O833" s="391"/>
      <c r="P833" s="391"/>
      <c r="Q833" s="391"/>
      <c r="R833" s="391"/>
      <c r="S833" s="391"/>
      <c r="T833" s="391"/>
      <c r="U833" s="391"/>
      <c r="V833" s="391"/>
      <c r="W833" s="391"/>
      <c r="X833" s="391"/>
      <c r="Y833" s="391"/>
      <c r="Z833" s="391"/>
    </row>
    <row r="834">
      <c r="A834" s="391"/>
      <c r="B834" s="391"/>
      <c r="C834" s="391"/>
      <c r="D834" s="391"/>
      <c r="E834" s="391"/>
      <c r="F834" s="391"/>
      <c r="G834" s="391"/>
      <c r="H834" s="391"/>
      <c r="I834" s="391"/>
      <c r="J834" s="391"/>
      <c r="K834" s="391"/>
      <c r="L834" s="391"/>
      <c r="M834" s="391"/>
      <c r="N834" s="391"/>
      <c r="O834" s="391"/>
      <c r="P834" s="391"/>
      <c r="Q834" s="391"/>
      <c r="R834" s="391"/>
      <c r="S834" s="391"/>
      <c r="T834" s="391"/>
      <c r="U834" s="391"/>
      <c r="V834" s="391"/>
      <c r="W834" s="391"/>
      <c r="X834" s="391"/>
      <c r="Y834" s="391"/>
      <c r="Z834" s="391"/>
    </row>
    <row r="835">
      <c r="A835" s="391"/>
      <c r="B835" s="391"/>
      <c r="C835" s="391"/>
      <c r="D835" s="391"/>
      <c r="E835" s="391"/>
      <c r="F835" s="391"/>
      <c r="G835" s="391"/>
      <c r="H835" s="391"/>
      <c r="I835" s="391"/>
      <c r="J835" s="391"/>
      <c r="K835" s="391"/>
      <c r="L835" s="391"/>
      <c r="M835" s="391"/>
      <c r="N835" s="391"/>
      <c r="O835" s="391"/>
      <c r="P835" s="391"/>
      <c r="Q835" s="391"/>
      <c r="R835" s="391"/>
      <c r="S835" s="391"/>
      <c r="T835" s="391"/>
      <c r="U835" s="391"/>
      <c r="V835" s="391"/>
      <c r="W835" s="391"/>
      <c r="X835" s="391"/>
      <c r="Y835" s="391"/>
      <c r="Z835" s="391"/>
    </row>
    <row r="836">
      <c r="A836" s="391"/>
      <c r="B836" s="391"/>
      <c r="C836" s="391"/>
      <c r="D836" s="391"/>
      <c r="E836" s="391"/>
      <c r="F836" s="391"/>
      <c r="G836" s="391"/>
      <c r="H836" s="391"/>
      <c r="I836" s="391"/>
      <c r="J836" s="391"/>
      <c r="K836" s="391"/>
      <c r="L836" s="391"/>
      <c r="M836" s="391"/>
      <c r="N836" s="391"/>
      <c r="O836" s="391"/>
      <c r="P836" s="391"/>
      <c r="Q836" s="391"/>
      <c r="R836" s="391"/>
      <c r="S836" s="391"/>
      <c r="T836" s="391"/>
      <c r="U836" s="391"/>
      <c r="V836" s="391"/>
      <c r="W836" s="391"/>
      <c r="X836" s="391"/>
      <c r="Y836" s="391"/>
      <c r="Z836" s="391"/>
    </row>
    <row r="837">
      <c r="A837" s="391"/>
      <c r="B837" s="391"/>
      <c r="C837" s="391"/>
      <c r="D837" s="391"/>
      <c r="E837" s="391"/>
      <c r="F837" s="391"/>
      <c r="G837" s="391"/>
      <c r="H837" s="391"/>
      <c r="I837" s="391"/>
      <c r="J837" s="391"/>
      <c r="K837" s="391"/>
      <c r="L837" s="391"/>
      <c r="M837" s="391"/>
      <c r="N837" s="391"/>
      <c r="O837" s="391"/>
      <c r="P837" s="391"/>
      <c r="Q837" s="391"/>
      <c r="R837" s="391"/>
      <c r="S837" s="391"/>
      <c r="T837" s="391"/>
      <c r="U837" s="391"/>
      <c r="V837" s="391"/>
      <c r="W837" s="391"/>
      <c r="X837" s="391"/>
      <c r="Y837" s="391"/>
      <c r="Z837" s="391"/>
    </row>
    <row r="838">
      <c r="A838" s="391"/>
      <c r="B838" s="391"/>
      <c r="C838" s="391"/>
      <c r="D838" s="391"/>
      <c r="E838" s="391"/>
      <c r="F838" s="391"/>
      <c r="G838" s="391"/>
      <c r="H838" s="391"/>
      <c r="I838" s="391"/>
      <c r="J838" s="391"/>
      <c r="K838" s="391"/>
      <c r="L838" s="391"/>
      <c r="M838" s="391"/>
      <c r="N838" s="391"/>
      <c r="O838" s="391"/>
      <c r="P838" s="391"/>
      <c r="Q838" s="391"/>
      <c r="R838" s="391"/>
      <c r="S838" s="391"/>
      <c r="T838" s="391"/>
      <c r="U838" s="391"/>
      <c r="V838" s="391"/>
      <c r="W838" s="391"/>
      <c r="X838" s="391"/>
      <c r="Y838" s="391"/>
      <c r="Z838" s="391"/>
    </row>
    <row r="839">
      <c r="A839" s="391"/>
      <c r="B839" s="391"/>
      <c r="C839" s="391"/>
      <c r="D839" s="391"/>
      <c r="E839" s="391"/>
      <c r="F839" s="391"/>
      <c r="G839" s="391"/>
      <c r="H839" s="391"/>
      <c r="I839" s="391"/>
      <c r="J839" s="391"/>
      <c r="K839" s="391"/>
      <c r="L839" s="391"/>
      <c r="M839" s="391"/>
      <c r="N839" s="391"/>
      <c r="O839" s="391"/>
      <c r="P839" s="391"/>
      <c r="Q839" s="391"/>
      <c r="R839" s="391"/>
      <c r="S839" s="391"/>
      <c r="T839" s="391"/>
      <c r="U839" s="391"/>
      <c r="V839" s="391"/>
      <c r="W839" s="391"/>
      <c r="X839" s="391"/>
      <c r="Y839" s="391"/>
      <c r="Z839" s="391"/>
    </row>
    <row r="840">
      <c r="A840" s="391"/>
      <c r="B840" s="391"/>
      <c r="C840" s="391"/>
      <c r="D840" s="391"/>
      <c r="E840" s="391"/>
      <c r="F840" s="391"/>
      <c r="G840" s="391"/>
      <c r="H840" s="391"/>
      <c r="I840" s="391"/>
      <c r="J840" s="391"/>
      <c r="K840" s="391"/>
      <c r="L840" s="391"/>
      <c r="M840" s="391"/>
      <c r="N840" s="391"/>
      <c r="O840" s="391"/>
      <c r="P840" s="391"/>
      <c r="Q840" s="391"/>
      <c r="R840" s="391"/>
      <c r="S840" s="391"/>
      <c r="T840" s="391"/>
      <c r="U840" s="391"/>
      <c r="V840" s="391"/>
      <c r="W840" s="391"/>
      <c r="X840" s="391"/>
      <c r="Y840" s="391"/>
      <c r="Z840" s="391"/>
    </row>
    <row r="841">
      <c r="A841" s="391"/>
      <c r="B841" s="391"/>
      <c r="C841" s="391"/>
      <c r="D841" s="391"/>
      <c r="E841" s="391"/>
      <c r="F841" s="391"/>
      <c r="G841" s="391"/>
      <c r="H841" s="391"/>
      <c r="I841" s="391"/>
      <c r="J841" s="391"/>
      <c r="K841" s="391"/>
      <c r="L841" s="391"/>
      <c r="M841" s="391"/>
      <c r="N841" s="391"/>
      <c r="O841" s="391"/>
      <c r="P841" s="391"/>
      <c r="Q841" s="391"/>
      <c r="R841" s="391"/>
      <c r="S841" s="391"/>
      <c r="T841" s="391"/>
      <c r="U841" s="391"/>
      <c r="V841" s="391"/>
      <c r="W841" s="391"/>
      <c r="X841" s="391"/>
      <c r="Y841" s="391"/>
      <c r="Z841" s="391"/>
    </row>
    <row r="842">
      <c r="A842" s="391"/>
      <c r="B842" s="391"/>
      <c r="C842" s="391"/>
      <c r="D842" s="391"/>
      <c r="E842" s="391"/>
      <c r="F842" s="391"/>
      <c r="G842" s="391"/>
      <c r="H842" s="391"/>
      <c r="I842" s="391"/>
      <c r="J842" s="391"/>
      <c r="K842" s="391"/>
      <c r="L842" s="391"/>
      <c r="M842" s="391"/>
      <c r="N842" s="391"/>
      <c r="O842" s="391"/>
      <c r="P842" s="391"/>
      <c r="Q842" s="391"/>
      <c r="R842" s="391"/>
      <c r="S842" s="391"/>
      <c r="T842" s="391"/>
      <c r="U842" s="391"/>
      <c r="V842" s="391"/>
      <c r="W842" s="391"/>
      <c r="X842" s="391"/>
      <c r="Y842" s="391"/>
      <c r="Z842" s="391"/>
    </row>
    <row r="843">
      <c r="A843" s="391"/>
      <c r="B843" s="391"/>
      <c r="C843" s="391"/>
      <c r="D843" s="391"/>
      <c r="E843" s="391"/>
      <c r="F843" s="391"/>
      <c r="G843" s="391"/>
      <c r="H843" s="391"/>
      <c r="I843" s="391"/>
      <c r="J843" s="391"/>
      <c r="K843" s="391"/>
      <c r="L843" s="391"/>
      <c r="M843" s="391"/>
      <c r="N843" s="391"/>
      <c r="O843" s="391"/>
      <c r="P843" s="391"/>
      <c r="Q843" s="391"/>
      <c r="R843" s="391"/>
      <c r="S843" s="391"/>
      <c r="T843" s="391"/>
      <c r="U843" s="391"/>
      <c r="V843" s="391"/>
      <c r="W843" s="391"/>
      <c r="X843" s="391"/>
      <c r="Y843" s="391"/>
      <c r="Z843" s="391"/>
    </row>
    <row r="844">
      <c r="A844" s="391"/>
      <c r="B844" s="391"/>
      <c r="C844" s="391"/>
      <c r="D844" s="391"/>
      <c r="E844" s="391"/>
      <c r="F844" s="391"/>
      <c r="G844" s="391"/>
      <c r="H844" s="391"/>
      <c r="I844" s="391"/>
      <c r="J844" s="391"/>
      <c r="K844" s="391"/>
      <c r="L844" s="391"/>
      <c r="M844" s="391"/>
      <c r="N844" s="391"/>
      <c r="O844" s="391"/>
      <c r="P844" s="391"/>
      <c r="Q844" s="391"/>
      <c r="R844" s="391"/>
      <c r="S844" s="391"/>
      <c r="T844" s="391"/>
      <c r="U844" s="391"/>
      <c r="V844" s="391"/>
      <c r="W844" s="391"/>
      <c r="X844" s="391"/>
      <c r="Y844" s="391"/>
      <c r="Z844" s="391"/>
    </row>
    <row r="845">
      <c r="A845" s="391"/>
      <c r="B845" s="391"/>
      <c r="C845" s="391"/>
      <c r="D845" s="391"/>
      <c r="E845" s="391"/>
      <c r="F845" s="391"/>
      <c r="G845" s="391"/>
      <c r="H845" s="391"/>
      <c r="I845" s="391"/>
      <c r="J845" s="391"/>
      <c r="K845" s="391"/>
      <c r="L845" s="391"/>
      <c r="M845" s="391"/>
      <c r="N845" s="391"/>
      <c r="O845" s="391"/>
      <c r="P845" s="391"/>
      <c r="Q845" s="391"/>
      <c r="R845" s="391"/>
      <c r="S845" s="391"/>
      <c r="T845" s="391"/>
      <c r="U845" s="391"/>
      <c r="V845" s="391"/>
      <c r="W845" s="391"/>
      <c r="X845" s="391"/>
      <c r="Y845" s="391"/>
      <c r="Z845" s="391"/>
    </row>
    <row r="846">
      <c r="A846" s="391"/>
      <c r="B846" s="391"/>
      <c r="C846" s="391"/>
      <c r="D846" s="391"/>
      <c r="E846" s="391"/>
      <c r="F846" s="391"/>
      <c r="G846" s="391"/>
      <c r="H846" s="391"/>
      <c r="I846" s="391"/>
      <c r="J846" s="391"/>
      <c r="K846" s="391"/>
      <c r="L846" s="391"/>
      <c r="M846" s="391"/>
      <c r="N846" s="391"/>
      <c r="O846" s="391"/>
      <c r="P846" s="391"/>
      <c r="Q846" s="391"/>
      <c r="R846" s="391"/>
      <c r="S846" s="391"/>
      <c r="T846" s="391"/>
      <c r="U846" s="391"/>
      <c r="V846" s="391"/>
      <c r="W846" s="391"/>
      <c r="X846" s="391"/>
      <c r="Y846" s="391"/>
      <c r="Z846" s="391"/>
    </row>
    <row r="847">
      <c r="A847" s="391"/>
      <c r="B847" s="391"/>
      <c r="C847" s="391"/>
      <c r="D847" s="391"/>
      <c r="E847" s="391"/>
      <c r="F847" s="391"/>
      <c r="G847" s="391"/>
      <c r="H847" s="391"/>
      <c r="I847" s="391"/>
      <c r="J847" s="391"/>
      <c r="K847" s="391"/>
      <c r="L847" s="391"/>
      <c r="M847" s="391"/>
      <c r="N847" s="391"/>
      <c r="O847" s="391"/>
      <c r="P847" s="391"/>
      <c r="Q847" s="391"/>
      <c r="R847" s="391"/>
      <c r="S847" s="391"/>
      <c r="T847" s="391"/>
      <c r="U847" s="391"/>
      <c r="V847" s="391"/>
      <c r="W847" s="391"/>
      <c r="X847" s="391"/>
      <c r="Y847" s="391"/>
      <c r="Z847" s="391"/>
    </row>
    <row r="848">
      <c r="A848" s="391"/>
      <c r="B848" s="391"/>
      <c r="C848" s="391"/>
      <c r="D848" s="391"/>
      <c r="E848" s="391"/>
      <c r="F848" s="391"/>
      <c r="G848" s="391"/>
      <c r="H848" s="391"/>
      <c r="I848" s="391"/>
      <c r="J848" s="391"/>
      <c r="K848" s="391"/>
      <c r="L848" s="391"/>
      <c r="M848" s="391"/>
      <c r="N848" s="391"/>
      <c r="O848" s="391"/>
      <c r="P848" s="391"/>
      <c r="Q848" s="391"/>
      <c r="R848" s="391"/>
      <c r="S848" s="391"/>
      <c r="T848" s="391"/>
      <c r="U848" s="391"/>
      <c r="V848" s="391"/>
      <c r="W848" s="391"/>
      <c r="X848" s="391"/>
      <c r="Y848" s="391"/>
      <c r="Z848" s="391"/>
    </row>
    <row r="849">
      <c r="A849" s="391"/>
      <c r="B849" s="391"/>
      <c r="C849" s="391"/>
      <c r="D849" s="391"/>
      <c r="E849" s="391"/>
      <c r="F849" s="391"/>
      <c r="G849" s="391"/>
      <c r="H849" s="391"/>
      <c r="I849" s="391"/>
      <c r="J849" s="391"/>
      <c r="K849" s="391"/>
      <c r="L849" s="391"/>
      <c r="M849" s="391"/>
      <c r="N849" s="391"/>
      <c r="O849" s="391"/>
      <c r="P849" s="391"/>
      <c r="Q849" s="391"/>
      <c r="R849" s="391"/>
      <c r="S849" s="391"/>
      <c r="T849" s="391"/>
      <c r="U849" s="391"/>
      <c r="V849" s="391"/>
      <c r="W849" s="391"/>
      <c r="X849" s="391"/>
      <c r="Y849" s="391"/>
      <c r="Z849" s="391"/>
    </row>
    <row r="850">
      <c r="A850" s="391"/>
      <c r="B850" s="391"/>
      <c r="C850" s="391"/>
      <c r="D850" s="391"/>
      <c r="E850" s="391"/>
      <c r="F850" s="391"/>
      <c r="G850" s="391"/>
      <c r="H850" s="391"/>
      <c r="I850" s="391"/>
      <c r="J850" s="391"/>
      <c r="K850" s="391"/>
      <c r="L850" s="391"/>
      <c r="M850" s="391"/>
      <c r="N850" s="391"/>
      <c r="O850" s="391"/>
      <c r="P850" s="391"/>
      <c r="Q850" s="391"/>
      <c r="R850" s="391"/>
      <c r="S850" s="391"/>
      <c r="T850" s="391"/>
      <c r="U850" s="391"/>
      <c r="V850" s="391"/>
      <c r="W850" s="391"/>
      <c r="X850" s="391"/>
      <c r="Y850" s="391"/>
      <c r="Z850" s="391"/>
    </row>
    <row r="851">
      <c r="A851" s="391"/>
      <c r="B851" s="391"/>
      <c r="C851" s="391"/>
      <c r="D851" s="391"/>
      <c r="E851" s="391"/>
      <c r="F851" s="391"/>
      <c r="G851" s="391"/>
      <c r="H851" s="391"/>
      <c r="I851" s="391"/>
      <c r="J851" s="391"/>
      <c r="K851" s="391"/>
      <c r="L851" s="391"/>
      <c r="M851" s="391"/>
      <c r="N851" s="391"/>
      <c r="O851" s="391"/>
      <c r="P851" s="391"/>
      <c r="Q851" s="391"/>
      <c r="R851" s="391"/>
      <c r="S851" s="391"/>
      <c r="T851" s="391"/>
      <c r="U851" s="391"/>
      <c r="V851" s="391"/>
      <c r="W851" s="391"/>
      <c r="X851" s="391"/>
      <c r="Y851" s="391"/>
      <c r="Z851" s="391"/>
    </row>
    <row r="852">
      <c r="A852" s="391"/>
      <c r="B852" s="391"/>
      <c r="C852" s="391"/>
      <c r="D852" s="391"/>
      <c r="E852" s="391"/>
      <c r="F852" s="391"/>
      <c r="G852" s="391"/>
      <c r="H852" s="391"/>
      <c r="I852" s="391"/>
      <c r="J852" s="391"/>
      <c r="K852" s="391"/>
      <c r="L852" s="391"/>
      <c r="M852" s="391"/>
      <c r="N852" s="391"/>
      <c r="O852" s="391"/>
      <c r="P852" s="391"/>
      <c r="Q852" s="391"/>
      <c r="R852" s="391"/>
      <c r="S852" s="391"/>
      <c r="T852" s="391"/>
      <c r="U852" s="391"/>
      <c r="V852" s="391"/>
      <c r="W852" s="391"/>
      <c r="X852" s="391"/>
      <c r="Y852" s="391"/>
      <c r="Z852" s="391"/>
    </row>
    <row r="853">
      <c r="A853" s="391"/>
      <c r="B853" s="391"/>
      <c r="C853" s="391"/>
      <c r="D853" s="391"/>
      <c r="E853" s="391"/>
      <c r="F853" s="391"/>
      <c r="G853" s="391"/>
      <c r="H853" s="391"/>
      <c r="I853" s="391"/>
      <c r="J853" s="391"/>
      <c r="K853" s="391"/>
      <c r="L853" s="391"/>
      <c r="M853" s="391"/>
      <c r="N853" s="391"/>
      <c r="O853" s="391"/>
      <c r="P853" s="391"/>
      <c r="Q853" s="391"/>
      <c r="R853" s="391"/>
      <c r="S853" s="391"/>
      <c r="T853" s="391"/>
      <c r="U853" s="391"/>
      <c r="V853" s="391"/>
      <c r="W853" s="391"/>
      <c r="X853" s="391"/>
      <c r="Y853" s="391"/>
      <c r="Z853" s="391"/>
    </row>
    <row r="854">
      <c r="A854" s="391"/>
      <c r="B854" s="391"/>
      <c r="C854" s="391"/>
      <c r="D854" s="391"/>
      <c r="E854" s="391"/>
      <c r="F854" s="391"/>
      <c r="G854" s="391"/>
      <c r="H854" s="391"/>
      <c r="I854" s="391"/>
      <c r="J854" s="391"/>
      <c r="K854" s="391"/>
      <c r="L854" s="391"/>
      <c r="M854" s="391"/>
      <c r="N854" s="391"/>
      <c r="O854" s="391"/>
      <c r="P854" s="391"/>
      <c r="Q854" s="391"/>
      <c r="R854" s="391"/>
      <c r="S854" s="391"/>
      <c r="T854" s="391"/>
      <c r="U854" s="391"/>
      <c r="V854" s="391"/>
      <c r="W854" s="391"/>
      <c r="X854" s="391"/>
      <c r="Y854" s="391"/>
      <c r="Z854" s="391"/>
    </row>
    <row r="855">
      <c r="A855" s="391"/>
      <c r="B855" s="391"/>
      <c r="C855" s="391"/>
      <c r="D855" s="391"/>
      <c r="E855" s="391"/>
      <c r="F855" s="391"/>
      <c r="G855" s="391"/>
      <c r="H855" s="391"/>
      <c r="I855" s="391"/>
      <c r="J855" s="391"/>
      <c r="K855" s="391"/>
      <c r="L855" s="391"/>
      <c r="M855" s="391"/>
      <c r="N855" s="391"/>
      <c r="O855" s="391"/>
      <c r="P855" s="391"/>
      <c r="Q855" s="391"/>
      <c r="R855" s="391"/>
      <c r="S855" s="391"/>
      <c r="T855" s="391"/>
      <c r="U855" s="391"/>
      <c r="V855" s="391"/>
      <c r="W855" s="391"/>
      <c r="X855" s="391"/>
      <c r="Y855" s="391"/>
      <c r="Z855" s="391"/>
    </row>
    <row r="856">
      <c r="A856" s="391"/>
      <c r="B856" s="391"/>
      <c r="C856" s="391"/>
      <c r="D856" s="391"/>
      <c r="E856" s="391"/>
      <c r="F856" s="391"/>
      <c r="G856" s="391"/>
      <c r="H856" s="391"/>
      <c r="I856" s="391"/>
      <c r="J856" s="391"/>
      <c r="K856" s="391"/>
      <c r="L856" s="391"/>
      <c r="M856" s="391"/>
      <c r="N856" s="391"/>
      <c r="O856" s="391"/>
      <c r="P856" s="391"/>
      <c r="Q856" s="391"/>
      <c r="R856" s="391"/>
      <c r="S856" s="391"/>
      <c r="T856" s="391"/>
      <c r="U856" s="391"/>
      <c r="V856" s="391"/>
      <c r="W856" s="391"/>
      <c r="X856" s="391"/>
      <c r="Y856" s="391"/>
      <c r="Z856" s="391"/>
    </row>
    <row r="857">
      <c r="A857" s="391"/>
      <c r="B857" s="391"/>
      <c r="C857" s="391"/>
      <c r="D857" s="391"/>
      <c r="E857" s="391"/>
      <c r="F857" s="391"/>
      <c r="G857" s="391"/>
      <c r="H857" s="391"/>
      <c r="I857" s="391"/>
      <c r="J857" s="391"/>
      <c r="K857" s="391"/>
      <c r="L857" s="391"/>
      <c r="M857" s="391"/>
      <c r="N857" s="391"/>
      <c r="O857" s="391"/>
      <c r="P857" s="391"/>
      <c r="Q857" s="391"/>
      <c r="R857" s="391"/>
      <c r="S857" s="391"/>
      <c r="T857" s="391"/>
      <c r="U857" s="391"/>
      <c r="V857" s="391"/>
      <c r="W857" s="391"/>
      <c r="X857" s="391"/>
      <c r="Y857" s="391"/>
      <c r="Z857" s="391"/>
    </row>
    <row r="858">
      <c r="A858" s="391"/>
      <c r="B858" s="391"/>
      <c r="C858" s="391"/>
      <c r="D858" s="391"/>
      <c r="E858" s="391"/>
      <c r="F858" s="391"/>
      <c r="G858" s="391"/>
      <c r="H858" s="391"/>
      <c r="I858" s="391"/>
      <c r="J858" s="391"/>
      <c r="K858" s="391"/>
      <c r="L858" s="391"/>
      <c r="M858" s="391"/>
      <c r="N858" s="391"/>
      <c r="O858" s="391"/>
      <c r="P858" s="391"/>
      <c r="Q858" s="391"/>
      <c r="R858" s="391"/>
      <c r="S858" s="391"/>
      <c r="T858" s="391"/>
      <c r="U858" s="391"/>
      <c r="V858" s="391"/>
      <c r="W858" s="391"/>
      <c r="X858" s="391"/>
      <c r="Y858" s="391"/>
      <c r="Z858" s="391"/>
    </row>
    <row r="859">
      <c r="A859" s="391"/>
      <c r="B859" s="391"/>
      <c r="C859" s="391"/>
      <c r="D859" s="391"/>
      <c r="E859" s="391"/>
      <c r="F859" s="391"/>
      <c r="G859" s="391"/>
      <c r="H859" s="391"/>
      <c r="I859" s="391"/>
      <c r="J859" s="391"/>
      <c r="K859" s="391"/>
      <c r="L859" s="391"/>
      <c r="M859" s="391"/>
      <c r="N859" s="391"/>
      <c r="O859" s="391"/>
      <c r="P859" s="391"/>
      <c r="Q859" s="391"/>
      <c r="R859" s="391"/>
      <c r="S859" s="391"/>
      <c r="T859" s="391"/>
      <c r="U859" s="391"/>
      <c r="V859" s="391"/>
      <c r="W859" s="391"/>
      <c r="X859" s="391"/>
      <c r="Y859" s="391"/>
      <c r="Z859" s="391"/>
    </row>
    <row r="860">
      <c r="A860" s="391"/>
      <c r="B860" s="391"/>
      <c r="C860" s="391"/>
      <c r="D860" s="391"/>
      <c r="E860" s="391"/>
      <c r="F860" s="391"/>
      <c r="G860" s="391"/>
      <c r="H860" s="391"/>
      <c r="I860" s="391"/>
      <c r="J860" s="391"/>
      <c r="K860" s="391"/>
      <c r="L860" s="391"/>
      <c r="M860" s="391"/>
      <c r="N860" s="391"/>
      <c r="O860" s="391"/>
      <c r="P860" s="391"/>
      <c r="Q860" s="391"/>
      <c r="R860" s="391"/>
      <c r="S860" s="391"/>
      <c r="T860" s="391"/>
      <c r="U860" s="391"/>
      <c r="V860" s="391"/>
      <c r="W860" s="391"/>
      <c r="X860" s="391"/>
      <c r="Y860" s="391"/>
      <c r="Z860" s="391"/>
    </row>
    <row r="861">
      <c r="A861" s="391"/>
      <c r="B861" s="391"/>
      <c r="C861" s="391"/>
      <c r="D861" s="391"/>
      <c r="E861" s="391"/>
      <c r="F861" s="391"/>
      <c r="G861" s="391"/>
      <c r="H861" s="391"/>
      <c r="I861" s="391"/>
      <c r="J861" s="391"/>
      <c r="K861" s="391"/>
      <c r="L861" s="391"/>
      <c r="M861" s="391"/>
      <c r="N861" s="391"/>
      <c r="O861" s="391"/>
      <c r="P861" s="391"/>
      <c r="Q861" s="391"/>
      <c r="R861" s="391"/>
      <c r="S861" s="391"/>
      <c r="T861" s="391"/>
      <c r="U861" s="391"/>
      <c r="V861" s="391"/>
      <c r="W861" s="391"/>
      <c r="X861" s="391"/>
      <c r="Y861" s="391"/>
      <c r="Z861" s="391"/>
    </row>
    <row r="862">
      <c r="A862" s="391"/>
      <c r="B862" s="391"/>
      <c r="C862" s="391"/>
      <c r="D862" s="391"/>
      <c r="E862" s="391"/>
      <c r="F862" s="391"/>
      <c r="G862" s="391"/>
      <c r="H862" s="391"/>
      <c r="I862" s="391"/>
      <c r="J862" s="391"/>
      <c r="K862" s="391"/>
      <c r="L862" s="391"/>
      <c r="M862" s="391"/>
      <c r="N862" s="391"/>
      <c r="O862" s="391"/>
      <c r="P862" s="391"/>
      <c r="Q862" s="391"/>
      <c r="R862" s="391"/>
      <c r="S862" s="391"/>
      <c r="T862" s="391"/>
      <c r="U862" s="391"/>
      <c r="V862" s="391"/>
      <c r="W862" s="391"/>
      <c r="X862" s="391"/>
      <c r="Y862" s="391"/>
      <c r="Z862" s="391"/>
    </row>
    <row r="863">
      <c r="A863" s="391"/>
      <c r="B863" s="391"/>
      <c r="C863" s="391"/>
      <c r="D863" s="391"/>
      <c r="E863" s="391"/>
      <c r="F863" s="391"/>
      <c r="G863" s="391"/>
      <c r="H863" s="391"/>
      <c r="I863" s="391"/>
      <c r="J863" s="391"/>
      <c r="K863" s="391"/>
      <c r="L863" s="391"/>
      <c r="M863" s="391"/>
      <c r="N863" s="391"/>
      <c r="O863" s="391"/>
      <c r="P863" s="391"/>
      <c r="Q863" s="391"/>
      <c r="R863" s="391"/>
      <c r="S863" s="391"/>
      <c r="T863" s="391"/>
      <c r="U863" s="391"/>
      <c r="V863" s="391"/>
      <c r="W863" s="391"/>
      <c r="X863" s="391"/>
      <c r="Y863" s="391"/>
      <c r="Z863" s="391"/>
    </row>
    <row r="864">
      <c r="A864" s="391"/>
      <c r="B864" s="391"/>
      <c r="C864" s="391"/>
      <c r="D864" s="391"/>
      <c r="E864" s="391"/>
      <c r="F864" s="391"/>
      <c r="G864" s="391"/>
      <c r="H864" s="391"/>
      <c r="I864" s="391"/>
      <c r="J864" s="391"/>
      <c r="K864" s="391"/>
      <c r="L864" s="391"/>
      <c r="M864" s="391"/>
      <c r="N864" s="391"/>
      <c r="O864" s="391"/>
      <c r="P864" s="391"/>
      <c r="Q864" s="391"/>
      <c r="R864" s="391"/>
      <c r="S864" s="391"/>
      <c r="T864" s="391"/>
      <c r="U864" s="391"/>
      <c r="V864" s="391"/>
      <c r="W864" s="391"/>
      <c r="X864" s="391"/>
      <c r="Y864" s="391"/>
      <c r="Z864" s="391"/>
    </row>
    <row r="865">
      <c r="A865" s="391"/>
      <c r="B865" s="391"/>
      <c r="C865" s="391"/>
      <c r="D865" s="391"/>
      <c r="E865" s="391"/>
      <c r="F865" s="391"/>
      <c r="G865" s="391"/>
      <c r="H865" s="391"/>
      <c r="I865" s="391"/>
      <c r="J865" s="391"/>
      <c r="K865" s="391"/>
      <c r="L865" s="391"/>
      <c r="M865" s="391"/>
      <c r="N865" s="391"/>
      <c r="O865" s="391"/>
      <c r="P865" s="391"/>
      <c r="Q865" s="391"/>
      <c r="R865" s="391"/>
      <c r="S865" s="391"/>
      <c r="T865" s="391"/>
      <c r="U865" s="391"/>
      <c r="V865" s="391"/>
      <c r="W865" s="391"/>
      <c r="X865" s="391"/>
      <c r="Y865" s="391"/>
      <c r="Z865" s="391"/>
    </row>
    <row r="866">
      <c r="A866" s="391"/>
      <c r="B866" s="391"/>
      <c r="C866" s="391"/>
      <c r="D866" s="391"/>
      <c r="E866" s="391"/>
      <c r="F866" s="391"/>
      <c r="G866" s="391"/>
      <c r="H866" s="391"/>
      <c r="I866" s="391"/>
      <c r="J866" s="391"/>
      <c r="K866" s="391"/>
      <c r="L866" s="391"/>
      <c r="M866" s="391"/>
      <c r="N866" s="391"/>
      <c r="O866" s="391"/>
      <c r="P866" s="391"/>
      <c r="Q866" s="391"/>
      <c r="R866" s="391"/>
      <c r="S866" s="391"/>
      <c r="T866" s="391"/>
      <c r="U866" s="391"/>
      <c r="V866" s="391"/>
      <c r="W866" s="391"/>
      <c r="X866" s="391"/>
      <c r="Y866" s="391"/>
      <c r="Z866" s="391"/>
    </row>
    <row r="867">
      <c r="A867" s="391"/>
      <c r="B867" s="391"/>
      <c r="C867" s="391"/>
      <c r="D867" s="391"/>
      <c r="E867" s="391"/>
      <c r="F867" s="391"/>
      <c r="G867" s="391"/>
      <c r="H867" s="391"/>
      <c r="I867" s="391"/>
      <c r="J867" s="391"/>
      <c r="K867" s="391"/>
      <c r="L867" s="391"/>
      <c r="M867" s="391"/>
      <c r="N867" s="391"/>
      <c r="O867" s="391"/>
      <c r="P867" s="391"/>
      <c r="Q867" s="391"/>
      <c r="R867" s="391"/>
      <c r="S867" s="391"/>
      <c r="T867" s="391"/>
      <c r="U867" s="391"/>
      <c r="V867" s="391"/>
      <c r="W867" s="391"/>
      <c r="X867" s="391"/>
      <c r="Y867" s="391"/>
      <c r="Z867" s="391"/>
    </row>
    <row r="868">
      <c r="A868" s="391"/>
      <c r="B868" s="391"/>
      <c r="C868" s="391"/>
      <c r="D868" s="391"/>
      <c r="E868" s="391"/>
      <c r="F868" s="391"/>
      <c r="G868" s="391"/>
      <c r="H868" s="391"/>
      <c r="I868" s="391"/>
      <c r="J868" s="391"/>
      <c r="K868" s="391"/>
      <c r="L868" s="391"/>
      <c r="M868" s="391"/>
      <c r="N868" s="391"/>
      <c r="O868" s="391"/>
      <c r="P868" s="391"/>
      <c r="Q868" s="391"/>
      <c r="R868" s="391"/>
      <c r="S868" s="391"/>
      <c r="T868" s="391"/>
      <c r="U868" s="391"/>
      <c r="V868" s="391"/>
      <c r="W868" s="391"/>
      <c r="X868" s="391"/>
      <c r="Y868" s="391"/>
      <c r="Z868" s="391"/>
    </row>
    <row r="869">
      <c r="A869" s="391"/>
      <c r="B869" s="391"/>
      <c r="C869" s="391"/>
      <c r="D869" s="391"/>
      <c r="E869" s="391"/>
      <c r="F869" s="391"/>
      <c r="G869" s="391"/>
      <c r="H869" s="391"/>
      <c r="I869" s="391"/>
      <c r="J869" s="391"/>
      <c r="K869" s="391"/>
      <c r="L869" s="391"/>
      <c r="M869" s="391"/>
      <c r="N869" s="391"/>
      <c r="O869" s="391"/>
      <c r="P869" s="391"/>
      <c r="Q869" s="391"/>
      <c r="R869" s="391"/>
      <c r="S869" s="391"/>
      <c r="T869" s="391"/>
      <c r="U869" s="391"/>
      <c r="V869" s="391"/>
      <c r="W869" s="391"/>
      <c r="X869" s="391"/>
      <c r="Y869" s="391"/>
      <c r="Z869" s="391"/>
    </row>
    <row r="870">
      <c r="A870" s="391"/>
      <c r="B870" s="391"/>
      <c r="C870" s="391"/>
      <c r="D870" s="391"/>
      <c r="E870" s="391"/>
      <c r="F870" s="391"/>
      <c r="G870" s="391"/>
      <c r="H870" s="391"/>
      <c r="I870" s="391"/>
      <c r="J870" s="391"/>
      <c r="K870" s="391"/>
      <c r="L870" s="391"/>
      <c r="M870" s="391"/>
      <c r="N870" s="391"/>
      <c r="O870" s="391"/>
      <c r="P870" s="391"/>
      <c r="Q870" s="391"/>
      <c r="R870" s="391"/>
      <c r="S870" s="391"/>
      <c r="T870" s="391"/>
      <c r="U870" s="391"/>
      <c r="V870" s="391"/>
      <c r="W870" s="391"/>
      <c r="X870" s="391"/>
      <c r="Y870" s="391"/>
      <c r="Z870" s="391"/>
    </row>
    <row r="871">
      <c r="A871" s="391"/>
      <c r="B871" s="391"/>
      <c r="C871" s="391"/>
      <c r="D871" s="391"/>
      <c r="E871" s="391"/>
      <c r="F871" s="391"/>
      <c r="G871" s="391"/>
      <c r="H871" s="391"/>
      <c r="I871" s="391"/>
      <c r="J871" s="391"/>
      <c r="K871" s="391"/>
      <c r="L871" s="391"/>
      <c r="M871" s="391"/>
      <c r="N871" s="391"/>
      <c r="O871" s="391"/>
      <c r="P871" s="391"/>
      <c r="Q871" s="391"/>
      <c r="R871" s="391"/>
      <c r="S871" s="391"/>
      <c r="T871" s="391"/>
      <c r="U871" s="391"/>
      <c r="V871" s="391"/>
      <c r="W871" s="391"/>
      <c r="X871" s="391"/>
      <c r="Y871" s="391"/>
      <c r="Z871" s="391"/>
    </row>
    <row r="872">
      <c r="A872" s="391"/>
      <c r="B872" s="391"/>
      <c r="C872" s="391"/>
      <c r="D872" s="391"/>
      <c r="E872" s="391"/>
      <c r="F872" s="391"/>
      <c r="G872" s="391"/>
      <c r="H872" s="391"/>
      <c r="I872" s="391"/>
      <c r="J872" s="391"/>
      <c r="K872" s="391"/>
      <c r="L872" s="391"/>
      <c r="M872" s="391"/>
      <c r="N872" s="391"/>
      <c r="O872" s="391"/>
      <c r="P872" s="391"/>
      <c r="Q872" s="391"/>
      <c r="R872" s="391"/>
      <c r="S872" s="391"/>
      <c r="T872" s="391"/>
      <c r="U872" s="391"/>
      <c r="V872" s="391"/>
      <c r="W872" s="391"/>
      <c r="X872" s="391"/>
      <c r="Y872" s="391"/>
      <c r="Z872" s="391"/>
    </row>
    <row r="873">
      <c r="A873" s="391"/>
      <c r="B873" s="391"/>
      <c r="C873" s="391"/>
      <c r="D873" s="391"/>
      <c r="E873" s="391"/>
      <c r="F873" s="391"/>
      <c r="G873" s="391"/>
      <c r="H873" s="391"/>
      <c r="I873" s="391"/>
      <c r="J873" s="391"/>
      <c r="K873" s="391"/>
      <c r="L873" s="391"/>
      <c r="M873" s="391"/>
      <c r="N873" s="391"/>
      <c r="O873" s="391"/>
      <c r="P873" s="391"/>
      <c r="Q873" s="391"/>
      <c r="R873" s="391"/>
      <c r="S873" s="391"/>
      <c r="T873" s="391"/>
      <c r="U873" s="391"/>
      <c r="V873" s="391"/>
      <c r="W873" s="391"/>
      <c r="X873" s="391"/>
      <c r="Y873" s="391"/>
      <c r="Z873" s="391"/>
    </row>
    <row r="874">
      <c r="A874" s="391"/>
      <c r="B874" s="391"/>
      <c r="C874" s="391"/>
      <c r="D874" s="391"/>
      <c r="E874" s="391"/>
      <c r="F874" s="391"/>
      <c r="G874" s="391"/>
      <c r="H874" s="391"/>
      <c r="I874" s="391"/>
      <c r="J874" s="391"/>
      <c r="K874" s="391"/>
      <c r="L874" s="391"/>
      <c r="M874" s="391"/>
      <c r="N874" s="391"/>
      <c r="O874" s="391"/>
      <c r="P874" s="391"/>
      <c r="Q874" s="391"/>
      <c r="R874" s="391"/>
      <c r="S874" s="391"/>
      <c r="T874" s="391"/>
      <c r="U874" s="391"/>
      <c r="V874" s="391"/>
      <c r="W874" s="391"/>
      <c r="X874" s="391"/>
      <c r="Y874" s="391"/>
      <c r="Z874" s="391"/>
    </row>
    <row r="875">
      <c r="A875" s="391"/>
      <c r="B875" s="391"/>
      <c r="C875" s="391"/>
      <c r="D875" s="391"/>
      <c r="E875" s="391"/>
      <c r="F875" s="391"/>
      <c r="G875" s="391"/>
      <c r="H875" s="391"/>
      <c r="I875" s="391"/>
      <c r="J875" s="391"/>
      <c r="K875" s="391"/>
      <c r="L875" s="391"/>
      <c r="M875" s="391"/>
      <c r="N875" s="391"/>
      <c r="O875" s="391"/>
      <c r="P875" s="391"/>
      <c r="Q875" s="391"/>
      <c r="R875" s="391"/>
      <c r="S875" s="391"/>
      <c r="T875" s="391"/>
      <c r="U875" s="391"/>
      <c r="V875" s="391"/>
      <c r="W875" s="391"/>
      <c r="X875" s="391"/>
      <c r="Y875" s="391"/>
      <c r="Z875" s="391"/>
    </row>
    <row r="876">
      <c r="A876" s="391"/>
      <c r="B876" s="391"/>
      <c r="C876" s="391"/>
      <c r="D876" s="391"/>
      <c r="E876" s="391"/>
      <c r="F876" s="391"/>
      <c r="G876" s="391"/>
      <c r="H876" s="391"/>
      <c r="I876" s="391"/>
      <c r="J876" s="391"/>
      <c r="K876" s="391"/>
      <c r="L876" s="391"/>
      <c r="M876" s="391"/>
      <c r="N876" s="391"/>
      <c r="O876" s="391"/>
      <c r="P876" s="391"/>
      <c r="Q876" s="391"/>
      <c r="R876" s="391"/>
      <c r="S876" s="391"/>
      <c r="T876" s="391"/>
      <c r="U876" s="391"/>
      <c r="V876" s="391"/>
      <c r="W876" s="391"/>
      <c r="X876" s="391"/>
      <c r="Y876" s="391"/>
      <c r="Z876" s="391"/>
    </row>
    <row r="877">
      <c r="A877" s="391"/>
      <c r="B877" s="391"/>
      <c r="C877" s="391"/>
      <c r="D877" s="391"/>
      <c r="E877" s="391"/>
      <c r="F877" s="391"/>
      <c r="G877" s="391"/>
      <c r="H877" s="391"/>
      <c r="I877" s="391"/>
      <c r="J877" s="391"/>
      <c r="K877" s="391"/>
      <c r="L877" s="391"/>
      <c r="M877" s="391"/>
      <c r="N877" s="391"/>
      <c r="O877" s="391"/>
      <c r="P877" s="391"/>
      <c r="Q877" s="391"/>
      <c r="R877" s="391"/>
      <c r="S877" s="391"/>
      <c r="T877" s="391"/>
      <c r="U877" s="391"/>
      <c r="V877" s="391"/>
      <c r="W877" s="391"/>
      <c r="X877" s="391"/>
      <c r="Y877" s="391"/>
      <c r="Z877" s="391"/>
    </row>
    <row r="878">
      <c r="A878" s="391"/>
      <c r="B878" s="391"/>
      <c r="C878" s="391"/>
      <c r="D878" s="391"/>
      <c r="E878" s="391"/>
      <c r="F878" s="391"/>
      <c r="G878" s="391"/>
      <c r="H878" s="391"/>
      <c r="I878" s="391"/>
      <c r="J878" s="391"/>
      <c r="K878" s="391"/>
      <c r="L878" s="391"/>
      <c r="M878" s="391"/>
      <c r="N878" s="391"/>
      <c r="O878" s="391"/>
      <c r="P878" s="391"/>
      <c r="Q878" s="391"/>
      <c r="R878" s="391"/>
      <c r="S878" s="391"/>
      <c r="T878" s="391"/>
      <c r="U878" s="391"/>
      <c r="V878" s="391"/>
      <c r="W878" s="391"/>
      <c r="X878" s="391"/>
      <c r="Y878" s="391"/>
      <c r="Z878" s="391"/>
    </row>
    <row r="879">
      <c r="A879" s="391"/>
      <c r="B879" s="391"/>
      <c r="C879" s="391"/>
      <c r="D879" s="391"/>
      <c r="E879" s="391"/>
      <c r="F879" s="391"/>
      <c r="G879" s="391"/>
      <c r="H879" s="391"/>
      <c r="I879" s="391"/>
      <c r="J879" s="391"/>
      <c r="K879" s="391"/>
      <c r="L879" s="391"/>
      <c r="M879" s="391"/>
      <c r="N879" s="391"/>
      <c r="O879" s="391"/>
      <c r="P879" s="391"/>
      <c r="Q879" s="391"/>
      <c r="R879" s="391"/>
      <c r="S879" s="391"/>
      <c r="T879" s="391"/>
      <c r="U879" s="391"/>
      <c r="V879" s="391"/>
      <c r="W879" s="391"/>
      <c r="X879" s="391"/>
      <c r="Y879" s="391"/>
      <c r="Z879" s="391"/>
    </row>
    <row r="880">
      <c r="A880" s="391"/>
      <c r="B880" s="391"/>
      <c r="C880" s="391"/>
      <c r="D880" s="391"/>
      <c r="E880" s="391"/>
      <c r="F880" s="391"/>
      <c r="G880" s="391"/>
      <c r="H880" s="391"/>
      <c r="I880" s="391"/>
      <c r="J880" s="391"/>
      <c r="K880" s="391"/>
      <c r="L880" s="391"/>
      <c r="M880" s="391"/>
      <c r="N880" s="391"/>
      <c r="O880" s="391"/>
      <c r="P880" s="391"/>
      <c r="Q880" s="391"/>
      <c r="R880" s="391"/>
      <c r="S880" s="391"/>
      <c r="T880" s="391"/>
      <c r="U880" s="391"/>
      <c r="V880" s="391"/>
      <c r="W880" s="391"/>
      <c r="X880" s="391"/>
      <c r="Y880" s="391"/>
      <c r="Z880" s="391"/>
    </row>
    <row r="881">
      <c r="A881" s="391"/>
      <c r="B881" s="391"/>
      <c r="C881" s="391"/>
      <c r="D881" s="391"/>
      <c r="E881" s="391"/>
      <c r="F881" s="391"/>
      <c r="G881" s="391"/>
      <c r="H881" s="391"/>
      <c r="I881" s="391"/>
      <c r="J881" s="391"/>
      <c r="K881" s="391"/>
      <c r="L881" s="391"/>
      <c r="M881" s="391"/>
      <c r="N881" s="391"/>
      <c r="O881" s="391"/>
      <c r="P881" s="391"/>
      <c r="Q881" s="391"/>
      <c r="R881" s="391"/>
      <c r="S881" s="391"/>
      <c r="T881" s="391"/>
      <c r="U881" s="391"/>
      <c r="V881" s="391"/>
      <c r="W881" s="391"/>
      <c r="X881" s="391"/>
      <c r="Y881" s="391"/>
      <c r="Z881" s="391"/>
    </row>
    <row r="882">
      <c r="A882" s="391"/>
      <c r="B882" s="391"/>
      <c r="C882" s="391"/>
      <c r="D882" s="391"/>
      <c r="E882" s="391"/>
      <c r="F882" s="391"/>
      <c r="G882" s="391"/>
      <c r="H882" s="391"/>
      <c r="I882" s="391"/>
      <c r="J882" s="391"/>
      <c r="K882" s="391"/>
      <c r="L882" s="391"/>
      <c r="M882" s="391"/>
      <c r="N882" s="391"/>
      <c r="O882" s="391"/>
      <c r="P882" s="391"/>
      <c r="Q882" s="391"/>
      <c r="R882" s="391"/>
      <c r="S882" s="391"/>
      <c r="T882" s="391"/>
      <c r="U882" s="391"/>
      <c r="V882" s="391"/>
      <c r="W882" s="391"/>
      <c r="X882" s="391"/>
      <c r="Y882" s="391"/>
      <c r="Z882" s="391"/>
    </row>
    <row r="883">
      <c r="A883" s="391"/>
      <c r="B883" s="391"/>
      <c r="C883" s="391"/>
      <c r="D883" s="391"/>
      <c r="E883" s="391"/>
      <c r="F883" s="391"/>
      <c r="G883" s="391"/>
      <c r="H883" s="391"/>
      <c r="I883" s="391"/>
      <c r="J883" s="391"/>
      <c r="K883" s="391"/>
      <c r="L883" s="391"/>
      <c r="M883" s="391"/>
      <c r="N883" s="391"/>
      <c r="O883" s="391"/>
      <c r="P883" s="391"/>
      <c r="Q883" s="391"/>
      <c r="R883" s="391"/>
      <c r="S883" s="391"/>
      <c r="T883" s="391"/>
      <c r="U883" s="391"/>
      <c r="V883" s="391"/>
      <c r="W883" s="391"/>
      <c r="X883" s="391"/>
      <c r="Y883" s="391"/>
      <c r="Z883" s="391"/>
    </row>
    <row r="884">
      <c r="A884" s="391"/>
      <c r="B884" s="391"/>
      <c r="C884" s="391"/>
      <c r="D884" s="391"/>
      <c r="E884" s="391"/>
      <c r="F884" s="391"/>
      <c r="G884" s="391"/>
      <c r="H884" s="391"/>
      <c r="I884" s="391"/>
      <c r="J884" s="391"/>
      <c r="K884" s="391"/>
      <c r="L884" s="391"/>
      <c r="M884" s="391"/>
      <c r="N884" s="391"/>
      <c r="O884" s="391"/>
      <c r="P884" s="391"/>
      <c r="Q884" s="391"/>
      <c r="R884" s="391"/>
      <c r="S884" s="391"/>
      <c r="T884" s="391"/>
      <c r="U884" s="391"/>
      <c r="V884" s="391"/>
      <c r="W884" s="391"/>
      <c r="X884" s="391"/>
      <c r="Y884" s="391"/>
      <c r="Z884" s="391"/>
    </row>
    <row r="885">
      <c r="A885" s="391"/>
      <c r="B885" s="391"/>
      <c r="C885" s="391"/>
      <c r="D885" s="391"/>
      <c r="E885" s="391"/>
      <c r="F885" s="391"/>
      <c r="G885" s="391"/>
      <c r="H885" s="391"/>
      <c r="I885" s="391"/>
      <c r="J885" s="391"/>
      <c r="K885" s="391"/>
      <c r="L885" s="391"/>
      <c r="M885" s="391"/>
      <c r="N885" s="391"/>
      <c r="O885" s="391"/>
      <c r="P885" s="391"/>
      <c r="Q885" s="391"/>
      <c r="R885" s="391"/>
      <c r="S885" s="391"/>
      <c r="T885" s="391"/>
      <c r="U885" s="391"/>
      <c r="V885" s="391"/>
      <c r="W885" s="391"/>
      <c r="X885" s="391"/>
      <c r="Y885" s="391"/>
      <c r="Z885" s="391"/>
    </row>
    <row r="886">
      <c r="A886" s="391"/>
      <c r="B886" s="391"/>
      <c r="C886" s="391"/>
      <c r="D886" s="391"/>
      <c r="E886" s="391"/>
      <c r="F886" s="391"/>
      <c r="G886" s="391"/>
      <c r="H886" s="391"/>
      <c r="I886" s="391"/>
      <c r="J886" s="391"/>
      <c r="K886" s="391"/>
      <c r="L886" s="391"/>
      <c r="M886" s="391"/>
      <c r="N886" s="391"/>
      <c r="O886" s="391"/>
      <c r="P886" s="391"/>
      <c r="Q886" s="391"/>
      <c r="R886" s="391"/>
      <c r="S886" s="391"/>
      <c r="T886" s="391"/>
      <c r="U886" s="391"/>
      <c r="V886" s="391"/>
      <c r="W886" s="391"/>
      <c r="X886" s="391"/>
      <c r="Y886" s="391"/>
      <c r="Z886" s="391"/>
    </row>
    <row r="887">
      <c r="A887" s="391"/>
      <c r="B887" s="391"/>
      <c r="C887" s="391"/>
      <c r="D887" s="391"/>
      <c r="E887" s="391"/>
      <c r="F887" s="391"/>
      <c r="G887" s="391"/>
      <c r="H887" s="391"/>
      <c r="I887" s="391"/>
      <c r="J887" s="391"/>
      <c r="K887" s="391"/>
      <c r="L887" s="391"/>
      <c r="M887" s="391"/>
      <c r="N887" s="391"/>
      <c r="O887" s="391"/>
      <c r="P887" s="391"/>
      <c r="Q887" s="391"/>
      <c r="R887" s="391"/>
      <c r="S887" s="391"/>
      <c r="T887" s="391"/>
      <c r="U887" s="391"/>
      <c r="V887" s="391"/>
      <c r="W887" s="391"/>
      <c r="X887" s="391"/>
      <c r="Y887" s="391"/>
      <c r="Z887" s="391"/>
    </row>
    <row r="888">
      <c r="A888" s="391"/>
      <c r="B888" s="391"/>
      <c r="C888" s="391"/>
      <c r="D888" s="391"/>
      <c r="E888" s="391"/>
      <c r="F888" s="391"/>
      <c r="G888" s="391"/>
      <c r="H888" s="391"/>
      <c r="I888" s="391"/>
      <c r="J888" s="391"/>
      <c r="K888" s="391"/>
      <c r="L888" s="391"/>
      <c r="M888" s="391"/>
      <c r="N888" s="391"/>
      <c r="O888" s="391"/>
      <c r="P888" s="391"/>
      <c r="Q888" s="391"/>
      <c r="R888" s="391"/>
      <c r="S888" s="391"/>
      <c r="T888" s="391"/>
      <c r="U888" s="391"/>
      <c r="V888" s="391"/>
      <c r="W888" s="391"/>
      <c r="X888" s="391"/>
      <c r="Y888" s="391"/>
      <c r="Z888" s="391"/>
    </row>
    <row r="889">
      <c r="A889" s="391"/>
      <c r="B889" s="391"/>
      <c r="C889" s="391"/>
      <c r="D889" s="391"/>
      <c r="E889" s="391"/>
      <c r="F889" s="391"/>
      <c r="G889" s="391"/>
      <c r="H889" s="391"/>
      <c r="I889" s="391"/>
      <c r="J889" s="391"/>
      <c r="K889" s="391"/>
      <c r="L889" s="391"/>
      <c r="M889" s="391"/>
      <c r="N889" s="391"/>
      <c r="O889" s="391"/>
      <c r="P889" s="391"/>
      <c r="Q889" s="391"/>
      <c r="R889" s="391"/>
      <c r="S889" s="391"/>
      <c r="T889" s="391"/>
      <c r="U889" s="391"/>
      <c r="V889" s="391"/>
      <c r="W889" s="391"/>
      <c r="X889" s="391"/>
      <c r="Y889" s="391"/>
      <c r="Z889" s="391"/>
    </row>
    <row r="890">
      <c r="A890" s="391"/>
      <c r="B890" s="391"/>
      <c r="C890" s="391"/>
      <c r="D890" s="391"/>
      <c r="E890" s="391"/>
      <c r="F890" s="391"/>
      <c r="G890" s="391"/>
      <c r="H890" s="391"/>
      <c r="I890" s="391"/>
      <c r="J890" s="391"/>
      <c r="K890" s="391"/>
      <c r="L890" s="391"/>
      <c r="M890" s="391"/>
      <c r="N890" s="391"/>
      <c r="O890" s="391"/>
      <c r="P890" s="391"/>
      <c r="Q890" s="391"/>
      <c r="R890" s="391"/>
      <c r="S890" s="391"/>
      <c r="T890" s="391"/>
      <c r="U890" s="391"/>
      <c r="V890" s="391"/>
      <c r="W890" s="391"/>
      <c r="X890" s="391"/>
      <c r="Y890" s="391"/>
      <c r="Z890" s="391"/>
    </row>
    <row r="891">
      <c r="A891" s="391"/>
      <c r="B891" s="391"/>
      <c r="C891" s="391"/>
      <c r="D891" s="391"/>
      <c r="E891" s="391"/>
      <c r="F891" s="391"/>
      <c r="G891" s="391"/>
      <c r="H891" s="391"/>
      <c r="I891" s="391"/>
      <c r="J891" s="391"/>
      <c r="K891" s="391"/>
      <c r="L891" s="391"/>
      <c r="M891" s="391"/>
      <c r="N891" s="391"/>
      <c r="O891" s="391"/>
      <c r="P891" s="391"/>
      <c r="Q891" s="391"/>
      <c r="R891" s="391"/>
      <c r="S891" s="391"/>
      <c r="T891" s="391"/>
      <c r="U891" s="391"/>
      <c r="V891" s="391"/>
      <c r="W891" s="391"/>
      <c r="X891" s="391"/>
      <c r="Y891" s="391"/>
      <c r="Z891" s="391"/>
    </row>
    <row r="892">
      <c r="A892" s="391"/>
      <c r="B892" s="391"/>
      <c r="C892" s="391"/>
      <c r="D892" s="391"/>
      <c r="E892" s="391"/>
      <c r="F892" s="391"/>
      <c r="G892" s="391"/>
      <c r="H892" s="391"/>
      <c r="I892" s="391"/>
      <c r="J892" s="391"/>
      <c r="K892" s="391"/>
      <c r="L892" s="391"/>
      <c r="M892" s="391"/>
      <c r="N892" s="391"/>
      <c r="O892" s="391"/>
      <c r="P892" s="391"/>
      <c r="Q892" s="391"/>
      <c r="R892" s="391"/>
      <c r="S892" s="391"/>
      <c r="T892" s="391"/>
      <c r="U892" s="391"/>
      <c r="V892" s="391"/>
      <c r="W892" s="391"/>
      <c r="X892" s="391"/>
      <c r="Y892" s="391"/>
      <c r="Z892" s="391"/>
    </row>
    <row r="893">
      <c r="A893" s="391"/>
      <c r="B893" s="391"/>
      <c r="C893" s="391"/>
      <c r="D893" s="391"/>
      <c r="E893" s="391"/>
      <c r="F893" s="391"/>
      <c r="G893" s="391"/>
      <c r="H893" s="391"/>
      <c r="I893" s="391"/>
      <c r="J893" s="391"/>
      <c r="K893" s="391"/>
      <c r="L893" s="391"/>
      <c r="M893" s="391"/>
      <c r="N893" s="391"/>
      <c r="O893" s="391"/>
      <c r="P893" s="391"/>
      <c r="Q893" s="391"/>
      <c r="R893" s="391"/>
      <c r="S893" s="391"/>
      <c r="T893" s="391"/>
      <c r="U893" s="391"/>
      <c r="V893" s="391"/>
      <c r="W893" s="391"/>
      <c r="X893" s="391"/>
      <c r="Y893" s="391"/>
      <c r="Z893" s="391"/>
    </row>
    <row r="894">
      <c r="A894" s="391"/>
      <c r="B894" s="391"/>
      <c r="C894" s="391"/>
      <c r="D894" s="391"/>
      <c r="E894" s="391"/>
      <c r="F894" s="391"/>
      <c r="G894" s="391"/>
      <c r="H894" s="391"/>
      <c r="I894" s="391"/>
      <c r="J894" s="391"/>
      <c r="K894" s="391"/>
      <c r="L894" s="391"/>
      <c r="M894" s="391"/>
      <c r="N894" s="391"/>
      <c r="O894" s="391"/>
      <c r="P894" s="391"/>
      <c r="Q894" s="391"/>
      <c r="R894" s="391"/>
      <c r="S894" s="391"/>
      <c r="T894" s="391"/>
      <c r="U894" s="391"/>
      <c r="V894" s="391"/>
      <c r="W894" s="391"/>
      <c r="X894" s="391"/>
      <c r="Y894" s="391"/>
      <c r="Z894" s="391"/>
    </row>
    <row r="895">
      <c r="A895" s="391"/>
      <c r="B895" s="391"/>
      <c r="C895" s="391"/>
      <c r="D895" s="391"/>
      <c r="E895" s="391"/>
      <c r="F895" s="391"/>
      <c r="G895" s="391"/>
      <c r="H895" s="391"/>
      <c r="I895" s="391"/>
      <c r="J895" s="391"/>
      <c r="K895" s="391"/>
      <c r="L895" s="391"/>
      <c r="M895" s="391"/>
      <c r="N895" s="391"/>
      <c r="O895" s="391"/>
      <c r="P895" s="391"/>
      <c r="Q895" s="391"/>
      <c r="R895" s="391"/>
      <c r="S895" s="391"/>
      <c r="T895" s="391"/>
      <c r="U895" s="391"/>
      <c r="V895" s="391"/>
      <c r="W895" s="391"/>
      <c r="X895" s="391"/>
      <c r="Y895" s="391"/>
      <c r="Z895" s="391"/>
    </row>
    <row r="896">
      <c r="A896" s="391"/>
      <c r="B896" s="391"/>
      <c r="C896" s="391"/>
      <c r="D896" s="391"/>
      <c r="E896" s="391"/>
      <c r="F896" s="391"/>
      <c r="G896" s="391"/>
      <c r="H896" s="391"/>
      <c r="I896" s="391"/>
      <c r="J896" s="391"/>
      <c r="K896" s="391"/>
      <c r="L896" s="391"/>
      <c r="M896" s="391"/>
      <c r="N896" s="391"/>
      <c r="O896" s="391"/>
      <c r="P896" s="391"/>
      <c r="Q896" s="391"/>
      <c r="R896" s="391"/>
      <c r="S896" s="391"/>
      <c r="T896" s="391"/>
      <c r="U896" s="391"/>
      <c r="V896" s="391"/>
      <c r="W896" s="391"/>
      <c r="X896" s="391"/>
      <c r="Y896" s="391"/>
      <c r="Z896" s="391"/>
    </row>
    <row r="897">
      <c r="A897" s="391"/>
      <c r="B897" s="391"/>
      <c r="C897" s="391"/>
      <c r="D897" s="391"/>
      <c r="E897" s="391"/>
      <c r="F897" s="391"/>
      <c r="G897" s="391"/>
      <c r="H897" s="391"/>
      <c r="I897" s="391"/>
      <c r="J897" s="391"/>
      <c r="K897" s="391"/>
      <c r="L897" s="391"/>
      <c r="M897" s="391"/>
      <c r="N897" s="391"/>
      <c r="O897" s="391"/>
      <c r="P897" s="391"/>
      <c r="Q897" s="391"/>
      <c r="R897" s="391"/>
      <c r="S897" s="391"/>
      <c r="T897" s="391"/>
      <c r="U897" s="391"/>
      <c r="V897" s="391"/>
      <c r="W897" s="391"/>
      <c r="X897" s="391"/>
      <c r="Y897" s="391"/>
      <c r="Z897" s="391"/>
    </row>
    <row r="898">
      <c r="A898" s="391"/>
      <c r="B898" s="391"/>
      <c r="C898" s="391"/>
      <c r="D898" s="391"/>
      <c r="E898" s="391"/>
      <c r="F898" s="391"/>
      <c r="G898" s="391"/>
      <c r="H898" s="391"/>
      <c r="I898" s="391"/>
      <c r="J898" s="391"/>
      <c r="K898" s="391"/>
      <c r="L898" s="391"/>
      <c r="M898" s="391"/>
      <c r="N898" s="391"/>
      <c r="O898" s="391"/>
      <c r="P898" s="391"/>
      <c r="Q898" s="391"/>
      <c r="R898" s="391"/>
      <c r="S898" s="391"/>
      <c r="T898" s="391"/>
      <c r="U898" s="391"/>
      <c r="V898" s="391"/>
      <c r="W898" s="391"/>
      <c r="X898" s="391"/>
      <c r="Y898" s="391"/>
      <c r="Z898" s="391"/>
    </row>
    <row r="899">
      <c r="A899" s="391"/>
      <c r="B899" s="391"/>
      <c r="C899" s="391"/>
      <c r="D899" s="391"/>
      <c r="E899" s="391"/>
      <c r="F899" s="391"/>
      <c r="G899" s="391"/>
      <c r="H899" s="391"/>
      <c r="I899" s="391"/>
      <c r="J899" s="391"/>
      <c r="K899" s="391"/>
      <c r="L899" s="391"/>
      <c r="M899" s="391"/>
      <c r="N899" s="391"/>
      <c r="O899" s="391"/>
      <c r="P899" s="391"/>
      <c r="Q899" s="391"/>
      <c r="R899" s="391"/>
      <c r="S899" s="391"/>
      <c r="T899" s="391"/>
      <c r="U899" s="391"/>
      <c r="V899" s="391"/>
      <c r="W899" s="391"/>
      <c r="X899" s="391"/>
      <c r="Y899" s="391"/>
      <c r="Z899" s="391"/>
    </row>
    <row r="900">
      <c r="A900" s="391"/>
      <c r="B900" s="391"/>
      <c r="C900" s="391"/>
      <c r="D900" s="391"/>
      <c r="E900" s="391"/>
      <c r="F900" s="391"/>
      <c r="G900" s="391"/>
      <c r="H900" s="391"/>
      <c r="I900" s="391"/>
      <c r="J900" s="391"/>
      <c r="K900" s="391"/>
      <c r="L900" s="391"/>
      <c r="M900" s="391"/>
      <c r="N900" s="391"/>
      <c r="O900" s="391"/>
      <c r="P900" s="391"/>
      <c r="Q900" s="391"/>
      <c r="R900" s="391"/>
      <c r="S900" s="391"/>
      <c r="T900" s="391"/>
      <c r="U900" s="391"/>
      <c r="V900" s="391"/>
      <c r="W900" s="391"/>
      <c r="X900" s="391"/>
      <c r="Y900" s="391"/>
      <c r="Z900" s="391"/>
    </row>
    <row r="901">
      <c r="A901" s="391"/>
      <c r="B901" s="391"/>
      <c r="C901" s="391"/>
      <c r="D901" s="391"/>
      <c r="E901" s="391"/>
      <c r="F901" s="391"/>
      <c r="G901" s="391"/>
      <c r="H901" s="391"/>
      <c r="I901" s="391"/>
      <c r="J901" s="391"/>
      <c r="K901" s="391"/>
      <c r="L901" s="391"/>
      <c r="M901" s="391"/>
      <c r="N901" s="391"/>
      <c r="O901" s="391"/>
      <c r="P901" s="391"/>
      <c r="Q901" s="391"/>
      <c r="R901" s="391"/>
      <c r="S901" s="391"/>
      <c r="T901" s="391"/>
      <c r="U901" s="391"/>
      <c r="V901" s="391"/>
      <c r="W901" s="391"/>
      <c r="X901" s="391"/>
      <c r="Y901" s="391"/>
      <c r="Z901" s="391"/>
    </row>
    <row r="902">
      <c r="A902" s="391"/>
      <c r="B902" s="391"/>
      <c r="C902" s="391"/>
      <c r="D902" s="391"/>
      <c r="E902" s="391"/>
      <c r="F902" s="391"/>
      <c r="G902" s="391"/>
      <c r="H902" s="391"/>
      <c r="I902" s="391"/>
      <c r="J902" s="391"/>
      <c r="K902" s="391"/>
      <c r="L902" s="391"/>
      <c r="M902" s="391"/>
      <c r="N902" s="391"/>
      <c r="O902" s="391"/>
      <c r="P902" s="391"/>
      <c r="Q902" s="391"/>
      <c r="R902" s="391"/>
      <c r="S902" s="391"/>
      <c r="T902" s="391"/>
      <c r="U902" s="391"/>
      <c r="V902" s="391"/>
      <c r="W902" s="391"/>
      <c r="X902" s="391"/>
      <c r="Y902" s="391"/>
      <c r="Z902" s="391"/>
    </row>
    <row r="903">
      <c r="A903" s="391"/>
      <c r="B903" s="391"/>
      <c r="C903" s="391"/>
      <c r="D903" s="391"/>
      <c r="E903" s="391"/>
      <c r="F903" s="391"/>
      <c r="G903" s="391"/>
      <c r="H903" s="391"/>
      <c r="I903" s="391"/>
      <c r="J903" s="391"/>
      <c r="K903" s="391"/>
      <c r="L903" s="391"/>
      <c r="M903" s="391"/>
      <c r="N903" s="391"/>
      <c r="O903" s="391"/>
      <c r="P903" s="391"/>
      <c r="Q903" s="391"/>
      <c r="R903" s="391"/>
      <c r="S903" s="391"/>
      <c r="T903" s="391"/>
      <c r="U903" s="391"/>
      <c r="V903" s="391"/>
      <c r="W903" s="391"/>
      <c r="X903" s="391"/>
      <c r="Y903" s="391"/>
      <c r="Z903" s="391"/>
    </row>
    <row r="904">
      <c r="A904" s="391"/>
      <c r="B904" s="391"/>
      <c r="C904" s="391"/>
      <c r="D904" s="391"/>
      <c r="E904" s="391"/>
      <c r="F904" s="391"/>
      <c r="G904" s="391"/>
      <c r="H904" s="391"/>
      <c r="I904" s="391"/>
      <c r="J904" s="391"/>
      <c r="K904" s="391"/>
      <c r="L904" s="391"/>
      <c r="M904" s="391"/>
      <c r="N904" s="391"/>
      <c r="O904" s="391"/>
      <c r="P904" s="391"/>
      <c r="Q904" s="391"/>
      <c r="R904" s="391"/>
      <c r="S904" s="391"/>
      <c r="T904" s="391"/>
      <c r="U904" s="391"/>
      <c r="V904" s="391"/>
      <c r="W904" s="391"/>
      <c r="X904" s="391"/>
      <c r="Y904" s="391"/>
      <c r="Z904" s="391"/>
    </row>
    <row r="905">
      <c r="A905" s="391"/>
      <c r="B905" s="391"/>
      <c r="C905" s="391"/>
      <c r="D905" s="391"/>
      <c r="E905" s="391"/>
      <c r="F905" s="391"/>
      <c r="G905" s="391"/>
      <c r="H905" s="391"/>
      <c r="I905" s="391"/>
      <c r="J905" s="391"/>
      <c r="K905" s="391"/>
      <c r="L905" s="391"/>
      <c r="M905" s="391"/>
      <c r="N905" s="391"/>
      <c r="O905" s="391"/>
      <c r="P905" s="391"/>
      <c r="Q905" s="391"/>
      <c r="R905" s="391"/>
      <c r="S905" s="391"/>
      <c r="T905" s="391"/>
      <c r="U905" s="391"/>
      <c r="V905" s="391"/>
      <c r="W905" s="391"/>
      <c r="X905" s="391"/>
      <c r="Y905" s="391"/>
      <c r="Z905" s="391"/>
    </row>
    <row r="906">
      <c r="A906" s="391"/>
      <c r="B906" s="391"/>
      <c r="C906" s="391"/>
      <c r="D906" s="391"/>
      <c r="E906" s="391"/>
      <c r="F906" s="391"/>
      <c r="G906" s="391"/>
      <c r="H906" s="391"/>
      <c r="I906" s="391"/>
      <c r="J906" s="391"/>
      <c r="K906" s="391"/>
      <c r="L906" s="391"/>
      <c r="M906" s="391"/>
      <c r="N906" s="391"/>
      <c r="O906" s="391"/>
      <c r="P906" s="391"/>
      <c r="Q906" s="391"/>
      <c r="R906" s="391"/>
      <c r="S906" s="391"/>
      <c r="T906" s="391"/>
      <c r="U906" s="391"/>
      <c r="V906" s="391"/>
      <c r="W906" s="391"/>
      <c r="X906" s="391"/>
      <c r="Y906" s="391"/>
      <c r="Z906" s="391"/>
    </row>
    <row r="907">
      <c r="A907" s="391"/>
      <c r="B907" s="391"/>
      <c r="C907" s="391"/>
      <c r="D907" s="391"/>
      <c r="E907" s="391"/>
      <c r="F907" s="391"/>
      <c r="G907" s="391"/>
      <c r="H907" s="391"/>
      <c r="I907" s="391"/>
      <c r="J907" s="391"/>
      <c r="K907" s="391"/>
      <c r="L907" s="391"/>
      <c r="M907" s="391"/>
      <c r="N907" s="391"/>
      <c r="O907" s="391"/>
      <c r="P907" s="391"/>
      <c r="Q907" s="391"/>
      <c r="R907" s="391"/>
      <c r="S907" s="391"/>
      <c r="T907" s="391"/>
      <c r="U907" s="391"/>
      <c r="V907" s="391"/>
      <c r="W907" s="391"/>
      <c r="X907" s="391"/>
      <c r="Y907" s="391"/>
      <c r="Z907" s="391"/>
    </row>
    <row r="908">
      <c r="A908" s="391"/>
      <c r="B908" s="391"/>
      <c r="C908" s="391"/>
      <c r="D908" s="391"/>
      <c r="E908" s="391"/>
      <c r="F908" s="391"/>
      <c r="G908" s="391"/>
      <c r="H908" s="391"/>
      <c r="I908" s="391"/>
      <c r="J908" s="391"/>
      <c r="K908" s="391"/>
      <c r="L908" s="391"/>
      <c r="M908" s="391"/>
      <c r="N908" s="391"/>
      <c r="O908" s="391"/>
      <c r="P908" s="391"/>
      <c r="Q908" s="391"/>
      <c r="R908" s="391"/>
      <c r="S908" s="391"/>
      <c r="T908" s="391"/>
      <c r="U908" s="391"/>
      <c r="V908" s="391"/>
      <c r="W908" s="391"/>
      <c r="X908" s="391"/>
      <c r="Y908" s="391"/>
      <c r="Z908" s="391"/>
    </row>
    <row r="909">
      <c r="A909" s="391"/>
      <c r="B909" s="391"/>
      <c r="C909" s="391"/>
      <c r="D909" s="391"/>
      <c r="E909" s="391"/>
      <c r="F909" s="391"/>
      <c r="G909" s="391"/>
      <c r="H909" s="391"/>
      <c r="I909" s="391"/>
      <c r="J909" s="391"/>
      <c r="K909" s="391"/>
      <c r="L909" s="391"/>
      <c r="M909" s="391"/>
      <c r="N909" s="391"/>
      <c r="O909" s="391"/>
      <c r="P909" s="391"/>
      <c r="Q909" s="391"/>
      <c r="R909" s="391"/>
      <c r="S909" s="391"/>
      <c r="T909" s="391"/>
      <c r="U909" s="391"/>
      <c r="V909" s="391"/>
      <c r="W909" s="391"/>
      <c r="X909" s="391"/>
      <c r="Y909" s="391"/>
      <c r="Z909" s="391"/>
    </row>
    <row r="910">
      <c r="A910" s="391"/>
      <c r="B910" s="391"/>
      <c r="C910" s="391"/>
      <c r="D910" s="391"/>
      <c r="E910" s="391"/>
      <c r="F910" s="391"/>
      <c r="G910" s="391"/>
      <c r="H910" s="391"/>
      <c r="I910" s="391"/>
      <c r="J910" s="391"/>
      <c r="K910" s="391"/>
      <c r="L910" s="391"/>
      <c r="M910" s="391"/>
      <c r="N910" s="391"/>
      <c r="O910" s="391"/>
      <c r="P910" s="391"/>
      <c r="Q910" s="391"/>
      <c r="R910" s="391"/>
      <c r="S910" s="391"/>
      <c r="T910" s="391"/>
      <c r="U910" s="391"/>
      <c r="V910" s="391"/>
      <c r="W910" s="391"/>
      <c r="X910" s="391"/>
      <c r="Y910" s="391"/>
      <c r="Z910" s="391"/>
    </row>
    <row r="911">
      <c r="A911" s="391"/>
      <c r="B911" s="391"/>
      <c r="C911" s="391"/>
      <c r="D911" s="391"/>
      <c r="E911" s="391"/>
      <c r="F911" s="391"/>
      <c r="G911" s="391"/>
      <c r="H911" s="391"/>
      <c r="I911" s="391"/>
      <c r="J911" s="391"/>
      <c r="K911" s="391"/>
      <c r="L911" s="391"/>
      <c r="M911" s="391"/>
      <c r="N911" s="391"/>
      <c r="O911" s="391"/>
      <c r="P911" s="391"/>
      <c r="Q911" s="391"/>
      <c r="R911" s="391"/>
      <c r="S911" s="391"/>
      <c r="T911" s="391"/>
      <c r="U911" s="391"/>
      <c r="V911" s="391"/>
      <c r="W911" s="391"/>
      <c r="X911" s="391"/>
      <c r="Y911" s="391"/>
      <c r="Z911" s="391"/>
    </row>
    <row r="912">
      <c r="A912" s="391"/>
      <c r="B912" s="391"/>
      <c r="C912" s="391"/>
      <c r="D912" s="391"/>
      <c r="E912" s="391"/>
      <c r="F912" s="391"/>
      <c r="G912" s="391"/>
      <c r="H912" s="391"/>
      <c r="I912" s="391"/>
      <c r="J912" s="391"/>
      <c r="K912" s="391"/>
      <c r="L912" s="391"/>
      <c r="M912" s="391"/>
      <c r="N912" s="391"/>
      <c r="O912" s="391"/>
      <c r="P912" s="391"/>
      <c r="Q912" s="391"/>
      <c r="R912" s="391"/>
      <c r="S912" s="391"/>
      <c r="T912" s="391"/>
      <c r="U912" s="391"/>
      <c r="V912" s="391"/>
      <c r="W912" s="391"/>
      <c r="X912" s="391"/>
      <c r="Y912" s="391"/>
      <c r="Z912" s="391"/>
    </row>
    <row r="913">
      <c r="A913" s="391"/>
      <c r="B913" s="391"/>
      <c r="C913" s="391"/>
      <c r="D913" s="391"/>
      <c r="E913" s="391"/>
      <c r="F913" s="391"/>
      <c r="G913" s="391"/>
      <c r="H913" s="391"/>
      <c r="I913" s="391"/>
      <c r="J913" s="391"/>
      <c r="K913" s="391"/>
      <c r="L913" s="391"/>
      <c r="M913" s="391"/>
      <c r="N913" s="391"/>
      <c r="O913" s="391"/>
      <c r="P913" s="391"/>
      <c r="Q913" s="391"/>
      <c r="R913" s="391"/>
      <c r="S913" s="391"/>
      <c r="T913" s="391"/>
      <c r="U913" s="391"/>
      <c r="V913" s="391"/>
      <c r="W913" s="391"/>
      <c r="X913" s="391"/>
      <c r="Y913" s="391"/>
      <c r="Z913" s="391"/>
    </row>
    <row r="914">
      <c r="A914" s="391"/>
      <c r="B914" s="391"/>
      <c r="C914" s="391"/>
      <c r="D914" s="391"/>
      <c r="E914" s="391"/>
      <c r="F914" s="391"/>
      <c r="G914" s="391"/>
      <c r="H914" s="391"/>
      <c r="I914" s="391"/>
      <c r="J914" s="391"/>
      <c r="K914" s="391"/>
      <c r="L914" s="391"/>
      <c r="M914" s="391"/>
      <c r="N914" s="391"/>
      <c r="O914" s="391"/>
      <c r="P914" s="391"/>
      <c r="Q914" s="391"/>
      <c r="R914" s="391"/>
      <c r="S914" s="391"/>
      <c r="T914" s="391"/>
      <c r="U914" s="391"/>
      <c r="V914" s="391"/>
      <c r="W914" s="391"/>
      <c r="X914" s="391"/>
      <c r="Y914" s="391"/>
      <c r="Z914" s="391"/>
    </row>
    <row r="915">
      <c r="A915" s="391"/>
      <c r="B915" s="391"/>
      <c r="C915" s="391"/>
      <c r="D915" s="391"/>
      <c r="E915" s="391"/>
      <c r="F915" s="391"/>
      <c r="G915" s="391"/>
      <c r="H915" s="391"/>
      <c r="I915" s="391"/>
      <c r="J915" s="391"/>
      <c r="K915" s="391"/>
      <c r="L915" s="391"/>
      <c r="M915" s="391"/>
      <c r="N915" s="391"/>
      <c r="O915" s="391"/>
      <c r="P915" s="391"/>
      <c r="Q915" s="391"/>
      <c r="R915" s="391"/>
      <c r="S915" s="391"/>
      <c r="T915" s="391"/>
      <c r="U915" s="391"/>
      <c r="V915" s="391"/>
      <c r="W915" s="391"/>
      <c r="X915" s="391"/>
      <c r="Y915" s="391"/>
      <c r="Z915" s="391"/>
    </row>
    <row r="916">
      <c r="A916" s="391"/>
      <c r="B916" s="391"/>
      <c r="C916" s="391"/>
      <c r="D916" s="391"/>
      <c r="E916" s="391"/>
      <c r="F916" s="391"/>
      <c r="G916" s="391"/>
      <c r="H916" s="391"/>
      <c r="I916" s="391"/>
      <c r="J916" s="391"/>
      <c r="K916" s="391"/>
      <c r="L916" s="391"/>
      <c r="M916" s="391"/>
      <c r="N916" s="391"/>
      <c r="O916" s="391"/>
      <c r="P916" s="391"/>
      <c r="Q916" s="391"/>
      <c r="R916" s="391"/>
      <c r="S916" s="391"/>
      <c r="T916" s="391"/>
      <c r="U916" s="391"/>
      <c r="V916" s="391"/>
      <c r="W916" s="391"/>
      <c r="X916" s="391"/>
      <c r="Y916" s="391"/>
      <c r="Z916" s="391"/>
    </row>
    <row r="917">
      <c r="A917" s="391"/>
      <c r="B917" s="391"/>
      <c r="C917" s="391"/>
      <c r="D917" s="391"/>
      <c r="E917" s="391"/>
      <c r="F917" s="391"/>
      <c r="G917" s="391"/>
      <c r="H917" s="391"/>
      <c r="I917" s="391"/>
      <c r="J917" s="391"/>
      <c r="K917" s="391"/>
      <c r="L917" s="391"/>
      <c r="M917" s="391"/>
      <c r="N917" s="391"/>
      <c r="O917" s="391"/>
      <c r="P917" s="391"/>
      <c r="Q917" s="391"/>
      <c r="R917" s="391"/>
      <c r="S917" s="391"/>
      <c r="T917" s="391"/>
      <c r="U917" s="391"/>
      <c r="V917" s="391"/>
      <c r="W917" s="391"/>
      <c r="X917" s="391"/>
      <c r="Y917" s="391"/>
      <c r="Z917" s="391"/>
    </row>
    <row r="918">
      <c r="A918" s="391"/>
      <c r="B918" s="391"/>
      <c r="C918" s="391"/>
      <c r="D918" s="391"/>
      <c r="E918" s="391"/>
      <c r="F918" s="391"/>
      <c r="G918" s="391"/>
      <c r="H918" s="391"/>
      <c r="I918" s="391"/>
      <c r="J918" s="391"/>
      <c r="K918" s="391"/>
      <c r="L918" s="391"/>
      <c r="M918" s="391"/>
      <c r="N918" s="391"/>
      <c r="O918" s="391"/>
      <c r="P918" s="391"/>
      <c r="Q918" s="391"/>
      <c r="R918" s="391"/>
      <c r="S918" s="391"/>
      <c r="T918" s="391"/>
      <c r="U918" s="391"/>
      <c r="V918" s="391"/>
      <c r="W918" s="391"/>
      <c r="X918" s="391"/>
      <c r="Y918" s="391"/>
      <c r="Z918" s="391"/>
    </row>
    <row r="919">
      <c r="A919" s="391"/>
      <c r="B919" s="391"/>
      <c r="C919" s="391"/>
      <c r="D919" s="391"/>
      <c r="E919" s="391"/>
      <c r="F919" s="391"/>
      <c r="G919" s="391"/>
      <c r="H919" s="391"/>
      <c r="I919" s="391"/>
      <c r="J919" s="391"/>
      <c r="K919" s="391"/>
      <c r="L919" s="391"/>
      <c r="M919" s="391"/>
      <c r="N919" s="391"/>
      <c r="O919" s="391"/>
      <c r="P919" s="391"/>
      <c r="Q919" s="391"/>
      <c r="R919" s="391"/>
      <c r="S919" s="391"/>
      <c r="T919" s="391"/>
      <c r="U919" s="391"/>
      <c r="V919" s="391"/>
      <c r="W919" s="391"/>
      <c r="X919" s="391"/>
      <c r="Y919" s="391"/>
      <c r="Z919" s="391"/>
    </row>
    <row r="920">
      <c r="A920" s="391"/>
      <c r="B920" s="391"/>
      <c r="C920" s="391"/>
      <c r="D920" s="391"/>
      <c r="E920" s="391"/>
      <c r="F920" s="391"/>
      <c r="G920" s="391"/>
      <c r="H920" s="391"/>
      <c r="I920" s="391"/>
      <c r="J920" s="391"/>
      <c r="K920" s="391"/>
      <c r="L920" s="391"/>
      <c r="M920" s="391"/>
      <c r="N920" s="391"/>
      <c r="O920" s="391"/>
      <c r="P920" s="391"/>
      <c r="Q920" s="391"/>
      <c r="R920" s="391"/>
      <c r="S920" s="391"/>
      <c r="T920" s="391"/>
      <c r="U920" s="391"/>
      <c r="V920" s="391"/>
      <c r="W920" s="391"/>
      <c r="X920" s="391"/>
      <c r="Y920" s="391"/>
      <c r="Z920" s="391"/>
    </row>
    <row r="921">
      <c r="A921" s="391"/>
      <c r="B921" s="391"/>
      <c r="C921" s="391"/>
      <c r="D921" s="391"/>
      <c r="E921" s="391"/>
      <c r="F921" s="391"/>
      <c r="G921" s="391"/>
      <c r="H921" s="391"/>
      <c r="I921" s="391"/>
      <c r="J921" s="391"/>
      <c r="K921" s="391"/>
      <c r="L921" s="391"/>
      <c r="M921" s="391"/>
      <c r="N921" s="391"/>
      <c r="O921" s="391"/>
      <c r="P921" s="391"/>
      <c r="Q921" s="391"/>
      <c r="R921" s="391"/>
      <c r="S921" s="391"/>
      <c r="T921" s="391"/>
      <c r="U921" s="391"/>
      <c r="V921" s="391"/>
      <c r="W921" s="391"/>
      <c r="X921" s="391"/>
      <c r="Y921" s="391"/>
      <c r="Z921" s="391"/>
    </row>
    <row r="922">
      <c r="A922" s="391"/>
      <c r="B922" s="391"/>
      <c r="C922" s="391"/>
      <c r="D922" s="391"/>
      <c r="E922" s="391"/>
      <c r="F922" s="391"/>
      <c r="G922" s="391"/>
      <c r="H922" s="391"/>
      <c r="I922" s="391"/>
      <c r="J922" s="391"/>
      <c r="K922" s="391"/>
      <c r="L922" s="391"/>
      <c r="M922" s="391"/>
      <c r="N922" s="391"/>
      <c r="O922" s="391"/>
      <c r="P922" s="391"/>
      <c r="Q922" s="391"/>
      <c r="R922" s="391"/>
      <c r="S922" s="391"/>
      <c r="T922" s="391"/>
      <c r="U922" s="391"/>
      <c r="V922" s="391"/>
      <c r="W922" s="391"/>
      <c r="X922" s="391"/>
      <c r="Y922" s="391"/>
      <c r="Z922" s="391"/>
    </row>
    <row r="923">
      <c r="A923" s="391"/>
      <c r="B923" s="391"/>
      <c r="C923" s="391"/>
      <c r="D923" s="391"/>
      <c r="E923" s="391"/>
      <c r="F923" s="391"/>
      <c r="G923" s="391"/>
      <c r="H923" s="391"/>
      <c r="I923" s="391"/>
      <c r="J923" s="391"/>
      <c r="K923" s="391"/>
      <c r="L923" s="391"/>
      <c r="M923" s="391"/>
      <c r="N923" s="391"/>
      <c r="O923" s="391"/>
      <c r="P923" s="391"/>
      <c r="Q923" s="391"/>
      <c r="R923" s="391"/>
      <c r="S923" s="391"/>
      <c r="T923" s="391"/>
      <c r="U923" s="391"/>
      <c r="V923" s="391"/>
      <c r="W923" s="391"/>
      <c r="X923" s="391"/>
      <c r="Y923" s="391"/>
      <c r="Z923" s="391"/>
    </row>
    <row r="924">
      <c r="A924" s="391"/>
      <c r="B924" s="391"/>
      <c r="C924" s="391"/>
      <c r="D924" s="391"/>
      <c r="E924" s="391"/>
      <c r="F924" s="391"/>
      <c r="G924" s="391"/>
      <c r="H924" s="391"/>
      <c r="I924" s="391"/>
      <c r="J924" s="391"/>
      <c r="K924" s="391"/>
      <c r="L924" s="391"/>
      <c r="M924" s="391"/>
      <c r="N924" s="391"/>
      <c r="O924" s="391"/>
      <c r="P924" s="391"/>
      <c r="Q924" s="391"/>
      <c r="R924" s="391"/>
      <c r="S924" s="391"/>
      <c r="T924" s="391"/>
      <c r="U924" s="391"/>
      <c r="V924" s="391"/>
      <c r="W924" s="391"/>
      <c r="X924" s="391"/>
      <c r="Y924" s="391"/>
      <c r="Z924" s="391"/>
    </row>
    <row r="925">
      <c r="A925" s="391"/>
      <c r="B925" s="391"/>
      <c r="C925" s="391"/>
      <c r="D925" s="391"/>
      <c r="E925" s="391"/>
      <c r="F925" s="391"/>
      <c r="G925" s="391"/>
      <c r="H925" s="391"/>
      <c r="I925" s="391"/>
      <c r="J925" s="391"/>
      <c r="K925" s="391"/>
      <c r="L925" s="391"/>
      <c r="M925" s="391"/>
      <c r="N925" s="391"/>
      <c r="O925" s="391"/>
      <c r="P925" s="391"/>
      <c r="Q925" s="391"/>
      <c r="R925" s="391"/>
      <c r="S925" s="391"/>
      <c r="T925" s="391"/>
      <c r="U925" s="391"/>
      <c r="V925" s="391"/>
      <c r="W925" s="391"/>
      <c r="X925" s="391"/>
      <c r="Y925" s="391"/>
      <c r="Z925" s="391"/>
    </row>
    <row r="926">
      <c r="A926" s="391"/>
      <c r="B926" s="391"/>
      <c r="C926" s="391"/>
      <c r="D926" s="391"/>
      <c r="E926" s="391"/>
      <c r="F926" s="391"/>
      <c r="G926" s="391"/>
      <c r="H926" s="391"/>
      <c r="I926" s="391"/>
      <c r="J926" s="391"/>
      <c r="K926" s="391"/>
      <c r="L926" s="391"/>
      <c r="M926" s="391"/>
      <c r="N926" s="391"/>
      <c r="O926" s="391"/>
      <c r="P926" s="391"/>
      <c r="Q926" s="391"/>
      <c r="R926" s="391"/>
      <c r="S926" s="391"/>
      <c r="T926" s="391"/>
      <c r="U926" s="391"/>
      <c r="V926" s="391"/>
      <c r="W926" s="391"/>
      <c r="X926" s="391"/>
      <c r="Y926" s="391"/>
      <c r="Z926" s="391"/>
    </row>
    <row r="927">
      <c r="A927" s="391"/>
      <c r="B927" s="391"/>
      <c r="C927" s="391"/>
      <c r="D927" s="391"/>
      <c r="E927" s="391"/>
      <c r="F927" s="391"/>
      <c r="G927" s="391"/>
      <c r="H927" s="391"/>
      <c r="I927" s="391"/>
      <c r="J927" s="391"/>
      <c r="K927" s="391"/>
      <c r="L927" s="391"/>
      <c r="M927" s="391"/>
      <c r="N927" s="391"/>
      <c r="O927" s="391"/>
      <c r="P927" s="391"/>
      <c r="Q927" s="391"/>
      <c r="R927" s="391"/>
      <c r="S927" s="391"/>
      <c r="T927" s="391"/>
      <c r="U927" s="391"/>
      <c r="V927" s="391"/>
      <c r="W927" s="391"/>
      <c r="X927" s="391"/>
      <c r="Y927" s="391"/>
      <c r="Z927" s="391"/>
    </row>
    <row r="928">
      <c r="A928" s="391"/>
      <c r="B928" s="391"/>
      <c r="C928" s="391"/>
      <c r="D928" s="391"/>
      <c r="E928" s="391"/>
      <c r="F928" s="391"/>
      <c r="G928" s="391"/>
      <c r="H928" s="391"/>
      <c r="I928" s="391"/>
      <c r="J928" s="391"/>
      <c r="K928" s="391"/>
      <c r="L928" s="391"/>
      <c r="M928" s="391"/>
      <c r="N928" s="391"/>
      <c r="O928" s="391"/>
      <c r="P928" s="391"/>
      <c r="Q928" s="391"/>
      <c r="R928" s="391"/>
      <c r="S928" s="391"/>
      <c r="T928" s="391"/>
      <c r="U928" s="391"/>
      <c r="V928" s="391"/>
      <c r="W928" s="391"/>
      <c r="X928" s="391"/>
      <c r="Y928" s="391"/>
      <c r="Z928" s="391"/>
    </row>
    <row r="929">
      <c r="A929" s="391"/>
      <c r="B929" s="391"/>
      <c r="C929" s="391"/>
      <c r="D929" s="391"/>
      <c r="E929" s="391"/>
      <c r="F929" s="391"/>
      <c r="G929" s="391"/>
      <c r="H929" s="391"/>
      <c r="I929" s="391"/>
      <c r="J929" s="391"/>
      <c r="K929" s="391"/>
      <c r="L929" s="391"/>
      <c r="M929" s="391"/>
      <c r="N929" s="391"/>
      <c r="O929" s="391"/>
      <c r="P929" s="391"/>
      <c r="Q929" s="391"/>
      <c r="R929" s="391"/>
      <c r="S929" s="391"/>
      <c r="T929" s="391"/>
      <c r="U929" s="391"/>
      <c r="V929" s="391"/>
      <c r="W929" s="391"/>
      <c r="X929" s="391"/>
      <c r="Y929" s="391"/>
      <c r="Z929" s="391"/>
    </row>
    <row r="930">
      <c r="A930" s="391"/>
      <c r="B930" s="391"/>
      <c r="C930" s="391"/>
      <c r="D930" s="391"/>
      <c r="E930" s="391"/>
      <c r="F930" s="391"/>
      <c r="G930" s="391"/>
      <c r="H930" s="391"/>
      <c r="I930" s="391"/>
      <c r="J930" s="391"/>
      <c r="K930" s="391"/>
      <c r="L930" s="391"/>
      <c r="M930" s="391"/>
      <c r="N930" s="391"/>
      <c r="O930" s="391"/>
      <c r="P930" s="391"/>
      <c r="Q930" s="391"/>
      <c r="R930" s="391"/>
      <c r="S930" s="391"/>
      <c r="T930" s="391"/>
      <c r="U930" s="391"/>
      <c r="V930" s="391"/>
      <c r="W930" s="391"/>
      <c r="X930" s="391"/>
      <c r="Y930" s="391"/>
      <c r="Z930" s="391"/>
    </row>
    <row r="931">
      <c r="A931" s="391"/>
      <c r="B931" s="391"/>
      <c r="C931" s="391"/>
      <c r="D931" s="391"/>
      <c r="E931" s="391"/>
      <c r="F931" s="391"/>
      <c r="G931" s="391"/>
      <c r="H931" s="391"/>
      <c r="I931" s="391"/>
      <c r="J931" s="391"/>
      <c r="K931" s="391"/>
      <c r="L931" s="391"/>
      <c r="M931" s="391"/>
      <c r="N931" s="391"/>
      <c r="O931" s="391"/>
      <c r="P931" s="391"/>
      <c r="Q931" s="391"/>
      <c r="R931" s="391"/>
      <c r="S931" s="391"/>
      <c r="T931" s="391"/>
      <c r="U931" s="391"/>
      <c r="V931" s="391"/>
      <c r="W931" s="391"/>
      <c r="X931" s="391"/>
      <c r="Y931" s="391"/>
      <c r="Z931" s="391"/>
    </row>
    <row r="932">
      <c r="A932" s="391"/>
      <c r="B932" s="391"/>
      <c r="C932" s="391"/>
      <c r="D932" s="391"/>
      <c r="E932" s="391"/>
      <c r="F932" s="391"/>
      <c r="G932" s="391"/>
      <c r="H932" s="391"/>
      <c r="I932" s="391"/>
      <c r="J932" s="391"/>
      <c r="K932" s="391"/>
      <c r="L932" s="391"/>
      <c r="M932" s="391"/>
      <c r="N932" s="391"/>
      <c r="O932" s="391"/>
      <c r="P932" s="391"/>
      <c r="Q932" s="391"/>
      <c r="R932" s="391"/>
      <c r="S932" s="391"/>
      <c r="T932" s="391"/>
      <c r="U932" s="391"/>
      <c r="V932" s="391"/>
      <c r="W932" s="391"/>
      <c r="X932" s="391"/>
      <c r="Y932" s="391"/>
      <c r="Z932" s="391"/>
    </row>
    <row r="933">
      <c r="A933" s="391"/>
      <c r="B933" s="391"/>
      <c r="C933" s="391"/>
      <c r="D933" s="391"/>
      <c r="E933" s="391"/>
      <c r="F933" s="391"/>
      <c r="G933" s="391"/>
      <c r="H933" s="391"/>
      <c r="I933" s="391"/>
      <c r="J933" s="391"/>
      <c r="K933" s="391"/>
      <c r="L933" s="391"/>
      <c r="M933" s="391"/>
      <c r="N933" s="391"/>
      <c r="O933" s="391"/>
      <c r="P933" s="391"/>
      <c r="Q933" s="391"/>
      <c r="R933" s="391"/>
      <c r="S933" s="391"/>
      <c r="T933" s="391"/>
      <c r="U933" s="391"/>
      <c r="V933" s="391"/>
      <c r="W933" s="391"/>
      <c r="X933" s="391"/>
      <c r="Y933" s="391"/>
      <c r="Z933" s="391"/>
    </row>
    <row r="934">
      <c r="A934" s="391"/>
      <c r="B934" s="391"/>
      <c r="C934" s="391"/>
      <c r="D934" s="391"/>
      <c r="E934" s="391"/>
      <c r="F934" s="391"/>
      <c r="G934" s="391"/>
      <c r="H934" s="391"/>
      <c r="I934" s="391"/>
      <c r="J934" s="391"/>
      <c r="K934" s="391"/>
      <c r="L934" s="391"/>
      <c r="M934" s="391"/>
      <c r="N934" s="391"/>
      <c r="O934" s="391"/>
      <c r="P934" s="391"/>
      <c r="Q934" s="391"/>
      <c r="R934" s="391"/>
      <c r="S934" s="391"/>
      <c r="T934" s="391"/>
      <c r="U934" s="391"/>
      <c r="V934" s="391"/>
      <c r="W934" s="391"/>
      <c r="X934" s="391"/>
      <c r="Y934" s="391"/>
      <c r="Z934" s="391"/>
    </row>
    <row r="935">
      <c r="A935" s="391"/>
      <c r="B935" s="391"/>
      <c r="C935" s="391"/>
      <c r="D935" s="391"/>
      <c r="E935" s="391"/>
      <c r="F935" s="391"/>
      <c r="G935" s="391"/>
      <c r="H935" s="391"/>
      <c r="I935" s="391"/>
      <c r="J935" s="391"/>
      <c r="K935" s="391"/>
      <c r="L935" s="391"/>
      <c r="M935" s="391"/>
      <c r="N935" s="391"/>
      <c r="O935" s="391"/>
      <c r="P935" s="391"/>
      <c r="Q935" s="391"/>
      <c r="R935" s="391"/>
      <c r="S935" s="391"/>
      <c r="T935" s="391"/>
      <c r="U935" s="391"/>
      <c r="V935" s="391"/>
      <c r="W935" s="391"/>
      <c r="X935" s="391"/>
      <c r="Y935" s="391"/>
      <c r="Z935" s="391"/>
    </row>
    <row r="936">
      <c r="A936" s="391"/>
      <c r="B936" s="391"/>
      <c r="C936" s="391"/>
      <c r="D936" s="391"/>
      <c r="E936" s="391"/>
      <c r="F936" s="391"/>
      <c r="G936" s="391"/>
      <c r="H936" s="391"/>
      <c r="I936" s="391"/>
      <c r="J936" s="391"/>
      <c r="K936" s="391"/>
      <c r="L936" s="391"/>
      <c r="M936" s="391"/>
      <c r="N936" s="391"/>
      <c r="O936" s="391"/>
      <c r="P936" s="391"/>
      <c r="Q936" s="391"/>
      <c r="R936" s="391"/>
      <c r="S936" s="391"/>
      <c r="T936" s="391"/>
      <c r="U936" s="391"/>
      <c r="V936" s="391"/>
      <c r="W936" s="391"/>
      <c r="X936" s="391"/>
      <c r="Y936" s="391"/>
      <c r="Z936" s="391"/>
    </row>
    <row r="937">
      <c r="A937" s="391"/>
      <c r="B937" s="391"/>
      <c r="C937" s="391"/>
      <c r="D937" s="391"/>
      <c r="E937" s="391"/>
      <c r="F937" s="391"/>
      <c r="G937" s="391"/>
      <c r="H937" s="391"/>
      <c r="I937" s="391"/>
      <c r="J937" s="391"/>
      <c r="K937" s="391"/>
      <c r="L937" s="391"/>
      <c r="M937" s="391"/>
      <c r="N937" s="391"/>
      <c r="O937" s="391"/>
      <c r="P937" s="391"/>
      <c r="Q937" s="391"/>
      <c r="R937" s="391"/>
      <c r="S937" s="391"/>
      <c r="T937" s="391"/>
      <c r="U937" s="391"/>
      <c r="V937" s="391"/>
      <c r="W937" s="391"/>
      <c r="X937" s="391"/>
      <c r="Y937" s="391"/>
      <c r="Z937" s="391"/>
    </row>
    <row r="938">
      <c r="A938" s="391"/>
      <c r="B938" s="391"/>
      <c r="C938" s="391"/>
      <c r="D938" s="391"/>
      <c r="E938" s="391"/>
      <c r="F938" s="391"/>
      <c r="G938" s="391"/>
      <c r="H938" s="391"/>
      <c r="I938" s="391"/>
      <c r="J938" s="391"/>
      <c r="K938" s="391"/>
      <c r="L938" s="391"/>
      <c r="M938" s="391"/>
      <c r="N938" s="391"/>
      <c r="O938" s="391"/>
      <c r="P938" s="391"/>
      <c r="Q938" s="391"/>
      <c r="R938" s="391"/>
      <c r="S938" s="391"/>
      <c r="T938" s="391"/>
      <c r="U938" s="391"/>
      <c r="V938" s="391"/>
      <c r="W938" s="391"/>
      <c r="X938" s="391"/>
      <c r="Y938" s="391"/>
      <c r="Z938" s="391"/>
    </row>
    <row r="939">
      <c r="A939" s="391"/>
      <c r="B939" s="391"/>
      <c r="C939" s="391"/>
      <c r="D939" s="391"/>
      <c r="E939" s="391"/>
      <c r="F939" s="391"/>
      <c r="G939" s="391"/>
      <c r="H939" s="391"/>
      <c r="I939" s="391"/>
      <c r="J939" s="391"/>
      <c r="K939" s="391"/>
      <c r="L939" s="391"/>
      <c r="M939" s="391"/>
      <c r="N939" s="391"/>
      <c r="O939" s="391"/>
      <c r="P939" s="391"/>
      <c r="Q939" s="391"/>
      <c r="R939" s="391"/>
      <c r="S939" s="391"/>
      <c r="T939" s="391"/>
      <c r="U939" s="391"/>
      <c r="V939" s="391"/>
      <c r="W939" s="391"/>
      <c r="X939" s="391"/>
      <c r="Y939" s="391"/>
      <c r="Z939" s="391"/>
    </row>
    <row r="940">
      <c r="A940" s="391"/>
      <c r="B940" s="391"/>
      <c r="C940" s="391"/>
      <c r="D940" s="391"/>
      <c r="E940" s="391"/>
      <c r="F940" s="391"/>
      <c r="G940" s="391"/>
      <c r="H940" s="391"/>
      <c r="I940" s="391"/>
      <c r="J940" s="391"/>
      <c r="K940" s="391"/>
      <c r="L940" s="391"/>
      <c r="M940" s="391"/>
      <c r="N940" s="391"/>
      <c r="O940" s="391"/>
      <c r="P940" s="391"/>
      <c r="Q940" s="391"/>
      <c r="R940" s="391"/>
      <c r="S940" s="391"/>
      <c r="T940" s="391"/>
      <c r="U940" s="391"/>
      <c r="V940" s="391"/>
      <c r="W940" s="391"/>
      <c r="X940" s="391"/>
      <c r="Y940" s="391"/>
      <c r="Z940" s="391"/>
    </row>
    <row r="941">
      <c r="A941" s="391"/>
      <c r="B941" s="391"/>
      <c r="C941" s="391"/>
      <c r="D941" s="391"/>
      <c r="E941" s="391"/>
      <c r="F941" s="391"/>
      <c r="G941" s="391"/>
      <c r="H941" s="391"/>
      <c r="I941" s="391"/>
      <c r="J941" s="391"/>
      <c r="K941" s="391"/>
      <c r="L941" s="391"/>
      <c r="M941" s="391"/>
      <c r="N941" s="391"/>
      <c r="O941" s="391"/>
      <c r="P941" s="391"/>
      <c r="Q941" s="391"/>
      <c r="R941" s="391"/>
      <c r="S941" s="391"/>
      <c r="T941" s="391"/>
      <c r="U941" s="391"/>
      <c r="V941" s="391"/>
      <c r="W941" s="391"/>
      <c r="X941" s="391"/>
      <c r="Y941" s="391"/>
      <c r="Z941" s="391"/>
    </row>
    <row r="942">
      <c r="A942" s="391"/>
      <c r="B942" s="391"/>
      <c r="C942" s="391"/>
      <c r="D942" s="391"/>
      <c r="E942" s="391"/>
      <c r="F942" s="391"/>
      <c r="G942" s="391"/>
      <c r="H942" s="391"/>
      <c r="I942" s="391"/>
      <c r="J942" s="391"/>
      <c r="K942" s="391"/>
      <c r="L942" s="391"/>
      <c r="M942" s="391"/>
      <c r="N942" s="391"/>
      <c r="O942" s="391"/>
      <c r="P942" s="391"/>
      <c r="Q942" s="391"/>
      <c r="R942" s="391"/>
      <c r="S942" s="391"/>
      <c r="T942" s="391"/>
      <c r="U942" s="391"/>
      <c r="V942" s="391"/>
      <c r="W942" s="391"/>
      <c r="X942" s="391"/>
      <c r="Y942" s="391"/>
      <c r="Z942" s="391"/>
    </row>
    <row r="943">
      <c r="A943" s="391"/>
      <c r="B943" s="391"/>
      <c r="C943" s="391"/>
      <c r="D943" s="391"/>
      <c r="E943" s="391"/>
      <c r="F943" s="391"/>
      <c r="G943" s="391"/>
      <c r="H943" s="391"/>
      <c r="I943" s="391"/>
      <c r="J943" s="391"/>
      <c r="K943" s="391"/>
      <c r="L943" s="391"/>
      <c r="M943" s="391"/>
      <c r="N943" s="391"/>
      <c r="O943" s="391"/>
      <c r="P943" s="391"/>
      <c r="Q943" s="391"/>
      <c r="R943" s="391"/>
      <c r="S943" s="391"/>
      <c r="T943" s="391"/>
      <c r="U943" s="391"/>
      <c r="V943" s="391"/>
      <c r="W943" s="391"/>
      <c r="X943" s="391"/>
      <c r="Y943" s="391"/>
      <c r="Z943" s="391"/>
    </row>
    <row r="944">
      <c r="A944" s="391"/>
      <c r="B944" s="391"/>
      <c r="C944" s="391"/>
      <c r="D944" s="391"/>
      <c r="E944" s="391"/>
      <c r="F944" s="391"/>
      <c r="G944" s="391"/>
      <c r="H944" s="391"/>
      <c r="I944" s="391"/>
      <c r="J944" s="391"/>
      <c r="K944" s="391"/>
      <c r="L944" s="391"/>
      <c r="M944" s="391"/>
      <c r="N944" s="391"/>
      <c r="O944" s="391"/>
      <c r="P944" s="391"/>
      <c r="Q944" s="391"/>
      <c r="R944" s="391"/>
      <c r="S944" s="391"/>
      <c r="T944" s="391"/>
      <c r="U944" s="391"/>
      <c r="V944" s="391"/>
      <c r="W944" s="391"/>
      <c r="X944" s="391"/>
      <c r="Y944" s="391"/>
      <c r="Z944" s="391"/>
    </row>
    <row r="945">
      <c r="A945" s="391"/>
      <c r="B945" s="391"/>
      <c r="C945" s="391"/>
      <c r="D945" s="391"/>
      <c r="E945" s="391"/>
      <c r="F945" s="391"/>
      <c r="G945" s="391"/>
      <c r="H945" s="391"/>
      <c r="I945" s="391"/>
      <c r="J945" s="391"/>
      <c r="K945" s="391"/>
      <c r="L945" s="391"/>
      <c r="M945" s="391"/>
      <c r="N945" s="391"/>
      <c r="O945" s="391"/>
      <c r="P945" s="391"/>
      <c r="Q945" s="391"/>
      <c r="R945" s="391"/>
      <c r="S945" s="391"/>
      <c r="T945" s="391"/>
      <c r="U945" s="391"/>
      <c r="V945" s="391"/>
      <c r="W945" s="391"/>
      <c r="X945" s="391"/>
      <c r="Y945" s="391"/>
      <c r="Z945" s="391"/>
    </row>
    <row r="946">
      <c r="A946" s="391"/>
      <c r="B946" s="391"/>
      <c r="C946" s="391"/>
      <c r="D946" s="391"/>
      <c r="E946" s="391"/>
      <c r="F946" s="391"/>
      <c r="G946" s="391"/>
      <c r="H946" s="391"/>
      <c r="I946" s="391"/>
      <c r="J946" s="391"/>
      <c r="K946" s="391"/>
      <c r="L946" s="391"/>
      <c r="M946" s="391"/>
      <c r="N946" s="391"/>
      <c r="O946" s="391"/>
      <c r="P946" s="391"/>
      <c r="Q946" s="391"/>
      <c r="R946" s="391"/>
      <c r="S946" s="391"/>
      <c r="T946" s="391"/>
      <c r="U946" s="391"/>
      <c r="V946" s="391"/>
      <c r="W946" s="391"/>
      <c r="X946" s="391"/>
      <c r="Y946" s="391"/>
      <c r="Z946" s="391"/>
    </row>
    <row r="947">
      <c r="A947" s="391"/>
      <c r="B947" s="391"/>
      <c r="C947" s="391"/>
      <c r="D947" s="391"/>
      <c r="E947" s="391"/>
      <c r="F947" s="391"/>
      <c r="G947" s="391"/>
      <c r="H947" s="391"/>
      <c r="I947" s="391"/>
      <c r="J947" s="391"/>
      <c r="K947" s="391"/>
      <c r="L947" s="391"/>
      <c r="M947" s="391"/>
      <c r="N947" s="391"/>
      <c r="O947" s="391"/>
      <c r="P947" s="391"/>
      <c r="Q947" s="391"/>
      <c r="R947" s="391"/>
      <c r="S947" s="391"/>
      <c r="T947" s="391"/>
      <c r="U947" s="391"/>
      <c r="V947" s="391"/>
      <c r="W947" s="391"/>
      <c r="X947" s="391"/>
      <c r="Y947" s="391"/>
      <c r="Z947" s="391"/>
    </row>
    <row r="948">
      <c r="A948" s="391"/>
      <c r="B948" s="391"/>
      <c r="C948" s="391"/>
      <c r="D948" s="391"/>
      <c r="E948" s="391"/>
      <c r="F948" s="391"/>
      <c r="G948" s="391"/>
      <c r="H948" s="391"/>
      <c r="I948" s="391"/>
      <c r="J948" s="391"/>
      <c r="K948" s="391"/>
      <c r="L948" s="391"/>
      <c r="M948" s="391"/>
      <c r="N948" s="391"/>
      <c r="O948" s="391"/>
      <c r="P948" s="391"/>
      <c r="Q948" s="391"/>
      <c r="R948" s="391"/>
      <c r="S948" s="391"/>
      <c r="T948" s="391"/>
      <c r="U948" s="391"/>
      <c r="V948" s="391"/>
      <c r="W948" s="391"/>
      <c r="X948" s="391"/>
      <c r="Y948" s="391"/>
      <c r="Z948" s="391"/>
    </row>
    <row r="949">
      <c r="A949" s="391"/>
      <c r="B949" s="391"/>
      <c r="C949" s="391"/>
      <c r="D949" s="391"/>
      <c r="E949" s="391"/>
      <c r="F949" s="391"/>
      <c r="G949" s="391"/>
      <c r="H949" s="391"/>
      <c r="I949" s="391"/>
      <c r="J949" s="391"/>
      <c r="K949" s="391"/>
      <c r="L949" s="391"/>
      <c r="M949" s="391"/>
      <c r="N949" s="391"/>
      <c r="O949" s="391"/>
      <c r="P949" s="391"/>
      <c r="Q949" s="391"/>
      <c r="R949" s="391"/>
      <c r="S949" s="391"/>
      <c r="T949" s="391"/>
      <c r="U949" s="391"/>
      <c r="V949" s="391"/>
      <c r="W949" s="391"/>
      <c r="X949" s="391"/>
      <c r="Y949" s="391"/>
      <c r="Z949" s="391"/>
    </row>
    <row r="950">
      <c r="A950" s="391"/>
      <c r="B950" s="391"/>
      <c r="C950" s="391"/>
      <c r="D950" s="391"/>
      <c r="E950" s="391"/>
      <c r="F950" s="391"/>
      <c r="G950" s="391"/>
      <c r="H950" s="391"/>
      <c r="I950" s="391"/>
      <c r="J950" s="391"/>
      <c r="K950" s="391"/>
      <c r="L950" s="391"/>
      <c r="M950" s="391"/>
      <c r="N950" s="391"/>
      <c r="O950" s="391"/>
      <c r="P950" s="391"/>
      <c r="Q950" s="391"/>
      <c r="R950" s="391"/>
      <c r="S950" s="391"/>
      <c r="T950" s="391"/>
      <c r="U950" s="391"/>
      <c r="V950" s="391"/>
      <c r="W950" s="391"/>
      <c r="X950" s="391"/>
      <c r="Y950" s="391"/>
      <c r="Z950" s="391"/>
    </row>
    <row r="951">
      <c r="A951" s="391"/>
      <c r="B951" s="391"/>
      <c r="C951" s="391"/>
      <c r="D951" s="391"/>
      <c r="E951" s="391"/>
      <c r="F951" s="391"/>
      <c r="G951" s="391"/>
      <c r="H951" s="391"/>
      <c r="I951" s="391"/>
      <c r="J951" s="391"/>
      <c r="K951" s="391"/>
      <c r="L951" s="391"/>
      <c r="M951" s="391"/>
      <c r="N951" s="391"/>
      <c r="O951" s="391"/>
      <c r="P951" s="391"/>
      <c r="Q951" s="391"/>
      <c r="R951" s="391"/>
      <c r="S951" s="391"/>
      <c r="T951" s="391"/>
      <c r="U951" s="391"/>
      <c r="V951" s="391"/>
      <c r="W951" s="391"/>
      <c r="X951" s="391"/>
      <c r="Y951" s="391"/>
      <c r="Z951" s="391"/>
    </row>
    <row r="952">
      <c r="A952" s="391"/>
      <c r="B952" s="391"/>
      <c r="C952" s="391"/>
      <c r="D952" s="391"/>
      <c r="E952" s="391"/>
      <c r="F952" s="391"/>
      <c r="G952" s="391"/>
      <c r="H952" s="391"/>
      <c r="I952" s="391"/>
      <c r="J952" s="391"/>
      <c r="K952" s="391"/>
      <c r="L952" s="391"/>
      <c r="M952" s="391"/>
      <c r="N952" s="391"/>
      <c r="O952" s="391"/>
      <c r="P952" s="391"/>
      <c r="Q952" s="391"/>
      <c r="R952" s="391"/>
      <c r="S952" s="391"/>
      <c r="T952" s="391"/>
      <c r="U952" s="391"/>
      <c r="V952" s="391"/>
      <c r="W952" s="391"/>
      <c r="X952" s="391"/>
      <c r="Y952" s="391"/>
      <c r="Z952" s="391"/>
    </row>
    <row r="953">
      <c r="A953" s="391"/>
      <c r="B953" s="391"/>
      <c r="C953" s="391"/>
      <c r="D953" s="391"/>
      <c r="E953" s="391"/>
      <c r="F953" s="391"/>
      <c r="G953" s="391"/>
      <c r="H953" s="391"/>
      <c r="I953" s="391"/>
      <c r="J953" s="391"/>
      <c r="K953" s="391"/>
      <c r="L953" s="391"/>
      <c r="M953" s="391"/>
      <c r="N953" s="391"/>
      <c r="O953" s="391"/>
      <c r="P953" s="391"/>
      <c r="Q953" s="391"/>
      <c r="R953" s="391"/>
      <c r="S953" s="391"/>
      <c r="T953" s="391"/>
      <c r="U953" s="391"/>
      <c r="V953" s="391"/>
      <c r="W953" s="391"/>
      <c r="X953" s="391"/>
      <c r="Y953" s="391"/>
      <c r="Z953" s="391"/>
    </row>
    <row r="954">
      <c r="A954" s="391"/>
      <c r="B954" s="391"/>
      <c r="C954" s="391"/>
      <c r="D954" s="391"/>
      <c r="E954" s="391"/>
      <c r="F954" s="391"/>
      <c r="G954" s="391"/>
      <c r="H954" s="391"/>
      <c r="I954" s="391"/>
      <c r="J954" s="391"/>
      <c r="K954" s="391"/>
      <c r="L954" s="391"/>
      <c r="M954" s="391"/>
      <c r="N954" s="391"/>
      <c r="O954" s="391"/>
      <c r="P954" s="391"/>
      <c r="Q954" s="391"/>
      <c r="R954" s="391"/>
      <c r="S954" s="391"/>
      <c r="T954" s="391"/>
      <c r="U954" s="391"/>
      <c r="V954" s="391"/>
      <c r="W954" s="391"/>
      <c r="X954" s="391"/>
      <c r="Y954" s="391"/>
      <c r="Z954" s="391"/>
    </row>
    <row r="955">
      <c r="A955" s="391"/>
      <c r="B955" s="391"/>
      <c r="C955" s="391"/>
      <c r="D955" s="391"/>
      <c r="E955" s="391"/>
      <c r="F955" s="391"/>
      <c r="G955" s="391"/>
      <c r="H955" s="391"/>
      <c r="I955" s="391"/>
      <c r="J955" s="391"/>
      <c r="K955" s="391"/>
      <c r="L955" s="391"/>
      <c r="M955" s="391"/>
      <c r="N955" s="391"/>
      <c r="O955" s="391"/>
      <c r="P955" s="391"/>
      <c r="Q955" s="391"/>
      <c r="R955" s="391"/>
      <c r="S955" s="391"/>
      <c r="T955" s="391"/>
      <c r="U955" s="391"/>
      <c r="V955" s="391"/>
      <c r="W955" s="391"/>
      <c r="X955" s="391"/>
      <c r="Y955" s="391"/>
      <c r="Z955" s="391"/>
    </row>
    <row r="956">
      <c r="A956" s="391"/>
      <c r="B956" s="391"/>
      <c r="C956" s="391"/>
      <c r="D956" s="391"/>
      <c r="E956" s="391"/>
      <c r="F956" s="391"/>
      <c r="G956" s="391"/>
      <c r="H956" s="391"/>
      <c r="I956" s="391"/>
      <c r="J956" s="391"/>
      <c r="K956" s="391"/>
      <c r="L956" s="391"/>
      <c r="M956" s="391"/>
      <c r="N956" s="391"/>
      <c r="O956" s="391"/>
      <c r="P956" s="391"/>
      <c r="Q956" s="391"/>
      <c r="R956" s="391"/>
      <c r="S956" s="391"/>
      <c r="T956" s="391"/>
      <c r="U956" s="391"/>
      <c r="V956" s="391"/>
      <c r="W956" s="391"/>
      <c r="X956" s="391"/>
      <c r="Y956" s="391"/>
      <c r="Z956" s="391"/>
    </row>
    <row r="957">
      <c r="A957" s="391"/>
      <c r="B957" s="391"/>
      <c r="C957" s="391"/>
      <c r="D957" s="391"/>
      <c r="E957" s="391"/>
      <c r="F957" s="391"/>
      <c r="G957" s="391"/>
      <c r="H957" s="391"/>
      <c r="I957" s="391"/>
      <c r="J957" s="391"/>
      <c r="K957" s="391"/>
      <c r="L957" s="391"/>
      <c r="M957" s="391"/>
      <c r="N957" s="391"/>
      <c r="O957" s="391"/>
      <c r="P957" s="391"/>
      <c r="Q957" s="391"/>
      <c r="R957" s="391"/>
      <c r="S957" s="391"/>
      <c r="T957" s="391"/>
      <c r="U957" s="391"/>
      <c r="V957" s="391"/>
      <c r="W957" s="391"/>
      <c r="X957" s="391"/>
      <c r="Y957" s="391"/>
      <c r="Z957" s="391"/>
    </row>
    <row r="958">
      <c r="A958" s="391"/>
      <c r="B958" s="391"/>
      <c r="C958" s="391"/>
      <c r="D958" s="391"/>
      <c r="E958" s="391"/>
      <c r="F958" s="391"/>
      <c r="G958" s="391"/>
      <c r="H958" s="391"/>
      <c r="I958" s="391"/>
      <c r="J958" s="391"/>
      <c r="K958" s="391"/>
      <c r="L958" s="391"/>
      <c r="M958" s="391"/>
      <c r="N958" s="391"/>
      <c r="O958" s="391"/>
      <c r="P958" s="391"/>
      <c r="Q958" s="391"/>
      <c r="R958" s="391"/>
      <c r="S958" s="391"/>
      <c r="T958" s="391"/>
      <c r="U958" s="391"/>
      <c r="V958" s="391"/>
      <c r="W958" s="391"/>
      <c r="X958" s="391"/>
      <c r="Y958" s="391"/>
      <c r="Z958" s="391"/>
    </row>
    <row r="959">
      <c r="A959" s="391"/>
      <c r="B959" s="391"/>
      <c r="C959" s="391"/>
      <c r="D959" s="391"/>
      <c r="E959" s="391"/>
      <c r="F959" s="391"/>
      <c r="G959" s="391"/>
      <c r="H959" s="391"/>
      <c r="I959" s="391"/>
      <c r="J959" s="391"/>
      <c r="K959" s="391"/>
      <c r="L959" s="391"/>
      <c r="M959" s="391"/>
      <c r="N959" s="391"/>
      <c r="O959" s="391"/>
      <c r="P959" s="391"/>
      <c r="Q959" s="391"/>
      <c r="R959" s="391"/>
      <c r="S959" s="391"/>
      <c r="T959" s="391"/>
      <c r="U959" s="391"/>
      <c r="V959" s="391"/>
      <c r="W959" s="391"/>
      <c r="X959" s="391"/>
      <c r="Y959" s="391"/>
      <c r="Z959" s="391"/>
    </row>
    <row r="960">
      <c r="A960" s="391"/>
      <c r="B960" s="391"/>
      <c r="C960" s="391"/>
      <c r="D960" s="391"/>
      <c r="E960" s="391"/>
      <c r="F960" s="391"/>
      <c r="G960" s="391"/>
      <c r="H960" s="391"/>
      <c r="I960" s="391"/>
      <c r="J960" s="391"/>
      <c r="K960" s="391"/>
      <c r="L960" s="391"/>
      <c r="M960" s="391"/>
      <c r="N960" s="391"/>
      <c r="O960" s="391"/>
      <c r="P960" s="391"/>
      <c r="Q960" s="391"/>
      <c r="R960" s="391"/>
      <c r="S960" s="391"/>
      <c r="T960" s="391"/>
      <c r="U960" s="391"/>
      <c r="V960" s="391"/>
      <c r="W960" s="391"/>
      <c r="X960" s="391"/>
      <c r="Y960" s="391"/>
      <c r="Z960" s="391"/>
    </row>
    <row r="961">
      <c r="A961" s="391"/>
      <c r="B961" s="391"/>
      <c r="C961" s="391"/>
      <c r="D961" s="391"/>
      <c r="E961" s="391"/>
      <c r="F961" s="391"/>
      <c r="G961" s="391"/>
      <c r="H961" s="391"/>
      <c r="I961" s="391"/>
      <c r="J961" s="391"/>
      <c r="K961" s="391"/>
      <c r="L961" s="391"/>
      <c r="M961" s="391"/>
      <c r="N961" s="391"/>
      <c r="O961" s="391"/>
      <c r="P961" s="391"/>
      <c r="Q961" s="391"/>
      <c r="R961" s="391"/>
      <c r="S961" s="391"/>
      <c r="T961" s="391"/>
      <c r="U961" s="391"/>
      <c r="V961" s="391"/>
      <c r="W961" s="391"/>
      <c r="X961" s="391"/>
      <c r="Y961" s="391"/>
      <c r="Z961" s="391"/>
    </row>
    <row r="962">
      <c r="A962" s="391"/>
      <c r="B962" s="391"/>
      <c r="C962" s="391"/>
      <c r="D962" s="391"/>
      <c r="E962" s="391"/>
      <c r="F962" s="391"/>
      <c r="G962" s="391"/>
      <c r="H962" s="391"/>
      <c r="I962" s="391"/>
      <c r="J962" s="391"/>
      <c r="K962" s="391"/>
      <c r="L962" s="391"/>
      <c r="M962" s="391"/>
      <c r="N962" s="391"/>
      <c r="O962" s="391"/>
      <c r="P962" s="391"/>
      <c r="Q962" s="391"/>
      <c r="R962" s="391"/>
      <c r="S962" s="391"/>
      <c r="T962" s="391"/>
      <c r="U962" s="391"/>
      <c r="V962" s="391"/>
      <c r="W962" s="391"/>
      <c r="X962" s="391"/>
      <c r="Y962" s="391"/>
      <c r="Z962" s="391"/>
    </row>
    <row r="963">
      <c r="A963" s="391"/>
      <c r="B963" s="391"/>
      <c r="C963" s="391"/>
      <c r="D963" s="391"/>
      <c r="E963" s="391"/>
      <c r="F963" s="391"/>
      <c r="G963" s="391"/>
      <c r="H963" s="391"/>
      <c r="I963" s="391"/>
      <c r="J963" s="391"/>
      <c r="K963" s="391"/>
      <c r="L963" s="391"/>
      <c r="M963" s="391"/>
      <c r="N963" s="391"/>
      <c r="O963" s="391"/>
      <c r="P963" s="391"/>
      <c r="Q963" s="391"/>
      <c r="R963" s="391"/>
      <c r="S963" s="391"/>
      <c r="T963" s="391"/>
      <c r="U963" s="391"/>
      <c r="V963" s="391"/>
      <c r="W963" s="391"/>
      <c r="X963" s="391"/>
      <c r="Y963" s="391"/>
      <c r="Z963" s="391"/>
    </row>
    <row r="964">
      <c r="A964" s="391"/>
      <c r="B964" s="391"/>
      <c r="C964" s="391"/>
      <c r="D964" s="391"/>
      <c r="E964" s="391"/>
      <c r="F964" s="391"/>
      <c r="G964" s="391"/>
      <c r="H964" s="391"/>
      <c r="I964" s="391"/>
      <c r="J964" s="391"/>
      <c r="K964" s="391"/>
      <c r="L964" s="391"/>
      <c r="M964" s="391"/>
      <c r="N964" s="391"/>
      <c r="O964" s="391"/>
      <c r="P964" s="391"/>
      <c r="Q964" s="391"/>
      <c r="R964" s="391"/>
      <c r="S964" s="391"/>
      <c r="T964" s="391"/>
      <c r="U964" s="391"/>
      <c r="V964" s="391"/>
      <c r="W964" s="391"/>
      <c r="X964" s="391"/>
      <c r="Y964" s="391"/>
      <c r="Z964" s="391"/>
    </row>
    <row r="965">
      <c r="A965" s="391"/>
      <c r="B965" s="391"/>
      <c r="C965" s="391"/>
      <c r="D965" s="391"/>
      <c r="E965" s="391"/>
      <c r="F965" s="391"/>
      <c r="G965" s="391"/>
      <c r="H965" s="391"/>
      <c r="I965" s="391"/>
      <c r="J965" s="391"/>
      <c r="K965" s="391"/>
      <c r="L965" s="391"/>
      <c r="M965" s="391"/>
      <c r="N965" s="391"/>
      <c r="O965" s="391"/>
      <c r="P965" s="391"/>
      <c r="Q965" s="391"/>
      <c r="R965" s="391"/>
      <c r="S965" s="391"/>
      <c r="T965" s="391"/>
      <c r="U965" s="391"/>
      <c r="V965" s="391"/>
      <c r="W965" s="391"/>
      <c r="X965" s="391"/>
      <c r="Y965" s="391"/>
      <c r="Z965" s="391"/>
    </row>
    <row r="966">
      <c r="A966" s="391"/>
      <c r="B966" s="391"/>
      <c r="C966" s="391"/>
      <c r="D966" s="391"/>
      <c r="E966" s="391"/>
      <c r="F966" s="391"/>
      <c r="G966" s="391"/>
      <c r="H966" s="391"/>
      <c r="I966" s="391"/>
      <c r="J966" s="391"/>
      <c r="K966" s="391"/>
      <c r="L966" s="391"/>
      <c r="M966" s="391"/>
      <c r="N966" s="391"/>
      <c r="O966" s="391"/>
      <c r="P966" s="391"/>
      <c r="Q966" s="391"/>
      <c r="R966" s="391"/>
      <c r="S966" s="391"/>
      <c r="T966" s="391"/>
      <c r="U966" s="391"/>
      <c r="V966" s="391"/>
      <c r="W966" s="391"/>
      <c r="X966" s="391"/>
      <c r="Y966" s="391"/>
      <c r="Z966" s="391"/>
    </row>
    <row r="967">
      <c r="A967" s="391"/>
      <c r="B967" s="391"/>
      <c r="C967" s="391"/>
      <c r="D967" s="391"/>
      <c r="E967" s="391"/>
      <c r="F967" s="391"/>
      <c r="G967" s="391"/>
      <c r="H967" s="391"/>
      <c r="I967" s="391"/>
      <c r="J967" s="391"/>
      <c r="K967" s="391"/>
      <c r="L967" s="391"/>
      <c r="M967" s="391"/>
      <c r="N967" s="391"/>
      <c r="O967" s="391"/>
      <c r="P967" s="391"/>
      <c r="Q967" s="391"/>
      <c r="R967" s="391"/>
      <c r="S967" s="391"/>
      <c r="T967" s="391"/>
      <c r="U967" s="391"/>
      <c r="V967" s="391"/>
      <c r="W967" s="391"/>
      <c r="X967" s="391"/>
      <c r="Y967" s="391"/>
      <c r="Z967" s="391"/>
    </row>
    <row r="968">
      <c r="A968" s="391"/>
      <c r="B968" s="391"/>
      <c r="C968" s="391"/>
      <c r="D968" s="391"/>
      <c r="E968" s="391"/>
      <c r="F968" s="391"/>
      <c r="G968" s="391"/>
      <c r="H968" s="391"/>
      <c r="I968" s="391"/>
      <c r="J968" s="391"/>
      <c r="K968" s="391"/>
      <c r="L968" s="391"/>
      <c r="M968" s="391"/>
      <c r="N968" s="391"/>
      <c r="O968" s="391"/>
      <c r="P968" s="391"/>
      <c r="Q968" s="391"/>
      <c r="R968" s="391"/>
      <c r="S968" s="391"/>
      <c r="T968" s="391"/>
      <c r="U968" s="391"/>
      <c r="V968" s="391"/>
      <c r="W968" s="391"/>
      <c r="X968" s="391"/>
      <c r="Y968" s="391"/>
      <c r="Z968" s="391"/>
    </row>
    <row r="969">
      <c r="A969" s="391"/>
      <c r="B969" s="391"/>
      <c r="C969" s="391"/>
      <c r="D969" s="391"/>
      <c r="E969" s="391"/>
      <c r="F969" s="391"/>
      <c r="G969" s="391"/>
      <c r="H969" s="391"/>
      <c r="I969" s="391"/>
      <c r="J969" s="391"/>
      <c r="K969" s="391"/>
      <c r="L969" s="391"/>
      <c r="M969" s="391"/>
      <c r="N969" s="391"/>
      <c r="O969" s="391"/>
      <c r="P969" s="391"/>
      <c r="Q969" s="391"/>
      <c r="R969" s="391"/>
      <c r="S969" s="391"/>
      <c r="T969" s="391"/>
      <c r="U969" s="391"/>
      <c r="V969" s="391"/>
      <c r="W969" s="391"/>
      <c r="X969" s="391"/>
      <c r="Y969" s="391"/>
      <c r="Z969" s="391"/>
    </row>
    <row r="970">
      <c r="A970" s="391"/>
      <c r="B970" s="391"/>
      <c r="C970" s="391"/>
      <c r="D970" s="391"/>
      <c r="E970" s="391"/>
      <c r="F970" s="391"/>
      <c r="G970" s="391"/>
      <c r="H970" s="391"/>
      <c r="I970" s="391"/>
      <c r="J970" s="391"/>
      <c r="K970" s="391"/>
      <c r="L970" s="391"/>
      <c r="M970" s="391"/>
      <c r="N970" s="391"/>
      <c r="O970" s="391"/>
      <c r="P970" s="391"/>
      <c r="Q970" s="391"/>
      <c r="R970" s="391"/>
      <c r="S970" s="391"/>
      <c r="T970" s="391"/>
      <c r="U970" s="391"/>
      <c r="V970" s="391"/>
      <c r="W970" s="391"/>
      <c r="X970" s="391"/>
      <c r="Y970" s="391"/>
      <c r="Z970" s="391"/>
    </row>
    <row r="971">
      <c r="A971" s="391"/>
      <c r="B971" s="391"/>
      <c r="C971" s="391"/>
      <c r="D971" s="391"/>
      <c r="E971" s="391"/>
      <c r="F971" s="391"/>
      <c r="G971" s="391"/>
      <c r="H971" s="391"/>
      <c r="I971" s="391"/>
      <c r="J971" s="391"/>
      <c r="K971" s="391"/>
      <c r="L971" s="391"/>
      <c r="M971" s="391"/>
      <c r="N971" s="391"/>
      <c r="O971" s="391"/>
      <c r="P971" s="391"/>
      <c r="Q971" s="391"/>
      <c r="R971" s="391"/>
      <c r="S971" s="391"/>
      <c r="T971" s="391"/>
      <c r="U971" s="391"/>
      <c r="V971" s="391"/>
      <c r="W971" s="391"/>
      <c r="X971" s="391"/>
      <c r="Y971" s="391"/>
      <c r="Z971" s="391"/>
    </row>
    <row r="972">
      <c r="A972" s="391"/>
      <c r="B972" s="391"/>
      <c r="C972" s="391"/>
      <c r="D972" s="391"/>
      <c r="E972" s="391"/>
      <c r="F972" s="391"/>
      <c r="G972" s="391"/>
      <c r="H972" s="391"/>
      <c r="I972" s="391"/>
      <c r="J972" s="391"/>
      <c r="K972" s="391"/>
      <c r="L972" s="391"/>
      <c r="M972" s="391"/>
      <c r="N972" s="391"/>
      <c r="O972" s="391"/>
      <c r="P972" s="391"/>
      <c r="Q972" s="391"/>
      <c r="R972" s="391"/>
      <c r="S972" s="391"/>
      <c r="T972" s="391"/>
      <c r="U972" s="391"/>
      <c r="V972" s="391"/>
      <c r="W972" s="391"/>
      <c r="X972" s="391"/>
      <c r="Y972" s="391"/>
      <c r="Z972" s="391"/>
    </row>
    <row r="973">
      <c r="A973" s="391"/>
      <c r="B973" s="391"/>
      <c r="C973" s="391"/>
      <c r="D973" s="391"/>
      <c r="E973" s="391"/>
      <c r="F973" s="391"/>
      <c r="G973" s="391"/>
      <c r="H973" s="391"/>
      <c r="I973" s="391"/>
      <c r="J973" s="391"/>
      <c r="K973" s="391"/>
      <c r="L973" s="391"/>
      <c r="M973" s="391"/>
      <c r="N973" s="391"/>
      <c r="O973" s="391"/>
      <c r="P973" s="391"/>
      <c r="Q973" s="391"/>
      <c r="R973" s="391"/>
      <c r="S973" s="391"/>
      <c r="T973" s="391"/>
      <c r="U973" s="391"/>
      <c r="V973" s="391"/>
      <c r="W973" s="391"/>
      <c r="X973" s="391"/>
      <c r="Y973" s="391"/>
      <c r="Z973" s="391"/>
    </row>
    <row r="974">
      <c r="A974" s="391"/>
      <c r="B974" s="391"/>
      <c r="C974" s="391"/>
      <c r="D974" s="391"/>
      <c r="E974" s="391"/>
      <c r="F974" s="391"/>
      <c r="G974" s="391"/>
      <c r="H974" s="391"/>
      <c r="I974" s="391"/>
      <c r="J974" s="391"/>
      <c r="K974" s="391"/>
      <c r="L974" s="391"/>
      <c r="M974" s="391"/>
      <c r="N974" s="391"/>
      <c r="O974" s="391"/>
      <c r="P974" s="391"/>
      <c r="Q974" s="391"/>
      <c r="R974" s="391"/>
      <c r="S974" s="391"/>
      <c r="T974" s="391"/>
      <c r="U974" s="391"/>
      <c r="V974" s="391"/>
      <c r="W974" s="391"/>
      <c r="X974" s="391"/>
      <c r="Y974" s="391"/>
      <c r="Z974" s="391"/>
    </row>
    <row r="975">
      <c r="A975" s="391"/>
      <c r="B975" s="391"/>
      <c r="C975" s="391"/>
      <c r="D975" s="391"/>
      <c r="E975" s="391"/>
      <c r="F975" s="391"/>
      <c r="G975" s="391"/>
      <c r="H975" s="391"/>
      <c r="I975" s="391"/>
      <c r="J975" s="391"/>
      <c r="K975" s="391"/>
      <c r="L975" s="391"/>
      <c r="M975" s="391"/>
      <c r="N975" s="391"/>
      <c r="O975" s="391"/>
      <c r="P975" s="391"/>
      <c r="Q975" s="391"/>
      <c r="R975" s="391"/>
      <c r="S975" s="391"/>
      <c r="T975" s="391"/>
      <c r="U975" s="391"/>
      <c r="V975" s="391"/>
      <c r="W975" s="391"/>
      <c r="X975" s="391"/>
      <c r="Y975" s="391"/>
      <c r="Z975" s="391"/>
    </row>
    <row r="976">
      <c r="A976" s="391"/>
      <c r="B976" s="391"/>
      <c r="C976" s="391"/>
      <c r="D976" s="391"/>
      <c r="E976" s="391"/>
      <c r="F976" s="391"/>
      <c r="G976" s="391"/>
      <c r="H976" s="391"/>
      <c r="I976" s="391"/>
      <c r="J976" s="391"/>
      <c r="K976" s="391"/>
      <c r="L976" s="391"/>
      <c r="M976" s="391"/>
      <c r="N976" s="391"/>
      <c r="O976" s="391"/>
      <c r="P976" s="391"/>
      <c r="Q976" s="391"/>
      <c r="R976" s="391"/>
      <c r="S976" s="391"/>
      <c r="T976" s="391"/>
      <c r="U976" s="391"/>
      <c r="V976" s="391"/>
      <c r="W976" s="391"/>
      <c r="X976" s="391"/>
      <c r="Y976" s="391"/>
      <c r="Z976" s="391"/>
    </row>
    <row r="977">
      <c r="A977" s="391"/>
      <c r="B977" s="391"/>
      <c r="C977" s="391"/>
      <c r="D977" s="391"/>
      <c r="E977" s="391"/>
      <c r="F977" s="391"/>
      <c r="G977" s="391"/>
      <c r="H977" s="391"/>
      <c r="I977" s="391"/>
      <c r="J977" s="391"/>
      <c r="K977" s="391"/>
      <c r="L977" s="391"/>
      <c r="M977" s="391"/>
      <c r="N977" s="391"/>
      <c r="O977" s="391"/>
      <c r="P977" s="391"/>
      <c r="Q977" s="391"/>
      <c r="R977" s="391"/>
      <c r="S977" s="391"/>
      <c r="T977" s="391"/>
      <c r="U977" s="391"/>
      <c r="V977" s="391"/>
      <c r="W977" s="391"/>
      <c r="X977" s="391"/>
      <c r="Y977" s="391"/>
      <c r="Z977" s="391"/>
    </row>
    <row r="978">
      <c r="A978" s="391"/>
      <c r="B978" s="391"/>
      <c r="C978" s="391"/>
      <c r="D978" s="391"/>
      <c r="E978" s="391"/>
      <c r="F978" s="391"/>
      <c r="G978" s="391"/>
      <c r="H978" s="391"/>
      <c r="I978" s="391"/>
      <c r="J978" s="391"/>
      <c r="K978" s="391"/>
      <c r="L978" s="391"/>
      <c r="M978" s="391"/>
      <c r="N978" s="391"/>
      <c r="O978" s="391"/>
      <c r="P978" s="391"/>
      <c r="Q978" s="391"/>
      <c r="R978" s="391"/>
      <c r="S978" s="391"/>
      <c r="T978" s="391"/>
      <c r="U978" s="391"/>
      <c r="V978" s="391"/>
      <c r="W978" s="391"/>
      <c r="X978" s="391"/>
      <c r="Y978" s="391"/>
      <c r="Z978" s="391"/>
    </row>
    <row r="979">
      <c r="A979" s="391"/>
      <c r="B979" s="391"/>
      <c r="C979" s="391"/>
      <c r="D979" s="391"/>
      <c r="E979" s="391"/>
      <c r="F979" s="391"/>
      <c r="G979" s="391"/>
      <c r="H979" s="391"/>
      <c r="I979" s="391"/>
      <c r="J979" s="391"/>
      <c r="K979" s="391"/>
      <c r="L979" s="391"/>
      <c r="M979" s="391"/>
      <c r="N979" s="391"/>
      <c r="O979" s="391"/>
      <c r="P979" s="391"/>
      <c r="Q979" s="391"/>
      <c r="R979" s="391"/>
      <c r="S979" s="391"/>
      <c r="T979" s="391"/>
      <c r="U979" s="391"/>
      <c r="V979" s="391"/>
      <c r="W979" s="391"/>
      <c r="X979" s="391"/>
      <c r="Y979" s="391"/>
      <c r="Z979" s="391"/>
    </row>
    <row r="980">
      <c r="A980" s="391"/>
      <c r="B980" s="391"/>
      <c r="C980" s="391"/>
      <c r="D980" s="391"/>
      <c r="E980" s="391"/>
      <c r="F980" s="391"/>
      <c r="G980" s="391"/>
      <c r="H980" s="391"/>
      <c r="I980" s="391"/>
      <c r="J980" s="391"/>
      <c r="K980" s="391"/>
      <c r="L980" s="391"/>
      <c r="M980" s="391"/>
      <c r="N980" s="391"/>
      <c r="O980" s="391"/>
      <c r="P980" s="391"/>
      <c r="Q980" s="391"/>
      <c r="R980" s="391"/>
      <c r="S980" s="391"/>
      <c r="T980" s="391"/>
      <c r="U980" s="391"/>
      <c r="V980" s="391"/>
      <c r="W980" s="391"/>
      <c r="X980" s="391"/>
      <c r="Y980" s="391"/>
      <c r="Z980" s="391"/>
    </row>
    <row r="981">
      <c r="A981" s="391"/>
      <c r="B981" s="391"/>
      <c r="C981" s="391"/>
      <c r="D981" s="391"/>
      <c r="E981" s="391"/>
      <c r="F981" s="391"/>
      <c r="G981" s="391"/>
      <c r="H981" s="391"/>
      <c r="I981" s="391"/>
      <c r="J981" s="391"/>
      <c r="K981" s="391"/>
      <c r="L981" s="391"/>
      <c r="M981" s="391"/>
      <c r="N981" s="391"/>
      <c r="O981" s="391"/>
      <c r="P981" s="391"/>
      <c r="Q981" s="391"/>
      <c r="R981" s="391"/>
      <c r="S981" s="391"/>
      <c r="T981" s="391"/>
      <c r="U981" s="391"/>
      <c r="V981" s="391"/>
      <c r="W981" s="391"/>
      <c r="X981" s="391"/>
      <c r="Y981" s="391"/>
      <c r="Z981" s="391"/>
    </row>
    <row r="982">
      <c r="A982" s="391"/>
      <c r="B982" s="391"/>
      <c r="C982" s="391"/>
      <c r="D982" s="391"/>
      <c r="E982" s="391"/>
      <c r="F982" s="391"/>
      <c r="G982" s="391"/>
      <c r="H982" s="391"/>
      <c r="I982" s="391"/>
      <c r="J982" s="391"/>
      <c r="K982" s="391"/>
      <c r="L982" s="391"/>
      <c r="M982" s="391"/>
      <c r="N982" s="391"/>
      <c r="O982" s="391"/>
      <c r="P982" s="391"/>
      <c r="Q982" s="391"/>
      <c r="R982" s="391"/>
      <c r="S982" s="391"/>
      <c r="T982" s="391"/>
      <c r="U982" s="391"/>
      <c r="V982" s="391"/>
      <c r="W982" s="391"/>
      <c r="X982" s="391"/>
      <c r="Y982" s="391"/>
      <c r="Z982" s="391"/>
    </row>
    <row r="983">
      <c r="A983" s="391"/>
      <c r="B983" s="391"/>
      <c r="C983" s="391"/>
      <c r="D983" s="391"/>
      <c r="E983" s="391"/>
      <c r="F983" s="391"/>
      <c r="G983" s="391"/>
      <c r="H983" s="391"/>
      <c r="I983" s="391"/>
      <c r="J983" s="391"/>
      <c r="K983" s="391"/>
      <c r="L983" s="391"/>
      <c r="M983" s="391"/>
      <c r="N983" s="391"/>
      <c r="O983" s="391"/>
      <c r="P983" s="391"/>
      <c r="Q983" s="391"/>
      <c r="R983" s="391"/>
      <c r="S983" s="391"/>
      <c r="T983" s="391"/>
      <c r="U983" s="391"/>
      <c r="V983" s="391"/>
      <c r="W983" s="391"/>
      <c r="X983" s="391"/>
      <c r="Y983" s="391"/>
      <c r="Z983" s="391"/>
    </row>
    <row r="984">
      <c r="A984" s="391"/>
      <c r="B984" s="391"/>
      <c r="C984" s="391"/>
      <c r="D984" s="391"/>
      <c r="E984" s="391"/>
      <c r="F984" s="391"/>
      <c r="G984" s="391"/>
      <c r="H984" s="391"/>
      <c r="I984" s="391"/>
      <c r="J984" s="391"/>
      <c r="K984" s="391"/>
      <c r="L984" s="391"/>
      <c r="M984" s="391"/>
      <c r="N984" s="391"/>
      <c r="O984" s="391"/>
      <c r="P984" s="391"/>
      <c r="Q984" s="391"/>
      <c r="R984" s="391"/>
      <c r="S984" s="391"/>
      <c r="T984" s="391"/>
      <c r="U984" s="391"/>
      <c r="V984" s="391"/>
      <c r="W984" s="391"/>
      <c r="X984" s="391"/>
      <c r="Y984" s="391"/>
      <c r="Z984" s="391"/>
    </row>
    <row r="985">
      <c r="A985" s="391"/>
      <c r="B985" s="391"/>
      <c r="C985" s="391"/>
      <c r="D985" s="391"/>
      <c r="E985" s="391"/>
      <c r="F985" s="391"/>
      <c r="G985" s="391"/>
      <c r="H985" s="391"/>
      <c r="I985" s="391"/>
      <c r="J985" s="391"/>
      <c r="K985" s="391"/>
      <c r="L985" s="391"/>
      <c r="M985" s="391"/>
      <c r="N985" s="391"/>
      <c r="O985" s="391"/>
      <c r="P985" s="391"/>
      <c r="Q985" s="391"/>
      <c r="R985" s="391"/>
      <c r="S985" s="391"/>
      <c r="T985" s="391"/>
      <c r="U985" s="391"/>
      <c r="V985" s="391"/>
      <c r="W985" s="391"/>
      <c r="X985" s="391"/>
      <c r="Y985" s="391"/>
      <c r="Z985" s="391"/>
    </row>
    <row r="986">
      <c r="A986" s="391"/>
      <c r="B986" s="391"/>
      <c r="C986" s="391"/>
      <c r="D986" s="391"/>
      <c r="E986" s="391"/>
      <c r="F986" s="391"/>
      <c r="G986" s="391"/>
      <c r="H986" s="391"/>
      <c r="I986" s="391"/>
      <c r="J986" s="391"/>
      <c r="K986" s="391"/>
      <c r="L986" s="391"/>
      <c r="M986" s="391"/>
      <c r="N986" s="391"/>
      <c r="O986" s="391"/>
      <c r="P986" s="391"/>
      <c r="Q986" s="391"/>
      <c r="R986" s="391"/>
      <c r="S986" s="391"/>
      <c r="T986" s="391"/>
      <c r="U986" s="391"/>
      <c r="V986" s="391"/>
      <c r="W986" s="391"/>
      <c r="X986" s="391"/>
      <c r="Y986" s="391"/>
      <c r="Z986" s="391"/>
    </row>
    <row r="987">
      <c r="A987" s="391"/>
      <c r="B987" s="391"/>
      <c r="C987" s="391"/>
      <c r="D987" s="391"/>
      <c r="E987" s="391"/>
      <c r="F987" s="391"/>
      <c r="G987" s="391"/>
      <c r="H987" s="391"/>
      <c r="I987" s="391"/>
      <c r="J987" s="391"/>
      <c r="K987" s="391"/>
      <c r="L987" s="391"/>
      <c r="M987" s="391"/>
      <c r="N987" s="391"/>
      <c r="O987" s="391"/>
      <c r="P987" s="391"/>
      <c r="Q987" s="391"/>
      <c r="R987" s="391"/>
      <c r="S987" s="391"/>
      <c r="T987" s="391"/>
      <c r="U987" s="391"/>
      <c r="V987" s="391"/>
      <c r="W987" s="391"/>
      <c r="X987" s="391"/>
      <c r="Y987" s="391"/>
      <c r="Z987" s="391"/>
    </row>
    <row r="988">
      <c r="A988" s="391"/>
      <c r="B988" s="391"/>
      <c r="C988" s="391"/>
      <c r="D988" s="391"/>
      <c r="E988" s="391"/>
      <c r="F988" s="391"/>
      <c r="G988" s="391"/>
      <c r="H988" s="391"/>
      <c r="I988" s="391"/>
      <c r="J988" s="391"/>
      <c r="K988" s="391"/>
      <c r="L988" s="391"/>
      <c r="M988" s="391"/>
      <c r="N988" s="391"/>
      <c r="O988" s="391"/>
      <c r="P988" s="391"/>
      <c r="Q988" s="391"/>
      <c r="R988" s="391"/>
      <c r="S988" s="391"/>
      <c r="T988" s="391"/>
      <c r="U988" s="391"/>
      <c r="V988" s="391"/>
      <c r="W988" s="391"/>
      <c r="X988" s="391"/>
      <c r="Y988" s="391"/>
      <c r="Z988" s="391"/>
    </row>
    <row r="989">
      <c r="A989" s="391"/>
      <c r="B989" s="391"/>
      <c r="C989" s="391"/>
      <c r="D989" s="391"/>
      <c r="E989" s="391"/>
      <c r="F989" s="391"/>
      <c r="G989" s="391"/>
      <c r="H989" s="391"/>
      <c r="I989" s="391"/>
      <c r="J989" s="391"/>
      <c r="K989" s="391"/>
      <c r="L989" s="391"/>
      <c r="M989" s="391"/>
      <c r="N989" s="391"/>
      <c r="O989" s="391"/>
      <c r="P989" s="391"/>
      <c r="Q989" s="391"/>
      <c r="R989" s="391"/>
      <c r="S989" s="391"/>
      <c r="T989" s="391"/>
      <c r="U989" s="391"/>
      <c r="V989" s="391"/>
      <c r="W989" s="391"/>
      <c r="X989" s="391"/>
      <c r="Y989" s="391"/>
      <c r="Z989" s="391"/>
    </row>
    <row r="990">
      <c r="A990" s="391"/>
      <c r="B990" s="391"/>
      <c r="C990" s="391"/>
      <c r="D990" s="391"/>
      <c r="E990" s="391"/>
      <c r="F990" s="391"/>
      <c r="G990" s="391"/>
      <c r="H990" s="391"/>
      <c r="I990" s="391"/>
      <c r="J990" s="391"/>
      <c r="K990" s="391"/>
      <c r="L990" s="391"/>
      <c r="M990" s="391"/>
      <c r="N990" s="391"/>
      <c r="O990" s="391"/>
      <c r="P990" s="391"/>
      <c r="Q990" s="391"/>
      <c r="R990" s="391"/>
      <c r="S990" s="391"/>
      <c r="T990" s="391"/>
      <c r="U990" s="391"/>
      <c r="V990" s="391"/>
      <c r="W990" s="391"/>
      <c r="X990" s="391"/>
      <c r="Y990" s="391"/>
      <c r="Z990" s="391"/>
    </row>
    <row r="991">
      <c r="A991" s="391"/>
      <c r="B991" s="391"/>
      <c r="C991" s="391"/>
      <c r="D991" s="391"/>
      <c r="E991" s="391"/>
      <c r="F991" s="391"/>
      <c r="G991" s="391"/>
      <c r="H991" s="391"/>
      <c r="I991" s="391"/>
      <c r="J991" s="391"/>
      <c r="K991" s="391"/>
      <c r="L991" s="391"/>
      <c r="M991" s="391"/>
      <c r="N991" s="391"/>
      <c r="O991" s="391"/>
      <c r="P991" s="391"/>
      <c r="Q991" s="391"/>
      <c r="R991" s="391"/>
      <c r="S991" s="391"/>
      <c r="T991" s="391"/>
      <c r="U991" s="391"/>
      <c r="V991" s="391"/>
      <c r="W991" s="391"/>
      <c r="X991" s="391"/>
      <c r="Y991" s="391"/>
      <c r="Z991" s="391"/>
    </row>
    <row r="992">
      <c r="A992" s="391"/>
      <c r="B992" s="391"/>
      <c r="C992" s="391"/>
      <c r="D992" s="391"/>
      <c r="E992" s="391"/>
      <c r="F992" s="391"/>
      <c r="G992" s="391"/>
      <c r="H992" s="391"/>
      <c r="I992" s="391"/>
      <c r="J992" s="391"/>
      <c r="K992" s="391"/>
      <c r="L992" s="391"/>
      <c r="M992" s="391"/>
      <c r="N992" s="391"/>
      <c r="O992" s="391"/>
      <c r="P992" s="391"/>
      <c r="Q992" s="391"/>
      <c r="R992" s="391"/>
      <c r="S992" s="391"/>
      <c r="T992" s="391"/>
      <c r="U992" s="391"/>
      <c r="V992" s="391"/>
      <c r="W992" s="391"/>
      <c r="X992" s="391"/>
      <c r="Y992" s="391"/>
      <c r="Z992" s="391"/>
    </row>
    <row r="993">
      <c r="A993" s="391"/>
      <c r="B993" s="391"/>
      <c r="C993" s="391"/>
      <c r="D993" s="391"/>
      <c r="E993" s="391"/>
      <c r="F993" s="391"/>
      <c r="G993" s="391"/>
      <c r="H993" s="391"/>
      <c r="I993" s="391"/>
      <c r="J993" s="391"/>
      <c r="K993" s="391"/>
      <c r="L993" s="391"/>
      <c r="M993" s="391"/>
      <c r="N993" s="391"/>
      <c r="O993" s="391"/>
      <c r="P993" s="391"/>
      <c r="Q993" s="391"/>
      <c r="R993" s="391"/>
      <c r="S993" s="391"/>
      <c r="T993" s="391"/>
      <c r="U993" s="391"/>
      <c r="V993" s="391"/>
      <c r="W993" s="391"/>
      <c r="X993" s="391"/>
      <c r="Y993" s="391"/>
      <c r="Z993" s="391"/>
    </row>
    <row r="994">
      <c r="A994" s="391"/>
      <c r="B994" s="391"/>
      <c r="C994" s="391"/>
      <c r="D994" s="391"/>
      <c r="E994" s="391"/>
      <c r="F994" s="391"/>
      <c r="G994" s="391"/>
      <c r="H994" s="391"/>
      <c r="I994" s="391"/>
      <c r="J994" s="391"/>
      <c r="K994" s="391"/>
      <c r="L994" s="391"/>
      <c r="M994" s="391"/>
      <c r="N994" s="391"/>
      <c r="O994" s="391"/>
      <c r="P994" s="391"/>
      <c r="Q994" s="391"/>
      <c r="R994" s="391"/>
      <c r="S994" s="391"/>
      <c r="T994" s="391"/>
      <c r="U994" s="391"/>
      <c r="V994" s="391"/>
      <c r="W994" s="391"/>
      <c r="X994" s="391"/>
      <c r="Y994" s="391"/>
      <c r="Z994" s="391"/>
    </row>
    <row r="995">
      <c r="A995" s="391"/>
      <c r="B995" s="391"/>
      <c r="C995" s="391"/>
      <c r="D995" s="391"/>
      <c r="E995" s="391"/>
      <c r="F995" s="391"/>
      <c r="G995" s="391"/>
      <c r="H995" s="391"/>
      <c r="I995" s="391"/>
      <c r="J995" s="391"/>
      <c r="K995" s="391"/>
      <c r="L995" s="391"/>
      <c r="M995" s="391"/>
      <c r="N995" s="391"/>
      <c r="O995" s="391"/>
      <c r="P995" s="391"/>
      <c r="Q995" s="391"/>
      <c r="R995" s="391"/>
      <c r="S995" s="391"/>
      <c r="T995" s="391"/>
      <c r="U995" s="391"/>
      <c r="V995" s="391"/>
      <c r="W995" s="391"/>
      <c r="X995" s="391"/>
      <c r="Y995" s="391"/>
      <c r="Z995" s="391"/>
    </row>
    <row r="996">
      <c r="A996" s="391"/>
      <c r="B996" s="391"/>
      <c r="C996" s="391"/>
      <c r="D996" s="391"/>
      <c r="E996" s="391"/>
      <c r="F996" s="391"/>
      <c r="G996" s="391"/>
      <c r="H996" s="391"/>
      <c r="I996" s="391"/>
      <c r="J996" s="391"/>
      <c r="K996" s="391"/>
      <c r="L996" s="391"/>
      <c r="M996" s="391"/>
      <c r="N996" s="391"/>
      <c r="O996" s="391"/>
      <c r="P996" s="391"/>
      <c r="Q996" s="391"/>
      <c r="R996" s="391"/>
      <c r="S996" s="391"/>
      <c r="T996" s="391"/>
      <c r="U996" s="391"/>
      <c r="V996" s="391"/>
      <c r="W996" s="391"/>
      <c r="X996" s="391"/>
      <c r="Y996" s="391"/>
      <c r="Z996" s="391"/>
    </row>
    <row r="997">
      <c r="A997" s="391"/>
      <c r="B997" s="391"/>
      <c r="C997" s="391"/>
      <c r="D997" s="391"/>
      <c r="E997" s="391"/>
      <c r="F997" s="391"/>
      <c r="G997" s="391"/>
      <c r="H997" s="391"/>
      <c r="I997" s="391"/>
      <c r="J997" s="391"/>
      <c r="K997" s="391"/>
      <c r="L997" s="391"/>
      <c r="M997" s="391"/>
      <c r="N997" s="391"/>
      <c r="O997" s="391"/>
      <c r="P997" s="391"/>
      <c r="Q997" s="391"/>
      <c r="R997" s="391"/>
      <c r="S997" s="391"/>
      <c r="T997" s="391"/>
      <c r="U997" s="391"/>
      <c r="V997" s="391"/>
      <c r="W997" s="391"/>
      <c r="X997" s="391"/>
      <c r="Y997" s="391"/>
      <c r="Z997" s="391"/>
    </row>
    <row r="998">
      <c r="A998" s="391"/>
      <c r="B998" s="391"/>
      <c r="C998" s="391"/>
      <c r="D998" s="391"/>
      <c r="E998" s="391"/>
      <c r="F998" s="391"/>
      <c r="G998" s="391"/>
      <c r="H998" s="391"/>
      <c r="I998" s="391"/>
      <c r="J998" s="391"/>
      <c r="K998" s="391"/>
      <c r="L998" s="391"/>
      <c r="M998" s="391"/>
      <c r="N998" s="391"/>
      <c r="O998" s="391"/>
      <c r="P998" s="391"/>
      <c r="Q998" s="391"/>
      <c r="R998" s="391"/>
      <c r="S998" s="391"/>
      <c r="T998" s="391"/>
      <c r="U998" s="391"/>
      <c r="V998" s="391"/>
      <c r="W998" s="391"/>
      <c r="X998" s="391"/>
      <c r="Y998" s="391"/>
      <c r="Z998" s="391"/>
    </row>
    <row r="999">
      <c r="A999" s="391"/>
      <c r="B999" s="391"/>
      <c r="C999" s="391"/>
      <c r="D999" s="391"/>
      <c r="E999" s="391"/>
      <c r="F999" s="391"/>
      <c r="G999" s="391"/>
      <c r="H999" s="391"/>
      <c r="I999" s="391"/>
      <c r="J999" s="391"/>
      <c r="K999" s="391"/>
      <c r="L999" s="391"/>
      <c r="M999" s="391"/>
      <c r="N999" s="391"/>
      <c r="O999" s="391"/>
      <c r="P999" s="391"/>
      <c r="Q999" s="391"/>
      <c r="R999" s="391"/>
      <c r="S999" s="391"/>
      <c r="T999" s="391"/>
      <c r="U999" s="391"/>
      <c r="V999" s="391"/>
      <c r="W999" s="391"/>
      <c r="X999" s="391"/>
      <c r="Y999" s="391"/>
      <c r="Z999" s="391"/>
    </row>
    <row r="1000">
      <c r="A1000" s="391"/>
      <c r="B1000" s="391"/>
      <c r="C1000" s="391"/>
      <c r="D1000" s="391"/>
      <c r="E1000" s="391"/>
      <c r="F1000" s="391"/>
      <c r="G1000" s="391"/>
      <c r="H1000" s="391"/>
      <c r="I1000" s="391"/>
      <c r="J1000" s="391"/>
      <c r="K1000" s="391"/>
      <c r="L1000" s="391"/>
      <c r="M1000" s="391"/>
      <c r="N1000" s="391"/>
      <c r="O1000" s="391"/>
      <c r="P1000" s="391"/>
      <c r="Q1000" s="391"/>
      <c r="R1000" s="391"/>
      <c r="S1000" s="391"/>
      <c r="T1000" s="391"/>
      <c r="U1000" s="391"/>
      <c r="V1000" s="391"/>
      <c r="W1000" s="391"/>
      <c r="X1000" s="391"/>
      <c r="Y1000" s="391"/>
      <c r="Z1000" s="391"/>
    </row>
  </sheetData>
  <mergeCells count="1">
    <mergeCell ref="A22:B22"/>
  </mergeCells>
  <dataValidations>
    <dataValidation type="list" allowBlank="1" showErrorMessage="1" sqref="A2:A20">
      <formula1>"CB,TR,SP,CR,AM"</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5" max="5" width="14.88"/>
    <col customWidth="1" min="7" max="7" width="16.75"/>
    <col customWidth="1" min="9" max="9" width="15.13"/>
    <col customWidth="1" min="10" max="10" width="14.25"/>
    <col customWidth="1" min="12" max="12" width="3.5"/>
    <col customWidth="1" min="14" max="18" width="32.38"/>
    <col customWidth="1" min="22" max="22" width="3.88"/>
  </cols>
  <sheetData>
    <row r="1">
      <c r="A1" s="867">
        <f>TODAY()</f>
        <v>46182</v>
      </c>
      <c r="B1" s="868" t="s">
        <v>6488</v>
      </c>
      <c r="C1" s="868" t="s">
        <v>8850</v>
      </c>
      <c r="D1" s="869" t="s">
        <v>8851</v>
      </c>
      <c r="E1" s="250"/>
      <c r="F1" s="869" t="s">
        <v>8852</v>
      </c>
      <c r="G1" s="250"/>
      <c r="H1" s="869" t="s">
        <v>8853</v>
      </c>
      <c r="I1" s="250"/>
      <c r="J1" s="869" t="s">
        <v>8854</v>
      </c>
      <c r="K1" s="249"/>
      <c r="L1" s="250"/>
      <c r="M1" s="868" t="s">
        <v>8850</v>
      </c>
      <c r="N1" s="870" t="s">
        <v>8973</v>
      </c>
      <c r="O1" s="249"/>
      <c r="P1" s="249"/>
      <c r="Q1" s="249"/>
      <c r="R1" s="250"/>
      <c r="S1" s="868" t="s">
        <v>8850</v>
      </c>
      <c r="T1" s="869" t="s">
        <v>8974</v>
      </c>
      <c r="U1" s="249"/>
      <c r="V1" s="250"/>
    </row>
    <row r="2">
      <c r="A2" s="871"/>
      <c r="B2" s="872" t="s">
        <v>8858</v>
      </c>
      <c r="C2" s="873">
        <v>45796.0</v>
      </c>
      <c r="D2" s="874" t="s">
        <v>8859</v>
      </c>
      <c r="E2" s="250"/>
      <c r="F2" s="875"/>
      <c r="G2" s="250"/>
      <c r="H2" s="876"/>
      <c r="I2" s="250"/>
      <c r="J2" s="877"/>
      <c r="K2" s="249"/>
      <c r="L2" s="250"/>
      <c r="M2" s="878">
        <v>44335.0</v>
      </c>
      <c r="N2" s="547"/>
      <c r="O2" s="547"/>
      <c r="P2" s="547"/>
      <c r="Q2" s="547"/>
      <c r="R2" s="547"/>
      <c r="S2" s="878">
        <v>44335.0</v>
      </c>
      <c r="T2" s="879"/>
      <c r="U2" s="249"/>
      <c r="V2" s="250"/>
    </row>
    <row r="3">
      <c r="A3" s="871"/>
      <c r="B3" s="872" t="s">
        <v>8861</v>
      </c>
      <c r="C3" s="873">
        <v>45797.0</v>
      </c>
      <c r="D3" s="874" t="s">
        <v>8859</v>
      </c>
      <c r="E3" s="250"/>
      <c r="F3" s="875"/>
      <c r="G3" s="250"/>
      <c r="H3" s="880"/>
      <c r="I3" s="250"/>
      <c r="J3" s="877"/>
      <c r="K3" s="249"/>
      <c r="L3" s="250"/>
      <c r="M3" s="878">
        <v>44336.0</v>
      </c>
      <c r="N3" s="881"/>
      <c r="O3" s="547"/>
      <c r="P3" s="547"/>
      <c r="Q3" s="547"/>
      <c r="R3" s="547"/>
      <c r="S3" s="878">
        <v>44336.0</v>
      </c>
      <c r="T3" s="879"/>
      <c r="U3" s="249"/>
      <c r="V3" s="250"/>
    </row>
    <row r="4">
      <c r="A4" s="871"/>
      <c r="B4" s="872" t="s">
        <v>8862</v>
      </c>
      <c r="C4" s="873">
        <v>45798.0</v>
      </c>
      <c r="D4" s="874" t="s">
        <v>8859</v>
      </c>
      <c r="E4" s="250"/>
      <c r="F4" s="875"/>
      <c r="G4" s="250"/>
      <c r="H4" s="876"/>
      <c r="I4" s="250"/>
      <c r="J4" s="877"/>
      <c r="K4" s="249"/>
      <c r="L4" s="250"/>
      <c r="M4" s="878">
        <v>44337.0</v>
      </c>
      <c r="N4" s="881"/>
      <c r="O4" s="547"/>
      <c r="P4" s="547"/>
      <c r="Q4" s="547"/>
      <c r="R4" s="547"/>
      <c r="S4" s="878">
        <v>44337.0</v>
      </c>
      <c r="T4" s="879"/>
      <c r="U4" s="249"/>
      <c r="V4" s="250"/>
    </row>
    <row r="5">
      <c r="A5" s="871"/>
      <c r="B5" s="872" t="s">
        <v>8863</v>
      </c>
      <c r="C5" s="873">
        <v>45799.0</v>
      </c>
      <c r="D5" s="874" t="s">
        <v>8859</v>
      </c>
      <c r="E5" s="250"/>
      <c r="F5" s="882"/>
      <c r="G5" s="250"/>
      <c r="H5" s="880" t="s">
        <v>8975</v>
      </c>
      <c r="I5" s="250"/>
      <c r="J5" s="874" t="s">
        <v>8975</v>
      </c>
      <c r="K5" s="249"/>
      <c r="L5" s="250"/>
      <c r="M5" s="878">
        <v>44338.0</v>
      </c>
      <c r="N5" s="881"/>
      <c r="O5" s="547"/>
      <c r="P5" s="547"/>
      <c r="Q5" s="547"/>
      <c r="R5" s="547"/>
      <c r="S5" s="878">
        <v>44338.0</v>
      </c>
      <c r="T5" s="879"/>
      <c r="U5" s="249"/>
      <c r="V5" s="250"/>
    </row>
    <row r="6">
      <c r="A6" s="871"/>
      <c r="B6" s="872" t="s">
        <v>8865</v>
      </c>
      <c r="C6" s="873">
        <v>45800.0</v>
      </c>
      <c r="D6" s="874" t="s">
        <v>8866</v>
      </c>
      <c r="E6" s="250"/>
      <c r="F6" s="875"/>
      <c r="G6" s="250"/>
      <c r="H6" s="883"/>
      <c r="I6" s="250"/>
      <c r="J6" s="877"/>
      <c r="K6" s="249"/>
      <c r="L6" s="250"/>
      <c r="M6" s="878">
        <v>44339.0</v>
      </c>
      <c r="N6" s="881"/>
      <c r="O6" s="700"/>
      <c r="P6" s="700"/>
      <c r="Q6" s="700"/>
      <c r="R6" s="700"/>
      <c r="S6" s="878">
        <v>44339.0</v>
      </c>
      <c r="T6" s="879"/>
      <c r="U6" s="249"/>
      <c r="V6" s="250"/>
    </row>
    <row r="7">
      <c r="A7" s="871"/>
      <c r="B7" s="872" t="s">
        <v>8867</v>
      </c>
      <c r="C7" s="873">
        <v>45801.0</v>
      </c>
      <c r="D7" s="884" t="s">
        <v>8976</v>
      </c>
      <c r="E7" s="250"/>
      <c r="F7" s="876"/>
      <c r="G7" s="250"/>
      <c r="H7" s="883"/>
      <c r="I7" s="250"/>
      <c r="J7" s="877"/>
      <c r="K7" s="249"/>
      <c r="L7" s="250"/>
      <c r="M7" s="878">
        <v>44340.0</v>
      </c>
      <c r="N7" s="881"/>
      <c r="O7" s="700"/>
      <c r="P7" s="700"/>
      <c r="Q7" s="700"/>
      <c r="R7" s="700"/>
      <c r="S7" s="878">
        <v>44340.0</v>
      </c>
      <c r="T7" s="879"/>
      <c r="U7" s="249"/>
      <c r="V7" s="250"/>
    </row>
    <row r="8">
      <c r="A8" s="871"/>
      <c r="B8" s="872" t="s">
        <v>7559</v>
      </c>
      <c r="C8" s="873">
        <v>45802.0</v>
      </c>
      <c r="D8" s="884" t="s">
        <v>8976</v>
      </c>
      <c r="E8" s="250"/>
      <c r="F8" s="876"/>
      <c r="G8" s="250"/>
      <c r="H8" s="883"/>
      <c r="I8" s="250"/>
      <c r="J8" s="877"/>
      <c r="K8" s="249"/>
      <c r="L8" s="250"/>
      <c r="M8" s="878">
        <v>44341.0</v>
      </c>
      <c r="N8" s="700"/>
      <c r="O8" s="700"/>
      <c r="P8" s="700"/>
      <c r="Q8" s="700"/>
      <c r="R8" s="700"/>
      <c r="S8" s="878">
        <v>44341.0</v>
      </c>
      <c r="T8" s="879"/>
      <c r="U8" s="249"/>
      <c r="V8" s="250"/>
    </row>
    <row r="9">
      <c r="A9" s="871"/>
      <c r="B9" s="872" t="s">
        <v>8858</v>
      </c>
      <c r="C9" s="873">
        <v>45803.0</v>
      </c>
      <c r="D9" s="885" t="s">
        <v>8868</v>
      </c>
      <c r="E9" s="250"/>
      <c r="F9" s="886"/>
      <c r="G9" s="250"/>
      <c r="H9" s="886"/>
      <c r="I9" s="250"/>
      <c r="J9" s="887"/>
      <c r="K9" s="249"/>
      <c r="L9" s="250"/>
      <c r="M9" s="878">
        <v>44342.0</v>
      </c>
      <c r="N9" s="888"/>
      <c r="O9" s="888"/>
      <c r="P9" s="888"/>
      <c r="Q9" s="888"/>
      <c r="R9" s="888"/>
      <c r="S9" s="878">
        <v>44342.0</v>
      </c>
      <c r="T9" s="889"/>
      <c r="U9" s="249"/>
      <c r="V9" s="250"/>
    </row>
    <row r="10">
      <c r="A10" s="871"/>
      <c r="B10" s="872" t="s">
        <v>8861</v>
      </c>
      <c r="C10" s="873">
        <v>45804.0</v>
      </c>
      <c r="D10" s="887"/>
      <c r="E10" s="250"/>
      <c r="F10" s="886"/>
      <c r="G10" s="250"/>
      <c r="H10" s="890"/>
      <c r="I10" s="250"/>
      <c r="J10" s="887"/>
      <c r="K10" s="249"/>
      <c r="L10" s="250"/>
      <c r="M10" s="878">
        <v>43978.0</v>
      </c>
      <c r="N10" s="888"/>
      <c r="O10" s="888"/>
      <c r="P10" s="888"/>
      <c r="Q10" s="888"/>
      <c r="R10" s="888"/>
      <c r="S10" s="878">
        <v>43978.0</v>
      </c>
      <c r="T10" s="889"/>
      <c r="U10" s="249"/>
      <c r="V10" s="250"/>
    </row>
    <row r="11">
      <c r="A11" s="871"/>
      <c r="B11" s="872" t="s">
        <v>8862</v>
      </c>
      <c r="C11" s="873">
        <v>45805.0</v>
      </c>
      <c r="D11" s="887"/>
      <c r="E11" s="250"/>
      <c r="F11" s="886"/>
      <c r="G11" s="250"/>
      <c r="H11" s="886"/>
      <c r="I11" s="250"/>
      <c r="J11" s="887"/>
      <c r="K11" s="249"/>
      <c r="L11" s="250"/>
      <c r="M11" s="878">
        <v>43979.0</v>
      </c>
      <c r="N11" s="888"/>
      <c r="O11" s="888"/>
      <c r="P11" s="888"/>
      <c r="Q11" s="888"/>
      <c r="R11" s="888"/>
      <c r="S11" s="878">
        <v>43979.0</v>
      </c>
      <c r="T11" s="889"/>
      <c r="U11" s="249"/>
      <c r="V11" s="250"/>
    </row>
    <row r="12">
      <c r="A12" s="871"/>
      <c r="B12" s="872" t="s">
        <v>8863</v>
      </c>
      <c r="C12" s="873">
        <v>45806.0</v>
      </c>
      <c r="D12" s="887"/>
      <c r="E12" s="250"/>
      <c r="F12" s="891"/>
      <c r="G12" s="250"/>
      <c r="H12" s="886"/>
      <c r="I12" s="250"/>
      <c r="J12" s="887"/>
      <c r="K12" s="249"/>
      <c r="L12" s="250"/>
      <c r="M12" s="878">
        <v>43980.0</v>
      </c>
      <c r="N12" s="888"/>
      <c r="O12" s="888"/>
      <c r="P12" s="888"/>
      <c r="Q12" s="888"/>
      <c r="R12" s="888"/>
      <c r="S12" s="878">
        <v>43980.0</v>
      </c>
      <c r="T12" s="889"/>
      <c r="U12" s="249"/>
      <c r="V12" s="250"/>
    </row>
    <row r="13">
      <c r="A13" s="871"/>
      <c r="B13" s="872" t="s">
        <v>8865</v>
      </c>
      <c r="C13" s="873">
        <v>45807.0</v>
      </c>
      <c r="D13" s="885" t="s">
        <v>8870</v>
      </c>
      <c r="E13" s="250"/>
      <c r="F13" s="886"/>
      <c r="G13" s="250"/>
      <c r="H13" s="890"/>
      <c r="I13" s="250"/>
      <c r="J13" s="887"/>
      <c r="K13" s="249"/>
      <c r="L13" s="250"/>
      <c r="M13" s="878">
        <v>43981.0</v>
      </c>
      <c r="N13" s="888"/>
      <c r="O13" s="888"/>
      <c r="P13" s="888"/>
      <c r="Q13" s="888"/>
      <c r="R13" s="888"/>
      <c r="S13" s="878">
        <v>43981.0</v>
      </c>
      <c r="T13" s="889"/>
      <c r="U13" s="249"/>
      <c r="V13" s="250"/>
    </row>
    <row r="14">
      <c r="A14" s="871"/>
      <c r="B14" s="872" t="s">
        <v>8867</v>
      </c>
      <c r="C14" s="873">
        <v>45808.0</v>
      </c>
      <c r="D14" s="885" t="s">
        <v>8870</v>
      </c>
      <c r="E14" s="250"/>
      <c r="F14" s="886"/>
      <c r="G14" s="250"/>
      <c r="H14" s="890"/>
      <c r="I14" s="250"/>
      <c r="J14" s="887"/>
      <c r="K14" s="249"/>
      <c r="L14" s="250"/>
      <c r="M14" s="878">
        <v>43982.0</v>
      </c>
      <c r="N14" s="888"/>
      <c r="O14" s="888"/>
      <c r="P14" s="888"/>
      <c r="Q14" s="888"/>
      <c r="R14" s="888"/>
      <c r="S14" s="878">
        <v>43982.0</v>
      </c>
      <c r="T14" s="889"/>
      <c r="U14" s="249"/>
      <c r="V14" s="250"/>
    </row>
    <row r="15">
      <c r="A15" s="871"/>
      <c r="B15" s="872" t="s">
        <v>7559</v>
      </c>
      <c r="C15" s="873">
        <v>45809.0</v>
      </c>
      <c r="D15" s="885" t="s">
        <v>8870</v>
      </c>
      <c r="E15" s="250"/>
      <c r="F15" s="886"/>
      <c r="G15" s="250"/>
      <c r="H15" s="890"/>
      <c r="I15" s="250"/>
      <c r="J15" s="887"/>
      <c r="K15" s="249"/>
      <c r="L15" s="250"/>
      <c r="M15" s="878">
        <v>43983.0</v>
      </c>
      <c r="N15" s="888"/>
      <c r="O15" s="888"/>
      <c r="P15" s="888"/>
      <c r="Q15" s="888"/>
      <c r="R15" s="888"/>
      <c r="S15" s="878">
        <v>43983.0</v>
      </c>
      <c r="T15" s="889"/>
      <c r="U15" s="249"/>
      <c r="V15" s="250"/>
    </row>
    <row r="16">
      <c r="A16" s="871"/>
      <c r="B16" s="872" t="s">
        <v>8858</v>
      </c>
      <c r="C16" s="873">
        <v>45810.0</v>
      </c>
      <c r="D16" s="885" t="s">
        <v>8977</v>
      </c>
      <c r="E16" s="250"/>
      <c r="F16" s="886"/>
      <c r="G16" s="250"/>
      <c r="H16" s="890"/>
      <c r="I16" s="250"/>
      <c r="J16" s="887"/>
      <c r="K16" s="249"/>
      <c r="L16" s="250"/>
      <c r="M16" s="878">
        <v>43984.0</v>
      </c>
      <c r="N16" s="888"/>
      <c r="O16" s="888"/>
      <c r="P16" s="888"/>
      <c r="Q16" s="888"/>
      <c r="R16" s="888"/>
      <c r="S16" s="878">
        <v>43984.0</v>
      </c>
      <c r="T16" s="889"/>
      <c r="U16" s="249"/>
      <c r="V16" s="250"/>
    </row>
    <row r="17">
      <c r="A17" s="871"/>
      <c r="B17" s="872" t="s">
        <v>8861</v>
      </c>
      <c r="C17" s="873">
        <v>45811.0</v>
      </c>
      <c r="D17" s="874"/>
      <c r="E17" s="250"/>
      <c r="F17" s="874" t="s">
        <v>7603</v>
      </c>
      <c r="G17" s="250"/>
      <c r="H17" s="892" t="s">
        <v>8873</v>
      </c>
      <c r="I17" s="250"/>
      <c r="J17" s="874" t="s">
        <v>8978</v>
      </c>
      <c r="K17" s="249"/>
      <c r="L17" s="250"/>
      <c r="M17" s="878">
        <v>43985.0</v>
      </c>
      <c r="N17" s="700"/>
      <c r="O17" s="700"/>
      <c r="P17" s="700"/>
      <c r="Q17" s="700"/>
      <c r="R17" s="700"/>
      <c r="S17" s="878">
        <v>43985.0</v>
      </c>
      <c r="T17" s="879"/>
      <c r="U17" s="249"/>
      <c r="V17" s="250"/>
    </row>
    <row r="18">
      <c r="A18" s="871"/>
      <c r="B18" s="872" t="s">
        <v>8862</v>
      </c>
      <c r="C18" s="873">
        <v>45812.0</v>
      </c>
      <c r="D18" s="877"/>
      <c r="E18" s="250"/>
      <c r="F18" s="882"/>
      <c r="G18" s="250"/>
      <c r="H18" s="875" t="s">
        <v>8874</v>
      </c>
      <c r="I18" s="250"/>
      <c r="J18" s="877"/>
      <c r="K18" s="249"/>
      <c r="L18" s="250"/>
      <c r="M18" s="878">
        <v>43986.0</v>
      </c>
      <c r="N18" s="893"/>
      <c r="O18" s="893"/>
      <c r="P18" s="700"/>
      <c r="Q18" s="700"/>
      <c r="R18" s="700"/>
      <c r="S18" s="878">
        <v>43986.0</v>
      </c>
      <c r="T18" s="879"/>
      <c r="U18" s="249"/>
      <c r="V18" s="250"/>
    </row>
    <row r="19">
      <c r="A19" s="871"/>
      <c r="B19" s="872" t="s">
        <v>8863</v>
      </c>
      <c r="C19" s="873">
        <v>45813.0</v>
      </c>
      <c r="D19" s="877"/>
      <c r="E19" s="250"/>
      <c r="F19" s="875"/>
      <c r="G19" s="250"/>
      <c r="H19" s="883"/>
      <c r="I19" s="250"/>
      <c r="J19" s="877"/>
      <c r="K19" s="249"/>
      <c r="L19" s="250"/>
      <c r="M19" s="878">
        <v>43987.0</v>
      </c>
      <c r="N19" s="894" t="s">
        <v>8979</v>
      </c>
      <c r="O19" s="893"/>
      <c r="P19" s="893"/>
      <c r="Q19" s="700"/>
      <c r="R19" s="893"/>
      <c r="S19" s="878">
        <v>43987.0</v>
      </c>
      <c r="T19" s="879"/>
      <c r="U19" s="249"/>
      <c r="V19" s="250"/>
    </row>
    <row r="20">
      <c r="A20" s="871"/>
      <c r="B20" s="872" t="s">
        <v>8865</v>
      </c>
      <c r="C20" s="873">
        <v>45814.0</v>
      </c>
      <c r="D20" s="877"/>
      <c r="E20" s="250"/>
      <c r="F20" s="875"/>
      <c r="G20" s="250"/>
      <c r="H20" s="884"/>
      <c r="I20" s="250"/>
      <c r="J20" s="895" t="s">
        <v>8879</v>
      </c>
      <c r="K20" s="249"/>
      <c r="L20" s="250"/>
      <c r="M20" s="878">
        <v>43988.0</v>
      </c>
      <c r="N20" s="894" t="s">
        <v>8979</v>
      </c>
      <c r="O20" s="896"/>
      <c r="P20" s="893"/>
      <c r="Q20" s="893"/>
      <c r="R20" s="893"/>
      <c r="S20" s="878">
        <v>43988.0</v>
      </c>
      <c r="T20" s="897"/>
      <c r="U20" s="249"/>
      <c r="V20" s="250"/>
    </row>
    <row r="21">
      <c r="A21" s="871"/>
      <c r="B21" s="872" t="s">
        <v>8867</v>
      </c>
      <c r="C21" s="873">
        <v>45815.0</v>
      </c>
      <c r="D21" s="877"/>
      <c r="E21" s="250"/>
      <c r="F21" s="875"/>
      <c r="G21" s="250"/>
      <c r="H21" s="882" t="s">
        <v>6547</v>
      </c>
      <c r="I21" s="250"/>
      <c r="J21" s="895" t="s">
        <v>8879</v>
      </c>
      <c r="K21" s="249"/>
      <c r="L21" s="250"/>
      <c r="M21" s="878">
        <v>43989.0</v>
      </c>
      <c r="N21" s="894" t="s">
        <v>8979</v>
      </c>
      <c r="O21" s="893"/>
      <c r="P21" s="893"/>
      <c r="Q21" s="893" t="s">
        <v>8980</v>
      </c>
      <c r="R21" s="893"/>
      <c r="S21" s="878">
        <v>43989.0</v>
      </c>
      <c r="T21" s="897"/>
      <c r="U21" s="249"/>
      <c r="V21" s="250"/>
    </row>
    <row r="22">
      <c r="A22" s="871"/>
      <c r="B22" s="872" t="s">
        <v>7559</v>
      </c>
      <c r="C22" s="873">
        <v>45816.0</v>
      </c>
      <c r="D22" s="877"/>
      <c r="E22" s="250"/>
      <c r="F22" s="875"/>
      <c r="G22" s="250"/>
      <c r="H22" s="882" t="s">
        <v>6547</v>
      </c>
      <c r="I22" s="250"/>
      <c r="J22" s="895" t="s">
        <v>8879</v>
      </c>
      <c r="K22" s="249"/>
      <c r="L22" s="250"/>
      <c r="M22" s="878">
        <v>43990.0</v>
      </c>
      <c r="N22" s="894" t="s">
        <v>8979</v>
      </c>
      <c r="O22" s="893"/>
      <c r="P22" s="893"/>
      <c r="Q22" s="893" t="s">
        <v>8980</v>
      </c>
      <c r="R22" s="893"/>
      <c r="S22" s="878">
        <v>43990.0</v>
      </c>
      <c r="T22" s="898"/>
      <c r="U22" s="249"/>
      <c r="V22" s="250"/>
    </row>
    <row r="23">
      <c r="A23" s="871"/>
      <c r="B23" s="872" t="s">
        <v>8858</v>
      </c>
      <c r="C23" s="873">
        <v>45817.0</v>
      </c>
      <c r="D23" s="877"/>
      <c r="E23" s="250"/>
      <c r="F23" s="875"/>
      <c r="G23" s="250"/>
      <c r="H23" s="882" t="s">
        <v>6547</v>
      </c>
      <c r="I23" s="250"/>
      <c r="J23" s="895" t="s">
        <v>8879</v>
      </c>
      <c r="K23" s="249"/>
      <c r="L23" s="250"/>
      <c r="M23" s="878">
        <v>43991.0</v>
      </c>
      <c r="N23" s="894" t="s">
        <v>8979</v>
      </c>
      <c r="O23" s="893" t="s">
        <v>8085</v>
      </c>
      <c r="P23" s="893"/>
      <c r="Q23" s="893" t="s">
        <v>8980</v>
      </c>
      <c r="R23" s="893"/>
      <c r="S23" s="878">
        <v>43991.0</v>
      </c>
      <c r="T23" s="898"/>
      <c r="U23" s="249"/>
      <c r="V23" s="250"/>
    </row>
    <row r="24">
      <c r="A24" s="871"/>
      <c r="B24" s="872" t="s">
        <v>8861</v>
      </c>
      <c r="C24" s="873">
        <v>45818.0</v>
      </c>
      <c r="D24" s="874"/>
      <c r="E24" s="250"/>
      <c r="F24" s="875"/>
      <c r="G24" s="250"/>
      <c r="H24" s="875" t="s">
        <v>8885</v>
      </c>
      <c r="I24" s="250"/>
      <c r="J24" s="895" t="s">
        <v>8879</v>
      </c>
      <c r="K24" s="249"/>
      <c r="L24" s="250"/>
      <c r="M24" s="878">
        <v>43992.0</v>
      </c>
      <c r="N24" s="899" t="s">
        <v>8885</v>
      </c>
      <c r="O24" s="893" t="s">
        <v>8085</v>
      </c>
      <c r="P24" s="893" t="s">
        <v>8888</v>
      </c>
      <c r="Q24" s="893" t="s">
        <v>8980</v>
      </c>
      <c r="R24" s="893"/>
      <c r="S24" s="878">
        <v>43992.0</v>
      </c>
      <c r="T24" s="900"/>
      <c r="U24" s="249"/>
      <c r="V24" s="250"/>
    </row>
    <row r="25">
      <c r="A25" s="871"/>
      <c r="B25" s="872" t="s">
        <v>8862</v>
      </c>
      <c r="C25" s="873">
        <v>45819.0</v>
      </c>
      <c r="D25" s="438"/>
      <c r="E25" s="438"/>
      <c r="F25" s="882"/>
      <c r="G25" s="250"/>
      <c r="H25" s="875" t="s">
        <v>8885</v>
      </c>
      <c r="I25" s="250"/>
      <c r="J25" s="895" t="s">
        <v>8879</v>
      </c>
      <c r="K25" s="249"/>
      <c r="L25" s="250"/>
      <c r="M25" s="878">
        <v>43993.0</v>
      </c>
      <c r="N25" s="894" t="s">
        <v>8885</v>
      </c>
      <c r="O25" s="893" t="s">
        <v>8085</v>
      </c>
      <c r="P25" s="893" t="s">
        <v>8888</v>
      </c>
      <c r="Q25" s="893"/>
      <c r="R25" s="893"/>
      <c r="S25" s="878">
        <v>43993.0</v>
      </c>
      <c r="T25" s="900"/>
      <c r="U25" s="249"/>
      <c r="V25" s="250"/>
    </row>
    <row r="26">
      <c r="A26" s="871"/>
      <c r="B26" s="872" t="s">
        <v>8863</v>
      </c>
      <c r="C26" s="873">
        <v>45820.0</v>
      </c>
      <c r="D26" s="877"/>
      <c r="E26" s="250"/>
      <c r="F26" s="901"/>
      <c r="G26" s="250"/>
      <c r="H26" s="875" t="s">
        <v>8885</v>
      </c>
      <c r="I26" s="250"/>
      <c r="J26" s="877"/>
      <c r="K26" s="249"/>
      <c r="L26" s="250"/>
      <c r="M26" s="878">
        <v>43994.0</v>
      </c>
      <c r="N26" s="894" t="s">
        <v>8885</v>
      </c>
      <c r="O26" s="881" t="s">
        <v>8085</v>
      </c>
      <c r="P26" s="893" t="s">
        <v>8888</v>
      </c>
      <c r="Q26" s="893"/>
      <c r="R26" s="893"/>
      <c r="S26" s="878">
        <v>43994.0</v>
      </c>
      <c r="T26" s="874"/>
      <c r="U26" s="249"/>
      <c r="V26" s="250"/>
    </row>
    <row r="27">
      <c r="A27" s="871"/>
      <c r="B27" s="872" t="s">
        <v>8865</v>
      </c>
      <c r="C27" s="873">
        <v>45821.0</v>
      </c>
      <c r="D27" s="874" t="s">
        <v>8892</v>
      </c>
      <c r="E27" s="250"/>
      <c r="F27" s="875"/>
      <c r="G27" s="250"/>
      <c r="H27" s="875" t="s">
        <v>8885</v>
      </c>
      <c r="I27" s="250"/>
      <c r="J27" s="875"/>
      <c r="K27" s="249"/>
      <c r="L27" s="250"/>
      <c r="M27" s="878">
        <v>43995.0</v>
      </c>
      <c r="N27" s="894" t="s">
        <v>8885</v>
      </c>
      <c r="O27" s="893" t="s">
        <v>8891</v>
      </c>
      <c r="P27" s="893" t="s">
        <v>8888</v>
      </c>
      <c r="Q27" s="893"/>
      <c r="R27" s="893"/>
      <c r="S27" s="878">
        <v>43995.0</v>
      </c>
      <c r="T27" s="880" t="s">
        <v>8981</v>
      </c>
      <c r="U27" s="249"/>
      <c r="V27" s="250"/>
    </row>
    <row r="28">
      <c r="A28" s="871"/>
      <c r="B28" s="872" t="s">
        <v>8867</v>
      </c>
      <c r="C28" s="873">
        <v>45822.0</v>
      </c>
      <c r="D28" s="885"/>
      <c r="E28" s="250"/>
      <c r="F28" s="891"/>
      <c r="G28" s="250"/>
      <c r="H28" s="891"/>
      <c r="I28" s="250"/>
      <c r="J28" s="887"/>
      <c r="K28" s="249"/>
      <c r="L28" s="250"/>
      <c r="M28" s="878">
        <v>43996.0</v>
      </c>
      <c r="N28" s="902" t="s">
        <v>8885</v>
      </c>
      <c r="O28" s="903" t="s">
        <v>8891</v>
      </c>
      <c r="P28" s="903"/>
      <c r="Q28" s="903"/>
      <c r="R28" s="903"/>
      <c r="S28" s="878">
        <v>43996.0</v>
      </c>
      <c r="T28" s="890"/>
      <c r="U28" s="249"/>
      <c r="V28" s="250"/>
    </row>
    <row r="29">
      <c r="A29" s="871"/>
      <c r="B29" s="872" t="s">
        <v>7559</v>
      </c>
      <c r="C29" s="873">
        <v>45823.0</v>
      </c>
      <c r="D29" s="885"/>
      <c r="E29" s="250"/>
      <c r="F29" s="891"/>
      <c r="G29" s="250"/>
      <c r="H29" s="891"/>
      <c r="I29" s="250"/>
      <c r="J29" s="887"/>
      <c r="K29" s="249"/>
      <c r="L29" s="250"/>
      <c r="M29" s="878">
        <v>43997.0</v>
      </c>
      <c r="N29" s="902" t="s">
        <v>8885</v>
      </c>
      <c r="O29" s="903" t="s">
        <v>8891</v>
      </c>
      <c r="P29" s="903"/>
      <c r="Q29" s="903"/>
      <c r="R29" s="903"/>
      <c r="S29" s="878">
        <v>43997.0</v>
      </c>
      <c r="T29" s="890"/>
      <c r="U29" s="249"/>
      <c r="V29" s="250"/>
    </row>
    <row r="30">
      <c r="A30" s="871"/>
      <c r="B30" s="872" t="s">
        <v>8858</v>
      </c>
      <c r="C30" s="873">
        <v>45824.0</v>
      </c>
      <c r="D30" s="904" t="s">
        <v>8982</v>
      </c>
      <c r="E30" s="250"/>
      <c r="F30" s="891"/>
      <c r="G30" s="250"/>
      <c r="H30" s="891"/>
      <c r="I30" s="250"/>
      <c r="J30" s="887"/>
      <c r="K30" s="249"/>
      <c r="L30" s="250"/>
      <c r="M30" s="878">
        <v>43998.0</v>
      </c>
      <c r="N30" s="903"/>
      <c r="O30" s="903" t="s">
        <v>8891</v>
      </c>
      <c r="P30" s="903" t="s">
        <v>8897</v>
      </c>
      <c r="Q30" s="903"/>
      <c r="R30" s="881" t="s">
        <v>8899</v>
      </c>
      <c r="S30" s="878">
        <v>43998.0</v>
      </c>
      <c r="T30" s="890"/>
      <c r="U30" s="249"/>
      <c r="V30" s="250"/>
    </row>
    <row r="31">
      <c r="A31" s="871"/>
      <c r="B31" s="872" t="s">
        <v>8861</v>
      </c>
      <c r="C31" s="873">
        <v>45825.0</v>
      </c>
      <c r="D31" s="905" t="s">
        <v>8983</v>
      </c>
      <c r="E31" s="250"/>
      <c r="F31" s="882"/>
      <c r="G31" s="250"/>
      <c r="H31" s="875" t="s">
        <v>8899</v>
      </c>
      <c r="I31" s="250"/>
      <c r="J31" s="906" t="s">
        <v>8899</v>
      </c>
      <c r="K31" s="249"/>
      <c r="L31" s="250"/>
      <c r="M31" s="878">
        <v>43999.0</v>
      </c>
      <c r="N31" s="894" t="s">
        <v>8900</v>
      </c>
      <c r="O31" s="893" t="s">
        <v>8901</v>
      </c>
      <c r="P31" s="893" t="s">
        <v>8897</v>
      </c>
      <c r="Q31" s="893" t="s">
        <v>8984</v>
      </c>
      <c r="R31" s="881" t="s">
        <v>8899</v>
      </c>
      <c r="S31" s="878">
        <v>43999.0</v>
      </c>
      <c r="T31" s="883"/>
      <c r="U31" s="249"/>
      <c r="V31" s="250"/>
    </row>
    <row r="32">
      <c r="A32" s="871"/>
      <c r="B32" s="872" t="s">
        <v>8862</v>
      </c>
      <c r="C32" s="873">
        <v>45826.0</v>
      </c>
      <c r="D32" s="904" t="s">
        <v>8982</v>
      </c>
      <c r="E32" s="250"/>
      <c r="F32" s="875"/>
      <c r="G32" s="250"/>
      <c r="H32" s="875" t="s">
        <v>8899</v>
      </c>
      <c r="I32" s="250"/>
      <c r="J32" s="906" t="s">
        <v>8899</v>
      </c>
      <c r="K32" s="249"/>
      <c r="L32" s="250"/>
      <c r="M32" s="878">
        <v>44000.0</v>
      </c>
      <c r="N32" s="894" t="s">
        <v>8900</v>
      </c>
      <c r="O32" s="893" t="s">
        <v>8901</v>
      </c>
      <c r="P32" s="893" t="s">
        <v>8897</v>
      </c>
      <c r="Q32" s="700"/>
      <c r="R32" s="881" t="s">
        <v>8899</v>
      </c>
      <c r="S32" s="878">
        <v>44000.0</v>
      </c>
      <c r="T32" s="879"/>
      <c r="U32" s="249"/>
      <c r="V32" s="250"/>
    </row>
    <row r="33">
      <c r="A33" s="871"/>
      <c r="B33" s="872" t="s">
        <v>8863</v>
      </c>
      <c r="C33" s="873">
        <v>45827.0</v>
      </c>
      <c r="D33" s="907" t="s">
        <v>8982</v>
      </c>
      <c r="E33" s="250"/>
      <c r="F33" s="875"/>
      <c r="G33" s="250"/>
      <c r="H33" s="875" t="s">
        <v>8899</v>
      </c>
      <c r="I33" s="250"/>
      <c r="J33" s="906" t="s">
        <v>8899</v>
      </c>
      <c r="K33" s="249"/>
      <c r="L33" s="250"/>
      <c r="M33" s="878">
        <v>44001.0</v>
      </c>
      <c r="N33" s="894" t="s">
        <v>8900</v>
      </c>
      <c r="O33" s="893" t="s">
        <v>8901</v>
      </c>
      <c r="P33" s="893" t="s">
        <v>8897</v>
      </c>
      <c r="Q33" s="893"/>
      <c r="R33" s="881" t="s">
        <v>8899</v>
      </c>
      <c r="S33" s="878">
        <v>44001.0</v>
      </c>
      <c r="T33" s="908" t="s">
        <v>8985</v>
      </c>
      <c r="U33" s="249"/>
      <c r="V33" s="250"/>
    </row>
    <row r="34">
      <c r="A34" s="871"/>
      <c r="B34" s="872" t="s">
        <v>8865</v>
      </c>
      <c r="C34" s="873">
        <v>45828.0</v>
      </c>
      <c r="D34" s="909"/>
      <c r="E34" s="250"/>
      <c r="F34" s="910"/>
      <c r="G34" s="250"/>
      <c r="H34" s="875"/>
      <c r="I34" s="250"/>
      <c r="J34" s="875"/>
      <c r="K34" s="249"/>
      <c r="L34" s="250"/>
      <c r="M34" s="878">
        <v>44002.0</v>
      </c>
      <c r="N34" s="894" t="s">
        <v>8900</v>
      </c>
      <c r="O34" s="893" t="s">
        <v>8901</v>
      </c>
      <c r="P34" s="893"/>
      <c r="Q34" s="893"/>
      <c r="R34" s="893"/>
      <c r="S34" s="878">
        <v>44002.0</v>
      </c>
      <c r="T34" s="879"/>
      <c r="U34" s="249"/>
      <c r="V34" s="250"/>
    </row>
    <row r="35">
      <c r="A35" s="871"/>
      <c r="B35" s="872" t="s">
        <v>8867</v>
      </c>
      <c r="C35" s="873">
        <v>45829.0</v>
      </c>
      <c r="D35" s="909"/>
      <c r="E35" s="250"/>
      <c r="F35" s="910"/>
      <c r="G35" s="250"/>
      <c r="H35" s="909"/>
      <c r="I35" s="250"/>
      <c r="J35" s="909"/>
      <c r="K35" s="249"/>
      <c r="L35" s="250"/>
      <c r="M35" s="878">
        <v>44003.0</v>
      </c>
      <c r="N35" s="911"/>
      <c r="O35" s="911"/>
      <c r="P35" s="893"/>
      <c r="Q35" s="893"/>
      <c r="R35" s="893"/>
      <c r="S35" s="878">
        <v>44003.0</v>
      </c>
      <c r="T35" s="879"/>
      <c r="U35" s="249"/>
      <c r="V35" s="250"/>
    </row>
    <row r="36">
      <c r="A36" s="871"/>
      <c r="B36" s="872" t="s">
        <v>7559</v>
      </c>
      <c r="C36" s="873">
        <v>45830.0</v>
      </c>
      <c r="D36" s="909"/>
      <c r="E36" s="250"/>
      <c r="F36" s="910"/>
      <c r="G36" s="250"/>
      <c r="H36" s="909"/>
      <c r="I36" s="250"/>
      <c r="J36" s="909"/>
      <c r="K36" s="249"/>
      <c r="L36" s="250"/>
      <c r="M36" s="878">
        <v>44004.0</v>
      </c>
      <c r="N36" s="911"/>
      <c r="O36" s="911"/>
      <c r="P36" s="893"/>
      <c r="Q36" s="893"/>
      <c r="R36" s="893"/>
      <c r="S36" s="878">
        <v>44004.0</v>
      </c>
      <c r="T36" s="879"/>
      <c r="U36" s="249"/>
      <c r="V36" s="250"/>
    </row>
    <row r="37">
      <c r="A37" s="871"/>
      <c r="B37" s="872" t="s">
        <v>8858</v>
      </c>
      <c r="C37" s="873">
        <v>45831.0</v>
      </c>
      <c r="D37" s="909"/>
      <c r="E37" s="250"/>
      <c r="F37" s="912"/>
      <c r="G37" s="250"/>
      <c r="H37" s="909"/>
      <c r="I37" s="250"/>
      <c r="J37" s="909"/>
      <c r="K37" s="249"/>
      <c r="L37" s="250"/>
      <c r="M37" s="878">
        <v>44005.0</v>
      </c>
      <c r="N37" s="911"/>
      <c r="O37" s="911"/>
      <c r="P37" s="893" t="s">
        <v>8907</v>
      </c>
      <c r="Q37" s="893"/>
      <c r="R37" s="893"/>
      <c r="S37" s="878">
        <v>44005.0</v>
      </c>
      <c r="T37" s="879"/>
      <c r="U37" s="249"/>
      <c r="V37" s="250"/>
    </row>
    <row r="38">
      <c r="A38" s="871"/>
      <c r="B38" s="872" t="s">
        <v>8861</v>
      </c>
      <c r="C38" s="873">
        <v>45832.0</v>
      </c>
      <c r="D38" s="877"/>
      <c r="E38" s="250"/>
      <c r="F38" s="875"/>
      <c r="G38" s="250"/>
      <c r="H38" s="875"/>
      <c r="I38" s="250"/>
      <c r="J38" s="913"/>
      <c r="K38" s="249"/>
      <c r="L38" s="250"/>
      <c r="M38" s="878">
        <v>44006.0</v>
      </c>
      <c r="N38" s="914" t="s">
        <v>8909</v>
      </c>
      <c r="O38" s="540"/>
      <c r="P38" s="893" t="s">
        <v>8907</v>
      </c>
      <c r="Q38" s="894" t="s">
        <v>8910</v>
      </c>
      <c r="R38" s="893" t="s">
        <v>8911</v>
      </c>
      <c r="S38" s="878">
        <v>44006.0</v>
      </c>
      <c r="T38" s="915"/>
      <c r="U38" s="249"/>
      <c r="V38" s="250"/>
    </row>
    <row r="39">
      <c r="A39" s="871"/>
      <c r="B39" s="872" t="s">
        <v>8862</v>
      </c>
      <c r="C39" s="873">
        <v>45833.0</v>
      </c>
      <c r="D39" s="874" t="s">
        <v>8986</v>
      </c>
      <c r="E39" s="250"/>
      <c r="F39" s="882"/>
      <c r="G39" s="250"/>
      <c r="H39" s="875" t="s">
        <v>8987</v>
      </c>
      <c r="I39" s="250"/>
      <c r="J39" s="913"/>
      <c r="K39" s="249"/>
      <c r="L39" s="250"/>
      <c r="M39" s="878">
        <v>44007.0</v>
      </c>
      <c r="N39" s="894" t="s">
        <v>8913</v>
      </c>
      <c r="O39" s="916" t="s">
        <v>8914</v>
      </c>
      <c r="P39" s="893" t="s">
        <v>8907</v>
      </c>
      <c r="Q39" s="894" t="s">
        <v>8915</v>
      </c>
      <c r="R39" s="893" t="s">
        <v>8911</v>
      </c>
      <c r="S39" s="878">
        <v>44007.0</v>
      </c>
      <c r="T39" s="915"/>
      <c r="U39" s="249"/>
      <c r="V39" s="250"/>
    </row>
    <row r="40">
      <c r="A40" s="871"/>
      <c r="B40" s="872" t="s">
        <v>8863</v>
      </c>
      <c r="C40" s="873">
        <v>45834.0</v>
      </c>
      <c r="D40" s="917" t="s">
        <v>8916</v>
      </c>
      <c r="E40" s="250"/>
      <c r="F40" s="875"/>
      <c r="G40" s="250"/>
      <c r="H40" s="875" t="s">
        <v>8988</v>
      </c>
      <c r="I40" s="250"/>
      <c r="J40" s="913" t="s">
        <v>8989</v>
      </c>
      <c r="K40" s="249"/>
      <c r="L40" s="250"/>
      <c r="M40" s="878">
        <v>44008.0</v>
      </c>
      <c r="N40" s="894" t="s">
        <v>8913</v>
      </c>
      <c r="O40" s="894" t="s">
        <v>8918</v>
      </c>
      <c r="P40" s="893" t="s">
        <v>8907</v>
      </c>
      <c r="Q40" s="893" t="s">
        <v>8919</v>
      </c>
      <c r="R40" s="893" t="s">
        <v>8911</v>
      </c>
      <c r="S40" s="878">
        <v>44008.0</v>
      </c>
      <c r="T40" s="915"/>
      <c r="U40" s="249"/>
      <c r="V40" s="250"/>
    </row>
    <row r="41">
      <c r="A41" s="871"/>
      <c r="B41" s="872" t="s">
        <v>8865</v>
      </c>
      <c r="C41" s="873">
        <v>45835.0</v>
      </c>
      <c r="D41" s="877"/>
      <c r="E41" s="250"/>
      <c r="F41" s="875"/>
      <c r="G41" s="250"/>
      <c r="H41" s="875" t="s">
        <v>8988</v>
      </c>
      <c r="I41" s="250"/>
      <c r="J41" s="875" t="s">
        <v>8913</v>
      </c>
      <c r="K41" s="249"/>
      <c r="L41" s="250"/>
      <c r="M41" s="878">
        <v>44009.0</v>
      </c>
      <c r="N41" s="894" t="s">
        <v>8913</v>
      </c>
      <c r="O41" s="894" t="s">
        <v>8918</v>
      </c>
      <c r="P41" s="893"/>
      <c r="Q41" s="893" t="s">
        <v>8919</v>
      </c>
      <c r="R41" s="893" t="s">
        <v>8911</v>
      </c>
      <c r="S41" s="878">
        <v>44009.0</v>
      </c>
      <c r="T41" s="908" t="s">
        <v>8990</v>
      </c>
      <c r="U41" s="249"/>
      <c r="V41" s="250"/>
    </row>
    <row r="42">
      <c r="A42" s="871"/>
      <c r="B42" s="872" t="s">
        <v>8867</v>
      </c>
      <c r="C42" s="873">
        <v>45836.0</v>
      </c>
      <c r="D42" s="874"/>
      <c r="E42" s="250"/>
      <c r="F42" s="875"/>
      <c r="G42" s="250"/>
      <c r="H42" s="875" t="s">
        <v>8988</v>
      </c>
      <c r="I42" s="250"/>
      <c r="J42" s="875" t="s">
        <v>8913</v>
      </c>
      <c r="K42" s="249"/>
      <c r="L42" s="250"/>
      <c r="M42" s="878">
        <v>44010.0</v>
      </c>
      <c r="N42" s="894" t="s">
        <v>8913</v>
      </c>
      <c r="O42" s="894" t="s">
        <v>8918</v>
      </c>
      <c r="P42" s="893"/>
      <c r="Q42" s="893" t="s">
        <v>8919</v>
      </c>
      <c r="R42" s="893"/>
      <c r="S42" s="878">
        <v>44010.0</v>
      </c>
      <c r="T42" s="908" t="s">
        <v>8991</v>
      </c>
      <c r="U42" s="249"/>
      <c r="V42" s="250"/>
    </row>
    <row r="43">
      <c r="A43" s="871"/>
      <c r="B43" s="872" t="s">
        <v>7559</v>
      </c>
      <c r="C43" s="873">
        <v>45837.0</v>
      </c>
      <c r="D43" s="877"/>
      <c r="E43" s="250"/>
      <c r="F43" s="875"/>
      <c r="G43" s="250"/>
      <c r="H43" s="875" t="s">
        <v>8988</v>
      </c>
      <c r="I43" s="250"/>
      <c r="J43" s="875" t="s">
        <v>8913</v>
      </c>
      <c r="K43" s="249"/>
      <c r="L43" s="250"/>
      <c r="M43" s="878">
        <v>44011.0</v>
      </c>
      <c r="N43" s="894" t="s">
        <v>8913</v>
      </c>
      <c r="O43" s="894" t="s">
        <v>8918</v>
      </c>
      <c r="P43" s="893" t="s">
        <v>8925</v>
      </c>
      <c r="Q43" s="893" t="s">
        <v>8919</v>
      </c>
      <c r="R43" s="893"/>
      <c r="S43" s="878">
        <v>44011.0</v>
      </c>
      <c r="T43" s="908" t="s">
        <v>8991</v>
      </c>
      <c r="U43" s="249"/>
      <c r="V43" s="250"/>
    </row>
    <row r="44">
      <c r="A44" s="871"/>
      <c r="B44" s="872" t="s">
        <v>8858</v>
      </c>
      <c r="C44" s="873">
        <v>45838.0</v>
      </c>
      <c r="D44" s="874"/>
      <c r="E44" s="250"/>
      <c r="F44" s="875"/>
      <c r="G44" s="250"/>
      <c r="H44" s="875" t="s">
        <v>8988</v>
      </c>
      <c r="I44" s="250"/>
      <c r="J44" s="875" t="s">
        <v>8913</v>
      </c>
      <c r="K44" s="249"/>
      <c r="L44" s="250"/>
      <c r="M44" s="878">
        <v>44012.0</v>
      </c>
      <c r="N44" s="894" t="s">
        <v>8913</v>
      </c>
      <c r="O44" s="894" t="s">
        <v>8918</v>
      </c>
      <c r="P44" s="893" t="s">
        <v>8925</v>
      </c>
      <c r="Q44" s="893" t="s">
        <v>8919</v>
      </c>
      <c r="R44" s="893"/>
      <c r="S44" s="878">
        <v>44012.0</v>
      </c>
      <c r="T44" s="908" t="s">
        <v>8991</v>
      </c>
      <c r="U44" s="249"/>
      <c r="V44" s="250"/>
    </row>
    <row r="45">
      <c r="A45" s="871"/>
      <c r="B45" s="872" t="s">
        <v>8861</v>
      </c>
      <c r="C45" s="873">
        <v>45839.0</v>
      </c>
      <c r="D45" s="874"/>
      <c r="E45" s="250"/>
      <c r="F45" s="875"/>
      <c r="G45" s="250"/>
      <c r="H45" s="875"/>
      <c r="I45" s="250"/>
      <c r="J45" s="918"/>
      <c r="K45" s="249"/>
      <c r="L45" s="250"/>
      <c r="M45" s="878">
        <v>44013.0</v>
      </c>
      <c r="N45" s="894" t="s">
        <v>8913</v>
      </c>
      <c r="O45" s="894" t="s">
        <v>8918</v>
      </c>
      <c r="P45" s="893" t="s">
        <v>8925</v>
      </c>
      <c r="Q45" s="893"/>
      <c r="R45" s="893"/>
      <c r="S45" s="878">
        <v>44013.0</v>
      </c>
      <c r="T45" s="908" t="s">
        <v>8991</v>
      </c>
      <c r="U45" s="249"/>
      <c r="V45" s="250"/>
    </row>
    <row r="46">
      <c r="A46" s="871"/>
      <c r="B46" s="872" t="s">
        <v>8862</v>
      </c>
      <c r="C46" s="873">
        <v>45840.0</v>
      </c>
      <c r="D46" s="874"/>
      <c r="E46" s="250"/>
      <c r="F46" s="875"/>
      <c r="G46" s="250"/>
      <c r="H46" s="875"/>
      <c r="I46" s="250"/>
      <c r="J46" s="913"/>
      <c r="K46" s="249"/>
      <c r="L46" s="250"/>
      <c r="M46" s="878">
        <v>44014.0</v>
      </c>
      <c r="N46" s="894" t="s">
        <v>8913</v>
      </c>
      <c r="O46" s="894" t="s">
        <v>8918</v>
      </c>
      <c r="P46" s="893" t="s">
        <v>8925</v>
      </c>
      <c r="Q46" s="893"/>
      <c r="R46" s="893"/>
      <c r="S46" s="878">
        <v>44014.0</v>
      </c>
      <c r="T46" s="874"/>
      <c r="U46" s="249"/>
      <c r="V46" s="250"/>
    </row>
    <row r="47">
      <c r="A47" s="871"/>
      <c r="B47" s="872" t="s">
        <v>8863</v>
      </c>
      <c r="C47" s="873">
        <v>45841.0</v>
      </c>
      <c r="D47" s="885"/>
      <c r="E47" s="250"/>
      <c r="F47" s="891"/>
      <c r="G47" s="250"/>
      <c r="H47" s="890"/>
      <c r="I47" s="250"/>
      <c r="J47" s="919"/>
      <c r="K47" s="249"/>
      <c r="L47" s="250"/>
      <c r="M47" s="878">
        <v>44015.0</v>
      </c>
      <c r="N47" s="920"/>
      <c r="O47" s="921"/>
      <c r="P47" s="903" t="s">
        <v>8925</v>
      </c>
      <c r="Q47" s="888"/>
      <c r="R47" s="888"/>
      <c r="S47" s="878">
        <v>44015.0</v>
      </c>
      <c r="T47" s="890"/>
      <c r="U47" s="249"/>
      <c r="V47" s="250"/>
    </row>
    <row r="48">
      <c r="A48" s="871"/>
      <c r="B48" s="872" t="s">
        <v>8865</v>
      </c>
      <c r="C48" s="873">
        <v>45842.0</v>
      </c>
      <c r="D48" s="887"/>
      <c r="E48" s="250"/>
      <c r="F48" s="891"/>
      <c r="G48" s="250"/>
      <c r="H48" s="890"/>
      <c r="I48" s="250"/>
      <c r="J48" s="919"/>
      <c r="K48" s="249"/>
      <c r="L48" s="250"/>
      <c r="M48" s="878">
        <v>44016.0</v>
      </c>
      <c r="N48" s="888"/>
      <c r="O48" s="888"/>
      <c r="P48" s="888"/>
      <c r="Q48" s="888"/>
      <c r="R48" s="888"/>
      <c r="S48" s="878">
        <v>44016.0</v>
      </c>
      <c r="T48" s="890"/>
      <c r="U48" s="249"/>
      <c r="V48" s="250"/>
    </row>
    <row r="49">
      <c r="A49" s="871"/>
      <c r="B49" s="872" t="s">
        <v>8867</v>
      </c>
      <c r="C49" s="873">
        <v>45843.0</v>
      </c>
      <c r="D49" s="887"/>
      <c r="E49" s="250"/>
      <c r="F49" s="891"/>
      <c r="G49" s="250"/>
      <c r="H49" s="890"/>
      <c r="I49" s="250"/>
      <c r="J49" s="919"/>
      <c r="K49" s="249"/>
      <c r="L49" s="250"/>
      <c r="M49" s="878">
        <v>44017.0</v>
      </c>
      <c r="N49" s="888"/>
      <c r="O49" s="888"/>
      <c r="P49" s="888"/>
      <c r="Q49" s="888"/>
      <c r="R49" s="888"/>
      <c r="S49" s="878">
        <v>44017.0</v>
      </c>
      <c r="T49" s="890"/>
      <c r="U49" s="249"/>
      <c r="V49" s="250"/>
    </row>
    <row r="50">
      <c r="A50" s="871"/>
      <c r="B50" s="872" t="s">
        <v>7559</v>
      </c>
      <c r="C50" s="873">
        <v>45844.0</v>
      </c>
      <c r="D50" s="877"/>
      <c r="E50" s="250"/>
      <c r="F50" s="922"/>
      <c r="G50" s="479"/>
      <c r="H50" s="922"/>
      <c r="I50" s="479"/>
      <c r="J50" s="922"/>
      <c r="K50" s="478"/>
      <c r="L50" s="479"/>
      <c r="M50" s="878">
        <v>44018.0</v>
      </c>
      <c r="N50" s="894" t="s">
        <v>8926</v>
      </c>
      <c r="O50" s="923"/>
      <c r="P50" s="893" t="s">
        <v>8927</v>
      </c>
      <c r="Q50" s="893"/>
      <c r="R50" s="700"/>
      <c r="S50" s="878">
        <v>44018.0</v>
      </c>
      <c r="T50" s="877"/>
      <c r="U50" s="249"/>
      <c r="V50" s="250"/>
    </row>
    <row r="51">
      <c r="A51" s="871"/>
      <c r="B51" s="872" t="s">
        <v>8858</v>
      </c>
      <c r="C51" s="873">
        <v>45845.0</v>
      </c>
      <c r="D51" s="904" t="s">
        <v>8928</v>
      </c>
      <c r="E51" s="250"/>
      <c r="F51" s="922" t="s">
        <v>8992</v>
      </c>
      <c r="G51" s="479"/>
      <c r="H51" s="922"/>
      <c r="I51" s="479"/>
      <c r="J51" s="875" t="s">
        <v>8926</v>
      </c>
      <c r="K51" s="249"/>
      <c r="L51" s="250"/>
      <c r="M51" s="878">
        <v>44019.0</v>
      </c>
      <c r="N51" s="894" t="s">
        <v>8926</v>
      </c>
      <c r="O51" s="914"/>
      <c r="P51" s="893" t="s">
        <v>8927</v>
      </c>
      <c r="Q51" s="893"/>
      <c r="R51" s="911"/>
      <c r="S51" s="878">
        <v>44019.0</v>
      </c>
      <c r="T51" s="883"/>
      <c r="U51" s="249"/>
      <c r="V51" s="250"/>
    </row>
    <row r="52">
      <c r="A52" s="871"/>
      <c r="B52" s="872" t="s">
        <v>8861</v>
      </c>
      <c r="C52" s="873">
        <v>45846.0</v>
      </c>
      <c r="D52" s="904" t="s">
        <v>8928</v>
      </c>
      <c r="E52" s="250"/>
      <c r="F52" s="922" t="s">
        <v>8993</v>
      </c>
      <c r="G52" s="479"/>
      <c r="H52" s="922" t="s">
        <v>8932</v>
      </c>
      <c r="I52" s="479"/>
      <c r="J52" s="875" t="s">
        <v>8926</v>
      </c>
      <c r="K52" s="249"/>
      <c r="L52" s="250"/>
      <c r="M52" s="878">
        <v>44020.0</v>
      </c>
      <c r="N52" s="894" t="s">
        <v>8926</v>
      </c>
      <c r="O52" s="924" t="s">
        <v>8932</v>
      </c>
      <c r="P52" s="893" t="s">
        <v>8927</v>
      </c>
      <c r="Q52" s="893"/>
      <c r="R52" s="911"/>
      <c r="S52" s="878">
        <v>44020.0</v>
      </c>
      <c r="T52" s="925" t="s">
        <v>8994</v>
      </c>
      <c r="U52" s="249"/>
      <c r="V52" s="250"/>
    </row>
    <row r="53">
      <c r="A53" s="871"/>
      <c r="B53" s="872" t="s">
        <v>8862</v>
      </c>
      <c r="C53" s="873">
        <v>45847.0</v>
      </c>
      <c r="D53" s="904" t="s">
        <v>8928</v>
      </c>
      <c r="E53" s="250"/>
      <c r="F53" s="922" t="s">
        <v>8927</v>
      </c>
      <c r="G53" s="479"/>
      <c r="H53" s="922" t="s">
        <v>8932</v>
      </c>
      <c r="I53" s="479"/>
      <c r="J53" s="875" t="s">
        <v>8926</v>
      </c>
      <c r="K53" s="249"/>
      <c r="L53" s="250"/>
      <c r="M53" s="878">
        <v>44021.0</v>
      </c>
      <c r="N53" s="894" t="s">
        <v>8926</v>
      </c>
      <c r="O53" s="924" t="s">
        <v>8932</v>
      </c>
      <c r="P53" s="911" t="s">
        <v>8927</v>
      </c>
      <c r="Q53" s="893"/>
      <c r="R53" s="911"/>
      <c r="S53" s="878">
        <v>44021.0</v>
      </c>
      <c r="T53" s="925" t="s">
        <v>8994</v>
      </c>
      <c r="U53" s="249"/>
      <c r="V53" s="250"/>
    </row>
    <row r="54">
      <c r="A54" s="871"/>
      <c r="B54" s="872" t="s">
        <v>8863</v>
      </c>
      <c r="C54" s="873">
        <v>45848.0</v>
      </c>
      <c r="D54" s="904" t="s">
        <v>8928</v>
      </c>
      <c r="E54" s="250"/>
      <c r="F54" s="922" t="s">
        <v>8927</v>
      </c>
      <c r="G54" s="479"/>
      <c r="H54" s="922" t="s">
        <v>8932</v>
      </c>
      <c r="I54" s="479"/>
      <c r="J54" s="875" t="s">
        <v>8926</v>
      </c>
      <c r="K54" s="249"/>
      <c r="L54" s="250"/>
      <c r="M54" s="878">
        <v>44022.0</v>
      </c>
      <c r="N54" s="894" t="s">
        <v>8926</v>
      </c>
      <c r="O54" s="924" t="s">
        <v>8932</v>
      </c>
      <c r="P54" s="911"/>
      <c r="Q54" s="893"/>
      <c r="R54" s="911"/>
      <c r="S54" s="878">
        <v>44022.0</v>
      </c>
      <c r="T54" s="908" t="s">
        <v>8994</v>
      </c>
      <c r="U54" s="249"/>
      <c r="V54" s="250"/>
    </row>
    <row r="55">
      <c r="A55" s="871"/>
      <c r="B55" s="872" t="s">
        <v>8865</v>
      </c>
      <c r="C55" s="873">
        <v>45849.0</v>
      </c>
      <c r="D55" s="438"/>
      <c r="F55" s="922" t="s">
        <v>8927</v>
      </c>
      <c r="G55" s="479"/>
      <c r="H55" s="922" t="s">
        <v>8932</v>
      </c>
      <c r="I55" s="479"/>
      <c r="J55" s="875" t="s">
        <v>8926</v>
      </c>
      <c r="K55" s="249"/>
      <c r="L55" s="250"/>
      <c r="M55" s="878">
        <v>44023.0</v>
      </c>
      <c r="N55" s="894" t="s">
        <v>8926</v>
      </c>
      <c r="O55" s="924" t="s">
        <v>8932</v>
      </c>
      <c r="P55" s="911"/>
      <c r="Q55" s="893"/>
      <c r="R55" s="911"/>
      <c r="S55" s="878">
        <v>44023.0</v>
      </c>
      <c r="T55" s="908" t="s">
        <v>8994</v>
      </c>
      <c r="U55" s="249"/>
      <c r="V55" s="250"/>
    </row>
    <row r="56">
      <c r="A56" s="871"/>
      <c r="B56" s="872" t="s">
        <v>8867</v>
      </c>
      <c r="C56" s="873">
        <v>45850.0</v>
      </c>
      <c r="D56" s="874"/>
      <c r="E56" s="250"/>
      <c r="F56" s="922"/>
      <c r="G56" s="479"/>
      <c r="H56" s="874" t="s">
        <v>8935</v>
      </c>
      <c r="I56" s="250"/>
      <c r="J56" s="874" t="s">
        <v>8935</v>
      </c>
      <c r="K56" s="249"/>
      <c r="L56" s="250"/>
      <c r="M56" s="878">
        <v>44024.0</v>
      </c>
      <c r="N56" s="894" t="s">
        <v>8926</v>
      </c>
      <c r="O56" s="924" t="s">
        <v>8932</v>
      </c>
      <c r="P56" s="893" t="s">
        <v>8935</v>
      </c>
      <c r="Q56" s="881"/>
      <c r="R56" s="926"/>
      <c r="S56" s="878">
        <v>44024.0</v>
      </c>
      <c r="T56" s="927"/>
      <c r="U56" s="249"/>
      <c r="V56" s="250"/>
    </row>
    <row r="57">
      <c r="A57" s="871"/>
      <c r="B57" s="872" t="s">
        <v>7559</v>
      </c>
      <c r="C57" s="873">
        <v>45851.0</v>
      </c>
      <c r="D57" s="874"/>
      <c r="E57" s="250"/>
      <c r="F57" s="922"/>
      <c r="G57" s="479"/>
      <c r="H57" s="874" t="s">
        <v>8935</v>
      </c>
      <c r="I57" s="250"/>
      <c r="J57" s="874" t="s">
        <v>8935</v>
      </c>
      <c r="K57" s="249"/>
      <c r="L57" s="250"/>
      <c r="M57" s="878">
        <v>44025.0</v>
      </c>
      <c r="N57" s="894" t="s">
        <v>8926</v>
      </c>
      <c r="O57" s="924" t="s">
        <v>8932</v>
      </c>
      <c r="P57" s="893" t="s">
        <v>8935</v>
      </c>
      <c r="Q57" s="881"/>
      <c r="R57" s="926"/>
      <c r="S57" s="878">
        <v>44025.0</v>
      </c>
      <c r="T57" s="927"/>
      <c r="U57" s="249"/>
      <c r="V57" s="250"/>
    </row>
    <row r="58">
      <c r="A58" s="871"/>
      <c r="B58" s="872" t="s">
        <v>8858</v>
      </c>
      <c r="C58" s="873">
        <v>45852.0</v>
      </c>
      <c r="D58" s="875"/>
      <c r="E58" s="250"/>
      <c r="F58" s="922"/>
      <c r="G58" s="479"/>
      <c r="H58" s="874" t="s">
        <v>8935</v>
      </c>
      <c r="I58" s="250"/>
      <c r="J58" s="874" t="s">
        <v>8935</v>
      </c>
      <c r="K58" s="249"/>
      <c r="L58" s="250"/>
      <c r="M58" s="878">
        <v>44026.0</v>
      </c>
      <c r="N58" s="554"/>
      <c r="O58" s="924"/>
      <c r="P58" s="893" t="s">
        <v>8935</v>
      </c>
      <c r="Q58" s="881"/>
      <c r="R58" s="926"/>
      <c r="S58" s="878">
        <v>44026.0</v>
      </c>
      <c r="T58" s="928"/>
      <c r="U58" s="249"/>
      <c r="V58" s="250"/>
    </row>
    <row r="59">
      <c r="A59" s="871"/>
      <c r="B59" s="872" t="s">
        <v>8861</v>
      </c>
      <c r="C59" s="873">
        <v>45853.0</v>
      </c>
      <c r="D59" s="877"/>
      <c r="E59" s="250"/>
      <c r="F59" s="922"/>
      <c r="G59" s="479"/>
      <c r="H59" s="874" t="s">
        <v>8935</v>
      </c>
      <c r="I59" s="250"/>
      <c r="J59" s="913" t="s">
        <v>8995</v>
      </c>
      <c r="K59" s="249"/>
      <c r="L59" s="250"/>
      <c r="M59" s="878">
        <v>44027.0</v>
      </c>
      <c r="N59" s="554"/>
      <c r="O59" s="929"/>
      <c r="P59" s="893" t="s">
        <v>8935</v>
      </c>
      <c r="Q59" s="881"/>
      <c r="R59" s="547"/>
      <c r="S59" s="878">
        <v>44027.0</v>
      </c>
      <c r="T59" s="928"/>
      <c r="U59" s="249"/>
      <c r="V59" s="250"/>
    </row>
    <row r="60">
      <c r="A60" s="871"/>
      <c r="B60" s="872" t="s">
        <v>8862</v>
      </c>
      <c r="C60" s="873">
        <v>45854.0</v>
      </c>
      <c r="D60" s="877"/>
      <c r="E60" s="250"/>
      <c r="F60" s="922" t="s">
        <v>8938</v>
      </c>
      <c r="G60" s="479"/>
      <c r="H60" s="930" t="s">
        <v>8996</v>
      </c>
      <c r="I60" s="479"/>
      <c r="J60" s="875"/>
      <c r="K60" s="249"/>
      <c r="L60" s="250"/>
      <c r="M60" s="878">
        <v>44028.0</v>
      </c>
      <c r="N60" s="554"/>
      <c r="O60" s="894" t="s">
        <v>8938</v>
      </c>
      <c r="P60" s="893" t="s">
        <v>8935</v>
      </c>
      <c r="Q60" s="438"/>
      <c r="R60" s="547"/>
      <c r="S60" s="878">
        <v>44028.0</v>
      </c>
      <c r="T60" s="928"/>
      <c r="U60" s="249"/>
      <c r="V60" s="250"/>
    </row>
    <row r="61">
      <c r="A61" s="871"/>
      <c r="B61" s="872" t="s">
        <v>8863</v>
      </c>
      <c r="C61" s="873">
        <v>45855.0</v>
      </c>
      <c r="D61" s="877"/>
      <c r="E61" s="250"/>
      <c r="F61" s="922" t="s">
        <v>8938</v>
      </c>
      <c r="G61" s="479"/>
      <c r="H61" s="931"/>
      <c r="I61" s="479"/>
      <c r="J61" s="875" t="s">
        <v>8938</v>
      </c>
      <c r="K61" s="249"/>
      <c r="L61" s="250"/>
      <c r="M61" s="878">
        <v>44029.0</v>
      </c>
      <c r="N61" s="929"/>
      <c r="O61" s="894" t="s">
        <v>8938</v>
      </c>
      <c r="P61" s="881"/>
      <c r="Q61" s="438"/>
      <c r="R61" s="547"/>
      <c r="S61" s="878">
        <v>44029.0</v>
      </c>
      <c r="T61" s="928"/>
      <c r="U61" s="249"/>
      <c r="V61" s="250"/>
    </row>
    <row r="62">
      <c r="A62" s="871"/>
      <c r="B62" s="872" t="s">
        <v>8865</v>
      </c>
      <c r="C62" s="873">
        <v>45856.0</v>
      </c>
      <c r="D62" s="877"/>
      <c r="E62" s="250"/>
      <c r="F62" s="922" t="s">
        <v>8938</v>
      </c>
      <c r="G62" s="479"/>
      <c r="H62" s="922" t="s">
        <v>8997</v>
      </c>
      <c r="I62" s="479"/>
      <c r="J62" s="875" t="s">
        <v>8938</v>
      </c>
      <c r="K62" s="249"/>
      <c r="L62" s="250"/>
      <c r="M62" s="878">
        <v>44030.0</v>
      </c>
      <c r="N62" s="929"/>
      <c r="O62" s="894" t="s">
        <v>8938</v>
      </c>
      <c r="P62" s="547"/>
      <c r="Q62" s="438"/>
      <c r="R62" s="547"/>
      <c r="S62" s="878">
        <v>44030.0</v>
      </c>
      <c r="T62" s="928"/>
      <c r="U62" s="249"/>
      <c r="V62" s="250"/>
    </row>
    <row r="63">
      <c r="A63" s="871"/>
      <c r="B63" s="872" t="s">
        <v>8867</v>
      </c>
      <c r="C63" s="873">
        <v>45857.0</v>
      </c>
      <c r="D63" s="877"/>
      <c r="E63" s="250"/>
      <c r="F63" s="922" t="s">
        <v>8938</v>
      </c>
      <c r="G63" s="479"/>
      <c r="H63" s="931"/>
      <c r="I63" s="479"/>
      <c r="J63" s="875" t="s">
        <v>8938</v>
      </c>
      <c r="K63" s="249"/>
      <c r="L63" s="250"/>
      <c r="M63" s="878">
        <v>44031.0</v>
      </c>
      <c r="N63" s="929"/>
      <c r="O63" s="894" t="s">
        <v>8938</v>
      </c>
      <c r="P63" s="547"/>
      <c r="Q63" s="438"/>
      <c r="R63" s="547"/>
      <c r="S63" s="878">
        <v>44031.0</v>
      </c>
      <c r="T63" s="928"/>
      <c r="U63" s="249"/>
      <c r="V63" s="250"/>
    </row>
    <row r="64">
      <c r="A64" s="871"/>
      <c r="B64" s="872" t="s">
        <v>7559</v>
      </c>
      <c r="C64" s="873">
        <v>45858.0</v>
      </c>
      <c r="D64" s="904" t="s">
        <v>8998</v>
      </c>
      <c r="E64" s="250"/>
      <c r="F64" s="922" t="s">
        <v>8938</v>
      </c>
      <c r="G64" s="479"/>
      <c r="H64" s="904" t="s">
        <v>8998</v>
      </c>
      <c r="I64" s="250"/>
      <c r="J64" s="875" t="s">
        <v>8938</v>
      </c>
      <c r="K64" s="249"/>
      <c r="L64" s="250"/>
      <c r="M64" s="878">
        <v>44032.0</v>
      </c>
      <c r="N64" s="929"/>
      <c r="O64" s="894" t="s">
        <v>8938</v>
      </c>
      <c r="P64" s="893"/>
      <c r="Q64" s="881"/>
      <c r="R64" s="547"/>
      <c r="S64" s="878">
        <v>44032.0</v>
      </c>
      <c r="T64" s="874"/>
      <c r="U64" s="249"/>
      <c r="V64" s="250"/>
    </row>
    <row r="65">
      <c r="A65" s="871"/>
      <c r="B65" s="872" t="s">
        <v>8858</v>
      </c>
      <c r="C65" s="873">
        <v>45859.0</v>
      </c>
      <c r="D65" s="904" t="s">
        <v>8998</v>
      </c>
      <c r="E65" s="250"/>
      <c r="F65" s="922" t="s">
        <v>8938</v>
      </c>
      <c r="G65" s="479"/>
      <c r="H65" s="904" t="s">
        <v>8998</v>
      </c>
      <c r="I65" s="250"/>
      <c r="J65" s="875" t="s">
        <v>8938</v>
      </c>
      <c r="K65" s="249"/>
      <c r="L65" s="250"/>
      <c r="M65" s="878">
        <v>44033.0</v>
      </c>
      <c r="N65" s="929"/>
      <c r="O65" s="894" t="s">
        <v>8938</v>
      </c>
      <c r="P65" s="893"/>
      <c r="Q65" s="881"/>
      <c r="R65" s="547"/>
      <c r="S65" s="878">
        <v>44033.0</v>
      </c>
      <c r="T65" s="908" t="s">
        <v>8998</v>
      </c>
      <c r="U65" s="249"/>
      <c r="V65" s="250"/>
    </row>
    <row r="66">
      <c r="A66" s="871"/>
      <c r="B66" s="872" t="s">
        <v>8861</v>
      </c>
      <c r="C66" s="873">
        <v>45860.0</v>
      </c>
      <c r="D66" s="904" t="s">
        <v>8998</v>
      </c>
      <c r="E66" s="250"/>
      <c r="F66" s="922" t="s">
        <v>8938</v>
      </c>
      <c r="G66" s="479"/>
      <c r="H66" s="904" t="s">
        <v>8998</v>
      </c>
      <c r="I66" s="250"/>
      <c r="J66" s="875" t="s">
        <v>8938</v>
      </c>
      <c r="K66" s="249"/>
      <c r="L66" s="250"/>
      <c r="M66" s="878">
        <v>44034.0</v>
      </c>
      <c r="N66" s="929" t="s">
        <v>8999</v>
      </c>
      <c r="O66" s="894" t="s">
        <v>8938</v>
      </c>
      <c r="P66" s="547"/>
      <c r="Q66" s="881"/>
      <c r="R66" s="881"/>
      <c r="S66" s="878">
        <v>44034.0</v>
      </c>
      <c r="T66" s="908" t="s">
        <v>8998</v>
      </c>
      <c r="U66" s="249"/>
      <c r="V66" s="250"/>
    </row>
    <row r="67">
      <c r="A67" s="871"/>
      <c r="B67" s="872" t="s">
        <v>8862</v>
      </c>
      <c r="C67" s="873">
        <v>45861.0</v>
      </c>
      <c r="D67" s="877"/>
      <c r="E67" s="250"/>
      <c r="F67" s="922" t="s">
        <v>7949</v>
      </c>
      <c r="G67" s="479"/>
      <c r="H67" s="932" t="s">
        <v>7949</v>
      </c>
      <c r="I67" s="479"/>
      <c r="J67" s="933" t="s">
        <v>7949</v>
      </c>
      <c r="K67" s="249"/>
      <c r="L67" s="250"/>
      <c r="M67" s="878">
        <v>44035.0</v>
      </c>
      <c r="N67" s="929" t="s">
        <v>9000</v>
      </c>
      <c r="O67" s="934" t="s">
        <v>8942</v>
      </c>
      <c r="P67" s="934" t="s">
        <v>9001</v>
      </c>
      <c r="Q67" s="881"/>
      <c r="R67" s="881"/>
      <c r="S67" s="878">
        <v>44035.0</v>
      </c>
      <c r="T67" s="908" t="s">
        <v>8998</v>
      </c>
      <c r="U67" s="249"/>
      <c r="V67" s="250"/>
    </row>
    <row r="68">
      <c r="A68" s="871"/>
      <c r="B68" s="872" t="s">
        <v>8863</v>
      </c>
      <c r="C68" s="873">
        <v>45862.0</v>
      </c>
      <c r="D68" s="874"/>
      <c r="E68" s="250"/>
      <c r="F68" s="875" t="s">
        <v>7949</v>
      </c>
      <c r="G68" s="250"/>
      <c r="H68" s="932" t="s">
        <v>7949</v>
      </c>
      <c r="I68" s="479"/>
      <c r="J68" s="933" t="s">
        <v>7949</v>
      </c>
      <c r="K68" s="249"/>
      <c r="L68" s="250"/>
      <c r="M68" s="878">
        <v>44036.0</v>
      </c>
      <c r="N68" s="894" t="s">
        <v>8946</v>
      </c>
      <c r="O68" s="934" t="s">
        <v>8942</v>
      </c>
      <c r="P68" s="934" t="s">
        <v>9001</v>
      </c>
      <c r="Q68" s="881"/>
      <c r="R68" s="881"/>
      <c r="S68" s="878">
        <v>44036.0</v>
      </c>
      <c r="T68" s="928"/>
      <c r="U68" s="249"/>
      <c r="V68" s="250"/>
    </row>
    <row r="69">
      <c r="A69" s="871"/>
      <c r="B69" s="872" t="s">
        <v>8865</v>
      </c>
      <c r="C69" s="873">
        <v>45863.0</v>
      </c>
      <c r="D69" s="874"/>
      <c r="E69" s="250"/>
      <c r="F69" s="875" t="s">
        <v>7949</v>
      </c>
      <c r="G69" s="250"/>
      <c r="H69" s="932" t="s">
        <v>7949</v>
      </c>
      <c r="I69" s="479"/>
      <c r="J69" s="933" t="s">
        <v>7949</v>
      </c>
      <c r="K69" s="249"/>
      <c r="L69" s="250"/>
      <c r="M69" s="878">
        <v>44037.0</v>
      </c>
      <c r="N69" s="894" t="s">
        <v>8946</v>
      </c>
      <c r="O69" s="934" t="s">
        <v>8942</v>
      </c>
      <c r="P69" s="934" t="s">
        <v>9001</v>
      </c>
      <c r="Q69" s="881"/>
      <c r="R69" s="881"/>
      <c r="S69" s="878">
        <v>44037.0</v>
      </c>
      <c r="T69" s="927"/>
      <c r="U69" s="249"/>
      <c r="V69" s="250"/>
    </row>
    <row r="70">
      <c r="A70" s="871"/>
      <c r="B70" s="872" t="s">
        <v>8867</v>
      </c>
      <c r="C70" s="873">
        <v>45864.0</v>
      </c>
      <c r="D70" s="874"/>
      <c r="E70" s="250"/>
      <c r="F70" s="875" t="s">
        <v>7949</v>
      </c>
      <c r="G70" s="250"/>
      <c r="H70" s="932" t="s">
        <v>9002</v>
      </c>
      <c r="I70" s="479"/>
      <c r="J70" s="933" t="s">
        <v>7949</v>
      </c>
      <c r="K70" s="249"/>
      <c r="L70" s="250"/>
      <c r="M70" s="878">
        <v>44038.0</v>
      </c>
      <c r="N70" s="894" t="s">
        <v>8946</v>
      </c>
      <c r="O70" s="934" t="s">
        <v>8942</v>
      </c>
      <c r="P70" s="934" t="s">
        <v>9001</v>
      </c>
      <c r="Q70" s="881"/>
      <c r="R70" s="881"/>
      <c r="S70" s="878">
        <v>44038.0</v>
      </c>
      <c r="T70" s="927"/>
      <c r="U70" s="249"/>
      <c r="V70" s="250"/>
    </row>
    <row r="71">
      <c r="A71" s="871"/>
      <c r="B71" s="872" t="s">
        <v>7559</v>
      </c>
      <c r="C71" s="873">
        <v>45865.0</v>
      </c>
      <c r="D71" s="874"/>
      <c r="E71" s="250"/>
      <c r="F71" s="875"/>
      <c r="G71" s="250"/>
      <c r="H71" s="935"/>
      <c r="I71" s="250"/>
      <c r="J71" s="935"/>
      <c r="K71" s="249"/>
      <c r="L71" s="250"/>
      <c r="M71" s="878">
        <v>44039.0</v>
      </c>
      <c r="N71" s="894" t="s">
        <v>8946</v>
      </c>
      <c r="O71" s="936"/>
      <c r="P71" s="881"/>
      <c r="Q71" s="881"/>
      <c r="R71" s="881"/>
      <c r="S71" s="878">
        <v>44039.0</v>
      </c>
      <c r="T71" s="927"/>
      <c r="U71" s="249"/>
      <c r="V71" s="250"/>
    </row>
    <row r="72">
      <c r="A72" s="871"/>
      <c r="B72" s="872" t="s">
        <v>8858</v>
      </c>
      <c r="C72" s="873">
        <v>45866.0</v>
      </c>
      <c r="D72" s="904" t="s">
        <v>8948</v>
      </c>
      <c r="E72" s="250"/>
      <c r="F72" s="875"/>
      <c r="G72" s="250"/>
      <c r="H72" s="935"/>
      <c r="I72" s="250"/>
      <c r="J72" s="611"/>
      <c r="M72" s="878">
        <v>44040.0</v>
      </c>
      <c r="N72" s="894" t="s">
        <v>8946</v>
      </c>
      <c r="O72" s="937"/>
      <c r="P72" s="881"/>
      <c r="Q72" s="881"/>
      <c r="R72" s="881"/>
      <c r="S72" s="878">
        <v>44040.0</v>
      </c>
      <c r="T72" s="915"/>
      <c r="U72" s="249"/>
      <c r="V72" s="250"/>
    </row>
    <row r="73">
      <c r="A73" s="871"/>
      <c r="B73" s="872" t="s">
        <v>8861</v>
      </c>
      <c r="C73" s="873">
        <v>45867.0</v>
      </c>
      <c r="D73" s="904" t="s">
        <v>8948</v>
      </c>
      <c r="E73" s="250"/>
      <c r="F73" s="875"/>
      <c r="G73" s="250"/>
      <c r="H73" s="938" t="s">
        <v>7586</v>
      </c>
      <c r="I73" s="479"/>
      <c r="J73" s="877"/>
      <c r="K73" s="249"/>
      <c r="L73" s="250"/>
      <c r="M73" s="878">
        <v>44041.0</v>
      </c>
      <c r="N73" s="939"/>
      <c r="O73" s="937"/>
      <c r="P73" s="881"/>
      <c r="Q73" s="881"/>
      <c r="R73" s="881"/>
      <c r="S73" s="878">
        <v>44041.0</v>
      </c>
      <c r="T73" s="925" t="s">
        <v>8928</v>
      </c>
      <c r="U73" s="249"/>
      <c r="V73" s="250"/>
    </row>
    <row r="74">
      <c r="A74" s="871"/>
      <c r="B74" s="872" t="s">
        <v>8862</v>
      </c>
      <c r="C74" s="873">
        <v>45868.0</v>
      </c>
      <c r="D74" s="904" t="s">
        <v>8948</v>
      </c>
      <c r="E74" s="250"/>
      <c r="F74" s="875"/>
      <c r="G74" s="250"/>
      <c r="H74" s="938" t="s">
        <v>7586</v>
      </c>
      <c r="I74" s="479"/>
      <c r="J74" s="877"/>
      <c r="K74" s="249"/>
      <c r="L74" s="250"/>
      <c r="M74" s="878">
        <v>44042.0</v>
      </c>
      <c r="N74" s="939"/>
      <c r="O74" s="940" t="s">
        <v>8952</v>
      </c>
      <c r="P74" s="547"/>
      <c r="Q74" s="881"/>
      <c r="R74" s="881"/>
      <c r="S74" s="878">
        <v>44042.0</v>
      </c>
      <c r="T74" s="925" t="s">
        <v>8928</v>
      </c>
      <c r="U74" s="249"/>
      <c r="V74" s="250"/>
    </row>
    <row r="75">
      <c r="A75" s="871"/>
      <c r="B75" s="872" t="s">
        <v>8863</v>
      </c>
      <c r="C75" s="873">
        <v>45869.0</v>
      </c>
      <c r="D75" s="904" t="s">
        <v>8948</v>
      </c>
      <c r="E75" s="250"/>
      <c r="F75" s="875"/>
      <c r="G75" s="250"/>
      <c r="H75" s="938" t="s">
        <v>9003</v>
      </c>
      <c r="I75" s="479"/>
      <c r="J75" s="874"/>
      <c r="K75" s="249"/>
      <c r="L75" s="250"/>
      <c r="M75" s="878">
        <v>44043.0</v>
      </c>
      <c r="N75" s="939"/>
      <c r="O75" s="940" t="s">
        <v>8954</v>
      </c>
      <c r="P75" s="547"/>
      <c r="Q75" s="881"/>
      <c r="R75" s="881"/>
      <c r="S75" s="878">
        <v>44043.0</v>
      </c>
      <c r="T75" s="925" t="s">
        <v>8928</v>
      </c>
      <c r="U75" s="249"/>
      <c r="V75" s="250"/>
    </row>
    <row r="76">
      <c r="A76" s="871"/>
      <c r="B76" s="872" t="s">
        <v>8865</v>
      </c>
      <c r="C76" s="873">
        <v>45870.0</v>
      </c>
      <c r="D76" s="874"/>
      <c r="E76" s="250"/>
      <c r="F76" s="875" t="s">
        <v>8957</v>
      </c>
      <c r="G76" s="250"/>
      <c r="H76" s="938"/>
      <c r="I76" s="479"/>
      <c r="J76" s="874"/>
      <c r="K76" s="249"/>
      <c r="L76" s="250"/>
      <c r="M76" s="878">
        <v>44044.0</v>
      </c>
      <c r="N76" s="941" t="s">
        <v>8956</v>
      </c>
      <c r="O76" s="881" t="s">
        <v>8952</v>
      </c>
      <c r="P76" s="881" t="s">
        <v>8957</v>
      </c>
      <c r="Q76" s="881"/>
      <c r="R76" s="547"/>
      <c r="S76" s="878">
        <v>44044.0</v>
      </c>
      <c r="T76" s="925" t="s">
        <v>8928</v>
      </c>
      <c r="U76" s="249"/>
      <c r="V76" s="250"/>
    </row>
    <row r="77">
      <c r="A77" s="871"/>
      <c r="B77" s="872" t="s">
        <v>8867</v>
      </c>
      <c r="C77" s="873">
        <v>45871.0</v>
      </c>
      <c r="D77" s="874"/>
      <c r="E77" s="250"/>
      <c r="F77" s="875" t="s">
        <v>8957</v>
      </c>
      <c r="G77" s="250"/>
      <c r="H77" s="942"/>
      <c r="I77" s="479"/>
      <c r="J77" s="874"/>
      <c r="K77" s="249"/>
      <c r="L77" s="250"/>
      <c r="M77" s="878">
        <v>44045.0</v>
      </c>
      <c r="N77" s="941" t="s">
        <v>8956</v>
      </c>
      <c r="O77" s="881" t="s">
        <v>8959</v>
      </c>
      <c r="P77" s="881" t="s">
        <v>8957</v>
      </c>
      <c r="Q77" s="881"/>
      <c r="R77" s="547"/>
      <c r="S77" s="878">
        <v>44045.0</v>
      </c>
      <c r="T77" s="927"/>
      <c r="U77" s="249"/>
      <c r="V77" s="250"/>
    </row>
    <row r="78">
      <c r="A78" s="871"/>
      <c r="B78" s="872" t="s">
        <v>7559</v>
      </c>
      <c r="C78" s="873">
        <v>45872.0</v>
      </c>
      <c r="D78" s="874"/>
      <c r="E78" s="250"/>
      <c r="F78" s="875" t="s">
        <v>8957</v>
      </c>
      <c r="G78" s="250"/>
      <c r="H78" s="874"/>
      <c r="I78" s="250"/>
      <c r="J78" s="943"/>
      <c r="K78" s="249"/>
      <c r="L78" s="250"/>
      <c r="M78" s="878">
        <v>44046.0</v>
      </c>
      <c r="N78" s="941" t="s">
        <v>8956</v>
      </c>
      <c r="O78" s="881" t="s">
        <v>8959</v>
      </c>
      <c r="P78" s="881" t="s">
        <v>8957</v>
      </c>
      <c r="Q78" s="881"/>
      <c r="R78" s="547"/>
      <c r="S78" s="878">
        <v>44046.0</v>
      </c>
      <c r="T78" s="908" t="s">
        <v>8985</v>
      </c>
      <c r="U78" s="249"/>
      <c r="V78" s="250"/>
    </row>
    <row r="79">
      <c r="A79" s="871"/>
      <c r="B79" s="872" t="s">
        <v>8858</v>
      </c>
      <c r="C79" s="873">
        <v>45873.0</v>
      </c>
      <c r="D79" s="928"/>
      <c r="E79" s="250"/>
      <c r="F79" s="876"/>
      <c r="G79" s="250"/>
      <c r="H79" s="877"/>
      <c r="I79" s="250"/>
      <c r="J79" s="877"/>
      <c r="K79" s="249"/>
      <c r="L79" s="250"/>
      <c r="M79" s="878">
        <v>44047.0</v>
      </c>
      <c r="N79" s="941" t="s">
        <v>8956</v>
      </c>
      <c r="O79" s="547"/>
      <c r="P79" s="547"/>
      <c r="Q79" s="881"/>
      <c r="R79" s="547"/>
      <c r="S79" s="878">
        <v>44047.0</v>
      </c>
      <c r="T79" s="944"/>
      <c r="U79" s="249"/>
      <c r="V79" s="250"/>
    </row>
    <row r="80">
      <c r="A80" s="871"/>
      <c r="B80" s="872" t="s">
        <v>8861</v>
      </c>
      <c r="C80" s="873">
        <v>45874.0</v>
      </c>
      <c r="D80" s="928"/>
      <c r="E80" s="250"/>
      <c r="F80" s="876"/>
      <c r="G80" s="250"/>
      <c r="H80" s="874"/>
      <c r="I80" s="250"/>
      <c r="J80" s="877"/>
      <c r="K80" s="249"/>
      <c r="L80" s="250"/>
      <c r="M80" s="878">
        <v>44048.0</v>
      </c>
      <c r="N80" s="941" t="s">
        <v>8956</v>
      </c>
      <c r="O80" s="547"/>
      <c r="P80" s="547"/>
      <c r="Q80" s="547"/>
      <c r="R80" s="547"/>
      <c r="S80" s="878">
        <v>44048.0</v>
      </c>
      <c r="T80" s="877"/>
      <c r="U80" s="249"/>
      <c r="V80" s="250"/>
    </row>
    <row r="81">
      <c r="A81" s="871"/>
      <c r="B81" s="872" t="s">
        <v>8862</v>
      </c>
      <c r="C81" s="873">
        <v>45875.0</v>
      </c>
      <c r="D81" s="928"/>
      <c r="E81" s="250"/>
      <c r="F81" s="876"/>
      <c r="G81" s="250"/>
      <c r="H81" s="875" t="s">
        <v>8962</v>
      </c>
      <c r="I81" s="250"/>
      <c r="J81" s="877"/>
      <c r="K81" s="249"/>
      <c r="L81" s="250"/>
      <c r="M81" s="878">
        <v>44049.0</v>
      </c>
      <c r="N81" s="881"/>
      <c r="O81" s="881"/>
      <c r="P81" s="547"/>
      <c r="Q81" s="547"/>
      <c r="R81" s="547"/>
      <c r="S81" s="878">
        <v>44049.0</v>
      </c>
      <c r="T81" s="877"/>
      <c r="U81" s="249"/>
      <c r="V81" s="250"/>
    </row>
    <row r="82">
      <c r="A82" s="871"/>
      <c r="B82" s="872" t="s">
        <v>8863</v>
      </c>
      <c r="C82" s="873">
        <v>45876.0</v>
      </c>
      <c r="D82" s="928"/>
      <c r="E82" s="250"/>
      <c r="F82" s="876"/>
      <c r="G82" s="250"/>
      <c r="H82" s="875" t="s">
        <v>8962</v>
      </c>
      <c r="I82" s="250"/>
      <c r="J82" s="877"/>
      <c r="K82" s="249"/>
      <c r="L82" s="250"/>
      <c r="M82" s="878">
        <v>44050.0</v>
      </c>
      <c r="N82" s="547"/>
      <c r="O82" s="881"/>
      <c r="P82" s="547"/>
      <c r="Q82" s="547"/>
      <c r="R82" s="547"/>
      <c r="S82" s="878">
        <v>44050.0</v>
      </c>
      <c r="T82" s="877"/>
      <c r="U82" s="249"/>
      <c r="V82" s="250"/>
    </row>
    <row r="83">
      <c r="A83" s="871"/>
      <c r="B83" s="872" t="s">
        <v>8865</v>
      </c>
      <c r="C83" s="873">
        <v>45877.0</v>
      </c>
      <c r="D83" s="874"/>
      <c r="E83" s="250"/>
      <c r="F83" s="874"/>
      <c r="G83" s="250"/>
      <c r="H83" s="875" t="s">
        <v>8962</v>
      </c>
      <c r="I83" s="250"/>
      <c r="J83" s="874"/>
      <c r="K83" s="249"/>
      <c r="L83" s="250"/>
      <c r="M83" s="878">
        <v>44051.0</v>
      </c>
      <c r="N83" s="881"/>
      <c r="O83" s="547"/>
      <c r="P83" s="547"/>
      <c r="Q83" s="547"/>
      <c r="R83" s="547"/>
      <c r="S83" s="878">
        <v>44051.0</v>
      </c>
      <c r="T83" s="927"/>
      <c r="U83" s="249"/>
      <c r="V83" s="250"/>
    </row>
    <row r="84">
      <c r="A84" s="871"/>
      <c r="B84" s="872" t="s">
        <v>8867</v>
      </c>
      <c r="C84" s="873">
        <v>45878.0</v>
      </c>
      <c r="D84" s="877"/>
      <c r="E84" s="250"/>
      <c r="F84" s="876"/>
      <c r="G84" s="250"/>
      <c r="H84" s="877"/>
      <c r="I84" s="250"/>
      <c r="J84" s="877"/>
      <c r="K84" s="249"/>
      <c r="L84" s="250"/>
      <c r="M84" s="878">
        <v>44052.0</v>
      </c>
      <c r="N84" s="881"/>
      <c r="O84" s="547"/>
      <c r="P84" s="547"/>
      <c r="Q84" s="547"/>
      <c r="R84" s="547"/>
      <c r="S84" s="878">
        <v>44052.0</v>
      </c>
      <c r="T84" s="928"/>
      <c r="U84" s="249"/>
      <c r="V84" s="250"/>
    </row>
    <row r="85">
      <c r="A85" s="871"/>
      <c r="B85" s="872" t="s">
        <v>7559</v>
      </c>
      <c r="C85" s="873">
        <v>45879.0</v>
      </c>
      <c r="D85" s="877"/>
      <c r="E85" s="250"/>
      <c r="F85" s="876"/>
      <c r="G85" s="250"/>
      <c r="H85" s="945"/>
      <c r="I85" s="250"/>
      <c r="J85" s="877"/>
      <c r="K85" s="249"/>
      <c r="L85" s="250"/>
      <c r="M85" s="878">
        <v>44053.0</v>
      </c>
      <c r="N85" s="881"/>
      <c r="O85" s="547"/>
      <c r="P85" s="547"/>
      <c r="Q85" s="547"/>
      <c r="R85" s="547"/>
      <c r="S85" s="878">
        <v>44053.0</v>
      </c>
      <c r="T85" s="928"/>
      <c r="U85" s="249"/>
      <c r="V85" s="250"/>
    </row>
    <row r="86">
      <c r="A86" s="871"/>
      <c r="B86" s="872" t="s">
        <v>8858</v>
      </c>
      <c r="C86" s="873">
        <v>45880.0</v>
      </c>
      <c r="D86" s="877"/>
      <c r="E86" s="250"/>
      <c r="F86" s="876"/>
      <c r="G86" s="250"/>
      <c r="H86" s="945"/>
      <c r="I86" s="250"/>
      <c r="J86" s="877"/>
      <c r="K86" s="249"/>
      <c r="L86" s="250"/>
      <c r="M86" s="878">
        <v>44054.0</v>
      </c>
      <c r="N86" s="547"/>
      <c r="O86" s="547"/>
      <c r="P86" s="547"/>
      <c r="Q86" s="547"/>
      <c r="R86" s="547"/>
      <c r="S86" s="878">
        <v>44054.0</v>
      </c>
      <c r="T86" s="928"/>
      <c r="U86" s="249"/>
      <c r="V86" s="250"/>
    </row>
    <row r="87">
      <c r="A87" s="871"/>
      <c r="B87" s="872" t="s">
        <v>8861</v>
      </c>
      <c r="C87" s="873">
        <v>45881.0</v>
      </c>
      <c r="D87" s="877"/>
      <c r="E87" s="250"/>
      <c r="F87" s="876"/>
      <c r="G87" s="250"/>
      <c r="H87" s="877"/>
      <c r="I87" s="250"/>
      <c r="J87" s="877"/>
      <c r="K87" s="249"/>
      <c r="L87" s="250"/>
      <c r="M87" s="878">
        <v>44055.0</v>
      </c>
      <c r="N87" s="547"/>
      <c r="O87" s="881"/>
      <c r="P87" s="547"/>
      <c r="Q87" s="547"/>
      <c r="R87" s="547"/>
      <c r="S87" s="878">
        <v>44055.0</v>
      </c>
      <c r="T87" s="928"/>
      <c r="U87" s="249"/>
      <c r="V87" s="250"/>
    </row>
    <row r="88">
      <c r="A88" s="871"/>
      <c r="B88" s="872" t="s">
        <v>8862</v>
      </c>
      <c r="C88" s="873">
        <v>45882.0</v>
      </c>
      <c r="D88" s="877"/>
      <c r="E88" s="250"/>
      <c r="F88" s="876"/>
      <c r="G88" s="250"/>
      <c r="H88" s="877"/>
      <c r="I88" s="250"/>
      <c r="J88" s="877"/>
      <c r="K88" s="249"/>
      <c r="L88" s="250"/>
      <c r="M88" s="878">
        <v>44056.0</v>
      </c>
      <c r="N88" s="547"/>
      <c r="O88" s="547"/>
      <c r="P88" s="547"/>
      <c r="Q88" s="547"/>
      <c r="R88" s="547"/>
      <c r="S88" s="878">
        <v>44056.0</v>
      </c>
      <c r="T88" s="877"/>
      <c r="U88" s="249"/>
      <c r="V88" s="250"/>
    </row>
    <row r="89">
      <c r="A89" s="871"/>
      <c r="B89" s="872" t="s">
        <v>8863</v>
      </c>
      <c r="C89" s="873">
        <v>45883.0</v>
      </c>
      <c r="D89" s="879"/>
      <c r="E89" s="250"/>
      <c r="F89" s="879"/>
      <c r="G89" s="250"/>
      <c r="H89" s="879"/>
      <c r="I89" s="250"/>
      <c r="J89" s="879"/>
      <c r="K89" s="249"/>
      <c r="L89" s="250"/>
      <c r="M89" s="878">
        <v>44057.0</v>
      </c>
      <c r="N89" s="547"/>
      <c r="O89" s="547"/>
      <c r="P89" s="547"/>
      <c r="Q89" s="547"/>
      <c r="R89" s="547"/>
      <c r="S89" s="878">
        <v>44057.0</v>
      </c>
      <c r="T89" s="879"/>
      <c r="U89" s="249"/>
      <c r="V89" s="250"/>
    </row>
    <row r="90">
      <c r="A90" s="871"/>
      <c r="B90" s="872" t="s">
        <v>8865</v>
      </c>
      <c r="C90" s="873">
        <v>45884.0</v>
      </c>
      <c r="D90" s="879"/>
      <c r="E90" s="250"/>
      <c r="F90" s="879"/>
      <c r="G90" s="250"/>
      <c r="H90" s="879"/>
      <c r="I90" s="250"/>
      <c r="J90" s="879"/>
      <c r="K90" s="249"/>
      <c r="L90" s="250"/>
      <c r="M90" s="878">
        <v>44058.0</v>
      </c>
      <c r="N90" s="547"/>
      <c r="O90" s="547"/>
      <c r="P90" s="547"/>
      <c r="Q90" s="547"/>
      <c r="R90" s="547"/>
      <c r="S90" s="878">
        <v>44058.0</v>
      </c>
      <c r="T90" s="879"/>
      <c r="U90" s="249"/>
      <c r="V90" s="250"/>
    </row>
    <row r="91">
      <c r="A91" s="871"/>
      <c r="B91" s="872" t="s">
        <v>8867</v>
      </c>
      <c r="C91" s="873">
        <v>45885.0</v>
      </c>
      <c r="D91" s="904" t="s">
        <v>8963</v>
      </c>
      <c r="E91" s="250"/>
      <c r="F91" s="904" t="s">
        <v>8963</v>
      </c>
      <c r="G91" s="250"/>
      <c r="H91" s="904" t="s">
        <v>8963</v>
      </c>
      <c r="I91" s="250"/>
      <c r="J91" s="904" t="s">
        <v>8963</v>
      </c>
      <c r="K91" s="249"/>
      <c r="L91" s="250"/>
      <c r="M91" s="878">
        <v>44059.0</v>
      </c>
      <c r="N91" s="881"/>
      <c r="O91" s="547"/>
      <c r="P91" s="547"/>
      <c r="Q91" s="547"/>
      <c r="R91" s="547"/>
      <c r="S91" s="878">
        <v>44059.0</v>
      </c>
      <c r="T91" s="904" t="s">
        <v>8963</v>
      </c>
      <c r="U91" s="249"/>
      <c r="V91" s="250"/>
    </row>
    <row r="92">
      <c r="A92" s="871"/>
      <c r="B92" s="872" t="s">
        <v>7559</v>
      </c>
      <c r="C92" s="873">
        <v>45886.0</v>
      </c>
      <c r="D92" s="879"/>
      <c r="E92" s="250"/>
      <c r="F92" s="874"/>
      <c r="G92" s="250"/>
      <c r="H92" s="879"/>
      <c r="I92" s="250"/>
      <c r="J92" s="879"/>
      <c r="K92" s="249"/>
      <c r="L92" s="250"/>
      <c r="M92" s="878">
        <v>44060.0</v>
      </c>
      <c r="N92" s="547"/>
      <c r="O92" s="547"/>
      <c r="P92" s="547"/>
      <c r="Q92" s="547"/>
      <c r="R92" s="547"/>
      <c r="S92" s="878">
        <v>44060.0</v>
      </c>
      <c r="T92" s="874"/>
      <c r="U92" s="249"/>
      <c r="V92" s="250"/>
    </row>
    <row r="93">
      <c r="A93" s="871"/>
      <c r="B93" s="872" t="s">
        <v>8858</v>
      </c>
      <c r="C93" s="873">
        <v>45887.0</v>
      </c>
      <c r="D93" s="874" t="s">
        <v>9004</v>
      </c>
      <c r="E93" s="250"/>
      <c r="F93" s="879"/>
      <c r="G93" s="250"/>
      <c r="H93" s="879"/>
      <c r="I93" s="250"/>
      <c r="J93" s="879"/>
      <c r="K93" s="249"/>
      <c r="L93" s="250"/>
      <c r="M93" s="878">
        <v>44061.0</v>
      </c>
      <c r="N93" s="547"/>
      <c r="O93" s="547"/>
      <c r="P93" s="547"/>
      <c r="Q93" s="547"/>
      <c r="R93" s="547"/>
      <c r="S93" s="878">
        <v>44061.0</v>
      </c>
      <c r="T93" s="879"/>
      <c r="U93" s="249"/>
      <c r="V93" s="250"/>
    </row>
    <row r="94">
      <c r="A94" s="871"/>
      <c r="B94" s="872" t="s">
        <v>8861</v>
      </c>
      <c r="C94" s="873">
        <v>45888.0</v>
      </c>
      <c r="D94" s="879"/>
      <c r="E94" s="250"/>
      <c r="F94" s="879"/>
      <c r="G94" s="250"/>
      <c r="H94" s="879"/>
      <c r="I94" s="250"/>
      <c r="J94" s="879"/>
      <c r="K94" s="249"/>
      <c r="L94" s="250"/>
      <c r="M94" s="878">
        <v>44062.0</v>
      </c>
      <c r="N94" s="881"/>
      <c r="O94" s="547"/>
      <c r="P94" s="547"/>
      <c r="Q94" s="547"/>
      <c r="R94" s="547"/>
      <c r="S94" s="878">
        <v>44062.0</v>
      </c>
      <c r="T94" s="879"/>
      <c r="U94" s="249"/>
      <c r="V94" s="250"/>
    </row>
    <row r="95">
      <c r="A95" s="871"/>
      <c r="B95" s="872" t="s">
        <v>8862</v>
      </c>
      <c r="C95" s="873">
        <v>45889.0</v>
      </c>
      <c r="D95" s="879"/>
      <c r="E95" s="250"/>
      <c r="F95" s="879"/>
      <c r="G95" s="250"/>
      <c r="H95" s="879"/>
      <c r="I95" s="250"/>
      <c r="J95" s="879"/>
      <c r="K95" s="249"/>
      <c r="L95" s="250"/>
      <c r="M95" s="878">
        <v>44063.0</v>
      </c>
      <c r="N95" s="547"/>
      <c r="O95" s="547"/>
      <c r="P95" s="547"/>
      <c r="Q95" s="547"/>
      <c r="R95" s="547"/>
      <c r="S95" s="878">
        <v>44063.0</v>
      </c>
      <c r="T95" s="879"/>
      <c r="U95" s="249"/>
      <c r="V95" s="250"/>
    </row>
    <row r="96">
      <c r="A96" s="871"/>
      <c r="B96" s="872" t="s">
        <v>8863</v>
      </c>
      <c r="C96" s="873">
        <v>45890.0</v>
      </c>
      <c r="D96" s="946"/>
      <c r="E96" s="250"/>
      <c r="F96" s="946"/>
      <c r="G96" s="250"/>
      <c r="H96" s="946"/>
      <c r="I96" s="250"/>
      <c r="J96" s="946"/>
      <c r="K96" s="249"/>
      <c r="L96" s="250"/>
      <c r="M96" s="878">
        <v>44064.0</v>
      </c>
      <c r="N96" s="881"/>
      <c r="O96" s="547"/>
      <c r="P96" s="547"/>
      <c r="Q96" s="547"/>
      <c r="R96" s="547"/>
      <c r="S96" s="878">
        <v>44064.0</v>
      </c>
      <c r="T96" s="946"/>
      <c r="U96" s="249"/>
      <c r="V96" s="250"/>
    </row>
    <row r="97">
      <c r="A97" s="871"/>
      <c r="B97" s="872" t="s">
        <v>8865</v>
      </c>
      <c r="C97" s="873">
        <v>45891.0</v>
      </c>
      <c r="D97" s="946"/>
      <c r="E97" s="250"/>
      <c r="F97" s="947"/>
      <c r="G97" s="250"/>
      <c r="H97" s="946"/>
      <c r="I97" s="250"/>
      <c r="J97" s="946"/>
      <c r="K97" s="249"/>
      <c r="L97" s="250"/>
      <c r="M97" s="878">
        <v>44065.0</v>
      </c>
      <c r="N97" s="547"/>
      <c r="O97" s="547"/>
      <c r="P97" s="547"/>
      <c r="Q97" s="547"/>
      <c r="R97" s="547"/>
      <c r="S97" s="878">
        <v>44065.0</v>
      </c>
      <c r="T97" s="946"/>
      <c r="U97" s="249"/>
      <c r="V97" s="250"/>
    </row>
    <row r="98">
      <c r="A98" s="871"/>
      <c r="B98" s="872" t="s">
        <v>8867</v>
      </c>
      <c r="C98" s="873">
        <v>45892.0</v>
      </c>
      <c r="D98" s="946"/>
      <c r="E98" s="250"/>
      <c r="F98" s="947"/>
      <c r="G98" s="250"/>
      <c r="H98" s="946"/>
      <c r="I98" s="250"/>
      <c r="J98" s="946"/>
      <c r="K98" s="249"/>
      <c r="L98" s="250"/>
      <c r="M98" s="878">
        <v>44066.0</v>
      </c>
      <c r="N98" s="547"/>
      <c r="O98" s="547"/>
      <c r="P98" s="547"/>
      <c r="Q98" s="547"/>
      <c r="R98" s="547"/>
      <c r="S98" s="878">
        <v>44066.0</v>
      </c>
      <c r="T98" s="946"/>
      <c r="U98" s="249"/>
      <c r="V98" s="250"/>
    </row>
    <row r="99">
      <c r="A99" s="871"/>
      <c r="B99" s="872" t="s">
        <v>7559</v>
      </c>
      <c r="C99" s="873">
        <v>45893.0</v>
      </c>
      <c r="D99" s="946"/>
      <c r="E99" s="250"/>
      <c r="F99" s="947"/>
      <c r="G99" s="250"/>
      <c r="H99" s="946"/>
      <c r="I99" s="250"/>
      <c r="J99" s="946"/>
      <c r="K99" s="249"/>
      <c r="L99" s="250"/>
      <c r="M99" s="878">
        <v>44067.0</v>
      </c>
      <c r="N99" s="881"/>
      <c r="O99" s="547"/>
      <c r="P99" s="547"/>
      <c r="Q99" s="547"/>
      <c r="R99" s="547"/>
      <c r="S99" s="878">
        <v>44067.0</v>
      </c>
      <c r="T99" s="946"/>
      <c r="U99" s="249"/>
      <c r="V99" s="250"/>
    </row>
    <row r="100">
      <c r="A100" s="871"/>
      <c r="B100" s="872" t="s">
        <v>8858</v>
      </c>
      <c r="C100" s="873">
        <v>45894.0</v>
      </c>
      <c r="D100" s="946"/>
      <c r="E100" s="250"/>
      <c r="F100" s="946"/>
      <c r="G100" s="250"/>
      <c r="H100" s="946"/>
      <c r="I100" s="250"/>
      <c r="J100" s="946"/>
      <c r="K100" s="249"/>
      <c r="L100" s="250"/>
      <c r="M100" s="878">
        <v>44068.0</v>
      </c>
      <c r="N100" s="547"/>
      <c r="O100" s="547"/>
      <c r="P100" s="547"/>
      <c r="Q100" s="547"/>
      <c r="R100" s="547"/>
      <c r="S100" s="878">
        <v>44068.0</v>
      </c>
      <c r="T100" s="946"/>
      <c r="U100" s="249"/>
      <c r="V100" s="250"/>
    </row>
    <row r="101">
      <c r="A101" s="871"/>
      <c r="B101" s="872" t="s">
        <v>8861</v>
      </c>
      <c r="C101" s="873">
        <v>45895.0</v>
      </c>
      <c r="D101" s="946"/>
      <c r="E101" s="250"/>
      <c r="F101" s="946"/>
      <c r="G101" s="250"/>
      <c r="H101" s="946"/>
      <c r="I101" s="250"/>
      <c r="J101" s="946"/>
      <c r="K101" s="249"/>
      <c r="L101" s="250"/>
      <c r="M101" s="878">
        <v>44069.0</v>
      </c>
      <c r="N101" s="547"/>
      <c r="O101" s="547"/>
      <c r="P101" s="547"/>
      <c r="Q101" s="547"/>
      <c r="R101" s="547"/>
      <c r="S101" s="878">
        <v>44069.0</v>
      </c>
      <c r="T101" s="946"/>
      <c r="U101" s="249"/>
      <c r="V101" s="250"/>
    </row>
    <row r="102">
      <c r="A102" s="871"/>
      <c r="B102" s="872" t="s">
        <v>8862</v>
      </c>
      <c r="C102" s="873">
        <v>45896.0</v>
      </c>
      <c r="D102" s="946"/>
      <c r="E102" s="250"/>
      <c r="F102" s="946"/>
      <c r="G102" s="250"/>
      <c r="H102" s="946"/>
      <c r="I102" s="250"/>
      <c r="J102" s="946"/>
      <c r="K102" s="249"/>
      <c r="L102" s="250"/>
      <c r="M102" s="878">
        <v>44070.0</v>
      </c>
      <c r="N102" s="547"/>
      <c r="O102" s="547"/>
      <c r="P102" s="547"/>
      <c r="Q102" s="547"/>
      <c r="R102" s="547"/>
      <c r="S102" s="878">
        <v>44070.0</v>
      </c>
      <c r="T102" s="946"/>
      <c r="U102" s="249"/>
      <c r="V102" s="250"/>
    </row>
    <row r="103">
      <c r="A103" s="871"/>
      <c r="B103" s="872" t="s">
        <v>8863</v>
      </c>
      <c r="C103" s="873">
        <v>45897.0</v>
      </c>
      <c r="D103" s="946"/>
      <c r="E103" s="250"/>
      <c r="F103" s="946"/>
      <c r="G103" s="250"/>
      <c r="H103" s="946"/>
      <c r="I103" s="250"/>
      <c r="J103" s="946"/>
      <c r="K103" s="249"/>
      <c r="L103" s="250"/>
      <c r="M103" s="878">
        <v>44071.0</v>
      </c>
      <c r="N103" s="547"/>
      <c r="O103" s="547"/>
      <c r="P103" s="547"/>
      <c r="Q103" s="547"/>
      <c r="R103" s="547"/>
      <c r="S103" s="878">
        <v>44071.0</v>
      </c>
      <c r="T103" s="946"/>
      <c r="U103" s="249"/>
      <c r="V103" s="250"/>
    </row>
    <row r="104">
      <c r="A104" s="871"/>
      <c r="B104" s="872" t="s">
        <v>8865</v>
      </c>
      <c r="C104" s="873">
        <v>45898.0</v>
      </c>
      <c r="D104" s="946"/>
      <c r="E104" s="250"/>
      <c r="F104" s="946"/>
      <c r="G104" s="250"/>
      <c r="H104" s="946"/>
      <c r="I104" s="250"/>
      <c r="J104" s="946"/>
      <c r="K104" s="249"/>
      <c r="L104" s="250"/>
      <c r="M104" s="878">
        <v>44072.0</v>
      </c>
      <c r="N104" s="547"/>
      <c r="O104" s="547"/>
      <c r="P104" s="547"/>
      <c r="Q104" s="547"/>
      <c r="R104" s="547"/>
      <c r="S104" s="878">
        <v>44072.0</v>
      </c>
      <c r="T104" s="946"/>
      <c r="U104" s="249"/>
      <c r="V104" s="250"/>
    </row>
    <row r="105">
      <c r="A105" s="871"/>
      <c r="B105" s="872" t="s">
        <v>8867</v>
      </c>
      <c r="C105" s="873">
        <v>45899.0</v>
      </c>
      <c r="D105" s="946"/>
      <c r="E105" s="250"/>
      <c r="F105" s="946"/>
      <c r="G105" s="250"/>
      <c r="H105" s="946"/>
      <c r="I105" s="250"/>
      <c r="J105" s="946"/>
      <c r="K105" s="249"/>
      <c r="L105" s="250"/>
      <c r="M105" s="878">
        <v>44073.0</v>
      </c>
      <c r="N105" s="547"/>
      <c r="O105" s="547"/>
      <c r="P105" s="547"/>
      <c r="Q105" s="547"/>
      <c r="R105" s="547"/>
      <c r="S105" s="878">
        <v>44073.0</v>
      </c>
      <c r="T105" s="946"/>
      <c r="U105" s="249"/>
      <c r="V105" s="250"/>
    </row>
    <row r="106">
      <c r="A106" s="871"/>
      <c r="B106" s="872" t="s">
        <v>7559</v>
      </c>
      <c r="C106" s="873">
        <v>45900.0</v>
      </c>
      <c r="D106" s="946"/>
      <c r="E106" s="250"/>
      <c r="F106" s="946"/>
      <c r="G106" s="250"/>
      <c r="H106" s="946"/>
      <c r="I106" s="250"/>
      <c r="J106" s="946"/>
      <c r="K106" s="249"/>
      <c r="L106" s="250"/>
      <c r="M106" s="878">
        <v>44074.0</v>
      </c>
      <c r="N106" s="547"/>
      <c r="O106" s="547"/>
      <c r="P106" s="547"/>
      <c r="Q106" s="547"/>
      <c r="R106" s="547"/>
      <c r="S106" s="878">
        <v>44074.0</v>
      </c>
      <c r="T106" s="946"/>
      <c r="U106" s="249"/>
      <c r="V106" s="250"/>
    </row>
    <row r="107">
      <c r="A107" s="352"/>
      <c r="B107" s="352"/>
      <c r="C107" s="352"/>
      <c r="D107" s="352"/>
      <c r="E107" s="352"/>
      <c r="F107" s="352"/>
      <c r="G107" s="352"/>
      <c r="H107" s="352"/>
      <c r="I107" s="352"/>
      <c r="J107" s="352"/>
      <c r="K107" s="352"/>
      <c r="L107" s="352"/>
      <c r="M107" s="352"/>
      <c r="N107" s="352"/>
      <c r="O107" s="352"/>
      <c r="P107" s="352"/>
      <c r="Q107" s="352"/>
      <c r="R107" s="352"/>
      <c r="S107" s="352"/>
      <c r="T107" s="352"/>
      <c r="U107" s="352"/>
      <c r="V107" s="352"/>
    </row>
    <row r="108">
      <c r="A108" s="352"/>
      <c r="B108" s="352"/>
      <c r="C108" s="352"/>
      <c r="D108" s="352"/>
      <c r="E108" s="352"/>
      <c r="F108" s="352"/>
      <c r="G108" s="352"/>
      <c r="H108" s="352"/>
      <c r="I108" s="352"/>
      <c r="J108" s="352"/>
      <c r="K108" s="352"/>
      <c r="L108" s="352"/>
      <c r="M108" s="352"/>
      <c r="N108" s="352"/>
      <c r="O108" s="352"/>
      <c r="P108" s="352"/>
      <c r="Q108" s="352"/>
      <c r="R108" s="352"/>
      <c r="S108" s="352"/>
      <c r="T108" s="352"/>
      <c r="U108" s="352"/>
      <c r="V108" s="352"/>
    </row>
    <row r="109">
      <c r="A109" s="352"/>
      <c r="B109" s="352"/>
      <c r="C109" s="352"/>
      <c r="D109" s="352"/>
      <c r="E109" s="352"/>
      <c r="F109" s="352"/>
      <c r="G109" s="352"/>
      <c r="H109" s="352"/>
      <c r="I109" s="352"/>
      <c r="J109" s="352"/>
      <c r="K109" s="352"/>
      <c r="L109" s="352"/>
      <c r="M109" s="352"/>
      <c r="N109" s="352"/>
      <c r="O109" s="352"/>
      <c r="P109" s="352"/>
      <c r="Q109" s="352"/>
      <c r="R109" s="352"/>
      <c r="S109" s="352"/>
      <c r="T109" s="352"/>
      <c r="U109" s="352"/>
      <c r="V109" s="352"/>
    </row>
    <row r="110">
      <c r="A110" s="352"/>
      <c r="B110" s="352"/>
      <c r="C110" s="352"/>
      <c r="D110" s="352"/>
      <c r="E110" s="352"/>
      <c r="F110" s="352"/>
      <c r="G110" s="352"/>
      <c r="H110" s="352"/>
      <c r="I110" s="352"/>
      <c r="J110" s="352"/>
      <c r="K110" s="352"/>
      <c r="L110" s="352"/>
      <c r="M110" s="352"/>
      <c r="N110" s="352"/>
      <c r="O110" s="352"/>
      <c r="P110" s="352"/>
      <c r="Q110" s="352"/>
      <c r="R110" s="352"/>
      <c r="S110" s="352"/>
      <c r="T110" s="352"/>
      <c r="U110" s="352"/>
      <c r="V110" s="352"/>
    </row>
    <row r="111">
      <c r="A111" s="352"/>
      <c r="B111" s="352"/>
      <c r="C111" s="352"/>
      <c r="D111" s="352"/>
      <c r="E111" s="352"/>
      <c r="F111" s="352"/>
      <c r="G111" s="352"/>
      <c r="H111" s="352"/>
      <c r="I111" s="352"/>
      <c r="J111" s="352"/>
      <c r="K111" s="352"/>
      <c r="L111" s="352"/>
      <c r="M111" s="352"/>
      <c r="N111" s="352"/>
      <c r="O111" s="352"/>
      <c r="P111" s="352"/>
      <c r="Q111" s="352"/>
      <c r="R111" s="352"/>
      <c r="S111" s="352"/>
      <c r="T111" s="352"/>
      <c r="U111" s="352"/>
      <c r="V111" s="352"/>
    </row>
    <row r="112">
      <c r="A112" s="352"/>
      <c r="B112" s="352"/>
      <c r="C112" s="352"/>
      <c r="D112" s="352"/>
      <c r="E112" s="352"/>
      <c r="F112" s="352"/>
      <c r="G112" s="352"/>
      <c r="H112" s="352"/>
      <c r="I112" s="352"/>
      <c r="J112" s="352"/>
      <c r="K112" s="352"/>
      <c r="L112" s="352"/>
      <c r="M112" s="352"/>
      <c r="N112" s="352"/>
      <c r="O112" s="352"/>
      <c r="P112" s="352"/>
      <c r="Q112" s="352"/>
      <c r="R112" s="352"/>
      <c r="S112" s="352"/>
      <c r="T112" s="352"/>
      <c r="U112" s="352"/>
      <c r="V112" s="352"/>
    </row>
    <row r="113">
      <c r="A113" s="352"/>
      <c r="B113" s="352"/>
      <c r="C113" s="352"/>
      <c r="D113" s="352"/>
      <c r="E113" s="352"/>
      <c r="F113" s="352"/>
      <c r="G113" s="352"/>
      <c r="H113" s="352"/>
      <c r="I113" s="352"/>
      <c r="J113" s="352"/>
      <c r="K113" s="352"/>
      <c r="L113" s="352"/>
      <c r="M113" s="352"/>
      <c r="N113" s="352"/>
      <c r="O113" s="352"/>
      <c r="P113" s="352"/>
      <c r="Q113" s="352"/>
      <c r="R113" s="352"/>
      <c r="S113" s="352"/>
      <c r="T113" s="352"/>
      <c r="U113" s="352"/>
      <c r="V113" s="352"/>
    </row>
    <row r="114">
      <c r="A114" s="352"/>
      <c r="B114" s="352"/>
      <c r="C114" s="352"/>
      <c r="D114" s="352"/>
      <c r="E114" s="352"/>
      <c r="F114" s="352"/>
      <c r="G114" s="352"/>
      <c r="H114" s="352"/>
      <c r="I114" s="352"/>
      <c r="J114" s="352"/>
      <c r="K114" s="352"/>
      <c r="L114" s="352"/>
      <c r="M114" s="352"/>
      <c r="N114" s="352"/>
      <c r="O114" s="352"/>
      <c r="P114" s="352"/>
      <c r="Q114" s="352"/>
      <c r="R114" s="352"/>
      <c r="S114" s="352"/>
      <c r="T114" s="352"/>
      <c r="U114" s="352"/>
      <c r="V114" s="352"/>
    </row>
    <row r="115">
      <c r="A115" s="352"/>
      <c r="B115" s="352"/>
      <c r="C115" s="352"/>
      <c r="D115" s="352"/>
      <c r="E115" s="352"/>
      <c r="F115" s="352"/>
      <c r="G115" s="352"/>
      <c r="H115" s="352"/>
      <c r="I115" s="352"/>
      <c r="J115" s="352"/>
      <c r="K115" s="352"/>
      <c r="L115" s="352"/>
      <c r="M115" s="352"/>
      <c r="N115" s="352"/>
      <c r="O115" s="352"/>
      <c r="P115" s="352"/>
      <c r="Q115" s="352"/>
      <c r="R115" s="352"/>
      <c r="S115" s="352"/>
      <c r="T115" s="352"/>
      <c r="U115" s="352"/>
      <c r="V115" s="352"/>
    </row>
    <row r="116">
      <c r="A116" s="352"/>
      <c r="B116" s="352"/>
      <c r="C116" s="352"/>
      <c r="D116" s="352"/>
      <c r="E116" s="352"/>
      <c r="F116" s="352"/>
      <c r="G116" s="352"/>
      <c r="H116" s="352"/>
      <c r="I116" s="352"/>
      <c r="J116" s="352"/>
      <c r="K116" s="352"/>
      <c r="L116" s="352"/>
      <c r="M116" s="352"/>
      <c r="N116" s="352"/>
      <c r="O116" s="352"/>
      <c r="P116" s="352"/>
      <c r="Q116" s="352"/>
      <c r="R116" s="352"/>
      <c r="S116" s="352"/>
      <c r="T116" s="352"/>
      <c r="U116" s="352"/>
      <c r="V116" s="352"/>
    </row>
    <row r="117">
      <c r="A117" s="352"/>
      <c r="B117" s="352"/>
      <c r="C117" s="352"/>
      <c r="D117" s="352"/>
      <c r="E117" s="352"/>
      <c r="F117" s="352"/>
      <c r="G117" s="352"/>
      <c r="H117" s="352"/>
      <c r="I117" s="352"/>
      <c r="J117" s="352"/>
      <c r="K117" s="352"/>
      <c r="L117" s="352"/>
      <c r="M117" s="352"/>
      <c r="N117" s="352"/>
      <c r="O117" s="352"/>
      <c r="P117" s="352"/>
      <c r="Q117" s="352"/>
      <c r="R117" s="352"/>
      <c r="S117" s="352"/>
      <c r="T117" s="352"/>
      <c r="U117" s="352"/>
      <c r="V117" s="352"/>
    </row>
    <row r="118">
      <c r="A118" s="352"/>
      <c r="B118" s="352"/>
      <c r="C118" s="352"/>
      <c r="D118" s="352"/>
      <c r="E118" s="352"/>
      <c r="F118" s="352"/>
      <c r="G118" s="352"/>
      <c r="H118" s="352"/>
      <c r="I118" s="352"/>
      <c r="J118" s="352"/>
      <c r="K118" s="352"/>
      <c r="L118" s="352"/>
      <c r="M118" s="352"/>
      <c r="N118" s="352"/>
      <c r="O118" s="352"/>
      <c r="P118" s="352"/>
      <c r="Q118" s="352"/>
      <c r="R118" s="352"/>
      <c r="S118" s="352"/>
      <c r="T118" s="352"/>
      <c r="U118" s="352"/>
      <c r="V118" s="352"/>
    </row>
    <row r="119">
      <c r="A119" s="352"/>
      <c r="B119" s="352"/>
      <c r="C119" s="352"/>
      <c r="D119" s="352"/>
      <c r="E119" s="352"/>
      <c r="F119" s="352"/>
      <c r="G119" s="352"/>
      <c r="H119" s="352"/>
      <c r="I119" s="352"/>
      <c r="J119" s="352"/>
      <c r="K119" s="352"/>
      <c r="L119" s="352"/>
      <c r="M119" s="352"/>
      <c r="N119" s="352"/>
      <c r="O119" s="352"/>
      <c r="P119" s="352"/>
      <c r="Q119" s="352"/>
      <c r="R119" s="352"/>
      <c r="S119" s="352"/>
      <c r="T119" s="352"/>
      <c r="U119" s="352"/>
      <c r="V119" s="352"/>
    </row>
    <row r="120">
      <c r="A120" s="352"/>
      <c r="B120" s="352"/>
      <c r="C120" s="352"/>
      <c r="D120" s="352"/>
      <c r="E120" s="352"/>
      <c r="F120" s="352"/>
      <c r="G120" s="352"/>
      <c r="H120" s="352"/>
      <c r="I120" s="352"/>
      <c r="J120" s="352"/>
      <c r="K120" s="352"/>
      <c r="L120" s="352"/>
      <c r="M120" s="352"/>
      <c r="N120" s="352"/>
      <c r="O120" s="352"/>
      <c r="P120" s="352"/>
      <c r="Q120" s="352"/>
      <c r="R120" s="352"/>
      <c r="S120" s="352"/>
      <c r="T120" s="352"/>
      <c r="U120" s="352"/>
      <c r="V120" s="352"/>
    </row>
    <row r="121">
      <c r="A121" s="352"/>
      <c r="B121" s="352"/>
      <c r="C121" s="352"/>
      <c r="D121" s="352"/>
      <c r="E121" s="352"/>
      <c r="F121" s="352"/>
      <c r="G121" s="352"/>
      <c r="H121" s="352"/>
      <c r="I121" s="352"/>
      <c r="J121" s="352"/>
      <c r="K121" s="352"/>
      <c r="L121" s="352"/>
      <c r="M121" s="352"/>
      <c r="N121" s="352"/>
      <c r="O121" s="352"/>
      <c r="P121" s="352"/>
      <c r="Q121" s="352"/>
      <c r="R121" s="352"/>
      <c r="S121" s="352"/>
      <c r="T121" s="352"/>
      <c r="U121" s="352"/>
      <c r="V121" s="352"/>
    </row>
    <row r="122">
      <c r="A122" s="352"/>
      <c r="B122" s="352"/>
      <c r="C122" s="352"/>
      <c r="D122" s="352"/>
      <c r="E122" s="352"/>
      <c r="F122" s="352"/>
      <c r="G122" s="352"/>
      <c r="H122" s="352"/>
      <c r="I122" s="352"/>
      <c r="J122" s="352"/>
      <c r="K122" s="352"/>
      <c r="L122" s="352"/>
      <c r="M122" s="352"/>
      <c r="N122" s="352"/>
      <c r="O122" s="352"/>
      <c r="P122" s="352"/>
      <c r="Q122" s="352"/>
      <c r="R122" s="352"/>
      <c r="S122" s="352"/>
      <c r="T122" s="352"/>
      <c r="U122" s="352"/>
      <c r="V122" s="352"/>
    </row>
    <row r="123">
      <c r="A123" s="352"/>
      <c r="B123" s="352"/>
      <c r="C123" s="352"/>
      <c r="D123" s="352"/>
      <c r="E123" s="352"/>
      <c r="F123" s="352"/>
      <c r="G123" s="352"/>
      <c r="H123" s="352"/>
      <c r="I123" s="352"/>
      <c r="J123" s="352"/>
      <c r="K123" s="352"/>
      <c r="L123" s="352"/>
      <c r="M123" s="352"/>
      <c r="N123" s="352"/>
      <c r="O123" s="352"/>
      <c r="P123" s="352"/>
      <c r="Q123" s="352"/>
      <c r="R123" s="352"/>
      <c r="S123" s="352"/>
      <c r="T123" s="352"/>
      <c r="U123" s="352"/>
      <c r="V123" s="352"/>
    </row>
    <row r="124">
      <c r="A124" s="352"/>
      <c r="B124" s="352"/>
      <c r="C124" s="352"/>
      <c r="D124" s="352"/>
      <c r="E124" s="352"/>
      <c r="F124" s="352"/>
      <c r="G124" s="352"/>
      <c r="H124" s="352"/>
      <c r="I124" s="352"/>
      <c r="J124" s="352"/>
      <c r="K124" s="352"/>
      <c r="L124" s="352"/>
      <c r="M124" s="352"/>
      <c r="N124" s="352"/>
      <c r="O124" s="352"/>
      <c r="P124" s="352"/>
      <c r="Q124" s="352"/>
      <c r="R124" s="352"/>
      <c r="S124" s="352"/>
      <c r="T124" s="352"/>
      <c r="U124" s="352"/>
      <c r="V124" s="352"/>
    </row>
    <row r="125">
      <c r="A125" s="352"/>
      <c r="B125" s="352"/>
      <c r="C125" s="352"/>
      <c r="D125" s="352"/>
      <c r="E125" s="352"/>
      <c r="F125" s="352"/>
      <c r="G125" s="352"/>
      <c r="H125" s="352"/>
      <c r="I125" s="352"/>
      <c r="J125" s="352"/>
      <c r="K125" s="352"/>
      <c r="L125" s="352"/>
      <c r="M125" s="352"/>
      <c r="N125" s="352"/>
      <c r="O125" s="352"/>
      <c r="P125" s="352"/>
      <c r="Q125" s="352"/>
      <c r="R125" s="352"/>
      <c r="S125" s="352"/>
      <c r="T125" s="352"/>
      <c r="U125" s="352"/>
      <c r="V125" s="352"/>
    </row>
    <row r="126">
      <c r="A126" s="352"/>
      <c r="B126" s="352"/>
      <c r="C126" s="352"/>
      <c r="D126" s="352"/>
      <c r="E126" s="352"/>
      <c r="F126" s="352"/>
      <c r="G126" s="352"/>
      <c r="H126" s="352"/>
      <c r="I126" s="352"/>
      <c r="J126" s="352"/>
      <c r="K126" s="352"/>
      <c r="L126" s="352"/>
      <c r="M126" s="352"/>
      <c r="N126" s="352"/>
      <c r="O126" s="352"/>
      <c r="P126" s="352"/>
      <c r="Q126" s="352"/>
      <c r="R126" s="352"/>
      <c r="S126" s="352"/>
      <c r="T126" s="352"/>
      <c r="U126" s="352"/>
      <c r="V126" s="352"/>
    </row>
    <row r="127">
      <c r="A127" s="352"/>
      <c r="B127" s="352"/>
      <c r="C127" s="352"/>
      <c r="D127" s="352"/>
      <c r="E127" s="352"/>
      <c r="F127" s="352"/>
      <c r="G127" s="352"/>
      <c r="H127" s="352"/>
      <c r="I127" s="352"/>
      <c r="J127" s="352"/>
      <c r="K127" s="352"/>
      <c r="L127" s="352"/>
      <c r="M127" s="352"/>
      <c r="N127" s="352"/>
      <c r="O127" s="352"/>
      <c r="P127" s="352"/>
      <c r="Q127" s="352"/>
      <c r="R127" s="352"/>
      <c r="S127" s="352"/>
      <c r="T127" s="352"/>
      <c r="U127" s="352"/>
      <c r="V127" s="352"/>
    </row>
    <row r="128">
      <c r="A128" s="352"/>
      <c r="B128" s="352"/>
      <c r="C128" s="352"/>
      <c r="D128" s="352"/>
      <c r="E128" s="352"/>
      <c r="F128" s="352"/>
      <c r="G128" s="352"/>
      <c r="H128" s="352"/>
      <c r="I128" s="352"/>
      <c r="J128" s="352"/>
      <c r="K128" s="352"/>
      <c r="L128" s="352"/>
      <c r="M128" s="352"/>
      <c r="N128" s="352"/>
      <c r="O128" s="352"/>
      <c r="P128" s="352"/>
      <c r="Q128" s="352"/>
      <c r="R128" s="352"/>
      <c r="S128" s="352"/>
      <c r="T128" s="352"/>
      <c r="U128" s="352"/>
      <c r="V128" s="352"/>
    </row>
    <row r="129">
      <c r="A129" s="352"/>
      <c r="B129" s="352"/>
      <c r="C129" s="352"/>
      <c r="D129" s="352"/>
      <c r="E129" s="352"/>
      <c r="F129" s="352"/>
      <c r="G129" s="352"/>
      <c r="H129" s="352"/>
      <c r="I129" s="352"/>
      <c r="J129" s="352"/>
      <c r="K129" s="352"/>
      <c r="L129" s="352"/>
      <c r="M129" s="352"/>
      <c r="N129" s="352"/>
      <c r="O129" s="352"/>
      <c r="P129" s="352"/>
      <c r="Q129" s="352"/>
      <c r="R129" s="352"/>
      <c r="S129" s="352"/>
      <c r="T129" s="352"/>
      <c r="U129" s="352"/>
      <c r="V129" s="352"/>
    </row>
    <row r="130">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2"/>
    </row>
    <row r="131">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2"/>
    </row>
    <row r="132">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2"/>
    </row>
    <row r="133">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2"/>
    </row>
    <row r="134">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2"/>
    </row>
    <row r="135">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2"/>
    </row>
    <row r="136">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2"/>
    </row>
    <row r="137">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2"/>
    </row>
    <row r="138">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2"/>
    </row>
    <row r="139">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2"/>
    </row>
    <row r="140">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2"/>
    </row>
    <row r="141">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2"/>
    </row>
    <row r="142">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2"/>
    </row>
    <row r="143">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2"/>
    </row>
    <row r="144">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2"/>
    </row>
    <row r="145">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2"/>
    </row>
    <row r="146">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2"/>
    </row>
    <row r="147">
      <c r="A147" s="352"/>
      <c r="B147" s="352"/>
      <c r="C147" s="352"/>
      <c r="D147" s="352"/>
      <c r="E147" s="352"/>
      <c r="F147" s="352"/>
      <c r="G147" s="352"/>
      <c r="H147" s="352"/>
      <c r="I147" s="352"/>
      <c r="J147" s="352"/>
      <c r="K147" s="352"/>
      <c r="L147" s="352"/>
      <c r="M147" s="352"/>
      <c r="N147" s="352"/>
      <c r="O147" s="352"/>
      <c r="P147" s="352"/>
      <c r="Q147" s="352"/>
      <c r="R147" s="352"/>
      <c r="S147" s="352"/>
      <c r="T147" s="352"/>
      <c r="U147" s="352"/>
      <c r="V147" s="352"/>
    </row>
    <row r="148">
      <c r="A148" s="352"/>
      <c r="B148" s="352"/>
      <c r="C148" s="352"/>
      <c r="D148" s="352"/>
      <c r="E148" s="352"/>
      <c r="F148" s="352"/>
      <c r="G148" s="352"/>
      <c r="H148" s="352"/>
      <c r="I148" s="352"/>
      <c r="J148" s="352"/>
      <c r="K148" s="352"/>
      <c r="L148" s="352"/>
      <c r="M148" s="352"/>
      <c r="N148" s="352"/>
      <c r="O148" s="352"/>
      <c r="P148" s="352"/>
      <c r="Q148" s="352"/>
      <c r="R148" s="352"/>
      <c r="S148" s="352"/>
      <c r="T148" s="352"/>
      <c r="U148" s="352"/>
      <c r="V148" s="352"/>
    </row>
    <row r="149">
      <c r="A149" s="352"/>
      <c r="B149" s="352"/>
      <c r="C149" s="352"/>
      <c r="D149" s="352"/>
      <c r="E149" s="352"/>
      <c r="F149" s="352"/>
      <c r="G149" s="352"/>
      <c r="H149" s="352"/>
      <c r="I149" s="352"/>
      <c r="J149" s="352"/>
      <c r="K149" s="352"/>
      <c r="L149" s="352"/>
      <c r="M149" s="352"/>
      <c r="N149" s="352"/>
      <c r="O149" s="352"/>
      <c r="P149" s="352"/>
      <c r="Q149" s="352"/>
      <c r="R149" s="352"/>
      <c r="S149" s="352"/>
      <c r="T149" s="352"/>
      <c r="U149" s="352"/>
      <c r="V149" s="352"/>
    </row>
    <row r="150">
      <c r="A150" s="352"/>
      <c r="B150" s="352"/>
      <c r="C150" s="352"/>
      <c r="D150" s="352"/>
      <c r="E150" s="352"/>
      <c r="F150" s="352"/>
      <c r="G150" s="352"/>
      <c r="H150" s="352"/>
      <c r="I150" s="352"/>
      <c r="J150" s="352"/>
      <c r="K150" s="352"/>
      <c r="L150" s="352"/>
      <c r="M150" s="352"/>
      <c r="N150" s="352"/>
      <c r="O150" s="352"/>
      <c r="P150" s="352"/>
      <c r="Q150" s="352"/>
      <c r="R150" s="352"/>
      <c r="S150" s="352"/>
      <c r="T150" s="352"/>
      <c r="U150" s="352"/>
      <c r="V150" s="352"/>
    </row>
    <row r="151">
      <c r="A151" s="352"/>
      <c r="B151" s="352"/>
      <c r="C151" s="352"/>
      <c r="D151" s="352"/>
      <c r="E151" s="352"/>
      <c r="F151" s="352"/>
      <c r="G151" s="352"/>
      <c r="H151" s="352"/>
      <c r="I151" s="352"/>
      <c r="J151" s="352"/>
      <c r="K151" s="352"/>
      <c r="L151" s="352"/>
      <c r="M151" s="352"/>
      <c r="N151" s="352"/>
      <c r="O151" s="352"/>
      <c r="P151" s="352"/>
      <c r="Q151" s="352"/>
      <c r="R151" s="352"/>
      <c r="S151" s="352"/>
      <c r="T151" s="352"/>
      <c r="U151" s="352"/>
      <c r="V151" s="352"/>
    </row>
    <row r="152">
      <c r="A152" s="352"/>
      <c r="B152" s="352"/>
      <c r="C152" s="352"/>
      <c r="D152" s="352"/>
      <c r="E152" s="352"/>
      <c r="F152" s="352"/>
      <c r="G152" s="352"/>
      <c r="H152" s="352"/>
      <c r="I152" s="352"/>
      <c r="J152" s="352"/>
      <c r="K152" s="352"/>
      <c r="L152" s="352"/>
      <c r="M152" s="352"/>
      <c r="N152" s="352"/>
      <c r="O152" s="352"/>
      <c r="P152" s="352"/>
      <c r="Q152" s="352"/>
      <c r="R152" s="352"/>
      <c r="S152" s="352"/>
      <c r="T152" s="352"/>
      <c r="U152" s="352"/>
      <c r="V152" s="352"/>
    </row>
    <row r="153">
      <c r="A153" s="352"/>
      <c r="B153" s="352"/>
      <c r="C153" s="352"/>
      <c r="D153" s="352"/>
      <c r="E153" s="352"/>
      <c r="F153" s="352"/>
      <c r="G153" s="352"/>
      <c r="H153" s="352"/>
      <c r="I153" s="352"/>
      <c r="J153" s="352"/>
      <c r="K153" s="352"/>
      <c r="L153" s="352"/>
      <c r="M153" s="352"/>
      <c r="N153" s="352"/>
      <c r="O153" s="352"/>
      <c r="P153" s="352"/>
      <c r="Q153" s="352"/>
      <c r="R153" s="352"/>
      <c r="S153" s="352"/>
      <c r="T153" s="352"/>
      <c r="U153" s="352"/>
      <c r="V153" s="352"/>
    </row>
    <row r="154">
      <c r="A154" s="352"/>
      <c r="B154" s="352"/>
      <c r="C154" s="352"/>
      <c r="D154" s="352"/>
      <c r="E154" s="352"/>
      <c r="F154" s="352"/>
      <c r="G154" s="352"/>
      <c r="H154" s="352"/>
      <c r="I154" s="352"/>
      <c r="J154" s="352"/>
      <c r="K154" s="352"/>
      <c r="L154" s="352"/>
      <c r="M154" s="352"/>
      <c r="N154" s="352"/>
      <c r="O154" s="352"/>
      <c r="P154" s="352"/>
      <c r="Q154" s="352"/>
      <c r="R154" s="352"/>
      <c r="S154" s="352"/>
      <c r="T154" s="352"/>
      <c r="U154" s="352"/>
      <c r="V154" s="352"/>
    </row>
    <row r="155">
      <c r="A155" s="352"/>
      <c r="B155" s="352"/>
      <c r="C155" s="352"/>
      <c r="D155" s="352"/>
      <c r="E155" s="352"/>
      <c r="F155" s="352"/>
      <c r="G155" s="352"/>
      <c r="H155" s="352"/>
      <c r="I155" s="352"/>
      <c r="J155" s="352"/>
      <c r="K155" s="352"/>
      <c r="L155" s="352"/>
      <c r="M155" s="352"/>
      <c r="N155" s="352"/>
      <c r="O155" s="352"/>
      <c r="P155" s="352"/>
      <c r="Q155" s="352"/>
      <c r="R155" s="352"/>
      <c r="S155" s="352"/>
      <c r="T155" s="352"/>
      <c r="U155" s="352"/>
      <c r="V155" s="352"/>
    </row>
    <row r="156">
      <c r="A156" s="352"/>
      <c r="B156" s="352"/>
      <c r="C156" s="352"/>
      <c r="D156" s="352"/>
      <c r="E156" s="352"/>
      <c r="F156" s="352"/>
      <c r="G156" s="352"/>
      <c r="H156" s="352"/>
      <c r="I156" s="352"/>
      <c r="J156" s="352"/>
      <c r="K156" s="352"/>
      <c r="L156" s="352"/>
      <c r="M156" s="352"/>
      <c r="N156" s="352"/>
      <c r="O156" s="352"/>
      <c r="P156" s="352"/>
      <c r="Q156" s="352"/>
      <c r="R156" s="352"/>
      <c r="S156" s="352"/>
      <c r="T156" s="352"/>
      <c r="U156" s="352"/>
      <c r="V156" s="352"/>
    </row>
    <row r="157">
      <c r="A157" s="352"/>
      <c r="B157" s="352"/>
      <c r="C157" s="352"/>
      <c r="D157" s="352"/>
      <c r="E157" s="352"/>
      <c r="F157" s="352"/>
      <c r="G157" s="352"/>
      <c r="H157" s="352"/>
      <c r="I157" s="352"/>
      <c r="J157" s="352"/>
      <c r="K157" s="352"/>
      <c r="L157" s="352"/>
      <c r="M157" s="352"/>
      <c r="N157" s="352"/>
      <c r="O157" s="352"/>
      <c r="P157" s="352"/>
      <c r="Q157" s="352"/>
      <c r="R157" s="352"/>
      <c r="S157" s="352"/>
      <c r="T157" s="352"/>
      <c r="U157" s="352"/>
      <c r="V157" s="352"/>
    </row>
    <row r="158">
      <c r="A158" s="352"/>
      <c r="B158" s="352"/>
      <c r="C158" s="352"/>
      <c r="D158" s="352"/>
      <c r="E158" s="352"/>
      <c r="F158" s="352"/>
      <c r="G158" s="352"/>
      <c r="H158" s="352"/>
      <c r="I158" s="352"/>
      <c r="J158" s="352"/>
      <c r="K158" s="352"/>
      <c r="L158" s="352"/>
      <c r="M158" s="352"/>
      <c r="N158" s="352"/>
      <c r="O158" s="352"/>
      <c r="P158" s="352"/>
      <c r="Q158" s="352"/>
      <c r="R158" s="352"/>
      <c r="S158" s="352"/>
      <c r="T158" s="352"/>
      <c r="U158" s="352"/>
      <c r="V158" s="352"/>
    </row>
    <row r="159">
      <c r="A159" s="352"/>
      <c r="B159" s="352"/>
      <c r="C159" s="352"/>
      <c r="D159" s="352"/>
      <c r="E159" s="352"/>
      <c r="F159" s="352"/>
      <c r="G159" s="352"/>
      <c r="H159" s="352"/>
      <c r="I159" s="352"/>
      <c r="J159" s="352"/>
      <c r="K159" s="352"/>
      <c r="L159" s="352"/>
      <c r="M159" s="352"/>
      <c r="N159" s="352"/>
      <c r="O159" s="352"/>
      <c r="P159" s="352"/>
      <c r="Q159" s="352"/>
      <c r="R159" s="352"/>
      <c r="S159" s="352"/>
      <c r="T159" s="352"/>
      <c r="U159" s="352"/>
      <c r="V159" s="352"/>
    </row>
    <row r="160">
      <c r="A160" s="352"/>
      <c r="B160" s="352"/>
      <c r="C160" s="352"/>
      <c r="D160" s="352"/>
      <c r="E160" s="352"/>
      <c r="F160" s="352"/>
      <c r="G160" s="352"/>
      <c r="H160" s="352"/>
      <c r="I160" s="352"/>
      <c r="J160" s="352"/>
      <c r="K160" s="352"/>
      <c r="L160" s="352"/>
      <c r="M160" s="352"/>
      <c r="N160" s="352"/>
      <c r="O160" s="352"/>
      <c r="P160" s="352"/>
      <c r="Q160" s="352"/>
      <c r="R160" s="352"/>
      <c r="S160" s="352"/>
      <c r="T160" s="352"/>
      <c r="U160" s="352"/>
      <c r="V160" s="352"/>
    </row>
    <row r="161">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2"/>
    </row>
    <row r="162">
      <c r="A162" s="352"/>
      <c r="B162" s="352"/>
      <c r="C162" s="352"/>
      <c r="D162" s="352"/>
      <c r="E162" s="352"/>
      <c r="F162" s="352"/>
      <c r="G162" s="352"/>
      <c r="H162" s="352"/>
      <c r="I162" s="352"/>
      <c r="J162" s="352"/>
      <c r="K162" s="352"/>
      <c r="L162" s="352"/>
      <c r="M162" s="352"/>
      <c r="N162" s="352"/>
      <c r="O162" s="352"/>
      <c r="P162" s="352"/>
      <c r="Q162" s="352"/>
      <c r="R162" s="352"/>
      <c r="S162" s="352"/>
      <c r="T162" s="352"/>
      <c r="U162" s="352"/>
      <c r="V162" s="352"/>
    </row>
    <row r="163">
      <c r="A163" s="352"/>
      <c r="B163" s="352"/>
      <c r="C163" s="352"/>
      <c r="D163" s="352"/>
      <c r="E163" s="352"/>
      <c r="F163" s="352"/>
      <c r="G163" s="352"/>
      <c r="H163" s="352"/>
      <c r="I163" s="352"/>
      <c r="J163" s="352"/>
      <c r="K163" s="352"/>
      <c r="L163" s="352"/>
      <c r="M163" s="352"/>
      <c r="N163" s="352"/>
      <c r="O163" s="352"/>
      <c r="P163" s="352"/>
      <c r="Q163" s="352"/>
      <c r="R163" s="352"/>
      <c r="S163" s="352"/>
      <c r="T163" s="352"/>
      <c r="U163" s="352"/>
      <c r="V163" s="352"/>
    </row>
    <row r="164">
      <c r="A164" s="352"/>
      <c r="B164" s="352"/>
      <c r="C164" s="352"/>
      <c r="D164" s="352"/>
      <c r="E164" s="352"/>
      <c r="F164" s="352"/>
      <c r="G164" s="352"/>
      <c r="H164" s="352"/>
      <c r="I164" s="352"/>
      <c r="J164" s="352"/>
      <c r="K164" s="352"/>
      <c r="L164" s="352"/>
      <c r="M164" s="352"/>
      <c r="N164" s="352"/>
      <c r="O164" s="352"/>
      <c r="P164" s="352"/>
      <c r="Q164" s="352"/>
      <c r="R164" s="352"/>
      <c r="S164" s="352"/>
      <c r="T164" s="352"/>
      <c r="U164" s="352"/>
      <c r="V164" s="352"/>
    </row>
    <row r="165">
      <c r="A165" s="352"/>
      <c r="B165" s="352"/>
      <c r="C165" s="352"/>
      <c r="D165" s="352"/>
      <c r="E165" s="352"/>
      <c r="F165" s="352"/>
      <c r="G165" s="352"/>
      <c r="H165" s="352"/>
      <c r="I165" s="352"/>
      <c r="J165" s="352"/>
      <c r="K165" s="352"/>
      <c r="L165" s="352"/>
      <c r="M165" s="352"/>
      <c r="N165" s="352"/>
      <c r="O165" s="352"/>
      <c r="P165" s="352"/>
      <c r="Q165" s="352"/>
      <c r="R165" s="352"/>
      <c r="S165" s="352"/>
      <c r="T165" s="352"/>
      <c r="U165" s="352"/>
      <c r="V165" s="352"/>
    </row>
    <row r="166">
      <c r="A166" s="352"/>
      <c r="B166" s="352"/>
      <c r="C166" s="352"/>
      <c r="D166" s="352"/>
      <c r="E166" s="352"/>
      <c r="F166" s="352"/>
      <c r="G166" s="352"/>
      <c r="H166" s="352"/>
      <c r="I166" s="352"/>
      <c r="J166" s="352"/>
      <c r="K166" s="352"/>
      <c r="L166" s="352"/>
      <c r="M166" s="352"/>
      <c r="N166" s="352"/>
      <c r="O166" s="352"/>
      <c r="P166" s="352"/>
      <c r="Q166" s="352"/>
      <c r="R166" s="352"/>
      <c r="S166" s="352"/>
      <c r="T166" s="352"/>
      <c r="U166" s="352"/>
      <c r="V166" s="352"/>
    </row>
    <row r="167">
      <c r="A167" s="352"/>
      <c r="B167" s="352"/>
      <c r="C167" s="352"/>
      <c r="D167" s="352"/>
      <c r="E167" s="352"/>
      <c r="F167" s="352"/>
      <c r="G167" s="352"/>
      <c r="H167" s="352"/>
      <c r="I167" s="352"/>
      <c r="J167" s="352"/>
      <c r="K167" s="352"/>
      <c r="L167" s="352"/>
      <c r="M167" s="352"/>
      <c r="N167" s="352"/>
      <c r="O167" s="352"/>
      <c r="P167" s="352"/>
      <c r="Q167" s="352"/>
      <c r="R167" s="352"/>
      <c r="S167" s="352"/>
      <c r="T167" s="352"/>
      <c r="U167" s="352"/>
      <c r="V167" s="352"/>
    </row>
    <row r="168">
      <c r="A168" s="352"/>
      <c r="B168" s="352"/>
      <c r="C168" s="352"/>
      <c r="D168" s="352"/>
      <c r="E168" s="352"/>
      <c r="F168" s="352"/>
      <c r="G168" s="352"/>
      <c r="H168" s="352"/>
      <c r="I168" s="352"/>
      <c r="J168" s="352"/>
      <c r="K168" s="352"/>
      <c r="L168" s="352"/>
      <c r="M168" s="352"/>
      <c r="N168" s="352"/>
      <c r="O168" s="352"/>
      <c r="P168" s="352"/>
      <c r="Q168" s="352"/>
      <c r="R168" s="352"/>
      <c r="S168" s="352"/>
      <c r="T168" s="352"/>
      <c r="U168" s="352"/>
      <c r="V168" s="352"/>
    </row>
    <row r="169">
      <c r="A169" s="352"/>
      <c r="B169" s="352"/>
      <c r="C169" s="352"/>
      <c r="D169" s="352"/>
      <c r="E169" s="352"/>
      <c r="F169" s="352"/>
      <c r="G169" s="352"/>
      <c r="H169" s="352"/>
      <c r="I169" s="352"/>
      <c r="J169" s="352"/>
      <c r="K169" s="352"/>
      <c r="L169" s="352"/>
      <c r="M169" s="352"/>
      <c r="N169" s="352"/>
      <c r="O169" s="352"/>
      <c r="P169" s="352"/>
      <c r="Q169" s="352"/>
      <c r="R169" s="352"/>
      <c r="S169" s="352"/>
      <c r="T169" s="352"/>
      <c r="U169" s="352"/>
      <c r="V169" s="352"/>
    </row>
    <row r="170">
      <c r="A170" s="352"/>
      <c r="B170" s="352"/>
      <c r="C170" s="352"/>
      <c r="D170" s="352"/>
      <c r="E170" s="352"/>
      <c r="F170" s="352"/>
      <c r="G170" s="352"/>
      <c r="H170" s="352"/>
      <c r="I170" s="352"/>
      <c r="J170" s="352"/>
      <c r="K170" s="352"/>
      <c r="L170" s="352"/>
      <c r="M170" s="352"/>
      <c r="N170" s="352"/>
      <c r="O170" s="352"/>
      <c r="P170" s="352"/>
      <c r="Q170" s="352"/>
      <c r="R170" s="352"/>
      <c r="S170" s="352"/>
      <c r="T170" s="352"/>
      <c r="U170" s="352"/>
      <c r="V170" s="352"/>
    </row>
    <row r="171">
      <c r="A171" s="352"/>
      <c r="B171" s="352"/>
      <c r="C171" s="352"/>
      <c r="D171" s="352"/>
      <c r="E171" s="352"/>
      <c r="F171" s="352"/>
      <c r="G171" s="352"/>
      <c r="H171" s="352"/>
      <c r="I171" s="352"/>
      <c r="J171" s="352"/>
      <c r="K171" s="352"/>
      <c r="L171" s="352"/>
      <c r="M171" s="352"/>
      <c r="N171" s="352"/>
      <c r="O171" s="352"/>
      <c r="P171" s="352"/>
      <c r="Q171" s="352"/>
      <c r="R171" s="352"/>
      <c r="S171" s="352"/>
      <c r="T171" s="352"/>
      <c r="U171" s="352"/>
      <c r="V171" s="352"/>
    </row>
    <row r="172">
      <c r="A172" s="352"/>
      <c r="B172" s="352"/>
      <c r="C172" s="352"/>
      <c r="D172" s="352"/>
      <c r="E172" s="352"/>
      <c r="F172" s="352"/>
      <c r="G172" s="352"/>
      <c r="H172" s="352"/>
      <c r="I172" s="352"/>
      <c r="J172" s="352"/>
      <c r="K172" s="352"/>
      <c r="L172" s="352"/>
      <c r="M172" s="352"/>
      <c r="N172" s="352"/>
      <c r="O172" s="352"/>
      <c r="P172" s="352"/>
      <c r="Q172" s="352"/>
      <c r="R172" s="352"/>
      <c r="S172" s="352"/>
      <c r="T172" s="352"/>
      <c r="U172" s="352"/>
      <c r="V172" s="352"/>
    </row>
    <row r="173">
      <c r="A173" s="352"/>
      <c r="B173" s="352"/>
      <c r="C173" s="352"/>
      <c r="D173" s="352"/>
      <c r="E173" s="352"/>
      <c r="F173" s="352"/>
      <c r="G173" s="352"/>
      <c r="H173" s="352"/>
      <c r="I173" s="352"/>
      <c r="J173" s="352"/>
      <c r="K173" s="352"/>
      <c r="L173" s="352"/>
      <c r="M173" s="352"/>
      <c r="N173" s="352"/>
      <c r="O173" s="352"/>
      <c r="P173" s="352"/>
      <c r="Q173" s="352"/>
      <c r="R173" s="352"/>
      <c r="S173" s="352"/>
      <c r="T173" s="352"/>
      <c r="U173" s="352"/>
      <c r="V173" s="352"/>
    </row>
    <row r="174">
      <c r="A174" s="352"/>
      <c r="B174" s="352"/>
      <c r="C174" s="352"/>
      <c r="D174" s="352"/>
      <c r="E174" s="352"/>
      <c r="F174" s="352"/>
      <c r="G174" s="352"/>
      <c r="H174" s="352"/>
      <c r="I174" s="352"/>
      <c r="J174" s="352"/>
      <c r="K174" s="352"/>
      <c r="L174" s="352"/>
      <c r="M174" s="352"/>
      <c r="N174" s="352"/>
      <c r="O174" s="352"/>
      <c r="P174" s="352"/>
      <c r="Q174" s="352"/>
      <c r="R174" s="352"/>
      <c r="S174" s="352"/>
      <c r="T174" s="352"/>
      <c r="U174" s="352"/>
      <c r="V174" s="352"/>
    </row>
    <row r="175">
      <c r="A175" s="352"/>
      <c r="B175" s="352"/>
      <c r="C175" s="352"/>
      <c r="D175" s="352"/>
      <c r="E175" s="352"/>
      <c r="F175" s="352"/>
      <c r="G175" s="352"/>
      <c r="H175" s="352"/>
      <c r="I175" s="352"/>
      <c r="J175" s="352"/>
      <c r="K175" s="352"/>
      <c r="L175" s="352"/>
      <c r="M175" s="352"/>
      <c r="N175" s="352"/>
      <c r="O175" s="352"/>
      <c r="P175" s="352"/>
      <c r="Q175" s="352"/>
      <c r="R175" s="352"/>
      <c r="S175" s="352"/>
      <c r="T175" s="352"/>
      <c r="U175" s="352"/>
      <c r="V175" s="352"/>
    </row>
    <row r="176">
      <c r="A176" s="352"/>
      <c r="B176" s="352"/>
      <c r="C176" s="352"/>
      <c r="D176" s="352"/>
      <c r="E176" s="352"/>
      <c r="F176" s="352"/>
      <c r="G176" s="352"/>
      <c r="H176" s="352"/>
      <c r="I176" s="352"/>
      <c r="J176" s="352"/>
      <c r="K176" s="352"/>
      <c r="L176" s="352"/>
      <c r="M176" s="352"/>
      <c r="N176" s="352"/>
      <c r="O176" s="352"/>
      <c r="P176" s="352"/>
      <c r="Q176" s="352"/>
      <c r="R176" s="352"/>
      <c r="S176" s="352"/>
      <c r="T176" s="352"/>
      <c r="U176" s="352"/>
      <c r="V176" s="352"/>
    </row>
    <row r="177">
      <c r="A177" s="352"/>
      <c r="B177" s="352"/>
      <c r="C177" s="352"/>
      <c r="D177" s="352"/>
      <c r="E177" s="352"/>
      <c r="F177" s="352"/>
      <c r="G177" s="352"/>
      <c r="H177" s="352"/>
      <c r="I177" s="352"/>
      <c r="J177" s="352"/>
      <c r="K177" s="352"/>
      <c r="L177" s="352"/>
      <c r="M177" s="352"/>
      <c r="N177" s="352"/>
      <c r="O177" s="352"/>
      <c r="P177" s="352"/>
      <c r="Q177" s="352"/>
      <c r="R177" s="352"/>
      <c r="S177" s="352"/>
      <c r="T177" s="352"/>
      <c r="U177" s="352"/>
      <c r="V177" s="352"/>
    </row>
    <row r="178">
      <c r="A178" s="352"/>
      <c r="B178" s="352"/>
      <c r="C178" s="352"/>
      <c r="D178" s="352"/>
      <c r="E178" s="352"/>
      <c r="F178" s="352"/>
      <c r="G178" s="352"/>
      <c r="H178" s="352"/>
      <c r="I178" s="352"/>
      <c r="J178" s="352"/>
      <c r="K178" s="352"/>
      <c r="L178" s="352"/>
      <c r="M178" s="352"/>
      <c r="N178" s="352"/>
      <c r="O178" s="352"/>
      <c r="P178" s="352"/>
      <c r="Q178" s="352"/>
      <c r="R178" s="352"/>
      <c r="S178" s="352"/>
      <c r="T178" s="352"/>
      <c r="U178" s="352"/>
      <c r="V178" s="352"/>
    </row>
    <row r="179">
      <c r="A179" s="352"/>
      <c r="B179" s="352"/>
      <c r="C179" s="352"/>
      <c r="D179" s="352"/>
      <c r="E179" s="352"/>
      <c r="F179" s="352"/>
      <c r="G179" s="352"/>
      <c r="H179" s="352"/>
      <c r="I179" s="352"/>
      <c r="J179" s="352"/>
      <c r="K179" s="352"/>
      <c r="L179" s="352"/>
      <c r="M179" s="352"/>
      <c r="N179" s="352"/>
      <c r="O179" s="352"/>
      <c r="P179" s="352"/>
      <c r="Q179" s="352"/>
      <c r="R179" s="352"/>
      <c r="S179" s="352"/>
      <c r="T179" s="352"/>
      <c r="U179" s="352"/>
      <c r="V179" s="352"/>
    </row>
    <row r="180">
      <c r="A180" s="352"/>
      <c r="B180" s="352"/>
      <c r="C180" s="352"/>
      <c r="D180" s="352"/>
      <c r="E180" s="352"/>
      <c r="F180" s="352"/>
      <c r="G180" s="352"/>
      <c r="H180" s="352"/>
      <c r="I180" s="352"/>
      <c r="J180" s="352"/>
      <c r="K180" s="352"/>
      <c r="L180" s="352"/>
      <c r="M180" s="352"/>
      <c r="N180" s="352"/>
      <c r="O180" s="352"/>
      <c r="P180" s="352"/>
      <c r="Q180" s="352"/>
      <c r="R180" s="352"/>
      <c r="S180" s="352"/>
      <c r="T180" s="352"/>
      <c r="U180" s="352"/>
      <c r="V180" s="352"/>
    </row>
    <row r="181">
      <c r="A181" s="352"/>
      <c r="B181" s="352"/>
      <c r="C181" s="352"/>
      <c r="D181" s="352"/>
      <c r="E181" s="352"/>
      <c r="F181" s="352"/>
      <c r="G181" s="352"/>
      <c r="H181" s="352"/>
      <c r="I181" s="352"/>
      <c r="J181" s="352"/>
      <c r="K181" s="352"/>
      <c r="L181" s="352"/>
      <c r="M181" s="352"/>
      <c r="N181" s="352"/>
      <c r="O181" s="352"/>
      <c r="P181" s="352"/>
      <c r="Q181" s="352"/>
      <c r="R181" s="352"/>
      <c r="S181" s="352"/>
      <c r="T181" s="352"/>
      <c r="U181" s="352"/>
      <c r="V181" s="352"/>
    </row>
    <row r="182">
      <c r="A182" s="352"/>
      <c r="B182" s="352"/>
      <c r="C182" s="352"/>
      <c r="D182" s="352"/>
      <c r="E182" s="352"/>
      <c r="F182" s="352"/>
      <c r="G182" s="352"/>
      <c r="H182" s="352"/>
      <c r="I182" s="352"/>
      <c r="J182" s="352"/>
      <c r="K182" s="352"/>
      <c r="L182" s="352"/>
      <c r="M182" s="352"/>
      <c r="N182" s="352"/>
      <c r="O182" s="352"/>
      <c r="P182" s="352"/>
      <c r="Q182" s="352"/>
      <c r="R182" s="352"/>
      <c r="S182" s="352"/>
      <c r="T182" s="352"/>
      <c r="U182" s="352"/>
      <c r="V182" s="352"/>
    </row>
    <row r="183">
      <c r="A183" s="352"/>
      <c r="B183" s="352"/>
      <c r="C183" s="352"/>
      <c r="D183" s="352"/>
      <c r="E183" s="352"/>
      <c r="F183" s="352"/>
      <c r="G183" s="352"/>
      <c r="H183" s="352"/>
      <c r="I183" s="352"/>
      <c r="J183" s="352"/>
      <c r="K183" s="352"/>
      <c r="L183" s="352"/>
      <c r="M183" s="352"/>
      <c r="N183" s="352"/>
      <c r="O183" s="352"/>
      <c r="P183" s="352"/>
      <c r="Q183" s="352"/>
      <c r="R183" s="352"/>
      <c r="S183" s="352"/>
      <c r="T183" s="352"/>
      <c r="U183" s="352"/>
      <c r="V183" s="352"/>
    </row>
    <row r="184">
      <c r="A184" s="352"/>
      <c r="B184" s="352"/>
      <c r="C184" s="352"/>
      <c r="D184" s="352"/>
      <c r="E184" s="352"/>
      <c r="F184" s="352"/>
      <c r="G184" s="352"/>
      <c r="H184" s="352"/>
      <c r="I184" s="352"/>
      <c r="J184" s="352"/>
      <c r="K184" s="352"/>
      <c r="L184" s="352"/>
      <c r="M184" s="352"/>
      <c r="N184" s="352"/>
      <c r="O184" s="352"/>
      <c r="P184" s="352"/>
      <c r="Q184" s="352"/>
      <c r="R184" s="352"/>
      <c r="S184" s="352"/>
      <c r="T184" s="352"/>
      <c r="U184" s="352"/>
      <c r="V184" s="352"/>
    </row>
    <row r="185">
      <c r="A185" s="352"/>
      <c r="B185" s="352"/>
      <c r="C185" s="352"/>
      <c r="D185" s="352"/>
      <c r="E185" s="352"/>
      <c r="F185" s="352"/>
      <c r="G185" s="352"/>
      <c r="H185" s="352"/>
      <c r="I185" s="352"/>
      <c r="J185" s="352"/>
      <c r="K185" s="352"/>
      <c r="L185" s="352"/>
      <c r="M185" s="352"/>
      <c r="N185" s="352"/>
      <c r="O185" s="352"/>
      <c r="P185" s="352"/>
      <c r="Q185" s="352"/>
      <c r="R185" s="352"/>
      <c r="S185" s="352"/>
      <c r="T185" s="352"/>
      <c r="U185" s="352"/>
      <c r="V185" s="352"/>
    </row>
    <row r="186">
      <c r="A186" s="352"/>
      <c r="B186" s="352"/>
      <c r="C186" s="352"/>
      <c r="D186" s="352"/>
      <c r="E186" s="352"/>
      <c r="F186" s="352"/>
      <c r="G186" s="352"/>
      <c r="H186" s="352"/>
      <c r="I186" s="352"/>
      <c r="J186" s="352"/>
      <c r="K186" s="352"/>
      <c r="L186" s="352"/>
      <c r="M186" s="352"/>
      <c r="N186" s="352"/>
      <c r="O186" s="352"/>
      <c r="P186" s="352"/>
      <c r="Q186" s="352"/>
      <c r="R186" s="352"/>
      <c r="S186" s="352"/>
      <c r="T186" s="352"/>
      <c r="U186" s="352"/>
      <c r="V186" s="352"/>
    </row>
    <row r="187">
      <c r="A187" s="352"/>
      <c r="B187" s="352"/>
      <c r="C187" s="352"/>
      <c r="D187" s="352"/>
      <c r="E187" s="352"/>
      <c r="F187" s="352"/>
      <c r="G187" s="352"/>
      <c r="H187" s="352"/>
      <c r="I187" s="352"/>
      <c r="J187" s="352"/>
      <c r="K187" s="352"/>
      <c r="L187" s="352"/>
      <c r="M187" s="352"/>
      <c r="N187" s="352"/>
      <c r="O187" s="352"/>
      <c r="P187" s="352"/>
      <c r="Q187" s="352"/>
      <c r="R187" s="352"/>
      <c r="S187" s="352"/>
      <c r="T187" s="352"/>
      <c r="U187" s="352"/>
      <c r="V187" s="352"/>
    </row>
    <row r="188">
      <c r="A188" s="352"/>
      <c r="B188" s="352"/>
      <c r="C188" s="352"/>
      <c r="D188" s="352"/>
      <c r="E188" s="352"/>
      <c r="F188" s="352"/>
      <c r="G188" s="352"/>
      <c r="H188" s="352"/>
      <c r="I188" s="352"/>
      <c r="J188" s="352"/>
      <c r="K188" s="352"/>
      <c r="L188" s="352"/>
      <c r="M188" s="352"/>
      <c r="N188" s="352"/>
      <c r="O188" s="352"/>
      <c r="P188" s="352"/>
      <c r="Q188" s="352"/>
      <c r="R188" s="352"/>
      <c r="S188" s="352"/>
      <c r="T188" s="352"/>
      <c r="U188" s="352"/>
      <c r="V188" s="352"/>
    </row>
    <row r="189">
      <c r="A189" s="352"/>
      <c r="B189" s="352"/>
      <c r="C189" s="352"/>
      <c r="D189" s="352"/>
      <c r="E189" s="352"/>
      <c r="F189" s="352"/>
      <c r="G189" s="352"/>
      <c r="H189" s="352"/>
      <c r="I189" s="352"/>
      <c r="J189" s="352"/>
      <c r="K189" s="352"/>
      <c r="L189" s="352"/>
      <c r="M189" s="352"/>
      <c r="N189" s="352"/>
      <c r="O189" s="352"/>
      <c r="P189" s="352"/>
      <c r="Q189" s="352"/>
      <c r="R189" s="352"/>
      <c r="S189" s="352"/>
      <c r="T189" s="352"/>
      <c r="U189" s="352"/>
      <c r="V189" s="352"/>
    </row>
    <row r="190">
      <c r="A190" s="352"/>
      <c r="B190" s="352"/>
      <c r="C190" s="352"/>
      <c r="D190" s="352"/>
      <c r="E190" s="352"/>
      <c r="F190" s="352"/>
      <c r="G190" s="352"/>
      <c r="H190" s="352"/>
      <c r="I190" s="352"/>
      <c r="J190" s="352"/>
      <c r="K190" s="352"/>
      <c r="L190" s="352"/>
      <c r="M190" s="352"/>
      <c r="N190" s="352"/>
      <c r="O190" s="352"/>
      <c r="P190" s="352"/>
      <c r="Q190" s="352"/>
      <c r="R190" s="352"/>
      <c r="S190" s="352"/>
      <c r="T190" s="352"/>
      <c r="U190" s="352"/>
      <c r="V190" s="352"/>
    </row>
    <row r="191">
      <c r="A191" s="352"/>
      <c r="B191" s="352"/>
      <c r="C191" s="352"/>
      <c r="D191" s="352"/>
      <c r="E191" s="352"/>
      <c r="F191" s="352"/>
      <c r="G191" s="352"/>
      <c r="H191" s="352"/>
      <c r="I191" s="352"/>
      <c r="J191" s="352"/>
      <c r="K191" s="352"/>
      <c r="L191" s="352"/>
      <c r="M191" s="352"/>
      <c r="N191" s="352"/>
      <c r="O191" s="352"/>
      <c r="P191" s="352"/>
      <c r="Q191" s="352"/>
      <c r="R191" s="352"/>
      <c r="S191" s="352"/>
      <c r="T191" s="352"/>
      <c r="U191" s="352"/>
      <c r="V191" s="352"/>
    </row>
    <row r="192">
      <c r="A192" s="352"/>
      <c r="B192" s="352"/>
      <c r="C192" s="352"/>
      <c r="D192" s="352"/>
      <c r="E192" s="352"/>
      <c r="F192" s="352"/>
      <c r="G192" s="352"/>
      <c r="H192" s="352"/>
      <c r="I192" s="352"/>
      <c r="J192" s="352"/>
      <c r="K192" s="352"/>
      <c r="L192" s="352"/>
      <c r="M192" s="352"/>
      <c r="N192" s="352"/>
      <c r="O192" s="352"/>
      <c r="P192" s="352"/>
      <c r="Q192" s="352"/>
      <c r="R192" s="352"/>
      <c r="S192" s="352"/>
      <c r="T192" s="352"/>
      <c r="U192" s="352"/>
      <c r="V192" s="352"/>
    </row>
    <row r="193">
      <c r="A193" s="352"/>
      <c r="B193" s="352"/>
      <c r="C193" s="352"/>
      <c r="D193" s="352"/>
      <c r="E193" s="352"/>
      <c r="F193" s="352"/>
      <c r="G193" s="352"/>
      <c r="H193" s="352"/>
      <c r="I193" s="352"/>
      <c r="J193" s="352"/>
      <c r="K193" s="352"/>
      <c r="L193" s="352"/>
      <c r="M193" s="352"/>
      <c r="N193" s="352"/>
      <c r="O193" s="352"/>
      <c r="P193" s="352"/>
      <c r="Q193" s="352"/>
      <c r="R193" s="352"/>
      <c r="S193" s="352"/>
      <c r="T193" s="352"/>
      <c r="U193" s="352"/>
      <c r="V193" s="352"/>
    </row>
    <row r="194">
      <c r="A194" s="352"/>
      <c r="B194" s="352"/>
      <c r="C194" s="352"/>
      <c r="D194" s="352"/>
      <c r="E194" s="352"/>
      <c r="F194" s="352"/>
      <c r="G194" s="352"/>
      <c r="H194" s="352"/>
      <c r="I194" s="352"/>
      <c r="J194" s="352"/>
      <c r="K194" s="352"/>
      <c r="L194" s="352"/>
      <c r="M194" s="352"/>
      <c r="N194" s="352"/>
      <c r="O194" s="352"/>
      <c r="P194" s="352"/>
      <c r="Q194" s="352"/>
      <c r="R194" s="352"/>
      <c r="S194" s="352"/>
      <c r="T194" s="352"/>
      <c r="U194" s="352"/>
      <c r="V194" s="352"/>
    </row>
    <row r="195">
      <c r="A195" s="352"/>
      <c r="B195" s="352"/>
      <c r="C195" s="352"/>
      <c r="D195" s="352"/>
      <c r="E195" s="352"/>
      <c r="F195" s="352"/>
      <c r="G195" s="352"/>
      <c r="H195" s="352"/>
      <c r="I195" s="352"/>
      <c r="J195" s="352"/>
      <c r="K195" s="352"/>
      <c r="L195" s="352"/>
      <c r="M195" s="352"/>
      <c r="N195" s="352"/>
      <c r="O195" s="352"/>
      <c r="P195" s="352"/>
      <c r="Q195" s="352"/>
      <c r="R195" s="352"/>
      <c r="S195" s="352"/>
      <c r="T195" s="352"/>
      <c r="U195" s="352"/>
      <c r="V195" s="352"/>
    </row>
    <row r="196">
      <c r="A196" s="352"/>
      <c r="B196" s="352"/>
      <c r="C196" s="352"/>
      <c r="D196" s="352"/>
      <c r="E196" s="352"/>
      <c r="F196" s="352"/>
      <c r="G196" s="352"/>
      <c r="H196" s="352"/>
      <c r="I196" s="352"/>
      <c r="J196" s="352"/>
      <c r="K196" s="352"/>
      <c r="L196" s="352"/>
      <c r="M196" s="352"/>
      <c r="N196" s="352"/>
      <c r="O196" s="352"/>
      <c r="P196" s="352"/>
      <c r="Q196" s="352"/>
      <c r="R196" s="352"/>
      <c r="S196" s="352"/>
      <c r="T196" s="352"/>
      <c r="U196" s="352"/>
      <c r="V196" s="352"/>
    </row>
    <row r="197">
      <c r="A197" s="352"/>
      <c r="B197" s="352"/>
      <c r="C197" s="352"/>
      <c r="D197" s="352"/>
      <c r="E197" s="352"/>
      <c r="F197" s="352"/>
      <c r="G197" s="352"/>
      <c r="H197" s="352"/>
      <c r="I197" s="352"/>
      <c r="J197" s="352"/>
      <c r="K197" s="352"/>
      <c r="L197" s="352"/>
      <c r="M197" s="352"/>
      <c r="N197" s="352"/>
      <c r="O197" s="352"/>
      <c r="P197" s="352"/>
      <c r="Q197" s="352"/>
      <c r="R197" s="352"/>
      <c r="S197" s="352"/>
      <c r="T197" s="352"/>
      <c r="U197" s="352"/>
      <c r="V197" s="352"/>
    </row>
    <row r="198">
      <c r="A198" s="352"/>
      <c r="B198" s="352"/>
      <c r="C198" s="352"/>
      <c r="D198" s="352"/>
      <c r="E198" s="352"/>
      <c r="F198" s="352"/>
      <c r="G198" s="352"/>
      <c r="H198" s="352"/>
      <c r="I198" s="352"/>
      <c r="J198" s="352"/>
      <c r="K198" s="352"/>
      <c r="L198" s="352"/>
      <c r="M198" s="352"/>
      <c r="N198" s="352"/>
      <c r="O198" s="352"/>
      <c r="P198" s="352"/>
      <c r="Q198" s="352"/>
      <c r="R198" s="352"/>
      <c r="S198" s="352"/>
      <c r="T198" s="352"/>
      <c r="U198" s="352"/>
      <c r="V198" s="352"/>
    </row>
    <row r="199">
      <c r="A199" s="352"/>
      <c r="B199" s="352"/>
      <c r="C199" s="352"/>
      <c r="D199" s="352"/>
      <c r="E199" s="352"/>
      <c r="F199" s="352"/>
      <c r="G199" s="352"/>
      <c r="H199" s="352"/>
      <c r="I199" s="352"/>
      <c r="J199" s="352"/>
      <c r="K199" s="352"/>
      <c r="L199" s="352"/>
      <c r="M199" s="352"/>
      <c r="N199" s="352"/>
      <c r="O199" s="352"/>
      <c r="P199" s="352"/>
      <c r="Q199" s="352"/>
      <c r="R199" s="352"/>
      <c r="S199" s="352"/>
      <c r="T199" s="352"/>
      <c r="U199" s="352"/>
      <c r="V199" s="352"/>
    </row>
    <row r="200">
      <c r="A200" s="352"/>
      <c r="B200" s="352"/>
      <c r="C200" s="352"/>
      <c r="D200" s="352"/>
      <c r="E200" s="352"/>
      <c r="F200" s="352"/>
      <c r="G200" s="352"/>
      <c r="H200" s="352"/>
      <c r="I200" s="352"/>
      <c r="J200" s="352"/>
      <c r="K200" s="352"/>
      <c r="L200" s="352"/>
      <c r="M200" s="352"/>
      <c r="N200" s="352"/>
      <c r="O200" s="352"/>
      <c r="P200" s="352"/>
      <c r="Q200" s="352"/>
      <c r="R200" s="352"/>
      <c r="S200" s="352"/>
      <c r="T200" s="352"/>
      <c r="U200" s="352"/>
      <c r="V200" s="352"/>
    </row>
    <row r="201">
      <c r="A201" s="352"/>
      <c r="B201" s="352"/>
      <c r="C201" s="352"/>
      <c r="D201" s="352"/>
      <c r="E201" s="352"/>
      <c r="F201" s="352"/>
      <c r="G201" s="352"/>
      <c r="H201" s="352"/>
      <c r="I201" s="352"/>
      <c r="J201" s="352"/>
      <c r="K201" s="352"/>
      <c r="L201" s="352"/>
      <c r="M201" s="352"/>
      <c r="N201" s="352"/>
      <c r="O201" s="352"/>
      <c r="P201" s="352"/>
      <c r="Q201" s="352"/>
      <c r="R201" s="352"/>
      <c r="S201" s="352"/>
      <c r="T201" s="352"/>
      <c r="U201" s="352"/>
      <c r="V201" s="352"/>
    </row>
    <row r="202">
      <c r="A202" s="352"/>
      <c r="B202" s="352"/>
      <c r="C202" s="352"/>
      <c r="D202" s="352"/>
      <c r="E202" s="352"/>
      <c r="F202" s="352"/>
      <c r="G202" s="352"/>
      <c r="H202" s="352"/>
      <c r="I202" s="352"/>
      <c r="J202" s="352"/>
      <c r="K202" s="352"/>
      <c r="L202" s="352"/>
      <c r="M202" s="352"/>
      <c r="N202" s="352"/>
      <c r="O202" s="352"/>
      <c r="P202" s="352"/>
      <c r="Q202" s="352"/>
      <c r="R202" s="352"/>
      <c r="S202" s="352"/>
      <c r="T202" s="352"/>
      <c r="U202" s="352"/>
      <c r="V202" s="352"/>
    </row>
    <row r="203">
      <c r="A203" s="352"/>
      <c r="B203" s="352"/>
      <c r="C203" s="352"/>
      <c r="D203" s="352"/>
      <c r="E203" s="352"/>
      <c r="F203" s="352"/>
      <c r="G203" s="352"/>
      <c r="H203" s="352"/>
      <c r="I203" s="352"/>
      <c r="J203" s="352"/>
      <c r="K203" s="352"/>
      <c r="L203" s="352"/>
      <c r="M203" s="352"/>
      <c r="N203" s="352"/>
      <c r="O203" s="352"/>
      <c r="P203" s="352"/>
      <c r="Q203" s="352"/>
      <c r="R203" s="352"/>
      <c r="S203" s="352"/>
      <c r="T203" s="352"/>
      <c r="U203" s="352"/>
      <c r="V203" s="352"/>
    </row>
    <row r="204">
      <c r="A204" s="352"/>
      <c r="B204" s="352"/>
      <c r="C204" s="352"/>
      <c r="D204" s="352"/>
      <c r="E204" s="352"/>
      <c r="F204" s="352"/>
      <c r="G204" s="352"/>
      <c r="H204" s="352"/>
      <c r="I204" s="352"/>
      <c r="J204" s="352"/>
      <c r="K204" s="352"/>
      <c r="L204" s="352"/>
      <c r="M204" s="352"/>
      <c r="N204" s="352"/>
      <c r="O204" s="352"/>
      <c r="P204" s="352"/>
      <c r="Q204" s="352"/>
      <c r="R204" s="352"/>
      <c r="S204" s="352"/>
      <c r="T204" s="352"/>
      <c r="U204" s="352"/>
      <c r="V204" s="352"/>
    </row>
    <row r="205">
      <c r="A205" s="352"/>
      <c r="B205" s="352"/>
      <c r="C205" s="352"/>
      <c r="D205" s="352"/>
      <c r="E205" s="352"/>
      <c r="F205" s="352"/>
      <c r="G205" s="352"/>
      <c r="H205" s="352"/>
      <c r="I205" s="352"/>
      <c r="J205" s="352"/>
      <c r="K205" s="352"/>
      <c r="L205" s="352"/>
      <c r="M205" s="352"/>
      <c r="N205" s="352"/>
      <c r="O205" s="352"/>
      <c r="P205" s="352"/>
      <c r="Q205" s="352"/>
      <c r="R205" s="352"/>
      <c r="S205" s="352"/>
      <c r="T205" s="352"/>
      <c r="U205" s="352"/>
      <c r="V205" s="352"/>
    </row>
    <row r="206">
      <c r="A206" s="352"/>
      <c r="B206" s="352"/>
      <c r="C206" s="352"/>
      <c r="D206" s="352"/>
      <c r="E206" s="352"/>
      <c r="F206" s="352"/>
      <c r="G206" s="352"/>
      <c r="H206" s="352"/>
      <c r="I206" s="352"/>
      <c r="J206" s="352"/>
      <c r="K206" s="352"/>
      <c r="L206" s="352"/>
      <c r="M206" s="352"/>
      <c r="N206" s="352"/>
      <c r="O206" s="352"/>
      <c r="P206" s="352"/>
      <c r="Q206" s="352"/>
      <c r="R206" s="352"/>
      <c r="S206" s="352"/>
      <c r="T206" s="352"/>
      <c r="U206" s="352"/>
      <c r="V206" s="352"/>
    </row>
    <row r="207">
      <c r="A207" s="352"/>
      <c r="B207" s="352"/>
      <c r="C207" s="352"/>
      <c r="D207" s="352"/>
      <c r="E207" s="352"/>
      <c r="F207" s="352"/>
      <c r="G207" s="352"/>
      <c r="H207" s="352"/>
      <c r="I207" s="352"/>
      <c r="J207" s="352"/>
      <c r="K207" s="352"/>
      <c r="L207" s="352"/>
      <c r="M207" s="352"/>
      <c r="N207" s="352"/>
      <c r="O207" s="352"/>
      <c r="P207" s="352"/>
      <c r="Q207" s="352"/>
      <c r="R207" s="352"/>
      <c r="S207" s="352"/>
      <c r="T207" s="352"/>
      <c r="U207" s="352"/>
      <c r="V207" s="352"/>
    </row>
    <row r="208">
      <c r="A208" s="352"/>
      <c r="B208" s="352"/>
      <c r="C208" s="352"/>
      <c r="D208" s="352"/>
      <c r="E208" s="352"/>
      <c r="F208" s="352"/>
      <c r="G208" s="352"/>
      <c r="H208" s="352"/>
      <c r="I208" s="352"/>
      <c r="J208" s="352"/>
      <c r="K208" s="352"/>
      <c r="L208" s="352"/>
      <c r="M208" s="352"/>
      <c r="N208" s="352"/>
      <c r="O208" s="352"/>
      <c r="P208" s="352"/>
      <c r="Q208" s="352"/>
      <c r="R208" s="352"/>
      <c r="S208" s="352"/>
      <c r="T208" s="352"/>
      <c r="U208" s="352"/>
      <c r="V208" s="352"/>
    </row>
    <row r="209">
      <c r="A209" s="352"/>
      <c r="B209" s="352"/>
      <c r="C209" s="352"/>
      <c r="D209" s="352"/>
      <c r="E209" s="352"/>
      <c r="F209" s="352"/>
      <c r="G209" s="352"/>
      <c r="H209" s="352"/>
      <c r="I209" s="352"/>
      <c r="J209" s="352"/>
      <c r="K209" s="352"/>
      <c r="L209" s="352"/>
      <c r="M209" s="352"/>
      <c r="N209" s="352"/>
      <c r="O209" s="352"/>
      <c r="P209" s="352"/>
      <c r="Q209" s="352"/>
      <c r="R209" s="352"/>
      <c r="S209" s="352"/>
      <c r="T209" s="352"/>
      <c r="U209" s="352"/>
      <c r="V209" s="352"/>
    </row>
    <row r="210">
      <c r="A210" s="352"/>
      <c r="B210" s="352"/>
      <c r="C210" s="352"/>
      <c r="D210" s="352"/>
      <c r="E210" s="352"/>
      <c r="F210" s="352"/>
      <c r="G210" s="352"/>
      <c r="H210" s="352"/>
      <c r="I210" s="352"/>
      <c r="J210" s="352"/>
      <c r="K210" s="352"/>
      <c r="L210" s="352"/>
      <c r="M210" s="352"/>
      <c r="N210" s="352"/>
      <c r="O210" s="352"/>
      <c r="P210" s="352"/>
      <c r="Q210" s="352"/>
      <c r="R210" s="352"/>
      <c r="S210" s="352"/>
      <c r="T210" s="352"/>
      <c r="U210" s="352"/>
      <c r="V210" s="352"/>
    </row>
    <row r="211">
      <c r="A211" s="352"/>
      <c r="B211" s="352"/>
      <c r="C211" s="352"/>
      <c r="D211" s="352"/>
      <c r="E211" s="352"/>
      <c r="F211" s="352"/>
      <c r="G211" s="352"/>
      <c r="H211" s="352"/>
      <c r="I211" s="352"/>
      <c r="J211" s="352"/>
      <c r="K211" s="352"/>
      <c r="L211" s="352"/>
      <c r="M211" s="352"/>
      <c r="N211" s="352"/>
      <c r="O211" s="352"/>
      <c r="P211" s="352"/>
      <c r="Q211" s="352"/>
      <c r="R211" s="352"/>
      <c r="S211" s="352"/>
      <c r="T211" s="352"/>
      <c r="U211" s="352"/>
      <c r="V211" s="352"/>
    </row>
    <row r="212">
      <c r="A212" s="352"/>
      <c r="B212" s="352"/>
      <c r="C212" s="352"/>
      <c r="D212" s="352"/>
      <c r="E212" s="352"/>
      <c r="F212" s="352"/>
      <c r="G212" s="352"/>
      <c r="H212" s="352"/>
      <c r="I212" s="352"/>
      <c r="J212" s="352"/>
      <c r="K212" s="352"/>
      <c r="L212" s="352"/>
      <c r="M212" s="352"/>
      <c r="N212" s="352"/>
      <c r="O212" s="352"/>
      <c r="P212" s="352"/>
      <c r="Q212" s="352"/>
      <c r="R212" s="352"/>
      <c r="S212" s="352"/>
      <c r="T212" s="352"/>
      <c r="U212" s="352"/>
      <c r="V212" s="352"/>
    </row>
    <row r="213">
      <c r="A213" s="352"/>
      <c r="B213" s="352"/>
      <c r="C213" s="352"/>
      <c r="D213" s="352"/>
      <c r="E213" s="352"/>
      <c r="F213" s="352"/>
      <c r="G213" s="352"/>
      <c r="H213" s="352"/>
      <c r="I213" s="352"/>
      <c r="J213" s="352"/>
      <c r="K213" s="352"/>
      <c r="L213" s="352"/>
      <c r="M213" s="352"/>
      <c r="N213" s="352"/>
      <c r="O213" s="352"/>
      <c r="P213" s="352"/>
      <c r="Q213" s="352"/>
      <c r="R213" s="352"/>
      <c r="S213" s="352"/>
      <c r="T213" s="352"/>
      <c r="U213" s="352"/>
      <c r="V213" s="352"/>
    </row>
    <row r="214">
      <c r="A214" s="352"/>
      <c r="B214" s="352"/>
      <c r="C214" s="352"/>
      <c r="D214" s="352"/>
      <c r="E214" s="352"/>
      <c r="F214" s="352"/>
      <c r="G214" s="352"/>
      <c r="H214" s="352"/>
      <c r="I214" s="352"/>
      <c r="J214" s="352"/>
      <c r="K214" s="352"/>
      <c r="L214" s="352"/>
      <c r="M214" s="352"/>
      <c r="N214" s="352"/>
      <c r="O214" s="352"/>
      <c r="P214" s="352"/>
      <c r="Q214" s="352"/>
      <c r="R214" s="352"/>
      <c r="S214" s="352"/>
      <c r="T214" s="352"/>
      <c r="U214" s="352"/>
      <c r="V214" s="352"/>
    </row>
    <row r="215">
      <c r="A215" s="352"/>
      <c r="B215" s="352"/>
      <c r="C215" s="352"/>
      <c r="D215" s="352"/>
      <c r="E215" s="352"/>
      <c r="F215" s="352"/>
      <c r="G215" s="352"/>
      <c r="H215" s="352"/>
      <c r="I215" s="352"/>
      <c r="J215" s="352"/>
      <c r="K215" s="352"/>
      <c r="L215" s="352"/>
      <c r="M215" s="352"/>
      <c r="N215" s="352"/>
      <c r="O215" s="352"/>
      <c r="P215" s="352"/>
      <c r="Q215" s="352"/>
      <c r="R215" s="352"/>
      <c r="S215" s="352"/>
      <c r="T215" s="352"/>
      <c r="U215" s="352"/>
      <c r="V215" s="352"/>
    </row>
    <row r="216">
      <c r="A216" s="352"/>
      <c r="B216" s="352"/>
      <c r="C216" s="352"/>
      <c r="D216" s="352"/>
      <c r="E216" s="352"/>
      <c r="F216" s="352"/>
      <c r="G216" s="352"/>
      <c r="H216" s="352"/>
      <c r="I216" s="352"/>
      <c r="J216" s="352"/>
      <c r="K216" s="352"/>
      <c r="L216" s="352"/>
      <c r="M216" s="352"/>
      <c r="N216" s="352"/>
      <c r="O216" s="352"/>
      <c r="P216" s="352"/>
      <c r="Q216" s="352"/>
      <c r="R216" s="352"/>
      <c r="S216" s="352"/>
      <c r="T216" s="352"/>
      <c r="U216" s="352"/>
      <c r="V216" s="352"/>
    </row>
    <row r="217">
      <c r="A217" s="352"/>
      <c r="B217" s="352"/>
      <c r="C217" s="352"/>
      <c r="D217" s="352"/>
      <c r="E217" s="352"/>
      <c r="F217" s="352"/>
      <c r="G217" s="352"/>
      <c r="H217" s="352"/>
      <c r="I217" s="352"/>
      <c r="J217" s="352"/>
      <c r="K217" s="352"/>
      <c r="L217" s="352"/>
      <c r="M217" s="352"/>
      <c r="N217" s="352"/>
      <c r="O217" s="352"/>
      <c r="P217" s="352"/>
      <c r="Q217" s="352"/>
      <c r="R217" s="352"/>
      <c r="S217" s="352"/>
      <c r="T217" s="352"/>
      <c r="U217" s="352"/>
      <c r="V217" s="352"/>
    </row>
    <row r="218">
      <c r="A218" s="352"/>
      <c r="B218" s="352"/>
      <c r="C218" s="352"/>
      <c r="D218" s="352"/>
      <c r="E218" s="352"/>
      <c r="F218" s="352"/>
      <c r="G218" s="352"/>
      <c r="H218" s="352"/>
      <c r="I218" s="352"/>
      <c r="J218" s="352"/>
      <c r="K218" s="352"/>
      <c r="L218" s="352"/>
      <c r="M218" s="352"/>
      <c r="N218" s="352"/>
      <c r="O218" s="352"/>
      <c r="P218" s="352"/>
      <c r="Q218" s="352"/>
      <c r="R218" s="352"/>
      <c r="S218" s="352"/>
      <c r="T218" s="352"/>
      <c r="U218" s="352"/>
      <c r="V218" s="352"/>
    </row>
    <row r="219">
      <c r="A219" s="352"/>
      <c r="B219" s="352"/>
      <c r="C219" s="352"/>
      <c r="D219" s="352"/>
      <c r="E219" s="352"/>
      <c r="F219" s="352"/>
      <c r="G219" s="352"/>
      <c r="H219" s="352"/>
      <c r="I219" s="352"/>
      <c r="J219" s="352"/>
      <c r="K219" s="352"/>
      <c r="L219" s="352"/>
      <c r="M219" s="352"/>
      <c r="N219" s="352"/>
      <c r="O219" s="352"/>
      <c r="P219" s="352"/>
      <c r="Q219" s="352"/>
      <c r="R219" s="352"/>
      <c r="S219" s="352"/>
      <c r="T219" s="352"/>
      <c r="U219" s="352"/>
      <c r="V219" s="352"/>
    </row>
    <row r="220">
      <c r="A220" s="352"/>
      <c r="B220" s="352"/>
      <c r="C220" s="352"/>
      <c r="D220" s="352"/>
      <c r="E220" s="352"/>
      <c r="F220" s="352"/>
      <c r="G220" s="352"/>
      <c r="H220" s="352"/>
      <c r="I220" s="352"/>
      <c r="J220" s="352"/>
      <c r="K220" s="352"/>
      <c r="L220" s="352"/>
      <c r="M220" s="352"/>
      <c r="N220" s="352"/>
      <c r="O220" s="352"/>
      <c r="P220" s="352"/>
      <c r="Q220" s="352"/>
      <c r="R220" s="352"/>
      <c r="S220" s="352"/>
      <c r="T220" s="352"/>
      <c r="U220" s="352"/>
      <c r="V220" s="352"/>
    </row>
    <row r="221">
      <c r="A221" s="352"/>
      <c r="B221" s="352"/>
      <c r="C221" s="352"/>
      <c r="D221" s="352"/>
      <c r="E221" s="352"/>
      <c r="F221" s="352"/>
      <c r="G221" s="352"/>
      <c r="H221" s="352"/>
      <c r="I221" s="352"/>
      <c r="J221" s="352"/>
      <c r="K221" s="352"/>
      <c r="L221" s="352"/>
      <c r="M221" s="352"/>
      <c r="N221" s="352"/>
      <c r="O221" s="352"/>
      <c r="P221" s="352"/>
      <c r="Q221" s="352"/>
      <c r="R221" s="352"/>
      <c r="S221" s="352"/>
      <c r="T221" s="352"/>
      <c r="U221" s="352"/>
      <c r="V221" s="352"/>
    </row>
    <row r="222">
      <c r="A222" s="352"/>
      <c r="B222" s="352"/>
      <c r="C222" s="352"/>
      <c r="D222" s="352"/>
      <c r="E222" s="352"/>
      <c r="F222" s="352"/>
      <c r="G222" s="352"/>
      <c r="H222" s="352"/>
      <c r="I222" s="352"/>
      <c r="J222" s="352"/>
      <c r="K222" s="352"/>
      <c r="L222" s="352"/>
      <c r="M222" s="352"/>
      <c r="N222" s="352"/>
      <c r="O222" s="352"/>
      <c r="P222" s="352"/>
      <c r="Q222" s="352"/>
      <c r="R222" s="352"/>
      <c r="S222" s="352"/>
      <c r="T222" s="352"/>
      <c r="U222" s="352"/>
      <c r="V222" s="352"/>
    </row>
    <row r="223">
      <c r="A223" s="352"/>
      <c r="B223" s="352"/>
      <c r="C223" s="352"/>
      <c r="D223" s="352"/>
      <c r="E223" s="352"/>
      <c r="F223" s="352"/>
      <c r="G223" s="352"/>
      <c r="H223" s="352"/>
      <c r="I223" s="352"/>
      <c r="J223" s="352"/>
      <c r="K223" s="352"/>
      <c r="L223" s="352"/>
      <c r="M223" s="352"/>
      <c r="N223" s="352"/>
      <c r="O223" s="352"/>
      <c r="P223" s="352"/>
      <c r="Q223" s="352"/>
      <c r="R223" s="352"/>
      <c r="S223" s="352"/>
      <c r="T223" s="352"/>
      <c r="U223" s="352"/>
      <c r="V223" s="352"/>
    </row>
    <row r="224">
      <c r="A224" s="352"/>
      <c r="B224" s="352"/>
      <c r="C224" s="352"/>
      <c r="D224" s="352"/>
      <c r="E224" s="352"/>
      <c r="F224" s="352"/>
      <c r="G224" s="352"/>
      <c r="H224" s="352"/>
      <c r="I224" s="352"/>
      <c r="J224" s="352"/>
      <c r="K224" s="352"/>
      <c r="L224" s="352"/>
      <c r="M224" s="352"/>
      <c r="N224" s="352"/>
      <c r="O224" s="352"/>
      <c r="P224" s="352"/>
      <c r="Q224" s="352"/>
      <c r="R224" s="352"/>
      <c r="S224" s="352"/>
      <c r="T224" s="352"/>
      <c r="U224" s="352"/>
      <c r="V224" s="352"/>
    </row>
    <row r="225">
      <c r="A225" s="352"/>
      <c r="B225" s="352"/>
      <c r="C225" s="352"/>
      <c r="D225" s="352"/>
      <c r="E225" s="352"/>
      <c r="F225" s="352"/>
      <c r="G225" s="352"/>
      <c r="H225" s="352"/>
      <c r="I225" s="352"/>
      <c r="J225" s="352"/>
      <c r="K225" s="352"/>
      <c r="L225" s="352"/>
      <c r="M225" s="352"/>
      <c r="N225" s="352"/>
      <c r="O225" s="352"/>
      <c r="P225" s="352"/>
      <c r="Q225" s="352"/>
      <c r="R225" s="352"/>
      <c r="S225" s="352"/>
      <c r="T225" s="352"/>
      <c r="U225" s="352"/>
      <c r="V225" s="352"/>
    </row>
    <row r="226">
      <c r="A226" s="352"/>
      <c r="B226" s="352"/>
      <c r="C226" s="352"/>
      <c r="D226" s="352"/>
      <c r="E226" s="352"/>
      <c r="F226" s="352"/>
      <c r="G226" s="352"/>
      <c r="H226" s="352"/>
      <c r="I226" s="352"/>
      <c r="J226" s="352"/>
      <c r="K226" s="352"/>
      <c r="L226" s="352"/>
      <c r="M226" s="352"/>
      <c r="N226" s="352"/>
      <c r="O226" s="352"/>
      <c r="P226" s="352"/>
      <c r="Q226" s="352"/>
      <c r="R226" s="352"/>
      <c r="S226" s="352"/>
      <c r="T226" s="352"/>
      <c r="U226" s="352"/>
      <c r="V226" s="352"/>
    </row>
    <row r="227">
      <c r="A227" s="352"/>
      <c r="B227" s="352"/>
      <c r="C227" s="352"/>
      <c r="D227" s="352"/>
      <c r="E227" s="352"/>
      <c r="F227" s="352"/>
      <c r="G227" s="352"/>
      <c r="H227" s="352"/>
      <c r="I227" s="352"/>
      <c r="J227" s="352"/>
      <c r="K227" s="352"/>
      <c r="L227" s="352"/>
      <c r="M227" s="352"/>
      <c r="N227" s="352"/>
      <c r="O227" s="352"/>
      <c r="P227" s="352"/>
      <c r="Q227" s="352"/>
      <c r="R227" s="352"/>
      <c r="S227" s="352"/>
      <c r="T227" s="352"/>
      <c r="U227" s="352"/>
      <c r="V227" s="352"/>
    </row>
    <row r="228">
      <c r="A228" s="352"/>
      <c r="B228" s="352"/>
      <c r="C228" s="352"/>
      <c r="D228" s="352"/>
      <c r="E228" s="352"/>
      <c r="F228" s="352"/>
      <c r="G228" s="352"/>
      <c r="H228" s="352"/>
      <c r="I228" s="352"/>
      <c r="J228" s="352"/>
      <c r="K228" s="352"/>
      <c r="L228" s="352"/>
      <c r="M228" s="352"/>
      <c r="N228" s="352"/>
      <c r="O228" s="352"/>
      <c r="P228" s="352"/>
      <c r="Q228" s="352"/>
      <c r="R228" s="352"/>
      <c r="S228" s="352"/>
      <c r="T228" s="352"/>
      <c r="U228" s="352"/>
      <c r="V228" s="352"/>
    </row>
    <row r="229">
      <c r="A229" s="352"/>
      <c r="B229" s="352"/>
      <c r="C229" s="352"/>
      <c r="D229" s="352"/>
      <c r="E229" s="352"/>
      <c r="F229" s="352"/>
      <c r="G229" s="352"/>
      <c r="H229" s="352"/>
      <c r="I229" s="352"/>
      <c r="J229" s="352"/>
      <c r="K229" s="352"/>
      <c r="L229" s="352"/>
      <c r="M229" s="352"/>
      <c r="N229" s="352"/>
      <c r="O229" s="352"/>
      <c r="P229" s="352"/>
      <c r="Q229" s="352"/>
      <c r="R229" s="352"/>
      <c r="S229" s="352"/>
      <c r="T229" s="352"/>
      <c r="U229" s="352"/>
      <c r="V229" s="352"/>
    </row>
    <row r="230">
      <c r="A230" s="352"/>
      <c r="B230" s="352"/>
      <c r="C230" s="352"/>
      <c r="D230" s="352"/>
      <c r="E230" s="352"/>
      <c r="F230" s="352"/>
      <c r="G230" s="352"/>
      <c r="H230" s="352"/>
      <c r="I230" s="352"/>
      <c r="J230" s="352"/>
      <c r="K230" s="352"/>
      <c r="L230" s="352"/>
      <c r="M230" s="352"/>
      <c r="N230" s="352"/>
      <c r="O230" s="352"/>
      <c r="P230" s="352"/>
      <c r="Q230" s="352"/>
      <c r="R230" s="352"/>
      <c r="S230" s="352"/>
      <c r="T230" s="352"/>
      <c r="U230" s="352"/>
      <c r="V230" s="352"/>
    </row>
    <row r="231">
      <c r="A231" s="352"/>
      <c r="B231" s="352"/>
      <c r="C231" s="352"/>
      <c r="D231" s="352"/>
      <c r="E231" s="352"/>
      <c r="F231" s="352"/>
      <c r="G231" s="352"/>
      <c r="H231" s="352"/>
      <c r="I231" s="352"/>
      <c r="J231" s="352"/>
      <c r="K231" s="352"/>
      <c r="L231" s="352"/>
      <c r="M231" s="352"/>
      <c r="N231" s="352"/>
      <c r="O231" s="352"/>
      <c r="P231" s="352"/>
      <c r="Q231" s="352"/>
      <c r="R231" s="352"/>
      <c r="S231" s="352"/>
      <c r="T231" s="352"/>
      <c r="U231" s="352"/>
      <c r="V231" s="352"/>
    </row>
    <row r="232">
      <c r="A232" s="352"/>
      <c r="B232" s="352"/>
      <c r="C232" s="352"/>
      <c r="D232" s="352"/>
      <c r="E232" s="352"/>
      <c r="F232" s="352"/>
      <c r="G232" s="352"/>
      <c r="H232" s="352"/>
      <c r="I232" s="352"/>
      <c r="J232" s="352"/>
      <c r="K232" s="352"/>
      <c r="L232" s="352"/>
      <c r="M232" s="352"/>
      <c r="N232" s="352"/>
      <c r="O232" s="352"/>
      <c r="P232" s="352"/>
      <c r="Q232" s="352"/>
      <c r="R232" s="352"/>
      <c r="S232" s="352"/>
      <c r="T232" s="352"/>
      <c r="U232" s="352"/>
      <c r="V232" s="352"/>
    </row>
    <row r="233">
      <c r="A233" s="352"/>
      <c r="B233" s="352"/>
      <c r="C233" s="352"/>
      <c r="D233" s="352"/>
      <c r="E233" s="352"/>
      <c r="F233" s="352"/>
      <c r="G233" s="352"/>
      <c r="H233" s="352"/>
      <c r="I233" s="352"/>
      <c r="J233" s="352"/>
      <c r="K233" s="352"/>
      <c r="L233" s="352"/>
      <c r="M233" s="352"/>
      <c r="N233" s="352"/>
      <c r="O233" s="352"/>
      <c r="P233" s="352"/>
      <c r="Q233" s="352"/>
      <c r="R233" s="352"/>
      <c r="S233" s="352"/>
      <c r="T233" s="352"/>
      <c r="U233" s="352"/>
      <c r="V233" s="352"/>
    </row>
    <row r="234">
      <c r="A234" s="352"/>
      <c r="B234" s="352"/>
      <c r="C234" s="352"/>
      <c r="D234" s="352"/>
      <c r="E234" s="352"/>
      <c r="F234" s="352"/>
      <c r="G234" s="352"/>
      <c r="H234" s="352"/>
      <c r="I234" s="352"/>
      <c r="J234" s="352"/>
      <c r="K234" s="352"/>
      <c r="L234" s="352"/>
      <c r="M234" s="352"/>
      <c r="N234" s="352"/>
      <c r="O234" s="352"/>
      <c r="P234" s="352"/>
      <c r="Q234" s="352"/>
      <c r="R234" s="352"/>
      <c r="S234" s="352"/>
      <c r="T234" s="352"/>
      <c r="U234" s="352"/>
      <c r="V234" s="352"/>
    </row>
    <row r="235">
      <c r="A235" s="352"/>
      <c r="B235" s="352"/>
      <c r="C235" s="352"/>
      <c r="D235" s="352"/>
      <c r="E235" s="352"/>
      <c r="F235" s="352"/>
      <c r="G235" s="352"/>
      <c r="H235" s="352"/>
      <c r="I235" s="352"/>
      <c r="J235" s="352"/>
      <c r="K235" s="352"/>
      <c r="L235" s="352"/>
      <c r="M235" s="352"/>
      <c r="N235" s="352"/>
      <c r="O235" s="352"/>
      <c r="P235" s="352"/>
      <c r="Q235" s="352"/>
      <c r="R235" s="352"/>
      <c r="S235" s="352"/>
      <c r="T235" s="352"/>
      <c r="U235" s="352"/>
      <c r="V235" s="352"/>
    </row>
    <row r="236">
      <c r="A236" s="352"/>
      <c r="B236" s="352"/>
      <c r="C236" s="352"/>
      <c r="D236" s="352"/>
      <c r="E236" s="352"/>
      <c r="F236" s="352"/>
      <c r="G236" s="352"/>
      <c r="H236" s="352"/>
      <c r="I236" s="352"/>
      <c r="J236" s="352"/>
      <c r="K236" s="352"/>
      <c r="L236" s="352"/>
      <c r="M236" s="352"/>
      <c r="N236" s="352"/>
      <c r="O236" s="352"/>
      <c r="P236" s="352"/>
      <c r="Q236" s="352"/>
      <c r="R236" s="352"/>
      <c r="S236" s="352"/>
      <c r="T236" s="352"/>
      <c r="U236" s="352"/>
      <c r="V236" s="352"/>
    </row>
    <row r="237">
      <c r="A237" s="352"/>
      <c r="B237" s="352"/>
      <c r="C237" s="352"/>
      <c r="D237" s="352"/>
      <c r="E237" s="352"/>
      <c r="F237" s="352"/>
      <c r="G237" s="352"/>
      <c r="H237" s="352"/>
      <c r="I237" s="352"/>
      <c r="J237" s="352"/>
      <c r="K237" s="352"/>
      <c r="L237" s="352"/>
      <c r="M237" s="352"/>
      <c r="N237" s="352"/>
      <c r="O237" s="352"/>
      <c r="P237" s="352"/>
      <c r="Q237" s="352"/>
      <c r="R237" s="352"/>
      <c r="S237" s="352"/>
      <c r="T237" s="352"/>
      <c r="U237" s="352"/>
      <c r="V237" s="352"/>
    </row>
    <row r="238">
      <c r="A238" s="352"/>
      <c r="B238" s="352"/>
      <c r="C238" s="352"/>
      <c r="D238" s="352"/>
      <c r="E238" s="352"/>
      <c r="F238" s="352"/>
      <c r="G238" s="352"/>
      <c r="H238" s="352"/>
      <c r="I238" s="352"/>
      <c r="J238" s="352"/>
      <c r="K238" s="352"/>
      <c r="L238" s="352"/>
      <c r="M238" s="352"/>
      <c r="N238" s="352"/>
      <c r="O238" s="352"/>
      <c r="P238" s="352"/>
      <c r="Q238" s="352"/>
      <c r="R238" s="352"/>
      <c r="S238" s="352"/>
      <c r="T238" s="352"/>
      <c r="U238" s="352"/>
      <c r="V238" s="352"/>
    </row>
    <row r="239">
      <c r="A239" s="352"/>
      <c r="B239" s="352"/>
      <c r="C239" s="352"/>
      <c r="D239" s="352"/>
      <c r="E239" s="352"/>
      <c r="F239" s="352"/>
      <c r="G239" s="352"/>
      <c r="H239" s="352"/>
      <c r="I239" s="352"/>
      <c r="J239" s="352"/>
      <c r="K239" s="352"/>
      <c r="L239" s="352"/>
      <c r="M239" s="352"/>
      <c r="N239" s="352"/>
      <c r="O239" s="352"/>
      <c r="P239" s="352"/>
      <c r="Q239" s="352"/>
      <c r="R239" s="352"/>
      <c r="S239" s="352"/>
      <c r="T239" s="352"/>
      <c r="U239" s="352"/>
      <c r="V239" s="352"/>
    </row>
    <row r="240">
      <c r="A240" s="352"/>
      <c r="B240" s="352"/>
      <c r="C240" s="352"/>
      <c r="D240" s="352"/>
      <c r="E240" s="352"/>
      <c r="F240" s="352"/>
      <c r="G240" s="352"/>
      <c r="H240" s="352"/>
      <c r="I240" s="352"/>
      <c r="J240" s="352"/>
      <c r="K240" s="352"/>
      <c r="L240" s="352"/>
      <c r="M240" s="352"/>
      <c r="N240" s="352"/>
      <c r="O240" s="352"/>
      <c r="P240" s="352"/>
      <c r="Q240" s="352"/>
      <c r="R240" s="352"/>
      <c r="S240" s="352"/>
      <c r="T240" s="352"/>
      <c r="U240" s="352"/>
      <c r="V240" s="352"/>
    </row>
    <row r="241">
      <c r="A241" s="352"/>
      <c r="B241" s="352"/>
      <c r="C241" s="352"/>
      <c r="D241" s="352"/>
      <c r="E241" s="352"/>
      <c r="F241" s="352"/>
      <c r="G241" s="352"/>
      <c r="H241" s="352"/>
      <c r="I241" s="352"/>
      <c r="J241" s="352"/>
      <c r="K241" s="352"/>
      <c r="L241" s="352"/>
      <c r="M241" s="352"/>
      <c r="N241" s="352"/>
      <c r="O241" s="352"/>
      <c r="P241" s="352"/>
      <c r="Q241" s="352"/>
      <c r="R241" s="352"/>
      <c r="S241" s="352"/>
      <c r="T241" s="352"/>
      <c r="U241" s="352"/>
      <c r="V241" s="352"/>
    </row>
    <row r="242">
      <c r="A242" s="352"/>
      <c r="B242" s="352"/>
      <c r="C242" s="352"/>
      <c r="D242" s="352"/>
      <c r="E242" s="352"/>
      <c r="F242" s="352"/>
      <c r="G242" s="352"/>
      <c r="H242" s="352"/>
      <c r="I242" s="352"/>
      <c r="J242" s="352"/>
      <c r="K242" s="352"/>
      <c r="L242" s="352"/>
      <c r="M242" s="352"/>
      <c r="N242" s="352"/>
      <c r="O242" s="352"/>
      <c r="P242" s="352"/>
      <c r="Q242" s="352"/>
      <c r="R242" s="352"/>
      <c r="S242" s="352"/>
      <c r="T242" s="352"/>
      <c r="U242" s="352"/>
      <c r="V242" s="352"/>
    </row>
    <row r="243">
      <c r="A243" s="352"/>
      <c r="B243" s="352"/>
      <c r="C243" s="352"/>
      <c r="D243" s="352"/>
      <c r="E243" s="352"/>
      <c r="F243" s="352"/>
      <c r="G243" s="352"/>
      <c r="H243" s="352"/>
      <c r="I243" s="352"/>
      <c r="J243" s="352"/>
      <c r="K243" s="352"/>
      <c r="L243" s="352"/>
      <c r="M243" s="352"/>
      <c r="N243" s="352"/>
      <c r="O243" s="352"/>
      <c r="P243" s="352"/>
      <c r="Q243" s="352"/>
      <c r="R243" s="352"/>
      <c r="S243" s="352"/>
      <c r="T243" s="352"/>
      <c r="U243" s="352"/>
      <c r="V243" s="352"/>
    </row>
    <row r="244">
      <c r="A244" s="352"/>
      <c r="B244" s="352"/>
      <c r="C244" s="352"/>
      <c r="D244" s="352"/>
      <c r="E244" s="352"/>
      <c r="F244" s="352"/>
      <c r="G244" s="352"/>
      <c r="H244" s="352"/>
      <c r="I244" s="352"/>
      <c r="J244" s="352"/>
      <c r="K244" s="352"/>
      <c r="L244" s="352"/>
      <c r="M244" s="352"/>
      <c r="N244" s="352"/>
      <c r="O244" s="352"/>
      <c r="P244" s="352"/>
      <c r="Q244" s="352"/>
      <c r="R244" s="352"/>
      <c r="S244" s="352"/>
      <c r="T244" s="352"/>
      <c r="U244" s="352"/>
      <c r="V244" s="352"/>
    </row>
    <row r="245">
      <c r="A245" s="352"/>
      <c r="B245" s="352"/>
      <c r="C245" s="352"/>
      <c r="D245" s="352"/>
      <c r="E245" s="352"/>
      <c r="F245" s="352"/>
      <c r="G245" s="352"/>
      <c r="H245" s="352"/>
      <c r="I245" s="352"/>
      <c r="J245" s="352"/>
      <c r="K245" s="352"/>
      <c r="L245" s="352"/>
      <c r="M245" s="352"/>
      <c r="N245" s="352"/>
      <c r="O245" s="352"/>
      <c r="P245" s="352"/>
      <c r="Q245" s="352"/>
      <c r="R245" s="352"/>
      <c r="S245" s="352"/>
      <c r="T245" s="352"/>
      <c r="U245" s="352"/>
      <c r="V245" s="352"/>
    </row>
    <row r="246">
      <c r="A246" s="352"/>
      <c r="B246" s="352"/>
      <c r="C246" s="352"/>
      <c r="D246" s="352"/>
      <c r="E246" s="352"/>
      <c r="F246" s="352"/>
      <c r="G246" s="352"/>
      <c r="H246" s="352"/>
      <c r="I246" s="352"/>
      <c r="J246" s="352"/>
      <c r="K246" s="352"/>
      <c r="L246" s="352"/>
      <c r="M246" s="352"/>
      <c r="N246" s="352"/>
      <c r="O246" s="352"/>
      <c r="P246" s="352"/>
      <c r="Q246" s="352"/>
      <c r="R246" s="352"/>
      <c r="S246" s="352"/>
      <c r="T246" s="352"/>
      <c r="U246" s="352"/>
      <c r="V246" s="352"/>
    </row>
    <row r="247">
      <c r="A247" s="352"/>
      <c r="B247" s="352"/>
      <c r="C247" s="352"/>
      <c r="D247" s="352"/>
      <c r="E247" s="352"/>
      <c r="F247" s="352"/>
      <c r="G247" s="352"/>
      <c r="H247" s="352"/>
      <c r="I247" s="352"/>
      <c r="J247" s="352"/>
      <c r="K247" s="352"/>
      <c r="L247" s="352"/>
      <c r="M247" s="352"/>
      <c r="N247" s="352"/>
      <c r="O247" s="352"/>
      <c r="P247" s="352"/>
      <c r="Q247" s="352"/>
      <c r="R247" s="352"/>
      <c r="S247" s="352"/>
      <c r="T247" s="352"/>
      <c r="U247" s="352"/>
      <c r="V247" s="352"/>
    </row>
    <row r="248">
      <c r="A248" s="352"/>
      <c r="B248" s="352"/>
      <c r="C248" s="352"/>
      <c r="D248" s="352"/>
      <c r="E248" s="352"/>
      <c r="F248" s="352"/>
      <c r="G248" s="352"/>
      <c r="H248" s="352"/>
      <c r="I248" s="352"/>
      <c r="J248" s="352"/>
      <c r="K248" s="352"/>
      <c r="L248" s="352"/>
      <c r="M248" s="352"/>
      <c r="N248" s="352"/>
      <c r="O248" s="352"/>
      <c r="P248" s="352"/>
      <c r="Q248" s="352"/>
      <c r="R248" s="352"/>
      <c r="S248" s="352"/>
      <c r="T248" s="352"/>
      <c r="U248" s="352"/>
      <c r="V248" s="352"/>
    </row>
    <row r="249">
      <c r="A249" s="352"/>
      <c r="B249" s="352"/>
      <c r="C249" s="352"/>
      <c r="D249" s="352"/>
      <c r="E249" s="352"/>
      <c r="F249" s="352"/>
      <c r="G249" s="352"/>
      <c r="H249" s="352"/>
      <c r="I249" s="352"/>
      <c r="J249" s="352"/>
      <c r="K249" s="352"/>
      <c r="L249" s="352"/>
      <c r="M249" s="352"/>
      <c r="N249" s="352"/>
      <c r="O249" s="352"/>
      <c r="P249" s="352"/>
      <c r="Q249" s="352"/>
      <c r="R249" s="352"/>
      <c r="S249" s="352"/>
      <c r="T249" s="352"/>
      <c r="U249" s="352"/>
      <c r="V249" s="352"/>
    </row>
    <row r="250">
      <c r="A250" s="352"/>
      <c r="B250" s="352"/>
      <c r="C250" s="352"/>
      <c r="D250" s="352"/>
      <c r="E250" s="352"/>
      <c r="F250" s="352"/>
      <c r="G250" s="352"/>
      <c r="H250" s="352"/>
      <c r="I250" s="352"/>
      <c r="J250" s="352"/>
      <c r="K250" s="352"/>
      <c r="L250" s="352"/>
      <c r="M250" s="352"/>
      <c r="N250" s="352"/>
      <c r="O250" s="352"/>
      <c r="P250" s="352"/>
      <c r="Q250" s="352"/>
      <c r="R250" s="352"/>
      <c r="S250" s="352"/>
      <c r="T250" s="352"/>
      <c r="U250" s="352"/>
      <c r="V250" s="352"/>
    </row>
    <row r="251">
      <c r="A251" s="352"/>
      <c r="B251" s="352"/>
      <c r="C251" s="352"/>
      <c r="D251" s="352"/>
      <c r="E251" s="352"/>
      <c r="F251" s="352"/>
      <c r="G251" s="352"/>
      <c r="H251" s="352"/>
      <c r="I251" s="352"/>
      <c r="J251" s="352"/>
      <c r="K251" s="352"/>
      <c r="L251" s="352"/>
      <c r="M251" s="352"/>
      <c r="N251" s="352"/>
      <c r="O251" s="352"/>
      <c r="P251" s="352"/>
      <c r="Q251" s="352"/>
      <c r="R251" s="352"/>
      <c r="S251" s="352"/>
      <c r="T251" s="352"/>
      <c r="U251" s="352"/>
      <c r="V251" s="352"/>
    </row>
    <row r="252">
      <c r="A252" s="352"/>
      <c r="B252" s="352"/>
      <c r="C252" s="352"/>
      <c r="D252" s="352"/>
      <c r="E252" s="352"/>
      <c r="F252" s="352"/>
      <c r="G252" s="352"/>
      <c r="H252" s="352"/>
      <c r="I252" s="352"/>
      <c r="J252" s="352"/>
      <c r="K252" s="352"/>
      <c r="L252" s="352"/>
      <c r="M252" s="352"/>
      <c r="N252" s="352"/>
      <c r="O252" s="352"/>
      <c r="P252" s="352"/>
      <c r="Q252" s="352"/>
      <c r="R252" s="352"/>
      <c r="S252" s="352"/>
      <c r="T252" s="352"/>
      <c r="U252" s="352"/>
      <c r="V252" s="352"/>
    </row>
    <row r="253">
      <c r="A253" s="352"/>
      <c r="B253" s="352"/>
      <c r="C253" s="352"/>
      <c r="D253" s="352"/>
      <c r="E253" s="352"/>
      <c r="F253" s="352"/>
      <c r="G253" s="352"/>
      <c r="H253" s="352"/>
      <c r="I253" s="352"/>
      <c r="J253" s="352"/>
      <c r="K253" s="352"/>
      <c r="L253" s="352"/>
      <c r="M253" s="352"/>
      <c r="N253" s="352"/>
      <c r="O253" s="352"/>
      <c r="P253" s="352"/>
      <c r="Q253" s="352"/>
      <c r="R253" s="352"/>
      <c r="S253" s="352"/>
      <c r="T253" s="352"/>
      <c r="U253" s="352"/>
      <c r="V253" s="352"/>
    </row>
    <row r="254">
      <c r="A254" s="352"/>
      <c r="B254" s="352"/>
      <c r="C254" s="352"/>
      <c r="D254" s="352"/>
      <c r="E254" s="352"/>
      <c r="F254" s="352"/>
      <c r="G254" s="352"/>
      <c r="H254" s="352"/>
      <c r="I254" s="352"/>
      <c r="J254" s="352"/>
      <c r="K254" s="352"/>
      <c r="L254" s="352"/>
      <c r="M254" s="352"/>
      <c r="N254" s="352"/>
      <c r="O254" s="352"/>
      <c r="P254" s="352"/>
      <c r="Q254" s="352"/>
      <c r="R254" s="352"/>
      <c r="S254" s="352"/>
      <c r="T254" s="352"/>
      <c r="U254" s="352"/>
      <c r="V254" s="352"/>
    </row>
    <row r="255">
      <c r="A255" s="352"/>
      <c r="B255" s="352"/>
      <c r="C255" s="352"/>
      <c r="D255" s="352"/>
      <c r="E255" s="352"/>
      <c r="F255" s="352"/>
      <c r="G255" s="352"/>
      <c r="H255" s="352"/>
      <c r="I255" s="352"/>
      <c r="J255" s="352"/>
      <c r="K255" s="352"/>
      <c r="L255" s="352"/>
      <c r="M255" s="352"/>
      <c r="N255" s="352"/>
      <c r="O255" s="352"/>
      <c r="P255" s="352"/>
      <c r="Q255" s="352"/>
      <c r="R255" s="352"/>
      <c r="S255" s="352"/>
      <c r="T255" s="352"/>
      <c r="U255" s="352"/>
      <c r="V255" s="352"/>
    </row>
    <row r="256">
      <c r="A256" s="352"/>
      <c r="B256" s="352"/>
      <c r="C256" s="352"/>
      <c r="D256" s="352"/>
      <c r="E256" s="352"/>
      <c r="F256" s="352"/>
      <c r="G256" s="352"/>
      <c r="H256" s="352"/>
      <c r="I256" s="352"/>
      <c r="J256" s="352"/>
      <c r="K256" s="352"/>
      <c r="L256" s="352"/>
      <c r="M256" s="352"/>
      <c r="N256" s="352"/>
      <c r="O256" s="352"/>
      <c r="P256" s="352"/>
      <c r="Q256" s="352"/>
      <c r="R256" s="352"/>
      <c r="S256" s="352"/>
      <c r="T256" s="352"/>
      <c r="U256" s="352"/>
      <c r="V256" s="352"/>
    </row>
    <row r="257">
      <c r="A257" s="352"/>
      <c r="B257" s="352"/>
      <c r="C257" s="352"/>
      <c r="D257" s="352"/>
      <c r="E257" s="352"/>
      <c r="F257" s="352"/>
      <c r="G257" s="352"/>
      <c r="H257" s="352"/>
      <c r="I257" s="352"/>
      <c r="J257" s="352"/>
      <c r="K257" s="352"/>
      <c r="L257" s="352"/>
      <c r="M257" s="352"/>
      <c r="N257" s="352"/>
      <c r="O257" s="352"/>
      <c r="P257" s="352"/>
      <c r="Q257" s="352"/>
      <c r="R257" s="352"/>
      <c r="S257" s="352"/>
      <c r="T257" s="352"/>
      <c r="U257" s="352"/>
      <c r="V257" s="352"/>
    </row>
    <row r="258">
      <c r="A258" s="352"/>
      <c r="B258" s="352"/>
      <c r="C258" s="352"/>
      <c r="D258" s="352"/>
      <c r="E258" s="352"/>
      <c r="F258" s="352"/>
      <c r="G258" s="352"/>
      <c r="H258" s="352"/>
      <c r="I258" s="352"/>
      <c r="J258" s="352"/>
      <c r="K258" s="352"/>
      <c r="L258" s="352"/>
      <c r="M258" s="352"/>
      <c r="N258" s="352"/>
      <c r="O258" s="352"/>
      <c r="P258" s="352"/>
      <c r="Q258" s="352"/>
      <c r="R258" s="352"/>
      <c r="S258" s="352"/>
      <c r="T258" s="352"/>
      <c r="U258" s="352"/>
      <c r="V258" s="352"/>
    </row>
    <row r="259">
      <c r="A259" s="352"/>
      <c r="B259" s="352"/>
      <c r="C259" s="352"/>
      <c r="D259" s="352"/>
      <c r="E259" s="352"/>
      <c r="F259" s="352"/>
      <c r="G259" s="352"/>
      <c r="H259" s="352"/>
      <c r="I259" s="352"/>
      <c r="J259" s="352"/>
      <c r="K259" s="352"/>
      <c r="L259" s="352"/>
      <c r="M259" s="352"/>
      <c r="N259" s="352"/>
      <c r="O259" s="352"/>
      <c r="P259" s="352"/>
      <c r="Q259" s="352"/>
      <c r="R259" s="352"/>
      <c r="S259" s="352"/>
      <c r="T259" s="352"/>
      <c r="U259" s="352"/>
      <c r="V259" s="352"/>
    </row>
    <row r="260">
      <c r="A260" s="352"/>
      <c r="B260" s="352"/>
      <c r="C260" s="352"/>
      <c r="D260" s="352"/>
      <c r="E260" s="352"/>
      <c r="F260" s="352"/>
      <c r="G260" s="352"/>
      <c r="H260" s="352"/>
      <c r="I260" s="352"/>
      <c r="J260" s="352"/>
      <c r="K260" s="352"/>
      <c r="L260" s="352"/>
      <c r="M260" s="352"/>
      <c r="N260" s="352"/>
      <c r="O260" s="352"/>
      <c r="P260" s="352"/>
      <c r="Q260" s="352"/>
      <c r="R260" s="352"/>
      <c r="S260" s="352"/>
      <c r="T260" s="352"/>
      <c r="U260" s="352"/>
      <c r="V260" s="352"/>
    </row>
    <row r="261">
      <c r="A261" s="352"/>
      <c r="B261" s="352"/>
      <c r="C261" s="352"/>
      <c r="D261" s="352"/>
      <c r="E261" s="352"/>
      <c r="F261" s="352"/>
      <c r="G261" s="352"/>
      <c r="H261" s="352"/>
      <c r="I261" s="352"/>
      <c r="J261" s="352"/>
      <c r="K261" s="352"/>
      <c r="L261" s="352"/>
      <c r="M261" s="352"/>
      <c r="N261" s="352"/>
      <c r="O261" s="352"/>
      <c r="P261" s="352"/>
      <c r="Q261" s="352"/>
      <c r="R261" s="352"/>
      <c r="S261" s="352"/>
      <c r="T261" s="352"/>
      <c r="U261" s="352"/>
      <c r="V261" s="352"/>
    </row>
    <row r="262">
      <c r="A262" s="352"/>
      <c r="B262" s="352"/>
      <c r="C262" s="352"/>
      <c r="D262" s="352"/>
      <c r="E262" s="352"/>
      <c r="F262" s="352"/>
      <c r="G262" s="352"/>
      <c r="H262" s="352"/>
      <c r="I262" s="352"/>
      <c r="J262" s="352"/>
      <c r="K262" s="352"/>
      <c r="L262" s="352"/>
      <c r="M262" s="352"/>
      <c r="N262" s="352"/>
      <c r="O262" s="352"/>
      <c r="P262" s="352"/>
      <c r="Q262" s="352"/>
      <c r="R262" s="352"/>
      <c r="S262" s="352"/>
      <c r="T262" s="352"/>
      <c r="U262" s="352"/>
      <c r="V262" s="352"/>
    </row>
    <row r="263">
      <c r="A263" s="352"/>
      <c r="B263" s="352"/>
      <c r="C263" s="352"/>
      <c r="D263" s="352"/>
      <c r="E263" s="352"/>
      <c r="F263" s="352"/>
      <c r="G263" s="352"/>
      <c r="H263" s="352"/>
      <c r="I263" s="352"/>
      <c r="J263" s="352"/>
      <c r="K263" s="352"/>
      <c r="L263" s="352"/>
      <c r="M263" s="352"/>
      <c r="N263" s="352"/>
      <c r="O263" s="352"/>
      <c r="P263" s="352"/>
      <c r="Q263" s="352"/>
      <c r="R263" s="352"/>
      <c r="S263" s="352"/>
      <c r="T263" s="352"/>
      <c r="U263" s="352"/>
      <c r="V263" s="352"/>
    </row>
    <row r="264">
      <c r="A264" s="352"/>
      <c r="B264" s="352"/>
      <c r="C264" s="352"/>
      <c r="D264" s="352"/>
      <c r="E264" s="352"/>
      <c r="F264" s="352"/>
      <c r="G264" s="352"/>
      <c r="H264" s="352"/>
      <c r="I264" s="352"/>
      <c r="J264" s="352"/>
      <c r="K264" s="352"/>
      <c r="L264" s="352"/>
      <c r="M264" s="352"/>
      <c r="N264" s="352"/>
      <c r="O264" s="352"/>
      <c r="P264" s="352"/>
      <c r="Q264" s="352"/>
      <c r="R264" s="352"/>
      <c r="S264" s="352"/>
      <c r="T264" s="352"/>
      <c r="U264" s="352"/>
      <c r="V264" s="352"/>
    </row>
    <row r="265">
      <c r="A265" s="352"/>
      <c r="B265" s="352"/>
      <c r="C265" s="352"/>
      <c r="D265" s="352"/>
      <c r="E265" s="352"/>
      <c r="F265" s="352"/>
      <c r="G265" s="352"/>
      <c r="H265" s="352"/>
      <c r="I265" s="352"/>
      <c r="J265" s="352"/>
      <c r="K265" s="352"/>
      <c r="L265" s="352"/>
      <c r="M265" s="352"/>
      <c r="N265" s="352"/>
      <c r="O265" s="352"/>
      <c r="P265" s="352"/>
      <c r="Q265" s="352"/>
      <c r="R265" s="352"/>
      <c r="S265" s="352"/>
      <c r="T265" s="352"/>
      <c r="U265" s="352"/>
      <c r="V265" s="352"/>
    </row>
    <row r="266">
      <c r="A266" s="352"/>
      <c r="B266" s="352"/>
      <c r="C266" s="352"/>
      <c r="D266" s="352"/>
      <c r="E266" s="352"/>
      <c r="F266" s="352"/>
      <c r="G266" s="352"/>
      <c r="H266" s="352"/>
      <c r="I266" s="352"/>
      <c r="J266" s="352"/>
      <c r="K266" s="352"/>
      <c r="L266" s="352"/>
      <c r="M266" s="352"/>
      <c r="N266" s="352"/>
      <c r="O266" s="352"/>
      <c r="P266" s="352"/>
      <c r="Q266" s="352"/>
      <c r="R266" s="352"/>
      <c r="S266" s="352"/>
      <c r="T266" s="352"/>
      <c r="U266" s="352"/>
      <c r="V266" s="352"/>
    </row>
    <row r="267">
      <c r="A267" s="352"/>
      <c r="B267" s="352"/>
      <c r="C267" s="352"/>
      <c r="D267" s="352"/>
      <c r="E267" s="352"/>
      <c r="F267" s="352"/>
      <c r="G267" s="352"/>
      <c r="H267" s="352"/>
      <c r="I267" s="352"/>
      <c r="J267" s="352"/>
      <c r="K267" s="352"/>
      <c r="L267" s="352"/>
      <c r="M267" s="352"/>
      <c r="N267" s="352"/>
      <c r="O267" s="352"/>
      <c r="P267" s="352"/>
      <c r="Q267" s="352"/>
      <c r="R267" s="352"/>
      <c r="S267" s="352"/>
      <c r="T267" s="352"/>
      <c r="U267" s="352"/>
      <c r="V267" s="352"/>
    </row>
    <row r="268">
      <c r="A268" s="352"/>
      <c r="B268" s="352"/>
      <c r="C268" s="352"/>
      <c r="D268" s="352"/>
      <c r="E268" s="352"/>
      <c r="F268" s="352"/>
      <c r="G268" s="352"/>
      <c r="H268" s="352"/>
      <c r="I268" s="352"/>
      <c r="J268" s="352"/>
      <c r="K268" s="352"/>
      <c r="L268" s="352"/>
      <c r="M268" s="352"/>
      <c r="N268" s="352"/>
      <c r="O268" s="352"/>
      <c r="P268" s="352"/>
      <c r="Q268" s="352"/>
      <c r="R268" s="352"/>
      <c r="S268" s="352"/>
      <c r="T268" s="352"/>
      <c r="U268" s="352"/>
      <c r="V268" s="352"/>
    </row>
    <row r="269">
      <c r="A269" s="352"/>
      <c r="B269" s="352"/>
      <c r="C269" s="352"/>
      <c r="D269" s="352"/>
      <c r="E269" s="352"/>
      <c r="F269" s="352"/>
      <c r="G269" s="352"/>
      <c r="H269" s="352"/>
      <c r="I269" s="352"/>
      <c r="J269" s="352"/>
      <c r="K269" s="352"/>
      <c r="L269" s="352"/>
      <c r="M269" s="352"/>
      <c r="N269" s="352"/>
      <c r="O269" s="352"/>
      <c r="P269" s="352"/>
      <c r="Q269" s="352"/>
      <c r="R269" s="352"/>
      <c r="S269" s="352"/>
      <c r="T269" s="352"/>
      <c r="U269" s="352"/>
      <c r="V269" s="352"/>
    </row>
    <row r="270">
      <c r="A270" s="352"/>
      <c r="B270" s="352"/>
      <c r="C270" s="352"/>
      <c r="D270" s="352"/>
      <c r="E270" s="352"/>
      <c r="F270" s="352"/>
      <c r="G270" s="352"/>
      <c r="H270" s="352"/>
      <c r="I270" s="352"/>
      <c r="J270" s="352"/>
      <c r="K270" s="352"/>
      <c r="L270" s="352"/>
      <c r="M270" s="352"/>
      <c r="N270" s="352"/>
      <c r="O270" s="352"/>
      <c r="P270" s="352"/>
      <c r="Q270" s="352"/>
      <c r="R270" s="352"/>
      <c r="S270" s="352"/>
      <c r="T270" s="352"/>
      <c r="U270" s="352"/>
      <c r="V270" s="352"/>
    </row>
    <row r="271">
      <c r="A271" s="352"/>
      <c r="B271" s="352"/>
      <c r="C271" s="352"/>
      <c r="D271" s="352"/>
      <c r="E271" s="352"/>
      <c r="F271" s="352"/>
      <c r="G271" s="352"/>
      <c r="H271" s="352"/>
      <c r="I271" s="352"/>
      <c r="J271" s="352"/>
      <c r="K271" s="352"/>
      <c r="L271" s="352"/>
      <c r="M271" s="352"/>
      <c r="N271" s="352"/>
      <c r="O271" s="352"/>
      <c r="P271" s="352"/>
      <c r="Q271" s="352"/>
      <c r="R271" s="352"/>
      <c r="S271" s="352"/>
      <c r="T271" s="352"/>
      <c r="U271" s="352"/>
      <c r="V271" s="352"/>
    </row>
    <row r="272">
      <c r="A272" s="352"/>
      <c r="B272" s="352"/>
      <c r="C272" s="352"/>
      <c r="D272" s="352"/>
      <c r="E272" s="352"/>
      <c r="F272" s="352"/>
      <c r="G272" s="352"/>
      <c r="H272" s="352"/>
      <c r="I272" s="352"/>
      <c r="J272" s="352"/>
      <c r="K272" s="352"/>
      <c r="L272" s="352"/>
      <c r="M272" s="352"/>
      <c r="N272" s="352"/>
      <c r="O272" s="352"/>
      <c r="P272" s="352"/>
      <c r="Q272" s="352"/>
      <c r="R272" s="352"/>
      <c r="S272" s="352"/>
      <c r="T272" s="352"/>
      <c r="U272" s="352"/>
      <c r="V272" s="352"/>
    </row>
    <row r="273">
      <c r="A273" s="352"/>
      <c r="B273" s="352"/>
      <c r="C273" s="352"/>
      <c r="D273" s="352"/>
      <c r="E273" s="352"/>
      <c r="F273" s="352"/>
      <c r="G273" s="352"/>
      <c r="H273" s="352"/>
      <c r="I273" s="352"/>
      <c r="J273" s="352"/>
      <c r="K273" s="352"/>
      <c r="L273" s="352"/>
      <c r="M273" s="352"/>
      <c r="N273" s="352"/>
      <c r="O273" s="352"/>
      <c r="P273" s="352"/>
      <c r="Q273" s="352"/>
      <c r="R273" s="352"/>
      <c r="S273" s="352"/>
      <c r="T273" s="352"/>
      <c r="U273" s="352"/>
      <c r="V273" s="352"/>
    </row>
    <row r="274">
      <c r="A274" s="352"/>
      <c r="B274" s="352"/>
      <c r="C274" s="352"/>
      <c r="D274" s="352"/>
      <c r="E274" s="352"/>
      <c r="F274" s="352"/>
      <c r="G274" s="352"/>
      <c r="H274" s="352"/>
      <c r="I274" s="352"/>
      <c r="J274" s="352"/>
      <c r="K274" s="352"/>
      <c r="L274" s="352"/>
      <c r="M274" s="352"/>
      <c r="N274" s="352"/>
      <c r="O274" s="352"/>
      <c r="P274" s="352"/>
      <c r="Q274" s="352"/>
      <c r="R274" s="352"/>
      <c r="S274" s="352"/>
      <c r="T274" s="352"/>
      <c r="U274" s="352"/>
      <c r="V274" s="352"/>
    </row>
    <row r="275">
      <c r="A275" s="352"/>
      <c r="B275" s="352"/>
      <c r="C275" s="352"/>
      <c r="D275" s="352"/>
      <c r="E275" s="352"/>
      <c r="F275" s="352"/>
      <c r="G275" s="352"/>
      <c r="H275" s="352"/>
      <c r="I275" s="352"/>
      <c r="J275" s="352"/>
      <c r="K275" s="352"/>
      <c r="L275" s="352"/>
      <c r="M275" s="352"/>
      <c r="N275" s="352"/>
      <c r="O275" s="352"/>
      <c r="P275" s="352"/>
      <c r="Q275" s="352"/>
      <c r="R275" s="352"/>
      <c r="S275" s="352"/>
      <c r="T275" s="352"/>
      <c r="U275" s="352"/>
      <c r="V275" s="352"/>
    </row>
    <row r="276">
      <c r="A276" s="352"/>
      <c r="B276" s="352"/>
      <c r="C276" s="352"/>
      <c r="D276" s="352"/>
      <c r="E276" s="352"/>
      <c r="F276" s="352"/>
      <c r="G276" s="352"/>
      <c r="H276" s="352"/>
      <c r="I276" s="352"/>
      <c r="J276" s="352"/>
      <c r="K276" s="352"/>
      <c r="L276" s="352"/>
      <c r="M276" s="352"/>
      <c r="N276" s="352"/>
      <c r="O276" s="352"/>
      <c r="P276" s="352"/>
      <c r="Q276" s="352"/>
      <c r="R276" s="352"/>
      <c r="S276" s="352"/>
      <c r="T276" s="352"/>
      <c r="U276" s="352"/>
      <c r="V276" s="352"/>
    </row>
    <row r="277">
      <c r="A277" s="352"/>
      <c r="B277" s="352"/>
      <c r="C277" s="352"/>
      <c r="D277" s="352"/>
      <c r="E277" s="352"/>
      <c r="F277" s="352"/>
      <c r="G277" s="352"/>
      <c r="H277" s="352"/>
      <c r="I277" s="352"/>
      <c r="J277" s="352"/>
      <c r="K277" s="352"/>
      <c r="L277" s="352"/>
      <c r="M277" s="352"/>
      <c r="N277" s="352"/>
      <c r="O277" s="352"/>
      <c r="P277" s="352"/>
      <c r="Q277" s="352"/>
      <c r="R277" s="352"/>
      <c r="S277" s="352"/>
      <c r="T277" s="352"/>
      <c r="U277" s="352"/>
      <c r="V277" s="352"/>
    </row>
    <row r="278">
      <c r="A278" s="352"/>
      <c r="B278" s="352"/>
      <c r="C278" s="352"/>
      <c r="D278" s="352"/>
      <c r="E278" s="352"/>
      <c r="F278" s="352"/>
      <c r="G278" s="352"/>
      <c r="H278" s="352"/>
      <c r="I278" s="352"/>
      <c r="J278" s="352"/>
      <c r="K278" s="352"/>
      <c r="L278" s="352"/>
      <c r="M278" s="352"/>
      <c r="N278" s="352"/>
      <c r="O278" s="352"/>
      <c r="P278" s="352"/>
      <c r="Q278" s="352"/>
      <c r="R278" s="352"/>
      <c r="S278" s="352"/>
      <c r="T278" s="352"/>
      <c r="U278" s="352"/>
      <c r="V278" s="352"/>
    </row>
    <row r="279">
      <c r="A279" s="352"/>
      <c r="B279" s="352"/>
      <c r="C279" s="352"/>
      <c r="D279" s="352"/>
      <c r="E279" s="352"/>
      <c r="F279" s="352"/>
      <c r="G279" s="352"/>
      <c r="H279" s="352"/>
      <c r="I279" s="352"/>
      <c r="J279" s="352"/>
      <c r="K279" s="352"/>
      <c r="L279" s="352"/>
      <c r="M279" s="352"/>
      <c r="N279" s="352"/>
      <c r="O279" s="352"/>
      <c r="P279" s="352"/>
      <c r="Q279" s="352"/>
      <c r="R279" s="352"/>
      <c r="S279" s="352"/>
      <c r="T279" s="352"/>
      <c r="U279" s="352"/>
      <c r="V279" s="352"/>
    </row>
    <row r="280">
      <c r="A280" s="352"/>
      <c r="B280" s="352"/>
      <c r="C280" s="352"/>
      <c r="D280" s="352"/>
      <c r="E280" s="352"/>
      <c r="F280" s="352"/>
      <c r="G280" s="352"/>
      <c r="H280" s="352"/>
      <c r="I280" s="352"/>
      <c r="J280" s="352"/>
      <c r="K280" s="352"/>
      <c r="L280" s="352"/>
      <c r="M280" s="352"/>
      <c r="N280" s="352"/>
      <c r="O280" s="352"/>
      <c r="P280" s="352"/>
      <c r="Q280" s="352"/>
      <c r="R280" s="352"/>
      <c r="S280" s="352"/>
      <c r="T280" s="352"/>
      <c r="U280" s="352"/>
      <c r="V280" s="352"/>
    </row>
    <row r="281">
      <c r="A281" s="352"/>
      <c r="B281" s="352"/>
      <c r="C281" s="352"/>
      <c r="D281" s="352"/>
      <c r="E281" s="352"/>
      <c r="F281" s="352"/>
      <c r="G281" s="352"/>
      <c r="H281" s="352"/>
      <c r="I281" s="352"/>
      <c r="J281" s="352"/>
      <c r="K281" s="352"/>
      <c r="L281" s="352"/>
      <c r="M281" s="352"/>
      <c r="N281" s="352"/>
      <c r="O281" s="352"/>
      <c r="P281" s="352"/>
      <c r="Q281" s="352"/>
      <c r="R281" s="352"/>
      <c r="S281" s="352"/>
      <c r="T281" s="352"/>
      <c r="U281" s="352"/>
      <c r="V281" s="352"/>
    </row>
    <row r="282">
      <c r="A282" s="352"/>
      <c r="B282" s="352"/>
      <c r="C282" s="352"/>
      <c r="D282" s="352"/>
      <c r="E282" s="352"/>
      <c r="F282" s="352"/>
      <c r="G282" s="352"/>
      <c r="H282" s="352"/>
      <c r="I282" s="352"/>
      <c r="J282" s="352"/>
      <c r="K282" s="352"/>
      <c r="L282" s="352"/>
      <c r="M282" s="352"/>
      <c r="N282" s="352"/>
      <c r="O282" s="352"/>
      <c r="P282" s="352"/>
      <c r="Q282" s="352"/>
      <c r="R282" s="352"/>
      <c r="S282" s="352"/>
      <c r="T282" s="352"/>
      <c r="U282" s="352"/>
      <c r="V282" s="352"/>
    </row>
    <row r="283">
      <c r="A283" s="352"/>
      <c r="B283" s="352"/>
      <c r="C283" s="352"/>
      <c r="D283" s="352"/>
      <c r="E283" s="352"/>
      <c r="F283" s="352"/>
      <c r="G283" s="352"/>
      <c r="H283" s="352"/>
      <c r="I283" s="352"/>
      <c r="J283" s="352"/>
      <c r="K283" s="352"/>
      <c r="L283" s="352"/>
      <c r="M283" s="352"/>
      <c r="N283" s="352"/>
      <c r="O283" s="352"/>
      <c r="P283" s="352"/>
      <c r="Q283" s="352"/>
      <c r="R283" s="352"/>
      <c r="S283" s="352"/>
      <c r="T283" s="352"/>
      <c r="U283" s="352"/>
      <c r="V283" s="352"/>
    </row>
    <row r="284">
      <c r="A284" s="352"/>
      <c r="B284" s="352"/>
      <c r="C284" s="352"/>
      <c r="D284" s="352"/>
      <c r="E284" s="352"/>
      <c r="F284" s="352"/>
      <c r="G284" s="352"/>
      <c r="H284" s="352"/>
      <c r="I284" s="352"/>
      <c r="J284" s="352"/>
      <c r="K284" s="352"/>
      <c r="L284" s="352"/>
      <c r="M284" s="352"/>
      <c r="N284" s="352"/>
      <c r="O284" s="352"/>
      <c r="P284" s="352"/>
      <c r="Q284" s="352"/>
      <c r="R284" s="352"/>
      <c r="S284" s="352"/>
      <c r="T284" s="352"/>
      <c r="U284" s="352"/>
      <c r="V284" s="352"/>
    </row>
    <row r="285">
      <c r="A285" s="352"/>
      <c r="B285" s="352"/>
      <c r="C285" s="352"/>
      <c r="D285" s="352"/>
      <c r="E285" s="352"/>
      <c r="F285" s="352"/>
      <c r="G285" s="352"/>
      <c r="H285" s="352"/>
      <c r="I285" s="352"/>
      <c r="J285" s="352"/>
      <c r="K285" s="352"/>
      <c r="L285" s="352"/>
      <c r="M285" s="352"/>
      <c r="N285" s="352"/>
      <c r="O285" s="352"/>
      <c r="P285" s="352"/>
      <c r="Q285" s="352"/>
      <c r="R285" s="352"/>
      <c r="S285" s="352"/>
      <c r="T285" s="352"/>
      <c r="U285" s="352"/>
      <c r="V285" s="352"/>
    </row>
    <row r="286">
      <c r="A286" s="352"/>
      <c r="B286" s="352"/>
      <c r="C286" s="352"/>
      <c r="D286" s="352"/>
      <c r="E286" s="352"/>
      <c r="F286" s="352"/>
      <c r="G286" s="352"/>
      <c r="H286" s="352"/>
      <c r="I286" s="352"/>
      <c r="J286" s="352"/>
      <c r="K286" s="352"/>
      <c r="L286" s="352"/>
      <c r="M286" s="352"/>
      <c r="N286" s="352"/>
      <c r="O286" s="352"/>
      <c r="P286" s="352"/>
      <c r="Q286" s="352"/>
      <c r="R286" s="352"/>
      <c r="S286" s="352"/>
      <c r="T286" s="352"/>
      <c r="U286" s="352"/>
      <c r="V286" s="352"/>
    </row>
    <row r="287">
      <c r="A287" s="352"/>
      <c r="B287" s="352"/>
      <c r="C287" s="352"/>
      <c r="D287" s="352"/>
      <c r="E287" s="352"/>
      <c r="F287" s="352"/>
      <c r="G287" s="352"/>
      <c r="H287" s="352"/>
      <c r="I287" s="352"/>
      <c r="J287" s="352"/>
      <c r="K287" s="352"/>
      <c r="L287" s="352"/>
      <c r="M287" s="352"/>
      <c r="N287" s="352"/>
      <c r="O287" s="352"/>
      <c r="P287" s="352"/>
      <c r="Q287" s="352"/>
      <c r="R287" s="352"/>
      <c r="S287" s="352"/>
      <c r="T287" s="352"/>
      <c r="U287" s="352"/>
      <c r="V287" s="352"/>
    </row>
    <row r="288">
      <c r="A288" s="352"/>
      <c r="B288" s="352"/>
      <c r="C288" s="352"/>
      <c r="D288" s="352"/>
      <c r="E288" s="352"/>
      <c r="F288" s="352"/>
      <c r="G288" s="352"/>
      <c r="H288" s="352"/>
      <c r="I288" s="352"/>
      <c r="J288" s="352"/>
      <c r="K288" s="352"/>
      <c r="L288" s="352"/>
      <c r="M288" s="352"/>
      <c r="N288" s="352"/>
      <c r="O288" s="352"/>
      <c r="P288" s="352"/>
      <c r="Q288" s="352"/>
      <c r="R288" s="352"/>
      <c r="S288" s="352"/>
      <c r="T288" s="352"/>
      <c r="U288" s="352"/>
      <c r="V288" s="352"/>
    </row>
    <row r="289">
      <c r="A289" s="352"/>
      <c r="B289" s="352"/>
      <c r="C289" s="352"/>
      <c r="D289" s="352"/>
      <c r="E289" s="352"/>
      <c r="F289" s="352"/>
      <c r="G289" s="352"/>
      <c r="H289" s="352"/>
      <c r="I289" s="352"/>
      <c r="J289" s="352"/>
      <c r="K289" s="352"/>
      <c r="L289" s="352"/>
      <c r="M289" s="352"/>
      <c r="N289" s="352"/>
      <c r="O289" s="352"/>
      <c r="P289" s="352"/>
      <c r="Q289" s="352"/>
      <c r="R289" s="352"/>
      <c r="S289" s="352"/>
      <c r="T289" s="352"/>
      <c r="U289" s="352"/>
      <c r="V289" s="352"/>
    </row>
    <row r="290">
      <c r="A290" s="352"/>
      <c r="B290" s="352"/>
      <c r="C290" s="352"/>
      <c r="D290" s="352"/>
      <c r="E290" s="352"/>
      <c r="F290" s="352"/>
      <c r="G290" s="352"/>
      <c r="H290" s="352"/>
      <c r="I290" s="352"/>
      <c r="J290" s="352"/>
      <c r="K290" s="352"/>
      <c r="L290" s="352"/>
      <c r="M290" s="352"/>
      <c r="N290" s="352"/>
      <c r="O290" s="352"/>
      <c r="P290" s="352"/>
      <c r="Q290" s="352"/>
      <c r="R290" s="352"/>
      <c r="S290" s="352"/>
      <c r="T290" s="352"/>
      <c r="U290" s="352"/>
      <c r="V290" s="352"/>
    </row>
    <row r="291">
      <c r="A291" s="352"/>
      <c r="B291" s="352"/>
      <c r="C291" s="352"/>
      <c r="D291" s="352"/>
      <c r="E291" s="352"/>
      <c r="F291" s="352"/>
      <c r="G291" s="352"/>
      <c r="H291" s="352"/>
      <c r="I291" s="352"/>
      <c r="J291" s="352"/>
      <c r="K291" s="352"/>
      <c r="L291" s="352"/>
      <c r="M291" s="352"/>
      <c r="N291" s="352"/>
      <c r="O291" s="352"/>
      <c r="P291" s="352"/>
      <c r="Q291" s="352"/>
      <c r="R291" s="352"/>
      <c r="S291" s="352"/>
      <c r="T291" s="352"/>
      <c r="U291" s="352"/>
      <c r="V291" s="352"/>
    </row>
    <row r="292">
      <c r="A292" s="352"/>
      <c r="B292" s="352"/>
      <c r="C292" s="352"/>
      <c r="D292" s="352"/>
      <c r="E292" s="352"/>
      <c r="F292" s="352"/>
      <c r="G292" s="352"/>
      <c r="H292" s="352"/>
      <c r="I292" s="352"/>
      <c r="J292" s="352"/>
      <c r="K292" s="352"/>
      <c r="L292" s="352"/>
      <c r="M292" s="352"/>
      <c r="N292" s="352"/>
      <c r="O292" s="352"/>
      <c r="P292" s="352"/>
      <c r="Q292" s="352"/>
      <c r="R292" s="352"/>
      <c r="S292" s="352"/>
      <c r="T292" s="352"/>
      <c r="U292" s="352"/>
      <c r="V292" s="352"/>
    </row>
    <row r="293">
      <c r="A293" s="352"/>
      <c r="B293" s="352"/>
      <c r="C293" s="352"/>
      <c r="D293" s="352"/>
      <c r="E293" s="352"/>
      <c r="F293" s="352"/>
      <c r="G293" s="352"/>
      <c r="H293" s="352"/>
      <c r="I293" s="352"/>
      <c r="J293" s="352"/>
      <c r="K293" s="352"/>
      <c r="L293" s="352"/>
      <c r="M293" s="352"/>
      <c r="N293" s="352"/>
      <c r="O293" s="352"/>
      <c r="P293" s="352"/>
      <c r="Q293" s="352"/>
      <c r="R293" s="352"/>
      <c r="S293" s="352"/>
      <c r="T293" s="352"/>
      <c r="U293" s="352"/>
      <c r="V293" s="352"/>
    </row>
    <row r="294">
      <c r="A294" s="352"/>
      <c r="B294" s="352"/>
      <c r="C294" s="352"/>
      <c r="D294" s="352"/>
      <c r="E294" s="352"/>
      <c r="F294" s="352"/>
      <c r="G294" s="352"/>
      <c r="H294" s="352"/>
      <c r="I294" s="352"/>
      <c r="J294" s="352"/>
      <c r="K294" s="352"/>
      <c r="L294" s="352"/>
      <c r="M294" s="352"/>
      <c r="N294" s="352"/>
      <c r="O294" s="352"/>
      <c r="P294" s="352"/>
      <c r="Q294" s="352"/>
      <c r="R294" s="352"/>
      <c r="S294" s="352"/>
      <c r="T294" s="352"/>
      <c r="U294" s="352"/>
      <c r="V294" s="352"/>
    </row>
    <row r="295">
      <c r="A295" s="352"/>
      <c r="B295" s="352"/>
      <c r="C295" s="352"/>
      <c r="D295" s="352"/>
      <c r="E295" s="352"/>
      <c r="F295" s="352"/>
      <c r="G295" s="352"/>
      <c r="H295" s="352"/>
      <c r="I295" s="352"/>
      <c r="J295" s="352"/>
      <c r="K295" s="352"/>
      <c r="L295" s="352"/>
      <c r="M295" s="352"/>
      <c r="N295" s="352"/>
      <c r="O295" s="352"/>
      <c r="P295" s="352"/>
      <c r="Q295" s="352"/>
      <c r="R295" s="352"/>
      <c r="S295" s="352"/>
      <c r="T295" s="352"/>
      <c r="U295" s="352"/>
      <c r="V295" s="352"/>
    </row>
    <row r="296">
      <c r="A296" s="352"/>
      <c r="B296" s="352"/>
      <c r="C296" s="352"/>
      <c r="D296" s="352"/>
      <c r="E296" s="352"/>
      <c r="F296" s="352"/>
      <c r="G296" s="352"/>
      <c r="H296" s="352"/>
      <c r="I296" s="352"/>
      <c r="J296" s="352"/>
      <c r="K296" s="352"/>
      <c r="L296" s="352"/>
      <c r="M296" s="352"/>
      <c r="N296" s="352"/>
      <c r="O296" s="352"/>
      <c r="P296" s="352"/>
      <c r="Q296" s="352"/>
      <c r="R296" s="352"/>
      <c r="S296" s="352"/>
      <c r="T296" s="352"/>
      <c r="U296" s="352"/>
      <c r="V296" s="352"/>
    </row>
    <row r="297">
      <c r="A297" s="352"/>
      <c r="B297" s="352"/>
      <c r="C297" s="352"/>
      <c r="D297" s="352"/>
      <c r="E297" s="352"/>
      <c r="F297" s="352"/>
      <c r="G297" s="352"/>
      <c r="H297" s="352"/>
      <c r="I297" s="352"/>
      <c r="J297" s="352"/>
      <c r="K297" s="352"/>
      <c r="L297" s="352"/>
      <c r="M297" s="352"/>
      <c r="N297" s="352"/>
      <c r="O297" s="352"/>
      <c r="P297" s="352"/>
      <c r="Q297" s="352"/>
      <c r="R297" s="352"/>
      <c r="S297" s="352"/>
      <c r="T297" s="352"/>
      <c r="U297" s="352"/>
      <c r="V297" s="352"/>
    </row>
    <row r="298">
      <c r="A298" s="352"/>
      <c r="B298" s="352"/>
      <c r="C298" s="352"/>
      <c r="D298" s="352"/>
      <c r="E298" s="352"/>
      <c r="F298" s="352"/>
      <c r="G298" s="352"/>
      <c r="H298" s="352"/>
      <c r="I298" s="352"/>
      <c r="J298" s="352"/>
      <c r="K298" s="352"/>
      <c r="L298" s="352"/>
      <c r="M298" s="352"/>
      <c r="N298" s="352"/>
      <c r="O298" s="352"/>
      <c r="P298" s="352"/>
      <c r="Q298" s="352"/>
      <c r="R298" s="352"/>
      <c r="S298" s="352"/>
      <c r="T298" s="352"/>
      <c r="U298" s="352"/>
      <c r="V298" s="352"/>
    </row>
    <row r="299">
      <c r="A299" s="352"/>
      <c r="B299" s="352"/>
      <c r="C299" s="352"/>
      <c r="D299" s="352"/>
      <c r="E299" s="352"/>
      <c r="F299" s="352"/>
      <c r="G299" s="352"/>
      <c r="H299" s="352"/>
      <c r="I299" s="352"/>
      <c r="J299" s="352"/>
      <c r="K299" s="352"/>
      <c r="L299" s="352"/>
      <c r="M299" s="352"/>
      <c r="N299" s="352"/>
      <c r="O299" s="352"/>
      <c r="P299" s="352"/>
      <c r="Q299" s="352"/>
      <c r="R299" s="352"/>
      <c r="S299" s="352"/>
      <c r="T299" s="352"/>
      <c r="U299" s="352"/>
      <c r="V299" s="352"/>
    </row>
    <row r="300">
      <c r="A300" s="352"/>
      <c r="B300" s="352"/>
      <c r="C300" s="352"/>
      <c r="D300" s="352"/>
      <c r="E300" s="352"/>
      <c r="F300" s="352"/>
      <c r="G300" s="352"/>
      <c r="H300" s="352"/>
      <c r="I300" s="352"/>
      <c r="J300" s="352"/>
      <c r="K300" s="352"/>
      <c r="L300" s="352"/>
      <c r="M300" s="352"/>
      <c r="N300" s="352"/>
      <c r="O300" s="352"/>
      <c r="P300" s="352"/>
      <c r="Q300" s="352"/>
      <c r="R300" s="352"/>
      <c r="S300" s="352"/>
      <c r="T300" s="352"/>
      <c r="U300" s="352"/>
      <c r="V300" s="352"/>
    </row>
    <row r="301">
      <c r="A301" s="352"/>
      <c r="B301" s="352"/>
      <c r="C301" s="352"/>
      <c r="D301" s="352"/>
      <c r="E301" s="352"/>
      <c r="F301" s="352"/>
      <c r="G301" s="352"/>
      <c r="H301" s="352"/>
      <c r="I301" s="352"/>
      <c r="J301" s="352"/>
      <c r="K301" s="352"/>
      <c r="L301" s="352"/>
      <c r="M301" s="352"/>
      <c r="N301" s="352"/>
      <c r="O301" s="352"/>
      <c r="P301" s="352"/>
      <c r="Q301" s="352"/>
      <c r="R301" s="352"/>
      <c r="S301" s="352"/>
      <c r="T301" s="352"/>
      <c r="U301" s="352"/>
      <c r="V301" s="352"/>
    </row>
    <row r="302">
      <c r="A302" s="352"/>
      <c r="B302" s="352"/>
      <c r="C302" s="352"/>
      <c r="D302" s="352"/>
      <c r="E302" s="352"/>
      <c r="F302" s="352"/>
      <c r="G302" s="352"/>
      <c r="H302" s="352"/>
      <c r="I302" s="352"/>
      <c r="J302" s="352"/>
      <c r="K302" s="352"/>
      <c r="L302" s="352"/>
      <c r="M302" s="352"/>
      <c r="N302" s="352"/>
      <c r="O302" s="352"/>
      <c r="P302" s="352"/>
      <c r="Q302" s="352"/>
      <c r="R302" s="352"/>
      <c r="S302" s="352"/>
      <c r="T302" s="352"/>
      <c r="U302" s="352"/>
      <c r="V302" s="352"/>
    </row>
    <row r="303">
      <c r="A303" s="352"/>
      <c r="B303" s="352"/>
      <c r="C303" s="352"/>
      <c r="D303" s="352"/>
      <c r="E303" s="352"/>
      <c r="F303" s="352"/>
      <c r="G303" s="352"/>
      <c r="H303" s="352"/>
      <c r="I303" s="352"/>
      <c r="J303" s="352"/>
      <c r="K303" s="352"/>
      <c r="L303" s="352"/>
      <c r="M303" s="352"/>
      <c r="N303" s="352"/>
      <c r="O303" s="352"/>
      <c r="P303" s="352"/>
      <c r="Q303" s="352"/>
      <c r="R303" s="352"/>
      <c r="S303" s="352"/>
      <c r="T303" s="352"/>
      <c r="U303" s="352"/>
      <c r="V303" s="352"/>
    </row>
    <row r="304">
      <c r="A304" s="352"/>
      <c r="B304" s="352"/>
      <c r="C304" s="352"/>
      <c r="D304" s="352"/>
      <c r="E304" s="352"/>
      <c r="F304" s="352"/>
      <c r="G304" s="352"/>
      <c r="H304" s="352"/>
      <c r="I304" s="352"/>
      <c r="J304" s="352"/>
      <c r="K304" s="352"/>
      <c r="L304" s="352"/>
      <c r="M304" s="352"/>
      <c r="N304" s="352"/>
      <c r="O304" s="352"/>
      <c r="P304" s="352"/>
      <c r="Q304" s="352"/>
      <c r="R304" s="352"/>
      <c r="S304" s="352"/>
      <c r="T304" s="352"/>
      <c r="U304" s="352"/>
      <c r="V304" s="352"/>
    </row>
    <row r="305">
      <c r="A305" s="352"/>
      <c r="B305" s="352"/>
      <c r="C305" s="352"/>
      <c r="D305" s="352"/>
      <c r="E305" s="352"/>
      <c r="F305" s="352"/>
      <c r="G305" s="352"/>
      <c r="H305" s="352"/>
      <c r="I305" s="352"/>
      <c r="J305" s="352"/>
      <c r="K305" s="352"/>
      <c r="L305" s="352"/>
      <c r="M305" s="352"/>
      <c r="N305" s="352"/>
      <c r="O305" s="352"/>
      <c r="P305" s="352"/>
      <c r="Q305" s="352"/>
      <c r="R305" s="352"/>
      <c r="S305" s="352"/>
      <c r="T305" s="352"/>
      <c r="U305" s="352"/>
      <c r="V305" s="352"/>
    </row>
    <row r="306">
      <c r="A306" s="352"/>
      <c r="B306" s="352"/>
      <c r="C306" s="352"/>
      <c r="D306" s="352"/>
      <c r="E306" s="352"/>
      <c r="F306" s="352"/>
      <c r="G306" s="352"/>
      <c r="H306" s="352"/>
      <c r="I306" s="352"/>
      <c r="J306" s="352"/>
      <c r="K306" s="352"/>
      <c r="L306" s="352"/>
      <c r="M306" s="352"/>
      <c r="N306" s="352"/>
      <c r="O306" s="352"/>
      <c r="P306" s="352"/>
      <c r="Q306" s="352"/>
      <c r="R306" s="352"/>
      <c r="S306" s="352"/>
      <c r="T306" s="352"/>
      <c r="U306" s="352"/>
      <c r="V306" s="352"/>
    </row>
    <row r="307">
      <c r="A307" s="352"/>
      <c r="B307" s="352"/>
      <c r="C307" s="352"/>
      <c r="D307" s="352"/>
      <c r="E307" s="352"/>
      <c r="F307" s="352"/>
      <c r="G307" s="352"/>
      <c r="H307" s="352"/>
      <c r="I307" s="352"/>
      <c r="J307" s="352"/>
      <c r="K307" s="352"/>
      <c r="L307" s="352"/>
      <c r="M307" s="352"/>
      <c r="N307" s="352"/>
      <c r="O307" s="352"/>
      <c r="P307" s="352"/>
      <c r="Q307" s="352"/>
      <c r="R307" s="352"/>
      <c r="S307" s="352"/>
      <c r="T307" s="352"/>
      <c r="U307" s="352"/>
      <c r="V307" s="352"/>
    </row>
    <row r="308">
      <c r="A308" s="352"/>
      <c r="B308" s="352"/>
      <c r="C308" s="352"/>
      <c r="D308" s="352"/>
      <c r="E308" s="352"/>
      <c r="F308" s="352"/>
      <c r="G308" s="352"/>
      <c r="H308" s="352"/>
      <c r="I308" s="352"/>
      <c r="J308" s="352"/>
      <c r="K308" s="352"/>
      <c r="L308" s="352"/>
      <c r="M308" s="352"/>
      <c r="N308" s="352"/>
      <c r="O308" s="352"/>
      <c r="P308" s="352"/>
      <c r="Q308" s="352"/>
      <c r="R308" s="352"/>
      <c r="S308" s="352"/>
      <c r="T308" s="352"/>
      <c r="U308" s="352"/>
      <c r="V308" s="352"/>
    </row>
    <row r="309">
      <c r="A309" s="352"/>
      <c r="B309" s="352"/>
      <c r="C309" s="352"/>
      <c r="D309" s="352"/>
      <c r="E309" s="352"/>
      <c r="F309" s="352"/>
      <c r="G309" s="352"/>
      <c r="H309" s="352"/>
      <c r="I309" s="352"/>
      <c r="J309" s="352"/>
      <c r="K309" s="352"/>
      <c r="L309" s="352"/>
      <c r="M309" s="352"/>
      <c r="N309" s="352"/>
      <c r="O309" s="352"/>
      <c r="P309" s="352"/>
      <c r="Q309" s="352"/>
      <c r="R309" s="352"/>
      <c r="S309" s="352"/>
      <c r="T309" s="352"/>
      <c r="U309" s="352"/>
      <c r="V309" s="352"/>
    </row>
    <row r="310">
      <c r="A310" s="352"/>
      <c r="B310" s="352"/>
      <c r="C310" s="352"/>
      <c r="D310" s="352"/>
      <c r="E310" s="352"/>
      <c r="F310" s="352"/>
      <c r="G310" s="352"/>
      <c r="H310" s="352"/>
      <c r="I310" s="352"/>
      <c r="J310" s="352"/>
      <c r="K310" s="352"/>
      <c r="L310" s="352"/>
      <c r="M310" s="352"/>
      <c r="N310" s="352"/>
      <c r="O310" s="352"/>
      <c r="P310" s="352"/>
      <c r="Q310" s="352"/>
      <c r="R310" s="352"/>
      <c r="S310" s="352"/>
      <c r="T310" s="352"/>
      <c r="U310" s="352"/>
      <c r="V310" s="352"/>
    </row>
    <row r="311">
      <c r="A311" s="352"/>
      <c r="B311" s="352"/>
      <c r="C311" s="352"/>
      <c r="D311" s="352"/>
      <c r="E311" s="352"/>
      <c r="F311" s="352"/>
      <c r="G311" s="352"/>
      <c r="H311" s="352"/>
      <c r="I311" s="352"/>
      <c r="J311" s="352"/>
      <c r="K311" s="352"/>
      <c r="L311" s="352"/>
      <c r="M311" s="352"/>
      <c r="N311" s="352"/>
      <c r="O311" s="352"/>
      <c r="P311" s="352"/>
      <c r="Q311" s="352"/>
      <c r="R311" s="352"/>
      <c r="S311" s="352"/>
      <c r="T311" s="352"/>
      <c r="U311" s="352"/>
      <c r="V311" s="352"/>
    </row>
    <row r="312">
      <c r="A312" s="352"/>
      <c r="B312" s="352"/>
      <c r="C312" s="352"/>
      <c r="D312" s="352"/>
      <c r="E312" s="352"/>
      <c r="F312" s="352"/>
      <c r="G312" s="352"/>
      <c r="H312" s="352"/>
      <c r="I312" s="352"/>
      <c r="J312" s="352"/>
      <c r="K312" s="352"/>
      <c r="L312" s="352"/>
      <c r="M312" s="352"/>
      <c r="N312" s="352"/>
      <c r="O312" s="352"/>
      <c r="P312" s="352"/>
      <c r="Q312" s="352"/>
      <c r="R312" s="352"/>
      <c r="S312" s="352"/>
      <c r="T312" s="352"/>
      <c r="U312" s="352"/>
      <c r="V312" s="352"/>
    </row>
    <row r="313">
      <c r="A313" s="352"/>
      <c r="B313" s="352"/>
      <c r="C313" s="352"/>
      <c r="D313" s="352"/>
      <c r="E313" s="352"/>
      <c r="F313" s="352"/>
      <c r="G313" s="352"/>
      <c r="H313" s="352"/>
      <c r="I313" s="352"/>
      <c r="J313" s="352"/>
      <c r="K313" s="352"/>
      <c r="L313" s="352"/>
      <c r="M313" s="352"/>
      <c r="N313" s="352"/>
      <c r="O313" s="352"/>
      <c r="P313" s="352"/>
      <c r="Q313" s="352"/>
      <c r="R313" s="352"/>
      <c r="S313" s="352"/>
      <c r="T313" s="352"/>
      <c r="U313" s="352"/>
      <c r="V313" s="352"/>
    </row>
    <row r="314">
      <c r="A314" s="352"/>
      <c r="B314" s="352"/>
      <c r="C314" s="352"/>
      <c r="D314" s="352"/>
      <c r="E314" s="352"/>
      <c r="F314" s="352"/>
      <c r="G314" s="352"/>
      <c r="H314" s="352"/>
      <c r="I314" s="352"/>
      <c r="J314" s="352"/>
      <c r="K314" s="352"/>
      <c r="L314" s="352"/>
      <c r="M314" s="352"/>
      <c r="N314" s="352"/>
      <c r="O314" s="352"/>
      <c r="P314" s="352"/>
      <c r="Q314" s="352"/>
      <c r="R314" s="352"/>
      <c r="S314" s="352"/>
      <c r="T314" s="352"/>
      <c r="U314" s="352"/>
      <c r="V314" s="352"/>
    </row>
    <row r="315">
      <c r="A315" s="352"/>
      <c r="B315" s="352"/>
      <c r="C315" s="352"/>
      <c r="D315" s="352"/>
      <c r="E315" s="352"/>
      <c r="F315" s="352"/>
      <c r="G315" s="352"/>
      <c r="H315" s="352"/>
      <c r="I315" s="352"/>
      <c r="J315" s="352"/>
      <c r="K315" s="352"/>
      <c r="L315" s="352"/>
      <c r="M315" s="352"/>
      <c r="N315" s="352"/>
      <c r="O315" s="352"/>
      <c r="P315" s="352"/>
      <c r="Q315" s="352"/>
      <c r="R315" s="352"/>
      <c r="S315" s="352"/>
      <c r="T315" s="352"/>
      <c r="U315" s="352"/>
      <c r="V315" s="352"/>
    </row>
    <row r="316">
      <c r="A316" s="352"/>
      <c r="B316" s="352"/>
      <c r="C316" s="352"/>
      <c r="D316" s="352"/>
      <c r="E316" s="352"/>
      <c r="F316" s="352"/>
      <c r="G316" s="352"/>
      <c r="H316" s="352"/>
      <c r="I316" s="352"/>
      <c r="J316" s="352"/>
      <c r="K316" s="352"/>
      <c r="L316" s="352"/>
      <c r="M316" s="352"/>
      <c r="N316" s="352"/>
      <c r="O316" s="352"/>
      <c r="P316" s="352"/>
      <c r="Q316" s="352"/>
      <c r="R316" s="352"/>
      <c r="S316" s="352"/>
      <c r="T316" s="352"/>
      <c r="U316" s="352"/>
      <c r="V316" s="352"/>
    </row>
    <row r="317">
      <c r="A317" s="352"/>
      <c r="B317" s="352"/>
      <c r="C317" s="352"/>
      <c r="D317" s="352"/>
      <c r="E317" s="352"/>
      <c r="F317" s="352"/>
      <c r="G317" s="352"/>
      <c r="H317" s="352"/>
      <c r="I317" s="352"/>
      <c r="J317" s="352"/>
      <c r="K317" s="352"/>
      <c r="L317" s="352"/>
      <c r="M317" s="352"/>
      <c r="N317" s="352"/>
      <c r="O317" s="352"/>
      <c r="P317" s="352"/>
      <c r="Q317" s="352"/>
      <c r="R317" s="352"/>
      <c r="S317" s="352"/>
      <c r="T317" s="352"/>
      <c r="U317" s="352"/>
      <c r="V317" s="352"/>
    </row>
    <row r="318">
      <c r="A318" s="352"/>
      <c r="B318" s="352"/>
      <c r="C318" s="352"/>
      <c r="D318" s="352"/>
      <c r="E318" s="352"/>
      <c r="F318" s="352"/>
      <c r="G318" s="352"/>
      <c r="H318" s="352"/>
      <c r="I318" s="352"/>
      <c r="J318" s="352"/>
      <c r="K318" s="352"/>
      <c r="L318" s="352"/>
      <c r="M318" s="352"/>
      <c r="N318" s="352"/>
      <c r="O318" s="352"/>
      <c r="P318" s="352"/>
      <c r="Q318" s="352"/>
      <c r="R318" s="352"/>
      <c r="S318" s="352"/>
      <c r="T318" s="352"/>
      <c r="U318" s="352"/>
      <c r="V318" s="352"/>
    </row>
    <row r="319">
      <c r="A319" s="352"/>
      <c r="B319" s="352"/>
      <c r="C319" s="352"/>
      <c r="D319" s="352"/>
      <c r="E319" s="352"/>
      <c r="F319" s="352"/>
      <c r="G319" s="352"/>
      <c r="H319" s="352"/>
      <c r="I319" s="352"/>
      <c r="J319" s="352"/>
      <c r="K319" s="352"/>
      <c r="L319" s="352"/>
      <c r="M319" s="352"/>
      <c r="N319" s="352"/>
      <c r="O319" s="352"/>
      <c r="P319" s="352"/>
      <c r="Q319" s="352"/>
      <c r="R319" s="352"/>
      <c r="S319" s="352"/>
      <c r="T319" s="352"/>
      <c r="U319" s="352"/>
      <c r="V319" s="352"/>
    </row>
    <row r="320">
      <c r="A320" s="352"/>
      <c r="B320" s="352"/>
      <c r="C320" s="352"/>
      <c r="D320" s="352"/>
      <c r="E320" s="352"/>
      <c r="F320" s="352"/>
      <c r="G320" s="352"/>
      <c r="H320" s="352"/>
      <c r="I320" s="352"/>
      <c r="J320" s="352"/>
      <c r="K320" s="352"/>
      <c r="L320" s="352"/>
      <c r="M320" s="352"/>
      <c r="N320" s="352"/>
      <c r="O320" s="352"/>
      <c r="P320" s="352"/>
      <c r="Q320" s="352"/>
      <c r="R320" s="352"/>
      <c r="S320" s="352"/>
      <c r="T320" s="352"/>
      <c r="U320" s="352"/>
      <c r="V320" s="352"/>
    </row>
    <row r="321">
      <c r="A321" s="352"/>
      <c r="B321" s="352"/>
      <c r="C321" s="352"/>
      <c r="D321" s="352"/>
      <c r="E321" s="352"/>
      <c r="F321" s="352"/>
      <c r="G321" s="352"/>
      <c r="H321" s="352"/>
      <c r="I321" s="352"/>
      <c r="J321" s="352"/>
      <c r="K321" s="352"/>
      <c r="L321" s="352"/>
      <c r="M321" s="352"/>
      <c r="N321" s="352"/>
      <c r="O321" s="352"/>
      <c r="P321" s="352"/>
      <c r="Q321" s="352"/>
      <c r="R321" s="352"/>
      <c r="S321" s="352"/>
      <c r="T321" s="352"/>
      <c r="U321" s="352"/>
      <c r="V321" s="352"/>
    </row>
    <row r="322">
      <c r="A322" s="352"/>
      <c r="B322" s="352"/>
      <c r="C322" s="352"/>
      <c r="D322" s="352"/>
      <c r="E322" s="352"/>
      <c r="F322" s="352"/>
      <c r="G322" s="352"/>
      <c r="H322" s="352"/>
      <c r="I322" s="352"/>
      <c r="J322" s="352"/>
      <c r="K322" s="352"/>
      <c r="L322" s="352"/>
      <c r="M322" s="352"/>
      <c r="N322" s="352"/>
      <c r="O322" s="352"/>
      <c r="P322" s="352"/>
      <c r="Q322" s="352"/>
      <c r="R322" s="352"/>
      <c r="S322" s="352"/>
      <c r="T322" s="352"/>
      <c r="U322" s="352"/>
      <c r="V322" s="352"/>
    </row>
    <row r="323">
      <c r="A323" s="352"/>
      <c r="B323" s="352"/>
      <c r="C323" s="352"/>
      <c r="D323" s="352"/>
      <c r="E323" s="352"/>
      <c r="F323" s="352"/>
      <c r="G323" s="352"/>
      <c r="H323" s="352"/>
      <c r="I323" s="352"/>
      <c r="J323" s="352"/>
      <c r="K323" s="352"/>
      <c r="L323" s="352"/>
      <c r="M323" s="352"/>
      <c r="N323" s="352"/>
      <c r="O323" s="352"/>
      <c r="P323" s="352"/>
      <c r="Q323" s="352"/>
      <c r="R323" s="352"/>
      <c r="S323" s="352"/>
      <c r="T323" s="352"/>
      <c r="U323" s="352"/>
      <c r="V323" s="352"/>
    </row>
    <row r="324">
      <c r="A324" s="352"/>
      <c r="B324" s="352"/>
      <c r="C324" s="352"/>
      <c r="D324" s="352"/>
      <c r="E324" s="352"/>
      <c r="F324" s="352"/>
      <c r="G324" s="352"/>
      <c r="H324" s="352"/>
      <c r="I324" s="352"/>
      <c r="J324" s="352"/>
      <c r="K324" s="352"/>
      <c r="L324" s="352"/>
      <c r="M324" s="352"/>
      <c r="N324" s="352"/>
      <c r="O324" s="352"/>
      <c r="P324" s="352"/>
      <c r="Q324" s="352"/>
      <c r="R324" s="352"/>
      <c r="S324" s="352"/>
      <c r="T324" s="352"/>
      <c r="U324" s="352"/>
      <c r="V324" s="352"/>
    </row>
    <row r="325">
      <c r="A325" s="352"/>
      <c r="B325" s="352"/>
      <c r="C325" s="352"/>
      <c r="D325" s="352"/>
      <c r="E325" s="352"/>
      <c r="F325" s="352"/>
      <c r="G325" s="352"/>
      <c r="H325" s="352"/>
      <c r="I325" s="352"/>
      <c r="J325" s="352"/>
      <c r="K325" s="352"/>
      <c r="L325" s="352"/>
      <c r="M325" s="352"/>
      <c r="N325" s="352"/>
      <c r="O325" s="352"/>
      <c r="P325" s="352"/>
      <c r="Q325" s="352"/>
      <c r="R325" s="352"/>
      <c r="S325" s="352"/>
      <c r="T325" s="352"/>
      <c r="U325" s="352"/>
      <c r="V325" s="352"/>
    </row>
    <row r="326">
      <c r="A326" s="352"/>
      <c r="B326" s="352"/>
      <c r="C326" s="352"/>
      <c r="D326" s="352"/>
      <c r="E326" s="352"/>
      <c r="F326" s="352"/>
      <c r="G326" s="352"/>
      <c r="H326" s="352"/>
      <c r="I326" s="352"/>
      <c r="J326" s="352"/>
      <c r="K326" s="352"/>
      <c r="L326" s="352"/>
      <c r="M326" s="352"/>
      <c r="N326" s="352"/>
      <c r="O326" s="352"/>
      <c r="P326" s="352"/>
      <c r="Q326" s="352"/>
      <c r="R326" s="352"/>
      <c r="S326" s="352"/>
      <c r="T326" s="352"/>
      <c r="U326" s="352"/>
      <c r="V326" s="352"/>
    </row>
    <row r="327">
      <c r="A327" s="352"/>
      <c r="B327" s="352"/>
      <c r="C327" s="352"/>
      <c r="D327" s="352"/>
      <c r="E327" s="352"/>
      <c r="F327" s="352"/>
      <c r="G327" s="352"/>
      <c r="H327" s="352"/>
      <c r="I327" s="352"/>
      <c r="J327" s="352"/>
      <c r="K327" s="352"/>
      <c r="L327" s="352"/>
      <c r="M327" s="352"/>
      <c r="N327" s="352"/>
      <c r="O327" s="352"/>
      <c r="P327" s="352"/>
      <c r="Q327" s="352"/>
      <c r="R327" s="352"/>
      <c r="S327" s="352"/>
      <c r="T327" s="352"/>
      <c r="U327" s="352"/>
      <c r="V327" s="352"/>
    </row>
    <row r="328">
      <c r="A328" s="352"/>
      <c r="B328" s="352"/>
      <c r="C328" s="352"/>
      <c r="D328" s="352"/>
      <c r="E328" s="352"/>
      <c r="F328" s="352"/>
      <c r="G328" s="352"/>
      <c r="H328" s="352"/>
      <c r="I328" s="352"/>
      <c r="J328" s="352"/>
      <c r="K328" s="352"/>
      <c r="L328" s="352"/>
      <c r="M328" s="352"/>
      <c r="N328" s="352"/>
      <c r="O328" s="352"/>
      <c r="P328" s="352"/>
      <c r="Q328" s="352"/>
      <c r="R328" s="352"/>
      <c r="S328" s="352"/>
      <c r="T328" s="352"/>
      <c r="U328" s="352"/>
      <c r="V328" s="352"/>
    </row>
    <row r="329">
      <c r="A329" s="352"/>
      <c r="B329" s="352"/>
      <c r="C329" s="352"/>
      <c r="D329" s="352"/>
      <c r="E329" s="352"/>
      <c r="F329" s="352"/>
      <c r="G329" s="352"/>
      <c r="H329" s="352"/>
      <c r="I329" s="352"/>
      <c r="J329" s="352"/>
      <c r="K329" s="352"/>
      <c r="L329" s="352"/>
      <c r="M329" s="352"/>
      <c r="N329" s="352"/>
      <c r="O329" s="352"/>
      <c r="P329" s="352"/>
      <c r="Q329" s="352"/>
      <c r="R329" s="352"/>
      <c r="S329" s="352"/>
      <c r="T329" s="352"/>
      <c r="U329" s="352"/>
      <c r="V329" s="352"/>
    </row>
    <row r="330">
      <c r="A330" s="352"/>
      <c r="B330" s="352"/>
      <c r="C330" s="352"/>
      <c r="D330" s="352"/>
      <c r="E330" s="352"/>
      <c r="F330" s="352"/>
      <c r="G330" s="352"/>
      <c r="H330" s="352"/>
      <c r="I330" s="352"/>
      <c r="J330" s="352"/>
      <c r="K330" s="352"/>
      <c r="L330" s="352"/>
      <c r="M330" s="352"/>
      <c r="N330" s="352"/>
      <c r="O330" s="352"/>
      <c r="P330" s="352"/>
      <c r="Q330" s="352"/>
      <c r="R330" s="352"/>
      <c r="S330" s="352"/>
      <c r="T330" s="352"/>
      <c r="U330" s="352"/>
      <c r="V330" s="352"/>
    </row>
    <row r="331">
      <c r="A331" s="352"/>
      <c r="B331" s="352"/>
      <c r="C331" s="352"/>
      <c r="D331" s="352"/>
      <c r="E331" s="352"/>
      <c r="F331" s="352"/>
      <c r="G331" s="352"/>
      <c r="H331" s="352"/>
      <c r="I331" s="352"/>
      <c r="J331" s="352"/>
      <c r="K331" s="352"/>
      <c r="L331" s="352"/>
      <c r="M331" s="352"/>
      <c r="N331" s="352"/>
      <c r="O331" s="352"/>
      <c r="P331" s="352"/>
      <c r="Q331" s="352"/>
      <c r="R331" s="352"/>
      <c r="S331" s="352"/>
      <c r="T331" s="352"/>
      <c r="U331" s="352"/>
      <c r="V331" s="352"/>
    </row>
    <row r="332">
      <c r="A332" s="352"/>
      <c r="B332" s="352"/>
      <c r="C332" s="352"/>
      <c r="D332" s="352"/>
      <c r="E332" s="352"/>
      <c r="F332" s="352"/>
      <c r="G332" s="352"/>
      <c r="H332" s="352"/>
      <c r="I332" s="352"/>
      <c r="J332" s="352"/>
      <c r="K332" s="352"/>
      <c r="L332" s="352"/>
      <c r="M332" s="352"/>
      <c r="N332" s="352"/>
      <c r="O332" s="352"/>
      <c r="P332" s="352"/>
      <c r="Q332" s="352"/>
      <c r="R332" s="352"/>
      <c r="S332" s="352"/>
      <c r="T332" s="352"/>
      <c r="U332" s="352"/>
      <c r="V332" s="352"/>
    </row>
    <row r="333">
      <c r="A333" s="352"/>
      <c r="B333" s="352"/>
      <c r="C333" s="352"/>
      <c r="D333" s="352"/>
      <c r="E333" s="352"/>
      <c r="F333" s="352"/>
      <c r="G333" s="352"/>
      <c r="H333" s="352"/>
      <c r="I333" s="352"/>
      <c r="J333" s="352"/>
      <c r="K333" s="352"/>
      <c r="L333" s="352"/>
      <c r="M333" s="352"/>
      <c r="N333" s="352"/>
      <c r="O333" s="352"/>
      <c r="P333" s="352"/>
      <c r="Q333" s="352"/>
      <c r="R333" s="352"/>
      <c r="S333" s="352"/>
      <c r="T333" s="352"/>
      <c r="U333" s="352"/>
      <c r="V333" s="352"/>
    </row>
    <row r="334">
      <c r="A334" s="352"/>
      <c r="B334" s="352"/>
      <c r="C334" s="352"/>
      <c r="D334" s="352"/>
      <c r="E334" s="352"/>
      <c r="F334" s="352"/>
      <c r="G334" s="352"/>
      <c r="H334" s="352"/>
      <c r="I334" s="352"/>
      <c r="J334" s="352"/>
      <c r="K334" s="352"/>
      <c r="L334" s="352"/>
      <c r="M334" s="352"/>
      <c r="N334" s="352"/>
      <c r="O334" s="352"/>
      <c r="P334" s="352"/>
      <c r="Q334" s="352"/>
      <c r="R334" s="352"/>
      <c r="S334" s="352"/>
      <c r="T334" s="352"/>
      <c r="U334" s="352"/>
      <c r="V334" s="352"/>
    </row>
    <row r="335">
      <c r="A335" s="352"/>
      <c r="B335" s="352"/>
      <c r="C335" s="352"/>
      <c r="D335" s="352"/>
      <c r="E335" s="352"/>
      <c r="F335" s="352"/>
      <c r="G335" s="352"/>
      <c r="H335" s="352"/>
      <c r="I335" s="352"/>
      <c r="J335" s="352"/>
      <c r="K335" s="352"/>
      <c r="L335" s="352"/>
      <c r="M335" s="352"/>
      <c r="N335" s="352"/>
      <c r="O335" s="352"/>
      <c r="P335" s="352"/>
      <c r="Q335" s="352"/>
      <c r="R335" s="352"/>
      <c r="S335" s="352"/>
      <c r="T335" s="352"/>
      <c r="U335" s="352"/>
      <c r="V335" s="352"/>
    </row>
    <row r="336">
      <c r="A336" s="352"/>
      <c r="B336" s="352"/>
      <c r="C336" s="352"/>
      <c r="D336" s="352"/>
      <c r="E336" s="352"/>
      <c r="F336" s="352"/>
      <c r="G336" s="352"/>
      <c r="H336" s="352"/>
      <c r="I336" s="352"/>
      <c r="J336" s="352"/>
      <c r="K336" s="352"/>
      <c r="L336" s="352"/>
      <c r="M336" s="352"/>
      <c r="N336" s="352"/>
      <c r="O336" s="352"/>
      <c r="P336" s="352"/>
      <c r="Q336" s="352"/>
      <c r="R336" s="352"/>
      <c r="S336" s="352"/>
      <c r="T336" s="352"/>
      <c r="U336" s="352"/>
      <c r="V336" s="352"/>
    </row>
    <row r="337">
      <c r="A337" s="352"/>
      <c r="B337" s="352"/>
      <c r="C337" s="352"/>
      <c r="D337" s="352"/>
      <c r="E337" s="352"/>
      <c r="F337" s="352"/>
      <c r="G337" s="352"/>
      <c r="H337" s="352"/>
      <c r="I337" s="352"/>
      <c r="J337" s="352"/>
      <c r="K337" s="352"/>
      <c r="L337" s="352"/>
      <c r="M337" s="352"/>
      <c r="N337" s="352"/>
      <c r="O337" s="352"/>
      <c r="P337" s="352"/>
      <c r="Q337" s="352"/>
      <c r="R337" s="352"/>
      <c r="S337" s="352"/>
      <c r="T337" s="352"/>
      <c r="U337" s="352"/>
      <c r="V337" s="352"/>
    </row>
    <row r="338">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2"/>
    </row>
    <row r="339">
      <c r="A339" s="352"/>
      <c r="B339" s="352"/>
      <c r="C339" s="352"/>
      <c r="D339" s="352"/>
      <c r="E339" s="352"/>
      <c r="F339" s="352"/>
      <c r="G339" s="352"/>
      <c r="H339" s="352"/>
      <c r="I339" s="352"/>
      <c r="J339" s="352"/>
      <c r="K339" s="352"/>
      <c r="L339" s="352"/>
      <c r="M339" s="352"/>
      <c r="N339" s="352"/>
      <c r="O339" s="352"/>
      <c r="P339" s="352"/>
      <c r="Q339" s="352"/>
      <c r="R339" s="352"/>
      <c r="S339" s="352"/>
      <c r="T339" s="352"/>
      <c r="U339" s="352"/>
      <c r="V339" s="352"/>
    </row>
    <row r="340">
      <c r="A340" s="352"/>
      <c r="B340" s="352"/>
      <c r="C340" s="352"/>
      <c r="D340" s="352"/>
      <c r="E340" s="352"/>
      <c r="F340" s="352"/>
      <c r="G340" s="352"/>
      <c r="H340" s="352"/>
      <c r="I340" s="352"/>
      <c r="J340" s="352"/>
      <c r="K340" s="352"/>
      <c r="L340" s="352"/>
      <c r="M340" s="352"/>
      <c r="N340" s="352"/>
      <c r="O340" s="352"/>
      <c r="P340" s="352"/>
      <c r="Q340" s="352"/>
      <c r="R340" s="352"/>
      <c r="S340" s="352"/>
      <c r="T340" s="352"/>
      <c r="U340" s="352"/>
      <c r="V340" s="352"/>
    </row>
    <row r="341">
      <c r="A341" s="352"/>
      <c r="B341" s="352"/>
      <c r="C341" s="352"/>
      <c r="D341" s="352"/>
      <c r="E341" s="352"/>
      <c r="F341" s="352"/>
      <c r="G341" s="352"/>
      <c r="H341" s="352"/>
      <c r="I341" s="352"/>
      <c r="J341" s="352"/>
      <c r="K341" s="352"/>
      <c r="L341" s="352"/>
      <c r="M341" s="352"/>
      <c r="N341" s="352"/>
      <c r="O341" s="352"/>
      <c r="P341" s="352"/>
      <c r="Q341" s="352"/>
      <c r="R341" s="352"/>
      <c r="S341" s="352"/>
      <c r="T341" s="352"/>
      <c r="U341" s="352"/>
      <c r="V341" s="352"/>
    </row>
    <row r="342">
      <c r="A342" s="352"/>
      <c r="B342" s="352"/>
      <c r="C342" s="352"/>
      <c r="D342" s="352"/>
      <c r="E342" s="352"/>
      <c r="F342" s="352"/>
      <c r="G342" s="352"/>
      <c r="H342" s="352"/>
      <c r="I342" s="352"/>
      <c r="J342" s="352"/>
      <c r="K342" s="352"/>
      <c r="L342" s="352"/>
      <c r="M342" s="352"/>
      <c r="N342" s="352"/>
      <c r="O342" s="352"/>
      <c r="P342" s="352"/>
      <c r="Q342" s="352"/>
      <c r="R342" s="352"/>
      <c r="S342" s="352"/>
      <c r="T342" s="352"/>
      <c r="U342" s="352"/>
      <c r="V342" s="352"/>
    </row>
    <row r="343">
      <c r="A343" s="352"/>
      <c r="B343" s="352"/>
      <c r="C343" s="352"/>
      <c r="D343" s="352"/>
      <c r="E343" s="352"/>
      <c r="F343" s="352"/>
      <c r="G343" s="352"/>
      <c r="H343" s="352"/>
      <c r="I343" s="352"/>
      <c r="J343" s="352"/>
      <c r="K343" s="352"/>
      <c r="L343" s="352"/>
      <c r="M343" s="352"/>
      <c r="N343" s="352"/>
      <c r="O343" s="352"/>
      <c r="P343" s="352"/>
      <c r="Q343" s="352"/>
      <c r="R343" s="352"/>
      <c r="S343" s="352"/>
      <c r="T343" s="352"/>
      <c r="U343" s="352"/>
      <c r="V343" s="352"/>
    </row>
    <row r="344">
      <c r="A344" s="352"/>
      <c r="B344" s="352"/>
      <c r="C344" s="352"/>
      <c r="D344" s="352"/>
      <c r="E344" s="352"/>
      <c r="F344" s="352"/>
      <c r="G344" s="352"/>
      <c r="H344" s="352"/>
      <c r="I344" s="352"/>
      <c r="J344" s="352"/>
      <c r="K344" s="352"/>
      <c r="L344" s="352"/>
      <c r="M344" s="352"/>
      <c r="N344" s="352"/>
      <c r="O344" s="352"/>
      <c r="P344" s="352"/>
      <c r="Q344" s="352"/>
      <c r="R344" s="352"/>
      <c r="S344" s="352"/>
      <c r="T344" s="352"/>
      <c r="U344" s="352"/>
      <c r="V344" s="352"/>
    </row>
    <row r="345">
      <c r="A345" s="352"/>
      <c r="B345" s="352"/>
      <c r="C345" s="352"/>
      <c r="D345" s="352"/>
      <c r="E345" s="352"/>
      <c r="F345" s="352"/>
      <c r="G345" s="352"/>
      <c r="H345" s="352"/>
      <c r="I345" s="352"/>
      <c r="J345" s="352"/>
      <c r="K345" s="352"/>
      <c r="L345" s="352"/>
      <c r="M345" s="352"/>
      <c r="N345" s="352"/>
      <c r="O345" s="352"/>
      <c r="P345" s="352"/>
      <c r="Q345" s="352"/>
      <c r="R345" s="352"/>
      <c r="S345" s="352"/>
      <c r="T345" s="352"/>
      <c r="U345" s="352"/>
      <c r="V345" s="352"/>
    </row>
    <row r="346">
      <c r="A346" s="352"/>
      <c r="B346" s="352"/>
      <c r="C346" s="352"/>
      <c r="D346" s="352"/>
      <c r="E346" s="352"/>
      <c r="F346" s="352"/>
      <c r="G346" s="352"/>
      <c r="H346" s="352"/>
      <c r="I346" s="352"/>
      <c r="J346" s="352"/>
      <c r="K346" s="352"/>
      <c r="L346" s="352"/>
      <c r="M346" s="352"/>
      <c r="N346" s="352"/>
      <c r="O346" s="352"/>
      <c r="P346" s="352"/>
      <c r="Q346" s="352"/>
      <c r="R346" s="352"/>
      <c r="S346" s="352"/>
      <c r="T346" s="352"/>
      <c r="U346" s="352"/>
      <c r="V346" s="352"/>
    </row>
    <row r="347">
      <c r="A347" s="352"/>
      <c r="B347" s="352"/>
      <c r="C347" s="352"/>
      <c r="D347" s="352"/>
      <c r="E347" s="352"/>
      <c r="F347" s="352"/>
      <c r="G347" s="352"/>
      <c r="H347" s="352"/>
      <c r="I347" s="352"/>
      <c r="J347" s="352"/>
      <c r="K347" s="352"/>
      <c r="L347" s="352"/>
      <c r="M347" s="352"/>
      <c r="N347" s="352"/>
      <c r="O347" s="352"/>
      <c r="P347" s="352"/>
      <c r="Q347" s="352"/>
      <c r="R347" s="352"/>
      <c r="S347" s="352"/>
      <c r="T347" s="352"/>
      <c r="U347" s="352"/>
      <c r="V347" s="352"/>
    </row>
    <row r="348">
      <c r="A348" s="352"/>
      <c r="B348" s="352"/>
      <c r="C348" s="352"/>
      <c r="D348" s="352"/>
      <c r="E348" s="352"/>
      <c r="F348" s="352"/>
      <c r="G348" s="352"/>
      <c r="H348" s="352"/>
      <c r="I348" s="352"/>
      <c r="J348" s="352"/>
      <c r="K348" s="352"/>
      <c r="L348" s="352"/>
      <c r="M348" s="352"/>
      <c r="N348" s="352"/>
      <c r="O348" s="352"/>
      <c r="P348" s="352"/>
      <c r="Q348" s="352"/>
      <c r="R348" s="352"/>
      <c r="S348" s="352"/>
      <c r="T348" s="352"/>
      <c r="U348" s="352"/>
      <c r="V348" s="352"/>
    </row>
    <row r="349">
      <c r="A349" s="352"/>
      <c r="B349" s="352"/>
      <c r="C349" s="352"/>
      <c r="D349" s="352"/>
      <c r="E349" s="352"/>
      <c r="F349" s="352"/>
      <c r="G349" s="352"/>
      <c r="H349" s="352"/>
      <c r="I349" s="352"/>
      <c r="J349" s="352"/>
      <c r="K349" s="352"/>
      <c r="L349" s="352"/>
      <c r="M349" s="352"/>
      <c r="N349" s="352"/>
      <c r="O349" s="352"/>
      <c r="P349" s="352"/>
      <c r="Q349" s="352"/>
      <c r="R349" s="352"/>
      <c r="S349" s="352"/>
      <c r="T349" s="352"/>
      <c r="U349" s="352"/>
      <c r="V349" s="352"/>
    </row>
    <row r="350">
      <c r="A350" s="352"/>
      <c r="B350" s="352"/>
      <c r="C350" s="352"/>
      <c r="D350" s="352"/>
      <c r="E350" s="352"/>
      <c r="F350" s="352"/>
      <c r="G350" s="352"/>
      <c r="H350" s="352"/>
      <c r="I350" s="352"/>
      <c r="J350" s="352"/>
      <c r="K350" s="352"/>
      <c r="L350" s="352"/>
      <c r="M350" s="352"/>
      <c r="N350" s="352"/>
      <c r="O350" s="352"/>
      <c r="P350" s="352"/>
      <c r="Q350" s="352"/>
      <c r="R350" s="352"/>
      <c r="S350" s="352"/>
      <c r="T350" s="352"/>
      <c r="U350" s="352"/>
      <c r="V350" s="352"/>
    </row>
    <row r="351">
      <c r="A351" s="352"/>
      <c r="B351" s="352"/>
      <c r="C351" s="352"/>
      <c r="D351" s="352"/>
      <c r="E351" s="352"/>
      <c r="F351" s="352"/>
      <c r="G351" s="352"/>
      <c r="H351" s="352"/>
      <c r="I351" s="352"/>
      <c r="J351" s="352"/>
      <c r="K351" s="352"/>
      <c r="L351" s="352"/>
      <c r="M351" s="352"/>
      <c r="N351" s="352"/>
      <c r="O351" s="352"/>
      <c r="P351" s="352"/>
      <c r="Q351" s="352"/>
      <c r="R351" s="352"/>
      <c r="S351" s="352"/>
      <c r="T351" s="352"/>
      <c r="U351" s="352"/>
      <c r="V351" s="352"/>
    </row>
    <row r="352">
      <c r="A352" s="352"/>
      <c r="B352" s="352"/>
      <c r="C352" s="352"/>
      <c r="D352" s="352"/>
      <c r="E352" s="352"/>
      <c r="F352" s="352"/>
      <c r="G352" s="352"/>
      <c r="H352" s="352"/>
      <c r="I352" s="352"/>
      <c r="J352" s="352"/>
      <c r="K352" s="352"/>
      <c r="L352" s="352"/>
      <c r="M352" s="352"/>
      <c r="N352" s="352"/>
      <c r="O352" s="352"/>
      <c r="P352" s="352"/>
      <c r="Q352" s="352"/>
      <c r="R352" s="352"/>
      <c r="S352" s="352"/>
      <c r="T352" s="352"/>
      <c r="U352" s="352"/>
      <c r="V352" s="352"/>
    </row>
    <row r="353">
      <c r="A353" s="352"/>
      <c r="B353" s="352"/>
      <c r="C353" s="352"/>
      <c r="D353" s="352"/>
      <c r="E353" s="352"/>
      <c r="F353" s="352"/>
      <c r="G353" s="352"/>
      <c r="H353" s="352"/>
      <c r="I353" s="352"/>
      <c r="J353" s="352"/>
      <c r="K353" s="352"/>
      <c r="L353" s="352"/>
      <c r="M353" s="352"/>
      <c r="N353" s="352"/>
      <c r="O353" s="352"/>
      <c r="P353" s="352"/>
      <c r="Q353" s="352"/>
      <c r="R353" s="352"/>
      <c r="S353" s="352"/>
      <c r="T353" s="352"/>
      <c r="U353" s="352"/>
      <c r="V353" s="352"/>
    </row>
    <row r="354">
      <c r="A354" s="352"/>
      <c r="B354" s="352"/>
      <c r="C354" s="352"/>
      <c r="D354" s="352"/>
      <c r="E354" s="352"/>
      <c r="F354" s="352"/>
      <c r="G354" s="352"/>
      <c r="H354" s="352"/>
      <c r="I354" s="352"/>
      <c r="J354" s="352"/>
      <c r="K354" s="352"/>
      <c r="L354" s="352"/>
      <c r="M354" s="352"/>
      <c r="N354" s="352"/>
      <c r="O354" s="352"/>
      <c r="P354" s="352"/>
      <c r="Q354" s="352"/>
      <c r="R354" s="352"/>
      <c r="S354" s="352"/>
      <c r="T354" s="352"/>
      <c r="U354" s="352"/>
      <c r="V354" s="352"/>
    </row>
    <row r="355">
      <c r="A355" s="352"/>
      <c r="B355" s="352"/>
      <c r="C355" s="352"/>
      <c r="D355" s="352"/>
      <c r="E355" s="352"/>
      <c r="F355" s="352"/>
      <c r="G355" s="352"/>
      <c r="H355" s="352"/>
      <c r="I355" s="352"/>
      <c r="J355" s="352"/>
      <c r="K355" s="352"/>
      <c r="L355" s="352"/>
      <c r="M355" s="352"/>
      <c r="N355" s="352"/>
      <c r="O355" s="352"/>
      <c r="P355" s="352"/>
      <c r="Q355" s="352"/>
      <c r="R355" s="352"/>
      <c r="S355" s="352"/>
      <c r="T355" s="352"/>
      <c r="U355" s="352"/>
      <c r="V355" s="352"/>
    </row>
    <row r="356">
      <c r="A356" s="352"/>
      <c r="B356" s="352"/>
      <c r="C356" s="352"/>
      <c r="D356" s="352"/>
      <c r="E356" s="352"/>
      <c r="F356" s="352"/>
      <c r="G356" s="352"/>
      <c r="H356" s="352"/>
      <c r="I356" s="352"/>
      <c r="J356" s="352"/>
      <c r="K356" s="352"/>
      <c r="L356" s="352"/>
      <c r="M356" s="352"/>
      <c r="N356" s="352"/>
      <c r="O356" s="352"/>
      <c r="P356" s="352"/>
      <c r="Q356" s="352"/>
      <c r="R356" s="352"/>
      <c r="S356" s="352"/>
      <c r="T356" s="352"/>
      <c r="U356" s="352"/>
      <c r="V356" s="352"/>
    </row>
    <row r="357">
      <c r="A357" s="352"/>
      <c r="B357" s="352"/>
      <c r="C357" s="352"/>
      <c r="D357" s="352"/>
      <c r="E357" s="352"/>
      <c r="F357" s="352"/>
      <c r="G357" s="352"/>
      <c r="H357" s="352"/>
      <c r="I357" s="352"/>
      <c r="J357" s="352"/>
      <c r="K357" s="352"/>
      <c r="L357" s="352"/>
      <c r="M357" s="352"/>
      <c r="N357" s="352"/>
      <c r="O357" s="352"/>
      <c r="P357" s="352"/>
      <c r="Q357" s="352"/>
      <c r="R357" s="352"/>
      <c r="S357" s="352"/>
      <c r="T357" s="352"/>
      <c r="U357" s="352"/>
      <c r="V357" s="352"/>
    </row>
    <row r="358">
      <c r="A358" s="352"/>
      <c r="B358" s="352"/>
      <c r="C358" s="352"/>
      <c r="D358" s="352"/>
      <c r="E358" s="352"/>
      <c r="F358" s="352"/>
      <c r="G358" s="352"/>
      <c r="H358" s="352"/>
      <c r="I358" s="352"/>
      <c r="J358" s="352"/>
      <c r="K358" s="352"/>
      <c r="L358" s="352"/>
      <c r="M358" s="352"/>
      <c r="N358" s="352"/>
      <c r="O358" s="352"/>
      <c r="P358" s="352"/>
      <c r="Q358" s="352"/>
      <c r="R358" s="352"/>
      <c r="S358" s="352"/>
      <c r="T358" s="352"/>
      <c r="U358" s="352"/>
      <c r="V358" s="352"/>
    </row>
    <row r="359">
      <c r="A359" s="352"/>
      <c r="B359" s="352"/>
      <c r="C359" s="352"/>
      <c r="D359" s="352"/>
      <c r="E359" s="352"/>
      <c r="F359" s="352"/>
      <c r="G359" s="352"/>
      <c r="H359" s="352"/>
      <c r="I359" s="352"/>
      <c r="J359" s="352"/>
      <c r="K359" s="352"/>
      <c r="L359" s="352"/>
      <c r="M359" s="352"/>
      <c r="N359" s="352"/>
      <c r="O359" s="352"/>
      <c r="P359" s="352"/>
      <c r="Q359" s="352"/>
      <c r="R359" s="352"/>
      <c r="S359" s="352"/>
      <c r="T359" s="352"/>
      <c r="U359" s="352"/>
      <c r="V359" s="352"/>
    </row>
    <row r="360">
      <c r="A360" s="352"/>
      <c r="B360" s="352"/>
      <c r="C360" s="352"/>
      <c r="D360" s="352"/>
      <c r="E360" s="352"/>
      <c r="F360" s="352"/>
      <c r="G360" s="352"/>
      <c r="H360" s="352"/>
      <c r="I360" s="352"/>
      <c r="J360" s="352"/>
      <c r="K360" s="352"/>
      <c r="L360" s="352"/>
      <c r="M360" s="352"/>
      <c r="N360" s="352"/>
      <c r="O360" s="352"/>
      <c r="P360" s="352"/>
      <c r="Q360" s="352"/>
      <c r="R360" s="352"/>
      <c r="S360" s="352"/>
      <c r="T360" s="352"/>
      <c r="U360" s="352"/>
      <c r="V360" s="352"/>
    </row>
    <row r="361">
      <c r="A361" s="352"/>
      <c r="B361" s="352"/>
      <c r="C361" s="352"/>
      <c r="D361" s="352"/>
      <c r="E361" s="352"/>
      <c r="F361" s="352"/>
      <c r="G361" s="352"/>
      <c r="H361" s="352"/>
      <c r="I361" s="352"/>
      <c r="J361" s="352"/>
      <c r="K361" s="352"/>
      <c r="L361" s="352"/>
      <c r="M361" s="352"/>
      <c r="N361" s="352"/>
      <c r="O361" s="352"/>
      <c r="P361" s="352"/>
      <c r="Q361" s="352"/>
      <c r="R361" s="352"/>
      <c r="S361" s="352"/>
      <c r="T361" s="352"/>
      <c r="U361" s="352"/>
      <c r="V361" s="352"/>
    </row>
    <row r="362">
      <c r="A362" s="352"/>
      <c r="B362" s="352"/>
      <c r="C362" s="352"/>
      <c r="D362" s="352"/>
      <c r="E362" s="352"/>
      <c r="F362" s="352"/>
      <c r="G362" s="352"/>
      <c r="H362" s="352"/>
      <c r="I362" s="352"/>
      <c r="J362" s="352"/>
      <c r="K362" s="352"/>
      <c r="L362" s="352"/>
      <c r="M362" s="352"/>
      <c r="N362" s="352"/>
      <c r="O362" s="352"/>
      <c r="P362" s="352"/>
      <c r="Q362" s="352"/>
      <c r="R362" s="352"/>
      <c r="S362" s="352"/>
      <c r="T362" s="352"/>
      <c r="U362" s="352"/>
      <c r="V362" s="352"/>
    </row>
    <row r="363">
      <c r="A363" s="352"/>
      <c r="B363" s="352"/>
      <c r="C363" s="352"/>
      <c r="D363" s="352"/>
      <c r="E363" s="352"/>
      <c r="F363" s="352"/>
      <c r="G363" s="352"/>
      <c r="H363" s="352"/>
      <c r="I363" s="352"/>
      <c r="J363" s="352"/>
      <c r="K363" s="352"/>
      <c r="L363" s="352"/>
      <c r="M363" s="352"/>
      <c r="N363" s="352"/>
      <c r="O363" s="352"/>
      <c r="P363" s="352"/>
      <c r="Q363" s="352"/>
      <c r="R363" s="352"/>
      <c r="S363" s="352"/>
      <c r="T363" s="352"/>
      <c r="U363" s="352"/>
      <c r="V363" s="352"/>
    </row>
    <row r="364">
      <c r="A364" s="352"/>
      <c r="B364" s="352"/>
      <c r="C364" s="352"/>
      <c r="D364" s="352"/>
      <c r="E364" s="352"/>
      <c r="F364" s="352"/>
      <c r="G364" s="352"/>
      <c r="H364" s="352"/>
      <c r="I364" s="352"/>
      <c r="J364" s="352"/>
      <c r="K364" s="352"/>
      <c r="L364" s="352"/>
      <c r="M364" s="352"/>
      <c r="N364" s="352"/>
      <c r="O364" s="352"/>
      <c r="P364" s="352"/>
      <c r="Q364" s="352"/>
      <c r="R364" s="352"/>
      <c r="S364" s="352"/>
      <c r="T364" s="352"/>
      <c r="U364" s="352"/>
      <c r="V364" s="352"/>
    </row>
    <row r="365">
      <c r="A365" s="352"/>
      <c r="B365" s="352"/>
      <c r="C365" s="352"/>
      <c r="D365" s="352"/>
      <c r="E365" s="352"/>
      <c r="F365" s="352"/>
      <c r="G365" s="352"/>
      <c r="H365" s="352"/>
      <c r="I365" s="352"/>
      <c r="J365" s="352"/>
      <c r="K365" s="352"/>
      <c r="L365" s="352"/>
      <c r="M365" s="352"/>
      <c r="N365" s="352"/>
      <c r="O365" s="352"/>
      <c r="P365" s="352"/>
      <c r="Q365" s="352"/>
      <c r="R365" s="352"/>
      <c r="S365" s="352"/>
      <c r="T365" s="352"/>
      <c r="U365" s="352"/>
      <c r="V365" s="352"/>
    </row>
    <row r="366">
      <c r="A366" s="352"/>
      <c r="B366" s="352"/>
      <c r="C366" s="352"/>
      <c r="D366" s="352"/>
      <c r="E366" s="352"/>
      <c r="F366" s="352"/>
      <c r="G366" s="352"/>
      <c r="H366" s="352"/>
      <c r="I366" s="352"/>
      <c r="J366" s="352"/>
      <c r="K366" s="352"/>
      <c r="L366" s="352"/>
      <c r="M366" s="352"/>
      <c r="N366" s="352"/>
      <c r="O366" s="352"/>
      <c r="P366" s="352"/>
      <c r="Q366" s="352"/>
      <c r="R366" s="352"/>
      <c r="S366" s="352"/>
      <c r="T366" s="352"/>
      <c r="U366" s="352"/>
      <c r="V366" s="352"/>
    </row>
    <row r="367">
      <c r="A367" s="352"/>
      <c r="B367" s="352"/>
      <c r="C367" s="352"/>
      <c r="D367" s="352"/>
      <c r="E367" s="352"/>
      <c r="F367" s="352"/>
      <c r="G367" s="352"/>
      <c r="H367" s="352"/>
      <c r="I367" s="352"/>
      <c r="J367" s="352"/>
      <c r="K367" s="352"/>
      <c r="L367" s="352"/>
      <c r="M367" s="352"/>
      <c r="N367" s="352"/>
      <c r="O367" s="352"/>
      <c r="P367" s="352"/>
      <c r="Q367" s="352"/>
      <c r="R367" s="352"/>
      <c r="S367" s="352"/>
      <c r="T367" s="352"/>
      <c r="U367" s="352"/>
      <c r="V367" s="352"/>
    </row>
    <row r="368">
      <c r="A368" s="352"/>
      <c r="B368" s="352"/>
      <c r="C368" s="352"/>
      <c r="D368" s="352"/>
      <c r="E368" s="352"/>
      <c r="F368" s="352"/>
      <c r="G368" s="352"/>
      <c r="H368" s="352"/>
      <c r="I368" s="352"/>
      <c r="J368" s="352"/>
      <c r="K368" s="352"/>
      <c r="L368" s="352"/>
      <c r="M368" s="352"/>
      <c r="N368" s="352"/>
      <c r="O368" s="352"/>
      <c r="P368" s="352"/>
      <c r="Q368" s="352"/>
      <c r="R368" s="352"/>
      <c r="S368" s="352"/>
      <c r="T368" s="352"/>
      <c r="U368" s="352"/>
      <c r="V368" s="352"/>
    </row>
    <row r="369">
      <c r="A369" s="352"/>
      <c r="B369" s="352"/>
      <c r="C369" s="352"/>
      <c r="D369" s="352"/>
      <c r="E369" s="352"/>
      <c r="F369" s="352"/>
      <c r="G369" s="352"/>
      <c r="H369" s="352"/>
      <c r="I369" s="352"/>
      <c r="J369" s="352"/>
      <c r="K369" s="352"/>
      <c r="L369" s="352"/>
      <c r="M369" s="352"/>
      <c r="N369" s="352"/>
      <c r="O369" s="352"/>
      <c r="P369" s="352"/>
      <c r="Q369" s="352"/>
      <c r="R369" s="352"/>
      <c r="S369" s="352"/>
      <c r="T369" s="352"/>
      <c r="U369" s="352"/>
      <c r="V369" s="352"/>
    </row>
    <row r="370">
      <c r="A370" s="352"/>
      <c r="B370" s="352"/>
      <c r="C370" s="352"/>
      <c r="D370" s="352"/>
      <c r="E370" s="352"/>
      <c r="F370" s="352"/>
      <c r="G370" s="352"/>
      <c r="H370" s="352"/>
      <c r="I370" s="352"/>
      <c r="J370" s="352"/>
      <c r="K370" s="352"/>
      <c r="L370" s="352"/>
      <c r="M370" s="352"/>
      <c r="N370" s="352"/>
      <c r="O370" s="352"/>
      <c r="P370" s="352"/>
      <c r="Q370" s="352"/>
      <c r="R370" s="352"/>
      <c r="S370" s="352"/>
      <c r="T370" s="352"/>
      <c r="U370" s="352"/>
      <c r="V370" s="352"/>
    </row>
    <row r="371">
      <c r="A371" s="352"/>
      <c r="B371" s="352"/>
      <c r="C371" s="352"/>
      <c r="D371" s="352"/>
      <c r="E371" s="352"/>
      <c r="F371" s="352"/>
      <c r="G371" s="352"/>
      <c r="H371" s="352"/>
      <c r="I371" s="352"/>
      <c r="J371" s="352"/>
      <c r="K371" s="352"/>
      <c r="L371" s="352"/>
      <c r="M371" s="352"/>
      <c r="N371" s="352"/>
      <c r="O371" s="352"/>
      <c r="P371" s="352"/>
      <c r="Q371" s="352"/>
      <c r="R371" s="352"/>
      <c r="S371" s="352"/>
      <c r="T371" s="352"/>
      <c r="U371" s="352"/>
      <c r="V371" s="352"/>
    </row>
    <row r="372">
      <c r="A372" s="352"/>
      <c r="B372" s="352"/>
      <c r="C372" s="352"/>
      <c r="D372" s="352"/>
      <c r="E372" s="352"/>
      <c r="F372" s="352"/>
      <c r="G372" s="352"/>
      <c r="H372" s="352"/>
      <c r="I372" s="352"/>
      <c r="J372" s="352"/>
      <c r="K372" s="352"/>
      <c r="L372" s="352"/>
      <c r="M372" s="352"/>
      <c r="N372" s="352"/>
      <c r="O372" s="352"/>
      <c r="P372" s="352"/>
      <c r="Q372" s="352"/>
      <c r="R372" s="352"/>
      <c r="S372" s="352"/>
      <c r="T372" s="352"/>
      <c r="U372" s="352"/>
      <c r="V372" s="352"/>
    </row>
    <row r="373">
      <c r="A373" s="352"/>
      <c r="B373" s="352"/>
      <c r="C373" s="352"/>
      <c r="D373" s="352"/>
      <c r="E373" s="352"/>
      <c r="F373" s="352"/>
      <c r="G373" s="352"/>
      <c r="H373" s="352"/>
      <c r="I373" s="352"/>
      <c r="J373" s="352"/>
      <c r="K373" s="352"/>
      <c r="L373" s="352"/>
      <c r="M373" s="352"/>
      <c r="N373" s="352"/>
      <c r="O373" s="352"/>
      <c r="P373" s="352"/>
      <c r="Q373" s="352"/>
      <c r="R373" s="352"/>
      <c r="S373" s="352"/>
      <c r="T373" s="352"/>
      <c r="U373" s="352"/>
      <c r="V373" s="352"/>
    </row>
    <row r="374">
      <c r="A374" s="352"/>
      <c r="B374" s="352"/>
      <c r="C374" s="352"/>
      <c r="D374" s="352"/>
      <c r="E374" s="352"/>
      <c r="F374" s="352"/>
      <c r="G374" s="352"/>
      <c r="H374" s="352"/>
      <c r="I374" s="352"/>
      <c r="J374" s="352"/>
      <c r="K374" s="352"/>
      <c r="L374" s="352"/>
      <c r="M374" s="352"/>
      <c r="N374" s="352"/>
      <c r="O374" s="352"/>
      <c r="P374" s="352"/>
      <c r="Q374" s="352"/>
      <c r="R374" s="352"/>
      <c r="S374" s="352"/>
      <c r="T374" s="352"/>
      <c r="U374" s="352"/>
      <c r="V374" s="352"/>
    </row>
    <row r="375">
      <c r="A375" s="352"/>
      <c r="B375" s="352"/>
      <c r="C375" s="352"/>
      <c r="D375" s="352"/>
      <c r="E375" s="352"/>
      <c r="F375" s="352"/>
      <c r="G375" s="352"/>
      <c r="H375" s="352"/>
      <c r="I375" s="352"/>
      <c r="J375" s="352"/>
      <c r="K375" s="352"/>
      <c r="L375" s="352"/>
      <c r="M375" s="352"/>
      <c r="N375" s="352"/>
      <c r="O375" s="352"/>
      <c r="P375" s="352"/>
      <c r="Q375" s="352"/>
      <c r="R375" s="352"/>
      <c r="S375" s="352"/>
      <c r="T375" s="352"/>
      <c r="U375" s="352"/>
      <c r="V375" s="352"/>
    </row>
    <row r="376">
      <c r="A376" s="352"/>
      <c r="B376" s="352"/>
      <c r="C376" s="352"/>
      <c r="D376" s="352"/>
      <c r="E376" s="352"/>
      <c r="F376" s="352"/>
      <c r="G376" s="352"/>
      <c r="H376" s="352"/>
      <c r="I376" s="352"/>
      <c r="J376" s="352"/>
      <c r="K376" s="352"/>
      <c r="L376" s="352"/>
      <c r="M376" s="352"/>
      <c r="N376" s="352"/>
      <c r="O376" s="352"/>
      <c r="P376" s="352"/>
      <c r="Q376" s="352"/>
      <c r="R376" s="352"/>
      <c r="S376" s="352"/>
      <c r="T376" s="352"/>
      <c r="U376" s="352"/>
      <c r="V376" s="352"/>
    </row>
    <row r="377">
      <c r="A377" s="352"/>
      <c r="B377" s="352"/>
      <c r="C377" s="352"/>
      <c r="D377" s="352"/>
      <c r="E377" s="352"/>
      <c r="F377" s="352"/>
      <c r="G377" s="352"/>
      <c r="H377" s="352"/>
      <c r="I377" s="352"/>
      <c r="J377" s="352"/>
      <c r="K377" s="352"/>
      <c r="L377" s="352"/>
      <c r="M377" s="352"/>
      <c r="N377" s="352"/>
      <c r="O377" s="352"/>
      <c r="P377" s="352"/>
      <c r="Q377" s="352"/>
      <c r="R377" s="352"/>
      <c r="S377" s="352"/>
      <c r="T377" s="352"/>
      <c r="U377" s="352"/>
      <c r="V377" s="352"/>
    </row>
    <row r="378">
      <c r="A378" s="352"/>
      <c r="B378" s="352"/>
      <c r="C378" s="352"/>
      <c r="D378" s="352"/>
      <c r="E378" s="352"/>
      <c r="F378" s="352"/>
      <c r="G378" s="352"/>
      <c r="H378" s="352"/>
      <c r="I378" s="352"/>
      <c r="J378" s="352"/>
      <c r="K378" s="352"/>
      <c r="L378" s="352"/>
      <c r="M378" s="352"/>
      <c r="N378" s="352"/>
      <c r="O378" s="352"/>
      <c r="P378" s="352"/>
      <c r="Q378" s="352"/>
      <c r="R378" s="352"/>
      <c r="S378" s="352"/>
      <c r="T378" s="352"/>
      <c r="U378" s="352"/>
      <c r="V378" s="352"/>
    </row>
    <row r="379">
      <c r="A379" s="352"/>
      <c r="B379" s="352"/>
      <c r="C379" s="352"/>
      <c r="D379" s="352"/>
      <c r="E379" s="352"/>
      <c r="F379" s="352"/>
      <c r="G379" s="352"/>
      <c r="H379" s="352"/>
      <c r="I379" s="352"/>
      <c r="J379" s="352"/>
      <c r="K379" s="352"/>
      <c r="L379" s="352"/>
      <c r="M379" s="352"/>
      <c r="N379" s="352"/>
      <c r="O379" s="352"/>
      <c r="P379" s="352"/>
      <c r="Q379" s="352"/>
      <c r="R379" s="352"/>
      <c r="S379" s="352"/>
      <c r="T379" s="352"/>
      <c r="U379" s="352"/>
      <c r="V379" s="352"/>
    </row>
    <row r="380">
      <c r="A380" s="352"/>
      <c r="B380" s="352"/>
      <c r="C380" s="352"/>
      <c r="D380" s="352"/>
      <c r="E380" s="352"/>
      <c r="F380" s="352"/>
      <c r="G380" s="352"/>
      <c r="H380" s="352"/>
      <c r="I380" s="352"/>
      <c r="J380" s="352"/>
      <c r="K380" s="352"/>
      <c r="L380" s="352"/>
      <c r="M380" s="352"/>
      <c r="N380" s="352"/>
      <c r="O380" s="352"/>
      <c r="P380" s="352"/>
      <c r="Q380" s="352"/>
      <c r="R380" s="352"/>
      <c r="S380" s="352"/>
      <c r="T380" s="352"/>
      <c r="U380" s="352"/>
      <c r="V380" s="352"/>
    </row>
    <row r="381">
      <c r="A381" s="352"/>
      <c r="B381" s="352"/>
      <c r="C381" s="352"/>
      <c r="D381" s="352"/>
      <c r="E381" s="352"/>
      <c r="F381" s="352"/>
      <c r="G381" s="352"/>
      <c r="H381" s="352"/>
      <c r="I381" s="352"/>
      <c r="J381" s="352"/>
      <c r="K381" s="352"/>
      <c r="L381" s="352"/>
      <c r="M381" s="352"/>
      <c r="N381" s="352"/>
      <c r="O381" s="352"/>
      <c r="P381" s="352"/>
      <c r="Q381" s="352"/>
      <c r="R381" s="352"/>
      <c r="S381" s="352"/>
      <c r="T381" s="352"/>
      <c r="U381" s="352"/>
      <c r="V381" s="352"/>
    </row>
    <row r="382">
      <c r="A382" s="352"/>
      <c r="B382" s="352"/>
      <c r="C382" s="352"/>
      <c r="D382" s="352"/>
      <c r="E382" s="352"/>
      <c r="F382" s="352"/>
      <c r="G382" s="352"/>
      <c r="H382" s="352"/>
      <c r="I382" s="352"/>
      <c r="J382" s="352"/>
      <c r="K382" s="352"/>
      <c r="L382" s="352"/>
      <c r="M382" s="352"/>
      <c r="N382" s="352"/>
      <c r="O382" s="352"/>
      <c r="P382" s="352"/>
      <c r="Q382" s="352"/>
      <c r="R382" s="352"/>
      <c r="S382" s="352"/>
      <c r="T382" s="352"/>
      <c r="U382" s="352"/>
      <c r="V382" s="352"/>
    </row>
    <row r="383">
      <c r="A383" s="352"/>
      <c r="B383" s="352"/>
      <c r="C383" s="352"/>
      <c r="D383" s="352"/>
      <c r="E383" s="352"/>
      <c r="F383" s="352"/>
      <c r="G383" s="352"/>
      <c r="H383" s="352"/>
      <c r="I383" s="352"/>
      <c r="J383" s="352"/>
      <c r="K383" s="352"/>
      <c r="L383" s="352"/>
      <c r="M383" s="352"/>
      <c r="N383" s="352"/>
      <c r="O383" s="352"/>
      <c r="P383" s="352"/>
      <c r="Q383" s="352"/>
      <c r="R383" s="352"/>
      <c r="S383" s="352"/>
      <c r="T383" s="352"/>
      <c r="U383" s="352"/>
      <c r="V383" s="352"/>
    </row>
    <row r="384">
      <c r="A384" s="352"/>
      <c r="B384" s="352"/>
      <c r="C384" s="352"/>
      <c r="D384" s="352"/>
      <c r="E384" s="352"/>
      <c r="F384" s="352"/>
      <c r="G384" s="352"/>
      <c r="H384" s="352"/>
      <c r="I384" s="352"/>
      <c r="J384" s="352"/>
      <c r="K384" s="352"/>
      <c r="L384" s="352"/>
      <c r="M384" s="352"/>
      <c r="N384" s="352"/>
      <c r="O384" s="352"/>
      <c r="P384" s="352"/>
      <c r="Q384" s="352"/>
      <c r="R384" s="352"/>
      <c r="S384" s="352"/>
      <c r="T384" s="352"/>
      <c r="U384" s="352"/>
      <c r="V384" s="352"/>
    </row>
    <row r="385">
      <c r="A385" s="352"/>
      <c r="B385" s="352"/>
      <c r="C385" s="352"/>
      <c r="D385" s="352"/>
      <c r="E385" s="352"/>
      <c r="F385" s="352"/>
      <c r="G385" s="352"/>
      <c r="H385" s="352"/>
      <c r="I385" s="352"/>
      <c r="J385" s="352"/>
      <c r="K385" s="352"/>
      <c r="L385" s="352"/>
      <c r="M385" s="352"/>
      <c r="N385" s="352"/>
      <c r="O385" s="352"/>
      <c r="P385" s="352"/>
      <c r="Q385" s="352"/>
      <c r="R385" s="352"/>
      <c r="S385" s="352"/>
      <c r="T385" s="352"/>
      <c r="U385" s="352"/>
      <c r="V385" s="352"/>
    </row>
    <row r="386">
      <c r="A386" s="352"/>
      <c r="B386" s="352"/>
      <c r="C386" s="352"/>
      <c r="D386" s="352"/>
      <c r="E386" s="352"/>
      <c r="F386" s="352"/>
      <c r="G386" s="352"/>
      <c r="H386" s="352"/>
      <c r="I386" s="352"/>
      <c r="J386" s="352"/>
      <c r="K386" s="352"/>
      <c r="L386" s="352"/>
      <c r="M386" s="352"/>
      <c r="N386" s="352"/>
      <c r="O386" s="352"/>
      <c r="P386" s="352"/>
      <c r="Q386" s="352"/>
      <c r="R386" s="352"/>
      <c r="S386" s="352"/>
      <c r="T386" s="352"/>
      <c r="U386" s="352"/>
      <c r="V386" s="352"/>
    </row>
    <row r="387">
      <c r="A387" s="352"/>
      <c r="B387" s="352"/>
      <c r="C387" s="352"/>
      <c r="D387" s="352"/>
      <c r="E387" s="352"/>
      <c r="F387" s="352"/>
      <c r="G387" s="352"/>
      <c r="H387" s="352"/>
      <c r="I387" s="352"/>
      <c r="J387" s="352"/>
      <c r="K387" s="352"/>
      <c r="L387" s="352"/>
      <c r="M387" s="352"/>
      <c r="N387" s="352"/>
      <c r="O387" s="352"/>
      <c r="P387" s="352"/>
      <c r="Q387" s="352"/>
      <c r="R387" s="352"/>
      <c r="S387" s="352"/>
      <c r="T387" s="352"/>
      <c r="U387" s="352"/>
      <c r="V387" s="352"/>
    </row>
    <row r="388">
      <c r="A388" s="352"/>
      <c r="B388" s="352"/>
      <c r="C388" s="352"/>
      <c r="D388" s="352"/>
      <c r="E388" s="352"/>
      <c r="F388" s="352"/>
      <c r="G388" s="352"/>
      <c r="H388" s="352"/>
      <c r="I388" s="352"/>
      <c r="J388" s="352"/>
      <c r="K388" s="352"/>
      <c r="L388" s="352"/>
      <c r="M388" s="352"/>
      <c r="N388" s="352"/>
      <c r="O388" s="352"/>
      <c r="P388" s="352"/>
      <c r="Q388" s="352"/>
      <c r="R388" s="352"/>
      <c r="S388" s="352"/>
      <c r="T388" s="352"/>
      <c r="U388" s="352"/>
      <c r="V388" s="352"/>
    </row>
    <row r="389">
      <c r="A389" s="352"/>
      <c r="B389" s="352"/>
      <c r="C389" s="352"/>
      <c r="D389" s="352"/>
      <c r="E389" s="352"/>
      <c r="F389" s="352"/>
      <c r="G389" s="352"/>
      <c r="H389" s="352"/>
      <c r="I389" s="352"/>
      <c r="J389" s="352"/>
      <c r="K389" s="352"/>
      <c r="L389" s="352"/>
      <c r="M389" s="352"/>
      <c r="N389" s="352"/>
      <c r="O389" s="352"/>
      <c r="P389" s="352"/>
      <c r="Q389" s="352"/>
      <c r="R389" s="352"/>
      <c r="S389" s="352"/>
      <c r="T389" s="352"/>
      <c r="U389" s="352"/>
      <c r="V389" s="352"/>
    </row>
    <row r="390">
      <c r="A390" s="352"/>
      <c r="B390" s="352"/>
      <c r="C390" s="352"/>
      <c r="D390" s="352"/>
      <c r="E390" s="352"/>
      <c r="F390" s="352"/>
      <c r="G390" s="352"/>
      <c r="H390" s="352"/>
      <c r="I390" s="352"/>
      <c r="J390" s="352"/>
      <c r="K390" s="352"/>
      <c r="L390" s="352"/>
      <c r="M390" s="352"/>
      <c r="N390" s="352"/>
      <c r="O390" s="352"/>
      <c r="P390" s="352"/>
      <c r="Q390" s="352"/>
      <c r="R390" s="352"/>
      <c r="S390" s="352"/>
      <c r="T390" s="352"/>
      <c r="U390" s="352"/>
      <c r="V390" s="352"/>
    </row>
    <row r="391">
      <c r="A391" s="352"/>
      <c r="B391" s="352"/>
      <c r="C391" s="352"/>
      <c r="D391" s="352"/>
      <c r="E391" s="352"/>
      <c r="F391" s="352"/>
      <c r="G391" s="352"/>
      <c r="H391" s="352"/>
      <c r="I391" s="352"/>
      <c r="J391" s="352"/>
      <c r="K391" s="352"/>
      <c r="L391" s="352"/>
      <c r="M391" s="352"/>
      <c r="N391" s="352"/>
      <c r="O391" s="352"/>
      <c r="P391" s="352"/>
      <c r="Q391" s="352"/>
      <c r="R391" s="352"/>
      <c r="S391" s="352"/>
      <c r="T391" s="352"/>
      <c r="U391" s="352"/>
      <c r="V391" s="352"/>
    </row>
    <row r="392">
      <c r="A392" s="352"/>
      <c r="B392" s="352"/>
      <c r="C392" s="352"/>
      <c r="D392" s="352"/>
      <c r="E392" s="352"/>
      <c r="F392" s="352"/>
      <c r="G392" s="352"/>
      <c r="H392" s="352"/>
      <c r="I392" s="352"/>
      <c r="J392" s="352"/>
      <c r="K392" s="352"/>
      <c r="L392" s="352"/>
      <c r="M392" s="352"/>
      <c r="N392" s="352"/>
      <c r="O392" s="352"/>
      <c r="P392" s="352"/>
      <c r="Q392" s="352"/>
      <c r="R392" s="352"/>
      <c r="S392" s="352"/>
      <c r="T392" s="352"/>
      <c r="U392" s="352"/>
      <c r="V392" s="352"/>
    </row>
    <row r="393">
      <c r="A393" s="352"/>
      <c r="B393" s="352"/>
      <c r="C393" s="352"/>
      <c r="D393" s="352"/>
      <c r="E393" s="352"/>
      <c r="F393" s="352"/>
      <c r="G393" s="352"/>
      <c r="H393" s="352"/>
      <c r="I393" s="352"/>
      <c r="J393" s="352"/>
      <c r="K393" s="352"/>
      <c r="L393" s="352"/>
      <c r="M393" s="352"/>
      <c r="N393" s="352"/>
      <c r="O393" s="352"/>
      <c r="P393" s="352"/>
      <c r="Q393" s="352"/>
      <c r="R393" s="352"/>
      <c r="S393" s="352"/>
      <c r="T393" s="352"/>
      <c r="U393" s="352"/>
      <c r="V393" s="352"/>
    </row>
    <row r="394">
      <c r="A394" s="352"/>
      <c r="B394" s="352"/>
      <c r="C394" s="352"/>
      <c r="D394" s="352"/>
      <c r="E394" s="352"/>
      <c r="F394" s="352"/>
      <c r="G394" s="352"/>
      <c r="H394" s="352"/>
      <c r="I394" s="352"/>
      <c r="J394" s="352"/>
      <c r="K394" s="352"/>
      <c r="L394" s="352"/>
      <c r="M394" s="352"/>
      <c r="N394" s="352"/>
      <c r="O394" s="352"/>
      <c r="P394" s="352"/>
      <c r="Q394" s="352"/>
      <c r="R394" s="352"/>
      <c r="S394" s="352"/>
      <c r="T394" s="352"/>
      <c r="U394" s="352"/>
      <c r="V394" s="352"/>
    </row>
    <row r="395">
      <c r="A395" s="352"/>
      <c r="B395" s="352"/>
      <c r="C395" s="352"/>
      <c r="D395" s="352"/>
      <c r="E395" s="352"/>
      <c r="F395" s="352"/>
      <c r="G395" s="352"/>
      <c r="H395" s="352"/>
      <c r="I395" s="352"/>
      <c r="J395" s="352"/>
      <c r="K395" s="352"/>
      <c r="L395" s="352"/>
      <c r="M395" s="352"/>
      <c r="N395" s="352"/>
      <c r="O395" s="352"/>
      <c r="P395" s="352"/>
      <c r="Q395" s="352"/>
      <c r="R395" s="352"/>
      <c r="S395" s="352"/>
      <c r="T395" s="352"/>
      <c r="U395" s="352"/>
      <c r="V395" s="352"/>
    </row>
    <row r="396">
      <c r="A396" s="352"/>
      <c r="B396" s="352"/>
      <c r="C396" s="352"/>
      <c r="D396" s="352"/>
      <c r="E396" s="352"/>
      <c r="F396" s="352"/>
      <c r="G396" s="352"/>
      <c r="H396" s="352"/>
      <c r="I396" s="352"/>
      <c r="J396" s="352"/>
      <c r="K396" s="352"/>
      <c r="L396" s="352"/>
      <c r="M396" s="352"/>
      <c r="N396" s="352"/>
      <c r="O396" s="352"/>
      <c r="P396" s="352"/>
      <c r="Q396" s="352"/>
      <c r="R396" s="352"/>
      <c r="S396" s="352"/>
      <c r="T396" s="352"/>
      <c r="U396" s="352"/>
      <c r="V396" s="352"/>
    </row>
    <row r="397">
      <c r="A397" s="352"/>
      <c r="B397" s="352"/>
      <c r="C397" s="352"/>
      <c r="D397" s="352"/>
      <c r="E397" s="352"/>
      <c r="F397" s="352"/>
      <c r="G397" s="352"/>
      <c r="H397" s="352"/>
      <c r="I397" s="352"/>
      <c r="J397" s="352"/>
      <c r="K397" s="352"/>
      <c r="L397" s="352"/>
      <c r="M397" s="352"/>
      <c r="N397" s="352"/>
      <c r="O397" s="352"/>
      <c r="P397" s="352"/>
      <c r="Q397" s="352"/>
      <c r="R397" s="352"/>
      <c r="S397" s="352"/>
      <c r="T397" s="352"/>
      <c r="U397" s="352"/>
      <c r="V397" s="352"/>
    </row>
    <row r="398">
      <c r="A398" s="352"/>
      <c r="B398" s="352"/>
      <c r="C398" s="352"/>
      <c r="D398" s="352"/>
      <c r="E398" s="352"/>
      <c r="F398" s="352"/>
      <c r="G398" s="352"/>
      <c r="H398" s="352"/>
      <c r="I398" s="352"/>
      <c r="J398" s="352"/>
      <c r="K398" s="352"/>
      <c r="L398" s="352"/>
      <c r="M398" s="352"/>
      <c r="N398" s="352"/>
      <c r="O398" s="352"/>
      <c r="P398" s="352"/>
      <c r="Q398" s="352"/>
      <c r="R398" s="352"/>
      <c r="S398" s="352"/>
      <c r="T398" s="352"/>
      <c r="U398" s="352"/>
      <c r="V398" s="352"/>
    </row>
    <row r="399">
      <c r="A399" s="352"/>
      <c r="B399" s="352"/>
      <c r="C399" s="352"/>
      <c r="D399" s="352"/>
      <c r="E399" s="352"/>
      <c r="F399" s="352"/>
      <c r="G399" s="352"/>
      <c r="H399" s="352"/>
      <c r="I399" s="352"/>
      <c r="J399" s="352"/>
      <c r="K399" s="352"/>
      <c r="L399" s="352"/>
      <c r="M399" s="352"/>
      <c r="N399" s="352"/>
      <c r="O399" s="352"/>
      <c r="P399" s="352"/>
      <c r="Q399" s="352"/>
      <c r="R399" s="352"/>
      <c r="S399" s="352"/>
      <c r="T399" s="352"/>
      <c r="U399" s="352"/>
      <c r="V399" s="352"/>
    </row>
    <row r="400">
      <c r="A400" s="352"/>
      <c r="B400" s="352"/>
      <c r="C400" s="352"/>
      <c r="D400" s="352"/>
      <c r="E400" s="352"/>
      <c r="F400" s="352"/>
      <c r="G400" s="352"/>
      <c r="H400" s="352"/>
      <c r="I400" s="352"/>
      <c r="J400" s="352"/>
      <c r="K400" s="352"/>
      <c r="L400" s="352"/>
      <c r="M400" s="352"/>
      <c r="N400" s="352"/>
      <c r="O400" s="352"/>
      <c r="P400" s="352"/>
      <c r="Q400" s="352"/>
      <c r="R400" s="352"/>
      <c r="S400" s="352"/>
      <c r="T400" s="352"/>
      <c r="U400" s="352"/>
      <c r="V400" s="352"/>
    </row>
    <row r="401">
      <c r="A401" s="352"/>
      <c r="B401" s="352"/>
      <c r="C401" s="352"/>
      <c r="D401" s="352"/>
      <c r="E401" s="352"/>
      <c r="F401" s="352"/>
      <c r="G401" s="352"/>
      <c r="H401" s="352"/>
      <c r="I401" s="352"/>
      <c r="J401" s="352"/>
      <c r="K401" s="352"/>
      <c r="L401" s="352"/>
      <c r="M401" s="352"/>
      <c r="N401" s="352"/>
      <c r="O401" s="352"/>
      <c r="P401" s="352"/>
      <c r="Q401" s="352"/>
      <c r="R401" s="352"/>
      <c r="S401" s="352"/>
      <c r="T401" s="352"/>
      <c r="U401" s="352"/>
      <c r="V401" s="352"/>
    </row>
    <row r="402">
      <c r="A402" s="352"/>
      <c r="B402" s="352"/>
      <c r="C402" s="352"/>
      <c r="D402" s="352"/>
      <c r="E402" s="352"/>
      <c r="F402" s="352"/>
      <c r="G402" s="352"/>
      <c r="H402" s="352"/>
      <c r="I402" s="352"/>
      <c r="J402" s="352"/>
      <c r="K402" s="352"/>
      <c r="L402" s="352"/>
      <c r="M402" s="352"/>
      <c r="N402" s="352"/>
      <c r="O402" s="352"/>
      <c r="P402" s="352"/>
      <c r="Q402" s="352"/>
      <c r="R402" s="352"/>
      <c r="S402" s="352"/>
      <c r="T402" s="352"/>
      <c r="U402" s="352"/>
      <c r="V402" s="352"/>
    </row>
    <row r="403">
      <c r="A403" s="352"/>
      <c r="B403" s="352"/>
      <c r="C403" s="352"/>
      <c r="D403" s="352"/>
      <c r="E403" s="352"/>
      <c r="F403" s="352"/>
      <c r="G403" s="352"/>
      <c r="H403" s="352"/>
      <c r="I403" s="352"/>
      <c r="J403" s="352"/>
      <c r="K403" s="352"/>
      <c r="L403" s="352"/>
      <c r="M403" s="352"/>
      <c r="N403" s="352"/>
      <c r="O403" s="352"/>
      <c r="P403" s="352"/>
      <c r="Q403" s="352"/>
      <c r="R403" s="352"/>
      <c r="S403" s="352"/>
      <c r="T403" s="352"/>
      <c r="U403" s="352"/>
      <c r="V403" s="352"/>
    </row>
    <row r="404">
      <c r="A404" s="352"/>
      <c r="B404" s="352"/>
      <c r="C404" s="352"/>
      <c r="D404" s="352"/>
      <c r="E404" s="352"/>
      <c r="F404" s="352"/>
      <c r="G404" s="352"/>
      <c r="H404" s="352"/>
      <c r="I404" s="352"/>
      <c r="J404" s="352"/>
      <c r="K404" s="352"/>
      <c r="L404" s="352"/>
      <c r="M404" s="352"/>
      <c r="N404" s="352"/>
      <c r="O404" s="352"/>
      <c r="P404" s="352"/>
      <c r="Q404" s="352"/>
      <c r="R404" s="352"/>
      <c r="S404" s="352"/>
      <c r="T404" s="352"/>
      <c r="U404" s="352"/>
      <c r="V404" s="352"/>
    </row>
    <row r="405">
      <c r="A405" s="352"/>
      <c r="B405" s="352"/>
      <c r="C405" s="352"/>
      <c r="D405" s="352"/>
      <c r="E405" s="352"/>
      <c r="F405" s="352"/>
      <c r="G405" s="352"/>
      <c r="H405" s="352"/>
      <c r="I405" s="352"/>
      <c r="J405" s="352"/>
      <c r="K405" s="352"/>
      <c r="L405" s="352"/>
      <c r="M405" s="352"/>
      <c r="N405" s="352"/>
      <c r="O405" s="352"/>
      <c r="P405" s="352"/>
      <c r="Q405" s="352"/>
      <c r="R405" s="352"/>
      <c r="S405" s="352"/>
      <c r="T405" s="352"/>
      <c r="U405" s="352"/>
      <c r="V405" s="352"/>
    </row>
    <row r="406">
      <c r="A406" s="352"/>
      <c r="B406" s="352"/>
      <c r="C406" s="352"/>
      <c r="D406" s="352"/>
      <c r="E406" s="352"/>
      <c r="F406" s="352"/>
      <c r="G406" s="352"/>
      <c r="H406" s="352"/>
      <c r="I406" s="352"/>
      <c r="J406" s="352"/>
      <c r="K406" s="352"/>
      <c r="L406" s="352"/>
      <c r="M406" s="352"/>
      <c r="N406" s="352"/>
      <c r="O406" s="352"/>
      <c r="P406" s="352"/>
      <c r="Q406" s="352"/>
      <c r="R406" s="352"/>
      <c r="S406" s="352"/>
      <c r="T406" s="352"/>
      <c r="U406" s="352"/>
      <c r="V406" s="352"/>
    </row>
    <row r="407">
      <c r="A407" s="352"/>
      <c r="B407" s="352"/>
      <c r="C407" s="352"/>
      <c r="D407" s="352"/>
      <c r="E407" s="352"/>
      <c r="F407" s="352"/>
      <c r="G407" s="352"/>
      <c r="H407" s="352"/>
      <c r="I407" s="352"/>
      <c r="J407" s="352"/>
      <c r="K407" s="352"/>
      <c r="L407" s="352"/>
      <c r="M407" s="352"/>
      <c r="N407" s="352"/>
      <c r="O407" s="352"/>
      <c r="P407" s="352"/>
      <c r="Q407" s="352"/>
      <c r="R407" s="352"/>
      <c r="S407" s="352"/>
      <c r="T407" s="352"/>
      <c r="U407" s="352"/>
      <c r="V407" s="352"/>
    </row>
    <row r="408">
      <c r="A408" s="352"/>
      <c r="B408" s="352"/>
      <c r="C408" s="352"/>
      <c r="D408" s="352"/>
      <c r="E408" s="352"/>
      <c r="F408" s="352"/>
      <c r="G408" s="352"/>
      <c r="H408" s="352"/>
      <c r="I408" s="352"/>
      <c r="J408" s="352"/>
      <c r="K408" s="352"/>
      <c r="L408" s="352"/>
      <c r="M408" s="352"/>
      <c r="N408" s="352"/>
      <c r="O408" s="352"/>
      <c r="P408" s="352"/>
      <c r="Q408" s="352"/>
      <c r="R408" s="352"/>
      <c r="S408" s="352"/>
      <c r="T408" s="352"/>
      <c r="U408" s="352"/>
      <c r="V408" s="352"/>
    </row>
    <row r="409">
      <c r="A409" s="352"/>
      <c r="B409" s="352"/>
      <c r="C409" s="352"/>
      <c r="D409" s="352"/>
      <c r="E409" s="352"/>
      <c r="F409" s="352"/>
      <c r="G409" s="352"/>
      <c r="H409" s="352"/>
      <c r="I409" s="352"/>
      <c r="J409" s="352"/>
      <c r="K409" s="352"/>
      <c r="L409" s="352"/>
      <c r="M409" s="352"/>
      <c r="N409" s="352"/>
      <c r="O409" s="352"/>
      <c r="P409" s="352"/>
      <c r="Q409" s="352"/>
      <c r="R409" s="352"/>
      <c r="S409" s="352"/>
      <c r="T409" s="352"/>
      <c r="U409" s="352"/>
      <c r="V409" s="352"/>
    </row>
    <row r="410">
      <c r="A410" s="352"/>
      <c r="B410" s="352"/>
      <c r="C410" s="352"/>
      <c r="D410" s="352"/>
      <c r="E410" s="352"/>
      <c r="F410" s="352"/>
      <c r="G410" s="352"/>
      <c r="H410" s="352"/>
      <c r="I410" s="352"/>
      <c r="J410" s="352"/>
      <c r="K410" s="352"/>
      <c r="L410" s="352"/>
      <c r="M410" s="352"/>
      <c r="N410" s="352"/>
      <c r="O410" s="352"/>
      <c r="P410" s="352"/>
      <c r="Q410" s="352"/>
      <c r="R410" s="352"/>
      <c r="S410" s="352"/>
      <c r="T410" s="352"/>
      <c r="U410" s="352"/>
      <c r="V410" s="352"/>
    </row>
    <row r="411">
      <c r="A411" s="352"/>
      <c r="B411" s="352"/>
      <c r="C411" s="352"/>
      <c r="D411" s="352"/>
      <c r="E411" s="352"/>
      <c r="F411" s="352"/>
      <c r="G411" s="352"/>
      <c r="H411" s="352"/>
      <c r="I411" s="352"/>
      <c r="J411" s="352"/>
      <c r="K411" s="352"/>
      <c r="L411" s="352"/>
      <c r="M411" s="352"/>
      <c r="N411" s="352"/>
      <c r="O411" s="352"/>
      <c r="P411" s="352"/>
      <c r="Q411" s="352"/>
      <c r="R411" s="352"/>
      <c r="S411" s="352"/>
      <c r="T411" s="352"/>
      <c r="U411" s="352"/>
      <c r="V411" s="352"/>
    </row>
    <row r="412">
      <c r="A412" s="352"/>
      <c r="B412" s="352"/>
      <c r="C412" s="352"/>
      <c r="D412" s="352"/>
      <c r="E412" s="352"/>
      <c r="F412" s="352"/>
      <c r="G412" s="352"/>
      <c r="H412" s="352"/>
      <c r="I412" s="352"/>
      <c r="J412" s="352"/>
      <c r="K412" s="352"/>
      <c r="L412" s="352"/>
      <c r="M412" s="352"/>
      <c r="N412" s="352"/>
      <c r="O412" s="352"/>
      <c r="P412" s="352"/>
      <c r="Q412" s="352"/>
      <c r="R412" s="352"/>
      <c r="S412" s="352"/>
      <c r="T412" s="352"/>
      <c r="U412" s="352"/>
      <c r="V412" s="352"/>
    </row>
    <row r="413">
      <c r="A413" s="352"/>
      <c r="B413" s="352"/>
      <c r="C413" s="352"/>
      <c r="D413" s="352"/>
      <c r="E413" s="352"/>
      <c r="F413" s="352"/>
      <c r="G413" s="352"/>
      <c r="H413" s="352"/>
      <c r="I413" s="352"/>
      <c r="J413" s="352"/>
      <c r="K413" s="352"/>
      <c r="L413" s="352"/>
      <c r="M413" s="352"/>
      <c r="N413" s="352"/>
      <c r="O413" s="352"/>
      <c r="P413" s="352"/>
      <c r="Q413" s="352"/>
      <c r="R413" s="352"/>
      <c r="S413" s="352"/>
      <c r="T413" s="352"/>
      <c r="U413" s="352"/>
      <c r="V413" s="352"/>
    </row>
    <row r="414">
      <c r="A414" s="352"/>
      <c r="B414" s="352"/>
      <c r="C414" s="352"/>
      <c r="D414" s="352"/>
      <c r="E414" s="352"/>
      <c r="F414" s="352"/>
      <c r="G414" s="352"/>
      <c r="H414" s="352"/>
      <c r="I414" s="352"/>
      <c r="J414" s="352"/>
      <c r="K414" s="352"/>
      <c r="L414" s="352"/>
      <c r="M414" s="352"/>
      <c r="N414" s="352"/>
      <c r="O414" s="352"/>
      <c r="P414" s="352"/>
      <c r="Q414" s="352"/>
      <c r="R414" s="352"/>
      <c r="S414" s="352"/>
      <c r="T414" s="352"/>
      <c r="U414" s="352"/>
      <c r="V414" s="352"/>
    </row>
    <row r="415">
      <c r="A415" s="352"/>
      <c r="B415" s="352"/>
      <c r="C415" s="352"/>
      <c r="D415" s="352"/>
      <c r="E415" s="352"/>
      <c r="F415" s="352"/>
      <c r="G415" s="352"/>
      <c r="H415" s="352"/>
      <c r="I415" s="352"/>
      <c r="J415" s="352"/>
      <c r="K415" s="352"/>
      <c r="L415" s="352"/>
      <c r="M415" s="352"/>
      <c r="N415" s="352"/>
      <c r="O415" s="352"/>
      <c r="P415" s="352"/>
      <c r="Q415" s="352"/>
      <c r="R415" s="352"/>
      <c r="S415" s="352"/>
      <c r="T415" s="352"/>
      <c r="U415" s="352"/>
      <c r="V415" s="352"/>
    </row>
    <row r="416">
      <c r="A416" s="352"/>
      <c r="B416" s="352"/>
      <c r="C416" s="352"/>
      <c r="D416" s="352"/>
      <c r="E416" s="352"/>
      <c r="F416" s="352"/>
      <c r="G416" s="352"/>
      <c r="H416" s="352"/>
      <c r="I416" s="352"/>
      <c r="J416" s="352"/>
      <c r="K416" s="352"/>
      <c r="L416" s="352"/>
      <c r="M416" s="352"/>
      <c r="N416" s="352"/>
      <c r="O416" s="352"/>
      <c r="P416" s="352"/>
      <c r="Q416" s="352"/>
      <c r="R416" s="352"/>
      <c r="S416" s="352"/>
      <c r="T416" s="352"/>
      <c r="U416" s="352"/>
      <c r="V416" s="352"/>
    </row>
    <row r="417">
      <c r="A417" s="352"/>
      <c r="B417" s="352"/>
      <c r="C417" s="352"/>
      <c r="D417" s="352"/>
      <c r="E417" s="352"/>
      <c r="F417" s="352"/>
      <c r="G417" s="352"/>
      <c r="H417" s="352"/>
      <c r="I417" s="352"/>
      <c r="J417" s="352"/>
      <c r="K417" s="352"/>
      <c r="L417" s="352"/>
      <c r="M417" s="352"/>
      <c r="N417" s="352"/>
      <c r="O417" s="352"/>
      <c r="P417" s="352"/>
      <c r="Q417" s="352"/>
      <c r="R417" s="352"/>
      <c r="S417" s="352"/>
      <c r="T417" s="352"/>
      <c r="U417" s="352"/>
      <c r="V417" s="352"/>
    </row>
    <row r="418">
      <c r="A418" s="352"/>
      <c r="B418" s="352"/>
      <c r="C418" s="352"/>
      <c r="D418" s="352"/>
      <c r="E418" s="352"/>
      <c r="F418" s="352"/>
      <c r="G418" s="352"/>
      <c r="H418" s="352"/>
      <c r="I418" s="352"/>
      <c r="J418" s="352"/>
      <c r="K418" s="352"/>
      <c r="L418" s="352"/>
      <c r="M418" s="352"/>
      <c r="N418" s="352"/>
      <c r="O418" s="352"/>
      <c r="P418" s="352"/>
      <c r="Q418" s="352"/>
      <c r="R418" s="352"/>
      <c r="S418" s="352"/>
      <c r="T418" s="352"/>
      <c r="U418" s="352"/>
      <c r="V418" s="352"/>
    </row>
    <row r="419">
      <c r="A419" s="352"/>
      <c r="B419" s="352"/>
      <c r="C419" s="352"/>
      <c r="D419" s="352"/>
      <c r="E419" s="352"/>
      <c r="F419" s="352"/>
      <c r="G419" s="352"/>
      <c r="H419" s="352"/>
      <c r="I419" s="352"/>
      <c r="J419" s="352"/>
      <c r="K419" s="352"/>
      <c r="L419" s="352"/>
      <c r="M419" s="352"/>
      <c r="N419" s="352"/>
      <c r="O419" s="352"/>
      <c r="P419" s="352"/>
      <c r="Q419" s="352"/>
      <c r="R419" s="352"/>
      <c r="S419" s="352"/>
      <c r="T419" s="352"/>
      <c r="U419" s="352"/>
      <c r="V419" s="352"/>
    </row>
    <row r="420">
      <c r="A420" s="352"/>
      <c r="B420" s="352"/>
      <c r="C420" s="352"/>
      <c r="D420" s="352"/>
      <c r="E420" s="352"/>
      <c r="F420" s="352"/>
      <c r="G420" s="352"/>
      <c r="H420" s="352"/>
      <c r="I420" s="352"/>
      <c r="J420" s="352"/>
      <c r="K420" s="352"/>
      <c r="L420" s="352"/>
      <c r="M420" s="352"/>
      <c r="N420" s="352"/>
      <c r="O420" s="352"/>
      <c r="P420" s="352"/>
      <c r="Q420" s="352"/>
      <c r="R420" s="352"/>
      <c r="S420" s="352"/>
      <c r="T420" s="352"/>
      <c r="U420" s="352"/>
      <c r="V420" s="352"/>
    </row>
    <row r="421">
      <c r="A421" s="352"/>
      <c r="B421" s="352"/>
      <c r="C421" s="352"/>
      <c r="D421" s="352"/>
      <c r="E421" s="352"/>
      <c r="F421" s="352"/>
      <c r="G421" s="352"/>
      <c r="H421" s="352"/>
      <c r="I421" s="352"/>
      <c r="J421" s="352"/>
      <c r="K421" s="352"/>
      <c r="L421" s="352"/>
      <c r="M421" s="352"/>
      <c r="N421" s="352"/>
      <c r="O421" s="352"/>
      <c r="P421" s="352"/>
      <c r="Q421" s="352"/>
      <c r="R421" s="352"/>
      <c r="S421" s="352"/>
      <c r="T421" s="352"/>
      <c r="U421" s="352"/>
      <c r="V421" s="352"/>
    </row>
    <row r="422">
      <c r="A422" s="352"/>
      <c r="B422" s="352"/>
      <c r="C422" s="352"/>
      <c r="D422" s="352"/>
      <c r="E422" s="352"/>
      <c r="F422" s="352"/>
      <c r="G422" s="352"/>
      <c r="H422" s="352"/>
      <c r="I422" s="352"/>
      <c r="J422" s="352"/>
      <c r="K422" s="352"/>
      <c r="L422" s="352"/>
      <c r="M422" s="352"/>
      <c r="N422" s="352"/>
      <c r="O422" s="352"/>
      <c r="P422" s="352"/>
      <c r="Q422" s="352"/>
      <c r="R422" s="352"/>
      <c r="S422" s="352"/>
      <c r="T422" s="352"/>
      <c r="U422" s="352"/>
      <c r="V422" s="352"/>
    </row>
    <row r="423">
      <c r="A423" s="352"/>
      <c r="B423" s="352"/>
      <c r="C423" s="352"/>
      <c r="D423" s="352"/>
      <c r="E423" s="352"/>
      <c r="F423" s="352"/>
      <c r="G423" s="352"/>
      <c r="H423" s="352"/>
      <c r="I423" s="352"/>
      <c r="J423" s="352"/>
      <c r="K423" s="352"/>
      <c r="L423" s="352"/>
      <c r="M423" s="352"/>
      <c r="N423" s="352"/>
      <c r="O423" s="352"/>
      <c r="P423" s="352"/>
      <c r="Q423" s="352"/>
      <c r="R423" s="352"/>
      <c r="S423" s="352"/>
      <c r="T423" s="352"/>
      <c r="U423" s="352"/>
      <c r="V423" s="352"/>
    </row>
    <row r="424">
      <c r="A424" s="352"/>
      <c r="B424" s="352"/>
      <c r="C424" s="352"/>
      <c r="D424" s="352"/>
      <c r="E424" s="352"/>
      <c r="F424" s="352"/>
      <c r="G424" s="352"/>
      <c r="H424" s="352"/>
      <c r="I424" s="352"/>
      <c r="J424" s="352"/>
      <c r="K424" s="352"/>
      <c r="L424" s="352"/>
      <c r="M424" s="352"/>
      <c r="N424" s="352"/>
      <c r="O424" s="352"/>
      <c r="P424" s="352"/>
      <c r="Q424" s="352"/>
      <c r="R424" s="352"/>
      <c r="S424" s="352"/>
      <c r="T424" s="352"/>
      <c r="U424" s="352"/>
      <c r="V424" s="352"/>
    </row>
    <row r="425">
      <c r="A425" s="352"/>
      <c r="B425" s="352"/>
      <c r="C425" s="352"/>
      <c r="D425" s="352"/>
      <c r="E425" s="352"/>
      <c r="F425" s="352"/>
      <c r="G425" s="352"/>
      <c r="H425" s="352"/>
      <c r="I425" s="352"/>
      <c r="J425" s="352"/>
      <c r="K425" s="352"/>
      <c r="L425" s="352"/>
      <c r="M425" s="352"/>
      <c r="N425" s="352"/>
      <c r="O425" s="352"/>
      <c r="P425" s="352"/>
      <c r="Q425" s="352"/>
      <c r="R425" s="352"/>
      <c r="S425" s="352"/>
      <c r="T425" s="352"/>
      <c r="U425" s="352"/>
      <c r="V425" s="352"/>
    </row>
    <row r="426">
      <c r="A426" s="352"/>
      <c r="B426" s="352"/>
      <c r="C426" s="352"/>
      <c r="D426" s="352"/>
      <c r="E426" s="352"/>
      <c r="F426" s="352"/>
      <c r="G426" s="352"/>
      <c r="H426" s="352"/>
      <c r="I426" s="352"/>
      <c r="J426" s="352"/>
      <c r="K426" s="352"/>
      <c r="L426" s="352"/>
      <c r="M426" s="352"/>
      <c r="N426" s="352"/>
      <c r="O426" s="352"/>
      <c r="P426" s="352"/>
      <c r="Q426" s="352"/>
      <c r="R426" s="352"/>
      <c r="S426" s="352"/>
      <c r="T426" s="352"/>
      <c r="U426" s="352"/>
      <c r="V426" s="352"/>
    </row>
    <row r="427">
      <c r="A427" s="352"/>
      <c r="B427" s="352"/>
      <c r="C427" s="352"/>
      <c r="D427" s="352"/>
      <c r="E427" s="352"/>
      <c r="F427" s="352"/>
      <c r="G427" s="352"/>
      <c r="H427" s="352"/>
      <c r="I427" s="352"/>
      <c r="J427" s="352"/>
      <c r="K427" s="352"/>
      <c r="L427" s="352"/>
      <c r="M427" s="352"/>
      <c r="N427" s="352"/>
      <c r="O427" s="352"/>
      <c r="P427" s="352"/>
      <c r="Q427" s="352"/>
      <c r="R427" s="352"/>
      <c r="S427" s="352"/>
      <c r="T427" s="352"/>
      <c r="U427" s="352"/>
      <c r="V427" s="352"/>
    </row>
    <row r="428">
      <c r="A428" s="352"/>
      <c r="B428" s="352"/>
      <c r="C428" s="352"/>
      <c r="D428" s="352"/>
      <c r="E428" s="352"/>
      <c r="F428" s="352"/>
      <c r="G428" s="352"/>
      <c r="H428" s="352"/>
      <c r="I428" s="352"/>
      <c r="J428" s="352"/>
      <c r="K428" s="352"/>
      <c r="L428" s="352"/>
      <c r="M428" s="352"/>
      <c r="N428" s="352"/>
      <c r="O428" s="352"/>
      <c r="P428" s="352"/>
      <c r="Q428" s="352"/>
      <c r="R428" s="352"/>
      <c r="S428" s="352"/>
      <c r="T428" s="352"/>
      <c r="U428" s="352"/>
      <c r="V428" s="352"/>
    </row>
    <row r="429">
      <c r="A429" s="352"/>
      <c r="B429" s="352"/>
      <c r="C429" s="352"/>
      <c r="D429" s="352"/>
      <c r="E429" s="352"/>
      <c r="F429" s="352"/>
      <c r="G429" s="352"/>
      <c r="H429" s="352"/>
      <c r="I429" s="352"/>
      <c r="J429" s="352"/>
      <c r="K429" s="352"/>
      <c r="L429" s="352"/>
      <c r="M429" s="352"/>
      <c r="N429" s="352"/>
      <c r="O429" s="352"/>
      <c r="P429" s="352"/>
      <c r="Q429" s="352"/>
      <c r="R429" s="352"/>
      <c r="S429" s="352"/>
      <c r="T429" s="352"/>
      <c r="U429" s="352"/>
      <c r="V429" s="352"/>
    </row>
    <row r="430">
      <c r="A430" s="352"/>
      <c r="B430" s="352"/>
      <c r="C430" s="352"/>
      <c r="D430" s="352"/>
      <c r="E430" s="352"/>
      <c r="F430" s="352"/>
      <c r="G430" s="352"/>
      <c r="H430" s="352"/>
      <c r="I430" s="352"/>
      <c r="J430" s="352"/>
      <c r="K430" s="352"/>
      <c r="L430" s="352"/>
      <c r="M430" s="352"/>
      <c r="N430" s="352"/>
      <c r="O430" s="352"/>
      <c r="P430" s="352"/>
      <c r="Q430" s="352"/>
      <c r="R430" s="352"/>
      <c r="S430" s="352"/>
      <c r="T430" s="352"/>
      <c r="U430" s="352"/>
      <c r="V430" s="352"/>
    </row>
    <row r="431">
      <c r="A431" s="352"/>
      <c r="B431" s="352"/>
      <c r="C431" s="352"/>
      <c r="D431" s="352"/>
      <c r="E431" s="352"/>
      <c r="F431" s="352"/>
      <c r="G431" s="352"/>
      <c r="H431" s="352"/>
      <c r="I431" s="352"/>
      <c r="J431" s="352"/>
      <c r="K431" s="352"/>
      <c r="L431" s="352"/>
      <c r="M431" s="352"/>
      <c r="N431" s="352"/>
      <c r="O431" s="352"/>
      <c r="P431" s="352"/>
      <c r="Q431" s="352"/>
      <c r="R431" s="352"/>
      <c r="S431" s="352"/>
      <c r="T431" s="352"/>
      <c r="U431" s="352"/>
      <c r="V431" s="352"/>
    </row>
    <row r="432">
      <c r="A432" s="352"/>
      <c r="B432" s="352"/>
      <c r="C432" s="352"/>
      <c r="D432" s="352"/>
      <c r="E432" s="352"/>
      <c r="F432" s="352"/>
      <c r="G432" s="352"/>
      <c r="H432" s="352"/>
      <c r="I432" s="352"/>
      <c r="J432" s="352"/>
      <c r="K432" s="352"/>
      <c r="L432" s="352"/>
      <c r="M432" s="352"/>
      <c r="N432" s="352"/>
      <c r="O432" s="352"/>
      <c r="P432" s="352"/>
      <c r="Q432" s="352"/>
      <c r="R432" s="352"/>
      <c r="S432" s="352"/>
      <c r="T432" s="352"/>
      <c r="U432" s="352"/>
      <c r="V432" s="352"/>
    </row>
    <row r="433">
      <c r="A433" s="352"/>
      <c r="B433" s="352"/>
      <c r="C433" s="352"/>
      <c r="D433" s="352"/>
      <c r="E433" s="352"/>
      <c r="F433" s="352"/>
      <c r="G433" s="352"/>
      <c r="H433" s="352"/>
      <c r="I433" s="352"/>
      <c r="J433" s="352"/>
      <c r="K433" s="352"/>
      <c r="L433" s="352"/>
      <c r="M433" s="352"/>
      <c r="N433" s="352"/>
      <c r="O433" s="352"/>
      <c r="P433" s="352"/>
      <c r="Q433" s="352"/>
      <c r="R433" s="352"/>
      <c r="S433" s="352"/>
      <c r="T433" s="352"/>
      <c r="U433" s="352"/>
      <c r="V433" s="352"/>
    </row>
    <row r="434">
      <c r="A434" s="352"/>
      <c r="B434" s="352"/>
      <c r="C434" s="352"/>
      <c r="D434" s="352"/>
      <c r="E434" s="352"/>
      <c r="F434" s="352"/>
      <c r="G434" s="352"/>
      <c r="H434" s="352"/>
      <c r="I434" s="352"/>
      <c r="J434" s="352"/>
      <c r="K434" s="352"/>
      <c r="L434" s="352"/>
      <c r="M434" s="352"/>
      <c r="N434" s="352"/>
      <c r="O434" s="352"/>
      <c r="P434" s="352"/>
      <c r="Q434" s="352"/>
      <c r="R434" s="352"/>
      <c r="S434" s="352"/>
      <c r="T434" s="352"/>
      <c r="U434" s="352"/>
      <c r="V434" s="352"/>
    </row>
    <row r="435">
      <c r="A435" s="352"/>
      <c r="B435" s="352"/>
      <c r="C435" s="352"/>
      <c r="D435" s="352"/>
      <c r="E435" s="352"/>
      <c r="F435" s="352"/>
      <c r="G435" s="352"/>
      <c r="H435" s="352"/>
      <c r="I435" s="352"/>
      <c r="J435" s="352"/>
      <c r="K435" s="352"/>
      <c r="L435" s="352"/>
      <c r="M435" s="352"/>
      <c r="N435" s="352"/>
      <c r="O435" s="352"/>
      <c r="P435" s="352"/>
      <c r="Q435" s="352"/>
      <c r="R435" s="352"/>
      <c r="S435" s="352"/>
      <c r="T435" s="352"/>
      <c r="U435" s="352"/>
      <c r="V435" s="352"/>
    </row>
    <row r="436">
      <c r="A436" s="352"/>
      <c r="B436" s="352"/>
      <c r="C436" s="352"/>
      <c r="D436" s="352"/>
      <c r="E436" s="352"/>
      <c r="F436" s="352"/>
      <c r="G436" s="352"/>
      <c r="H436" s="352"/>
      <c r="I436" s="352"/>
      <c r="J436" s="352"/>
      <c r="K436" s="352"/>
      <c r="L436" s="352"/>
      <c r="M436" s="352"/>
      <c r="N436" s="352"/>
      <c r="O436" s="352"/>
      <c r="P436" s="352"/>
      <c r="Q436" s="352"/>
      <c r="R436" s="352"/>
      <c r="S436" s="352"/>
      <c r="T436" s="352"/>
      <c r="U436" s="352"/>
      <c r="V436" s="352"/>
    </row>
    <row r="437">
      <c r="A437" s="352"/>
      <c r="B437" s="352"/>
      <c r="C437" s="352"/>
      <c r="D437" s="352"/>
      <c r="E437" s="352"/>
      <c r="F437" s="352"/>
      <c r="G437" s="352"/>
      <c r="H437" s="352"/>
      <c r="I437" s="352"/>
      <c r="J437" s="352"/>
      <c r="K437" s="352"/>
      <c r="L437" s="352"/>
      <c r="M437" s="352"/>
      <c r="N437" s="352"/>
      <c r="O437" s="352"/>
      <c r="P437" s="352"/>
      <c r="Q437" s="352"/>
      <c r="R437" s="352"/>
      <c r="S437" s="352"/>
      <c r="T437" s="352"/>
      <c r="U437" s="352"/>
      <c r="V437" s="352"/>
    </row>
    <row r="438">
      <c r="A438" s="352"/>
      <c r="B438" s="352"/>
      <c r="C438" s="352"/>
      <c r="D438" s="352"/>
      <c r="E438" s="352"/>
      <c r="F438" s="352"/>
      <c r="G438" s="352"/>
      <c r="H438" s="352"/>
      <c r="I438" s="352"/>
      <c r="J438" s="352"/>
      <c r="K438" s="352"/>
      <c r="L438" s="352"/>
      <c r="M438" s="352"/>
      <c r="N438" s="352"/>
      <c r="O438" s="352"/>
      <c r="P438" s="352"/>
      <c r="Q438" s="352"/>
      <c r="R438" s="352"/>
      <c r="S438" s="352"/>
      <c r="T438" s="352"/>
      <c r="U438" s="352"/>
      <c r="V438" s="352"/>
    </row>
    <row r="439">
      <c r="A439" s="352"/>
      <c r="B439" s="352"/>
      <c r="C439" s="352"/>
      <c r="D439" s="352"/>
      <c r="E439" s="352"/>
      <c r="F439" s="352"/>
      <c r="G439" s="352"/>
      <c r="H439" s="352"/>
      <c r="I439" s="352"/>
      <c r="J439" s="352"/>
      <c r="K439" s="352"/>
      <c r="L439" s="352"/>
      <c r="M439" s="352"/>
      <c r="N439" s="352"/>
      <c r="O439" s="352"/>
      <c r="P439" s="352"/>
      <c r="Q439" s="352"/>
      <c r="R439" s="352"/>
      <c r="S439" s="352"/>
      <c r="T439" s="352"/>
      <c r="U439" s="352"/>
      <c r="V439" s="352"/>
    </row>
    <row r="440">
      <c r="A440" s="352"/>
      <c r="B440" s="352"/>
      <c r="C440" s="352"/>
      <c r="D440" s="352"/>
      <c r="E440" s="352"/>
      <c r="F440" s="352"/>
      <c r="G440" s="352"/>
      <c r="H440" s="352"/>
      <c r="I440" s="352"/>
      <c r="J440" s="352"/>
      <c r="K440" s="352"/>
      <c r="L440" s="352"/>
      <c r="M440" s="352"/>
      <c r="N440" s="352"/>
      <c r="O440" s="352"/>
      <c r="P440" s="352"/>
      <c r="Q440" s="352"/>
      <c r="R440" s="352"/>
      <c r="S440" s="352"/>
      <c r="T440" s="352"/>
      <c r="U440" s="352"/>
      <c r="V440" s="352"/>
    </row>
    <row r="441">
      <c r="A441" s="352"/>
      <c r="B441" s="352"/>
      <c r="C441" s="352"/>
      <c r="D441" s="352"/>
      <c r="E441" s="352"/>
      <c r="F441" s="352"/>
      <c r="G441" s="352"/>
      <c r="H441" s="352"/>
      <c r="I441" s="352"/>
      <c r="J441" s="352"/>
      <c r="K441" s="352"/>
      <c r="L441" s="352"/>
      <c r="M441" s="352"/>
      <c r="N441" s="352"/>
      <c r="O441" s="352"/>
      <c r="P441" s="352"/>
      <c r="Q441" s="352"/>
      <c r="R441" s="352"/>
      <c r="S441" s="352"/>
      <c r="T441" s="352"/>
      <c r="U441" s="352"/>
      <c r="V441" s="352"/>
    </row>
    <row r="442">
      <c r="A442" s="352"/>
      <c r="B442" s="352"/>
      <c r="C442" s="352"/>
      <c r="D442" s="352"/>
      <c r="E442" s="352"/>
      <c r="F442" s="352"/>
      <c r="G442" s="352"/>
      <c r="H442" s="352"/>
      <c r="I442" s="352"/>
      <c r="J442" s="352"/>
      <c r="K442" s="352"/>
      <c r="L442" s="352"/>
      <c r="M442" s="352"/>
      <c r="N442" s="352"/>
      <c r="O442" s="352"/>
      <c r="P442" s="352"/>
      <c r="Q442" s="352"/>
      <c r="R442" s="352"/>
      <c r="S442" s="352"/>
      <c r="T442" s="352"/>
      <c r="U442" s="352"/>
      <c r="V442" s="352"/>
    </row>
    <row r="443">
      <c r="A443" s="352"/>
      <c r="B443" s="352"/>
      <c r="C443" s="352"/>
      <c r="D443" s="352"/>
      <c r="E443" s="352"/>
      <c r="F443" s="352"/>
      <c r="G443" s="352"/>
      <c r="H443" s="352"/>
      <c r="I443" s="352"/>
      <c r="J443" s="352"/>
      <c r="K443" s="352"/>
      <c r="L443" s="352"/>
      <c r="M443" s="352"/>
      <c r="N443" s="352"/>
      <c r="O443" s="352"/>
      <c r="P443" s="352"/>
      <c r="Q443" s="352"/>
      <c r="R443" s="352"/>
      <c r="S443" s="352"/>
      <c r="T443" s="352"/>
      <c r="U443" s="352"/>
      <c r="V443" s="352"/>
    </row>
    <row r="444">
      <c r="A444" s="352"/>
      <c r="B444" s="352"/>
      <c r="C444" s="352"/>
      <c r="D444" s="352"/>
      <c r="E444" s="352"/>
      <c r="F444" s="352"/>
      <c r="G444" s="352"/>
      <c r="H444" s="352"/>
      <c r="I444" s="352"/>
      <c r="J444" s="352"/>
      <c r="K444" s="352"/>
      <c r="L444" s="352"/>
      <c r="M444" s="352"/>
      <c r="N444" s="352"/>
      <c r="O444" s="352"/>
      <c r="P444" s="352"/>
      <c r="Q444" s="352"/>
      <c r="R444" s="352"/>
      <c r="S444" s="352"/>
      <c r="T444" s="352"/>
      <c r="U444" s="352"/>
      <c r="V444" s="352"/>
    </row>
    <row r="445">
      <c r="A445" s="352"/>
      <c r="B445" s="352"/>
      <c r="C445" s="352"/>
      <c r="D445" s="352"/>
      <c r="E445" s="352"/>
      <c r="F445" s="352"/>
      <c r="G445" s="352"/>
      <c r="H445" s="352"/>
      <c r="I445" s="352"/>
      <c r="J445" s="352"/>
      <c r="K445" s="352"/>
      <c r="L445" s="352"/>
      <c r="M445" s="352"/>
      <c r="N445" s="352"/>
      <c r="O445" s="352"/>
      <c r="P445" s="352"/>
      <c r="Q445" s="352"/>
      <c r="R445" s="352"/>
      <c r="S445" s="352"/>
      <c r="T445" s="352"/>
      <c r="U445" s="352"/>
      <c r="V445" s="352"/>
    </row>
    <row r="446">
      <c r="A446" s="352"/>
      <c r="B446" s="352"/>
      <c r="C446" s="352"/>
      <c r="D446" s="352"/>
      <c r="E446" s="352"/>
      <c r="F446" s="352"/>
      <c r="G446" s="352"/>
      <c r="H446" s="352"/>
      <c r="I446" s="352"/>
      <c r="J446" s="352"/>
      <c r="K446" s="352"/>
      <c r="L446" s="352"/>
      <c r="M446" s="352"/>
      <c r="N446" s="352"/>
      <c r="O446" s="352"/>
      <c r="P446" s="352"/>
      <c r="Q446" s="352"/>
      <c r="R446" s="352"/>
      <c r="S446" s="352"/>
      <c r="T446" s="352"/>
      <c r="U446" s="352"/>
      <c r="V446" s="352"/>
    </row>
    <row r="447">
      <c r="A447" s="352"/>
      <c r="B447" s="352"/>
      <c r="C447" s="352"/>
      <c r="D447" s="352"/>
      <c r="E447" s="352"/>
      <c r="F447" s="352"/>
      <c r="G447" s="352"/>
      <c r="H447" s="352"/>
      <c r="I447" s="352"/>
      <c r="J447" s="352"/>
      <c r="K447" s="352"/>
      <c r="L447" s="352"/>
      <c r="M447" s="352"/>
      <c r="N447" s="352"/>
      <c r="O447" s="352"/>
      <c r="P447" s="352"/>
      <c r="Q447" s="352"/>
      <c r="R447" s="352"/>
      <c r="S447" s="352"/>
      <c r="T447" s="352"/>
      <c r="U447" s="352"/>
      <c r="V447" s="352"/>
    </row>
    <row r="448">
      <c r="A448" s="352"/>
      <c r="B448" s="352"/>
      <c r="C448" s="352"/>
      <c r="D448" s="352"/>
      <c r="E448" s="352"/>
      <c r="F448" s="352"/>
      <c r="G448" s="352"/>
      <c r="H448" s="352"/>
      <c r="I448" s="352"/>
      <c r="J448" s="352"/>
      <c r="K448" s="352"/>
      <c r="L448" s="352"/>
      <c r="M448" s="352"/>
      <c r="N448" s="352"/>
      <c r="O448" s="352"/>
      <c r="P448" s="352"/>
      <c r="Q448" s="352"/>
      <c r="R448" s="352"/>
      <c r="S448" s="352"/>
      <c r="T448" s="352"/>
      <c r="U448" s="352"/>
      <c r="V448" s="352"/>
    </row>
    <row r="449">
      <c r="A449" s="352"/>
      <c r="B449" s="352"/>
      <c r="C449" s="352"/>
      <c r="D449" s="352"/>
      <c r="E449" s="352"/>
      <c r="F449" s="352"/>
      <c r="G449" s="352"/>
      <c r="H449" s="352"/>
      <c r="I449" s="352"/>
      <c r="J449" s="352"/>
      <c r="K449" s="352"/>
      <c r="L449" s="352"/>
      <c r="M449" s="352"/>
      <c r="N449" s="352"/>
      <c r="O449" s="352"/>
      <c r="P449" s="352"/>
      <c r="Q449" s="352"/>
      <c r="R449" s="352"/>
      <c r="S449" s="352"/>
      <c r="T449" s="352"/>
      <c r="U449" s="352"/>
      <c r="V449" s="352"/>
    </row>
    <row r="450">
      <c r="A450" s="352"/>
      <c r="B450" s="352"/>
      <c r="C450" s="352"/>
      <c r="D450" s="352"/>
      <c r="E450" s="352"/>
      <c r="F450" s="352"/>
      <c r="G450" s="352"/>
      <c r="H450" s="352"/>
      <c r="I450" s="352"/>
      <c r="J450" s="352"/>
      <c r="K450" s="352"/>
      <c r="L450" s="352"/>
      <c r="M450" s="352"/>
      <c r="N450" s="352"/>
      <c r="O450" s="352"/>
      <c r="P450" s="352"/>
      <c r="Q450" s="352"/>
      <c r="R450" s="352"/>
      <c r="S450" s="352"/>
      <c r="T450" s="352"/>
      <c r="U450" s="352"/>
      <c r="V450" s="352"/>
    </row>
    <row r="451">
      <c r="A451" s="352"/>
      <c r="B451" s="352"/>
      <c r="C451" s="352"/>
      <c r="D451" s="352"/>
      <c r="E451" s="352"/>
      <c r="F451" s="352"/>
      <c r="G451" s="352"/>
      <c r="H451" s="352"/>
      <c r="I451" s="352"/>
      <c r="J451" s="352"/>
      <c r="K451" s="352"/>
      <c r="L451" s="352"/>
      <c r="M451" s="352"/>
      <c r="N451" s="352"/>
      <c r="O451" s="352"/>
      <c r="P451" s="352"/>
      <c r="Q451" s="352"/>
      <c r="R451" s="352"/>
      <c r="S451" s="352"/>
      <c r="T451" s="352"/>
      <c r="U451" s="352"/>
      <c r="V451" s="352"/>
    </row>
    <row r="452">
      <c r="A452" s="352"/>
      <c r="B452" s="352"/>
      <c r="C452" s="352"/>
      <c r="D452" s="352"/>
      <c r="E452" s="352"/>
      <c r="F452" s="352"/>
      <c r="G452" s="352"/>
      <c r="H452" s="352"/>
      <c r="I452" s="352"/>
      <c r="J452" s="352"/>
      <c r="K452" s="352"/>
      <c r="L452" s="352"/>
      <c r="M452" s="352"/>
      <c r="N452" s="352"/>
      <c r="O452" s="352"/>
      <c r="P452" s="352"/>
      <c r="Q452" s="352"/>
      <c r="R452" s="352"/>
      <c r="S452" s="352"/>
      <c r="T452" s="352"/>
      <c r="U452" s="352"/>
      <c r="V452" s="352"/>
    </row>
    <row r="453">
      <c r="A453" s="352"/>
      <c r="B453" s="352"/>
      <c r="C453" s="352"/>
      <c r="D453" s="352"/>
      <c r="E453" s="352"/>
      <c r="F453" s="352"/>
      <c r="G453" s="352"/>
      <c r="H453" s="352"/>
      <c r="I453" s="352"/>
      <c r="J453" s="352"/>
      <c r="K453" s="352"/>
      <c r="L453" s="352"/>
      <c r="M453" s="352"/>
      <c r="N453" s="352"/>
      <c r="O453" s="352"/>
      <c r="P453" s="352"/>
      <c r="Q453" s="352"/>
      <c r="R453" s="352"/>
      <c r="S453" s="352"/>
      <c r="T453" s="352"/>
      <c r="U453" s="352"/>
      <c r="V453" s="352"/>
    </row>
    <row r="454">
      <c r="A454" s="352"/>
      <c r="B454" s="352"/>
      <c r="C454" s="352"/>
      <c r="D454" s="352"/>
      <c r="E454" s="352"/>
      <c r="F454" s="352"/>
      <c r="G454" s="352"/>
      <c r="H454" s="352"/>
      <c r="I454" s="352"/>
      <c r="J454" s="352"/>
      <c r="K454" s="352"/>
      <c r="L454" s="352"/>
      <c r="M454" s="352"/>
      <c r="N454" s="352"/>
      <c r="O454" s="352"/>
      <c r="P454" s="352"/>
      <c r="Q454" s="352"/>
      <c r="R454" s="352"/>
      <c r="S454" s="352"/>
      <c r="T454" s="352"/>
      <c r="U454" s="352"/>
      <c r="V454" s="352"/>
    </row>
    <row r="455">
      <c r="A455" s="352"/>
      <c r="B455" s="352"/>
      <c r="C455" s="352"/>
      <c r="D455" s="352"/>
      <c r="E455" s="352"/>
      <c r="F455" s="352"/>
      <c r="G455" s="352"/>
      <c r="H455" s="352"/>
      <c r="I455" s="352"/>
      <c r="J455" s="352"/>
      <c r="K455" s="352"/>
      <c r="L455" s="352"/>
      <c r="M455" s="352"/>
      <c r="N455" s="352"/>
      <c r="O455" s="352"/>
      <c r="P455" s="352"/>
      <c r="Q455" s="352"/>
      <c r="R455" s="352"/>
      <c r="S455" s="352"/>
      <c r="T455" s="352"/>
      <c r="U455" s="352"/>
      <c r="V455" s="352"/>
    </row>
    <row r="456">
      <c r="A456" s="352"/>
      <c r="B456" s="352"/>
      <c r="C456" s="352"/>
      <c r="D456" s="352"/>
      <c r="E456" s="352"/>
      <c r="F456" s="352"/>
      <c r="G456" s="352"/>
      <c r="H456" s="352"/>
      <c r="I456" s="352"/>
      <c r="J456" s="352"/>
      <c r="K456" s="352"/>
      <c r="L456" s="352"/>
      <c r="M456" s="352"/>
      <c r="N456" s="352"/>
      <c r="O456" s="352"/>
      <c r="P456" s="352"/>
      <c r="Q456" s="352"/>
      <c r="R456" s="352"/>
      <c r="S456" s="352"/>
      <c r="T456" s="352"/>
      <c r="U456" s="352"/>
      <c r="V456" s="352"/>
    </row>
    <row r="457">
      <c r="A457" s="352"/>
      <c r="B457" s="352"/>
      <c r="C457" s="352"/>
      <c r="D457" s="352"/>
      <c r="E457" s="352"/>
      <c r="F457" s="352"/>
      <c r="G457" s="352"/>
      <c r="H457" s="352"/>
      <c r="I457" s="352"/>
      <c r="J457" s="352"/>
      <c r="K457" s="352"/>
      <c r="L457" s="352"/>
      <c r="M457" s="352"/>
      <c r="N457" s="352"/>
      <c r="O457" s="352"/>
      <c r="P457" s="352"/>
      <c r="Q457" s="352"/>
      <c r="R457" s="352"/>
      <c r="S457" s="352"/>
      <c r="T457" s="352"/>
      <c r="U457" s="352"/>
      <c r="V457" s="352"/>
    </row>
    <row r="458">
      <c r="A458" s="352"/>
      <c r="B458" s="352"/>
      <c r="C458" s="352"/>
      <c r="D458" s="352"/>
      <c r="E458" s="352"/>
      <c r="F458" s="352"/>
      <c r="G458" s="352"/>
      <c r="H458" s="352"/>
      <c r="I458" s="352"/>
      <c r="J458" s="352"/>
      <c r="K458" s="352"/>
      <c r="L458" s="352"/>
      <c r="M458" s="352"/>
      <c r="N458" s="352"/>
      <c r="O458" s="352"/>
      <c r="P458" s="352"/>
      <c r="Q458" s="352"/>
      <c r="R458" s="352"/>
      <c r="S458" s="352"/>
      <c r="T458" s="352"/>
      <c r="U458" s="352"/>
      <c r="V458" s="352"/>
    </row>
    <row r="459">
      <c r="A459" s="352"/>
      <c r="B459" s="352"/>
      <c r="C459" s="352"/>
      <c r="D459" s="352"/>
      <c r="E459" s="352"/>
      <c r="F459" s="352"/>
      <c r="G459" s="352"/>
      <c r="H459" s="352"/>
      <c r="I459" s="352"/>
      <c r="J459" s="352"/>
      <c r="K459" s="352"/>
      <c r="L459" s="352"/>
      <c r="M459" s="352"/>
      <c r="N459" s="352"/>
      <c r="O459" s="352"/>
      <c r="P459" s="352"/>
      <c r="Q459" s="352"/>
      <c r="R459" s="352"/>
      <c r="S459" s="352"/>
      <c r="T459" s="352"/>
      <c r="U459" s="352"/>
      <c r="V459" s="352"/>
    </row>
    <row r="460">
      <c r="A460" s="352"/>
      <c r="B460" s="352"/>
      <c r="C460" s="352"/>
      <c r="D460" s="352"/>
      <c r="E460" s="352"/>
      <c r="F460" s="352"/>
      <c r="G460" s="352"/>
      <c r="H460" s="352"/>
      <c r="I460" s="352"/>
      <c r="J460" s="352"/>
      <c r="K460" s="352"/>
      <c r="L460" s="352"/>
      <c r="M460" s="352"/>
      <c r="N460" s="352"/>
      <c r="O460" s="352"/>
      <c r="P460" s="352"/>
      <c r="Q460" s="352"/>
      <c r="R460" s="352"/>
      <c r="S460" s="352"/>
      <c r="T460" s="352"/>
      <c r="U460" s="352"/>
      <c r="V460" s="352"/>
    </row>
    <row r="461">
      <c r="A461" s="352"/>
      <c r="B461" s="352"/>
      <c r="C461" s="352"/>
      <c r="D461" s="352"/>
      <c r="E461" s="352"/>
      <c r="F461" s="352"/>
      <c r="G461" s="352"/>
      <c r="H461" s="352"/>
      <c r="I461" s="352"/>
      <c r="J461" s="352"/>
      <c r="K461" s="352"/>
      <c r="L461" s="352"/>
      <c r="M461" s="352"/>
      <c r="N461" s="352"/>
      <c r="O461" s="352"/>
      <c r="P461" s="352"/>
      <c r="Q461" s="352"/>
      <c r="R461" s="352"/>
      <c r="S461" s="352"/>
      <c r="T461" s="352"/>
      <c r="U461" s="352"/>
      <c r="V461" s="352"/>
    </row>
    <row r="462">
      <c r="A462" s="352"/>
      <c r="B462" s="352"/>
      <c r="C462" s="352"/>
      <c r="D462" s="352"/>
      <c r="E462" s="352"/>
      <c r="F462" s="352"/>
      <c r="G462" s="352"/>
      <c r="H462" s="352"/>
      <c r="I462" s="352"/>
      <c r="J462" s="352"/>
      <c r="K462" s="352"/>
      <c r="L462" s="352"/>
      <c r="M462" s="352"/>
      <c r="N462" s="352"/>
      <c r="O462" s="352"/>
      <c r="P462" s="352"/>
      <c r="Q462" s="352"/>
      <c r="R462" s="352"/>
      <c r="S462" s="352"/>
      <c r="T462" s="352"/>
      <c r="U462" s="352"/>
      <c r="V462" s="352"/>
    </row>
    <row r="463">
      <c r="A463" s="352"/>
      <c r="B463" s="352"/>
      <c r="C463" s="352"/>
      <c r="D463" s="352"/>
      <c r="E463" s="352"/>
      <c r="F463" s="352"/>
      <c r="G463" s="352"/>
      <c r="H463" s="352"/>
      <c r="I463" s="352"/>
      <c r="J463" s="352"/>
      <c r="K463" s="352"/>
      <c r="L463" s="352"/>
      <c r="M463" s="352"/>
      <c r="N463" s="352"/>
      <c r="O463" s="352"/>
      <c r="P463" s="352"/>
      <c r="Q463" s="352"/>
      <c r="R463" s="352"/>
      <c r="S463" s="352"/>
      <c r="T463" s="352"/>
      <c r="U463" s="352"/>
      <c r="V463" s="352"/>
    </row>
    <row r="464">
      <c r="A464" s="352"/>
      <c r="B464" s="352"/>
      <c r="C464" s="352"/>
      <c r="D464" s="352"/>
      <c r="E464" s="352"/>
      <c r="F464" s="352"/>
      <c r="G464" s="352"/>
      <c r="H464" s="352"/>
      <c r="I464" s="352"/>
      <c r="J464" s="352"/>
      <c r="K464" s="352"/>
      <c r="L464" s="352"/>
      <c r="M464" s="352"/>
      <c r="N464" s="352"/>
      <c r="O464" s="352"/>
      <c r="P464" s="352"/>
      <c r="Q464" s="352"/>
      <c r="R464" s="352"/>
      <c r="S464" s="352"/>
      <c r="T464" s="352"/>
      <c r="U464" s="352"/>
      <c r="V464" s="352"/>
    </row>
    <row r="465">
      <c r="A465" s="352"/>
      <c r="B465" s="352"/>
      <c r="C465" s="352"/>
      <c r="D465" s="352"/>
      <c r="E465" s="352"/>
      <c r="F465" s="352"/>
      <c r="G465" s="352"/>
      <c r="H465" s="352"/>
      <c r="I465" s="352"/>
      <c r="J465" s="352"/>
      <c r="K465" s="352"/>
      <c r="L465" s="352"/>
      <c r="M465" s="352"/>
      <c r="N465" s="352"/>
      <c r="O465" s="352"/>
      <c r="P465" s="352"/>
      <c r="Q465" s="352"/>
      <c r="R465" s="352"/>
      <c r="S465" s="352"/>
      <c r="T465" s="352"/>
      <c r="U465" s="352"/>
      <c r="V465" s="352"/>
    </row>
    <row r="466">
      <c r="A466" s="352"/>
      <c r="B466" s="352"/>
      <c r="C466" s="352"/>
      <c r="D466" s="352"/>
      <c r="E466" s="352"/>
      <c r="F466" s="352"/>
      <c r="G466" s="352"/>
      <c r="H466" s="352"/>
      <c r="I466" s="352"/>
      <c r="J466" s="352"/>
      <c r="K466" s="352"/>
      <c r="L466" s="352"/>
      <c r="M466" s="352"/>
      <c r="N466" s="352"/>
      <c r="O466" s="352"/>
      <c r="P466" s="352"/>
      <c r="Q466" s="352"/>
      <c r="R466" s="352"/>
      <c r="S466" s="352"/>
      <c r="T466" s="352"/>
      <c r="U466" s="352"/>
      <c r="V466" s="352"/>
    </row>
    <row r="467">
      <c r="A467" s="352"/>
      <c r="B467" s="352"/>
      <c r="C467" s="352"/>
      <c r="D467" s="352"/>
      <c r="E467" s="352"/>
      <c r="F467" s="352"/>
      <c r="G467" s="352"/>
      <c r="H467" s="352"/>
      <c r="I467" s="352"/>
      <c r="J467" s="352"/>
      <c r="K467" s="352"/>
      <c r="L467" s="352"/>
      <c r="M467" s="352"/>
      <c r="N467" s="352"/>
      <c r="O467" s="352"/>
      <c r="P467" s="352"/>
      <c r="Q467" s="352"/>
      <c r="R467" s="352"/>
      <c r="S467" s="352"/>
      <c r="T467" s="352"/>
      <c r="U467" s="352"/>
      <c r="V467" s="352"/>
    </row>
    <row r="468">
      <c r="A468" s="352"/>
      <c r="B468" s="352"/>
      <c r="C468" s="352"/>
      <c r="D468" s="352"/>
      <c r="E468" s="352"/>
      <c r="F468" s="352"/>
      <c r="G468" s="352"/>
      <c r="H468" s="352"/>
      <c r="I468" s="352"/>
      <c r="J468" s="352"/>
      <c r="K468" s="352"/>
      <c r="L468" s="352"/>
      <c r="M468" s="352"/>
      <c r="N468" s="352"/>
      <c r="O468" s="352"/>
      <c r="P468" s="352"/>
      <c r="Q468" s="352"/>
      <c r="R468" s="352"/>
      <c r="S468" s="352"/>
      <c r="T468" s="352"/>
      <c r="U468" s="352"/>
      <c r="V468" s="352"/>
    </row>
    <row r="469">
      <c r="A469" s="352"/>
      <c r="B469" s="352"/>
      <c r="C469" s="352"/>
      <c r="D469" s="352"/>
      <c r="E469" s="352"/>
      <c r="F469" s="352"/>
      <c r="G469" s="352"/>
      <c r="H469" s="352"/>
      <c r="I469" s="352"/>
      <c r="J469" s="352"/>
      <c r="K469" s="352"/>
      <c r="L469" s="352"/>
      <c r="M469" s="352"/>
      <c r="N469" s="352"/>
      <c r="O469" s="352"/>
      <c r="P469" s="352"/>
      <c r="Q469" s="352"/>
      <c r="R469" s="352"/>
      <c r="S469" s="352"/>
      <c r="T469" s="352"/>
      <c r="U469" s="352"/>
      <c r="V469" s="352"/>
    </row>
    <row r="470">
      <c r="A470" s="352"/>
      <c r="B470" s="352"/>
      <c r="C470" s="352"/>
      <c r="D470" s="352"/>
      <c r="E470" s="352"/>
      <c r="F470" s="352"/>
      <c r="G470" s="352"/>
      <c r="H470" s="352"/>
      <c r="I470" s="352"/>
      <c r="J470" s="352"/>
      <c r="K470" s="352"/>
      <c r="L470" s="352"/>
      <c r="M470" s="352"/>
      <c r="N470" s="352"/>
      <c r="O470" s="352"/>
      <c r="P470" s="352"/>
      <c r="Q470" s="352"/>
      <c r="R470" s="352"/>
      <c r="S470" s="352"/>
      <c r="T470" s="352"/>
      <c r="U470" s="352"/>
      <c r="V470" s="352"/>
    </row>
    <row r="471">
      <c r="A471" s="352"/>
      <c r="B471" s="352"/>
      <c r="C471" s="352"/>
      <c r="D471" s="352"/>
      <c r="E471" s="352"/>
      <c r="F471" s="352"/>
      <c r="G471" s="352"/>
      <c r="H471" s="352"/>
      <c r="I471" s="352"/>
      <c r="J471" s="352"/>
      <c r="K471" s="352"/>
      <c r="L471" s="352"/>
      <c r="M471" s="352"/>
      <c r="N471" s="352"/>
      <c r="O471" s="352"/>
      <c r="P471" s="352"/>
      <c r="Q471" s="352"/>
      <c r="R471" s="352"/>
      <c r="S471" s="352"/>
      <c r="T471" s="352"/>
      <c r="U471" s="352"/>
      <c r="V471" s="352"/>
    </row>
    <row r="472">
      <c r="A472" s="352"/>
      <c r="B472" s="352"/>
      <c r="C472" s="352"/>
      <c r="D472" s="352"/>
      <c r="E472" s="352"/>
      <c r="F472" s="352"/>
      <c r="G472" s="352"/>
      <c r="H472" s="352"/>
      <c r="I472" s="352"/>
      <c r="J472" s="352"/>
      <c r="K472" s="352"/>
      <c r="L472" s="352"/>
      <c r="M472" s="352"/>
      <c r="N472" s="352"/>
      <c r="O472" s="352"/>
      <c r="P472" s="352"/>
      <c r="Q472" s="352"/>
      <c r="R472" s="352"/>
      <c r="S472" s="352"/>
      <c r="T472" s="352"/>
      <c r="U472" s="352"/>
      <c r="V472" s="352"/>
    </row>
    <row r="473">
      <c r="A473" s="352"/>
      <c r="B473" s="352"/>
      <c r="C473" s="352"/>
      <c r="D473" s="352"/>
      <c r="E473" s="352"/>
      <c r="F473" s="352"/>
      <c r="G473" s="352"/>
      <c r="H473" s="352"/>
      <c r="I473" s="352"/>
      <c r="J473" s="352"/>
      <c r="K473" s="352"/>
      <c r="L473" s="352"/>
      <c r="M473" s="352"/>
      <c r="N473" s="352"/>
      <c r="O473" s="352"/>
      <c r="P473" s="352"/>
      <c r="Q473" s="352"/>
      <c r="R473" s="352"/>
      <c r="S473" s="352"/>
      <c r="T473" s="352"/>
      <c r="U473" s="352"/>
      <c r="V473" s="352"/>
    </row>
    <row r="474">
      <c r="A474" s="352"/>
      <c r="B474" s="352"/>
      <c r="C474" s="352"/>
      <c r="D474" s="352"/>
      <c r="E474" s="352"/>
      <c r="F474" s="352"/>
      <c r="G474" s="352"/>
      <c r="H474" s="352"/>
      <c r="I474" s="352"/>
      <c r="J474" s="352"/>
      <c r="K474" s="352"/>
      <c r="L474" s="352"/>
      <c r="M474" s="352"/>
      <c r="N474" s="352"/>
      <c r="O474" s="352"/>
      <c r="P474" s="352"/>
      <c r="Q474" s="352"/>
      <c r="R474" s="352"/>
      <c r="S474" s="352"/>
      <c r="T474" s="352"/>
      <c r="U474" s="352"/>
      <c r="V474" s="352"/>
    </row>
    <row r="475">
      <c r="A475" s="352"/>
      <c r="B475" s="352"/>
      <c r="C475" s="352"/>
      <c r="D475" s="352"/>
      <c r="E475" s="352"/>
      <c r="F475" s="352"/>
      <c r="G475" s="352"/>
      <c r="H475" s="352"/>
      <c r="I475" s="352"/>
      <c r="J475" s="352"/>
      <c r="K475" s="352"/>
      <c r="L475" s="352"/>
      <c r="M475" s="352"/>
      <c r="N475" s="352"/>
      <c r="O475" s="352"/>
      <c r="P475" s="352"/>
      <c r="Q475" s="352"/>
      <c r="R475" s="352"/>
      <c r="S475" s="352"/>
      <c r="T475" s="352"/>
      <c r="U475" s="352"/>
      <c r="V475" s="352"/>
    </row>
    <row r="476">
      <c r="A476" s="352"/>
      <c r="B476" s="352"/>
      <c r="C476" s="352"/>
      <c r="D476" s="352"/>
      <c r="E476" s="352"/>
      <c r="F476" s="352"/>
      <c r="G476" s="352"/>
      <c r="H476" s="352"/>
      <c r="I476" s="352"/>
      <c r="J476" s="352"/>
      <c r="K476" s="352"/>
      <c r="L476" s="352"/>
      <c r="M476" s="352"/>
      <c r="N476" s="352"/>
      <c r="O476" s="352"/>
      <c r="P476" s="352"/>
      <c r="Q476" s="352"/>
      <c r="R476" s="352"/>
      <c r="S476" s="352"/>
      <c r="T476" s="352"/>
      <c r="U476" s="352"/>
      <c r="V476" s="352"/>
    </row>
    <row r="477">
      <c r="A477" s="352"/>
      <c r="B477" s="352"/>
      <c r="C477" s="352"/>
      <c r="D477" s="352"/>
      <c r="E477" s="352"/>
      <c r="F477" s="352"/>
      <c r="G477" s="352"/>
      <c r="H477" s="352"/>
      <c r="I477" s="352"/>
      <c r="J477" s="352"/>
      <c r="K477" s="352"/>
      <c r="L477" s="352"/>
      <c r="M477" s="352"/>
      <c r="N477" s="352"/>
      <c r="O477" s="352"/>
      <c r="P477" s="352"/>
      <c r="Q477" s="352"/>
      <c r="R477" s="352"/>
      <c r="S477" s="352"/>
      <c r="T477" s="352"/>
      <c r="U477" s="352"/>
      <c r="V477" s="352"/>
    </row>
    <row r="478">
      <c r="A478" s="352"/>
      <c r="B478" s="352"/>
      <c r="C478" s="352"/>
      <c r="D478" s="352"/>
      <c r="E478" s="352"/>
      <c r="F478" s="352"/>
      <c r="G478" s="352"/>
      <c r="H478" s="352"/>
      <c r="I478" s="352"/>
      <c r="J478" s="352"/>
      <c r="K478" s="352"/>
      <c r="L478" s="352"/>
      <c r="M478" s="352"/>
      <c r="N478" s="352"/>
      <c r="O478" s="352"/>
      <c r="P478" s="352"/>
      <c r="Q478" s="352"/>
      <c r="R478" s="352"/>
      <c r="S478" s="352"/>
      <c r="T478" s="352"/>
      <c r="U478" s="352"/>
      <c r="V478" s="352"/>
    </row>
    <row r="479">
      <c r="A479" s="352"/>
      <c r="B479" s="352"/>
      <c r="C479" s="352"/>
      <c r="D479" s="352"/>
      <c r="E479" s="352"/>
      <c r="F479" s="352"/>
      <c r="G479" s="352"/>
      <c r="H479" s="352"/>
      <c r="I479" s="352"/>
      <c r="J479" s="352"/>
      <c r="K479" s="352"/>
      <c r="L479" s="352"/>
      <c r="M479" s="352"/>
      <c r="N479" s="352"/>
      <c r="O479" s="352"/>
      <c r="P479" s="352"/>
      <c r="Q479" s="352"/>
      <c r="R479" s="352"/>
      <c r="S479" s="352"/>
      <c r="T479" s="352"/>
      <c r="U479" s="352"/>
      <c r="V479" s="352"/>
    </row>
    <row r="480">
      <c r="A480" s="352"/>
      <c r="B480" s="352"/>
      <c r="C480" s="352"/>
      <c r="D480" s="352"/>
      <c r="E480" s="352"/>
      <c r="F480" s="352"/>
      <c r="G480" s="352"/>
      <c r="H480" s="352"/>
      <c r="I480" s="352"/>
      <c r="J480" s="352"/>
      <c r="K480" s="352"/>
      <c r="L480" s="352"/>
      <c r="M480" s="352"/>
      <c r="N480" s="352"/>
      <c r="O480" s="352"/>
      <c r="P480" s="352"/>
      <c r="Q480" s="352"/>
      <c r="R480" s="352"/>
      <c r="S480" s="352"/>
      <c r="T480" s="352"/>
      <c r="U480" s="352"/>
      <c r="V480" s="352"/>
    </row>
    <row r="481">
      <c r="A481" s="352"/>
      <c r="B481" s="352"/>
      <c r="C481" s="352"/>
      <c r="D481" s="352"/>
      <c r="E481" s="352"/>
      <c r="F481" s="352"/>
      <c r="G481" s="352"/>
      <c r="H481" s="352"/>
      <c r="I481" s="352"/>
      <c r="J481" s="352"/>
      <c r="K481" s="352"/>
      <c r="L481" s="352"/>
      <c r="M481" s="352"/>
      <c r="N481" s="352"/>
      <c r="O481" s="352"/>
      <c r="P481" s="352"/>
      <c r="Q481" s="352"/>
      <c r="R481" s="352"/>
      <c r="S481" s="352"/>
      <c r="T481" s="352"/>
      <c r="U481" s="352"/>
      <c r="V481" s="352"/>
    </row>
    <row r="482">
      <c r="A482" s="352"/>
      <c r="B482" s="352"/>
      <c r="C482" s="352"/>
      <c r="D482" s="352"/>
      <c r="E482" s="352"/>
      <c r="F482" s="352"/>
      <c r="G482" s="352"/>
      <c r="H482" s="352"/>
      <c r="I482" s="352"/>
      <c r="J482" s="352"/>
      <c r="K482" s="352"/>
      <c r="L482" s="352"/>
      <c r="M482" s="352"/>
      <c r="N482" s="352"/>
      <c r="O482" s="352"/>
      <c r="P482" s="352"/>
      <c r="Q482" s="352"/>
      <c r="R482" s="352"/>
      <c r="S482" s="352"/>
      <c r="T482" s="352"/>
      <c r="U482" s="352"/>
      <c r="V482" s="352"/>
    </row>
    <row r="483">
      <c r="A483" s="352"/>
      <c r="B483" s="352"/>
      <c r="C483" s="352"/>
      <c r="D483" s="352"/>
      <c r="E483" s="352"/>
      <c r="F483" s="352"/>
      <c r="G483" s="352"/>
      <c r="H483" s="352"/>
      <c r="I483" s="352"/>
      <c r="J483" s="352"/>
      <c r="K483" s="352"/>
      <c r="L483" s="352"/>
      <c r="M483" s="352"/>
      <c r="N483" s="352"/>
      <c r="O483" s="352"/>
      <c r="P483" s="352"/>
      <c r="Q483" s="352"/>
      <c r="R483" s="352"/>
      <c r="S483" s="352"/>
      <c r="T483" s="352"/>
      <c r="U483" s="352"/>
      <c r="V483" s="352"/>
    </row>
    <row r="484">
      <c r="A484" s="352"/>
      <c r="B484" s="352"/>
      <c r="C484" s="352"/>
      <c r="D484" s="352"/>
      <c r="E484" s="352"/>
      <c r="F484" s="352"/>
      <c r="G484" s="352"/>
      <c r="H484" s="352"/>
      <c r="I484" s="352"/>
      <c r="J484" s="352"/>
      <c r="K484" s="352"/>
      <c r="L484" s="352"/>
      <c r="M484" s="352"/>
      <c r="N484" s="352"/>
      <c r="O484" s="352"/>
      <c r="P484" s="352"/>
      <c r="Q484" s="352"/>
      <c r="R484" s="352"/>
      <c r="S484" s="352"/>
      <c r="T484" s="352"/>
      <c r="U484" s="352"/>
      <c r="V484" s="352"/>
    </row>
    <row r="485">
      <c r="A485" s="352"/>
      <c r="B485" s="352"/>
      <c r="C485" s="352"/>
      <c r="D485" s="352"/>
      <c r="E485" s="352"/>
      <c r="F485" s="352"/>
      <c r="G485" s="352"/>
      <c r="H485" s="352"/>
      <c r="I485" s="352"/>
      <c r="J485" s="352"/>
      <c r="K485" s="352"/>
      <c r="L485" s="352"/>
      <c r="M485" s="352"/>
      <c r="N485" s="352"/>
      <c r="O485" s="352"/>
      <c r="P485" s="352"/>
      <c r="Q485" s="352"/>
      <c r="R485" s="352"/>
      <c r="S485" s="352"/>
      <c r="T485" s="352"/>
      <c r="U485" s="352"/>
      <c r="V485" s="352"/>
    </row>
    <row r="486">
      <c r="A486" s="352"/>
      <c r="B486" s="352"/>
      <c r="C486" s="352"/>
      <c r="D486" s="352"/>
      <c r="E486" s="352"/>
      <c r="F486" s="352"/>
      <c r="G486" s="352"/>
      <c r="H486" s="352"/>
      <c r="I486" s="352"/>
      <c r="J486" s="352"/>
      <c r="K486" s="352"/>
      <c r="L486" s="352"/>
      <c r="M486" s="352"/>
      <c r="N486" s="352"/>
      <c r="O486" s="352"/>
      <c r="P486" s="352"/>
      <c r="Q486" s="352"/>
      <c r="R486" s="352"/>
      <c r="S486" s="352"/>
      <c r="T486" s="352"/>
      <c r="U486" s="352"/>
      <c r="V486" s="352"/>
    </row>
    <row r="487">
      <c r="A487" s="352"/>
      <c r="B487" s="352"/>
      <c r="C487" s="352"/>
      <c r="D487" s="352"/>
      <c r="E487" s="352"/>
      <c r="F487" s="352"/>
      <c r="G487" s="352"/>
      <c r="H487" s="352"/>
      <c r="I487" s="352"/>
      <c r="J487" s="352"/>
      <c r="K487" s="352"/>
      <c r="L487" s="352"/>
      <c r="M487" s="352"/>
      <c r="N487" s="352"/>
      <c r="O487" s="352"/>
      <c r="P487" s="352"/>
      <c r="Q487" s="352"/>
      <c r="R487" s="352"/>
      <c r="S487" s="352"/>
      <c r="T487" s="352"/>
      <c r="U487" s="352"/>
      <c r="V487" s="352"/>
    </row>
    <row r="488">
      <c r="A488" s="352"/>
      <c r="B488" s="352"/>
      <c r="C488" s="352"/>
      <c r="D488" s="352"/>
      <c r="E488" s="352"/>
      <c r="F488" s="352"/>
      <c r="G488" s="352"/>
      <c r="H488" s="352"/>
      <c r="I488" s="352"/>
      <c r="J488" s="352"/>
      <c r="K488" s="352"/>
      <c r="L488" s="352"/>
      <c r="M488" s="352"/>
      <c r="N488" s="352"/>
      <c r="O488" s="352"/>
      <c r="P488" s="352"/>
      <c r="Q488" s="352"/>
      <c r="R488" s="352"/>
      <c r="S488" s="352"/>
      <c r="T488" s="352"/>
      <c r="U488" s="352"/>
      <c r="V488" s="352"/>
    </row>
    <row r="489">
      <c r="A489" s="352"/>
      <c r="B489" s="352"/>
      <c r="C489" s="352"/>
      <c r="D489" s="352"/>
      <c r="E489" s="352"/>
      <c r="F489" s="352"/>
      <c r="G489" s="352"/>
      <c r="H489" s="352"/>
      <c r="I489" s="352"/>
      <c r="J489" s="352"/>
      <c r="K489" s="352"/>
      <c r="L489" s="352"/>
      <c r="M489" s="352"/>
      <c r="N489" s="352"/>
      <c r="O489" s="352"/>
      <c r="P489" s="352"/>
      <c r="Q489" s="352"/>
      <c r="R489" s="352"/>
      <c r="S489" s="352"/>
      <c r="T489" s="352"/>
      <c r="U489" s="352"/>
      <c r="V489" s="352"/>
    </row>
    <row r="490">
      <c r="A490" s="352"/>
      <c r="B490" s="352"/>
      <c r="C490" s="352"/>
      <c r="D490" s="352"/>
      <c r="E490" s="352"/>
      <c r="F490" s="352"/>
      <c r="G490" s="352"/>
      <c r="H490" s="352"/>
      <c r="I490" s="352"/>
      <c r="J490" s="352"/>
      <c r="K490" s="352"/>
      <c r="L490" s="352"/>
      <c r="M490" s="352"/>
      <c r="N490" s="352"/>
      <c r="O490" s="352"/>
      <c r="P490" s="352"/>
      <c r="Q490" s="352"/>
      <c r="R490" s="352"/>
      <c r="S490" s="352"/>
      <c r="T490" s="352"/>
      <c r="U490" s="352"/>
      <c r="V490" s="352"/>
    </row>
    <row r="491">
      <c r="A491" s="352"/>
      <c r="B491" s="352"/>
      <c r="C491" s="352"/>
      <c r="D491" s="352"/>
      <c r="E491" s="352"/>
      <c r="F491" s="352"/>
      <c r="G491" s="352"/>
      <c r="H491" s="352"/>
      <c r="I491" s="352"/>
      <c r="J491" s="352"/>
      <c r="K491" s="352"/>
      <c r="L491" s="352"/>
      <c r="M491" s="352"/>
      <c r="N491" s="352"/>
      <c r="O491" s="352"/>
      <c r="P491" s="352"/>
      <c r="Q491" s="352"/>
      <c r="R491" s="352"/>
      <c r="S491" s="352"/>
      <c r="T491" s="352"/>
      <c r="U491" s="352"/>
      <c r="V491" s="352"/>
    </row>
    <row r="492">
      <c r="A492" s="352"/>
      <c r="B492" s="352"/>
      <c r="C492" s="352"/>
      <c r="D492" s="352"/>
      <c r="E492" s="352"/>
      <c r="F492" s="352"/>
      <c r="G492" s="352"/>
      <c r="H492" s="352"/>
      <c r="I492" s="352"/>
      <c r="J492" s="352"/>
      <c r="K492" s="352"/>
      <c r="L492" s="352"/>
      <c r="M492" s="352"/>
      <c r="N492" s="352"/>
      <c r="O492" s="352"/>
      <c r="P492" s="352"/>
      <c r="Q492" s="352"/>
      <c r="R492" s="352"/>
      <c r="S492" s="352"/>
      <c r="T492" s="352"/>
      <c r="U492" s="352"/>
      <c r="V492" s="352"/>
    </row>
    <row r="493">
      <c r="A493" s="352"/>
      <c r="B493" s="352"/>
      <c r="C493" s="352"/>
      <c r="D493" s="352"/>
      <c r="E493" s="352"/>
      <c r="F493" s="352"/>
      <c r="G493" s="352"/>
      <c r="H493" s="352"/>
      <c r="I493" s="352"/>
      <c r="J493" s="352"/>
      <c r="K493" s="352"/>
      <c r="L493" s="352"/>
      <c r="M493" s="352"/>
      <c r="N493" s="352"/>
      <c r="O493" s="352"/>
      <c r="P493" s="352"/>
      <c r="Q493" s="352"/>
      <c r="R493" s="352"/>
      <c r="S493" s="352"/>
      <c r="T493" s="352"/>
      <c r="U493" s="352"/>
      <c r="V493" s="352"/>
    </row>
    <row r="494">
      <c r="A494" s="352"/>
      <c r="B494" s="352"/>
      <c r="C494" s="352"/>
      <c r="D494" s="352"/>
      <c r="E494" s="352"/>
      <c r="F494" s="352"/>
      <c r="G494" s="352"/>
      <c r="H494" s="352"/>
      <c r="I494" s="352"/>
      <c r="J494" s="352"/>
      <c r="K494" s="352"/>
      <c r="L494" s="352"/>
      <c r="M494" s="352"/>
      <c r="N494" s="352"/>
      <c r="O494" s="352"/>
      <c r="P494" s="352"/>
      <c r="Q494" s="352"/>
      <c r="R494" s="352"/>
      <c r="S494" s="352"/>
      <c r="T494" s="352"/>
      <c r="U494" s="352"/>
      <c r="V494" s="352"/>
    </row>
    <row r="495">
      <c r="A495" s="352"/>
      <c r="B495" s="352"/>
      <c r="C495" s="352"/>
      <c r="D495" s="352"/>
      <c r="E495" s="352"/>
      <c r="F495" s="352"/>
      <c r="G495" s="352"/>
      <c r="H495" s="352"/>
      <c r="I495" s="352"/>
      <c r="J495" s="352"/>
      <c r="K495" s="352"/>
      <c r="L495" s="352"/>
      <c r="M495" s="352"/>
      <c r="N495" s="352"/>
      <c r="O495" s="352"/>
      <c r="P495" s="352"/>
      <c r="Q495" s="352"/>
      <c r="R495" s="352"/>
      <c r="S495" s="352"/>
      <c r="T495" s="352"/>
      <c r="U495" s="352"/>
      <c r="V495" s="352"/>
    </row>
    <row r="496">
      <c r="A496" s="352"/>
      <c r="B496" s="352"/>
      <c r="C496" s="352"/>
      <c r="D496" s="352"/>
      <c r="E496" s="352"/>
      <c r="F496" s="352"/>
      <c r="G496" s="352"/>
      <c r="H496" s="352"/>
      <c r="I496" s="352"/>
      <c r="J496" s="352"/>
      <c r="K496" s="352"/>
      <c r="L496" s="352"/>
      <c r="M496" s="352"/>
      <c r="N496" s="352"/>
      <c r="O496" s="352"/>
      <c r="P496" s="352"/>
      <c r="Q496" s="352"/>
      <c r="R496" s="352"/>
      <c r="S496" s="352"/>
      <c r="T496" s="352"/>
      <c r="U496" s="352"/>
      <c r="V496" s="352"/>
    </row>
    <row r="497">
      <c r="A497" s="352"/>
      <c r="B497" s="352"/>
      <c r="C497" s="352"/>
      <c r="D497" s="352"/>
      <c r="E497" s="352"/>
      <c r="F497" s="352"/>
      <c r="G497" s="352"/>
      <c r="H497" s="352"/>
      <c r="I497" s="352"/>
      <c r="J497" s="352"/>
      <c r="K497" s="352"/>
      <c r="L497" s="352"/>
      <c r="M497" s="352"/>
      <c r="N497" s="352"/>
      <c r="O497" s="352"/>
      <c r="P497" s="352"/>
      <c r="Q497" s="352"/>
      <c r="R497" s="352"/>
      <c r="S497" s="352"/>
      <c r="T497" s="352"/>
      <c r="U497" s="352"/>
      <c r="V497" s="352"/>
    </row>
    <row r="498">
      <c r="A498" s="352"/>
      <c r="B498" s="352"/>
      <c r="C498" s="352"/>
      <c r="D498" s="352"/>
      <c r="E498" s="352"/>
      <c r="F498" s="352"/>
      <c r="G498" s="352"/>
      <c r="H498" s="352"/>
      <c r="I498" s="352"/>
      <c r="J498" s="352"/>
      <c r="K498" s="352"/>
      <c r="L498" s="352"/>
      <c r="M498" s="352"/>
      <c r="N498" s="352"/>
      <c r="O498" s="352"/>
      <c r="P498" s="352"/>
      <c r="Q498" s="352"/>
      <c r="R498" s="352"/>
      <c r="S498" s="352"/>
      <c r="T498" s="352"/>
      <c r="U498" s="352"/>
      <c r="V498" s="352"/>
    </row>
    <row r="499">
      <c r="A499" s="352"/>
      <c r="B499" s="352"/>
      <c r="C499" s="352"/>
      <c r="D499" s="352"/>
      <c r="E499" s="352"/>
      <c r="F499" s="352"/>
      <c r="G499" s="352"/>
      <c r="H499" s="352"/>
      <c r="I499" s="352"/>
      <c r="J499" s="352"/>
      <c r="K499" s="352"/>
      <c r="L499" s="352"/>
      <c r="M499" s="352"/>
      <c r="N499" s="352"/>
      <c r="O499" s="352"/>
      <c r="P499" s="352"/>
      <c r="Q499" s="352"/>
      <c r="R499" s="352"/>
      <c r="S499" s="352"/>
      <c r="T499" s="352"/>
      <c r="U499" s="352"/>
      <c r="V499" s="352"/>
    </row>
    <row r="500">
      <c r="A500" s="352"/>
      <c r="B500" s="352"/>
      <c r="C500" s="352"/>
      <c r="D500" s="352"/>
      <c r="E500" s="352"/>
      <c r="F500" s="352"/>
      <c r="G500" s="352"/>
      <c r="H500" s="352"/>
      <c r="I500" s="352"/>
      <c r="J500" s="352"/>
      <c r="K500" s="352"/>
      <c r="L500" s="352"/>
      <c r="M500" s="352"/>
      <c r="N500" s="352"/>
      <c r="O500" s="352"/>
      <c r="P500" s="352"/>
      <c r="Q500" s="352"/>
      <c r="R500" s="352"/>
      <c r="S500" s="352"/>
      <c r="T500" s="352"/>
      <c r="U500" s="352"/>
      <c r="V500" s="352"/>
    </row>
    <row r="501">
      <c r="A501" s="352"/>
      <c r="B501" s="352"/>
      <c r="C501" s="352"/>
      <c r="D501" s="352"/>
      <c r="E501" s="352"/>
      <c r="F501" s="352"/>
      <c r="G501" s="352"/>
      <c r="H501" s="352"/>
      <c r="I501" s="352"/>
      <c r="J501" s="352"/>
      <c r="K501" s="352"/>
      <c r="L501" s="352"/>
      <c r="M501" s="352"/>
      <c r="N501" s="352"/>
      <c r="O501" s="352"/>
      <c r="P501" s="352"/>
      <c r="Q501" s="352"/>
      <c r="R501" s="352"/>
      <c r="S501" s="352"/>
      <c r="T501" s="352"/>
      <c r="U501" s="352"/>
      <c r="V501" s="352"/>
    </row>
    <row r="502">
      <c r="A502" s="352"/>
      <c r="B502" s="352"/>
      <c r="C502" s="352"/>
      <c r="D502" s="352"/>
      <c r="E502" s="352"/>
      <c r="F502" s="352"/>
      <c r="G502" s="352"/>
      <c r="H502" s="352"/>
      <c r="I502" s="352"/>
      <c r="J502" s="352"/>
      <c r="K502" s="352"/>
      <c r="L502" s="352"/>
      <c r="M502" s="352"/>
      <c r="N502" s="352"/>
      <c r="O502" s="352"/>
      <c r="P502" s="352"/>
      <c r="Q502" s="352"/>
      <c r="R502" s="352"/>
      <c r="S502" s="352"/>
      <c r="T502" s="352"/>
      <c r="U502" s="352"/>
      <c r="V502" s="352"/>
    </row>
    <row r="503">
      <c r="A503" s="352"/>
      <c r="B503" s="352"/>
      <c r="C503" s="352"/>
      <c r="D503" s="352"/>
      <c r="E503" s="352"/>
      <c r="F503" s="352"/>
      <c r="G503" s="352"/>
      <c r="H503" s="352"/>
      <c r="I503" s="352"/>
      <c r="J503" s="352"/>
      <c r="K503" s="352"/>
      <c r="L503" s="352"/>
      <c r="M503" s="352"/>
      <c r="N503" s="352"/>
      <c r="O503" s="352"/>
      <c r="P503" s="352"/>
      <c r="Q503" s="352"/>
      <c r="R503" s="352"/>
      <c r="S503" s="352"/>
      <c r="T503" s="352"/>
      <c r="U503" s="352"/>
      <c r="V503" s="352"/>
    </row>
    <row r="504">
      <c r="A504" s="352"/>
      <c r="B504" s="352"/>
      <c r="C504" s="352"/>
      <c r="D504" s="352"/>
      <c r="E504" s="352"/>
      <c r="F504" s="352"/>
      <c r="G504" s="352"/>
      <c r="H504" s="352"/>
      <c r="I504" s="352"/>
      <c r="J504" s="352"/>
      <c r="K504" s="352"/>
      <c r="L504" s="352"/>
      <c r="M504" s="352"/>
      <c r="N504" s="352"/>
      <c r="O504" s="352"/>
      <c r="P504" s="352"/>
      <c r="Q504" s="352"/>
      <c r="R504" s="352"/>
      <c r="S504" s="352"/>
      <c r="T504" s="352"/>
      <c r="U504" s="352"/>
      <c r="V504" s="352"/>
    </row>
    <row r="505">
      <c r="A505" s="352"/>
      <c r="B505" s="352"/>
      <c r="C505" s="352"/>
      <c r="D505" s="352"/>
      <c r="E505" s="352"/>
      <c r="F505" s="352"/>
      <c r="G505" s="352"/>
      <c r="H505" s="352"/>
      <c r="I505" s="352"/>
      <c r="J505" s="352"/>
      <c r="K505" s="352"/>
      <c r="L505" s="352"/>
      <c r="M505" s="352"/>
      <c r="N505" s="352"/>
      <c r="O505" s="352"/>
      <c r="P505" s="352"/>
      <c r="Q505" s="352"/>
      <c r="R505" s="352"/>
      <c r="S505" s="352"/>
      <c r="T505" s="352"/>
      <c r="U505" s="352"/>
      <c r="V505" s="352"/>
    </row>
    <row r="506">
      <c r="A506" s="352"/>
      <c r="B506" s="352"/>
      <c r="C506" s="352"/>
      <c r="D506" s="352"/>
      <c r="E506" s="352"/>
      <c r="F506" s="352"/>
      <c r="G506" s="352"/>
      <c r="H506" s="352"/>
      <c r="I506" s="352"/>
      <c r="J506" s="352"/>
      <c r="K506" s="352"/>
      <c r="L506" s="352"/>
      <c r="M506" s="352"/>
      <c r="N506" s="352"/>
      <c r="O506" s="352"/>
      <c r="P506" s="352"/>
      <c r="Q506" s="352"/>
      <c r="R506" s="352"/>
      <c r="S506" s="352"/>
      <c r="T506" s="352"/>
      <c r="U506" s="352"/>
      <c r="V506" s="352"/>
    </row>
    <row r="507">
      <c r="A507" s="352"/>
      <c r="B507" s="352"/>
      <c r="C507" s="352"/>
      <c r="D507" s="352"/>
      <c r="E507" s="352"/>
      <c r="F507" s="352"/>
      <c r="G507" s="352"/>
      <c r="H507" s="352"/>
      <c r="I507" s="352"/>
      <c r="J507" s="352"/>
      <c r="K507" s="352"/>
      <c r="L507" s="352"/>
      <c r="M507" s="352"/>
      <c r="N507" s="352"/>
      <c r="O507" s="352"/>
      <c r="P507" s="352"/>
      <c r="Q507" s="352"/>
      <c r="R507" s="352"/>
      <c r="S507" s="352"/>
      <c r="T507" s="352"/>
      <c r="U507" s="352"/>
      <c r="V507" s="352"/>
    </row>
    <row r="508">
      <c r="A508" s="352"/>
      <c r="B508" s="352"/>
      <c r="C508" s="352"/>
      <c r="D508" s="352"/>
      <c r="E508" s="352"/>
      <c r="F508" s="352"/>
      <c r="G508" s="352"/>
      <c r="H508" s="352"/>
      <c r="I508" s="352"/>
      <c r="J508" s="352"/>
      <c r="K508" s="352"/>
      <c r="L508" s="352"/>
      <c r="M508" s="352"/>
      <c r="N508" s="352"/>
      <c r="O508" s="352"/>
      <c r="P508" s="352"/>
      <c r="Q508" s="352"/>
      <c r="R508" s="352"/>
      <c r="S508" s="352"/>
      <c r="T508" s="352"/>
      <c r="U508" s="352"/>
      <c r="V508" s="352"/>
    </row>
    <row r="509">
      <c r="A509" s="352"/>
      <c r="B509" s="352"/>
      <c r="C509" s="352"/>
      <c r="D509" s="352"/>
      <c r="E509" s="352"/>
      <c r="F509" s="352"/>
      <c r="G509" s="352"/>
      <c r="H509" s="352"/>
      <c r="I509" s="352"/>
      <c r="J509" s="352"/>
      <c r="K509" s="352"/>
      <c r="L509" s="352"/>
      <c r="M509" s="352"/>
      <c r="N509" s="352"/>
      <c r="O509" s="352"/>
      <c r="P509" s="352"/>
      <c r="Q509" s="352"/>
      <c r="R509" s="352"/>
      <c r="S509" s="352"/>
      <c r="T509" s="352"/>
      <c r="U509" s="352"/>
      <c r="V509" s="352"/>
    </row>
    <row r="510">
      <c r="A510" s="352"/>
      <c r="B510" s="352"/>
      <c r="C510" s="352"/>
      <c r="D510" s="352"/>
      <c r="E510" s="352"/>
      <c r="F510" s="352"/>
      <c r="G510" s="352"/>
      <c r="H510" s="352"/>
      <c r="I510" s="352"/>
      <c r="J510" s="352"/>
      <c r="K510" s="352"/>
      <c r="L510" s="352"/>
      <c r="M510" s="352"/>
      <c r="N510" s="352"/>
      <c r="O510" s="352"/>
      <c r="P510" s="352"/>
      <c r="Q510" s="352"/>
      <c r="R510" s="352"/>
      <c r="S510" s="352"/>
      <c r="T510" s="352"/>
      <c r="U510" s="352"/>
      <c r="V510" s="352"/>
    </row>
    <row r="511">
      <c r="A511" s="352"/>
      <c r="B511" s="352"/>
      <c r="C511" s="352"/>
      <c r="D511" s="352"/>
      <c r="E511" s="352"/>
      <c r="F511" s="352"/>
      <c r="G511" s="352"/>
      <c r="H511" s="352"/>
      <c r="I511" s="352"/>
      <c r="J511" s="352"/>
      <c r="K511" s="352"/>
      <c r="L511" s="352"/>
      <c r="M511" s="352"/>
      <c r="N511" s="352"/>
      <c r="O511" s="352"/>
      <c r="P511" s="352"/>
      <c r="Q511" s="352"/>
      <c r="R511" s="352"/>
      <c r="S511" s="352"/>
      <c r="T511" s="352"/>
      <c r="U511" s="352"/>
      <c r="V511" s="352"/>
    </row>
    <row r="512">
      <c r="A512" s="352"/>
      <c r="B512" s="352"/>
      <c r="C512" s="352"/>
      <c r="D512" s="352"/>
      <c r="E512" s="352"/>
      <c r="F512" s="352"/>
      <c r="G512" s="352"/>
      <c r="H512" s="352"/>
      <c r="I512" s="352"/>
      <c r="J512" s="352"/>
      <c r="K512" s="352"/>
      <c r="L512" s="352"/>
      <c r="M512" s="352"/>
      <c r="N512" s="352"/>
      <c r="O512" s="352"/>
      <c r="P512" s="352"/>
      <c r="Q512" s="352"/>
      <c r="R512" s="352"/>
      <c r="S512" s="352"/>
      <c r="T512" s="352"/>
      <c r="U512" s="352"/>
      <c r="V512" s="352"/>
    </row>
    <row r="513">
      <c r="A513" s="352"/>
      <c r="B513" s="352"/>
      <c r="C513" s="352"/>
      <c r="D513" s="352"/>
      <c r="E513" s="352"/>
      <c r="F513" s="352"/>
      <c r="G513" s="352"/>
      <c r="H513" s="352"/>
      <c r="I513" s="352"/>
      <c r="J513" s="352"/>
      <c r="K513" s="352"/>
      <c r="L513" s="352"/>
      <c r="M513" s="352"/>
      <c r="N513" s="352"/>
      <c r="O513" s="352"/>
      <c r="P513" s="352"/>
      <c r="Q513" s="352"/>
      <c r="R513" s="352"/>
      <c r="S513" s="352"/>
      <c r="T513" s="352"/>
      <c r="U513" s="352"/>
      <c r="V513" s="352"/>
    </row>
    <row r="514">
      <c r="A514" s="352"/>
      <c r="B514" s="352"/>
      <c r="C514" s="352"/>
      <c r="D514" s="352"/>
      <c r="E514" s="352"/>
      <c r="F514" s="352"/>
      <c r="G514" s="352"/>
      <c r="H514" s="352"/>
      <c r="I514" s="352"/>
      <c r="J514" s="352"/>
      <c r="K514" s="352"/>
      <c r="L514" s="352"/>
      <c r="M514" s="352"/>
      <c r="N514" s="352"/>
      <c r="O514" s="352"/>
      <c r="P514" s="352"/>
      <c r="Q514" s="352"/>
      <c r="R514" s="352"/>
      <c r="S514" s="352"/>
      <c r="T514" s="352"/>
      <c r="U514" s="352"/>
      <c r="V514" s="352"/>
    </row>
    <row r="515">
      <c r="A515" s="352"/>
      <c r="B515" s="352"/>
      <c r="C515" s="352"/>
      <c r="D515" s="352"/>
      <c r="E515" s="352"/>
      <c r="F515" s="352"/>
      <c r="G515" s="352"/>
      <c r="H515" s="352"/>
      <c r="I515" s="352"/>
      <c r="J515" s="352"/>
      <c r="K515" s="352"/>
      <c r="L515" s="352"/>
      <c r="M515" s="352"/>
      <c r="N515" s="352"/>
      <c r="O515" s="352"/>
      <c r="P515" s="352"/>
      <c r="Q515" s="352"/>
      <c r="R515" s="352"/>
      <c r="S515" s="352"/>
      <c r="T515" s="352"/>
      <c r="U515" s="352"/>
      <c r="V515" s="352"/>
    </row>
    <row r="516">
      <c r="A516" s="352"/>
      <c r="B516" s="352"/>
      <c r="C516" s="352"/>
      <c r="D516" s="352"/>
      <c r="E516" s="352"/>
      <c r="F516" s="352"/>
      <c r="G516" s="352"/>
      <c r="H516" s="352"/>
      <c r="I516" s="352"/>
      <c r="J516" s="352"/>
      <c r="K516" s="352"/>
      <c r="L516" s="352"/>
      <c r="M516" s="352"/>
      <c r="N516" s="352"/>
      <c r="O516" s="352"/>
      <c r="P516" s="352"/>
      <c r="Q516" s="352"/>
      <c r="R516" s="352"/>
      <c r="S516" s="352"/>
      <c r="T516" s="352"/>
      <c r="U516" s="352"/>
      <c r="V516" s="352"/>
    </row>
    <row r="517">
      <c r="A517" s="352"/>
      <c r="B517" s="352"/>
      <c r="C517" s="352"/>
      <c r="D517" s="352"/>
      <c r="E517" s="352"/>
      <c r="F517" s="352"/>
      <c r="G517" s="352"/>
      <c r="H517" s="352"/>
      <c r="I517" s="352"/>
      <c r="J517" s="352"/>
      <c r="K517" s="352"/>
      <c r="L517" s="352"/>
      <c r="M517" s="352"/>
      <c r="N517" s="352"/>
      <c r="O517" s="352"/>
      <c r="P517" s="352"/>
      <c r="Q517" s="352"/>
      <c r="R517" s="352"/>
      <c r="S517" s="352"/>
      <c r="T517" s="352"/>
      <c r="U517" s="352"/>
      <c r="V517" s="352"/>
    </row>
    <row r="518">
      <c r="A518" s="352"/>
      <c r="B518" s="352"/>
      <c r="C518" s="352"/>
      <c r="D518" s="352"/>
      <c r="E518" s="352"/>
      <c r="F518" s="352"/>
      <c r="G518" s="352"/>
      <c r="H518" s="352"/>
      <c r="I518" s="352"/>
      <c r="J518" s="352"/>
      <c r="K518" s="352"/>
      <c r="L518" s="352"/>
      <c r="M518" s="352"/>
      <c r="N518" s="352"/>
      <c r="O518" s="352"/>
      <c r="P518" s="352"/>
      <c r="Q518" s="352"/>
      <c r="R518" s="352"/>
      <c r="S518" s="352"/>
      <c r="T518" s="352"/>
      <c r="U518" s="352"/>
      <c r="V518" s="352"/>
    </row>
    <row r="519">
      <c r="A519" s="352"/>
      <c r="B519" s="352"/>
      <c r="C519" s="352"/>
      <c r="D519" s="352"/>
      <c r="E519" s="352"/>
      <c r="F519" s="352"/>
      <c r="G519" s="352"/>
      <c r="H519" s="352"/>
      <c r="I519" s="352"/>
      <c r="J519" s="352"/>
      <c r="K519" s="352"/>
      <c r="L519" s="352"/>
      <c r="M519" s="352"/>
      <c r="N519" s="352"/>
      <c r="O519" s="352"/>
      <c r="P519" s="352"/>
      <c r="Q519" s="352"/>
      <c r="R519" s="352"/>
      <c r="S519" s="352"/>
      <c r="T519" s="352"/>
      <c r="U519" s="352"/>
      <c r="V519" s="352"/>
    </row>
    <row r="520">
      <c r="A520" s="352"/>
      <c r="B520" s="352"/>
      <c r="C520" s="352"/>
      <c r="D520" s="352"/>
      <c r="E520" s="352"/>
      <c r="F520" s="352"/>
      <c r="G520" s="352"/>
      <c r="H520" s="352"/>
      <c r="I520" s="352"/>
      <c r="J520" s="352"/>
      <c r="K520" s="352"/>
      <c r="L520" s="352"/>
      <c r="M520" s="352"/>
      <c r="N520" s="352"/>
      <c r="O520" s="352"/>
      <c r="P520" s="352"/>
      <c r="Q520" s="352"/>
      <c r="R520" s="352"/>
      <c r="S520" s="352"/>
      <c r="T520" s="352"/>
      <c r="U520" s="352"/>
      <c r="V520" s="352"/>
    </row>
    <row r="521">
      <c r="A521" s="352"/>
      <c r="B521" s="352"/>
      <c r="C521" s="352"/>
      <c r="D521" s="352"/>
      <c r="E521" s="352"/>
      <c r="F521" s="352"/>
      <c r="G521" s="352"/>
      <c r="H521" s="352"/>
      <c r="I521" s="352"/>
      <c r="J521" s="352"/>
      <c r="K521" s="352"/>
      <c r="L521" s="352"/>
      <c r="M521" s="352"/>
      <c r="N521" s="352"/>
      <c r="O521" s="352"/>
      <c r="P521" s="352"/>
      <c r="Q521" s="352"/>
      <c r="R521" s="352"/>
      <c r="S521" s="352"/>
      <c r="T521" s="352"/>
      <c r="U521" s="352"/>
      <c r="V521" s="352"/>
    </row>
    <row r="522">
      <c r="A522" s="352"/>
      <c r="B522" s="352"/>
      <c r="C522" s="352"/>
      <c r="D522" s="352"/>
      <c r="E522" s="352"/>
      <c r="F522" s="352"/>
      <c r="G522" s="352"/>
      <c r="H522" s="352"/>
      <c r="I522" s="352"/>
      <c r="J522" s="352"/>
      <c r="K522" s="352"/>
      <c r="L522" s="352"/>
      <c r="M522" s="352"/>
      <c r="N522" s="352"/>
      <c r="O522" s="352"/>
      <c r="P522" s="352"/>
      <c r="Q522" s="352"/>
      <c r="R522" s="352"/>
      <c r="S522" s="352"/>
      <c r="T522" s="352"/>
      <c r="U522" s="352"/>
      <c r="V522" s="352"/>
    </row>
    <row r="523">
      <c r="A523" s="352"/>
      <c r="B523" s="352"/>
      <c r="C523" s="352"/>
      <c r="D523" s="352"/>
      <c r="E523" s="352"/>
      <c r="F523" s="352"/>
      <c r="G523" s="352"/>
      <c r="H523" s="352"/>
      <c r="I523" s="352"/>
      <c r="J523" s="352"/>
      <c r="K523" s="352"/>
      <c r="L523" s="352"/>
      <c r="M523" s="352"/>
      <c r="N523" s="352"/>
      <c r="O523" s="352"/>
      <c r="P523" s="352"/>
      <c r="Q523" s="352"/>
      <c r="R523" s="352"/>
      <c r="S523" s="352"/>
      <c r="T523" s="352"/>
      <c r="U523" s="352"/>
      <c r="V523" s="352"/>
    </row>
    <row r="524">
      <c r="A524" s="352"/>
      <c r="B524" s="352"/>
      <c r="C524" s="352"/>
      <c r="D524" s="352"/>
      <c r="E524" s="352"/>
      <c r="F524" s="352"/>
      <c r="G524" s="352"/>
      <c r="H524" s="352"/>
      <c r="I524" s="352"/>
      <c r="J524" s="352"/>
      <c r="K524" s="352"/>
      <c r="L524" s="352"/>
      <c r="M524" s="352"/>
      <c r="N524" s="352"/>
      <c r="O524" s="352"/>
      <c r="P524" s="352"/>
      <c r="Q524" s="352"/>
      <c r="R524" s="352"/>
      <c r="S524" s="352"/>
      <c r="T524" s="352"/>
      <c r="U524" s="352"/>
      <c r="V524" s="352"/>
    </row>
    <row r="525">
      <c r="A525" s="352"/>
      <c r="B525" s="352"/>
      <c r="C525" s="352"/>
      <c r="D525" s="352"/>
      <c r="E525" s="352"/>
      <c r="F525" s="352"/>
      <c r="G525" s="352"/>
      <c r="H525" s="352"/>
      <c r="I525" s="352"/>
      <c r="J525" s="352"/>
      <c r="K525" s="352"/>
      <c r="L525" s="352"/>
      <c r="M525" s="352"/>
      <c r="N525" s="352"/>
      <c r="O525" s="352"/>
      <c r="P525" s="352"/>
      <c r="Q525" s="352"/>
      <c r="R525" s="352"/>
      <c r="S525" s="352"/>
      <c r="T525" s="352"/>
      <c r="U525" s="352"/>
      <c r="V525" s="352"/>
    </row>
    <row r="526">
      <c r="A526" s="352"/>
      <c r="B526" s="352"/>
      <c r="C526" s="352"/>
      <c r="D526" s="352"/>
      <c r="E526" s="352"/>
      <c r="F526" s="352"/>
      <c r="G526" s="352"/>
      <c r="H526" s="352"/>
      <c r="I526" s="352"/>
      <c r="J526" s="352"/>
      <c r="K526" s="352"/>
      <c r="L526" s="352"/>
      <c r="M526" s="352"/>
      <c r="N526" s="352"/>
      <c r="O526" s="352"/>
      <c r="P526" s="352"/>
      <c r="Q526" s="352"/>
      <c r="R526" s="352"/>
      <c r="S526" s="352"/>
      <c r="T526" s="352"/>
      <c r="U526" s="352"/>
      <c r="V526" s="352"/>
    </row>
    <row r="527">
      <c r="A527" s="352"/>
      <c r="B527" s="352"/>
      <c r="C527" s="352"/>
      <c r="D527" s="352"/>
      <c r="E527" s="352"/>
      <c r="F527" s="352"/>
      <c r="G527" s="352"/>
      <c r="H527" s="352"/>
      <c r="I527" s="352"/>
      <c r="J527" s="352"/>
      <c r="K527" s="352"/>
      <c r="L527" s="352"/>
      <c r="M527" s="352"/>
      <c r="N527" s="352"/>
      <c r="O527" s="352"/>
      <c r="P527" s="352"/>
      <c r="Q527" s="352"/>
      <c r="R527" s="352"/>
      <c r="S527" s="352"/>
      <c r="T527" s="352"/>
      <c r="U527" s="352"/>
      <c r="V527" s="352"/>
    </row>
    <row r="528">
      <c r="A528" s="352"/>
      <c r="B528" s="352"/>
      <c r="C528" s="352"/>
      <c r="D528" s="352"/>
      <c r="E528" s="352"/>
      <c r="F528" s="352"/>
      <c r="G528" s="352"/>
      <c r="H528" s="352"/>
      <c r="I528" s="352"/>
      <c r="J528" s="352"/>
      <c r="K528" s="352"/>
      <c r="L528" s="352"/>
      <c r="M528" s="352"/>
      <c r="N528" s="352"/>
      <c r="O528" s="352"/>
      <c r="P528" s="352"/>
      <c r="Q528" s="352"/>
      <c r="R528" s="352"/>
      <c r="S528" s="352"/>
      <c r="T528" s="352"/>
      <c r="U528" s="352"/>
      <c r="V528" s="352"/>
    </row>
    <row r="529">
      <c r="A529" s="352"/>
      <c r="B529" s="352"/>
      <c r="C529" s="352"/>
      <c r="D529" s="352"/>
      <c r="E529" s="352"/>
      <c r="F529" s="352"/>
      <c r="G529" s="352"/>
      <c r="H529" s="352"/>
      <c r="I529" s="352"/>
      <c r="J529" s="352"/>
      <c r="K529" s="352"/>
      <c r="L529" s="352"/>
      <c r="M529" s="352"/>
      <c r="N529" s="352"/>
      <c r="O529" s="352"/>
      <c r="P529" s="352"/>
      <c r="Q529" s="352"/>
      <c r="R529" s="352"/>
      <c r="S529" s="352"/>
      <c r="T529" s="352"/>
      <c r="U529" s="352"/>
      <c r="V529" s="352"/>
    </row>
    <row r="530">
      <c r="A530" s="352"/>
      <c r="B530" s="352"/>
      <c r="C530" s="352"/>
      <c r="D530" s="352"/>
      <c r="E530" s="352"/>
      <c r="F530" s="352"/>
      <c r="G530" s="352"/>
      <c r="H530" s="352"/>
      <c r="I530" s="352"/>
      <c r="J530" s="352"/>
      <c r="K530" s="352"/>
      <c r="L530" s="352"/>
      <c r="M530" s="352"/>
      <c r="N530" s="352"/>
      <c r="O530" s="352"/>
      <c r="P530" s="352"/>
      <c r="Q530" s="352"/>
      <c r="R530" s="352"/>
      <c r="S530" s="352"/>
      <c r="T530" s="352"/>
      <c r="U530" s="352"/>
      <c r="V530" s="352"/>
    </row>
    <row r="531">
      <c r="A531" s="352"/>
      <c r="B531" s="352"/>
      <c r="C531" s="352"/>
      <c r="D531" s="352"/>
      <c r="E531" s="352"/>
      <c r="F531" s="352"/>
      <c r="G531" s="352"/>
      <c r="H531" s="352"/>
      <c r="I531" s="352"/>
      <c r="J531" s="352"/>
      <c r="K531" s="352"/>
      <c r="L531" s="352"/>
      <c r="M531" s="352"/>
      <c r="N531" s="352"/>
      <c r="O531" s="352"/>
      <c r="P531" s="352"/>
      <c r="Q531" s="352"/>
      <c r="R531" s="352"/>
      <c r="S531" s="352"/>
      <c r="T531" s="352"/>
      <c r="U531" s="352"/>
      <c r="V531" s="352"/>
    </row>
    <row r="532">
      <c r="A532" s="352"/>
      <c r="B532" s="352"/>
      <c r="C532" s="352"/>
      <c r="D532" s="352"/>
      <c r="E532" s="352"/>
      <c r="F532" s="352"/>
      <c r="G532" s="352"/>
      <c r="H532" s="352"/>
      <c r="I532" s="352"/>
      <c r="J532" s="352"/>
      <c r="K532" s="352"/>
      <c r="L532" s="352"/>
      <c r="M532" s="352"/>
      <c r="N532" s="352"/>
      <c r="O532" s="352"/>
      <c r="P532" s="352"/>
      <c r="Q532" s="352"/>
      <c r="R532" s="352"/>
      <c r="S532" s="352"/>
      <c r="T532" s="352"/>
      <c r="U532" s="352"/>
      <c r="V532" s="352"/>
    </row>
    <row r="533">
      <c r="A533" s="352"/>
      <c r="B533" s="352"/>
      <c r="C533" s="352"/>
      <c r="D533" s="352"/>
      <c r="E533" s="352"/>
      <c r="F533" s="352"/>
      <c r="G533" s="352"/>
      <c r="H533" s="352"/>
      <c r="I533" s="352"/>
      <c r="J533" s="352"/>
      <c r="K533" s="352"/>
      <c r="L533" s="352"/>
      <c r="M533" s="352"/>
      <c r="N533" s="352"/>
      <c r="O533" s="352"/>
      <c r="P533" s="352"/>
      <c r="Q533" s="352"/>
      <c r="R533" s="352"/>
      <c r="S533" s="352"/>
      <c r="T533" s="352"/>
      <c r="U533" s="352"/>
      <c r="V533" s="352"/>
    </row>
    <row r="534">
      <c r="A534" s="352"/>
      <c r="B534" s="352"/>
      <c r="C534" s="352"/>
      <c r="D534" s="352"/>
      <c r="E534" s="352"/>
      <c r="F534" s="352"/>
      <c r="G534" s="352"/>
      <c r="H534" s="352"/>
      <c r="I534" s="352"/>
      <c r="J534" s="352"/>
      <c r="K534" s="352"/>
      <c r="L534" s="352"/>
      <c r="M534" s="352"/>
      <c r="N534" s="352"/>
      <c r="O534" s="352"/>
      <c r="P534" s="352"/>
      <c r="Q534" s="352"/>
      <c r="R534" s="352"/>
      <c r="S534" s="352"/>
      <c r="T534" s="352"/>
      <c r="U534" s="352"/>
      <c r="V534" s="352"/>
    </row>
    <row r="535">
      <c r="A535" s="352"/>
      <c r="B535" s="352"/>
      <c r="C535" s="352"/>
      <c r="D535" s="352"/>
      <c r="E535" s="352"/>
      <c r="F535" s="352"/>
      <c r="G535" s="352"/>
      <c r="H535" s="352"/>
      <c r="I535" s="352"/>
      <c r="J535" s="352"/>
      <c r="K535" s="352"/>
      <c r="L535" s="352"/>
      <c r="M535" s="352"/>
      <c r="N535" s="352"/>
      <c r="O535" s="352"/>
      <c r="P535" s="352"/>
      <c r="Q535" s="352"/>
      <c r="R535" s="352"/>
      <c r="S535" s="352"/>
      <c r="T535" s="352"/>
      <c r="U535" s="352"/>
      <c r="V535" s="352"/>
    </row>
    <row r="536">
      <c r="A536" s="352"/>
      <c r="B536" s="352"/>
      <c r="C536" s="352"/>
      <c r="D536" s="352"/>
      <c r="E536" s="352"/>
      <c r="F536" s="352"/>
      <c r="G536" s="352"/>
      <c r="H536" s="352"/>
      <c r="I536" s="352"/>
      <c r="J536" s="352"/>
      <c r="K536" s="352"/>
      <c r="L536" s="352"/>
      <c r="M536" s="352"/>
      <c r="N536" s="352"/>
      <c r="O536" s="352"/>
      <c r="P536" s="352"/>
      <c r="Q536" s="352"/>
      <c r="R536" s="352"/>
      <c r="S536" s="352"/>
      <c r="T536" s="352"/>
      <c r="U536" s="352"/>
      <c r="V536" s="352"/>
    </row>
    <row r="537">
      <c r="A537" s="352"/>
      <c r="B537" s="352"/>
      <c r="C537" s="352"/>
      <c r="D537" s="352"/>
      <c r="E537" s="352"/>
      <c r="F537" s="352"/>
      <c r="G537" s="352"/>
      <c r="H537" s="352"/>
      <c r="I537" s="352"/>
      <c r="J537" s="352"/>
      <c r="K537" s="352"/>
      <c r="L537" s="352"/>
      <c r="M537" s="352"/>
      <c r="N537" s="352"/>
      <c r="O537" s="352"/>
      <c r="P537" s="352"/>
      <c r="Q537" s="352"/>
      <c r="R537" s="352"/>
      <c r="S537" s="352"/>
      <c r="T537" s="352"/>
      <c r="U537" s="352"/>
      <c r="V537" s="352"/>
    </row>
    <row r="538">
      <c r="A538" s="352"/>
      <c r="B538" s="352"/>
      <c r="C538" s="352"/>
      <c r="D538" s="352"/>
      <c r="E538" s="352"/>
      <c r="F538" s="352"/>
      <c r="G538" s="352"/>
      <c r="H538" s="352"/>
      <c r="I538" s="352"/>
      <c r="J538" s="352"/>
      <c r="K538" s="352"/>
      <c r="L538" s="352"/>
      <c r="M538" s="352"/>
      <c r="N538" s="352"/>
      <c r="O538" s="352"/>
      <c r="P538" s="352"/>
      <c r="Q538" s="352"/>
      <c r="R538" s="352"/>
      <c r="S538" s="352"/>
      <c r="T538" s="352"/>
      <c r="U538" s="352"/>
      <c r="V538" s="352"/>
    </row>
    <row r="539">
      <c r="A539" s="352"/>
      <c r="B539" s="352"/>
      <c r="C539" s="352"/>
      <c r="D539" s="352"/>
      <c r="E539" s="352"/>
      <c r="F539" s="352"/>
      <c r="G539" s="352"/>
      <c r="H539" s="352"/>
      <c r="I539" s="352"/>
      <c r="J539" s="352"/>
      <c r="K539" s="352"/>
      <c r="L539" s="352"/>
      <c r="M539" s="352"/>
      <c r="N539" s="352"/>
      <c r="O539" s="352"/>
      <c r="P539" s="352"/>
      <c r="Q539" s="352"/>
      <c r="R539" s="352"/>
      <c r="S539" s="352"/>
      <c r="T539" s="352"/>
      <c r="U539" s="352"/>
      <c r="V539" s="352"/>
    </row>
    <row r="540">
      <c r="A540" s="352"/>
      <c r="B540" s="352"/>
      <c r="C540" s="352"/>
      <c r="D540" s="352"/>
      <c r="E540" s="352"/>
      <c r="F540" s="352"/>
      <c r="G540" s="352"/>
      <c r="H540" s="352"/>
      <c r="I540" s="352"/>
      <c r="J540" s="352"/>
      <c r="K540" s="352"/>
      <c r="L540" s="352"/>
      <c r="M540" s="352"/>
      <c r="N540" s="352"/>
      <c r="O540" s="352"/>
      <c r="P540" s="352"/>
      <c r="Q540" s="352"/>
      <c r="R540" s="352"/>
      <c r="S540" s="352"/>
      <c r="T540" s="352"/>
      <c r="U540" s="352"/>
      <c r="V540" s="352"/>
    </row>
    <row r="541">
      <c r="A541" s="352"/>
      <c r="B541" s="352"/>
      <c r="C541" s="352"/>
      <c r="D541" s="352"/>
      <c r="E541" s="352"/>
      <c r="F541" s="352"/>
      <c r="G541" s="352"/>
      <c r="H541" s="352"/>
      <c r="I541" s="352"/>
      <c r="J541" s="352"/>
      <c r="K541" s="352"/>
      <c r="L541" s="352"/>
      <c r="M541" s="352"/>
      <c r="N541" s="352"/>
      <c r="O541" s="352"/>
      <c r="P541" s="352"/>
      <c r="Q541" s="352"/>
      <c r="R541" s="352"/>
      <c r="S541" s="352"/>
      <c r="T541" s="352"/>
      <c r="U541" s="352"/>
      <c r="V541" s="352"/>
    </row>
    <row r="542">
      <c r="A542" s="352"/>
      <c r="B542" s="352"/>
      <c r="C542" s="352"/>
      <c r="D542" s="352"/>
      <c r="E542" s="352"/>
      <c r="F542" s="352"/>
      <c r="G542" s="352"/>
      <c r="H542" s="352"/>
      <c r="I542" s="352"/>
      <c r="J542" s="352"/>
      <c r="K542" s="352"/>
      <c r="L542" s="352"/>
      <c r="M542" s="352"/>
      <c r="N542" s="352"/>
      <c r="O542" s="352"/>
      <c r="P542" s="352"/>
      <c r="Q542" s="352"/>
      <c r="R542" s="352"/>
      <c r="S542" s="352"/>
      <c r="T542" s="352"/>
      <c r="U542" s="352"/>
      <c r="V542" s="352"/>
    </row>
    <row r="543">
      <c r="A543" s="352"/>
      <c r="B543" s="352"/>
      <c r="C543" s="352"/>
      <c r="D543" s="352"/>
      <c r="E543" s="352"/>
      <c r="F543" s="352"/>
      <c r="G543" s="352"/>
      <c r="H543" s="352"/>
      <c r="I543" s="352"/>
      <c r="J543" s="352"/>
      <c r="K543" s="352"/>
      <c r="L543" s="352"/>
      <c r="M543" s="352"/>
      <c r="N543" s="352"/>
      <c r="O543" s="352"/>
      <c r="P543" s="352"/>
      <c r="Q543" s="352"/>
      <c r="R543" s="352"/>
      <c r="S543" s="352"/>
      <c r="T543" s="352"/>
      <c r="U543" s="352"/>
      <c r="V543" s="352"/>
    </row>
    <row r="544">
      <c r="A544" s="352"/>
      <c r="B544" s="352"/>
      <c r="C544" s="352"/>
      <c r="D544" s="352"/>
      <c r="E544" s="352"/>
      <c r="F544" s="352"/>
      <c r="G544" s="352"/>
      <c r="H544" s="352"/>
      <c r="I544" s="352"/>
      <c r="J544" s="352"/>
      <c r="K544" s="352"/>
      <c r="L544" s="352"/>
      <c r="M544" s="352"/>
      <c r="N544" s="352"/>
      <c r="O544" s="352"/>
      <c r="P544" s="352"/>
      <c r="Q544" s="352"/>
      <c r="R544" s="352"/>
      <c r="S544" s="352"/>
      <c r="T544" s="352"/>
      <c r="U544" s="352"/>
      <c r="V544" s="352"/>
    </row>
    <row r="545">
      <c r="A545" s="352"/>
      <c r="B545" s="352"/>
      <c r="C545" s="352"/>
      <c r="D545" s="352"/>
      <c r="E545" s="352"/>
      <c r="F545" s="352"/>
      <c r="G545" s="352"/>
      <c r="H545" s="352"/>
      <c r="I545" s="352"/>
      <c r="J545" s="352"/>
      <c r="K545" s="352"/>
      <c r="L545" s="352"/>
      <c r="M545" s="352"/>
      <c r="N545" s="352"/>
      <c r="O545" s="352"/>
      <c r="P545" s="352"/>
      <c r="Q545" s="352"/>
      <c r="R545" s="352"/>
      <c r="S545" s="352"/>
      <c r="T545" s="352"/>
      <c r="U545" s="352"/>
      <c r="V545" s="352"/>
    </row>
    <row r="546">
      <c r="A546" s="352"/>
      <c r="B546" s="352"/>
      <c r="C546" s="352"/>
      <c r="D546" s="352"/>
      <c r="E546" s="352"/>
      <c r="F546" s="352"/>
      <c r="G546" s="352"/>
      <c r="H546" s="352"/>
      <c r="I546" s="352"/>
      <c r="J546" s="352"/>
      <c r="K546" s="352"/>
      <c r="L546" s="352"/>
      <c r="M546" s="352"/>
      <c r="N546" s="352"/>
      <c r="O546" s="352"/>
      <c r="P546" s="352"/>
      <c r="Q546" s="352"/>
      <c r="R546" s="352"/>
      <c r="S546" s="352"/>
      <c r="T546" s="352"/>
      <c r="U546" s="352"/>
      <c r="V546" s="352"/>
    </row>
    <row r="547">
      <c r="A547" s="352"/>
      <c r="B547" s="352"/>
      <c r="C547" s="352"/>
      <c r="D547" s="352"/>
      <c r="E547" s="352"/>
      <c r="F547" s="352"/>
      <c r="G547" s="352"/>
      <c r="H547" s="352"/>
      <c r="I547" s="352"/>
      <c r="J547" s="352"/>
      <c r="K547" s="352"/>
      <c r="L547" s="352"/>
      <c r="M547" s="352"/>
      <c r="N547" s="352"/>
      <c r="O547" s="352"/>
      <c r="P547" s="352"/>
      <c r="Q547" s="352"/>
      <c r="R547" s="352"/>
      <c r="S547" s="352"/>
      <c r="T547" s="352"/>
      <c r="U547" s="352"/>
      <c r="V547" s="352"/>
    </row>
    <row r="548">
      <c r="A548" s="352"/>
      <c r="B548" s="352"/>
      <c r="C548" s="352"/>
      <c r="D548" s="352"/>
      <c r="E548" s="352"/>
      <c r="F548" s="352"/>
      <c r="G548" s="352"/>
      <c r="H548" s="352"/>
      <c r="I548" s="352"/>
      <c r="J548" s="352"/>
      <c r="K548" s="352"/>
      <c r="L548" s="352"/>
      <c r="M548" s="352"/>
      <c r="N548" s="352"/>
      <c r="O548" s="352"/>
      <c r="P548" s="352"/>
      <c r="Q548" s="352"/>
      <c r="R548" s="352"/>
      <c r="S548" s="352"/>
      <c r="T548" s="352"/>
      <c r="U548" s="352"/>
      <c r="V548" s="352"/>
    </row>
    <row r="549">
      <c r="A549" s="352"/>
      <c r="B549" s="352"/>
      <c r="C549" s="352"/>
      <c r="D549" s="352"/>
      <c r="E549" s="352"/>
      <c r="F549" s="352"/>
      <c r="G549" s="352"/>
      <c r="H549" s="352"/>
      <c r="I549" s="352"/>
      <c r="J549" s="352"/>
      <c r="K549" s="352"/>
      <c r="L549" s="352"/>
      <c r="M549" s="352"/>
      <c r="N549" s="352"/>
      <c r="O549" s="352"/>
      <c r="P549" s="352"/>
      <c r="Q549" s="352"/>
      <c r="R549" s="352"/>
      <c r="S549" s="352"/>
      <c r="T549" s="352"/>
      <c r="U549" s="352"/>
      <c r="V549" s="352"/>
    </row>
    <row r="550">
      <c r="A550" s="352"/>
      <c r="B550" s="352"/>
      <c r="C550" s="352"/>
      <c r="D550" s="352"/>
      <c r="E550" s="352"/>
      <c r="F550" s="352"/>
      <c r="G550" s="352"/>
      <c r="H550" s="352"/>
      <c r="I550" s="352"/>
      <c r="J550" s="352"/>
      <c r="K550" s="352"/>
      <c r="L550" s="352"/>
      <c r="M550" s="352"/>
      <c r="N550" s="352"/>
      <c r="O550" s="352"/>
      <c r="P550" s="352"/>
      <c r="Q550" s="352"/>
      <c r="R550" s="352"/>
      <c r="S550" s="352"/>
      <c r="T550" s="352"/>
      <c r="U550" s="352"/>
      <c r="V550" s="352"/>
    </row>
    <row r="551">
      <c r="A551" s="352"/>
      <c r="B551" s="352"/>
      <c r="C551" s="352"/>
      <c r="D551" s="352"/>
      <c r="E551" s="352"/>
      <c r="F551" s="352"/>
      <c r="G551" s="352"/>
      <c r="H551" s="352"/>
      <c r="I551" s="352"/>
      <c r="J551" s="352"/>
      <c r="K551" s="352"/>
      <c r="L551" s="352"/>
      <c r="M551" s="352"/>
      <c r="N551" s="352"/>
      <c r="O551" s="352"/>
      <c r="P551" s="352"/>
      <c r="Q551" s="352"/>
      <c r="R551" s="352"/>
      <c r="S551" s="352"/>
      <c r="T551" s="352"/>
      <c r="U551" s="352"/>
      <c r="V551" s="352"/>
    </row>
    <row r="552">
      <c r="A552" s="352"/>
      <c r="B552" s="352"/>
      <c r="C552" s="352"/>
      <c r="D552" s="352"/>
      <c r="E552" s="352"/>
      <c r="F552" s="352"/>
      <c r="G552" s="352"/>
      <c r="H552" s="352"/>
      <c r="I552" s="352"/>
      <c r="J552" s="352"/>
      <c r="K552" s="352"/>
      <c r="L552" s="352"/>
      <c r="M552" s="352"/>
      <c r="N552" s="352"/>
      <c r="O552" s="352"/>
      <c r="P552" s="352"/>
      <c r="Q552" s="352"/>
      <c r="R552" s="352"/>
      <c r="S552" s="352"/>
      <c r="T552" s="352"/>
      <c r="U552" s="352"/>
      <c r="V552" s="352"/>
    </row>
    <row r="553">
      <c r="A553" s="352"/>
      <c r="B553" s="352"/>
      <c r="C553" s="352"/>
      <c r="D553" s="352"/>
      <c r="E553" s="352"/>
      <c r="F553" s="352"/>
      <c r="G553" s="352"/>
      <c r="H553" s="352"/>
      <c r="I553" s="352"/>
      <c r="J553" s="352"/>
      <c r="K553" s="352"/>
      <c r="L553" s="352"/>
      <c r="M553" s="352"/>
      <c r="N553" s="352"/>
      <c r="O553" s="352"/>
      <c r="P553" s="352"/>
      <c r="Q553" s="352"/>
      <c r="R553" s="352"/>
      <c r="S553" s="352"/>
      <c r="T553" s="352"/>
      <c r="U553" s="352"/>
      <c r="V553" s="352"/>
    </row>
    <row r="554">
      <c r="A554" s="352"/>
      <c r="B554" s="352"/>
      <c r="C554" s="352"/>
      <c r="D554" s="352"/>
      <c r="E554" s="352"/>
      <c r="F554" s="352"/>
      <c r="G554" s="352"/>
      <c r="H554" s="352"/>
      <c r="I554" s="352"/>
      <c r="J554" s="352"/>
      <c r="K554" s="352"/>
      <c r="L554" s="352"/>
      <c r="M554" s="352"/>
      <c r="N554" s="352"/>
      <c r="O554" s="352"/>
      <c r="P554" s="352"/>
      <c r="Q554" s="352"/>
      <c r="R554" s="352"/>
      <c r="S554" s="352"/>
      <c r="T554" s="352"/>
      <c r="U554" s="352"/>
      <c r="V554" s="352"/>
    </row>
    <row r="555">
      <c r="A555" s="352"/>
      <c r="B555" s="352"/>
      <c r="C555" s="352"/>
      <c r="D555" s="352"/>
      <c r="E555" s="352"/>
      <c r="F555" s="352"/>
      <c r="G555" s="352"/>
      <c r="H555" s="352"/>
      <c r="I555" s="352"/>
      <c r="J555" s="352"/>
      <c r="K555" s="352"/>
      <c r="L555" s="352"/>
      <c r="M555" s="352"/>
      <c r="N555" s="352"/>
      <c r="O555" s="352"/>
      <c r="P555" s="352"/>
      <c r="Q555" s="352"/>
      <c r="R555" s="352"/>
      <c r="S555" s="352"/>
      <c r="T555" s="352"/>
      <c r="U555" s="352"/>
      <c r="V555" s="352"/>
    </row>
    <row r="556">
      <c r="A556" s="352"/>
      <c r="B556" s="352"/>
      <c r="C556" s="352"/>
      <c r="D556" s="352"/>
      <c r="E556" s="352"/>
      <c r="F556" s="352"/>
      <c r="G556" s="352"/>
      <c r="H556" s="352"/>
      <c r="I556" s="352"/>
      <c r="J556" s="352"/>
      <c r="K556" s="352"/>
      <c r="L556" s="352"/>
      <c r="M556" s="352"/>
      <c r="N556" s="352"/>
      <c r="O556" s="352"/>
      <c r="P556" s="352"/>
      <c r="Q556" s="352"/>
      <c r="R556" s="352"/>
      <c r="S556" s="352"/>
      <c r="T556" s="352"/>
      <c r="U556" s="352"/>
      <c r="V556" s="352"/>
    </row>
    <row r="557">
      <c r="A557" s="352"/>
      <c r="B557" s="352"/>
      <c r="C557" s="352"/>
      <c r="D557" s="352"/>
      <c r="E557" s="352"/>
      <c r="F557" s="352"/>
      <c r="G557" s="352"/>
      <c r="H557" s="352"/>
      <c r="I557" s="352"/>
      <c r="J557" s="352"/>
      <c r="K557" s="352"/>
      <c r="L557" s="352"/>
      <c r="M557" s="352"/>
      <c r="N557" s="352"/>
      <c r="O557" s="352"/>
      <c r="P557" s="352"/>
      <c r="Q557" s="352"/>
      <c r="R557" s="352"/>
      <c r="S557" s="352"/>
      <c r="T557" s="352"/>
      <c r="U557" s="352"/>
      <c r="V557" s="352"/>
    </row>
    <row r="558">
      <c r="A558" s="352"/>
      <c r="B558" s="352"/>
      <c r="C558" s="352"/>
      <c r="D558" s="352"/>
      <c r="E558" s="352"/>
      <c r="F558" s="352"/>
      <c r="G558" s="352"/>
      <c r="H558" s="352"/>
      <c r="I558" s="352"/>
      <c r="J558" s="352"/>
      <c r="K558" s="352"/>
      <c r="L558" s="352"/>
      <c r="M558" s="352"/>
      <c r="N558" s="352"/>
      <c r="O558" s="352"/>
      <c r="P558" s="352"/>
      <c r="Q558" s="352"/>
      <c r="R558" s="352"/>
      <c r="S558" s="352"/>
      <c r="T558" s="352"/>
      <c r="U558" s="352"/>
      <c r="V558" s="352"/>
    </row>
    <row r="559">
      <c r="A559" s="352"/>
      <c r="B559" s="352"/>
      <c r="C559" s="352"/>
      <c r="D559" s="352"/>
      <c r="E559" s="352"/>
      <c r="F559" s="352"/>
      <c r="G559" s="352"/>
      <c r="H559" s="352"/>
      <c r="I559" s="352"/>
      <c r="J559" s="352"/>
      <c r="K559" s="352"/>
      <c r="L559" s="352"/>
      <c r="M559" s="352"/>
      <c r="N559" s="352"/>
      <c r="O559" s="352"/>
      <c r="P559" s="352"/>
      <c r="Q559" s="352"/>
      <c r="R559" s="352"/>
      <c r="S559" s="352"/>
      <c r="T559" s="352"/>
      <c r="U559" s="352"/>
      <c r="V559" s="352"/>
    </row>
    <row r="560">
      <c r="A560" s="352"/>
      <c r="B560" s="352"/>
      <c r="C560" s="352"/>
      <c r="D560" s="352"/>
      <c r="E560" s="352"/>
      <c r="F560" s="352"/>
      <c r="G560" s="352"/>
      <c r="H560" s="352"/>
      <c r="I560" s="352"/>
      <c r="J560" s="352"/>
      <c r="K560" s="352"/>
      <c r="L560" s="352"/>
      <c r="M560" s="352"/>
      <c r="N560" s="352"/>
      <c r="O560" s="352"/>
      <c r="P560" s="352"/>
      <c r="Q560" s="352"/>
      <c r="R560" s="352"/>
      <c r="S560" s="352"/>
      <c r="T560" s="352"/>
      <c r="U560" s="352"/>
      <c r="V560" s="352"/>
    </row>
    <row r="561">
      <c r="A561" s="352"/>
      <c r="B561" s="352"/>
      <c r="C561" s="352"/>
      <c r="D561" s="352"/>
      <c r="E561" s="352"/>
      <c r="F561" s="352"/>
      <c r="G561" s="352"/>
      <c r="H561" s="352"/>
      <c r="I561" s="352"/>
      <c r="J561" s="352"/>
      <c r="K561" s="352"/>
      <c r="L561" s="352"/>
      <c r="M561" s="352"/>
      <c r="N561" s="352"/>
      <c r="O561" s="352"/>
      <c r="P561" s="352"/>
      <c r="Q561" s="352"/>
      <c r="R561" s="352"/>
      <c r="S561" s="352"/>
      <c r="T561" s="352"/>
      <c r="U561" s="352"/>
      <c r="V561" s="352"/>
    </row>
    <row r="562">
      <c r="A562" s="352"/>
      <c r="B562" s="352"/>
      <c r="C562" s="352"/>
      <c r="D562" s="352"/>
      <c r="E562" s="352"/>
      <c r="F562" s="352"/>
      <c r="G562" s="352"/>
      <c r="H562" s="352"/>
      <c r="I562" s="352"/>
      <c r="J562" s="352"/>
      <c r="K562" s="352"/>
      <c r="L562" s="352"/>
      <c r="M562" s="352"/>
      <c r="N562" s="352"/>
      <c r="O562" s="352"/>
      <c r="P562" s="352"/>
      <c r="Q562" s="352"/>
      <c r="R562" s="352"/>
      <c r="S562" s="352"/>
      <c r="T562" s="352"/>
      <c r="U562" s="352"/>
      <c r="V562" s="352"/>
    </row>
    <row r="563">
      <c r="A563" s="352"/>
      <c r="B563" s="352"/>
      <c r="C563" s="352"/>
      <c r="D563" s="352"/>
      <c r="E563" s="352"/>
      <c r="F563" s="352"/>
      <c r="G563" s="352"/>
      <c r="H563" s="352"/>
      <c r="I563" s="352"/>
      <c r="J563" s="352"/>
      <c r="K563" s="352"/>
      <c r="L563" s="352"/>
      <c r="M563" s="352"/>
      <c r="N563" s="352"/>
      <c r="O563" s="352"/>
      <c r="P563" s="352"/>
      <c r="Q563" s="352"/>
      <c r="R563" s="352"/>
      <c r="S563" s="352"/>
      <c r="T563" s="352"/>
      <c r="U563" s="352"/>
      <c r="V563" s="352"/>
    </row>
    <row r="564">
      <c r="A564" s="352"/>
      <c r="B564" s="352"/>
      <c r="C564" s="352"/>
      <c r="D564" s="352"/>
      <c r="E564" s="352"/>
      <c r="F564" s="352"/>
      <c r="G564" s="352"/>
      <c r="H564" s="352"/>
      <c r="I564" s="352"/>
      <c r="J564" s="352"/>
      <c r="K564" s="352"/>
      <c r="L564" s="352"/>
      <c r="M564" s="352"/>
      <c r="N564" s="352"/>
      <c r="O564" s="352"/>
      <c r="P564" s="352"/>
      <c r="Q564" s="352"/>
      <c r="R564" s="352"/>
      <c r="S564" s="352"/>
      <c r="T564" s="352"/>
      <c r="U564" s="352"/>
      <c r="V564" s="352"/>
    </row>
    <row r="565">
      <c r="A565" s="352"/>
      <c r="B565" s="352"/>
      <c r="C565" s="352"/>
      <c r="D565" s="352"/>
      <c r="E565" s="352"/>
      <c r="F565" s="352"/>
      <c r="G565" s="352"/>
      <c r="H565" s="352"/>
      <c r="I565" s="352"/>
      <c r="J565" s="352"/>
      <c r="K565" s="352"/>
      <c r="L565" s="352"/>
      <c r="M565" s="352"/>
      <c r="N565" s="352"/>
      <c r="O565" s="352"/>
      <c r="P565" s="352"/>
      <c r="Q565" s="352"/>
      <c r="R565" s="352"/>
      <c r="S565" s="352"/>
      <c r="T565" s="352"/>
      <c r="U565" s="352"/>
      <c r="V565" s="352"/>
    </row>
    <row r="566">
      <c r="A566" s="352"/>
      <c r="B566" s="352"/>
      <c r="C566" s="352"/>
      <c r="D566" s="352"/>
      <c r="E566" s="352"/>
      <c r="F566" s="352"/>
      <c r="G566" s="352"/>
      <c r="H566" s="352"/>
      <c r="I566" s="352"/>
      <c r="J566" s="352"/>
      <c r="K566" s="352"/>
      <c r="L566" s="352"/>
      <c r="M566" s="352"/>
      <c r="N566" s="352"/>
      <c r="O566" s="352"/>
      <c r="P566" s="352"/>
      <c r="Q566" s="352"/>
      <c r="R566" s="352"/>
      <c r="S566" s="352"/>
      <c r="T566" s="352"/>
      <c r="U566" s="352"/>
      <c r="V566" s="352"/>
    </row>
    <row r="567">
      <c r="A567" s="352"/>
      <c r="B567" s="352"/>
      <c r="C567" s="352"/>
      <c r="D567" s="352"/>
      <c r="E567" s="352"/>
      <c r="F567" s="352"/>
      <c r="G567" s="352"/>
      <c r="H567" s="352"/>
      <c r="I567" s="352"/>
      <c r="J567" s="352"/>
      <c r="K567" s="352"/>
      <c r="L567" s="352"/>
      <c r="M567" s="352"/>
      <c r="N567" s="352"/>
      <c r="O567" s="352"/>
      <c r="P567" s="352"/>
      <c r="Q567" s="352"/>
      <c r="R567" s="352"/>
      <c r="S567" s="352"/>
      <c r="T567" s="352"/>
      <c r="U567" s="352"/>
      <c r="V567" s="352"/>
    </row>
    <row r="568">
      <c r="A568" s="352"/>
      <c r="B568" s="352"/>
      <c r="C568" s="352"/>
      <c r="D568" s="352"/>
      <c r="E568" s="352"/>
      <c r="F568" s="352"/>
      <c r="G568" s="352"/>
      <c r="H568" s="352"/>
      <c r="I568" s="352"/>
      <c r="J568" s="352"/>
      <c r="K568" s="352"/>
      <c r="L568" s="352"/>
      <c r="M568" s="352"/>
      <c r="N568" s="352"/>
      <c r="O568" s="352"/>
      <c r="P568" s="352"/>
      <c r="Q568" s="352"/>
      <c r="R568" s="352"/>
      <c r="S568" s="352"/>
      <c r="T568" s="352"/>
      <c r="U568" s="352"/>
      <c r="V568" s="352"/>
    </row>
    <row r="569">
      <c r="A569" s="352"/>
      <c r="B569" s="352"/>
      <c r="C569" s="352"/>
      <c r="D569" s="352"/>
      <c r="E569" s="352"/>
      <c r="F569" s="352"/>
      <c r="G569" s="352"/>
      <c r="H569" s="352"/>
      <c r="I569" s="352"/>
      <c r="J569" s="352"/>
      <c r="K569" s="352"/>
      <c r="L569" s="352"/>
      <c r="M569" s="352"/>
      <c r="N569" s="352"/>
      <c r="O569" s="352"/>
      <c r="P569" s="352"/>
      <c r="Q569" s="352"/>
      <c r="R569" s="352"/>
      <c r="S569" s="352"/>
      <c r="T569" s="352"/>
      <c r="U569" s="352"/>
      <c r="V569" s="352"/>
    </row>
    <row r="570">
      <c r="A570" s="352"/>
      <c r="B570" s="352"/>
      <c r="C570" s="352"/>
      <c r="D570" s="352"/>
      <c r="E570" s="352"/>
      <c r="F570" s="352"/>
      <c r="G570" s="352"/>
      <c r="H570" s="352"/>
      <c r="I570" s="352"/>
      <c r="J570" s="352"/>
      <c r="K570" s="352"/>
      <c r="L570" s="352"/>
      <c r="M570" s="352"/>
      <c r="N570" s="352"/>
      <c r="O570" s="352"/>
      <c r="P570" s="352"/>
      <c r="Q570" s="352"/>
      <c r="R570" s="352"/>
      <c r="S570" s="352"/>
      <c r="T570" s="352"/>
      <c r="U570" s="352"/>
      <c r="V570" s="352"/>
    </row>
    <row r="571">
      <c r="A571" s="352"/>
      <c r="B571" s="352"/>
      <c r="C571" s="352"/>
      <c r="D571" s="352"/>
      <c r="E571" s="352"/>
      <c r="F571" s="352"/>
      <c r="G571" s="352"/>
      <c r="H571" s="352"/>
      <c r="I571" s="352"/>
      <c r="J571" s="352"/>
      <c r="K571" s="352"/>
      <c r="L571" s="352"/>
      <c r="M571" s="352"/>
      <c r="N571" s="352"/>
      <c r="O571" s="352"/>
      <c r="P571" s="352"/>
      <c r="Q571" s="352"/>
      <c r="R571" s="352"/>
      <c r="S571" s="352"/>
      <c r="T571" s="352"/>
      <c r="U571" s="352"/>
      <c r="V571" s="352"/>
    </row>
    <row r="572">
      <c r="A572" s="352"/>
      <c r="B572" s="352"/>
      <c r="C572" s="352"/>
      <c r="D572" s="352"/>
      <c r="E572" s="352"/>
      <c r="F572" s="352"/>
      <c r="G572" s="352"/>
      <c r="H572" s="352"/>
      <c r="I572" s="352"/>
      <c r="J572" s="352"/>
      <c r="K572" s="352"/>
      <c r="L572" s="352"/>
      <c r="M572" s="352"/>
      <c r="N572" s="352"/>
      <c r="O572" s="352"/>
      <c r="P572" s="352"/>
      <c r="Q572" s="352"/>
      <c r="R572" s="352"/>
      <c r="S572" s="352"/>
      <c r="T572" s="352"/>
      <c r="U572" s="352"/>
      <c r="V572" s="352"/>
    </row>
    <row r="573">
      <c r="A573" s="352"/>
      <c r="B573" s="352"/>
      <c r="C573" s="352"/>
      <c r="D573" s="352"/>
      <c r="E573" s="352"/>
      <c r="F573" s="352"/>
      <c r="G573" s="352"/>
      <c r="H573" s="352"/>
      <c r="I573" s="352"/>
      <c r="J573" s="352"/>
      <c r="K573" s="352"/>
      <c r="L573" s="352"/>
      <c r="M573" s="352"/>
      <c r="N573" s="352"/>
      <c r="O573" s="352"/>
      <c r="P573" s="352"/>
      <c r="Q573" s="352"/>
      <c r="R573" s="352"/>
      <c r="S573" s="352"/>
      <c r="T573" s="352"/>
      <c r="U573" s="352"/>
      <c r="V573" s="352"/>
    </row>
    <row r="574">
      <c r="A574" s="352"/>
      <c r="B574" s="352"/>
      <c r="C574" s="352"/>
      <c r="D574" s="352"/>
      <c r="E574" s="352"/>
      <c r="F574" s="352"/>
      <c r="G574" s="352"/>
      <c r="H574" s="352"/>
      <c r="I574" s="352"/>
      <c r="J574" s="352"/>
      <c r="K574" s="352"/>
      <c r="L574" s="352"/>
      <c r="M574" s="352"/>
      <c r="N574" s="352"/>
      <c r="O574" s="352"/>
      <c r="P574" s="352"/>
      <c r="Q574" s="352"/>
      <c r="R574" s="352"/>
      <c r="S574" s="352"/>
      <c r="T574" s="352"/>
      <c r="U574" s="352"/>
      <c r="V574" s="352"/>
    </row>
    <row r="575">
      <c r="A575" s="352"/>
      <c r="B575" s="352"/>
      <c r="C575" s="352"/>
      <c r="D575" s="352"/>
      <c r="E575" s="352"/>
      <c r="F575" s="352"/>
      <c r="G575" s="352"/>
      <c r="H575" s="352"/>
      <c r="I575" s="352"/>
      <c r="J575" s="352"/>
      <c r="K575" s="352"/>
      <c r="L575" s="352"/>
      <c r="M575" s="352"/>
      <c r="N575" s="352"/>
      <c r="O575" s="352"/>
      <c r="P575" s="352"/>
      <c r="Q575" s="352"/>
      <c r="R575" s="352"/>
      <c r="S575" s="352"/>
      <c r="T575" s="352"/>
      <c r="U575" s="352"/>
      <c r="V575" s="352"/>
    </row>
    <row r="576">
      <c r="A576" s="352"/>
      <c r="B576" s="352"/>
      <c r="C576" s="352"/>
      <c r="D576" s="352"/>
      <c r="E576" s="352"/>
      <c r="F576" s="352"/>
      <c r="G576" s="352"/>
      <c r="H576" s="352"/>
      <c r="I576" s="352"/>
      <c r="J576" s="352"/>
      <c r="K576" s="352"/>
      <c r="L576" s="352"/>
      <c r="M576" s="352"/>
      <c r="N576" s="352"/>
      <c r="O576" s="352"/>
      <c r="P576" s="352"/>
      <c r="Q576" s="352"/>
      <c r="R576" s="352"/>
      <c r="S576" s="352"/>
      <c r="T576" s="352"/>
      <c r="U576" s="352"/>
      <c r="V576" s="352"/>
    </row>
    <row r="577">
      <c r="A577" s="352"/>
      <c r="B577" s="352"/>
      <c r="C577" s="352"/>
      <c r="D577" s="352"/>
      <c r="E577" s="352"/>
      <c r="F577" s="352"/>
      <c r="G577" s="352"/>
      <c r="H577" s="352"/>
      <c r="I577" s="352"/>
      <c r="J577" s="352"/>
      <c r="K577" s="352"/>
      <c r="L577" s="352"/>
      <c r="M577" s="352"/>
      <c r="N577" s="352"/>
      <c r="O577" s="352"/>
      <c r="P577" s="352"/>
      <c r="Q577" s="352"/>
      <c r="R577" s="352"/>
      <c r="S577" s="352"/>
      <c r="T577" s="352"/>
      <c r="U577" s="352"/>
      <c r="V577" s="352"/>
    </row>
    <row r="578">
      <c r="A578" s="352"/>
      <c r="B578" s="352"/>
      <c r="C578" s="352"/>
      <c r="D578" s="352"/>
      <c r="E578" s="352"/>
      <c r="F578" s="352"/>
      <c r="G578" s="352"/>
      <c r="H578" s="352"/>
      <c r="I578" s="352"/>
      <c r="J578" s="352"/>
      <c r="K578" s="352"/>
      <c r="L578" s="352"/>
      <c r="M578" s="352"/>
      <c r="N578" s="352"/>
      <c r="O578" s="352"/>
      <c r="P578" s="352"/>
      <c r="Q578" s="352"/>
      <c r="R578" s="352"/>
      <c r="S578" s="352"/>
      <c r="T578" s="352"/>
      <c r="U578" s="352"/>
      <c r="V578" s="352"/>
    </row>
    <row r="579">
      <c r="A579" s="352"/>
      <c r="B579" s="352"/>
      <c r="C579" s="352"/>
      <c r="D579" s="352"/>
      <c r="E579" s="352"/>
      <c r="F579" s="352"/>
      <c r="G579" s="352"/>
      <c r="H579" s="352"/>
      <c r="I579" s="352"/>
      <c r="J579" s="352"/>
      <c r="K579" s="352"/>
      <c r="L579" s="352"/>
      <c r="M579" s="352"/>
      <c r="N579" s="352"/>
      <c r="O579" s="352"/>
      <c r="P579" s="352"/>
      <c r="Q579" s="352"/>
      <c r="R579" s="352"/>
      <c r="S579" s="352"/>
      <c r="T579" s="352"/>
      <c r="U579" s="352"/>
      <c r="V579" s="352"/>
    </row>
    <row r="580">
      <c r="A580" s="352"/>
      <c r="B580" s="352"/>
      <c r="C580" s="352"/>
      <c r="D580" s="352"/>
      <c r="E580" s="352"/>
      <c r="F580" s="352"/>
      <c r="G580" s="352"/>
      <c r="H580" s="352"/>
      <c r="I580" s="352"/>
      <c r="J580" s="352"/>
      <c r="K580" s="352"/>
      <c r="L580" s="352"/>
      <c r="M580" s="352"/>
      <c r="N580" s="352"/>
      <c r="O580" s="352"/>
      <c r="P580" s="352"/>
      <c r="Q580" s="352"/>
      <c r="R580" s="352"/>
      <c r="S580" s="352"/>
      <c r="T580" s="352"/>
      <c r="U580" s="352"/>
      <c r="V580" s="352"/>
    </row>
    <row r="581">
      <c r="A581" s="352"/>
      <c r="B581" s="352"/>
      <c r="C581" s="352"/>
      <c r="D581" s="352"/>
      <c r="E581" s="352"/>
      <c r="F581" s="352"/>
      <c r="G581" s="352"/>
      <c r="H581" s="352"/>
      <c r="I581" s="352"/>
      <c r="J581" s="352"/>
      <c r="K581" s="352"/>
      <c r="L581" s="352"/>
      <c r="M581" s="352"/>
      <c r="N581" s="352"/>
      <c r="O581" s="352"/>
      <c r="P581" s="352"/>
      <c r="Q581" s="352"/>
      <c r="R581" s="352"/>
      <c r="S581" s="352"/>
      <c r="T581" s="352"/>
      <c r="U581" s="352"/>
      <c r="V581" s="352"/>
    </row>
    <row r="582">
      <c r="A582" s="352"/>
      <c r="B582" s="352"/>
      <c r="C582" s="352"/>
      <c r="D582" s="352"/>
      <c r="E582" s="352"/>
      <c r="F582" s="352"/>
      <c r="G582" s="352"/>
      <c r="H582" s="352"/>
      <c r="I582" s="352"/>
      <c r="J582" s="352"/>
      <c r="K582" s="352"/>
      <c r="L582" s="352"/>
      <c r="M582" s="352"/>
      <c r="N582" s="352"/>
      <c r="O582" s="352"/>
      <c r="P582" s="352"/>
      <c r="Q582" s="352"/>
      <c r="R582" s="352"/>
      <c r="S582" s="352"/>
      <c r="T582" s="352"/>
      <c r="U582" s="352"/>
      <c r="V582" s="352"/>
    </row>
    <row r="583">
      <c r="A583" s="352"/>
      <c r="B583" s="352"/>
      <c r="C583" s="352"/>
      <c r="D583" s="352"/>
      <c r="E583" s="352"/>
      <c r="F583" s="352"/>
      <c r="G583" s="352"/>
      <c r="H583" s="352"/>
      <c r="I583" s="352"/>
      <c r="J583" s="352"/>
      <c r="K583" s="352"/>
      <c r="L583" s="352"/>
      <c r="M583" s="352"/>
      <c r="N583" s="352"/>
      <c r="O583" s="352"/>
      <c r="P583" s="352"/>
      <c r="Q583" s="352"/>
      <c r="R583" s="352"/>
      <c r="S583" s="352"/>
      <c r="T583" s="352"/>
      <c r="U583" s="352"/>
      <c r="V583" s="352"/>
    </row>
    <row r="584">
      <c r="A584" s="352"/>
      <c r="B584" s="352"/>
      <c r="C584" s="352"/>
      <c r="D584" s="352"/>
      <c r="E584" s="352"/>
      <c r="F584" s="352"/>
      <c r="G584" s="352"/>
      <c r="H584" s="352"/>
      <c r="I584" s="352"/>
      <c r="J584" s="352"/>
      <c r="K584" s="352"/>
      <c r="L584" s="352"/>
      <c r="M584" s="352"/>
      <c r="N584" s="352"/>
      <c r="O584" s="352"/>
      <c r="P584" s="352"/>
      <c r="Q584" s="352"/>
      <c r="R584" s="352"/>
      <c r="S584" s="352"/>
      <c r="T584" s="352"/>
      <c r="U584" s="352"/>
      <c r="V584" s="352"/>
    </row>
    <row r="585">
      <c r="A585" s="352"/>
      <c r="B585" s="352"/>
      <c r="C585" s="352"/>
      <c r="D585" s="352"/>
      <c r="E585" s="352"/>
      <c r="F585" s="352"/>
      <c r="G585" s="352"/>
      <c r="H585" s="352"/>
      <c r="I585" s="352"/>
      <c r="J585" s="352"/>
      <c r="K585" s="352"/>
      <c r="L585" s="352"/>
      <c r="M585" s="352"/>
      <c r="N585" s="352"/>
      <c r="O585" s="352"/>
      <c r="P585" s="352"/>
      <c r="Q585" s="352"/>
      <c r="R585" s="352"/>
      <c r="S585" s="352"/>
      <c r="T585" s="352"/>
      <c r="U585" s="352"/>
      <c r="V585" s="352"/>
    </row>
    <row r="586">
      <c r="A586" s="352"/>
      <c r="B586" s="352"/>
      <c r="C586" s="352"/>
      <c r="D586" s="352"/>
      <c r="E586" s="352"/>
      <c r="F586" s="352"/>
      <c r="G586" s="352"/>
      <c r="H586" s="352"/>
      <c r="I586" s="352"/>
      <c r="J586" s="352"/>
      <c r="K586" s="352"/>
      <c r="L586" s="352"/>
      <c r="M586" s="352"/>
      <c r="N586" s="352"/>
      <c r="O586" s="352"/>
      <c r="P586" s="352"/>
      <c r="Q586" s="352"/>
      <c r="R586" s="352"/>
      <c r="S586" s="352"/>
      <c r="T586" s="352"/>
      <c r="U586" s="352"/>
      <c r="V586" s="352"/>
    </row>
    <row r="587">
      <c r="A587" s="352"/>
      <c r="B587" s="352"/>
      <c r="C587" s="352"/>
      <c r="D587" s="352"/>
      <c r="E587" s="352"/>
      <c r="F587" s="352"/>
      <c r="G587" s="352"/>
      <c r="H587" s="352"/>
      <c r="I587" s="352"/>
      <c r="J587" s="352"/>
      <c r="K587" s="352"/>
      <c r="L587" s="352"/>
      <c r="M587" s="352"/>
      <c r="N587" s="352"/>
      <c r="O587" s="352"/>
      <c r="P587" s="352"/>
      <c r="Q587" s="352"/>
      <c r="R587" s="352"/>
      <c r="S587" s="352"/>
      <c r="T587" s="352"/>
      <c r="U587" s="352"/>
      <c r="V587" s="352"/>
    </row>
    <row r="588">
      <c r="A588" s="352"/>
      <c r="B588" s="352"/>
      <c r="C588" s="352"/>
      <c r="D588" s="352"/>
      <c r="E588" s="352"/>
      <c r="F588" s="352"/>
      <c r="G588" s="352"/>
      <c r="H588" s="352"/>
      <c r="I588" s="352"/>
      <c r="J588" s="352"/>
      <c r="K588" s="352"/>
      <c r="L588" s="352"/>
      <c r="M588" s="352"/>
      <c r="N588" s="352"/>
      <c r="O588" s="352"/>
      <c r="P588" s="352"/>
      <c r="Q588" s="352"/>
      <c r="R588" s="352"/>
      <c r="S588" s="352"/>
      <c r="T588" s="352"/>
      <c r="U588" s="352"/>
      <c r="V588" s="352"/>
    </row>
    <row r="589">
      <c r="A589" s="352"/>
      <c r="B589" s="352"/>
      <c r="C589" s="352"/>
      <c r="D589" s="352"/>
      <c r="E589" s="352"/>
      <c r="F589" s="352"/>
      <c r="G589" s="352"/>
      <c r="H589" s="352"/>
      <c r="I589" s="352"/>
      <c r="J589" s="352"/>
      <c r="K589" s="352"/>
      <c r="L589" s="352"/>
      <c r="M589" s="352"/>
      <c r="N589" s="352"/>
      <c r="O589" s="352"/>
      <c r="P589" s="352"/>
      <c r="Q589" s="352"/>
      <c r="R589" s="352"/>
      <c r="S589" s="352"/>
      <c r="T589" s="352"/>
      <c r="U589" s="352"/>
      <c r="V589" s="352"/>
    </row>
    <row r="590">
      <c r="A590" s="352"/>
      <c r="B590" s="352"/>
      <c r="C590" s="352"/>
      <c r="D590" s="352"/>
      <c r="E590" s="352"/>
      <c r="F590" s="352"/>
      <c r="G590" s="352"/>
      <c r="H590" s="352"/>
      <c r="I590" s="352"/>
      <c r="J590" s="352"/>
      <c r="K590" s="352"/>
      <c r="L590" s="352"/>
      <c r="M590" s="352"/>
      <c r="N590" s="352"/>
      <c r="O590" s="352"/>
      <c r="P590" s="352"/>
      <c r="Q590" s="352"/>
      <c r="R590" s="352"/>
      <c r="S590" s="352"/>
      <c r="T590" s="352"/>
      <c r="U590" s="352"/>
      <c r="V590" s="352"/>
    </row>
    <row r="591">
      <c r="A591" s="352"/>
      <c r="B591" s="352"/>
      <c r="C591" s="352"/>
      <c r="D591" s="352"/>
      <c r="E591" s="352"/>
      <c r="F591" s="352"/>
      <c r="G591" s="352"/>
      <c r="H591" s="352"/>
      <c r="I591" s="352"/>
      <c r="J591" s="352"/>
      <c r="K591" s="352"/>
      <c r="L591" s="352"/>
      <c r="M591" s="352"/>
      <c r="N591" s="352"/>
      <c r="O591" s="352"/>
      <c r="P591" s="352"/>
      <c r="Q591" s="352"/>
      <c r="R591" s="352"/>
      <c r="S591" s="352"/>
      <c r="T591" s="352"/>
      <c r="U591" s="352"/>
      <c r="V591" s="352"/>
    </row>
    <row r="592">
      <c r="A592" s="352"/>
      <c r="B592" s="352"/>
      <c r="C592" s="352"/>
      <c r="D592" s="352"/>
      <c r="E592" s="352"/>
      <c r="F592" s="352"/>
      <c r="G592" s="352"/>
      <c r="H592" s="352"/>
      <c r="I592" s="352"/>
      <c r="J592" s="352"/>
      <c r="K592" s="352"/>
      <c r="L592" s="352"/>
      <c r="M592" s="352"/>
      <c r="N592" s="352"/>
      <c r="O592" s="352"/>
      <c r="P592" s="352"/>
      <c r="Q592" s="352"/>
      <c r="R592" s="352"/>
      <c r="S592" s="352"/>
      <c r="T592" s="352"/>
      <c r="U592" s="352"/>
      <c r="V592" s="352"/>
    </row>
    <row r="593">
      <c r="A593" s="352"/>
      <c r="B593" s="352"/>
      <c r="C593" s="352"/>
      <c r="D593" s="352"/>
      <c r="E593" s="352"/>
      <c r="F593" s="352"/>
      <c r="G593" s="352"/>
      <c r="H593" s="352"/>
      <c r="I593" s="352"/>
      <c r="J593" s="352"/>
      <c r="K593" s="352"/>
      <c r="L593" s="352"/>
      <c r="M593" s="352"/>
      <c r="N593" s="352"/>
      <c r="O593" s="352"/>
      <c r="P593" s="352"/>
      <c r="Q593" s="352"/>
      <c r="R593" s="352"/>
      <c r="S593" s="352"/>
      <c r="T593" s="352"/>
      <c r="U593" s="352"/>
      <c r="V593" s="352"/>
    </row>
    <row r="594">
      <c r="A594" s="352"/>
      <c r="B594" s="352"/>
      <c r="C594" s="352"/>
      <c r="D594" s="352"/>
      <c r="E594" s="352"/>
      <c r="F594" s="352"/>
      <c r="G594" s="352"/>
      <c r="H594" s="352"/>
      <c r="I594" s="352"/>
      <c r="J594" s="352"/>
      <c r="K594" s="352"/>
      <c r="L594" s="352"/>
      <c r="M594" s="352"/>
      <c r="N594" s="352"/>
      <c r="O594" s="352"/>
      <c r="P594" s="352"/>
      <c r="Q594" s="352"/>
      <c r="R594" s="352"/>
      <c r="S594" s="352"/>
      <c r="T594" s="352"/>
      <c r="U594" s="352"/>
      <c r="V594" s="352"/>
    </row>
    <row r="595">
      <c r="A595" s="352"/>
      <c r="B595" s="352"/>
      <c r="C595" s="352"/>
      <c r="D595" s="352"/>
      <c r="E595" s="352"/>
      <c r="F595" s="352"/>
      <c r="G595" s="352"/>
      <c r="H595" s="352"/>
      <c r="I595" s="352"/>
      <c r="J595" s="352"/>
      <c r="K595" s="352"/>
      <c r="L595" s="352"/>
      <c r="M595" s="352"/>
      <c r="N595" s="352"/>
      <c r="O595" s="352"/>
      <c r="P595" s="352"/>
      <c r="Q595" s="352"/>
      <c r="R595" s="352"/>
      <c r="S595" s="352"/>
      <c r="T595" s="352"/>
      <c r="U595" s="352"/>
      <c r="V595" s="352"/>
    </row>
    <row r="596">
      <c r="A596" s="352"/>
      <c r="B596" s="352"/>
      <c r="C596" s="352"/>
      <c r="D596" s="352"/>
      <c r="E596" s="352"/>
      <c r="F596" s="352"/>
      <c r="G596" s="352"/>
      <c r="H596" s="352"/>
      <c r="I596" s="352"/>
      <c r="J596" s="352"/>
      <c r="K596" s="352"/>
      <c r="L596" s="352"/>
      <c r="M596" s="352"/>
      <c r="N596" s="352"/>
      <c r="O596" s="352"/>
      <c r="P596" s="352"/>
      <c r="Q596" s="352"/>
      <c r="R596" s="352"/>
      <c r="S596" s="352"/>
      <c r="T596" s="352"/>
      <c r="U596" s="352"/>
      <c r="V596" s="352"/>
    </row>
    <row r="597">
      <c r="A597" s="352"/>
      <c r="B597" s="352"/>
      <c r="C597" s="352"/>
      <c r="D597" s="352"/>
      <c r="E597" s="352"/>
      <c r="F597" s="352"/>
      <c r="G597" s="352"/>
      <c r="H597" s="352"/>
      <c r="I597" s="352"/>
      <c r="J597" s="352"/>
      <c r="K597" s="352"/>
      <c r="L597" s="352"/>
      <c r="M597" s="352"/>
      <c r="N597" s="352"/>
      <c r="O597" s="352"/>
      <c r="P597" s="352"/>
      <c r="Q597" s="352"/>
      <c r="R597" s="352"/>
      <c r="S597" s="352"/>
      <c r="T597" s="352"/>
      <c r="U597" s="352"/>
      <c r="V597" s="352"/>
    </row>
    <row r="598">
      <c r="A598" s="352"/>
      <c r="B598" s="352"/>
      <c r="C598" s="352"/>
      <c r="D598" s="352"/>
      <c r="E598" s="352"/>
      <c r="F598" s="352"/>
      <c r="G598" s="352"/>
      <c r="H598" s="352"/>
      <c r="I598" s="352"/>
      <c r="J598" s="352"/>
      <c r="K598" s="352"/>
      <c r="L598" s="352"/>
      <c r="M598" s="352"/>
      <c r="N598" s="352"/>
      <c r="O598" s="352"/>
      <c r="P598" s="352"/>
      <c r="Q598" s="352"/>
      <c r="R598" s="352"/>
      <c r="S598" s="352"/>
      <c r="T598" s="352"/>
      <c r="U598" s="352"/>
      <c r="V598" s="352"/>
    </row>
    <row r="599">
      <c r="A599" s="352"/>
      <c r="B599" s="352"/>
      <c r="C599" s="352"/>
      <c r="D599" s="352"/>
      <c r="E599" s="352"/>
      <c r="F599" s="352"/>
      <c r="G599" s="352"/>
      <c r="H599" s="352"/>
      <c r="I599" s="352"/>
      <c r="J599" s="352"/>
      <c r="K599" s="352"/>
      <c r="L599" s="352"/>
      <c r="M599" s="352"/>
      <c r="N599" s="352"/>
      <c r="O599" s="352"/>
      <c r="P599" s="352"/>
      <c r="Q599" s="352"/>
      <c r="R599" s="352"/>
      <c r="S599" s="352"/>
      <c r="T599" s="352"/>
      <c r="U599" s="352"/>
      <c r="V599" s="352"/>
    </row>
    <row r="600">
      <c r="A600" s="352"/>
      <c r="B600" s="352"/>
      <c r="C600" s="352"/>
      <c r="D600" s="352"/>
      <c r="E600" s="352"/>
      <c r="F600" s="352"/>
      <c r="G600" s="352"/>
      <c r="H600" s="352"/>
      <c r="I600" s="352"/>
      <c r="J600" s="352"/>
      <c r="K600" s="352"/>
      <c r="L600" s="352"/>
      <c r="M600" s="352"/>
      <c r="N600" s="352"/>
      <c r="O600" s="352"/>
      <c r="P600" s="352"/>
      <c r="Q600" s="352"/>
      <c r="R600" s="352"/>
      <c r="S600" s="352"/>
      <c r="T600" s="352"/>
      <c r="U600" s="352"/>
      <c r="V600" s="352"/>
    </row>
    <row r="601">
      <c r="A601" s="352"/>
      <c r="B601" s="352"/>
      <c r="C601" s="352"/>
      <c r="D601" s="352"/>
      <c r="E601" s="352"/>
      <c r="F601" s="352"/>
      <c r="G601" s="352"/>
      <c r="H601" s="352"/>
      <c r="I601" s="352"/>
      <c r="J601" s="352"/>
      <c r="K601" s="352"/>
      <c r="L601" s="352"/>
      <c r="M601" s="352"/>
      <c r="N601" s="352"/>
      <c r="O601" s="352"/>
      <c r="P601" s="352"/>
      <c r="Q601" s="352"/>
      <c r="R601" s="352"/>
      <c r="S601" s="352"/>
      <c r="T601" s="352"/>
      <c r="U601" s="352"/>
      <c r="V601" s="352"/>
    </row>
    <row r="602">
      <c r="A602" s="352"/>
      <c r="B602" s="352"/>
      <c r="C602" s="352"/>
      <c r="D602" s="352"/>
      <c r="E602" s="352"/>
      <c r="F602" s="352"/>
      <c r="G602" s="352"/>
      <c r="H602" s="352"/>
      <c r="I602" s="352"/>
      <c r="J602" s="352"/>
      <c r="K602" s="352"/>
      <c r="L602" s="352"/>
      <c r="M602" s="352"/>
      <c r="N602" s="352"/>
      <c r="O602" s="352"/>
      <c r="P602" s="352"/>
      <c r="Q602" s="352"/>
      <c r="R602" s="352"/>
      <c r="S602" s="352"/>
      <c r="T602" s="352"/>
      <c r="U602" s="352"/>
      <c r="V602" s="352"/>
    </row>
    <row r="603">
      <c r="A603" s="352"/>
      <c r="B603" s="352"/>
      <c r="C603" s="352"/>
      <c r="D603" s="352"/>
      <c r="E603" s="352"/>
      <c r="F603" s="352"/>
      <c r="G603" s="352"/>
      <c r="H603" s="352"/>
      <c r="I603" s="352"/>
      <c r="J603" s="352"/>
      <c r="K603" s="352"/>
      <c r="L603" s="352"/>
      <c r="M603" s="352"/>
      <c r="N603" s="352"/>
      <c r="O603" s="352"/>
      <c r="P603" s="352"/>
      <c r="Q603" s="352"/>
      <c r="R603" s="352"/>
      <c r="S603" s="352"/>
      <c r="T603" s="352"/>
      <c r="U603" s="352"/>
      <c r="V603" s="352"/>
    </row>
    <row r="604">
      <c r="A604" s="352"/>
      <c r="B604" s="352"/>
      <c r="C604" s="352"/>
      <c r="D604" s="352"/>
      <c r="E604" s="352"/>
      <c r="F604" s="352"/>
      <c r="G604" s="352"/>
      <c r="H604" s="352"/>
      <c r="I604" s="352"/>
      <c r="J604" s="352"/>
      <c r="K604" s="352"/>
      <c r="L604" s="352"/>
      <c r="M604" s="352"/>
      <c r="N604" s="352"/>
      <c r="O604" s="352"/>
      <c r="P604" s="352"/>
      <c r="Q604" s="352"/>
      <c r="R604" s="352"/>
      <c r="S604" s="352"/>
      <c r="T604" s="352"/>
      <c r="U604" s="352"/>
      <c r="V604" s="352"/>
    </row>
    <row r="605">
      <c r="A605" s="352"/>
      <c r="B605" s="352"/>
      <c r="C605" s="352"/>
      <c r="D605" s="352"/>
      <c r="E605" s="352"/>
      <c r="F605" s="352"/>
      <c r="G605" s="352"/>
      <c r="H605" s="352"/>
      <c r="I605" s="352"/>
      <c r="J605" s="352"/>
      <c r="K605" s="352"/>
      <c r="L605" s="352"/>
      <c r="M605" s="352"/>
      <c r="N605" s="352"/>
      <c r="O605" s="352"/>
      <c r="P605" s="352"/>
      <c r="Q605" s="352"/>
      <c r="R605" s="352"/>
      <c r="S605" s="352"/>
      <c r="T605" s="352"/>
      <c r="U605" s="352"/>
      <c r="V605" s="352"/>
    </row>
    <row r="606">
      <c r="A606" s="352"/>
      <c r="B606" s="352"/>
      <c r="C606" s="352"/>
      <c r="D606" s="352"/>
      <c r="E606" s="352"/>
      <c r="F606" s="352"/>
      <c r="G606" s="352"/>
      <c r="H606" s="352"/>
      <c r="I606" s="352"/>
      <c r="J606" s="352"/>
      <c r="K606" s="352"/>
      <c r="L606" s="352"/>
      <c r="M606" s="352"/>
      <c r="N606" s="352"/>
      <c r="O606" s="352"/>
      <c r="P606" s="352"/>
      <c r="Q606" s="352"/>
      <c r="R606" s="352"/>
      <c r="S606" s="352"/>
      <c r="T606" s="352"/>
      <c r="U606" s="352"/>
      <c r="V606" s="352"/>
    </row>
    <row r="607">
      <c r="A607" s="352"/>
      <c r="B607" s="352"/>
      <c r="C607" s="352"/>
      <c r="D607" s="352"/>
      <c r="E607" s="352"/>
      <c r="F607" s="352"/>
      <c r="G607" s="352"/>
      <c r="H607" s="352"/>
      <c r="I607" s="352"/>
      <c r="J607" s="352"/>
      <c r="K607" s="352"/>
      <c r="L607" s="352"/>
      <c r="M607" s="352"/>
      <c r="N607" s="352"/>
      <c r="O607" s="352"/>
      <c r="P607" s="352"/>
      <c r="Q607" s="352"/>
      <c r="R607" s="352"/>
      <c r="S607" s="352"/>
      <c r="T607" s="352"/>
      <c r="U607" s="352"/>
      <c r="V607" s="352"/>
    </row>
    <row r="608">
      <c r="A608" s="352"/>
      <c r="B608" s="352"/>
      <c r="C608" s="352"/>
      <c r="D608" s="352"/>
      <c r="E608" s="352"/>
      <c r="F608" s="352"/>
      <c r="G608" s="352"/>
      <c r="H608" s="352"/>
      <c r="I608" s="352"/>
      <c r="J608" s="352"/>
      <c r="K608" s="352"/>
      <c r="L608" s="352"/>
      <c r="M608" s="352"/>
      <c r="N608" s="352"/>
      <c r="O608" s="352"/>
      <c r="P608" s="352"/>
      <c r="Q608" s="352"/>
      <c r="R608" s="352"/>
      <c r="S608" s="352"/>
      <c r="T608" s="352"/>
      <c r="U608" s="352"/>
      <c r="V608" s="352"/>
    </row>
    <row r="609">
      <c r="A609" s="352"/>
      <c r="B609" s="352"/>
      <c r="C609" s="352"/>
      <c r="D609" s="352"/>
      <c r="E609" s="352"/>
      <c r="F609" s="352"/>
      <c r="G609" s="352"/>
      <c r="H609" s="352"/>
      <c r="I609" s="352"/>
      <c r="J609" s="352"/>
      <c r="K609" s="352"/>
      <c r="L609" s="352"/>
      <c r="M609" s="352"/>
      <c r="N609" s="352"/>
      <c r="O609" s="352"/>
      <c r="P609" s="352"/>
      <c r="Q609" s="352"/>
      <c r="R609" s="352"/>
      <c r="S609" s="352"/>
      <c r="T609" s="352"/>
      <c r="U609" s="352"/>
      <c r="V609" s="352"/>
    </row>
    <row r="610">
      <c r="A610" s="352"/>
      <c r="B610" s="352"/>
      <c r="C610" s="352"/>
      <c r="D610" s="352"/>
      <c r="E610" s="352"/>
      <c r="F610" s="352"/>
      <c r="G610" s="352"/>
      <c r="H610" s="352"/>
      <c r="I610" s="352"/>
      <c r="J610" s="352"/>
      <c r="K610" s="352"/>
      <c r="L610" s="352"/>
      <c r="M610" s="352"/>
      <c r="N610" s="352"/>
      <c r="O610" s="352"/>
      <c r="P610" s="352"/>
      <c r="Q610" s="352"/>
      <c r="R610" s="352"/>
      <c r="S610" s="352"/>
      <c r="T610" s="352"/>
      <c r="U610" s="352"/>
      <c r="V610" s="352"/>
    </row>
    <row r="611">
      <c r="A611" s="352"/>
      <c r="B611" s="352"/>
      <c r="C611" s="352"/>
      <c r="D611" s="352"/>
      <c r="E611" s="352"/>
      <c r="F611" s="352"/>
      <c r="G611" s="352"/>
      <c r="H611" s="352"/>
      <c r="I611" s="352"/>
      <c r="J611" s="352"/>
      <c r="K611" s="352"/>
      <c r="L611" s="352"/>
      <c r="M611" s="352"/>
      <c r="N611" s="352"/>
      <c r="O611" s="352"/>
      <c r="P611" s="352"/>
      <c r="Q611" s="352"/>
      <c r="R611" s="352"/>
      <c r="S611" s="352"/>
      <c r="T611" s="352"/>
      <c r="U611" s="352"/>
      <c r="V611" s="352"/>
    </row>
    <row r="612">
      <c r="A612" s="352"/>
      <c r="B612" s="352"/>
      <c r="C612" s="352"/>
      <c r="D612" s="352"/>
      <c r="E612" s="352"/>
      <c r="F612" s="352"/>
      <c r="G612" s="352"/>
      <c r="H612" s="352"/>
      <c r="I612" s="352"/>
      <c r="J612" s="352"/>
      <c r="K612" s="352"/>
      <c r="L612" s="352"/>
      <c r="M612" s="352"/>
      <c r="N612" s="352"/>
      <c r="O612" s="352"/>
      <c r="P612" s="352"/>
      <c r="Q612" s="352"/>
      <c r="R612" s="352"/>
      <c r="S612" s="352"/>
      <c r="T612" s="352"/>
      <c r="U612" s="352"/>
      <c r="V612" s="352"/>
    </row>
    <row r="613">
      <c r="A613" s="352"/>
      <c r="B613" s="352"/>
      <c r="C613" s="352"/>
      <c r="D613" s="352"/>
      <c r="E613" s="352"/>
      <c r="F613" s="352"/>
      <c r="G613" s="352"/>
      <c r="H613" s="352"/>
      <c r="I613" s="352"/>
      <c r="J613" s="352"/>
      <c r="K613" s="352"/>
      <c r="L613" s="352"/>
      <c r="M613" s="352"/>
      <c r="N613" s="352"/>
      <c r="O613" s="352"/>
      <c r="P613" s="352"/>
      <c r="Q613" s="352"/>
      <c r="R613" s="352"/>
      <c r="S613" s="352"/>
      <c r="T613" s="352"/>
      <c r="U613" s="352"/>
      <c r="V613" s="352"/>
    </row>
    <row r="614">
      <c r="A614" s="352"/>
      <c r="B614" s="352"/>
      <c r="C614" s="352"/>
      <c r="D614" s="352"/>
      <c r="E614" s="352"/>
      <c r="F614" s="352"/>
      <c r="G614" s="352"/>
      <c r="H614" s="352"/>
      <c r="I614" s="352"/>
      <c r="J614" s="352"/>
      <c r="K614" s="352"/>
      <c r="L614" s="352"/>
      <c r="M614" s="352"/>
      <c r="N614" s="352"/>
      <c r="O614" s="352"/>
      <c r="P614" s="352"/>
      <c r="Q614" s="352"/>
      <c r="R614" s="352"/>
      <c r="S614" s="352"/>
      <c r="T614" s="352"/>
      <c r="U614" s="352"/>
      <c r="V614" s="352"/>
    </row>
    <row r="615">
      <c r="A615" s="352"/>
      <c r="B615" s="352"/>
      <c r="C615" s="352"/>
      <c r="D615" s="352"/>
      <c r="E615" s="352"/>
      <c r="F615" s="352"/>
      <c r="G615" s="352"/>
      <c r="H615" s="352"/>
      <c r="I615" s="352"/>
      <c r="J615" s="352"/>
      <c r="K615" s="352"/>
      <c r="L615" s="352"/>
      <c r="M615" s="352"/>
      <c r="N615" s="352"/>
      <c r="O615" s="352"/>
      <c r="P615" s="352"/>
      <c r="Q615" s="352"/>
      <c r="R615" s="352"/>
      <c r="S615" s="352"/>
      <c r="T615" s="352"/>
      <c r="U615" s="352"/>
      <c r="V615" s="352"/>
    </row>
    <row r="616">
      <c r="A616" s="352"/>
      <c r="B616" s="352"/>
      <c r="C616" s="352"/>
      <c r="D616" s="352"/>
      <c r="E616" s="352"/>
      <c r="F616" s="352"/>
      <c r="G616" s="352"/>
      <c r="H616" s="352"/>
      <c r="I616" s="352"/>
      <c r="J616" s="352"/>
      <c r="K616" s="352"/>
      <c r="L616" s="352"/>
      <c r="M616" s="352"/>
      <c r="N616" s="352"/>
      <c r="O616" s="352"/>
      <c r="P616" s="352"/>
      <c r="Q616" s="352"/>
      <c r="R616" s="352"/>
      <c r="S616" s="352"/>
      <c r="T616" s="352"/>
      <c r="U616" s="352"/>
      <c r="V616" s="352"/>
    </row>
    <row r="617">
      <c r="A617" s="352"/>
      <c r="B617" s="352"/>
      <c r="C617" s="352"/>
      <c r="D617" s="352"/>
      <c r="E617" s="352"/>
      <c r="F617" s="352"/>
      <c r="G617" s="352"/>
      <c r="H617" s="352"/>
      <c r="I617" s="352"/>
      <c r="J617" s="352"/>
      <c r="K617" s="352"/>
      <c r="L617" s="352"/>
      <c r="M617" s="352"/>
      <c r="N617" s="352"/>
      <c r="O617" s="352"/>
      <c r="P617" s="352"/>
      <c r="Q617" s="352"/>
      <c r="R617" s="352"/>
      <c r="S617" s="352"/>
      <c r="T617" s="352"/>
      <c r="U617" s="352"/>
      <c r="V617" s="352"/>
    </row>
    <row r="618">
      <c r="A618" s="352"/>
      <c r="B618" s="352"/>
      <c r="C618" s="352"/>
      <c r="D618" s="352"/>
      <c r="E618" s="352"/>
      <c r="F618" s="352"/>
      <c r="G618" s="352"/>
      <c r="H618" s="352"/>
      <c r="I618" s="352"/>
      <c r="J618" s="352"/>
      <c r="K618" s="352"/>
      <c r="L618" s="352"/>
      <c r="M618" s="352"/>
      <c r="N618" s="352"/>
      <c r="O618" s="352"/>
      <c r="P618" s="352"/>
      <c r="Q618" s="352"/>
      <c r="R618" s="352"/>
      <c r="S618" s="352"/>
      <c r="T618" s="352"/>
      <c r="U618" s="352"/>
      <c r="V618" s="352"/>
    </row>
    <row r="619">
      <c r="A619" s="352"/>
      <c r="B619" s="352"/>
      <c r="C619" s="352"/>
      <c r="D619" s="352"/>
      <c r="E619" s="352"/>
      <c r="F619" s="352"/>
      <c r="G619" s="352"/>
      <c r="H619" s="352"/>
      <c r="I619" s="352"/>
      <c r="J619" s="352"/>
      <c r="K619" s="352"/>
      <c r="L619" s="352"/>
      <c r="M619" s="352"/>
      <c r="N619" s="352"/>
      <c r="O619" s="352"/>
      <c r="P619" s="352"/>
      <c r="Q619" s="352"/>
      <c r="R619" s="352"/>
      <c r="S619" s="352"/>
      <c r="T619" s="352"/>
      <c r="U619" s="352"/>
      <c r="V619" s="352"/>
    </row>
    <row r="620">
      <c r="A620" s="352"/>
      <c r="B620" s="352"/>
      <c r="C620" s="352"/>
      <c r="D620" s="352"/>
      <c r="E620" s="352"/>
      <c r="F620" s="352"/>
      <c r="G620" s="352"/>
      <c r="H620" s="352"/>
      <c r="I620" s="352"/>
      <c r="J620" s="352"/>
      <c r="K620" s="352"/>
      <c r="L620" s="352"/>
      <c r="M620" s="352"/>
      <c r="N620" s="352"/>
      <c r="O620" s="352"/>
      <c r="P620" s="352"/>
      <c r="Q620" s="352"/>
      <c r="R620" s="352"/>
      <c r="S620" s="352"/>
      <c r="T620" s="352"/>
      <c r="U620" s="352"/>
      <c r="V620" s="352"/>
    </row>
    <row r="621">
      <c r="A621" s="352"/>
      <c r="B621" s="352"/>
      <c r="C621" s="352"/>
      <c r="D621" s="352"/>
      <c r="E621" s="352"/>
      <c r="F621" s="352"/>
      <c r="G621" s="352"/>
      <c r="H621" s="352"/>
      <c r="I621" s="352"/>
      <c r="J621" s="352"/>
      <c r="K621" s="352"/>
      <c r="L621" s="352"/>
      <c r="M621" s="352"/>
      <c r="N621" s="352"/>
      <c r="O621" s="352"/>
      <c r="P621" s="352"/>
      <c r="Q621" s="352"/>
      <c r="R621" s="352"/>
      <c r="S621" s="352"/>
      <c r="T621" s="352"/>
      <c r="U621" s="352"/>
      <c r="V621" s="352"/>
    </row>
    <row r="622">
      <c r="A622" s="352"/>
      <c r="B622" s="352"/>
      <c r="C622" s="352"/>
      <c r="D622" s="352"/>
      <c r="E622" s="352"/>
      <c r="F622" s="352"/>
      <c r="G622" s="352"/>
      <c r="H622" s="352"/>
      <c r="I622" s="352"/>
      <c r="J622" s="352"/>
      <c r="K622" s="352"/>
      <c r="L622" s="352"/>
      <c r="M622" s="352"/>
      <c r="N622" s="352"/>
      <c r="O622" s="352"/>
      <c r="P622" s="352"/>
      <c r="Q622" s="352"/>
      <c r="R622" s="352"/>
      <c r="S622" s="352"/>
      <c r="T622" s="352"/>
      <c r="U622" s="352"/>
      <c r="V622" s="352"/>
    </row>
    <row r="623">
      <c r="A623" s="352"/>
      <c r="B623" s="352"/>
      <c r="C623" s="352"/>
      <c r="D623" s="352"/>
      <c r="E623" s="352"/>
      <c r="F623" s="352"/>
      <c r="G623" s="352"/>
      <c r="H623" s="352"/>
      <c r="I623" s="352"/>
      <c r="J623" s="352"/>
      <c r="K623" s="352"/>
      <c r="L623" s="352"/>
      <c r="M623" s="352"/>
      <c r="N623" s="352"/>
      <c r="O623" s="352"/>
      <c r="P623" s="352"/>
      <c r="Q623" s="352"/>
      <c r="R623" s="352"/>
      <c r="S623" s="352"/>
      <c r="T623" s="352"/>
      <c r="U623" s="352"/>
      <c r="V623" s="352"/>
    </row>
    <row r="624">
      <c r="A624" s="352"/>
      <c r="B624" s="352"/>
      <c r="C624" s="352"/>
      <c r="D624" s="352"/>
      <c r="E624" s="352"/>
      <c r="F624" s="352"/>
      <c r="G624" s="352"/>
      <c r="H624" s="352"/>
      <c r="I624" s="352"/>
      <c r="J624" s="352"/>
      <c r="K624" s="352"/>
      <c r="L624" s="352"/>
      <c r="M624" s="352"/>
      <c r="N624" s="352"/>
      <c r="O624" s="352"/>
      <c r="P624" s="352"/>
      <c r="Q624" s="352"/>
      <c r="R624" s="352"/>
      <c r="S624" s="352"/>
      <c r="T624" s="352"/>
      <c r="U624" s="352"/>
      <c r="V624" s="352"/>
    </row>
    <row r="625">
      <c r="A625" s="352"/>
      <c r="B625" s="352"/>
      <c r="C625" s="352"/>
      <c r="D625" s="352"/>
      <c r="E625" s="352"/>
      <c r="F625" s="352"/>
      <c r="G625" s="352"/>
      <c r="H625" s="352"/>
      <c r="I625" s="352"/>
      <c r="J625" s="352"/>
      <c r="K625" s="352"/>
      <c r="L625" s="352"/>
      <c r="M625" s="352"/>
      <c r="N625" s="352"/>
      <c r="O625" s="352"/>
      <c r="P625" s="352"/>
      <c r="Q625" s="352"/>
      <c r="R625" s="352"/>
      <c r="S625" s="352"/>
      <c r="T625" s="352"/>
      <c r="U625" s="352"/>
      <c r="V625" s="352"/>
    </row>
    <row r="626">
      <c r="A626" s="352"/>
      <c r="B626" s="352"/>
      <c r="C626" s="352"/>
      <c r="D626" s="352"/>
      <c r="E626" s="352"/>
      <c r="F626" s="352"/>
      <c r="G626" s="352"/>
      <c r="H626" s="352"/>
      <c r="I626" s="352"/>
      <c r="J626" s="352"/>
      <c r="K626" s="352"/>
      <c r="L626" s="352"/>
      <c r="M626" s="352"/>
      <c r="N626" s="352"/>
      <c r="O626" s="352"/>
      <c r="P626" s="352"/>
      <c r="Q626" s="352"/>
      <c r="R626" s="352"/>
      <c r="S626" s="352"/>
      <c r="T626" s="352"/>
      <c r="U626" s="352"/>
      <c r="V626" s="352"/>
    </row>
    <row r="627">
      <c r="A627" s="352"/>
      <c r="B627" s="352"/>
      <c r="C627" s="352"/>
      <c r="D627" s="352"/>
      <c r="E627" s="352"/>
      <c r="F627" s="352"/>
      <c r="G627" s="352"/>
      <c r="H627" s="352"/>
      <c r="I627" s="352"/>
      <c r="J627" s="352"/>
      <c r="K627" s="352"/>
      <c r="L627" s="352"/>
      <c r="M627" s="352"/>
      <c r="N627" s="352"/>
      <c r="O627" s="352"/>
      <c r="P627" s="352"/>
      <c r="Q627" s="352"/>
      <c r="R627" s="352"/>
      <c r="S627" s="352"/>
      <c r="T627" s="352"/>
      <c r="U627" s="352"/>
      <c r="V627" s="352"/>
    </row>
    <row r="628">
      <c r="A628" s="352"/>
      <c r="B628" s="352"/>
      <c r="C628" s="352"/>
      <c r="D628" s="352"/>
      <c r="E628" s="352"/>
      <c r="F628" s="352"/>
      <c r="G628" s="352"/>
      <c r="H628" s="352"/>
      <c r="I628" s="352"/>
      <c r="J628" s="352"/>
      <c r="K628" s="352"/>
      <c r="L628" s="352"/>
      <c r="M628" s="352"/>
      <c r="N628" s="352"/>
      <c r="O628" s="352"/>
      <c r="P628" s="352"/>
      <c r="Q628" s="352"/>
      <c r="R628" s="352"/>
      <c r="S628" s="352"/>
      <c r="T628" s="352"/>
      <c r="U628" s="352"/>
      <c r="V628" s="352"/>
    </row>
    <row r="629">
      <c r="A629" s="352"/>
      <c r="B629" s="352"/>
      <c r="C629" s="352"/>
      <c r="D629" s="352"/>
      <c r="E629" s="352"/>
      <c r="F629" s="352"/>
      <c r="G629" s="352"/>
      <c r="H629" s="352"/>
      <c r="I629" s="352"/>
      <c r="J629" s="352"/>
      <c r="K629" s="352"/>
      <c r="L629" s="352"/>
      <c r="M629" s="352"/>
      <c r="N629" s="352"/>
      <c r="O629" s="352"/>
      <c r="P629" s="352"/>
      <c r="Q629" s="352"/>
      <c r="R629" s="352"/>
      <c r="S629" s="352"/>
      <c r="T629" s="352"/>
      <c r="U629" s="352"/>
      <c r="V629" s="352"/>
    </row>
    <row r="630">
      <c r="A630" s="352"/>
      <c r="B630" s="352"/>
      <c r="C630" s="352"/>
      <c r="D630" s="352"/>
      <c r="E630" s="352"/>
      <c r="F630" s="352"/>
      <c r="G630" s="352"/>
      <c r="H630" s="352"/>
      <c r="I630" s="352"/>
      <c r="J630" s="352"/>
      <c r="K630" s="352"/>
      <c r="L630" s="352"/>
      <c r="M630" s="352"/>
      <c r="N630" s="352"/>
      <c r="O630" s="352"/>
      <c r="P630" s="352"/>
      <c r="Q630" s="352"/>
      <c r="R630" s="352"/>
      <c r="S630" s="352"/>
      <c r="T630" s="352"/>
      <c r="U630" s="352"/>
      <c r="V630" s="352"/>
    </row>
    <row r="631">
      <c r="A631" s="352"/>
      <c r="B631" s="352"/>
      <c r="C631" s="352"/>
      <c r="D631" s="352"/>
      <c r="E631" s="352"/>
      <c r="F631" s="352"/>
      <c r="G631" s="352"/>
      <c r="H631" s="352"/>
      <c r="I631" s="352"/>
      <c r="J631" s="352"/>
      <c r="K631" s="352"/>
      <c r="L631" s="352"/>
      <c r="M631" s="352"/>
      <c r="N631" s="352"/>
      <c r="O631" s="352"/>
      <c r="P631" s="352"/>
      <c r="Q631" s="352"/>
      <c r="R631" s="352"/>
      <c r="S631" s="352"/>
      <c r="T631" s="352"/>
      <c r="U631" s="352"/>
      <c r="V631" s="352"/>
    </row>
    <row r="632">
      <c r="A632" s="352"/>
      <c r="B632" s="352"/>
      <c r="C632" s="352"/>
      <c r="D632" s="352"/>
      <c r="E632" s="352"/>
      <c r="F632" s="352"/>
      <c r="G632" s="352"/>
      <c r="H632" s="352"/>
      <c r="I632" s="352"/>
      <c r="J632" s="352"/>
      <c r="K632" s="352"/>
      <c r="L632" s="352"/>
      <c r="M632" s="352"/>
      <c r="N632" s="352"/>
      <c r="O632" s="352"/>
      <c r="P632" s="352"/>
      <c r="Q632" s="352"/>
      <c r="R632" s="352"/>
      <c r="S632" s="352"/>
      <c r="T632" s="352"/>
      <c r="U632" s="352"/>
      <c r="V632" s="352"/>
    </row>
    <row r="633">
      <c r="A633" s="352"/>
      <c r="B633" s="352"/>
      <c r="C633" s="352"/>
      <c r="D633" s="352"/>
      <c r="E633" s="352"/>
      <c r="F633" s="352"/>
      <c r="G633" s="352"/>
      <c r="H633" s="352"/>
      <c r="I633" s="352"/>
      <c r="J633" s="352"/>
      <c r="K633" s="352"/>
      <c r="L633" s="352"/>
      <c r="M633" s="352"/>
      <c r="N633" s="352"/>
      <c r="O633" s="352"/>
      <c r="P633" s="352"/>
      <c r="Q633" s="352"/>
      <c r="R633" s="352"/>
      <c r="S633" s="352"/>
      <c r="T633" s="352"/>
      <c r="U633" s="352"/>
      <c r="V633" s="352"/>
    </row>
    <row r="634">
      <c r="A634" s="352"/>
      <c r="B634" s="352"/>
      <c r="C634" s="352"/>
      <c r="D634" s="352"/>
      <c r="E634" s="352"/>
      <c r="F634" s="352"/>
      <c r="G634" s="352"/>
      <c r="H634" s="352"/>
      <c r="I634" s="352"/>
      <c r="J634" s="352"/>
      <c r="K634" s="352"/>
      <c r="L634" s="352"/>
      <c r="M634" s="352"/>
      <c r="N634" s="352"/>
      <c r="O634" s="352"/>
      <c r="P634" s="352"/>
      <c r="Q634" s="352"/>
      <c r="R634" s="352"/>
      <c r="S634" s="352"/>
      <c r="T634" s="352"/>
      <c r="U634" s="352"/>
      <c r="V634" s="352"/>
    </row>
    <row r="635">
      <c r="A635" s="352"/>
      <c r="B635" s="352"/>
      <c r="C635" s="352"/>
      <c r="D635" s="352"/>
      <c r="E635" s="352"/>
      <c r="F635" s="352"/>
      <c r="G635" s="352"/>
      <c r="H635" s="352"/>
      <c r="I635" s="352"/>
      <c r="J635" s="352"/>
      <c r="K635" s="352"/>
      <c r="L635" s="352"/>
      <c r="M635" s="352"/>
      <c r="N635" s="352"/>
      <c r="O635" s="352"/>
      <c r="P635" s="352"/>
      <c r="Q635" s="352"/>
      <c r="R635" s="352"/>
      <c r="S635" s="352"/>
      <c r="T635" s="352"/>
      <c r="U635" s="352"/>
      <c r="V635" s="352"/>
    </row>
    <row r="636">
      <c r="A636" s="352"/>
      <c r="B636" s="352"/>
      <c r="C636" s="352"/>
      <c r="D636" s="352"/>
      <c r="E636" s="352"/>
      <c r="F636" s="352"/>
      <c r="G636" s="352"/>
      <c r="H636" s="352"/>
      <c r="I636" s="352"/>
      <c r="J636" s="352"/>
      <c r="K636" s="352"/>
      <c r="L636" s="352"/>
      <c r="M636" s="352"/>
      <c r="N636" s="352"/>
      <c r="O636" s="352"/>
      <c r="P636" s="352"/>
      <c r="Q636" s="352"/>
      <c r="R636" s="352"/>
      <c r="S636" s="352"/>
      <c r="T636" s="352"/>
      <c r="U636" s="352"/>
      <c r="V636" s="352"/>
    </row>
    <row r="637">
      <c r="A637" s="352"/>
      <c r="B637" s="352"/>
      <c r="C637" s="352"/>
      <c r="D637" s="352"/>
      <c r="E637" s="352"/>
      <c r="F637" s="352"/>
      <c r="G637" s="352"/>
      <c r="H637" s="352"/>
      <c r="I637" s="352"/>
      <c r="J637" s="352"/>
      <c r="K637" s="352"/>
      <c r="L637" s="352"/>
      <c r="M637" s="352"/>
      <c r="N637" s="352"/>
      <c r="O637" s="352"/>
      <c r="P637" s="352"/>
      <c r="Q637" s="352"/>
      <c r="R637" s="352"/>
      <c r="S637" s="352"/>
      <c r="T637" s="352"/>
      <c r="U637" s="352"/>
      <c r="V637" s="352"/>
    </row>
    <row r="638">
      <c r="A638" s="352"/>
      <c r="B638" s="352"/>
      <c r="C638" s="352"/>
      <c r="D638" s="352"/>
      <c r="E638" s="352"/>
      <c r="F638" s="352"/>
      <c r="G638" s="352"/>
      <c r="H638" s="352"/>
      <c r="I638" s="352"/>
      <c r="J638" s="352"/>
      <c r="K638" s="352"/>
      <c r="L638" s="352"/>
      <c r="M638" s="352"/>
      <c r="N638" s="352"/>
      <c r="O638" s="352"/>
      <c r="P638" s="352"/>
      <c r="Q638" s="352"/>
      <c r="R638" s="352"/>
      <c r="S638" s="352"/>
      <c r="T638" s="352"/>
      <c r="U638" s="352"/>
      <c r="V638" s="352"/>
    </row>
    <row r="639">
      <c r="A639" s="352"/>
      <c r="B639" s="352"/>
      <c r="C639" s="352"/>
      <c r="D639" s="352"/>
      <c r="E639" s="352"/>
      <c r="F639" s="352"/>
      <c r="G639" s="352"/>
      <c r="H639" s="352"/>
      <c r="I639" s="352"/>
      <c r="J639" s="352"/>
      <c r="K639" s="352"/>
      <c r="L639" s="352"/>
      <c r="M639" s="352"/>
      <c r="N639" s="352"/>
      <c r="O639" s="352"/>
      <c r="P639" s="352"/>
      <c r="Q639" s="352"/>
      <c r="R639" s="352"/>
      <c r="S639" s="352"/>
      <c r="T639" s="352"/>
      <c r="U639" s="352"/>
      <c r="V639" s="352"/>
    </row>
    <row r="640">
      <c r="A640" s="352"/>
      <c r="B640" s="352"/>
      <c r="C640" s="352"/>
      <c r="D640" s="352"/>
      <c r="E640" s="352"/>
      <c r="F640" s="352"/>
      <c r="G640" s="352"/>
      <c r="H640" s="352"/>
      <c r="I640" s="352"/>
      <c r="J640" s="352"/>
      <c r="K640" s="352"/>
      <c r="L640" s="352"/>
      <c r="M640" s="352"/>
      <c r="N640" s="352"/>
      <c r="O640" s="352"/>
      <c r="P640" s="352"/>
      <c r="Q640" s="352"/>
      <c r="R640" s="352"/>
      <c r="S640" s="352"/>
      <c r="T640" s="352"/>
      <c r="U640" s="352"/>
      <c r="V640" s="352"/>
    </row>
    <row r="641">
      <c r="A641" s="352"/>
      <c r="B641" s="352"/>
      <c r="C641" s="352"/>
      <c r="D641" s="352"/>
      <c r="E641" s="352"/>
      <c r="F641" s="352"/>
      <c r="G641" s="352"/>
      <c r="H641" s="352"/>
      <c r="I641" s="352"/>
      <c r="J641" s="352"/>
      <c r="K641" s="352"/>
      <c r="L641" s="352"/>
      <c r="M641" s="352"/>
      <c r="N641" s="352"/>
      <c r="O641" s="352"/>
      <c r="P641" s="352"/>
      <c r="Q641" s="352"/>
      <c r="R641" s="352"/>
      <c r="S641" s="352"/>
      <c r="T641" s="352"/>
      <c r="U641" s="352"/>
      <c r="V641" s="352"/>
    </row>
    <row r="642">
      <c r="A642" s="352"/>
      <c r="B642" s="352"/>
      <c r="C642" s="352"/>
      <c r="D642" s="352"/>
      <c r="E642" s="352"/>
      <c r="F642" s="352"/>
      <c r="G642" s="352"/>
      <c r="H642" s="352"/>
      <c r="I642" s="352"/>
      <c r="J642" s="352"/>
      <c r="K642" s="352"/>
      <c r="L642" s="352"/>
      <c r="M642" s="352"/>
      <c r="N642" s="352"/>
      <c r="O642" s="352"/>
      <c r="P642" s="352"/>
      <c r="Q642" s="352"/>
      <c r="R642" s="352"/>
      <c r="S642" s="352"/>
      <c r="T642" s="352"/>
      <c r="U642" s="352"/>
      <c r="V642" s="352"/>
    </row>
    <row r="643">
      <c r="A643" s="352"/>
      <c r="B643" s="352"/>
      <c r="C643" s="352"/>
      <c r="D643" s="352"/>
      <c r="E643" s="352"/>
      <c r="F643" s="352"/>
      <c r="G643" s="352"/>
      <c r="H643" s="352"/>
      <c r="I643" s="352"/>
      <c r="J643" s="352"/>
      <c r="K643" s="352"/>
      <c r="L643" s="352"/>
      <c r="M643" s="352"/>
      <c r="N643" s="352"/>
      <c r="O643" s="352"/>
      <c r="P643" s="352"/>
      <c r="Q643" s="352"/>
      <c r="R643" s="352"/>
      <c r="S643" s="352"/>
      <c r="T643" s="352"/>
      <c r="U643" s="352"/>
      <c r="V643" s="352"/>
    </row>
    <row r="644">
      <c r="A644" s="352"/>
      <c r="B644" s="352"/>
      <c r="C644" s="352"/>
      <c r="D644" s="352"/>
      <c r="E644" s="352"/>
      <c r="F644" s="352"/>
      <c r="G644" s="352"/>
      <c r="H644" s="352"/>
      <c r="I644" s="352"/>
      <c r="J644" s="352"/>
      <c r="K644" s="352"/>
      <c r="L644" s="352"/>
      <c r="M644" s="352"/>
      <c r="N644" s="352"/>
      <c r="O644" s="352"/>
      <c r="P644" s="352"/>
      <c r="Q644" s="352"/>
      <c r="R644" s="352"/>
      <c r="S644" s="352"/>
      <c r="T644" s="352"/>
      <c r="U644" s="352"/>
      <c r="V644" s="352"/>
    </row>
    <row r="645">
      <c r="A645" s="352"/>
      <c r="B645" s="352"/>
      <c r="C645" s="352"/>
      <c r="D645" s="352"/>
      <c r="E645" s="352"/>
      <c r="F645" s="352"/>
      <c r="G645" s="352"/>
      <c r="H645" s="352"/>
      <c r="I645" s="352"/>
      <c r="J645" s="352"/>
      <c r="K645" s="352"/>
      <c r="L645" s="352"/>
      <c r="M645" s="352"/>
      <c r="N645" s="352"/>
      <c r="O645" s="352"/>
      <c r="P645" s="352"/>
      <c r="Q645" s="352"/>
      <c r="R645" s="352"/>
      <c r="S645" s="352"/>
      <c r="T645" s="352"/>
      <c r="U645" s="352"/>
      <c r="V645" s="352"/>
    </row>
    <row r="646">
      <c r="A646" s="352"/>
      <c r="B646" s="352"/>
      <c r="C646" s="352"/>
      <c r="D646" s="352"/>
      <c r="E646" s="352"/>
      <c r="F646" s="352"/>
      <c r="G646" s="352"/>
      <c r="H646" s="352"/>
      <c r="I646" s="352"/>
      <c r="J646" s="352"/>
      <c r="K646" s="352"/>
      <c r="L646" s="352"/>
      <c r="M646" s="352"/>
      <c r="N646" s="352"/>
      <c r="O646" s="352"/>
      <c r="P646" s="352"/>
      <c r="Q646" s="352"/>
      <c r="R646" s="352"/>
      <c r="S646" s="352"/>
      <c r="T646" s="352"/>
      <c r="U646" s="352"/>
      <c r="V646" s="352"/>
    </row>
    <row r="647">
      <c r="A647" s="352"/>
      <c r="B647" s="352"/>
      <c r="C647" s="352"/>
      <c r="D647" s="352"/>
      <c r="E647" s="352"/>
      <c r="F647" s="352"/>
      <c r="G647" s="352"/>
      <c r="H647" s="352"/>
      <c r="I647" s="352"/>
      <c r="J647" s="352"/>
      <c r="K647" s="352"/>
      <c r="L647" s="352"/>
      <c r="M647" s="352"/>
      <c r="N647" s="352"/>
      <c r="O647" s="352"/>
      <c r="P647" s="352"/>
      <c r="Q647" s="352"/>
      <c r="R647" s="352"/>
      <c r="S647" s="352"/>
      <c r="T647" s="352"/>
      <c r="U647" s="352"/>
      <c r="V647" s="352"/>
    </row>
    <row r="648">
      <c r="A648" s="352"/>
      <c r="B648" s="352"/>
      <c r="C648" s="352"/>
      <c r="D648" s="352"/>
      <c r="E648" s="352"/>
      <c r="F648" s="352"/>
      <c r="G648" s="352"/>
      <c r="H648" s="352"/>
      <c r="I648" s="352"/>
      <c r="J648" s="352"/>
      <c r="K648" s="352"/>
      <c r="L648" s="352"/>
      <c r="M648" s="352"/>
      <c r="N648" s="352"/>
      <c r="O648" s="352"/>
      <c r="P648" s="352"/>
      <c r="Q648" s="352"/>
      <c r="R648" s="352"/>
      <c r="S648" s="352"/>
      <c r="T648" s="352"/>
      <c r="U648" s="352"/>
      <c r="V648" s="352"/>
    </row>
    <row r="649">
      <c r="A649" s="352"/>
      <c r="B649" s="352"/>
      <c r="C649" s="352"/>
      <c r="D649" s="352"/>
      <c r="E649" s="352"/>
      <c r="F649" s="352"/>
      <c r="G649" s="352"/>
      <c r="H649" s="352"/>
      <c r="I649" s="352"/>
      <c r="J649" s="352"/>
      <c r="K649" s="352"/>
      <c r="L649" s="352"/>
      <c r="M649" s="352"/>
      <c r="N649" s="352"/>
      <c r="O649" s="352"/>
      <c r="P649" s="352"/>
      <c r="Q649" s="352"/>
      <c r="R649" s="352"/>
      <c r="S649" s="352"/>
      <c r="T649" s="352"/>
      <c r="U649" s="352"/>
      <c r="V649" s="352"/>
    </row>
    <row r="650">
      <c r="A650" s="352"/>
      <c r="B650" s="352"/>
      <c r="C650" s="352"/>
      <c r="D650" s="352"/>
      <c r="E650" s="352"/>
      <c r="F650" s="352"/>
      <c r="G650" s="352"/>
      <c r="H650" s="352"/>
      <c r="I650" s="352"/>
      <c r="J650" s="352"/>
      <c r="K650" s="352"/>
      <c r="L650" s="352"/>
      <c r="M650" s="352"/>
      <c r="N650" s="352"/>
      <c r="O650" s="352"/>
      <c r="P650" s="352"/>
      <c r="Q650" s="352"/>
      <c r="R650" s="352"/>
      <c r="S650" s="352"/>
      <c r="T650" s="352"/>
      <c r="U650" s="352"/>
      <c r="V650" s="352"/>
    </row>
    <row r="651">
      <c r="A651" s="352"/>
      <c r="B651" s="352"/>
      <c r="C651" s="352"/>
      <c r="D651" s="352"/>
      <c r="E651" s="352"/>
      <c r="F651" s="352"/>
      <c r="G651" s="352"/>
      <c r="H651" s="352"/>
      <c r="I651" s="352"/>
      <c r="J651" s="352"/>
      <c r="K651" s="352"/>
      <c r="L651" s="352"/>
      <c r="M651" s="352"/>
      <c r="N651" s="352"/>
      <c r="O651" s="352"/>
      <c r="P651" s="352"/>
      <c r="Q651" s="352"/>
      <c r="R651" s="352"/>
      <c r="S651" s="352"/>
      <c r="T651" s="352"/>
      <c r="U651" s="352"/>
      <c r="V651" s="352"/>
    </row>
    <row r="652">
      <c r="A652" s="352"/>
      <c r="B652" s="352"/>
      <c r="C652" s="352"/>
      <c r="D652" s="352"/>
      <c r="E652" s="352"/>
      <c r="F652" s="352"/>
      <c r="G652" s="352"/>
      <c r="H652" s="352"/>
      <c r="I652" s="352"/>
      <c r="J652" s="352"/>
      <c r="K652" s="352"/>
      <c r="L652" s="352"/>
      <c r="M652" s="352"/>
      <c r="N652" s="352"/>
      <c r="O652" s="352"/>
      <c r="P652" s="352"/>
      <c r="Q652" s="352"/>
      <c r="R652" s="352"/>
      <c r="S652" s="352"/>
      <c r="T652" s="352"/>
      <c r="U652" s="352"/>
      <c r="V652" s="352"/>
    </row>
    <row r="653">
      <c r="A653" s="352"/>
      <c r="B653" s="352"/>
      <c r="C653" s="352"/>
      <c r="D653" s="352"/>
      <c r="E653" s="352"/>
      <c r="F653" s="352"/>
      <c r="G653" s="352"/>
      <c r="H653" s="352"/>
      <c r="I653" s="352"/>
      <c r="J653" s="352"/>
      <c r="K653" s="352"/>
      <c r="L653" s="352"/>
      <c r="M653" s="352"/>
      <c r="N653" s="352"/>
      <c r="O653" s="352"/>
      <c r="P653" s="352"/>
      <c r="Q653" s="352"/>
      <c r="R653" s="352"/>
      <c r="S653" s="352"/>
      <c r="T653" s="352"/>
      <c r="U653" s="352"/>
      <c r="V653" s="352"/>
    </row>
    <row r="654">
      <c r="A654" s="352"/>
      <c r="B654" s="352"/>
      <c r="C654" s="352"/>
      <c r="D654" s="352"/>
      <c r="E654" s="352"/>
      <c r="F654" s="352"/>
      <c r="G654" s="352"/>
      <c r="H654" s="352"/>
      <c r="I654" s="352"/>
      <c r="J654" s="352"/>
      <c r="K654" s="352"/>
      <c r="L654" s="352"/>
      <c r="M654" s="352"/>
      <c r="N654" s="352"/>
      <c r="O654" s="352"/>
      <c r="P654" s="352"/>
      <c r="Q654" s="352"/>
      <c r="R654" s="352"/>
      <c r="S654" s="352"/>
      <c r="T654" s="352"/>
      <c r="U654" s="352"/>
      <c r="V654" s="352"/>
    </row>
    <row r="655">
      <c r="A655" s="352"/>
      <c r="B655" s="352"/>
      <c r="C655" s="352"/>
      <c r="D655" s="352"/>
      <c r="E655" s="352"/>
      <c r="F655" s="352"/>
      <c r="G655" s="352"/>
      <c r="H655" s="352"/>
      <c r="I655" s="352"/>
      <c r="J655" s="352"/>
      <c r="K655" s="352"/>
      <c r="L655" s="352"/>
      <c r="M655" s="352"/>
      <c r="N655" s="352"/>
      <c r="O655" s="352"/>
      <c r="P655" s="352"/>
      <c r="Q655" s="352"/>
      <c r="R655" s="352"/>
      <c r="S655" s="352"/>
      <c r="T655" s="352"/>
      <c r="U655" s="352"/>
      <c r="V655" s="352"/>
    </row>
    <row r="656">
      <c r="A656" s="352"/>
      <c r="B656" s="352"/>
      <c r="C656" s="352"/>
      <c r="D656" s="352"/>
      <c r="E656" s="352"/>
      <c r="F656" s="352"/>
      <c r="G656" s="352"/>
      <c r="H656" s="352"/>
      <c r="I656" s="352"/>
      <c r="J656" s="352"/>
      <c r="K656" s="352"/>
      <c r="L656" s="352"/>
      <c r="M656" s="352"/>
      <c r="N656" s="352"/>
      <c r="O656" s="352"/>
      <c r="P656" s="352"/>
      <c r="Q656" s="352"/>
      <c r="R656" s="352"/>
      <c r="S656" s="352"/>
      <c r="T656" s="352"/>
      <c r="U656" s="352"/>
      <c r="V656" s="352"/>
    </row>
    <row r="657">
      <c r="A657" s="352"/>
      <c r="B657" s="352"/>
      <c r="C657" s="352"/>
      <c r="D657" s="352"/>
      <c r="E657" s="352"/>
      <c r="F657" s="352"/>
      <c r="G657" s="352"/>
      <c r="H657" s="352"/>
      <c r="I657" s="352"/>
      <c r="J657" s="352"/>
      <c r="K657" s="352"/>
      <c r="L657" s="352"/>
      <c r="M657" s="352"/>
      <c r="N657" s="352"/>
      <c r="O657" s="352"/>
      <c r="P657" s="352"/>
      <c r="Q657" s="352"/>
      <c r="R657" s="352"/>
      <c r="S657" s="352"/>
      <c r="T657" s="352"/>
      <c r="U657" s="352"/>
      <c r="V657" s="352"/>
    </row>
    <row r="658">
      <c r="A658" s="352"/>
      <c r="B658" s="352"/>
      <c r="C658" s="352"/>
      <c r="D658" s="352"/>
      <c r="E658" s="352"/>
      <c r="F658" s="352"/>
      <c r="G658" s="352"/>
      <c r="H658" s="352"/>
      <c r="I658" s="352"/>
      <c r="J658" s="352"/>
      <c r="K658" s="352"/>
      <c r="L658" s="352"/>
      <c r="M658" s="352"/>
      <c r="N658" s="352"/>
      <c r="O658" s="352"/>
      <c r="P658" s="352"/>
      <c r="Q658" s="352"/>
      <c r="R658" s="352"/>
      <c r="S658" s="352"/>
      <c r="T658" s="352"/>
      <c r="U658" s="352"/>
      <c r="V658" s="352"/>
    </row>
    <row r="659">
      <c r="A659" s="352"/>
      <c r="B659" s="352"/>
      <c r="C659" s="352"/>
      <c r="D659" s="352"/>
      <c r="E659" s="352"/>
      <c r="F659" s="352"/>
      <c r="G659" s="352"/>
      <c r="H659" s="352"/>
      <c r="I659" s="352"/>
      <c r="J659" s="352"/>
      <c r="K659" s="352"/>
      <c r="L659" s="352"/>
      <c r="M659" s="352"/>
      <c r="N659" s="352"/>
      <c r="O659" s="352"/>
      <c r="P659" s="352"/>
      <c r="Q659" s="352"/>
      <c r="R659" s="352"/>
      <c r="S659" s="352"/>
      <c r="T659" s="352"/>
      <c r="U659" s="352"/>
      <c r="V659" s="352"/>
    </row>
    <row r="660">
      <c r="A660" s="352"/>
      <c r="B660" s="352"/>
      <c r="C660" s="352"/>
      <c r="D660" s="352"/>
      <c r="E660" s="352"/>
      <c r="F660" s="352"/>
      <c r="G660" s="352"/>
      <c r="H660" s="352"/>
      <c r="I660" s="352"/>
      <c r="J660" s="352"/>
      <c r="K660" s="352"/>
      <c r="L660" s="352"/>
      <c r="M660" s="352"/>
      <c r="N660" s="352"/>
      <c r="O660" s="352"/>
      <c r="P660" s="352"/>
      <c r="Q660" s="352"/>
      <c r="R660" s="352"/>
      <c r="S660" s="352"/>
      <c r="T660" s="352"/>
      <c r="U660" s="352"/>
      <c r="V660" s="352"/>
    </row>
    <row r="661">
      <c r="A661" s="352"/>
      <c r="B661" s="352"/>
      <c r="C661" s="352"/>
      <c r="D661" s="352"/>
      <c r="E661" s="352"/>
      <c r="F661" s="352"/>
      <c r="G661" s="352"/>
      <c r="H661" s="352"/>
      <c r="I661" s="352"/>
      <c r="J661" s="352"/>
      <c r="K661" s="352"/>
      <c r="L661" s="352"/>
      <c r="M661" s="352"/>
      <c r="N661" s="352"/>
      <c r="O661" s="352"/>
      <c r="P661" s="352"/>
      <c r="Q661" s="352"/>
      <c r="R661" s="352"/>
      <c r="S661" s="352"/>
      <c r="T661" s="352"/>
      <c r="U661" s="352"/>
      <c r="V661" s="352"/>
    </row>
    <row r="662">
      <c r="A662" s="352"/>
      <c r="B662" s="352"/>
      <c r="C662" s="352"/>
      <c r="D662" s="352"/>
      <c r="E662" s="352"/>
      <c r="F662" s="352"/>
      <c r="G662" s="352"/>
      <c r="H662" s="352"/>
      <c r="I662" s="352"/>
      <c r="J662" s="352"/>
      <c r="K662" s="352"/>
      <c r="L662" s="352"/>
      <c r="M662" s="352"/>
      <c r="N662" s="352"/>
      <c r="O662" s="352"/>
      <c r="P662" s="352"/>
      <c r="Q662" s="352"/>
      <c r="R662" s="352"/>
      <c r="S662" s="352"/>
      <c r="T662" s="352"/>
      <c r="U662" s="352"/>
      <c r="V662" s="352"/>
    </row>
    <row r="663">
      <c r="A663" s="352"/>
      <c r="B663" s="352"/>
      <c r="C663" s="352"/>
      <c r="D663" s="352"/>
      <c r="E663" s="352"/>
      <c r="F663" s="352"/>
      <c r="G663" s="352"/>
      <c r="H663" s="352"/>
      <c r="I663" s="352"/>
      <c r="J663" s="352"/>
      <c r="K663" s="352"/>
      <c r="L663" s="352"/>
      <c r="M663" s="352"/>
      <c r="N663" s="352"/>
      <c r="O663" s="352"/>
      <c r="P663" s="352"/>
      <c r="Q663" s="352"/>
      <c r="R663" s="352"/>
      <c r="S663" s="352"/>
      <c r="T663" s="352"/>
      <c r="U663" s="352"/>
      <c r="V663" s="352"/>
    </row>
    <row r="664">
      <c r="A664" s="352"/>
      <c r="B664" s="352"/>
      <c r="C664" s="352"/>
      <c r="D664" s="352"/>
      <c r="E664" s="352"/>
      <c r="F664" s="352"/>
      <c r="G664" s="352"/>
      <c r="H664" s="352"/>
      <c r="I664" s="352"/>
      <c r="J664" s="352"/>
      <c r="K664" s="352"/>
      <c r="L664" s="352"/>
      <c r="M664" s="352"/>
      <c r="N664" s="352"/>
      <c r="O664" s="352"/>
      <c r="P664" s="352"/>
      <c r="Q664" s="352"/>
      <c r="R664" s="352"/>
      <c r="S664" s="352"/>
      <c r="T664" s="352"/>
      <c r="U664" s="352"/>
      <c r="V664" s="352"/>
    </row>
    <row r="665">
      <c r="A665" s="352"/>
      <c r="B665" s="352"/>
      <c r="C665" s="352"/>
      <c r="D665" s="352"/>
      <c r="E665" s="352"/>
      <c r="F665" s="352"/>
      <c r="G665" s="352"/>
      <c r="H665" s="352"/>
      <c r="I665" s="352"/>
      <c r="J665" s="352"/>
      <c r="K665" s="352"/>
      <c r="L665" s="352"/>
      <c r="M665" s="352"/>
      <c r="N665" s="352"/>
      <c r="O665" s="352"/>
      <c r="P665" s="352"/>
      <c r="Q665" s="352"/>
      <c r="R665" s="352"/>
      <c r="S665" s="352"/>
      <c r="T665" s="352"/>
      <c r="U665" s="352"/>
      <c r="V665" s="352"/>
    </row>
    <row r="666">
      <c r="A666" s="352"/>
      <c r="B666" s="352"/>
      <c r="C666" s="352"/>
      <c r="D666" s="352"/>
      <c r="E666" s="352"/>
      <c r="F666" s="352"/>
      <c r="G666" s="352"/>
      <c r="H666" s="352"/>
      <c r="I666" s="352"/>
      <c r="J666" s="352"/>
      <c r="K666" s="352"/>
      <c r="L666" s="352"/>
      <c r="M666" s="352"/>
      <c r="N666" s="352"/>
      <c r="O666" s="352"/>
      <c r="P666" s="352"/>
      <c r="Q666" s="352"/>
      <c r="R666" s="352"/>
      <c r="S666" s="352"/>
      <c r="T666" s="352"/>
      <c r="U666" s="352"/>
      <c r="V666" s="352"/>
    </row>
    <row r="667">
      <c r="A667" s="352"/>
      <c r="B667" s="352"/>
      <c r="C667" s="352"/>
      <c r="D667" s="352"/>
      <c r="E667" s="352"/>
      <c r="F667" s="352"/>
      <c r="G667" s="352"/>
      <c r="H667" s="352"/>
      <c r="I667" s="352"/>
      <c r="J667" s="352"/>
      <c r="K667" s="352"/>
      <c r="L667" s="352"/>
      <c r="M667" s="352"/>
      <c r="N667" s="352"/>
      <c r="O667" s="352"/>
      <c r="P667" s="352"/>
      <c r="Q667" s="352"/>
      <c r="R667" s="352"/>
      <c r="S667" s="352"/>
      <c r="T667" s="352"/>
      <c r="U667" s="352"/>
      <c r="V667" s="352"/>
    </row>
    <row r="668">
      <c r="A668" s="352"/>
      <c r="B668" s="352"/>
      <c r="C668" s="352"/>
      <c r="D668" s="352"/>
      <c r="E668" s="352"/>
      <c r="F668" s="352"/>
      <c r="G668" s="352"/>
      <c r="H668" s="352"/>
      <c r="I668" s="352"/>
      <c r="J668" s="352"/>
      <c r="K668" s="352"/>
      <c r="L668" s="352"/>
      <c r="M668" s="352"/>
      <c r="N668" s="352"/>
      <c r="O668" s="352"/>
      <c r="P668" s="352"/>
      <c r="Q668" s="352"/>
      <c r="R668" s="352"/>
      <c r="S668" s="352"/>
      <c r="T668" s="352"/>
      <c r="U668" s="352"/>
      <c r="V668" s="352"/>
    </row>
    <row r="669">
      <c r="A669" s="352"/>
      <c r="B669" s="352"/>
      <c r="C669" s="352"/>
      <c r="D669" s="352"/>
      <c r="E669" s="352"/>
      <c r="F669" s="352"/>
      <c r="G669" s="352"/>
      <c r="H669" s="352"/>
      <c r="I669" s="352"/>
      <c r="J669" s="352"/>
      <c r="K669" s="352"/>
      <c r="L669" s="352"/>
      <c r="M669" s="352"/>
      <c r="N669" s="352"/>
      <c r="O669" s="352"/>
      <c r="P669" s="352"/>
      <c r="Q669" s="352"/>
      <c r="R669" s="352"/>
      <c r="S669" s="352"/>
      <c r="T669" s="352"/>
      <c r="U669" s="352"/>
      <c r="V669" s="352"/>
    </row>
    <row r="670">
      <c r="A670" s="352"/>
      <c r="B670" s="352"/>
      <c r="C670" s="352"/>
      <c r="D670" s="352"/>
      <c r="E670" s="352"/>
      <c r="F670" s="352"/>
      <c r="G670" s="352"/>
      <c r="H670" s="352"/>
      <c r="I670" s="352"/>
      <c r="J670" s="352"/>
      <c r="K670" s="352"/>
      <c r="L670" s="352"/>
      <c r="M670" s="352"/>
      <c r="N670" s="352"/>
      <c r="O670" s="352"/>
      <c r="P670" s="352"/>
      <c r="Q670" s="352"/>
      <c r="R670" s="352"/>
      <c r="S670" s="352"/>
      <c r="T670" s="352"/>
      <c r="U670" s="352"/>
      <c r="V670" s="352"/>
    </row>
    <row r="671">
      <c r="A671" s="352"/>
      <c r="B671" s="352"/>
      <c r="C671" s="352"/>
      <c r="D671" s="352"/>
      <c r="E671" s="352"/>
      <c r="F671" s="352"/>
      <c r="G671" s="352"/>
      <c r="H671" s="352"/>
      <c r="I671" s="352"/>
      <c r="J671" s="352"/>
      <c r="K671" s="352"/>
      <c r="L671" s="352"/>
      <c r="M671" s="352"/>
      <c r="N671" s="352"/>
      <c r="O671" s="352"/>
      <c r="P671" s="352"/>
      <c r="Q671" s="352"/>
      <c r="R671" s="352"/>
      <c r="S671" s="352"/>
      <c r="T671" s="352"/>
      <c r="U671" s="352"/>
      <c r="V671" s="352"/>
    </row>
    <row r="672">
      <c r="A672" s="352"/>
      <c r="B672" s="352"/>
      <c r="C672" s="352"/>
      <c r="D672" s="352"/>
      <c r="E672" s="352"/>
      <c r="F672" s="352"/>
      <c r="G672" s="352"/>
      <c r="H672" s="352"/>
      <c r="I672" s="352"/>
      <c r="J672" s="352"/>
      <c r="K672" s="352"/>
      <c r="L672" s="352"/>
      <c r="M672" s="352"/>
      <c r="N672" s="352"/>
      <c r="O672" s="352"/>
      <c r="P672" s="352"/>
      <c r="Q672" s="352"/>
      <c r="R672" s="352"/>
      <c r="S672" s="352"/>
      <c r="T672" s="352"/>
      <c r="U672" s="352"/>
      <c r="V672" s="352"/>
    </row>
    <row r="673">
      <c r="A673" s="352"/>
      <c r="B673" s="352"/>
      <c r="C673" s="352"/>
      <c r="D673" s="352"/>
      <c r="E673" s="352"/>
      <c r="F673" s="352"/>
      <c r="G673" s="352"/>
      <c r="H673" s="352"/>
      <c r="I673" s="352"/>
      <c r="J673" s="352"/>
      <c r="K673" s="352"/>
      <c r="L673" s="352"/>
      <c r="M673" s="352"/>
      <c r="N673" s="352"/>
      <c r="O673" s="352"/>
      <c r="P673" s="352"/>
      <c r="Q673" s="352"/>
      <c r="R673" s="352"/>
      <c r="S673" s="352"/>
      <c r="T673" s="352"/>
      <c r="U673" s="352"/>
      <c r="V673" s="352"/>
    </row>
    <row r="674">
      <c r="A674" s="352"/>
      <c r="B674" s="352"/>
      <c r="C674" s="352"/>
      <c r="D674" s="352"/>
      <c r="E674" s="352"/>
      <c r="F674" s="352"/>
      <c r="G674" s="352"/>
      <c r="H674" s="352"/>
      <c r="I674" s="352"/>
      <c r="J674" s="352"/>
      <c r="K674" s="352"/>
      <c r="L674" s="352"/>
      <c r="M674" s="352"/>
      <c r="N674" s="352"/>
      <c r="O674" s="352"/>
      <c r="P674" s="352"/>
      <c r="Q674" s="352"/>
      <c r="R674" s="352"/>
      <c r="S674" s="352"/>
      <c r="T674" s="352"/>
      <c r="U674" s="352"/>
      <c r="V674" s="352"/>
    </row>
    <row r="675">
      <c r="A675" s="352"/>
      <c r="B675" s="352"/>
      <c r="C675" s="352"/>
      <c r="D675" s="352"/>
      <c r="E675" s="352"/>
      <c r="F675" s="352"/>
      <c r="G675" s="352"/>
      <c r="H675" s="352"/>
      <c r="I675" s="352"/>
      <c r="J675" s="352"/>
      <c r="K675" s="352"/>
      <c r="L675" s="352"/>
      <c r="M675" s="352"/>
      <c r="N675" s="352"/>
      <c r="O675" s="352"/>
      <c r="P675" s="352"/>
      <c r="Q675" s="352"/>
      <c r="R675" s="352"/>
      <c r="S675" s="352"/>
      <c r="T675" s="352"/>
      <c r="U675" s="352"/>
      <c r="V675" s="352"/>
    </row>
    <row r="676">
      <c r="A676" s="352"/>
      <c r="B676" s="352"/>
      <c r="C676" s="352"/>
      <c r="D676" s="352"/>
      <c r="E676" s="352"/>
      <c r="F676" s="352"/>
      <c r="G676" s="352"/>
      <c r="H676" s="352"/>
      <c r="I676" s="352"/>
      <c r="J676" s="352"/>
      <c r="K676" s="352"/>
      <c r="L676" s="352"/>
      <c r="M676" s="352"/>
      <c r="N676" s="352"/>
      <c r="O676" s="352"/>
      <c r="P676" s="352"/>
      <c r="Q676" s="352"/>
      <c r="R676" s="352"/>
      <c r="S676" s="352"/>
      <c r="T676" s="352"/>
      <c r="U676" s="352"/>
      <c r="V676" s="352"/>
    </row>
    <row r="677">
      <c r="A677" s="352"/>
      <c r="B677" s="352"/>
      <c r="C677" s="352"/>
      <c r="D677" s="352"/>
      <c r="E677" s="352"/>
      <c r="F677" s="352"/>
      <c r="G677" s="352"/>
      <c r="H677" s="352"/>
      <c r="I677" s="352"/>
      <c r="J677" s="352"/>
      <c r="K677" s="352"/>
      <c r="L677" s="352"/>
      <c r="M677" s="352"/>
      <c r="N677" s="352"/>
      <c r="O677" s="352"/>
      <c r="P677" s="352"/>
      <c r="Q677" s="352"/>
      <c r="R677" s="352"/>
      <c r="S677" s="352"/>
      <c r="T677" s="352"/>
      <c r="U677" s="352"/>
      <c r="V677" s="352"/>
    </row>
    <row r="678">
      <c r="A678" s="352"/>
      <c r="B678" s="352"/>
      <c r="C678" s="352"/>
      <c r="D678" s="352"/>
      <c r="E678" s="352"/>
      <c r="F678" s="352"/>
      <c r="G678" s="352"/>
      <c r="H678" s="352"/>
      <c r="I678" s="352"/>
      <c r="J678" s="352"/>
      <c r="K678" s="352"/>
      <c r="L678" s="352"/>
      <c r="M678" s="352"/>
      <c r="N678" s="352"/>
      <c r="O678" s="352"/>
      <c r="P678" s="352"/>
      <c r="Q678" s="352"/>
      <c r="R678" s="352"/>
      <c r="S678" s="352"/>
      <c r="T678" s="352"/>
      <c r="U678" s="352"/>
      <c r="V678" s="352"/>
    </row>
    <row r="679">
      <c r="A679" s="352"/>
      <c r="B679" s="352"/>
      <c r="C679" s="352"/>
      <c r="D679" s="352"/>
      <c r="E679" s="352"/>
      <c r="F679" s="352"/>
      <c r="G679" s="352"/>
      <c r="H679" s="352"/>
      <c r="I679" s="352"/>
      <c r="J679" s="352"/>
      <c r="K679" s="352"/>
      <c r="L679" s="352"/>
      <c r="M679" s="352"/>
      <c r="N679" s="352"/>
      <c r="O679" s="352"/>
      <c r="P679" s="352"/>
      <c r="Q679" s="352"/>
      <c r="R679" s="352"/>
      <c r="S679" s="352"/>
      <c r="T679" s="352"/>
      <c r="U679" s="352"/>
      <c r="V679" s="352"/>
    </row>
    <row r="680">
      <c r="A680" s="352"/>
      <c r="B680" s="352"/>
      <c r="C680" s="352"/>
      <c r="D680" s="352"/>
      <c r="E680" s="352"/>
      <c r="F680" s="352"/>
      <c r="G680" s="352"/>
      <c r="H680" s="352"/>
      <c r="I680" s="352"/>
      <c r="J680" s="352"/>
      <c r="K680" s="352"/>
      <c r="L680" s="352"/>
      <c r="M680" s="352"/>
      <c r="N680" s="352"/>
      <c r="O680" s="352"/>
      <c r="P680" s="352"/>
      <c r="Q680" s="352"/>
      <c r="R680" s="352"/>
      <c r="S680" s="352"/>
      <c r="T680" s="352"/>
      <c r="U680" s="352"/>
      <c r="V680" s="352"/>
    </row>
    <row r="681">
      <c r="A681" s="352"/>
      <c r="B681" s="352"/>
      <c r="C681" s="352"/>
      <c r="D681" s="352"/>
      <c r="E681" s="352"/>
      <c r="F681" s="352"/>
      <c r="G681" s="352"/>
      <c r="H681" s="352"/>
      <c r="I681" s="352"/>
      <c r="J681" s="352"/>
      <c r="K681" s="352"/>
      <c r="L681" s="352"/>
      <c r="M681" s="352"/>
      <c r="N681" s="352"/>
      <c r="O681" s="352"/>
      <c r="P681" s="352"/>
      <c r="Q681" s="352"/>
      <c r="R681" s="352"/>
      <c r="S681" s="352"/>
      <c r="T681" s="352"/>
      <c r="U681" s="352"/>
      <c r="V681" s="352"/>
    </row>
    <row r="682">
      <c r="A682" s="352"/>
      <c r="B682" s="352"/>
      <c r="C682" s="352"/>
      <c r="D682" s="352"/>
      <c r="E682" s="352"/>
      <c r="F682" s="352"/>
      <c r="G682" s="352"/>
      <c r="H682" s="352"/>
      <c r="I682" s="352"/>
      <c r="J682" s="352"/>
      <c r="K682" s="352"/>
      <c r="L682" s="352"/>
      <c r="M682" s="352"/>
      <c r="N682" s="352"/>
      <c r="O682" s="352"/>
      <c r="P682" s="352"/>
      <c r="Q682" s="352"/>
      <c r="R682" s="352"/>
      <c r="S682" s="352"/>
      <c r="T682" s="352"/>
      <c r="U682" s="352"/>
      <c r="V682" s="352"/>
    </row>
    <row r="683">
      <c r="A683" s="352"/>
      <c r="B683" s="352"/>
      <c r="C683" s="352"/>
      <c r="D683" s="352"/>
      <c r="E683" s="352"/>
      <c r="F683" s="352"/>
      <c r="G683" s="352"/>
      <c r="H683" s="352"/>
      <c r="I683" s="352"/>
      <c r="J683" s="352"/>
      <c r="K683" s="352"/>
      <c r="L683" s="352"/>
      <c r="M683" s="352"/>
      <c r="N683" s="352"/>
      <c r="O683" s="352"/>
      <c r="P683" s="352"/>
      <c r="Q683" s="352"/>
      <c r="R683" s="352"/>
      <c r="S683" s="352"/>
      <c r="T683" s="352"/>
      <c r="U683" s="352"/>
      <c r="V683" s="352"/>
    </row>
    <row r="684">
      <c r="A684" s="352"/>
      <c r="B684" s="352"/>
      <c r="C684" s="352"/>
      <c r="D684" s="352"/>
      <c r="E684" s="352"/>
      <c r="F684" s="352"/>
      <c r="G684" s="352"/>
      <c r="H684" s="352"/>
      <c r="I684" s="352"/>
      <c r="J684" s="352"/>
      <c r="K684" s="352"/>
      <c r="L684" s="352"/>
      <c r="M684" s="352"/>
      <c r="N684" s="352"/>
      <c r="O684" s="352"/>
      <c r="P684" s="352"/>
      <c r="Q684" s="352"/>
      <c r="R684" s="352"/>
      <c r="S684" s="352"/>
      <c r="T684" s="352"/>
      <c r="U684" s="352"/>
      <c r="V684" s="352"/>
    </row>
    <row r="685">
      <c r="A685" s="352"/>
      <c r="B685" s="352"/>
      <c r="C685" s="352"/>
      <c r="D685" s="352"/>
      <c r="E685" s="352"/>
      <c r="F685" s="352"/>
      <c r="G685" s="352"/>
      <c r="H685" s="352"/>
      <c r="I685" s="352"/>
      <c r="J685" s="352"/>
      <c r="K685" s="352"/>
      <c r="L685" s="352"/>
      <c r="M685" s="352"/>
      <c r="N685" s="352"/>
      <c r="O685" s="352"/>
      <c r="P685" s="352"/>
      <c r="Q685" s="352"/>
      <c r="R685" s="352"/>
      <c r="S685" s="352"/>
      <c r="T685" s="352"/>
      <c r="U685" s="352"/>
      <c r="V685" s="352"/>
    </row>
    <row r="686">
      <c r="A686" s="352"/>
      <c r="B686" s="352"/>
      <c r="C686" s="352"/>
      <c r="D686" s="352"/>
      <c r="E686" s="352"/>
      <c r="F686" s="352"/>
      <c r="G686" s="352"/>
      <c r="H686" s="352"/>
      <c r="I686" s="352"/>
      <c r="J686" s="352"/>
      <c r="K686" s="352"/>
      <c r="L686" s="352"/>
      <c r="M686" s="352"/>
      <c r="N686" s="352"/>
      <c r="O686" s="352"/>
      <c r="P686" s="352"/>
      <c r="Q686" s="352"/>
      <c r="R686" s="352"/>
      <c r="S686" s="352"/>
      <c r="T686" s="352"/>
      <c r="U686" s="352"/>
      <c r="V686" s="352"/>
    </row>
    <row r="687">
      <c r="A687" s="352"/>
      <c r="B687" s="352"/>
      <c r="C687" s="352"/>
      <c r="D687" s="352"/>
      <c r="E687" s="352"/>
      <c r="F687" s="352"/>
      <c r="G687" s="352"/>
      <c r="H687" s="352"/>
      <c r="I687" s="352"/>
      <c r="J687" s="352"/>
      <c r="K687" s="352"/>
      <c r="L687" s="352"/>
      <c r="M687" s="352"/>
      <c r="N687" s="352"/>
      <c r="O687" s="352"/>
      <c r="P687" s="352"/>
      <c r="Q687" s="352"/>
      <c r="R687" s="352"/>
      <c r="S687" s="352"/>
      <c r="T687" s="352"/>
      <c r="U687" s="352"/>
      <c r="V687" s="352"/>
    </row>
    <row r="688">
      <c r="A688" s="352"/>
      <c r="B688" s="352"/>
      <c r="C688" s="352"/>
      <c r="D688" s="352"/>
      <c r="E688" s="352"/>
      <c r="F688" s="352"/>
      <c r="G688" s="352"/>
      <c r="H688" s="352"/>
      <c r="I688" s="352"/>
      <c r="J688" s="352"/>
      <c r="K688" s="352"/>
      <c r="L688" s="352"/>
      <c r="M688" s="352"/>
      <c r="N688" s="352"/>
      <c r="O688" s="352"/>
      <c r="P688" s="352"/>
      <c r="Q688" s="352"/>
      <c r="R688" s="352"/>
      <c r="S688" s="352"/>
      <c r="T688" s="352"/>
      <c r="U688" s="352"/>
      <c r="V688" s="352"/>
    </row>
    <row r="689">
      <c r="A689" s="352"/>
      <c r="B689" s="352"/>
      <c r="C689" s="352"/>
      <c r="D689" s="352"/>
      <c r="E689" s="352"/>
      <c r="F689" s="352"/>
      <c r="G689" s="352"/>
      <c r="H689" s="352"/>
      <c r="I689" s="352"/>
      <c r="J689" s="352"/>
      <c r="K689" s="352"/>
      <c r="L689" s="352"/>
      <c r="M689" s="352"/>
      <c r="N689" s="352"/>
      <c r="O689" s="352"/>
      <c r="P689" s="352"/>
      <c r="Q689" s="352"/>
      <c r="R689" s="352"/>
      <c r="S689" s="352"/>
      <c r="T689" s="352"/>
      <c r="U689" s="352"/>
      <c r="V689" s="352"/>
    </row>
    <row r="690">
      <c r="A690" s="352"/>
      <c r="B690" s="352"/>
      <c r="C690" s="352"/>
      <c r="D690" s="352"/>
      <c r="E690" s="352"/>
      <c r="F690" s="352"/>
      <c r="G690" s="352"/>
      <c r="H690" s="352"/>
      <c r="I690" s="352"/>
      <c r="J690" s="352"/>
      <c r="K690" s="352"/>
      <c r="L690" s="352"/>
      <c r="M690" s="352"/>
      <c r="N690" s="352"/>
      <c r="O690" s="352"/>
      <c r="P690" s="352"/>
      <c r="Q690" s="352"/>
      <c r="R690" s="352"/>
      <c r="S690" s="352"/>
      <c r="T690" s="352"/>
      <c r="U690" s="352"/>
      <c r="V690" s="352"/>
    </row>
    <row r="691">
      <c r="A691" s="352"/>
      <c r="B691" s="352"/>
      <c r="C691" s="352"/>
      <c r="D691" s="352"/>
      <c r="E691" s="352"/>
      <c r="F691" s="352"/>
      <c r="G691" s="352"/>
      <c r="H691" s="352"/>
      <c r="I691" s="352"/>
      <c r="J691" s="352"/>
      <c r="K691" s="352"/>
      <c r="L691" s="352"/>
      <c r="M691" s="352"/>
      <c r="N691" s="352"/>
      <c r="O691" s="352"/>
      <c r="P691" s="352"/>
      <c r="Q691" s="352"/>
      <c r="R691" s="352"/>
      <c r="S691" s="352"/>
      <c r="T691" s="352"/>
      <c r="U691" s="352"/>
      <c r="V691" s="352"/>
    </row>
    <row r="692">
      <c r="A692" s="352"/>
      <c r="B692" s="352"/>
      <c r="C692" s="352"/>
      <c r="D692" s="352"/>
      <c r="E692" s="352"/>
      <c r="F692" s="352"/>
      <c r="G692" s="352"/>
      <c r="H692" s="352"/>
      <c r="I692" s="352"/>
      <c r="J692" s="352"/>
      <c r="K692" s="352"/>
      <c r="L692" s="352"/>
      <c r="M692" s="352"/>
      <c r="N692" s="352"/>
      <c r="O692" s="352"/>
      <c r="P692" s="352"/>
      <c r="Q692" s="352"/>
      <c r="R692" s="352"/>
      <c r="S692" s="352"/>
      <c r="T692" s="352"/>
      <c r="U692" s="352"/>
      <c r="V692" s="352"/>
    </row>
    <row r="693">
      <c r="A693" s="352"/>
      <c r="B693" s="352"/>
      <c r="C693" s="352"/>
      <c r="D693" s="352"/>
      <c r="E693" s="352"/>
      <c r="F693" s="352"/>
      <c r="G693" s="352"/>
      <c r="H693" s="352"/>
      <c r="I693" s="352"/>
      <c r="J693" s="352"/>
      <c r="K693" s="352"/>
      <c r="L693" s="352"/>
      <c r="M693" s="352"/>
      <c r="N693" s="352"/>
      <c r="O693" s="352"/>
      <c r="P693" s="352"/>
      <c r="Q693" s="352"/>
      <c r="R693" s="352"/>
      <c r="S693" s="352"/>
      <c r="T693" s="352"/>
      <c r="U693" s="352"/>
      <c r="V693" s="352"/>
    </row>
    <row r="694">
      <c r="A694" s="352"/>
      <c r="B694" s="352"/>
      <c r="C694" s="352"/>
      <c r="D694" s="352"/>
      <c r="E694" s="352"/>
      <c r="F694" s="352"/>
      <c r="G694" s="352"/>
      <c r="H694" s="352"/>
      <c r="I694" s="352"/>
      <c r="J694" s="352"/>
      <c r="K694" s="352"/>
      <c r="L694" s="352"/>
      <c r="M694" s="352"/>
      <c r="N694" s="352"/>
      <c r="O694" s="352"/>
      <c r="P694" s="352"/>
      <c r="Q694" s="352"/>
      <c r="R694" s="352"/>
      <c r="S694" s="352"/>
      <c r="T694" s="352"/>
      <c r="U694" s="352"/>
      <c r="V694" s="352"/>
    </row>
    <row r="695">
      <c r="A695" s="352"/>
      <c r="B695" s="352"/>
      <c r="C695" s="352"/>
      <c r="D695" s="352"/>
      <c r="E695" s="352"/>
      <c r="F695" s="352"/>
      <c r="G695" s="352"/>
      <c r="H695" s="352"/>
      <c r="I695" s="352"/>
      <c r="J695" s="352"/>
      <c r="K695" s="352"/>
      <c r="L695" s="352"/>
      <c r="M695" s="352"/>
      <c r="N695" s="352"/>
      <c r="O695" s="352"/>
      <c r="P695" s="352"/>
      <c r="Q695" s="352"/>
      <c r="R695" s="352"/>
      <c r="S695" s="352"/>
      <c r="T695" s="352"/>
      <c r="U695" s="352"/>
      <c r="V695" s="352"/>
    </row>
    <row r="696">
      <c r="A696" s="352"/>
      <c r="B696" s="352"/>
      <c r="C696" s="352"/>
      <c r="D696" s="352"/>
      <c r="E696" s="352"/>
      <c r="F696" s="352"/>
      <c r="G696" s="352"/>
      <c r="H696" s="352"/>
      <c r="I696" s="352"/>
      <c r="J696" s="352"/>
      <c r="K696" s="352"/>
      <c r="L696" s="352"/>
      <c r="M696" s="352"/>
      <c r="N696" s="352"/>
      <c r="O696" s="352"/>
      <c r="P696" s="352"/>
      <c r="Q696" s="352"/>
      <c r="R696" s="352"/>
      <c r="S696" s="352"/>
      <c r="T696" s="352"/>
      <c r="U696" s="352"/>
      <c r="V696" s="352"/>
    </row>
    <row r="697">
      <c r="A697" s="352"/>
      <c r="B697" s="352"/>
      <c r="C697" s="352"/>
      <c r="D697" s="352"/>
      <c r="E697" s="352"/>
      <c r="F697" s="352"/>
      <c r="G697" s="352"/>
      <c r="H697" s="352"/>
      <c r="I697" s="352"/>
      <c r="J697" s="352"/>
      <c r="K697" s="352"/>
      <c r="L697" s="352"/>
      <c r="M697" s="352"/>
      <c r="N697" s="352"/>
      <c r="O697" s="352"/>
      <c r="P697" s="352"/>
      <c r="Q697" s="352"/>
      <c r="R697" s="352"/>
      <c r="S697" s="352"/>
      <c r="T697" s="352"/>
      <c r="U697" s="352"/>
      <c r="V697" s="352"/>
    </row>
    <row r="698">
      <c r="A698" s="352"/>
      <c r="B698" s="352"/>
      <c r="C698" s="352"/>
      <c r="D698" s="352"/>
      <c r="E698" s="352"/>
      <c r="F698" s="352"/>
      <c r="G698" s="352"/>
      <c r="H698" s="352"/>
      <c r="I698" s="352"/>
      <c r="J698" s="352"/>
      <c r="K698" s="352"/>
      <c r="L698" s="352"/>
      <c r="M698" s="352"/>
      <c r="N698" s="352"/>
      <c r="O698" s="352"/>
      <c r="P698" s="352"/>
      <c r="Q698" s="352"/>
      <c r="R698" s="352"/>
      <c r="S698" s="352"/>
      <c r="T698" s="352"/>
      <c r="U698" s="352"/>
      <c r="V698" s="352"/>
    </row>
    <row r="699">
      <c r="A699" s="352"/>
      <c r="B699" s="352"/>
      <c r="C699" s="352"/>
      <c r="D699" s="352"/>
      <c r="E699" s="352"/>
      <c r="F699" s="352"/>
      <c r="G699" s="352"/>
      <c r="H699" s="352"/>
      <c r="I699" s="352"/>
      <c r="J699" s="352"/>
      <c r="K699" s="352"/>
      <c r="L699" s="352"/>
      <c r="M699" s="352"/>
      <c r="N699" s="352"/>
      <c r="O699" s="352"/>
      <c r="P699" s="352"/>
      <c r="Q699" s="352"/>
      <c r="R699" s="352"/>
      <c r="S699" s="352"/>
      <c r="T699" s="352"/>
      <c r="U699" s="352"/>
      <c r="V699" s="352"/>
    </row>
    <row r="700">
      <c r="A700" s="352"/>
      <c r="B700" s="352"/>
      <c r="C700" s="352"/>
      <c r="D700" s="352"/>
      <c r="E700" s="352"/>
      <c r="F700" s="352"/>
      <c r="G700" s="352"/>
      <c r="H700" s="352"/>
      <c r="I700" s="352"/>
      <c r="J700" s="352"/>
      <c r="K700" s="352"/>
      <c r="L700" s="352"/>
      <c r="M700" s="352"/>
      <c r="N700" s="352"/>
      <c r="O700" s="352"/>
      <c r="P700" s="352"/>
      <c r="Q700" s="352"/>
      <c r="R700" s="352"/>
      <c r="S700" s="352"/>
      <c r="T700" s="352"/>
      <c r="U700" s="352"/>
      <c r="V700" s="352"/>
    </row>
    <row r="701">
      <c r="A701" s="352"/>
      <c r="B701" s="352"/>
      <c r="C701" s="352"/>
      <c r="D701" s="352"/>
      <c r="E701" s="352"/>
      <c r="F701" s="352"/>
      <c r="G701" s="352"/>
      <c r="H701" s="352"/>
      <c r="I701" s="352"/>
      <c r="J701" s="352"/>
      <c r="K701" s="352"/>
      <c r="L701" s="352"/>
      <c r="M701" s="352"/>
      <c r="N701" s="352"/>
      <c r="O701" s="352"/>
      <c r="P701" s="352"/>
      <c r="Q701" s="352"/>
      <c r="R701" s="352"/>
      <c r="S701" s="352"/>
      <c r="T701" s="352"/>
      <c r="U701" s="352"/>
      <c r="V701" s="352"/>
    </row>
    <row r="702">
      <c r="A702" s="352"/>
      <c r="B702" s="352"/>
      <c r="C702" s="352"/>
      <c r="D702" s="352"/>
      <c r="E702" s="352"/>
      <c r="F702" s="352"/>
      <c r="G702" s="352"/>
      <c r="H702" s="352"/>
      <c r="I702" s="352"/>
      <c r="J702" s="352"/>
      <c r="K702" s="352"/>
      <c r="L702" s="352"/>
      <c r="M702" s="352"/>
      <c r="N702" s="352"/>
      <c r="O702" s="352"/>
      <c r="P702" s="352"/>
      <c r="Q702" s="352"/>
      <c r="R702" s="352"/>
      <c r="S702" s="352"/>
      <c r="T702" s="352"/>
      <c r="U702" s="352"/>
      <c r="V702" s="352"/>
    </row>
    <row r="703">
      <c r="A703" s="352"/>
      <c r="B703" s="352"/>
      <c r="C703" s="352"/>
      <c r="D703" s="352"/>
      <c r="E703" s="352"/>
      <c r="F703" s="352"/>
      <c r="G703" s="352"/>
      <c r="H703" s="352"/>
      <c r="I703" s="352"/>
      <c r="J703" s="352"/>
      <c r="K703" s="352"/>
      <c r="L703" s="352"/>
      <c r="M703" s="352"/>
      <c r="N703" s="352"/>
      <c r="O703" s="352"/>
      <c r="P703" s="352"/>
      <c r="Q703" s="352"/>
      <c r="R703" s="352"/>
      <c r="S703" s="352"/>
      <c r="T703" s="352"/>
      <c r="U703" s="352"/>
      <c r="V703" s="352"/>
    </row>
    <row r="704">
      <c r="A704" s="352"/>
      <c r="B704" s="352"/>
      <c r="C704" s="352"/>
      <c r="D704" s="352"/>
      <c r="E704" s="352"/>
      <c r="F704" s="352"/>
      <c r="G704" s="352"/>
      <c r="H704" s="352"/>
      <c r="I704" s="352"/>
      <c r="J704" s="352"/>
      <c r="K704" s="352"/>
      <c r="L704" s="352"/>
      <c r="M704" s="352"/>
      <c r="N704" s="352"/>
      <c r="O704" s="352"/>
      <c r="P704" s="352"/>
      <c r="Q704" s="352"/>
      <c r="R704" s="352"/>
      <c r="S704" s="352"/>
      <c r="T704" s="352"/>
      <c r="U704" s="352"/>
      <c r="V704" s="352"/>
    </row>
    <row r="705">
      <c r="A705" s="352"/>
      <c r="B705" s="352"/>
      <c r="C705" s="352"/>
      <c r="D705" s="352"/>
      <c r="E705" s="352"/>
      <c r="F705" s="352"/>
      <c r="G705" s="352"/>
      <c r="H705" s="352"/>
      <c r="I705" s="352"/>
      <c r="J705" s="352"/>
      <c r="K705" s="352"/>
      <c r="L705" s="352"/>
      <c r="M705" s="352"/>
      <c r="N705" s="352"/>
      <c r="O705" s="352"/>
      <c r="P705" s="352"/>
      <c r="Q705" s="352"/>
      <c r="R705" s="352"/>
      <c r="S705" s="352"/>
      <c r="T705" s="352"/>
      <c r="U705" s="352"/>
      <c r="V705" s="352"/>
    </row>
  </sheetData>
  <mergeCells count="530">
    <mergeCell ref="D16:E16"/>
    <mergeCell ref="D17:E17"/>
    <mergeCell ref="F17:G17"/>
    <mergeCell ref="H17:I17"/>
    <mergeCell ref="J17:L17"/>
    <mergeCell ref="D18:E18"/>
    <mergeCell ref="F18:G18"/>
    <mergeCell ref="D19:E19"/>
    <mergeCell ref="F19:G19"/>
    <mergeCell ref="H19:I19"/>
    <mergeCell ref="J19:L19"/>
    <mergeCell ref="F20:G20"/>
    <mergeCell ref="H20:I20"/>
    <mergeCell ref="J20:L20"/>
    <mergeCell ref="H22:I22"/>
    <mergeCell ref="J22:L22"/>
    <mergeCell ref="D20:E20"/>
    <mergeCell ref="D21:E21"/>
    <mergeCell ref="F21:G21"/>
    <mergeCell ref="H21:I21"/>
    <mergeCell ref="J21:L21"/>
    <mergeCell ref="D22:E22"/>
    <mergeCell ref="F22:G22"/>
    <mergeCell ref="D1:E1"/>
    <mergeCell ref="F1:G1"/>
    <mergeCell ref="H1:I1"/>
    <mergeCell ref="J1:L1"/>
    <mergeCell ref="N1:R1"/>
    <mergeCell ref="D2:E2"/>
    <mergeCell ref="J2:L2"/>
    <mergeCell ref="F2:G2"/>
    <mergeCell ref="H2:I2"/>
    <mergeCell ref="D3:E3"/>
    <mergeCell ref="F3:G3"/>
    <mergeCell ref="H3:I3"/>
    <mergeCell ref="J3:L3"/>
    <mergeCell ref="D4:E4"/>
    <mergeCell ref="J4:L4"/>
    <mergeCell ref="F4:G4"/>
    <mergeCell ref="H4:I4"/>
    <mergeCell ref="D5:E5"/>
    <mergeCell ref="F5:G5"/>
    <mergeCell ref="H5:I5"/>
    <mergeCell ref="J5:L5"/>
    <mergeCell ref="D6:E6"/>
    <mergeCell ref="J6:L6"/>
    <mergeCell ref="F6:G6"/>
    <mergeCell ref="H6:I6"/>
    <mergeCell ref="D7:E7"/>
    <mergeCell ref="F7:G7"/>
    <mergeCell ref="H7:I7"/>
    <mergeCell ref="J7:L7"/>
    <mergeCell ref="D8:E8"/>
    <mergeCell ref="J8:L8"/>
    <mergeCell ref="T1:V1"/>
    <mergeCell ref="T2:V2"/>
    <mergeCell ref="T3:V3"/>
    <mergeCell ref="T4:V4"/>
    <mergeCell ref="T5:V5"/>
    <mergeCell ref="T6:V6"/>
    <mergeCell ref="T7:V7"/>
    <mergeCell ref="F12:G12"/>
    <mergeCell ref="H12:I12"/>
    <mergeCell ref="T8:V8"/>
    <mergeCell ref="T9:V9"/>
    <mergeCell ref="T10:V10"/>
    <mergeCell ref="T11:V11"/>
    <mergeCell ref="T12:V12"/>
    <mergeCell ref="T13:V13"/>
    <mergeCell ref="T14:V14"/>
    <mergeCell ref="D23:E23"/>
    <mergeCell ref="F23:G23"/>
    <mergeCell ref="H23:I23"/>
    <mergeCell ref="J23:L23"/>
    <mergeCell ref="D24:E24"/>
    <mergeCell ref="H24:I24"/>
    <mergeCell ref="J24:L24"/>
    <mergeCell ref="F24:G24"/>
    <mergeCell ref="F25:G25"/>
    <mergeCell ref="H25:I25"/>
    <mergeCell ref="J25:L25"/>
    <mergeCell ref="F26:G26"/>
    <mergeCell ref="H26:I26"/>
    <mergeCell ref="J26:L26"/>
    <mergeCell ref="H28:I28"/>
    <mergeCell ref="J28:L28"/>
    <mergeCell ref="D26:E26"/>
    <mergeCell ref="D27:E27"/>
    <mergeCell ref="F27:G27"/>
    <mergeCell ref="H27:I27"/>
    <mergeCell ref="J27:L27"/>
    <mergeCell ref="D28:E28"/>
    <mergeCell ref="F28:G28"/>
    <mergeCell ref="D29:E29"/>
    <mergeCell ref="F29:G29"/>
    <mergeCell ref="H29:I29"/>
    <mergeCell ref="J29:L29"/>
    <mergeCell ref="F30:G30"/>
    <mergeCell ref="H30:I30"/>
    <mergeCell ref="J30:L30"/>
    <mergeCell ref="D30:E30"/>
    <mergeCell ref="D31:E31"/>
    <mergeCell ref="F31:G31"/>
    <mergeCell ref="H31:I31"/>
    <mergeCell ref="J31:L31"/>
    <mergeCell ref="D32:E32"/>
    <mergeCell ref="F32:G32"/>
    <mergeCell ref="T64:V64"/>
    <mergeCell ref="T65:V65"/>
    <mergeCell ref="T66:V66"/>
    <mergeCell ref="T67:V67"/>
    <mergeCell ref="T68:V68"/>
    <mergeCell ref="T69:V69"/>
    <mergeCell ref="T70:V70"/>
    <mergeCell ref="T71:V71"/>
    <mergeCell ref="T72:V72"/>
    <mergeCell ref="T73:V73"/>
    <mergeCell ref="T74:V74"/>
    <mergeCell ref="T75:V75"/>
    <mergeCell ref="T76:V76"/>
    <mergeCell ref="T77:V77"/>
    <mergeCell ref="T78:V78"/>
    <mergeCell ref="T79:V79"/>
    <mergeCell ref="T80:V80"/>
    <mergeCell ref="T81:V81"/>
    <mergeCell ref="T82:V82"/>
    <mergeCell ref="T83:V83"/>
    <mergeCell ref="T84:V84"/>
    <mergeCell ref="T85:V85"/>
    <mergeCell ref="T86:V86"/>
    <mergeCell ref="T87:V87"/>
    <mergeCell ref="T88:V88"/>
    <mergeCell ref="T89:V89"/>
    <mergeCell ref="T90:V90"/>
    <mergeCell ref="T91:V91"/>
    <mergeCell ref="T99:V99"/>
    <mergeCell ref="T100:V100"/>
    <mergeCell ref="T101:V101"/>
    <mergeCell ref="T102:V102"/>
    <mergeCell ref="T103:V103"/>
    <mergeCell ref="T104:V104"/>
    <mergeCell ref="T105:V105"/>
    <mergeCell ref="T106:V106"/>
    <mergeCell ref="T92:V92"/>
    <mergeCell ref="T93:V93"/>
    <mergeCell ref="T94:V94"/>
    <mergeCell ref="T95:V95"/>
    <mergeCell ref="T96:V96"/>
    <mergeCell ref="T97:V97"/>
    <mergeCell ref="T98:V98"/>
    <mergeCell ref="T15:V15"/>
    <mergeCell ref="T16:V16"/>
    <mergeCell ref="T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T32:V32"/>
    <mergeCell ref="T33:V33"/>
    <mergeCell ref="T34:V34"/>
    <mergeCell ref="T35:V35"/>
    <mergeCell ref="T36:V36"/>
    <mergeCell ref="T37:V37"/>
    <mergeCell ref="T38:V38"/>
    <mergeCell ref="T39:V39"/>
    <mergeCell ref="T40:V40"/>
    <mergeCell ref="T41:V41"/>
    <mergeCell ref="T42:V42"/>
    <mergeCell ref="T43:V43"/>
    <mergeCell ref="T44:V44"/>
    <mergeCell ref="T45:V45"/>
    <mergeCell ref="T46:V46"/>
    <mergeCell ref="T47:V47"/>
    <mergeCell ref="T48:V48"/>
    <mergeCell ref="T49:V49"/>
    <mergeCell ref="T50:V50"/>
    <mergeCell ref="T51:V51"/>
    <mergeCell ref="T52:V52"/>
    <mergeCell ref="T53:V53"/>
    <mergeCell ref="T54:V54"/>
    <mergeCell ref="T55:V55"/>
    <mergeCell ref="T56:V56"/>
    <mergeCell ref="T57:V57"/>
    <mergeCell ref="T58:V58"/>
    <mergeCell ref="T59:V59"/>
    <mergeCell ref="T60:V60"/>
    <mergeCell ref="T61:V61"/>
    <mergeCell ref="T62:V62"/>
    <mergeCell ref="T63:V63"/>
    <mergeCell ref="H32:I32"/>
    <mergeCell ref="J32:L32"/>
    <mergeCell ref="D33:E33"/>
    <mergeCell ref="F33:G33"/>
    <mergeCell ref="H33:I33"/>
    <mergeCell ref="J33:L33"/>
    <mergeCell ref="D34:E34"/>
    <mergeCell ref="J34:L34"/>
    <mergeCell ref="F34:G34"/>
    <mergeCell ref="H34:I34"/>
    <mergeCell ref="D35:E35"/>
    <mergeCell ref="F35:G35"/>
    <mergeCell ref="H35:I35"/>
    <mergeCell ref="J35:L35"/>
    <mergeCell ref="D36:E36"/>
    <mergeCell ref="J36:L36"/>
    <mergeCell ref="F36:G36"/>
    <mergeCell ref="H36:I36"/>
    <mergeCell ref="D37:E37"/>
    <mergeCell ref="F37:G37"/>
    <mergeCell ref="H37:I37"/>
    <mergeCell ref="J37:L37"/>
    <mergeCell ref="D38:E38"/>
    <mergeCell ref="J38:L38"/>
    <mergeCell ref="F38:G38"/>
    <mergeCell ref="H38:I38"/>
    <mergeCell ref="D39:E39"/>
    <mergeCell ref="F39:G39"/>
    <mergeCell ref="H39:I39"/>
    <mergeCell ref="J39:L39"/>
    <mergeCell ref="D40:E40"/>
    <mergeCell ref="J40:L40"/>
    <mergeCell ref="F40:G40"/>
    <mergeCell ref="H40:I40"/>
    <mergeCell ref="D41:E41"/>
    <mergeCell ref="F41:G41"/>
    <mergeCell ref="H41:I41"/>
    <mergeCell ref="J41:L41"/>
    <mergeCell ref="D42:E42"/>
    <mergeCell ref="J42:L42"/>
    <mergeCell ref="F42:G42"/>
    <mergeCell ref="H42:I42"/>
    <mergeCell ref="D43:E43"/>
    <mergeCell ref="F43:G43"/>
    <mergeCell ref="H43:I43"/>
    <mergeCell ref="J43:L43"/>
    <mergeCell ref="D44:E44"/>
    <mergeCell ref="J44:L44"/>
    <mergeCell ref="F44:G44"/>
    <mergeCell ref="H44:I44"/>
    <mergeCell ref="D45:E45"/>
    <mergeCell ref="F45:G45"/>
    <mergeCell ref="H45:I45"/>
    <mergeCell ref="J45:L45"/>
    <mergeCell ref="D46:E46"/>
    <mergeCell ref="J46:L46"/>
    <mergeCell ref="F46:G46"/>
    <mergeCell ref="H46:I46"/>
    <mergeCell ref="D47:E47"/>
    <mergeCell ref="F47:G47"/>
    <mergeCell ref="H47:I47"/>
    <mergeCell ref="J47:L47"/>
    <mergeCell ref="D48:E48"/>
    <mergeCell ref="J48:L48"/>
    <mergeCell ref="F48:G48"/>
    <mergeCell ref="H48:I48"/>
    <mergeCell ref="D49:E49"/>
    <mergeCell ref="F49:G49"/>
    <mergeCell ref="H49:I49"/>
    <mergeCell ref="J49:L49"/>
    <mergeCell ref="D50:E50"/>
    <mergeCell ref="J50:L50"/>
    <mergeCell ref="F50:G50"/>
    <mergeCell ref="H50:I50"/>
    <mergeCell ref="D51:E51"/>
    <mergeCell ref="F51:G51"/>
    <mergeCell ref="H51:I51"/>
    <mergeCell ref="J51:L51"/>
    <mergeCell ref="D52:E52"/>
    <mergeCell ref="J52:L52"/>
    <mergeCell ref="F52:G52"/>
    <mergeCell ref="H52:I52"/>
    <mergeCell ref="D53:E53"/>
    <mergeCell ref="F53:G53"/>
    <mergeCell ref="H53:I53"/>
    <mergeCell ref="J53:L53"/>
    <mergeCell ref="D54:E54"/>
    <mergeCell ref="J54:L54"/>
    <mergeCell ref="F54:G54"/>
    <mergeCell ref="H54:I54"/>
    <mergeCell ref="D55:E55"/>
    <mergeCell ref="F55:G55"/>
    <mergeCell ref="H55:I55"/>
    <mergeCell ref="J55:L55"/>
    <mergeCell ref="D56:E56"/>
    <mergeCell ref="J56:L56"/>
    <mergeCell ref="F56:G56"/>
    <mergeCell ref="H56:I56"/>
    <mergeCell ref="D57:E57"/>
    <mergeCell ref="F57:G57"/>
    <mergeCell ref="H57:I57"/>
    <mergeCell ref="J57:L57"/>
    <mergeCell ref="D58:E58"/>
    <mergeCell ref="J58:L58"/>
    <mergeCell ref="F58:G58"/>
    <mergeCell ref="H58:I58"/>
    <mergeCell ref="D59:E59"/>
    <mergeCell ref="F59:G59"/>
    <mergeCell ref="H59:I59"/>
    <mergeCell ref="J59:L59"/>
    <mergeCell ref="D60:E60"/>
    <mergeCell ref="J60:L60"/>
    <mergeCell ref="F88:G88"/>
    <mergeCell ref="H88:I88"/>
    <mergeCell ref="D89:E89"/>
    <mergeCell ref="F89:G89"/>
    <mergeCell ref="H89:I89"/>
    <mergeCell ref="J89:L89"/>
    <mergeCell ref="D90:E90"/>
    <mergeCell ref="J90:L90"/>
    <mergeCell ref="F90:G90"/>
    <mergeCell ref="H90:I90"/>
    <mergeCell ref="D91:E91"/>
    <mergeCell ref="F91:G91"/>
    <mergeCell ref="H91:I91"/>
    <mergeCell ref="J91:L91"/>
    <mergeCell ref="D92:E92"/>
    <mergeCell ref="J92:L92"/>
    <mergeCell ref="F92:G92"/>
    <mergeCell ref="H92:I92"/>
    <mergeCell ref="D93:E93"/>
    <mergeCell ref="F93:G93"/>
    <mergeCell ref="H93:I93"/>
    <mergeCell ref="J93:L93"/>
    <mergeCell ref="D94:E94"/>
    <mergeCell ref="J94:L94"/>
    <mergeCell ref="F94:G94"/>
    <mergeCell ref="H94:I94"/>
    <mergeCell ref="D95:E95"/>
    <mergeCell ref="F95:G95"/>
    <mergeCell ref="H95:I95"/>
    <mergeCell ref="J95:L95"/>
    <mergeCell ref="D96:E96"/>
    <mergeCell ref="J96:L96"/>
    <mergeCell ref="F96:G96"/>
    <mergeCell ref="H96:I96"/>
    <mergeCell ref="D97:E97"/>
    <mergeCell ref="F97:G97"/>
    <mergeCell ref="H97:I97"/>
    <mergeCell ref="J97:L97"/>
    <mergeCell ref="D98:E98"/>
    <mergeCell ref="J98:L98"/>
    <mergeCell ref="F98:G98"/>
    <mergeCell ref="H98:I98"/>
    <mergeCell ref="D99:E99"/>
    <mergeCell ref="F99:G99"/>
    <mergeCell ref="H99:I99"/>
    <mergeCell ref="J99:L99"/>
    <mergeCell ref="D100:E100"/>
    <mergeCell ref="J100:L100"/>
    <mergeCell ref="F100:G100"/>
    <mergeCell ref="H100:I100"/>
    <mergeCell ref="D101:E101"/>
    <mergeCell ref="F101:G101"/>
    <mergeCell ref="H101:I101"/>
    <mergeCell ref="J101:L101"/>
    <mergeCell ref="D102:E102"/>
    <mergeCell ref="J102:L102"/>
    <mergeCell ref="F102:G102"/>
    <mergeCell ref="H102:I102"/>
    <mergeCell ref="D103:E103"/>
    <mergeCell ref="F103:G103"/>
    <mergeCell ref="H103:I103"/>
    <mergeCell ref="J103:L103"/>
    <mergeCell ref="D104:E104"/>
    <mergeCell ref="J104:L104"/>
    <mergeCell ref="F8:G8"/>
    <mergeCell ref="H8:I8"/>
    <mergeCell ref="D9:E9"/>
    <mergeCell ref="F9:G9"/>
    <mergeCell ref="H9:I9"/>
    <mergeCell ref="J9:L9"/>
    <mergeCell ref="D10:E10"/>
    <mergeCell ref="J10:L10"/>
    <mergeCell ref="F10:G10"/>
    <mergeCell ref="H10:I10"/>
    <mergeCell ref="D11:E11"/>
    <mergeCell ref="F11:G11"/>
    <mergeCell ref="H11:I11"/>
    <mergeCell ref="J11:L11"/>
    <mergeCell ref="J12:L12"/>
    <mergeCell ref="H14:I14"/>
    <mergeCell ref="J14:L14"/>
    <mergeCell ref="D12:E12"/>
    <mergeCell ref="D13:E13"/>
    <mergeCell ref="F13:G13"/>
    <mergeCell ref="H13:I13"/>
    <mergeCell ref="J13:L13"/>
    <mergeCell ref="D14:E14"/>
    <mergeCell ref="F14:G14"/>
    <mergeCell ref="D15:E15"/>
    <mergeCell ref="F15:G15"/>
    <mergeCell ref="H15:I15"/>
    <mergeCell ref="J15:L15"/>
    <mergeCell ref="F16:G16"/>
    <mergeCell ref="H16:I16"/>
    <mergeCell ref="J16:L16"/>
    <mergeCell ref="H18:I18"/>
    <mergeCell ref="J18:L18"/>
    <mergeCell ref="F106:G106"/>
    <mergeCell ref="H106:I106"/>
    <mergeCell ref="F104:G104"/>
    <mergeCell ref="H104:I104"/>
    <mergeCell ref="D105:E105"/>
    <mergeCell ref="F105:G105"/>
    <mergeCell ref="H105:I105"/>
    <mergeCell ref="J105:L105"/>
    <mergeCell ref="D106:E106"/>
    <mergeCell ref="J106:L106"/>
    <mergeCell ref="F60:G60"/>
    <mergeCell ref="H60:I60"/>
    <mergeCell ref="D61:E61"/>
    <mergeCell ref="F61:G61"/>
    <mergeCell ref="H61:I61"/>
    <mergeCell ref="J61:L61"/>
    <mergeCell ref="D62:E62"/>
    <mergeCell ref="J62:L62"/>
    <mergeCell ref="F62:G62"/>
    <mergeCell ref="H62:I62"/>
    <mergeCell ref="D63:E63"/>
    <mergeCell ref="F63:G63"/>
    <mergeCell ref="H63:I63"/>
    <mergeCell ref="J63:L63"/>
    <mergeCell ref="D64:E64"/>
    <mergeCell ref="J64:L64"/>
    <mergeCell ref="F64:G64"/>
    <mergeCell ref="H64:I64"/>
    <mergeCell ref="D65:E65"/>
    <mergeCell ref="F65:G65"/>
    <mergeCell ref="H65:I65"/>
    <mergeCell ref="J65:L65"/>
    <mergeCell ref="D66:E66"/>
    <mergeCell ref="J66:L66"/>
    <mergeCell ref="F66:G66"/>
    <mergeCell ref="H66:I66"/>
    <mergeCell ref="D67:E67"/>
    <mergeCell ref="F67:G67"/>
    <mergeCell ref="H67:I67"/>
    <mergeCell ref="J67:L67"/>
    <mergeCell ref="D68:E68"/>
    <mergeCell ref="J68:L68"/>
    <mergeCell ref="F68:G68"/>
    <mergeCell ref="H68:I68"/>
    <mergeCell ref="D69:E69"/>
    <mergeCell ref="F69:G69"/>
    <mergeCell ref="H69:I69"/>
    <mergeCell ref="J69:L69"/>
    <mergeCell ref="D70:E70"/>
    <mergeCell ref="J70:L70"/>
    <mergeCell ref="F70:G70"/>
    <mergeCell ref="H70:I70"/>
    <mergeCell ref="D71:E71"/>
    <mergeCell ref="F71:G71"/>
    <mergeCell ref="H71:I71"/>
    <mergeCell ref="J71:L71"/>
    <mergeCell ref="D72:E72"/>
    <mergeCell ref="J72:L72"/>
    <mergeCell ref="F72:G72"/>
    <mergeCell ref="H72:I72"/>
    <mergeCell ref="D73:E73"/>
    <mergeCell ref="F73:G73"/>
    <mergeCell ref="H73:I73"/>
    <mergeCell ref="J73:L73"/>
    <mergeCell ref="D74:E74"/>
    <mergeCell ref="J74:L74"/>
    <mergeCell ref="F74:G74"/>
    <mergeCell ref="H74:I74"/>
    <mergeCell ref="D75:E75"/>
    <mergeCell ref="F75:G75"/>
    <mergeCell ref="H75:I75"/>
    <mergeCell ref="J75:L75"/>
    <mergeCell ref="D76:E76"/>
    <mergeCell ref="J76:L76"/>
    <mergeCell ref="F76:G76"/>
    <mergeCell ref="H76:I76"/>
    <mergeCell ref="D77:E77"/>
    <mergeCell ref="F77:G77"/>
    <mergeCell ref="H77:I77"/>
    <mergeCell ref="J77:L77"/>
    <mergeCell ref="D78:E78"/>
    <mergeCell ref="J78:L78"/>
    <mergeCell ref="F78:G78"/>
    <mergeCell ref="H78:I78"/>
    <mergeCell ref="D79:E79"/>
    <mergeCell ref="F79:G79"/>
    <mergeCell ref="H79:I79"/>
    <mergeCell ref="J79:L79"/>
    <mergeCell ref="D80:E80"/>
    <mergeCell ref="J80:L80"/>
    <mergeCell ref="F80:G80"/>
    <mergeCell ref="H80:I80"/>
    <mergeCell ref="D81:E81"/>
    <mergeCell ref="F81:G81"/>
    <mergeCell ref="H81:I81"/>
    <mergeCell ref="J81:L81"/>
    <mergeCell ref="D82:E82"/>
    <mergeCell ref="J82:L82"/>
    <mergeCell ref="F82:G82"/>
    <mergeCell ref="H82:I82"/>
    <mergeCell ref="D83:E83"/>
    <mergeCell ref="F83:G83"/>
    <mergeCell ref="H83:I83"/>
    <mergeCell ref="J83:L83"/>
    <mergeCell ref="D84:E84"/>
    <mergeCell ref="J84:L84"/>
    <mergeCell ref="F84:G84"/>
    <mergeCell ref="H84:I84"/>
    <mergeCell ref="D85:E85"/>
    <mergeCell ref="F85:G85"/>
    <mergeCell ref="H85:I85"/>
    <mergeCell ref="J85:L85"/>
    <mergeCell ref="D86:E86"/>
    <mergeCell ref="J86:L86"/>
    <mergeCell ref="F86:G86"/>
    <mergeCell ref="H86:I86"/>
    <mergeCell ref="D87:E87"/>
    <mergeCell ref="F87:G87"/>
    <mergeCell ref="H87:I87"/>
    <mergeCell ref="J87:L87"/>
    <mergeCell ref="D88:E88"/>
    <mergeCell ref="J88:L88"/>
  </mergeCells>
  <conditionalFormatting sqref="A2:V705">
    <cfRule type="expression" dxfId="16" priority="1">
      <formula>($C2&lt;=TODAY()) * ($C2&lt;&gt;"")</formula>
    </cfRule>
  </conditionalFormatting>
  <hyperlinks>
    <hyperlink r:id="rId1" ref="J20"/>
    <hyperlink r:id="rId2" ref="J21"/>
    <hyperlink r:id="rId3" ref="J22"/>
    <hyperlink r:id="rId4" ref="J23"/>
    <hyperlink r:id="rId5" ref="J24"/>
    <hyperlink r:id="rId6" ref="N24"/>
    <hyperlink r:id="rId7" ref="J25"/>
    <hyperlink r:id="rId8" ref="J31"/>
    <hyperlink r:id="rId9" ref="J32"/>
    <hyperlink r:id="rId10" ref="J33"/>
  </hyperlinks>
  <drawing r:id="rId1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1" max="21" width="13.88"/>
    <col customWidth="1" min="24" max="24" width="13.88"/>
  </cols>
  <sheetData>
    <row r="1">
      <c r="A1" s="868" t="s">
        <v>6488</v>
      </c>
      <c r="B1" s="868" t="s">
        <v>8850</v>
      </c>
      <c r="C1" s="869" t="s">
        <v>8851</v>
      </c>
      <c r="D1" s="249"/>
      <c r="E1" s="250"/>
      <c r="F1" s="869" t="s">
        <v>1739</v>
      </c>
      <c r="G1" s="249"/>
      <c r="H1" s="250"/>
      <c r="I1" s="869" t="s">
        <v>8853</v>
      </c>
      <c r="J1" s="249"/>
      <c r="K1" s="250"/>
      <c r="L1" s="869" t="s">
        <v>8854</v>
      </c>
      <c r="M1" s="249"/>
      <c r="N1" s="250"/>
      <c r="O1" s="868" t="s">
        <v>8850</v>
      </c>
      <c r="P1" s="870" t="s">
        <v>8973</v>
      </c>
      <c r="Q1" s="249"/>
      <c r="R1" s="249"/>
      <c r="S1" s="249"/>
      <c r="T1" s="249"/>
      <c r="U1" s="249"/>
      <c r="V1" s="249"/>
      <c r="W1" s="249"/>
      <c r="X1" s="249"/>
      <c r="Y1" s="249"/>
      <c r="Z1" s="249"/>
      <c r="AA1" s="249"/>
      <c r="AB1" s="249"/>
      <c r="AC1" s="249"/>
      <c r="AD1" s="250"/>
      <c r="AE1" s="868" t="s">
        <v>8850</v>
      </c>
    </row>
    <row r="2">
      <c r="A2" s="872" t="s">
        <v>7559</v>
      </c>
      <c r="B2" s="872" t="s">
        <v>9005</v>
      </c>
      <c r="C2" s="948"/>
      <c r="D2" s="249"/>
      <c r="E2" s="250"/>
      <c r="F2" s="949"/>
      <c r="G2" s="249"/>
      <c r="H2" s="250"/>
      <c r="I2" s="950"/>
      <c r="J2" s="249"/>
      <c r="K2" s="250"/>
      <c r="L2" s="951"/>
      <c r="M2" s="249"/>
      <c r="N2" s="250"/>
      <c r="O2" s="872" t="s">
        <v>9005</v>
      </c>
      <c r="P2" s="877"/>
      <c r="Q2" s="249"/>
      <c r="R2" s="250"/>
      <c r="S2" s="877"/>
      <c r="T2" s="249"/>
      <c r="U2" s="250"/>
      <c r="V2" s="877"/>
      <c r="W2" s="249"/>
      <c r="X2" s="250"/>
      <c r="Y2" s="877"/>
      <c r="Z2" s="249"/>
      <c r="AA2" s="250"/>
      <c r="AB2" s="877"/>
      <c r="AC2" s="249"/>
      <c r="AD2" s="250"/>
      <c r="AE2" s="872" t="s">
        <v>9005</v>
      </c>
    </row>
    <row r="3">
      <c r="A3" s="872" t="s">
        <v>8858</v>
      </c>
      <c r="B3" s="872" t="s">
        <v>9006</v>
      </c>
      <c r="C3" s="951"/>
      <c r="D3" s="249"/>
      <c r="E3" s="250"/>
      <c r="F3" s="949"/>
      <c r="G3" s="249"/>
      <c r="H3" s="250"/>
      <c r="I3" s="950"/>
      <c r="J3" s="249"/>
      <c r="K3" s="250"/>
      <c r="L3" s="951"/>
      <c r="M3" s="249"/>
      <c r="N3" s="250"/>
      <c r="O3" s="872" t="s">
        <v>9006</v>
      </c>
      <c r="P3" s="877"/>
      <c r="Q3" s="249"/>
      <c r="R3" s="250"/>
      <c r="S3" s="877"/>
      <c r="T3" s="249"/>
      <c r="U3" s="250"/>
      <c r="V3" s="877"/>
      <c r="W3" s="249"/>
      <c r="X3" s="250"/>
      <c r="Y3" s="877"/>
      <c r="Z3" s="249"/>
      <c r="AA3" s="250"/>
      <c r="AB3" s="877"/>
      <c r="AC3" s="249"/>
      <c r="AD3" s="250"/>
      <c r="AE3" s="872" t="s">
        <v>9006</v>
      </c>
    </row>
    <row r="4">
      <c r="A4" s="872" t="s">
        <v>8861</v>
      </c>
      <c r="B4" s="872" t="s">
        <v>9007</v>
      </c>
      <c r="C4" s="951"/>
      <c r="D4" s="249"/>
      <c r="E4" s="250"/>
      <c r="F4" s="949"/>
      <c r="G4" s="249"/>
      <c r="H4" s="250"/>
      <c r="I4" s="949"/>
      <c r="J4" s="249"/>
      <c r="K4" s="250"/>
      <c r="L4" s="951"/>
      <c r="M4" s="249"/>
      <c r="N4" s="250"/>
      <c r="O4" s="872" t="s">
        <v>9007</v>
      </c>
      <c r="P4" s="877"/>
      <c r="Q4" s="249"/>
      <c r="R4" s="250"/>
      <c r="S4" s="877"/>
      <c r="T4" s="249"/>
      <c r="U4" s="250"/>
      <c r="V4" s="877"/>
      <c r="W4" s="249"/>
      <c r="X4" s="250"/>
      <c r="Y4" s="877"/>
      <c r="Z4" s="249"/>
      <c r="AA4" s="250"/>
      <c r="AB4" s="877"/>
      <c r="AC4" s="249"/>
      <c r="AD4" s="250"/>
      <c r="AE4" s="872" t="s">
        <v>9007</v>
      </c>
    </row>
    <row r="5">
      <c r="A5" s="872" t="s">
        <v>8862</v>
      </c>
      <c r="B5" s="872" t="s">
        <v>9008</v>
      </c>
      <c r="C5" s="951"/>
      <c r="D5" s="249"/>
      <c r="E5" s="250"/>
      <c r="F5" s="949"/>
      <c r="G5" s="249"/>
      <c r="H5" s="250"/>
      <c r="I5" s="949"/>
      <c r="J5" s="249"/>
      <c r="K5" s="250"/>
      <c r="L5" s="951"/>
      <c r="M5" s="249"/>
      <c r="N5" s="250"/>
      <c r="O5" s="872" t="s">
        <v>9008</v>
      </c>
      <c r="P5" s="877"/>
      <c r="Q5" s="249"/>
      <c r="R5" s="250"/>
      <c r="S5" s="877"/>
      <c r="T5" s="249"/>
      <c r="U5" s="250"/>
      <c r="V5" s="877"/>
      <c r="W5" s="249"/>
      <c r="X5" s="250"/>
      <c r="Y5" s="877"/>
      <c r="Z5" s="249"/>
      <c r="AA5" s="250"/>
      <c r="AB5" s="877"/>
      <c r="AC5" s="249"/>
      <c r="AD5" s="250"/>
      <c r="AE5" s="872" t="s">
        <v>9008</v>
      </c>
    </row>
    <row r="6">
      <c r="A6" s="872" t="s">
        <v>8863</v>
      </c>
      <c r="B6" s="872" t="s">
        <v>9009</v>
      </c>
      <c r="C6" s="951"/>
      <c r="D6" s="249"/>
      <c r="E6" s="250"/>
      <c r="F6" s="933"/>
      <c r="G6" s="249"/>
      <c r="H6" s="250"/>
      <c r="I6" s="950"/>
      <c r="J6" s="249"/>
      <c r="K6" s="250"/>
      <c r="L6" s="951"/>
      <c r="M6" s="249"/>
      <c r="N6" s="250"/>
      <c r="O6" s="872" t="s">
        <v>9009</v>
      </c>
      <c r="P6" s="877"/>
      <c r="Q6" s="249"/>
      <c r="R6" s="250"/>
      <c r="S6" s="877"/>
      <c r="T6" s="249"/>
      <c r="U6" s="250"/>
      <c r="V6" s="877"/>
      <c r="W6" s="249"/>
      <c r="X6" s="250"/>
      <c r="Y6" s="877"/>
      <c r="Z6" s="249"/>
      <c r="AA6" s="250"/>
      <c r="AB6" s="877"/>
      <c r="AC6" s="249"/>
      <c r="AD6" s="250"/>
      <c r="AE6" s="872" t="s">
        <v>9009</v>
      </c>
    </row>
    <row r="7">
      <c r="A7" s="872" t="s">
        <v>8865</v>
      </c>
      <c r="B7" s="872" t="s">
        <v>9010</v>
      </c>
      <c r="C7" s="951"/>
      <c r="D7" s="249"/>
      <c r="E7" s="250"/>
      <c r="F7" s="952"/>
      <c r="G7" s="249"/>
      <c r="H7" s="250"/>
      <c r="I7" s="950"/>
      <c r="J7" s="249"/>
      <c r="K7" s="250"/>
      <c r="L7" s="951"/>
      <c r="M7" s="249"/>
      <c r="N7" s="250"/>
      <c r="O7" s="872" t="s">
        <v>9010</v>
      </c>
      <c r="P7" s="877"/>
      <c r="Q7" s="249"/>
      <c r="R7" s="250"/>
      <c r="S7" s="877"/>
      <c r="T7" s="249"/>
      <c r="U7" s="250"/>
      <c r="V7" s="877"/>
      <c r="W7" s="249"/>
      <c r="X7" s="250"/>
      <c r="Y7" s="877"/>
      <c r="Z7" s="249"/>
      <c r="AA7" s="250"/>
      <c r="AB7" s="877"/>
      <c r="AC7" s="249"/>
      <c r="AD7" s="250"/>
      <c r="AE7" s="872" t="s">
        <v>9010</v>
      </c>
    </row>
    <row r="8">
      <c r="A8" s="872" t="s">
        <v>8867</v>
      </c>
      <c r="B8" s="872" t="s">
        <v>9011</v>
      </c>
      <c r="C8" s="951"/>
      <c r="D8" s="249"/>
      <c r="E8" s="250"/>
      <c r="F8" s="949"/>
      <c r="G8" s="249"/>
      <c r="H8" s="250"/>
      <c r="I8" s="949"/>
      <c r="J8" s="249"/>
      <c r="K8" s="250"/>
      <c r="L8" s="951"/>
      <c r="M8" s="249"/>
      <c r="N8" s="250"/>
      <c r="O8" s="872" t="s">
        <v>9011</v>
      </c>
      <c r="P8" s="877"/>
      <c r="Q8" s="249"/>
      <c r="R8" s="250"/>
      <c r="S8" s="877"/>
      <c r="T8" s="249"/>
      <c r="U8" s="250"/>
      <c r="V8" s="877"/>
      <c r="W8" s="249"/>
      <c r="X8" s="250"/>
      <c r="Y8" s="877"/>
      <c r="Z8" s="249"/>
      <c r="AA8" s="250"/>
      <c r="AB8" s="877"/>
      <c r="AC8" s="249"/>
      <c r="AD8" s="250"/>
      <c r="AE8" s="872" t="s">
        <v>9011</v>
      </c>
    </row>
    <row r="9">
      <c r="A9" s="872" t="s">
        <v>7559</v>
      </c>
      <c r="B9" s="872" t="s">
        <v>9012</v>
      </c>
      <c r="C9" s="948"/>
      <c r="D9" s="249"/>
      <c r="E9" s="250"/>
      <c r="F9" s="949"/>
      <c r="G9" s="249"/>
      <c r="H9" s="250"/>
      <c r="I9" s="950"/>
      <c r="J9" s="249"/>
      <c r="K9" s="250"/>
      <c r="L9" s="951"/>
      <c r="M9" s="249"/>
      <c r="N9" s="250"/>
      <c r="O9" s="872" t="s">
        <v>9012</v>
      </c>
      <c r="P9" s="877"/>
      <c r="Q9" s="249"/>
      <c r="R9" s="250"/>
      <c r="S9" s="877"/>
      <c r="T9" s="249"/>
      <c r="U9" s="250"/>
      <c r="V9" s="877"/>
      <c r="W9" s="249"/>
      <c r="X9" s="250"/>
      <c r="Y9" s="877"/>
      <c r="Z9" s="249"/>
      <c r="AA9" s="250"/>
      <c r="AB9" s="877"/>
      <c r="AC9" s="249"/>
      <c r="AD9" s="250"/>
      <c r="AE9" s="872" t="s">
        <v>9012</v>
      </c>
    </row>
    <row r="10">
      <c r="A10" s="872" t="s">
        <v>8858</v>
      </c>
      <c r="B10" s="872" t="s">
        <v>9013</v>
      </c>
      <c r="C10" s="951"/>
      <c r="D10" s="249"/>
      <c r="E10" s="250"/>
      <c r="F10" s="949"/>
      <c r="G10" s="249"/>
      <c r="H10" s="250"/>
      <c r="I10" s="953"/>
      <c r="J10" s="249"/>
      <c r="K10" s="250"/>
      <c r="L10" s="951"/>
      <c r="M10" s="249"/>
      <c r="N10" s="250"/>
      <c r="O10" s="872" t="s">
        <v>9013</v>
      </c>
      <c r="P10" s="877"/>
      <c r="Q10" s="249"/>
      <c r="R10" s="250"/>
      <c r="S10" s="877"/>
      <c r="T10" s="249"/>
      <c r="U10" s="250"/>
      <c r="V10" s="877"/>
      <c r="W10" s="249"/>
      <c r="X10" s="250"/>
      <c r="Y10" s="877"/>
      <c r="Z10" s="249"/>
      <c r="AA10" s="250"/>
      <c r="AB10" s="877"/>
      <c r="AC10" s="249"/>
      <c r="AD10" s="250"/>
      <c r="AE10" s="872" t="s">
        <v>9013</v>
      </c>
    </row>
    <row r="11">
      <c r="A11" s="872" t="s">
        <v>8861</v>
      </c>
      <c r="B11" s="872" t="s">
        <v>9014</v>
      </c>
      <c r="C11" s="951"/>
      <c r="D11" s="249"/>
      <c r="E11" s="250"/>
      <c r="F11" s="949"/>
      <c r="G11" s="249"/>
      <c r="H11" s="250"/>
      <c r="I11" s="954"/>
      <c r="J11" s="249"/>
      <c r="K11" s="250"/>
      <c r="L11" s="951"/>
      <c r="M11" s="249"/>
      <c r="N11" s="250"/>
      <c r="O11" s="872" t="s">
        <v>9014</v>
      </c>
      <c r="P11" s="877"/>
      <c r="Q11" s="249"/>
      <c r="R11" s="250"/>
      <c r="S11" s="877"/>
      <c r="T11" s="249"/>
      <c r="U11" s="250"/>
      <c r="V11" s="877"/>
      <c r="W11" s="249"/>
      <c r="X11" s="250"/>
      <c r="Y11" s="877"/>
      <c r="Z11" s="249"/>
      <c r="AA11" s="250"/>
      <c r="AB11" s="877"/>
      <c r="AC11" s="249"/>
      <c r="AD11" s="250"/>
      <c r="AE11" s="872" t="s">
        <v>9014</v>
      </c>
    </row>
    <row r="12">
      <c r="A12" s="872" t="s">
        <v>8862</v>
      </c>
      <c r="B12" s="872" t="s">
        <v>9015</v>
      </c>
      <c r="C12" s="951"/>
      <c r="D12" s="249"/>
      <c r="E12" s="250"/>
      <c r="F12" s="949"/>
      <c r="G12" s="249"/>
      <c r="H12" s="250"/>
      <c r="I12" s="955"/>
      <c r="J12" s="249"/>
      <c r="K12" s="250"/>
      <c r="L12" s="951"/>
      <c r="M12" s="249"/>
      <c r="N12" s="250"/>
      <c r="O12" s="872" t="s">
        <v>9015</v>
      </c>
      <c r="P12" s="877"/>
      <c r="Q12" s="249"/>
      <c r="R12" s="250"/>
      <c r="S12" s="877"/>
      <c r="T12" s="249"/>
      <c r="U12" s="250"/>
      <c r="V12" s="877"/>
      <c r="W12" s="249"/>
      <c r="X12" s="250"/>
      <c r="Y12" s="877"/>
      <c r="Z12" s="249"/>
      <c r="AA12" s="250"/>
      <c r="AB12" s="877"/>
      <c r="AC12" s="249"/>
      <c r="AD12" s="250"/>
      <c r="AE12" s="872" t="s">
        <v>9015</v>
      </c>
    </row>
    <row r="13">
      <c r="A13" s="872" t="s">
        <v>8863</v>
      </c>
      <c r="B13" s="872" t="s">
        <v>9016</v>
      </c>
      <c r="C13" s="951"/>
      <c r="D13" s="249"/>
      <c r="E13" s="250"/>
      <c r="F13" s="949"/>
      <c r="G13" s="249"/>
      <c r="H13" s="250"/>
      <c r="I13" s="949"/>
      <c r="J13" s="249"/>
      <c r="K13" s="250"/>
      <c r="L13" s="951"/>
      <c r="M13" s="249"/>
      <c r="N13" s="250"/>
      <c r="O13" s="872" t="s">
        <v>9016</v>
      </c>
      <c r="P13" s="877"/>
      <c r="Q13" s="249"/>
      <c r="R13" s="250"/>
      <c r="S13" s="877"/>
      <c r="T13" s="249"/>
      <c r="U13" s="250"/>
      <c r="V13" s="877"/>
      <c r="W13" s="249"/>
      <c r="X13" s="250"/>
      <c r="Y13" s="877"/>
      <c r="Z13" s="249"/>
      <c r="AA13" s="250"/>
      <c r="AB13" s="877"/>
      <c r="AC13" s="249"/>
      <c r="AD13" s="250"/>
      <c r="AE13" s="872" t="s">
        <v>9016</v>
      </c>
    </row>
    <row r="14">
      <c r="A14" s="872" t="s">
        <v>8865</v>
      </c>
      <c r="B14" s="872" t="s">
        <v>9017</v>
      </c>
      <c r="C14" s="877"/>
      <c r="D14" s="249"/>
      <c r="E14" s="250"/>
      <c r="F14" s="876"/>
      <c r="G14" s="249"/>
      <c r="H14" s="250"/>
      <c r="I14" s="883"/>
      <c r="J14" s="249"/>
      <c r="K14" s="250"/>
      <c r="L14" s="874" t="s">
        <v>9018</v>
      </c>
      <c r="M14" s="249"/>
      <c r="N14" s="250"/>
      <c r="O14" s="872" t="s">
        <v>9017</v>
      </c>
      <c r="P14" s="874" t="s">
        <v>9018</v>
      </c>
      <c r="Q14" s="249"/>
      <c r="R14" s="250"/>
      <c r="S14" s="877"/>
      <c r="T14" s="249"/>
      <c r="U14" s="250"/>
      <c r="V14" s="874" t="s">
        <v>9019</v>
      </c>
      <c r="W14" s="249"/>
      <c r="X14" s="250"/>
      <c r="Y14" s="877"/>
      <c r="Z14" s="249"/>
      <c r="AA14" s="250"/>
      <c r="AB14" s="877"/>
      <c r="AC14" s="249"/>
      <c r="AD14" s="250"/>
      <c r="AE14" s="872" t="s">
        <v>9017</v>
      </c>
    </row>
    <row r="15">
      <c r="A15" s="872" t="s">
        <v>8867</v>
      </c>
      <c r="B15" s="872" t="s">
        <v>9020</v>
      </c>
      <c r="C15" s="877"/>
      <c r="D15" s="249"/>
      <c r="E15" s="250"/>
      <c r="F15" s="875" t="s">
        <v>9021</v>
      </c>
      <c r="G15" s="249"/>
      <c r="H15" s="250"/>
      <c r="I15" s="876"/>
      <c r="J15" s="249"/>
      <c r="K15" s="250"/>
      <c r="L15" s="874" t="s">
        <v>9018</v>
      </c>
      <c r="M15" s="249"/>
      <c r="N15" s="250"/>
      <c r="O15" s="872" t="s">
        <v>9020</v>
      </c>
      <c r="P15" s="874" t="s">
        <v>9018</v>
      </c>
      <c r="Q15" s="249"/>
      <c r="R15" s="250"/>
      <c r="S15" s="874" t="s">
        <v>9022</v>
      </c>
      <c r="T15" s="249"/>
      <c r="U15" s="250"/>
      <c r="V15" s="874" t="s">
        <v>9019</v>
      </c>
      <c r="W15" s="249"/>
      <c r="X15" s="250"/>
      <c r="Y15" s="877"/>
      <c r="Z15" s="249"/>
      <c r="AA15" s="250"/>
      <c r="AB15" s="877"/>
      <c r="AC15" s="249"/>
      <c r="AD15" s="250"/>
      <c r="AE15" s="872" t="s">
        <v>9020</v>
      </c>
    </row>
    <row r="16">
      <c r="A16" s="872" t="s">
        <v>7559</v>
      </c>
      <c r="B16" s="872" t="s">
        <v>9023</v>
      </c>
      <c r="C16" s="877"/>
      <c r="D16" s="249"/>
      <c r="E16" s="250"/>
      <c r="F16" s="875"/>
      <c r="G16" s="249"/>
      <c r="H16" s="250"/>
      <c r="I16" s="880" t="s">
        <v>9024</v>
      </c>
      <c r="J16" s="249"/>
      <c r="K16" s="250"/>
      <c r="L16" s="874" t="s">
        <v>9018</v>
      </c>
      <c r="M16" s="249"/>
      <c r="N16" s="250"/>
      <c r="O16" s="872" t="s">
        <v>9023</v>
      </c>
      <c r="P16" s="874" t="s">
        <v>9018</v>
      </c>
      <c r="Q16" s="249"/>
      <c r="R16" s="250"/>
      <c r="S16" s="874" t="s">
        <v>9022</v>
      </c>
      <c r="T16" s="249"/>
      <c r="U16" s="250"/>
      <c r="V16" s="874" t="s">
        <v>9019</v>
      </c>
      <c r="W16" s="249"/>
      <c r="X16" s="250"/>
      <c r="Y16" s="877"/>
      <c r="Z16" s="249"/>
      <c r="AA16" s="250"/>
      <c r="AB16" s="877"/>
      <c r="AC16" s="249"/>
      <c r="AD16" s="250"/>
      <c r="AE16" s="872" t="s">
        <v>9023</v>
      </c>
    </row>
    <row r="17">
      <c r="A17" s="872" t="s">
        <v>8858</v>
      </c>
      <c r="B17" s="872" t="s">
        <v>9025</v>
      </c>
      <c r="C17" s="877"/>
      <c r="D17" s="249"/>
      <c r="E17" s="250"/>
      <c r="F17" s="875"/>
      <c r="G17" s="249"/>
      <c r="H17" s="250"/>
      <c r="I17" s="880"/>
      <c r="J17" s="249"/>
      <c r="K17" s="250"/>
      <c r="L17" s="877"/>
      <c r="M17" s="249"/>
      <c r="N17" s="250"/>
      <c r="O17" s="872" t="s">
        <v>9025</v>
      </c>
      <c r="P17" s="874"/>
      <c r="Q17" s="249"/>
      <c r="R17" s="250"/>
      <c r="S17" s="874"/>
      <c r="T17" s="249"/>
      <c r="U17" s="250"/>
      <c r="V17" s="874" t="s">
        <v>9019</v>
      </c>
      <c r="W17" s="249"/>
      <c r="X17" s="250"/>
      <c r="Y17" s="877"/>
      <c r="Z17" s="249"/>
      <c r="AA17" s="250"/>
      <c r="AB17" s="877"/>
      <c r="AC17" s="249"/>
      <c r="AD17" s="250"/>
      <c r="AE17" s="872" t="s">
        <v>9025</v>
      </c>
    </row>
    <row r="18">
      <c r="A18" s="872" t="s">
        <v>8861</v>
      </c>
      <c r="B18" s="872" t="s">
        <v>9026</v>
      </c>
      <c r="C18" s="877"/>
      <c r="D18" s="249"/>
      <c r="E18" s="250"/>
      <c r="F18" s="875"/>
      <c r="G18" s="249"/>
      <c r="H18" s="250"/>
      <c r="I18" s="880"/>
      <c r="J18" s="249"/>
      <c r="K18" s="250"/>
      <c r="L18" s="877"/>
      <c r="M18" s="249"/>
      <c r="N18" s="250"/>
      <c r="O18" s="872" t="s">
        <v>9026</v>
      </c>
      <c r="P18" s="874"/>
      <c r="Q18" s="249"/>
      <c r="R18" s="250"/>
      <c r="S18" s="874"/>
      <c r="T18" s="249"/>
      <c r="U18" s="250"/>
      <c r="V18" s="877"/>
      <c r="W18" s="249"/>
      <c r="X18" s="250"/>
      <c r="Y18" s="877"/>
      <c r="Z18" s="249"/>
      <c r="AA18" s="250"/>
      <c r="AB18" s="877"/>
      <c r="AC18" s="249"/>
      <c r="AD18" s="250"/>
      <c r="AE18" s="872" t="s">
        <v>9026</v>
      </c>
    </row>
    <row r="19">
      <c r="A19" s="872" t="s">
        <v>8862</v>
      </c>
      <c r="B19" s="872" t="s">
        <v>9027</v>
      </c>
      <c r="C19" s="877"/>
      <c r="D19" s="249"/>
      <c r="E19" s="250"/>
      <c r="F19" s="875"/>
      <c r="G19" s="249"/>
      <c r="H19" s="250"/>
      <c r="I19" s="876"/>
      <c r="J19" s="249"/>
      <c r="K19" s="250"/>
      <c r="L19" s="877"/>
      <c r="M19" s="249"/>
      <c r="N19" s="250"/>
      <c r="O19" s="872" t="s">
        <v>9027</v>
      </c>
      <c r="P19" s="877"/>
      <c r="Q19" s="249"/>
      <c r="R19" s="250"/>
      <c r="S19" s="877"/>
      <c r="T19" s="249"/>
      <c r="U19" s="250"/>
      <c r="V19" s="877"/>
      <c r="W19" s="249"/>
      <c r="X19" s="250"/>
      <c r="Y19" s="877"/>
      <c r="Z19" s="249"/>
      <c r="AA19" s="250"/>
      <c r="AB19" s="877"/>
      <c r="AC19" s="249"/>
      <c r="AD19" s="250"/>
      <c r="AE19" s="872" t="s">
        <v>9027</v>
      </c>
    </row>
    <row r="20">
      <c r="A20" s="872" t="s">
        <v>8863</v>
      </c>
      <c r="B20" s="872" t="s">
        <v>9028</v>
      </c>
      <c r="C20" s="874"/>
      <c r="D20" s="249"/>
      <c r="E20" s="250"/>
      <c r="F20" s="875"/>
      <c r="G20" s="249"/>
      <c r="H20" s="250"/>
      <c r="I20" s="956" t="s">
        <v>9029</v>
      </c>
      <c r="J20" s="249"/>
      <c r="K20" s="250"/>
      <c r="L20" s="877"/>
      <c r="M20" s="249"/>
      <c r="N20" s="250"/>
      <c r="O20" s="872" t="s">
        <v>9028</v>
      </c>
      <c r="P20" s="957" t="s">
        <v>9029</v>
      </c>
      <c r="Q20" s="249"/>
      <c r="R20" s="250"/>
      <c r="S20" s="877"/>
      <c r="T20" s="249"/>
      <c r="U20" s="250"/>
      <c r="V20" s="877"/>
      <c r="W20" s="249"/>
      <c r="X20" s="250"/>
      <c r="Y20" s="877"/>
      <c r="Z20" s="249"/>
      <c r="AA20" s="250"/>
      <c r="AB20" s="877"/>
      <c r="AC20" s="249"/>
      <c r="AD20" s="250"/>
      <c r="AE20" s="872" t="s">
        <v>9028</v>
      </c>
    </row>
    <row r="21">
      <c r="A21" s="872" t="s">
        <v>8865</v>
      </c>
      <c r="B21" s="872" t="s">
        <v>9030</v>
      </c>
      <c r="C21" s="877"/>
      <c r="D21" s="249"/>
      <c r="E21" s="250"/>
      <c r="F21" s="928"/>
      <c r="G21" s="249"/>
      <c r="H21" s="250"/>
      <c r="I21" s="956" t="s">
        <v>9029</v>
      </c>
      <c r="J21" s="249"/>
      <c r="K21" s="250"/>
      <c r="L21" s="874" t="s">
        <v>9031</v>
      </c>
      <c r="M21" s="249"/>
      <c r="N21" s="250"/>
      <c r="O21" s="872" t="s">
        <v>9030</v>
      </c>
      <c r="P21" s="957" t="s">
        <v>9029</v>
      </c>
      <c r="Q21" s="249"/>
      <c r="R21" s="250"/>
      <c r="S21" s="958" t="s">
        <v>9031</v>
      </c>
      <c r="T21" s="249"/>
      <c r="U21" s="250"/>
      <c r="V21" s="874" t="s">
        <v>9032</v>
      </c>
      <c r="W21" s="249"/>
      <c r="X21" s="250"/>
      <c r="Y21" s="877"/>
      <c r="Z21" s="249"/>
      <c r="AA21" s="250"/>
      <c r="AB21" s="877"/>
      <c r="AC21" s="249"/>
      <c r="AD21" s="250"/>
      <c r="AE21" s="872" t="s">
        <v>9030</v>
      </c>
    </row>
    <row r="22">
      <c r="A22" s="872" t="s">
        <v>8867</v>
      </c>
      <c r="B22" s="872" t="s">
        <v>2309</v>
      </c>
      <c r="C22" s="874" t="s">
        <v>9033</v>
      </c>
      <c r="D22" s="249"/>
      <c r="E22" s="250"/>
      <c r="F22" s="928"/>
      <c r="G22" s="249"/>
      <c r="H22" s="250"/>
      <c r="I22" s="956" t="s">
        <v>9029</v>
      </c>
      <c r="J22" s="249"/>
      <c r="K22" s="250"/>
      <c r="L22" s="874" t="s">
        <v>9031</v>
      </c>
      <c r="M22" s="249"/>
      <c r="N22" s="250"/>
      <c r="O22" s="872" t="s">
        <v>2309</v>
      </c>
      <c r="P22" s="957" t="s">
        <v>9029</v>
      </c>
      <c r="Q22" s="249"/>
      <c r="R22" s="250"/>
      <c r="S22" s="958" t="s">
        <v>9031</v>
      </c>
      <c r="T22" s="249"/>
      <c r="U22" s="250"/>
      <c r="V22" s="874" t="s">
        <v>9032</v>
      </c>
      <c r="W22" s="249"/>
      <c r="X22" s="250"/>
      <c r="Y22" s="877"/>
      <c r="Z22" s="249"/>
      <c r="AA22" s="250"/>
      <c r="AB22" s="877"/>
      <c r="AC22" s="249"/>
      <c r="AD22" s="250"/>
      <c r="AE22" s="872" t="s">
        <v>2309</v>
      </c>
    </row>
    <row r="23">
      <c r="A23" s="872" t="s">
        <v>7559</v>
      </c>
      <c r="B23" s="872" t="s">
        <v>9034</v>
      </c>
      <c r="C23" s="877"/>
      <c r="D23" s="249"/>
      <c r="E23" s="250"/>
      <c r="F23" s="928"/>
      <c r="G23" s="249"/>
      <c r="H23" s="250"/>
      <c r="I23" s="956" t="s">
        <v>9029</v>
      </c>
      <c r="J23" s="249"/>
      <c r="K23" s="250"/>
      <c r="L23" s="874" t="s">
        <v>9031</v>
      </c>
      <c r="M23" s="249"/>
      <c r="N23" s="250"/>
      <c r="O23" s="872" t="s">
        <v>9034</v>
      </c>
      <c r="P23" s="957" t="s">
        <v>9029</v>
      </c>
      <c r="Q23" s="249"/>
      <c r="R23" s="250"/>
      <c r="S23" s="958" t="s">
        <v>9031</v>
      </c>
      <c r="T23" s="249"/>
      <c r="U23" s="250"/>
      <c r="V23" s="874" t="s">
        <v>9032</v>
      </c>
      <c r="W23" s="249"/>
      <c r="X23" s="250"/>
      <c r="Y23" s="877"/>
      <c r="Z23" s="249"/>
      <c r="AA23" s="250"/>
      <c r="AB23" s="877"/>
      <c r="AC23" s="249"/>
      <c r="AD23" s="250"/>
      <c r="AE23" s="872" t="s">
        <v>9034</v>
      </c>
    </row>
    <row r="24">
      <c r="A24" s="872" t="s">
        <v>8858</v>
      </c>
      <c r="B24" s="872" t="s">
        <v>9035</v>
      </c>
      <c r="C24" s="877"/>
      <c r="D24" s="249"/>
      <c r="E24" s="250"/>
      <c r="F24" s="928"/>
      <c r="G24" s="249"/>
      <c r="H24" s="250"/>
      <c r="I24" s="883"/>
      <c r="J24" s="249"/>
      <c r="K24" s="250"/>
      <c r="L24" s="874" t="s">
        <v>9031</v>
      </c>
      <c r="M24" s="249"/>
      <c r="N24" s="250"/>
      <c r="O24" s="872" t="s">
        <v>9035</v>
      </c>
      <c r="P24" s="877"/>
      <c r="Q24" s="249"/>
      <c r="R24" s="250"/>
      <c r="S24" s="958" t="s">
        <v>9031</v>
      </c>
      <c r="T24" s="249"/>
      <c r="U24" s="250"/>
      <c r="V24" s="874"/>
      <c r="W24" s="249"/>
      <c r="X24" s="250"/>
      <c r="Y24" s="877"/>
      <c r="Z24" s="249"/>
      <c r="AA24" s="250"/>
      <c r="AB24" s="877"/>
      <c r="AC24" s="249"/>
      <c r="AD24" s="250"/>
      <c r="AE24" s="872" t="s">
        <v>9035</v>
      </c>
    </row>
    <row r="25">
      <c r="A25" s="872" t="s">
        <v>8861</v>
      </c>
      <c r="B25" s="872" t="s">
        <v>9036</v>
      </c>
      <c r="C25" s="877"/>
      <c r="D25" s="249"/>
      <c r="E25" s="250"/>
      <c r="F25" s="876"/>
      <c r="G25" s="249"/>
      <c r="H25" s="250"/>
      <c r="I25" s="883"/>
      <c r="J25" s="249"/>
      <c r="K25" s="250"/>
      <c r="L25" s="877"/>
      <c r="M25" s="249"/>
      <c r="N25" s="250"/>
      <c r="O25" s="872" t="s">
        <v>9036</v>
      </c>
      <c r="P25" s="877"/>
      <c r="Q25" s="249"/>
      <c r="R25" s="250"/>
      <c r="S25" s="874"/>
      <c r="T25" s="249"/>
      <c r="U25" s="250"/>
      <c r="V25" s="874"/>
      <c r="W25" s="249"/>
      <c r="X25" s="250"/>
      <c r="Y25" s="877"/>
      <c r="Z25" s="249"/>
      <c r="AA25" s="250"/>
      <c r="AB25" s="877"/>
      <c r="AC25" s="249"/>
      <c r="AD25" s="250"/>
      <c r="AE25" s="872" t="s">
        <v>9036</v>
      </c>
    </row>
    <row r="26">
      <c r="A26" s="872" t="s">
        <v>8862</v>
      </c>
      <c r="B26" s="872" t="s">
        <v>9037</v>
      </c>
      <c r="C26" s="877"/>
      <c r="D26" s="249"/>
      <c r="E26" s="250"/>
      <c r="F26" s="875" t="s">
        <v>9038</v>
      </c>
      <c r="G26" s="249"/>
      <c r="H26" s="250"/>
      <c r="I26" s="883"/>
      <c r="J26" s="249"/>
      <c r="K26" s="250"/>
      <c r="L26" s="877"/>
      <c r="M26" s="249"/>
      <c r="N26" s="250"/>
      <c r="O26" s="872" t="s">
        <v>9037</v>
      </c>
      <c r="P26" s="877"/>
      <c r="Q26" s="249"/>
      <c r="R26" s="250"/>
      <c r="S26" s="877"/>
      <c r="T26" s="249"/>
      <c r="U26" s="250"/>
      <c r="V26" s="877"/>
      <c r="W26" s="249"/>
      <c r="X26" s="250"/>
      <c r="Y26" s="877"/>
      <c r="Z26" s="249"/>
      <c r="AA26" s="250"/>
      <c r="AB26" s="877"/>
      <c r="AC26" s="249"/>
      <c r="AD26" s="250"/>
      <c r="AE26" s="872" t="s">
        <v>9037</v>
      </c>
    </row>
    <row r="27">
      <c r="A27" s="872" t="s">
        <v>8863</v>
      </c>
      <c r="B27" s="872" t="s">
        <v>9039</v>
      </c>
      <c r="C27" s="877"/>
      <c r="D27" s="249"/>
      <c r="E27" s="250"/>
      <c r="F27" s="956" t="s">
        <v>9040</v>
      </c>
      <c r="G27" s="249"/>
      <c r="H27" s="250"/>
      <c r="I27" s="876"/>
      <c r="J27" s="249"/>
      <c r="K27" s="250"/>
      <c r="L27" s="928"/>
      <c r="M27" s="249"/>
      <c r="N27" s="250"/>
      <c r="O27" s="872" t="s">
        <v>9039</v>
      </c>
      <c r="P27" s="956" t="s">
        <v>9040</v>
      </c>
      <c r="Q27" s="249"/>
      <c r="R27" s="250"/>
      <c r="S27" s="877"/>
      <c r="T27" s="249"/>
      <c r="U27" s="250"/>
      <c r="V27" s="877"/>
      <c r="W27" s="249"/>
      <c r="X27" s="250"/>
      <c r="Y27" s="877"/>
      <c r="Z27" s="249"/>
      <c r="AA27" s="250"/>
      <c r="AB27" s="877"/>
      <c r="AC27" s="249"/>
      <c r="AD27" s="250"/>
      <c r="AE27" s="872" t="s">
        <v>9039</v>
      </c>
    </row>
    <row r="28">
      <c r="A28" s="872" t="s">
        <v>8865</v>
      </c>
      <c r="B28" s="872" t="s">
        <v>9041</v>
      </c>
      <c r="C28" s="877"/>
      <c r="D28" s="249"/>
      <c r="E28" s="250"/>
      <c r="F28" s="956" t="s">
        <v>6542</v>
      </c>
      <c r="G28" s="249"/>
      <c r="H28" s="250"/>
      <c r="I28" s="883"/>
      <c r="J28" s="249"/>
      <c r="K28" s="250"/>
      <c r="L28" s="928"/>
      <c r="M28" s="249"/>
      <c r="N28" s="250"/>
      <c r="O28" s="872" t="s">
        <v>9041</v>
      </c>
      <c r="P28" s="956" t="s">
        <v>6542</v>
      </c>
      <c r="Q28" s="249"/>
      <c r="R28" s="250"/>
      <c r="S28" s="874" t="s">
        <v>9042</v>
      </c>
      <c r="T28" s="249"/>
      <c r="U28" s="250"/>
      <c r="V28" s="877"/>
      <c r="W28" s="249"/>
      <c r="X28" s="250"/>
      <c r="Y28" s="877"/>
      <c r="Z28" s="249"/>
      <c r="AA28" s="250"/>
      <c r="AB28" s="877"/>
      <c r="AC28" s="249"/>
      <c r="AD28" s="250"/>
      <c r="AE28" s="872" t="s">
        <v>9041</v>
      </c>
    </row>
    <row r="29">
      <c r="A29" s="872" t="s">
        <v>8867</v>
      </c>
      <c r="B29" s="872" t="s">
        <v>9043</v>
      </c>
      <c r="C29" s="891" t="s">
        <v>9044</v>
      </c>
      <c r="D29" s="249"/>
      <c r="E29" s="250"/>
      <c r="F29" s="956" t="s">
        <v>6542</v>
      </c>
      <c r="G29" s="249"/>
      <c r="H29" s="250"/>
      <c r="I29" s="891" t="s">
        <v>9044</v>
      </c>
      <c r="J29" s="249"/>
      <c r="K29" s="250"/>
      <c r="L29" s="928"/>
      <c r="M29" s="249"/>
      <c r="N29" s="250"/>
      <c r="O29" s="872" t="s">
        <v>9043</v>
      </c>
      <c r="P29" s="956" t="s">
        <v>6542</v>
      </c>
      <c r="Q29" s="249"/>
      <c r="R29" s="250"/>
      <c r="S29" s="874" t="s">
        <v>9042</v>
      </c>
      <c r="T29" s="249"/>
      <c r="U29" s="250"/>
      <c r="V29" s="877"/>
      <c r="W29" s="249"/>
      <c r="X29" s="250"/>
      <c r="Y29" s="877"/>
      <c r="Z29" s="249"/>
      <c r="AA29" s="250"/>
      <c r="AB29" s="877"/>
      <c r="AC29" s="249"/>
      <c r="AD29" s="250"/>
      <c r="AE29" s="872" t="s">
        <v>9043</v>
      </c>
    </row>
    <row r="30">
      <c r="A30" s="872" t="s">
        <v>7559</v>
      </c>
      <c r="B30" s="872" t="s">
        <v>9045</v>
      </c>
      <c r="C30" s="877"/>
      <c r="D30" s="249"/>
      <c r="E30" s="250"/>
      <c r="F30" s="956" t="s">
        <v>6542</v>
      </c>
      <c r="G30" s="249"/>
      <c r="H30" s="250"/>
      <c r="I30" s="876"/>
      <c r="J30" s="249"/>
      <c r="K30" s="250"/>
      <c r="L30" s="928"/>
      <c r="M30" s="249"/>
      <c r="N30" s="250"/>
      <c r="O30" s="872" t="s">
        <v>9045</v>
      </c>
      <c r="P30" s="956" t="s">
        <v>6542</v>
      </c>
      <c r="Q30" s="249"/>
      <c r="R30" s="250"/>
      <c r="S30" s="874" t="s">
        <v>9042</v>
      </c>
      <c r="T30" s="249"/>
      <c r="U30" s="250"/>
      <c r="V30" s="874"/>
      <c r="W30" s="249"/>
      <c r="X30" s="250"/>
      <c r="Y30" s="874"/>
      <c r="Z30" s="249"/>
      <c r="AA30" s="250"/>
      <c r="AB30" s="877"/>
      <c r="AC30" s="249"/>
      <c r="AD30" s="250"/>
      <c r="AE30" s="872" t="s">
        <v>9045</v>
      </c>
    </row>
    <row r="31">
      <c r="A31" s="872" t="s">
        <v>8858</v>
      </c>
      <c r="B31" s="872" t="s">
        <v>9046</v>
      </c>
      <c r="C31" s="877"/>
      <c r="D31" s="249"/>
      <c r="E31" s="250"/>
      <c r="F31" s="876"/>
      <c r="G31" s="249"/>
      <c r="H31" s="250"/>
      <c r="I31" s="883"/>
      <c r="J31" s="249"/>
      <c r="K31" s="250"/>
      <c r="L31" s="877"/>
      <c r="M31" s="249"/>
      <c r="N31" s="250"/>
      <c r="O31" s="872" t="s">
        <v>9046</v>
      </c>
      <c r="P31" s="877"/>
      <c r="Q31" s="249"/>
      <c r="R31" s="250"/>
      <c r="S31" s="877"/>
      <c r="T31" s="249"/>
      <c r="U31" s="250"/>
      <c r="V31" s="874"/>
      <c r="W31" s="249"/>
      <c r="X31" s="250"/>
      <c r="Y31" s="874"/>
      <c r="Z31" s="249"/>
      <c r="AA31" s="250"/>
      <c r="AB31" s="877"/>
      <c r="AC31" s="249"/>
      <c r="AD31" s="250"/>
      <c r="AE31" s="872" t="s">
        <v>9046</v>
      </c>
    </row>
    <row r="32">
      <c r="A32" s="872" t="s">
        <v>8861</v>
      </c>
      <c r="B32" s="959">
        <v>45200.0</v>
      </c>
      <c r="C32" s="877"/>
      <c r="D32" s="249"/>
      <c r="E32" s="250"/>
      <c r="F32" s="876"/>
      <c r="G32" s="249"/>
      <c r="H32" s="250"/>
      <c r="I32" s="883"/>
      <c r="J32" s="249"/>
      <c r="K32" s="250"/>
      <c r="L32" s="877"/>
      <c r="M32" s="249"/>
      <c r="N32" s="250"/>
      <c r="O32" s="959">
        <v>45200.0</v>
      </c>
      <c r="P32" s="877"/>
      <c r="Q32" s="249"/>
      <c r="R32" s="250"/>
      <c r="S32" s="877"/>
      <c r="T32" s="249"/>
      <c r="U32" s="250"/>
      <c r="V32" s="874"/>
      <c r="W32" s="249"/>
      <c r="X32" s="250"/>
      <c r="Y32" s="874"/>
      <c r="Z32" s="249"/>
      <c r="AA32" s="250"/>
      <c r="AB32" s="877"/>
      <c r="AC32" s="249"/>
      <c r="AD32" s="250"/>
      <c r="AE32" s="959">
        <v>45200.0</v>
      </c>
    </row>
    <row r="33">
      <c r="A33" s="872" t="s">
        <v>8862</v>
      </c>
      <c r="B33" s="959">
        <v>45201.0</v>
      </c>
      <c r="C33" s="877"/>
      <c r="D33" s="249"/>
      <c r="E33" s="250"/>
      <c r="F33" s="875" t="s">
        <v>9047</v>
      </c>
      <c r="G33" s="249"/>
      <c r="H33" s="250"/>
      <c r="I33" s="883"/>
      <c r="J33" s="249"/>
      <c r="K33" s="250"/>
      <c r="L33" s="877"/>
      <c r="M33" s="249"/>
      <c r="N33" s="250"/>
      <c r="O33" s="959">
        <v>45201.0</v>
      </c>
      <c r="P33" s="877"/>
      <c r="Q33" s="249"/>
      <c r="R33" s="250"/>
      <c r="S33" s="877"/>
      <c r="T33" s="249"/>
      <c r="U33" s="250"/>
      <c r="V33" s="877"/>
      <c r="W33" s="249"/>
      <c r="X33" s="250"/>
      <c r="Y33" s="877"/>
      <c r="Z33" s="249"/>
      <c r="AA33" s="250"/>
      <c r="AB33" s="877"/>
      <c r="AC33" s="249"/>
      <c r="AD33" s="250"/>
      <c r="AE33" s="959">
        <v>45201.0</v>
      </c>
    </row>
    <row r="34">
      <c r="A34" s="872" t="s">
        <v>8863</v>
      </c>
      <c r="B34" s="959">
        <v>45202.0</v>
      </c>
      <c r="C34" s="877"/>
      <c r="D34" s="249"/>
      <c r="E34" s="250"/>
      <c r="F34" s="956" t="s">
        <v>9048</v>
      </c>
      <c r="G34" s="249"/>
      <c r="H34" s="250"/>
      <c r="I34" s="956" t="s">
        <v>9048</v>
      </c>
      <c r="J34" s="249"/>
      <c r="K34" s="250"/>
      <c r="L34" s="877"/>
      <c r="M34" s="249"/>
      <c r="N34" s="250"/>
      <c r="O34" s="959">
        <v>45202.0</v>
      </c>
      <c r="P34" s="957" t="s">
        <v>9048</v>
      </c>
      <c r="Q34" s="249"/>
      <c r="R34" s="250"/>
      <c r="S34" s="960"/>
      <c r="T34" s="249"/>
      <c r="U34" s="250"/>
      <c r="V34" s="877"/>
      <c r="W34" s="249"/>
      <c r="X34" s="250"/>
      <c r="Y34" s="877"/>
      <c r="Z34" s="249"/>
      <c r="AA34" s="250"/>
      <c r="AB34" s="877"/>
      <c r="AC34" s="249"/>
      <c r="AD34" s="250"/>
      <c r="AE34" s="959">
        <v>45202.0</v>
      </c>
    </row>
    <row r="35">
      <c r="A35" s="872" t="s">
        <v>8865</v>
      </c>
      <c r="B35" s="959">
        <v>45203.0</v>
      </c>
      <c r="C35" s="877"/>
      <c r="D35" s="249"/>
      <c r="E35" s="250"/>
      <c r="F35" s="956" t="s">
        <v>9048</v>
      </c>
      <c r="G35" s="249"/>
      <c r="H35" s="250"/>
      <c r="I35" s="956" t="s">
        <v>9048</v>
      </c>
      <c r="J35" s="249"/>
      <c r="K35" s="250"/>
      <c r="L35" s="877"/>
      <c r="M35" s="249"/>
      <c r="N35" s="250"/>
      <c r="O35" s="959">
        <v>45203.0</v>
      </c>
      <c r="P35" s="957" t="s">
        <v>9048</v>
      </c>
      <c r="Q35" s="249"/>
      <c r="R35" s="250"/>
      <c r="S35" s="960"/>
      <c r="T35" s="249"/>
      <c r="U35" s="250"/>
      <c r="V35" s="877"/>
      <c r="W35" s="249"/>
      <c r="X35" s="250"/>
      <c r="Y35" s="877"/>
      <c r="Z35" s="249"/>
      <c r="AA35" s="250"/>
      <c r="AB35" s="877"/>
      <c r="AC35" s="249"/>
      <c r="AD35" s="250"/>
      <c r="AE35" s="959">
        <v>45203.0</v>
      </c>
    </row>
    <row r="36">
      <c r="A36" s="872" t="s">
        <v>8867</v>
      </c>
      <c r="B36" s="959">
        <v>45204.0</v>
      </c>
      <c r="C36" s="877"/>
      <c r="D36" s="249"/>
      <c r="E36" s="250"/>
      <c r="F36" s="956" t="s">
        <v>9048</v>
      </c>
      <c r="G36" s="249"/>
      <c r="H36" s="250"/>
      <c r="I36" s="956" t="s">
        <v>9048</v>
      </c>
      <c r="J36" s="249"/>
      <c r="K36" s="250"/>
      <c r="L36" s="877"/>
      <c r="M36" s="249"/>
      <c r="N36" s="250"/>
      <c r="O36" s="959">
        <v>45204.0</v>
      </c>
      <c r="P36" s="957" t="s">
        <v>9048</v>
      </c>
      <c r="Q36" s="249"/>
      <c r="R36" s="250"/>
      <c r="S36" s="960" t="s">
        <v>9049</v>
      </c>
      <c r="T36" s="249"/>
      <c r="U36" s="250"/>
      <c r="V36" s="877"/>
      <c r="W36" s="249"/>
      <c r="X36" s="250"/>
      <c r="Y36" s="877"/>
      <c r="Z36" s="249"/>
      <c r="AA36" s="250"/>
      <c r="AB36" s="877"/>
      <c r="AC36" s="249"/>
      <c r="AD36" s="250"/>
      <c r="AE36" s="959">
        <v>45204.0</v>
      </c>
    </row>
    <row r="37">
      <c r="A37" s="872" t="s">
        <v>7559</v>
      </c>
      <c r="B37" s="959">
        <v>45205.0</v>
      </c>
      <c r="C37" s="877"/>
      <c r="D37" s="249"/>
      <c r="E37" s="250"/>
      <c r="F37" s="956" t="s">
        <v>9048</v>
      </c>
      <c r="G37" s="249"/>
      <c r="H37" s="250"/>
      <c r="I37" s="956" t="s">
        <v>9048</v>
      </c>
      <c r="J37" s="249"/>
      <c r="K37" s="250"/>
      <c r="L37" s="877"/>
      <c r="M37" s="249"/>
      <c r="N37" s="250"/>
      <c r="O37" s="959">
        <v>45205.0</v>
      </c>
      <c r="P37" s="957" t="s">
        <v>9048</v>
      </c>
      <c r="Q37" s="249"/>
      <c r="R37" s="250"/>
      <c r="S37" s="960" t="s">
        <v>9049</v>
      </c>
      <c r="T37" s="249"/>
      <c r="U37" s="250"/>
      <c r="V37" s="877"/>
      <c r="W37" s="249"/>
      <c r="X37" s="250"/>
      <c r="Y37" s="877"/>
      <c r="Z37" s="249"/>
      <c r="AA37" s="250"/>
      <c r="AB37" s="877"/>
      <c r="AC37" s="249"/>
      <c r="AD37" s="250"/>
      <c r="AE37" s="959">
        <v>45205.0</v>
      </c>
    </row>
    <row r="38">
      <c r="A38" s="872" t="s">
        <v>8858</v>
      </c>
      <c r="B38" s="959">
        <v>45206.0</v>
      </c>
      <c r="C38" s="877"/>
      <c r="D38" s="249"/>
      <c r="E38" s="250"/>
      <c r="F38" s="875" t="s">
        <v>9050</v>
      </c>
      <c r="G38" s="249"/>
      <c r="H38" s="250"/>
      <c r="I38" s="883"/>
      <c r="J38" s="249"/>
      <c r="K38" s="250"/>
      <c r="L38" s="877"/>
      <c r="M38" s="249"/>
      <c r="N38" s="250"/>
      <c r="O38" s="959">
        <v>45206.0</v>
      </c>
      <c r="P38" s="877"/>
      <c r="Q38" s="249"/>
      <c r="R38" s="250"/>
      <c r="S38" s="877"/>
      <c r="T38" s="249"/>
      <c r="U38" s="250"/>
      <c r="V38" s="877"/>
      <c r="W38" s="249"/>
      <c r="X38" s="250"/>
      <c r="Y38" s="877"/>
      <c r="Z38" s="249"/>
      <c r="AA38" s="250"/>
      <c r="AB38" s="877"/>
      <c r="AC38" s="249"/>
      <c r="AD38" s="250"/>
      <c r="AE38" s="959">
        <v>45206.0</v>
      </c>
    </row>
    <row r="39">
      <c r="A39" s="872" t="s">
        <v>8861</v>
      </c>
      <c r="B39" s="959">
        <v>45207.0</v>
      </c>
      <c r="C39" s="877"/>
      <c r="D39" s="249"/>
      <c r="E39" s="250"/>
      <c r="F39" s="875"/>
      <c r="G39" s="249"/>
      <c r="H39" s="250"/>
      <c r="I39" s="892"/>
      <c r="J39" s="249"/>
      <c r="K39" s="250"/>
      <c r="L39" s="877"/>
      <c r="M39" s="249"/>
      <c r="N39" s="250"/>
      <c r="O39" s="959">
        <v>45207.0</v>
      </c>
      <c r="P39" s="877"/>
      <c r="Q39" s="249"/>
      <c r="R39" s="250"/>
      <c r="S39" s="877"/>
      <c r="T39" s="249"/>
      <c r="U39" s="250"/>
      <c r="V39" s="877"/>
      <c r="W39" s="249"/>
      <c r="X39" s="250"/>
      <c r="Y39" s="877"/>
      <c r="Z39" s="249"/>
      <c r="AA39" s="250"/>
      <c r="AB39" s="877"/>
      <c r="AC39" s="249"/>
      <c r="AD39" s="250"/>
      <c r="AE39" s="959">
        <v>45207.0</v>
      </c>
    </row>
    <row r="40">
      <c r="A40" s="872" t="s">
        <v>8862</v>
      </c>
      <c r="B40" s="959">
        <v>45208.0</v>
      </c>
      <c r="C40" s="877"/>
      <c r="D40" s="249"/>
      <c r="E40" s="250"/>
      <c r="F40" s="875"/>
      <c r="G40" s="249"/>
      <c r="H40" s="250"/>
      <c r="I40" s="877"/>
      <c r="J40" s="249"/>
      <c r="K40" s="250"/>
      <c r="L40" s="877"/>
      <c r="M40" s="249"/>
      <c r="N40" s="250"/>
      <c r="O40" s="959">
        <v>45208.0</v>
      </c>
      <c r="P40" s="874"/>
      <c r="Q40" s="249"/>
      <c r="R40" s="250"/>
      <c r="S40" s="874"/>
      <c r="T40" s="249"/>
      <c r="U40" s="250"/>
      <c r="V40" s="877"/>
      <c r="W40" s="249"/>
      <c r="X40" s="250"/>
      <c r="Y40" s="877"/>
      <c r="Z40" s="249"/>
      <c r="AA40" s="250"/>
      <c r="AB40" s="877"/>
      <c r="AC40" s="249"/>
      <c r="AD40" s="250"/>
      <c r="AE40" s="959">
        <v>45208.0</v>
      </c>
    </row>
    <row r="41">
      <c r="A41" s="872" t="s">
        <v>8863</v>
      </c>
      <c r="B41" s="959">
        <v>45209.0</v>
      </c>
      <c r="C41" s="877"/>
      <c r="D41" s="249"/>
      <c r="E41" s="250"/>
      <c r="F41" s="876"/>
      <c r="G41" s="249"/>
      <c r="H41" s="250"/>
      <c r="I41" s="877"/>
      <c r="J41" s="249"/>
      <c r="K41" s="250"/>
      <c r="L41" s="956" t="s">
        <v>1571</v>
      </c>
      <c r="M41" s="249"/>
      <c r="N41" s="250"/>
      <c r="O41" s="959">
        <v>45209.0</v>
      </c>
      <c r="P41" s="957" t="s">
        <v>1571</v>
      </c>
      <c r="Q41" s="249"/>
      <c r="R41" s="250"/>
      <c r="S41" s="874"/>
      <c r="T41" s="249"/>
      <c r="U41" s="250"/>
      <c r="V41" s="874"/>
      <c r="W41" s="249"/>
      <c r="X41" s="250"/>
      <c r="Y41" s="874"/>
      <c r="Z41" s="249"/>
      <c r="AA41" s="250"/>
      <c r="AB41" s="874"/>
      <c r="AC41" s="249"/>
      <c r="AD41" s="250"/>
      <c r="AE41" s="959">
        <v>45209.0</v>
      </c>
    </row>
    <row r="42">
      <c r="A42" s="872" t="s">
        <v>8865</v>
      </c>
      <c r="B42" s="959">
        <v>45210.0</v>
      </c>
      <c r="C42" s="874"/>
      <c r="D42" s="249"/>
      <c r="E42" s="250"/>
      <c r="F42" s="875"/>
      <c r="G42" s="249"/>
      <c r="H42" s="250"/>
      <c r="I42" s="874"/>
      <c r="J42" s="249"/>
      <c r="K42" s="250"/>
      <c r="L42" s="956" t="s">
        <v>1571</v>
      </c>
      <c r="M42" s="249"/>
      <c r="N42" s="250"/>
      <c r="O42" s="959">
        <v>45210.0</v>
      </c>
      <c r="P42" s="957" t="s">
        <v>1571</v>
      </c>
      <c r="Q42" s="249"/>
      <c r="R42" s="250"/>
      <c r="S42" s="874"/>
      <c r="T42" s="249"/>
      <c r="U42" s="250"/>
      <c r="V42" s="874"/>
      <c r="W42" s="249"/>
      <c r="X42" s="250"/>
      <c r="Y42" s="874"/>
      <c r="Z42" s="249"/>
      <c r="AA42" s="250"/>
      <c r="AB42" s="874"/>
      <c r="AC42" s="249"/>
      <c r="AD42" s="250"/>
      <c r="AE42" s="959">
        <v>45210.0</v>
      </c>
    </row>
    <row r="43">
      <c r="A43" s="872" t="s">
        <v>8867</v>
      </c>
      <c r="B43" s="959">
        <v>45211.0</v>
      </c>
      <c r="C43" s="877"/>
      <c r="D43" s="249"/>
      <c r="E43" s="250"/>
      <c r="F43" s="875"/>
      <c r="G43" s="249"/>
      <c r="H43" s="250"/>
      <c r="I43" s="874"/>
      <c r="J43" s="249"/>
      <c r="K43" s="250"/>
      <c r="L43" s="956" t="s">
        <v>1571</v>
      </c>
      <c r="M43" s="249"/>
      <c r="N43" s="250"/>
      <c r="O43" s="959">
        <v>45211.0</v>
      </c>
      <c r="P43" s="957" t="s">
        <v>1571</v>
      </c>
      <c r="Q43" s="249"/>
      <c r="R43" s="250"/>
      <c r="S43" s="874"/>
      <c r="T43" s="249"/>
      <c r="U43" s="250"/>
      <c r="V43" s="874"/>
      <c r="W43" s="249"/>
      <c r="X43" s="250"/>
      <c r="Y43" s="874"/>
      <c r="Z43" s="249"/>
      <c r="AA43" s="250"/>
      <c r="AB43" s="874"/>
      <c r="AC43" s="249"/>
      <c r="AD43" s="250"/>
      <c r="AE43" s="959">
        <v>45211.0</v>
      </c>
    </row>
    <row r="44">
      <c r="A44" s="872" t="s">
        <v>7559</v>
      </c>
      <c r="B44" s="959">
        <v>45212.0</v>
      </c>
      <c r="C44" s="877"/>
      <c r="D44" s="249"/>
      <c r="E44" s="250"/>
      <c r="F44" s="876"/>
      <c r="G44" s="249"/>
      <c r="H44" s="250"/>
      <c r="I44" s="877"/>
      <c r="J44" s="249"/>
      <c r="K44" s="250"/>
      <c r="L44" s="956" t="s">
        <v>1571</v>
      </c>
      <c r="M44" s="249"/>
      <c r="N44" s="250"/>
      <c r="O44" s="959">
        <v>45212.0</v>
      </c>
      <c r="P44" s="957" t="s">
        <v>1571</v>
      </c>
      <c r="Q44" s="249"/>
      <c r="R44" s="250"/>
      <c r="S44" s="874"/>
      <c r="T44" s="249"/>
      <c r="U44" s="250"/>
      <c r="V44" s="877"/>
      <c r="W44" s="249"/>
      <c r="X44" s="250"/>
      <c r="Y44" s="874"/>
      <c r="Z44" s="249"/>
      <c r="AA44" s="250"/>
      <c r="AB44" s="874"/>
      <c r="AC44" s="249"/>
      <c r="AD44" s="250"/>
      <c r="AE44" s="959">
        <v>45212.0</v>
      </c>
    </row>
    <row r="45">
      <c r="A45" s="872" t="s">
        <v>8858</v>
      </c>
      <c r="B45" s="959">
        <v>45213.0</v>
      </c>
      <c r="C45" s="951"/>
      <c r="D45" s="249"/>
      <c r="E45" s="250"/>
      <c r="F45" s="933"/>
      <c r="G45" s="249"/>
      <c r="H45" s="250"/>
      <c r="I45" s="948"/>
      <c r="J45" s="249"/>
      <c r="K45" s="250"/>
      <c r="L45" s="951"/>
      <c r="M45" s="249"/>
      <c r="N45" s="250"/>
      <c r="O45" s="959">
        <v>45213.0</v>
      </c>
      <c r="P45" s="957" t="s">
        <v>1571</v>
      </c>
      <c r="Q45" s="249"/>
      <c r="R45" s="250"/>
      <c r="S45" s="874"/>
      <c r="T45" s="249"/>
      <c r="U45" s="250"/>
      <c r="V45" s="877"/>
      <c r="W45" s="249"/>
      <c r="X45" s="250"/>
      <c r="Y45" s="874"/>
      <c r="Z45" s="249"/>
      <c r="AA45" s="250"/>
      <c r="AB45" s="874"/>
      <c r="AC45" s="249"/>
      <c r="AD45" s="250"/>
      <c r="AE45" s="959">
        <v>45213.0</v>
      </c>
    </row>
    <row r="46">
      <c r="A46" s="872" t="s">
        <v>8861</v>
      </c>
      <c r="B46" s="959">
        <v>45214.0</v>
      </c>
      <c r="C46" s="951"/>
      <c r="D46" s="249"/>
      <c r="E46" s="250"/>
      <c r="F46" s="933"/>
      <c r="G46" s="249"/>
      <c r="H46" s="250"/>
      <c r="I46" s="948"/>
      <c r="J46" s="249"/>
      <c r="K46" s="250"/>
      <c r="L46" s="951"/>
      <c r="M46" s="249"/>
      <c r="N46" s="250"/>
      <c r="O46" s="959">
        <v>45214.0</v>
      </c>
      <c r="P46" s="874"/>
      <c r="Q46" s="249"/>
      <c r="R46" s="250"/>
      <c r="S46" s="874"/>
      <c r="T46" s="249"/>
      <c r="U46" s="250"/>
      <c r="V46" s="874"/>
      <c r="W46" s="249"/>
      <c r="X46" s="250"/>
      <c r="Y46" s="874"/>
      <c r="Z46" s="249"/>
      <c r="AA46" s="250"/>
      <c r="AB46" s="874"/>
      <c r="AC46" s="249"/>
      <c r="AD46" s="250"/>
      <c r="AE46" s="959">
        <v>45214.0</v>
      </c>
    </row>
    <row r="47">
      <c r="A47" s="872" t="s">
        <v>8862</v>
      </c>
      <c r="B47" s="959">
        <v>45215.0</v>
      </c>
      <c r="C47" s="951"/>
      <c r="D47" s="249"/>
      <c r="E47" s="250"/>
      <c r="F47" s="933"/>
      <c r="G47" s="249"/>
      <c r="H47" s="250"/>
      <c r="I47" s="948"/>
      <c r="J47" s="249"/>
      <c r="K47" s="250"/>
      <c r="L47" s="951"/>
      <c r="M47" s="249"/>
      <c r="N47" s="250"/>
      <c r="O47" s="959">
        <v>45215.0</v>
      </c>
      <c r="P47" s="874"/>
      <c r="Q47" s="249"/>
      <c r="R47" s="250"/>
      <c r="S47" s="877"/>
      <c r="T47" s="249"/>
      <c r="U47" s="250"/>
      <c r="V47" s="877"/>
      <c r="W47" s="249"/>
      <c r="X47" s="250"/>
      <c r="Y47" s="874"/>
      <c r="Z47" s="249"/>
      <c r="AA47" s="250"/>
      <c r="AB47" s="874"/>
      <c r="AC47" s="249"/>
      <c r="AD47" s="250"/>
      <c r="AE47" s="959">
        <v>45215.0</v>
      </c>
    </row>
    <row r="48">
      <c r="A48" s="872" t="s">
        <v>8863</v>
      </c>
      <c r="B48" s="959">
        <v>45216.0</v>
      </c>
      <c r="C48" s="951"/>
      <c r="D48" s="249"/>
      <c r="E48" s="250"/>
      <c r="F48" s="949"/>
      <c r="G48" s="249"/>
      <c r="H48" s="250"/>
      <c r="I48" s="948"/>
      <c r="J48" s="249"/>
      <c r="K48" s="250"/>
      <c r="L48" s="951"/>
      <c r="M48" s="249"/>
      <c r="N48" s="250"/>
      <c r="O48" s="959">
        <v>45216.0</v>
      </c>
      <c r="P48" s="874"/>
      <c r="Q48" s="249"/>
      <c r="R48" s="250"/>
      <c r="S48" s="877"/>
      <c r="T48" s="249"/>
      <c r="U48" s="250"/>
      <c r="V48" s="877"/>
      <c r="W48" s="249"/>
      <c r="X48" s="250"/>
      <c r="Y48" s="874"/>
      <c r="Z48" s="249"/>
      <c r="AA48" s="250"/>
      <c r="AB48" s="874"/>
      <c r="AC48" s="249"/>
      <c r="AD48" s="250"/>
      <c r="AE48" s="959">
        <v>45216.0</v>
      </c>
    </row>
    <row r="49">
      <c r="A49" s="872" t="s">
        <v>8865</v>
      </c>
      <c r="B49" s="959">
        <v>45217.0</v>
      </c>
      <c r="C49" s="951"/>
      <c r="D49" s="249"/>
      <c r="E49" s="250"/>
      <c r="F49" s="949"/>
      <c r="G49" s="249"/>
      <c r="H49" s="250"/>
      <c r="I49" s="951"/>
      <c r="J49" s="249"/>
      <c r="K49" s="250"/>
      <c r="L49" s="951"/>
      <c r="M49" s="249"/>
      <c r="N49" s="250"/>
      <c r="O49" s="959">
        <v>45217.0</v>
      </c>
      <c r="P49" s="877"/>
      <c r="Q49" s="249"/>
      <c r="R49" s="250"/>
      <c r="S49" s="877"/>
      <c r="T49" s="249"/>
      <c r="U49" s="250"/>
      <c r="V49" s="877"/>
      <c r="W49" s="249"/>
      <c r="X49" s="250"/>
      <c r="Y49" s="877"/>
      <c r="Z49" s="249"/>
      <c r="AA49" s="250"/>
      <c r="AB49" s="877"/>
      <c r="AC49" s="249"/>
      <c r="AD49" s="250"/>
      <c r="AE49" s="959">
        <v>45217.0</v>
      </c>
    </row>
    <row r="50">
      <c r="A50" s="872" t="s">
        <v>8867</v>
      </c>
      <c r="B50" s="959">
        <v>45218.0</v>
      </c>
      <c r="C50" s="951"/>
      <c r="D50" s="249"/>
      <c r="E50" s="250"/>
      <c r="F50" s="949"/>
      <c r="G50" s="249"/>
      <c r="H50" s="250"/>
      <c r="I50" s="955"/>
      <c r="J50" s="249"/>
      <c r="K50" s="250"/>
      <c r="L50" s="951"/>
      <c r="M50" s="249"/>
      <c r="N50" s="250"/>
      <c r="O50" s="959">
        <v>45218.0</v>
      </c>
      <c r="P50" s="877"/>
      <c r="Q50" s="249"/>
      <c r="R50" s="250"/>
      <c r="S50" s="877"/>
      <c r="T50" s="249"/>
      <c r="U50" s="250"/>
      <c r="V50" s="877"/>
      <c r="W50" s="249"/>
      <c r="X50" s="250"/>
      <c r="Y50" s="877"/>
      <c r="Z50" s="249"/>
      <c r="AA50" s="250"/>
      <c r="AB50" s="877"/>
      <c r="AC50" s="249"/>
      <c r="AD50" s="250"/>
      <c r="AE50" s="959">
        <v>45218.0</v>
      </c>
    </row>
    <row r="51">
      <c r="A51" s="872" t="s">
        <v>7559</v>
      </c>
      <c r="B51" s="959">
        <v>45219.0</v>
      </c>
      <c r="C51" s="951"/>
      <c r="D51" s="249"/>
      <c r="E51" s="250"/>
      <c r="F51" s="949"/>
      <c r="G51" s="249"/>
      <c r="H51" s="250"/>
      <c r="I51" s="955"/>
      <c r="J51" s="249"/>
      <c r="K51" s="250"/>
      <c r="L51" s="951"/>
      <c r="M51" s="249"/>
      <c r="N51" s="250"/>
      <c r="O51" s="959">
        <v>45219.0</v>
      </c>
      <c r="P51" s="877"/>
      <c r="Q51" s="249"/>
      <c r="R51" s="250"/>
      <c r="S51" s="877"/>
      <c r="T51" s="249"/>
      <c r="U51" s="250"/>
      <c r="V51" s="874"/>
      <c r="W51" s="249"/>
      <c r="X51" s="250"/>
      <c r="Y51" s="874"/>
      <c r="Z51" s="249"/>
      <c r="AA51" s="250"/>
      <c r="AB51" s="874"/>
      <c r="AC51" s="249"/>
      <c r="AD51" s="250"/>
      <c r="AE51" s="959">
        <v>45219.0</v>
      </c>
    </row>
    <row r="52">
      <c r="A52" s="872" t="s">
        <v>8858</v>
      </c>
      <c r="B52" s="959">
        <v>45220.0</v>
      </c>
      <c r="C52" s="951"/>
      <c r="D52" s="249"/>
      <c r="E52" s="250"/>
      <c r="F52" s="949"/>
      <c r="G52" s="249"/>
      <c r="H52" s="250"/>
      <c r="I52" s="948"/>
      <c r="J52" s="249"/>
      <c r="K52" s="250"/>
      <c r="L52" s="951"/>
      <c r="M52" s="249"/>
      <c r="N52" s="250"/>
      <c r="O52" s="959">
        <v>45220.0</v>
      </c>
      <c r="P52" s="877"/>
      <c r="Q52" s="249"/>
      <c r="R52" s="250"/>
      <c r="S52" s="877"/>
      <c r="T52" s="249"/>
      <c r="U52" s="250"/>
      <c r="V52" s="874"/>
      <c r="W52" s="249"/>
      <c r="X52" s="250"/>
      <c r="Y52" s="874"/>
      <c r="Z52" s="249"/>
      <c r="AA52" s="250"/>
      <c r="AB52" s="874"/>
      <c r="AC52" s="249"/>
      <c r="AD52" s="250"/>
      <c r="AE52" s="959">
        <v>45220.0</v>
      </c>
    </row>
    <row r="53">
      <c r="A53" s="872" t="s">
        <v>8861</v>
      </c>
      <c r="B53" s="959">
        <v>45221.0</v>
      </c>
      <c r="C53" s="948"/>
      <c r="D53" s="249"/>
      <c r="E53" s="250"/>
      <c r="F53" s="948"/>
      <c r="G53" s="249"/>
      <c r="H53" s="250"/>
      <c r="I53" s="948"/>
      <c r="J53" s="249"/>
      <c r="K53" s="250"/>
      <c r="L53" s="948"/>
      <c r="M53" s="249"/>
      <c r="N53" s="250"/>
      <c r="O53" s="959">
        <v>45221.0</v>
      </c>
      <c r="P53" s="877"/>
      <c r="Q53" s="249"/>
      <c r="R53" s="250"/>
      <c r="S53" s="874"/>
      <c r="T53" s="249"/>
      <c r="U53" s="250"/>
      <c r="V53" s="874"/>
      <c r="W53" s="249"/>
      <c r="X53" s="250"/>
      <c r="Y53" s="874"/>
      <c r="Z53" s="249"/>
      <c r="AA53" s="250"/>
      <c r="AB53" s="874"/>
      <c r="AC53" s="249"/>
      <c r="AD53" s="250"/>
      <c r="AE53" s="959">
        <v>45221.0</v>
      </c>
    </row>
    <row r="54">
      <c r="A54" s="872" t="s">
        <v>8862</v>
      </c>
      <c r="B54" s="959">
        <v>45222.0</v>
      </c>
      <c r="C54" s="951"/>
      <c r="D54" s="249"/>
      <c r="E54" s="250"/>
      <c r="F54" s="949"/>
      <c r="G54" s="249"/>
      <c r="H54" s="250"/>
      <c r="I54" s="948"/>
      <c r="J54" s="249"/>
      <c r="K54" s="250"/>
      <c r="L54" s="951"/>
      <c r="M54" s="249"/>
      <c r="N54" s="250"/>
      <c r="O54" s="959">
        <v>45222.0</v>
      </c>
      <c r="P54" s="874"/>
      <c r="Q54" s="249"/>
      <c r="R54" s="250"/>
      <c r="S54" s="874"/>
      <c r="T54" s="249"/>
      <c r="U54" s="250"/>
      <c r="V54" s="874"/>
      <c r="W54" s="249"/>
      <c r="X54" s="250"/>
      <c r="Y54" s="874"/>
      <c r="Z54" s="249"/>
      <c r="AA54" s="250"/>
      <c r="AB54" s="874"/>
      <c r="AC54" s="249"/>
      <c r="AD54" s="250"/>
      <c r="AE54" s="959">
        <v>45222.0</v>
      </c>
    </row>
    <row r="55">
      <c r="A55" s="872" t="s">
        <v>8863</v>
      </c>
      <c r="B55" s="959">
        <v>45223.0</v>
      </c>
      <c r="C55" s="951"/>
      <c r="D55" s="249"/>
      <c r="E55" s="250"/>
      <c r="F55" s="949"/>
      <c r="G55" s="249"/>
      <c r="H55" s="250"/>
      <c r="I55" s="948"/>
      <c r="J55" s="249"/>
      <c r="K55" s="250"/>
      <c r="L55" s="951"/>
      <c r="M55" s="249"/>
      <c r="N55" s="250"/>
      <c r="O55" s="959">
        <v>45223.0</v>
      </c>
      <c r="P55" s="874"/>
      <c r="Q55" s="249"/>
      <c r="R55" s="250"/>
      <c r="S55" s="874"/>
      <c r="T55" s="249"/>
      <c r="U55" s="250"/>
      <c r="V55" s="874"/>
      <c r="W55" s="249"/>
      <c r="X55" s="250"/>
      <c r="Y55" s="874"/>
      <c r="Z55" s="249"/>
      <c r="AA55" s="250"/>
      <c r="AB55" s="874"/>
      <c r="AC55" s="249"/>
      <c r="AD55" s="250"/>
      <c r="AE55" s="959">
        <v>45223.0</v>
      </c>
    </row>
    <row r="56">
      <c r="A56" s="872" t="s">
        <v>8865</v>
      </c>
      <c r="B56" s="959">
        <v>45224.0</v>
      </c>
      <c r="C56" s="951"/>
      <c r="D56" s="249"/>
      <c r="E56" s="250"/>
      <c r="F56" s="949"/>
      <c r="G56" s="249"/>
      <c r="H56" s="250"/>
      <c r="I56" s="951"/>
      <c r="J56" s="249"/>
      <c r="K56" s="250"/>
      <c r="L56" s="951"/>
      <c r="M56" s="249"/>
      <c r="N56" s="250"/>
      <c r="O56" s="959">
        <v>45224.0</v>
      </c>
      <c r="P56" s="874"/>
      <c r="Q56" s="249"/>
      <c r="R56" s="250"/>
      <c r="S56" s="874"/>
      <c r="T56" s="249"/>
      <c r="U56" s="250"/>
      <c r="V56" s="877"/>
      <c r="W56" s="249"/>
      <c r="X56" s="250"/>
      <c r="Y56" s="874"/>
      <c r="Z56" s="249"/>
      <c r="AA56" s="250"/>
      <c r="AB56" s="874"/>
      <c r="AC56" s="249"/>
      <c r="AD56" s="250"/>
      <c r="AE56" s="959">
        <v>45224.0</v>
      </c>
    </row>
    <row r="57">
      <c r="A57" s="872" t="s">
        <v>8867</v>
      </c>
      <c r="B57" s="959">
        <v>45225.0</v>
      </c>
      <c r="C57" s="951"/>
      <c r="D57" s="249"/>
      <c r="E57" s="250"/>
      <c r="F57" s="949"/>
      <c r="G57" s="249"/>
      <c r="H57" s="250"/>
      <c r="I57" s="951"/>
      <c r="J57" s="249"/>
      <c r="K57" s="250"/>
      <c r="L57" s="951"/>
      <c r="M57" s="249"/>
      <c r="N57" s="250"/>
      <c r="O57" s="959">
        <v>45225.0</v>
      </c>
      <c r="P57" s="874"/>
      <c r="Q57" s="249"/>
      <c r="R57" s="250"/>
      <c r="S57" s="874"/>
      <c r="T57" s="249"/>
      <c r="U57" s="250"/>
      <c r="V57" s="877"/>
      <c r="W57" s="249"/>
      <c r="X57" s="250"/>
      <c r="Y57" s="874"/>
      <c r="Z57" s="249"/>
      <c r="AA57" s="250"/>
      <c r="AB57" s="874"/>
      <c r="AC57" s="249"/>
      <c r="AD57" s="250"/>
      <c r="AE57" s="959">
        <v>45225.0</v>
      </c>
    </row>
    <row r="58">
      <c r="A58" s="872" t="s">
        <v>7559</v>
      </c>
      <c r="B58" s="959">
        <v>45226.0</v>
      </c>
      <c r="C58" s="951"/>
      <c r="D58" s="249"/>
      <c r="E58" s="250"/>
      <c r="F58" s="949"/>
      <c r="G58" s="249"/>
      <c r="H58" s="250"/>
      <c r="I58" s="951"/>
      <c r="J58" s="249"/>
      <c r="K58" s="250"/>
      <c r="L58" s="951"/>
      <c r="M58" s="249"/>
      <c r="N58" s="250"/>
      <c r="O58" s="959">
        <v>45226.0</v>
      </c>
      <c r="P58" s="874"/>
      <c r="Q58" s="249"/>
      <c r="R58" s="250"/>
      <c r="S58" s="874"/>
      <c r="T58" s="249"/>
      <c r="U58" s="250"/>
      <c r="V58" s="874"/>
      <c r="W58" s="249"/>
      <c r="X58" s="250"/>
      <c r="Y58" s="874"/>
      <c r="Z58" s="249"/>
      <c r="AA58" s="250"/>
      <c r="AB58" s="874"/>
      <c r="AC58" s="249"/>
      <c r="AD58" s="250"/>
      <c r="AE58" s="959">
        <v>45226.0</v>
      </c>
    </row>
    <row r="59">
      <c r="A59" s="872" t="s">
        <v>8858</v>
      </c>
      <c r="B59" s="959">
        <v>45227.0</v>
      </c>
      <c r="C59" s="951"/>
      <c r="D59" s="249"/>
      <c r="E59" s="250"/>
      <c r="F59" s="949"/>
      <c r="G59" s="249"/>
      <c r="H59" s="250"/>
      <c r="I59" s="948"/>
      <c r="J59" s="249"/>
      <c r="K59" s="250"/>
      <c r="L59" s="948"/>
      <c r="M59" s="249"/>
      <c r="N59" s="250"/>
      <c r="O59" s="959">
        <v>45227.0</v>
      </c>
      <c r="P59" s="874"/>
      <c r="Q59" s="249"/>
      <c r="R59" s="250"/>
      <c r="S59" s="874"/>
      <c r="T59" s="249"/>
      <c r="U59" s="250"/>
      <c r="V59" s="874"/>
      <c r="W59" s="249"/>
      <c r="X59" s="250"/>
      <c r="Y59" s="874"/>
      <c r="Z59" s="249"/>
      <c r="AA59" s="250"/>
      <c r="AB59" s="874"/>
      <c r="AC59" s="249"/>
      <c r="AD59" s="250"/>
      <c r="AE59" s="959">
        <v>45227.0</v>
      </c>
    </row>
    <row r="60">
      <c r="A60" s="872" t="s">
        <v>8861</v>
      </c>
      <c r="B60" s="959">
        <v>45228.0</v>
      </c>
      <c r="C60" s="948"/>
      <c r="D60" s="249"/>
      <c r="E60" s="250"/>
      <c r="F60" s="948"/>
      <c r="G60" s="249"/>
      <c r="H60" s="250"/>
      <c r="I60" s="948"/>
      <c r="J60" s="249"/>
      <c r="K60" s="250"/>
      <c r="L60" s="948"/>
      <c r="M60" s="249"/>
      <c r="N60" s="250"/>
      <c r="O60" s="959">
        <v>45228.0</v>
      </c>
      <c r="P60" s="874"/>
      <c r="Q60" s="249"/>
      <c r="R60" s="250"/>
      <c r="S60" s="874"/>
      <c r="T60" s="249"/>
      <c r="U60" s="250"/>
      <c r="V60" s="874"/>
      <c r="W60" s="249"/>
      <c r="X60" s="250"/>
      <c r="Y60" s="874"/>
      <c r="Z60" s="249"/>
      <c r="AA60" s="250"/>
      <c r="AB60" s="874"/>
      <c r="AC60" s="249"/>
      <c r="AD60" s="250"/>
      <c r="AE60" s="959">
        <v>45228.0</v>
      </c>
    </row>
    <row r="61">
      <c r="A61" s="872" t="s">
        <v>8862</v>
      </c>
      <c r="B61" s="959">
        <v>45229.0</v>
      </c>
      <c r="C61" s="951"/>
      <c r="D61" s="249"/>
      <c r="E61" s="250"/>
      <c r="F61" s="949"/>
      <c r="G61" s="249"/>
      <c r="H61" s="250"/>
      <c r="I61" s="948"/>
      <c r="J61" s="249"/>
      <c r="K61" s="250"/>
      <c r="L61" s="948"/>
      <c r="M61" s="249"/>
      <c r="N61" s="250"/>
      <c r="O61" s="959">
        <v>45229.0</v>
      </c>
      <c r="P61" s="877"/>
      <c r="Q61" s="249"/>
      <c r="R61" s="250"/>
      <c r="S61" s="874"/>
      <c r="T61" s="249"/>
      <c r="U61" s="250"/>
      <c r="V61" s="874"/>
      <c r="W61" s="249"/>
      <c r="X61" s="250"/>
      <c r="Y61" s="874"/>
      <c r="Z61" s="249"/>
      <c r="AA61" s="250"/>
      <c r="AB61" s="874"/>
      <c r="AC61" s="249"/>
      <c r="AD61" s="250"/>
      <c r="AE61" s="959">
        <v>45229.0</v>
      </c>
    </row>
    <row r="62">
      <c r="A62" s="872" t="s">
        <v>8863</v>
      </c>
      <c r="B62" s="959">
        <v>45230.0</v>
      </c>
      <c r="C62" s="951"/>
      <c r="D62" s="249"/>
      <c r="E62" s="250"/>
      <c r="F62" s="949"/>
      <c r="G62" s="249"/>
      <c r="H62" s="250"/>
      <c r="I62" s="948"/>
      <c r="J62" s="249"/>
      <c r="K62" s="250"/>
      <c r="L62" s="948"/>
      <c r="M62" s="249"/>
      <c r="N62" s="250"/>
      <c r="O62" s="959">
        <v>45230.0</v>
      </c>
      <c r="P62" s="877"/>
      <c r="Q62" s="249"/>
      <c r="R62" s="250"/>
      <c r="S62" s="874"/>
      <c r="T62" s="249"/>
      <c r="U62" s="250"/>
      <c r="V62" s="874"/>
      <c r="W62" s="249"/>
      <c r="X62" s="250"/>
      <c r="Y62" s="874"/>
      <c r="Z62" s="249"/>
      <c r="AA62" s="250"/>
      <c r="AB62" s="874"/>
      <c r="AC62" s="249"/>
      <c r="AD62" s="250"/>
      <c r="AE62" s="959">
        <v>45230.0</v>
      </c>
    </row>
    <row r="63">
      <c r="A63" s="352"/>
      <c r="B63" s="352"/>
      <c r="C63" s="352"/>
      <c r="D63" s="352"/>
      <c r="E63" s="352"/>
      <c r="F63" s="352"/>
      <c r="G63" s="352"/>
      <c r="H63" s="352"/>
      <c r="I63" s="352"/>
      <c r="J63" s="352"/>
      <c r="K63" s="352"/>
      <c r="L63" s="352"/>
      <c r="M63" s="352"/>
      <c r="N63" s="352"/>
      <c r="O63" s="352"/>
      <c r="P63" s="360"/>
      <c r="Q63" s="360"/>
      <c r="R63" s="360"/>
      <c r="S63" s="360"/>
      <c r="T63" s="360"/>
      <c r="U63" s="360"/>
      <c r="V63" s="360"/>
      <c r="W63" s="360"/>
      <c r="X63" s="360"/>
      <c r="Y63" s="360"/>
      <c r="Z63" s="360"/>
      <c r="AA63" s="360"/>
      <c r="AB63" s="360"/>
      <c r="AC63" s="360"/>
      <c r="AD63" s="360"/>
      <c r="AE63" s="352"/>
    </row>
    <row r="64">
      <c r="A64" s="352"/>
      <c r="B64" s="352"/>
      <c r="C64" s="352"/>
      <c r="D64" s="352"/>
      <c r="E64" s="352"/>
      <c r="F64" s="352"/>
      <c r="G64" s="352"/>
      <c r="H64" s="352"/>
      <c r="I64" s="352"/>
      <c r="J64" s="352"/>
      <c r="K64" s="352"/>
      <c r="L64" s="352"/>
      <c r="M64" s="352"/>
      <c r="N64" s="352"/>
      <c r="O64" s="352"/>
      <c r="P64" s="360"/>
      <c r="Q64" s="360"/>
      <c r="R64" s="360"/>
      <c r="S64" s="360"/>
      <c r="T64" s="360"/>
      <c r="U64" s="360"/>
      <c r="V64" s="360"/>
      <c r="W64" s="360"/>
      <c r="X64" s="360"/>
      <c r="Y64" s="360"/>
      <c r="Z64" s="360"/>
      <c r="AA64" s="360"/>
      <c r="AB64" s="360"/>
      <c r="AC64" s="360"/>
      <c r="AD64" s="360"/>
      <c r="AE64" s="352"/>
    </row>
    <row r="65">
      <c r="A65" s="352"/>
      <c r="B65" s="352"/>
      <c r="C65" s="352"/>
      <c r="D65" s="352"/>
      <c r="E65" s="352"/>
      <c r="F65" s="352"/>
      <c r="G65" s="352"/>
      <c r="H65" s="352"/>
      <c r="I65" s="352"/>
      <c r="J65" s="352"/>
      <c r="K65" s="352"/>
      <c r="L65" s="352"/>
      <c r="M65" s="352"/>
      <c r="N65" s="352"/>
      <c r="O65" s="352"/>
      <c r="P65" s="360"/>
      <c r="Q65" s="360"/>
      <c r="R65" s="360"/>
      <c r="S65" s="360"/>
      <c r="T65" s="360"/>
      <c r="U65" s="360"/>
      <c r="V65" s="360"/>
      <c r="W65" s="360"/>
      <c r="X65" s="360"/>
      <c r="Y65" s="360"/>
      <c r="Z65" s="360"/>
      <c r="AA65" s="360"/>
      <c r="AB65" s="360"/>
      <c r="AC65" s="360"/>
      <c r="AD65" s="360"/>
      <c r="AE65" s="352"/>
    </row>
    <row r="66">
      <c r="A66" s="352"/>
      <c r="B66" s="352"/>
      <c r="C66" s="352"/>
      <c r="D66" s="352"/>
      <c r="E66" s="352"/>
      <c r="F66" s="352"/>
      <c r="G66" s="352"/>
      <c r="H66" s="352"/>
      <c r="I66" s="352"/>
      <c r="J66" s="352"/>
      <c r="K66" s="352"/>
      <c r="L66" s="352"/>
      <c r="M66" s="352"/>
      <c r="N66" s="352"/>
      <c r="O66" s="352"/>
      <c r="P66" s="360"/>
      <c r="Q66" s="360"/>
      <c r="R66" s="360"/>
      <c r="S66" s="360"/>
      <c r="T66" s="360"/>
      <c r="U66" s="360"/>
      <c r="V66" s="360"/>
      <c r="W66" s="360"/>
      <c r="X66" s="360"/>
      <c r="Y66" s="360"/>
      <c r="Z66" s="360"/>
      <c r="AA66" s="360"/>
      <c r="AB66" s="360"/>
      <c r="AC66" s="360"/>
      <c r="AD66" s="360"/>
      <c r="AE66" s="352"/>
    </row>
    <row r="67">
      <c r="A67" s="352"/>
      <c r="B67" s="352"/>
      <c r="C67" s="352"/>
      <c r="D67" s="352"/>
      <c r="E67" s="352"/>
      <c r="F67" s="352"/>
      <c r="G67" s="352"/>
      <c r="H67" s="352"/>
      <c r="I67" s="352"/>
      <c r="J67" s="352"/>
      <c r="K67" s="352"/>
      <c r="L67" s="352"/>
      <c r="M67" s="352"/>
      <c r="N67" s="352"/>
      <c r="O67" s="352"/>
      <c r="P67" s="360"/>
      <c r="Q67" s="360"/>
      <c r="R67" s="360"/>
      <c r="S67" s="360"/>
      <c r="T67" s="360"/>
      <c r="U67" s="360"/>
      <c r="V67" s="360"/>
      <c r="W67" s="360"/>
      <c r="X67" s="360"/>
      <c r="Y67" s="360"/>
      <c r="Z67" s="360"/>
      <c r="AA67" s="360"/>
      <c r="AB67" s="360"/>
      <c r="AC67" s="360"/>
      <c r="AD67" s="360"/>
      <c r="AE67" s="352"/>
    </row>
    <row r="68">
      <c r="A68" s="352"/>
      <c r="B68" s="352"/>
      <c r="C68" s="352"/>
      <c r="D68" s="352"/>
      <c r="E68" s="352"/>
      <c r="F68" s="352"/>
      <c r="G68" s="352"/>
      <c r="H68" s="352"/>
      <c r="I68" s="352"/>
      <c r="J68" s="352"/>
      <c r="K68" s="352"/>
      <c r="L68" s="352"/>
      <c r="M68" s="352"/>
      <c r="N68" s="352"/>
      <c r="O68" s="352"/>
      <c r="P68" s="360"/>
      <c r="Q68" s="360"/>
      <c r="R68" s="360"/>
      <c r="S68" s="360"/>
      <c r="T68" s="360"/>
      <c r="U68" s="360"/>
      <c r="V68" s="360"/>
      <c r="W68" s="360"/>
      <c r="X68" s="360"/>
      <c r="Y68" s="360"/>
      <c r="Z68" s="360"/>
      <c r="AA68" s="360"/>
      <c r="AB68" s="360"/>
      <c r="AC68" s="360"/>
      <c r="AD68" s="360"/>
      <c r="AE68" s="352"/>
    </row>
    <row r="69">
      <c r="A69" s="352"/>
      <c r="B69" s="352"/>
      <c r="C69" s="352"/>
      <c r="D69" s="352"/>
      <c r="E69" s="352"/>
      <c r="F69" s="352"/>
      <c r="G69" s="352"/>
      <c r="H69" s="352"/>
      <c r="I69" s="352"/>
      <c r="J69" s="352"/>
      <c r="K69" s="352"/>
      <c r="L69" s="352"/>
      <c r="M69" s="352"/>
      <c r="N69" s="352"/>
      <c r="O69" s="352"/>
      <c r="P69" s="352"/>
      <c r="Q69" s="352"/>
      <c r="R69" s="352"/>
      <c r="S69" s="352"/>
      <c r="T69" s="352"/>
      <c r="U69" s="352"/>
      <c r="V69" s="352"/>
      <c r="W69" s="352"/>
      <c r="X69" s="352"/>
      <c r="Y69" s="352"/>
      <c r="Z69" s="352"/>
      <c r="AA69" s="352"/>
      <c r="AB69" s="352"/>
      <c r="AC69" s="352"/>
      <c r="AD69" s="352"/>
      <c r="AE69" s="352"/>
    </row>
    <row r="70">
      <c r="A70" s="352"/>
      <c r="B70" s="352"/>
      <c r="C70" s="352"/>
      <c r="D70" s="352"/>
      <c r="E70" s="352"/>
      <c r="F70" s="352"/>
      <c r="G70" s="352"/>
      <c r="H70" s="352"/>
      <c r="I70" s="352"/>
      <c r="J70" s="352"/>
      <c r="K70" s="352"/>
      <c r="L70" s="352"/>
      <c r="M70" s="352"/>
      <c r="N70" s="352"/>
      <c r="O70" s="352"/>
      <c r="P70" s="352"/>
      <c r="Q70" s="352"/>
      <c r="R70" s="352"/>
      <c r="S70" s="352"/>
      <c r="T70" s="352"/>
      <c r="U70" s="352"/>
      <c r="V70" s="352"/>
      <c r="W70" s="352"/>
      <c r="X70" s="352"/>
      <c r="Y70" s="352"/>
      <c r="Z70" s="352"/>
      <c r="AA70" s="352"/>
      <c r="AB70" s="352"/>
      <c r="AC70" s="352"/>
      <c r="AD70" s="352"/>
      <c r="AE70" s="352"/>
    </row>
    <row r="71">
      <c r="A71" s="352"/>
      <c r="B71" s="352"/>
      <c r="C71" s="352"/>
      <c r="D71" s="352"/>
      <c r="E71" s="352"/>
      <c r="F71" s="352"/>
      <c r="G71" s="352"/>
      <c r="H71" s="352"/>
      <c r="I71" s="352"/>
      <c r="J71" s="352"/>
      <c r="K71" s="352"/>
      <c r="L71" s="352"/>
      <c r="M71" s="352"/>
      <c r="N71" s="352"/>
      <c r="O71" s="352"/>
      <c r="P71" s="352"/>
      <c r="Q71" s="352"/>
      <c r="R71" s="352"/>
      <c r="S71" s="352"/>
      <c r="T71" s="352"/>
      <c r="U71" s="352"/>
      <c r="V71" s="352"/>
      <c r="W71" s="352"/>
      <c r="X71" s="352"/>
      <c r="Y71" s="352"/>
      <c r="Z71" s="352"/>
      <c r="AA71" s="352"/>
      <c r="AB71" s="352"/>
      <c r="AC71" s="352"/>
      <c r="AD71" s="352"/>
      <c r="AE71" s="352"/>
    </row>
    <row r="72">
      <c r="A72" s="352"/>
      <c r="B72" s="352"/>
      <c r="C72" s="352"/>
      <c r="D72" s="352"/>
      <c r="E72" s="352"/>
      <c r="F72" s="352"/>
      <c r="G72" s="352"/>
      <c r="H72" s="352"/>
      <c r="I72" s="352"/>
      <c r="J72" s="352"/>
      <c r="K72" s="352"/>
      <c r="L72" s="352"/>
      <c r="M72" s="352"/>
      <c r="N72" s="352"/>
      <c r="O72" s="352"/>
      <c r="P72" s="352"/>
      <c r="Q72" s="352"/>
      <c r="R72" s="352"/>
      <c r="S72" s="352"/>
      <c r="T72" s="352"/>
      <c r="U72" s="352"/>
      <c r="V72" s="352"/>
      <c r="W72" s="352"/>
      <c r="X72" s="352"/>
      <c r="Y72" s="352"/>
      <c r="Z72" s="352"/>
      <c r="AA72" s="352"/>
      <c r="AB72" s="352"/>
      <c r="AC72" s="352"/>
      <c r="AD72" s="352"/>
      <c r="AE72" s="352"/>
    </row>
    <row r="73">
      <c r="A73" s="352"/>
      <c r="B73" s="352"/>
      <c r="C73" s="352"/>
      <c r="D73" s="352"/>
      <c r="E73" s="352"/>
      <c r="F73" s="352"/>
      <c r="G73" s="352"/>
      <c r="H73" s="352"/>
      <c r="I73" s="352"/>
      <c r="J73" s="352"/>
      <c r="K73" s="352"/>
      <c r="L73" s="352"/>
      <c r="M73" s="352"/>
      <c r="N73" s="352"/>
      <c r="O73" s="352"/>
      <c r="P73" s="352"/>
      <c r="Q73" s="352"/>
      <c r="R73" s="352"/>
      <c r="S73" s="352"/>
      <c r="T73" s="352"/>
      <c r="U73" s="352"/>
      <c r="V73" s="352"/>
      <c r="W73" s="352"/>
      <c r="X73" s="352"/>
      <c r="Y73" s="352"/>
      <c r="Z73" s="352"/>
      <c r="AA73" s="352"/>
      <c r="AB73" s="352"/>
      <c r="AC73" s="352"/>
      <c r="AD73" s="352"/>
      <c r="AE73" s="352"/>
    </row>
    <row r="74">
      <c r="A74" s="352"/>
      <c r="B74" s="352"/>
      <c r="C74" s="352"/>
      <c r="D74" s="352"/>
      <c r="E74" s="352"/>
      <c r="F74" s="352"/>
      <c r="G74" s="352"/>
      <c r="H74" s="352"/>
      <c r="I74" s="352"/>
      <c r="J74" s="352"/>
      <c r="K74" s="352"/>
      <c r="L74" s="352"/>
      <c r="M74" s="352"/>
      <c r="N74" s="352"/>
      <c r="O74" s="352"/>
      <c r="P74" s="352"/>
      <c r="Q74" s="352"/>
      <c r="R74" s="352"/>
      <c r="S74" s="352"/>
      <c r="T74" s="352"/>
      <c r="U74" s="352"/>
      <c r="V74" s="352"/>
      <c r="W74" s="352"/>
      <c r="X74" s="352"/>
      <c r="Y74" s="352"/>
      <c r="Z74" s="352"/>
      <c r="AA74" s="352"/>
      <c r="AB74" s="352"/>
      <c r="AC74" s="352"/>
      <c r="AD74" s="352"/>
      <c r="AE74" s="352"/>
    </row>
    <row r="75">
      <c r="A75" s="352"/>
      <c r="B75" s="352"/>
      <c r="C75" s="352"/>
      <c r="D75" s="352"/>
      <c r="E75" s="352"/>
      <c r="F75" s="352"/>
      <c r="G75" s="352"/>
      <c r="H75" s="352"/>
      <c r="I75" s="352"/>
      <c r="J75" s="352"/>
      <c r="K75" s="352"/>
      <c r="L75" s="352"/>
      <c r="M75" s="352"/>
      <c r="N75" s="352"/>
      <c r="O75" s="352"/>
      <c r="P75" s="352"/>
      <c r="Q75" s="352"/>
      <c r="R75" s="352"/>
      <c r="S75" s="352"/>
      <c r="T75" s="352"/>
      <c r="U75" s="352"/>
      <c r="V75" s="352"/>
      <c r="W75" s="352"/>
      <c r="X75" s="352"/>
      <c r="Y75" s="352"/>
      <c r="Z75" s="352"/>
      <c r="AA75" s="352"/>
      <c r="AB75" s="352"/>
      <c r="AC75" s="352"/>
      <c r="AD75" s="352"/>
      <c r="AE75" s="352"/>
    </row>
    <row r="76">
      <c r="A76" s="352"/>
      <c r="B76" s="352"/>
      <c r="C76" s="352"/>
      <c r="D76" s="352"/>
      <c r="E76" s="352"/>
      <c r="F76" s="352"/>
      <c r="G76" s="352"/>
      <c r="H76" s="352"/>
      <c r="I76" s="352"/>
      <c r="J76" s="352"/>
      <c r="K76" s="352"/>
      <c r="L76" s="352"/>
      <c r="M76" s="352"/>
      <c r="N76" s="352"/>
      <c r="O76" s="352"/>
      <c r="P76" s="352"/>
      <c r="Q76" s="352"/>
      <c r="R76" s="352"/>
      <c r="S76" s="352"/>
      <c r="T76" s="352"/>
      <c r="U76" s="352"/>
      <c r="V76" s="352"/>
      <c r="W76" s="352"/>
      <c r="X76" s="352"/>
      <c r="Y76" s="352"/>
      <c r="Z76" s="352"/>
      <c r="AA76" s="352"/>
      <c r="AB76" s="352"/>
      <c r="AC76" s="352"/>
      <c r="AD76" s="352"/>
      <c r="AE76" s="352"/>
    </row>
    <row r="77">
      <c r="A77" s="352"/>
      <c r="B77" s="352"/>
      <c r="C77" s="352"/>
      <c r="D77" s="352"/>
      <c r="E77" s="352"/>
      <c r="F77" s="352"/>
      <c r="G77" s="352"/>
      <c r="H77" s="352"/>
      <c r="I77" s="352"/>
      <c r="J77" s="352"/>
      <c r="K77" s="352"/>
      <c r="L77" s="352"/>
      <c r="M77" s="352"/>
      <c r="N77" s="352"/>
      <c r="O77" s="352"/>
      <c r="P77" s="352"/>
      <c r="Q77" s="352"/>
      <c r="R77" s="352"/>
      <c r="S77" s="352"/>
      <c r="T77" s="352"/>
      <c r="U77" s="352"/>
      <c r="V77" s="352"/>
      <c r="W77" s="352"/>
      <c r="X77" s="352"/>
      <c r="Y77" s="352"/>
      <c r="Z77" s="352"/>
      <c r="AA77" s="352"/>
      <c r="AB77" s="352"/>
      <c r="AC77" s="352"/>
      <c r="AD77" s="352"/>
      <c r="AE77" s="352"/>
    </row>
    <row r="78">
      <c r="A78" s="352"/>
      <c r="B78" s="352"/>
      <c r="C78" s="352"/>
      <c r="D78" s="352"/>
      <c r="E78" s="352"/>
      <c r="F78" s="352"/>
      <c r="G78" s="352"/>
      <c r="H78" s="352"/>
      <c r="I78" s="352"/>
      <c r="J78" s="352"/>
      <c r="K78" s="352"/>
      <c r="L78" s="352"/>
      <c r="M78" s="352"/>
      <c r="N78" s="352"/>
      <c r="O78" s="352"/>
      <c r="P78" s="352"/>
      <c r="Q78" s="352"/>
      <c r="R78" s="352"/>
      <c r="S78" s="352"/>
      <c r="T78" s="352"/>
      <c r="U78" s="352"/>
      <c r="V78" s="352"/>
      <c r="W78" s="352"/>
      <c r="X78" s="352"/>
      <c r="Y78" s="352"/>
      <c r="Z78" s="352"/>
      <c r="AA78" s="352"/>
      <c r="AB78" s="352"/>
      <c r="AC78" s="352"/>
      <c r="AD78" s="352"/>
      <c r="AE78" s="352"/>
    </row>
    <row r="79">
      <c r="A79" s="352"/>
      <c r="B79" s="352"/>
      <c r="C79" s="352"/>
      <c r="D79" s="352"/>
      <c r="E79" s="352"/>
      <c r="F79" s="352"/>
      <c r="G79" s="352"/>
      <c r="H79" s="352"/>
      <c r="I79" s="352"/>
      <c r="J79" s="352"/>
      <c r="K79" s="352"/>
      <c r="L79" s="352"/>
      <c r="M79" s="352"/>
      <c r="N79" s="352"/>
      <c r="O79" s="352"/>
      <c r="P79" s="352"/>
      <c r="Q79" s="352"/>
      <c r="R79" s="352"/>
      <c r="S79" s="352"/>
      <c r="T79" s="352"/>
      <c r="U79" s="352"/>
      <c r="V79" s="352"/>
      <c r="W79" s="352"/>
      <c r="X79" s="352"/>
      <c r="Y79" s="352"/>
      <c r="Z79" s="352"/>
      <c r="AA79" s="352"/>
      <c r="AB79" s="352"/>
      <c r="AC79" s="352"/>
      <c r="AD79" s="352"/>
      <c r="AE79" s="352"/>
    </row>
    <row r="80">
      <c r="A80" s="352"/>
      <c r="B80" s="352"/>
      <c r="C80" s="352"/>
      <c r="D80" s="352"/>
      <c r="E80" s="352"/>
      <c r="F80" s="352"/>
      <c r="G80" s="352"/>
      <c r="H80" s="352"/>
      <c r="I80" s="352"/>
      <c r="J80" s="352"/>
      <c r="K80" s="352"/>
      <c r="L80" s="352"/>
      <c r="M80" s="352"/>
      <c r="N80" s="352"/>
      <c r="O80" s="352"/>
      <c r="P80" s="352"/>
      <c r="Q80" s="352"/>
      <c r="R80" s="352"/>
      <c r="S80" s="352"/>
      <c r="T80" s="352"/>
      <c r="U80" s="352"/>
      <c r="V80" s="352"/>
      <c r="W80" s="352"/>
      <c r="X80" s="352"/>
      <c r="Y80" s="352"/>
      <c r="Z80" s="352"/>
      <c r="AA80" s="352"/>
      <c r="AB80" s="352"/>
      <c r="AC80" s="352"/>
      <c r="AD80" s="352"/>
      <c r="AE80" s="352"/>
    </row>
    <row r="81">
      <c r="A81" s="352"/>
      <c r="B81" s="352"/>
      <c r="C81" s="352"/>
      <c r="D81" s="352"/>
      <c r="E81" s="352"/>
      <c r="F81" s="352"/>
      <c r="G81" s="352"/>
      <c r="H81" s="352"/>
      <c r="I81" s="352"/>
      <c r="J81" s="352"/>
      <c r="K81" s="352"/>
      <c r="L81" s="352"/>
      <c r="M81" s="352"/>
      <c r="N81" s="352"/>
      <c r="O81" s="352"/>
      <c r="P81" s="352"/>
      <c r="Q81" s="352"/>
      <c r="R81" s="352"/>
      <c r="S81" s="352"/>
      <c r="T81" s="352"/>
      <c r="U81" s="352"/>
      <c r="V81" s="352"/>
      <c r="W81" s="352"/>
      <c r="X81" s="352"/>
      <c r="Y81" s="352"/>
      <c r="Z81" s="352"/>
      <c r="AA81" s="352"/>
      <c r="AB81" s="352"/>
      <c r="AC81" s="352"/>
      <c r="AD81" s="352"/>
      <c r="AE81" s="352"/>
    </row>
    <row r="82">
      <c r="A82" s="352"/>
      <c r="B82" s="352"/>
      <c r="C82" s="352"/>
      <c r="D82" s="352"/>
      <c r="E82" s="352"/>
      <c r="F82" s="352"/>
      <c r="G82" s="352"/>
      <c r="H82" s="352"/>
      <c r="I82" s="352"/>
      <c r="J82" s="352"/>
      <c r="K82" s="352"/>
      <c r="L82" s="352"/>
      <c r="M82" s="352"/>
      <c r="N82" s="352"/>
      <c r="O82" s="352"/>
      <c r="P82" s="352"/>
      <c r="Q82" s="352"/>
      <c r="R82" s="352"/>
      <c r="S82" s="352"/>
      <c r="T82" s="352"/>
      <c r="U82" s="352"/>
      <c r="V82" s="352"/>
      <c r="W82" s="352"/>
      <c r="X82" s="352"/>
      <c r="Y82" s="352"/>
      <c r="Z82" s="352"/>
      <c r="AA82" s="352"/>
      <c r="AB82" s="352"/>
      <c r="AC82" s="352"/>
      <c r="AD82" s="352"/>
      <c r="AE82" s="352"/>
    </row>
    <row r="83">
      <c r="A83" s="352"/>
      <c r="B83" s="352"/>
      <c r="C83" s="352"/>
      <c r="D83" s="352"/>
      <c r="E83" s="352"/>
      <c r="F83" s="352"/>
      <c r="G83" s="352"/>
      <c r="H83" s="352"/>
      <c r="I83" s="352"/>
      <c r="J83" s="352"/>
      <c r="K83" s="352"/>
      <c r="L83" s="352"/>
      <c r="M83" s="352"/>
      <c r="N83" s="352"/>
      <c r="O83" s="352"/>
      <c r="P83" s="352"/>
      <c r="Q83" s="352"/>
      <c r="R83" s="352"/>
      <c r="S83" s="352"/>
      <c r="T83" s="352"/>
      <c r="U83" s="352"/>
      <c r="V83" s="352"/>
      <c r="W83" s="352"/>
      <c r="X83" s="352"/>
      <c r="Y83" s="352"/>
      <c r="Z83" s="352"/>
      <c r="AA83" s="352"/>
      <c r="AB83" s="352"/>
      <c r="AC83" s="352"/>
      <c r="AD83" s="352"/>
      <c r="AE83" s="352"/>
    </row>
    <row r="84">
      <c r="A84" s="352"/>
      <c r="B84" s="352"/>
      <c r="C84" s="352"/>
      <c r="D84" s="352"/>
      <c r="E84" s="352"/>
      <c r="F84" s="352"/>
      <c r="G84" s="352"/>
      <c r="H84" s="352"/>
      <c r="I84" s="352"/>
      <c r="J84" s="352"/>
      <c r="K84" s="352"/>
      <c r="L84" s="352"/>
      <c r="M84" s="352"/>
      <c r="N84" s="352"/>
      <c r="O84" s="352"/>
      <c r="P84" s="352"/>
      <c r="Q84" s="352"/>
      <c r="R84" s="352"/>
      <c r="S84" s="352"/>
      <c r="T84" s="352"/>
      <c r="U84" s="352"/>
      <c r="V84" s="352"/>
      <c r="W84" s="352"/>
      <c r="X84" s="352"/>
      <c r="Y84" s="352"/>
      <c r="Z84" s="352"/>
      <c r="AA84" s="352"/>
      <c r="AB84" s="352"/>
      <c r="AC84" s="352"/>
      <c r="AD84" s="352"/>
      <c r="AE84" s="352"/>
    </row>
    <row r="85">
      <c r="A85" s="352"/>
      <c r="B85" s="352"/>
      <c r="C85" s="352"/>
      <c r="D85" s="352"/>
      <c r="E85" s="352"/>
      <c r="F85" s="352"/>
      <c r="G85" s="352"/>
      <c r="H85" s="352"/>
      <c r="I85" s="352"/>
      <c r="J85" s="352"/>
      <c r="K85" s="352"/>
      <c r="L85" s="352"/>
      <c r="M85" s="352"/>
      <c r="N85" s="352"/>
      <c r="O85" s="352"/>
      <c r="P85" s="352"/>
      <c r="Q85" s="352"/>
      <c r="R85" s="352"/>
      <c r="S85" s="352"/>
      <c r="T85" s="352"/>
      <c r="U85" s="352"/>
      <c r="V85" s="352"/>
      <c r="W85" s="352"/>
      <c r="X85" s="352"/>
      <c r="Y85" s="352"/>
      <c r="Z85" s="352"/>
      <c r="AA85" s="352"/>
      <c r="AB85" s="352"/>
      <c r="AC85" s="352"/>
      <c r="AD85" s="352"/>
      <c r="AE85" s="352"/>
    </row>
    <row r="86">
      <c r="A86" s="352"/>
      <c r="B86" s="352"/>
      <c r="C86" s="352"/>
      <c r="D86" s="352"/>
      <c r="E86" s="352"/>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row>
    <row r="87">
      <c r="A87" s="352"/>
      <c r="B87" s="352"/>
      <c r="C87" s="352"/>
      <c r="D87" s="352"/>
      <c r="E87" s="352"/>
      <c r="F87" s="352"/>
      <c r="G87" s="352"/>
      <c r="H87" s="352"/>
      <c r="I87" s="352"/>
      <c r="J87" s="352"/>
      <c r="K87" s="352"/>
      <c r="L87" s="352"/>
      <c r="M87" s="352"/>
      <c r="N87" s="352"/>
      <c r="O87" s="352"/>
      <c r="P87" s="352"/>
      <c r="Q87" s="352"/>
      <c r="R87" s="352"/>
      <c r="S87" s="352"/>
      <c r="T87" s="352"/>
      <c r="U87" s="352"/>
      <c r="V87" s="352"/>
      <c r="W87" s="352"/>
      <c r="X87" s="352"/>
      <c r="Y87" s="352"/>
      <c r="Z87" s="352"/>
      <c r="AA87" s="352"/>
      <c r="AB87" s="352"/>
      <c r="AC87" s="352"/>
      <c r="AD87" s="352"/>
      <c r="AE87" s="352"/>
    </row>
    <row r="88">
      <c r="A88" s="352"/>
      <c r="B88" s="352"/>
      <c r="C88" s="352"/>
      <c r="D88" s="352"/>
      <c r="E88" s="352"/>
      <c r="F88" s="352"/>
      <c r="G88" s="352"/>
      <c r="H88" s="352"/>
      <c r="I88" s="352"/>
      <c r="J88" s="352"/>
      <c r="K88" s="352"/>
      <c r="L88" s="352"/>
      <c r="M88" s="352"/>
      <c r="N88" s="352"/>
      <c r="O88" s="352"/>
      <c r="P88" s="352"/>
      <c r="Q88" s="352"/>
      <c r="R88" s="352"/>
      <c r="S88" s="352"/>
      <c r="T88" s="352"/>
      <c r="U88" s="352"/>
      <c r="V88" s="352"/>
      <c r="W88" s="352"/>
      <c r="X88" s="352"/>
      <c r="Y88" s="352"/>
      <c r="Z88" s="352"/>
      <c r="AA88" s="352"/>
      <c r="AB88" s="352"/>
      <c r="AC88" s="352"/>
      <c r="AD88" s="352"/>
      <c r="AE88" s="352"/>
    </row>
    <row r="89">
      <c r="A89" s="352"/>
      <c r="B89" s="352"/>
      <c r="C89" s="352"/>
      <c r="D89" s="352"/>
      <c r="E89" s="352"/>
      <c r="F89" s="352"/>
      <c r="G89" s="352"/>
      <c r="H89" s="352"/>
      <c r="I89" s="352"/>
      <c r="J89" s="352"/>
      <c r="K89" s="352"/>
      <c r="L89" s="352"/>
      <c r="M89" s="352"/>
      <c r="N89" s="352"/>
      <c r="O89" s="352"/>
      <c r="P89" s="352"/>
      <c r="Q89" s="352"/>
      <c r="R89" s="352"/>
      <c r="S89" s="352"/>
      <c r="T89" s="352"/>
      <c r="U89" s="352"/>
      <c r="V89" s="352"/>
      <c r="W89" s="352"/>
      <c r="X89" s="352"/>
      <c r="Y89" s="352"/>
      <c r="Z89" s="352"/>
      <c r="AA89" s="352"/>
      <c r="AB89" s="352"/>
      <c r="AC89" s="352"/>
      <c r="AD89" s="352"/>
      <c r="AE89" s="352"/>
    </row>
    <row r="90">
      <c r="A90" s="352"/>
      <c r="B90" s="352"/>
      <c r="C90" s="352"/>
      <c r="D90" s="352"/>
      <c r="E90" s="352"/>
      <c r="F90" s="352"/>
      <c r="G90" s="352"/>
      <c r="H90" s="352"/>
      <c r="I90" s="352"/>
      <c r="J90" s="352"/>
      <c r="K90" s="352"/>
      <c r="L90" s="352"/>
      <c r="M90" s="352"/>
      <c r="N90" s="352"/>
      <c r="O90" s="352"/>
      <c r="P90" s="352"/>
      <c r="Q90" s="352"/>
      <c r="R90" s="352"/>
      <c r="S90" s="352"/>
      <c r="T90" s="352"/>
      <c r="U90" s="352"/>
      <c r="V90" s="352"/>
      <c r="W90" s="352"/>
      <c r="X90" s="352"/>
      <c r="Y90" s="352"/>
      <c r="Z90" s="352"/>
      <c r="AA90" s="352"/>
      <c r="AB90" s="352"/>
      <c r="AC90" s="352"/>
      <c r="AD90" s="352"/>
      <c r="AE90" s="352"/>
    </row>
    <row r="91">
      <c r="A91" s="352"/>
      <c r="B91" s="352"/>
      <c r="C91" s="352"/>
      <c r="D91" s="352"/>
      <c r="E91" s="352"/>
      <c r="F91" s="352"/>
      <c r="G91" s="352"/>
      <c r="H91" s="352"/>
      <c r="I91" s="352"/>
      <c r="J91" s="352"/>
      <c r="K91" s="352"/>
      <c r="L91" s="352"/>
      <c r="M91" s="352"/>
      <c r="N91" s="352"/>
      <c r="O91" s="352"/>
      <c r="P91" s="352"/>
      <c r="Q91" s="352"/>
      <c r="R91" s="352"/>
      <c r="S91" s="352"/>
      <c r="T91" s="352"/>
      <c r="U91" s="352"/>
      <c r="V91" s="352"/>
      <c r="W91" s="352"/>
      <c r="X91" s="352"/>
      <c r="Y91" s="352"/>
      <c r="Z91" s="352"/>
      <c r="AA91" s="352"/>
      <c r="AB91" s="352"/>
      <c r="AC91" s="352"/>
      <c r="AD91" s="352"/>
      <c r="AE91" s="352"/>
    </row>
    <row r="92">
      <c r="A92" s="352"/>
      <c r="B92" s="352"/>
      <c r="C92" s="352"/>
      <c r="D92" s="352"/>
      <c r="E92" s="352"/>
      <c r="F92" s="352"/>
      <c r="G92" s="352"/>
      <c r="H92" s="352"/>
      <c r="I92" s="352"/>
      <c r="J92" s="352"/>
      <c r="K92" s="352"/>
      <c r="L92" s="352"/>
      <c r="M92" s="352"/>
      <c r="N92" s="352"/>
      <c r="O92" s="352"/>
      <c r="P92" s="352"/>
      <c r="Q92" s="352"/>
      <c r="R92" s="352"/>
      <c r="S92" s="352"/>
      <c r="T92" s="352"/>
      <c r="U92" s="352"/>
      <c r="V92" s="352"/>
      <c r="W92" s="352"/>
      <c r="X92" s="352"/>
      <c r="Y92" s="352"/>
      <c r="Z92" s="352"/>
      <c r="AA92" s="352"/>
      <c r="AB92" s="352"/>
      <c r="AC92" s="352"/>
      <c r="AD92" s="352"/>
      <c r="AE92" s="352"/>
    </row>
    <row r="93">
      <c r="A93" s="352"/>
      <c r="B93" s="352"/>
      <c r="C93" s="352"/>
      <c r="D93" s="352"/>
      <c r="E93" s="352"/>
      <c r="F93" s="352"/>
      <c r="G93" s="352"/>
      <c r="H93" s="352"/>
      <c r="I93" s="352"/>
      <c r="J93" s="352"/>
      <c r="K93" s="352"/>
      <c r="L93" s="352"/>
      <c r="M93" s="352"/>
      <c r="N93" s="352"/>
      <c r="O93" s="352"/>
      <c r="P93" s="352"/>
      <c r="Q93" s="352"/>
      <c r="R93" s="352"/>
      <c r="S93" s="352"/>
      <c r="T93" s="352"/>
      <c r="U93" s="352"/>
      <c r="V93" s="352"/>
      <c r="W93" s="352"/>
      <c r="X93" s="352"/>
      <c r="Y93" s="352"/>
      <c r="Z93" s="352"/>
      <c r="AA93" s="352"/>
      <c r="AB93" s="352"/>
      <c r="AC93" s="352"/>
      <c r="AD93" s="352"/>
      <c r="AE93" s="352"/>
    </row>
    <row r="94">
      <c r="A94" s="352"/>
      <c r="B94" s="35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c r="AA94" s="352"/>
      <c r="AB94" s="352"/>
      <c r="AC94" s="352"/>
      <c r="AD94" s="352"/>
      <c r="AE94" s="352"/>
    </row>
    <row r="95">
      <c r="A95" s="352"/>
      <c r="B95" s="35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c r="AA95" s="352"/>
      <c r="AB95" s="352"/>
      <c r="AC95" s="352"/>
      <c r="AD95" s="352"/>
      <c r="AE95" s="352"/>
    </row>
    <row r="96">
      <c r="A96" s="352"/>
      <c r="B96" s="352"/>
      <c r="C96" s="352"/>
      <c r="D96" s="352"/>
      <c r="E96" s="352"/>
      <c r="F96" s="352"/>
      <c r="G96" s="352"/>
      <c r="H96" s="352"/>
      <c r="I96" s="352"/>
      <c r="J96" s="352"/>
      <c r="K96" s="352"/>
      <c r="L96" s="352"/>
      <c r="M96" s="352"/>
      <c r="N96" s="352"/>
      <c r="O96" s="352"/>
      <c r="P96" s="352"/>
      <c r="Q96" s="352"/>
      <c r="R96" s="352"/>
      <c r="S96" s="352"/>
      <c r="T96" s="352"/>
      <c r="U96" s="352"/>
      <c r="V96" s="352"/>
      <c r="W96" s="352"/>
      <c r="X96" s="352"/>
      <c r="Y96" s="352"/>
      <c r="Z96" s="352"/>
      <c r="AA96" s="352"/>
      <c r="AB96" s="352"/>
      <c r="AC96" s="352"/>
      <c r="AD96" s="352"/>
      <c r="AE96" s="352"/>
    </row>
    <row r="97">
      <c r="A97" s="352"/>
      <c r="B97" s="352"/>
      <c r="C97" s="352"/>
      <c r="D97" s="352"/>
      <c r="E97" s="352"/>
      <c r="F97" s="352"/>
      <c r="G97" s="352"/>
      <c r="H97" s="352"/>
      <c r="I97" s="352"/>
      <c r="J97" s="352"/>
      <c r="K97" s="352"/>
      <c r="L97" s="352"/>
      <c r="M97" s="352"/>
      <c r="N97" s="352"/>
      <c r="O97" s="352"/>
      <c r="P97" s="352"/>
      <c r="Q97" s="352"/>
      <c r="R97" s="352"/>
      <c r="S97" s="352"/>
      <c r="T97" s="352"/>
      <c r="U97" s="352"/>
      <c r="V97" s="352"/>
      <c r="W97" s="352"/>
      <c r="X97" s="352"/>
      <c r="Y97" s="352"/>
      <c r="Z97" s="352"/>
      <c r="AA97" s="352"/>
      <c r="AB97" s="352"/>
      <c r="AC97" s="352"/>
      <c r="AD97" s="352"/>
      <c r="AE97" s="352"/>
    </row>
    <row r="98">
      <c r="A98" s="352"/>
      <c r="B98" s="352"/>
      <c r="C98" s="352"/>
      <c r="D98" s="352"/>
      <c r="E98" s="352"/>
      <c r="F98" s="352"/>
      <c r="G98" s="352"/>
      <c r="H98" s="352"/>
      <c r="I98" s="352"/>
      <c r="J98" s="352"/>
      <c r="K98" s="352"/>
      <c r="L98" s="352"/>
      <c r="M98" s="352"/>
      <c r="N98" s="352"/>
      <c r="O98" s="352"/>
      <c r="P98" s="352"/>
      <c r="Q98" s="352"/>
      <c r="R98" s="352"/>
      <c r="S98" s="352"/>
      <c r="T98" s="352"/>
      <c r="U98" s="352"/>
      <c r="V98" s="352"/>
      <c r="W98" s="352"/>
      <c r="X98" s="352"/>
      <c r="Y98" s="352"/>
      <c r="Z98" s="352"/>
      <c r="AA98" s="352"/>
      <c r="AB98" s="352"/>
      <c r="AC98" s="352"/>
      <c r="AD98" s="352"/>
      <c r="AE98" s="352"/>
    </row>
    <row r="99">
      <c r="A99" s="352"/>
      <c r="B99" s="352"/>
      <c r="C99" s="352"/>
      <c r="D99" s="352"/>
      <c r="E99" s="352"/>
      <c r="F99" s="352"/>
      <c r="G99" s="352"/>
      <c r="H99" s="352"/>
      <c r="I99" s="352"/>
      <c r="J99" s="352"/>
      <c r="K99" s="352"/>
      <c r="L99" s="352"/>
      <c r="M99" s="352"/>
      <c r="N99" s="352"/>
      <c r="O99" s="352"/>
      <c r="P99" s="352"/>
      <c r="Q99" s="352"/>
      <c r="R99" s="352"/>
      <c r="S99" s="352"/>
      <c r="T99" s="352"/>
      <c r="U99" s="352"/>
      <c r="V99" s="352"/>
      <c r="W99" s="352"/>
      <c r="X99" s="352"/>
      <c r="Y99" s="352"/>
      <c r="Z99" s="352"/>
      <c r="AA99" s="352"/>
      <c r="AB99" s="352"/>
      <c r="AC99" s="352"/>
      <c r="AD99" s="352"/>
      <c r="AE99" s="352"/>
    </row>
    <row r="100">
      <c r="A100" s="352"/>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2"/>
      <c r="X100" s="352"/>
      <c r="Y100" s="352"/>
      <c r="Z100" s="352"/>
      <c r="AA100" s="352"/>
      <c r="AB100" s="352"/>
      <c r="AC100" s="352"/>
      <c r="AD100" s="352"/>
      <c r="AE100" s="352"/>
    </row>
    <row r="101">
      <c r="A101" s="352"/>
      <c r="B101" s="352"/>
      <c r="C101" s="352"/>
      <c r="D101" s="352"/>
      <c r="E101" s="352"/>
      <c r="F101" s="352"/>
      <c r="G101" s="352"/>
      <c r="H101" s="352"/>
      <c r="I101" s="352"/>
      <c r="J101" s="352"/>
      <c r="K101" s="352"/>
      <c r="L101" s="352"/>
      <c r="M101" s="352"/>
      <c r="N101" s="352"/>
      <c r="O101" s="352"/>
      <c r="P101" s="352"/>
      <c r="Q101" s="352"/>
      <c r="R101" s="352"/>
      <c r="S101" s="352"/>
      <c r="T101" s="352"/>
      <c r="U101" s="352"/>
      <c r="V101" s="352"/>
      <c r="W101" s="352"/>
      <c r="X101" s="352"/>
      <c r="Y101" s="352"/>
      <c r="Z101" s="352"/>
      <c r="AA101" s="352"/>
      <c r="AB101" s="352"/>
      <c r="AC101" s="352"/>
      <c r="AD101" s="352"/>
      <c r="AE101" s="352"/>
    </row>
    <row r="102">
      <c r="A102" s="352"/>
      <c r="B102" s="352"/>
      <c r="C102" s="352"/>
      <c r="D102" s="352"/>
      <c r="E102" s="352"/>
      <c r="F102" s="352"/>
      <c r="G102" s="352"/>
      <c r="H102" s="352"/>
      <c r="I102" s="352"/>
      <c r="J102" s="352"/>
      <c r="K102" s="352"/>
      <c r="L102" s="352"/>
      <c r="M102" s="352"/>
      <c r="N102" s="352"/>
      <c r="O102" s="352"/>
      <c r="P102" s="352"/>
      <c r="Q102" s="352"/>
      <c r="R102" s="352"/>
      <c r="S102" s="352"/>
      <c r="T102" s="352"/>
      <c r="U102" s="352"/>
      <c r="V102" s="352"/>
      <c r="W102" s="352"/>
      <c r="X102" s="352"/>
      <c r="Y102" s="352"/>
      <c r="Z102" s="352"/>
      <c r="AA102" s="352"/>
      <c r="AB102" s="352"/>
      <c r="AC102" s="352"/>
      <c r="AD102" s="352"/>
      <c r="AE102" s="352"/>
    </row>
    <row r="103">
      <c r="A103" s="352"/>
      <c r="B103" s="352"/>
      <c r="C103" s="352"/>
      <c r="D103" s="352"/>
      <c r="E103" s="352"/>
      <c r="F103" s="352"/>
      <c r="G103" s="352"/>
      <c r="H103" s="352"/>
      <c r="I103" s="352"/>
      <c r="J103" s="352"/>
      <c r="K103" s="352"/>
      <c r="L103" s="352"/>
      <c r="M103" s="352"/>
      <c r="N103" s="352"/>
      <c r="O103" s="352"/>
      <c r="P103" s="352"/>
      <c r="Q103" s="352"/>
      <c r="R103" s="352"/>
      <c r="S103" s="352"/>
      <c r="T103" s="352"/>
      <c r="U103" s="352"/>
      <c r="V103" s="352"/>
      <c r="W103" s="352"/>
      <c r="X103" s="352"/>
      <c r="Y103" s="352"/>
      <c r="Z103" s="352"/>
      <c r="AA103" s="352"/>
      <c r="AB103" s="352"/>
      <c r="AC103" s="352"/>
      <c r="AD103" s="352"/>
      <c r="AE103" s="352"/>
    </row>
    <row r="104">
      <c r="A104" s="352"/>
      <c r="B104" s="352"/>
      <c r="C104" s="352"/>
      <c r="D104" s="352"/>
      <c r="E104" s="352"/>
      <c r="F104" s="352"/>
      <c r="G104" s="352"/>
      <c r="H104" s="352"/>
      <c r="I104" s="352"/>
      <c r="J104" s="352"/>
      <c r="K104" s="352"/>
      <c r="L104" s="352"/>
      <c r="M104" s="352"/>
      <c r="N104" s="352"/>
      <c r="O104" s="352"/>
      <c r="P104" s="352"/>
      <c r="Q104" s="352"/>
      <c r="R104" s="352"/>
      <c r="S104" s="352"/>
      <c r="T104" s="352"/>
      <c r="U104" s="352"/>
      <c r="V104" s="352"/>
      <c r="W104" s="352"/>
      <c r="X104" s="352"/>
      <c r="Y104" s="352"/>
      <c r="Z104" s="352"/>
      <c r="AA104" s="352"/>
      <c r="AB104" s="352"/>
      <c r="AC104" s="352"/>
      <c r="AD104" s="352"/>
      <c r="AE104" s="352"/>
    </row>
    <row r="105">
      <c r="A105" s="352"/>
      <c r="B105" s="352"/>
      <c r="C105" s="352"/>
      <c r="D105" s="352"/>
      <c r="E105" s="352"/>
      <c r="F105" s="352"/>
      <c r="G105" s="352"/>
      <c r="H105" s="352"/>
      <c r="I105" s="352"/>
      <c r="J105" s="352"/>
      <c r="K105" s="352"/>
      <c r="L105" s="352"/>
      <c r="M105" s="352"/>
      <c r="N105" s="352"/>
      <c r="O105" s="352"/>
      <c r="P105" s="352"/>
      <c r="Q105" s="352"/>
      <c r="R105" s="352"/>
      <c r="S105" s="352"/>
      <c r="T105" s="352"/>
      <c r="U105" s="352"/>
      <c r="V105" s="352"/>
      <c r="W105" s="352"/>
      <c r="X105" s="352"/>
      <c r="Y105" s="352"/>
      <c r="Z105" s="352"/>
      <c r="AA105" s="352"/>
      <c r="AB105" s="352"/>
      <c r="AC105" s="352"/>
      <c r="AD105" s="352"/>
      <c r="AE105" s="352"/>
    </row>
    <row r="106">
      <c r="A106" s="352"/>
      <c r="B106" s="352"/>
      <c r="C106" s="352"/>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row>
    <row r="107">
      <c r="A107" s="352"/>
      <c r="B107" s="352"/>
      <c r="C107" s="352"/>
      <c r="D107" s="352"/>
      <c r="E107" s="352"/>
      <c r="F107" s="352"/>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row>
    <row r="108">
      <c r="A108" s="352"/>
      <c r="B108" s="35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row>
    <row r="109">
      <c r="A109" s="352"/>
      <c r="B109" s="35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row>
    <row r="110">
      <c r="A110" s="352"/>
      <c r="B110" s="35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row>
    <row r="111">
      <c r="A111" s="352"/>
      <c r="B111" s="35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row>
    <row r="112">
      <c r="A112" s="352"/>
      <c r="B112" s="352"/>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row>
    <row r="113">
      <c r="A113" s="352"/>
      <c r="B113" s="352"/>
      <c r="C113" s="352"/>
      <c r="D113" s="352"/>
      <c r="E113" s="352"/>
      <c r="F113" s="352"/>
      <c r="G113" s="352"/>
      <c r="H113" s="352"/>
      <c r="I113" s="352"/>
      <c r="J113" s="352"/>
      <c r="K113" s="352"/>
      <c r="L113" s="352"/>
      <c r="M113" s="352"/>
      <c r="N113" s="352"/>
      <c r="O113" s="352"/>
      <c r="P113" s="352"/>
      <c r="Q113" s="352"/>
      <c r="R113" s="352"/>
      <c r="S113" s="352"/>
      <c r="T113" s="352"/>
      <c r="U113" s="352"/>
      <c r="V113" s="352"/>
      <c r="W113" s="352"/>
      <c r="X113" s="352"/>
      <c r="Y113" s="352"/>
      <c r="Z113" s="352"/>
      <c r="AA113" s="352"/>
      <c r="AB113" s="352"/>
      <c r="AC113" s="352"/>
      <c r="AD113" s="352"/>
      <c r="AE113" s="352"/>
    </row>
    <row r="114">
      <c r="A114" s="352"/>
      <c r="B114" s="352"/>
      <c r="C114" s="352"/>
      <c r="D114" s="352"/>
      <c r="E114" s="352"/>
      <c r="F114" s="352"/>
      <c r="G114" s="352"/>
      <c r="H114" s="352"/>
      <c r="I114" s="352"/>
      <c r="J114" s="352"/>
      <c r="K114" s="352"/>
      <c r="L114" s="352"/>
      <c r="M114" s="352"/>
      <c r="N114" s="352"/>
      <c r="O114" s="352"/>
      <c r="P114" s="352"/>
      <c r="Q114" s="352"/>
      <c r="R114" s="352"/>
      <c r="S114" s="352"/>
      <c r="T114" s="352"/>
      <c r="U114" s="352"/>
      <c r="V114" s="352"/>
      <c r="W114" s="352"/>
      <c r="X114" s="352"/>
      <c r="Y114" s="352"/>
      <c r="Z114" s="352"/>
      <c r="AA114" s="352"/>
      <c r="AB114" s="352"/>
      <c r="AC114" s="352"/>
      <c r="AD114" s="352"/>
      <c r="AE114" s="352"/>
    </row>
    <row r="115">
      <c r="A115" s="352"/>
      <c r="B115" s="352"/>
      <c r="C115" s="352"/>
      <c r="D115" s="352"/>
      <c r="E115" s="352"/>
      <c r="F115" s="352"/>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c r="AD115" s="352"/>
      <c r="AE115" s="352"/>
    </row>
    <row r="116">
      <c r="A116" s="352"/>
      <c r="B116" s="352"/>
      <c r="C116" s="352"/>
      <c r="D116" s="352"/>
      <c r="E116" s="352"/>
      <c r="F116" s="352"/>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c r="AD116" s="352"/>
      <c r="AE116" s="352"/>
    </row>
    <row r="117">
      <c r="A117" s="352"/>
      <c r="B117" s="352"/>
      <c r="C117" s="352"/>
      <c r="D117" s="352"/>
      <c r="E117" s="352"/>
      <c r="F117" s="352"/>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c r="AD117" s="352"/>
      <c r="AE117" s="352"/>
    </row>
    <row r="118">
      <c r="A118" s="352"/>
      <c r="B118" s="352"/>
      <c r="C118" s="352"/>
      <c r="D118" s="352"/>
      <c r="E118" s="352"/>
      <c r="F118" s="352"/>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c r="AD118" s="352"/>
      <c r="AE118" s="352"/>
    </row>
    <row r="119">
      <c r="A119" s="352"/>
      <c r="B119" s="35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row>
    <row r="120">
      <c r="A120" s="352"/>
      <c r="B120" s="352"/>
      <c r="C120" s="352"/>
      <c r="D120" s="352"/>
      <c r="E120" s="352"/>
      <c r="F120" s="352"/>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c r="AD120" s="352"/>
      <c r="AE120" s="352"/>
    </row>
    <row r="121">
      <c r="A121" s="352"/>
      <c r="B121" s="352"/>
      <c r="C121" s="352"/>
      <c r="D121" s="352"/>
      <c r="E121" s="352"/>
      <c r="F121" s="352"/>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c r="AD121" s="352"/>
      <c r="AE121" s="352"/>
    </row>
    <row r="122">
      <c r="A122" s="352"/>
      <c r="B122" s="35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row>
    <row r="123">
      <c r="A123" s="352"/>
      <c r="B123" s="35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row>
    <row r="124">
      <c r="A124" s="352"/>
      <c r="B124" s="35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c r="AD124" s="352"/>
      <c r="AE124" s="352"/>
    </row>
    <row r="125">
      <c r="A125" s="352"/>
      <c r="B125" s="35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c r="AD125" s="352"/>
      <c r="AE125" s="352"/>
    </row>
    <row r="126">
      <c r="A126" s="352"/>
      <c r="B126" s="35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row>
    <row r="127">
      <c r="A127" s="352"/>
      <c r="B127" s="352"/>
      <c r="C127" s="352"/>
      <c r="D127" s="352"/>
      <c r="E127" s="352"/>
      <c r="F127" s="352"/>
      <c r="G127" s="352"/>
      <c r="H127" s="352"/>
      <c r="I127" s="352"/>
      <c r="J127" s="352"/>
      <c r="K127" s="352"/>
      <c r="L127" s="352"/>
      <c r="M127" s="352"/>
      <c r="N127" s="352"/>
      <c r="O127" s="352"/>
      <c r="P127" s="352"/>
      <c r="Q127" s="352"/>
      <c r="R127" s="352"/>
      <c r="S127" s="352"/>
      <c r="T127" s="352"/>
      <c r="U127" s="352"/>
      <c r="V127" s="352"/>
      <c r="W127" s="352"/>
      <c r="X127" s="352"/>
      <c r="Y127" s="352"/>
      <c r="Z127" s="352"/>
      <c r="AA127" s="352"/>
      <c r="AB127" s="352"/>
      <c r="AC127" s="352"/>
      <c r="AD127" s="352"/>
      <c r="AE127" s="352"/>
    </row>
    <row r="128">
      <c r="A128" s="352"/>
      <c r="B128" s="352"/>
      <c r="C128" s="352"/>
      <c r="D128" s="352"/>
      <c r="E128" s="352"/>
      <c r="F128" s="352"/>
      <c r="G128" s="352"/>
      <c r="H128" s="352"/>
      <c r="I128" s="352"/>
      <c r="J128" s="352"/>
      <c r="K128" s="352"/>
      <c r="L128" s="352"/>
      <c r="M128" s="352"/>
      <c r="N128" s="352"/>
      <c r="O128" s="352"/>
      <c r="P128" s="352"/>
      <c r="Q128" s="352"/>
      <c r="R128" s="352"/>
      <c r="S128" s="352"/>
      <c r="T128" s="352"/>
      <c r="U128" s="352"/>
      <c r="V128" s="352"/>
      <c r="W128" s="352"/>
      <c r="X128" s="352"/>
      <c r="Y128" s="352"/>
      <c r="Z128" s="352"/>
      <c r="AA128" s="352"/>
      <c r="AB128" s="352"/>
      <c r="AC128" s="352"/>
      <c r="AD128" s="352"/>
      <c r="AE128" s="352"/>
    </row>
    <row r="129">
      <c r="A129" s="352"/>
      <c r="B129" s="352"/>
      <c r="C129" s="352"/>
      <c r="D129" s="352"/>
      <c r="E129" s="352"/>
      <c r="F129" s="352"/>
      <c r="G129" s="352"/>
      <c r="H129" s="352"/>
      <c r="I129" s="352"/>
      <c r="J129" s="352"/>
      <c r="K129" s="352"/>
      <c r="L129" s="352"/>
      <c r="M129" s="352"/>
      <c r="N129" s="352"/>
      <c r="O129" s="352"/>
      <c r="P129" s="352"/>
      <c r="Q129" s="352"/>
      <c r="R129" s="352"/>
      <c r="S129" s="352"/>
      <c r="T129" s="352"/>
      <c r="U129" s="352"/>
      <c r="V129" s="352"/>
      <c r="W129" s="352"/>
      <c r="X129" s="352"/>
      <c r="Y129" s="352"/>
      <c r="Z129" s="352"/>
      <c r="AA129" s="352"/>
      <c r="AB129" s="352"/>
      <c r="AC129" s="352"/>
      <c r="AD129" s="352"/>
      <c r="AE129" s="352"/>
    </row>
    <row r="130">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2"/>
      <c r="W130" s="352"/>
      <c r="X130" s="352"/>
      <c r="Y130" s="352"/>
      <c r="Z130" s="352"/>
      <c r="AA130" s="352"/>
      <c r="AB130" s="352"/>
      <c r="AC130" s="352"/>
      <c r="AD130" s="352"/>
      <c r="AE130" s="352"/>
    </row>
    <row r="131">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2"/>
      <c r="W131" s="352"/>
      <c r="X131" s="352"/>
      <c r="Y131" s="352"/>
      <c r="Z131" s="352"/>
      <c r="AA131" s="352"/>
      <c r="AB131" s="352"/>
      <c r="AC131" s="352"/>
      <c r="AD131" s="352"/>
      <c r="AE131" s="352"/>
    </row>
    <row r="132">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c r="AA132" s="352"/>
      <c r="AB132" s="352"/>
      <c r="AC132" s="352"/>
      <c r="AD132" s="352"/>
      <c r="AE132" s="352"/>
    </row>
    <row r="133">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c r="AB133" s="352"/>
      <c r="AC133" s="352"/>
      <c r="AD133" s="352"/>
      <c r="AE133" s="352"/>
    </row>
    <row r="134">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2"/>
      <c r="W134" s="352"/>
      <c r="X134" s="352"/>
      <c r="Y134" s="352"/>
      <c r="Z134" s="352"/>
      <c r="AA134" s="352"/>
      <c r="AB134" s="352"/>
      <c r="AC134" s="352"/>
      <c r="AD134" s="352"/>
      <c r="AE134" s="352"/>
    </row>
    <row r="135">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2"/>
      <c r="W135" s="352"/>
      <c r="X135" s="352"/>
      <c r="Y135" s="352"/>
      <c r="Z135" s="352"/>
      <c r="AA135" s="352"/>
      <c r="AB135" s="352"/>
      <c r="AC135" s="352"/>
      <c r="AD135" s="352"/>
      <c r="AE135" s="352"/>
    </row>
    <row r="136">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2"/>
      <c r="W136" s="352"/>
      <c r="X136" s="352"/>
      <c r="Y136" s="352"/>
      <c r="Z136" s="352"/>
      <c r="AA136" s="352"/>
      <c r="AB136" s="352"/>
      <c r="AC136" s="352"/>
      <c r="AD136" s="352"/>
      <c r="AE136" s="352"/>
    </row>
    <row r="137">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2"/>
      <c r="W137" s="352"/>
      <c r="X137" s="352"/>
      <c r="Y137" s="352"/>
      <c r="Z137" s="352"/>
      <c r="AA137" s="352"/>
      <c r="AB137" s="352"/>
      <c r="AC137" s="352"/>
      <c r="AD137" s="352"/>
      <c r="AE137" s="352"/>
    </row>
    <row r="138">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2"/>
      <c r="W138" s="352"/>
      <c r="X138" s="352"/>
      <c r="Y138" s="352"/>
      <c r="Z138" s="352"/>
      <c r="AA138" s="352"/>
      <c r="AB138" s="352"/>
      <c r="AC138" s="352"/>
      <c r="AD138" s="352"/>
      <c r="AE138" s="352"/>
    </row>
    <row r="139">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2"/>
      <c r="W139" s="352"/>
      <c r="X139" s="352"/>
      <c r="Y139" s="352"/>
      <c r="Z139" s="352"/>
      <c r="AA139" s="352"/>
      <c r="AB139" s="352"/>
      <c r="AC139" s="352"/>
      <c r="AD139" s="352"/>
      <c r="AE139" s="352"/>
    </row>
    <row r="140">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2"/>
      <c r="W140" s="352"/>
      <c r="X140" s="352"/>
      <c r="Y140" s="352"/>
      <c r="Z140" s="352"/>
      <c r="AA140" s="352"/>
      <c r="AB140" s="352"/>
      <c r="AC140" s="352"/>
      <c r="AD140" s="352"/>
      <c r="AE140" s="352"/>
    </row>
    <row r="141">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c r="AA141" s="352"/>
      <c r="AB141" s="352"/>
      <c r="AC141" s="352"/>
      <c r="AD141" s="352"/>
      <c r="AE141" s="352"/>
    </row>
    <row r="142">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2"/>
      <c r="W142" s="352"/>
      <c r="X142" s="352"/>
      <c r="Y142" s="352"/>
      <c r="Z142" s="352"/>
      <c r="AA142" s="352"/>
      <c r="AB142" s="352"/>
      <c r="AC142" s="352"/>
      <c r="AD142" s="352"/>
      <c r="AE142" s="352"/>
    </row>
    <row r="143">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row>
    <row r="144">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row>
    <row r="145">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2"/>
      <c r="W145" s="352"/>
      <c r="X145" s="352"/>
      <c r="Y145" s="352"/>
      <c r="Z145" s="352"/>
      <c r="AA145" s="352"/>
      <c r="AB145" s="352"/>
      <c r="AC145" s="352"/>
      <c r="AD145" s="352"/>
      <c r="AE145" s="352"/>
    </row>
    <row r="146">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c r="AB146" s="352"/>
      <c r="AC146" s="352"/>
      <c r="AD146" s="352"/>
      <c r="AE146" s="352"/>
    </row>
    <row r="147">
      <c r="A147" s="352"/>
      <c r="B147" s="352"/>
      <c r="C147" s="352"/>
      <c r="D147" s="352"/>
      <c r="E147" s="352"/>
      <c r="F147" s="352"/>
      <c r="G147" s="352"/>
      <c r="H147" s="352"/>
      <c r="I147" s="352"/>
      <c r="J147" s="352"/>
      <c r="K147" s="352"/>
      <c r="L147" s="352"/>
      <c r="M147" s="352"/>
      <c r="N147" s="352"/>
      <c r="O147" s="352"/>
      <c r="P147" s="352"/>
      <c r="Q147" s="352"/>
      <c r="R147" s="352"/>
      <c r="S147" s="352"/>
      <c r="T147" s="352"/>
      <c r="U147" s="352"/>
      <c r="V147" s="352"/>
      <c r="W147" s="352"/>
      <c r="X147" s="352"/>
      <c r="Y147" s="352"/>
      <c r="Z147" s="352"/>
      <c r="AA147" s="352"/>
      <c r="AB147" s="352"/>
      <c r="AC147" s="352"/>
      <c r="AD147" s="352"/>
      <c r="AE147" s="352"/>
    </row>
    <row r="148">
      <c r="A148" s="352"/>
      <c r="B148" s="352"/>
      <c r="C148" s="352"/>
      <c r="D148" s="352"/>
      <c r="E148" s="352"/>
      <c r="F148" s="352"/>
      <c r="G148" s="352"/>
      <c r="H148" s="352"/>
      <c r="I148" s="352"/>
      <c r="J148" s="352"/>
      <c r="K148" s="352"/>
      <c r="L148" s="352"/>
      <c r="M148" s="352"/>
      <c r="N148" s="352"/>
      <c r="O148" s="352"/>
      <c r="P148" s="352"/>
      <c r="Q148" s="352"/>
      <c r="R148" s="352"/>
      <c r="S148" s="352"/>
      <c r="T148" s="352"/>
      <c r="U148" s="352"/>
      <c r="V148" s="352"/>
      <c r="W148" s="352"/>
      <c r="X148" s="352"/>
      <c r="Y148" s="352"/>
      <c r="Z148" s="352"/>
      <c r="AA148" s="352"/>
      <c r="AB148" s="352"/>
      <c r="AC148" s="352"/>
      <c r="AD148" s="352"/>
      <c r="AE148" s="352"/>
    </row>
    <row r="149">
      <c r="A149" s="352"/>
      <c r="B149" s="352"/>
      <c r="C149" s="352"/>
      <c r="D149" s="352"/>
      <c r="E149" s="352"/>
      <c r="F149" s="352"/>
      <c r="G149" s="352"/>
      <c r="H149" s="352"/>
      <c r="I149" s="352"/>
      <c r="J149" s="352"/>
      <c r="K149" s="352"/>
      <c r="L149" s="352"/>
      <c r="M149" s="352"/>
      <c r="N149" s="352"/>
      <c r="O149" s="352"/>
      <c r="P149" s="352"/>
      <c r="Q149" s="352"/>
      <c r="R149" s="352"/>
      <c r="S149" s="352"/>
      <c r="T149" s="352"/>
      <c r="U149" s="352"/>
      <c r="V149" s="352"/>
      <c r="W149" s="352"/>
      <c r="X149" s="352"/>
      <c r="Y149" s="352"/>
      <c r="Z149" s="352"/>
      <c r="AA149" s="352"/>
      <c r="AB149" s="352"/>
      <c r="AC149" s="352"/>
      <c r="AD149" s="352"/>
      <c r="AE149" s="352"/>
    </row>
    <row r="150">
      <c r="A150" s="352"/>
      <c r="B150" s="352"/>
      <c r="C150" s="352"/>
      <c r="D150" s="352"/>
      <c r="E150" s="352"/>
      <c r="F150" s="352"/>
      <c r="G150" s="352"/>
      <c r="H150" s="352"/>
      <c r="I150" s="352"/>
      <c r="J150" s="352"/>
      <c r="K150" s="352"/>
      <c r="L150" s="352"/>
      <c r="M150" s="352"/>
      <c r="N150" s="352"/>
      <c r="O150" s="352"/>
      <c r="P150" s="352"/>
      <c r="Q150" s="352"/>
      <c r="R150" s="352"/>
      <c r="S150" s="352"/>
      <c r="T150" s="352"/>
      <c r="U150" s="352"/>
      <c r="V150" s="352"/>
      <c r="W150" s="352"/>
      <c r="X150" s="352"/>
      <c r="Y150" s="352"/>
      <c r="Z150" s="352"/>
      <c r="AA150" s="352"/>
      <c r="AB150" s="352"/>
      <c r="AC150" s="352"/>
      <c r="AD150" s="352"/>
      <c r="AE150" s="352"/>
    </row>
    <row r="151">
      <c r="A151" s="352"/>
      <c r="B151" s="352"/>
      <c r="C151" s="352"/>
      <c r="D151" s="352"/>
      <c r="E151" s="352"/>
      <c r="F151" s="352"/>
      <c r="G151" s="352"/>
      <c r="H151" s="352"/>
      <c r="I151" s="352"/>
      <c r="J151" s="352"/>
      <c r="K151" s="352"/>
      <c r="L151" s="352"/>
      <c r="M151" s="352"/>
      <c r="N151" s="352"/>
      <c r="O151" s="352"/>
      <c r="P151" s="352"/>
      <c r="Q151" s="352"/>
      <c r="R151" s="352"/>
      <c r="S151" s="352"/>
      <c r="T151" s="352"/>
      <c r="U151" s="352"/>
      <c r="V151" s="352"/>
      <c r="W151" s="352"/>
      <c r="X151" s="352"/>
      <c r="Y151" s="352"/>
      <c r="Z151" s="352"/>
      <c r="AA151" s="352"/>
      <c r="AB151" s="352"/>
      <c r="AC151" s="352"/>
      <c r="AD151" s="352"/>
      <c r="AE151" s="352"/>
    </row>
    <row r="152">
      <c r="A152" s="352"/>
      <c r="B152" s="352"/>
      <c r="C152" s="352"/>
      <c r="D152" s="352"/>
      <c r="E152" s="352"/>
      <c r="F152" s="352"/>
      <c r="G152" s="352"/>
      <c r="H152" s="352"/>
      <c r="I152" s="352"/>
      <c r="J152" s="352"/>
      <c r="K152" s="352"/>
      <c r="L152" s="352"/>
      <c r="M152" s="352"/>
      <c r="N152" s="352"/>
      <c r="O152" s="352"/>
      <c r="P152" s="352"/>
      <c r="Q152" s="352"/>
      <c r="R152" s="352"/>
      <c r="S152" s="352"/>
      <c r="T152" s="352"/>
      <c r="U152" s="352"/>
      <c r="V152" s="352"/>
      <c r="W152" s="352"/>
      <c r="X152" s="352"/>
      <c r="Y152" s="352"/>
      <c r="Z152" s="352"/>
      <c r="AA152" s="352"/>
      <c r="AB152" s="352"/>
      <c r="AC152" s="352"/>
      <c r="AD152" s="352"/>
      <c r="AE152" s="352"/>
    </row>
    <row r="153">
      <c r="A153" s="352"/>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2"/>
      <c r="X153" s="352"/>
      <c r="Y153" s="352"/>
      <c r="Z153" s="352"/>
      <c r="AA153" s="352"/>
      <c r="AB153" s="352"/>
      <c r="AC153" s="352"/>
      <c r="AD153" s="352"/>
      <c r="AE153" s="352"/>
    </row>
    <row r="154">
      <c r="A154" s="352"/>
      <c r="B154" s="352"/>
      <c r="C154" s="352"/>
      <c r="D154" s="352"/>
      <c r="E154" s="352"/>
      <c r="F154" s="352"/>
      <c r="G154" s="352"/>
      <c r="H154" s="352"/>
      <c r="I154" s="352"/>
      <c r="J154" s="352"/>
      <c r="K154" s="352"/>
      <c r="L154" s="352"/>
      <c r="M154" s="352"/>
      <c r="N154" s="352"/>
      <c r="O154" s="352"/>
      <c r="P154" s="352"/>
      <c r="Q154" s="352"/>
      <c r="R154" s="352"/>
      <c r="S154" s="352"/>
      <c r="T154" s="352"/>
      <c r="U154" s="352"/>
      <c r="V154" s="352"/>
      <c r="W154" s="352"/>
      <c r="X154" s="352"/>
      <c r="Y154" s="352"/>
      <c r="Z154" s="352"/>
      <c r="AA154" s="352"/>
      <c r="AB154" s="352"/>
      <c r="AC154" s="352"/>
      <c r="AD154" s="352"/>
      <c r="AE154" s="352"/>
    </row>
    <row r="155">
      <c r="A155" s="352"/>
      <c r="B155" s="352"/>
      <c r="C155" s="352"/>
      <c r="D155" s="352"/>
      <c r="E155" s="352"/>
      <c r="F155" s="352"/>
      <c r="G155" s="352"/>
      <c r="H155" s="352"/>
      <c r="I155" s="352"/>
      <c r="J155" s="352"/>
      <c r="K155" s="352"/>
      <c r="L155" s="352"/>
      <c r="M155" s="352"/>
      <c r="N155" s="352"/>
      <c r="O155" s="352"/>
      <c r="P155" s="352"/>
      <c r="Q155" s="352"/>
      <c r="R155" s="352"/>
      <c r="S155" s="352"/>
      <c r="T155" s="352"/>
      <c r="U155" s="352"/>
      <c r="V155" s="352"/>
      <c r="W155" s="352"/>
      <c r="X155" s="352"/>
      <c r="Y155" s="352"/>
      <c r="Z155" s="352"/>
      <c r="AA155" s="352"/>
      <c r="AB155" s="352"/>
      <c r="AC155" s="352"/>
      <c r="AD155" s="352"/>
      <c r="AE155" s="352"/>
    </row>
    <row r="156">
      <c r="A156" s="352"/>
      <c r="B156" s="352"/>
      <c r="C156" s="352"/>
      <c r="D156" s="352"/>
      <c r="E156" s="352"/>
      <c r="F156" s="352"/>
      <c r="G156" s="352"/>
      <c r="H156" s="352"/>
      <c r="I156" s="352"/>
      <c r="J156" s="352"/>
      <c r="K156" s="352"/>
      <c r="L156" s="352"/>
      <c r="M156" s="352"/>
      <c r="N156" s="352"/>
      <c r="O156" s="352"/>
      <c r="P156" s="352"/>
      <c r="Q156" s="352"/>
      <c r="R156" s="352"/>
      <c r="S156" s="352"/>
      <c r="T156" s="352"/>
      <c r="U156" s="352"/>
      <c r="V156" s="352"/>
      <c r="W156" s="352"/>
      <c r="X156" s="352"/>
      <c r="Y156" s="352"/>
      <c r="Z156" s="352"/>
      <c r="AA156" s="352"/>
      <c r="AB156" s="352"/>
      <c r="AC156" s="352"/>
      <c r="AD156" s="352"/>
      <c r="AE156" s="352"/>
    </row>
    <row r="157">
      <c r="A157" s="352"/>
      <c r="B157" s="352"/>
      <c r="C157" s="352"/>
      <c r="D157" s="352"/>
      <c r="E157" s="352"/>
      <c r="F157" s="352"/>
      <c r="G157" s="352"/>
      <c r="H157" s="352"/>
      <c r="I157" s="352"/>
      <c r="J157" s="352"/>
      <c r="K157" s="352"/>
      <c r="L157" s="352"/>
      <c r="M157" s="352"/>
      <c r="N157" s="352"/>
      <c r="O157" s="352"/>
      <c r="P157" s="352"/>
      <c r="Q157" s="352"/>
      <c r="R157" s="352"/>
      <c r="S157" s="352"/>
      <c r="T157" s="352"/>
      <c r="U157" s="352"/>
      <c r="V157" s="352"/>
      <c r="W157" s="352"/>
      <c r="X157" s="352"/>
      <c r="Y157" s="352"/>
      <c r="Z157" s="352"/>
      <c r="AA157" s="352"/>
      <c r="AB157" s="352"/>
      <c r="AC157" s="352"/>
      <c r="AD157" s="352"/>
      <c r="AE157" s="352"/>
    </row>
    <row r="158">
      <c r="A158" s="352"/>
      <c r="B158" s="352"/>
      <c r="C158" s="352"/>
      <c r="D158" s="352"/>
      <c r="E158" s="352"/>
      <c r="F158" s="352"/>
      <c r="G158" s="352"/>
      <c r="H158" s="352"/>
      <c r="I158" s="352"/>
      <c r="J158" s="352"/>
      <c r="K158" s="352"/>
      <c r="L158" s="352"/>
      <c r="M158" s="352"/>
      <c r="N158" s="352"/>
      <c r="O158" s="352"/>
      <c r="P158" s="352"/>
      <c r="Q158" s="352"/>
      <c r="R158" s="352"/>
      <c r="S158" s="352"/>
      <c r="T158" s="352"/>
      <c r="U158" s="352"/>
      <c r="V158" s="352"/>
      <c r="W158" s="352"/>
      <c r="X158" s="352"/>
      <c r="Y158" s="352"/>
      <c r="Z158" s="352"/>
      <c r="AA158" s="352"/>
      <c r="AB158" s="352"/>
      <c r="AC158" s="352"/>
      <c r="AD158" s="352"/>
      <c r="AE158" s="352"/>
    </row>
    <row r="159">
      <c r="A159" s="352"/>
      <c r="B159" s="352"/>
      <c r="C159" s="352"/>
      <c r="D159" s="352"/>
      <c r="E159" s="352"/>
      <c r="F159" s="352"/>
      <c r="G159" s="352"/>
      <c r="H159" s="352"/>
      <c r="I159" s="352"/>
      <c r="J159" s="352"/>
      <c r="K159" s="352"/>
      <c r="L159" s="352"/>
      <c r="M159" s="352"/>
      <c r="N159" s="352"/>
      <c r="O159" s="352"/>
      <c r="P159" s="352"/>
      <c r="Q159" s="352"/>
      <c r="R159" s="352"/>
      <c r="S159" s="352"/>
      <c r="T159" s="352"/>
      <c r="U159" s="352"/>
      <c r="V159" s="352"/>
      <c r="W159" s="352"/>
      <c r="X159" s="352"/>
      <c r="Y159" s="352"/>
      <c r="Z159" s="352"/>
      <c r="AA159" s="352"/>
      <c r="AB159" s="352"/>
      <c r="AC159" s="352"/>
      <c r="AD159" s="352"/>
      <c r="AE159" s="352"/>
    </row>
    <row r="160">
      <c r="A160" s="352"/>
      <c r="B160" s="352"/>
      <c r="C160" s="352"/>
      <c r="D160" s="352"/>
      <c r="E160" s="352"/>
      <c r="F160" s="352"/>
      <c r="G160" s="352"/>
      <c r="H160" s="352"/>
      <c r="I160" s="352"/>
      <c r="J160" s="352"/>
      <c r="K160" s="352"/>
      <c r="L160" s="352"/>
      <c r="M160" s="352"/>
      <c r="N160" s="352"/>
      <c r="O160" s="352"/>
      <c r="P160" s="352"/>
      <c r="Q160" s="352"/>
      <c r="R160" s="352"/>
      <c r="S160" s="352"/>
      <c r="T160" s="352"/>
      <c r="U160" s="352"/>
      <c r="V160" s="352"/>
      <c r="W160" s="352"/>
      <c r="X160" s="352"/>
      <c r="Y160" s="352"/>
      <c r="Z160" s="352"/>
      <c r="AA160" s="352"/>
      <c r="AB160" s="352"/>
      <c r="AC160" s="352"/>
      <c r="AD160" s="352"/>
      <c r="AE160" s="352"/>
    </row>
    <row r="161">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2"/>
      <c r="W161" s="352"/>
      <c r="X161" s="352"/>
      <c r="Y161" s="352"/>
      <c r="Z161" s="352"/>
      <c r="AA161" s="352"/>
      <c r="AB161" s="352"/>
      <c r="AC161" s="352"/>
      <c r="AD161" s="352"/>
      <c r="AE161" s="352"/>
    </row>
    <row r="162">
      <c r="A162" s="352"/>
      <c r="B162" s="352"/>
      <c r="C162" s="352"/>
      <c r="D162" s="352"/>
      <c r="E162" s="352"/>
      <c r="F162" s="352"/>
      <c r="G162" s="352"/>
      <c r="H162" s="352"/>
      <c r="I162" s="352"/>
      <c r="J162" s="352"/>
      <c r="K162" s="352"/>
      <c r="L162" s="352"/>
      <c r="M162" s="352"/>
      <c r="N162" s="352"/>
      <c r="O162" s="352"/>
      <c r="P162" s="352"/>
      <c r="Q162" s="352"/>
      <c r="R162" s="352"/>
      <c r="S162" s="352"/>
      <c r="T162" s="352"/>
      <c r="U162" s="352"/>
      <c r="V162" s="352"/>
      <c r="W162" s="352"/>
      <c r="X162" s="352"/>
      <c r="Y162" s="352"/>
      <c r="Z162" s="352"/>
      <c r="AA162" s="352"/>
      <c r="AB162" s="352"/>
      <c r="AC162" s="352"/>
      <c r="AD162" s="352"/>
      <c r="AE162" s="352"/>
    </row>
    <row r="163">
      <c r="A163" s="352"/>
      <c r="B163" s="352"/>
      <c r="C163" s="352"/>
      <c r="D163" s="352"/>
      <c r="E163" s="352"/>
      <c r="F163" s="352"/>
      <c r="G163" s="352"/>
      <c r="H163" s="352"/>
      <c r="I163" s="352"/>
      <c r="J163" s="352"/>
      <c r="K163" s="352"/>
      <c r="L163" s="352"/>
      <c r="M163" s="352"/>
      <c r="N163" s="352"/>
      <c r="O163" s="352"/>
      <c r="P163" s="352"/>
      <c r="Q163" s="352"/>
      <c r="R163" s="352"/>
      <c r="S163" s="352"/>
      <c r="T163" s="352"/>
      <c r="U163" s="352"/>
      <c r="V163" s="352"/>
      <c r="W163" s="352"/>
      <c r="X163" s="352"/>
      <c r="Y163" s="352"/>
      <c r="Z163" s="352"/>
      <c r="AA163" s="352"/>
      <c r="AB163" s="352"/>
      <c r="AC163" s="352"/>
      <c r="AD163" s="352"/>
      <c r="AE163" s="352"/>
    </row>
    <row r="164">
      <c r="A164" s="352"/>
      <c r="B164" s="352"/>
      <c r="C164" s="352"/>
      <c r="D164" s="352"/>
      <c r="E164" s="352"/>
      <c r="F164" s="352"/>
      <c r="G164" s="352"/>
      <c r="H164" s="352"/>
      <c r="I164" s="352"/>
      <c r="J164" s="352"/>
      <c r="K164" s="352"/>
      <c r="L164" s="352"/>
      <c r="M164" s="352"/>
      <c r="N164" s="352"/>
      <c r="O164" s="352"/>
      <c r="P164" s="352"/>
      <c r="Q164" s="352"/>
      <c r="R164" s="352"/>
      <c r="S164" s="352"/>
      <c r="T164" s="352"/>
      <c r="U164" s="352"/>
      <c r="V164" s="352"/>
      <c r="W164" s="352"/>
      <c r="X164" s="352"/>
      <c r="Y164" s="352"/>
      <c r="Z164" s="352"/>
      <c r="AA164" s="352"/>
      <c r="AB164" s="352"/>
      <c r="AC164" s="352"/>
      <c r="AD164" s="352"/>
      <c r="AE164" s="352"/>
    </row>
    <row r="165">
      <c r="A165" s="352"/>
      <c r="B165" s="352"/>
      <c r="C165" s="352"/>
      <c r="D165" s="352"/>
      <c r="E165" s="352"/>
      <c r="F165" s="352"/>
      <c r="G165" s="352"/>
      <c r="H165" s="352"/>
      <c r="I165" s="352"/>
      <c r="J165" s="352"/>
      <c r="K165" s="352"/>
      <c r="L165" s="352"/>
      <c r="M165" s="352"/>
      <c r="N165" s="352"/>
      <c r="O165" s="352"/>
      <c r="P165" s="352"/>
      <c r="Q165" s="352"/>
      <c r="R165" s="352"/>
      <c r="S165" s="352"/>
      <c r="T165" s="352"/>
      <c r="U165" s="352"/>
      <c r="V165" s="352"/>
      <c r="W165" s="352"/>
      <c r="X165" s="352"/>
      <c r="Y165" s="352"/>
      <c r="Z165" s="352"/>
      <c r="AA165" s="352"/>
      <c r="AB165" s="352"/>
      <c r="AC165" s="352"/>
      <c r="AD165" s="352"/>
      <c r="AE165" s="352"/>
    </row>
    <row r="166">
      <c r="A166" s="352"/>
      <c r="B166" s="352"/>
      <c r="C166" s="352"/>
      <c r="D166" s="352"/>
      <c r="E166" s="352"/>
      <c r="F166" s="352"/>
      <c r="G166" s="352"/>
      <c r="H166" s="352"/>
      <c r="I166" s="352"/>
      <c r="J166" s="352"/>
      <c r="K166" s="352"/>
      <c r="L166" s="352"/>
      <c r="M166" s="352"/>
      <c r="N166" s="352"/>
      <c r="O166" s="352"/>
      <c r="P166" s="352"/>
      <c r="Q166" s="352"/>
      <c r="R166" s="352"/>
      <c r="S166" s="352"/>
      <c r="T166" s="352"/>
      <c r="U166" s="352"/>
      <c r="V166" s="352"/>
      <c r="W166" s="352"/>
      <c r="X166" s="352"/>
      <c r="Y166" s="352"/>
      <c r="Z166" s="352"/>
      <c r="AA166" s="352"/>
      <c r="AB166" s="352"/>
      <c r="AC166" s="352"/>
      <c r="AD166" s="352"/>
      <c r="AE166" s="352"/>
    </row>
    <row r="167">
      <c r="A167" s="352"/>
      <c r="B167" s="352"/>
      <c r="C167" s="352"/>
      <c r="D167" s="352"/>
      <c r="E167" s="352"/>
      <c r="F167" s="352"/>
      <c r="G167" s="352"/>
      <c r="H167" s="352"/>
      <c r="I167" s="352"/>
      <c r="J167" s="352"/>
      <c r="K167" s="352"/>
      <c r="L167" s="352"/>
      <c r="M167" s="352"/>
      <c r="N167" s="352"/>
      <c r="O167" s="352"/>
      <c r="P167" s="352"/>
      <c r="Q167" s="352"/>
      <c r="R167" s="352"/>
      <c r="S167" s="352"/>
      <c r="T167" s="352"/>
      <c r="U167" s="352"/>
      <c r="V167" s="352"/>
      <c r="W167" s="352"/>
      <c r="X167" s="352"/>
      <c r="Y167" s="352"/>
      <c r="Z167" s="352"/>
      <c r="AA167" s="352"/>
      <c r="AB167" s="352"/>
      <c r="AC167" s="352"/>
      <c r="AD167" s="352"/>
      <c r="AE167" s="352"/>
    </row>
    <row r="168">
      <c r="A168" s="352"/>
      <c r="B168" s="352"/>
      <c r="C168" s="352"/>
      <c r="D168" s="352"/>
      <c r="E168" s="352"/>
      <c r="F168" s="352"/>
      <c r="G168" s="352"/>
      <c r="H168" s="352"/>
      <c r="I168" s="352"/>
      <c r="J168" s="352"/>
      <c r="K168" s="352"/>
      <c r="L168" s="352"/>
      <c r="M168" s="352"/>
      <c r="N168" s="352"/>
      <c r="O168" s="352"/>
      <c r="P168" s="352"/>
      <c r="Q168" s="352"/>
      <c r="R168" s="352"/>
      <c r="S168" s="352"/>
      <c r="T168" s="352"/>
      <c r="U168" s="352"/>
      <c r="V168" s="352"/>
      <c r="W168" s="352"/>
      <c r="X168" s="352"/>
      <c r="Y168" s="352"/>
      <c r="Z168" s="352"/>
      <c r="AA168" s="352"/>
      <c r="AB168" s="352"/>
      <c r="AC168" s="352"/>
      <c r="AD168" s="352"/>
      <c r="AE168" s="352"/>
    </row>
    <row r="169">
      <c r="A169" s="352"/>
      <c r="B169" s="352"/>
      <c r="C169" s="352"/>
      <c r="D169" s="352"/>
      <c r="E169" s="352"/>
      <c r="F169" s="352"/>
      <c r="G169" s="352"/>
      <c r="H169" s="352"/>
      <c r="I169" s="352"/>
      <c r="J169" s="352"/>
      <c r="K169" s="352"/>
      <c r="L169" s="352"/>
      <c r="M169" s="352"/>
      <c r="N169" s="352"/>
      <c r="O169" s="352"/>
      <c r="P169" s="352"/>
      <c r="Q169" s="352"/>
      <c r="R169" s="352"/>
      <c r="S169" s="352"/>
      <c r="T169" s="352"/>
      <c r="U169" s="352"/>
      <c r="V169" s="352"/>
      <c r="W169" s="352"/>
      <c r="X169" s="352"/>
      <c r="Y169" s="352"/>
      <c r="Z169" s="352"/>
      <c r="AA169" s="352"/>
      <c r="AB169" s="352"/>
      <c r="AC169" s="352"/>
      <c r="AD169" s="352"/>
      <c r="AE169" s="352"/>
    </row>
    <row r="170">
      <c r="A170" s="352"/>
      <c r="B170" s="352"/>
      <c r="C170" s="352"/>
      <c r="D170" s="352"/>
      <c r="E170" s="352"/>
      <c r="F170" s="352"/>
      <c r="G170" s="352"/>
      <c r="H170" s="352"/>
      <c r="I170" s="352"/>
      <c r="J170" s="352"/>
      <c r="K170" s="352"/>
      <c r="L170" s="352"/>
      <c r="M170" s="352"/>
      <c r="N170" s="352"/>
      <c r="O170" s="352"/>
      <c r="P170" s="352"/>
      <c r="Q170" s="352"/>
      <c r="R170" s="352"/>
      <c r="S170" s="352"/>
      <c r="T170" s="352"/>
      <c r="U170" s="352"/>
      <c r="V170" s="352"/>
      <c r="W170" s="352"/>
      <c r="X170" s="352"/>
      <c r="Y170" s="352"/>
      <c r="Z170" s="352"/>
      <c r="AA170" s="352"/>
      <c r="AB170" s="352"/>
      <c r="AC170" s="352"/>
      <c r="AD170" s="352"/>
      <c r="AE170" s="352"/>
    </row>
    <row r="171">
      <c r="A171" s="352"/>
      <c r="B171" s="352"/>
      <c r="C171" s="352"/>
      <c r="D171" s="352"/>
      <c r="E171" s="352"/>
      <c r="F171" s="352"/>
      <c r="G171" s="352"/>
      <c r="H171" s="352"/>
      <c r="I171" s="352"/>
      <c r="J171" s="352"/>
      <c r="K171" s="352"/>
      <c r="L171" s="352"/>
      <c r="M171" s="352"/>
      <c r="N171" s="352"/>
      <c r="O171" s="352"/>
      <c r="P171" s="352"/>
      <c r="Q171" s="352"/>
      <c r="R171" s="352"/>
      <c r="S171" s="352"/>
      <c r="T171" s="352"/>
      <c r="U171" s="352"/>
      <c r="V171" s="352"/>
      <c r="W171" s="352"/>
      <c r="X171" s="352"/>
      <c r="Y171" s="352"/>
      <c r="Z171" s="352"/>
      <c r="AA171" s="352"/>
      <c r="AB171" s="352"/>
      <c r="AC171" s="352"/>
      <c r="AD171" s="352"/>
      <c r="AE171" s="352"/>
    </row>
    <row r="172">
      <c r="A172" s="352"/>
      <c r="B172" s="352"/>
      <c r="C172" s="352"/>
      <c r="D172" s="352"/>
      <c r="E172" s="352"/>
      <c r="F172" s="352"/>
      <c r="G172" s="352"/>
      <c r="H172" s="352"/>
      <c r="I172" s="352"/>
      <c r="J172" s="352"/>
      <c r="K172" s="352"/>
      <c r="L172" s="352"/>
      <c r="M172" s="352"/>
      <c r="N172" s="352"/>
      <c r="O172" s="352"/>
      <c r="P172" s="352"/>
      <c r="Q172" s="352"/>
      <c r="R172" s="352"/>
      <c r="S172" s="352"/>
      <c r="T172" s="352"/>
      <c r="U172" s="352"/>
      <c r="V172" s="352"/>
      <c r="W172" s="352"/>
      <c r="X172" s="352"/>
      <c r="Y172" s="352"/>
      <c r="Z172" s="352"/>
      <c r="AA172" s="352"/>
      <c r="AB172" s="352"/>
      <c r="AC172" s="352"/>
      <c r="AD172" s="352"/>
      <c r="AE172" s="352"/>
    </row>
    <row r="173">
      <c r="A173" s="352"/>
      <c r="B173" s="352"/>
      <c r="C173" s="352"/>
      <c r="D173" s="352"/>
      <c r="E173" s="352"/>
      <c r="F173" s="352"/>
      <c r="G173" s="352"/>
      <c r="H173" s="352"/>
      <c r="I173" s="352"/>
      <c r="J173" s="352"/>
      <c r="K173" s="352"/>
      <c r="L173" s="352"/>
      <c r="M173" s="352"/>
      <c r="N173" s="352"/>
      <c r="O173" s="352"/>
      <c r="P173" s="352"/>
      <c r="Q173" s="352"/>
      <c r="R173" s="352"/>
      <c r="S173" s="352"/>
      <c r="T173" s="352"/>
      <c r="U173" s="352"/>
      <c r="V173" s="352"/>
      <c r="W173" s="352"/>
      <c r="X173" s="352"/>
      <c r="Y173" s="352"/>
      <c r="Z173" s="352"/>
      <c r="AA173" s="352"/>
      <c r="AB173" s="352"/>
      <c r="AC173" s="352"/>
      <c r="AD173" s="352"/>
      <c r="AE173" s="352"/>
    </row>
    <row r="174">
      <c r="A174" s="352"/>
      <c r="B174" s="352"/>
      <c r="C174" s="352"/>
      <c r="D174" s="352"/>
      <c r="E174" s="352"/>
      <c r="F174" s="352"/>
      <c r="G174" s="352"/>
      <c r="H174" s="352"/>
      <c r="I174" s="352"/>
      <c r="J174" s="352"/>
      <c r="K174" s="352"/>
      <c r="L174" s="352"/>
      <c r="M174" s="352"/>
      <c r="N174" s="352"/>
      <c r="O174" s="352"/>
      <c r="P174" s="352"/>
      <c r="Q174" s="352"/>
      <c r="R174" s="352"/>
      <c r="S174" s="352"/>
      <c r="T174" s="352"/>
      <c r="U174" s="352"/>
      <c r="V174" s="352"/>
      <c r="W174" s="352"/>
      <c r="X174" s="352"/>
      <c r="Y174" s="352"/>
      <c r="Z174" s="352"/>
      <c r="AA174" s="352"/>
      <c r="AB174" s="352"/>
      <c r="AC174" s="352"/>
      <c r="AD174" s="352"/>
      <c r="AE174" s="352"/>
    </row>
    <row r="175">
      <c r="A175" s="352"/>
      <c r="B175" s="352"/>
      <c r="C175" s="352"/>
      <c r="D175" s="352"/>
      <c r="E175" s="352"/>
      <c r="F175" s="352"/>
      <c r="G175" s="352"/>
      <c r="H175" s="352"/>
      <c r="I175" s="352"/>
      <c r="J175" s="352"/>
      <c r="K175" s="352"/>
      <c r="L175" s="352"/>
      <c r="M175" s="352"/>
      <c r="N175" s="352"/>
      <c r="O175" s="352"/>
      <c r="P175" s="352"/>
      <c r="Q175" s="352"/>
      <c r="R175" s="352"/>
      <c r="S175" s="352"/>
      <c r="T175" s="352"/>
      <c r="U175" s="352"/>
      <c r="V175" s="352"/>
      <c r="W175" s="352"/>
      <c r="X175" s="352"/>
      <c r="Y175" s="352"/>
      <c r="Z175" s="352"/>
      <c r="AA175" s="352"/>
      <c r="AB175" s="352"/>
      <c r="AC175" s="352"/>
      <c r="AD175" s="352"/>
      <c r="AE175" s="352"/>
    </row>
    <row r="176">
      <c r="A176" s="352"/>
      <c r="B176" s="352"/>
      <c r="C176" s="352"/>
      <c r="D176" s="352"/>
      <c r="E176" s="352"/>
      <c r="F176" s="352"/>
      <c r="G176" s="352"/>
      <c r="H176" s="352"/>
      <c r="I176" s="352"/>
      <c r="J176" s="352"/>
      <c r="K176" s="352"/>
      <c r="L176" s="352"/>
      <c r="M176" s="352"/>
      <c r="N176" s="352"/>
      <c r="O176" s="352"/>
      <c r="P176" s="352"/>
      <c r="Q176" s="352"/>
      <c r="R176" s="352"/>
      <c r="S176" s="352"/>
      <c r="T176" s="352"/>
      <c r="U176" s="352"/>
      <c r="V176" s="352"/>
      <c r="W176" s="352"/>
      <c r="X176" s="352"/>
      <c r="Y176" s="352"/>
      <c r="Z176" s="352"/>
      <c r="AA176" s="352"/>
      <c r="AB176" s="352"/>
      <c r="AC176" s="352"/>
      <c r="AD176" s="352"/>
      <c r="AE176" s="352"/>
    </row>
    <row r="177">
      <c r="A177" s="352"/>
      <c r="B177" s="352"/>
      <c r="C177" s="352"/>
      <c r="D177" s="352"/>
      <c r="E177" s="352"/>
      <c r="F177" s="352"/>
      <c r="G177" s="352"/>
      <c r="H177" s="352"/>
      <c r="I177" s="352"/>
      <c r="J177" s="352"/>
      <c r="K177" s="352"/>
      <c r="L177" s="352"/>
      <c r="M177" s="352"/>
      <c r="N177" s="352"/>
      <c r="O177" s="352"/>
      <c r="P177" s="352"/>
      <c r="Q177" s="352"/>
      <c r="R177" s="352"/>
      <c r="S177" s="352"/>
      <c r="T177" s="352"/>
      <c r="U177" s="352"/>
      <c r="V177" s="352"/>
      <c r="W177" s="352"/>
      <c r="X177" s="352"/>
      <c r="Y177" s="352"/>
      <c r="Z177" s="352"/>
      <c r="AA177" s="352"/>
      <c r="AB177" s="352"/>
      <c r="AC177" s="352"/>
      <c r="AD177" s="352"/>
      <c r="AE177" s="352"/>
    </row>
    <row r="178">
      <c r="A178" s="352"/>
      <c r="B178" s="352"/>
      <c r="C178" s="352"/>
      <c r="D178" s="352"/>
      <c r="E178" s="352"/>
      <c r="F178" s="352"/>
      <c r="G178" s="352"/>
      <c r="H178" s="352"/>
      <c r="I178" s="352"/>
      <c r="J178" s="352"/>
      <c r="K178" s="352"/>
      <c r="L178" s="352"/>
      <c r="M178" s="352"/>
      <c r="N178" s="352"/>
      <c r="O178" s="352"/>
      <c r="P178" s="352"/>
      <c r="Q178" s="352"/>
      <c r="R178" s="352"/>
      <c r="S178" s="352"/>
      <c r="T178" s="352"/>
      <c r="U178" s="352"/>
      <c r="V178" s="352"/>
      <c r="W178" s="352"/>
      <c r="X178" s="352"/>
      <c r="Y178" s="352"/>
      <c r="Z178" s="352"/>
      <c r="AA178" s="352"/>
      <c r="AB178" s="352"/>
      <c r="AC178" s="352"/>
      <c r="AD178" s="352"/>
      <c r="AE178" s="352"/>
    </row>
    <row r="179">
      <c r="A179" s="352"/>
      <c r="B179" s="352"/>
      <c r="C179" s="352"/>
      <c r="D179" s="352"/>
      <c r="E179" s="352"/>
      <c r="F179" s="352"/>
      <c r="G179" s="352"/>
      <c r="H179" s="352"/>
      <c r="I179" s="352"/>
      <c r="J179" s="352"/>
      <c r="K179" s="352"/>
      <c r="L179" s="352"/>
      <c r="M179" s="352"/>
      <c r="N179" s="352"/>
      <c r="O179" s="352"/>
      <c r="P179" s="352"/>
      <c r="Q179" s="352"/>
      <c r="R179" s="352"/>
      <c r="S179" s="352"/>
      <c r="T179" s="352"/>
      <c r="U179" s="352"/>
      <c r="V179" s="352"/>
      <c r="W179" s="352"/>
      <c r="X179" s="352"/>
      <c r="Y179" s="352"/>
      <c r="Z179" s="352"/>
      <c r="AA179" s="352"/>
      <c r="AB179" s="352"/>
      <c r="AC179" s="352"/>
      <c r="AD179" s="352"/>
      <c r="AE179" s="352"/>
    </row>
    <row r="180">
      <c r="A180" s="352"/>
      <c r="B180" s="352"/>
      <c r="C180" s="352"/>
      <c r="D180" s="352"/>
      <c r="E180" s="352"/>
      <c r="F180" s="352"/>
      <c r="G180" s="352"/>
      <c r="H180" s="352"/>
      <c r="I180" s="352"/>
      <c r="J180" s="352"/>
      <c r="K180" s="352"/>
      <c r="L180" s="352"/>
      <c r="M180" s="352"/>
      <c r="N180" s="352"/>
      <c r="O180" s="352"/>
      <c r="P180" s="352"/>
      <c r="Q180" s="352"/>
      <c r="R180" s="352"/>
      <c r="S180" s="352"/>
      <c r="T180" s="352"/>
      <c r="U180" s="352"/>
      <c r="V180" s="352"/>
      <c r="W180" s="352"/>
      <c r="X180" s="352"/>
      <c r="Y180" s="352"/>
      <c r="Z180" s="352"/>
      <c r="AA180" s="352"/>
      <c r="AB180" s="352"/>
      <c r="AC180" s="352"/>
      <c r="AD180" s="352"/>
      <c r="AE180" s="352"/>
    </row>
    <row r="181">
      <c r="A181" s="352"/>
      <c r="B181" s="352"/>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c r="AD181" s="352"/>
      <c r="AE181" s="352"/>
    </row>
    <row r="182">
      <c r="A182" s="352"/>
      <c r="B182" s="352"/>
      <c r="C182" s="352"/>
      <c r="D182" s="352"/>
      <c r="E182" s="352"/>
      <c r="F182" s="352"/>
      <c r="G182" s="352"/>
      <c r="H182" s="352"/>
      <c r="I182" s="352"/>
      <c r="J182" s="352"/>
      <c r="K182" s="352"/>
      <c r="L182" s="352"/>
      <c r="M182" s="352"/>
      <c r="N182" s="352"/>
      <c r="O182" s="352"/>
      <c r="P182" s="352"/>
      <c r="Q182" s="352"/>
      <c r="R182" s="352"/>
      <c r="S182" s="352"/>
      <c r="T182" s="352"/>
      <c r="U182" s="352"/>
      <c r="V182" s="352"/>
      <c r="W182" s="352"/>
      <c r="X182" s="352"/>
      <c r="Y182" s="352"/>
      <c r="Z182" s="352"/>
      <c r="AA182" s="352"/>
      <c r="AB182" s="352"/>
      <c r="AC182" s="352"/>
      <c r="AD182" s="352"/>
      <c r="AE182" s="352"/>
    </row>
    <row r="183">
      <c r="A183" s="352"/>
      <c r="B183" s="352"/>
      <c r="C183" s="352"/>
      <c r="D183" s="352"/>
      <c r="E183" s="352"/>
      <c r="F183" s="352"/>
      <c r="G183" s="352"/>
      <c r="H183" s="352"/>
      <c r="I183" s="352"/>
      <c r="J183" s="352"/>
      <c r="K183" s="352"/>
      <c r="L183" s="352"/>
      <c r="M183" s="352"/>
      <c r="N183" s="352"/>
      <c r="O183" s="352"/>
      <c r="P183" s="352"/>
      <c r="Q183" s="352"/>
      <c r="R183" s="352"/>
      <c r="S183" s="352"/>
      <c r="T183" s="352"/>
      <c r="U183" s="352"/>
      <c r="V183" s="352"/>
      <c r="W183" s="352"/>
      <c r="X183" s="352"/>
      <c r="Y183" s="352"/>
      <c r="Z183" s="352"/>
      <c r="AA183" s="352"/>
      <c r="AB183" s="352"/>
      <c r="AC183" s="352"/>
      <c r="AD183" s="352"/>
      <c r="AE183" s="352"/>
    </row>
    <row r="184">
      <c r="A184" s="352"/>
      <c r="B184" s="352"/>
      <c r="C184" s="352"/>
      <c r="D184" s="352"/>
      <c r="E184" s="352"/>
      <c r="F184" s="352"/>
      <c r="G184" s="352"/>
      <c r="H184" s="352"/>
      <c r="I184" s="352"/>
      <c r="J184" s="352"/>
      <c r="K184" s="352"/>
      <c r="L184" s="352"/>
      <c r="M184" s="352"/>
      <c r="N184" s="352"/>
      <c r="O184" s="352"/>
      <c r="P184" s="352"/>
      <c r="Q184" s="352"/>
      <c r="R184" s="352"/>
      <c r="S184" s="352"/>
      <c r="T184" s="352"/>
      <c r="U184" s="352"/>
      <c r="V184" s="352"/>
      <c r="W184" s="352"/>
      <c r="X184" s="352"/>
      <c r="Y184" s="352"/>
      <c r="Z184" s="352"/>
      <c r="AA184" s="352"/>
      <c r="AB184" s="352"/>
      <c r="AC184" s="352"/>
      <c r="AD184" s="352"/>
      <c r="AE184" s="352"/>
    </row>
    <row r="185">
      <c r="A185" s="352"/>
      <c r="B185" s="352"/>
      <c r="C185" s="352"/>
      <c r="D185" s="352"/>
      <c r="E185" s="352"/>
      <c r="F185" s="352"/>
      <c r="G185" s="352"/>
      <c r="H185" s="352"/>
      <c r="I185" s="352"/>
      <c r="J185" s="352"/>
      <c r="K185" s="352"/>
      <c r="L185" s="352"/>
      <c r="M185" s="352"/>
      <c r="N185" s="352"/>
      <c r="O185" s="352"/>
      <c r="P185" s="352"/>
      <c r="Q185" s="352"/>
      <c r="R185" s="352"/>
      <c r="S185" s="352"/>
      <c r="T185" s="352"/>
      <c r="U185" s="352"/>
      <c r="V185" s="352"/>
      <c r="W185" s="352"/>
      <c r="X185" s="352"/>
      <c r="Y185" s="352"/>
      <c r="Z185" s="352"/>
      <c r="AA185" s="352"/>
      <c r="AB185" s="352"/>
      <c r="AC185" s="352"/>
      <c r="AD185" s="352"/>
      <c r="AE185" s="352"/>
    </row>
    <row r="186">
      <c r="A186" s="352"/>
      <c r="B186" s="352"/>
      <c r="C186" s="352"/>
      <c r="D186" s="352"/>
      <c r="E186" s="352"/>
      <c r="F186" s="352"/>
      <c r="G186" s="352"/>
      <c r="H186" s="352"/>
      <c r="I186" s="352"/>
      <c r="J186" s="352"/>
      <c r="K186" s="352"/>
      <c r="L186" s="352"/>
      <c r="M186" s="352"/>
      <c r="N186" s="352"/>
      <c r="O186" s="352"/>
      <c r="P186" s="352"/>
      <c r="Q186" s="352"/>
      <c r="R186" s="352"/>
      <c r="S186" s="352"/>
      <c r="T186" s="352"/>
      <c r="U186" s="352"/>
      <c r="V186" s="352"/>
      <c r="W186" s="352"/>
      <c r="X186" s="352"/>
      <c r="Y186" s="352"/>
      <c r="Z186" s="352"/>
      <c r="AA186" s="352"/>
      <c r="AB186" s="352"/>
      <c r="AC186" s="352"/>
      <c r="AD186" s="352"/>
      <c r="AE186" s="352"/>
    </row>
    <row r="187">
      <c r="A187" s="352"/>
      <c r="B187" s="352"/>
      <c r="C187" s="352"/>
      <c r="D187" s="352"/>
      <c r="E187" s="352"/>
      <c r="F187" s="352"/>
      <c r="G187" s="352"/>
      <c r="H187" s="352"/>
      <c r="I187" s="352"/>
      <c r="J187" s="352"/>
      <c r="K187" s="352"/>
      <c r="L187" s="352"/>
      <c r="M187" s="352"/>
      <c r="N187" s="352"/>
      <c r="O187" s="352"/>
      <c r="P187" s="352"/>
      <c r="Q187" s="352"/>
      <c r="R187" s="352"/>
      <c r="S187" s="352"/>
      <c r="T187" s="352"/>
      <c r="U187" s="352"/>
      <c r="V187" s="352"/>
      <c r="W187" s="352"/>
      <c r="X187" s="352"/>
      <c r="Y187" s="352"/>
      <c r="Z187" s="352"/>
      <c r="AA187" s="352"/>
      <c r="AB187" s="352"/>
      <c r="AC187" s="352"/>
      <c r="AD187" s="352"/>
      <c r="AE187" s="352"/>
    </row>
    <row r="188">
      <c r="A188" s="352"/>
      <c r="B188" s="352"/>
      <c r="C188" s="352"/>
      <c r="D188" s="352"/>
      <c r="E188" s="352"/>
      <c r="F188" s="352"/>
      <c r="G188" s="352"/>
      <c r="H188" s="352"/>
      <c r="I188" s="352"/>
      <c r="J188" s="352"/>
      <c r="K188" s="352"/>
      <c r="L188" s="352"/>
      <c r="M188" s="352"/>
      <c r="N188" s="352"/>
      <c r="O188" s="352"/>
      <c r="P188" s="352"/>
      <c r="Q188" s="352"/>
      <c r="R188" s="352"/>
      <c r="S188" s="352"/>
      <c r="T188" s="352"/>
      <c r="U188" s="352"/>
      <c r="V188" s="352"/>
      <c r="W188" s="352"/>
      <c r="X188" s="352"/>
      <c r="Y188" s="352"/>
      <c r="Z188" s="352"/>
      <c r="AA188" s="352"/>
      <c r="AB188" s="352"/>
      <c r="AC188" s="352"/>
      <c r="AD188" s="352"/>
      <c r="AE188" s="352"/>
    </row>
    <row r="189">
      <c r="A189" s="352"/>
      <c r="B189" s="352"/>
      <c r="C189" s="352"/>
      <c r="D189" s="352"/>
      <c r="E189" s="352"/>
      <c r="F189" s="352"/>
      <c r="G189" s="352"/>
      <c r="H189" s="352"/>
      <c r="I189" s="352"/>
      <c r="J189" s="352"/>
      <c r="K189" s="352"/>
      <c r="L189" s="352"/>
      <c r="M189" s="352"/>
      <c r="N189" s="352"/>
      <c r="O189" s="352"/>
      <c r="P189" s="352"/>
      <c r="Q189" s="352"/>
      <c r="R189" s="352"/>
      <c r="S189" s="352"/>
      <c r="T189" s="352"/>
      <c r="U189" s="352"/>
      <c r="V189" s="352"/>
      <c r="W189" s="352"/>
      <c r="X189" s="352"/>
      <c r="Y189" s="352"/>
      <c r="Z189" s="352"/>
      <c r="AA189" s="352"/>
      <c r="AB189" s="352"/>
      <c r="AC189" s="352"/>
      <c r="AD189" s="352"/>
      <c r="AE189" s="352"/>
    </row>
    <row r="190">
      <c r="A190" s="352"/>
      <c r="B190" s="352"/>
      <c r="C190" s="352"/>
      <c r="D190" s="352"/>
      <c r="E190" s="352"/>
      <c r="F190" s="352"/>
      <c r="G190" s="352"/>
      <c r="H190" s="352"/>
      <c r="I190" s="352"/>
      <c r="J190" s="352"/>
      <c r="K190" s="352"/>
      <c r="L190" s="352"/>
      <c r="M190" s="352"/>
      <c r="N190" s="352"/>
      <c r="O190" s="352"/>
      <c r="P190" s="352"/>
      <c r="Q190" s="352"/>
      <c r="R190" s="352"/>
      <c r="S190" s="352"/>
      <c r="T190" s="352"/>
      <c r="U190" s="352"/>
      <c r="V190" s="352"/>
      <c r="W190" s="352"/>
      <c r="X190" s="352"/>
      <c r="Y190" s="352"/>
      <c r="Z190" s="352"/>
      <c r="AA190" s="352"/>
      <c r="AB190" s="352"/>
      <c r="AC190" s="352"/>
      <c r="AD190" s="352"/>
      <c r="AE190" s="352"/>
    </row>
    <row r="191">
      <c r="A191" s="352"/>
      <c r="B191" s="352"/>
      <c r="C191" s="352"/>
      <c r="D191" s="352"/>
      <c r="E191" s="352"/>
      <c r="F191" s="352"/>
      <c r="G191" s="352"/>
      <c r="H191" s="352"/>
      <c r="I191" s="352"/>
      <c r="J191" s="352"/>
      <c r="K191" s="352"/>
      <c r="L191" s="352"/>
      <c r="M191" s="352"/>
      <c r="N191" s="352"/>
      <c r="O191" s="352"/>
      <c r="P191" s="352"/>
      <c r="Q191" s="352"/>
      <c r="R191" s="352"/>
      <c r="S191" s="352"/>
      <c r="T191" s="352"/>
      <c r="U191" s="352"/>
      <c r="V191" s="352"/>
      <c r="W191" s="352"/>
      <c r="X191" s="352"/>
      <c r="Y191" s="352"/>
      <c r="Z191" s="352"/>
      <c r="AA191" s="352"/>
      <c r="AB191" s="352"/>
      <c r="AC191" s="352"/>
      <c r="AD191" s="352"/>
      <c r="AE191" s="352"/>
    </row>
    <row r="192">
      <c r="A192" s="352"/>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2"/>
      <c r="X192" s="352"/>
      <c r="Y192" s="352"/>
      <c r="Z192" s="352"/>
      <c r="AA192" s="352"/>
      <c r="AB192" s="352"/>
      <c r="AC192" s="352"/>
      <c r="AD192" s="352"/>
      <c r="AE192" s="352"/>
    </row>
    <row r="193">
      <c r="A193" s="352"/>
      <c r="B193" s="352"/>
      <c r="C193" s="352"/>
      <c r="D193" s="352"/>
      <c r="E193" s="352"/>
      <c r="F193" s="352"/>
      <c r="G193" s="352"/>
      <c r="H193" s="352"/>
      <c r="I193" s="352"/>
      <c r="J193" s="352"/>
      <c r="K193" s="352"/>
      <c r="L193" s="352"/>
      <c r="M193" s="352"/>
      <c r="N193" s="352"/>
      <c r="O193" s="352"/>
      <c r="P193" s="352"/>
      <c r="Q193" s="352"/>
      <c r="R193" s="352"/>
      <c r="S193" s="352"/>
      <c r="T193" s="352"/>
      <c r="U193" s="352"/>
      <c r="V193" s="352"/>
      <c r="W193" s="352"/>
      <c r="X193" s="352"/>
      <c r="Y193" s="352"/>
      <c r="Z193" s="352"/>
      <c r="AA193" s="352"/>
      <c r="AB193" s="352"/>
      <c r="AC193" s="352"/>
      <c r="AD193" s="352"/>
      <c r="AE193" s="352"/>
    </row>
    <row r="194">
      <c r="A194" s="352"/>
      <c r="B194" s="352"/>
      <c r="C194" s="352"/>
      <c r="D194" s="352"/>
      <c r="E194" s="352"/>
      <c r="F194" s="352"/>
      <c r="G194" s="352"/>
      <c r="H194" s="352"/>
      <c r="I194" s="352"/>
      <c r="J194" s="352"/>
      <c r="K194" s="352"/>
      <c r="L194" s="352"/>
      <c r="M194" s="352"/>
      <c r="N194" s="352"/>
      <c r="O194" s="352"/>
      <c r="P194" s="352"/>
      <c r="Q194" s="352"/>
      <c r="R194" s="352"/>
      <c r="S194" s="352"/>
      <c r="T194" s="352"/>
      <c r="U194" s="352"/>
      <c r="V194" s="352"/>
      <c r="W194" s="352"/>
      <c r="X194" s="352"/>
      <c r="Y194" s="352"/>
      <c r="Z194" s="352"/>
      <c r="AA194" s="352"/>
      <c r="AB194" s="352"/>
      <c r="AC194" s="352"/>
      <c r="AD194" s="352"/>
      <c r="AE194" s="352"/>
    </row>
    <row r="195">
      <c r="A195" s="352"/>
      <c r="B195" s="352"/>
      <c r="C195" s="352"/>
      <c r="D195" s="352"/>
      <c r="E195" s="352"/>
      <c r="F195" s="352"/>
      <c r="G195" s="352"/>
      <c r="H195" s="352"/>
      <c r="I195" s="352"/>
      <c r="J195" s="352"/>
      <c r="K195" s="352"/>
      <c r="L195" s="352"/>
      <c r="M195" s="352"/>
      <c r="N195" s="352"/>
      <c r="O195" s="352"/>
      <c r="P195" s="352"/>
      <c r="Q195" s="352"/>
      <c r="R195" s="352"/>
      <c r="S195" s="352"/>
      <c r="T195" s="352"/>
      <c r="U195" s="352"/>
      <c r="V195" s="352"/>
      <c r="W195" s="352"/>
      <c r="X195" s="352"/>
      <c r="Y195" s="352"/>
      <c r="Z195" s="352"/>
      <c r="AA195" s="352"/>
      <c r="AB195" s="352"/>
      <c r="AC195" s="352"/>
      <c r="AD195" s="352"/>
      <c r="AE195" s="352"/>
    </row>
    <row r="196">
      <c r="A196" s="352"/>
      <c r="B196" s="352"/>
      <c r="C196" s="352"/>
      <c r="D196" s="352"/>
      <c r="E196" s="352"/>
      <c r="F196" s="352"/>
      <c r="G196" s="352"/>
      <c r="H196" s="352"/>
      <c r="I196" s="352"/>
      <c r="J196" s="352"/>
      <c r="K196" s="352"/>
      <c r="L196" s="352"/>
      <c r="M196" s="352"/>
      <c r="N196" s="352"/>
      <c r="O196" s="352"/>
      <c r="P196" s="352"/>
      <c r="Q196" s="352"/>
      <c r="R196" s="352"/>
      <c r="S196" s="352"/>
      <c r="T196" s="352"/>
      <c r="U196" s="352"/>
      <c r="V196" s="352"/>
      <c r="W196" s="352"/>
      <c r="X196" s="352"/>
      <c r="Y196" s="352"/>
      <c r="Z196" s="352"/>
      <c r="AA196" s="352"/>
      <c r="AB196" s="352"/>
      <c r="AC196" s="352"/>
      <c r="AD196" s="352"/>
      <c r="AE196" s="352"/>
    </row>
    <row r="197">
      <c r="A197" s="352"/>
      <c r="B197" s="352"/>
      <c r="C197" s="352"/>
      <c r="D197" s="352"/>
      <c r="E197" s="352"/>
      <c r="F197" s="352"/>
      <c r="G197" s="352"/>
      <c r="H197" s="352"/>
      <c r="I197" s="352"/>
      <c r="J197" s="352"/>
      <c r="K197" s="352"/>
      <c r="L197" s="352"/>
      <c r="M197" s="352"/>
      <c r="N197" s="352"/>
      <c r="O197" s="352"/>
      <c r="P197" s="352"/>
      <c r="Q197" s="352"/>
      <c r="R197" s="352"/>
      <c r="S197" s="352"/>
      <c r="T197" s="352"/>
      <c r="U197" s="352"/>
      <c r="V197" s="352"/>
      <c r="W197" s="352"/>
      <c r="X197" s="352"/>
      <c r="Y197" s="352"/>
      <c r="Z197" s="352"/>
      <c r="AA197" s="352"/>
      <c r="AB197" s="352"/>
      <c r="AC197" s="352"/>
      <c r="AD197" s="352"/>
      <c r="AE197" s="352"/>
    </row>
    <row r="198">
      <c r="A198" s="352"/>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2"/>
      <c r="X198" s="352"/>
      <c r="Y198" s="352"/>
      <c r="Z198" s="352"/>
      <c r="AA198" s="352"/>
      <c r="AB198" s="352"/>
      <c r="AC198" s="352"/>
      <c r="AD198" s="352"/>
      <c r="AE198" s="352"/>
    </row>
    <row r="199">
      <c r="A199" s="352"/>
      <c r="B199" s="352"/>
      <c r="C199" s="352"/>
      <c r="D199" s="352"/>
      <c r="E199" s="352"/>
      <c r="F199" s="352"/>
      <c r="G199" s="352"/>
      <c r="H199" s="352"/>
      <c r="I199" s="352"/>
      <c r="J199" s="352"/>
      <c r="K199" s="352"/>
      <c r="L199" s="352"/>
      <c r="M199" s="352"/>
      <c r="N199" s="352"/>
      <c r="O199" s="352"/>
      <c r="P199" s="352"/>
      <c r="Q199" s="352"/>
      <c r="R199" s="352"/>
      <c r="S199" s="352"/>
      <c r="T199" s="352"/>
      <c r="U199" s="352"/>
      <c r="V199" s="352"/>
      <c r="W199" s="352"/>
      <c r="X199" s="352"/>
      <c r="Y199" s="352"/>
      <c r="Z199" s="352"/>
      <c r="AA199" s="352"/>
      <c r="AB199" s="352"/>
      <c r="AC199" s="352"/>
      <c r="AD199" s="352"/>
      <c r="AE199" s="352"/>
    </row>
    <row r="200">
      <c r="A200" s="352"/>
      <c r="B200" s="352"/>
      <c r="C200" s="352"/>
      <c r="D200" s="352"/>
      <c r="E200" s="352"/>
      <c r="F200" s="352"/>
      <c r="G200" s="352"/>
      <c r="H200" s="352"/>
      <c r="I200" s="352"/>
      <c r="J200" s="352"/>
      <c r="K200" s="352"/>
      <c r="L200" s="352"/>
      <c r="M200" s="352"/>
      <c r="N200" s="352"/>
      <c r="O200" s="352"/>
      <c r="P200" s="352"/>
      <c r="Q200" s="352"/>
      <c r="R200" s="352"/>
      <c r="S200" s="352"/>
      <c r="T200" s="352"/>
      <c r="U200" s="352"/>
      <c r="V200" s="352"/>
      <c r="W200" s="352"/>
      <c r="X200" s="352"/>
      <c r="Y200" s="352"/>
      <c r="Z200" s="352"/>
      <c r="AA200" s="352"/>
      <c r="AB200" s="352"/>
      <c r="AC200" s="352"/>
      <c r="AD200" s="352"/>
      <c r="AE200" s="352"/>
    </row>
    <row r="201">
      <c r="A201" s="352"/>
      <c r="B201" s="352"/>
      <c r="C201" s="352"/>
      <c r="D201" s="352"/>
      <c r="E201" s="352"/>
      <c r="F201" s="352"/>
      <c r="G201" s="352"/>
      <c r="H201" s="352"/>
      <c r="I201" s="352"/>
      <c r="J201" s="352"/>
      <c r="K201" s="352"/>
      <c r="L201" s="352"/>
      <c r="M201" s="352"/>
      <c r="N201" s="352"/>
      <c r="O201" s="352"/>
      <c r="P201" s="352"/>
      <c r="Q201" s="352"/>
      <c r="R201" s="352"/>
      <c r="S201" s="352"/>
      <c r="T201" s="352"/>
      <c r="U201" s="352"/>
      <c r="V201" s="352"/>
      <c r="W201" s="352"/>
      <c r="X201" s="352"/>
      <c r="Y201" s="352"/>
      <c r="Z201" s="352"/>
      <c r="AA201" s="352"/>
      <c r="AB201" s="352"/>
      <c r="AC201" s="352"/>
      <c r="AD201" s="352"/>
      <c r="AE201" s="352"/>
    </row>
    <row r="202">
      <c r="A202" s="352"/>
      <c r="B202" s="352"/>
      <c r="C202" s="352"/>
      <c r="D202" s="352"/>
      <c r="E202" s="352"/>
      <c r="F202" s="352"/>
      <c r="G202" s="352"/>
      <c r="H202" s="352"/>
      <c r="I202" s="352"/>
      <c r="J202" s="352"/>
      <c r="K202" s="352"/>
      <c r="L202" s="352"/>
      <c r="M202" s="352"/>
      <c r="N202" s="352"/>
      <c r="O202" s="352"/>
      <c r="P202" s="352"/>
      <c r="Q202" s="352"/>
      <c r="R202" s="352"/>
      <c r="S202" s="352"/>
      <c r="T202" s="352"/>
      <c r="U202" s="352"/>
      <c r="V202" s="352"/>
      <c r="W202" s="352"/>
      <c r="X202" s="352"/>
      <c r="Y202" s="352"/>
      <c r="Z202" s="352"/>
      <c r="AA202" s="352"/>
      <c r="AB202" s="352"/>
      <c r="AC202" s="352"/>
      <c r="AD202" s="352"/>
      <c r="AE202" s="352"/>
    </row>
    <row r="203">
      <c r="A203" s="352"/>
      <c r="B203" s="352"/>
      <c r="C203" s="352"/>
      <c r="D203" s="352"/>
      <c r="E203" s="352"/>
      <c r="F203" s="352"/>
      <c r="G203" s="352"/>
      <c r="H203" s="352"/>
      <c r="I203" s="352"/>
      <c r="J203" s="352"/>
      <c r="K203" s="352"/>
      <c r="L203" s="352"/>
      <c r="M203" s="352"/>
      <c r="N203" s="352"/>
      <c r="O203" s="352"/>
      <c r="P203" s="352"/>
      <c r="Q203" s="352"/>
      <c r="R203" s="352"/>
      <c r="S203" s="352"/>
      <c r="T203" s="352"/>
      <c r="U203" s="352"/>
      <c r="V203" s="352"/>
      <c r="W203" s="352"/>
      <c r="X203" s="352"/>
      <c r="Y203" s="352"/>
      <c r="Z203" s="352"/>
      <c r="AA203" s="352"/>
      <c r="AB203" s="352"/>
      <c r="AC203" s="352"/>
      <c r="AD203" s="352"/>
      <c r="AE203" s="352"/>
    </row>
    <row r="204">
      <c r="A204" s="352"/>
      <c r="B204" s="352"/>
      <c r="C204" s="352"/>
      <c r="D204" s="352"/>
      <c r="E204" s="352"/>
      <c r="F204" s="352"/>
      <c r="G204" s="352"/>
      <c r="H204" s="352"/>
      <c r="I204" s="352"/>
      <c r="J204" s="352"/>
      <c r="K204" s="352"/>
      <c r="L204" s="352"/>
      <c r="M204" s="352"/>
      <c r="N204" s="352"/>
      <c r="O204" s="352"/>
      <c r="P204" s="352"/>
      <c r="Q204" s="352"/>
      <c r="R204" s="352"/>
      <c r="S204" s="352"/>
      <c r="T204" s="352"/>
      <c r="U204" s="352"/>
      <c r="V204" s="352"/>
      <c r="W204" s="352"/>
      <c r="X204" s="352"/>
      <c r="Y204" s="352"/>
      <c r="Z204" s="352"/>
      <c r="AA204" s="352"/>
      <c r="AB204" s="352"/>
      <c r="AC204" s="352"/>
      <c r="AD204" s="352"/>
      <c r="AE204" s="352"/>
    </row>
    <row r="205">
      <c r="A205" s="352"/>
      <c r="B205" s="352"/>
      <c r="C205" s="352"/>
      <c r="D205" s="352"/>
      <c r="E205" s="352"/>
      <c r="F205" s="352"/>
      <c r="G205" s="352"/>
      <c r="H205" s="352"/>
      <c r="I205" s="352"/>
      <c r="J205" s="352"/>
      <c r="K205" s="352"/>
      <c r="L205" s="352"/>
      <c r="M205" s="352"/>
      <c r="N205" s="352"/>
      <c r="O205" s="352"/>
      <c r="P205" s="352"/>
      <c r="Q205" s="352"/>
      <c r="R205" s="352"/>
      <c r="S205" s="352"/>
      <c r="T205" s="352"/>
      <c r="U205" s="352"/>
      <c r="V205" s="352"/>
      <c r="W205" s="352"/>
      <c r="X205" s="352"/>
      <c r="Y205" s="352"/>
      <c r="Z205" s="352"/>
      <c r="AA205" s="352"/>
      <c r="AB205" s="352"/>
      <c r="AC205" s="352"/>
      <c r="AD205" s="352"/>
      <c r="AE205" s="352"/>
    </row>
    <row r="206">
      <c r="A206" s="352"/>
      <c r="B206" s="352"/>
      <c r="C206" s="352"/>
      <c r="D206" s="352"/>
      <c r="E206" s="352"/>
      <c r="F206" s="352"/>
      <c r="G206" s="352"/>
      <c r="H206" s="352"/>
      <c r="I206" s="352"/>
      <c r="J206" s="352"/>
      <c r="K206" s="352"/>
      <c r="L206" s="352"/>
      <c r="M206" s="352"/>
      <c r="N206" s="352"/>
      <c r="O206" s="352"/>
      <c r="P206" s="352"/>
      <c r="Q206" s="352"/>
      <c r="R206" s="352"/>
      <c r="S206" s="352"/>
      <c r="T206" s="352"/>
      <c r="U206" s="352"/>
      <c r="V206" s="352"/>
      <c r="W206" s="352"/>
      <c r="X206" s="352"/>
      <c r="Y206" s="352"/>
      <c r="Z206" s="352"/>
      <c r="AA206" s="352"/>
      <c r="AB206" s="352"/>
      <c r="AC206" s="352"/>
      <c r="AD206" s="352"/>
      <c r="AE206" s="352"/>
    </row>
    <row r="207">
      <c r="A207" s="352"/>
      <c r="B207" s="352"/>
      <c r="C207" s="352"/>
      <c r="D207" s="352"/>
      <c r="E207" s="352"/>
      <c r="F207" s="352"/>
      <c r="G207" s="352"/>
      <c r="H207" s="352"/>
      <c r="I207" s="352"/>
      <c r="J207" s="352"/>
      <c r="K207" s="352"/>
      <c r="L207" s="352"/>
      <c r="M207" s="352"/>
      <c r="N207" s="352"/>
      <c r="O207" s="352"/>
      <c r="P207" s="352"/>
      <c r="Q207" s="352"/>
      <c r="R207" s="352"/>
      <c r="S207" s="352"/>
      <c r="T207" s="352"/>
      <c r="U207" s="352"/>
      <c r="V207" s="352"/>
      <c r="W207" s="352"/>
      <c r="X207" s="352"/>
      <c r="Y207" s="352"/>
      <c r="Z207" s="352"/>
      <c r="AA207" s="352"/>
      <c r="AB207" s="352"/>
      <c r="AC207" s="352"/>
      <c r="AD207" s="352"/>
      <c r="AE207" s="352"/>
    </row>
    <row r="208">
      <c r="A208" s="352"/>
      <c r="B208" s="352"/>
      <c r="C208" s="352"/>
      <c r="D208" s="352"/>
      <c r="E208" s="352"/>
      <c r="F208" s="352"/>
      <c r="G208" s="352"/>
      <c r="H208" s="352"/>
      <c r="I208" s="352"/>
      <c r="J208" s="352"/>
      <c r="K208" s="352"/>
      <c r="L208" s="352"/>
      <c r="M208" s="352"/>
      <c r="N208" s="352"/>
      <c r="O208" s="352"/>
      <c r="P208" s="352"/>
      <c r="Q208" s="352"/>
      <c r="R208" s="352"/>
      <c r="S208" s="352"/>
      <c r="T208" s="352"/>
      <c r="U208" s="352"/>
      <c r="V208" s="352"/>
      <c r="W208" s="352"/>
      <c r="X208" s="352"/>
      <c r="Y208" s="352"/>
      <c r="Z208" s="352"/>
      <c r="AA208" s="352"/>
      <c r="AB208" s="352"/>
      <c r="AC208" s="352"/>
      <c r="AD208" s="352"/>
      <c r="AE208" s="352"/>
    </row>
    <row r="209">
      <c r="A209" s="352"/>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2"/>
      <c r="X209" s="352"/>
      <c r="Y209" s="352"/>
      <c r="Z209" s="352"/>
      <c r="AA209" s="352"/>
      <c r="AB209" s="352"/>
      <c r="AC209" s="352"/>
      <c r="AD209" s="352"/>
      <c r="AE209" s="352"/>
    </row>
    <row r="210">
      <c r="A210" s="352"/>
      <c r="B210" s="352"/>
      <c r="C210" s="352"/>
      <c r="D210" s="352"/>
      <c r="E210" s="352"/>
      <c r="F210" s="352"/>
      <c r="G210" s="352"/>
      <c r="H210" s="352"/>
      <c r="I210" s="352"/>
      <c r="J210" s="352"/>
      <c r="K210" s="352"/>
      <c r="L210" s="352"/>
      <c r="M210" s="352"/>
      <c r="N210" s="352"/>
      <c r="O210" s="352"/>
      <c r="P210" s="352"/>
      <c r="Q210" s="352"/>
      <c r="R210" s="352"/>
      <c r="S210" s="352"/>
      <c r="T210" s="352"/>
      <c r="U210" s="352"/>
      <c r="V210" s="352"/>
      <c r="W210" s="352"/>
      <c r="X210" s="352"/>
      <c r="Y210" s="352"/>
      <c r="Z210" s="352"/>
      <c r="AA210" s="352"/>
      <c r="AB210" s="352"/>
      <c r="AC210" s="352"/>
      <c r="AD210" s="352"/>
      <c r="AE210" s="352"/>
    </row>
    <row r="211">
      <c r="A211" s="352"/>
      <c r="B211" s="352"/>
      <c r="C211" s="352"/>
      <c r="D211" s="352"/>
      <c r="E211" s="352"/>
      <c r="F211" s="352"/>
      <c r="G211" s="352"/>
      <c r="H211" s="352"/>
      <c r="I211" s="352"/>
      <c r="J211" s="352"/>
      <c r="K211" s="352"/>
      <c r="L211" s="352"/>
      <c r="M211" s="352"/>
      <c r="N211" s="352"/>
      <c r="O211" s="352"/>
      <c r="P211" s="352"/>
      <c r="Q211" s="352"/>
      <c r="R211" s="352"/>
      <c r="S211" s="352"/>
      <c r="T211" s="352"/>
      <c r="U211" s="352"/>
      <c r="V211" s="352"/>
      <c r="W211" s="352"/>
      <c r="X211" s="352"/>
      <c r="Y211" s="352"/>
      <c r="Z211" s="352"/>
      <c r="AA211" s="352"/>
      <c r="AB211" s="352"/>
      <c r="AC211" s="352"/>
      <c r="AD211" s="352"/>
      <c r="AE211" s="352"/>
    </row>
    <row r="212">
      <c r="A212" s="352"/>
      <c r="B212" s="352"/>
      <c r="C212" s="352"/>
      <c r="D212" s="352"/>
      <c r="E212" s="352"/>
      <c r="F212" s="352"/>
      <c r="G212" s="352"/>
      <c r="H212" s="352"/>
      <c r="I212" s="352"/>
      <c r="J212" s="352"/>
      <c r="K212" s="352"/>
      <c r="L212" s="352"/>
      <c r="M212" s="352"/>
      <c r="N212" s="352"/>
      <c r="O212" s="352"/>
      <c r="P212" s="352"/>
      <c r="Q212" s="352"/>
      <c r="R212" s="352"/>
      <c r="S212" s="352"/>
      <c r="T212" s="352"/>
      <c r="U212" s="352"/>
      <c r="V212" s="352"/>
      <c r="W212" s="352"/>
      <c r="X212" s="352"/>
      <c r="Y212" s="352"/>
      <c r="Z212" s="352"/>
      <c r="AA212" s="352"/>
      <c r="AB212" s="352"/>
      <c r="AC212" s="352"/>
      <c r="AD212" s="352"/>
      <c r="AE212" s="352"/>
    </row>
    <row r="213">
      <c r="A213" s="352"/>
      <c r="B213" s="352"/>
      <c r="C213" s="352"/>
      <c r="D213" s="352"/>
      <c r="E213" s="352"/>
      <c r="F213" s="352"/>
      <c r="G213" s="352"/>
      <c r="H213" s="352"/>
      <c r="I213" s="352"/>
      <c r="J213" s="352"/>
      <c r="K213" s="352"/>
      <c r="L213" s="352"/>
      <c r="M213" s="352"/>
      <c r="N213" s="352"/>
      <c r="O213" s="352"/>
      <c r="P213" s="352"/>
      <c r="Q213" s="352"/>
      <c r="R213" s="352"/>
      <c r="S213" s="352"/>
      <c r="T213" s="352"/>
      <c r="U213" s="352"/>
      <c r="V213" s="352"/>
      <c r="W213" s="352"/>
      <c r="X213" s="352"/>
      <c r="Y213" s="352"/>
      <c r="Z213" s="352"/>
      <c r="AA213" s="352"/>
      <c r="AB213" s="352"/>
      <c r="AC213" s="352"/>
      <c r="AD213" s="352"/>
      <c r="AE213" s="352"/>
    </row>
    <row r="214">
      <c r="A214" s="352"/>
      <c r="B214" s="352"/>
      <c r="C214" s="352"/>
      <c r="D214" s="352"/>
      <c r="E214" s="352"/>
      <c r="F214" s="352"/>
      <c r="G214" s="352"/>
      <c r="H214" s="352"/>
      <c r="I214" s="352"/>
      <c r="J214" s="352"/>
      <c r="K214" s="352"/>
      <c r="L214" s="352"/>
      <c r="M214" s="352"/>
      <c r="N214" s="352"/>
      <c r="O214" s="352"/>
      <c r="P214" s="352"/>
      <c r="Q214" s="352"/>
      <c r="R214" s="352"/>
      <c r="S214" s="352"/>
      <c r="T214" s="352"/>
      <c r="U214" s="352"/>
      <c r="V214" s="352"/>
      <c r="W214" s="352"/>
      <c r="X214" s="352"/>
      <c r="Y214" s="352"/>
      <c r="Z214" s="352"/>
      <c r="AA214" s="352"/>
      <c r="AB214" s="352"/>
      <c r="AC214" s="352"/>
      <c r="AD214" s="352"/>
      <c r="AE214" s="352"/>
    </row>
    <row r="215">
      <c r="A215" s="352"/>
      <c r="B215" s="352"/>
      <c r="C215" s="352"/>
      <c r="D215" s="352"/>
      <c r="E215" s="352"/>
      <c r="F215" s="352"/>
      <c r="G215" s="352"/>
      <c r="H215" s="352"/>
      <c r="I215" s="352"/>
      <c r="J215" s="352"/>
      <c r="K215" s="352"/>
      <c r="L215" s="352"/>
      <c r="M215" s="352"/>
      <c r="N215" s="352"/>
      <c r="O215" s="352"/>
      <c r="P215" s="352"/>
      <c r="Q215" s="352"/>
      <c r="R215" s="352"/>
      <c r="S215" s="352"/>
      <c r="T215" s="352"/>
      <c r="U215" s="352"/>
      <c r="V215" s="352"/>
      <c r="W215" s="352"/>
      <c r="X215" s="352"/>
      <c r="Y215" s="352"/>
      <c r="Z215" s="352"/>
      <c r="AA215" s="352"/>
      <c r="AB215" s="352"/>
      <c r="AC215" s="352"/>
      <c r="AD215" s="352"/>
      <c r="AE215" s="352"/>
    </row>
    <row r="216">
      <c r="A216" s="352"/>
      <c r="B216" s="352"/>
      <c r="C216" s="352"/>
      <c r="D216" s="352"/>
      <c r="E216" s="352"/>
      <c r="F216" s="352"/>
      <c r="G216" s="352"/>
      <c r="H216" s="352"/>
      <c r="I216" s="352"/>
      <c r="J216" s="352"/>
      <c r="K216" s="352"/>
      <c r="L216" s="352"/>
      <c r="M216" s="352"/>
      <c r="N216" s="352"/>
      <c r="O216" s="352"/>
      <c r="P216" s="352"/>
      <c r="Q216" s="352"/>
      <c r="R216" s="352"/>
      <c r="S216" s="352"/>
      <c r="T216" s="352"/>
      <c r="U216" s="352"/>
      <c r="V216" s="352"/>
      <c r="W216" s="352"/>
      <c r="X216" s="352"/>
      <c r="Y216" s="352"/>
      <c r="Z216" s="352"/>
      <c r="AA216" s="352"/>
      <c r="AB216" s="352"/>
      <c r="AC216" s="352"/>
      <c r="AD216" s="352"/>
      <c r="AE216" s="352"/>
    </row>
    <row r="217">
      <c r="A217" s="352"/>
      <c r="B217" s="352"/>
      <c r="C217" s="352"/>
      <c r="D217" s="352"/>
      <c r="E217" s="352"/>
      <c r="F217" s="352"/>
      <c r="G217" s="352"/>
      <c r="H217" s="352"/>
      <c r="I217" s="352"/>
      <c r="J217" s="352"/>
      <c r="K217" s="352"/>
      <c r="L217" s="352"/>
      <c r="M217" s="352"/>
      <c r="N217" s="352"/>
      <c r="O217" s="352"/>
      <c r="P217" s="352"/>
      <c r="Q217" s="352"/>
      <c r="R217" s="352"/>
      <c r="S217" s="352"/>
      <c r="T217" s="352"/>
      <c r="U217" s="352"/>
      <c r="V217" s="352"/>
      <c r="W217" s="352"/>
      <c r="X217" s="352"/>
      <c r="Y217" s="352"/>
      <c r="Z217" s="352"/>
      <c r="AA217" s="352"/>
      <c r="AB217" s="352"/>
      <c r="AC217" s="352"/>
      <c r="AD217" s="352"/>
      <c r="AE217" s="352"/>
    </row>
    <row r="218">
      <c r="A218" s="352"/>
      <c r="B218" s="352"/>
      <c r="C218" s="352"/>
      <c r="D218" s="352"/>
      <c r="E218" s="352"/>
      <c r="F218" s="352"/>
      <c r="G218" s="352"/>
      <c r="H218" s="352"/>
      <c r="I218" s="352"/>
      <c r="J218" s="352"/>
      <c r="K218" s="352"/>
      <c r="L218" s="352"/>
      <c r="M218" s="352"/>
      <c r="N218" s="352"/>
      <c r="O218" s="352"/>
      <c r="P218" s="352"/>
      <c r="Q218" s="352"/>
      <c r="R218" s="352"/>
      <c r="S218" s="352"/>
      <c r="T218" s="352"/>
      <c r="U218" s="352"/>
      <c r="V218" s="352"/>
      <c r="W218" s="352"/>
      <c r="X218" s="352"/>
      <c r="Y218" s="352"/>
      <c r="Z218" s="352"/>
      <c r="AA218" s="352"/>
      <c r="AB218" s="352"/>
      <c r="AC218" s="352"/>
      <c r="AD218" s="352"/>
      <c r="AE218" s="352"/>
    </row>
    <row r="219">
      <c r="A219" s="352"/>
      <c r="B219" s="352"/>
      <c r="C219" s="352"/>
      <c r="D219" s="352"/>
      <c r="E219" s="352"/>
      <c r="F219" s="352"/>
      <c r="G219" s="352"/>
      <c r="H219" s="352"/>
      <c r="I219" s="352"/>
      <c r="J219" s="352"/>
      <c r="K219" s="352"/>
      <c r="L219" s="352"/>
      <c r="M219" s="352"/>
      <c r="N219" s="352"/>
      <c r="O219" s="352"/>
      <c r="P219" s="352"/>
      <c r="Q219" s="352"/>
      <c r="R219" s="352"/>
      <c r="S219" s="352"/>
      <c r="T219" s="352"/>
      <c r="U219" s="352"/>
      <c r="V219" s="352"/>
      <c r="W219" s="352"/>
      <c r="X219" s="352"/>
      <c r="Y219" s="352"/>
      <c r="Z219" s="352"/>
      <c r="AA219" s="352"/>
      <c r="AB219" s="352"/>
      <c r="AC219" s="352"/>
      <c r="AD219" s="352"/>
      <c r="AE219" s="352"/>
    </row>
    <row r="220">
      <c r="A220" s="352"/>
      <c r="B220" s="352"/>
      <c r="C220" s="352"/>
      <c r="D220" s="352"/>
      <c r="E220" s="352"/>
      <c r="F220" s="352"/>
      <c r="G220" s="352"/>
      <c r="H220" s="352"/>
      <c r="I220" s="352"/>
      <c r="J220" s="352"/>
      <c r="K220" s="352"/>
      <c r="L220" s="352"/>
      <c r="M220" s="352"/>
      <c r="N220" s="352"/>
      <c r="O220" s="352"/>
      <c r="P220" s="352"/>
      <c r="Q220" s="352"/>
      <c r="R220" s="352"/>
      <c r="S220" s="352"/>
      <c r="T220" s="352"/>
      <c r="U220" s="352"/>
      <c r="V220" s="352"/>
      <c r="W220" s="352"/>
      <c r="X220" s="352"/>
      <c r="Y220" s="352"/>
      <c r="Z220" s="352"/>
      <c r="AA220" s="352"/>
      <c r="AB220" s="352"/>
      <c r="AC220" s="352"/>
      <c r="AD220" s="352"/>
      <c r="AE220" s="352"/>
    </row>
    <row r="221">
      <c r="A221" s="352"/>
      <c r="B221" s="352"/>
      <c r="C221" s="352"/>
      <c r="D221" s="352"/>
      <c r="E221" s="352"/>
      <c r="F221" s="352"/>
      <c r="G221" s="352"/>
      <c r="H221" s="352"/>
      <c r="I221" s="352"/>
      <c r="J221" s="352"/>
      <c r="K221" s="352"/>
      <c r="L221" s="352"/>
      <c r="M221" s="352"/>
      <c r="N221" s="352"/>
      <c r="O221" s="352"/>
      <c r="P221" s="352"/>
      <c r="Q221" s="352"/>
      <c r="R221" s="352"/>
      <c r="S221" s="352"/>
      <c r="T221" s="352"/>
      <c r="U221" s="352"/>
      <c r="V221" s="352"/>
      <c r="W221" s="352"/>
      <c r="X221" s="352"/>
      <c r="Y221" s="352"/>
      <c r="Z221" s="352"/>
      <c r="AA221" s="352"/>
      <c r="AB221" s="352"/>
      <c r="AC221" s="352"/>
      <c r="AD221" s="352"/>
      <c r="AE221" s="352"/>
    </row>
    <row r="222">
      <c r="A222" s="352"/>
      <c r="B222" s="352"/>
      <c r="C222" s="352"/>
      <c r="D222" s="352"/>
      <c r="E222" s="352"/>
      <c r="F222" s="352"/>
      <c r="G222" s="352"/>
      <c r="H222" s="352"/>
      <c r="I222" s="352"/>
      <c r="J222" s="352"/>
      <c r="K222" s="352"/>
      <c r="L222" s="352"/>
      <c r="M222" s="352"/>
      <c r="N222" s="352"/>
      <c r="O222" s="352"/>
      <c r="P222" s="352"/>
      <c r="Q222" s="352"/>
      <c r="R222" s="352"/>
      <c r="S222" s="352"/>
      <c r="T222" s="352"/>
      <c r="U222" s="352"/>
      <c r="V222" s="352"/>
      <c r="W222" s="352"/>
      <c r="X222" s="352"/>
      <c r="Y222" s="352"/>
      <c r="Z222" s="352"/>
      <c r="AA222" s="352"/>
      <c r="AB222" s="352"/>
      <c r="AC222" s="352"/>
      <c r="AD222" s="352"/>
      <c r="AE222" s="352"/>
    </row>
    <row r="223">
      <c r="A223" s="352"/>
      <c r="B223" s="352"/>
      <c r="C223" s="352"/>
      <c r="D223" s="352"/>
      <c r="E223" s="352"/>
      <c r="F223" s="352"/>
      <c r="G223" s="352"/>
      <c r="H223" s="352"/>
      <c r="I223" s="352"/>
      <c r="J223" s="352"/>
      <c r="K223" s="352"/>
      <c r="L223" s="352"/>
      <c r="M223" s="352"/>
      <c r="N223" s="352"/>
      <c r="O223" s="352"/>
      <c r="P223" s="352"/>
      <c r="Q223" s="352"/>
      <c r="R223" s="352"/>
      <c r="S223" s="352"/>
      <c r="T223" s="352"/>
      <c r="U223" s="352"/>
      <c r="V223" s="352"/>
      <c r="W223" s="352"/>
      <c r="X223" s="352"/>
      <c r="Y223" s="352"/>
      <c r="Z223" s="352"/>
      <c r="AA223" s="352"/>
      <c r="AB223" s="352"/>
      <c r="AC223" s="352"/>
      <c r="AD223" s="352"/>
      <c r="AE223" s="352"/>
    </row>
    <row r="224">
      <c r="A224" s="352"/>
      <c r="B224" s="352"/>
      <c r="C224" s="352"/>
      <c r="D224" s="352"/>
      <c r="E224" s="352"/>
      <c r="F224" s="352"/>
      <c r="G224" s="352"/>
      <c r="H224" s="352"/>
      <c r="I224" s="352"/>
      <c r="J224" s="352"/>
      <c r="K224" s="352"/>
      <c r="L224" s="352"/>
      <c r="M224" s="352"/>
      <c r="N224" s="352"/>
      <c r="O224" s="352"/>
      <c r="P224" s="352"/>
      <c r="Q224" s="352"/>
      <c r="R224" s="352"/>
      <c r="S224" s="352"/>
      <c r="T224" s="352"/>
      <c r="U224" s="352"/>
      <c r="V224" s="352"/>
      <c r="W224" s="352"/>
      <c r="X224" s="352"/>
      <c r="Y224" s="352"/>
      <c r="Z224" s="352"/>
      <c r="AA224" s="352"/>
      <c r="AB224" s="352"/>
      <c r="AC224" s="352"/>
      <c r="AD224" s="352"/>
      <c r="AE224" s="352"/>
    </row>
    <row r="225">
      <c r="A225" s="352"/>
      <c r="B225" s="352"/>
      <c r="C225" s="352"/>
      <c r="D225" s="352"/>
      <c r="E225" s="352"/>
      <c r="F225" s="352"/>
      <c r="G225" s="352"/>
      <c r="H225" s="352"/>
      <c r="I225" s="352"/>
      <c r="J225" s="352"/>
      <c r="K225" s="352"/>
      <c r="L225" s="352"/>
      <c r="M225" s="352"/>
      <c r="N225" s="352"/>
      <c r="O225" s="352"/>
      <c r="P225" s="352"/>
      <c r="Q225" s="352"/>
      <c r="R225" s="352"/>
      <c r="S225" s="352"/>
      <c r="T225" s="352"/>
      <c r="U225" s="352"/>
      <c r="V225" s="352"/>
      <c r="W225" s="352"/>
      <c r="X225" s="352"/>
      <c r="Y225" s="352"/>
      <c r="Z225" s="352"/>
      <c r="AA225" s="352"/>
      <c r="AB225" s="352"/>
      <c r="AC225" s="352"/>
      <c r="AD225" s="352"/>
      <c r="AE225" s="352"/>
    </row>
    <row r="226">
      <c r="A226" s="352"/>
      <c r="B226" s="352"/>
      <c r="C226" s="352"/>
      <c r="D226" s="352"/>
      <c r="E226" s="352"/>
      <c r="F226" s="352"/>
      <c r="G226" s="352"/>
      <c r="H226" s="352"/>
      <c r="I226" s="352"/>
      <c r="J226" s="352"/>
      <c r="K226" s="352"/>
      <c r="L226" s="352"/>
      <c r="M226" s="352"/>
      <c r="N226" s="352"/>
      <c r="O226" s="352"/>
      <c r="P226" s="352"/>
      <c r="Q226" s="352"/>
      <c r="R226" s="352"/>
      <c r="S226" s="352"/>
      <c r="T226" s="352"/>
      <c r="U226" s="352"/>
      <c r="V226" s="352"/>
      <c r="W226" s="352"/>
      <c r="X226" s="352"/>
      <c r="Y226" s="352"/>
      <c r="Z226" s="352"/>
      <c r="AA226" s="352"/>
      <c r="AB226" s="352"/>
      <c r="AC226" s="352"/>
      <c r="AD226" s="352"/>
      <c r="AE226" s="352"/>
    </row>
    <row r="227">
      <c r="A227" s="352"/>
      <c r="B227" s="352"/>
      <c r="C227" s="352"/>
      <c r="D227" s="352"/>
      <c r="E227" s="352"/>
      <c r="F227" s="352"/>
      <c r="G227" s="352"/>
      <c r="H227" s="352"/>
      <c r="I227" s="352"/>
      <c r="J227" s="352"/>
      <c r="K227" s="352"/>
      <c r="L227" s="352"/>
      <c r="M227" s="352"/>
      <c r="N227" s="352"/>
      <c r="O227" s="352"/>
      <c r="P227" s="352"/>
      <c r="Q227" s="352"/>
      <c r="R227" s="352"/>
      <c r="S227" s="352"/>
      <c r="T227" s="352"/>
      <c r="U227" s="352"/>
      <c r="V227" s="352"/>
      <c r="W227" s="352"/>
      <c r="X227" s="352"/>
      <c r="Y227" s="352"/>
      <c r="Z227" s="352"/>
      <c r="AA227" s="352"/>
      <c r="AB227" s="352"/>
      <c r="AC227" s="352"/>
      <c r="AD227" s="352"/>
      <c r="AE227" s="352"/>
    </row>
    <row r="228">
      <c r="A228" s="352"/>
      <c r="B228" s="352"/>
      <c r="C228" s="352"/>
      <c r="D228" s="352"/>
      <c r="E228" s="352"/>
      <c r="F228" s="352"/>
      <c r="G228" s="352"/>
      <c r="H228" s="352"/>
      <c r="I228" s="352"/>
      <c r="J228" s="352"/>
      <c r="K228" s="352"/>
      <c r="L228" s="352"/>
      <c r="M228" s="352"/>
      <c r="N228" s="352"/>
      <c r="O228" s="352"/>
      <c r="P228" s="352"/>
      <c r="Q228" s="352"/>
      <c r="R228" s="352"/>
      <c r="S228" s="352"/>
      <c r="T228" s="352"/>
      <c r="U228" s="352"/>
      <c r="V228" s="352"/>
      <c r="W228" s="352"/>
      <c r="X228" s="352"/>
      <c r="Y228" s="352"/>
      <c r="Z228" s="352"/>
      <c r="AA228" s="352"/>
      <c r="AB228" s="352"/>
      <c r="AC228" s="352"/>
      <c r="AD228" s="352"/>
      <c r="AE228" s="352"/>
    </row>
    <row r="229">
      <c r="A229" s="352"/>
      <c r="B229" s="352"/>
      <c r="C229" s="352"/>
      <c r="D229" s="352"/>
      <c r="E229" s="352"/>
      <c r="F229" s="352"/>
      <c r="G229" s="352"/>
      <c r="H229" s="352"/>
      <c r="I229" s="352"/>
      <c r="J229" s="352"/>
      <c r="K229" s="352"/>
      <c r="L229" s="352"/>
      <c r="M229" s="352"/>
      <c r="N229" s="352"/>
      <c r="O229" s="352"/>
      <c r="P229" s="352"/>
      <c r="Q229" s="352"/>
      <c r="R229" s="352"/>
      <c r="S229" s="352"/>
      <c r="T229" s="352"/>
      <c r="U229" s="352"/>
      <c r="V229" s="352"/>
      <c r="W229" s="352"/>
      <c r="X229" s="352"/>
      <c r="Y229" s="352"/>
      <c r="Z229" s="352"/>
      <c r="AA229" s="352"/>
      <c r="AB229" s="352"/>
      <c r="AC229" s="352"/>
      <c r="AD229" s="352"/>
      <c r="AE229" s="352"/>
    </row>
    <row r="230">
      <c r="A230" s="352"/>
      <c r="B230" s="352"/>
      <c r="C230" s="352"/>
      <c r="D230" s="352"/>
      <c r="E230" s="352"/>
      <c r="F230" s="352"/>
      <c r="G230" s="352"/>
      <c r="H230" s="352"/>
      <c r="I230" s="352"/>
      <c r="J230" s="352"/>
      <c r="K230" s="352"/>
      <c r="L230" s="352"/>
      <c r="M230" s="352"/>
      <c r="N230" s="352"/>
      <c r="O230" s="352"/>
      <c r="P230" s="352"/>
      <c r="Q230" s="352"/>
      <c r="R230" s="352"/>
      <c r="S230" s="352"/>
      <c r="T230" s="352"/>
      <c r="U230" s="352"/>
      <c r="V230" s="352"/>
      <c r="W230" s="352"/>
      <c r="X230" s="352"/>
      <c r="Y230" s="352"/>
      <c r="Z230" s="352"/>
      <c r="AA230" s="352"/>
      <c r="AB230" s="352"/>
      <c r="AC230" s="352"/>
      <c r="AD230" s="352"/>
      <c r="AE230" s="352"/>
    </row>
    <row r="231">
      <c r="A231" s="352"/>
      <c r="B231" s="352"/>
      <c r="C231" s="352"/>
      <c r="D231" s="352"/>
      <c r="E231" s="352"/>
      <c r="F231" s="352"/>
      <c r="G231" s="352"/>
      <c r="H231" s="352"/>
      <c r="I231" s="352"/>
      <c r="J231" s="352"/>
      <c r="K231" s="352"/>
      <c r="L231" s="352"/>
      <c r="M231" s="352"/>
      <c r="N231" s="352"/>
      <c r="O231" s="352"/>
      <c r="P231" s="352"/>
      <c r="Q231" s="352"/>
      <c r="R231" s="352"/>
      <c r="S231" s="352"/>
      <c r="T231" s="352"/>
      <c r="U231" s="352"/>
      <c r="V231" s="352"/>
      <c r="W231" s="352"/>
      <c r="X231" s="352"/>
      <c r="Y231" s="352"/>
      <c r="Z231" s="352"/>
      <c r="AA231" s="352"/>
      <c r="AB231" s="352"/>
      <c r="AC231" s="352"/>
      <c r="AD231" s="352"/>
      <c r="AE231" s="352"/>
    </row>
    <row r="232">
      <c r="A232" s="352"/>
      <c r="B232" s="352"/>
      <c r="C232" s="352"/>
      <c r="D232" s="352"/>
      <c r="E232" s="352"/>
      <c r="F232" s="352"/>
      <c r="G232" s="352"/>
      <c r="H232" s="352"/>
      <c r="I232" s="352"/>
      <c r="J232" s="352"/>
      <c r="K232" s="352"/>
      <c r="L232" s="352"/>
      <c r="M232" s="352"/>
      <c r="N232" s="352"/>
      <c r="O232" s="352"/>
      <c r="P232" s="352"/>
      <c r="Q232" s="352"/>
      <c r="R232" s="352"/>
      <c r="S232" s="352"/>
      <c r="T232" s="352"/>
      <c r="U232" s="352"/>
      <c r="V232" s="352"/>
      <c r="W232" s="352"/>
      <c r="X232" s="352"/>
      <c r="Y232" s="352"/>
      <c r="Z232" s="352"/>
      <c r="AA232" s="352"/>
      <c r="AB232" s="352"/>
      <c r="AC232" s="352"/>
      <c r="AD232" s="352"/>
      <c r="AE232" s="352"/>
    </row>
    <row r="233">
      <c r="A233" s="352"/>
      <c r="B233" s="352"/>
      <c r="C233" s="352"/>
      <c r="D233" s="352"/>
      <c r="E233" s="352"/>
      <c r="F233" s="352"/>
      <c r="G233" s="352"/>
      <c r="H233" s="352"/>
      <c r="I233" s="352"/>
      <c r="J233" s="352"/>
      <c r="K233" s="352"/>
      <c r="L233" s="352"/>
      <c r="M233" s="352"/>
      <c r="N233" s="352"/>
      <c r="O233" s="352"/>
      <c r="P233" s="352"/>
      <c r="Q233" s="352"/>
      <c r="R233" s="352"/>
      <c r="S233" s="352"/>
      <c r="T233" s="352"/>
      <c r="U233" s="352"/>
      <c r="V233" s="352"/>
      <c r="W233" s="352"/>
      <c r="X233" s="352"/>
      <c r="Y233" s="352"/>
      <c r="Z233" s="352"/>
      <c r="AA233" s="352"/>
      <c r="AB233" s="352"/>
      <c r="AC233" s="352"/>
      <c r="AD233" s="352"/>
      <c r="AE233" s="352"/>
    </row>
    <row r="234">
      <c r="A234" s="352"/>
      <c r="B234" s="352"/>
      <c r="C234" s="352"/>
      <c r="D234" s="352"/>
      <c r="E234" s="352"/>
      <c r="F234" s="352"/>
      <c r="G234" s="352"/>
      <c r="H234" s="352"/>
      <c r="I234" s="352"/>
      <c r="J234" s="352"/>
      <c r="K234" s="352"/>
      <c r="L234" s="352"/>
      <c r="M234" s="352"/>
      <c r="N234" s="352"/>
      <c r="O234" s="352"/>
      <c r="P234" s="352"/>
      <c r="Q234" s="352"/>
      <c r="R234" s="352"/>
      <c r="S234" s="352"/>
      <c r="T234" s="352"/>
      <c r="U234" s="352"/>
      <c r="V234" s="352"/>
      <c r="W234" s="352"/>
      <c r="X234" s="352"/>
      <c r="Y234" s="352"/>
      <c r="Z234" s="352"/>
      <c r="AA234" s="352"/>
      <c r="AB234" s="352"/>
      <c r="AC234" s="352"/>
      <c r="AD234" s="352"/>
      <c r="AE234" s="352"/>
    </row>
    <row r="235">
      <c r="A235" s="352"/>
      <c r="B235" s="352"/>
      <c r="C235" s="352"/>
      <c r="D235" s="352"/>
      <c r="E235" s="352"/>
      <c r="F235" s="352"/>
      <c r="G235" s="352"/>
      <c r="H235" s="352"/>
      <c r="I235" s="352"/>
      <c r="J235" s="352"/>
      <c r="K235" s="352"/>
      <c r="L235" s="352"/>
      <c r="M235" s="352"/>
      <c r="N235" s="352"/>
      <c r="O235" s="352"/>
      <c r="P235" s="352"/>
      <c r="Q235" s="352"/>
      <c r="R235" s="352"/>
      <c r="S235" s="352"/>
      <c r="T235" s="352"/>
      <c r="U235" s="352"/>
      <c r="V235" s="352"/>
      <c r="W235" s="352"/>
      <c r="X235" s="352"/>
      <c r="Y235" s="352"/>
      <c r="Z235" s="352"/>
      <c r="AA235" s="352"/>
      <c r="AB235" s="352"/>
      <c r="AC235" s="352"/>
      <c r="AD235" s="352"/>
      <c r="AE235" s="352"/>
    </row>
    <row r="236">
      <c r="A236" s="352"/>
      <c r="B236" s="352"/>
      <c r="C236" s="352"/>
      <c r="D236" s="352"/>
      <c r="E236" s="352"/>
      <c r="F236" s="352"/>
      <c r="G236" s="352"/>
      <c r="H236" s="352"/>
      <c r="I236" s="352"/>
      <c r="J236" s="352"/>
      <c r="K236" s="352"/>
      <c r="L236" s="352"/>
      <c r="M236" s="352"/>
      <c r="N236" s="352"/>
      <c r="O236" s="352"/>
      <c r="P236" s="352"/>
      <c r="Q236" s="352"/>
      <c r="R236" s="352"/>
      <c r="S236" s="352"/>
      <c r="T236" s="352"/>
      <c r="U236" s="352"/>
      <c r="V236" s="352"/>
      <c r="W236" s="352"/>
      <c r="X236" s="352"/>
      <c r="Y236" s="352"/>
      <c r="Z236" s="352"/>
      <c r="AA236" s="352"/>
      <c r="AB236" s="352"/>
      <c r="AC236" s="352"/>
      <c r="AD236" s="352"/>
      <c r="AE236" s="352"/>
    </row>
    <row r="237">
      <c r="A237" s="352"/>
      <c r="B237" s="352"/>
      <c r="C237" s="352"/>
      <c r="D237" s="352"/>
      <c r="E237" s="352"/>
      <c r="F237" s="352"/>
      <c r="G237" s="352"/>
      <c r="H237" s="352"/>
      <c r="I237" s="352"/>
      <c r="J237" s="352"/>
      <c r="K237" s="352"/>
      <c r="L237" s="352"/>
      <c r="M237" s="352"/>
      <c r="N237" s="352"/>
      <c r="O237" s="352"/>
      <c r="P237" s="352"/>
      <c r="Q237" s="352"/>
      <c r="R237" s="352"/>
      <c r="S237" s="352"/>
      <c r="T237" s="352"/>
      <c r="U237" s="352"/>
      <c r="V237" s="352"/>
      <c r="W237" s="352"/>
      <c r="X237" s="352"/>
      <c r="Y237" s="352"/>
      <c r="Z237" s="352"/>
      <c r="AA237" s="352"/>
      <c r="AB237" s="352"/>
      <c r="AC237" s="352"/>
      <c r="AD237" s="352"/>
      <c r="AE237" s="352"/>
    </row>
    <row r="238">
      <c r="A238" s="352"/>
      <c r="B238" s="352"/>
      <c r="C238" s="352"/>
      <c r="D238" s="352"/>
      <c r="E238" s="352"/>
      <c r="F238" s="352"/>
      <c r="G238" s="352"/>
      <c r="H238" s="352"/>
      <c r="I238" s="352"/>
      <c r="J238" s="352"/>
      <c r="K238" s="352"/>
      <c r="L238" s="352"/>
      <c r="M238" s="352"/>
      <c r="N238" s="352"/>
      <c r="O238" s="352"/>
      <c r="P238" s="352"/>
      <c r="Q238" s="352"/>
      <c r="R238" s="352"/>
      <c r="S238" s="352"/>
      <c r="T238" s="352"/>
      <c r="U238" s="352"/>
      <c r="V238" s="352"/>
      <c r="W238" s="352"/>
      <c r="X238" s="352"/>
      <c r="Y238" s="352"/>
      <c r="Z238" s="352"/>
      <c r="AA238" s="352"/>
      <c r="AB238" s="352"/>
      <c r="AC238" s="352"/>
      <c r="AD238" s="352"/>
      <c r="AE238" s="352"/>
    </row>
    <row r="239">
      <c r="A239" s="352"/>
      <c r="B239" s="352"/>
      <c r="C239" s="352"/>
      <c r="D239" s="352"/>
      <c r="E239" s="352"/>
      <c r="F239" s="352"/>
      <c r="G239" s="352"/>
      <c r="H239" s="352"/>
      <c r="I239" s="352"/>
      <c r="J239" s="352"/>
      <c r="K239" s="352"/>
      <c r="L239" s="352"/>
      <c r="M239" s="352"/>
      <c r="N239" s="352"/>
      <c r="O239" s="352"/>
      <c r="P239" s="352"/>
      <c r="Q239" s="352"/>
      <c r="R239" s="352"/>
      <c r="S239" s="352"/>
      <c r="T239" s="352"/>
      <c r="U239" s="352"/>
      <c r="V239" s="352"/>
      <c r="W239" s="352"/>
      <c r="X239" s="352"/>
      <c r="Y239" s="352"/>
      <c r="Z239" s="352"/>
      <c r="AA239" s="352"/>
      <c r="AB239" s="352"/>
      <c r="AC239" s="352"/>
      <c r="AD239" s="352"/>
      <c r="AE239" s="352"/>
    </row>
    <row r="240">
      <c r="A240" s="352"/>
      <c r="B240" s="352"/>
      <c r="C240" s="352"/>
      <c r="D240" s="352"/>
      <c r="E240" s="352"/>
      <c r="F240" s="352"/>
      <c r="G240" s="352"/>
      <c r="H240" s="352"/>
      <c r="I240" s="352"/>
      <c r="J240" s="352"/>
      <c r="K240" s="352"/>
      <c r="L240" s="352"/>
      <c r="M240" s="352"/>
      <c r="N240" s="352"/>
      <c r="O240" s="352"/>
      <c r="P240" s="352"/>
      <c r="Q240" s="352"/>
      <c r="R240" s="352"/>
      <c r="S240" s="352"/>
      <c r="T240" s="352"/>
      <c r="U240" s="352"/>
      <c r="V240" s="352"/>
      <c r="W240" s="352"/>
      <c r="X240" s="352"/>
      <c r="Y240" s="352"/>
      <c r="Z240" s="352"/>
      <c r="AA240" s="352"/>
      <c r="AB240" s="352"/>
      <c r="AC240" s="352"/>
      <c r="AD240" s="352"/>
      <c r="AE240" s="352"/>
    </row>
    <row r="241">
      <c r="A241" s="352"/>
      <c r="B241" s="352"/>
      <c r="C241" s="352"/>
      <c r="D241" s="352"/>
      <c r="E241" s="352"/>
      <c r="F241" s="352"/>
      <c r="G241" s="352"/>
      <c r="H241" s="352"/>
      <c r="I241" s="352"/>
      <c r="J241" s="352"/>
      <c r="K241" s="352"/>
      <c r="L241" s="352"/>
      <c r="M241" s="352"/>
      <c r="N241" s="352"/>
      <c r="O241" s="352"/>
      <c r="P241" s="352"/>
      <c r="Q241" s="352"/>
      <c r="R241" s="352"/>
      <c r="S241" s="352"/>
      <c r="T241" s="352"/>
      <c r="U241" s="352"/>
      <c r="V241" s="352"/>
      <c r="W241" s="352"/>
      <c r="X241" s="352"/>
      <c r="Y241" s="352"/>
      <c r="Z241" s="352"/>
      <c r="AA241" s="352"/>
      <c r="AB241" s="352"/>
      <c r="AC241" s="352"/>
      <c r="AD241" s="352"/>
      <c r="AE241" s="352"/>
    </row>
    <row r="242">
      <c r="A242" s="352"/>
      <c r="B242" s="35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c r="AD242" s="352"/>
      <c r="AE242" s="352"/>
    </row>
    <row r="243">
      <c r="A243" s="352"/>
      <c r="B243" s="352"/>
      <c r="C243" s="352"/>
      <c r="D243" s="352"/>
      <c r="E243" s="352"/>
      <c r="F243" s="352"/>
      <c r="G243" s="352"/>
      <c r="H243" s="352"/>
      <c r="I243" s="352"/>
      <c r="J243" s="352"/>
      <c r="K243" s="352"/>
      <c r="L243" s="352"/>
      <c r="M243" s="352"/>
      <c r="N243" s="352"/>
      <c r="O243" s="352"/>
      <c r="P243" s="352"/>
      <c r="Q243" s="352"/>
      <c r="R243" s="352"/>
      <c r="S243" s="352"/>
      <c r="T243" s="352"/>
      <c r="U243" s="352"/>
      <c r="V243" s="352"/>
      <c r="W243" s="352"/>
      <c r="X243" s="352"/>
      <c r="Y243" s="352"/>
      <c r="Z243" s="352"/>
      <c r="AA243" s="352"/>
      <c r="AB243" s="352"/>
      <c r="AC243" s="352"/>
      <c r="AD243" s="352"/>
      <c r="AE243" s="352"/>
    </row>
    <row r="244">
      <c r="A244" s="352"/>
      <c r="B244" s="352"/>
      <c r="C244" s="352"/>
      <c r="D244" s="352"/>
      <c r="E244" s="352"/>
      <c r="F244" s="352"/>
      <c r="G244" s="352"/>
      <c r="H244" s="352"/>
      <c r="I244" s="352"/>
      <c r="J244" s="352"/>
      <c r="K244" s="352"/>
      <c r="L244" s="352"/>
      <c r="M244" s="352"/>
      <c r="N244" s="352"/>
      <c r="O244" s="352"/>
      <c r="P244" s="352"/>
      <c r="Q244" s="352"/>
      <c r="R244" s="352"/>
      <c r="S244" s="352"/>
      <c r="T244" s="352"/>
      <c r="U244" s="352"/>
      <c r="V244" s="352"/>
      <c r="W244" s="352"/>
      <c r="X244" s="352"/>
      <c r="Y244" s="352"/>
      <c r="Z244" s="352"/>
      <c r="AA244" s="352"/>
      <c r="AB244" s="352"/>
      <c r="AC244" s="352"/>
      <c r="AD244" s="352"/>
      <c r="AE244" s="352"/>
    </row>
    <row r="245">
      <c r="A245" s="352"/>
      <c r="B245" s="352"/>
      <c r="C245" s="352"/>
      <c r="D245" s="352"/>
      <c r="E245" s="352"/>
      <c r="F245" s="352"/>
      <c r="G245" s="352"/>
      <c r="H245" s="352"/>
      <c r="I245" s="352"/>
      <c r="J245" s="352"/>
      <c r="K245" s="352"/>
      <c r="L245" s="352"/>
      <c r="M245" s="352"/>
      <c r="N245" s="352"/>
      <c r="O245" s="352"/>
      <c r="P245" s="352"/>
      <c r="Q245" s="352"/>
      <c r="R245" s="352"/>
      <c r="S245" s="352"/>
      <c r="T245" s="352"/>
      <c r="U245" s="352"/>
      <c r="V245" s="352"/>
      <c r="W245" s="352"/>
      <c r="X245" s="352"/>
      <c r="Y245" s="352"/>
      <c r="Z245" s="352"/>
      <c r="AA245" s="352"/>
      <c r="AB245" s="352"/>
      <c r="AC245" s="352"/>
      <c r="AD245" s="352"/>
      <c r="AE245" s="352"/>
    </row>
    <row r="246">
      <c r="A246" s="352"/>
      <c r="B246" s="352"/>
      <c r="C246" s="352"/>
      <c r="D246" s="352"/>
      <c r="E246" s="352"/>
      <c r="F246" s="352"/>
      <c r="G246" s="352"/>
      <c r="H246" s="352"/>
      <c r="I246" s="352"/>
      <c r="J246" s="352"/>
      <c r="K246" s="352"/>
      <c r="L246" s="352"/>
      <c r="M246" s="352"/>
      <c r="N246" s="352"/>
      <c r="O246" s="352"/>
      <c r="P246" s="352"/>
      <c r="Q246" s="352"/>
      <c r="R246" s="352"/>
      <c r="S246" s="352"/>
      <c r="T246" s="352"/>
      <c r="U246" s="352"/>
      <c r="V246" s="352"/>
      <c r="W246" s="352"/>
      <c r="X246" s="352"/>
      <c r="Y246" s="352"/>
      <c r="Z246" s="352"/>
      <c r="AA246" s="352"/>
      <c r="AB246" s="352"/>
      <c r="AC246" s="352"/>
      <c r="AD246" s="352"/>
      <c r="AE246" s="352"/>
    </row>
    <row r="247">
      <c r="A247" s="352"/>
      <c r="B247" s="352"/>
      <c r="C247" s="352"/>
      <c r="D247" s="352"/>
      <c r="E247" s="352"/>
      <c r="F247" s="352"/>
      <c r="G247" s="352"/>
      <c r="H247" s="352"/>
      <c r="I247" s="352"/>
      <c r="J247" s="352"/>
      <c r="K247" s="352"/>
      <c r="L247" s="352"/>
      <c r="M247" s="352"/>
      <c r="N247" s="352"/>
      <c r="O247" s="352"/>
      <c r="P247" s="352"/>
      <c r="Q247" s="352"/>
      <c r="R247" s="352"/>
      <c r="S247" s="352"/>
      <c r="T247" s="352"/>
      <c r="U247" s="352"/>
      <c r="V247" s="352"/>
      <c r="W247" s="352"/>
      <c r="X247" s="352"/>
      <c r="Y247" s="352"/>
      <c r="Z247" s="352"/>
      <c r="AA247" s="352"/>
      <c r="AB247" s="352"/>
      <c r="AC247" s="352"/>
      <c r="AD247" s="352"/>
      <c r="AE247" s="352"/>
    </row>
    <row r="248">
      <c r="A248" s="352"/>
      <c r="B248" s="352"/>
      <c r="C248" s="352"/>
      <c r="D248" s="352"/>
      <c r="E248" s="352"/>
      <c r="F248" s="352"/>
      <c r="G248" s="352"/>
      <c r="H248" s="352"/>
      <c r="I248" s="352"/>
      <c r="J248" s="352"/>
      <c r="K248" s="352"/>
      <c r="L248" s="352"/>
      <c r="M248" s="352"/>
      <c r="N248" s="352"/>
      <c r="O248" s="352"/>
      <c r="P248" s="352"/>
      <c r="Q248" s="352"/>
      <c r="R248" s="352"/>
      <c r="S248" s="352"/>
      <c r="T248" s="352"/>
      <c r="U248" s="352"/>
      <c r="V248" s="352"/>
      <c r="W248" s="352"/>
      <c r="X248" s="352"/>
      <c r="Y248" s="352"/>
      <c r="Z248" s="352"/>
      <c r="AA248" s="352"/>
      <c r="AB248" s="352"/>
      <c r="AC248" s="352"/>
      <c r="AD248" s="352"/>
      <c r="AE248" s="352"/>
    </row>
    <row r="249">
      <c r="A249" s="352"/>
      <c r="B249" s="352"/>
      <c r="C249" s="352"/>
      <c r="D249" s="352"/>
      <c r="E249" s="352"/>
      <c r="F249" s="352"/>
      <c r="G249" s="352"/>
      <c r="H249" s="352"/>
      <c r="I249" s="352"/>
      <c r="J249" s="352"/>
      <c r="K249" s="352"/>
      <c r="L249" s="352"/>
      <c r="M249" s="352"/>
      <c r="N249" s="352"/>
      <c r="O249" s="352"/>
      <c r="P249" s="352"/>
      <c r="Q249" s="352"/>
      <c r="R249" s="352"/>
      <c r="S249" s="352"/>
      <c r="T249" s="352"/>
      <c r="U249" s="352"/>
      <c r="V249" s="352"/>
      <c r="W249" s="352"/>
      <c r="X249" s="352"/>
      <c r="Y249" s="352"/>
      <c r="Z249" s="352"/>
      <c r="AA249" s="352"/>
      <c r="AB249" s="352"/>
      <c r="AC249" s="352"/>
      <c r="AD249" s="352"/>
      <c r="AE249" s="352"/>
    </row>
    <row r="250">
      <c r="A250" s="352"/>
      <c r="B250" s="35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c r="AD250" s="352"/>
      <c r="AE250" s="352"/>
    </row>
    <row r="251">
      <c r="A251" s="352"/>
      <c r="B251" s="352"/>
      <c r="C251" s="352"/>
      <c r="D251" s="352"/>
      <c r="E251" s="352"/>
      <c r="F251" s="352"/>
      <c r="G251" s="352"/>
      <c r="H251" s="352"/>
      <c r="I251" s="352"/>
      <c r="J251" s="352"/>
      <c r="K251" s="352"/>
      <c r="L251" s="352"/>
      <c r="M251" s="352"/>
      <c r="N251" s="352"/>
      <c r="O251" s="352"/>
      <c r="P251" s="352"/>
      <c r="Q251" s="352"/>
      <c r="R251" s="352"/>
      <c r="S251" s="352"/>
      <c r="T251" s="352"/>
      <c r="U251" s="352"/>
      <c r="V251" s="352"/>
      <c r="W251" s="352"/>
      <c r="X251" s="352"/>
      <c r="Y251" s="352"/>
      <c r="Z251" s="352"/>
      <c r="AA251" s="352"/>
      <c r="AB251" s="352"/>
      <c r="AC251" s="352"/>
      <c r="AD251" s="352"/>
      <c r="AE251" s="352"/>
    </row>
    <row r="252">
      <c r="A252" s="352"/>
      <c r="B252" s="352"/>
      <c r="C252" s="352"/>
      <c r="D252" s="352"/>
      <c r="E252" s="352"/>
      <c r="F252" s="352"/>
      <c r="G252" s="352"/>
      <c r="H252" s="352"/>
      <c r="I252" s="352"/>
      <c r="J252" s="352"/>
      <c r="K252" s="352"/>
      <c r="L252" s="352"/>
      <c r="M252" s="352"/>
      <c r="N252" s="352"/>
      <c r="O252" s="352"/>
      <c r="P252" s="352"/>
      <c r="Q252" s="352"/>
      <c r="R252" s="352"/>
      <c r="S252" s="352"/>
      <c r="T252" s="352"/>
      <c r="U252" s="352"/>
      <c r="V252" s="352"/>
      <c r="W252" s="352"/>
      <c r="X252" s="352"/>
      <c r="Y252" s="352"/>
      <c r="Z252" s="352"/>
      <c r="AA252" s="352"/>
      <c r="AB252" s="352"/>
      <c r="AC252" s="352"/>
      <c r="AD252" s="352"/>
      <c r="AE252" s="352"/>
    </row>
    <row r="253">
      <c r="A253" s="352"/>
      <c r="B253" s="352"/>
      <c r="C253" s="352"/>
      <c r="D253" s="352"/>
      <c r="E253" s="352"/>
      <c r="F253" s="352"/>
      <c r="G253" s="352"/>
      <c r="H253" s="352"/>
      <c r="I253" s="352"/>
      <c r="J253" s="352"/>
      <c r="K253" s="352"/>
      <c r="L253" s="352"/>
      <c r="M253" s="352"/>
      <c r="N253" s="352"/>
      <c r="O253" s="352"/>
      <c r="P253" s="352"/>
      <c r="Q253" s="352"/>
      <c r="R253" s="352"/>
      <c r="S253" s="352"/>
      <c r="T253" s="352"/>
      <c r="U253" s="352"/>
      <c r="V253" s="352"/>
      <c r="W253" s="352"/>
      <c r="X253" s="352"/>
      <c r="Y253" s="352"/>
      <c r="Z253" s="352"/>
      <c r="AA253" s="352"/>
      <c r="AB253" s="352"/>
      <c r="AC253" s="352"/>
      <c r="AD253" s="352"/>
      <c r="AE253" s="352"/>
    </row>
    <row r="254">
      <c r="A254" s="352"/>
      <c r="B254" s="352"/>
      <c r="C254" s="352"/>
      <c r="D254" s="352"/>
      <c r="E254" s="352"/>
      <c r="F254" s="352"/>
      <c r="G254" s="352"/>
      <c r="H254" s="352"/>
      <c r="I254" s="352"/>
      <c r="J254" s="352"/>
      <c r="K254" s="352"/>
      <c r="L254" s="352"/>
      <c r="M254" s="352"/>
      <c r="N254" s="352"/>
      <c r="O254" s="352"/>
      <c r="P254" s="352"/>
      <c r="Q254" s="352"/>
      <c r="R254" s="352"/>
      <c r="S254" s="352"/>
      <c r="T254" s="352"/>
      <c r="U254" s="352"/>
      <c r="V254" s="352"/>
      <c r="W254" s="352"/>
      <c r="X254" s="352"/>
      <c r="Y254" s="352"/>
      <c r="Z254" s="352"/>
      <c r="AA254" s="352"/>
      <c r="AB254" s="352"/>
      <c r="AC254" s="352"/>
      <c r="AD254" s="352"/>
      <c r="AE254" s="352"/>
    </row>
    <row r="255">
      <c r="A255" s="352"/>
      <c r="B255" s="352"/>
      <c r="C255" s="352"/>
      <c r="D255" s="352"/>
      <c r="E255" s="352"/>
      <c r="F255" s="352"/>
      <c r="G255" s="352"/>
      <c r="H255" s="352"/>
      <c r="I255" s="352"/>
      <c r="J255" s="352"/>
      <c r="K255" s="352"/>
      <c r="L255" s="352"/>
      <c r="M255" s="352"/>
      <c r="N255" s="352"/>
      <c r="O255" s="352"/>
      <c r="P255" s="352"/>
      <c r="Q255" s="352"/>
      <c r="R255" s="352"/>
      <c r="S255" s="352"/>
      <c r="T255" s="352"/>
      <c r="U255" s="352"/>
      <c r="V255" s="352"/>
      <c r="W255" s="352"/>
      <c r="X255" s="352"/>
      <c r="Y255" s="352"/>
      <c r="Z255" s="352"/>
      <c r="AA255" s="352"/>
      <c r="AB255" s="352"/>
      <c r="AC255" s="352"/>
      <c r="AD255" s="352"/>
      <c r="AE255" s="352"/>
    </row>
    <row r="256">
      <c r="A256" s="352"/>
      <c r="B256" s="352"/>
      <c r="C256" s="352"/>
      <c r="D256" s="352"/>
      <c r="E256" s="352"/>
      <c r="F256" s="352"/>
      <c r="G256" s="352"/>
      <c r="H256" s="352"/>
      <c r="I256" s="352"/>
      <c r="J256" s="352"/>
      <c r="K256" s="352"/>
      <c r="L256" s="352"/>
      <c r="M256" s="352"/>
      <c r="N256" s="352"/>
      <c r="O256" s="352"/>
      <c r="P256" s="352"/>
      <c r="Q256" s="352"/>
      <c r="R256" s="352"/>
      <c r="S256" s="352"/>
      <c r="T256" s="352"/>
      <c r="U256" s="352"/>
      <c r="V256" s="352"/>
      <c r="W256" s="352"/>
      <c r="X256" s="352"/>
      <c r="Y256" s="352"/>
      <c r="Z256" s="352"/>
      <c r="AA256" s="352"/>
      <c r="AB256" s="352"/>
      <c r="AC256" s="352"/>
      <c r="AD256" s="352"/>
      <c r="AE256" s="352"/>
    </row>
    <row r="257">
      <c r="A257" s="352"/>
      <c r="B257" s="352"/>
      <c r="C257" s="352"/>
      <c r="D257" s="352"/>
      <c r="E257" s="352"/>
      <c r="F257" s="352"/>
      <c r="G257" s="352"/>
      <c r="H257" s="352"/>
      <c r="I257" s="352"/>
      <c r="J257" s="352"/>
      <c r="K257" s="352"/>
      <c r="L257" s="352"/>
      <c r="M257" s="352"/>
      <c r="N257" s="352"/>
      <c r="O257" s="352"/>
      <c r="P257" s="352"/>
      <c r="Q257" s="352"/>
      <c r="R257" s="352"/>
      <c r="S257" s="352"/>
      <c r="T257" s="352"/>
      <c r="U257" s="352"/>
      <c r="V257" s="352"/>
      <c r="W257" s="352"/>
      <c r="X257" s="352"/>
      <c r="Y257" s="352"/>
      <c r="Z257" s="352"/>
      <c r="AA257" s="352"/>
      <c r="AB257" s="352"/>
      <c r="AC257" s="352"/>
      <c r="AD257" s="352"/>
      <c r="AE257" s="352"/>
    </row>
    <row r="258">
      <c r="A258" s="352"/>
      <c r="B258" s="352"/>
      <c r="C258" s="352"/>
      <c r="D258" s="352"/>
      <c r="E258" s="352"/>
      <c r="F258" s="352"/>
      <c r="G258" s="352"/>
      <c r="H258" s="352"/>
      <c r="I258" s="352"/>
      <c r="J258" s="352"/>
      <c r="K258" s="352"/>
      <c r="L258" s="352"/>
      <c r="M258" s="352"/>
      <c r="N258" s="352"/>
      <c r="O258" s="352"/>
      <c r="P258" s="352"/>
      <c r="Q258" s="352"/>
      <c r="R258" s="352"/>
      <c r="S258" s="352"/>
      <c r="T258" s="352"/>
      <c r="U258" s="352"/>
      <c r="V258" s="352"/>
      <c r="W258" s="352"/>
      <c r="X258" s="352"/>
      <c r="Y258" s="352"/>
      <c r="Z258" s="352"/>
      <c r="AA258" s="352"/>
      <c r="AB258" s="352"/>
      <c r="AC258" s="352"/>
      <c r="AD258" s="352"/>
      <c r="AE258" s="352"/>
    </row>
    <row r="259">
      <c r="A259" s="352"/>
      <c r="B259" s="352"/>
      <c r="C259" s="352"/>
      <c r="D259" s="352"/>
      <c r="E259" s="352"/>
      <c r="F259" s="352"/>
      <c r="G259" s="352"/>
      <c r="H259" s="352"/>
      <c r="I259" s="352"/>
      <c r="J259" s="352"/>
      <c r="K259" s="352"/>
      <c r="L259" s="352"/>
      <c r="M259" s="352"/>
      <c r="N259" s="352"/>
      <c r="O259" s="352"/>
      <c r="P259" s="352"/>
      <c r="Q259" s="352"/>
      <c r="R259" s="352"/>
      <c r="S259" s="352"/>
      <c r="T259" s="352"/>
      <c r="U259" s="352"/>
      <c r="V259" s="352"/>
      <c r="W259" s="352"/>
      <c r="X259" s="352"/>
      <c r="Y259" s="352"/>
      <c r="Z259" s="352"/>
      <c r="AA259" s="352"/>
      <c r="AB259" s="352"/>
      <c r="AC259" s="352"/>
      <c r="AD259" s="352"/>
      <c r="AE259" s="352"/>
    </row>
    <row r="260">
      <c r="A260" s="352"/>
      <c r="B260" s="352"/>
      <c r="C260" s="352"/>
      <c r="D260" s="352"/>
      <c r="E260" s="352"/>
      <c r="F260" s="352"/>
      <c r="G260" s="352"/>
      <c r="H260" s="352"/>
      <c r="I260" s="352"/>
      <c r="J260" s="352"/>
      <c r="K260" s="352"/>
      <c r="L260" s="352"/>
      <c r="M260" s="352"/>
      <c r="N260" s="352"/>
      <c r="O260" s="352"/>
      <c r="P260" s="352"/>
      <c r="Q260" s="352"/>
      <c r="R260" s="352"/>
      <c r="S260" s="352"/>
      <c r="T260" s="352"/>
      <c r="U260" s="352"/>
      <c r="V260" s="352"/>
      <c r="W260" s="352"/>
      <c r="X260" s="352"/>
      <c r="Y260" s="352"/>
      <c r="Z260" s="352"/>
      <c r="AA260" s="352"/>
      <c r="AB260" s="352"/>
      <c r="AC260" s="352"/>
      <c r="AD260" s="352"/>
      <c r="AE260" s="352"/>
    </row>
    <row r="261">
      <c r="A261" s="352"/>
      <c r="B261" s="352"/>
      <c r="C261" s="352"/>
      <c r="D261" s="352"/>
      <c r="E261" s="352"/>
      <c r="F261" s="352"/>
      <c r="G261" s="352"/>
      <c r="H261" s="352"/>
      <c r="I261" s="352"/>
      <c r="J261" s="352"/>
      <c r="K261" s="352"/>
      <c r="L261" s="352"/>
      <c r="M261" s="352"/>
      <c r="N261" s="352"/>
      <c r="O261" s="352"/>
      <c r="P261" s="352"/>
      <c r="Q261" s="352"/>
      <c r="R261" s="352"/>
      <c r="S261" s="352"/>
      <c r="T261" s="352"/>
      <c r="U261" s="352"/>
      <c r="V261" s="352"/>
      <c r="W261" s="352"/>
      <c r="X261" s="352"/>
      <c r="Y261" s="352"/>
      <c r="Z261" s="352"/>
      <c r="AA261" s="352"/>
      <c r="AB261" s="352"/>
      <c r="AC261" s="352"/>
      <c r="AD261" s="352"/>
      <c r="AE261" s="352"/>
    </row>
    <row r="262">
      <c r="A262" s="352"/>
      <c r="B262" s="352"/>
      <c r="C262" s="352"/>
      <c r="D262" s="352"/>
      <c r="E262" s="352"/>
      <c r="F262" s="352"/>
      <c r="G262" s="352"/>
      <c r="H262" s="352"/>
      <c r="I262" s="352"/>
      <c r="J262" s="352"/>
      <c r="K262" s="352"/>
      <c r="L262" s="352"/>
      <c r="M262" s="352"/>
      <c r="N262" s="352"/>
      <c r="O262" s="352"/>
      <c r="P262" s="352"/>
      <c r="Q262" s="352"/>
      <c r="R262" s="352"/>
      <c r="S262" s="352"/>
      <c r="T262" s="352"/>
      <c r="U262" s="352"/>
      <c r="V262" s="352"/>
      <c r="W262" s="352"/>
      <c r="X262" s="352"/>
      <c r="Y262" s="352"/>
      <c r="Z262" s="352"/>
      <c r="AA262" s="352"/>
      <c r="AB262" s="352"/>
      <c r="AC262" s="352"/>
      <c r="AD262" s="352"/>
      <c r="AE262" s="352"/>
    </row>
    <row r="263">
      <c r="A263" s="352"/>
      <c r="B263" s="352"/>
      <c r="C263" s="352"/>
      <c r="D263" s="352"/>
      <c r="E263" s="352"/>
      <c r="F263" s="352"/>
      <c r="G263" s="352"/>
      <c r="H263" s="352"/>
      <c r="I263" s="352"/>
      <c r="J263" s="352"/>
      <c r="K263" s="352"/>
      <c r="L263" s="352"/>
      <c r="M263" s="352"/>
      <c r="N263" s="352"/>
      <c r="O263" s="352"/>
      <c r="P263" s="352"/>
      <c r="Q263" s="352"/>
      <c r="R263" s="352"/>
      <c r="S263" s="352"/>
      <c r="T263" s="352"/>
      <c r="U263" s="352"/>
      <c r="V263" s="352"/>
      <c r="W263" s="352"/>
      <c r="X263" s="352"/>
      <c r="Y263" s="352"/>
      <c r="Z263" s="352"/>
      <c r="AA263" s="352"/>
      <c r="AB263" s="352"/>
      <c r="AC263" s="352"/>
      <c r="AD263" s="352"/>
      <c r="AE263" s="352"/>
    </row>
    <row r="264">
      <c r="A264" s="352"/>
      <c r="B264" s="352"/>
      <c r="C264" s="352"/>
      <c r="D264" s="352"/>
      <c r="E264" s="352"/>
      <c r="F264" s="352"/>
      <c r="G264" s="352"/>
      <c r="H264" s="352"/>
      <c r="I264" s="352"/>
      <c r="J264" s="352"/>
      <c r="K264" s="352"/>
      <c r="L264" s="352"/>
      <c r="M264" s="352"/>
      <c r="N264" s="352"/>
      <c r="O264" s="352"/>
      <c r="P264" s="352"/>
      <c r="Q264" s="352"/>
      <c r="R264" s="352"/>
      <c r="S264" s="352"/>
      <c r="T264" s="352"/>
      <c r="U264" s="352"/>
      <c r="V264" s="352"/>
      <c r="W264" s="352"/>
      <c r="X264" s="352"/>
      <c r="Y264" s="352"/>
      <c r="Z264" s="352"/>
      <c r="AA264" s="352"/>
      <c r="AB264" s="352"/>
      <c r="AC264" s="352"/>
      <c r="AD264" s="352"/>
      <c r="AE264" s="352"/>
    </row>
    <row r="265">
      <c r="A265" s="352"/>
      <c r="B265" s="352"/>
      <c r="C265" s="352"/>
      <c r="D265" s="352"/>
      <c r="E265" s="352"/>
      <c r="F265" s="352"/>
      <c r="G265" s="352"/>
      <c r="H265" s="352"/>
      <c r="I265" s="352"/>
      <c r="J265" s="352"/>
      <c r="K265" s="352"/>
      <c r="L265" s="352"/>
      <c r="M265" s="352"/>
      <c r="N265" s="352"/>
      <c r="O265" s="352"/>
      <c r="P265" s="352"/>
      <c r="Q265" s="352"/>
      <c r="R265" s="352"/>
      <c r="S265" s="352"/>
      <c r="T265" s="352"/>
      <c r="U265" s="352"/>
      <c r="V265" s="352"/>
      <c r="W265" s="352"/>
      <c r="X265" s="352"/>
      <c r="Y265" s="352"/>
      <c r="Z265" s="352"/>
      <c r="AA265" s="352"/>
      <c r="AB265" s="352"/>
      <c r="AC265" s="352"/>
      <c r="AD265" s="352"/>
      <c r="AE265" s="352"/>
    </row>
    <row r="266">
      <c r="A266" s="352"/>
      <c r="B266" s="352"/>
      <c r="C266" s="352"/>
      <c r="D266" s="352"/>
      <c r="E266" s="352"/>
      <c r="F266" s="352"/>
      <c r="G266" s="352"/>
      <c r="H266" s="352"/>
      <c r="I266" s="352"/>
      <c r="J266" s="352"/>
      <c r="K266" s="352"/>
      <c r="L266" s="352"/>
      <c r="M266" s="352"/>
      <c r="N266" s="352"/>
      <c r="O266" s="352"/>
      <c r="P266" s="352"/>
      <c r="Q266" s="352"/>
      <c r="R266" s="352"/>
      <c r="S266" s="352"/>
      <c r="T266" s="352"/>
      <c r="U266" s="352"/>
      <c r="V266" s="352"/>
      <c r="W266" s="352"/>
      <c r="X266" s="352"/>
      <c r="Y266" s="352"/>
      <c r="Z266" s="352"/>
      <c r="AA266" s="352"/>
      <c r="AB266" s="352"/>
      <c r="AC266" s="352"/>
      <c r="AD266" s="352"/>
      <c r="AE266" s="352"/>
    </row>
    <row r="267">
      <c r="A267" s="352"/>
      <c r="B267" s="352"/>
      <c r="C267" s="352"/>
      <c r="D267" s="352"/>
      <c r="E267" s="352"/>
      <c r="F267" s="352"/>
      <c r="G267" s="352"/>
      <c r="H267" s="352"/>
      <c r="I267" s="352"/>
      <c r="J267" s="352"/>
      <c r="K267" s="352"/>
      <c r="L267" s="352"/>
      <c r="M267" s="352"/>
      <c r="N267" s="352"/>
      <c r="O267" s="352"/>
      <c r="P267" s="352"/>
      <c r="Q267" s="352"/>
      <c r="R267" s="352"/>
      <c r="S267" s="352"/>
      <c r="T267" s="352"/>
      <c r="U267" s="352"/>
      <c r="V267" s="352"/>
      <c r="W267" s="352"/>
      <c r="X267" s="352"/>
      <c r="Y267" s="352"/>
      <c r="Z267" s="352"/>
      <c r="AA267" s="352"/>
      <c r="AB267" s="352"/>
      <c r="AC267" s="352"/>
      <c r="AD267" s="352"/>
      <c r="AE267" s="352"/>
    </row>
    <row r="268">
      <c r="A268" s="352"/>
      <c r="B268" s="352"/>
      <c r="C268" s="352"/>
      <c r="D268" s="352"/>
      <c r="E268" s="352"/>
      <c r="F268" s="352"/>
      <c r="G268" s="352"/>
      <c r="H268" s="352"/>
      <c r="I268" s="352"/>
      <c r="J268" s="352"/>
      <c r="K268" s="352"/>
      <c r="L268" s="352"/>
      <c r="M268" s="352"/>
      <c r="N268" s="352"/>
      <c r="O268" s="352"/>
      <c r="P268" s="352"/>
      <c r="Q268" s="352"/>
      <c r="R268" s="352"/>
      <c r="S268" s="352"/>
      <c r="T268" s="352"/>
      <c r="U268" s="352"/>
      <c r="V268" s="352"/>
      <c r="W268" s="352"/>
      <c r="X268" s="352"/>
      <c r="Y268" s="352"/>
      <c r="Z268" s="352"/>
      <c r="AA268" s="352"/>
      <c r="AB268" s="352"/>
      <c r="AC268" s="352"/>
      <c r="AD268" s="352"/>
      <c r="AE268" s="352"/>
    </row>
    <row r="269">
      <c r="A269" s="352"/>
      <c r="B269" s="352"/>
      <c r="C269" s="352"/>
      <c r="D269" s="352"/>
      <c r="E269" s="352"/>
      <c r="F269" s="352"/>
      <c r="G269" s="352"/>
      <c r="H269" s="352"/>
      <c r="I269" s="352"/>
      <c r="J269" s="352"/>
      <c r="K269" s="352"/>
      <c r="L269" s="352"/>
      <c r="M269" s="352"/>
      <c r="N269" s="352"/>
      <c r="O269" s="352"/>
      <c r="P269" s="352"/>
      <c r="Q269" s="352"/>
      <c r="R269" s="352"/>
      <c r="S269" s="352"/>
      <c r="T269" s="352"/>
      <c r="U269" s="352"/>
      <c r="V269" s="352"/>
      <c r="W269" s="352"/>
      <c r="X269" s="352"/>
      <c r="Y269" s="352"/>
      <c r="Z269" s="352"/>
      <c r="AA269" s="352"/>
      <c r="AB269" s="352"/>
      <c r="AC269" s="352"/>
      <c r="AD269" s="352"/>
      <c r="AE269" s="352"/>
    </row>
    <row r="270">
      <c r="A270" s="352"/>
      <c r="B270" s="352"/>
      <c r="C270" s="352"/>
      <c r="D270" s="352"/>
      <c r="E270" s="352"/>
      <c r="F270" s="352"/>
      <c r="G270" s="352"/>
      <c r="H270" s="352"/>
      <c r="I270" s="352"/>
      <c r="J270" s="352"/>
      <c r="K270" s="352"/>
      <c r="L270" s="352"/>
      <c r="M270" s="352"/>
      <c r="N270" s="352"/>
      <c r="O270" s="352"/>
      <c r="P270" s="352"/>
      <c r="Q270" s="352"/>
      <c r="R270" s="352"/>
      <c r="S270" s="352"/>
      <c r="T270" s="352"/>
      <c r="U270" s="352"/>
      <c r="V270" s="352"/>
      <c r="W270" s="352"/>
      <c r="X270" s="352"/>
      <c r="Y270" s="352"/>
      <c r="Z270" s="352"/>
      <c r="AA270" s="352"/>
      <c r="AB270" s="352"/>
      <c r="AC270" s="352"/>
      <c r="AD270" s="352"/>
      <c r="AE270" s="352"/>
    </row>
    <row r="271">
      <c r="A271" s="352"/>
      <c r="B271" s="352"/>
      <c r="C271" s="352"/>
      <c r="D271" s="352"/>
      <c r="E271" s="352"/>
      <c r="F271" s="352"/>
      <c r="G271" s="352"/>
      <c r="H271" s="352"/>
      <c r="I271" s="352"/>
      <c r="J271" s="352"/>
      <c r="K271" s="352"/>
      <c r="L271" s="352"/>
      <c r="M271" s="352"/>
      <c r="N271" s="352"/>
      <c r="O271" s="352"/>
      <c r="P271" s="352"/>
      <c r="Q271" s="352"/>
      <c r="R271" s="352"/>
      <c r="S271" s="352"/>
      <c r="T271" s="352"/>
      <c r="U271" s="352"/>
      <c r="V271" s="352"/>
      <c r="W271" s="352"/>
      <c r="X271" s="352"/>
      <c r="Y271" s="352"/>
      <c r="Z271" s="352"/>
      <c r="AA271" s="352"/>
      <c r="AB271" s="352"/>
      <c r="AC271" s="352"/>
      <c r="AD271" s="352"/>
      <c r="AE271" s="352"/>
    </row>
    <row r="272">
      <c r="A272" s="352"/>
      <c r="B272" s="352"/>
      <c r="C272" s="352"/>
      <c r="D272" s="352"/>
      <c r="E272" s="352"/>
      <c r="F272" s="352"/>
      <c r="G272" s="352"/>
      <c r="H272" s="352"/>
      <c r="I272" s="352"/>
      <c r="J272" s="352"/>
      <c r="K272" s="352"/>
      <c r="L272" s="352"/>
      <c r="M272" s="352"/>
      <c r="N272" s="352"/>
      <c r="O272" s="352"/>
      <c r="P272" s="352"/>
      <c r="Q272" s="352"/>
      <c r="R272" s="352"/>
      <c r="S272" s="352"/>
      <c r="T272" s="352"/>
      <c r="U272" s="352"/>
      <c r="V272" s="352"/>
      <c r="W272" s="352"/>
      <c r="X272" s="352"/>
      <c r="Y272" s="352"/>
      <c r="Z272" s="352"/>
      <c r="AA272" s="352"/>
      <c r="AB272" s="352"/>
      <c r="AC272" s="352"/>
      <c r="AD272" s="352"/>
      <c r="AE272" s="352"/>
    </row>
    <row r="273">
      <c r="A273" s="352"/>
      <c r="B273" s="352"/>
      <c r="C273" s="352"/>
      <c r="D273" s="352"/>
      <c r="E273" s="352"/>
      <c r="F273" s="352"/>
      <c r="G273" s="352"/>
      <c r="H273" s="352"/>
      <c r="I273" s="352"/>
      <c r="J273" s="352"/>
      <c r="K273" s="352"/>
      <c r="L273" s="352"/>
      <c r="M273" s="352"/>
      <c r="N273" s="352"/>
      <c r="O273" s="352"/>
      <c r="P273" s="352"/>
      <c r="Q273" s="352"/>
      <c r="R273" s="352"/>
      <c r="S273" s="352"/>
      <c r="T273" s="352"/>
      <c r="U273" s="352"/>
      <c r="V273" s="352"/>
      <c r="W273" s="352"/>
      <c r="X273" s="352"/>
      <c r="Y273" s="352"/>
      <c r="Z273" s="352"/>
      <c r="AA273" s="352"/>
      <c r="AB273" s="352"/>
      <c r="AC273" s="352"/>
      <c r="AD273" s="352"/>
      <c r="AE273" s="352"/>
    </row>
    <row r="274">
      <c r="A274" s="352"/>
      <c r="B274" s="352"/>
      <c r="C274" s="352"/>
      <c r="D274" s="352"/>
      <c r="E274" s="352"/>
      <c r="F274" s="352"/>
      <c r="G274" s="352"/>
      <c r="H274" s="352"/>
      <c r="I274" s="352"/>
      <c r="J274" s="352"/>
      <c r="K274" s="352"/>
      <c r="L274" s="352"/>
      <c r="M274" s="352"/>
      <c r="N274" s="352"/>
      <c r="O274" s="352"/>
      <c r="P274" s="352"/>
      <c r="Q274" s="352"/>
      <c r="R274" s="352"/>
      <c r="S274" s="352"/>
      <c r="T274" s="352"/>
      <c r="U274" s="352"/>
      <c r="V274" s="352"/>
      <c r="W274" s="352"/>
      <c r="X274" s="352"/>
      <c r="Y274" s="352"/>
      <c r="Z274" s="352"/>
      <c r="AA274" s="352"/>
      <c r="AB274" s="352"/>
      <c r="AC274" s="352"/>
      <c r="AD274" s="352"/>
      <c r="AE274" s="352"/>
    </row>
    <row r="275">
      <c r="A275" s="352"/>
      <c r="B275" s="352"/>
      <c r="C275" s="352"/>
      <c r="D275" s="352"/>
      <c r="E275" s="352"/>
      <c r="F275" s="352"/>
      <c r="G275" s="352"/>
      <c r="H275" s="352"/>
      <c r="I275" s="352"/>
      <c r="J275" s="352"/>
      <c r="K275" s="352"/>
      <c r="L275" s="352"/>
      <c r="M275" s="352"/>
      <c r="N275" s="352"/>
      <c r="O275" s="352"/>
      <c r="P275" s="352"/>
      <c r="Q275" s="352"/>
      <c r="R275" s="352"/>
      <c r="S275" s="352"/>
      <c r="T275" s="352"/>
      <c r="U275" s="352"/>
      <c r="V275" s="352"/>
      <c r="W275" s="352"/>
      <c r="X275" s="352"/>
      <c r="Y275" s="352"/>
      <c r="Z275" s="352"/>
      <c r="AA275" s="352"/>
      <c r="AB275" s="352"/>
      <c r="AC275" s="352"/>
      <c r="AD275" s="352"/>
      <c r="AE275" s="352"/>
    </row>
    <row r="276">
      <c r="A276" s="352"/>
      <c r="B276" s="352"/>
      <c r="C276" s="352"/>
      <c r="D276" s="352"/>
      <c r="E276" s="352"/>
      <c r="F276" s="352"/>
      <c r="G276" s="352"/>
      <c r="H276" s="352"/>
      <c r="I276" s="352"/>
      <c r="J276" s="352"/>
      <c r="K276" s="352"/>
      <c r="L276" s="352"/>
      <c r="M276" s="352"/>
      <c r="N276" s="352"/>
      <c r="O276" s="352"/>
      <c r="P276" s="352"/>
      <c r="Q276" s="352"/>
      <c r="R276" s="352"/>
      <c r="S276" s="352"/>
      <c r="T276" s="352"/>
      <c r="U276" s="352"/>
      <c r="V276" s="352"/>
      <c r="W276" s="352"/>
      <c r="X276" s="352"/>
      <c r="Y276" s="352"/>
      <c r="Z276" s="352"/>
      <c r="AA276" s="352"/>
      <c r="AB276" s="352"/>
      <c r="AC276" s="352"/>
      <c r="AD276" s="352"/>
      <c r="AE276" s="352"/>
    </row>
    <row r="277">
      <c r="A277" s="352"/>
      <c r="B277" s="352"/>
      <c r="C277" s="352"/>
      <c r="D277" s="352"/>
      <c r="E277" s="352"/>
      <c r="F277" s="352"/>
      <c r="G277" s="352"/>
      <c r="H277" s="352"/>
      <c r="I277" s="352"/>
      <c r="J277" s="352"/>
      <c r="K277" s="352"/>
      <c r="L277" s="352"/>
      <c r="M277" s="352"/>
      <c r="N277" s="352"/>
      <c r="O277" s="352"/>
      <c r="P277" s="352"/>
      <c r="Q277" s="352"/>
      <c r="R277" s="352"/>
      <c r="S277" s="352"/>
      <c r="T277" s="352"/>
      <c r="U277" s="352"/>
      <c r="V277" s="352"/>
      <c r="W277" s="352"/>
      <c r="X277" s="352"/>
      <c r="Y277" s="352"/>
      <c r="Z277" s="352"/>
      <c r="AA277" s="352"/>
      <c r="AB277" s="352"/>
      <c r="AC277" s="352"/>
      <c r="AD277" s="352"/>
      <c r="AE277" s="352"/>
    </row>
    <row r="278">
      <c r="A278" s="352"/>
      <c r="B278" s="352"/>
      <c r="C278" s="352"/>
      <c r="D278" s="352"/>
      <c r="E278" s="352"/>
      <c r="F278" s="352"/>
      <c r="G278" s="352"/>
      <c r="H278" s="352"/>
      <c r="I278" s="352"/>
      <c r="J278" s="352"/>
      <c r="K278" s="352"/>
      <c r="L278" s="352"/>
      <c r="M278" s="352"/>
      <c r="N278" s="352"/>
      <c r="O278" s="352"/>
      <c r="P278" s="352"/>
      <c r="Q278" s="352"/>
      <c r="R278" s="352"/>
      <c r="S278" s="352"/>
      <c r="T278" s="352"/>
      <c r="U278" s="352"/>
      <c r="V278" s="352"/>
      <c r="W278" s="352"/>
      <c r="X278" s="352"/>
      <c r="Y278" s="352"/>
      <c r="Z278" s="352"/>
      <c r="AA278" s="352"/>
      <c r="AB278" s="352"/>
      <c r="AC278" s="352"/>
      <c r="AD278" s="352"/>
      <c r="AE278" s="352"/>
    </row>
    <row r="279">
      <c r="A279" s="352"/>
      <c r="B279" s="352"/>
      <c r="C279" s="352"/>
      <c r="D279" s="352"/>
      <c r="E279" s="352"/>
      <c r="F279" s="352"/>
      <c r="G279" s="352"/>
      <c r="H279" s="352"/>
      <c r="I279" s="352"/>
      <c r="J279" s="352"/>
      <c r="K279" s="352"/>
      <c r="L279" s="352"/>
      <c r="M279" s="352"/>
      <c r="N279" s="352"/>
      <c r="O279" s="352"/>
      <c r="P279" s="352"/>
      <c r="Q279" s="352"/>
      <c r="R279" s="352"/>
      <c r="S279" s="352"/>
      <c r="T279" s="352"/>
      <c r="U279" s="352"/>
      <c r="V279" s="352"/>
      <c r="W279" s="352"/>
      <c r="X279" s="352"/>
      <c r="Y279" s="352"/>
      <c r="Z279" s="352"/>
      <c r="AA279" s="352"/>
      <c r="AB279" s="352"/>
      <c r="AC279" s="352"/>
      <c r="AD279" s="352"/>
      <c r="AE279" s="352"/>
    </row>
    <row r="280">
      <c r="A280" s="352"/>
      <c r="B280" s="352"/>
      <c r="C280" s="352"/>
      <c r="D280" s="352"/>
      <c r="E280" s="352"/>
      <c r="F280" s="352"/>
      <c r="G280" s="352"/>
      <c r="H280" s="352"/>
      <c r="I280" s="352"/>
      <c r="J280" s="352"/>
      <c r="K280" s="352"/>
      <c r="L280" s="352"/>
      <c r="M280" s="352"/>
      <c r="N280" s="352"/>
      <c r="O280" s="352"/>
      <c r="P280" s="352"/>
      <c r="Q280" s="352"/>
      <c r="R280" s="352"/>
      <c r="S280" s="352"/>
      <c r="T280" s="352"/>
      <c r="U280" s="352"/>
      <c r="V280" s="352"/>
      <c r="W280" s="352"/>
      <c r="X280" s="352"/>
      <c r="Y280" s="352"/>
      <c r="Z280" s="352"/>
      <c r="AA280" s="352"/>
      <c r="AB280" s="352"/>
      <c r="AC280" s="352"/>
      <c r="AD280" s="352"/>
      <c r="AE280" s="352"/>
    </row>
    <row r="281">
      <c r="A281" s="352"/>
      <c r="B281" s="352"/>
      <c r="C281" s="352"/>
      <c r="D281" s="352"/>
      <c r="E281" s="352"/>
      <c r="F281" s="352"/>
      <c r="G281" s="352"/>
      <c r="H281" s="352"/>
      <c r="I281" s="352"/>
      <c r="J281" s="352"/>
      <c r="K281" s="352"/>
      <c r="L281" s="352"/>
      <c r="M281" s="352"/>
      <c r="N281" s="352"/>
      <c r="O281" s="352"/>
      <c r="P281" s="352"/>
      <c r="Q281" s="352"/>
      <c r="R281" s="352"/>
      <c r="S281" s="352"/>
      <c r="T281" s="352"/>
      <c r="U281" s="352"/>
      <c r="V281" s="352"/>
      <c r="W281" s="352"/>
      <c r="X281" s="352"/>
      <c r="Y281" s="352"/>
      <c r="Z281" s="352"/>
      <c r="AA281" s="352"/>
      <c r="AB281" s="352"/>
      <c r="AC281" s="352"/>
      <c r="AD281" s="352"/>
      <c r="AE281" s="352"/>
    </row>
    <row r="282">
      <c r="A282" s="352"/>
      <c r="B282" s="352"/>
      <c r="C282" s="352"/>
      <c r="D282" s="352"/>
      <c r="E282" s="352"/>
      <c r="F282" s="352"/>
      <c r="G282" s="352"/>
      <c r="H282" s="352"/>
      <c r="I282" s="352"/>
      <c r="J282" s="352"/>
      <c r="K282" s="352"/>
      <c r="L282" s="352"/>
      <c r="M282" s="352"/>
      <c r="N282" s="352"/>
      <c r="O282" s="352"/>
      <c r="P282" s="352"/>
      <c r="Q282" s="352"/>
      <c r="R282" s="352"/>
      <c r="S282" s="352"/>
      <c r="T282" s="352"/>
      <c r="U282" s="352"/>
      <c r="V282" s="352"/>
      <c r="W282" s="352"/>
      <c r="X282" s="352"/>
      <c r="Y282" s="352"/>
      <c r="Z282" s="352"/>
      <c r="AA282" s="352"/>
      <c r="AB282" s="352"/>
      <c r="AC282" s="352"/>
      <c r="AD282" s="352"/>
      <c r="AE282" s="352"/>
    </row>
    <row r="283">
      <c r="A283" s="352"/>
      <c r="B283" s="352"/>
      <c r="C283" s="352"/>
      <c r="D283" s="352"/>
      <c r="E283" s="352"/>
      <c r="F283" s="352"/>
      <c r="G283" s="352"/>
      <c r="H283" s="352"/>
      <c r="I283" s="352"/>
      <c r="J283" s="352"/>
      <c r="K283" s="352"/>
      <c r="L283" s="352"/>
      <c r="M283" s="352"/>
      <c r="N283" s="352"/>
      <c r="O283" s="352"/>
      <c r="P283" s="352"/>
      <c r="Q283" s="352"/>
      <c r="R283" s="352"/>
      <c r="S283" s="352"/>
      <c r="T283" s="352"/>
      <c r="U283" s="352"/>
      <c r="V283" s="352"/>
      <c r="W283" s="352"/>
      <c r="X283" s="352"/>
      <c r="Y283" s="352"/>
      <c r="Z283" s="352"/>
      <c r="AA283" s="352"/>
      <c r="AB283" s="352"/>
      <c r="AC283" s="352"/>
      <c r="AD283" s="352"/>
      <c r="AE283" s="352"/>
    </row>
    <row r="284">
      <c r="A284" s="352"/>
      <c r="B284" s="352"/>
      <c r="C284" s="352"/>
      <c r="D284" s="352"/>
      <c r="E284" s="352"/>
      <c r="F284" s="352"/>
      <c r="G284" s="352"/>
      <c r="H284" s="352"/>
      <c r="I284" s="352"/>
      <c r="J284" s="352"/>
      <c r="K284" s="352"/>
      <c r="L284" s="352"/>
      <c r="M284" s="352"/>
      <c r="N284" s="352"/>
      <c r="O284" s="352"/>
      <c r="P284" s="352"/>
      <c r="Q284" s="352"/>
      <c r="R284" s="352"/>
      <c r="S284" s="352"/>
      <c r="T284" s="352"/>
      <c r="U284" s="352"/>
      <c r="V284" s="352"/>
      <c r="W284" s="352"/>
      <c r="X284" s="352"/>
      <c r="Y284" s="352"/>
      <c r="Z284" s="352"/>
      <c r="AA284" s="352"/>
      <c r="AB284" s="352"/>
      <c r="AC284" s="352"/>
      <c r="AD284" s="352"/>
      <c r="AE284" s="352"/>
    </row>
    <row r="285">
      <c r="A285" s="352"/>
      <c r="B285" s="352"/>
      <c r="C285" s="352"/>
      <c r="D285" s="352"/>
      <c r="E285" s="352"/>
      <c r="F285" s="352"/>
      <c r="G285" s="352"/>
      <c r="H285" s="352"/>
      <c r="I285" s="352"/>
      <c r="J285" s="352"/>
      <c r="K285" s="352"/>
      <c r="L285" s="352"/>
      <c r="M285" s="352"/>
      <c r="N285" s="352"/>
      <c r="O285" s="352"/>
      <c r="P285" s="352"/>
      <c r="Q285" s="352"/>
      <c r="R285" s="352"/>
      <c r="S285" s="352"/>
      <c r="T285" s="352"/>
      <c r="U285" s="352"/>
      <c r="V285" s="352"/>
      <c r="W285" s="352"/>
      <c r="X285" s="352"/>
      <c r="Y285" s="352"/>
      <c r="Z285" s="352"/>
      <c r="AA285" s="352"/>
      <c r="AB285" s="352"/>
      <c r="AC285" s="352"/>
      <c r="AD285" s="352"/>
      <c r="AE285" s="352"/>
    </row>
    <row r="286">
      <c r="A286" s="352"/>
      <c r="B286" s="352"/>
      <c r="C286" s="352"/>
      <c r="D286" s="352"/>
      <c r="E286" s="352"/>
      <c r="F286" s="352"/>
      <c r="G286" s="352"/>
      <c r="H286" s="352"/>
      <c r="I286" s="352"/>
      <c r="J286" s="352"/>
      <c r="K286" s="352"/>
      <c r="L286" s="352"/>
      <c r="M286" s="352"/>
      <c r="N286" s="352"/>
      <c r="O286" s="352"/>
      <c r="P286" s="352"/>
      <c r="Q286" s="352"/>
      <c r="R286" s="352"/>
      <c r="S286" s="352"/>
      <c r="T286" s="352"/>
      <c r="U286" s="352"/>
      <c r="V286" s="352"/>
      <c r="W286" s="352"/>
      <c r="X286" s="352"/>
      <c r="Y286" s="352"/>
      <c r="Z286" s="352"/>
      <c r="AA286" s="352"/>
      <c r="AB286" s="352"/>
      <c r="AC286" s="352"/>
      <c r="AD286" s="352"/>
      <c r="AE286" s="352"/>
    </row>
    <row r="287">
      <c r="A287" s="352"/>
      <c r="B287" s="352"/>
      <c r="C287" s="352"/>
      <c r="D287" s="352"/>
      <c r="E287" s="352"/>
      <c r="F287" s="352"/>
      <c r="G287" s="352"/>
      <c r="H287" s="352"/>
      <c r="I287" s="352"/>
      <c r="J287" s="352"/>
      <c r="K287" s="352"/>
      <c r="L287" s="352"/>
      <c r="M287" s="352"/>
      <c r="N287" s="352"/>
      <c r="O287" s="352"/>
      <c r="P287" s="352"/>
      <c r="Q287" s="352"/>
      <c r="R287" s="352"/>
      <c r="S287" s="352"/>
      <c r="T287" s="352"/>
      <c r="U287" s="352"/>
      <c r="V287" s="352"/>
      <c r="W287" s="352"/>
      <c r="X287" s="352"/>
      <c r="Y287" s="352"/>
      <c r="Z287" s="352"/>
      <c r="AA287" s="352"/>
      <c r="AB287" s="352"/>
      <c r="AC287" s="352"/>
      <c r="AD287" s="352"/>
      <c r="AE287" s="352"/>
    </row>
    <row r="288">
      <c r="A288" s="352"/>
      <c r="B288" s="352"/>
      <c r="C288" s="352"/>
      <c r="D288" s="352"/>
      <c r="E288" s="352"/>
      <c r="F288" s="352"/>
      <c r="G288" s="352"/>
      <c r="H288" s="352"/>
      <c r="I288" s="352"/>
      <c r="J288" s="352"/>
      <c r="K288" s="352"/>
      <c r="L288" s="352"/>
      <c r="M288" s="352"/>
      <c r="N288" s="352"/>
      <c r="O288" s="352"/>
      <c r="P288" s="352"/>
      <c r="Q288" s="352"/>
      <c r="R288" s="352"/>
      <c r="S288" s="352"/>
      <c r="T288" s="352"/>
      <c r="U288" s="352"/>
      <c r="V288" s="352"/>
      <c r="W288" s="352"/>
      <c r="X288" s="352"/>
      <c r="Y288" s="352"/>
      <c r="Z288" s="352"/>
      <c r="AA288" s="352"/>
      <c r="AB288" s="352"/>
      <c r="AC288" s="352"/>
      <c r="AD288" s="352"/>
      <c r="AE288" s="352"/>
    </row>
    <row r="289">
      <c r="A289" s="352"/>
      <c r="B289" s="352"/>
      <c r="C289" s="352"/>
      <c r="D289" s="352"/>
      <c r="E289" s="352"/>
      <c r="F289" s="352"/>
      <c r="G289" s="352"/>
      <c r="H289" s="352"/>
      <c r="I289" s="352"/>
      <c r="J289" s="352"/>
      <c r="K289" s="352"/>
      <c r="L289" s="352"/>
      <c r="M289" s="352"/>
      <c r="N289" s="352"/>
      <c r="O289" s="352"/>
      <c r="P289" s="352"/>
      <c r="Q289" s="352"/>
      <c r="R289" s="352"/>
      <c r="S289" s="352"/>
      <c r="T289" s="352"/>
      <c r="U289" s="352"/>
      <c r="V289" s="352"/>
      <c r="W289" s="352"/>
      <c r="X289" s="352"/>
      <c r="Y289" s="352"/>
      <c r="Z289" s="352"/>
      <c r="AA289" s="352"/>
      <c r="AB289" s="352"/>
      <c r="AC289" s="352"/>
      <c r="AD289" s="352"/>
      <c r="AE289" s="352"/>
    </row>
    <row r="290">
      <c r="A290" s="352"/>
      <c r="B290" s="352"/>
      <c r="C290" s="352"/>
      <c r="D290" s="352"/>
      <c r="E290" s="352"/>
      <c r="F290" s="352"/>
      <c r="G290" s="352"/>
      <c r="H290" s="352"/>
      <c r="I290" s="352"/>
      <c r="J290" s="352"/>
      <c r="K290" s="352"/>
      <c r="L290" s="352"/>
      <c r="M290" s="352"/>
      <c r="N290" s="352"/>
      <c r="O290" s="352"/>
      <c r="P290" s="352"/>
      <c r="Q290" s="352"/>
      <c r="R290" s="352"/>
      <c r="S290" s="352"/>
      <c r="T290" s="352"/>
      <c r="U290" s="352"/>
      <c r="V290" s="352"/>
      <c r="W290" s="352"/>
      <c r="X290" s="352"/>
      <c r="Y290" s="352"/>
      <c r="Z290" s="352"/>
      <c r="AA290" s="352"/>
      <c r="AB290" s="352"/>
      <c r="AC290" s="352"/>
      <c r="AD290" s="352"/>
      <c r="AE290" s="352"/>
    </row>
    <row r="291">
      <c r="A291" s="352"/>
      <c r="B291" s="352"/>
      <c r="C291" s="352"/>
      <c r="D291" s="352"/>
      <c r="E291" s="352"/>
      <c r="F291" s="352"/>
      <c r="G291" s="352"/>
      <c r="H291" s="352"/>
      <c r="I291" s="352"/>
      <c r="J291" s="352"/>
      <c r="K291" s="352"/>
      <c r="L291" s="352"/>
      <c r="M291" s="352"/>
      <c r="N291" s="352"/>
      <c r="O291" s="352"/>
      <c r="P291" s="352"/>
      <c r="Q291" s="352"/>
      <c r="R291" s="352"/>
      <c r="S291" s="352"/>
      <c r="T291" s="352"/>
      <c r="U291" s="352"/>
      <c r="V291" s="352"/>
      <c r="W291" s="352"/>
      <c r="X291" s="352"/>
      <c r="Y291" s="352"/>
      <c r="Z291" s="352"/>
      <c r="AA291" s="352"/>
      <c r="AB291" s="352"/>
      <c r="AC291" s="352"/>
      <c r="AD291" s="352"/>
      <c r="AE291" s="352"/>
    </row>
    <row r="292">
      <c r="A292" s="352"/>
      <c r="B292" s="352"/>
      <c r="C292" s="352"/>
      <c r="D292" s="352"/>
      <c r="E292" s="352"/>
      <c r="F292" s="352"/>
      <c r="G292" s="352"/>
      <c r="H292" s="352"/>
      <c r="I292" s="352"/>
      <c r="J292" s="352"/>
      <c r="K292" s="352"/>
      <c r="L292" s="352"/>
      <c r="M292" s="352"/>
      <c r="N292" s="352"/>
      <c r="O292" s="352"/>
      <c r="P292" s="352"/>
      <c r="Q292" s="352"/>
      <c r="R292" s="352"/>
      <c r="S292" s="352"/>
      <c r="T292" s="352"/>
      <c r="U292" s="352"/>
      <c r="V292" s="352"/>
      <c r="W292" s="352"/>
      <c r="X292" s="352"/>
      <c r="Y292" s="352"/>
      <c r="Z292" s="352"/>
      <c r="AA292" s="352"/>
      <c r="AB292" s="352"/>
      <c r="AC292" s="352"/>
      <c r="AD292" s="352"/>
      <c r="AE292" s="352"/>
    </row>
    <row r="293">
      <c r="A293" s="352"/>
      <c r="B293" s="352"/>
      <c r="C293" s="352"/>
      <c r="D293" s="352"/>
      <c r="E293" s="352"/>
      <c r="F293" s="352"/>
      <c r="G293" s="352"/>
      <c r="H293" s="352"/>
      <c r="I293" s="352"/>
      <c r="J293" s="352"/>
      <c r="K293" s="352"/>
      <c r="L293" s="352"/>
      <c r="M293" s="352"/>
      <c r="N293" s="352"/>
      <c r="O293" s="352"/>
      <c r="P293" s="352"/>
      <c r="Q293" s="352"/>
      <c r="R293" s="352"/>
      <c r="S293" s="352"/>
      <c r="T293" s="352"/>
      <c r="U293" s="352"/>
      <c r="V293" s="352"/>
      <c r="W293" s="352"/>
      <c r="X293" s="352"/>
      <c r="Y293" s="352"/>
      <c r="Z293" s="352"/>
      <c r="AA293" s="352"/>
      <c r="AB293" s="352"/>
      <c r="AC293" s="352"/>
      <c r="AD293" s="352"/>
      <c r="AE293" s="352"/>
    </row>
    <row r="294">
      <c r="A294" s="352"/>
      <c r="B294" s="352"/>
      <c r="C294" s="352"/>
      <c r="D294" s="352"/>
      <c r="E294" s="352"/>
      <c r="F294" s="352"/>
      <c r="G294" s="352"/>
      <c r="H294" s="352"/>
      <c r="I294" s="352"/>
      <c r="J294" s="352"/>
      <c r="K294" s="352"/>
      <c r="L294" s="352"/>
      <c r="M294" s="352"/>
      <c r="N294" s="352"/>
      <c r="O294" s="352"/>
      <c r="P294" s="352"/>
      <c r="Q294" s="352"/>
      <c r="R294" s="352"/>
      <c r="S294" s="352"/>
      <c r="T294" s="352"/>
      <c r="U294" s="352"/>
      <c r="V294" s="352"/>
      <c r="W294" s="352"/>
      <c r="X294" s="352"/>
      <c r="Y294" s="352"/>
      <c r="Z294" s="352"/>
      <c r="AA294" s="352"/>
      <c r="AB294" s="352"/>
      <c r="AC294" s="352"/>
      <c r="AD294" s="352"/>
      <c r="AE294" s="352"/>
    </row>
    <row r="295">
      <c r="A295" s="352"/>
      <c r="B295" s="352"/>
      <c r="C295" s="352"/>
      <c r="D295" s="352"/>
      <c r="E295" s="352"/>
      <c r="F295" s="352"/>
      <c r="G295" s="352"/>
      <c r="H295" s="352"/>
      <c r="I295" s="352"/>
      <c r="J295" s="352"/>
      <c r="K295" s="352"/>
      <c r="L295" s="352"/>
      <c r="M295" s="352"/>
      <c r="N295" s="352"/>
      <c r="O295" s="352"/>
      <c r="P295" s="352"/>
      <c r="Q295" s="352"/>
      <c r="R295" s="352"/>
      <c r="S295" s="352"/>
      <c r="T295" s="352"/>
      <c r="U295" s="352"/>
      <c r="V295" s="352"/>
      <c r="W295" s="352"/>
      <c r="X295" s="352"/>
      <c r="Y295" s="352"/>
      <c r="Z295" s="352"/>
      <c r="AA295" s="352"/>
      <c r="AB295" s="352"/>
      <c r="AC295" s="352"/>
      <c r="AD295" s="352"/>
      <c r="AE295" s="352"/>
    </row>
    <row r="296">
      <c r="A296" s="352"/>
      <c r="B296" s="352"/>
      <c r="C296" s="352"/>
      <c r="D296" s="352"/>
      <c r="E296" s="352"/>
      <c r="F296" s="352"/>
      <c r="G296" s="352"/>
      <c r="H296" s="352"/>
      <c r="I296" s="352"/>
      <c r="J296" s="352"/>
      <c r="K296" s="352"/>
      <c r="L296" s="352"/>
      <c r="M296" s="352"/>
      <c r="N296" s="352"/>
      <c r="O296" s="352"/>
      <c r="P296" s="352"/>
      <c r="Q296" s="352"/>
      <c r="R296" s="352"/>
      <c r="S296" s="352"/>
      <c r="T296" s="352"/>
      <c r="U296" s="352"/>
      <c r="V296" s="352"/>
      <c r="W296" s="352"/>
      <c r="X296" s="352"/>
      <c r="Y296" s="352"/>
      <c r="Z296" s="352"/>
      <c r="AA296" s="352"/>
      <c r="AB296" s="352"/>
      <c r="AC296" s="352"/>
      <c r="AD296" s="352"/>
      <c r="AE296" s="352"/>
    </row>
    <row r="297">
      <c r="A297" s="352"/>
      <c r="B297" s="352"/>
      <c r="C297" s="352"/>
      <c r="D297" s="352"/>
      <c r="E297" s="352"/>
      <c r="F297" s="352"/>
      <c r="G297" s="352"/>
      <c r="H297" s="352"/>
      <c r="I297" s="352"/>
      <c r="J297" s="352"/>
      <c r="K297" s="352"/>
      <c r="L297" s="352"/>
      <c r="M297" s="352"/>
      <c r="N297" s="352"/>
      <c r="O297" s="352"/>
      <c r="P297" s="352"/>
      <c r="Q297" s="352"/>
      <c r="R297" s="352"/>
      <c r="S297" s="352"/>
      <c r="T297" s="352"/>
      <c r="U297" s="352"/>
      <c r="V297" s="352"/>
      <c r="W297" s="352"/>
      <c r="X297" s="352"/>
      <c r="Y297" s="352"/>
      <c r="Z297" s="352"/>
      <c r="AA297" s="352"/>
      <c r="AB297" s="352"/>
      <c r="AC297" s="352"/>
      <c r="AD297" s="352"/>
      <c r="AE297" s="352"/>
    </row>
    <row r="298">
      <c r="A298" s="352"/>
      <c r="B298" s="352"/>
      <c r="C298" s="352"/>
      <c r="D298" s="352"/>
      <c r="E298" s="352"/>
      <c r="F298" s="352"/>
      <c r="G298" s="352"/>
      <c r="H298" s="352"/>
      <c r="I298" s="352"/>
      <c r="J298" s="352"/>
      <c r="K298" s="352"/>
      <c r="L298" s="352"/>
      <c r="M298" s="352"/>
      <c r="N298" s="352"/>
      <c r="O298" s="352"/>
      <c r="P298" s="352"/>
      <c r="Q298" s="352"/>
      <c r="R298" s="352"/>
      <c r="S298" s="352"/>
      <c r="T298" s="352"/>
      <c r="U298" s="352"/>
      <c r="V298" s="352"/>
      <c r="W298" s="352"/>
      <c r="X298" s="352"/>
      <c r="Y298" s="352"/>
      <c r="Z298" s="352"/>
      <c r="AA298" s="352"/>
      <c r="AB298" s="352"/>
      <c r="AC298" s="352"/>
      <c r="AD298" s="352"/>
      <c r="AE298" s="352"/>
    </row>
    <row r="299">
      <c r="A299" s="352"/>
      <c r="B299" s="352"/>
      <c r="C299" s="352"/>
      <c r="D299" s="352"/>
      <c r="E299" s="352"/>
      <c r="F299" s="352"/>
      <c r="G299" s="352"/>
      <c r="H299" s="352"/>
      <c r="I299" s="352"/>
      <c r="J299" s="352"/>
      <c r="K299" s="352"/>
      <c r="L299" s="352"/>
      <c r="M299" s="352"/>
      <c r="N299" s="352"/>
      <c r="O299" s="352"/>
      <c r="P299" s="352"/>
      <c r="Q299" s="352"/>
      <c r="R299" s="352"/>
      <c r="S299" s="352"/>
      <c r="T299" s="352"/>
      <c r="U299" s="352"/>
      <c r="V299" s="352"/>
      <c r="W299" s="352"/>
      <c r="X299" s="352"/>
      <c r="Y299" s="352"/>
      <c r="Z299" s="352"/>
      <c r="AA299" s="352"/>
      <c r="AB299" s="352"/>
      <c r="AC299" s="352"/>
      <c r="AD299" s="352"/>
      <c r="AE299" s="352"/>
    </row>
    <row r="300">
      <c r="A300" s="352"/>
      <c r="B300" s="352"/>
      <c r="C300" s="352"/>
      <c r="D300" s="352"/>
      <c r="E300" s="352"/>
      <c r="F300" s="352"/>
      <c r="G300" s="352"/>
      <c r="H300" s="352"/>
      <c r="I300" s="352"/>
      <c r="J300" s="352"/>
      <c r="K300" s="352"/>
      <c r="L300" s="352"/>
      <c r="M300" s="352"/>
      <c r="N300" s="352"/>
      <c r="O300" s="352"/>
      <c r="P300" s="352"/>
      <c r="Q300" s="352"/>
      <c r="R300" s="352"/>
      <c r="S300" s="352"/>
      <c r="T300" s="352"/>
      <c r="U300" s="352"/>
      <c r="V300" s="352"/>
      <c r="W300" s="352"/>
      <c r="X300" s="352"/>
      <c r="Y300" s="352"/>
      <c r="Z300" s="352"/>
      <c r="AA300" s="352"/>
      <c r="AB300" s="352"/>
      <c r="AC300" s="352"/>
      <c r="AD300" s="352"/>
      <c r="AE300" s="352"/>
    </row>
    <row r="301">
      <c r="A301" s="352"/>
      <c r="B301" s="352"/>
      <c r="C301" s="352"/>
      <c r="D301" s="352"/>
      <c r="E301" s="352"/>
      <c r="F301" s="352"/>
      <c r="G301" s="352"/>
      <c r="H301" s="352"/>
      <c r="I301" s="352"/>
      <c r="J301" s="352"/>
      <c r="K301" s="352"/>
      <c r="L301" s="352"/>
      <c r="M301" s="352"/>
      <c r="N301" s="352"/>
      <c r="O301" s="352"/>
      <c r="P301" s="352"/>
      <c r="Q301" s="352"/>
      <c r="R301" s="352"/>
      <c r="S301" s="352"/>
      <c r="T301" s="352"/>
      <c r="U301" s="352"/>
      <c r="V301" s="352"/>
      <c r="W301" s="352"/>
      <c r="X301" s="352"/>
      <c r="Y301" s="352"/>
      <c r="Z301" s="352"/>
      <c r="AA301" s="352"/>
      <c r="AB301" s="352"/>
      <c r="AC301" s="352"/>
      <c r="AD301" s="352"/>
      <c r="AE301" s="352"/>
    </row>
    <row r="302">
      <c r="A302" s="352"/>
      <c r="B302" s="352"/>
      <c r="C302" s="352"/>
      <c r="D302" s="352"/>
      <c r="E302" s="352"/>
      <c r="F302" s="352"/>
      <c r="G302" s="352"/>
      <c r="H302" s="352"/>
      <c r="I302" s="352"/>
      <c r="J302" s="352"/>
      <c r="K302" s="352"/>
      <c r="L302" s="352"/>
      <c r="M302" s="352"/>
      <c r="N302" s="352"/>
      <c r="O302" s="352"/>
      <c r="P302" s="352"/>
      <c r="Q302" s="352"/>
      <c r="R302" s="352"/>
      <c r="S302" s="352"/>
      <c r="T302" s="352"/>
      <c r="U302" s="352"/>
      <c r="V302" s="352"/>
      <c r="W302" s="352"/>
      <c r="X302" s="352"/>
      <c r="Y302" s="352"/>
      <c r="Z302" s="352"/>
      <c r="AA302" s="352"/>
      <c r="AB302" s="352"/>
      <c r="AC302" s="352"/>
      <c r="AD302" s="352"/>
      <c r="AE302" s="352"/>
    </row>
    <row r="303">
      <c r="A303" s="352"/>
      <c r="B303" s="352"/>
      <c r="C303" s="352"/>
      <c r="D303" s="352"/>
      <c r="E303" s="352"/>
      <c r="F303" s="352"/>
      <c r="G303" s="352"/>
      <c r="H303" s="352"/>
      <c r="I303" s="352"/>
      <c r="J303" s="352"/>
      <c r="K303" s="352"/>
      <c r="L303" s="352"/>
      <c r="M303" s="352"/>
      <c r="N303" s="352"/>
      <c r="O303" s="352"/>
      <c r="P303" s="352"/>
      <c r="Q303" s="352"/>
      <c r="R303" s="352"/>
      <c r="S303" s="352"/>
      <c r="T303" s="352"/>
      <c r="U303" s="352"/>
      <c r="V303" s="352"/>
      <c r="W303" s="352"/>
      <c r="X303" s="352"/>
      <c r="Y303" s="352"/>
      <c r="Z303" s="352"/>
      <c r="AA303" s="352"/>
      <c r="AB303" s="352"/>
      <c r="AC303" s="352"/>
      <c r="AD303" s="352"/>
      <c r="AE303" s="352"/>
    </row>
    <row r="304">
      <c r="A304" s="352"/>
      <c r="B304" s="352"/>
      <c r="C304" s="352"/>
      <c r="D304" s="352"/>
      <c r="E304" s="352"/>
      <c r="F304" s="352"/>
      <c r="G304" s="352"/>
      <c r="H304" s="352"/>
      <c r="I304" s="352"/>
      <c r="J304" s="352"/>
      <c r="K304" s="352"/>
      <c r="L304" s="352"/>
      <c r="M304" s="352"/>
      <c r="N304" s="352"/>
      <c r="O304" s="352"/>
      <c r="P304" s="352"/>
      <c r="Q304" s="352"/>
      <c r="R304" s="352"/>
      <c r="S304" s="352"/>
      <c r="T304" s="352"/>
      <c r="U304" s="352"/>
      <c r="V304" s="352"/>
      <c r="W304" s="352"/>
      <c r="X304" s="352"/>
      <c r="Y304" s="352"/>
      <c r="Z304" s="352"/>
      <c r="AA304" s="352"/>
      <c r="AB304" s="352"/>
      <c r="AC304" s="352"/>
      <c r="AD304" s="352"/>
      <c r="AE304" s="352"/>
    </row>
    <row r="305">
      <c r="A305" s="352"/>
      <c r="B305" s="352"/>
      <c r="C305" s="352"/>
      <c r="D305" s="352"/>
      <c r="E305" s="352"/>
      <c r="F305" s="352"/>
      <c r="G305" s="352"/>
      <c r="H305" s="352"/>
      <c r="I305" s="352"/>
      <c r="J305" s="352"/>
      <c r="K305" s="352"/>
      <c r="L305" s="352"/>
      <c r="M305" s="352"/>
      <c r="N305" s="352"/>
      <c r="O305" s="352"/>
      <c r="P305" s="352"/>
      <c r="Q305" s="352"/>
      <c r="R305" s="352"/>
      <c r="S305" s="352"/>
      <c r="T305" s="352"/>
      <c r="U305" s="352"/>
      <c r="V305" s="352"/>
      <c r="W305" s="352"/>
      <c r="X305" s="352"/>
      <c r="Y305" s="352"/>
      <c r="Z305" s="352"/>
      <c r="AA305" s="352"/>
      <c r="AB305" s="352"/>
      <c r="AC305" s="352"/>
      <c r="AD305" s="352"/>
      <c r="AE305" s="352"/>
    </row>
    <row r="306">
      <c r="A306" s="352"/>
      <c r="B306" s="352"/>
      <c r="C306" s="352"/>
      <c r="D306" s="352"/>
      <c r="E306" s="352"/>
      <c r="F306" s="352"/>
      <c r="G306" s="352"/>
      <c r="H306" s="352"/>
      <c r="I306" s="352"/>
      <c r="J306" s="352"/>
      <c r="K306" s="352"/>
      <c r="L306" s="352"/>
      <c r="M306" s="352"/>
      <c r="N306" s="352"/>
      <c r="O306" s="352"/>
      <c r="P306" s="352"/>
      <c r="Q306" s="352"/>
      <c r="R306" s="352"/>
      <c r="S306" s="352"/>
      <c r="T306" s="352"/>
      <c r="U306" s="352"/>
      <c r="V306" s="352"/>
      <c r="W306" s="352"/>
      <c r="X306" s="352"/>
      <c r="Y306" s="352"/>
      <c r="Z306" s="352"/>
      <c r="AA306" s="352"/>
      <c r="AB306" s="352"/>
      <c r="AC306" s="352"/>
      <c r="AD306" s="352"/>
      <c r="AE306" s="352"/>
    </row>
    <row r="307">
      <c r="A307" s="352"/>
      <c r="B307" s="352"/>
      <c r="C307" s="352"/>
      <c r="D307" s="352"/>
      <c r="E307" s="352"/>
      <c r="F307" s="352"/>
      <c r="G307" s="352"/>
      <c r="H307" s="352"/>
      <c r="I307" s="352"/>
      <c r="J307" s="352"/>
      <c r="K307" s="352"/>
      <c r="L307" s="352"/>
      <c r="M307" s="352"/>
      <c r="N307" s="352"/>
      <c r="O307" s="352"/>
      <c r="P307" s="352"/>
      <c r="Q307" s="352"/>
      <c r="R307" s="352"/>
      <c r="S307" s="352"/>
      <c r="T307" s="352"/>
      <c r="U307" s="352"/>
      <c r="V307" s="352"/>
      <c r="W307" s="352"/>
      <c r="X307" s="352"/>
      <c r="Y307" s="352"/>
      <c r="Z307" s="352"/>
      <c r="AA307" s="352"/>
      <c r="AB307" s="352"/>
      <c r="AC307" s="352"/>
      <c r="AD307" s="352"/>
      <c r="AE307" s="352"/>
    </row>
    <row r="308">
      <c r="A308" s="352"/>
      <c r="B308" s="352"/>
      <c r="C308" s="352"/>
      <c r="D308" s="352"/>
      <c r="E308" s="352"/>
      <c r="F308" s="352"/>
      <c r="G308" s="352"/>
      <c r="H308" s="352"/>
      <c r="I308" s="352"/>
      <c r="J308" s="352"/>
      <c r="K308" s="352"/>
      <c r="L308" s="352"/>
      <c r="M308" s="352"/>
      <c r="N308" s="352"/>
      <c r="O308" s="352"/>
      <c r="P308" s="352"/>
      <c r="Q308" s="352"/>
      <c r="R308" s="352"/>
      <c r="S308" s="352"/>
      <c r="T308" s="352"/>
      <c r="U308" s="352"/>
      <c r="V308" s="352"/>
      <c r="W308" s="352"/>
      <c r="X308" s="352"/>
      <c r="Y308" s="352"/>
      <c r="Z308" s="352"/>
      <c r="AA308" s="352"/>
      <c r="AB308" s="352"/>
      <c r="AC308" s="352"/>
      <c r="AD308" s="352"/>
      <c r="AE308" s="352"/>
    </row>
    <row r="309">
      <c r="A309" s="352"/>
      <c r="B309" s="352"/>
      <c r="C309" s="352"/>
      <c r="D309" s="352"/>
      <c r="E309" s="352"/>
      <c r="F309" s="352"/>
      <c r="G309" s="352"/>
      <c r="H309" s="352"/>
      <c r="I309" s="352"/>
      <c r="J309" s="352"/>
      <c r="K309" s="352"/>
      <c r="L309" s="352"/>
      <c r="M309" s="352"/>
      <c r="N309" s="352"/>
      <c r="O309" s="352"/>
      <c r="P309" s="352"/>
      <c r="Q309" s="352"/>
      <c r="R309" s="352"/>
      <c r="S309" s="352"/>
      <c r="T309" s="352"/>
      <c r="U309" s="352"/>
      <c r="V309" s="352"/>
      <c r="W309" s="352"/>
      <c r="X309" s="352"/>
      <c r="Y309" s="352"/>
      <c r="Z309" s="352"/>
      <c r="AA309" s="352"/>
      <c r="AB309" s="352"/>
      <c r="AC309" s="352"/>
      <c r="AD309" s="352"/>
      <c r="AE309" s="352"/>
    </row>
    <row r="310">
      <c r="A310" s="352"/>
      <c r="B310" s="352"/>
      <c r="C310" s="352"/>
      <c r="D310" s="352"/>
      <c r="E310" s="352"/>
      <c r="F310" s="352"/>
      <c r="G310" s="352"/>
      <c r="H310" s="352"/>
      <c r="I310" s="352"/>
      <c r="J310" s="352"/>
      <c r="K310" s="352"/>
      <c r="L310" s="352"/>
      <c r="M310" s="352"/>
      <c r="N310" s="352"/>
      <c r="O310" s="352"/>
      <c r="P310" s="352"/>
      <c r="Q310" s="352"/>
      <c r="R310" s="352"/>
      <c r="S310" s="352"/>
      <c r="T310" s="352"/>
      <c r="U310" s="352"/>
      <c r="V310" s="352"/>
      <c r="W310" s="352"/>
      <c r="X310" s="352"/>
      <c r="Y310" s="352"/>
      <c r="Z310" s="352"/>
      <c r="AA310" s="352"/>
      <c r="AB310" s="352"/>
      <c r="AC310" s="352"/>
      <c r="AD310" s="352"/>
      <c r="AE310" s="352"/>
    </row>
    <row r="311">
      <c r="A311" s="352"/>
      <c r="B311" s="352"/>
      <c r="C311" s="352"/>
      <c r="D311" s="352"/>
      <c r="E311" s="352"/>
      <c r="F311" s="352"/>
      <c r="G311" s="352"/>
      <c r="H311" s="352"/>
      <c r="I311" s="352"/>
      <c r="J311" s="352"/>
      <c r="K311" s="352"/>
      <c r="L311" s="352"/>
      <c r="M311" s="352"/>
      <c r="N311" s="352"/>
      <c r="O311" s="352"/>
      <c r="P311" s="352"/>
      <c r="Q311" s="352"/>
      <c r="R311" s="352"/>
      <c r="S311" s="352"/>
      <c r="T311" s="352"/>
      <c r="U311" s="352"/>
      <c r="V311" s="352"/>
      <c r="W311" s="352"/>
      <c r="X311" s="352"/>
      <c r="Y311" s="352"/>
      <c r="Z311" s="352"/>
      <c r="AA311" s="352"/>
      <c r="AB311" s="352"/>
      <c r="AC311" s="352"/>
      <c r="AD311" s="352"/>
      <c r="AE311" s="352"/>
    </row>
    <row r="312">
      <c r="A312" s="352"/>
      <c r="B312" s="352"/>
      <c r="C312" s="352"/>
      <c r="D312" s="352"/>
      <c r="E312" s="352"/>
      <c r="F312" s="352"/>
      <c r="G312" s="352"/>
      <c r="H312" s="352"/>
      <c r="I312" s="352"/>
      <c r="J312" s="352"/>
      <c r="K312" s="352"/>
      <c r="L312" s="352"/>
      <c r="M312" s="352"/>
      <c r="N312" s="352"/>
      <c r="O312" s="352"/>
      <c r="P312" s="352"/>
      <c r="Q312" s="352"/>
      <c r="R312" s="352"/>
      <c r="S312" s="352"/>
      <c r="T312" s="352"/>
      <c r="U312" s="352"/>
      <c r="V312" s="352"/>
      <c r="W312" s="352"/>
      <c r="X312" s="352"/>
      <c r="Y312" s="352"/>
      <c r="Z312" s="352"/>
      <c r="AA312" s="352"/>
      <c r="AB312" s="352"/>
      <c r="AC312" s="352"/>
      <c r="AD312" s="352"/>
      <c r="AE312" s="352"/>
    </row>
    <row r="313">
      <c r="A313" s="352"/>
      <c r="B313" s="352"/>
      <c r="C313" s="352"/>
      <c r="D313" s="352"/>
      <c r="E313" s="352"/>
      <c r="F313" s="352"/>
      <c r="G313" s="352"/>
      <c r="H313" s="352"/>
      <c r="I313" s="352"/>
      <c r="J313" s="352"/>
      <c r="K313" s="352"/>
      <c r="L313" s="352"/>
      <c r="M313" s="352"/>
      <c r="N313" s="352"/>
      <c r="O313" s="352"/>
      <c r="P313" s="352"/>
      <c r="Q313" s="352"/>
      <c r="R313" s="352"/>
      <c r="S313" s="352"/>
      <c r="T313" s="352"/>
      <c r="U313" s="352"/>
      <c r="V313" s="352"/>
      <c r="W313" s="352"/>
      <c r="X313" s="352"/>
      <c r="Y313" s="352"/>
      <c r="Z313" s="352"/>
      <c r="AA313" s="352"/>
      <c r="AB313" s="352"/>
      <c r="AC313" s="352"/>
      <c r="AD313" s="352"/>
      <c r="AE313" s="352"/>
    </row>
    <row r="314">
      <c r="A314" s="352"/>
      <c r="B314" s="352"/>
      <c r="C314" s="352"/>
      <c r="D314" s="352"/>
      <c r="E314" s="352"/>
      <c r="F314" s="352"/>
      <c r="G314" s="352"/>
      <c r="H314" s="352"/>
      <c r="I314" s="352"/>
      <c r="J314" s="352"/>
      <c r="K314" s="352"/>
      <c r="L314" s="352"/>
      <c r="M314" s="352"/>
      <c r="N314" s="352"/>
      <c r="O314" s="352"/>
      <c r="P314" s="352"/>
      <c r="Q314" s="352"/>
      <c r="R314" s="352"/>
      <c r="S314" s="352"/>
      <c r="T314" s="352"/>
      <c r="U314" s="352"/>
      <c r="V314" s="352"/>
      <c r="W314" s="352"/>
      <c r="X314" s="352"/>
      <c r="Y314" s="352"/>
      <c r="Z314" s="352"/>
      <c r="AA314" s="352"/>
      <c r="AB314" s="352"/>
      <c r="AC314" s="352"/>
      <c r="AD314" s="352"/>
      <c r="AE314" s="352"/>
    </row>
    <row r="315">
      <c r="A315" s="352"/>
      <c r="B315" s="352"/>
      <c r="C315" s="352"/>
      <c r="D315" s="352"/>
      <c r="E315" s="352"/>
      <c r="F315" s="352"/>
      <c r="G315" s="352"/>
      <c r="H315" s="352"/>
      <c r="I315" s="352"/>
      <c r="J315" s="352"/>
      <c r="K315" s="352"/>
      <c r="L315" s="352"/>
      <c r="M315" s="352"/>
      <c r="N315" s="352"/>
      <c r="O315" s="352"/>
      <c r="P315" s="352"/>
      <c r="Q315" s="352"/>
      <c r="R315" s="352"/>
      <c r="S315" s="352"/>
      <c r="T315" s="352"/>
      <c r="U315" s="352"/>
      <c r="V315" s="352"/>
      <c r="W315" s="352"/>
      <c r="X315" s="352"/>
      <c r="Y315" s="352"/>
      <c r="Z315" s="352"/>
      <c r="AA315" s="352"/>
      <c r="AB315" s="352"/>
      <c r="AC315" s="352"/>
      <c r="AD315" s="352"/>
      <c r="AE315" s="352"/>
    </row>
    <row r="316">
      <c r="A316" s="352"/>
      <c r="B316" s="352"/>
      <c r="C316" s="352"/>
      <c r="D316" s="352"/>
      <c r="E316" s="352"/>
      <c r="F316" s="352"/>
      <c r="G316" s="352"/>
      <c r="H316" s="352"/>
      <c r="I316" s="352"/>
      <c r="J316" s="352"/>
      <c r="K316" s="352"/>
      <c r="L316" s="352"/>
      <c r="M316" s="352"/>
      <c r="N316" s="352"/>
      <c r="O316" s="352"/>
      <c r="P316" s="352"/>
      <c r="Q316" s="352"/>
      <c r="R316" s="352"/>
      <c r="S316" s="352"/>
      <c r="T316" s="352"/>
      <c r="U316" s="352"/>
      <c r="V316" s="352"/>
      <c r="W316" s="352"/>
      <c r="X316" s="352"/>
      <c r="Y316" s="352"/>
      <c r="Z316" s="352"/>
      <c r="AA316" s="352"/>
      <c r="AB316" s="352"/>
      <c r="AC316" s="352"/>
      <c r="AD316" s="352"/>
      <c r="AE316" s="352"/>
    </row>
    <row r="317">
      <c r="A317" s="352"/>
      <c r="B317" s="352"/>
      <c r="C317" s="352"/>
      <c r="D317" s="352"/>
      <c r="E317" s="352"/>
      <c r="F317" s="352"/>
      <c r="G317" s="352"/>
      <c r="H317" s="352"/>
      <c r="I317" s="352"/>
      <c r="J317" s="352"/>
      <c r="K317" s="352"/>
      <c r="L317" s="352"/>
      <c r="M317" s="352"/>
      <c r="N317" s="352"/>
      <c r="O317" s="352"/>
      <c r="P317" s="352"/>
      <c r="Q317" s="352"/>
      <c r="R317" s="352"/>
      <c r="S317" s="352"/>
      <c r="T317" s="352"/>
      <c r="U317" s="352"/>
      <c r="V317" s="352"/>
      <c r="W317" s="352"/>
      <c r="X317" s="352"/>
      <c r="Y317" s="352"/>
      <c r="Z317" s="352"/>
      <c r="AA317" s="352"/>
      <c r="AB317" s="352"/>
      <c r="AC317" s="352"/>
      <c r="AD317" s="352"/>
      <c r="AE317" s="352"/>
    </row>
    <row r="318">
      <c r="A318" s="352"/>
      <c r="B318" s="352"/>
      <c r="C318" s="352"/>
      <c r="D318" s="352"/>
      <c r="E318" s="352"/>
      <c r="F318" s="352"/>
      <c r="G318" s="352"/>
      <c r="H318" s="352"/>
      <c r="I318" s="352"/>
      <c r="J318" s="352"/>
      <c r="K318" s="352"/>
      <c r="L318" s="352"/>
      <c r="M318" s="352"/>
      <c r="N318" s="352"/>
      <c r="O318" s="352"/>
      <c r="P318" s="352"/>
      <c r="Q318" s="352"/>
      <c r="R318" s="352"/>
      <c r="S318" s="352"/>
      <c r="T318" s="352"/>
      <c r="U318" s="352"/>
      <c r="V318" s="352"/>
      <c r="W318" s="352"/>
      <c r="X318" s="352"/>
      <c r="Y318" s="352"/>
      <c r="Z318" s="352"/>
      <c r="AA318" s="352"/>
      <c r="AB318" s="352"/>
      <c r="AC318" s="352"/>
      <c r="AD318" s="352"/>
      <c r="AE318" s="352"/>
    </row>
    <row r="319">
      <c r="A319" s="352"/>
      <c r="B319" s="352"/>
      <c r="C319" s="352"/>
      <c r="D319" s="352"/>
      <c r="E319" s="352"/>
      <c r="F319" s="352"/>
      <c r="G319" s="352"/>
      <c r="H319" s="352"/>
      <c r="I319" s="352"/>
      <c r="J319" s="352"/>
      <c r="K319" s="352"/>
      <c r="L319" s="352"/>
      <c r="M319" s="352"/>
      <c r="N319" s="352"/>
      <c r="O319" s="352"/>
      <c r="P319" s="352"/>
      <c r="Q319" s="352"/>
      <c r="R319" s="352"/>
      <c r="S319" s="352"/>
      <c r="T319" s="352"/>
      <c r="U319" s="352"/>
      <c r="V319" s="352"/>
      <c r="W319" s="352"/>
      <c r="X319" s="352"/>
      <c r="Y319" s="352"/>
      <c r="Z319" s="352"/>
      <c r="AA319" s="352"/>
      <c r="AB319" s="352"/>
      <c r="AC319" s="352"/>
      <c r="AD319" s="352"/>
      <c r="AE319" s="352"/>
    </row>
    <row r="320">
      <c r="A320" s="352"/>
      <c r="B320" s="352"/>
      <c r="C320" s="352"/>
      <c r="D320" s="352"/>
      <c r="E320" s="352"/>
      <c r="F320" s="352"/>
      <c r="G320" s="352"/>
      <c r="H320" s="352"/>
      <c r="I320" s="352"/>
      <c r="J320" s="352"/>
      <c r="K320" s="352"/>
      <c r="L320" s="352"/>
      <c r="M320" s="352"/>
      <c r="N320" s="352"/>
      <c r="O320" s="352"/>
      <c r="P320" s="352"/>
      <c r="Q320" s="352"/>
      <c r="R320" s="352"/>
      <c r="S320" s="352"/>
      <c r="T320" s="352"/>
      <c r="U320" s="352"/>
      <c r="V320" s="352"/>
      <c r="W320" s="352"/>
      <c r="X320" s="352"/>
      <c r="Y320" s="352"/>
      <c r="Z320" s="352"/>
      <c r="AA320" s="352"/>
      <c r="AB320" s="352"/>
      <c r="AC320" s="352"/>
      <c r="AD320" s="352"/>
      <c r="AE320" s="352"/>
    </row>
    <row r="321">
      <c r="A321" s="352"/>
      <c r="B321" s="352"/>
      <c r="C321" s="352"/>
      <c r="D321" s="352"/>
      <c r="E321" s="352"/>
      <c r="F321" s="352"/>
      <c r="G321" s="352"/>
      <c r="H321" s="352"/>
      <c r="I321" s="352"/>
      <c r="J321" s="352"/>
      <c r="K321" s="352"/>
      <c r="L321" s="352"/>
      <c r="M321" s="352"/>
      <c r="N321" s="352"/>
      <c r="O321" s="352"/>
      <c r="P321" s="352"/>
      <c r="Q321" s="352"/>
      <c r="R321" s="352"/>
      <c r="S321" s="352"/>
      <c r="T321" s="352"/>
      <c r="U321" s="352"/>
      <c r="V321" s="352"/>
      <c r="W321" s="352"/>
      <c r="X321" s="352"/>
      <c r="Y321" s="352"/>
      <c r="Z321" s="352"/>
      <c r="AA321" s="352"/>
      <c r="AB321" s="352"/>
      <c r="AC321" s="352"/>
      <c r="AD321" s="352"/>
      <c r="AE321" s="352"/>
    </row>
    <row r="322">
      <c r="A322" s="352"/>
      <c r="B322" s="352"/>
      <c r="C322" s="352"/>
      <c r="D322" s="352"/>
      <c r="E322" s="352"/>
      <c r="F322" s="352"/>
      <c r="G322" s="352"/>
      <c r="H322" s="352"/>
      <c r="I322" s="352"/>
      <c r="J322" s="352"/>
      <c r="K322" s="352"/>
      <c r="L322" s="352"/>
      <c r="M322" s="352"/>
      <c r="N322" s="352"/>
      <c r="O322" s="352"/>
      <c r="P322" s="352"/>
      <c r="Q322" s="352"/>
      <c r="R322" s="352"/>
      <c r="S322" s="352"/>
      <c r="T322" s="352"/>
      <c r="U322" s="352"/>
      <c r="V322" s="352"/>
      <c r="W322" s="352"/>
      <c r="X322" s="352"/>
      <c r="Y322" s="352"/>
      <c r="Z322" s="352"/>
      <c r="AA322" s="352"/>
      <c r="AB322" s="352"/>
      <c r="AC322" s="352"/>
      <c r="AD322" s="352"/>
      <c r="AE322" s="352"/>
    </row>
    <row r="323">
      <c r="A323" s="352"/>
      <c r="B323" s="352"/>
      <c r="C323" s="352"/>
      <c r="D323" s="352"/>
      <c r="E323" s="352"/>
      <c r="F323" s="352"/>
      <c r="G323" s="352"/>
      <c r="H323" s="352"/>
      <c r="I323" s="352"/>
      <c r="J323" s="352"/>
      <c r="K323" s="352"/>
      <c r="L323" s="352"/>
      <c r="M323" s="352"/>
      <c r="N323" s="352"/>
      <c r="O323" s="352"/>
      <c r="P323" s="352"/>
      <c r="Q323" s="352"/>
      <c r="R323" s="352"/>
      <c r="S323" s="352"/>
      <c r="T323" s="352"/>
      <c r="U323" s="352"/>
      <c r="V323" s="352"/>
      <c r="W323" s="352"/>
      <c r="X323" s="352"/>
      <c r="Y323" s="352"/>
      <c r="Z323" s="352"/>
      <c r="AA323" s="352"/>
      <c r="AB323" s="352"/>
      <c r="AC323" s="352"/>
      <c r="AD323" s="352"/>
      <c r="AE323" s="352"/>
    </row>
    <row r="324">
      <c r="A324" s="352"/>
      <c r="B324" s="352"/>
      <c r="C324" s="352"/>
      <c r="D324" s="352"/>
      <c r="E324" s="352"/>
      <c r="F324" s="352"/>
      <c r="G324" s="352"/>
      <c r="H324" s="352"/>
      <c r="I324" s="352"/>
      <c r="J324" s="352"/>
      <c r="K324" s="352"/>
      <c r="L324" s="352"/>
      <c r="M324" s="352"/>
      <c r="N324" s="352"/>
      <c r="O324" s="352"/>
      <c r="P324" s="352"/>
      <c r="Q324" s="352"/>
      <c r="R324" s="352"/>
      <c r="S324" s="352"/>
      <c r="T324" s="352"/>
      <c r="U324" s="352"/>
      <c r="V324" s="352"/>
      <c r="W324" s="352"/>
      <c r="X324" s="352"/>
      <c r="Y324" s="352"/>
      <c r="Z324" s="352"/>
      <c r="AA324" s="352"/>
      <c r="AB324" s="352"/>
      <c r="AC324" s="352"/>
      <c r="AD324" s="352"/>
      <c r="AE324" s="352"/>
    </row>
    <row r="325">
      <c r="A325" s="352"/>
      <c r="B325" s="352"/>
      <c r="C325" s="352"/>
      <c r="D325" s="352"/>
      <c r="E325" s="352"/>
      <c r="F325" s="352"/>
      <c r="G325" s="352"/>
      <c r="H325" s="352"/>
      <c r="I325" s="352"/>
      <c r="J325" s="352"/>
      <c r="K325" s="352"/>
      <c r="L325" s="352"/>
      <c r="M325" s="352"/>
      <c r="N325" s="352"/>
      <c r="O325" s="352"/>
      <c r="P325" s="352"/>
      <c r="Q325" s="352"/>
      <c r="R325" s="352"/>
      <c r="S325" s="352"/>
      <c r="T325" s="352"/>
      <c r="U325" s="352"/>
      <c r="V325" s="352"/>
      <c r="W325" s="352"/>
      <c r="X325" s="352"/>
      <c r="Y325" s="352"/>
      <c r="Z325" s="352"/>
      <c r="AA325" s="352"/>
      <c r="AB325" s="352"/>
      <c r="AC325" s="352"/>
      <c r="AD325" s="352"/>
      <c r="AE325" s="352"/>
    </row>
    <row r="326">
      <c r="A326" s="352"/>
      <c r="B326" s="352"/>
      <c r="C326" s="352"/>
      <c r="D326" s="352"/>
      <c r="E326" s="352"/>
      <c r="F326" s="352"/>
      <c r="G326" s="352"/>
      <c r="H326" s="352"/>
      <c r="I326" s="352"/>
      <c r="J326" s="352"/>
      <c r="K326" s="352"/>
      <c r="L326" s="352"/>
      <c r="M326" s="352"/>
      <c r="N326" s="352"/>
      <c r="O326" s="352"/>
      <c r="P326" s="352"/>
      <c r="Q326" s="352"/>
      <c r="R326" s="352"/>
      <c r="S326" s="352"/>
      <c r="T326" s="352"/>
      <c r="U326" s="352"/>
      <c r="V326" s="352"/>
      <c r="W326" s="352"/>
      <c r="X326" s="352"/>
      <c r="Y326" s="352"/>
      <c r="Z326" s="352"/>
      <c r="AA326" s="352"/>
      <c r="AB326" s="352"/>
      <c r="AC326" s="352"/>
      <c r="AD326" s="352"/>
      <c r="AE326" s="352"/>
    </row>
    <row r="327">
      <c r="A327" s="352"/>
      <c r="B327" s="352"/>
      <c r="C327" s="352"/>
      <c r="D327" s="352"/>
      <c r="E327" s="352"/>
      <c r="F327" s="352"/>
      <c r="G327" s="352"/>
      <c r="H327" s="352"/>
      <c r="I327" s="352"/>
      <c r="J327" s="352"/>
      <c r="K327" s="352"/>
      <c r="L327" s="352"/>
      <c r="M327" s="352"/>
      <c r="N327" s="352"/>
      <c r="O327" s="352"/>
      <c r="P327" s="352"/>
      <c r="Q327" s="352"/>
      <c r="R327" s="352"/>
      <c r="S327" s="352"/>
      <c r="T327" s="352"/>
      <c r="U327" s="352"/>
      <c r="V327" s="352"/>
      <c r="W327" s="352"/>
      <c r="X327" s="352"/>
      <c r="Y327" s="352"/>
      <c r="Z327" s="352"/>
      <c r="AA327" s="352"/>
      <c r="AB327" s="352"/>
      <c r="AC327" s="352"/>
      <c r="AD327" s="352"/>
      <c r="AE327" s="352"/>
    </row>
    <row r="328">
      <c r="A328" s="352"/>
      <c r="B328" s="352"/>
      <c r="C328" s="352"/>
      <c r="D328" s="352"/>
      <c r="E328" s="352"/>
      <c r="F328" s="352"/>
      <c r="G328" s="352"/>
      <c r="H328" s="352"/>
      <c r="I328" s="352"/>
      <c r="J328" s="352"/>
      <c r="K328" s="352"/>
      <c r="L328" s="352"/>
      <c r="M328" s="352"/>
      <c r="N328" s="352"/>
      <c r="O328" s="352"/>
      <c r="P328" s="352"/>
      <c r="Q328" s="352"/>
      <c r="R328" s="352"/>
      <c r="S328" s="352"/>
      <c r="T328" s="352"/>
      <c r="U328" s="352"/>
      <c r="V328" s="352"/>
      <c r="W328" s="352"/>
      <c r="X328" s="352"/>
      <c r="Y328" s="352"/>
      <c r="Z328" s="352"/>
      <c r="AA328" s="352"/>
      <c r="AB328" s="352"/>
      <c r="AC328" s="352"/>
      <c r="AD328" s="352"/>
      <c r="AE328" s="352"/>
    </row>
    <row r="329">
      <c r="A329" s="352"/>
      <c r="B329" s="352"/>
      <c r="C329" s="352"/>
      <c r="D329" s="352"/>
      <c r="E329" s="352"/>
      <c r="F329" s="352"/>
      <c r="G329" s="352"/>
      <c r="H329" s="352"/>
      <c r="I329" s="352"/>
      <c r="J329" s="352"/>
      <c r="K329" s="352"/>
      <c r="L329" s="352"/>
      <c r="M329" s="352"/>
      <c r="N329" s="352"/>
      <c r="O329" s="352"/>
      <c r="P329" s="352"/>
      <c r="Q329" s="352"/>
      <c r="R329" s="352"/>
      <c r="S329" s="352"/>
      <c r="T329" s="352"/>
      <c r="U329" s="352"/>
      <c r="V329" s="352"/>
      <c r="W329" s="352"/>
      <c r="X329" s="352"/>
      <c r="Y329" s="352"/>
      <c r="Z329" s="352"/>
      <c r="AA329" s="352"/>
      <c r="AB329" s="352"/>
      <c r="AC329" s="352"/>
      <c r="AD329" s="352"/>
      <c r="AE329" s="352"/>
    </row>
    <row r="330">
      <c r="A330" s="352"/>
      <c r="B330" s="352"/>
      <c r="C330" s="352"/>
      <c r="D330" s="352"/>
      <c r="E330" s="352"/>
      <c r="F330" s="352"/>
      <c r="G330" s="352"/>
      <c r="H330" s="352"/>
      <c r="I330" s="352"/>
      <c r="J330" s="352"/>
      <c r="K330" s="352"/>
      <c r="L330" s="352"/>
      <c r="M330" s="352"/>
      <c r="N330" s="352"/>
      <c r="O330" s="352"/>
      <c r="P330" s="352"/>
      <c r="Q330" s="352"/>
      <c r="R330" s="352"/>
      <c r="S330" s="352"/>
      <c r="T330" s="352"/>
      <c r="U330" s="352"/>
      <c r="V330" s="352"/>
      <c r="W330" s="352"/>
      <c r="X330" s="352"/>
      <c r="Y330" s="352"/>
      <c r="Z330" s="352"/>
      <c r="AA330" s="352"/>
      <c r="AB330" s="352"/>
      <c r="AC330" s="352"/>
      <c r="AD330" s="352"/>
      <c r="AE330" s="352"/>
    </row>
    <row r="331">
      <c r="A331" s="352"/>
      <c r="B331" s="352"/>
      <c r="C331" s="352"/>
      <c r="D331" s="352"/>
      <c r="E331" s="352"/>
      <c r="F331" s="352"/>
      <c r="G331" s="352"/>
      <c r="H331" s="352"/>
      <c r="I331" s="352"/>
      <c r="J331" s="352"/>
      <c r="K331" s="352"/>
      <c r="L331" s="352"/>
      <c r="M331" s="352"/>
      <c r="N331" s="352"/>
      <c r="O331" s="352"/>
      <c r="P331" s="352"/>
      <c r="Q331" s="352"/>
      <c r="R331" s="352"/>
      <c r="S331" s="352"/>
      <c r="T331" s="352"/>
      <c r="U331" s="352"/>
      <c r="V331" s="352"/>
      <c r="W331" s="352"/>
      <c r="X331" s="352"/>
      <c r="Y331" s="352"/>
      <c r="Z331" s="352"/>
      <c r="AA331" s="352"/>
      <c r="AB331" s="352"/>
      <c r="AC331" s="352"/>
      <c r="AD331" s="352"/>
      <c r="AE331" s="352"/>
    </row>
    <row r="332">
      <c r="A332" s="352"/>
      <c r="B332" s="352"/>
      <c r="C332" s="352"/>
      <c r="D332" s="352"/>
      <c r="E332" s="352"/>
      <c r="F332" s="352"/>
      <c r="G332" s="352"/>
      <c r="H332" s="352"/>
      <c r="I332" s="352"/>
      <c r="J332" s="352"/>
      <c r="K332" s="352"/>
      <c r="L332" s="352"/>
      <c r="M332" s="352"/>
      <c r="N332" s="352"/>
      <c r="O332" s="352"/>
      <c r="P332" s="352"/>
      <c r="Q332" s="352"/>
      <c r="R332" s="352"/>
      <c r="S332" s="352"/>
      <c r="T332" s="352"/>
      <c r="U332" s="352"/>
      <c r="V332" s="352"/>
      <c r="W332" s="352"/>
      <c r="X332" s="352"/>
      <c r="Y332" s="352"/>
      <c r="Z332" s="352"/>
      <c r="AA332" s="352"/>
      <c r="AB332" s="352"/>
      <c r="AC332" s="352"/>
      <c r="AD332" s="352"/>
      <c r="AE332" s="352"/>
    </row>
    <row r="333">
      <c r="A333" s="352"/>
      <c r="B333" s="352"/>
      <c r="C333" s="352"/>
      <c r="D333" s="352"/>
      <c r="E333" s="352"/>
      <c r="F333" s="352"/>
      <c r="G333" s="352"/>
      <c r="H333" s="352"/>
      <c r="I333" s="352"/>
      <c r="J333" s="352"/>
      <c r="K333" s="352"/>
      <c r="L333" s="352"/>
      <c r="M333" s="352"/>
      <c r="N333" s="352"/>
      <c r="O333" s="352"/>
      <c r="P333" s="352"/>
      <c r="Q333" s="352"/>
      <c r="R333" s="352"/>
      <c r="S333" s="352"/>
      <c r="T333" s="352"/>
      <c r="U333" s="352"/>
      <c r="V333" s="352"/>
      <c r="W333" s="352"/>
      <c r="X333" s="352"/>
      <c r="Y333" s="352"/>
      <c r="Z333" s="352"/>
      <c r="AA333" s="352"/>
      <c r="AB333" s="352"/>
      <c r="AC333" s="352"/>
      <c r="AD333" s="352"/>
      <c r="AE333" s="352"/>
    </row>
    <row r="334">
      <c r="A334" s="352"/>
      <c r="B334" s="352"/>
      <c r="C334" s="352"/>
      <c r="D334" s="352"/>
      <c r="E334" s="352"/>
      <c r="F334" s="352"/>
      <c r="G334" s="352"/>
      <c r="H334" s="352"/>
      <c r="I334" s="352"/>
      <c r="J334" s="352"/>
      <c r="K334" s="352"/>
      <c r="L334" s="352"/>
      <c r="M334" s="352"/>
      <c r="N334" s="352"/>
      <c r="O334" s="352"/>
      <c r="P334" s="352"/>
      <c r="Q334" s="352"/>
      <c r="R334" s="352"/>
      <c r="S334" s="352"/>
      <c r="T334" s="352"/>
      <c r="U334" s="352"/>
      <c r="V334" s="352"/>
      <c r="W334" s="352"/>
      <c r="X334" s="352"/>
      <c r="Y334" s="352"/>
      <c r="Z334" s="352"/>
      <c r="AA334" s="352"/>
      <c r="AB334" s="352"/>
      <c r="AC334" s="352"/>
      <c r="AD334" s="352"/>
      <c r="AE334" s="352"/>
    </row>
    <row r="335">
      <c r="A335" s="352"/>
      <c r="B335" s="352"/>
      <c r="C335" s="352"/>
      <c r="D335" s="352"/>
      <c r="E335" s="352"/>
      <c r="F335" s="352"/>
      <c r="G335" s="352"/>
      <c r="H335" s="352"/>
      <c r="I335" s="352"/>
      <c r="J335" s="352"/>
      <c r="K335" s="352"/>
      <c r="L335" s="352"/>
      <c r="M335" s="352"/>
      <c r="N335" s="352"/>
      <c r="O335" s="352"/>
      <c r="P335" s="352"/>
      <c r="Q335" s="352"/>
      <c r="R335" s="352"/>
      <c r="S335" s="352"/>
      <c r="T335" s="352"/>
      <c r="U335" s="352"/>
      <c r="V335" s="352"/>
      <c r="W335" s="352"/>
      <c r="X335" s="352"/>
      <c r="Y335" s="352"/>
      <c r="Z335" s="352"/>
      <c r="AA335" s="352"/>
      <c r="AB335" s="352"/>
      <c r="AC335" s="352"/>
      <c r="AD335" s="352"/>
      <c r="AE335" s="352"/>
    </row>
    <row r="336">
      <c r="A336" s="352"/>
      <c r="B336" s="352"/>
      <c r="C336" s="352"/>
      <c r="D336" s="352"/>
      <c r="E336" s="352"/>
      <c r="F336" s="352"/>
      <c r="G336" s="352"/>
      <c r="H336" s="352"/>
      <c r="I336" s="352"/>
      <c r="J336" s="352"/>
      <c r="K336" s="352"/>
      <c r="L336" s="352"/>
      <c r="M336" s="352"/>
      <c r="N336" s="352"/>
      <c r="O336" s="352"/>
      <c r="P336" s="352"/>
      <c r="Q336" s="352"/>
      <c r="R336" s="352"/>
      <c r="S336" s="352"/>
      <c r="T336" s="352"/>
      <c r="U336" s="352"/>
      <c r="V336" s="352"/>
      <c r="W336" s="352"/>
      <c r="X336" s="352"/>
      <c r="Y336" s="352"/>
      <c r="Z336" s="352"/>
      <c r="AA336" s="352"/>
      <c r="AB336" s="352"/>
      <c r="AC336" s="352"/>
      <c r="AD336" s="352"/>
      <c r="AE336" s="352"/>
    </row>
    <row r="337">
      <c r="A337" s="352"/>
      <c r="B337" s="352"/>
      <c r="C337" s="352"/>
      <c r="D337" s="352"/>
      <c r="E337" s="352"/>
      <c r="F337" s="352"/>
      <c r="G337" s="352"/>
      <c r="H337" s="352"/>
      <c r="I337" s="352"/>
      <c r="J337" s="352"/>
      <c r="K337" s="352"/>
      <c r="L337" s="352"/>
      <c r="M337" s="352"/>
      <c r="N337" s="352"/>
      <c r="O337" s="352"/>
      <c r="P337" s="352"/>
      <c r="Q337" s="352"/>
      <c r="R337" s="352"/>
      <c r="S337" s="352"/>
      <c r="T337" s="352"/>
      <c r="U337" s="352"/>
      <c r="V337" s="352"/>
      <c r="W337" s="352"/>
      <c r="X337" s="352"/>
      <c r="Y337" s="352"/>
      <c r="Z337" s="352"/>
      <c r="AA337" s="352"/>
      <c r="AB337" s="352"/>
      <c r="AC337" s="352"/>
      <c r="AD337" s="352"/>
      <c r="AE337" s="352"/>
    </row>
    <row r="338">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2"/>
      <c r="W338" s="352"/>
      <c r="X338" s="352"/>
      <c r="Y338" s="352"/>
      <c r="Z338" s="352"/>
      <c r="AA338" s="352"/>
      <c r="AB338" s="352"/>
      <c r="AC338" s="352"/>
      <c r="AD338" s="352"/>
      <c r="AE338" s="352"/>
    </row>
    <row r="339">
      <c r="A339" s="352"/>
      <c r="B339" s="352"/>
      <c r="C339" s="352"/>
      <c r="D339" s="352"/>
      <c r="E339" s="352"/>
      <c r="F339" s="352"/>
      <c r="G339" s="352"/>
      <c r="H339" s="352"/>
      <c r="I339" s="352"/>
      <c r="J339" s="352"/>
      <c r="K339" s="352"/>
      <c r="L339" s="352"/>
      <c r="M339" s="352"/>
      <c r="N339" s="352"/>
      <c r="O339" s="352"/>
      <c r="P339" s="352"/>
      <c r="Q339" s="352"/>
      <c r="R339" s="352"/>
      <c r="S339" s="352"/>
      <c r="T339" s="352"/>
      <c r="U339" s="352"/>
      <c r="V339" s="352"/>
      <c r="W339" s="352"/>
      <c r="X339" s="352"/>
      <c r="Y339" s="352"/>
      <c r="Z339" s="352"/>
      <c r="AA339" s="352"/>
      <c r="AB339" s="352"/>
      <c r="AC339" s="352"/>
      <c r="AD339" s="352"/>
      <c r="AE339" s="352"/>
    </row>
    <row r="340">
      <c r="A340" s="352"/>
      <c r="B340" s="352"/>
      <c r="C340" s="352"/>
      <c r="D340" s="352"/>
      <c r="E340" s="352"/>
      <c r="F340" s="352"/>
      <c r="G340" s="352"/>
      <c r="H340" s="352"/>
      <c r="I340" s="352"/>
      <c r="J340" s="352"/>
      <c r="K340" s="352"/>
      <c r="L340" s="352"/>
      <c r="M340" s="352"/>
      <c r="N340" s="352"/>
      <c r="O340" s="352"/>
      <c r="P340" s="352"/>
      <c r="Q340" s="352"/>
      <c r="R340" s="352"/>
      <c r="S340" s="352"/>
      <c r="T340" s="352"/>
      <c r="U340" s="352"/>
      <c r="V340" s="352"/>
      <c r="W340" s="352"/>
      <c r="X340" s="352"/>
      <c r="Y340" s="352"/>
      <c r="Z340" s="352"/>
      <c r="AA340" s="352"/>
      <c r="AB340" s="352"/>
      <c r="AC340" s="352"/>
      <c r="AD340" s="352"/>
      <c r="AE340" s="352"/>
    </row>
    <row r="341">
      <c r="A341" s="352"/>
      <c r="B341" s="352"/>
      <c r="C341" s="352"/>
      <c r="D341" s="352"/>
      <c r="E341" s="352"/>
      <c r="F341" s="352"/>
      <c r="G341" s="352"/>
      <c r="H341" s="352"/>
      <c r="I341" s="352"/>
      <c r="J341" s="352"/>
      <c r="K341" s="352"/>
      <c r="L341" s="352"/>
      <c r="M341" s="352"/>
      <c r="N341" s="352"/>
      <c r="O341" s="352"/>
      <c r="P341" s="352"/>
      <c r="Q341" s="352"/>
      <c r="R341" s="352"/>
      <c r="S341" s="352"/>
      <c r="T341" s="352"/>
      <c r="U341" s="352"/>
      <c r="V341" s="352"/>
      <c r="W341" s="352"/>
      <c r="X341" s="352"/>
      <c r="Y341" s="352"/>
      <c r="Z341" s="352"/>
      <c r="AA341" s="352"/>
      <c r="AB341" s="352"/>
      <c r="AC341" s="352"/>
      <c r="AD341" s="352"/>
      <c r="AE341" s="352"/>
    </row>
    <row r="342">
      <c r="A342" s="352"/>
      <c r="B342" s="352"/>
      <c r="C342" s="352"/>
      <c r="D342" s="352"/>
      <c r="E342" s="352"/>
      <c r="F342" s="352"/>
      <c r="G342" s="352"/>
      <c r="H342" s="352"/>
      <c r="I342" s="352"/>
      <c r="J342" s="352"/>
      <c r="K342" s="352"/>
      <c r="L342" s="352"/>
      <c r="M342" s="352"/>
      <c r="N342" s="352"/>
      <c r="O342" s="352"/>
      <c r="P342" s="352"/>
      <c r="Q342" s="352"/>
      <c r="R342" s="352"/>
      <c r="S342" s="352"/>
      <c r="T342" s="352"/>
      <c r="U342" s="352"/>
      <c r="V342" s="352"/>
      <c r="W342" s="352"/>
      <c r="X342" s="352"/>
      <c r="Y342" s="352"/>
      <c r="Z342" s="352"/>
      <c r="AA342" s="352"/>
      <c r="AB342" s="352"/>
      <c r="AC342" s="352"/>
      <c r="AD342" s="352"/>
      <c r="AE342" s="352"/>
    </row>
    <row r="343">
      <c r="A343" s="352"/>
      <c r="B343" s="352"/>
      <c r="C343" s="352"/>
      <c r="D343" s="352"/>
      <c r="E343" s="352"/>
      <c r="F343" s="352"/>
      <c r="G343" s="352"/>
      <c r="H343" s="352"/>
      <c r="I343" s="352"/>
      <c r="J343" s="352"/>
      <c r="K343" s="352"/>
      <c r="L343" s="352"/>
      <c r="M343" s="352"/>
      <c r="N343" s="352"/>
      <c r="O343" s="352"/>
      <c r="P343" s="352"/>
      <c r="Q343" s="352"/>
      <c r="R343" s="352"/>
      <c r="S343" s="352"/>
      <c r="T343" s="352"/>
      <c r="U343" s="352"/>
      <c r="V343" s="352"/>
      <c r="W343" s="352"/>
      <c r="X343" s="352"/>
      <c r="Y343" s="352"/>
      <c r="Z343" s="352"/>
      <c r="AA343" s="352"/>
      <c r="AB343" s="352"/>
      <c r="AC343" s="352"/>
      <c r="AD343" s="352"/>
      <c r="AE343" s="352"/>
    </row>
    <row r="344">
      <c r="A344" s="352"/>
      <c r="B344" s="352"/>
      <c r="C344" s="352"/>
      <c r="D344" s="352"/>
      <c r="E344" s="352"/>
      <c r="F344" s="352"/>
      <c r="G344" s="352"/>
      <c r="H344" s="352"/>
      <c r="I344" s="352"/>
      <c r="J344" s="352"/>
      <c r="K344" s="352"/>
      <c r="L344" s="352"/>
      <c r="M344" s="352"/>
      <c r="N344" s="352"/>
      <c r="O344" s="352"/>
      <c r="P344" s="352"/>
      <c r="Q344" s="352"/>
      <c r="R344" s="352"/>
      <c r="S344" s="352"/>
      <c r="T344" s="352"/>
      <c r="U344" s="352"/>
      <c r="V344" s="352"/>
      <c r="W344" s="352"/>
      <c r="X344" s="352"/>
      <c r="Y344" s="352"/>
      <c r="Z344" s="352"/>
      <c r="AA344" s="352"/>
      <c r="AB344" s="352"/>
      <c r="AC344" s="352"/>
      <c r="AD344" s="352"/>
      <c r="AE344" s="352"/>
    </row>
    <row r="345">
      <c r="A345" s="352"/>
      <c r="B345" s="352"/>
      <c r="C345" s="352"/>
      <c r="D345" s="352"/>
      <c r="E345" s="352"/>
      <c r="F345" s="352"/>
      <c r="G345" s="352"/>
      <c r="H345" s="352"/>
      <c r="I345" s="352"/>
      <c r="J345" s="352"/>
      <c r="K345" s="352"/>
      <c r="L345" s="352"/>
      <c r="M345" s="352"/>
      <c r="N345" s="352"/>
      <c r="O345" s="352"/>
      <c r="P345" s="352"/>
      <c r="Q345" s="352"/>
      <c r="R345" s="352"/>
      <c r="S345" s="352"/>
      <c r="T345" s="352"/>
      <c r="U345" s="352"/>
      <c r="V345" s="352"/>
      <c r="W345" s="352"/>
      <c r="X345" s="352"/>
      <c r="Y345" s="352"/>
      <c r="Z345" s="352"/>
      <c r="AA345" s="352"/>
      <c r="AB345" s="352"/>
      <c r="AC345" s="352"/>
      <c r="AD345" s="352"/>
      <c r="AE345" s="352"/>
    </row>
    <row r="346">
      <c r="A346" s="352"/>
      <c r="B346" s="352"/>
      <c r="C346" s="352"/>
      <c r="D346" s="352"/>
      <c r="E346" s="352"/>
      <c r="F346" s="352"/>
      <c r="G346" s="352"/>
      <c r="H346" s="352"/>
      <c r="I346" s="352"/>
      <c r="J346" s="352"/>
      <c r="K346" s="352"/>
      <c r="L346" s="352"/>
      <c r="M346" s="352"/>
      <c r="N346" s="352"/>
      <c r="O346" s="352"/>
      <c r="P346" s="352"/>
      <c r="Q346" s="352"/>
      <c r="R346" s="352"/>
      <c r="S346" s="352"/>
      <c r="T346" s="352"/>
      <c r="U346" s="352"/>
      <c r="V346" s="352"/>
      <c r="W346" s="352"/>
      <c r="X346" s="352"/>
      <c r="Y346" s="352"/>
      <c r="Z346" s="352"/>
      <c r="AA346" s="352"/>
      <c r="AB346" s="352"/>
      <c r="AC346" s="352"/>
      <c r="AD346" s="352"/>
      <c r="AE346" s="352"/>
    </row>
    <row r="347">
      <c r="A347" s="352"/>
      <c r="B347" s="352"/>
      <c r="C347" s="352"/>
      <c r="D347" s="352"/>
      <c r="E347" s="352"/>
      <c r="F347" s="352"/>
      <c r="G347" s="352"/>
      <c r="H347" s="352"/>
      <c r="I347" s="352"/>
      <c r="J347" s="352"/>
      <c r="K347" s="352"/>
      <c r="L347" s="352"/>
      <c r="M347" s="352"/>
      <c r="N347" s="352"/>
      <c r="O347" s="352"/>
      <c r="P347" s="352"/>
      <c r="Q347" s="352"/>
      <c r="R347" s="352"/>
      <c r="S347" s="352"/>
      <c r="T347" s="352"/>
      <c r="U347" s="352"/>
      <c r="V347" s="352"/>
      <c r="W347" s="352"/>
      <c r="X347" s="352"/>
      <c r="Y347" s="352"/>
      <c r="Z347" s="352"/>
      <c r="AA347" s="352"/>
      <c r="AB347" s="352"/>
      <c r="AC347" s="352"/>
      <c r="AD347" s="352"/>
      <c r="AE347" s="352"/>
    </row>
    <row r="348">
      <c r="A348" s="352"/>
      <c r="B348" s="352"/>
      <c r="C348" s="352"/>
      <c r="D348" s="352"/>
      <c r="E348" s="352"/>
      <c r="F348" s="352"/>
      <c r="G348" s="352"/>
      <c r="H348" s="352"/>
      <c r="I348" s="352"/>
      <c r="J348" s="352"/>
      <c r="K348" s="352"/>
      <c r="L348" s="352"/>
      <c r="M348" s="352"/>
      <c r="N348" s="352"/>
      <c r="O348" s="352"/>
      <c r="P348" s="352"/>
      <c r="Q348" s="352"/>
      <c r="R348" s="352"/>
      <c r="S348" s="352"/>
      <c r="T348" s="352"/>
      <c r="U348" s="352"/>
      <c r="V348" s="352"/>
      <c r="W348" s="352"/>
      <c r="X348" s="352"/>
      <c r="Y348" s="352"/>
      <c r="Z348" s="352"/>
      <c r="AA348" s="352"/>
      <c r="AB348" s="352"/>
      <c r="AC348" s="352"/>
      <c r="AD348" s="352"/>
      <c r="AE348" s="352"/>
    </row>
    <row r="349">
      <c r="A349" s="352"/>
      <c r="B349" s="352"/>
      <c r="C349" s="352"/>
      <c r="D349" s="352"/>
      <c r="E349" s="352"/>
      <c r="F349" s="352"/>
      <c r="G349" s="352"/>
      <c r="H349" s="352"/>
      <c r="I349" s="352"/>
      <c r="J349" s="352"/>
      <c r="K349" s="352"/>
      <c r="L349" s="352"/>
      <c r="M349" s="352"/>
      <c r="N349" s="352"/>
      <c r="O349" s="352"/>
      <c r="P349" s="352"/>
      <c r="Q349" s="352"/>
      <c r="R349" s="352"/>
      <c r="S349" s="352"/>
      <c r="T349" s="352"/>
      <c r="U349" s="352"/>
      <c r="V349" s="352"/>
      <c r="W349" s="352"/>
      <c r="X349" s="352"/>
      <c r="Y349" s="352"/>
      <c r="Z349" s="352"/>
      <c r="AA349" s="352"/>
      <c r="AB349" s="352"/>
      <c r="AC349" s="352"/>
      <c r="AD349" s="352"/>
      <c r="AE349" s="352"/>
    </row>
    <row r="350">
      <c r="A350" s="352"/>
      <c r="B350" s="352"/>
      <c r="C350" s="352"/>
      <c r="D350" s="352"/>
      <c r="E350" s="352"/>
      <c r="F350" s="352"/>
      <c r="G350" s="352"/>
      <c r="H350" s="352"/>
      <c r="I350" s="352"/>
      <c r="J350" s="352"/>
      <c r="K350" s="352"/>
      <c r="L350" s="352"/>
      <c r="M350" s="352"/>
      <c r="N350" s="352"/>
      <c r="O350" s="352"/>
      <c r="P350" s="352"/>
      <c r="Q350" s="352"/>
      <c r="R350" s="352"/>
      <c r="S350" s="352"/>
      <c r="T350" s="352"/>
      <c r="U350" s="352"/>
      <c r="V350" s="352"/>
      <c r="W350" s="352"/>
      <c r="X350" s="352"/>
      <c r="Y350" s="352"/>
      <c r="Z350" s="352"/>
      <c r="AA350" s="352"/>
      <c r="AB350" s="352"/>
      <c r="AC350" s="352"/>
      <c r="AD350" s="352"/>
      <c r="AE350" s="352"/>
    </row>
    <row r="351">
      <c r="A351" s="352"/>
      <c r="B351" s="352"/>
      <c r="C351" s="352"/>
      <c r="D351" s="352"/>
      <c r="E351" s="352"/>
      <c r="F351" s="352"/>
      <c r="G351" s="352"/>
      <c r="H351" s="352"/>
      <c r="I351" s="352"/>
      <c r="J351" s="352"/>
      <c r="K351" s="352"/>
      <c r="L351" s="352"/>
      <c r="M351" s="352"/>
      <c r="N351" s="352"/>
      <c r="O351" s="352"/>
      <c r="P351" s="352"/>
      <c r="Q351" s="352"/>
      <c r="R351" s="352"/>
      <c r="S351" s="352"/>
      <c r="T351" s="352"/>
      <c r="U351" s="352"/>
      <c r="V351" s="352"/>
      <c r="W351" s="352"/>
      <c r="X351" s="352"/>
      <c r="Y351" s="352"/>
      <c r="Z351" s="352"/>
      <c r="AA351" s="352"/>
      <c r="AB351" s="352"/>
      <c r="AC351" s="352"/>
      <c r="AD351" s="352"/>
      <c r="AE351" s="352"/>
    </row>
    <row r="352">
      <c r="A352" s="352"/>
      <c r="B352" s="352"/>
      <c r="C352" s="352"/>
      <c r="D352" s="352"/>
      <c r="E352" s="352"/>
      <c r="F352" s="352"/>
      <c r="G352" s="352"/>
      <c r="H352" s="352"/>
      <c r="I352" s="352"/>
      <c r="J352" s="352"/>
      <c r="K352" s="352"/>
      <c r="L352" s="352"/>
      <c r="M352" s="352"/>
      <c r="N352" s="352"/>
      <c r="O352" s="352"/>
      <c r="P352" s="352"/>
      <c r="Q352" s="352"/>
      <c r="R352" s="352"/>
      <c r="S352" s="352"/>
      <c r="T352" s="352"/>
      <c r="U352" s="352"/>
      <c r="V352" s="352"/>
      <c r="W352" s="352"/>
      <c r="X352" s="352"/>
      <c r="Y352" s="352"/>
      <c r="Z352" s="352"/>
      <c r="AA352" s="352"/>
      <c r="AB352" s="352"/>
      <c r="AC352" s="352"/>
      <c r="AD352" s="352"/>
      <c r="AE352" s="352"/>
    </row>
    <row r="353">
      <c r="A353" s="352"/>
      <c r="B353" s="352"/>
      <c r="C353" s="352"/>
      <c r="D353" s="352"/>
      <c r="E353" s="352"/>
      <c r="F353" s="352"/>
      <c r="G353" s="352"/>
      <c r="H353" s="352"/>
      <c r="I353" s="352"/>
      <c r="J353" s="352"/>
      <c r="K353" s="352"/>
      <c r="L353" s="352"/>
      <c r="M353" s="352"/>
      <c r="N353" s="352"/>
      <c r="O353" s="352"/>
      <c r="P353" s="352"/>
      <c r="Q353" s="352"/>
      <c r="R353" s="352"/>
      <c r="S353" s="352"/>
      <c r="T353" s="352"/>
      <c r="U353" s="352"/>
      <c r="V353" s="352"/>
      <c r="W353" s="352"/>
      <c r="X353" s="352"/>
      <c r="Y353" s="352"/>
      <c r="Z353" s="352"/>
      <c r="AA353" s="352"/>
      <c r="AB353" s="352"/>
      <c r="AC353" s="352"/>
      <c r="AD353" s="352"/>
      <c r="AE353" s="352"/>
    </row>
    <row r="354">
      <c r="A354" s="352"/>
      <c r="B354" s="352"/>
      <c r="C354" s="352"/>
      <c r="D354" s="352"/>
      <c r="E354" s="352"/>
      <c r="F354" s="352"/>
      <c r="G354" s="352"/>
      <c r="H354" s="352"/>
      <c r="I354" s="352"/>
      <c r="J354" s="352"/>
      <c r="K354" s="352"/>
      <c r="L354" s="352"/>
      <c r="M354" s="352"/>
      <c r="N354" s="352"/>
      <c r="O354" s="352"/>
      <c r="P354" s="352"/>
      <c r="Q354" s="352"/>
      <c r="R354" s="352"/>
      <c r="S354" s="352"/>
      <c r="T354" s="352"/>
      <c r="U354" s="352"/>
      <c r="V354" s="352"/>
      <c r="W354" s="352"/>
      <c r="X354" s="352"/>
      <c r="Y354" s="352"/>
      <c r="Z354" s="352"/>
      <c r="AA354" s="352"/>
      <c r="AB354" s="352"/>
      <c r="AC354" s="352"/>
      <c r="AD354" s="352"/>
      <c r="AE354" s="352"/>
    </row>
    <row r="355">
      <c r="A355" s="352"/>
      <c r="B355" s="352"/>
      <c r="C355" s="352"/>
      <c r="D355" s="352"/>
      <c r="E355" s="352"/>
      <c r="F355" s="352"/>
      <c r="G355" s="352"/>
      <c r="H355" s="352"/>
      <c r="I355" s="352"/>
      <c r="J355" s="352"/>
      <c r="K355" s="352"/>
      <c r="L355" s="352"/>
      <c r="M355" s="352"/>
      <c r="N355" s="352"/>
      <c r="O355" s="352"/>
      <c r="P355" s="352"/>
      <c r="Q355" s="352"/>
      <c r="R355" s="352"/>
      <c r="S355" s="352"/>
      <c r="T355" s="352"/>
      <c r="U355" s="352"/>
      <c r="V355" s="352"/>
      <c r="W355" s="352"/>
      <c r="X355" s="352"/>
      <c r="Y355" s="352"/>
      <c r="Z355" s="352"/>
      <c r="AA355" s="352"/>
      <c r="AB355" s="352"/>
      <c r="AC355" s="352"/>
      <c r="AD355" s="352"/>
      <c r="AE355" s="352"/>
    </row>
    <row r="356">
      <c r="A356" s="352"/>
      <c r="B356" s="352"/>
      <c r="C356" s="352"/>
      <c r="D356" s="352"/>
      <c r="E356" s="352"/>
      <c r="F356" s="352"/>
      <c r="G356" s="352"/>
      <c r="H356" s="352"/>
      <c r="I356" s="352"/>
      <c r="J356" s="352"/>
      <c r="K356" s="352"/>
      <c r="L356" s="352"/>
      <c r="M356" s="352"/>
      <c r="N356" s="352"/>
      <c r="O356" s="352"/>
      <c r="P356" s="352"/>
      <c r="Q356" s="352"/>
      <c r="R356" s="352"/>
      <c r="S356" s="352"/>
      <c r="T356" s="352"/>
      <c r="U356" s="352"/>
      <c r="V356" s="352"/>
      <c r="W356" s="352"/>
      <c r="X356" s="352"/>
      <c r="Y356" s="352"/>
      <c r="Z356" s="352"/>
      <c r="AA356" s="352"/>
      <c r="AB356" s="352"/>
      <c r="AC356" s="352"/>
      <c r="AD356" s="352"/>
      <c r="AE356" s="352"/>
    </row>
    <row r="357">
      <c r="A357" s="352"/>
      <c r="B357" s="352"/>
      <c r="C357" s="352"/>
      <c r="D357" s="352"/>
      <c r="E357" s="352"/>
      <c r="F357" s="352"/>
      <c r="G357" s="352"/>
      <c r="H357" s="352"/>
      <c r="I357" s="352"/>
      <c r="J357" s="352"/>
      <c r="K357" s="352"/>
      <c r="L357" s="352"/>
      <c r="M357" s="352"/>
      <c r="N357" s="352"/>
      <c r="O357" s="352"/>
      <c r="P357" s="352"/>
      <c r="Q357" s="352"/>
      <c r="R357" s="352"/>
      <c r="S357" s="352"/>
      <c r="T357" s="352"/>
      <c r="U357" s="352"/>
      <c r="V357" s="352"/>
      <c r="W357" s="352"/>
      <c r="X357" s="352"/>
      <c r="Y357" s="352"/>
      <c r="Z357" s="352"/>
      <c r="AA357" s="352"/>
      <c r="AB357" s="352"/>
      <c r="AC357" s="352"/>
      <c r="AD357" s="352"/>
      <c r="AE357" s="352"/>
    </row>
    <row r="358">
      <c r="A358" s="352"/>
      <c r="B358" s="352"/>
      <c r="C358" s="352"/>
      <c r="D358" s="352"/>
      <c r="E358" s="352"/>
      <c r="F358" s="352"/>
      <c r="G358" s="352"/>
      <c r="H358" s="352"/>
      <c r="I358" s="352"/>
      <c r="J358" s="352"/>
      <c r="K358" s="352"/>
      <c r="L358" s="352"/>
      <c r="M358" s="352"/>
      <c r="N358" s="352"/>
      <c r="O358" s="352"/>
      <c r="P358" s="352"/>
      <c r="Q358" s="352"/>
      <c r="R358" s="352"/>
      <c r="S358" s="352"/>
      <c r="T358" s="352"/>
      <c r="U358" s="352"/>
      <c r="V358" s="352"/>
      <c r="W358" s="352"/>
      <c r="X358" s="352"/>
      <c r="Y358" s="352"/>
      <c r="Z358" s="352"/>
      <c r="AA358" s="352"/>
      <c r="AB358" s="352"/>
      <c r="AC358" s="352"/>
      <c r="AD358" s="352"/>
      <c r="AE358" s="352"/>
    </row>
    <row r="359">
      <c r="A359" s="352"/>
      <c r="B359" s="352"/>
      <c r="C359" s="352"/>
      <c r="D359" s="352"/>
      <c r="E359" s="352"/>
      <c r="F359" s="352"/>
      <c r="G359" s="352"/>
      <c r="H359" s="352"/>
      <c r="I359" s="352"/>
      <c r="J359" s="352"/>
      <c r="K359" s="352"/>
      <c r="L359" s="352"/>
      <c r="M359" s="352"/>
      <c r="N359" s="352"/>
      <c r="O359" s="352"/>
      <c r="P359" s="352"/>
      <c r="Q359" s="352"/>
      <c r="R359" s="352"/>
      <c r="S359" s="352"/>
      <c r="T359" s="352"/>
      <c r="U359" s="352"/>
      <c r="V359" s="352"/>
      <c r="W359" s="352"/>
      <c r="X359" s="352"/>
      <c r="Y359" s="352"/>
      <c r="Z359" s="352"/>
      <c r="AA359" s="352"/>
      <c r="AB359" s="352"/>
      <c r="AC359" s="352"/>
      <c r="AD359" s="352"/>
      <c r="AE359" s="352"/>
    </row>
    <row r="360">
      <c r="A360" s="352"/>
      <c r="B360" s="352"/>
      <c r="C360" s="352"/>
      <c r="D360" s="352"/>
      <c r="E360" s="352"/>
      <c r="F360" s="352"/>
      <c r="G360" s="352"/>
      <c r="H360" s="352"/>
      <c r="I360" s="352"/>
      <c r="J360" s="352"/>
      <c r="K360" s="352"/>
      <c r="L360" s="352"/>
      <c r="M360" s="352"/>
      <c r="N360" s="352"/>
      <c r="O360" s="352"/>
      <c r="P360" s="352"/>
      <c r="Q360" s="352"/>
      <c r="R360" s="352"/>
      <c r="S360" s="352"/>
      <c r="T360" s="352"/>
      <c r="U360" s="352"/>
      <c r="V360" s="352"/>
      <c r="W360" s="352"/>
      <c r="X360" s="352"/>
      <c r="Y360" s="352"/>
      <c r="Z360" s="352"/>
      <c r="AA360" s="352"/>
      <c r="AB360" s="352"/>
      <c r="AC360" s="352"/>
      <c r="AD360" s="352"/>
      <c r="AE360" s="352"/>
    </row>
    <row r="361">
      <c r="A361" s="352"/>
      <c r="B361" s="352"/>
      <c r="C361" s="352"/>
      <c r="D361" s="352"/>
      <c r="E361" s="352"/>
      <c r="F361" s="352"/>
      <c r="G361" s="352"/>
      <c r="H361" s="352"/>
      <c r="I361" s="352"/>
      <c r="J361" s="352"/>
      <c r="K361" s="352"/>
      <c r="L361" s="352"/>
      <c r="M361" s="352"/>
      <c r="N361" s="352"/>
      <c r="O361" s="352"/>
      <c r="P361" s="352"/>
      <c r="Q361" s="352"/>
      <c r="R361" s="352"/>
      <c r="S361" s="352"/>
      <c r="T361" s="352"/>
      <c r="U361" s="352"/>
      <c r="V361" s="352"/>
      <c r="W361" s="352"/>
      <c r="X361" s="352"/>
      <c r="Y361" s="352"/>
      <c r="Z361" s="352"/>
      <c r="AA361" s="352"/>
      <c r="AB361" s="352"/>
      <c r="AC361" s="352"/>
      <c r="AD361" s="352"/>
      <c r="AE361" s="352"/>
    </row>
    <row r="362">
      <c r="A362" s="352"/>
      <c r="B362" s="352"/>
      <c r="C362" s="352"/>
      <c r="D362" s="352"/>
      <c r="E362" s="352"/>
      <c r="F362" s="352"/>
      <c r="G362" s="352"/>
      <c r="H362" s="352"/>
      <c r="I362" s="352"/>
      <c r="J362" s="352"/>
      <c r="K362" s="352"/>
      <c r="L362" s="352"/>
      <c r="M362" s="352"/>
      <c r="N362" s="352"/>
      <c r="O362" s="352"/>
      <c r="P362" s="352"/>
      <c r="Q362" s="352"/>
      <c r="R362" s="352"/>
      <c r="S362" s="352"/>
      <c r="T362" s="352"/>
      <c r="U362" s="352"/>
      <c r="V362" s="352"/>
      <c r="W362" s="352"/>
      <c r="X362" s="352"/>
      <c r="Y362" s="352"/>
      <c r="Z362" s="352"/>
      <c r="AA362" s="352"/>
      <c r="AB362" s="352"/>
      <c r="AC362" s="352"/>
      <c r="AD362" s="352"/>
      <c r="AE362" s="352"/>
    </row>
    <row r="363">
      <c r="A363" s="352"/>
      <c r="B363" s="352"/>
      <c r="C363" s="352"/>
      <c r="D363" s="352"/>
      <c r="E363" s="352"/>
      <c r="F363" s="352"/>
      <c r="G363" s="352"/>
      <c r="H363" s="352"/>
      <c r="I363" s="352"/>
      <c r="J363" s="352"/>
      <c r="K363" s="352"/>
      <c r="L363" s="352"/>
      <c r="M363" s="352"/>
      <c r="N363" s="352"/>
      <c r="O363" s="352"/>
      <c r="P363" s="352"/>
      <c r="Q363" s="352"/>
      <c r="R363" s="352"/>
      <c r="S363" s="352"/>
      <c r="T363" s="352"/>
      <c r="U363" s="352"/>
      <c r="V363" s="352"/>
      <c r="W363" s="352"/>
      <c r="X363" s="352"/>
      <c r="Y363" s="352"/>
      <c r="Z363" s="352"/>
      <c r="AA363" s="352"/>
      <c r="AB363" s="352"/>
      <c r="AC363" s="352"/>
      <c r="AD363" s="352"/>
      <c r="AE363" s="352"/>
    </row>
    <row r="364">
      <c r="A364" s="352"/>
      <c r="B364" s="352"/>
      <c r="C364" s="352"/>
      <c r="D364" s="352"/>
      <c r="E364" s="352"/>
      <c r="F364" s="352"/>
      <c r="G364" s="352"/>
      <c r="H364" s="352"/>
      <c r="I364" s="352"/>
      <c r="J364" s="352"/>
      <c r="K364" s="352"/>
      <c r="L364" s="352"/>
      <c r="M364" s="352"/>
      <c r="N364" s="352"/>
      <c r="O364" s="352"/>
      <c r="P364" s="352"/>
      <c r="Q364" s="352"/>
      <c r="R364" s="352"/>
      <c r="S364" s="352"/>
      <c r="T364" s="352"/>
      <c r="U364" s="352"/>
      <c r="V364" s="352"/>
      <c r="W364" s="352"/>
      <c r="X364" s="352"/>
      <c r="Y364" s="352"/>
      <c r="Z364" s="352"/>
      <c r="AA364" s="352"/>
      <c r="AB364" s="352"/>
      <c r="AC364" s="352"/>
      <c r="AD364" s="352"/>
      <c r="AE364" s="352"/>
    </row>
    <row r="365">
      <c r="A365" s="352"/>
      <c r="B365" s="352"/>
      <c r="C365" s="352"/>
      <c r="D365" s="352"/>
      <c r="E365" s="352"/>
      <c r="F365" s="352"/>
      <c r="G365" s="352"/>
      <c r="H365" s="352"/>
      <c r="I365" s="352"/>
      <c r="J365" s="352"/>
      <c r="K365" s="352"/>
      <c r="L365" s="352"/>
      <c r="M365" s="352"/>
      <c r="N365" s="352"/>
      <c r="O365" s="352"/>
      <c r="P365" s="352"/>
      <c r="Q365" s="352"/>
      <c r="R365" s="352"/>
      <c r="S365" s="352"/>
      <c r="T365" s="352"/>
      <c r="U365" s="352"/>
      <c r="V365" s="352"/>
      <c r="W365" s="352"/>
      <c r="X365" s="352"/>
      <c r="Y365" s="352"/>
      <c r="Z365" s="352"/>
      <c r="AA365" s="352"/>
      <c r="AB365" s="352"/>
      <c r="AC365" s="352"/>
      <c r="AD365" s="352"/>
      <c r="AE365" s="352"/>
    </row>
    <row r="366">
      <c r="A366" s="352"/>
      <c r="B366" s="352"/>
      <c r="C366" s="352"/>
      <c r="D366" s="352"/>
      <c r="E366" s="352"/>
      <c r="F366" s="352"/>
      <c r="G366" s="352"/>
      <c r="H366" s="352"/>
      <c r="I366" s="352"/>
      <c r="J366" s="352"/>
      <c r="K366" s="352"/>
      <c r="L366" s="352"/>
      <c r="M366" s="352"/>
      <c r="N366" s="352"/>
      <c r="O366" s="352"/>
      <c r="P366" s="352"/>
      <c r="Q366" s="352"/>
      <c r="R366" s="352"/>
      <c r="S366" s="352"/>
      <c r="T366" s="352"/>
      <c r="U366" s="352"/>
      <c r="V366" s="352"/>
      <c r="W366" s="352"/>
      <c r="X366" s="352"/>
      <c r="Y366" s="352"/>
      <c r="Z366" s="352"/>
      <c r="AA366" s="352"/>
      <c r="AB366" s="352"/>
      <c r="AC366" s="352"/>
      <c r="AD366" s="352"/>
      <c r="AE366" s="352"/>
    </row>
    <row r="367">
      <c r="A367" s="352"/>
      <c r="B367" s="352"/>
      <c r="C367" s="352"/>
      <c r="D367" s="352"/>
      <c r="E367" s="352"/>
      <c r="F367" s="352"/>
      <c r="G367" s="352"/>
      <c r="H367" s="352"/>
      <c r="I367" s="352"/>
      <c r="J367" s="352"/>
      <c r="K367" s="352"/>
      <c r="L367" s="352"/>
      <c r="M367" s="352"/>
      <c r="N367" s="352"/>
      <c r="O367" s="352"/>
      <c r="P367" s="352"/>
      <c r="Q367" s="352"/>
      <c r="R367" s="352"/>
      <c r="S367" s="352"/>
      <c r="T367" s="352"/>
      <c r="U367" s="352"/>
      <c r="V367" s="352"/>
      <c r="W367" s="352"/>
      <c r="X367" s="352"/>
      <c r="Y367" s="352"/>
      <c r="Z367" s="352"/>
      <c r="AA367" s="352"/>
      <c r="AB367" s="352"/>
      <c r="AC367" s="352"/>
      <c r="AD367" s="352"/>
      <c r="AE367" s="352"/>
    </row>
    <row r="368">
      <c r="A368" s="352"/>
      <c r="B368" s="352"/>
      <c r="C368" s="352"/>
      <c r="D368" s="352"/>
      <c r="E368" s="352"/>
      <c r="F368" s="352"/>
      <c r="G368" s="352"/>
      <c r="H368" s="352"/>
      <c r="I368" s="352"/>
      <c r="J368" s="352"/>
      <c r="K368" s="352"/>
      <c r="L368" s="352"/>
      <c r="M368" s="352"/>
      <c r="N368" s="352"/>
      <c r="O368" s="352"/>
      <c r="P368" s="352"/>
      <c r="Q368" s="352"/>
      <c r="R368" s="352"/>
      <c r="S368" s="352"/>
      <c r="T368" s="352"/>
      <c r="U368" s="352"/>
      <c r="V368" s="352"/>
      <c r="W368" s="352"/>
      <c r="X368" s="352"/>
      <c r="Y368" s="352"/>
      <c r="Z368" s="352"/>
      <c r="AA368" s="352"/>
      <c r="AB368" s="352"/>
      <c r="AC368" s="352"/>
      <c r="AD368" s="352"/>
      <c r="AE368" s="352"/>
    </row>
    <row r="369">
      <c r="A369" s="352"/>
      <c r="B369" s="352"/>
      <c r="C369" s="352"/>
      <c r="D369" s="352"/>
      <c r="E369" s="352"/>
      <c r="F369" s="352"/>
      <c r="G369" s="352"/>
      <c r="H369" s="352"/>
      <c r="I369" s="352"/>
      <c r="J369" s="352"/>
      <c r="K369" s="352"/>
      <c r="L369" s="352"/>
      <c r="M369" s="352"/>
      <c r="N369" s="352"/>
      <c r="O369" s="352"/>
      <c r="P369" s="352"/>
      <c r="Q369" s="352"/>
      <c r="R369" s="352"/>
      <c r="S369" s="352"/>
      <c r="T369" s="352"/>
      <c r="U369" s="352"/>
      <c r="V369" s="352"/>
      <c r="W369" s="352"/>
      <c r="X369" s="352"/>
      <c r="Y369" s="352"/>
      <c r="Z369" s="352"/>
      <c r="AA369" s="352"/>
      <c r="AB369" s="352"/>
      <c r="AC369" s="352"/>
      <c r="AD369" s="352"/>
      <c r="AE369" s="352"/>
    </row>
    <row r="370">
      <c r="A370" s="352"/>
      <c r="B370" s="352"/>
      <c r="C370" s="352"/>
      <c r="D370" s="352"/>
      <c r="E370" s="352"/>
      <c r="F370" s="352"/>
      <c r="G370" s="352"/>
      <c r="H370" s="352"/>
      <c r="I370" s="352"/>
      <c r="J370" s="352"/>
      <c r="K370" s="352"/>
      <c r="L370" s="352"/>
      <c r="M370" s="352"/>
      <c r="N370" s="352"/>
      <c r="O370" s="352"/>
      <c r="P370" s="352"/>
      <c r="Q370" s="352"/>
      <c r="R370" s="352"/>
      <c r="S370" s="352"/>
      <c r="T370" s="352"/>
      <c r="U370" s="352"/>
      <c r="V370" s="352"/>
      <c r="W370" s="352"/>
      <c r="X370" s="352"/>
      <c r="Y370" s="352"/>
      <c r="Z370" s="352"/>
      <c r="AA370" s="352"/>
      <c r="AB370" s="352"/>
      <c r="AC370" s="352"/>
      <c r="AD370" s="352"/>
      <c r="AE370" s="352"/>
    </row>
    <row r="371">
      <c r="A371" s="352"/>
      <c r="B371" s="352"/>
      <c r="C371" s="352"/>
      <c r="D371" s="352"/>
      <c r="E371" s="352"/>
      <c r="F371" s="352"/>
      <c r="G371" s="352"/>
      <c r="H371" s="352"/>
      <c r="I371" s="352"/>
      <c r="J371" s="352"/>
      <c r="K371" s="352"/>
      <c r="L371" s="352"/>
      <c r="M371" s="352"/>
      <c r="N371" s="352"/>
      <c r="O371" s="352"/>
      <c r="P371" s="352"/>
      <c r="Q371" s="352"/>
      <c r="R371" s="352"/>
      <c r="S371" s="352"/>
      <c r="T371" s="352"/>
      <c r="U371" s="352"/>
      <c r="V371" s="352"/>
      <c r="W371" s="352"/>
      <c r="X371" s="352"/>
      <c r="Y371" s="352"/>
      <c r="Z371" s="352"/>
      <c r="AA371" s="352"/>
      <c r="AB371" s="352"/>
      <c r="AC371" s="352"/>
      <c r="AD371" s="352"/>
      <c r="AE371" s="352"/>
    </row>
    <row r="372">
      <c r="A372" s="352"/>
      <c r="B372" s="352"/>
      <c r="C372" s="352"/>
      <c r="D372" s="352"/>
      <c r="E372" s="352"/>
      <c r="F372" s="352"/>
      <c r="G372" s="352"/>
      <c r="H372" s="352"/>
      <c r="I372" s="352"/>
      <c r="J372" s="352"/>
      <c r="K372" s="352"/>
      <c r="L372" s="352"/>
      <c r="M372" s="352"/>
      <c r="N372" s="352"/>
      <c r="O372" s="352"/>
      <c r="P372" s="352"/>
      <c r="Q372" s="352"/>
      <c r="R372" s="352"/>
      <c r="S372" s="352"/>
      <c r="T372" s="352"/>
      <c r="U372" s="352"/>
      <c r="V372" s="352"/>
      <c r="W372" s="352"/>
      <c r="X372" s="352"/>
      <c r="Y372" s="352"/>
      <c r="Z372" s="352"/>
      <c r="AA372" s="352"/>
      <c r="AB372" s="352"/>
      <c r="AC372" s="352"/>
      <c r="AD372" s="352"/>
      <c r="AE372" s="352"/>
    </row>
    <row r="373">
      <c r="A373" s="352"/>
      <c r="B373" s="352"/>
      <c r="C373" s="352"/>
      <c r="D373" s="352"/>
      <c r="E373" s="352"/>
      <c r="F373" s="352"/>
      <c r="G373" s="352"/>
      <c r="H373" s="352"/>
      <c r="I373" s="352"/>
      <c r="J373" s="352"/>
      <c r="K373" s="352"/>
      <c r="L373" s="352"/>
      <c r="M373" s="352"/>
      <c r="N373" s="352"/>
      <c r="O373" s="352"/>
      <c r="P373" s="352"/>
      <c r="Q373" s="352"/>
      <c r="R373" s="352"/>
      <c r="S373" s="352"/>
      <c r="T373" s="352"/>
      <c r="U373" s="352"/>
      <c r="V373" s="352"/>
      <c r="W373" s="352"/>
      <c r="X373" s="352"/>
      <c r="Y373" s="352"/>
      <c r="Z373" s="352"/>
      <c r="AA373" s="352"/>
      <c r="AB373" s="352"/>
      <c r="AC373" s="352"/>
      <c r="AD373" s="352"/>
      <c r="AE373" s="352"/>
    </row>
    <row r="374">
      <c r="A374" s="352"/>
      <c r="B374" s="352"/>
      <c r="C374" s="352"/>
      <c r="D374" s="352"/>
      <c r="E374" s="352"/>
      <c r="F374" s="352"/>
      <c r="G374" s="352"/>
      <c r="H374" s="352"/>
      <c r="I374" s="352"/>
      <c r="J374" s="352"/>
      <c r="K374" s="352"/>
      <c r="L374" s="352"/>
      <c r="M374" s="352"/>
      <c r="N374" s="352"/>
      <c r="O374" s="352"/>
      <c r="P374" s="352"/>
      <c r="Q374" s="352"/>
      <c r="R374" s="352"/>
      <c r="S374" s="352"/>
      <c r="T374" s="352"/>
      <c r="U374" s="352"/>
      <c r="V374" s="352"/>
      <c r="W374" s="352"/>
      <c r="X374" s="352"/>
      <c r="Y374" s="352"/>
      <c r="Z374" s="352"/>
      <c r="AA374" s="352"/>
      <c r="AB374" s="352"/>
      <c r="AC374" s="352"/>
      <c r="AD374" s="352"/>
      <c r="AE374" s="352"/>
    </row>
    <row r="375">
      <c r="A375" s="352"/>
      <c r="B375" s="352"/>
      <c r="C375" s="352"/>
      <c r="D375" s="352"/>
      <c r="E375" s="352"/>
      <c r="F375" s="352"/>
      <c r="G375" s="352"/>
      <c r="H375" s="352"/>
      <c r="I375" s="352"/>
      <c r="J375" s="352"/>
      <c r="K375" s="352"/>
      <c r="L375" s="352"/>
      <c r="M375" s="352"/>
      <c r="N375" s="352"/>
      <c r="O375" s="352"/>
      <c r="P375" s="352"/>
      <c r="Q375" s="352"/>
      <c r="R375" s="352"/>
      <c r="S375" s="352"/>
      <c r="T375" s="352"/>
      <c r="U375" s="352"/>
      <c r="V375" s="352"/>
      <c r="W375" s="352"/>
      <c r="X375" s="352"/>
      <c r="Y375" s="352"/>
      <c r="Z375" s="352"/>
      <c r="AA375" s="352"/>
      <c r="AB375" s="352"/>
      <c r="AC375" s="352"/>
      <c r="AD375" s="352"/>
      <c r="AE375" s="352"/>
    </row>
    <row r="376">
      <c r="A376" s="352"/>
      <c r="B376" s="352"/>
      <c r="C376" s="352"/>
      <c r="D376" s="352"/>
      <c r="E376" s="352"/>
      <c r="F376" s="352"/>
      <c r="G376" s="352"/>
      <c r="H376" s="352"/>
      <c r="I376" s="352"/>
      <c r="J376" s="352"/>
      <c r="K376" s="352"/>
      <c r="L376" s="352"/>
      <c r="M376" s="352"/>
      <c r="N376" s="352"/>
      <c r="O376" s="352"/>
      <c r="P376" s="352"/>
      <c r="Q376" s="352"/>
      <c r="R376" s="352"/>
      <c r="S376" s="352"/>
      <c r="T376" s="352"/>
      <c r="U376" s="352"/>
      <c r="V376" s="352"/>
      <c r="W376" s="352"/>
      <c r="X376" s="352"/>
      <c r="Y376" s="352"/>
      <c r="Z376" s="352"/>
      <c r="AA376" s="352"/>
      <c r="AB376" s="352"/>
      <c r="AC376" s="352"/>
      <c r="AD376" s="352"/>
      <c r="AE376" s="352"/>
    </row>
    <row r="377">
      <c r="A377" s="352"/>
      <c r="B377" s="352"/>
      <c r="C377" s="352"/>
      <c r="D377" s="352"/>
      <c r="E377" s="352"/>
      <c r="F377" s="352"/>
      <c r="G377" s="352"/>
      <c r="H377" s="352"/>
      <c r="I377" s="352"/>
      <c r="J377" s="352"/>
      <c r="K377" s="352"/>
      <c r="L377" s="352"/>
      <c r="M377" s="352"/>
      <c r="N377" s="352"/>
      <c r="O377" s="352"/>
      <c r="P377" s="352"/>
      <c r="Q377" s="352"/>
      <c r="R377" s="352"/>
      <c r="S377" s="352"/>
      <c r="T377" s="352"/>
      <c r="U377" s="352"/>
      <c r="V377" s="352"/>
      <c r="W377" s="352"/>
      <c r="X377" s="352"/>
      <c r="Y377" s="352"/>
      <c r="Z377" s="352"/>
      <c r="AA377" s="352"/>
      <c r="AB377" s="352"/>
      <c r="AC377" s="352"/>
      <c r="AD377" s="352"/>
      <c r="AE377" s="352"/>
    </row>
    <row r="378">
      <c r="A378" s="352"/>
      <c r="B378" s="352"/>
      <c r="C378" s="352"/>
      <c r="D378" s="352"/>
      <c r="E378" s="352"/>
      <c r="F378" s="352"/>
      <c r="G378" s="352"/>
      <c r="H378" s="352"/>
      <c r="I378" s="352"/>
      <c r="J378" s="352"/>
      <c r="K378" s="352"/>
      <c r="L378" s="352"/>
      <c r="M378" s="352"/>
      <c r="N378" s="352"/>
      <c r="O378" s="352"/>
      <c r="P378" s="352"/>
      <c r="Q378" s="352"/>
      <c r="R378" s="352"/>
      <c r="S378" s="352"/>
      <c r="T378" s="352"/>
      <c r="U378" s="352"/>
      <c r="V378" s="352"/>
      <c r="W378" s="352"/>
      <c r="X378" s="352"/>
      <c r="Y378" s="352"/>
      <c r="Z378" s="352"/>
      <c r="AA378" s="352"/>
      <c r="AB378" s="352"/>
      <c r="AC378" s="352"/>
      <c r="AD378" s="352"/>
      <c r="AE378" s="352"/>
    </row>
    <row r="379">
      <c r="A379" s="352"/>
      <c r="B379" s="352"/>
      <c r="C379" s="352"/>
      <c r="D379" s="352"/>
      <c r="E379" s="352"/>
      <c r="F379" s="352"/>
      <c r="G379" s="352"/>
      <c r="H379" s="352"/>
      <c r="I379" s="352"/>
      <c r="J379" s="352"/>
      <c r="K379" s="352"/>
      <c r="L379" s="352"/>
      <c r="M379" s="352"/>
      <c r="N379" s="352"/>
      <c r="O379" s="352"/>
      <c r="P379" s="352"/>
      <c r="Q379" s="352"/>
      <c r="R379" s="352"/>
      <c r="S379" s="352"/>
      <c r="T379" s="352"/>
      <c r="U379" s="352"/>
      <c r="V379" s="352"/>
      <c r="W379" s="352"/>
      <c r="X379" s="352"/>
      <c r="Y379" s="352"/>
      <c r="Z379" s="352"/>
      <c r="AA379" s="352"/>
      <c r="AB379" s="352"/>
      <c r="AC379" s="352"/>
      <c r="AD379" s="352"/>
      <c r="AE379" s="352"/>
    </row>
    <row r="380">
      <c r="A380" s="352"/>
      <c r="B380" s="352"/>
      <c r="C380" s="352"/>
      <c r="D380" s="352"/>
      <c r="E380" s="352"/>
      <c r="F380" s="352"/>
      <c r="G380" s="352"/>
      <c r="H380" s="352"/>
      <c r="I380" s="352"/>
      <c r="J380" s="352"/>
      <c r="K380" s="352"/>
      <c r="L380" s="352"/>
      <c r="M380" s="352"/>
      <c r="N380" s="352"/>
      <c r="O380" s="352"/>
      <c r="P380" s="352"/>
      <c r="Q380" s="352"/>
      <c r="R380" s="352"/>
      <c r="S380" s="352"/>
      <c r="T380" s="352"/>
      <c r="U380" s="352"/>
      <c r="V380" s="352"/>
      <c r="W380" s="352"/>
      <c r="X380" s="352"/>
      <c r="Y380" s="352"/>
      <c r="Z380" s="352"/>
      <c r="AA380" s="352"/>
      <c r="AB380" s="352"/>
      <c r="AC380" s="352"/>
      <c r="AD380" s="352"/>
      <c r="AE380" s="352"/>
    </row>
    <row r="381">
      <c r="A381" s="352"/>
      <c r="B381" s="352"/>
      <c r="C381" s="352"/>
      <c r="D381" s="352"/>
      <c r="E381" s="352"/>
      <c r="F381" s="352"/>
      <c r="G381" s="352"/>
      <c r="H381" s="352"/>
      <c r="I381" s="352"/>
      <c r="J381" s="352"/>
      <c r="K381" s="352"/>
      <c r="L381" s="352"/>
      <c r="M381" s="352"/>
      <c r="N381" s="352"/>
      <c r="O381" s="352"/>
      <c r="P381" s="352"/>
      <c r="Q381" s="352"/>
      <c r="R381" s="352"/>
      <c r="S381" s="352"/>
      <c r="T381" s="352"/>
      <c r="U381" s="352"/>
      <c r="V381" s="352"/>
      <c r="W381" s="352"/>
      <c r="X381" s="352"/>
      <c r="Y381" s="352"/>
      <c r="Z381" s="352"/>
      <c r="AA381" s="352"/>
      <c r="AB381" s="352"/>
      <c r="AC381" s="352"/>
      <c r="AD381" s="352"/>
      <c r="AE381" s="352"/>
    </row>
    <row r="382">
      <c r="A382" s="352"/>
      <c r="B382" s="352"/>
      <c r="C382" s="352"/>
      <c r="D382" s="352"/>
      <c r="E382" s="352"/>
      <c r="F382" s="352"/>
      <c r="G382" s="352"/>
      <c r="H382" s="352"/>
      <c r="I382" s="352"/>
      <c r="J382" s="352"/>
      <c r="K382" s="352"/>
      <c r="L382" s="352"/>
      <c r="M382" s="352"/>
      <c r="N382" s="352"/>
      <c r="O382" s="352"/>
      <c r="P382" s="352"/>
      <c r="Q382" s="352"/>
      <c r="R382" s="352"/>
      <c r="S382" s="352"/>
      <c r="T382" s="352"/>
      <c r="U382" s="352"/>
      <c r="V382" s="352"/>
      <c r="W382" s="352"/>
      <c r="X382" s="352"/>
      <c r="Y382" s="352"/>
      <c r="Z382" s="352"/>
      <c r="AA382" s="352"/>
      <c r="AB382" s="352"/>
      <c r="AC382" s="352"/>
      <c r="AD382" s="352"/>
      <c r="AE382" s="352"/>
    </row>
    <row r="383">
      <c r="A383" s="352"/>
      <c r="B383" s="352"/>
      <c r="C383" s="352"/>
      <c r="D383" s="352"/>
      <c r="E383" s="352"/>
      <c r="F383" s="352"/>
      <c r="G383" s="352"/>
      <c r="H383" s="352"/>
      <c r="I383" s="352"/>
      <c r="J383" s="352"/>
      <c r="K383" s="352"/>
      <c r="L383" s="352"/>
      <c r="M383" s="352"/>
      <c r="N383" s="352"/>
      <c r="O383" s="352"/>
      <c r="P383" s="352"/>
      <c r="Q383" s="352"/>
      <c r="R383" s="352"/>
      <c r="S383" s="352"/>
      <c r="T383" s="352"/>
      <c r="U383" s="352"/>
      <c r="V383" s="352"/>
      <c r="W383" s="352"/>
      <c r="X383" s="352"/>
      <c r="Y383" s="352"/>
      <c r="Z383" s="352"/>
      <c r="AA383" s="352"/>
      <c r="AB383" s="352"/>
      <c r="AC383" s="352"/>
      <c r="AD383" s="352"/>
      <c r="AE383" s="352"/>
    </row>
    <row r="384">
      <c r="A384" s="352"/>
      <c r="B384" s="352"/>
      <c r="C384" s="352"/>
      <c r="D384" s="352"/>
      <c r="E384" s="352"/>
      <c r="F384" s="352"/>
      <c r="G384" s="352"/>
      <c r="H384" s="352"/>
      <c r="I384" s="352"/>
      <c r="J384" s="352"/>
      <c r="K384" s="352"/>
      <c r="L384" s="352"/>
      <c r="M384" s="352"/>
      <c r="N384" s="352"/>
      <c r="O384" s="352"/>
      <c r="P384" s="352"/>
      <c r="Q384" s="352"/>
      <c r="R384" s="352"/>
      <c r="S384" s="352"/>
      <c r="T384" s="352"/>
      <c r="U384" s="352"/>
      <c r="V384" s="352"/>
      <c r="W384" s="352"/>
      <c r="X384" s="352"/>
      <c r="Y384" s="352"/>
      <c r="Z384" s="352"/>
      <c r="AA384" s="352"/>
      <c r="AB384" s="352"/>
      <c r="AC384" s="352"/>
      <c r="AD384" s="352"/>
      <c r="AE384" s="352"/>
    </row>
    <row r="385">
      <c r="A385" s="352"/>
      <c r="B385" s="352"/>
      <c r="C385" s="352"/>
      <c r="D385" s="352"/>
      <c r="E385" s="352"/>
      <c r="F385" s="352"/>
      <c r="G385" s="352"/>
      <c r="H385" s="352"/>
      <c r="I385" s="352"/>
      <c r="J385" s="352"/>
      <c r="K385" s="352"/>
      <c r="L385" s="352"/>
      <c r="M385" s="352"/>
      <c r="N385" s="352"/>
      <c r="O385" s="352"/>
      <c r="P385" s="352"/>
      <c r="Q385" s="352"/>
      <c r="R385" s="352"/>
      <c r="S385" s="352"/>
      <c r="T385" s="352"/>
      <c r="U385" s="352"/>
      <c r="V385" s="352"/>
      <c r="W385" s="352"/>
      <c r="X385" s="352"/>
      <c r="Y385" s="352"/>
      <c r="Z385" s="352"/>
      <c r="AA385" s="352"/>
      <c r="AB385" s="352"/>
      <c r="AC385" s="352"/>
      <c r="AD385" s="352"/>
      <c r="AE385" s="352"/>
    </row>
    <row r="386">
      <c r="A386" s="352"/>
      <c r="B386" s="352"/>
      <c r="C386" s="352"/>
      <c r="D386" s="352"/>
      <c r="E386" s="352"/>
      <c r="F386" s="352"/>
      <c r="G386" s="352"/>
      <c r="H386" s="352"/>
      <c r="I386" s="352"/>
      <c r="J386" s="352"/>
      <c r="K386" s="352"/>
      <c r="L386" s="352"/>
      <c r="M386" s="352"/>
      <c r="N386" s="352"/>
      <c r="O386" s="352"/>
      <c r="P386" s="352"/>
      <c r="Q386" s="352"/>
      <c r="R386" s="352"/>
      <c r="S386" s="352"/>
      <c r="T386" s="352"/>
      <c r="U386" s="352"/>
      <c r="V386" s="352"/>
      <c r="W386" s="352"/>
      <c r="X386" s="352"/>
      <c r="Y386" s="352"/>
      <c r="Z386" s="352"/>
      <c r="AA386" s="352"/>
      <c r="AB386" s="352"/>
      <c r="AC386" s="352"/>
      <c r="AD386" s="352"/>
      <c r="AE386" s="352"/>
    </row>
    <row r="387">
      <c r="A387" s="352"/>
      <c r="B387" s="352"/>
      <c r="C387" s="352"/>
      <c r="D387" s="352"/>
      <c r="E387" s="352"/>
      <c r="F387" s="352"/>
      <c r="G387" s="352"/>
      <c r="H387" s="352"/>
      <c r="I387" s="352"/>
      <c r="J387" s="352"/>
      <c r="K387" s="352"/>
      <c r="L387" s="352"/>
      <c r="M387" s="352"/>
      <c r="N387" s="352"/>
      <c r="O387" s="352"/>
      <c r="P387" s="352"/>
      <c r="Q387" s="352"/>
      <c r="R387" s="352"/>
      <c r="S387" s="352"/>
      <c r="T387" s="352"/>
      <c r="U387" s="352"/>
      <c r="V387" s="352"/>
      <c r="W387" s="352"/>
      <c r="X387" s="352"/>
      <c r="Y387" s="352"/>
      <c r="Z387" s="352"/>
      <c r="AA387" s="352"/>
      <c r="AB387" s="352"/>
      <c r="AC387" s="352"/>
      <c r="AD387" s="352"/>
      <c r="AE387" s="352"/>
    </row>
    <row r="388">
      <c r="A388" s="352"/>
      <c r="B388" s="352"/>
      <c r="C388" s="352"/>
      <c r="D388" s="352"/>
      <c r="E388" s="352"/>
      <c r="F388" s="352"/>
      <c r="G388" s="352"/>
      <c r="H388" s="352"/>
      <c r="I388" s="352"/>
      <c r="J388" s="352"/>
      <c r="K388" s="352"/>
      <c r="L388" s="352"/>
      <c r="M388" s="352"/>
      <c r="N388" s="352"/>
      <c r="O388" s="352"/>
      <c r="P388" s="352"/>
      <c r="Q388" s="352"/>
      <c r="R388" s="352"/>
      <c r="S388" s="352"/>
      <c r="T388" s="352"/>
      <c r="U388" s="352"/>
      <c r="V388" s="352"/>
      <c r="W388" s="352"/>
      <c r="X388" s="352"/>
      <c r="Y388" s="352"/>
      <c r="Z388" s="352"/>
      <c r="AA388" s="352"/>
      <c r="AB388" s="352"/>
      <c r="AC388" s="352"/>
      <c r="AD388" s="352"/>
      <c r="AE388" s="352"/>
    </row>
    <row r="389">
      <c r="A389" s="352"/>
      <c r="B389" s="352"/>
      <c r="C389" s="352"/>
      <c r="D389" s="352"/>
      <c r="E389" s="352"/>
      <c r="F389" s="352"/>
      <c r="G389" s="352"/>
      <c r="H389" s="352"/>
      <c r="I389" s="352"/>
      <c r="J389" s="352"/>
      <c r="K389" s="352"/>
      <c r="L389" s="352"/>
      <c r="M389" s="352"/>
      <c r="N389" s="352"/>
      <c r="O389" s="352"/>
      <c r="P389" s="352"/>
      <c r="Q389" s="352"/>
      <c r="R389" s="352"/>
      <c r="S389" s="352"/>
      <c r="T389" s="352"/>
      <c r="U389" s="352"/>
      <c r="V389" s="352"/>
      <c r="W389" s="352"/>
      <c r="X389" s="352"/>
      <c r="Y389" s="352"/>
      <c r="Z389" s="352"/>
      <c r="AA389" s="352"/>
      <c r="AB389" s="352"/>
      <c r="AC389" s="352"/>
      <c r="AD389" s="352"/>
      <c r="AE389" s="352"/>
    </row>
    <row r="390">
      <c r="A390" s="352"/>
      <c r="B390" s="352"/>
      <c r="C390" s="352"/>
      <c r="D390" s="352"/>
      <c r="E390" s="352"/>
      <c r="F390" s="352"/>
      <c r="G390" s="352"/>
      <c r="H390" s="352"/>
      <c r="I390" s="352"/>
      <c r="J390" s="352"/>
      <c r="K390" s="352"/>
      <c r="L390" s="352"/>
      <c r="M390" s="352"/>
      <c r="N390" s="352"/>
      <c r="O390" s="352"/>
      <c r="P390" s="352"/>
      <c r="Q390" s="352"/>
      <c r="R390" s="352"/>
      <c r="S390" s="352"/>
      <c r="T390" s="352"/>
      <c r="U390" s="352"/>
      <c r="V390" s="352"/>
      <c r="W390" s="352"/>
      <c r="X390" s="352"/>
      <c r="Y390" s="352"/>
      <c r="Z390" s="352"/>
      <c r="AA390" s="352"/>
      <c r="AB390" s="352"/>
      <c r="AC390" s="352"/>
      <c r="AD390" s="352"/>
      <c r="AE390" s="352"/>
    </row>
    <row r="391">
      <c r="A391" s="352"/>
      <c r="B391" s="352"/>
      <c r="C391" s="352"/>
      <c r="D391" s="352"/>
      <c r="E391" s="352"/>
      <c r="F391" s="352"/>
      <c r="G391" s="352"/>
      <c r="H391" s="352"/>
      <c r="I391" s="352"/>
      <c r="J391" s="352"/>
      <c r="K391" s="352"/>
      <c r="L391" s="352"/>
      <c r="M391" s="352"/>
      <c r="N391" s="352"/>
      <c r="O391" s="352"/>
      <c r="P391" s="352"/>
      <c r="Q391" s="352"/>
      <c r="R391" s="352"/>
      <c r="S391" s="352"/>
      <c r="T391" s="352"/>
      <c r="U391" s="352"/>
      <c r="V391" s="352"/>
      <c r="W391" s="352"/>
      <c r="X391" s="352"/>
      <c r="Y391" s="352"/>
      <c r="Z391" s="352"/>
      <c r="AA391" s="352"/>
      <c r="AB391" s="352"/>
      <c r="AC391" s="352"/>
      <c r="AD391" s="352"/>
      <c r="AE391" s="352"/>
    </row>
    <row r="392">
      <c r="A392" s="352"/>
      <c r="B392" s="352"/>
      <c r="C392" s="352"/>
      <c r="D392" s="352"/>
      <c r="E392" s="352"/>
      <c r="F392" s="352"/>
      <c r="G392" s="352"/>
      <c r="H392" s="352"/>
      <c r="I392" s="352"/>
      <c r="J392" s="352"/>
      <c r="K392" s="352"/>
      <c r="L392" s="352"/>
      <c r="M392" s="352"/>
      <c r="N392" s="352"/>
      <c r="O392" s="352"/>
      <c r="P392" s="352"/>
      <c r="Q392" s="352"/>
      <c r="R392" s="352"/>
      <c r="S392" s="352"/>
      <c r="T392" s="352"/>
      <c r="U392" s="352"/>
      <c r="V392" s="352"/>
      <c r="W392" s="352"/>
      <c r="X392" s="352"/>
      <c r="Y392" s="352"/>
      <c r="Z392" s="352"/>
      <c r="AA392" s="352"/>
      <c r="AB392" s="352"/>
      <c r="AC392" s="352"/>
      <c r="AD392" s="352"/>
      <c r="AE392" s="352"/>
    </row>
    <row r="393">
      <c r="A393" s="352"/>
      <c r="B393" s="352"/>
      <c r="C393" s="352"/>
      <c r="D393" s="352"/>
      <c r="E393" s="352"/>
      <c r="F393" s="352"/>
      <c r="G393" s="352"/>
      <c r="H393" s="352"/>
      <c r="I393" s="352"/>
      <c r="J393" s="352"/>
      <c r="K393" s="352"/>
      <c r="L393" s="352"/>
      <c r="M393" s="352"/>
      <c r="N393" s="352"/>
      <c r="O393" s="352"/>
      <c r="P393" s="352"/>
      <c r="Q393" s="352"/>
      <c r="R393" s="352"/>
      <c r="S393" s="352"/>
      <c r="T393" s="352"/>
      <c r="U393" s="352"/>
      <c r="V393" s="352"/>
      <c r="W393" s="352"/>
      <c r="X393" s="352"/>
      <c r="Y393" s="352"/>
      <c r="Z393" s="352"/>
      <c r="AA393" s="352"/>
      <c r="AB393" s="352"/>
      <c r="AC393" s="352"/>
      <c r="AD393" s="352"/>
      <c r="AE393" s="352"/>
    </row>
    <row r="394">
      <c r="A394" s="352"/>
      <c r="B394" s="352"/>
      <c r="C394" s="352"/>
      <c r="D394" s="352"/>
      <c r="E394" s="352"/>
      <c r="F394" s="352"/>
      <c r="G394" s="352"/>
      <c r="H394" s="352"/>
      <c r="I394" s="352"/>
      <c r="J394" s="352"/>
      <c r="K394" s="352"/>
      <c r="L394" s="352"/>
      <c r="M394" s="352"/>
      <c r="N394" s="352"/>
      <c r="O394" s="352"/>
      <c r="P394" s="352"/>
      <c r="Q394" s="352"/>
      <c r="R394" s="352"/>
      <c r="S394" s="352"/>
      <c r="T394" s="352"/>
      <c r="U394" s="352"/>
      <c r="V394" s="352"/>
      <c r="W394" s="352"/>
      <c r="X394" s="352"/>
      <c r="Y394" s="352"/>
      <c r="Z394" s="352"/>
      <c r="AA394" s="352"/>
      <c r="AB394" s="352"/>
      <c r="AC394" s="352"/>
      <c r="AD394" s="352"/>
      <c r="AE394" s="352"/>
    </row>
    <row r="395">
      <c r="A395" s="352"/>
      <c r="B395" s="352"/>
      <c r="C395" s="352"/>
      <c r="D395" s="352"/>
      <c r="E395" s="352"/>
      <c r="F395" s="352"/>
      <c r="G395" s="352"/>
      <c r="H395" s="352"/>
      <c r="I395" s="352"/>
      <c r="J395" s="352"/>
      <c r="K395" s="352"/>
      <c r="L395" s="352"/>
      <c r="M395" s="352"/>
      <c r="N395" s="352"/>
      <c r="O395" s="352"/>
      <c r="P395" s="352"/>
      <c r="Q395" s="352"/>
      <c r="R395" s="352"/>
      <c r="S395" s="352"/>
      <c r="T395" s="352"/>
      <c r="U395" s="352"/>
      <c r="V395" s="352"/>
      <c r="W395" s="352"/>
      <c r="X395" s="352"/>
      <c r="Y395" s="352"/>
      <c r="Z395" s="352"/>
      <c r="AA395" s="352"/>
      <c r="AB395" s="352"/>
      <c r="AC395" s="352"/>
      <c r="AD395" s="352"/>
      <c r="AE395" s="352"/>
    </row>
    <row r="396">
      <c r="A396" s="352"/>
      <c r="B396" s="352"/>
      <c r="C396" s="352"/>
      <c r="D396" s="352"/>
      <c r="E396" s="352"/>
      <c r="F396" s="352"/>
      <c r="G396" s="352"/>
      <c r="H396" s="352"/>
      <c r="I396" s="352"/>
      <c r="J396" s="352"/>
      <c r="K396" s="352"/>
      <c r="L396" s="352"/>
      <c r="M396" s="352"/>
      <c r="N396" s="352"/>
      <c r="O396" s="352"/>
      <c r="P396" s="352"/>
      <c r="Q396" s="352"/>
      <c r="R396" s="352"/>
      <c r="S396" s="352"/>
      <c r="T396" s="352"/>
      <c r="U396" s="352"/>
      <c r="V396" s="352"/>
      <c r="W396" s="352"/>
      <c r="X396" s="352"/>
      <c r="Y396" s="352"/>
      <c r="Z396" s="352"/>
      <c r="AA396" s="352"/>
      <c r="AB396" s="352"/>
      <c r="AC396" s="352"/>
      <c r="AD396" s="352"/>
      <c r="AE396" s="352"/>
    </row>
    <row r="397">
      <c r="A397" s="352"/>
      <c r="B397" s="352"/>
      <c r="C397" s="352"/>
      <c r="D397" s="352"/>
      <c r="E397" s="352"/>
      <c r="F397" s="352"/>
      <c r="G397" s="352"/>
      <c r="H397" s="352"/>
      <c r="I397" s="352"/>
      <c r="J397" s="352"/>
      <c r="K397" s="352"/>
      <c r="L397" s="352"/>
      <c r="M397" s="352"/>
      <c r="N397" s="352"/>
      <c r="O397" s="352"/>
      <c r="P397" s="352"/>
      <c r="Q397" s="352"/>
      <c r="R397" s="352"/>
      <c r="S397" s="352"/>
      <c r="T397" s="352"/>
      <c r="U397" s="352"/>
      <c r="V397" s="352"/>
      <c r="W397" s="352"/>
      <c r="X397" s="352"/>
      <c r="Y397" s="352"/>
      <c r="Z397" s="352"/>
      <c r="AA397" s="352"/>
      <c r="AB397" s="352"/>
      <c r="AC397" s="352"/>
      <c r="AD397" s="352"/>
      <c r="AE397" s="352"/>
    </row>
    <row r="398">
      <c r="A398" s="352"/>
      <c r="B398" s="352"/>
      <c r="C398" s="352"/>
      <c r="D398" s="352"/>
      <c r="E398" s="352"/>
      <c r="F398" s="352"/>
      <c r="G398" s="352"/>
      <c r="H398" s="352"/>
      <c r="I398" s="352"/>
      <c r="J398" s="352"/>
      <c r="K398" s="352"/>
      <c r="L398" s="352"/>
      <c r="M398" s="352"/>
      <c r="N398" s="352"/>
      <c r="O398" s="352"/>
      <c r="P398" s="352"/>
      <c r="Q398" s="352"/>
      <c r="R398" s="352"/>
      <c r="S398" s="352"/>
      <c r="T398" s="352"/>
      <c r="U398" s="352"/>
      <c r="V398" s="352"/>
      <c r="W398" s="352"/>
      <c r="X398" s="352"/>
      <c r="Y398" s="352"/>
      <c r="Z398" s="352"/>
      <c r="AA398" s="352"/>
      <c r="AB398" s="352"/>
      <c r="AC398" s="352"/>
      <c r="AD398" s="352"/>
      <c r="AE398" s="352"/>
    </row>
    <row r="399">
      <c r="A399" s="352"/>
      <c r="B399" s="352"/>
      <c r="C399" s="352"/>
      <c r="D399" s="352"/>
      <c r="E399" s="352"/>
      <c r="F399" s="352"/>
      <c r="G399" s="352"/>
      <c r="H399" s="352"/>
      <c r="I399" s="352"/>
      <c r="J399" s="352"/>
      <c r="K399" s="352"/>
      <c r="L399" s="352"/>
      <c r="M399" s="352"/>
      <c r="N399" s="352"/>
      <c r="O399" s="352"/>
      <c r="P399" s="352"/>
      <c r="Q399" s="352"/>
      <c r="R399" s="352"/>
      <c r="S399" s="352"/>
      <c r="T399" s="352"/>
      <c r="U399" s="352"/>
      <c r="V399" s="352"/>
      <c r="W399" s="352"/>
      <c r="X399" s="352"/>
      <c r="Y399" s="352"/>
      <c r="Z399" s="352"/>
      <c r="AA399" s="352"/>
      <c r="AB399" s="352"/>
      <c r="AC399" s="352"/>
      <c r="AD399" s="352"/>
      <c r="AE399" s="352"/>
    </row>
    <row r="400">
      <c r="A400" s="352"/>
      <c r="B400" s="352"/>
      <c r="C400" s="352"/>
      <c r="D400" s="352"/>
      <c r="E400" s="352"/>
      <c r="F400" s="352"/>
      <c r="G400" s="352"/>
      <c r="H400" s="352"/>
      <c r="I400" s="352"/>
      <c r="J400" s="352"/>
      <c r="K400" s="352"/>
      <c r="L400" s="352"/>
      <c r="M400" s="352"/>
      <c r="N400" s="352"/>
      <c r="O400" s="352"/>
      <c r="P400" s="352"/>
      <c r="Q400" s="352"/>
      <c r="R400" s="352"/>
      <c r="S400" s="352"/>
      <c r="T400" s="352"/>
      <c r="U400" s="352"/>
      <c r="V400" s="352"/>
      <c r="W400" s="352"/>
      <c r="X400" s="352"/>
      <c r="Y400" s="352"/>
      <c r="Z400" s="352"/>
      <c r="AA400" s="352"/>
      <c r="AB400" s="352"/>
      <c r="AC400" s="352"/>
      <c r="AD400" s="352"/>
      <c r="AE400" s="352"/>
    </row>
    <row r="401">
      <c r="A401" s="352"/>
      <c r="B401" s="352"/>
      <c r="C401" s="352"/>
      <c r="D401" s="352"/>
      <c r="E401" s="352"/>
      <c r="F401" s="352"/>
      <c r="G401" s="352"/>
      <c r="H401" s="352"/>
      <c r="I401" s="352"/>
      <c r="J401" s="352"/>
      <c r="K401" s="352"/>
      <c r="L401" s="352"/>
      <c r="M401" s="352"/>
      <c r="N401" s="352"/>
      <c r="O401" s="352"/>
      <c r="P401" s="352"/>
      <c r="Q401" s="352"/>
      <c r="R401" s="352"/>
      <c r="S401" s="352"/>
      <c r="T401" s="352"/>
      <c r="U401" s="352"/>
      <c r="V401" s="352"/>
      <c r="W401" s="352"/>
      <c r="X401" s="352"/>
      <c r="Y401" s="352"/>
      <c r="Z401" s="352"/>
      <c r="AA401" s="352"/>
      <c r="AB401" s="352"/>
      <c r="AC401" s="352"/>
      <c r="AD401" s="352"/>
      <c r="AE401" s="352"/>
    </row>
    <row r="402">
      <c r="A402" s="352"/>
      <c r="B402" s="352"/>
      <c r="C402" s="352"/>
      <c r="D402" s="352"/>
      <c r="E402" s="352"/>
      <c r="F402" s="352"/>
      <c r="G402" s="352"/>
      <c r="H402" s="352"/>
      <c r="I402" s="352"/>
      <c r="J402" s="352"/>
      <c r="K402" s="352"/>
      <c r="L402" s="352"/>
      <c r="M402" s="352"/>
      <c r="N402" s="352"/>
      <c r="O402" s="352"/>
      <c r="P402" s="352"/>
      <c r="Q402" s="352"/>
      <c r="R402" s="352"/>
      <c r="S402" s="352"/>
      <c r="T402" s="352"/>
      <c r="U402" s="352"/>
      <c r="V402" s="352"/>
      <c r="W402" s="352"/>
      <c r="X402" s="352"/>
      <c r="Y402" s="352"/>
      <c r="Z402" s="352"/>
      <c r="AA402" s="352"/>
      <c r="AB402" s="352"/>
      <c r="AC402" s="352"/>
      <c r="AD402" s="352"/>
      <c r="AE402" s="352"/>
    </row>
    <row r="403">
      <c r="A403" s="352"/>
      <c r="B403" s="352"/>
      <c r="C403" s="352"/>
      <c r="D403" s="352"/>
      <c r="E403" s="352"/>
      <c r="F403" s="352"/>
      <c r="G403" s="352"/>
      <c r="H403" s="352"/>
      <c r="I403" s="352"/>
      <c r="J403" s="352"/>
      <c r="K403" s="352"/>
      <c r="L403" s="352"/>
      <c r="M403" s="352"/>
      <c r="N403" s="352"/>
      <c r="O403" s="352"/>
      <c r="P403" s="352"/>
      <c r="Q403" s="352"/>
      <c r="R403" s="352"/>
      <c r="S403" s="352"/>
      <c r="T403" s="352"/>
      <c r="U403" s="352"/>
      <c r="V403" s="352"/>
      <c r="W403" s="352"/>
      <c r="X403" s="352"/>
      <c r="Y403" s="352"/>
      <c r="Z403" s="352"/>
      <c r="AA403" s="352"/>
      <c r="AB403" s="352"/>
      <c r="AC403" s="352"/>
      <c r="AD403" s="352"/>
      <c r="AE403" s="352"/>
    </row>
    <row r="404">
      <c r="A404" s="352"/>
      <c r="B404" s="352"/>
      <c r="C404" s="352"/>
      <c r="D404" s="352"/>
      <c r="E404" s="352"/>
      <c r="F404" s="352"/>
      <c r="G404" s="352"/>
      <c r="H404" s="352"/>
      <c r="I404" s="352"/>
      <c r="J404" s="352"/>
      <c r="K404" s="352"/>
      <c r="L404" s="352"/>
      <c r="M404" s="352"/>
      <c r="N404" s="352"/>
      <c r="O404" s="352"/>
      <c r="P404" s="352"/>
      <c r="Q404" s="352"/>
      <c r="R404" s="352"/>
      <c r="S404" s="352"/>
      <c r="T404" s="352"/>
      <c r="U404" s="352"/>
      <c r="V404" s="352"/>
      <c r="W404" s="352"/>
      <c r="X404" s="352"/>
      <c r="Y404" s="352"/>
      <c r="Z404" s="352"/>
      <c r="AA404" s="352"/>
      <c r="AB404" s="352"/>
      <c r="AC404" s="352"/>
      <c r="AD404" s="352"/>
      <c r="AE404" s="352"/>
    </row>
    <row r="405">
      <c r="A405" s="352"/>
      <c r="B405" s="352"/>
      <c r="C405" s="352"/>
      <c r="D405" s="352"/>
      <c r="E405" s="352"/>
      <c r="F405" s="352"/>
      <c r="G405" s="352"/>
      <c r="H405" s="352"/>
      <c r="I405" s="352"/>
      <c r="J405" s="352"/>
      <c r="K405" s="352"/>
      <c r="L405" s="352"/>
      <c r="M405" s="352"/>
      <c r="N405" s="352"/>
      <c r="O405" s="352"/>
      <c r="P405" s="352"/>
      <c r="Q405" s="352"/>
      <c r="R405" s="352"/>
      <c r="S405" s="352"/>
      <c r="T405" s="352"/>
      <c r="U405" s="352"/>
      <c r="V405" s="352"/>
      <c r="W405" s="352"/>
      <c r="X405" s="352"/>
      <c r="Y405" s="352"/>
      <c r="Z405" s="352"/>
      <c r="AA405" s="352"/>
      <c r="AB405" s="352"/>
      <c r="AC405" s="352"/>
      <c r="AD405" s="352"/>
      <c r="AE405" s="352"/>
    </row>
    <row r="406">
      <c r="A406" s="352"/>
      <c r="B406" s="352"/>
      <c r="C406" s="352"/>
      <c r="D406" s="352"/>
      <c r="E406" s="352"/>
      <c r="F406" s="352"/>
      <c r="G406" s="352"/>
      <c r="H406" s="352"/>
      <c r="I406" s="352"/>
      <c r="J406" s="352"/>
      <c r="K406" s="352"/>
      <c r="L406" s="352"/>
      <c r="M406" s="352"/>
      <c r="N406" s="352"/>
      <c r="O406" s="352"/>
      <c r="P406" s="352"/>
      <c r="Q406" s="352"/>
      <c r="R406" s="352"/>
      <c r="S406" s="352"/>
      <c r="T406" s="352"/>
      <c r="U406" s="352"/>
      <c r="V406" s="352"/>
      <c r="W406" s="352"/>
      <c r="X406" s="352"/>
      <c r="Y406" s="352"/>
      <c r="Z406" s="352"/>
      <c r="AA406" s="352"/>
      <c r="AB406" s="352"/>
      <c r="AC406" s="352"/>
      <c r="AD406" s="352"/>
      <c r="AE406" s="352"/>
    </row>
    <row r="407">
      <c r="A407" s="352"/>
      <c r="B407" s="352"/>
      <c r="C407" s="352"/>
      <c r="D407" s="352"/>
      <c r="E407" s="352"/>
      <c r="F407" s="352"/>
      <c r="G407" s="352"/>
      <c r="H407" s="352"/>
      <c r="I407" s="352"/>
      <c r="J407" s="352"/>
      <c r="K407" s="352"/>
      <c r="L407" s="352"/>
      <c r="M407" s="352"/>
      <c r="N407" s="352"/>
      <c r="O407" s="352"/>
      <c r="P407" s="352"/>
      <c r="Q407" s="352"/>
      <c r="R407" s="352"/>
      <c r="S407" s="352"/>
      <c r="T407" s="352"/>
      <c r="U407" s="352"/>
      <c r="V407" s="352"/>
      <c r="W407" s="352"/>
      <c r="X407" s="352"/>
      <c r="Y407" s="352"/>
      <c r="Z407" s="352"/>
      <c r="AA407" s="352"/>
      <c r="AB407" s="352"/>
      <c r="AC407" s="352"/>
      <c r="AD407" s="352"/>
      <c r="AE407" s="352"/>
    </row>
    <row r="408">
      <c r="A408" s="352"/>
      <c r="B408" s="352"/>
      <c r="C408" s="352"/>
      <c r="D408" s="352"/>
      <c r="E408" s="352"/>
      <c r="F408" s="352"/>
      <c r="G408" s="352"/>
      <c r="H408" s="352"/>
      <c r="I408" s="352"/>
      <c r="J408" s="352"/>
      <c r="K408" s="352"/>
      <c r="L408" s="352"/>
      <c r="M408" s="352"/>
      <c r="N408" s="352"/>
      <c r="O408" s="352"/>
      <c r="P408" s="352"/>
      <c r="Q408" s="352"/>
      <c r="R408" s="352"/>
      <c r="S408" s="352"/>
      <c r="T408" s="352"/>
      <c r="U408" s="352"/>
      <c r="V408" s="352"/>
      <c r="W408" s="352"/>
      <c r="X408" s="352"/>
      <c r="Y408" s="352"/>
      <c r="Z408" s="352"/>
      <c r="AA408" s="352"/>
      <c r="AB408" s="352"/>
      <c r="AC408" s="352"/>
      <c r="AD408" s="352"/>
      <c r="AE408" s="352"/>
    </row>
    <row r="409">
      <c r="A409" s="352"/>
      <c r="B409" s="352"/>
      <c r="C409" s="352"/>
      <c r="D409" s="352"/>
      <c r="E409" s="352"/>
      <c r="F409" s="352"/>
      <c r="G409" s="352"/>
      <c r="H409" s="352"/>
      <c r="I409" s="352"/>
      <c r="J409" s="352"/>
      <c r="K409" s="352"/>
      <c r="L409" s="352"/>
      <c r="M409" s="352"/>
      <c r="N409" s="352"/>
      <c r="O409" s="352"/>
      <c r="P409" s="352"/>
      <c r="Q409" s="352"/>
      <c r="R409" s="352"/>
      <c r="S409" s="352"/>
      <c r="T409" s="352"/>
      <c r="U409" s="352"/>
      <c r="V409" s="352"/>
      <c r="W409" s="352"/>
      <c r="X409" s="352"/>
      <c r="Y409" s="352"/>
      <c r="Z409" s="352"/>
      <c r="AA409" s="352"/>
      <c r="AB409" s="352"/>
      <c r="AC409" s="352"/>
      <c r="AD409" s="352"/>
      <c r="AE409" s="352"/>
    </row>
    <row r="410">
      <c r="A410" s="352"/>
      <c r="B410" s="352"/>
      <c r="C410" s="352"/>
      <c r="D410" s="352"/>
      <c r="E410" s="352"/>
      <c r="F410" s="352"/>
      <c r="G410" s="352"/>
      <c r="H410" s="352"/>
      <c r="I410" s="352"/>
      <c r="J410" s="352"/>
      <c r="K410" s="352"/>
      <c r="L410" s="352"/>
      <c r="M410" s="352"/>
      <c r="N410" s="352"/>
      <c r="O410" s="352"/>
      <c r="P410" s="352"/>
      <c r="Q410" s="352"/>
      <c r="R410" s="352"/>
      <c r="S410" s="352"/>
      <c r="T410" s="352"/>
      <c r="U410" s="352"/>
      <c r="V410" s="352"/>
      <c r="W410" s="352"/>
      <c r="X410" s="352"/>
      <c r="Y410" s="352"/>
      <c r="Z410" s="352"/>
      <c r="AA410" s="352"/>
      <c r="AB410" s="352"/>
      <c r="AC410" s="352"/>
      <c r="AD410" s="352"/>
      <c r="AE410" s="352"/>
    </row>
    <row r="411">
      <c r="A411" s="352"/>
      <c r="B411" s="352"/>
      <c r="C411" s="352"/>
      <c r="D411" s="352"/>
      <c r="E411" s="352"/>
      <c r="F411" s="352"/>
      <c r="G411" s="352"/>
      <c r="H411" s="352"/>
      <c r="I411" s="352"/>
      <c r="J411" s="352"/>
      <c r="K411" s="352"/>
      <c r="L411" s="352"/>
      <c r="M411" s="352"/>
      <c r="N411" s="352"/>
      <c r="O411" s="352"/>
      <c r="P411" s="352"/>
      <c r="Q411" s="352"/>
      <c r="R411" s="352"/>
      <c r="S411" s="352"/>
      <c r="T411" s="352"/>
      <c r="U411" s="352"/>
      <c r="V411" s="352"/>
      <c r="W411" s="352"/>
      <c r="X411" s="352"/>
      <c r="Y411" s="352"/>
      <c r="Z411" s="352"/>
      <c r="AA411" s="352"/>
      <c r="AB411" s="352"/>
      <c r="AC411" s="352"/>
      <c r="AD411" s="352"/>
      <c r="AE411" s="352"/>
    </row>
    <row r="412">
      <c r="A412" s="352"/>
      <c r="B412" s="352"/>
      <c r="C412" s="352"/>
      <c r="D412" s="352"/>
      <c r="E412" s="352"/>
      <c r="F412" s="352"/>
      <c r="G412" s="352"/>
      <c r="H412" s="352"/>
      <c r="I412" s="352"/>
      <c r="J412" s="352"/>
      <c r="K412" s="352"/>
      <c r="L412" s="352"/>
      <c r="M412" s="352"/>
      <c r="N412" s="352"/>
      <c r="O412" s="352"/>
      <c r="P412" s="352"/>
      <c r="Q412" s="352"/>
      <c r="R412" s="352"/>
      <c r="S412" s="352"/>
      <c r="T412" s="352"/>
      <c r="U412" s="352"/>
      <c r="V412" s="352"/>
      <c r="W412" s="352"/>
      <c r="X412" s="352"/>
      <c r="Y412" s="352"/>
      <c r="Z412" s="352"/>
      <c r="AA412" s="352"/>
      <c r="AB412" s="352"/>
      <c r="AC412" s="352"/>
      <c r="AD412" s="352"/>
      <c r="AE412" s="352"/>
    </row>
    <row r="413">
      <c r="A413" s="352"/>
      <c r="B413" s="352"/>
      <c r="C413" s="352"/>
      <c r="D413" s="352"/>
      <c r="E413" s="352"/>
      <c r="F413" s="352"/>
      <c r="G413" s="352"/>
      <c r="H413" s="352"/>
      <c r="I413" s="352"/>
      <c r="J413" s="352"/>
      <c r="K413" s="352"/>
      <c r="L413" s="352"/>
      <c r="M413" s="352"/>
      <c r="N413" s="352"/>
      <c r="O413" s="352"/>
      <c r="P413" s="352"/>
      <c r="Q413" s="352"/>
      <c r="R413" s="352"/>
      <c r="S413" s="352"/>
      <c r="T413" s="352"/>
      <c r="U413" s="352"/>
      <c r="V413" s="352"/>
      <c r="W413" s="352"/>
      <c r="X413" s="352"/>
      <c r="Y413" s="352"/>
      <c r="Z413" s="352"/>
      <c r="AA413" s="352"/>
      <c r="AB413" s="352"/>
      <c r="AC413" s="352"/>
      <c r="AD413" s="352"/>
      <c r="AE413" s="352"/>
    </row>
    <row r="414">
      <c r="A414" s="352"/>
      <c r="B414" s="352"/>
      <c r="C414" s="352"/>
      <c r="D414" s="352"/>
      <c r="E414" s="352"/>
      <c r="F414" s="352"/>
      <c r="G414" s="352"/>
      <c r="H414" s="352"/>
      <c r="I414" s="352"/>
      <c r="J414" s="352"/>
      <c r="K414" s="352"/>
      <c r="L414" s="352"/>
      <c r="M414" s="352"/>
      <c r="N414" s="352"/>
      <c r="O414" s="352"/>
      <c r="P414" s="352"/>
      <c r="Q414" s="352"/>
      <c r="R414" s="352"/>
      <c r="S414" s="352"/>
      <c r="T414" s="352"/>
      <c r="U414" s="352"/>
      <c r="V414" s="352"/>
      <c r="W414" s="352"/>
      <c r="X414" s="352"/>
      <c r="Y414" s="352"/>
      <c r="Z414" s="352"/>
      <c r="AA414" s="352"/>
      <c r="AB414" s="352"/>
      <c r="AC414" s="352"/>
      <c r="AD414" s="352"/>
      <c r="AE414" s="352"/>
    </row>
    <row r="415">
      <c r="A415" s="352"/>
      <c r="B415" s="352"/>
      <c r="C415" s="352"/>
      <c r="D415" s="352"/>
      <c r="E415" s="352"/>
      <c r="F415" s="352"/>
      <c r="G415" s="352"/>
      <c r="H415" s="352"/>
      <c r="I415" s="352"/>
      <c r="J415" s="352"/>
      <c r="K415" s="352"/>
      <c r="L415" s="352"/>
      <c r="M415" s="352"/>
      <c r="N415" s="352"/>
      <c r="O415" s="352"/>
      <c r="P415" s="352"/>
      <c r="Q415" s="352"/>
      <c r="R415" s="352"/>
      <c r="S415" s="352"/>
      <c r="T415" s="352"/>
      <c r="U415" s="352"/>
      <c r="V415" s="352"/>
      <c r="W415" s="352"/>
      <c r="X415" s="352"/>
      <c r="Y415" s="352"/>
      <c r="Z415" s="352"/>
      <c r="AA415" s="352"/>
      <c r="AB415" s="352"/>
      <c r="AC415" s="352"/>
      <c r="AD415" s="352"/>
      <c r="AE415" s="352"/>
    </row>
    <row r="416">
      <c r="A416" s="352"/>
      <c r="B416" s="352"/>
      <c r="C416" s="352"/>
      <c r="D416" s="352"/>
      <c r="E416" s="352"/>
      <c r="F416" s="352"/>
      <c r="G416" s="352"/>
      <c r="H416" s="352"/>
      <c r="I416" s="352"/>
      <c r="J416" s="352"/>
      <c r="K416" s="352"/>
      <c r="L416" s="352"/>
      <c r="M416" s="352"/>
      <c r="N416" s="352"/>
      <c r="O416" s="352"/>
      <c r="P416" s="352"/>
      <c r="Q416" s="352"/>
      <c r="R416" s="352"/>
      <c r="S416" s="352"/>
      <c r="T416" s="352"/>
      <c r="U416" s="352"/>
      <c r="V416" s="352"/>
      <c r="W416" s="352"/>
      <c r="X416" s="352"/>
      <c r="Y416" s="352"/>
      <c r="Z416" s="352"/>
      <c r="AA416" s="352"/>
      <c r="AB416" s="352"/>
      <c r="AC416" s="352"/>
      <c r="AD416" s="352"/>
      <c r="AE416" s="352"/>
    </row>
    <row r="417">
      <c r="A417" s="352"/>
      <c r="B417" s="352"/>
      <c r="C417" s="352"/>
      <c r="D417" s="352"/>
      <c r="E417" s="352"/>
      <c r="F417" s="352"/>
      <c r="G417" s="352"/>
      <c r="H417" s="352"/>
      <c r="I417" s="352"/>
      <c r="J417" s="352"/>
      <c r="K417" s="352"/>
      <c r="L417" s="352"/>
      <c r="M417" s="352"/>
      <c r="N417" s="352"/>
      <c r="O417" s="352"/>
      <c r="P417" s="352"/>
      <c r="Q417" s="352"/>
      <c r="R417" s="352"/>
      <c r="S417" s="352"/>
      <c r="T417" s="352"/>
      <c r="U417" s="352"/>
      <c r="V417" s="352"/>
      <c r="W417" s="352"/>
      <c r="X417" s="352"/>
      <c r="Y417" s="352"/>
      <c r="Z417" s="352"/>
      <c r="AA417" s="352"/>
      <c r="AB417" s="352"/>
      <c r="AC417" s="352"/>
      <c r="AD417" s="352"/>
      <c r="AE417" s="352"/>
    </row>
    <row r="418">
      <c r="A418" s="352"/>
      <c r="B418" s="352"/>
      <c r="C418" s="352"/>
      <c r="D418" s="352"/>
      <c r="E418" s="352"/>
      <c r="F418" s="352"/>
      <c r="G418" s="352"/>
      <c r="H418" s="352"/>
      <c r="I418" s="352"/>
      <c r="J418" s="352"/>
      <c r="K418" s="352"/>
      <c r="L418" s="352"/>
      <c r="M418" s="352"/>
      <c r="N418" s="352"/>
      <c r="O418" s="352"/>
      <c r="P418" s="352"/>
      <c r="Q418" s="352"/>
      <c r="R418" s="352"/>
      <c r="S418" s="352"/>
      <c r="T418" s="352"/>
      <c r="U418" s="352"/>
      <c r="V418" s="352"/>
      <c r="W418" s="352"/>
      <c r="X418" s="352"/>
      <c r="Y418" s="352"/>
      <c r="Z418" s="352"/>
      <c r="AA418" s="352"/>
      <c r="AB418" s="352"/>
      <c r="AC418" s="352"/>
      <c r="AD418" s="352"/>
      <c r="AE418" s="352"/>
    </row>
    <row r="419">
      <c r="A419" s="352"/>
      <c r="B419" s="352"/>
      <c r="C419" s="352"/>
      <c r="D419" s="352"/>
      <c r="E419" s="352"/>
      <c r="F419" s="352"/>
      <c r="G419" s="352"/>
      <c r="H419" s="352"/>
      <c r="I419" s="352"/>
      <c r="J419" s="352"/>
      <c r="K419" s="352"/>
      <c r="L419" s="352"/>
      <c r="M419" s="352"/>
      <c r="N419" s="352"/>
      <c r="O419" s="352"/>
      <c r="P419" s="352"/>
      <c r="Q419" s="352"/>
      <c r="R419" s="352"/>
      <c r="S419" s="352"/>
      <c r="T419" s="352"/>
      <c r="U419" s="352"/>
      <c r="V419" s="352"/>
      <c r="W419" s="352"/>
      <c r="X419" s="352"/>
      <c r="Y419" s="352"/>
      <c r="Z419" s="352"/>
      <c r="AA419" s="352"/>
      <c r="AB419" s="352"/>
      <c r="AC419" s="352"/>
      <c r="AD419" s="352"/>
      <c r="AE419" s="352"/>
    </row>
    <row r="420">
      <c r="A420" s="352"/>
      <c r="B420" s="352"/>
      <c r="C420" s="352"/>
      <c r="D420" s="352"/>
      <c r="E420" s="352"/>
      <c r="F420" s="352"/>
      <c r="G420" s="352"/>
      <c r="H420" s="352"/>
      <c r="I420" s="352"/>
      <c r="J420" s="352"/>
      <c r="K420" s="352"/>
      <c r="L420" s="352"/>
      <c r="M420" s="352"/>
      <c r="N420" s="352"/>
      <c r="O420" s="352"/>
      <c r="P420" s="352"/>
      <c r="Q420" s="352"/>
      <c r="R420" s="352"/>
      <c r="S420" s="352"/>
      <c r="T420" s="352"/>
      <c r="U420" s="352"/>
      <c r="V420" s="352"/>
      <c r="W420" s="352"/>
      <c r="X420" s="352"/>
      <c r="Y420" s="352"/>
      <c r="Z420" s="352"/>
      <c r="AA420" s="352"/>
      <c r="AB420" s="352"/>
      <c r="AC420" s="352"/>
      <c r="AD420" s="352"/>
      <c r="AE420" s="352"/>
    </row>
    <row r="421">
      <c r="A421" s="352"/>
      <c r="B421" s="352"/>
      <c r="C421" s="352"/>
      <c r="D421" s="352"/>
      <c r="E421" s="352"/>
      <c r="F421" s="352"/>
      <c r="G421" s="352"/>
      <c r="H421" s="352"/>
      <c r="I421" s="352"/>
      <c r="J421" s="352"/>
      <c r="K421" s="352"/>
      <c r="L421" s="352"/>
      <c r="M421" s="352"/>
      <c r="N421" s="352"/>
      <c r="O421" s="352"/>
      <c r="P421" s="352"/>
      <c r="Q421" s="352"/>
      <c r="R421" s="352"/>
      <c r="S421" s="352"/>
      <c r="T421" s="352"/>
      <c r="U421" s="352"/>
      <c r="V421" s="352"/>
      <c r="W421" s="352"/>
      <c r="X421" s="352"/>
      <c r="Y421" s="352"/>
      <c r="Z421" s="352"/>
      <c r="AA421" s="352"/>
      <c r="AB421" s="352"/>
      <c r="AC421" s="352"/>
      <c r="AD421" s="352"/>
      <c r="AE421" s="352"/>
    </row>
    <row r="422">
      <c r="A422" s="352"/>
      <c r="B422" s="352"/>
      <c r="C422" s="352"/>
      <c r="D422" s="352"/>
      <c r="E422" s="352"/>
      <c r="F422" s="352"/>
      <c r="G422" s="352"/>
      <c r="H422" s="352"/>
      <c r="I422" s="352"/>
      <c r="J422" s="352"/>
      <c r="K422" s="352"/>
      <c r="L422" s="352"/>
      <c r="M422" s="352"/>
      <c r="N422" s="352"/>
      <c r="O422" s="352"/>
      <c r="P422" s="352"/>
      <c r="Q422" s="352"/>
      <c r="R422" s="352"/>
      <c r="S422" s="352"/>
      <c r="T422" s="352"/>
      <c r="U422" s="352"/>
      <c r="V422" s="352"/>
      <c r="W422" s="352"/>
      <c r="X422" s="352"/>
      <c r="Y422" s="352"/>
      <c r="Z422" s="352"/>
      <c r="AA422" s="352"/>
      <c r="AB422" s="352"/>
      <c r="AC422" s="352"/>
      <c r="AD422" s="352"/>
      <c r="AE422" s="352"/>
    </row>
    <row r="423">
      <c r="A423" s="352"/>
      <c r="B423" s="352"/>
      <c r="C423" s="352"/>
      <c r="D423" s="352"/>
      <c r="E423" s="352"/>
      <c r="F423" s="352"/>
      <c r="G423" s="352"/>
      <c r="H423" s="352"/>
      <c r="I423" s="352"/>
      <c r="J423" s="352"/>
      <c r="K423" s="352"/>
      <c r="L423" s="352"/>
      <c r="M423" s="352"/>
      <c r="N423" s="352"/>
      <c r="O423" s="352"/>
      <c r="P423" s="352"/>
      <c r="Q423" s="352"/>
      <c r="R423" s="352"/>
      <c r="S423" s="352"/>
      <c r="T423" s="352"/>
      <c r="U423" s="352"/>
      <c r="V423" s="352"/>
      <c r="W423" s="352"/>
      <c r="X423" s="352"/>
      <c r="Y423" s="352"/>
      <c r="Z423" s="352"/>
      <c r="AA423" s="352"/>
      <c r="AB423" s="352"/>
      <c r="AC423" s="352"/>
      <c r="AD423" s="352"/>
      <c r="AE423" s="352"/>
    </row>
    <row r="424">
      <c r="A424" s="352"/>
      <c r="B424" s="352"/>
      <c r="C424" s="352"/>
      <c r="D424" s="352"/>
      <c r="E424" s="352"/>
      <c r="F424" s="352"/>
      <c r="G424" s="352"/>
      <c r="H424" s="352"/>
      <c r="I424" s="352"/>
      <c r="J424" s="352"/>
      <c r="K424" s="352"/>
      <c r="L424" s="352"/>
      <c r="M424" s="352"/>
      <c r="N424" s="352"/>
      <c r="O424" s="352"/>
      <c r="P424" s="352"/>
      <c r="Q424" s="352"/>
      <c r="R424" s="352"/>
      <c r="S424" s="352"/>
      <c r="T424" s="352"/>
      <c r="U424" s="352"/>
      <c r="V424" s="352"/>
      <c r="W424" s="352"/>
      <c r="X424" s="352"/>
      <c r="Y424" s="352"/>
      <c r="Z424" s="352"/>
      <c r="AA424" s="352"/>
      <c r="AB424" s="352"/>
      <c r="AC424" s="352"/>
      <c r="AD424" s="352"/>
      <c r="AE424" s="352"/>
    </row>
    <row r="425">
      <c r="A425" s="352"/>
      <c r="B425" s="352"/>
      <c r="C425" s="352"/>
      <c r="D425" s="352"/>
      <c r="E425" s="352"/>
      <c r="F425" s="352"/>
      <c r="G425" s="352"/>
      <c r="H425" s="352"/>
      <c r="I425" s="352"/>
      <c r="J425" s="352"/>
      <c r="K425" s="352"/>
      <c r="L425" s="352"/>
      <c r="M425" s="352"/>
      <c r="N425" s="352"/>
      <c r="O425" s="352"/>
      <c r="P425" s="352"/>
      <c r="Q425" s="352"/>
      <c r="R425" s="352"/>
      <c r="S425" s="352"/>
      <c r="T425" s="352"/>
      <c r="U425" s="352"/>
      <c r="V425" s="352"/>
      <c r="W425" s="352"/>
      <c r="X425" s="352"/>
      <c r="Y425" s="352"/>
      <c r="Z425" s="352"/>
      <c r="AA425" s="352"/>
      <c r="AB425" s="352"/>
      <c r="AC425" s="352"/>
      <c r="AD425" s="352"/>
      <c r="AE425" s="352"/>
    </row>
    <row r="426">
      <c r="A426" s="352"/>
      <c r="B426" s="352"/>
      <c r="C426" s="352"/>
      <c r="D426" s="352"/>
      <c r="E426" s="352"/>
      <c r="F426" s="352"/>
      <c r="G426" s="352"/>
      <c r="H426" s="352"/>
      <c r="I426" s="352"/>
      <c r="J426" s="352"/>
      <c r="K426" s="352"/>
      <c r="L426" s="352"/>
      <c r="M426" s="352"/>
      <c r="N426" s="352"/>
      <c r="O426" s="352"/>
      <c r="P426" s="352"/>
      <c r="Q426" s="352"/>
      <c r="R426" s="352"/>
      <c r="S426" s="352"/>
      <c r="T426" s="352"/>
      <c r="U426" s="352"/>
      <c r="V426" s="352"/>
      <c r="W426" s="352"/>
      <c r="X426" s="352"/>
      <c r="Y426" s="352"/>
      <c r="Z426" s="352"/>
      <c r="AA426" s="352"/>
      <c r="AB426" s="352"/>
      <c r="AC426" s="352"/>
      <c r="AD426" s="352"/>
      <c r="AE426" s="352"/>
    </row>
    <row r="427">
      <c r="A427" s="352"/>
      <c r="B427" s="352"/>
      <c r="C427" s="352"/>
      <c r="D427" s="352"/>
      <c r="E427" s="352"/>
      <c r="F427" s="352"/>
      <c r="G427" s="352"/>
      <c r="H427" s="352"/>
      <c r="I427" s="352"/>
      <c r="J427" s="352"/>
      <c r="K427" s="352"/>
      <c r="L427" s="352"/>
      <c r="M427" s="352"/>
      <c r="N427" s="352"/>
      <c r="O427" s="352"/>
      <c r="P427" s="352"/>
      <c r="Q427" s="352"/>
      <c r="R427" s="352"/>
      <c r="S427" s="352"/>
      <c r="T427" s="352"/>
      <c r="U427" s="352"/>
      <c r="V427" s="352"/>
      <c r="W427" s="352"/>
      <c r="X427" s="352"/>
      <c r="Y427" s="352"/>
      <c r="Z427" s="352"/>
      <c r="AA427" s="352"/>
      <c r="AB427" s="352"/>
      <c r="AC427" s="352"/>
      <c r="AD427" s="352"/>
      <c r="AE427" s="352"/>
    </row>
    <row r="428">
      <c r="A428" s="352"/>
      <c r="B428" s="352"/>
      <c r="C428" s="352"/>
      <c r="D428" s="352"/>
      <c r="E428" s="352"/>
      <c r="F428" s="352"/>
      <c r="G428" s="352"/>
      <c r="H428" s="352"/>
      <c r="I428" s="352"/>
      <c r="J428" s="352"/>
      <c r="K428" s="352"/>
      <c r="L428" s="352"/>
      <c r="M428" s="352"/>
      <c r="N428" s="352"/>
      <c r="O428" s="352"/>
      <c r="P428" s="352"/>
      <c r="Q428" s="352"/>
      <c r="R428" s="352"/>
      <c r="S428" s="352"/>
      <c r="T428" s="352"/>
      <c r="U428" s="352"/>
      <c r="V428" s="352"/>
      <c r="W428" s="352"/>
      <c r="X428" s="352"/>
      <c r="Y428" s="352"/>
      <c r="Z428" s="352"/>
      <c r="AA428" s="352"/>
      <c r="AB428" s="352"/>
      <c r="AC428" s="352"/>
      <c r="AD428" s="352"/>
      <c r="AE428" s="352"/>
    </row>
    <row r="429">
      <c r="A429" s="352"/>
      <c r="B429" s="352"/>
      <c r="C429" s="352"/>
      <c r="D429" s="352"/>
      <c r="E429" s="352"/>
      <c r="F429" s="352"/>
      <c r="G429" s="352"/>
      <c r="H429" s="352"/>
      <c r="I429" s="352"/>
      <c r="J429" s="352"/>
      <c r="K429" s="352"/>
      <c r="L429" s="352"/>
      <c r="M429" s="352"/>
      <c r="N429" s="352"/>
      <c r="O429" s="352"/>
      <c r="P429" s="352"/>
      <c r="Q429" s="352"/>
      <c r="R429" s="352"/>
      <c r="S429" s="352"/>
      <c r="T429" s="352"/>
      <c r="U429" s="352"/>
      <c r="V429" s="352"/>
      <c r="W429" s="352"/>
      <c r="X429" s="352"/>
      <c r="Y429" s="352"/>
      <c r="Z429" s="352"/>
      <c r="AA429" s="352"/>
      <c r="AB429" s="352"/>
      <c r="AC429" s="352"/>
      <c r="AD429" s="352"/>
      <c r="AE429" s="352"/>
    </row>
    <row r="430">
      <c r="A430" s="352"/>
      <c r="B430" s="352"/>
      <c r="C430" s="352"/>
      <c r="D430" s="352"/>
      <c r="E430" s="352"/>
      <c r="F430" s="352"/>
      <c r="G430" s="352"/>
      <c r="H430" s="352"/>
      <c r="I430" s="352"/>
      <c r="J430" s="352"/>
      <c r="K430" s="352"/>
      <c r="L430" s="352"/>
      <c r="M430" s="352"/>
      <c r="N430" s="352"/>
      <c r="O430" s="352"/>
      <c r="P430" s="352"/>
      <c r="Q430" s="352"/>
      <c r="R430" s="352"/>
      <c r="S430" s="352"/>
      <c r="T430" s="352"/>
      <c r="U430" s="352"/>
      <c r="V430" s="352"/>
      <c r="W430" s="352"/>
      <c r="X430" s="352"/>
      <c r="Y430" s="352"/>
      <c r="Z430" s="352"/>
      <c r="AA430" s="352"/>
      <c r="AB430" s="352"/>
      <c r="AC430" s="352"/>
      <c r="AD430" s="352"/>
      <c r="AE430" s="352"/>
    </row>
    <row r="431">
      <c r="A431" s="352"/>
      <c r="B431" s="352"/>
      <c r="C431" s="352"/>
      <c r="D431" s="352"/>
      <c r="E431" s="352"/>
      <c r="F431" s="352"/>
      <c r="G431" s="352"/>
      <c r="H431" s="352"/>
      <c r="I431" s="352"/>
      <c r="J431" s="352"/>
      <c r="K431" s="352"/>
      <c r="L431" s="352"/>
      <c r="M431" s="352"/>
      <c r="N431" s="352"/>
      <c r="O431" s="352"/>
      <c r="P431" s="352"/>
      <c r="Q431" s="352"/>
      <c r="R431" s="352"/>
      <c r="S431" s="352"/>
      <c r="T431" s="352"/>
      <c r="U431" s="352"/>
      <c r="V431" s="352"/>
      <c r="W431" s="352"/>
      <c r="X431" s="352"/>
      <c r="Y431" s="352"/>
      <c r="Z431" s="352"/>
      <c r="AA431" s="352"/>
      <c r="AB431" s="352"/>
      <c r="AC431" s="352"/>
      <c r="AD431" s="352"/>
      <c r="AE431" s="352"/>
    </row>
    <row r="432">
      <c r="A432" s="352"/>
      <c r="B432" s="352"/>
      <c r="C432" s="352"/>
      <c r="D432" s="352"/>
      <c r="E432" s="352"/>
      <c r="F432" s="352"/>
      <c r="G432" s="352"/>
      <c r="H432" s="352"/>
      <c r="I432" s="352"/>
      <c r="J432" s="352"/>
      <c r="K432" s="352"/>
      <c r="L432" s="352"/>
      <c r="M432" s="352"/>
      <c r="N432" s="352"/>
      <c r="O432" s="352"/>
      <c r="P432" s="352"/>
      <c r="Q432" s="352"/>
      <c r="R432" s="352"/>
      <c r="S432" s="352"/>
      <c r="T432" s="352"/>
      <c r="U432" s="352"/>
      <c r="V432" s="352"/>
      <c r="W432" s="352"/>
      <c r="X432" s="352"/>
      <c r="Y432" s="352"/>
      <c r="Z432" s="352"/>
      <c r="AA432" s="352"/>
      <c r="AB432" s="352"/>
      <c r="AC432" s="352"/>
      <c r="AD432" s="352"/>
      <c r="AE432" s="352"/>
    </row>
    <row r="433">
      <c r="A433" s="352"/>
      <c r="B433" s="352"/>
      <c r="C433" s="352"/>
      <c r="D433" s="352"/>
      <c r="E433" s="352"/>
      <c r="F433" s="352"/>
      <c r="G433" s="352"/>
      <c r="H433" s="352"/>
      <c r="I433" s="352"/>
      <c r="J433" s="352"/>
      <c r="K433" s="352"/>
      <c r="L433" s="352"/>
      <c r="M433" s="352"/>
      <c r="N433" s="352"/>
      <c r="O433" s="352"/>
      <c r="P433" s="352"/>
      <c r="Q433" s="352"/>
      <c r="R433" s="352"/>
      <c r="S433" s="352"/>
      <c r="T433" s="352"/>
      <c r="U433" s="352"/>
      <c r="V433" s="352"/>
      <c r="W433" s="352"/>
      <c r="X433" s="352"/>
      <c r="Y433" s="352"/>
      <c r="Z433" s="352"/>
      <c r="AA433" s="352"/>
      <c r="AB433" s="352"/>
      <c r="AC433" s="352"/>
      <c r="AD433" s="352"/>
      <c r="AE433" s="352"/>
    </row>
    <row r="434">
      <c r="A434" s="352"/>
      <c r="B434" s="352"/>
      <c r="C434" s="352"/>
      <c r="D434" s="352"/>
      <c r="E434" s="352"/>
      <c r="F434" s="352"/>
      <c r="G434" s="352"/>
      <c r="H434" s="352"/>
      <c r="I434" s="352"/>
      <c r="J434" s="352"/>
      <c r="K434" s="352"/>
      <c r="L434" s="352"/>
      <c r="M434" s="352"/>
      <c r="N434" s="352"/>
      <c r="O434" s="352"/>
      <c r="P434" s="352"/>
      <c r="Q434" s="352"/>
      <c r="R434" s="352"/>
      <c r="S434" s="352"/>
      <c r="T434" s="352"/>
      <c r="U434" s="352"/>
      <c r="V434" s="352"/>
      <c r="W434" s="352"/>
      <c r="X434" s="352"/>
      <c r="Y434" s="352"/>
      <c r="Z434" s="352"/>
      <c r="AA434" s="352"/>
      <c r="AB434" s="352"/>
      <c r="AC434" s="352"/>
      <c r="AD434" s="352"/>
      <c r="AE434" s="352"/>
    </row>
    <row r="435">
      <c r="A435" s="352"/>
      <c r="B435" s="352"/>
      <c r="C435" s="352"/>
      <c r="D435" s="352"/>
      <c r="E435" s="352"/>
      <c r="F435" s="352"/>
      <c r="G435" s="352"/>
      <c r="H435" s="352"/>
      <c r="I435" s="352"/>
      <c r="J435" s="352"/>
      <c r="K435" s="352"/>
      <c r="L435" s="352"/>
      <c r="M435" s="352"/>
      <c r="N435" s="352"/>
      <c r="O435" s="352"/>
      <c r="P435" s="352"/>
      <c r="Q435" s="352"/>
      <c r="R435" s="352"/>
      <c r="S435" s="352"/>
      <c r="T435" s="352"/>
      <c r="U435" s="352"/>
      <c r="V435" s="352"/>
      <c r="W435" s="352"/>
      <c r="X435" s="352"/>
      <c r="Y435" s="352"/>
      <c r="Z435" s="352"/>
      <c r="AA435" s="352"/>
      <c r="AB435" s="352"/>
      <c r="AC435" s="352"/>
      <c r="AD435" s="352"/>
      <c r="AE435" s="352"/>
    </row>
    <row r="436">
      <c r="A436" s="352"/>
      <c r="B436" s="352"/>
      <c r="C436" s="352"/>
      <c r="D436" s="352"/>
      <c r="E436" s="352"/>
      <c r="F436" s="352"/>
      <c r="G436" s="352"/>
      <c r="H436" s="352"/>
      <c r="I436" s="352"/>
      <c r="J436" s="352"/>
      <c r="K436" s="352"/>
      <c r="L436" s="352"/>
      <c r="M436" s="352"/>
      <c r="N436" s="352"/>
      <c r="O436" s="352"/>
      <c r="P436" s="352"/>
      <c r="Q436" s="352"/>
      <c r="R436" s="352"/>
      <c r="S436" s="352"/>
      <c r="T436" s="352"/>
      <c r="U436" s="352"/>
      <c r="V436" s="352"/>
      <c r="W436" s="352"/>
      <c r="X436" s="352"/>
      <c r="Y436" s="352"/>
      <c r="Z436" s="352"/>
      <c r="AA436" s="352"/>
      <c r="AB436" s="352"/>
      <c r="AC436" s="352"/>
      <c r="AD436" s="352"/>
      <c r="AE436" s="352"/>
    </row>
    <row r="437">
      <c r="A437" s="352"/>
      <c r="B437" s="352"/>
      <c r="C437" s="352"/>
      <c r="D437" s="352"/>
      <c r="E437" s="352"/>
      <c r="F437" s="352"/>
      <c r="G437" s="352"/>
      <c r="H437" s="352"/>
      <c r="I437" s="352"/>
      <c r="J437" s="352"/>
      <c r="K437" s="352"/>
      <c r="L437" s="352"/>
      <c r="M437" s="352"/>
      <c r="N437" s="352"/>
      <c r="O437" s="352"/>
      <c r="P437" s="352"/>
      <c r="Q437" s="352"/>
      <c r="R437" s="352"/>
      <c r="S437" s="352"/>
      <c r="T437" s="352"/>
      <c r="U437" s="352"/>
      <c r="V437" s="352"/>
      <c r="W437" s="352"/>
      <c r="X437" s="352"/>
      <c r="Y437" s="352"/>
      <c r="Z437" s="352"/>
      <c r="AA437" s="352"/>
      <c r="AB437" s="352"/>
      <c r="AC437" s="352"/>
      <c r="AD437" s="352"/>
      <c r="AE437" s="352"/>
    </row>
    <row r="438">
      <c r="A438" s="352"/>
      <c r="B438" s="352"/>
      <c r="C438" s="352"/>
      <c r="D438" s="352"/>
      <c r="E438" s="352"/>
      <c r="F438" s="352"/>
      <c r="G438" s="352"/>
      <c r="H438" s="352"/>
      <c r="I438" s="352"/>
      <c r="J438" s="352"/>
      <c r="K438" s="352"/>
      <c r="L438" s="352"/>
      <c r="M438" s="352"/>
      <c r="N438" s="352"/>
      <c r="O438" s="352"/>
      <c r="P438" s="352"/>
      <c r="Q438" s="352"/>
      <c r="R438" s="352"/>
      <c r="S438" s="352"/>
      <c r="T438" s="352"/>
      <c r="U438" s="352"/>
      <c r="V438" s="352"/>
      <c r="W438" s="352"/>
      <c r="X438" s="352"/>
      <c r="Y438" s="352"/>
      <c r="Z438" s="352"/>
      <c r="AA438" s="352"/>
      <c r="AB438" s="352"/>
      <c r="AC438" s="352"/>
      <c r="AD438" s="352"/>
      <c r="AE438" s="352"/>
    </row>
    <row r="439">
      <c r="A439" s="352"/>
      <c r="B439" s="352"/>
      <c r="C439" s="352"/>
      <c r="D439" s="352"/>
      <c r="E439" s="352"/>
      <c r="F439" s="352"/>
      <c r="G439" s="352"/>
      <c r="H439" s="352"/>
      <c r="I439" s="352"/>
      <c r="J439" s="352"/>
      <c r="K439" s="352"/>
      <c r="L439" s="352"/>
      <c r="M439" s="352"/>
      <c r="N439" s="352"/>
      <c r="O439" s="352"/>
      <c r="P439" s="352"/>
      <c r="Q439" s="352"/>
      <c r="R439" s="352"/>
      <c r="S439" s="352"/>
      <c r="T439" s="352"/>
      <c r="U439" s="352"/>
      <c r="V439" s="352"/>
      <c r="W439" s="352"/>
      <c r="X439" s="352"/>
      <c r="Y439" s="352"/>
      <c r="Z439" s="352"/>
      <c r="AA439" s="352"/>
      <c r="AB439" s="352"/>
      <c r="AC439" s="352"/>
      <c r="AD439" s="352"/>
      <c r="AE439" s="352"/>
    </row>
    <row r="440">
      <c r="A440" s="352"/>
      <c r="B440" s="352"/>
      <c r="C440" s="352"/>
      <c r="D440" s="352"/>
      <c r="E440" s="352"/>
      <c r="F440" s="352"/>
      <c r="G440" s="352"/>
      <c r="H440" s="352"/>
      <c r="I440" s="352"/>
      <c r="J440" s="352"/>
      <c r="K440" s="352"/>
      <c r="L440" s="352"/>
      <c r="M440" s="352"/>
      <c r="N440" s="352"/>
      <c r="O440" s="352"/>
      <c r="P440" s="352"/>
      <c r="Q440" s="352"/>
      <c r="R440" s="352"/>
      <c r="S440" s="352"/>
      <c r="T440" s="352"/>
      <c r="U440" s="352"/>
      <c r="V440" s="352"/>
      <c r="W440" s="352"/>
      <c r="X440" s="352"/>
      <c r="Y440" s="352"/>
      <c r="Z440" s="352"/>
      <c r="AA440" s="352"/>
      <c r="AB440" s="352"/>
      <c r="AC440" s="352"/>
      <c r="AD440" s="352"/>
      <c r="AE440" s="352"/>
    </row>
    <row r="441">
      <c r="A441" s="352"/>
      <c r="B441" s="352"/>
      <c r="C441" s="352"/>
      <c r="D441" s="352"/>
      <c r="E441" s="352"/>
      <c r="F441" s="352"/>
      <c r="G441" s="352"/>
      <c r="H441" s="352"/>
      <c r="I441" s="352"/>
      <c r="J441" s="352"/>
      <c r="K441" s="352"/>
      <c r="L441" s="352"/>
      <c r="M441" s="352"/>
      <c r="N441" s="352"/>
      <c r="O441" s="352"/>
      <c r="P441" s="352"/>
      <c r="Q441" s="352"/>
      <c r="R441" s="352"/>
      <c r="S441" s="352"/>
      <c r="T441" s="352"/>
      <c r="U441" s="352"/>
      <c r="V441" s="352"/>
      <c r="W441" s="352"/>
      <c r="X441" s="352"/>
      <c r="Y441" s="352"/>
      <c r="Z441" s="352"/>
      <c r="AA441" s="352"/>
      <c r="AB441" s="352"/>
      <c r="AC441" s="352"/>
      <c r="AD441" s="352"/>
      <c r="AE441" s="352"/>
    </row>
    <row r="442">
      <c r="A442" s="352"/>
      <c r="B442" s="352"/>
      <c r="C442" s="352"/>
      <c r="D442" s="352"/>
      <c r="E442" s="352"/>
      <c r="F442" s="352"/>
      <c r="G442" s="352"/>
      <c r="H442" s="352"/>
      <c r="I442" s="352"/>
      <c r="J442" s="352"/>
      <c r="K442" s="352"/>
      <c r="L442" s="352"/>
      <c r="M442" s="352"/>
      <c r="N442" s="352"/>
      <c r="O442" s="352"/>
      <c r="P442" s="352"/>
      <c r="Q442" s="352"/>
      <c r="R442" s="352"/>
      <c r="S442" s="352"/>
      <c r="T442" s="352"/>
      <c r="U442" s="352"/>
      <c r="V442" s="352"/>
      <c r="W442" s="352"/>
      <c r="X442" s="352"/>
      <c r="Y442" s="352"/>
      <c r="Z442" s="352"/>
      <c r="AA442" s="352"/>
      <c r="AB442" s="352"/>
      <c r="AC442" s="352"/>
      <c r="AD442" s="352"/>
      <c r="AE442" s="352"/>
    </row>
    <row r="443">
      <c r="A443" s="352"/>
      <c r="B443" s="352"/>
      <c r="C443" s="352"/>
      <c r="D443" s="352"/>
      <c r="E443" s="352"/>
      <c r="F443" s="352"/>
      <c r="G443" s="352"/>
      <c r="H443" s="352"/>
      <c r="I443" s="352"/>
      <c r="J443" s="352"/>
      <c r="K443" s="352"/>
      <c r="L443" s="352"/>
      <c r="M443" s="352"/>
      <c r="N443" s="352"/>
      <c r="O443" s="352"/>
      <c r="P443" s="352"/>
      <c r="Q443" s="352"/>
      <c r="R443" s="352"/>
      <c r="S443" s="352"/>
      <c r="T443" s="352"/>
      <c r="U443" s="352"/>
      <c r="V443" s="352"/>
      <c r="W443" s="352"/>
      <c r="X443" s="352"/>
      <c r="Y443" s="352"/>
      <c r="Z443" s="352"/>
      <c r="AA443" s="352"/>
      <c r="AB443" s="352"/>
      <c r="AC443" s="352"/>
      <c r="AD443" s="352"/>
      <c r="AE443" s="352"/>
    </row>
    <row r="444">
      <c r="A444" s="352"/>
      <c r="B444" s="352"/>
      <c r="C444" s="352"/>
      <c r="D444" s="352"/>
      <c r="E444" s="352"/>
      <c r="F444" s="352"/>
      <c r="G444" s="352"/>
      <c r="H444" s="352"/>
      <c r="I444" s="352"/>
      <c r="J444" s="352"/>
      <c r="K444" s="352"/>
      <c r="L444" s="352"/>
      <c r="M444" s="352"/>
      <c r="N444" s="352"/>
      <c r="O444" s="352"/>
      <c r="P444" s="352"/>
      <c r="Q444" s="352"/>
      <c r="R444" s="352"/>
      <c r="S444" s="352"/>
      <c r="T444" s="352"/>
      <c r="U444" s="352"/>
      <c r="V444" s="352"/>
      <c r="W444" s="352"/>
      <c r="X444" s="352"/>
      <c r="Y444" s="352"/>
      <c r="Z444" s="352"/>
      <c r="AA444" s="352"/>
      <c r="AB444" s="352"/>
      <c r="AC444" s="352"/>
      <c r="AD444" s="352"/>
      <c r="AE444" s="352"/>
    </row>
    <row r="445">
      <c r="A445" s="352"/>
      <c r="B445" s="352"/>
      <c r="C445" s="352"/>
      <c r="D445" s="352"/>
      <c r="E445" s="352"/>
      <c r="F445" s="352"/>
      <c r="G445" s="352"/>
      <c r="H445" s="352"/>
      <c r="I445" s="352"/>
      <c r="J445" s="352"/>
      <c r="K445" s="352"/>
      <c r="L445" s="352"/>
      <c r="M445" s="352"/>
      <c r="N445" s="352"/>
      <c r="O445" s="352"/>
      <c r="P445" s="352"/>
      <c r="Q445" s="352"/>
      <c r="R445" s="352"/>
      <c r="S445" s="352"/>
      <c r="T445" s="352"/>
      <c r="U445" s="352"/>
      <c r="V445" s="352"/>
      <c r="W445" s="352"/>
      <c r="X445" s="352"/>
      <c r="Y445" s="352"/>
      <c r="Z445" s="352"/>
      <c r="AA445" s="352"/>
      <c r="AB445" s="352"/>
      <c r="AC445" s="352"/>
      <c r="AD445" s="352"/>
      <c r="AE445" s="352"/>
    </row>
    <row r="446">
      <c r="A446" s="352"/>
      <c r="B446" s="352"/>
      <c r="C446" s="352"/>
      <c r="D446" s="352"/>
      <c r="E446" s="352"/>
      <c r="F446" s="352"/>
      <c r="G446" s="352"/>
      <c r="H446" s="352"/>
      <c r="I446" s="352"/>
      <c r="J446" s="352"/>
      <c r="K446" s="352"/>
      <c r="L446" s="352"/>
      <c r="M446" s="352"/>
      <c r="N446" s="352"/>
      <c r="O446" s="352"/>
      <c r="P446" s="352"/>
      <c r="Q446" s="352"/>
      <c r="R446" s="352"/>
      <c r="S446" s="352"/>
      <c r="T446" s="352"/>
      <c r="U446" s="352"/>
      <c r="V446" s="352"/>
      <c r="W446" s="352"/>
      <c r="X446" s="352"/>
      <c r="Y446" s="352"/>
      <c r="Z446" s="352"/>
      <c r="AA446" s="352"/>
      <c r="AB446" s="352"/>
      <c r="AC446" s="352"/>
      <c r="AD446" s="352"/>
      <c r="AE446" s="352"/>
    </row>
    <row r="447">
      <c r="A447" s="352"/>
      <c r="B447" s="352"/>
      <c r="C447" s="352"/>
      <c r="D447" s="352"/>
      <c r="E447" s="352"/>
      <c r="F447" s="352"/>
      <c r="G447" s="352"/>
      <c r="H447" s="352"/>
      <c r="I447" s="352"/>
      <c r="J447" s="352"/>
      <c r="K447" s="352"/>
      <c r="L447" s="352"/>
      <c r="M447" s="352"/>
      <c r="N447" s="352"/>
      <c r="O447" s="352"/>
      <c r="P447" s="352"/>
      <c r="Q447" s="352"/>
      <c r="R447" s="352"/>
      <c r="S447" s="352"/>
      <c r="T447" s="352"/>
      <c r="U447" s="352"/>
      <c r="V447" s="352"/>
      <c r="W447" s="352"/>
      <c r="X447" s="352"/>
      <c r="Y447" s="352"/>
      <c r="Z447" s="352"/>
      <c r="AA447" s="352"/>
      <c r="AB447" s="352"/>
      <c r="AC447" s="352"/>
      <c r="AD447" s="352"/>
      <c r="AE447" s="352"/>
    </row>
    <row r="448">
      <c r="A448" s="352"/>
      <c r="B448" s="352"/>
      <c r="C448" s="352"/>
      <c r="D448" s="352"/>
      <c r="E448" s="352"/>
      <c r="F448" s="352"/>
      <c r="G448" s="352"/>
      <c r="H448" s="352"/>
      <c r="I448" s="352"/>
      <c r="J448" s="352"/>
      <c r="K448" s="352"/>
      <c r="L448" s="352"/>
      <c r="M448" s="352"/>
      <c r="N448" s="352"/>
      <c r="O448" s="352"/>
      <c r="P448" s="352"/>
      <c r="Q448" s="352"/>
      <c r="R448" s="352"/>
      <c r="S448" s="352"/>
      <c r="T448" s="352"/>
      <c r="U448" s="352"/>
      <c r="V448" s="352"/>
      <c r="W448" s="352"/>
      <c r="X448" s="352"/>
      <c r="Y448" s="352"/>
      <c r="Z448" s="352"/>
      <c r="AA448" s="352"/>
      <c r="AB448" s="352"/>
      <c r="AC448" s="352"/>
      <c r="AD448" s="352"/>
      <c r="AE448" s="352"/>
    </row>
    <row r="449">
      <c r="A449" s="352"/>
      <c r="B449" s="352"/>
      <c r="C449" s="352"/>
      <c r="D449" s="352"/>
      <c r="E449" s="352"/>
      <c r="F449" s="352"/>
      <c r="G449" s="352"/>
      <c r="H449" s="352"/>
      <c r="I449" s="352"/>
      <c r="J449" s="352"/>
      <c r="K449" s="352"/>
      <c r="L449" s="352"/>
      <c r="M449" s="352"/>
      <c r="N449" s="352"/>
      <c r="O449" s="352"/>
      <c r="P449" s="352"/>
      <c r="Q449" s="352"/>
      <c r="R449" s="352"/>
      <c r="S449" s="352"/>
      <c r="T449" s="352"/>
      <c r="U449" s="352"/>
      <c r="V449" s="352"/>
      <c r="W449" s="352"/>
      <c r="X449" s="352"/>
      <c r="Y449" s="352"/>
      <c r="Z449" s="352"/>
      <c r="AA449" s="352"/>
      <c r="AB449" s="352"/>
      <c r="AC449" s="352"/>
      <c r="AD449" s="352"/>
      <c r="AE449" s="352"/>
    </row>
    <row r="450">
      <c r="A450" s="352"/>
      <c r="B450" s="352"/>
      <c r="C450" s="352"/>
      <c r="D450" s="352"/>
      <c r="E450" s="352"/>
      <c r="F450" s="352"/>
      <c r="G450" s="352"/>
      <c r="H450" s="352"/>
      <c r="I450" s="352"/>
      <c r="J450" s="352"/>
      <c r="K450" s="352"/>
      <c r="L450" s="352"/>
      <c r="M450" s="352"/>
      <c r="N450" s="352"/>
      <c r="O450" s="352"/>
      <c r="P450" s="352"/>
      <c r="Q450" s="352"/>
      <c r="R450" s="352"/>
      <c r="S450" s="352"/>
      <c r="T450" s="352"/>
      <c r="U450" s="352"/>
      <c r="V450" s="352"/>
      <c r="W450" s="352"/>
      <c r="X450" s="352"/>
      <c r="Y450" s="352"/>
      <c r="Z450" s="352"/>
      <c r="AA450" s="352"/>
      <c r="AB450" s="352"/>
      <c r="AC450" s="352"/>
      <c r="AD450" s="352"/>
      <c r="AE450" s="352"/>
    </row>
    <row r="451">
      <c r="A451" s="352"/>
      <c r="B451" s="352"/>
      <c r="C451" s="352"/>
      <c r="D451" s="352"/>
      <c r="E451" s="352"/>
      <c r="F451" s="352"/>
      <c r="G451" s="352"/>
      <c r="H451" s="352"/>
      <c r="I451" s="352"/>
      <c r="J451" s="352"/>
      <c r="K451" s="352"/>
      <c r="L451" s="352"/>
      <c r="M451" s="352"/>
      <c r="N451" s="352"/>
      <c r="O451" s="352"/>
      <c r="P451" s="352"/>
      <c r="Q451" s="352"/>
      <c r="R451" s="352"/>
      <c r="S451" s="352"/>
      <c r="T451" s="352"/>
      <c r="U451" s="352"/>
      <c r="V451" s="352"/>
      <c r="W451" s="352"/>
      <c r="X451" s="352"/>
      <c r="Y451" s="352"/>
      <c r="Z451" s="352"/>
      <c r="AA451" s="352"/>
      <c r="AB451" s="352"/>
      <c r="AC451" s="352"/>
      <c r="AD451" s="352"/>
      <c r="AE451" s="352"/>
    </row>
    <row r="452">
      <c r="A452" s="352"/>
      <c r="B452" s="352"/>
      <c r="C452" s="352"/>
      <c r="D452" s="352"/>
      <c r="E452" s="352"/>
      <c r="F452" s="352"/>
      <c r="G452" s="352"/>
      <c r="H452" s="352"/>
      <c r="I452" s="352"/>
      <c r="J452" s="352"/>
      <c r="K452" s="352"/>
      <c r="L452" s="352"/>
      <c r="M452" s="352"/>
      <c r="N452" s="352"/>
      <c r="O452" s="352"/>
      <c r="P452" s="352"/>
      <c r="Q452" s="352"/>
      <c r="R452" s="352"/>
      <c r="S452" s="352"/>
      <c r="T452" s="352"/>
      <c r="U452" s="352"/>
      <c r="V452" s="352"/>
      <c r="W452" s="352"/>
      <c r="X452" s="352"/>
      <c r="Y452" s="352"/>
      <c r="Z452" s="352"/>
      <c r="AA452" s="352"/>
      <c r="AB452" s="352"/>
      <c r="AC452" s="352"/>
      <c r="AD452" s="352"/>
      <c r="AE452" s="352"/>
    </row>
    <row r="453">
      <c r="A453" s="352"/>
      <c r="B453" s="352"/>
      <c r="C453" s="352"/>
      <c r="D453" s="352"/>
      <c r="E453" s="352"/>
      <c r="F453" s="352"/>
      <c r="G453" s="352"/>
      <c r="H453" s="352"/>
      <c r="I453" s="352"/>
      <c r="J453" s="352"/>
      <c r="K453" s="352"/>
      <c r="L453" s="352"/>
      <c r="M453" s="352"/>
      <c r="N453" s="352"/>
      <c r="O453" s="352"/>
      <c r="P453" s="352"/>
      <c r="Q453" s="352"/>
      <c r="R453" s="352"/>
      <c r="S453" s="352"/>
      <c r="T453" s="352"/>
      <c r="U453" s="352"/>
      <c r="V453" s="352"/>
      <c r="W453" s="352"/>
      <c r="X453" s="352"/>
      <c r="Y453" s="352"/>
      <c r="Z453" s="352"/>
      <c r="AA453" s="352"/>
      <c r="AB453" s="352"/>
      <c r="AC453" s="352"/>
      <c r="AD453" s="352"/>
      <c r="AE453" s="352"/>
    </row>
    <row r="454">
      <c r="A454" s="352"/>
      <c r="B454" s="352"/>
      <c r="C454" s="352"/>
      <c r="D454" s="352"/>
      <c r="E454" s="352"/>
      <c r="F454" s="352"/>
      <c r="G454" s="352"/>
      <c r="H454" s="352"/>
      <c r="I454" s="352"/>
      <c r="J454" s="352"/>
      <c r="K454" s="352"/>
      <c r="L454" s="352"/>
      <c r="M454" s="352"/>
      <c r="N454" s="352"/>
      <c r="O454" s="352"/>
      <c r="P454" s="352"/>
      <c r="Q454" s="352"/>
      <c r="R454" s="352"/>
      <c r="S454" s="352"/>
      <c r="T454" s="352"/>
      <c r="U454" s="352"/>
      <c r="V454" s="352"/>
      <c r="W454" s="352"/>
      <c r="X454" s="352"/>
      <c r="Y454" s="352"/>
      <c r="Z454" s="352"/>
      <c r="AA454" s="352"/>
      <c r="AB454" s="352"/>
      <c r="AC454" s="352"/>
      <c r="AD454" s="352"/>
      <c r="AE454" s="352"/>
    </row>
    <row r="455">
      <c r="A455" s="352"/>
      <c r="B455" s="352"/>
      <c r="C455" s="352"/>
      <c r="D455" s="352"/>
      <c r="E455" s="352"/>
      <c r="F455" s="352"/>
      <c r="G455" s="352"/>
      <c r="H455" s="352"/>
      <c r="I455" s="352"/>
      <c r="J455" s="352"/>
      <c r="K455" s="352"/>
      <c r="L455" s="352"/>
      <c r="M455" s="352"/>
      <c r="N455" s="352"/>
      <c r="O455" s="352"/>
      <c r="P455" s="352"/>
      <c r="Q455" s="352"/>
      <c r="R455" s="352"/>
      <c r="S455" s="352"/>
      <c r="T455" s="352"/>
      <c r="U455" s="352"/>
      <c r="V455" s="352"/>
      <c r="W455" s="352"/>
      <c r="X455" s="352"/>
      <c r="Y455" s="352"/>
      <c r="Z455" s="352"/>
      <c r="AA455" s="352"/>
      <c r="AB455" s="352"/>
      <c r="AC455" s="352"/>
      <c r="AD455" s="352"/>
      <c r="AE455" s="352"/>
    </row>
    <row r="456">
      <c r="A456" s="352"/>
      <c r="B456" s="352"/>
      <c r="C456" s="352"/>
      <c r="D456" s="352"/>
      <c r="E456" s="352"/>
      <c r="F456" s="352"/>
      <c r="G456" s="352"/>
      <c r="H456" s="352"/>
      <c r="I456" s="352"/>
      <c r="J456" s="352"/>
      <c r="K456" s="352"/>
      <c r="L456" s="352"/>
      <c r="M456" s="352"/>
      <c r="N456" s="352"/>
      <c r="O456" s="352"/>
      <c r="P456" s="352"/>
      <c r="Q456" s="352"/>
      <c r="R456" s="352"/>
      <c r="S456" s="352"/>
      <c r="T456" s="352"/>
      <c r="U456" s="352"/>
      <c r="V456" s="352"/>
      <c r="W456" s="352"/>
      <c r="X456" s="352"/>
      <c r="Y456" s="352"/>
      <c r="Z456" s="352"/>
      <c r="AA456" s="352"/>
      <c r="AB456" s="352"/>
      <c r="AC456" s="352"/>
      <c r="AD456" s="352"/>
      <c r="AE456" s="352"/>
    </row>
    <row r="457">
      <c r="A457" s="352"/>
      <c r="B457" s="352"/>
      <c r="C457" s="352"/>
      <c r="D457" s="352"/>
      <c r="E457" s="352"/>
      <c r="F457" s="352"/>
      <c r="G457" s="352"/>
      <c r="H457" s="352"/>
      <c r="I457" s="352"/>
      <c r="J457" s="352"/>
      <c r="K457" s="352"/>
      <c r="L457" s="352"/>
      <c r="M457" s="352"/>
      <c r="N457" s="352"/>
      <c r="O457" s="352"/>
      <c r="P457" s="352"/>
      <c r="Q457" s="352"/>
      <c r="R457" s="352"/>
      <c r="S457" s="352"/>
      <c r="T457" s="352"/>
      <c r="U457" s="352"/>
      <c r="V457" s="352"/>
      <c r="W457" s="352"/>
      <c r="X457" s="352"/>
      <c r="Y457" s="352"/>
      <c r="Z457" s="352"/>
      <c r="AA457" s="352"/>
      <c r="AB457" s="352"/>
      <c r="AC457" s="352"/>
      <c r="AD457" s="352"/>
      <c r="AE457" s="352"/>
    </row>
    <row r="458">
      <c r="A458" s="352"/>
      <c r="B458" s="352"/>
      <c r="C458" s="352"/>
      <c r="D458" s="352"/>
      <c r="E458" s="352"/>
      <c r="F458" s="352"/>
      <c r="G458" s="352"/>
      <c r="H458" s="352"/>
      <c r="I458" s="352"/>
      <c r="J458" s="352"/>
      <c r="K458" s="352"/>
      <c r="L458" s="352"/>
      <c r="M458" s="352"/>
      <c r="N458" s="352"/>
      <c r="O458" s="352"/>
      <c r="P458" s="352"/>
      <c r="Q458" s="352"/>
      <c r="R458" s="352"/>
      <c r="S458" s="352"/>
      <c r="T458" s="352"/>
      <c r="U458" s="352"/>
      <c r="V458" s="352"/>
      <c r="W458" s="352"/>
      <c r="X458" s="352"/>
      <c r="Y458" s="352"/>
      <c r="Z458" s="352"/>
      <c r="AA458" s="352"/>
      <c r="AB458" s="352"/>
      <c r="AC458" s="352"/>
      <c r="AD458" s="352"/>
      <c r="AE458" s="352"/>
    </row>
    <row r="459">
      <c r="A459" s="352"/>
      <c r="B459" s="352"/>
      <c r="C459" s="352"/>
      <c r="D459" s="352"/>
      <c r="E459" s="352"/>
      <c r="F459" s="352"/>
      <c r="G459" s="352"/>
      <c r="H459" s="352"/>
      <c r="I459" s="352"/>
      <c r="J459" s="352"/>
      <c r="K459" s="352"/>
      <c r="L459" s="352"/>
      <c r="M459" s="352"/>
      <c r="N459" s="352"/>
      <c r="O459" s="352"/>
      <c r="P459" s="352"/>
      <c r="Q459" s="352"/>
      <c r="R459" s="352"/>
      <c r="S459" s="352"/>
      <c r="T459" s="352"/>
      <c r="U459" s="352"/>
      <c r="V459" s="352"/>
      <c r="W459" s="352"/>
      <c r="X459" s="352"/>
      <c r="Y459" s="352"/>
      <c r="Z459" s="352"/>
      <c r="AA459" s="352"/>
      <c r="AB459" s="352"/>
      <c r="AC459" s="352"/>
      <c r="AD459" s="352"/>
      <c r="AE459" s="352"/>
    </row>
    <row r="460">
      <c r="A460" s="352"/>
      <c r="B460" s="352"/>
      <c r="C460" s="352"/>
      <c r="D460" s="352"/>
      <c r="E460" s="352"/>
      <c r="F460" s="352"/>
      <c r="G460" s="352"/>
      <c r="H460" s="352"/>
      <c r="I460" s="352"/>
      <c r="J460" s="352"/>
      <c r="K460" s="352"/>
      <c r="L460" s="352"/>
      <c r="M460" s="352"/>
      <c r="N460" s="352"/>
      <c r="O460" s="352"/>
      <c r="P460" s="352"/>
      <c r="Q460" s="352"/>
      <c r="R460" s="352"/>
      <c r="S460" s="352"/>
      <c r="T460" s="352"/>
      <c r="U460" s="352"/>
      <c r="V460" s="352"/>
      <c r="W460" s="352"/>
      <c r="X460" s="352"/>
      <c r="Y460" s="352"/>
      <c r="Z460" s="352"/>
      <c r="AA460" s="352"/>
      <c r="AB460" s="352"/>
      <c r="AC460" s="352"/>
      <c r="AD460" s="352"/>
      <c r="AE460" s="352"/>
    </row>
    <row r="461">
      <c r="A461" s="352"/>
      <c r="B461" s="352"/>
      <c r="C461" s="352"/>
      <c r="D461" s="352"/>
      <c r="E461" s="352"/>
      <c r="F461" s="352"/>
      <c r="G461" s="352"/>
      <c r="H461" s="352"/>
      <c r="I461" s="352"/>
      <c r="J461" s="352"/>
      <c r="K461" s="352"/>
      <c r="L461" s="352"/>
      <c r="M461" s="352"/>
      <c r="N461" s="352"/>
      <c r="O461" s="352"/>
      <c r="P461" s="352"/>
      <c r="Q461" s="352"/>
      <c r="R461" s="352"/>
      <c r="S461" s="352"/>
      <c r="T461" s="352"/>
      <c r="U461" s="352"/>
      <c r="V461" s="352"/>
      <c r="W461" s="352"/>
      <c r="X461" s="352"/>
      <c r="Y461" s="352"/>
      <c r="Z461" s="352"/>
      <c r="AA461" s="352"/>
      <c r="AB461" s="352"/>
      <c r="AC461" s="352"/>
      <c r="AD461" s="352"/>
      <c r="AE461" s="352"/>
    </row>
    <row r="462">
      <c r="A462" s="352"/>
      <c r="B462" s="352"/>
      <c r="C462" s="352"/>
      <c r="D462" s="352"/>
      <c r="E462" s="352"/>
      <c r="F462" s="352"/>
      <c r="G462" s="352"/>
      <c r="H462" s="352"/>
      <c r="I462" s="352"/>
      <c r="J462" s="352"/>
      <c r="K462" s="352"/>
      <c r="L462" s="352"/>
      <c r="M462" s="352"/>
      <c r="N462" s="352"/>
      <c r="O462" s="352"/>
      <c r="P462" s="352"/>
      <c r="Q462" s="352"/>
      <c r="R462" s="352"/>
      <c r="S462" s="352"/>
      <c r="T462" s="352"/>
      <c r="U462" s="352"/>
      <c r="V462" s="352"/>
      <c r="W462" s="352"/>
      <c r="X462" s="352"/>
      <c r="Y462" s="352"/>
      <c r="Z462" s="352"/>
      <c r="AA462" s="352"/>
      <c r="AB462" s="352"/>
      <c r="AC462" s="352"/>
      <c r="AD462" s="352"/>
      <c r="AE462" s="352"/>
    </row>
    <row r="463">
      <c r="A463" s="352"/>
      <c r="B463" s="352"/>
      <c r="C463" s="352"/>
      <c r="D463" s="352"/>
      <c r="E463" s="352"/>
      <c r="F463" s="352"/>
      <c r="G463" s="352"/>
      <c r="H463" s="352"/>
      <c r="I463" s="352"/>
      <c r="J463" s="352"/>
      <c r="K463" s="352"/>
      <c r="L463" s="352"/>
      <c r="M463" s="352"/>
      <c r="N463" s="352"/>
      <c r="O463" s="352"/>
      <c r="P463" s="352"/>
      <c r="Q463" s="352"/>
      <c r="R463" s="352"/>
      <c r="S463" s="352"/>
      <c r="T463" s="352"/>
      <c r="U463" s="352"/>
      <c r="V463" s="352"/>
      <c r="W463" s="352"/>
      <c r="X463" s="352"/>
      <c r="Y463" s="352"/>
      <c r="Z463" s="352"/>
      <c r="AA463" s="352"/>
      <c r="AB463" s="352"/>
      <c r="AC463" s="352"/>
      <c r="AD463" s="352"/>
      <c r="AE463" s="352"/>
    </row>
    <row r="464">
      <c r="A464" s="352"/>
      <c r="B464" s="352"/>
      <c r="C464" s="352"/>
      <c r="D464" s="352"/>
      <c r="E464" s="352"/>
      <c r="F464" s="352"/>
      <c r="G464" s="352"/>
      <c r="H464" s="352"/>
      <c r="I464" s="352"/>
      <c r="J464" s="352"/>
      <c r="K464" s="352"/>
      <c r="L464" s="352"/>
      <c r="M464" s="352"/>
      <c r="N464" s="352"/>
      <c r="O464" s="352"/>
      <c r="P464" s="352"/>
      <c r="Q464" s="352"/>
      <c r="R464" s="352"/>
      <c r="S464" s="352"/>
      <c r="T464" s="352"/>
      <c r="U464" s="352"/>
      <c r="V464" s="352"/>
      <c r="W464" s="352"/>
      <c r="X464" s="352"/>
      <c r="Y464" s="352"/>
      <c r="Z464" s="352"/>
      <c r="AA464" s="352"/>
      <c r="AB464" s="352"/>
      <c r="AC464" s="352"/>
      <c r="AD464" s="352"/>
      <c r="AE464" s="352"/>
    </row>
    <row r="465">
      <c r="A465" s="352"/>
      <c r="B465" s="352"/>
      <c r="C465" s="352"/>
      <c r="D465" s="352"/>
      <c r="E465" s="352"/>
      <c r="F465" s="352"/>
      <c r="G465" s="352"/>
      <c r="H465" s="352"/>
      <c r="I465" s="352"/>
      <c r="J465" s="352"/>
      <c r="K465" s="352"/>
      <c r="L465" s="352"/>
      <c r="M465" s="352"/>
      <c r="N465" s="352"/>
      <c r="O465" s="352"/>
      <c r="P465" s="352"/>
      <c r="Q465" s="352"/>
      <c r="R465" s="352"/>
      <c r="S465" s="352"/>
      <c r="T465" s="352"/>
      <c r="U465" s="352"/>
      <c r="V465" s="352"/>
      <c r="W465" s="352"/>
      <c r="X465" s="352"/>
      <c r="Y465" s="352"/>
      <c r="Z465" s="352"/>
      <c r="AA465" s="352"/>
      <c r="AB465" s="352"/>
      <c r="AC465" s="352"/>
      <c r="AD465" s="352"/>
      <c r="AE465" s="352"/>
    </row>
    <row r="466">
      <c r="A466" s="352"/>
      <c r="B466" s="352"/>
      <c r="C466" s="352"/>
      <c r="D466" s="352"/>
      <c r="E466" s="352"/>
      <c r="F466" s="352"/>
      <c r="G466" s="352"/>
      <c r="H466" s="352"/>
      <c r="I466" s="352"/>
      <c r="J466" s="352"/>
      <c r="K466" s="352"/>
      <c r="L466" s="352"/>
      <c r="M466" s="352"/>
      <c r="N466" s="352"/>
      <c r="O466" s="352"/>
      <c r="P466" s="352"/>
      <c r="Q466" s="352"/>
      <c r="R466" s="352"/>
      <c r="S466" s="352"/>
      <c r="T466" s="352"/>
      <c r="U466" s="352"/>
      <c r="V466" s="352"/>
      <c r="W466" s="352"/>
      <c r="X466" s="352"/>
      <c r="Y466" s="352"/>
      <c r="Z466" s="352"/>
      <c r="AA466" s="352"/>
      <c r="AB466" s="352"/>
      <c r="AC466" s="352"/>
      <c r="AD466" s="352"/>
      <c r="AE466" s="352"/>
    </row>
    <row r="467">
      <c r="A467" s="352"/>
      <c r="B467" s="352"/>
      <c r="C467" s="352"/>
      <c r="D467" s="352"/>
      <c r="E467" s="352"/>
      <c r="F467" s="352"/>
      <c r="G467" s="352"/>
      <c r="H467" s="352"/>
      <c r="I467" s="352"/>
      <c r="J467" s="352"/>
      <c r="K467" s="352"/>
      <c r="L467" s="352"/>
      <c r="M467" s="352"/>
      <c r="N467" s="352"/>
      <c r="O467" s="352"/>
      <c r="P467" s="352"/>
      <c r="Q467" s="352"/>
      <c r="R467" s="352"/>
      <c r="S467" s="352"/>
      <c r="T467" s="352"/>
      <c r="U467" s="352"/>
      <c r="V467" s="352"/>
      <c r="W467" s="352"/>
      <c r="X467" s="352"/>
      <c r="Y467" s="352"/>
      <c r="Z467" s="352"/>
      <c r="AA467" s="352"/>
      <c r="AB467" s="352"/>
      <c r="AC467" s="352"/>
      <c r="AD467" s="352"/>
      <c r="AE467" s="352"/>
    </row>
    <row r="468">
      <c r="A468" s="352"/>
      <c r="B468" s="352"/>
      <c r="C468" s="352"/>
      <c r="D468" s="352"/>
      <c r="E468" s="352"/>
      <c r="F468" s="352"/>
      <c r="G468" s="352"/>
      <c r="H468" s="352"/>
      <c r="I468" s="352"/>
      <c r="J468" s="352"/>
      <c r="K468" s="352"/>
      <c r="L468" s="352"/>
      <c r="M468" s="352"/>
      <c r="N468" s="352"/>
      <c r="O468" s="352"/>
      <c r="P468" s="352"/>
      <c r="Q468" s="352"/>
      <c r="R468" s="352"/>
      <c r="S468" s="352"/>
      <c r="T468" s="352"/>
      <c r="U468" s="352"/>
      <c r="V468" s="352"/>
      <c r="W468" s="352"/>
      <c r="X468" s="352"/>
      <c r="Y468" s="352"/>
      <c r="Z468" s="352"/>
      <c r="AA468" s="352"/>
      <c r="AB468" s="352"/>
      <c r="AC468" s="352"/>
      <c r="AD468" s="352"/>
      <c r="AE468" s="352"/>
    </row>
    <row r="469">
      <c r="A469" s="352"/>
      <c r="B469" s="352"/>
      <c r="C469" s="352"/>
      <c r="D469" s="352"/>
      <c r="E469" s="352"/>
      <c r="F469" s="352"/>
      <c r="G469" s="352"/>
      <c r="H469" s="352"/>
      <c r="I469" s="352"/>
      <c r="J469" s="352"/>
      <c r="K469" s="352"/>
      <c r="L469" s="352"/>
      <c r="M469" s="352"/>
      <c r="N469" s="352"/>
      <c r="O469" s="352"/>
      <c r="P469" s="352"/>
      <c r="Q469" s="352"/>
      <c r="R469" s="352"/>
      <c r="S469" s="352"/>
      <c r="T469" s="352"/>
      <c r="U469" s="352"/>
      <c r="V469" s="352"/>
      <c r="W469" s="352"/>
      <c r="X469" s="352"/>
      <c r="Y469" s="352"/>
      <c r="Z469" s="352"/>
      <c r="AA469" s="352"/>
      <c r="AB469" s="352"/>
      <c r="AC469" s="352"/>
      <c r="AD469" s="352"/>
      <c r="AE469" s="352"/>
    </row>
    <row r="470">
      <c r="A470" s="352"/>
      <c r="B470" s="352"/>
      <c r="C470" s="352"/>
      <c r="D470" s="352"/>
      <c r="E470" s="352"/>
      <c r="F470" s="352"/>
      <c r="G470" s="352"/>
      <c r="H470" s="352"/>
      <c r="I470" s="352"/>
      <c r="J470" s="352"/>
      <c r="K470" s="352"/>
      <c r="L470" s="352"/>
      <c r="M470" s="352"/>
      <c r="N470" s="352"/>
      <c r="O470" s="352"/>
      <c r="P470" s="352"/>
      <c r="Q470" s="352"/>
      <c r="R470" s="352"/>
      <c r="S470" s="352"/>
      <c r="T470" s="352"/>
      <c r="U470" s="352"/>
      <c r="V470" s="352"/>
      <c r="W470" s="352"/>
      <c r="X470" s="352"/>
      <c r="Y470" s="352"/>
      <c r="Z470" s="352"/>
      <c r="AA470" s="352"/>
      <c r="AB470" s="352"/>
      <c r="AC470" s="352"/>
      <c r="AD470" s="352"/>
      <c r="AE470" s="352"/>
    </row>
    <row r="471">
      <c r="A471" s="352"/>
      <c r="B471" s="352"/>
      <c r="C471" s="352"/>
      <c r="D471" s="352"/>
      <c r="E471" s="352"/>
      <c r="F471" s="352"/>
      <c r="G471" s="352"/>
      <c r="H471" s="352"/>
      <c r="I471" s="352"/>
      <c r="J471" s="352"/>
      <c r="K471" s="352"/>
      <c r="L471" s="352"/>
      <c r="M471" s="352"/>
      <c r="N471" s="352"/>
      <c r="O471" s="352"/>
      <c r="P471" s="352"/>
      <c r="Q471" s="352"/>
      <c r="R471" s="352"/>
      <c r="S471" s="352"/>
      <c r="T471" s="352"/>
      <c r="U471" s="352"/>
      <c r="V471" s="352"/>
      <c r="W471" s="352"/>
      <c r="X471" s="352"/>
      <c r="Y471" s="352"/>
      <c r="Z471" s="352"/>
      <c r="AA471" s="352"/>
      <c r="AB471" s="352"/>
      <c r="AC471" s="352"/>
      <c r="AD471" s="352"/>
      <c r="AE471" s="352"/>
    </row>
    <row r="472">
      <c r="A472" s="352"/>
      <c r="B472" s="352"/>
      <c r="C472" s="352"/>
      <c r="D472" s="352"/>
      <c r="E472" s="352"/>
      <c r="F472" s="352"/>
      <c r="G472" s="352"/>
      <c r="H472" s="352"/>
      <c r="I472" s="352"/>
      <c r="J472" s="352"/>
      <c r="K472" s="352"/>
      <c r="L472" s="352"/>
      <c r="M472" s="352"/>
      <c r="N472" s="352"/>
      <c r="O472" s="352"/>
      <c r="P472" s="352"/>
      <c r="Q472" s="352"/>
      <c r="R472" s="352"/>
      <c r="S472" s="352"/>
      <c r="T472" s="352"/>
      <c r="U472" s="352"/>
      <c r="V472" s="352"/>
      <c r="W472" s="352"/>
      <c r="X472" s="352"/>
      <c r="Y472" s="352"/>
      <c r="Z472" s="352"/>
      <c r="AA472" s="352"/>
      <c r="AB472" s="352"/>
      <c r="AC472" s="352"/>
      <c r="AD472" s="352"/>
      <c r="AE472" s="352"/>
    </row>
    <row r="473">
      <c r="A473" s="352"/>
      <c r="B473" s="352"/>
      <c r="C473" s="352"/>
      <c r="D473" s="352"/>
      <c r="E473" s="352"/>
      <c r="F473" s="352"/>
      <c r="G473" s="352"/>
      <c r="H473" s="352"/>
      <c r="I473" s="352"/>
      <c r="J473" s="352"/>
      <c r="K473" s="352"/>
      <c r="L473" s="352"/>
      <c r="M473" s="352"/>
      <c r="N473" s="352"/>
      <c r="O473" s="352"/>
      <c r="P473" s="352"/>
      <c r="Q473" s="352"/>
      <c r="R473" s="352"/>
      <c r="S473" s="352"/>
      <c r="T473" s="352"/>
      <c r="U473" s="352"/>
      <c r="V473" s="352"/>
      <c r="W473" s="352"/>
      <c r="X473" s="352"/>
      <c r="Y473" s="352"/>
      <c r="Z473" s="352"/>
      <c r="AA473" s="352"/>
      <c r="AB473" s="352"/>
      <c r="AC473" s="352"/>
      <c r="AD473" s="352"/>
      <c r="AE473" s="352"/>
    </row>
    <row r="474">
      <c r="A474" s="352"/>
      <c r="B474" s="352"/>
      <c r="C474" s="352"/>
      <c r="D474" s="352"/>
      <c r="E474" s="352"/>
      <c r="F474" s="352"/>
      <c r="G474" s="352"/>
      <c r="H474" s="352"/>
      <c r="I474" s="352"/>
      <c r="J474" s="352"/>
      <c r="K474" s="352"/>
      <c r="L474" s="352"/>
      <c r="M474" s="352"/>
      <c r="N474" s="352"/>
      <c r="O474" s="352"/>
      <c r="P474" s="352"/>
      <c r="Q474" s="352"/>
      <c r="R474" s="352"/>
      <c r="S474" s="352"/>
      <c r="T474" s="352"/>
      <c r="U474" s="352"/>
      <c r="V474" s="352"/>
      <c r="W474" s="352"/>
      <c r="X474" s="352"/>
      <c r="Y474" s="352"/>
      <c r="Z474" s="352"/>
      <c r="AA474" s="352"/>
      <c r="AB474" s="352"/>
      <c r="AC474" s="352"/>
      <c r="AD474" s="352"/>
      <c r="AE474" s="352"/>
    </row>
    <row r="475">
      <c r="A475" s="352"/>
      <c r="B475" s="352"/>
      <c r="C475" s="352"/>
      <c r="D475" s="352"/>
      <c r="E475" s="352"/>
      <c r="F475" s="352"/>
      <c r="G475" s="352"/>
      <c r="H475" s="352"/>
      <c r="I475" s="352"/>
      <c r="J475" s="352"/>
      <c r="K475" s="352"/>
      <c r="L475" s="352"/>
      <c r="M475" s="352"/>
      <c r="N475" s="352"/>
      <c r="O475" s="352"/>
      <c r="P475" s="352"/>
      <c r="Q475" s="352"/>
      <c r="R475" s="352"/>
      <c r="S475" s="352"/>
      <c r="T475" s="352"/>
      <c r="U475" s="352"/>
      <c r="V475" s="352"/>
      <c r="W475" s="352"/>
      <c r="X475" s="352"/>
      <c r="Y475" s="352"/>
      <c r="Z475" s="352"/>
      <c r="AA475" s="352"/>
      <c r="AB475" s="352"/>
      <c r="AC475" s="352"/>
      <c r="AD475" s="352"/>
      <c r="AE475" s="352"/>
    </row>
    <row r="476">
      <c r="A476" s="352"/>
      <c r="B476" s="352"/>
      <c r="C476" s="352"/>
      <c r="D476" s="352"/>
      <c r="E476" s="352"/>
      <c r="F476" s="352"/>
      <c r="G476" s="352"/>
      <c r="H476" s="352"/>
      <c r="I476" s="352"/>
      <c r="J476" s="352"/>
      <c r="K476" s="352"/>
      <c r="L476" s="352"/>
      <c r="M476" s="352"/>
      <c r="N476" s="352"/>
      <c r="O476" s="352"/>
      <c r="P476" s="352"/>
      <c r="Q476" s="352"/>
      <c r="R476" s="352"/>
      <c r="S476" s="352"/>
      <c r="T476" s="352"/>
      <c r="U476" s="352"/>
      <c r="V476" s="352"/>
      <c r="W476" s="352"/>
      <c r="X476" s="352"/>
      <c r="Y476" s="352"/>
      <c r="Z476" s="352"/>
      <c r="AA476" s="352"/>
      <c r="AB476" s="352"/>
      <c r="AC476" s="352"/>
      <c r="AD476" s="352"/>
      <c r="AE476" s="352"/>
    </row>
    <row r="477">
      <c r="A477" s="352"/>
      <c r="B477" s="352"/>
      <c r="C477" s="352"/>
      <c r="D477" s="352"/>
      <c r="E477" s="352"/>
      <c r="F477" s="352"/>
      <c r="G477" s="352"/>
      <c r="H477" s="352"/>
      <c r="I477" s="352"/>
      <c r="J477" s="352"/>
      <c r="K477" s="352"/>
      <c r="L477" s="352"/>
      <c r="M477" s="352"/>
      <c r="N477" s="352"/>
      <c r="O477" s="352"/>
      <c r="P477" s="352"/>
      <c r="Q477" s="352"/>
      <c r="R477" s="352"/>
      <c r="S477" s="352"/>
      <c r="T477" s="352"/>
      <c r="U477" s="352"/>
      <c r="V477" s="352"/>
      <c r="W477" s="352"/>
      <c r="X477" s="352"/>
      <c r="Y477" s="352"/>
      <c r="Z477" s="352"/>
      <c r="AA477" s="352"/>
      <c r="AB477" s="352"/>
      <c r="AC477" s="352"/>
      <c r="AD477" s="352"/>
      <c r="AE477" s="352"/>
    </row>
    <row r="478">
      <c r="A478" s="352"/>
      <c r="B478" s="352"/>
      <c r="C478" s="352"/>
      <c r="D478" s="352"/>
      <c r="E478" s="352"/>
      <c r="F478" s="352"/>
      <c r="G478" s="352"/>
      <c r="H478" s="352"/>
      <c r="I478" s="352"/>
      <c r="J478" s="352"/>
      <c r="K478" s="352"/>
      <c r="L478" s="352"/>
      <c r="M478" s="352"/>
      <c r="N478" s="352"/>
      <c r="O478" s="352"/>
      <c r="P478" s="352"/>
      <c r="Q478" s="352"/>
      <c r="R478" s="352"/>
      <c r="S478" s="352"/>
      <c r="T478" s="352"/>
      <c r="U478" s="352"/>
      <c r="V478" s="352"/>
      <c r="W478" s="352"/>
      <c r="X478" s="352"/>
      <c r="Y478" s="352"/>
      <c r="Z478" s="352"/>
      <c r="AA478" s="352"/>
      <c r="AB478" s="352"/>
      <c r="AC478" s="352"/>
      <c r="AD478" s="352"/>
      <c r="AE478" s="352"/>
    </row>
    <row r="479">
      <c r="A479" s="352"/>
      <c r="B479" s="352"/>
      <c r="C479" s="352"/>
      <c r="D479" s="352"/>
      <c r="E479" s="352"/>
      <c r="F479" s="352"/>
      <c r="G479" s="352"/>
      <c r="H479" s="352"/>
      <c r="I479" s="352"/>
      <c r="J479" s="352"/>
      <c r="K479" s="352"/>
      <c r="L479" s="352"/>
      <c r="M479" s="352"/>
      <c r="N479" s="352"/>
      <c r="O479" s="352"/>
      <c r="P479" s="352"/>
      <c r="Q479" s="352"/>
      <c r="R479" s="352"/>
      <c r="S479" s="352"/>
      <c r="T479" s="352"/>
      <c r="U479" s="352"/>
      <c r="V479" s="352"/>
      <c r="W479" s="352"/>
      <c r="X479" s="352"/>
      <c r="Y479" s="352"/>
      <c r="Z479" s="352"/>
      <c r="AA479" s="352"/>
      <c r="AB479" s="352"/>
      <c r="AC479" s="352"/>
      <c r="AD479" s="352"/>
      <c r="AE479" s="352"/>
    </row>
    <row r="480">
      <c r="A480" s="352"/>
      <c r="B480" s="352"/>
      <c r="C480" s="352"/>
      <c r="D480" s="352"/>
      <c r="E480" s="352"/>
      <c r="F480" s="352"/>
      <c r="G480" s="352"/>
      <c r="H480" s="352"/>
      <c r="I480" s="352"/>
      <c r="J480" s="352"/>
      <c r="K480" s="352"/>
      <c r="L480" s="352"/>
      <c r="M480" s="352"/>
      <c r="N480" s="352"/>
      <c r="O480" s="352"/>
      <c r="P480" s="352"/>
      <c r="Q480" s="352"/>
      <c r="R480" s="352"/>
      <c r="S480" s="352"/>
      <c r="T480" s="352"/>
      <c r="U480" s="352"/>
      <c r="V480" s="352"/>
      <c r="W480" s="352"/>
      <c r="X480" s="352"/>
      <c r="Y480" s="352"/>
      <c r="Z480" s="352"/>
      <c r="AA480" s="352"/>
      <c r="AB480" s="352"/>
      <c r="AC480" s="352"/>
      <c r="AD480" s="352"/>
      <c r="AE480" s="352"/>
    </row>
    <row r="481">
      <c r="A481" s="352"/>
      <c r="B481" s="352"/>
      <c r="C481" s="352"/>
      <c r="D481" s="352"/>
      <c r="E481" s="352"/>
      <c r="F481" s="352"/>
      <c r="G481" s="352"/>
      <c r="H481" s="352"/>
      <c r="I481" s="352"/>
      <c r="J481" s="352"/>
      <c r="K481" s="352"/>
      <c r="L481" s="352"/>
      <c r="M481" s="352"/>
      <c r="N481" s="352"/>
      <c r="O481" s="352"/>
      <c r="P481" s="352"/>
      <c r="Q481" s="352"/>
      <c r="R481" s="352"/>
      <c r="S481" s="352"/>
      <c r="T481" s="352"/>
      <c r="U481" s="352"/>
      <c r="V481" s="352"/>
      <c r="W481" s="352"/>
      <c r="X481" s="352"/>
      <c r="Y481" s="352"/>
      <c r="Z481" s="352"/>
      <c r="AA481" s="352"/>
      <c r="AB481" s="352"/>
      <c r="AC481" s="352"/>
      <c r="AD481" s="352"/>
      <c r="AE481" s="352"/>
    </row>
    <row r="482">
      <c r="A482" s="352"/>
      <c r="B482" s="352"/>
      <c r="C482" s="352"/>
      <c r="D482" s="352"/>
      <c r="E482" s="352"/>
      <c r="F482" s="352"/>
      <c r="G482" s="352"/>
      <c r="H482" s="352"/>
      <c r="I482" s="352"/>
      <c r="J482" s="352"/>
      <c r="K482" s="352"/>
      <c r="L482" s="352"/>
      <c r="M482" s="352"/>
      <c r="N482" s="352"/>
      <c r="O482" s="352"/>
      <c r="P482" s="352"/>
      <c r="Q482" s="352"/>
      <c r="R482" s="352"/>
      <c r="S482" s="352"/>
      <c r="T482" s="352"/>
      <c r="U482" s="352"/>
      <c r="V482" s="352"/>
      <c r="W482" s="352"/>
      <c r="X482" s="352"/>
      <c r="Y482" s="352"/>
      <c r="Z482" s="352"/>
      <c r="AA482" s="352"/>
      <c r="AB482" s="352"/>
      <c r="AC482" s="352"/>
      <c r="AD482" s="352"/>
      <c r="AE482" s="352"/>
    </row>
    <row r="483">
      <c r="A483" s="352"/>
      <c r="B483" s="352"/>
      <c r="C483" s="352"/>
      <c r="D483" s="352"/>
      <c r="E483" s="352"/>
      <c r="F483" s="352"/>
      <c r="G483" s="352"/>
      <c r="H483" s="352"/>
      <c r="I483" s="352"/>
      <c r="J483" s="352"/>
      <c r="K483" s="352"/>
      <c r="L483" s="352"/>
      <c r="M483" s="352"/>
      <c r="N483" s="352"/>
      <c r="O483" s="352"/>
      <c r="P483" s="352"/>
      <c r="Q483" s="352"/>
      <c r="R483" s="352"/>
      <c r="S483" s="352"/>
      <c r="T483" s="352"/>
      <c r="U483" s="352"/>
      <c r="V483" s="352"/>
      <c r="W483" s="352"/>
      <c r="X483" s="352"/>
      <c r="Y483" s="352"/>
      <c r="Z483" s="352"/>
      <c r="AA483" s="352"/>
      <c r="AB483" s="352"/>
      <c r="AC483" s="352"/>
      <c r="AD483" s="352"/>
      <c r="AE483" s="352"/>
    </row>
    <row r="484">
      <c r="A484" s="352"/>
      <c r="B484" s="352"/>
      <c r="C484" s="352"/>
      <c r="D484" s="352"/>
      <c r="E484" s="352"/>
      <c r="F484" s="352"/>
      <c r="G484" s="352"/>
      <c r="H484" s="352"/>
      <c r="I484" s="352"/>
      <c r="J484" s="352"/>
      <c r="K484" s="352"/>
      <c r="L484" s="352"/>
      <c r="M484" s="352"/>
      <c r="N484" s="352"/>
      <c r="O484" s="352"/>
      <c r="P484" s="352"/>
      <c r="Q484" s="352"/>
      <c r="R484" s="352"/>
      <c r="S484" s="352"/>
      <c r="T484" s="352"/>
      <c r="U484" s="352"/>
      <c r="V484" s="352"/>
      <c r="W484" s="352"/>
      <c r="X484" s="352"/>
      <c r="Y484" s="352"/>
      <c r="Z484" s="352"/>
      <c r="AA484" s="352"/>
      <c r="AB484" s="352"/>
      <c r="AC484" s="352"/>
      <c r="AD484" s="352"/>
      <c r="AE484" s="352"/>
    </row>
    <row r="485">
      <c r="A485" s="352"/>
      <c r="B485" s="352"/>
      <c r="C485" s="352"/>
      <c r="D485" s="352"/>
      <c r="E485" s="352"/>
      <c r="F485" s="352"/>
      <c r="G485" s="352"/>
      <c r="H485" s="352"/>
      <c r="I485" s="352"/>
      <c r="J485" s="352"/>
      <c r="K485" s="352"/>
      <c r="L485" s="352"/>
      <c r="M485" s="352"/>
      <c r="N485" s="352"/>
      <c r="O485" s="352"/>
      <c r="P485" s="352"/>
      <c r="Q485" s="352"/>
      <c r="R485" s="352"/>
      <c r="S485" s="352"/>
      <c r="T485" s="352"/>
      <c r="U485" s="352"/>
      <c r="V485" s="352"/>
      <c r="W485" s="352"/>
      <c r="X485" s="352"/>
      <c r="Y485" s="352"/>
      <c r="Z485" s="352"/>
      <c r="AA485" s="352"/>
      <c r="AB485" s="352"/>
      <c r="AC485" s="352"/>
      <c r="AD485" s="352"/>
      <c r="AE485" s="352"/>
    </row>
    <row r="486">
      <c r="A486" s="352"/>
      <c r="B486" s="352"/>
      <c r="C486" s="352"/>
      <c r="D486" s="352"/>
      <c r="E486" s="352"/>
      <c r="F486" s="352"/>
      <c r="G486" s="352"/>
      <c r="H486" s="352"/>
      <c r="I486" s="352"/>
      <c r="J486" s="352"/>
      <c r="K486" s="352"/>
      <c r="L486" s="352"/>
      <c r="M486" s="352"/>
      <c r="N486" s="352"/>
      <c r="O486" s="352"/>
      <c r="P486" s="352"/>
      <c r="Q486" s="352"/>
      <c r="R486" s="352"/>
      <c r="S486" s="352"/>
      <c r="T486" s="352"/>
      <c r="U486" s="352"/>
      <c r="V486" s="352"/>
      <c r="W486" s="352"/>
      <c r="X486" s="352"/>
      <c r="Y486" s="352"/>
      <c r="Z486" s="352"/>
      <c r="AA486" s="352"/>
      <c r="AB486" s="352"/>
      <c r="AC486" s="352"/>
      <c r="AD486" s="352"/>
      <c r="AE486" s="352"/>
    </row>
    <row r="487">
      <c r="A487" s="352"/>
      <c r="B487" s="352"/>
      <c r="C487" s="352"/>
      <c r="D487" s="352"/>
      <c r="E487" s="352"/>
      <c r="F487" s="352"/>
      <c r="G487" s="352"/>
      <c r="H487" s="352"/>
      <c r="I487" s="352"/>
      <c r="J487" s="352"/>
      <c r="K487" s="352"/>
      <c r="L487" s="352"/>
      <c r="M487" s="352"/>
      <c r="N487" s="352"/>
      <c r="O487" s="352"/>
      <c r="P487" s="352"/>
      <c r="Q487" s="352"/>
      <c r="R487" s="352"/>
      <c r="S487" s="352"/>
      <c r="T487" s="352"/>
      <c r="U487" s="352"/>
      <c r="V487" s="352"/>
      <c r="W487" s="352"/>
      <c r="X487" s="352"/>
      <c r="Y487" s="352"/>
      <c r="Z487" s="352"/>
      <c r="AA487" s="352"/>
      <c r="AB487" s="352"/>
      <c r="AC487" s="352"/>
      <c r="AD487" s="352"/>
      <c r="AE487" s="352"/>
    </row>
    <row r="488">
      <c r="A488" s="352"/>
      <c r="B488" s="352"/>
      <c r="C488" s="352"/>
      <c r="D488" s="352"/>
      <c r="E488" s="352"/>
      <c r="F488" s="352"/>
      <c r="G488" s="352"/>
      <c r="H488" s="352"/>
      <c r="I488" s="352"/>
      <c r="J488" s="352"/>
      <c r="K488" s="352"/>
      <c r="L488" s="352"/>
      <c r="M488" s="352"/>
      <c r="N488" s="352"/>
      <c r="O488" s="352"/>
      <c r="P488" s="352"/>
      <c r="Q488" s="352"/>
      <c r="R488" s="352"/>
      <c r="S488" s="352"/>
      <c r="T488" s="352"/>
      <c r="U488" s="352"/>
      <c r="V488" s="352"/>
      <c r="W488" s="352"/>
      <c r="X488" s="352"/>
      <c r="Y488" s="352"/>
      <c r="Z488" s="352"/>
      <c r="AA488" s="352"/>
      <c r="AB488" s="352"/>
      <c r="AC488" s="352"/>
      <c r="AD488" s="352"/>
      <c r="AE488" s="352"/>
    </row>
    <row r="489">
      <c r="A489" s="352"/>
      <c r="B489" s="352"/>
      <c r="C489" s="352"/>
      <c r="D489" s="352"/>
      <c r="E489" s="352"/>
      <c r="F489" s="352"/>
      <c r="G489" s="352"/>
      <c r="H489" s="352"/>
      <c r="I489" s="352"/>
      <c r="J489" s="352"/>
      <c r="K489" s="352"/>
      <c r="L489" s="352"/>
      <c r="M489" s="352"/>
      <c r="N489" s="352"/>
      <c r="O489" s="352"/>
      <c r="P489" s="352"/>
      <c r="Q489" s="352"/>
      <c r="R489" s="352"/>
      <c r="S489" s="352"/>
      <c r="T489" s="352"/>
      <c r="U489" s="352"/>
      <c r="V489" s="352"/>
      <c r="W489" s="352"/>
      <c r="X489" s="352"/>
      <c r="Y489" s="352"/>
      <c r="Z489" s="352"/>
      <c r="AA489" s="352"/>
      <c r="AB489" s="352"/>
      <c r="AC489" s="352"/>
      <c r="AD489" s="352"/>
      <c r="AE489" s="352"/>
    </row>
    <row r="490">
      <c r="A490" s="352"/>
      <c r="B490" s="352"/>
      <c r="C490" s="352"/>
      <c r="D490" s="352"/>
      <c r="E490" s="352"/>
      <c r="F490" s="352"/>
      <c r="G490" s="352"/>
      <c r="H490" s="352"/>
      <c r="I490" s="352"/>
      <c r="J490" s="352"/>
      <c r="K490" s="352"/>
      <c r="L490" s="352"/>
      <c r="M490" s="352"/>
      <c r="N490" s="352"/>
      <c r="O490" s="352"/>
      <c r="P490" s="352"/>
      <c r="Q490" s="352"/>
      <c r="R490" s="352"/>
      <c r="S490" s="352"/>
      <c r="T490" s="352"/>
      <c r="U490" s="352"/>
      <c r="V490" s="352"/>
      <c r="W490" s="352"/>
      <c r="X490" s="352"/>
      <c r="Y490" s="352"/>
      <c r="Z490" s="352"/>
      <c r="AA490" s="352"/>
      <c r="AB490" s="352"/>
      <c r="AC490" s="352"/>
      <c r="AD490" s="352"/>
      <c r="AE490" s="352"/>
    </row>
    <row r="491">
      <c r="A491" s="352"/>
      <c r="B491" s="352"/>
      <c r="C491" s="352"/>
      <c r="D491" s="352"/>
      <c r="E491" s="352"/>
      <c r="F491" s="352"/>
      <c r="G491" s="352"/>
      <c r="H491" s="352"/>
      <c r="I491" s="352"/>
      <c r="J491" s="352"/>
      <c r="K491" s="352"/>
      <c r="L491" s="352"/>
      <c r="M491" s="352"/>
      <c r="N491" s="352"/>
      <c r="O491" s="352"/>
      <c r="P491" s="352"/>
      <c r="Q491" s="352"/>
      <c r="R491" s="352"/>
      <c r="S491" s="352"/>
      <c r="T491" s="352"/>
      <c r="U491" s="352"/>
      <c r="V491" s="352"/>
      <c r="W491" s="352"/>
      <c r="X491" s="352"/>
      <c r="Y491" s="352"/>
      <c r="Z491" s="352"/>
      <c r="AA491" s="352"/>
      <c r="AB491" s="352"/>
      <c r="AC491" s="352"/>
      <c r="AD491" s="352"/>
      <c r="AE491" s="352"/>
    </row>
    <row r="492">
      <c r="A492" s="352"/>
      <c r="B492" s="352"/>
      <c r="C492" s="352"/>
      <c r="D492" s="352"/>
      <c r="E492" s="352"/>
      <c r="F492" s="352"/>
      <c r="G492" s="352"/>
      <c r="H492" s="352"/>
      <c r="I492" s="352"/>
      <c r="J492" s="352"/>
      <c r="K492" s="352"/>
      <c r="L492" s="352"/>
      <c r="M492" s="352"/>
      <c r="N492" s="352"/>
      <c r="O492" s="352"/>
      <c r="P492" s="352"/>
      <c r="Q492" s="352"/>
      <c r="R492" s="352"/>
      <c r="S492" s="352"/>
      <c r="T492" s="352"/>
      <c r="U492" s="352"/>
      <c r="V492" s="352"/>
      <c r="W492" s="352"/>
      <c r="X492" s="352"/>
      <c r="Y492" s="352"/>
      <c r="Z492" s="352"/>
      <c r="AA492" s="352"/>
      <c r="AB492" s="352"/>
      <c r="AC492" s="352"/>
      <c r="AD492" s="352"/>
      <c r="AE492" s="352"/>
    </row>
    <row r="493">
      <c r="A493" s="352"/>
      <c r="B493" s="352"/>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c r="AA493" s="352"/>
      <c r="AB493" s="352"/>
      <c r="AC493" s="352"/>
      <c r="AD493" s="352"/>
      <c r="AE493" s="352"/>
    </row>
    <row r="494">
      <c r="A494" s="352"/>
      <c r="B494" s="352"/>
      <c r="C494" s="352"/>
      <c r="D494" s="352"/>
      <c r="E494" s="352"/>
      <c r="F494" s="352"/>
      <c r="G494" s="352"/>
      <c r="H494" s="352"/>
      <c r="I494" s="352"/>
      <c r="J494" s="352"/>
      <c r="K494" s="352"/>
      <c r="L494" s="352"/>
      <c r="M494" s="352"/>
      <c r="N494" s="352"/>
      <c r="O494" s="352"/>
      <c r="P494" s="352"/>
      <c r="Q494" s="352"/>
      <c r="R494" s="352"/>
      <c r="S494" s="352"/>
      <c r="T494" s="352"/>
      <c r="U494" s="352"/>
      <c r="V494" s="352"/>
      <c r="W494" s="352"/>
      <c r="X494" s="352"/>
      <c r="Y494" s="352"/>
      <c r="Z494" s="352"/>
      <c r="AA494" s="352"/>
      <c r="AB494" s="352"/>
      <c r="AC494" s="352"/>
      <c r="AD494" s="352"/>
      <c r="AE494" s="352"/>
    </row>
    <row r="495">
      <c r="A495" s="352"/>
      <c r="B495" s="352"/>
      <c r="C495" s="352"/>
      <c r="D495" s="352"/>
      <c r="E495" s="352"/>
      <c r="F495" s="352"/>
      <c r="G495" s="352"/>
      <c r="H495" s="352"/>
      <c r="I495" s="352"/>
      <c r="J495" s="352"/>
      <c r="K495" s="352"/>
      <c r="L495" s="352"/>
      <c r="M495" s="352"/>
      <c r="N495" s="352"/>
      <c r="O495" s="352"/>
      <c r="P495" s="352"/>
      <c r="Q495" s="352"/>
      <c r="R495" s="352"/>
      <c r="S495" s="352"/>
      <c r="T495" s="352"/>
      <c r="U495" s="352"/>
      <c r="V495" s="352"/>
      <c r="W495" s="352"/>
      <c r="X495" s="352"/>
      <c r="Y495" s="352"/>
      <c r="Z495" s="352"/>
      <c r="AA495" s="352"/>
      <c r="AB495" s="352"/>
      <c r="AC495" s="352"/>
      <c r="AD495" s="352"/>
      <c r="AE495" s="352"/>
    </row>
    <row r="496">
      <c r="A496" s="352"/>
      <c r="B496" s="352"/>
      <c r="C496" s="352"/>
      <c r="D496" s="352"/>
      <c r="E496" s="352"/>
      <c r="F496" s="352"/>
      <c r="G496" s="352"/>
      <c r="H496" s="352"/>
      <c r="I496" s="352"/>
      <c r="J496" s="352"/>
      <c r="K496" s="352"/>
      <c r="L496" s="352"/>
      <c r="M496" s="352"/>
      <c r="N496" s="352"/>
      <c r="O496" s="352"/>
      <c r="P496" s="352"/>
      <c r="Q496" s="352"/>
      <c r="R496" s="352"/>
      <c r="S496" s="352"/>
      <c r="T496" s="352"/>
      <c r="U496" s="352"/>
      <c r="V496" s="352"/>
      <c r="W496" s="352"/>
      <c r="X496" s="352"/>
      <c r="Y496" s="352"/>
      <c r="Z496" s="352"/>
      <c r="AA496" s="352"/>
      <c r="AB496" s="352"/>
      <c r="AC496" s="352"/>
      <c r="AD496" s="352"/>
      <c r="AE496" s="352"/>
    </row>
    <row r="497">
      <c r="A497" s="352"/>
      <c r="B497" s="352"/>
      <c r="C497" s="352"/>
      <c r="D497" s="352"/>
      <c r="E497" s="352"/>
      <c r="F497" s="352"/>
      <c r="G497" s="352"/>
      <c r="H497" s="352"/>
      <c r="I497" s="352"/>
      <c r="J497" s="352"/>
      <c r="K497" s="352"/>
      <c r="L497" s="352"/>
      <c r="M497" s="352"/>
      <c r="N497" s="352"/>
      <c r="O497" s="352"/>
      <c r="P497" s="352"/>
      <c r="Q497" s="352"/>
      <c r="R497" s="352"/>
      <c r="S497" s="352"/>
      <c r="T497" s="352"/>
      <c r="U497" s="352"/>
      <c r="V497" s="352"/>
      <c r="W497" s="352"/>
      <c r="X497" s="352"/>
      <c r="Y497" s="352"/>
      <c r="Z497" s="352"/>
      <c r="AA497" s="352"/>
      <c r="AB497" s="352"/>
      <c r="AC497" s="352"/>
      <c r="AD497" s="352"/>
      <c r="AE497" s="352"/>
    </row>
    <row r="498">
      <c r="A498" s="352"/>
      <c r="B498" s="352"/>
      <c r="C498" s="352"/>
      <c r="D498" s="352"/>
      <c r="E498" s="352"/>
      <c r="F498" s="352"/>
      <c r="G498" s="352"/>
      <c r="H498" s="352"/>
      <c r="I498" s="352"/>
      <c r="J498" s="352"/>
      <c r="K498" s="352"/>
      <c r="L498" s="352"/>
      <c r="M498" s="352"/>
      <c r="N498" s="352"/>
      <c r="O498" s="352"/>
      <c r="P498" s="352"/>
      <c r="Q498" s="352"/>
      <c r="R498" s="352"/>
      <c r="S498" s="352"/>
      <c r="T498" s="352"/>
      <c r="U498" s="352"/>
      <c r="V498" s="352"/>
      <c r="W498" s="352"/>
      <c r="X498" s="352"/>
      <c r="Y498" s="352"/>
      <c r="Z498" s="352"/>
      <c r="AA498" s="352"/>
      <c r="AB498" s="352"/>
      <c r="AC498" s="352"/>
      <c r="AD498" s="352"/>
      <c r="AE498" s="352"/>
    </row>
    <row r="499">
      <c r="A499" s="352"/>
      <c r="B499" s="352"/>
      <c r="C499" s="352"/>
      <c r="D499" s="352"/>
      <c r="E499" s="352"/>
      <c r="F499" s="352"/>
      <c r="G499" s="352"/>
      <c r="H499" s="352"/>
      <c r="I499" s="352"/>
      <c r="J499" s="352"/>
      <c r="K499" s="352"/>
      <c r="L499" s="352"/>
      <c r="M499" s="352"/>
      <c r="N499" s="352"/>
      <c r="O499" s="352"/>
      <c r="P499" s="352"/>
      <c r="Q499" s="352"/>
      <c r="R499" s="352"/>
      <c r="S499" s="352"/>
      <c r="T499" s="352"/>
      <c r="U499" s="352"/>
      <c r="V499" s="352"/>
      <c r="W499" s="352"/>
      <c r="X499" s="352"/>
      <c r="Y499" s="352"/>
      <c r="Z499" s="352"/>
      <c r="AA499" s="352"/>
      <c r="AB499" s="352"/>
      <c r="AC499" s="352"/>
      <c r="AD499" s="352"/>
      <c r="AE499" s="352"/>
    </row>
    <row r="500">
      <c r="A500" s="352"/>
      <c r="B500" s="352"/>
      <c r="C500" s="352"/>
      <c r="D500" s="352"/>
      <c r="E500" s="352"/>
      <c r="F500" s="352"/>
      <c r="G500" s="352"/>
      <c r="H500" s="352"/>
      <c r="I500" s="352"/>
      <c r="J500" s="352"/>
      <c r="K500" s="352"/>
      <c r="L500" s="352"/>
      <c r="M500" s="352"/>
      <c r="N500" s="352"/>
      <c r="O500" s="352"/>
      <c r="P500" s="352"/>
      <c r="Q500" s="352"/>
      <c r="R500" s="352"/>
      <c r="S500" s="352"/>
      <c r="T500" s="352"/>
      <c r="U500" s="352"/>
      <c r="V500" s="352"/>
      <c r="W500" s="352"/>
      <c r="X500" s="352"/>
      <c r="Y500" s="352"/>
      <c r="Z500" s="352"/>
      <c r="AA500" s="352"/>
      <c r="AB500" s="352"/>
      <c r="AC500" s="352"/>
      <c r="AD500" s="352"/>
      <c r="AE500" s="352"/>
    </row>
    <row r="501">
      <c r="A501" s="352"/>
      <c r="B501" s="352"/>
      <c r="C501" s="352"/>
      <c r="D501" s="352"/>
      <c r="E501" s="352"/>
      <c r="F501" s="352"/>
      <c r="G501" s="352"/>
      <c r="H501" s="352"/>
      <c r="I501" s="352"/>
      <c r="J501" s="352"/>
      <c r="K501" s="352"/>
      <c r="L501" s="352"/>
      <c r="M501" s="352"/>
      <c r="N501" s="352"/>
      <c r="O501" s="352"/>
      <c r="P501" s="352"/>
      <c r="Q501" s="352"/>
      <c r="R501" s="352"/>
      <c r="S501" s="352"/>
      <c r="T501" s="352"/>
      <c r="U501" s="352"/>
      <c r="V501" s="352"/>
      <c r="W501" s="352"/>
      <c r="X501" s="352"/>
      <c r="Y501" s="352"/>
      <c r="Z501" s="352"/>
      <c r="AA501" s="352"/>
      <c r="AB501" s="352"/>
      <c r="AC501" s="352"/>
      <c r="AD501" s="352"/>
      <c r="AE501" s="352"/>
    </row>
    <row r="502">
      <c r="A502" s="352"/>
      <c r="B502" s="352"/>
      <c r="C502" s="352"/>
      <c r="D502" s="352"/>
      <c r="E502" s="352"/>
      <c r="F502" s="352"/>
      <c r="G502" s="352"/>
      <c r="H502" s="352"/>
      <c r="I502" s="352"/>
      <c r="J502" s="352"/>
      <c r="K502" s="352"/>
      <c r="L502" s="352"/>
      <c r="M502" s="352"/>
      <c r="N502" s="352"/>
      <c r="O502" s="352"/>
      <c r="P502" s="352"/>
      <c r="Q502" s="352"/>
      <c r="R502" s="352"/>
      <c r="S502" s="352"/>
      <c r="T502" s="352"/>
      <c r="U502" s="352"/>
      <c r="V502" s="352"/>
      <c r="W502" s="352"/>
      <c r="X502" s="352"/>
      <c r="Y502" s="352"/>
      <c r="Z502" s="352"/>
      <c r="AA502" s="352"/>
      <c r="AB502" s="352"/>
      <c r="AC502" s="352"/>
      <c r="AD502" s="352"/>
      <c r="AE502" s="352"/>
    </row>
    <row r="503">
      <c r="A503" s="352"/>
      <c r="B503" s="352"/>
      <c r="C503" s="352"/>
      <c r="D503" s="352"/>
      <c r="E503" s="352"/>
      <c r="F503" s="352"/>
      <c r="G503" s="352"/>
      <c r="H503" s="352"/>
      <c r="I503" s="352"/>
      <c r="J503" s="352"/>
      <c r="K503" s="352"/>
      <c r="L503" s="352"/>
      <c r="M503" s="352"/>
      <c r="N503" s="352"/>
      <c r="O503" s="352"/>
      <c r="P503" s="352"/>
      <c r="Q503" s="352"/>
      <c r="R503" s="352"/>
      <c r="S503" s="352"/>
      <c r="T503" s="352"/>
      <c r="U503" s="352"/>
      <c r="V503" s="352"/>
      <c r="W503" s="352"/>
      <c r="X503" s="352"/>
      <c r="Y503" s="352"/>
      <c r="Z503" s="352"/>
      <c r="AA503" s="352"/>
      <c r="AB503" s="352"/>
      <c r="AC503" s="352"/>
      <c r="AD503" s="352"/>
      <c r="AE503" s="352"/>
    </row>
    <row r="504">
      <c r="A504" s="352"/>
      <c r="B504" s="352"/>
      <c r="C504" s="352"/>
      <c r="D504" s="352"/>
      <c r="E504" s="352"/>
      <c r="F504" s="352"/>
      <c r="G504" s="352"/>
      <c r="H504" s="352"/>
      <c r="I504" s="352"/>
      <c r="J504" s="352"/>
      <c r="K504" s="352"/>
      <c r="L504" s="352"/>
      <c r="M504" s="352"/>
      <c r="N504" s="352"/>
      <c r="O504" s="352"/>
      <c r="P504" s="352"/>
      <c r="Q504" s="352"/>
      <c r="R504" s="352"/>
      <c r="S504" s="352"/>
      <c r="T504" s="352"/>
      <c r="U504" s="352"/>
      <c r="V504" s="352"/>
      <c r="W504" s="352"/>
      <c r="X504" s="352"/>
      <c r="Y504" s="352"/>
      <c r="Z504" s="352"/>
      <c r="AA504" s="352"/>
      <c r="AB504" s="352"/>
      <c r="AC504" s="352"/>
      <c r="AD504" s="352"/>
      <c r="AE504" s="352"/>
    </row>
    <row r="505">
      <c r="A505" s="352"/>
      <c r="B505" s="352"/>
      <c r="C505" s="352"/>
      <c r="D505" s="352"/>
      <c r="E505" s="352"/>
      <c r="F505" s="352"/>
      <c r="G505" s="352"/>
      <c r="H505" s="352"/>
      <c r="I505" s="352"/>
      <c r="J505" s="352"/>
      <c r="K505" s="352"/>
      <c r="L505" s="352"/>
      <c r="M505" s="352"/>
      <c r="N505" s="352"/>
      <c r="O505" s="352"/>
      <c r="P505" s="352"/>
      <c r="Q505" s="352"/>
      <c r="R505" s="352"/>
      <c r="S505" s="352"/>
      <c r="T505" s="352"/>
      <c r="U505" s="352"/>
      <c r="V505" s="352"/>
      <c r="W505" s="352"/>
      <c r="X505" s="352"/>
      <c r="Y505" s="352"/>
      <c r="Z505" s="352"/>
      <c r="AA505" s="352"/>
      <c r="AB505" s="352"/>
      <c r="AC505" s="352"/>
      <c r="AD505" s="352"/>
      <c r="AE505" s="352"/>
    </row>
    <row r="506">
      <c r="A506" s="352"/>
      <c r="B506" s="352"/>
      <c r="C506" s="352"/>
      <c r="D506" s="352"/>
      <c r="E506" s="352"/>
      <c r="F506" s="352"/>
      <c r="G506" s="352"/>
      <c r="H506" s="352"/>
      <c r="I506" s="352"/>
      <c r="J506" s="352"/>
      <c r="K506" s="352"/>
      <c r="L506" s="352"/>
      <c r="M506" s="352"/>
      <c r="N506" s="352"/>
      <c r="O506" s="352"/>
      <c r="P506" s="352"/>
      <c r="Q506" s="352"/>
      <c r="R506" s="352"/>
      <c r="S506" s="352"/>
      <c r="T506" s="352"/>
      <c r="U506" s="352"/>
      <c r="V506" s="352"/>
      <c r="W506" s="352"/>
      <c r="X506" s="352"/>
      <c r="Y506" s="352"/>
      <c r="Z506" s="352"/>
      <c r="AA506" s="352"/>
      <c r="AB506" s="352"/>
      <c r="AC506" s="352"/>
      <c r="AD506" s="352"/>
      <c r="AE506" s="352"/>
    </row>
    <row r="507">
      <c r="A507" s="352"/>
      <c r="B507" s="352"/>
      <c r="C507" s="352"/>
      <c r="D507" s="352"/>
      <c r="E507" s="352"/>
      <c r="F507" s="352"/>
      <c r="G507" s="352"/>
      <c r="H507" s="352"/>
      <c r="I507" s="352"/>
      <c r="J507" s="352"/>
      <c r="K507" s="352"/>
      <c r="L507" s="352"/>
      <c r="M507" s="352"/>
      <c r="N507" s="352"/>
      <c r="O507" s="352"/>
      <c r="P507" s="352"/>
      <c r="Q507" s="352"/>
      <c r="R507" s="352"/>
      <c r="S507" s="352"/>
      <c r="T507" s="352"/>
      <c r="U507" s="352"/>
      <c r="V507" s="352"/>
      <c r="W507" s="352"/>
      <c r="X507" s="352"/>
      <c r="Y507" s="352"/>
      <c r="Z507" s="352"/>
      <c r="AA507" s="352"/>
      <c r="AB507" s="352"/>
      <c r="AC507" s="352"/>
      <c r="AD507" s="352"/>
      <c r="AE507" s="352"/>
    </row>
    <row r="508">
      <c r="A508" s="352"/>
      <c r="B508" s="352"/>
      <c r="C508" s="352"/>
      <c r="D508" s="352"/>
      <c r="E508" s="352"/>
      <c r="F508" s="352"/>
      <c r="G508" s="352"/>
      <c r="H508" s="352"/>
      <c r="I508" s="352"/>
      <c r="J508" s="352"/>
      <c r="K508" s="352"/>
      <c r="L508" s="352"/>
      <c r="M508" s="352"/>
      <c r="N508" s="352"/>
      <c r="O508" s="352"/>
      <c r="P508" s="352"/>
      <c r="Q508" s="352"/>
      <c r="R508" s="352"/>
      <c r="S508" s="352"/>
      <c r="T508" s="352"/>
      <c r="U508" s="352"/>
      <c r="V508" s="352"/>
      <c r="W508" s="352"/>
      <c r="X508" s="352"/>
      <c r="Y508" s="352"/>
      <c r="Z508" s="352"/>
      <c r="AA508" s="352"/>
      <c r="AB508" s="352"/>
      <c r="AC508" s="352"/>
      <c r="AD508" s="352"/>
      <c r="AE508" s="352"/>
    </row>
    <row r="509">
      <c r="A509" s="352"/>
      <c r="B509" s="352"/>
      <c r="C509" s="352"/>
      <c r="D509" s="352"/>
      <c r="E509" s="352"/>
      <c r="F509" s="352"/>
      <c r="G509" s="352"/>
      <c r="H509" s="352"/>
      <c r="I509" s="352"/>
      <c r="J509" s="352"/>
      <c r="K509" s="352"/>
      <c r="L509" s="352"/>
      <c r="M509" s="352"/>
      <c r="N509" s="352"/>
      <c r="O509" s="352"/>
      <c r="P509" s="352"/>
      <c r="Q509" s="352"/>
      <c r="R509" s="352"/>
      <c r="S509" s="352"/>
      <c r="T509" s="352"/>
      <c r="U509" s="352"/>
      <c r="V509" s="352"/>
      <c r="W509" s="352"/>
      <c r="X509" s="352"/>
      <c r="Y509" s="352"/>
      <c r="Z509" s="352"/>
      <c r="AA509" s="352"/>
      <c r="AB509" s="352"/>
      <c r="AC509" s="352"/>
      <c r="AD509" s="352"/>
      <c r="AE509" s="352"/>
    </row>
    <row r="510">
      <c r="A510" s="352"/>
      <c r="B510" s="352"/>
      <c r="C510" s="352"/>
      <c r="D510" s="352"/>
      <c r="E510" s="352"/>
      <c r="F510" s="352"/>
      <c r="G510" s="352"/>
      <c r="H510" s="352"/>
      <c r="I510" s="352"/>
      <c r="J510" s="352"/>
      <c r="K510" s="352"/>
      <c r="L510" s="352"/>
      <c r="M510" s="352"/>
      <c r="N510" s="352"/>
      <c r="O510" s="352"/>
      <c r="P510" s="352"/>
      <c r="Q510" s="352"/>
      <c r="R510" s="352"/>
      <c r="S510" s="352"/>
      <c r="T510" s="352"/>
      <c r="U510" s="352"/>
      <c r="V510" s="352"/>
      <c r="W510" s="352"/>
      <c r="X510" s="352"/>
      <c r="Y510" s="352"/>
      <c r="Z510" s="352"/>
      <c r="AA510" s="352"/>
      <c r="AB510" s="352"/>
      <c r="AC510" s="352"/>
      <c r="AD510" s="352"/>
      <c r="AE510" s="352"/>
    </row>
    <row r="511">
      <c r="A511" s="352"/>
      <c r="B511" s="352"/>
      <c r="C511" s="352"/>
      <c r="D511" s="352"/>
      <c r="E511" s="352"/>
      <c r="F511" s="352"/>
      <c r="G511" s="352"/>
      <c r="H511" s="352"/>
      <c r="I511" s="352"/>
      <c r="J511" s="352"/>
      <c r="K511" s="352"/>
      <c r="L511" s="352"/>
      <c r="M511" s="352"/>
      <c r="N511" s="352"/>
      <c r="O511" s="352"/>
      <c r="P511" s="352"/>
      <c r="Q511" s="352"/>
      <c r="R511" s="352"/>
      <c r="S511" s="352"/>
      <c r="T511" s="352"/>
      <c r="U511" s="352"/>
      <c r="V511" s="352"/>
      <c r="W511" s="352"/>
      <c r="X511" s="352"/>
      <c r="Y511" s="352"/>
      <c r="Z511" s="352"/>
      <c r="AA511" s="352"/>
      <c r="AB511" s="352"/>
      <c r="AC511" s="352"/>
      <c r="AD511" s="352"/>
      <c r="AE511" s="352"/>
    </row>
    <row r="512">
      <c r="A512" s="352"/>
      <c r="B512" s="352"/>
      <c r="C512" s="352"/>
      <c r="D512" s="352"/>
      <c r="E512" s="352"/>
      <c r="F512" s="352"/>
      <c r="G512" s="352"/>
      <c r="H512" s="352"/>
      <c r="I512" s="352"/>
      <c r="J512" s="352"/>
      <c r="K512" s="352"/>
      <c r="L512" s="352"/>
      <c r="M512" s="352"/>
      <c r="N512" s="352"/>
      <c r="O512" s="352"/>
      <c r="P512" s="352"/>
      <c r="Q512" s="352"/>
      <c r="R512" s="352"/>
      <c r="S512" s="352"/>
      <c r="T512" s="352"/>
      <c r="U512" s="352"/>
      <c r="V512" s="352"/>
      <c r="W512" s="352"/>
      <c r="X512" s="352"/>
      <c r="Y512" s="352"/>
      <c r="Z512" s="352"/>
      <c r="AA512" s="352"/>
      <c r="AB512" s="352"/>
      <c r="AC512" s="352"/>
      <c r="AD512" s="352"/>
      <c r="AE512" s="352"/>
    </row>
    <row r="513">
      <c r="A513" s="352"/>
      <c r="B513" s="352"/>
      <c r="C513" s="352"/>
      <c r="D513" s="352"/>
      <c r="E513" s="352"/>
      <c r="F513" s="352"/>
      <c r="G513" s="352"/>
      <c r="H513" s="352"/>
      <c r="I513" s="352"/>
      <c r="J513" s="352"/>
      <c r="K513" s="352"/>
      <c r="L513" s="352"/>
      <c r="M513" s="352"/>
      <c r="N513" s="352"/>
      <c r="O513" s="352"/>
      <c r="P513" s="352"/>
      <c r="Q513" s="352"/>
      <c r="R513" s="352"/>
      <c r="S513" s="352"/>
      <c r="T513" s="352"/>
      <c r="U513" s="352"/>
      <c r="V513" s="352"/>
      <c r="W513" s="352"/>
      <c r="X513" s="352"/>
      <c r="Y513" s="352"/>
      <c r="Z513" s="352"/>
      <c r="AA513" s="352"/>
      <c r="AB513" s="352"/>
      <c r="AC513" s="352"/>
      <c r="AD513" s="352"/>
      <c r="AE513" s="352"/>
    </row>
    <row r="514">
      <c r="A514" s="352"/>
      <c r="B514" s="352"/>
      <c r="C514" s="352"/>
      <c r="D514" s="352"/>
      <c r="E514" s="352"/>
      <c r="F514" s="352"/>
      <c r="G514" s="352"/>
      <c r="H514" s="352"/>
      <c r="I514" s="352"/>
      <c r="J514" s="352"/>
      <c r="K514" s="352"/>
      <c r="L514" s="352"/>
      <c r="M514" s="352"/>
      <c r="N514" s="352"/>
      <c r="O514" s="352"/>
      <c r="P514" s="352"/>
      <c r="Q514" s="352"/>
      <c r="R514" s="352"/>
      <c r="S514" s="352"/>
      <c r="T514" s="352"/>
      <c r="U514" s="352"/>
      <c r="V514" s="352"/>
      <c r="W514" s="352"/>
      <c r="X514" s="352"/>
      <c r="Y514" s="352"/>
      <c r="Z514" s="352"/>
      <c r="AA514" s="352"/>
      <c r="AB514" s="352"/>
      <c r="AC514" s="352"/>
      <c r="AD514" s="352"/>
      <c r="AE514" s="352"/>
    </row>
    <row r="515">
      <c r="A515" s="352"/>
      <c r="B515" s="352"/>
      <c r="C515" s="352"/>
      <c r="D515" s="352"/>
      <c r="E515" s="352"/>
      <c r="F515" s="352"/>
      <c r="G515" s="352"/>
      <c r="H515" s="352"/>
      <c r="I515" s="352"/>
      <c r="J515" s="352"/>
      <c r="K515" s="352"/>
      <c r="L515" s="352"/>
      <c r="M515" s="352"/>
      <c r="N515" s="352"/>
      <c r="O515" s="352"/>
      <c r="P515" s="352"/>
      <c r="Q515" s="352"/>
      <c r="R515" s="352"/>
      <c r="S515" s="352"/>
      <c r="T515" s="352"/>
      <c r="U515" s="352"/>
      <c r="V515" s="352"/>
      <c r="W515" s="352"/>
      <c r="X515" s="352"/>
      <c r="Y515" s="352"/>
      <c r="Z515" s="352"/>
      <c r="AA515" s="352"/>
      <c r="AB515" s="352"/>
      <c r="AC515" s="352"/>
      <c r="AD515" s="352"/>
      <c r="AE515" s="352"/>
    </row>
    <row r="516">
      <c r="A516" s="352"/>
      <c r="B516" s="352"/>
      <c r="C516" s="352"/>
      <c r="D516" s="352"/>
      <c r="E516" s="352"/>
      <c r="F516" s="352"/>
      <c r="G516" s="352"/>
      <c r="H516" s="352"/>
      <c r="I516" s="352"/>
      <c r="J516" s="352"/>
      <c r="K516" s="352"/>
      <c r="L516" s="352"/>
      <c r="M516" s="352"/>
      <c r="N516" s="352"/>
      <c r="O516" s="352"/>
      <c r="P516" s="352"/>
      <c r="Q516" s="352"/>
      <c r="R516" s="352"/>
      <c r="S516" s="352"/>
      <c r="T516" s="352"/>
      <c r="U516" s="352"/>
      <c r="V516" s="352"/>
      <c r="W516" s="352"/>
      <c r="X516" s="352"/>
      <c r="Y516" s="352"/>
      <c r="Z516" s="352"/>
      <c r="AA516" s="352"/>
      <c r="AB516" s="352"/>
      <c r="AC516" s="352"/>
      <c r="AD516" s="352"/>
      <c r="AE516" s="352"/>
    </row>
    <row r="517">
      <c r="A517" s="352"/>
      <c r="B517" s="352"/>
      <c r="C517" s="352"/>
      <c r="D517" s="352"/>
      <c r="E517" s="352"/>
      <c r="F517" s="352"/>
      <c r="G517" s="352"/>
      <c r="H517" s="352"/>
      <c r="I517" s="352"/>
      <c r="J517" s="352"/>
      <c r="K517" s="352"/>
      <c r="L517" s="352"/>
      <c r="M517" s="352"/>
      <c r="N517" s="352"/>
      <c r="O517" s="352"/>
      <c r="P517" s="352"/>
      <c r="Q517" s="352"/>
      <c r="R517" s="352"/>
      <c r="S517" s="352"/>
      <c r="T517" s="352"/>
      <c r="U517" s="352"/>
      <c r="V517" s="352"/>
      <c r="W517" s="352"/>
      <c r="X517" s="352"/>
      <c r="Y517" s="352"/>
      <c r="Z517" s="352"/>
      <c r="AA517" s="352"/>
      <c r="AB517" s="352"/>
      <c r="AC517" s="352"/>
      <c r="AD517" s="352"/>
      <c r="AE517" s="352"/>
    </row>
    <row r="518">
      <c r="A518" s="352"/>
      <c r="B518" s="35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c r="AD518" s="352"/>
      <c r="AE518" s="352"/>
    </row>
    <row r="519">
      <c r="A519" s="352"/>
      <c r="B519" s="352"/>
      <c r="C519" s="352"/>
      <c r="D519" s="352"/>
      <c r="E519" s="352"/>
      <c r="F519" s="352"/>
      <c r="G519" s="352"/>
      <c r="H519" s="352"/>
      <c r="I519" s="352"/>
      <c r="J519" s="352"/>
      <c r="K519" s="352"/>
      <c r="L519" s="352"/>
      <c r="M519" s="352"/>
      <c r="N519" s="352"/>
      <c r="O519" s="352"/>
      <c r="P519" s="352"/>
      <c r="Q519" s="352"/>
      <c r="R519" s="352"/>
      <c r="S519" s="352"/>
      <c r="T519" s="352"/>
      <c r="U519" s="352"/>
      <c r="V519" s="352"/>
      <c r="W519" s="352"/>
      <c r="X519" s="352"/>
      <c r="Y519" s="352"/>
      <c r="Z519" s="352"/>
      <c r="AA519" s="352"/>
      <c r="AB519" s="352"/>
      <c r="AC519" s="352"/>
      <c r="AD519" s="352"/>
      <c r="AE519" s="352"/>
    </row>
    <row r="520">
      <c r="A520" s="352"/>
      <c r="B520" s="352"/>
      <c r="C520" s="352"/>
      <c r="D520" s="352"/>
      <c r="E520" s="352"/>
      <c r="F520" s="352"/>
      <c r="G520" s="352"/>
      <c r="H520" s="352"/>
      <c r="I520" s="352"/>
      <c r="J520" s="352"/>
      <c r="K520" s="352"/>
      <c r="L520" s="352"/>
      <c r="M520" s="352"/>
      <c r="N520" s="352"/>
      <c r="O520" s="352"/>
      <c r="P520" s="352"/>
      <c r="Q520" s="352"/>
      <c r="R520" s="352"/>
      <c r="S520" s="352"/>
      <c r="T520" s="352"/>
      <c r="U520" s="352"/>
      <c r="V520" s="352"/>
      <c r="W520" s="352"/>
      <c r="X520" s="352"/>
      <c r="Y520" s="352"/>
      <c r="Z520" s="352"/>
      <c r="AA520" s="352"/>
      <c r="AB520" s="352"/>
      <c r="AC520" s="352"/>
      <c r="AD520" s="352"/>
      <c r="AE520" s="352"/>
    </row>
    <row r="521">
      <c r="A521" s="352"/>
      <c r="B521" s="352"/>
      <c r="C521" s="352"/>
      <c r="D521" s="352"/>
      <c r="E521" s="352"/>
      <c r="F521" s="352"/>
      <c r="G521" s="352"/>
      <c r="H521" s="352"/>
      <c r="I521" s="352"/>
      <c r="J521" s="352"/>
      <c r="K521" s="352"/>
      <c r="L521" s="352"/>
      <c r="M521" s="352"/>
      <c r="N521" s="352"/>
      <c r="O521" s="352"/>
      <c r="P521" s="352"/>
      <c r="Q521" s="352"/>
      <c r="R521" s="352"/>
      <c r="S521" s="352"/>
      <c r="T521" s="352"/>
      <c r="U521" s="352"/>
      <c r="V521" s="352"/>
      <c r="W521" s="352"/>
      <c r="X521" s="352"/>
      <c r="Y521" s="352"/>
      <c r="Z521" s="352"/>
      <c r="AA521" s="352"/>
      <c r="AB521" s="352"/>
      <c r="AC521" s="352"/>
      <c r="AD521" s="352"/>
      <c r="AE521" s="352"/>
    </row>
    <row r="522">
      <c r="A522" s="352"/>
      <c r="B522" s="352"/>
      <c r="C522" s="352"/>
      <c r="D522" s="352"/>
      <c r="E522" s="352"/>
      <c r="F522" s="352"/>
      <c r="G522" s="352"/>
      <c r="H522" s="352"/>
      <c r="I522" s="352"/>
      <c r="J522" s="352"/>
      <c r="K522" s="352"/>
      <c r="L522" s="352"/>
      <c r="M522" s="352"/>
      <c r="N522" s="352"/>
      <c r="O522" s="352"/>
      <c r="P522" s="352"/>
      <c r="Q522" s="352"/>
      <c r="R522" s="352"/>
      <c r="S522" s="352"/>
      <c r="T522" s="352"/>
      <c r="U522" s="352"/>
      <c r="V522" s="352"/>
      <c r="W522" s="352"/>
      <c r="X522" s="352"/>
      <c r="Y522" s="352"/>
      <c r="Z522" s="352"/>
      <c r="AA522" s="352"/>
      <c r="AB522" s="352"/>
      <c r="AC522" s="352"/>
      <c r="AD522" s="352"/>
      <c r="AE522" s="352"/>
    </row>
    <row r="523">
      <c r="A523" s="352"/>
      <c r="B523" s="352"/>
      <c r="C523" s="352"/>
      <c r="D523" s="352"/>
      <c r="E523" s="352"/>
      <c r="F523" s="352"/>
      <c r="G523" s="352"/>
      <c r="H523" s="352"/>
      <c r="I523" s="352"/>
      <c r="J523" s="352"/>
      <c r="K523" s="352"/>
      <c r="L523" s="352"/>
      <c r="M523" s="352"/>
      <c r="N523" s="352"/>
      <c r="O523" s="352"/>
      <c r="P523" s="352"/>
      <c r="Q523" s="352"/>
      <c r="R523" s="352"/>
      <c r="S523" s="352"/>
      <c r="T523" s="352"/>
      <c r="U523" s="352"/>
      <c r="V523" s="352"/>
      <c r="W523" s="352"/>
      <c r="X523" s="352"/>
      <c r="Y523" s="352"/>
      <c r="Z523" s="352"/>
      <c r="AA523" s="352"/>
      <c r="AB523" s="352"/>
      <c r="AC523" s="352"/>
      <c r="AD523" s="352"/>
      <c r="AE523" s="352"/>
    </row>
    <row r="524">
      <c r="A524" s="352"/>
      <c r="B524" s="352"/>
      <c r="C524" s="352"/>
      <c r="D524" s="352"/>
      <c r="E524" s="352"/>
      <c r="F524" s="352"/>
      <c r="G524" s="352"/>
      <c r="H524" s="352"/>
      <c r="I524" s="352"/>
      <c r="J524" s="352"/>
      <c r="K524" s="352"/>
      <c r="L524" s="352"/>
      <c r="M524" s="352"/>
      <c r="N524" s="352"/>
      <c r="O524" s="352"/>
      <c r="P524" s="352"/>
      <c r="Q524" s="352"/>
      <c r="R524" s="352"/>
      <c r="S524" s="352"/>
      <c r="T524" s="352"/>
      <c r="U524" s="352"/>
      <c r="V524" s="352"/>
      <c r="W524" s="352"/>
      <c r="X524" s="352"/>
      <c r="Y524" s="352"/>
      <c r="Z524" s="352"/>
      <c r="AA524" s="352"/>
      <c r="AB524" s="352"/>
      <c r="AC524" s="352"/>
      <c r="AD524" s="352"/>
      <c r="AE524" s="352"/>
    </row>
    <row r="525">
      <c r="A525" s="352"/>
      <c r="B525" s="352"/>
      <c r="C525" s="352"/>
      <c r="D525" s="352"/>
      <c r="E525" s="352"/>
      <c r="F525" s="352"/>
      <c r="G525" s="352"/>
      <c r="H525" s="352"/>
      <c r="I525" s="352"/>
      <c r="J525" s="352"/>
      <c r="K525" s="352"/>
      <c r="L525" s="352"/>
      <c r="M525" s="352"/>
      <c r="N525" s="352"/>
      <c r="O525" s="352"/>
      <c r="P525" s="352"/>
      <c r="Q525" s="352"/>
      <c r="R525" s="352"/>
      <c r="S525" s="352"/>
      <c r="T525" s="352"/>
      <c r="U525" s="352"/>
      <c r="V525" s="352"/>
      <c r="W525" s="352"/>
      <c r="X525" s="352"/>
      <c r="Y525" s="352"/>
      <c r="Z525" s="352"/>
      <c r="AA525" s="352"/>
      <c r="AB525" s="352"/>
      <c r="AC525" s="352"/>
      <c r="AD525" s="352"/>
      <c r="AE525" s="352"/>
    </row>
    <row r="526">
      <c r="A526" s="352"/>
      <c r="B526" s="352"/>
      <c r="C526" s="352"/>
      <c r="D526" s="352"/>
      <c r="E526" s="352"/>
      <c r="F526" s="352"/>
      <c r="G526" s="352"/>
      <c r="H526" s="352"/>
      <c r="I526" s="352"/>
      <c r="J526" s="352"/>
      <c r="K526" s="352"/>
      <c r="L526" s="352"/>
      <c r="M526" s="352"/>
      <c r="N526" s="352"/>
      <c r="O526" s="352"/>
      <c r="P526" s="352"/>
      <c r="Q526" s="352"/>
      <c r="R526" s="352"/>
      <c r="S526" s="352"/>
      <c r="T526" s="352"/>
      <c r="U526" s="352"/>
      <c r="V526" s="352"/>
      <c r="W526" s="352"/>
      <c r="X526" s="352"/>
      <c r="Y526" s="352"/>
      <c r="Z526" s="352"/>
      <c r="AA526" s="352"/>
      <c r="AB526" s="352"/>
      <c r="AC526" s="352"/>
      <c r="AD526" s="352"/>
      <c r="AE526" s="352"/>
    </row>
    <row r="527">
      <c r="A527" s="352"/>
      <c r="B527" s="352"/>
      <c r="C527" s="352"/>
      <c r="D527" s="352"/>
      <c r="E527" s="352"/>
      <c r="F527" s="352"/>
      <c r="G527" s="352"/>
      <c r="H527" s="352"/>
      <c r="I527" s="352"/>
      <c r="J527" s="352"/>
      <c r="K527" s="352"/>
      <c r="L527" s="352"/>
      <c r="M527" s="352"/>
      <c r="N527" s="352"/>
      <c r="O527" s="352"/>
      <c r="P527" s="352"/>
      <c r="Q527" s="352"/>
      <c r="R527" s="352"/>
      <c r="S527" s="352"/>
      <c r="T527" s="352"/>
      <c r="U527" s="352"/>
      <c r="V527" s="352"/>
      <c r="W527" s="352"/>
      <c r="X527" s="352"/>
      <c r="Y527" s="352"/>
      <c r="Z527" s="352"/>
      <c r="AA527" s="352"/>
      <c r="AB527" s="352"/>
      <c r="AC527" s="352"/>
      <c r="AD527" s="352"/>
      <c r="AE527" s="352"/>
    </row>
    <row r="528">
      <c r="A528" s="352"/>
      <c r="B528" s="352"/>
      <c r="C528" s="352"/>
      <c r="D528" s="352"/>
      <c r="E528" s="352"/>
      <c r="F528" s="352"/>
      <c r="G528" s="352"/>
      <c r="H528" s="352"/>
      <c r="I528" s="352"/>
      <c r="J528" s="352"/>
      <c r="K528" s="352"/>
      <c r="L528" s="352"/>
      <c r="M528" s="352"/>
      <c r="N528" s="352"/>
      <c r="O528" s="352"/>
      <c r="P528" s="352"/>
      <c r="Q528" s="352"/>
      <c r="R528" s="352"/>
      <c r="S528" s="352"/>
      <c r="T528" s="352"/>
      <c r="U528" s="352"/>
      <c r="V528" s="352"/>
      <c r="W528" s="352"/>
      <c r="X528" s="352"/>
      <c r="Y528" s="352"/>
      <c r="Z528" s="352"/>
      <c r="AA528" s="352"/>
      <c r="AB528" s="352"/>
      <c r="AC528" s="352"/>
      <c r="AD528" s="352"/>
      <c r="AE528" s="352"/>
    </row>
    <row r="529">
      <c r="A529" s="352"/>
      <c r="B529" s="352"/>
      <c r="C529" s="352"/>
      <c r="D529" s="352"/>
      <c r="E529" s="352"/>
      <c r="F529" s="352"/>
      <c r="G529" s="352"/>
      <c r="H529" s="352"/>
      <c r="I529" s="352"/>
      <c r="J529" s="352"/>
      <c r="K529" s="352"/>
      <c r="L529" s="352"/>
      <c r="M529" s="352"/>
      <c r="N529" s="352"/>
      <c r="O529" s="352"/>
      <c r="P529" s="352"/>
      <c r="Q529" s="352"/>
      <c r="R529" s="352"/>
      <c r="S529" s="352"/>
      <c r="T529" s="352"/>
      <c r="U529" s="352"/>
      <c r="V529" s="352"/>
      <c r="W529" s="352"/>
      <c r="X529" s="352"/>
      <c r="Y529" s="352"/>
      <c r="Z529" s="352"/>
      <c r="AA529" s="352"/>
      <c r="AB529" s="352"/>
      <c r="AC529" s="352"/>
      <c r="AD529" s="352"/>
      <c r="AE529" s="352"/>
    </row>
    <row r="530">
      <c r="A530" s="352"/>
      <c r="B530" s="352"/>
      <c r="C530" s="352"/>
      <c r="D530" s="352"/>
      <c r="E530" s="352"/>
      <c r="F530" s="352"/>
      <c r="G530" s="352"/>
      <c r="H530" s="352"/>
      <c r="I530" s="352"/>
      <c r="J530" s="352"/>
      <c r="K530" s="352"/>
      <c r="L530" s="352"/>
      <c r="M530" s="352"/>
      <c r="N530" s="352"/>
      <c r="O530" s="352"/>
      <c r="P530" s="352"/>
      <c r="Q530" s="352"/>
      <c r="R530" s="352"/>
      <c r="S530" s="352"/>
      <c r="T530" s="352"/>
      <c r="U530" s="352"/>
      <c r="V530" s="352"/>
      <c r="W530" s="352"/>
      <c r="X530" s="352"/>
      <c r="Y530" s="352"/>
      <c r="Z530" s="352"/>
      <c r="AA530" s="352"/>
      <c r="AB530" s="352"/>
      <c r="AC530" s="352"/>
      <c r="AD530" s="352"/>
      <c r="AE530" s="352"/>
    </row>
    <row r="531">
      <c r="A531" s="352"/>
      <c r="B531" s="352"/>
      <c r="C531" s="352"/>
      <c r="D531" s="352"/>
      <c r="E531" s="352"/>
      <c r="F531" s="352"/>
      <c r="G531" s="352"/>
      <c r="H531" s="352"/>
      <c r="I531" s="352"/>
      <c r="J531" s="352"/>
      <c r="K531" s="352"/>
      <c r="L531" s="352"/>
      <c r="M531" s="352"/>
      <c r="N531" s="352"/>
      <c r="O531" s="352"/>
      <c r="P531" s="352"/>
      <c r="Q531" s="352"/>
      <c r="R531" s="352"/>
      <c r="S531" s="352"/>
      <c r="T531" s="352"/>
      <c r="U531" s="352"/>
      <c r="V531" s="352"/>
      <c r="W531" s="352"/>
      <c r="X531" s="352"/>
      <c r="Y531" s="352"/>
      <c r="Z531" s="352"/>
      <c r="AA531" s="352"/>
      <c r="AB531" s="352"/>
      <c r="AC531" s="352"/>
      <c r="AD531" s="352"/>
      <c r="AE531" s="352"/>
    </row>
    <row r="532">
      <c r="A532" s="352"/>
      <c r="B532" s="352"/>
      <c r="C532" s="352"/>
      <c r="D532" s="352"/>
      <c r="E532" s="352"/>
      <c r="F532" s="352"/>
      <c r="G532" s="352"/>
      <c r="H532" s="352"/>
      <c r="I532" s="352"/>
      <c r="J532" s="352"/>
      <c r="K532" s="352"/>
      <c r="L532" s="352"/>
      <c r="M532" s="352"/>
      <c r="N532" s="352"/>
      <c r="O532" s="352"/>
      <c r="P532" s="352"/>
      <c r="Q532" s="352"/>
      <c r="R532" s="352"/>
      <c r="S532" s="352"/>
      <c r="T532" s="352"/>
      <c r="U532" s="352"/>
      <c r="V532" s="352"/>
      <c r="W532" s="352"/>
      <c r="X532" s="352"/>
      <c r="Y532" s="352"/>
      <c r="Z532" s="352"/>
      <c r="AA532" s="352"/>
      <c r="AB532" s="352"/>
      <c r="AC532" s="352"/>
      <c r="AD532" s="352"/>
      <c r="AE532" s="352"/>
    </row>
    <row r="533">
      <c r="A533" s="352"/>
      <c r="B533" s="352"/>
      <c r="C533" s="352"/>
      <c r="D533" s="352"/>
      <c r="E533" s="352"/>
      <c r="F533" s="352"/>
      <c r="G533" s="352"/>
      <c r="H533" s="352"/>
      <c r="I533" s="352"/>
      <c r="J533" s="352"/>
      <c r="K533" s="352"/>
      <c r="L533" s="352"/>
      <c r="M533" s="352"/>
      <c r="N533" s="352"/>
      <c r="O533" s="352"/>
      <c r="P533" s="352"/>
      <c r="Q533" s="352"/>
      <c r="R533" s="352"/>
      <c r="S533" s="352"/>
      <c r="T533" s="352"/>
      <c r="U533" s="352"/>
      <c r="V533" s="352"/>
      <c r="W533" s="352"/>
      <c r="X533" s="352"/>
      <c r="Y533" s="352"/>
      <c r="Z533" s="352"/>
      <c r="AA533" s="352"/>
      <c r="AB533" s="352"/>
      <c r="AC533" s="352"/>
      <c r="AD533" s="352"/>
      <c r="AE533" s="352"/>
    </row>
    <row r="534">
      <c r="A534" s="352"/>
      <c r="B534" s="352"/>
      <c r="C534" s="352"/>
      <c r="D534" s="352"/>
      <c r="E534" s="352"/>
      <c r="F534" s="352"/>
      <c r="G534" s="352"/>
      <c r="H534" s="352"/>
      <c r="I534" s="352"/>
      <c r="J534" s="352"/>
      <c r="K534" s="352"/>
      <c r="L534" s="352"/>
      <c r="M534" s="352"/>
      <c r="N534" s="352"/>
      <c r="O534" s="352"/>
      <c r="P534" s="352"/>
      <c r="Q534" s="352"/>
      <c r="R534" s="352"/>
      <c r="S534" s="352"/>
      <c r="T534" s="352"/>
      <c r="U534" s="352"/>
      <c r="V534" s="352"/>
      <c r="W534" s="352"/>
      <c r="X534" s="352"/>
      <c r="Y534" s="352"/>
      <c r="Z534" s="352"/>
      <c r="AA534" s="352"/>
      <c r="AB534" s="352"/>
      <c r="AC534" s="352"/>
      <c r="AD534" s="352"/>
      <c r="AE534" s="352"/>
    </row>
    <row r="535">
      <c r="A535" s="352"/>
      <c r="B535" s="352"/>
      <c r="C535" s="352"/>
      <c r="D535" s="352"/>
      <c r="E535" s="352"/>
      <c r="F535" s="352"/>
      <c r="G535" s="352"/>
      <c r="H535" s="352"/>
      <c r="I535" s="352"/>
      <c r="J535" s="352"/>
      <c r="K535" s="352"/>
      <c r="L535" s="352"/>
      <c r="M535" s="352"/>
      <c r="N535" s="352"/>
      <c r="O535" s="352"/>
      <c r="P535" s="352"/>
      <c r="Q535" s="352"/>
      <c r="R535" s="352"/>
      <c r="S535" s="352"/>
      <c r="T535" s="352"/>
      <c r="U535" s="352"/>
      <c r="V535" s="352"/>
      <c r="W535" s="352"/>
      <c r="X535" s="352"/>
      <c r="Y535" s="352"/>
      <c r="Z535" s="352"/>
      <c r="AA535" s="352"/>
      <c r="AB535" s="352"/>
      <c r="AC535" s="352"/>
      <c r="AD535" s="352"/>
      <c r="AE535" s="352"/>
    </row>
    <row r="536">
      <c r="A536" s="352"/>
      <c r="B536" s="352"/>
      <c r="C536" s="352"/>
      <c r="D536" s="352"/>
      <c r="E536" s="352"/>
      <c r="F536" s="352"/>
      <c r="G536" s="352"/>
      <c r="H536" s="352"/>
      <c r="I536" s="352"/>
      <c r="J536" s="352"/>
      <c r="K536" s="352"/>
      <c r="L536" s="352"/>
      <c r="M536" s="352"/>
      <c r="N536" s="352"/>
      <c r="O536" s="352"/>
      <c r="P536" s="352"/>
      <c r="Q536" s="352"/>
      <c r="R536" s="352"/>
      <c r="S536" s="352"/>
      <c r="T536" s="352"/>
      <c r="U536" s="352"/>
      <c r="V536" s="352"/>
      <c r="W536" s="352"/>
      <c r="X536" s="352"/>
      <c r="Y536" s="352"/>
      <c r="Z536" s="352"/>
      <c r="AA536" s="352"/>
      <c r="AB536" s="352"/>
      <c r="AC536" s="352"/>
      <c r="AD536" s="352"/>
      <c r="AE536" s="352"/>
    </row>
    <row r="537">
      <c r="A537" s="352"/>
      <c r="B537" s="352"/>
      <c r="C537" s="352"/>
      <c r="D537" s="352"/>
      <c r="E537" s="352"/>
      <c r="F537" s="352"/>
      <c r="G537" s="352"/>
      <c r="H537" s="352"/>
      <c r="I537" s="352"/>
      <c r="J537" s="352"/>
      <c r="K537" s="352"/>
      <c r="L537" s="352"/>
      <c r="M537" s="352"/>
      <c r="N537" s="352"/>
      <c r="O537" s="352"/>
      <c r="P537" s="352"/>
      <c r="Q537" s="352"/>
      <c r="R537" s="352"/>
      <c r="S537" s="352"/>
      <c r="T537" s="352"/>
      <c r="U537" s="352"/>
      <c r="V537" s="352"/>
      <c r="W537" s="352"/>
      <c r="X537" s="352"/>
      <c r="Y537" s="352"/>
      <c r="Z537" s="352"/>
      <c r="AA537" s="352"/>
      <c r="AB537" s="352"/>
      <c r="AC537" s="352"/>
      <c r="AD537" s="352"/>
      <c r="AE537" s="352"/>
    </row>
    <row r="538">
      <c r="A538" s="352"/>
      <c r="B538" s="352"/>
      <c r="C538" s="352"/>
      <c r="D538" s="352"/>
      <c r="E538" s="352"/>
      <c r="F538" s="352"/>
      <c r="G538" s="352"/>
      <c r="H538" s="352"/>
      <c r="I538" s="352"/>
      <c r="J538" s="352"/>
      <c r="K538" s="352"/>
      <c r="L538" s="352"/>
      <c r="M538" s="352"/>
      <c r="N538" s="352"/>
      <c r="O538" s="352"/>
      <c r="P538" s="352"/>
      <c r="Q538" s="352"/>
      <c r="R538" s="352"/>
      <c r="S538" s="352"/>
      <c r="T538" s="352"/>
      <c r="U538" s="352"/>
      <c r="V538" s="352"/>
      <c r="W538" s="352"/>
      <c r="X538" s="352"/>
      <c r="Y538" s="352"/>
      <c r="Z538" s="352"/>
      <c r="AA538" s="352"/>
      <c r="AB538" s="352"/>
      <c r="AC538" s="352"/>
      <c r="AD538" s="352"/>
      <c r="AE538" s="352"/>
    </row>
    <row r="539">
      <c r="A539" s="352"/>
      <c r="B539" s="352"/>
      <c r="C539" s="352"/>
      <c r="D539" s="352"/>
      <c r="E539" s="352"/>
      <c r="F539" s="352"/>
      <c r="G539" s="352"/>
      <c r="H539" s="352"/>
      <c r="I539" s="352"/>
      <c r="J539" s="352"/>
      <c r="K539" s="352"/>
      <c r="L539" s="352"/>
      <c r="M539" s="352"/>
      <c r="N539" s="352"/>
      <c r="O539" s="352"/>
      <c r="P539" s="352"/>
      <c r="Q539" s="352"/>
      <c r="R539" s="352"/>
      <c r="S539" s="352"/>
      <c r="T539" s="352"/>
      <c r="U539" s="352"/>
      <c r="V539" s="352"/>
      <c r="W539" s="352"/>
      <c r="X539" s="352"/>
      <c r="Y539" s="352"/>
      <c r="Z539" s="352"/>
      <c r="AA539" s="352"/>
      <c r="AB539" s="352"/>
      <c r="AC539" s="352"/>
      <c r="AD539" s="352"/>
      <c r="AE539" s="352"/>
    </row>
    <row r="540">
      <c r="A540" s="352"/>
      <c r="B540" s="352"/>
      <c r="C540" s="352"/>
      <c r="D540" s="352"/>
      <c r="E540" s="352"/>
      <c r="F540" s="352"/>
      <c r="G540" s="352"/>
      <c r="H540" s="352"/>
      <c r="I540" s="352"/>
      <c r="J540" s="352"/>
      <c r="K540" s="352"/>
      <c r="L540" s="352"/>
      <c r="M540" s="352"/>
      <c r="N540" s="352"/>
      <c r="O540" s="352"/>
      <c r="P540" s="352"/>
      <c r="Q540" s="352"/>
      <c r="R540" s="352"/>
      <c r="S540" s="352"/>
      <c r="T540" s="352"/>
      <c r="U540" s="352"/>
      <c r="V540" s="352"/>
      <c r="W540" s="352"/>
      <c r="X540" s="352"/>
      <c r="Y540" s="352"/>
      <c r="Z540" s="352"/>
      <c r="AA540" s="352"/>
      <c r="AB540" s="352"/>
      <c r="AC540" s="352"/>
      <c r="AD540" s="352"/>
      <c r="AE540" s="352"/>
    </row>
    <row r="541">
      <c r="A541" s="352"/>
      <c r="B541" s="352"/>
      <c r="C541" s="352"/>
      <c r="D541" s="352"/>
      <c r="E541" s="352"/>
      <c r="F541" s="352"/>
      <c r="G541" s="352"/>
      <c r="H541" s="352"/>
      <c r="I541" s="352"/>
      <c r="J541" s="352"/>
      <c r="K541" s="352"/>
      <c r="L541" s="352"/>
      <c r="M541" s="352"/>
      <c r="N541" s="352"/>
      <c r="O541" s="352"/>
      <c r="P541" s="352"/>
      <c r="Q541" s="352"/>
      <c r="R541" s="352"/>
      <c r="S541" s="352"/>
      <c r="T541" s="352"/>
      <c r="U541" s="352"/>
      <c r="V541" s="352"/>
      <c r="W541" s="352"/>
      <c r="X541" s="352"/>
      <c r="Y541" s="352"/>
      <c r="Z541" s="352"/>
      <c r="AA541" s="352"/>
      <c r="AB541" s="352"/>
      <c r="AC541" s="352"/>
      <c r="AD541" s="352"/>
      <c r="AE541" s="352"/>
    </row>
    <row r="542">
      <c r="A542" s="352"/>
      <c r="B542" s="352"/>
      <c r="C542" s="352"/>
      <c r="D542" s="352"/>
      <c r="E542" s="352"/>
      <c r="F542" s="352"/>
      <c r="G542" s="352"/>
      <c r="H542" s="352"/>
      <c r="I542" s="352"/>
      <c r="J542" s="352"/>
      <c r="K542" s="352"/>
      <c r="L542" s="352"/>
      <c r="M542" s="352"/>
      <c r="N542" s="352"/>
      <c r="O542" s="352"/>
      <c r="P542" s="352"/>
      <c r="Q542" s="352"/>
      <c r="R542" s="352"/>
      <c r="S542" s="352"/>
      <c r="T542" s="352"/>
      <c r="U542" s="352"/>
      <c r="V542" s="352"/>
      <c r="W542" s="352"/>
      <c r="X542" s="352"/>
      <c r="Y542" s="352"/>
      <c r="Z542" s="352"/>
      <c r="AA542" s="352"/>
      <c r="AB542" s="352"/>
      <c r="AC542" s="352"/>
      <c r="AD542" s="352"/>
      <c r="AE542" s="352"/>
    </row>
    <row r="543">
      <c r="A543" s="352"/>
      <c r="B543" s="352"/>
      <c r="C543" s="352"/>
      <c r="D543" s="352"/>
      <c r="E543" s="352"/>
      <c r="F543" s="352"/>
      <c r="G543" s="352"/>
      <c r="H543" s="352"/>
      <c r="I543" s="352"/>
      <c r="J543" s="352"/>
      <c r="K543" s="352"/>
      <c r="L543" s="352"/>
      <c r="M543" s="352"/>
      <c r="N543" s="352"/>
      <c r="O543" s="352"/>
      <c r="P543" s="352"/>
      <c r="Q543" s="352"/>
      <c r="R543" s="352"/>
      <c r="S543" s="352"/>
      <c r="T543" s="352"/>
      <c r="U543" s="352"/>
      <c r="V543" s="352"/>
      <c r="W543" s="352"/>
      <c r="X543" s="352"/>
      <c r="Y543" s="352"/>
      <c r="Z543" s="352"/>
      <c r="AA543" s="352"/>
      <c r="AB543" s="352"/>
      <c r="AC543" s="352"/>
      <c r="AD543" s="352"/>
      <c r="AE543" s="352"/>
    </row>
    <row r="544">
      <c r="A544" s="352"/>
      <c r="B544" s="352"/>
      <c r="C544" s="352"/>
      <c r="D544" s="352"/>
      <c r="E544" s="352"/>
      <c r="F544" s="352"/>
      <c r="G544" s="352"/>
      <c r="H544" s="352"/>
      <c r="I544" s="352"/>
      <c r="J544" s="352"/>
      <c r="K544" s="352"/>
      <c r="L544" s="352"/>
      <c r="M544" s="352"/>
      <c r="N544" s="352"/>
      <c r="O544" s="352"/>
      <c r="P544" s="352"/>
      <c r="Q544" s="352"/>
      <c r="R544" s="352"/>
      <c r="S544" s="352"/>
      <c r="T544" s="352"/>
      <c r="U544" s="352"/>
      <c r="V544" s="352"/>
      <c r="W544" s="352"/>
      <c r="X544" s="352"/>
      <c r="Y544" s="352"/>
      <c r="Z544" s="352"/>
      <c r="AA544" s="352"/>
      <c r="AB544" s="352"/>
      <c r="AC544" s="352"/>
      <c r="AD544" s="352"/>
      <c r="AE544" s="352"/>
    </row>
    <row r="545">
      <c r="A545" s="352"/>
      <c r="B545" s="352"/>
      <c r="C545" s="352"/>
      <c r="D545" s="352"/>
      <c r="E545" s="352"/>
      <c r="F545" s="352"/>
      <c r="G545" s="352"/>
      <c r="H545" s="352"/>
      <c r="I545" s="352"/>
      <c r="J545" s="352"/>
      <c r="K545" s="352"/>
      <c r="L545" s="352"/>
      <c r="M545" s="352"/>
      <c r="N545" s="352"/>
      <c r="O545" s="352"/>
      <c r="P545" s="352"/>
      <c r="Q545" s="352"/>
      <c r="R545" s="352"/>
      <c r="S545" s="352"/>
      <c r="T545" s="352"/>
      <c r="U545" s="352"/>
      <c r="V545" s="352"/>
      <c r="W545" s="352"/>
      <c r="X545" s="352"/>
      <c r="Y545" s="352"/>
      <c r="Z545" s="352"/>
      <c r="AA545" s="352"/>
      <c r="AB545" s="352"/>
      <c r="AC545" s="352"/>
      <c r="AD545" s="352"/>
      <c r="AE545" s="352"/>
    </row>
    <row r="546">
      <c r="A546" s="352"/>
      <c r="B546" s="352"/>
      <c r="C546" s="352"/>
      <c r="D546" s="352"/>
      <c r="E546" s="352"/>
      <c r="F546" s="352"/>
      <c r="G546" s="352"/>
      <c r="H546" s="352"/>
      <c r="I546" s="352"/>
      <c r="J546" s="352"/>
      <c r="K546" s="352"/>
      <c r="L546" s="352"/>
      <c r="M546" s="352"/>
      <c r="N546" s="352"/>
      <c r="O546" s="352"/>
      <c r="P546" s="352"/>
      <c r="Q546" s="352"/>
      <c r="R546" s="352"/>
      <c r="S546" s="352"/>
      <c r="T546" s="352"/>
      <c r="U546" s="352"/>
      <c r="V546" s="352"/>
      <c r="W546" s="352"/>
      <c r="X546" s="352"/>
      <c r="Y546" s="352"/>
      <c r="Z546" s="352"/>
      <c r="AA546" s="352"/>
      <c r="AB546" s="352"/>
      <c r="AC546" s="352"/>
      <c r="AD546" s="352"/>
      <c r="AE546" s="352"/>
    </row>
    <row r="547">
      <c r="A547" s="352"/>
      <c r="B547" s="352"/>
      <c r="C547" s="352"/>
      <c r="D547" s="352"/>
      <c r="E547" s="352"/>
      <c r="F547" s="352"/>
      <c r="G547" s="352"/>
      <c r="H547" s="352"/>
      <c r="I547" s="352"/>
      <c r="J547" s="352"/>
      <c r="K547" s="352"/>
      <c r="L547" s="352"/>
      <c r="M547" s="352"/>
      <c r="N547" s="352"/>
      <c r="O547" s="352"/>
      <c r="P547" s="352"/>
      <c r="Q547" s="352"/>
      <c r="R547" s="352"/>
      <c r="S547" s="352"/>
      <c r="T547" s="352"/>
      <c r="U547" s="352"/>
      <c r="V547" s="352"/>
      <c r="W547" s="352"/>
      <c r="X547" s="352"/>
      <c r="Y547" s="352"/>
      <c r="Z547" s="352"/>
      <c r="AA547" s="352"/>
      <c r="AB547" s="352"/>
      <c r="AC547" s="352"/>
      <c r="AD547" s="352"/>
      <c r="AE547" s="352"/>
    </row>
    <row r="548">
      <c r="A548" s="352"/>
      <c r="B548" s="352"/>
      <c r="C548" s="352"/>
      <c r="D548" s="352"/>
      <c r="E548" s="352"/>
      <c r="F548" s="352"/>
      <c r="G548" s="352"/>
      <c r="H548" s="352"/>
      <c r="I548" s="352"/>
      <c r="J548" s="352"/>
      <c r="K548" s="352"/>
      <c r="L548" s="352"/>
      <c r="M548" s="352"/>
      <c r="N548" s="352"/>
      <c r="O548" s="352"/>
      <c r="P548" s="352"/>
      <c r="Q548" s="352"/>
      <c r="R548" s="352"/>
      <c r="S548" s="352"/>
      <c r="T548" s="352"/>
      <c r="U548" s="352"/>
      <c r="V548" s="352"/>
      <c r="W548" s="352"/>
      <c r="X548" s="352"/>
      <c r="Y548" s="352"/>
      <c r="Z548" s="352"/>
      <c r="AA548" s="352"/>
      <c r="AB548" s="352"/>
      <c r="AC548" s="352"/>
      <c r="AD548" s="352"/>
      <c r="AE548" s="352"/>
    </row>
    <row r="549">
      <c r="A549" s="352"/>
      <c r="B549" s="352"/>
      <c r="C549" s="352"/>
      <c r="D549" s="352"/>
      <c r="E549" s="352"/>
      <c r="F549" s="352"/>
      <c r="G549" s="352"/>
      <c r="H549" s="352"/>
      <c r="I549" s="352"/>
      <c r="J549" s="352"/>
      <c r="K549" s="352"/>
      <c r="L549" s="352"/>
      <c r="M549" s="352"/>
      <c r="N549" s="352"/>
      <c r="O549" s="352"/>
      <c r="P549" s="352"/>
      <c r="Q549" s="352"/>
      <c r="R549" s="352"/>
      <c r="S549" s="352"/>
      <c r="T549" s="352"/>
      <c r="U549" s="352"/>
      <c r="V549" s="352"/>
      <c r="W549" s="352"/>
      <c r="X549" s="352"/>
      <c r="Y549" s="352"/>
      <c r="Z549" s="352"/>
      <c r="AA549" s="352"/>
      <c r="AB549" s="352"/>
      <c r="AC549" s="352"/>
      <c r="AD549" s="352"/>
      <c r="AE549" s="352"/>
    </row>
    <row r="550">
      <c r="A550" s="352"/>
      <c r="B550" s="352"/>
      <c r="C550" s="352"/>
      <c r="D550" s="352"/>
      <c r="E550" s="352"/>
      <c r="F550" s="352"/>
      <c r="G550" s="352"/>
      <c r="H550" s="352"/>
      <c r="I550" s="352"/>
      <c r="J550" s="352"/>
      <c r="K550" s="352"/>
      <c r="L550" s="352"/>
      <c r="M550" s="352"/>
      <c r="N550" s="352"/>
      <c r="O550" s="352"/>
      <c r="P550" s="352"/>
      <c r="Q550" s="352"/>
      <c r="R550" s="352"/>
      <c r="S550" s="352"/>
      <c r="T550" s="352"/>
      <c r="U550" s="352"/>
      <c r="V550" s="352"/>
      <c r="W550" s="352"/>
      <c r="X550" s="352"/>
      <c r="Y550" s="352"/>
      <c r="Z550" s="352"/>
      <c r="AA550" s="352"/>
      <c r="AB550" s="352"/>
      <c r="AC550" s="352"/>
      <c r="AD550" s="352"/>
      <c r="AE550" s="352"/>
    </row>
    <row r="551">
      <c r="A551" s="352"/>
      <c r="B551" s="352"/>
      <c r="C551" s="352"/>
      <c r="D551" s="352"/>
      <c r="E551" s="352"/>
      <c r="F551" s="352"/>
      <c r="G551" s="352"/>
      <c r="H551" s="352"/>
      <c r="I551" s="352"/>
      <c r="J551" s="352"/>
      <c r="K551" s="352"/>
      <c r="L551" s="352"/>
      <c r="M551" s="352"/>
      <c r="N551" s="352"/>
      <c r="O551" s="352"/>
      <c r="P551" s="352"/>
      <c r="Q551" s="352"/>
      <c r="R551" s="352"/>
      <c r="S551" s="352"/>
      <c r="T551" s="352"/>
      <c r="U551" s="352"/>
      <c r="V551" s="352"/>
      <c r="W551" s="352"/>
      <c r="X551" s="352"/>
      <c r="Y551" s="352"/>
      <c r="Z551" s="352"/>
      <c r="AA551" s="352"/>
      <c r="AB551" s="352"/>
      <c r="AC551" s="352"/>
      <c r="AD551" s="352"/>
      <c r="AE551" s="352"/>
    </row>
    <row r="552">
      <c r="A552" s="352"/>
      <c r="B552" s="352"/>
      <c r="C552" s="352"/>
      <c r="D552" s="352"/>
      <c r="E552" s="352"/>
      <c r="F552" s="352"/>
      <c r="G552" s="352"/>
      <c r="H552" s="352"/>
      <c r="I552" s="352"/>
      <c r="J552" s="352"/>
      <c r="K552" s="352"/>
      <c r="L552" s="352"/>
      <c r="M552" s="352"/>
      <c r="N552" s="352"/>
      <c r="O552" s="352"/>
      <c r="P552" s="352"/>
      <c r="Q552" s="352"/>
      <c r="R552" s="352"/>
      <c r="S552" s="352"/>
      <c r="T552" s="352"/>
      <c r="U552" s="352"/>
      <c r="V552" s="352"/>
      <c r="W552" s="352"/>
      <c r="X552" s="352"/>
      <c r="Y552" s="352"/>
      <c r="Z552" s="352"/>
      <c r="AA552" s="352"/>
      <c r="AB552" s="352"/>
      <c r="AC552" s="352"/>
      <c r="AD552" s="352"/>
      <c r="AE552" s="352"/>
    </row>
    <row r="553">
      <c r="A553" s="352"/>
      <c r="B553" s="352"/>
      <c r="C553" s="352"/>
      <c r="D553" s="352"/>
      <c r="E553" s="352"/>
      <c r="F553" s="352"/>
      <c r="G553" s="352"/>
      <c r="H553" s="352"/>
      <c r="I553" s="352"/>
      <c r="J553" s="352"/>
      <c r="K553" s="352"/>
      <c r="L553" s="352"/>
      <c r="M553" s="352"/>
      <c r="N553" s="352"/>
      <c r="O553" s="352"/>
      <c r="P553" s="352"/>
      <c r="Q553" s="352"/>
      <c r="R553" s="352"/>
      <c r="S553" s="352"/>
      <c r="T553" s="352"/>
      <c r="U553" s="352"/>
      <c r="V553" s="352"/>
      <c r="W553" s="352"/>
      <c r="X553" s="352"/>
      <c r="Y553" s="352"/>
      <c r="Z553" s="352"/>
      <c r="AA553" s="352"/>
      <c r="AB553" s="352"/>
      <c r="AC553" s="352"/>
      <c r="AD553" s="352"/>
      <c r="AE553" s="352"/>
    </row>
    <row r="554">
      <c r="A554" s="352"/>
      <c r="B554" s="352"/>
      <c r="C554" s="352"/>
      <c r="D554" s="352"/>
      <c r="E554" s="352"/>
      <c r="F554" s="352"/>
      <c r="G554" s="352"/>
      <c r="H554" s="352"/>
      <c r="I554" s="352"/>
      <c r="J554" s="352"/>
      <c r="K554" s="352"/>
      <c r="L554" s="352"/>
      <c r="M554" s="352"/>
      <c r="N554" s="352"/>
      <c r="O554" s="352"/>
      <c r="P554" s="352"/>
      <c r="Q554" s="352"/>
      <c r="R554" s="352"/>
      <c r="S554" s="352"/>
      <c r="T554" s="352"/>
      <c r="U554" s="352"/>
      <c r="V554" s="352"/>
      <c r="W554" s="352"/>
      <c r="X554" s="352"/>
      <c r="Y554" s="352"/>
      <c r="Z554" s="352"/>
      <c r="AA554" s="352"/>
      <c r="AB554" s="352"/>
      <c r="AC554" s="352"/>
      <c r="AD554" s="352"/>
      <c r="AE554" s="352"/>
    </row>
    <row r="555">
      <c r="A555" s="352"/>
      <c r="B555" s="352"/>
      <c r="C555" s="352"/>
      <c r="D555" s="352"/>
      <c r="E555" s="352"/>
      <c r="F555" s="352"/>
      <c r="G555" s="352"/>
      <c r="H555" s="352"/>
      <c r="I555" s="352"/>
      <c r="J555" s="352"/>
      <c r="K555" s="352"/>
      <c r="L555" s="352"/>
      <c r="M555" s="352"/>
      <c r="N555" s="352"/>
      <c r="O555" s="352"/>
      <c r="P555" s="352"/>
      <c r="Q555" s="352"/>
      <c r="R555" s="352"/>
      <c r="S555" s="352"/>
      <c r="T555" s="352"/>
      <c r="U555" s="352"/>
      <c r="V555" s="352"/>
      <c r="W555" s="352"/>
      <c r="X555" s="352"/>
      <c r="Y555" s="352"/>
      <c r="Z555" s="352"/>
      <c r="AA555" s="352"/>
      <c r="AB555" s="352"/>
      <c r="AC555" s="352"/>
      <c r="AD555" s="352"/>
      <c r="AE555" s="352"/>
    </row>
    <row r="556">
      <c r="A556" s="352"/>
      <c r="B556" s="352"/>
      <c r="C556" s="352"/>
      <c r="D556" s="352"/>
      <c r="E556" s="352"/>
      <c r="F556" s="352"/>
      <c r="G556" s="352"/>
      <c r="H556" s="352"/>
      <c r="I556" s="352"/>
      <c r="J556" s="352"/>
      <c r="K556" s="352"/>
      <c r="L556" s="352"/>
      <c r="M556" s="352"/>
      <c r="N556" s="352"/>
      <c r="O556" s="352"/>
      <c r="P556" s="352"/>
      <c r="Q556" s="352"/>
      <c r="R556" s="352"/>
      <c r="S556" s="352"/>
      <c r="T556" s="352"/>
      <c r="U556" s="352"/>
      <c r="V556" s="352"/>
      <c r="W556" s="352"/>
      <c r="X556" s="352"/>
      <c r="Y556" s="352"/>
      <c r="Z556" s="352"/>
      <c r="AA556" s="352"/>
      <c r="AB556" s="352"/>
      <c r="AC556" s="352"/>
      <c r="AD556" s="352"/>
      <c r="AE556" s="352"/>
    </row>
    <row r="557">
      <c r="A557" s="352"/>
      <c r="B557" s="352"/>
      <c r="C557" s="352"/>
      <c r="D557" s="352"/>
      <c r="E557" s="352"/>
      <c r="F557" s="352"/>
      <c r="G557" s="352"/>
      <c r="H557" s="352"/>
      <c r="I557" s="352"/>
      <c r="J557" s="352"/>
      <c r="K557" s="352"/>
      <c r="L557" s="352"/>
      <c r="M557" s="352"/>
      <c r="N557" s="352"/>
      <c r="O557" s="352"/>
      <c r="P557" s="352"/>
      <c r="Q557" s="352"/>
      <c r="R557" s="352"/>
      <c r="S557" s="352"/>
      <c r="T557" s="352"/>
      <c r="U557" s="352"/>
      <c r="V557" s="352"/>
      <c r="W557" s="352"/>
      <c r="X557" s="352"/>
      <c r="Y557" s="352"/>
      <c r="Z557" s="352"/>
      <c r="AA557" s="352"/>
      <c r="AB557" s="352"/>
      <c r="AC557" s="352"/>
      <c r="AD557" s="352"/>
      <c r="AE557" s="352"/>
    </row>
    <row r="558">
      <c r="A558" s="352"/>
      <c r="B558" s="352"/>
      <c r="C558" s="352"/>
      <c r="D558" s="352"/>
      <c r="E558" s="352"/>
      <c r="F558" s="352"/>
      <c r="G558" s="352"/>
      <c r="H558" s="352"/>
      <c r="I558" s="352"/>
      <c r="J558" s="352"/>
      <c r="K558" s="352"/>
      <c r="L558" s="352"/>
      <c r="M558" s="352"/>
      <c r="N558" s="352"/>
      <c r="O558" s="352"/>
      <c r="P558" s="352"/>
      <c r="Q558" s="352"/>
      <c r="R558" s="352"/>
      <c r="S558" s="352"/>
      <c r="T558" s="352"/>
      <c r="U558" s="352"/>
      <c r="V558" s="352"/>
      <c r="W558" s="352"/>
      <c r="X558" s="352"/>
      <c r="Y558" s="352"/>
      <c r="Z558" s="352"/>
      <c r="AA558" s="352"/>
      <c r="AB558" s="352"/>
      <c r="AC558" s="352"/>
      <c r="AD558" s="352"/>
      <c r="AE558" s="352"/>
    </row>
    <row r="559">
      <c r="A559" s="352"/>
      <c r="B559" s="352"/>
      <c r="C559" s="352"/>
      <c r="D559" s="352"/>
      <c r="E559" s="352"/>
      <c r="F559" s="352"/>
      <c r="G559" s="352"/>
      <c r="H559" s="352"/>
      <c r="I559" s="352"/>
      <c r="J559" s="352"/>
      <c r="K559" s="352"/>
      <c r="L559" s="352"/>
      <c r="M559" s="352"/>
      <c r="N559" s="352"/>
      <c r="O559" s="352"/>
      <c r="P559" s="352"/>
      <c r="Q559" s="352"/>
      <c r="R559" s="352"/>
      <c r="S559" s="352"/>
      <c r="T559" s="352"/>
      <c r="U559" s="352"/>
      <c r="V559" s="352"/>
      <c r="W559" s="352"/>
      <c r="X559" s="352"/>
      <c r="Y559" s="352"/>
      <c r="Z559" s="352"/>
      <c r="AA559" s="352"/>
      <c r="AB559" s="352"/>
      <c r="AC559" s="352"/>
      <c r="AD559" s="352"/>
      <c r="AE559" s="352"/>
    </row>
    <row r="560">
      <c r="A560" s="352"/>
      <c r="B560" s="352"/>
      <c r="C560" s="352"/>
      <c r="D560" s="352"/>
      <c r="E560" s="352"/>
      <c r="F560" s="352"/>
      <c r="G560" s="352"/>
      <c r="H560" s="352"/>
      <c r="I560" s="352"/>
      <c r="J560" s="352"/>
      <c r="K560" s="352"/>
      <c r="L560" s="352"/>
      <c r="M560" s="352"/>
      <c r="N560" s="352"/>
      <c r="O560" s="352"/>
      <c r="P560" s="352"/>
      <c r="Q560" s="352"/>
      <c r="R560" s="352"/>
      <c r="S560" s="352"/>
      <c r="T560" s="352"/>
      <c r="U560" s="352"/>
      <c r="V560" s="352"/>
      <c r="W560" s="352"/>
      <c r="X560" s="352"/>
      <c r="Y560" s="352"/>
      <c r="Z560" s="352"/>
      <c r="AA560" s="352"/>
      <c r="AB560" s="352"/>
      <c r="AC560" s="352"/>
      <c r="AD560" s="352"/>
      <c r="AE560" s="352"/>
    </row>
    <row r="561">
      <c r="A561" s="352"/>
      <c r="B561" s="352"/>
      <c r="C561" s="352"/>
      <c r="D561" s="352"/>
      <c r="E561" s="352"/>
      <c r="F561" s="352"/>
      <c r="G561" s="352"/>
      <c r="H561" s="352"/>
      <c r="I561" s="352"/>
      <c r="J561" s="352"/>
      <c r="K561" s="352"/>
      <c r="L561" s="352"/>
      <c r="M561" s="352"/>
      <c r="N561" s="352"/>
      <c r="O561" s="352"/>
      <c r="P561" s="352"/>
      <c r="Q561" s="352"/>
      <c r="R561" s="352"/>
      <c r="S561" s="352"/>
      <c r="T561" s="352"/>
      <c r="U561" s="352"/>
      <c r="V561" s="352"/>
      <c r="W561" s="352"/>
      <c r="X561" s="352"/>
      <c r="Y561" s="352"/>
      <c r="Z561" s="352"/>
      <c r="AA561" s="352"/>
      <c r="AB561" s="352"/>
      <c r="AC561" s="352"/>
      <c r="AD561" s="352"/>
      <c r="AE561" s="352"/>
    </row>
    <row r="562">
      <c r="A562" s="352"/>
      <c r="B562" s="352"/>
      <c r="C562" s="352"/>
      <c r="D562" s="352"/>
      <c r="E562" s="352"/>
      <c r="F562" s="352"/>
      <c r="G562" s="352"/>
      <c r="H562" s="352"/>
      <c r="I562" s="352"/>
      <c r="J562" s="352"/>
      <c r="K562" s="352"/>
      <c r="L562" s="352"/>
      <c r="M562" s="352"/>
      <c r="N562" s="352"/>
      <c r="O562" s="352"/>
      <c r="P562" s="352"/>
      <c r="Q562" s="352"/>
      <c r="R562" s="352"/>
      <c r="S562" s="352"/>
      <c r="T562" s="352"/>
      <c r="U562" s="352"/>
      <c r="V562" s="352"/>
      <c r="W562" s="352"/>
      <c r="X562" s="352"/>
      <c r="Y562" s="352"/>
      <c r="Z562" s="352"/>
      <c r="AA562" s="352"/>
      <c r="AB562" s="352"/>
      <c r="AC562" s="352"/>
      <c r="AD562" s="352"/>
      <c r="AE562" s="352"/>
    </row>
    <row r="563">
      <c r="A563" s="352"/>
      <c r="B563" s="352"/>
      <c r="C563" s="352"/>
      <c r="D563" s="352"/>
      <c r="E563" s="352"/>
      <c r="F563" s="352"/>
      <c r="G563" s="352"/>
      <c r="H563" s="352"/>
      <c r="I563" s="352"/>
      <c r="J563" s="352"/>
      <c r="K563" s="352"/>
      <c r="L563" s="352"/>
      <c r="M563" s="352"/>
      <c r="N563" s="352"/>
      <c r="O563" s="352"/>
      <c r="P563" s="352"/>
      <c r="Q563" s="352"/>
      <c r="R563" s="352"/>
      <c r="S563" s="352"/>
      <c r="T563" s="352"/>
      <c r="U563" s="352"/>
      <c r="V563" s="352"/>
      <c r="W563" s="352"/>
      <c r="X563" s="352"/>
      <c r="Y563" s="352"/>
      <c r="Z563" s="352"/>
      <c r="AA563" s="352"/>
      <c r="AB563" s="352"/>
      <c r="AC563" s="352"/>
      <c r="AD563" s="352"/>
      <c r="AE563" s="352"/>
    </row>
    <row r="564">
      <c r="A564" s="352"/>
      <c r="B564" s="352"/>
      <c r="C564" s="352"/>
      <c r="D564" s="352"/>
      <c r="E564" s="352"/>
      <c r="F564" s="352"/>
      <c r="G564" s="352"/>
      <c r="H564" s="352"/>
      <c r="I564" s="352"/>
      <c r="J564" s="352"/>
      <c r="K564" s="352"/>
      <c r="L564" s="352"/>
      <c r="M564" s="352"/>
      <c r="N564" s="352"/>
      <c r="O564" s="352"/>
      <c r="P564" s="352"/>
      <c r="Q564" s="352"/>
      <c r="R564" s="352"/>
      <c r="S564" s="352"/>
      <c r="T564" s="352"/>
      <c r="U564" s="352"/>
      <c r="V564" s="352"/>
      <c r="W564" s="352"/>
      <c r="X564" s="352"/>
      <c r="Y564" s="352"/>
      <c r="Z564" s="352"/>
      <c r="AA564" s="352"/>
      <c r="AB564" s="352"/>
      <c r="AC564" s="352"/>
      <c r="AD564" s="352"/>
      <c r="AE564" s="352"/>
    </row>
    <row r="565">
      <c r="A565" s="352"/>
      <c r="B565" s="352"/>
      <c r="C565" s="352"/>
      <c r="D565" s="352"/>
      <c r="E565" s="352"/>
      <c r="F565" s="352"/>
      <c r="G565" s="352"/>
      <c r="H565" s="352"/>
      <c r="I565" s="352"/>
      <c r="J565" s="352"/>
      <c r="K565" s="352"/>
      <c r="L565" s="352"/>
      <c r="M565" s="352"/>
      <c r="N565" s="352"/>
      <c r="O565" s="352"/>
      <c r="P565" s="352"/>
      <c r="Q565" s="352"/>
      <c r="R565" s="352"/>
      <c r="S565" s="352"/>
      <c r="T565" s="352"/>
      <c r="U565" s="352"/>
      <c r="V565" s="352"/>
      <c r="W565" s="352"/>
      <c r="X565" s="352"/>
      <c r="Y565" s="352"/>
      <c r="Z565" s="352"/>
      <c r="AA565" s="352"/>
      <c r="AB565" s="352"/>
      <c r="AC565" s="352"/>
      <c r="AD565" s="352"/>
      <c r="AE565" s="352"/>
    </row>
    <row r="566">
      <c r="A566" s="352"/>
      <c r="B566" s="352"/>
      <c r="C566" s="352"/>
      <c r="D566" s="352"/>
      <c r="E566" s="352"/>
      <c r="F566" s="352"/>
      <c r="G566" s="352"/>
      <c r="H566" s="352"/>
      <c r="I566" s="352"/>
      <c r="J566" s="352"/>
      <c r="K566" s="352"/>
      <c r="L566" s="352"/>
      <c r="M566" s="352"/>
      <c r="N566" s="352"/>
      <c r="O566" s="352"/>
      <c r="P566" s="352"/>
      <c r="Q566" s="352"/>
      <c r="R566" s="352"/>
      <c r="S566" s="352"/>
      <c r="T566" s="352"/>
      <c r="U566" s="352"/>
      <c r="V566" s="352"/>
      <c r="W566" s="352"/>
      <c r="X566" s="352"/>
      <c r="Y566" s="352"/>
      <c r="Z566" s="352"/>
      <c r="AA566" s="352"/>
      <c r="AB566" s="352"/>
      <c r="AC566" s="352"/>
      <c r="AD566" s="352"/>
      <c r="AE566" s="352"/>
    </row>
    <row r="567">
      <c r="A567" s="352"/>
      <c r="B567" s="352"/>
      <c r="C567" s="352"/>
      <c r="D567" s="352"/>
      <c r="E567" s="352"/>
      <c r="F567" s="352"/>
      <c r="G567" s="352"/>
      <c r="H567" s="352"/>
      <c r="I567" s="352"/>
      <c r="J567" s="352"/>
      <c r="K567" s="352"/>
      <c r="L567" s="352"/>
      <c r="M567" s="352"/>
      <c r="N567" s="352"/>
      <c r="O567" s="352"/>
      <c r="P567" s="352"/>
      <c r="Q567" s="352"/>
      <c r="R567" s="352"/>
      <c r="S567" s="352"/>
      <c r="T567" s="352"/>
      <c r="U567" s="352"/>
      <c r="V567" s="352"/>
      <c r="W567" s="352"/>
      <c r="X567" s="352"/>
      <c r="Y567" s="352"/>
      <c r="Z567" s="352"/>
      <c r="AA567" s="352"/>
      <c r="AB567" s="352"/>
      <c r="AC567" s="352"/>
      <c r="AD567" s="352"/>
      <c r="AE567" s="352"/>
    </row>
    <row r="568">
      <c r="A568" s="352"/>
      <c r="B568" s="352"/>
      <c r="C568" s="352"/>
      <c r="D568" s="352"/>
      <c r="E568" s="352"/>
      <c r="F568" s="352"/>
      <c r="G568" s="352"/>
      <c r="H568" s="352"/>
      <c r="I568" s="352"/>
      <c r="J568" s="352"/>
      <c r="K568" s="352"/>
      <c r="L568" s="352"/>
      <c r="M568" s="352"/>
      <c r="N568" s="352"/>
      <c r="O568" s="352"/>
      <c r="P568" s="352"/>
      <c r="Q568" s="352"/>
      <c r="R568" s="352"/>
      <c r="S568" s="352"/>
      <c r="T568" s="352"/>
      <c r="U568" s="352"/>
      <c r="V568" s="352"/>
      <c r="W568" s="352"/>
      <c r="X568" s="352"/>
      <c r="Y568" s="352"/>
      <c r="Z568" s="352"/>
      <c r="AA568" s="352"/>
      <c r="AB568" s="352"/>
      <c r="AC568" s="352"/>
      <c r="AD568" s="352"/>
      <c r="AE568" s="352"/>
    </row>
    <row r="569">
      <c r="A569" s="352"/>
      <c r="B569" s="352"/>
      <c r="C569" s="352"/>
      <c r="D569" s="352"/>
      <c r="E569" s="352"/>
      <c r="F569" s="352"/>
      <c r="G569" s="352"/>
      <c r="H569" s="352"/>
      <c r="I569" s="352"/>
      <c r="J569" s="352"/>
      <c r="K569" s="352"/>
      <c r="L569" s="352"/>
      <c r="M569" s="352"/>
      <c r="N569" s="352"/>
      <c r="O569" s="352"/>
      <c r="P569" s="352"/>
      <c r="Q569" s="352"/>
      <c r="R569" s="352"/>
      <c r="S569" s="352"/>
      <c r="T569" s="352"/>
      <c r="U569" s="352"/>
      <c r="V569" s="352"/>
      <c r="W569" s="352"/>
      <c r="X569" s="352"/>
      <c r="Y569" s="352"/>
      <c r="Z569" s="352"/>
      <c r="AA569" s="352"/>
      <c r="AB569" s="352"/>
      <c r="AC569" s="352"/>
      <c r="AD569" s="352"/>
      <c r="AE569" s="352"/>
    </row>
    <row r="570">
      <c r="A570" s="352"/>
      <c r="B570" s="352"/>
      <c r="C570" s="352"/>
      <c r="D570" s="352"/>
      <c r="E570" s="352"/>
      <c r="F570" s="352"/>
      <c r="G570" s="352"/>
      <c r="H570" s="352"/>
      <c r="I570" s="352"/>
      <c r="J570" s="352"/>
      <c r="K570" s="352"/>
      <c r="L570" s="352"/>
      <c r="M570" s="352"/>
      <c r="N570" s="352"/>
      <c r="O570" s="352"/>
      <c r="P570" s="352"/>
      <c r="Q570" s="352"/>
      <c r="R570" s="352"/>
      <c r="S570" s="352"/>
      <c r="T570" s="352"/>
      <c r="U570" s="352"/>
      <c r="V570" s="352"/>
      <c r="W570" s="352"/>
      <c r="X570" s="352"/>
      <c r="Y570" s="352"/>
      <c r="Z570" s="352"/>
      <c r="AA570" s="352"/>
      <c r="AB570" s="352"/>
      <c r="AC570" s="352"/>
      <c r="AD570" s="352"/>
      <c r="AE570" s="352"/>
    </row>
    <row r="571">
      <c r="A571" s="352"/>
      <c r="B571" s="352"/>
      <c r="C571" s="352"/>
      <c r="D571" s="352"/>
      <c r="E571" s="352"/>
      <c r="F571" s="352"/>
      <c r="G571" s="352"/>
      <c r="H571" s="352"/>
      <c r="I571" s="352"/>
      <c r="J571" s="352"/>
      <c r="K571" s="352"/>
      <c r="L571" s="352"/>
      <c r="M571" s="352"/>
      <c r="N571" s="352"/>
      <c r="O571" s="352"/>
      <c r="P571" s="352"/>
      <c r="Q571" s="352"/>
      <c r="R571" s="352"/>
      <c r="S571" s="352"/>
      <c r="T571" s="352"/>
      <c r="U571" s="352"/>
      <c r="V571" s="352"/>
      <c r="W571" s="352"/>
      <c r="X571" s="352"/>
      <c r="Y571" s="352"/>
      <c r="Z571" s="352"/>
      <c r="AA571" s="352"/>
      <c r="AB571" s="352"/>
      <c r="AC571" s="352"/>
      <c r="AD571" s="352"/>
      <c r="AE571" s="352"/>
    </row>
    <row r="572">
      <c r="A572" s="352"/>
      <c r="B572" s="352"/>
      <c r="C572" s="352"/>
      <c r="D572" s="352"/>
      <c r="E572" s="352"/>
      <c r="F572" s="352"/>
      <c r="G572" s="352"/>
      <c r="H572" s="352"/>
      <c r="I572" s="352"/>
      <c r="J572" s="352"/>
      <c r="K572" s="352"/>
      <c r="L572" s="352"/>
      <c r="M572" s="352"/>
      <c r="N572" s="352"/>
      <c r="O572" s="352"/>
      <c r="P572" s="352"/>
      <c r="Q572" s="352"/>
      <c r="R572" s="352"/>
      <c r="S572" s="352"/>
      <c r="T572" s="352"/>
      <c r="U572" s="352"/>
      <c r="V572" s="352"/>
      <c r="W572" s="352"/>
      <c r="X572" s="352"/>
      <c r="Y572" s="352"/>
      <c r="Z572" s="352"/>
      <c r="AA572" s="352"/>
      <c r="AB572" s="352"/>
      <c r="AC572" s="352"/>
      <c r="AD572" s="352"/>
      <c r="AE572" s="352"/>
    </row>
    <row r="573">
      <c r="A573" s="352"/>
      <c r="B573" s="352"/>
      <c r="C573" s="352"/>
      <c r="D573" s="352"/>
      <c r="E573" s="352"/>
      <c r="F573" s="352"/>
      <c r="G573" s="352"/>
      <c r="H573" s="352"/>
      <c r="I573" s="352"/>
      <c r="J573" s="352"/>
      <c r="K573" s="352"/>
      <c r="L573" s="352"/>
      <c r="M573" s="352"/>
      <c r="N573" s="352"/>
      <c r="O573" s="352"/>
      <c r="P573" s="352"/>
      <c r="Q573" s="352"/>
      <c r="R573" s="352"/>
      <c r="S573" s="352"/>
      <c r="T573" s="352"/>
      <c r="U573" s="352"/>
      <c r="V573" s="352"/>
      <c r="W573" s="352"/>
      <c r="X573" s="352"/>
      <c r="Y573" s="352"/>
      <c r="Z573" s="352"/>
      <c r="AA573" s="352"/>
      <c r="AB573" s="352"/>
      <c r="AC573" s="352"/>
      <c r="AD573" s="352"/>
      <c r="AE573" s="352"/>
    </row>
    <row r="574">
      <c r="A574" s="352"/>
      <c r="B574" s="352"/>
      <c r="C574" s="352"/>
      <c r="D574" s="352"/>
      <c r="E574" s="352"/>
      <c r="F574" s="352"/>
      <c r="G574" s="352"/>
      <c r="H574" s="352"/>
      <c r="I574" s="352"/>
      <c r="J574" s="352"/>
      <c r="K574" s="352"/>
      <c r="L574" s="352"/>
      <c r="M574" s="352"/>
      <c r="N574" s="352"/>
      <c r="O574" s="352"/>
      <c r="P574" s="352"/>
      <c r="Q574" s="352"/>
      <c r="R574" s="352"/>
      <c r="S574" s="352"/>
      <c r="T574" s="352"/>
      <c r="U574" s="352"/>
      <c r="V574" s="352"/>
      <c r="W574" s="352"/>
      <c r="X574" s="352"/>
      <c r="Y574" s="352"/>
      <c r="Z574" s="352"/>
      <c r="AA574" s="352"/>
      <c r="AB574" s="352"/>
      <c r="AC574" s="352"/>
      <c r="AD574" s="352"/>
      <c r="AE574" s="352"/>
    </row>
    <row r="575">
      <c r="A575" s="352"/>
      <c r="B575" s="352"/>
      <c r="C575" s="352"/>
      <c r="D575" s="352"/>
      <c r="E575" s="352"/>
      <c r="F575" s="352"/>
      <c r="G575" s="352"/>
      <c r="H575" s="352"/>
      <c r="I575" s="352"/>
      <c r="J575" s="352"/>
      <c r="K575" s="352"/>
      <c r="L575" s="352"/>
      <c r="M575" s="352"/>
      <c r="N575" s="352"/>
      <c r="O575" s="352"/>
      <c r="P575" s="352"/>
      <c r="Q575" s="352"/>
      <c r="R575" s="352"/>
      <c r="S575" s="352"/>
      <c r="T575" s="352"/>
      <c r="U575" s="352"/>
      <c r="V575" s="352"/>
      <c r="W575" s="352"/>
      <c r="X575" s="352"/>
      <c r="Y575" s="352"/>
      <c r="Z575" s="352"/>
      <c r="AA575" s="352"/>
      <c r="AB575" s="352"/>
      <c r="AC575" s="352"/>
      <c r="AD575" s="352"/>
      <c r="AE575" s="352"/>
    </row>
    <row r="576">
      <c r="A576" s="352"/>
      <c r="B576" s="352"/>
      <c r="C576" s="352"/>
      <c r="D576" s="352"/>
      <c r="E576" s="352"/>
      <c r="F576" s="352"/>
      <c r="G576" s="352"/>
      <c r="H576" s="352"/>
      <c r="I576" s="352"/>
      <c r="J576" s="352"/>
      <c r="K576" s="352"/>
      <c r="L576" s="352"/>
      <c r="M576" s="352"/>
      <c r="N576" s="352"/>
      <c r="O576" s="352"/>
      <c r="P576" s="352"/>
      <c r="Q576" s="352"/>
      <c r="R576" s="352"/>
      <c r="S576" s="352"/>
      <c r="T576" s="352"/>
      <c r="U576" s="352"/>
      <c r="V576" s="352"/>
      <c r="W576" s="352"/>
      <c r="X576" s="352"/>
      <c r="Y576" s="352"/>
      <c r="Z576" s="352"/>
      <c r="AA576" s="352"/>
      <c r="AB576" s="352"/>
      <c r="AC576" s="352"/>
      <c r="AD576" s="352"/>
      <c r="AE576" s="352"/>
    </row>
    <row r="577">
      <c r="A577" s="352"/>
      <c r="B577" s="352"/>
      <c r="C577" s="352"/>
      <c r="D577" s="352"/>
      <c r="E577" s="352"/>
      <c r="F577" s="352"/>
      <c r="G577" s="352"/>
      <c r="H577" s="352"/>
      <c r="I577" s="352"/>
      <c r="J577" s="352"/>
      <c r="K577" s="352"/>
      <c r="L577" s="352"/>
      <c r="M577" s="352"/>
      <c r="N577" s="352"/>
      <c r="O577" s="352"/>
      <c r="P577" s="352"/>
      <c r="Q577" s="352"/>
      <c r="R577" s="352"/>
      <c r="S577" s="352"/>
      <c r="T577" s="352"/>
      <c r="U577" s="352"/>
      <c r="V577" s="352"/>
      <c r="W577" s="352"/>
      <c r="X577" s="352"/>
      <c r="Y577" s="352"/>
      <c r="Z577" s="352"/>
      <c r="AA577" s="352"/>
      <c r="AB577" s="352"/>
      <c r="AC577" s="352"/>
      <c r="AD577" s="352"/>
      <c r="AE577" s="352"/>
    </row>
    <row r="578">
      <c r="A578" s="352"/>
      <c r="B578" s="352"/>
      <c r="C578" s="352"/>
      <c r="D578" s="352"/>
      <c r="E578" s="352"/>
      <c r="F578" s="352"/>
      <c r="G578" s="352"/>
      <c r="H578" s="352"/>
      <c r="I578" s="352"/>
      <c r="J578" s="352"/>
      <c r="K578" s="352"/>
      <c r="L578" s="352"/>
      <c r="M578" s="352"/>
      <c r="N578" s="352"/>
      <c r="O578" s="352"/>
      <c r="P578" s="352"/>
      <c r="Q578" s="352"/>
      <c r="R578" s="352"/>
      <c r="S578" s="352"/>
      <c r="T578" s="352"/>
      <c r="U578" s="352"/>
      <c r="V578" s="352"/>
      <c r="W578" s="352"/>
      <c r="X578" s="352"/>
      <c r="Y578" s="352"/>
      <c r="Z578" s="352"/>
      <c r="AA578" s="352"/>
      <c r="AB578" s="352"/>
      <c r="AC578" s="352"/>
      <c r="AD578" s="352"/>
      <c r="AE578" s="352"/>
    </row>
    <row r="579">
      <c r="A579" s="352"/>
      <c r="B579" s="352"/>
      <c r="C579" s="352"/>
      <c r="D579" s="352"/>
      <c r="E579" s="352"/>
      <c r="F579" s="352"/>
      <c r="G579" s="352"/>
      <c r="H579" s="352"/>
      <c r="I579" s="352"/>
      <c r="J579" s="352"/>
      <c r="K579" s="352"/>
      <c r="L579" s="352"/>
      <c r="M579" s="352"/>
      <c r="N579" s="352"/>
      <c r="O579" s="352"/>
      <c r="P579" s="352"/>
      <c r="Q579" s="352"/>
      <c r="R579" s="352"/>
      <c r="S579" s="352"/>
      <c r="T579" s="352"/>
      <c r="U579" s="352"/>
      <c r="V579" s="352"/>
      <c r="W579" s="352"/>
      <c r="X579" s="352"/>
      <c r="Y579" s="352"/>
      <c r="Z579" s="352"/>
      <c r="AA579" s="352"/>
      <c r="AB579" s="352"/>
      <c r="AC579" s="352"/>
      <c r="AD579" s="352"/>
      <c r="AE579" s="352"/>
    </row>
    <row r="580">
      <c r="A580" s="352"/>
      <c r="B580" s="352"/>
      <c r="C580" s="352"/>
      <c r="D580" s="352"/>
      <c r="E580" s="352"/>
      <c r="F580" s="352"/>
      <c r="G580" s="352"/>
      <c r="H580" s="352"/>
      <c r="I580" s="352"/>
      <c r="J580" s="352"/>
      <c r="K580" s="352"/>
      <c r="L580" s="352"/>
      <c r="M580" s="352"/>
      <c r="N580" s="352"/>
      <c r="O580" s="352"/>
      <c r="P580" s="352"/>
      <c r="Q580" s="352"/>
      <c r="R580" s="352"/>
      <c r="S580" s="352"/>
      <c r="T580" s="352"/>
      <c r="U580" s="352"/>
      <c r="V580" s="352"/>
      <c r="W580" s="352"/>
      <c r="X580" s="352"/>
      <c r="Y580" s="352"/>
      <c r="Z580" s="352"/>
      <c r="AA580" s="352"/>
      <c r="AB580" s="352"/>
      <c r="AC580" s="352"/>
      <c r="AD580" s="352"/>
      <c r="AE580" s="352"/>
    </row>
    <row r="581">
      <c r="A581" s="352"/>
      <c r="B581" s="352"/>
      <c r="C581" s="352"/>
      <c r="D581" s="352"/>
      <c r="E581" s="352"/>
      <c r="F581" s="352"/>
      <c r="G581" s="352"/>
      <c r="H581" s="352"/>
      <c r="I581" s="352"/>
      <c r="J581" s="352"/>
      <c r="K581" s="352"/>
      <c r="L581" s="352"/>
      <c r="M581" s="352"/>
      <c r="N581" s="352"/>
      <c r="O581" s="352"/>
      <c r="P581" s="352"/>
      <c r="Q581" s="352"/>
      <c r="R581" s="352"/>
      <c r="S581" s="352"/>
      <c r="T581" s="352"/>
      <c r="U581" s="352"/>
      <c r="V581" s="352"/>
      <c r="W581" s="352"/>
      <c r="X581" s="352"/>
      <c r="Y581" s="352"/>
      <c r="Z581" s="352"/>
      <c r="AA581" s="352"/>
      <c r="AB581" s="352"/>
      <c r="AC581" s="352"/>
      <c r="AD581" s="352"/>
      <c r="AE581" s="352"/>
    </row>
    <row r="582">
      <c r="A582" s="352"/>
      <c r="B582" s="352"/>
      <c r="C582" s="352"/>
      <c r="D582" s="352"/>
      <c r="E582" s="352"/>
      <c r="F582" s="352"/>
      <c r="G582" s="352"/>
      <c r="H582" s="352"/>
      <c r="I582" s="352"/>
      <c r="J582" s="352"/>
      <c r="K582" s="352"/>
      <c r="L582" s="352"/>
      <c r="M582" s="352"/>
      <c r="N582" s="352"/>
      <c r="O582" s="352"/>
      <c r="P582" s="352"/>
      <c r="Q582" s="352"/>
      <c r="R582" s="352"/>
      <c r="S582" s="352"/>
      <c r="T582" s="352"/>
      <c r="U582" s="352"/>
      <c r="V582" s="352"/>
      <c r="W582" s="352"/>
      <c r="X582" s="352"/>
      <c r="Y582" s="352"/>
      <c r="Z582" s="352"/>
      <c r="AA582" s="352"/>
      <c r="AB582" s="352"/>
      <c r="AC582" s="352"/>
      <c r="AD582" s="352"/>
      <c r="AE582" s="352"/>
    </row>
    <row r="583">
      <c r="A583" s="352"/>
      <c r="B583" s="352"/>
      <c r="C583" s="352"/>
      <c r="D583" s="352"/>
      <c r="E583" s="352"/>
      <c r="F583" s="352"/>
      <c r="G583" s="352"/>
      <c r="H583" s="352"/>
      <c r="I583" s="352"/>
      <c r="J583" s="352"/>
      <c r="K583" s="352"/>
      <c r="L583" s="352"/>
      <c r="M583" s="352"/>
      <c r="N583" s="352"/>
      <c r="O583" s="352"/>
      <c r="P583" s="352"/>
      <c r="Q583" s="352"/>
      <c r="R583" s="352"/>
      <c r="S583" s="352"/>
      <c r="T583" s="352"/>
      <c r="U583" s="352"/>
      <c r="V583" s="352"/>
      <c r="W583" s="352"/>
      <c r="X583" s="352"/>
      <c r="Y583" s="352"/>
      <c r="Z583" s="352"/>
      <c r="AA583" s="352"/>
      <c r="AB583" s="352"/>
      <c r="AC583" s="352"/>
      <c r="AD583" s="352"/>
      <c r="AE583" s="352"/>
    </row>
    <row r="584">
      <c r="A584" s="352"/>
      <c r="B584" s="352"/>
      <c r="C584" s="352"/>
      <c r="D584" s="352"/>
      <c r="E584" s="352"/>
      <c r="F584" s="352"/>
      <c r="G584" s="352"/>
      <c r="H584" s="352"/>
      <c r="I584" s="352"/>
      <c r="J584" s="352"/>
      <c r="K584" s="352"/>
      <c r="L584" s="352"/>
      <c r="M584" s="352"/>
      <c r="N584" s="352"/>
      <c r="O584" s="352"/>
      <c r="P584" s="352"/>
      <c r="Q584" s="352"/>
      <c r="R584" s="352"/>
      <c r="S584" s="352"/>
      <c r="T584" s="352"/>
      <c r="U584" s="352"/>
      <c r="V584" s="352"/>
      <c r="W584" s="352"/>
      <c r="X584" s="352"/>
      <c r="Y584" s="352"/>
      <c r="Z584" s="352"/>
      <c r="AA584" s="352"/>
      <c r="AB584" s="352"/>
      <c r="AC584" s="352"/>
      <c r="AD584" s="352"/>
      <c r="AE584" s="352"/>
    </row>
    <row r="585">
      <c r="A585" s="352"/>
      <c r="B585" s="352"/>
      <c r="C585" s="352"/>
      <c r="D585" s="352"/>
      <c r="E585" s="352"/>
      <c r="F585" s="352"/>
      <c r="G585" s="352"/>
      <c r="H585" s="352"/>
      <c r="I585" s="352"/>
      <c r="J585" s="352"/>
      <c r="K585" s="352"/>
      <c r="L585" s="352"/>
      <c r="M585" s="352"/>
      <c r="N585" s="352"/>
      <c r="O585" s="352"/>
      <c r="P585" s="352"/>
      <c r="Q585" s="352"/>
      <c r="R585" s="352"/>
      <c r="S585" s="352"/>
      <c r="T585" s="352"/>
      <c r="U585" s="352"/>
      <c r="V585" s="352"/>
      <c r="W585" s="352"/>
      <c r="X585" s="352"/>
      <c r="Y585" s="352"/>
      <c r="Z585" s="352"/>
      <c r="AA585" s="352"/>
      <c r="AB585" s="352"/>
      <c r="AC585" s="352"/>
      <c r="AD585" s="352"/>
      <c r="AE585" s="352"/>
    </row>
    <row r="586">
      <c r="A586" s="352"/>
      <c r="B586" s="352"/>
      <c r="C586" s="352"/>
      <c r="D586" s="352"/>
      <c r="E586" s="352"/>
      <c r="F586" s="352"/>
      <c r="G586" s="352"/>
      <c r="H586" s="352"/>
      <c r="I586" s="352"/>
      <c r="J586" s="352"/>
      <c r="K586" s="352"/>
      <c r="L586" s="352"/>
      <c r="M586" s="352"/>
      <c r="N586" s="352"/>
      <c r="O586" s="352"/>
      <c r="P586" s="352"/>
      <c r="Q586" s="352"/>
      <c r="R586" s="352"/>
      <c r="S586" s="352"/>
      <c r="T586" s="352"/>
      <c r="U586" s="352"/>
      <c r="V586" s="352"/>
      <c r="W586" s="352"/>
      <c r="X586" s="352"/>
      <c r="Y586" s="352"/>
      <c r="Z586" s="352"/>
      <c r="AA586" s="352"/>
      <c r="AB586" s="352"/>
      <c r="AC586" s="352"/>
      <c r="AD586" s="352"/>
      <c r="AE586" s="352"/>
    </row>
    <row r="587">
      <c r="A587" s="352"/>
      <c r="B587" s="352"/>
      <c r="C587" s="352"/>
      <c r="D587" s="352"/>
      <c r="E587" s="352"/>
      <c r="F587" s="352"/>
      <c r="G587" s="352"/>
      <c r="H587" s="352"/>
      <c r="I587" s="352"/>
      <c r="J587" s="352"/>
      <c r="K587" s="352"/>
      <c r="L587" s="352"/>
      <c r="M587" s="352"/>
      <c r="N587" s="352"/>
      <c r="O587" s="352"/>
      <c r="P587" s="352"/>
      <c r="Q587" s="352"/>
      <c r="R587" s="352"/>
      <c r="S587" s="352"/>
      <c r="T587" s="352"/>
      <c r="U587" s="352"/>
      <c r="V587" s="352"/>
      <c r="W587" s="352"/>
      <c r="X587" s="352"/>
      <c r="Y587" s="352"/>
      <c r="Z587" s="352"/>
      <c r="AA587" s="352"/>
      <c r="AB587" s="352"/>
      <c r="AC587" s="352"/>
      <c r="AD587" s="352"/>
      <c r="AE587" s="352"/>
    </row>
    <row r="588">
      <c r="A588" s="352"/>
      <c r="B588" s="352"/>
      <c r="C588" s="352"/>
      <c r="D588" s="352"/>
      <c r="E588" s="352"/>
      <c r="F588" s="352"/>
      <c r="G588" s="352"/>
      <c r="H588" s="352"/>
      <c r="I588" s="352"/>
      <c r="J588" s="352"/>
      <c r="K588" s="352"/>
      <c r="L588" s="352"/>
      <c r="M588" s="352"/>
      <c r="N588" s="352"/>
      <c r="O588" s="352"/>
      <c r="P588" s="352"/>
      <c r="Q588" s="352"/>
      <c r="R588" s="352"/>
      <c r="S588" s="352"/>
      <c r="T588" s="352"/>
      <c r="U588" s="352"/>
      <c r="V588" s="352"/>
      <c r="W588" s="352"/>
      <c r="X588" s="352"/>
      <c r="Y588" s="352"/>
      <c r="Z588" s="352"/>
      <c r="AA588" s="352"/>
      <c r="AB588" s="352"/>
      <c r="AC588" s="352"/>
      <c r="AD588" s="352"/>
      <c r="AE588" s="352"/>
    </row>
    <row r="589">
      <c r="A589" s="352"/>
      <c r="B589" s="352"/>
      <c r="C589" s="352"/>
      <c r="D589" s="352"/>
      <c r="E589" s="352"/>
      <c r="F589" s="352"/>
      <c r="G589" s="352"/>
      <c r="H589" s="352"/>
      <c r="I589" s="352"/>
      <c r="J589" s="352"/>
      <c r="K589" s="352"/>
      <c r="L589" s="352"/>
      <c r="M589" s="352"/>
      <c r="N589" s="352"/>
      <c r="O589" s="352"/>
      <c r="P589" s="352"/>
      <c r="Q589" s="352"/>
      <c r="R589" s="352"/>
      <c r="S589" s="352"/>
      <c r="T589" s="352"/>
      <c r="U589" s="352"/>
      <c r="V589" s="352"/>
      <c r="W589" s="352"/>
      <c r="X589" s="352"/>
      <c r="Y589" s="352"/>
      <c r="Z589" s="352"/>
      <c r="AA589" s="352"/>
      <c r="AB589" s="352"/>
      <c r="AC589" s="352"/>
      <c r="AD589" s="352"/>
      <c r="AE589" s="352"/>
    </row>
    <row r="590">
      <c r="A590" s="352"/>
      <c r="B590" s="352"/>
      <c r="C590" s="352"/>
      <c r="D590" s="352"/>
      <c r="E590" s="352"/>
      <c r="F590" s="352"/>
      <c r="G590" s="352"/>
      <c r="H590" s="352"/>
      <c r="I590" s="352"/>
      <c r="J590" s="352"/>
      <c r="K590" s="352"/>
      <c r="L590" s="352"/>
      <c r="M590" s="352"/>
      <c r="N590" s="352"/>
      <c r="O590" s="352"/>
      <c r="P590" s="352"/>
      <c r="Q590" s="352"/>
      <c r="R590" s="352"/>
      <c r="S590" s="352"/>
      <c r="T590" s="352"/>
      <c r="U590" s="352"/>
      <c r="V590" s="352"/>
      <c r="W590" s="352"/>
      <c r="X590" s="352"/>
      <c r="Y590" s="352"/>
      <c r="Z590" s="352"/>
      <c r="AA590" s="352"/>
      <c r="AB590" s="352"/>
      <c r="AC590" s="352"/>
      <c r="AD590" s="352"/>
      <c r="AE590" s="352"/>
    </row>
    <row r="591">
      <c r="A591" s="352"/>
      <c r="B591" s="352"/>
      <c r="C591" s="352"/>
      <c r="D591" s="352"/>
      <c r="E591" s="352"/>
      <c r="F591" s="352"/>
      <c r="G591" s="352"/>
      <c r="H591" s="352"/>
      <c r="I591" s="352"/>
      <c r="J591" s="352"/>
      <c r="K591" s="352"/>
      <c r="L591" s="352"/>
      <c r="M591" s="352"/>
      <c r="N591" s="352"/>
      <c r="O591" s="352"/>
      <c r="P591" s="352"/>
      <c r="Q591" s="352"/>
      <c r="R591" s="352"/>
      <c r="S591" s="352"/>
      <c r="T591" s="352"/>
      <c r="U591" s="352"/>
      <c r="V591" s="352"/>
      <c r="W591" s="352"/>
      <c r="X591" s="352"/>
      <c r="Y591" s="352"/>
      <c r="Z591" s="352"/>
      <c r="AA591" s="352"/>
      <c r="AB591" s="352"/>
      <c r="AC591" s="352"/>
      <c r="AD591" s="352"/>
      <c r="AE591" s="352"/>
    </row>
    <row r="592">
      <c r="A592" s="352"/>
      <c r="B592" s="352"/>
      <c r="C592" s="352"/>
      <c r="D592" s="352"/>
      <c r="E592" s="352"/>
      <c r="F592" s="352"/>
      <c r="G592" s="352"/>
      <c r="H592" s="352"/>
      <c r="I592" s="352"/>
      <c r="J592" s="352"/>
      <c r="K592" s="352"/>
      <c r="L592" s="352"/>
      <c r="M592" s="352"/>
      <c r="N592" s="352"/>
      <c r="O592" s="352"/>
      <c r="P592" s="352"/>
      <c r="Q592" s="352"/>
      <c r="R592" s="352"/>
      <c r="S592" s="352"/>
      <c r="T592" s="352"/>
      <c r="U592" s="352"/>
      <c r="V592" s="352"/>
      <c r="W592" s="352"/>
      <c r="X592" s="352"/>
      <c r="Y592" s="352"/>
      <c r="Z592" s="352"/>
      <c r="AA592" s="352"/>
      <c r="AB592" s="352"/>
      <c r="AC592" s="352"/>
      <c r="AD592" s="352"/>
      <c r="AE592" s="352"/>
    </row>
    <row r="593">
      <c r="A593" s="352"/>
      <c r="B593" s="352"/>
      <c r="C593" s="352"/>
      <c r="D593" s="352"/>
      <c r="E593" s="352"/>
      <c r="F593" s="352"/>
      <c r="G593" s="352"/>
      <c r="H593" s="352"/>
      <c r="I593" s="352"/>
      <c r="J593" s="352"/>
      <c r="K593" s="352"/>
      <c r="L593" s="352"/>
      <c r="M593" s="352"/>
      <c r="N593" s="352"/>
      <c r="O593" s="352"/>
      <c r="P593" s="352"/>
      <c r="Q593" s="352"/>
      <c r="R593" s="352"/>
      <c r="S593" s="352"/>
      <c r="T593" s="352"/>
      <c r="U593" s="352"/>
      <c r="V593" s="352"/>
      <c r="W593" s="352"/>
      <c r="X593" s="352"/>
      <c r="Y593" s="352"/>
      <c r="Z593" s="352"/>
      <c r="AA593" s="352"/>
      <c r="AB593" s="352"/>
      <c r="AC593" s="352"/>
      <c r="AD593" s="352"/>
      <c r="AE593" s="352"/>
    </row>
    <row r="594">
      <c r="A594" s="352"/>
      <c r="B594" s="352"/>
      <c r="C594" s="352"/>
      <c r="D594" s="352"/>
      <c r="E594" s="352"/>
      <c r="F594" s="352"/>
      <c r="G594" s="352"/>
      <c r="H594" s="352"/>
      <c r="I594" s="352"/>
      <c r="J594" s="352"/>
      <c r="K594" s="352"/>
      <c r="L594" s="352"/>
      <c r="M594" s="352"/>
      <c r="N594" s="352"/>
      <c r="O594" s="352"/>
      <c r="P594" s="352"/>
      <c r="Q594" s="352"/>
      <c r="R594" s="352"/>
      <c r="S594" s="352"/>
      <c r="T594" s="352"/>
      <c r="U594" s="352"/>
      <c r="V594" s="352"/>
      <c r="W594" s="352"/>
      <c r="X594" s="352"/>
      <c r="Y594" s="352"/>
      <c r="Z594" s="352"/>
      <c r="AA594" s="352"/>
      <c r="AB594" s="352"/>
      <c r="AC594" s="352"/>
      <c r="AD594" s="352"/>
      <c r="AE594" s="352"/>
    </row>
    <row r="595">
      <c r="A595" s="352"/>
      <c r="B595" s="352"/>
      <c r="C595" s="352"/>
      <c r="D595" s="352"/>
      <c r="E595" s="352"/>
      <c r="F595" s="352"/>
      <c r="G595" s="352"/>
      <c r="H595" s="352"/>
      <c r="I595" s="352"/>
      <c r="J595" s="352"/>
      <c r="K595" s="352"/>
      <c r="L595" s="352"/>
      <c r="M595" s="352"/>
      <c r="N595" s="352"/>
      <c r="O595" s="352"/>
      <c r="P595" s="352"/>
      <c r="Q595" s="352"/>
      <c r="R595" s="352"/>
      <c r="S595" s="352"/>
      <c r="T595" s="352"/>
      <c r="U595" s="352"/>
      <c r="V595" s="352"/>
      <c r="W595" s="352"/>
      <c r="X595" s="352"/>
      <c r="Y595" s="352"/>
      <c r="Z595" s="352"/>
      <c r="AA595" s="352"/>
      <c r="AB595" s="352"/>
      <c r="AC595" s="352"/>
      <c r="AD595" s="352"/>
      <c r="AE595" s="352"/>
    </row>
    <row r="596">
      <c r="A596" s="352"/>
      <c r="B596" s="352"/>
      <c r="C596" s="352"/>
      <c r="D596" s="352"/>
      <c r="E596" s="352"/>
      <c r="F596" s="352"/>
      <c r="G596" s="352"/>
      <c r="H596" s="352"/>
      <c r="I596" s="352"/>
      <c r="J596" s="352"/>
      <c r="K596" s="352"/>
      <c r="L596" s="352"/>
      <c r="M596" s="352"/>
      <c r="N596" s="352"/>
      <c r="O596" s="352"/>
      <c r="P596" s="352"/>
      <c r="Q596" s="352"/>
      <c r="R596" s="352"/>
      <c r="S596" s="352"/>
      <c r="T596" s="352"/>
      <c r="U596" s="352"/>
      <c r="V596" s="352"/>
      <c r="W596" s="352"/>
      <c r="X596" s="352"/>
      <c r="Y596" s="352"/>
      <c r="Z596" s="352"/>
      <c r="AA596" s="352"/>
      <c r="AB596" s="352"/>
      <c r="AC596" s="352"/>
      <c r="AD596" s="352"/>
      <c r="AE596" s="352"/>
    </row>
    <row r="597">
      <c r="A597" s="352"/>
      <c r="B597" s="352"/>
      <c r="C597" s="352"/>
      <c r="D597" s="352"/>
      <c r="E597" s="352"/>
      <c r="F597" s="352"/>
      <c r="G597" s="352"/>
      <c r="H597" s="352"/>
      <c r="I597" s="352"/>
      <c r="J597" s="352"/>
      <c r="K597" s="352"/>
      <c r="L597" s="352"/>
      <c r="M597" s="352"/>
      <c r="N597" s="352"/>
      <c r="O597" s="352"/>
      <c r="P597" s="352"/>
      <c r="Q597" s="352"/>
      <c r="R597" s="352"/>
      <c r="S597" s="352"/>
      <c r="T597" s="352"/>
      <c r="U597" s="352"/>
      <c r="V597" s="352"/>
      <c r="W597" s="352"/>
      <c r="X597" s="352"/>
      <c r="Y597" s="352"/>
      <c r="Z597" s="352"/>
      <c r="AA597" s="352"/>
      <c r="AB597" s="352"/>
      <c r="AC597" s="352"/>
      <c r="AD597" s="352"/>
      <c r="AE597" s="352"/>
    </row>
    <row r="598">
      <c r="A598" s="352"/>
      <c r="B598" s="352"/>
      <c r="C598" s="352"/>
      <c r="D598" s="352"/>
      <c r="E598" s="352"/>
      <c r="F598" s="352"/>
      <c r="G598" s="352"/>
      <c r="H598" s="352"/>
      <c r="I598" s="352"/>
      <c r="J598" s="352"/>
      <c r="K598" s="352"/>
      <c r="L598" s="352"/>
      <c r="M598" s="352"/>
      <c r="N598" s="352"/>
      <c r="O598" s="352"/>
      <c r="P598" s="352"/>
      <c r="Q598" s="352"/>
      <c r="R598" s="352"/>
      <c r="S598" s="352"/>
      <c r="T598" s="352"/>
      <c r="U598" s="352"/>
      <c r="V598" s="352"/>
      <c r="W598" s="352"/>
      <c r="X598" s="352"/>
      <c r="Y598" s="352"/>
      <c r="Z598" s="352"/>
      <c r="AA598" s="352"/>
      <c r="AB598" s="352"/>
      <c r="AC598" s="352"/>
      <c r="AD598" s="352"/>
      <c r="AE598" s="352"/>
    </row>
    <row r="599">
      <c r="A599" s="352"/>
      <c r="B599" s="352"/>
      <c r="C599" s="352"/>
      <c r="D599" s="352"/>
      <c r="E599" s="352"/>
      <c r="F599" s="352"/>
      <c r="G599" s="352"/>
      <c r="H599" s="352"/>
      <c r="I599" s="352"/>
      <c r="J599" s="352"/>
      <c r="K599" s="352"/>
      <c r="L599" s="352"/>
      <c r="M599" s="352"/>
      <c r="N599" s="352"/>
      <c r="O599" s="352"/>
      <c r="P599" s="352"/>
      <c r="Q599" s="352"/>
      <c r="R599" s="352"/>
      <c r="S599" s="352"/>
      <c r="T599" s="352"/>
      <c r="U599" s="352"/>
      <c r="V599" s="352"/>
      <c r="W599" s="352"/>
      <c r="X599" s="352"/>
      <c r="Y599" s="352"/>
      <c r="Z599" s="352"/>
      <c r="AA599" s="352"/>
      <c r="AB599" s="352"/>
      <c r="AC599" s="352"/>
      <c r="AD599" s="352"/>
      <c r="AE599" s="352"/>
    </row>
    <row r="600">
      <c r="A600" s="352"/>
      <c r="B600" s="352"/>
      <c r="C600" s="352"/>
      <c r="D600" s="352"/>
      <c r="E600" s="352"/>
      <c r="F600" s="352"/>
      <c r="G600" s="352"/>
      <c r="H600" s="352"/>
      <c r="I600" s="352"/>
      <c r="J600" s="352"/>
      <c r="K600" s="352"/>
      <c r="L600" s="352"/>
      <c r="M600" s="352"/>
      <c r="N600" s="352"/>
      <c r="O600" s="352"/>
      <c r="P600" s="352"/>
      <c r="Q600" s="352"/>
      <c r="R600" s="352"/>
      <c r="S600" s="352"/>
      <c r="T600" s="352"/>
      <c r="U600" s="352"/>
      <c r="V600" s="352"/>
      <c r="W600" s="352"/>
      <c r="X600" s="352"/>
      <c r="Y600" s="352"/>
      <c r="Z600" s="352"/>
      <c r="AA600" s="352"/>
      <c r="AB600" s="352"/>
      <c r="AC600" s="352"/>
      <c r="AD600" s="352"/>
      <c r="AE600" s="352"/>
    </row>
    <row r="601">
      <c r="A601" s="352"/>
      <c r="B601" s="352"/>
      <c r="C601" s="352"/>
      <c r="D601" s="352"/>
      <c r="E601" s="352"/>
      <c r="F601" s="352"/>
      <c r="G601" s="352"/>
      <c r="H601" s="352"/>
      <c r="I601" s="352"/>
      <c r="J601" s="352"/>
      <c r="K601" s="352"/>
      <c r="L601" s="352"/>
      <c r="M601" s="352"/>
      <c r="N601" s="352"/>
      <c r="O601" s="352"/>
      <c r="P601" s="352"/>
      <c r="Q601" s="352"/>
      <c r="R601" s="352"/>
      <c r="S601" s="352"/>
      <c r="T601" s="352"/>
      <c r="U601" s="352"/>
      <c r="V601" s="352"/>
      <c r="W601" s="352"/>
      <c r="X601" s="352"/>
      <c r="Y601" s="352"/>
      <c r="Z601" s="352"/>
      <c r="AA601" s="352"/>
      <c r="AB601" s="352"/>
      <c r="AC601" s="352"/>
      <c r="AD601" s="352"/>
      <c r="AE601" s="352"/>
    </row>
    <row r="602">
      <c r="A602" s="352"/>
      <c r="B602" s="352"/>
      <c r="C602" s="352"/>
      <c r="D602" s="352"/>
      <c r="E602" s="352"/>
      <c r="F602" s="352"/>
      <c r="G602" s="352"/>
      <c r="H602" s="352"/>
      <c r="I602" s="352"/>
      <c r="J602" s="352"/>
      <c r="K602" s="352"/>
      <c r="L602" s="352"/>
      <c r="M602" s="352"/>
      <c r="N602" s="352"/>
      <c r="O602" s="352"/>
      <c r="P602" s="352"/>
      <c r="Q602" s="352"/>
      <c r="R602" s="352"/>
      <c r="S602" s="352"/>
      <c r="T602" s="352"/>
      <c r="U602" s="352"/>
      <c r="V602" s="352"/>
      <c r="W602" s="352"/>
      <c r="X602" s="352"/>
      <c r="Y602" s="352"/>
      <c r="Z602" s="352"/>
      <c r="AA602" s="352"/>
      <c r="AB602" s="352"/>
      <c r="AC602" s="352"/>
      <c r="AD602" s="352"/>
      <c r="AE602" s="352"/>
    </row>
    <row r="603">
      <c r="A603" s="352"/>
      <c r="B603" s="352"/>
      <c r="C603" s="352"/>
      <c r="D603" s="352"/>
      <c r="E603" s="352"/>
      <c r="F603" s="352"/>
      <c r="G603" s="352"/>
      <c r="H603" s="352"/>
      <c r="I603" s="352"/>
      <c r="J603" s="352"/>
      <c r="K603" s="352"/>
      <c r="L603" s="352"/>
      <c r="M603" s="352"/>
      <c r="N603" s="352"/>
      <c r="O603" s="352"/>
      <c r="P603" s="352"/>
      <c r="Q603" s="352"/>
      <c r="R603" s="352"/>
      <c r="S603" s="352"/>
      <c r="T603" s="352"/>
      <c r="U603" s="352"/>
      <c r="V603" s="352"/>
      <c r="W603" s="352"/>
      <c r="X603" s="352"/>
      <c r="Y603" s="352"/>
      <c r="Z603" s="352"/>
      <c r="AA603" s="352"/>
      <c r="AB603" s="352"/>
      <c r="AC603" s="352"/>
      <c r="AD603" s="352"/>
      <c r="AE603" s="352"/>
    </row>
    <row r="604">
      <c r="A604" s="352"/>
      <c r="B604" s="352"/>
      <c r="C604" s="352"/>
      <c r="D604" s="352"/>
      <c r="E604" s="352"/>
      <c r="F604" s="352"/>
      <c r="G604" s="352"/>
      <c r="H604" s="352"/>
      <c r="I604" s="352"/>
      <c r="J604" s="352"/>
      <c r="K604" s="352"/>
      <c r="L604" s="352"/>
      <c r="M604" s="352"/>
      <c r="N604" s="352"/>
      <c r="O604" s="352"/>
      <c r="P604" s="352"/>
      <c r="Q604" s="352"/>
      <c r="R604" s="352"/>
      <c r="S604" s="352"/>
      <c r="T604" s="352"/>
      <c r="U604" s="352"/>
      <c r="V604" s="352"/>
      <c r="W604" s="352"/>
      <c r="X604" s="352"/>
      <c r="Y604" s="352"/>
      <c r="Z604" s="352"/>
      <c r="AA604" s="352"/>
      <c r="AB604" s="352"/>
      <c r="AC604" s="352"/>
      <c r="AD604" s="352"/>
      <c r="AE604" s="352"/>
    </row>
    <row r="605">
      <c r="A605" s="352"/>
      <c r="B605" s="352"/>
      <c r="C605" s="352"/>
      <c r="D605" s="352"/>
      <c r="E605" s="352"/>
      <c r="F605" s="352"/>
      <c r="G605" s="352"/>
      <c r="H605" s="352"/>
      <c r="I605" s="352"/>
      <c r="J605" s="352"/>
      <c r="K605" s="352"/>
      <c r="L605" s="352"/>
      <c r="M605" s="352"/>
      <c r="N605" s="352"/>
      <c r="O605" s="352"/>
      <c r="P605" s="352"/>
      <c r="Q605" s="352"/>
      <c r="R605" s="352"/>
      <c r="S605" s="352"/>
      <c r="T605" s="352"/>
      <c r="U605" s="352"/>
      <c r="V605" s="352"/>
      <c r="W605" s="352"/>
      <c r="X605" s="352"/>
      <c r="Y605" s="352"/>
      <c r="Z605" s="352"/>
      <c r="AA605" s="352"/>
      <c r="AB605" s="352"/>
      <c r="AC605" s="352"/>
      <c r="AD605" s="352"/>
      <c r="AE605" s="352"/>
    </row>
    <row r="606">
      <c r="A606" s="352"/>
      <c r="B606" s="352"/>
      <c r="C606" s="352"/>
      <c r="D606" s="352"/>
      <c r="E606" s="352"/>
      <c r="F606" s="352"/>
      <c r="G606" s="352"/>
      <c r="H606" s="352"/>
      <c r="I606" s="352"/>
      <c r="J606" s="352"/>
      <c r="K606" s="352"/>
      <c r="L606" s="352"/>
      <c r="M606" s="352"/>
      <c r="N606" s="352"/>
      <c r="O606" s="352"/>
      <c r="P606" s="352"/>
      <c r="Q606" s="352"/>
      <c r="R606" s="352"/>
      <c r="S606" s="352"/>
      <c r="T606" s="352"/>
      <c r="U606" s="352"/>
      <c r="V606" s="352"/>
      <c r="W606" s="352"/>
      <c r="X606" s="352"/>
      <c r="Y606" s="352"/>
      <c r="Z606" s="352"/>
      <c r="AA606" s="352"/>
      <c r="AB606" s="352"/>
      <c r="AC606" s="352"/>
      <c r="AD606" s="352"/>
      <c r="AE606" s="352"/>
    </row>
    <row r="607">
      <c r="A607" s="352"/>
      <c r="B607" s="352"/>
      <c r="C607" s="352"/>
      <c r="D607" s="352"/>
      <c r="E607" s="352"/>
      <c r="F607" s="352"/>
      <c r="G607" s="352"/>
      <c r="H607" s="352"/>
      <c r="I607" s="352"/>
      <c r="J607" s="352"/>
      <c r="K607" s="352"/>
      <c r="L607" s="352"/>
      <c r="M607" s="352"/>
      <c r="N607" s="352"/>
      <c r="O607" s="352"/>
      <c r="P607" s="352"/>
      <c r="Q607" s="352"/>
      <c r="R607" s="352"/>
      <c r="S607" s="352"/>
      <c r="T607" s="352"/>
      <c r="U607" s="352"/>
      <c r="V607" s="352"/>
      <c r="W607" s="352"/>
      <c r="X607" s="352"/>
      <c r="Y607" s="352"/>
      <c r="Z607" s="352"/>
      <c r="AA607" s="352"/>
      <c r="AB607" s="352"/>
      <c r="AC607" s="352"/>
      <c r="AD607" s="352"/>
      <c r="AE607" s="352"/>
    </row>
    <row r="608">
      <c r="A608" s="352"/>
      <c r="B608" s="352"/>
      <c r="C608" s="352"/>
      <c r="D608" s="352"/>
      <c r="E608" s="352"/>
      <c r="F608" s="352"/>
      <c r="G608" s="352"/>
      <c r="H608" s="352"/>
      <c r="I608" s="352"/>
      <c r="J608" s="352"/>
      <c r="K608" s="352"/>
      <c r="L608" s="352"/>
      <c r="M608" s="352"/>
      <c r="N608" s="352"/>
      <c r="O608" s="352"/>
      <c r="P608" s="352"/>
      <c r="Q608" s="352"/>
      <c r="R608" s="352"/>
      <c r="S608" s="352"/>
      <c r="T608" s="352"/>
      <c r="U608" s="352"/>
      <c r="V608" s="352"/>
      <c r="W608" s="352"/>
      <c r="X608" s="352"/>
      <c r="Y608" s="352"/>
      <c r="Z608" s="352"/>
      <c r="AA608" s="352"/>
      <c r="AB608" s="352"/>
      <c r="AC608" s="352"/>
      <c r="AD608" s="352"/>
      <c r="AE608" s="352"/>
    </row>
    <row r="609">
      <c r="A609" s="352"/>
      <c r="B609" s="352"/>
      <c r="C609" s="352"/>
      <c r="D609" s="352"/>
      <c r="E609" s="352"/>
      <c r="F609" s="352"/>
      <c r="G609" s="352"/>
      <c r="H609" s="352"/>
      <c r="I609" s="352"/>
      <c r="J609" s="352"/>
      <c r="K609" s="352"/>
      <c r="L609" s="352"/>
      <c r="M609" s="352"/>
      <c r="N609" s="352"/>
      <c r="O609" s="352"/>
      <c r="P609" s="352"/>
      <c r="Q609" s="352"/>
      <c r="R609" s="352"/>
      <c r="S609" s="352"/>
      <c r="T609" s="352"/>
      <c r="U609" s="352"/>
      <c r="V609" s="352"/>
      <c r="W609" s="352"/>
      <c r="X609" s="352"/>
      <c r="Y609" s="352"/>
      <c r="Z609" s="352"/>
      <c r="AA609" s="352"/>
      <c r="AB609" s="352"/>
      <c r="AC609" s="352"/>
      <c r="AD609" s="352"/>
      <c r="AE609" s="352"/>
    </row>
    <row r="610">
      <c r="A610" s="352"/>
      <c r="B610" s="352"/>
      <c r="C610" s="352"/>
      <c r="D610" s="352"/>
      <c r="E610" s="352"/>
      <c r="F610" s="352"/>
      <c r="G610" s="352"/>
      <c r="H610" s="352"/>
      <c r="I610" s="352"/>
      <c r="J610" s="352"/>
      <c r="K610" s="352"/>
      <c r="L610" s="352"/>
      <c r="M610" s="352"/>
      <c r="N610" s="352"/>
      <c r="O610" s="352"/>
      <c r="P610" s="352"/>
      <c r="Q610" s="352"/>
      <c r="R610" s="352"/>
      <c r="S610" s="352"/>
      <c r="T610" s="352"/>
      <c r="U610" s="352"/>
      <c r="V610" s="352"/>
      <c r="W610" s="352"/>
      <c r="X610" s="352"/>
      <c r="Y610" s="352"/>
      <c r="Z610" s="352"/>
      <c r="AA610" s="352"/>
      <c r="AB610" s="352"/>
      <c r="AC610" s="352"/>
      <c r="AD610" s="352"/>
      <c r="AE610" s="352"/>
    </row>
    <row r="611">
      <c r="A611" s="352"/>
      <c r="B611" s="352"/>
      <c r="C611" s="352"/>
      <c r="D611" s="352"/>
      <c r="E611" s="352"/>
      <c r="F611" s="352"/>
      <c r="G611" s="352"/>
      <c r="H611" s="352"/>
      <c r="I611" s="352"/>
      <c r="J611" s="352"/>
      <c r="K611" s="352"/>
      <c r="L611" s="352"/>
      <c r="M611" s="352"/>
      <c r="N611" s="352"/>
      <c r="O611" s="352"/>
      <c r="P611" s="352"/>
      <c r="Q611" s="352"/>
      <c r="R611" s="352"/>
      <c r="S611" s="352"/>
      <c r="T611" s="352"/>
      <c r="U611" s="352"/>
      <c r="V611" s="352"/>
      <c r="W611" s="352"/>
      <c r="X611" s="352"/>
      <c r="Y611" s="352"/>
      <c r="Z611" s="352"/>
      <c r="AA611" s="352"/>
      <c r="AB611" s="352"/>
      <c r="AC611" s="352"/>
      <c r="AD611" s="352"/>
      <c r="AE611" s="352"/>
    </row>
    <row r="612">
      <c r="A612" s="352"/>
      <c r="B612" s="352"/>
      <c r="C612" s="352"/>
      <c r="D612" s="352"/>
      <c r="E612" s="352"/>
      <c r="F612" s="352"/>
      <c r="G612" s="352"/>
      <c r="H612" s="352"/>
      <c r="I612" s="352"/>
      <c r="J612" s="352"/>
      <c r="K612" s="352"/>
      <c r="L612" s="352"/>
      <c r="M612" s="352"/>
      <c r="N612" s="352"/>
      <c r="O612" s="352"/>
      <c r="P612" s="352"/>
      <c r="Q612" s="352"/>
      <c r="R612" s="352"/>
      <c r="S612" s="352"/>
      <c r="T612" s="352"/>
      <c r="U612" s="352"/>
      <c r="V612" s="352"/>
      <c r="W612" s="352"/>
      <c r="X612" s="352"/>
      <c r="Y612" s="352"/>
      <c r="Z612" s="352"/>
      <c r="AA612" s="352"/>
      <c r="AB612" s="352"/>
      <c r="AC612" s="352"/>
      <c r="AD612" s="352"/>
      <c r="AE612" s="352"/>
    </row>
    <row r="613">
      <c r="A613" s="352"/>
      <c r="B613" s="352"/>
      <c r="C613" s="352"/>
      <c r="D613" s="352"/>
      <c r="E613" s="352"/>
      <c r="F613" s="352"/>
      <c r="G613" s="352"/>
      <c r="H613" s="352"/>
      <c r="I613" s="352"/>
      <c r="J613" s="352"/>
      <c r="K613" s="352"/>
      <c r="L613" s="352"/>
      <c r="M613" s="352"/>
      <c r="N613" s="352"/>
      <c r="O613" s="352"/>
      <c r="P613" s="352"/>
      <c r="Q613" s="352"/>
      <c r="R613" s="352"/>
      <c r="S613" s="352"/>
      <c r="T613" s="352"/>
      <c r="U613" s="352"/>
      <c r="V613" s="352"/>
      <c r="W613" s="352"/>
      <c r="X613" s="352"/>
      <c r="Y613" s="352"/>
      <c r="Z613" s="352"/>
      <c r="AA613" s="352"/>
      <c r="AB613" s="352"/>
      <c r="AC613" s="352"/>
      <c r="AD613" s="352"/>
      <c r="AE613" s="352"/>
    </row>
    <row r="614">
      <c r="A614" s="352"/>
      <c r="B614" s="352"/>
      <c r="C614" s="352"/>
      <c r="D614" s="352"/>
      <c r="E614" s="352"/>
      <c r="F614" s="352"/>
      <c r="G614" s="352"/>
      <c r="H614" s="352"/>
      <c r="I614" s="352"/>
      <c r="J614" s="352"/>
      <c r="K614" s="352"/>
      <c r="L614" s="352"/>
      <c r="M614" s="352"/>
      <c r="N614" s="352"/>
      <c r="O614" s="352"/>
      <c r="P614" s="352"/>
      <c r="Q614" s="352"/>
      <c r="R614" s="352"/>
      <c r="S614" s="352"/>
      <c r="T614" s="352"/>
      <c r="U614" s="352"/>
      <c r="V614" s="352"/>
      <c r="W614" s="352"/>
      <c r="X614" s="352"/>
      <c r="Y614" s="352"/>
      <c r="Z614" s="352"/>
      <c r="AA614" s="352"/>
      <c r="AB614" s="352"/>
      <c r="AC614" s="352"/>
      <c r="AD614" s="352"/>
      <c r="AE614" s="352"/>
    </row>
    <row r="615">
      <c r="A615" s="352"/>
      <c r="B615" s="352"/>
      <c r="C615" s="352"/>
      <c r="D615" s="352"/>
      <c r="E615" s="352"/>
      <c r="F615" s="352"/>
      <c r="G615" s="352"/>
      <c r="H615" s="352"/>
      <c r="I615" s="352"/>
      <c r="J615" s="352"/>
      <c r="K615" s="352"/>
      <c r="L615" s="352"/>
      <c r="M615" s="352"/>
      <c r="N615" s="352"/>
      <c r="O615" s="352"/>
      <c r="P615" s="352"/>
      <c r="Q615" s="352"/>
      <c r="R615" s="352"/>
      <c r="S615" s="352"/>
      <c r="T615" s="352"/>
      <c r="U615" s="352"/>
      <c r="V615" s="352"/>
      <c r="W615" s="352"/>
      <c r="X615" s="352"/>
      <c r="Y615" s="352"/>
      <c r="Z615" s="352"/>
      <c r="AA615" s="352"/>
      <c r="AB615" s="352"/>
      <c r="AC615" s="352"/>
      <c r="AD615" s="352"/>
      <c r="AE615" s="352"/>
    </row>
    <row r="616">
      <c r="A616" s="352"/>
      <c r="B616" s="352"/>
      <c r="C616" s="352"/>
      <c r="D616" s="352"/>
      <c r="E616" s="352"/>
      <c r="F616" s="352"/>
      <c r="G616" s="352"/>
      <c r="H616" s="352"/>
      <c r="I616" s="352"/>
      <c r="J616" s="352"/>
      <c r="K616" s="352"/>
      <c r="L616" s="352"/>
      <c r="M616" s="352"/>
      <c r="N616" s="352"/>
      <c r="O616" s="352"/>
      <c r="P616" s="352"/>
      <c r="Q616" s="352"/>
      <c r="R616" s="352"/>
      <c r="S616" s="352"/>
      <c r="T616" s="352"/>
      <c r="U616" s="352"/>
      <c r="V616" s="352"/>
      <c r="W616" s="352"/>
      <c r="X616" s="352"/>
      <c r="Y616" s="352"/>
      <c r="Z616" s="352"/>
      <c r="AA616" s="352"/>
      <c r="AB616" s="352"/>
      <c r="AC616" s="352"/>
      <c r="AD616" s="352"/>
      <c r="AE616" s="352"/>
    </row>
    <row r="617">
      <c r="A617" s="352"/>
      <c r="B617" s="352"/>
      <c r="C617" s="352"/>
      <c r="D617" s="352"/>
      <c r="E617" s="352"/>
      <c r="F617" s="352"/>
      <c r="G617" s="352"/>
      <c r="H617" s="352"/>
      <c r="I617" s="352"/>
      <c r="J617" s="352"/>
      <c r="K617" s="352"/>
      <c r="L617" s="352"/>
      <c r="M617" s="352"/>
      <c r="N617" s="352"/>
      <c r="O617" s="352"/>
      <c r="P617" s="352"/>
      <c r="Q617" s="352"/>
      <c r="R617" s="352"/>
      <c r="S617" s="352"/>
      <c r="T617" s="352"/>
      <c r="U617" s="352"/>
      <c r="V617" s="352"/>
      <c r="W617" s="352"/>
      <c r="X617" s="352"/>
      <c r="Y617" s="352"/>
      <c r="Z617" s="352"/>
      <c r="AA617" s="352"/>
      <c r="AB617" s="352"/>
      <c r="AC617" s="352"/>
      <c r="AD617" s="352"/>
      <c r="AE617" s="352"/>
    </row>
    <row r="618">
      <c r="A618" s="352"/>
      <c r="B618" s="352"/>
      <c r="C618" s="352"/>
      <c r="D618" s="352"/>
      <c r="E618" s="352"/>
      <c r="F618" s="352"/>
      <c r="G618" s="352"/>
      <c r="H618" s="352"/>
      <c r="I618" s="352"/>
      <c r="J618" s="352"/>
      <c r="K618" s="352"/>
      <c r="L618" s="352"/>
      <c r="M618" s="352"/>
      <c r="N618" s="352"/>
      <c r="O618" s="352"/>
      <c r="P618" s="352"/>
      <c r="Q618" s="352"/>
      <c r="R618" s="352"/>
      <c r="S618" s="352"/>
      <c r="T618" s="352"/>
      <c r="U618" s="352"/>
      <c r="V618" s="352"/>
      <c r="W618" s="352"/>
      <c r="X618" s="352"/>
      <c r="Y618" s="352"/>
      <c r="Z618" s="352"/>
      <c r="AA618" s="352"/>
      <c r="AB618" s="352"/>
      <c r="AC618" s="352"/>
      <c r="AD618" s="352"/>
      <c r="AE618" s="352"/>
    </row>
    <row r="619">
      <c r="A619" s="352"/>
      <c r="B619" s="352"/>
      <c r="C619" s="352"/>
      <c r="D619" s="352"/>
      <c r="E619" s="352"/>
      <c r="F619" s="352"/>
      <c r="G619" s="352"/>
      <c r="H619" s="352"/>
      <c r="I619" s="352"/>
      <c r="J619" s="352"/>
      <c r="K619" s="352"/>
      <c r="L619" s="352"/>
      <c r="M619" s="352"/>
      <c r="N619" s="352"/>
      <c r="O619" s="352"/>
      <c r="P619" s="352"/>
      <c r="Q619" s="352"/>
      <c r="R619" s="352"/>
      <c r="S619" s="352"/>
      <c r="T619" s="352"/>
      <c r="U619" s="352"/>
      <c r="V619" s="352"/>
      <c r="W619" s="352"/>
      <c r="X619" s="352"/>
      <c r="Y619" s="352"/>
      <c r="Z619" s="352"/>
      <c r="AA619" s="352"/>
      <c r="AB619" s="352"/>
      <c r="AC619" s="352"/>
      <c r="AD619" s="352"/>
      <c r="AE619" s="352"/>
    </row>
    <row r="620">
      <c r="A620" s="352"/>
      <c r="B620" s="352"/>
      <c r="C620" s="352"/>
      <c r="D620" s="352"/>
      <c r="E620" s="352"/>
      <c r="F620" s="352"/>
      <c r="G620" s="352"/>
      <c r="H620" s="352"/>
      <c r="I620" s="352"/>
      <c r="J620" s="352"/>
      <c r="K620" s="352"/>
      <c r="L620" s="352"/>
      <c r="M620" s="352"/>
      <c r="N620" s="352"/>
      <c r="O620" s="352"/>
      <c r="P620" s="352"/>
      <c r="Q620" s="352"/>
      <c r="R620" s="352"/>
      <c r="S620" s="352"/>
      <c r="T620" s="352"/>
      <c r="U620" s="352"/>
      <c r="V620" s="352"/>
      <c r="W620" s="352"/>
      <c r="X620" s="352"/>
      <c r="Y620" s="352"/>
      <c r="Z620" s="352"/>
      <c r="AA620" s="352"/>
      <c r="AB620" s="352"/>
      <c r="AC620" s="352"/>
      <c r="AD620" s="352"/>
      <c r="AE620" s="352"/>
    </row>
    <row r="621">
      <c r="A621" s="352"/>
      <c r="B621" s="352"/>
      <c r="C621" s="352"/>
      <c r="D621" s="352"/>
      <c r="E621" s="352"/>
      <c r="F621" s="352"/>
      <c r="G621" s="352"/>
      <c r="H621" s="352"/>
      <c r="I621" s="352"/>
      <c r="J621" s="352"/>
      <c r="K621" s="352"/>
      <c r="L621" s="352"/>
      <c r="M621" s="352"/>
      <c r="N621" s="352"/>
      <c r="O621" s="352"/>
      <c r="P621" s="352"/>
      <c r="Q621" s="352"/>
      <c r="R621" s="352"/>
      <c r="S621" s="352"/>
      <c r="T621" s="352"/>
      <c r="U621" s="352"/>
      <c r="V621" s="352"/>
      <c r="W621" s="352"/>
      <c r="X621" s="352"/>
      <c r="Y621" s="352"/>
      <c r="Z621" s="352"/>
      <c r="AA621" s="352"/>
      <c r="AB621" s="352"/>
      <c r="AC621" s="352"/>
      <c r="AD621" s="352"/>
      <c r="AE621" s="352"/>
    </row>
    <row r="622">
      <c r="A622" s="352"/>
      <c r="B622" s="352"/>
      <c r="C622" s="352"/>
      <c r="D622" s="352"/>
      <c r="E622" s="352"/>
      <c r="F622" s="352"/>
      <c r="G622" s="352"/>
      <c r="H622" s="352"/>
      <c r="I622" s="352"/>
      <c r="J622" s="352"/>
      <c r="K622" s="352"/>
      <c r="L622" s="352"/>
      <c r="M622" s="352"/>
      <c r="N622" s="352"/>
      <c r="O622" s="352"/>
      <c r="P622" s="352"/>
      <c r="Q622" s="352"/>
      <c r="R622" s="352"/>
      <c r="S622" s="352"/>
      <c r="T622" s="352"/>
      <c r="U622" s="352"/>
      <c r="V622" s="352"/>
      <c r="W622" s="352"/>
      <c r="X622" s="352"/>
      <c r="Y622" s="352"/>
      <c r="Z622" s="352"/>
      <c r="AA622" s="352"/>
      <c r="AB622" s="352"/>
      <c r="AC622" s="352"/>
      <c r="AD622" s="352"/>
      <c r="AE622" s="352"/>
    </row>
    <row r="623">
      <c r="A623" s="352"/>
      <c r="B623" s="352"/>
      <c r="C623" s="352"/>
      <c r="D623" s="352"/>
      <c r="E623" s="352"/>
      <c r="F623" s="352"/>
      <c r="G623" s="352"/>
      <c r="H623" s="352"/>
      <c r="I623" s="352"/>
      <c r="J623" s="352"/>
      <c r="K623" s="352"/>
      <c r="L623" s="352"/>
      <c r="M623" s="352"/>
      <c r="N623" s="352"/>
      <c r="O623" s="352"/>
      <c r="P623" s="352"/>
      <c r="Q623" s="352"/>
      <c r="R623" s="352"/>
      <c r="S623" s="352"/>
      <c r="T623" s="352"/>
      <c r="U623" s="352"/>
      <c r="V623" s="352"/>
      <c r="W623" s="352"/>
      <c r="X623" s="352"/>
      <c r="Y623" s="352"/>
      <c r="Z623" s="352"/>
      <c r="AA623" s="352"/>
      <c r="AB623" s="352"/>
      <c r="AC623" s="352"/>
      <c r="AD623" s="352"/>
      <c r="AE623" s="352"/>
    </row>
    <row r="624">
      <c r="A624" s="352"/>
      <c r="B624" s="352"/>
      <c r="C624" s="352"/>
      <c r="D624" s="352"/>
      <c r="E624" s="352"/>
      <c r="F624" s="352"/>
      <c r="G624" s="352"/>
      <c r="H624" s="352"/>
      <c r="I624" s="352"/>
      <c r="J624" s="352"/>
      <c r="K624" s="352"/>
      <c r="L624" s="352"/>
      <c r="M624" s="352"/>
      <c r="N624" s="352"/>
      <c r="O624" s="352"/>
      <c r="P624" s="352"/>
      <c r="Q624" s="352"/>
      <c r="R624" s="352"/>
      <c r="S624" s="352"/>
      <c r="T624" s="352"/>
      <c r="U624" s="352"/>
      <c r="V624" s="352"/>
      <c r="W624" s="352"/>
      <c r="X624" s="352"/>
      <c r="Y624" s="352"/>
      <c r="Z624" s="352"/>
      <c r="AA624" s="352"/>
      <c r="AB624" s="352"/>
      <c r="AC624" s="352"/>
      <c r="AD624" s="352"/>
      <c r="AE624" s="352"/>
    </row>
    <row r="625">
      <c r="A625" s="352"/>
      <c r="B625" s="352"/>
      <c r="C625" s="352"/>
      <c r="D625" s="352"/>
      <c r="E625" s="352"/>
      <c r="F625" s="352"/>
      <c r="G625" s="352"/>
      <c r="H625" s="352"/>
      <c r="I625" s="352"/>
      <c r="J625" s="352"/>
      <c r="K625" s="352"/>
      <c r="L625" s="352"/>
      <c r="M625" s="352"/>
      <c r="N625" s="352"/>
      <c r="O625" s="352"/>
      <c r="P625" s="352"/>
      <c r="Q625" s="352"/>
      <c r="R625" s="352"/>
      <c r="S625" s="352"/>
      <c r="T625" s="352"/>
      <c r="U625" s="352"/>
      <c r="V625" s="352"/>
      <c r="W625" s="352"/>
      <c r="X625" s="352"/>
      <c r="Y625" s="352"/>
      <c r="Z625" s="352"/>
      <c r="AA625" s="352"/>
      <c r="AB625" s="352"/>
      <c r="AC625" s="352"/>
      <c r="AD625" s="352"/>
      <c r="AE625" s="352"/>
    </row>
    <row r="626">
      <c r="A626" s="352"/>
      <c r="B626" s="352"/>
      <c r="C626" s="352"/>
      <c r="D626" s="352"/>
      <c r="E626" s="352"/>
      <c r="F626" s="352"/>
      <c r="G626" s="352"/>
      <c r="H626" s="352"/>
      <c r="I626" s="352"/>
      <c r="J626" s="352"/>
      <c r="K626" s="352"/>
      <c r="L626" s="352"/>
      <c r="M626" s="352"/>
      <c r="N626" s="352"/>
      <c r="O626" s="352"/>
      <c r="P626" s="352"/>
      <c r="Q626" s="352"/>
      <c r="R626" s="352"/>
      <c r="S626" s="352"/>
      <c r="T626" s="352"/>
      <c r="U626" s="352"/>
      <c r="V626" s="352"/>
      <c r="W626" s="352"/>
      <c r="X626" s="352"/>
      <c r="Y626" s="352"/>
      <c r="Z626" s="352"/>
      <c r="AA626" s="352"/>
      <c r="AB626" s="352"/>
      <c r="AC626" s="352"/>
      <c r="AD626" s="352"/>
      <c r="AE626" s="352"/>
    </row>
    <row r="627">
      <c r="A627" s="352"/>
      <c r="B627" s="352"/>
      <c r="C627" s="352"/>
      <c r="D627" s="352"/>
      <c r="E627" s="352"/>
      <c r="F627" s="352"/>
      <c r="G627" s="352"/>
      <c r="H627" s="352"/>
      <c r="I627" s="352"/>
      <c r="J627" s="352"/>
      <c r="K627" s="352"/>
      <c r="L627" s="352"/>
      <c r="M627" s="352"/>
      <c r="N627" s="352"/>
      <c r="O627" s="352"/>
      <c r="P627" s="352"/>
      <c r="Q627" s="352"/>
      <c r="R627" s="352"/>
      <c r="S627" s="352"/>
      <c r="T627" s="352"/>
      <c r="U627" s="352"/>
      <c r="V627" s="352"/>
      <c r="W627" s="352"/>
      <c r="X627" s="352"/>
      <c r="Y627" s="352"/>
      <c r="Z627" s="352"/>
      <c r="AA627" s="352"/>
      <c r="AB627" s="352"/>
      <c r="AC627" s="352"/>
      <c r="AD627" s="352"/>
      <c r="AE627" s="352"/>
    </row>
    <row r="628">
      <c r="A628" s="352"/>
      <c r="B628" s="352"/>
      <c r="C628" s="352"/>
      <c r="D628" s="352"/>
      <c r="E628" s="352"/>
      <c r="F628" s="352"/>
      <c r="G628" s="352"/>
      <c r="H628" s="352"/>
      <c r="I628" s="352"/>
      <c r="J628" s="352"/>
      <c r="K628" s="352"/>
      <c r="L628" s="352"/>
      <c r="M628" s="352"/>
      <c r="N628" s="352"/>
      <c r="O628" s="352"/>
      <c r="P628" s="352"/>
      <c r="Q628" s="352"/>
      <c r="R628" s="352"/>
      <c r="S628" s="352"/>
      <c r="T628" s="352"/>
      <c r="U628" s="352"/>
      <c r="V628" s="352"/>
      <c r="W628" s="352"/>
      <c r="X628" s="352"/>
      <c r="Y628" s="352"/>
      <c r="Z628" s="352"/>
      <c r="AA628" s="352"/>
      <c r="AB628" s="352"/>
      <c r="AC628" s="352"/>
      <c r="AD628" s="352"/>
      <c r="AE628" s="352"/>
    </row>
    <row r="629">
      <c r="A629" s="352"/>
      <c r="B629" s="352"/>
      <c r="C629" s="352"/>
      <c r="D629" s="352"/>
      <c r="E629" s="352"/>
      <c r="F629" s="352"/>
      <c r="G629" s="352"/>
      <c r="H629" s="352"/>
      <c r="I629" s="352"/>
      <c r="J629" s="352"/>
      <c r="K629" s="352"/>
      <c r="L629" s="352"/>
      <c r="M629" s="352"/>
      <c r="N629" s="352"/>
      <c r="O629" s="352"/>
      <c r="P629" s="352"/>
      <c r="Q629" s="352"/>
      <c r="R629" s="352"/>
      <c r="S629" s="352"/>
      <c r="T629" s="352"/>
      <c r="U629" s="352"/>
      <c r="V629" s="352"/>
      <c r="W629" s="352"/>
      <c r="X629" s="352"/>
      <c r="Y629" s="352"/>
      <c r="Z629" s="352"/>
      <c r="AA629" s="352"/>
      <c r="AB629" s="352"/>
      <c r="AC629" s="352"/>
      <c r="AD629" s="352"/>
      <c r="AE629" s="352"/>
    </row>
    <row r="630">
      <c r="A630" s="352"/>
      <c r="B630" s="352"/>
      <c r="C630" s="352"/>
      <c r="D630" s="352"/>
      <c r="E630" s="352"/>
      <c r="F630" s="352"/>
      <c r="G630" s="352"/>
      <c r="H630" s="352"/>
      <c r="I630" s="352"/>
      <c r="J630" s="352"/>
      <c r="K630" s="352"/>
      <c r="L630" s="352"/>
      <c r="M630" s="352"/>
      <c r="N630" s="352"/>
      <c r="O630" s="352"/>
      <c r="P630" s="352"/>
      <c r="Q630" s="352"/>
      <c r="R630" s="352"/>
      <c r="S630" s="352"/>
      <c r="T630" s="352"/>
      <c r="U630" s="352"/>
      <c r="V630" s="352"/>
      <c r="W630" s="352"/>
      <c r="X630" s="352"/>
      <c r="Y630" s="352"/>
      <c r="Z630" s="352"/>
      <c r="AA630" s="352"/>
      <c r="AB630" s="352"/>
      <c r="AC630" s="352"/>
      <c r="AD630" s="352"/>
      <c r="AE630" s="352"/>
    </row>
    <row r="631">
      <c r="A631" s="352"/>
      <c r="B631" s="352"/>
      <c r="C631" s="352"/>
      <c r="D631" s="352"/>
      <c r="E631" s="352"/>
      <c r="F631" s="352"/>
      <c r="G631" s="352"/>
      <c r="H631" s="352"/>
      <c r="I631" s="352"/>
      <c r="J631" s="352"/>
      <c r="K631" s="352"/>
      <c r="L631" s="352"/>
      <c r="M631" s="352"/>
      <c r="N631" s="352"/>
      <c r="O631" s="352"/>
      <c r="P631" s="352"/>
      <c r="Q631" s="352"/>
      <c r="R631" s="352"/>
      <c r="S631" s="352"/>
      <c r="T631" s="352"/>
      <c r="U631" s="352"/>
      <c r="V631" s="352"/>
      <c r="W631" s="352"/>
      <c r="X631" s="352"/>
      <c r="Y631" s="352"/>
      <c r="Z631" s="352"/>
      <c r="AA631" s="352"/>
      <c r="AB631" s="352"/>
      <c r="AC631" s="352"/>
      <c r="AD631" s="352"/>
      <c r="AE631" s="352"/>
    </row>
    <row r="632">
      <c r="A632" s="352"/>
      <c r="B632" s="352"/>
      <c r="C632" s="352"/>
      <c r="D632" s="352"/>
      <c r="E632" s="352"/>
      <c r="F632" s="352"/>
      <c r="G632" s="352"/>
      <c r="H632" s="352"/>
      <c r="I632" s="352"/>
      <c r="J632" s="352"/>
      <c r="K632" s="352"/>
      <c r="L632" s="352"/>
      <c r="M632" s="352"/>
      <c r="N632" s="352"/>
      <c r="O632" s="352"/>
      <c r="P632" s="352"/>
      <c r="Q632" s="352"/>
      <c r="R632" s="352"/>
      <c r="S632" s="352"/>
      <c r="T632" s="352"/>
      <c r="U632" s="352"/>
      <c r="V632" s="352"/>
      <c r="W632" s="352"/>
      <c r="X632" s="352"/>
      <c r="Y632" s="352"/>
      <c r="Z632" s="352"/>
      <c r="AA632" s="352"/>
      <c r="AB632" s="352"/>
      <c r="AC632" s="352"/>
      <c r="AD632" s="352"/>
      <c r="AE632" s="352"/>
    </row>
    <row r="633">
      <c r="A633" s="352"/>
      <c r="B633" s="352"/>
      <c r="C633" s="352"/>
      <c r="D633" s="352"/>
      <c r="E633" s="352"/>
      <c r="F633" s="352"/>
      <c r="G633" s="352"/>
      <c r="H633" s="352"/>
      <c r="I633" s="352"/>
      <c r="J633" s="352"/>
      <c r="K633" s="352"/>
      <c r="L633" s="352"/>
      <c r="M633" s="352"/>
      <c r="N633" s="352"/>
      <c r="O633" s="352"/>
      <c r="P633" s="352"/>
      <c r="Q633" s="352"/>
      <c r="R633" s="352"/>
      <c r="S633" s="352"/>
      <c r="T633" s="352"/>
      <c r="U633" s="352"/>
      <c r="V633" s="352"/>
      <c r="W633" s="352"/>
      <c r="X633" s="352"/>
      <c r="Y633" s="352"/>
      <c r="Z633" s="352"/>
      <c r="AA633" s="352"/>
      <c r="AB633" s="352"/>
      <c r="AC633" s="352"/>
      <c r="AD633" s="352"/>
      <c r="AE633" s="352"/>
    </row>
    <row r="634">
      <c r="A634" s="352"/>
      <c r="B634" s="352"/>
      <c r="C634" s="352"/>
      <c r="D634" s="352"/>
      <c r="E634" s="352"/>
      <c r="F634" s="352"/>
      <c r="G634" s="352"/>
      <c r="H634" s="352"/>
      <c r="I634" s="352"/>
      <c r="J634" s="352"/>
      <c r="K634" s="352"/>
      <c r="L634" s="352"/>
      <c r="M634" s="352"/>
      <c r="N634" s="352"/>
      <c r="O634" s="352"/>
      <c r="P634" s="352"/>
      <c r="Q634" s="352"/>
      <c r="R634" s="352"/>
      <c r="S634" s="352"/>
      <c r="T634" s="352"/>
      <c r="U634" s="352"/>
      <c r="V634" s="352"/>
      <c r="W634" s="352"/>
      <c r="X634" s="352"/>
      <c r="Y634" s="352"/>
      <c r="Z634" s="352"/>
      <c r="AA634" s="352"/>
      <c r="AB634" s="352"/>
      <c r="AC634" s="352"/>
      <c r="AD634" s="352"/>
      <c r="AE634" s="352"/>
    </row>
    <row r="635">
      <c r="A635" s="352"/>
      <c r="B635" s="352"/>
      <c r="C635" s="352"/>
      <c r="D635" s="352"/>
      <c r="E635" s="352"/>
      <c r="F635" s="352"/>
      <c r="G635" s="352"/>
      <c r="H635" s="352"/>
      <c r="I635" s="352"/>
      <c r="J635" s="352"/>
      <c r="K635" s="352"/>
      <c r="L635" s="352"/>
      <c r="M635" s="352"/>
      <c r="N635" s="352"/>
      <c r="O635" s="352"/>
      <c r="P635" s="352"/>
      <c r="Q635" s="352"/>
      <c r="R635" s="352"/>
      <c r="S635" s="352"/>
      <c r="T635" s="352"/>
      <c r="U635" s="352"/>
      <c r="V635" s="352"/>
      <c r="W635" s="352"/>
      <c r="X635" s="352"/>
      <c r="Y635" s="352"/>
      <c r="Z635" s="352"/>
      <c r="AA635" s="352"/>
      <c r="AB635" s="352"/>
      <c r="AC635" s="352"/>
      <c r="AD635" s="352"/>
      <c r="AE635" s="352"/>
    </row>
    <row r="636">
      <c r="A636" s="352"/>
      <c r="B636" s="352"/>
      <c r="C636" s="352"/>
      <c r="D636" s="352"/>
      <c r="E636" s="352"/>
      <c r="F636" s="352"/>
      <c r="G636" s="352"/>
      <c r="H636" s="352"/>
      <c r="I636" s="352"/>
      <c r="J636" s="352"/>
      <c r="K636" s="352"/>
      <c r="L636" s="352"/>
      <c r="M636" s="352"/>
      <c r="N636" s="352"/>
      <c r="O636" s="352"/>
      <c r="P636" s="352"/>
      <c r="Q636" s="352"/>
      <c r="R636" s="352"/>
      <c r="S636" s="352"/>
      <c r="T636" s="352"/>
      <c r="U636" s="352"/>
      <c r="V636" s="352"/>
      <c r="W636" s="352"/>
      <c r="X636" s="352"/>
      <c r="Y636" s="352"/>
      <c r="Z636" s="352"/>
      <c r="AA636" s="352"/>
      <c r="AB636" s="352"/>
      <c r="AC636" s="352"/>
      <c r="AD636" s="352"/>
      <c r="AE636" s="352"/>
    </row>
    <row r="637">
      <c r="A637" s="352"/>
      <c r="B637" s="352"/>
      <c r="C637" s="352"/>
      <c r="D637" s="352"/>
      <c r="E637" s="352"/>
      <c r="F637" s="352"/>
      <c r="G637" s="352"/>
      <c r="H637" s="352"/>
      <c r="I637" s="352"/>
      <c r="J637" s="352"/>
      <c r="K637" s="352"/>
      <c r="L637" s="352"/>
      <c r="M637" s="352"/>
      <c r="N637" s="352"/>
      <c r="O637" s="352"/>
      <c r="P637" s="352"/>
      <c r="Q637" s="352"/>
      <c r="R637" s="352"/>
      <c r="S637" s="352"/>
      <c r="T637" s="352"/>
      <c r="U637" s="352"/>
      <c r="V637" s="352"/>
      <c r="W637" s="352"/>
      <c r="X637" s="352"/>
      <c r="Y637" s="352"/>
      <c r="Z637" s="352"/>
      <c r="AA637" s="352"/>
      <c r="AB637" s="352"/>
      <c r="AC637" s="352"/>
      <c r="AD637" s="352"/>
      <c r="AE637" s="352"/>
    </row>
    <row r="638">
      <c r="A638" s="352"/>
      <c r="B638" s="352"/>
      <c r="C638" s="352"/>
      <c r="D638" s="352"/>
      <c r="E638" s="352"/>
      <c r="F638" s="352"/>
      <c r="G638" s="352"/>
      <c r="H638" s="352"/>
      <c r="I638" s="352"/>
      <c r="J638" s="352"/>
      <c r="K638" s="352"/>
      <c r="L638" s="352"/>
      <c r="M638" s="352"/>
      <c r="N638" s="352"/>
      <c r="O638" s="352"/>
      <c r="P638" s="352"/>
      <c r="Q638" s="352"/>
      <c r="R638" s="352"/>
      <c r="S638" s="352"/>
      <c r="T638" s="352"/>
      <c r="U638" s="352"/>
      <c r="V638" s="352"/>
      <c r="W638" s="352"/>
      <c r="X638" s="352"/>
      <c r="Y638" s="352"/>
      <c r="Z638" s="352"/>
      <c r="AA638" s="352"/>
      <c r="AB638" s="352"/>
      <c r="AC638" s="352"/>
      <c r="AD638" s="352"/>
      <c r="AE638" s="352"/>
    </row>
    <row r="639">
      <c r="A639" s="352"/>
      <c r="B639" s="352"/>
      <c r="C639" s="352"/>
      <c r="D639" s="352"/>
      <c r="E639" s="352"/>
      <c r="F639" s="352"/>
      <c r="G639" s="352"/>
      <c r="H639" s="352"/>
      <c r="I639" s="352"/>
      <c r="J639" s="352"/>
      <c r="K639" s="352"/>
      <c r="L639" s="352"/>
      <c r="M639" s="352"/>
      <c r="N639" s="352"/>
      <c r="O639" s="352"/>
      <c r="P639" s="352"/>
      <c r="Q639" s="352"/>
      <c r="R639" s="352"/>
      <c r="S639" s="352"/>
      <c r="T639" s="352"/>
      <c r="U639" s="352"/>
      <c r="V639" s="352"/>
      <c r="W639" s="352"/>
      <c r="X639" s="352"/>
      <c r="Y639" s="352"/>
      <c r="Z639" s="352"/>
      <c r="AA639" s="352"/>
      <c r="AB639" s="352"/>
      <c r="AC639" s="352"/>
      <c r="AD639" s="352"/>
      <c r="AE639" s="352"/>
    </row>
    <row r="640">
      <c r="A640" s="352"/>
      <c r="B640" s="352"/>
      <c r="C640" s="352"/>
      <c r="D640" s="352"/>
      <c r="E640" s="352"/>
      <c r="F640" s="352"/>
      <c r="G640" s="352"/>
      <c r="H640" s="352"/>
      <c r="I640" s="352"/>
      <c r="J640" s="352"/>
      <c r="K640" s="352"/>
      <c r="L640" s="352"/>
      <c r="M640" s="352"/>
      <c r="N640" s="352"/>
      <c r="O640" s="352"/>
      <c r="P640" s="352"/>
      <c r="Q640" s="352"/>
      <c r="R640" s="352"/>
      <c r="S640" s="352"/>
      <c r="T640" s="352"/>
      <c r="U640" s="352"/>
      <c r="V640" s="352"/>
      <c r="W640" s="352"/>
      <c r="X640" s="352"/>
      <c r="Y640" s="352"/>
      <c r="Z640" s="352"/>
      <c r="AA640" s="352"/>
      <c r="AB640" s="352"/>
      <c r="AC640" s="352"/>
      <c r="AD640" s="352"/>
      <c r="AE640" s="352"/>
    </row>
    <row r="641">
      <c r="A641" s="352"/>
      <c r="B641" s="352"/>
      <c r="C641" s="352"/>
      <c r="D641" s="352"/>
      <c r="E641" s="352"/>
      <c r="F641" s="352"/>
      <c r="G641" s="352"/>
      <c r="H641" s="352"/>
      <c r="I641" s="352"/>
      <c r="J641" s="352"/>
      <c r="K641" s="352"/>
      <c r="L641" s="352"/>
      <c r="M641" s="352"/>
      <c r="N641" s="352"/>
      <c r="O641" s="352"/>
      <c r="P641" s="352"/>
      <c r="Q641" s="352"/>
      <c r="R641" s="352"/>
      <c r="S641" s="352"/>
      <c r="T641" s="352"/>
      <c r="U641" s="352"/>
      <c r="V641" s="352"/>
      <c r="W641" s="352"/>
      <c r="X641" s="352"/>
      <c r="Y641" s="352"/>
      <c r="Z641" s="352"/>
      <c r="AA641" s="352"/>
      <c r="AB641" s="352"/>
      <c r="AC641" s="352"/>
      <c r="AD641" s="352"/>
      <c r="AE641" s="352"/>
    </row>
    <row r="642">
      <c r="A642" s="352"/>
      <c r="B642" s="352"/>
      <c r="C642" s="352"/>
      <c r="D642" s="352"/>
      <c r="E642" s="352"/>
      <c r="F642" s="352"/>
      <c r="G642" s="352"/>
      <c r="H642" s="352"/>
      <c r="I642" s="352"/>
      <c r="J642" s="352"/>
      <c r="K642" s="352"/>
      <c r="L642" s="352"/>
      <c r="M642" s="352"/>
      <c r="N642" s="352"/>
      <c r="O642" s="352"/>
      <c r="P642" s="352"/>
      <c r="Q642" s="352"/>
      <c r="R642" s="352"/>
      <c r="S642" s="352"/>
      <c r="T642" s="352"/>
      <c r="U642" s="352"/>
      <c r="V642" s="352"/>
      <c r="W642" s="352"/>
      <c r="X642" s="352"/>
      <c r="Y642" s="352"/>
      <c r="Z642" s="352"/>
      <c r="AA642" s="352"/>
      <c r="AB642" s="352"/>
      <c r="AC642" s="352"/>
      <c r="AD642" s="352"/>
      <c r="AE642" s="352"/>
    </row>
    <row r="643">
      <c r="A643" s="352"/>
      <c r="B643" s="352"/>
      <c r="C643" s="352"/>
      <c r="D643" s="352"/>
      <c r="E643" s="352"/>
      <c r="F643" s="352"/>
      <c r="G643" s="352"/>
      <c r="H643" s="352"/>
      <c r="I643" s="352"/>
      <c r="J643" s="352"/>
      <c r="K643" s="352"/>
      <c r="L643" s="352"/>
      <c r="M643" s="352"/>
      <c r="N643" s="352"/>
      <c r="O643" s="352"/>
      <c r="P643" s="352"/>
      <c r="Q643" s="352"/>
      <c r="R643" s="352"/>
      <c r="S643" s="352"/>
      <c r="T643" s="352"/>
      <c r="U643" s="352"/>
      <c r="V643" s="352"/>
      <c r="W643" s="352"/>
      <c r="X643" s="352"/>
      <c r="Y643" s="352"/>
      <c r="Z643" s="352"/>
      <c r="AA643" s="352"/>
      <c r="AB643" s="352"/>
      <c r="AC643" s="352"/>
      <c r="AD643" s="352"/>
      <c r="AE643" s="352"/>
    </row>
    <row r="644">
      <c r="A644" s="352"/>
      <c r="B644" s="352"/>
      <c r="C644" s="352"/>
      <c r="D644" s="352"/>
      <c r="E644" s="352"/>
      <c r="F644" s="352"/>
      <c r="G644" s="352"/>
      <c r="H644" s="352"/>
      <c r="I644" s="352"/>
      <c r="J644" s="352"/>
      <c r="K644" s="352"/>
      <c r="L644" s="352"/>
      <c r="M644" s="352"/>
      <c r="N644" s="352"/>
      <c r="O644" s="352"/>
      <c r="P644" s="352"/>
      <c r="Q644" s="352"/>
      <c r="R644" s="352"/>
      <c r="S644" s="352"/>
      <c r="T644" s="352"/>
      <c r="U644" s="352"/>
      <c r="V644" s="352"/>
      <c r="W644" s="352"/>
      <c r="X644" s="352"/>
      <c r="Y644" s="352"/>
      <c r="Z644" s="352"/>
      <c r="AA644" s="352"/>
      <c r="AB644" s="352"/>
      <c r="AC644" s="352"/>
      <c r="AD644" s="352"/>
      <c r="AE644" s="352"/>
    </row>
    <row r="645">
      <c r="A645" s="352"/>
      <c r="B645" s="352"/>
      <c r="C645" s="352"/>
      <c r="D645" s="352"/>
      <c r="E645" s="352"/>
      <c r="F645" s="352"/>
      <c r="G645" s="352"/>
      <c r="H645" s="352"/>
      <c r="I645" s="352"/>
      <c r="J645" s="352"/>
      <c r="K645" s="352"/>
      <c r="L645" s="352"/>
      <c r="M645" s="352"/>
      <c r="N645" s="352"/>
      <c r="O645" s="352"/>
      <c r="P645" s="352"/>
      <c r="Q645" s="352"/>
      <c r="R645" s="352"/>
      <c r="S645" s="352"/>
      <c r="T645" s="352"/>
      <c r="U645" s="352"/>
      <c r="V645" s="352"/>
      <c r="W645" s="352"/>
      <c r="X645" s="352"/>
      <c r="Y645" s="352"/>
      <c r="Z645" s="352"/>
      <c r="AA645" s="352"/>
      <c r="AB645" s="352"/>
      <c r="AC645" s="352"/>
      <c r="AD645" s="352"/>
      <c r="AE645" s="352"/>
    </row>
    <row r="646">
      <c r="A646" s="352"/>
      <c r="B646" s="352"/>
      <c r="C646" s="352"/>
      <c r="D646" s="352"/>
      <c r="E646" s="352"/>
      <c r="F646" s="352"/>
      <c r="G646" s="352"/>
      <c r="H646" s="352"/>
      <c r="I646" s="352"/>
      <c r="J646" s="352"/>
      <c r="K646" s="352"/>
      <c r="L646" s="352"/>
      <c r="M646" s="352"/>
      <c r="N646" s="352"/>
      <c r="O646" s="352"/>
      <c r="P646" s="352"/>
      <c r="Q646" s="352"/>
      <c r="R646" s="352"/>
      <c r="S646" s="352"/>
      <c r="T646" s="352"/>
      <c r="U646" s="352"/>
      <c r="V646" s="352"/>
      <c r="W646" s="352"/>
      <c r="X646" s="352"/>
      <c r="Y646" s="352"/>
      <c r="Z646" s="352"/>
      <c r="AA646" s="352"/>
      <c r="AB646" s="352"/>
      <c r="AC646" s="352"/>
      <c r="AD646" s="352"/>
      <c r="AE646" s="352"/>
    </row>
    <row r="647">
      <c r="A647" s="352"/>
      <c r="B647" s="352"/>
      <c r="C647" s="352"/>
      <c r="D647" s="352"/>
      <c r="E647" s="352"/>
      <c r="F647" s="352"/>
      <c r="G647" s="352"/>
      <c r="H647" s="352"/>
      <c r="I647" s="352"/>
      <c r="J647" s="352"/>
      <c r="K647" s="352"/>
      <c r="L647" s="352"/>
      <c r="M647" s="352"/>
      <c r="N647" s="352"/>
      <c r="O647" s="352"/>
      <c r="P647" s="352"/>
      <c r="Q647" s="352"/>
      <c r="R647" s="352"/>
      <c r="S647" s="352"/>
      <c r="T647" s="352"/>
      <c r="U647" s="352"/>
      <c r="V647" s="352"/>
      <c r="W647" s="352"/>
      <c r="X647" s="352"/>
      <c r="Y647" s="352"/>
      <c r="Z647" s="352"/>
      <c r="AA647" s="352"/>
      <c r="AB647" s="352"/>
      <c r="AC647" s="352"/>
      <c r="AD647" s="352"/>
      <c r="AE647" s="352"/>
    </row>
    <row r="648">
      <c r="A648" s="352"/>
      <c r="B648" s="352"/>
      <c r="C648" s="352"/>
      <c r="D648" s="352"/>
      <c r="E648" s="352"/>
      <c r="F648" s="352"/>
      <c r="G648" s="352"/>
      <c r="H648" s="352"/>
      <c r="I648" s="352"/>
      <c r="J648" s="352"/>
      <c r="K648" s="352"/>
      <c r="L648" s="352"/>
      <c r="M648" s="352"/>
      <c r="N648" s="352"/>
      <c r="O648" s="352"/>
      <c r="P648" s="352"/>
      <c r="Q648" s="352"/>
      <c r="R648" s="352"/>
      <c r="S648" s="352"/>
      <c r="T648" s="352"/>
      <c r="U648" s="352"/>
      <c r="V648" s="352"/>
      <c r="W648" s="352"/>
      <c r="X648" s="352"/>
      <c r="Y648" s="352"/>
      <c r="Z648" s="352"/>
      <c r="AA648" s="352"/>
      <c r="AB648" s="352"/>
      <c r="AC648" s="352"/>
      <c r="AD648" s="352"/>
      <c r="AE648" s="352"/>
    </row>
    <row r="649">
      <c r="A649" s="352"/>
      <c r="B649" s="352"/>
      <c r="C649" s="352"/>
      <c r="D649" s="352"/>
      <c r="E649" s="352"/>
      <c r="F649" s="352"/>
      <c r="G649" s="352"/>
      <c r="H649" s="352"/>
      <c r="I649" s="352"/>
      <c r="J649" s="352"/>
      <c r="K649" s="352"/>
      <c r="L649" s="352"/>
      <c r="M649" s="352"/>
      <c r="N649" s="352"/>
      <c r="O649" s="352"/>
      <c r="P649" s="352"/>
      <c r="Q649" s="352"/>
      <c r="R649" s="352"/>
      <c r="S649" s="352"/>
      <c r="T649" s="352"/>
      <c r="U649" s="352"/>
      <c r="V649" s="352"/>
      <c r="W649" s="352"/>
      <c r="X649" s="352"/>
      <c r="Y649" s="352"/>
      <c r="Z649" s="352"/>
      <c r="AA649" s="352"/>
      <c r="AB649" s="352"/>
      <c r="AC649" s="352"/>
      <c r="AD649" s="352"/>
      <c r="AE649" s="352"/>
    </row>
    <row r="650">
      <c r="A650" s="352"/>
      <c r="B650" s="352"/>
      <c r="C650" s="352"/>
      <c r="D650" s="352"/>
      <c r="E650" s="352"/>
      <c r="F650" s="352"/>
      <c r="G650" s="352"/>
      <c r="H650" s="352"/>
      <c r="I650" s="352"/>
      <c r="J650" s="352"/>
      <c r="K650" s="352"/>
      <c r="L650" s="352"/>
      <c r="M650" s="352"/>
      <c r="N650" s="352"/>
      <c r="O650" s="352"/>
      <c r="P650" s="352"/>
      <c r="Q650" s="352"/>
      <c r="R650" s="352"/>
      <c r="S650" s="352"/>
      <c r="T650" s="352"/>
      <c r="U650" s="352"/>
      <c r="V650" s="352"/>
      <c r="W650" s="352"/>
      <c r="X650" s="352"/>
      <c r="Y650" s="352"/>
      <c r="Z650" s="352"/>
      <c r="AA650" s="352"/>
      <c r="AB650" s="352"/>
      <c r="AC650" s="352"/>
      <c r="AD650" s="352"/>
      <c r="AE650" s="352"/>
    </row>
    <row r="651">
      <c r="A651" s="352"/>
      <c r="B651" s="352"/>
      <c r="C651" s="352"/>
      <c r="D651" s="352"/>
      <c r="E651" s="352"/>
      <c r="F651" s="352"/>
      <c r="G651" s="352"/>
      <c r="H651" s="352"/>
      <c r="I651" s="352"/>
      <c r="J651" s="352"/>
      <c r="K651" s="352"/>
      <c r="L651" s="352"/>
      <c r="M651" s="352"/>
      <c r="N651" s="352"/>
      <c r="O651" s="352"/>
      <c r="P651" s="352"/>
      <c r="Q651" s="352"/>
      <c r="R651" s="352"/>
      <c r="S651" s="352"/>
      <c r="T651" s="352"/>
      <c r="U651" s="352"/>
      <c r="V651" s="352"/>
      <c r="W651" s="352"/>
      <c r="X651" s="352"/>
      <c r="Y651" s="352"/>
      <c r="Z651" s="352"/>
      <c r="AA651" s="352"/>
      <c r="AB651" s="352"/>
      <c r="AC651" s="352"/>
      <c r="AD651" s="352"/>
      <c r="AE651" s="352"/>
    </row>
    <row r="652">
      <c r="A652" s="352"/>
      <c r="B652" s="352"/>
      <c r="C652" s="352"/>
      <c r="D652" s="352"/>
      <c r="E652" s="352"/>
      <c r="F652" s="352"/>
      <c r="G652" s="352"/>
      <c r="H652" s="352"/>
      <c r="I652" s="352"/>
      <c r="J652" s="352"/>
      <c r="K652" s="352"/>
      <c r="L652" s="352"/>
      <c r="M652" s="352"/>
      <c r="N652" s="352"/>
      <c r="O652" s="352"/>
      <c r="P652" s="352"/>
      <c r="Q652" s="352"/>
      <c r="R652" s="352"/>
      <c r="S652" s="352"/>
      <c r="T652" s="352"/>
      <c r="U652" s="352"/>
      <c r="V652" s="352"/>
      <c r="W652" s="352"/>
      <c r="X652" s="352"/>
      <c r="Y652" s="352"/>
      <c r="Z652" s="352"/>
      <c r="AA652" s="352"/>
      <c r="AB652" s="352"/>
      <c r="AC652" s="352"/>
      <c r="AD652" s="352"/>
      <c r="AE652" s="352"/>
    </row>
    <row r="653">
      <c r="A653" s="352"/>
      <c r="B653" s="352"/>
      <c r="C653" s="352"/>
      <c r="D653" s="352"/>
      <c r="E653" s="352"/>
      <c r="F653" s="352"/>
      <c r="G653" s="352"/>
      <c r="H653" s="352"/>
      <c r="I653" s="352"/>
      <c r="J653" s="352"/>
      <c r="K653" s="352"/>
      <c r="L653" s="352"/>
      <c r="M653" s="352"/>
      <c r="N653" s="352"/>
      <c r="O653" s="352"/>
      <c r="P653" s="352"/>
      <c r="Q653" s="352"/>
      <c r="R653" s="352"/>
      <c r="S653" s="352"/>
      <c r="T653" s="352"/>
      <c r="U653" s="352"/>
      <c r="V653" s="352"/>
      <c r="W653" s="352"/>
      <c r="X653" s="352"/>
      <c r="Y653" s="352"/>
      <c r="Z653" s="352"/>
      <c r="AA653" s="352"/>
      <c r="AB653" s="352"/>
      <c r="AC653" s="352"/>
      <c r="AD653" s="352"/>
      <c r="AE653" s="352"/>
    </row>
    <row r="654">
      <c r="A654" s="352"/>
      <c r="B654" s="352"/>
      <c r="C654" s="352"/>
      <c r="D654" s="352"/>
      <c r="E654" s="352"/>
      <c r="F654" s="352"/>
      <c r="G654" s="352"/>
      <c r="H654" s="352"/>
      <c r="I654" s="352"/>
      <c r="J654" s="352"/>
      <c r="K654" s="352"/>
      <c r="L654" s="352"/>
      <c r="M654" s="352"/>
      <c r="N654" s="352"/>
      <c r="O654" s="352"/>
      <c r="P654" s="352"/>
      <c r="Q654" s="352"/>
      <c r="R654" s="352"/>
      <c r="S654" s="352"/>
      <c r="T654" s="352"/>
      <c r="U654" s="352"/>
      <c r="V654" s="352"/>
      <c r="W654" s="352"/>
      <c r="X654" s="352"/>
      <c r="Y654" s="352"/>
      <c r="Z654" s="352"/>
      <c r="AA654" s="352"/>
      <c r="AB654" s="352"/>
      <c r="AC654" s="352"/>
      <c r="AD654" s="352"/>
      <c r="AE654" s="352"/>
    </row>
    <row r="655">
      <c r="A655" s="352"/>
      <c r="B655" s="352"/>
      <c r="C655" s="352"/>
      <c r="D655" s="352"/>
      <c r="E655" s="352"/>
      <c r="F655" s="352"/>
      <c r="G655" s="352"/>
      <c r="H655" s="352"/>
      <c r="I655" s="352"/>
      <c r="J655" s="352"/>
      <c r="K655" s="352"/>
      <c r="L655" s="352"/>
      <c r="M655" s="352"/>
      <c r="N655" s="352"/>
      <c r="O655" s="352"/>
      <c r="P655" s="352"/>
      <c r="Q655" s="352"/>
      <c r="R655" s="352"/>
      <c r="S655" s="352"/>
      <c r="T655" s="352"/>
      <c r="U655" s="352"/>
      <c r="V655" s="352"/>
      <c r="W655" s="352"/>
      <c r="X655" s="352"/>
      <c r="Y655" s="352"/>
      <c r="Z655" s="352"/>
      <c r="AA655" s="352"/>
      <c r="AB655" s="352"/>
      <c r="AC655" s="352"/>
      <c r="AD655" s="352"/>
      <c r="AE655" s="352"/>
    </row>
  </sheetData>
  <mergeCells count="554">
    <mergeCell ref="Y25:AA25"/>
    <mergeCell ref="AB25:AD25"/>
    <mergeCell ref="P23:R23"/>
    <mergeCell ref="P24:R24"/>
    <mergeCell ref="S24:U24"/>
    <mergeCell ref="V24:X24"/>
    <mergeCell ref="Y24:AA24"/>
    <mergeCell ref="AB24:AD24"/>
    <mergeCell ref="P25:R25"/>
    <mergeCell ref="Y17:AA17"/>
    <mergeCell ref="AB17:AD17"/>
    <mergeCell ref="Y18:AA18"/>
    <mergeCell ref="AB18:AD18"/>
    <mergeCell ref="Y19:AA19"/>
    <mergeCell ref="AB19:AD19"/>
    <mergeCell ref="P15:R15"/>
    <mergeCell ref="P16:R16"/>
    <mergeCell ref="S16:U16"/>
    <mergeCell ref="V16:X16"/>
    <mergeCell ref="Y16:AA16"/>
    <mergeCell ref="AB16:AD16"/>
    <mergeCell ref="P17:R17"/>
    <mergeCell ref="S17:U17"/>
    <mergeCell ref="V17:X17"/>
    <mergeCell ref="P18:R18"/>
    <mergeCell ref="S18:U18"/>
    <mergeCell ref="V18:X18"/>
    <mergeCell ref="S19:U19"/>
    <mergeCell ref="V19:X19"/>
    <mergeCell ref="Y21:AA21"/>
    <mergeCell ref="AB21:AD21"/>
    <mergeCell ref="Y22:AA22"/>
    <mergeCell ref="AB22:AD22"/>
    <mergeCell ref="Y23:AA23"/>
    <mergeCell ref="AB23:AD23"/>
    <mergeCell ref="P19:R19"/>
    <mergeCell ref="P20:R20"/>
    <mergeCell ref="S20:U20"/>
    <mergeCell ref="V20:X20"/>
    <mergeCell ref="Y20:AA20"/>
    <mergeCell ref="AB20:AD20"/>
    <mergeCell ref="P21:R21"/>
    <mergeCell ref="S21:U21"/>
    <mergeCell ref="V21:X21"/>
    <mergeCell ref="P22:R22"/>
    <mergeCell ref="S22:U22"/>
    <mergeCell ref="V22:X22"/>
    <mergeCell ref="S23:U23"/>
    <mergeCell ref="V23:X23"/>
    <mergeCell ref="S25:U25"/>
    <mergeCell ref="V25:X25"/>
    <mergeCell ref="Y46:AA46"/>
    <mergeCell ref="AB46:AD46"/>
    <mergeCell ref="P44:R44"/>
    <mergeCell ref="P45:R45"/>
    <mergeCell ref="S45:U45"/>
    <mergeCell ref="V45:X45"/>
    <mergeCell ref="Y45:AA45"/>
    <mergeCell ref="AB45:AD45"/>
    <mergeCell ref="P46:R46"/>
    <mergeCell ref="Y38:AA38"/>
    <mergeCell ref="AB38:AD38"/>
    <mergeCell ref="Y39:AA39"/>
    <mergeCell ref="AB39:AD39"/>
    <mergeCell ref="Y40:AA40"/>
    <mergeCell ref="AB40:AD40"/>
    <mergeCell ref="P36:R36"/>
    <mergeCell ref="P37:R37"/>
    <mergeCell ref="S37:U37"/>
    <mergeCell ref="V37:X37"/>
    <mergeCell ref="Y37:AA37"/>
    <mergeCell ref="AB37:AD37"/>
    <mergeCell ref="P38:R38"/>
    <mergeCell ref="S38:U38"/>
    <mergeCell ref="V38:X38"/>
    <mergeCell ref="P39:R39"/>
    <mergeCell ref="S39:U39"/>
    <mergeCell ref="V39:X39"/>
    <mergeCell ref="S40:U40"/>
    <mergeCell ref="V40:X40"/>
    <mergeCell ref="Y42:AA42"/>
    <mergeCell ref="AB42:AD42"/>
    <mergeCell ref="Y43:AA43"/>
    <mergeCell ref="AB43:AD43"/>
    <mergeCell ref="Y44:AA44"/>
    <mergeCell ref="AB44:AD44"/>
    <mergeCell ref="P40:R40"/>
    <mergeCell ref="P41:R41"/>
    <mergeCell ref="S41:U41"/>
    <mergeCell ref="V41:X41"/>
    <mergeCell ref="Y41:AA41"/>
    <mergeCell ref="AB41:AD41"/>
    <mergeCell ref="P42:R42"/>
    <mergeCell ref="S42:U42"/>
    <mergeCell ref="V42:X42"/>
    <mergeCell ref="P43:R43"/>
    <mergeCell ref="S43:U43"/>
    <mergeCell ref="V43:X43"/>
    <mergeCell ref="S44:U44"/>
    <mergeCell ref="V44:X44"/>
    <mergeCell ref="S46:U46"/>
    <mergeCell ref="V46:X46"/>
    <mergeCell ref="P47:R47"/>
    <mergeCell ref="S47:U47"/>
    <mergeCell ref="V47:X47"/>
    <mergeCell ref="Y47:AA47"/>
    <mergeCell ref="AB47:AD47"/>
    <mergeCell ref="Y55:AA55"/>
    <mergeCell ref="AB55:AD55"/>
    <mergeCell ref="Y56:AA56"/>
    <mergeCell ref="AB56:AD56"/>
    <mergeCell ref="Y57:AA57"/>
    <mergeCell ref="AB57:AD57"/>
    <mergeCell ref="S55:U55"/>
    <mergeCell ref="V55:X55"/>
    <mergeCell ref="P56:R56"/>
    <mergeCell ref="S56:U56"/>
    <mergeCell ref="V56:X56"/>
    <mergeCell ref="S57:U57"/>
    <mergeCell ref="V57:X57"/>
    <mergeCell ref="Y59:AA59"/>
    <mergeCell ref="AB59:AD59"/>
    <mergeCell ref="P57:R57"/>
    <mergeCell ref="P58:R58"/>
    <mergeCell ref="S58:U58"/>
    <mergeCell ref="V58:X58"/>
    <mergeCell ref="Y58:AA58"/>
    <mergeCell ref="AB58:AD58"/>
    <mergeCell ref="P59:R59"/>
    <mergeCell ref="V62:X62"/>
    <mergeCell ref="Y62:AA62"/>
    <mergeCell ref="P61:R61"/>
    <mergeCell ref="S61:U61"/>
    <mergeCell ref="V61:X61"/>
    <mergeCell ref="Y61:AA61"/>
    <mergeCell ref="AB61:AD61"/>
    <mergeCell ref="P62:R62"/>
    <mergeCell ref="S62:U62"/>
    <mergeCell ref="AB62:AD62"/>
    <mergeCell ref="V49:X49"/>
    <mergeCell ref="Y49:AA49"/>
    <mergeCell ref="P48:R48"/>
    <mergeCell ref="S48:U48"/>
    <mergeCell ref="V48:X48"/>
    <mergeCell ref="Y48:AA48"/>
    <mergeCell ref="AB48:AD48"/>
    <mergeCell ref="S49:U49"/>
    <mergeCell ref="AB49:AD49"/>
    <mergeCell ref="Y51:AA51"/>
    <mergeCell ref="AB51:AD51"/>
    <mergeCell ref="Y52:AA52"/>
    <mergeCell ref="AB52:AD52"/>
    <mergeCell ref="Y53:AA53"/>
    <mergeCell ref="AB53:AD53"/>
    <mergeCell ref="P49:R49"/>
    <mergeCell ref="P50:R50"/>
    <mergeCell ref="S50:U50"/>
    <mergeCell ref="V50:X50"/>
    <mergeCell ref="Y50:AA50"/>
    <mergeCell ref="AB50:AD50"/>
    <mergeCell ref="P51:R51"/>
    <mergeCell ref="S51:U51"/>
    <mergeCell ref="V51:X51"/>
    <mergeCell ref="P52:R52"/>
    <mergeCell ref="S52:U52"/>
    <mergeCell ref="V52:X52"/>
    <mergeCell ref="S53:U53"/>
    <mergeCell ref="V53:X53"/>
    <mergeCell ref="P53:R53"/>
    <mergeCell ref="P54:R54"/>
    <mergeCell ref="S54:U54"/>
    <mergeCell ref="V54:X54"/>
    <mergeCell ref="Y54:AA54"/>
    <mergeCell ref="AB54:AD54"/>
    <mergeCell ref="P55:R55"/>
    <mergeCell ref="S59:U59"/>
    <mergeCell ref="V59:X59"/>
    <mergeCell ref="P60:R60"/>
    <mergeCell ref="S60:U60"/>
    <mergeCell ref="V60:X60"/>
    <mergeCell ref="Y60:AA60"/>
    <mergeCell ref="AB60:AD60"/>
    <mergeCell ref="C1:E1"/>
    <mergeCell ref="F1:H1"/>
    <mergeCell ref="I1:K1"/>
    <mergeCell ref="L1:N1"/>
    <mergeCell ref="P1:AD1"/>
    <mergeCell ref="C2:E2"/>
    <mergeCell ref="F2:H2"/>
    <mergeCell ref="AB2:AD2"/>
    <mergeCell ref="F4:H4"/>
    <mergeCell ref="I4:K4"/>
    <mergeCell ref="V4:X4"/>
    <mergeCell ref="V5:X5"/>
    <mergeCell ref="Y5:AA5"/>
    <mergeCell ref="AB5:AD5"/>
    <mergeCell ref="V2:X2"/>
    <mergeCell ref="Y2:AA2"/>
    <mergeCell ref="V3:X3"/>
    <mergeCell ref="Y3:AA3"/>
    <mergeCell ref="AB3:AD3"/>
    <mergeCell ref="Y4:AA4"/>
    <mergeCell ref="AB4:AD4"/>
    <mergeCell ref="I6:K6"/>
    <mergeCell ref="L6:N6"/>
    <mergeCell ref="P6:R6"/>
    <mergeCell ref="S6:U6"/>
    <mergeCell ref="V6:X6"/>
    <mergeCell ref="Y6:AA6"/>
    <mergeCell ref="AB6:AD6"/>
    <mergeCell ref="Y7:AA7"/>
    <mergeCell ref="AB7:AD7"/>
    <mergeCell ref="C7:E7"/>
    <mergeCell ref="F7:H7"/>
    <mergeCell ref="I7:K7"/>
    <mergeCell ref="L7:N7"/>
    <mergeCell ref="P7:R7"/>
    <mergeCell ref="S7:U7"/>
    <mergeCell ref="V7:X7"/>
    <mergeCell ref="C12:E12"/>
    <mergeCell ref="F12:H12"/>
    <mergeCell ref="I12:K12"/>
    <mergeCell ref="L12:N12"/>
    <mergeCell ref="F13:H13"/>
    <mergeCell ref="I13:K13"/>
    <mergeCell ref="L13:N13"/>
    <mergeCell ref="C13:E13"/>
    <mergeCell ref="C14:E14"/>
    <mergeCell ref="F14:H14"/>
    <mergeCell ref="I14:K14"/>
    <mergeCell ref="L14:N14"/>
    <mergeCell ref="C15:E15"/>
    <mergeCell ref="F15:H15"/>
    <mergeCell ref="P2:R2"/>
    <mergeCell ref="S2:U2"/>
    <mergeCell ref="P3:R3"/>
    <mergeCell ref="S3:U3"/>
    <mergeCell ref="P4:R4"/>
    <mergeCell ref="S4:U4"/>
    <mergeCell ref="S5:U5"/>
    <mergeCell ref="Y9:AA9"/>
    <mergeCell ref="AB9:AD9"/>
    <mergeCell ref="Y10:AA10"/>
    <mergeCell ref="AB10:AD10"/>
    <mergeCell ref="Y11:AA11"/>
    <mergeCell ref="AB11:AD11"/>
    <mergeCell ref="P5:R5"/>
    <mergeCell ref="P8:R8"/>
    <mergeCell ref="S8:U8"/>
    <mergeCell ref="V8:X8"/>
    <mergeCell ref="Y8:AA8"/>
    <mergeCell ref="AB8:AD8"/>
    <mergeCell ref="P9:R9"/>
    <mergeCell ref="S9:U9"/>
    <mergeCell ref="V9:X9"/>
    <mergeCell ref="P10:R10"/>
    <mergeCell ref="S10:U10"/>
    <mergeCell ref="V10:X10"/>
    <mergeCell ref="S11:U11"/>
    <mergeCell ref="V11:X11"/>
    <mergeCell ref="Y13:AA13"/>
    <mergeCell ref="AB13:AD13"/>
    <mergeCell ref="Y14:AA14"/>
    <mergeCell ref="AB14:AD14"/>
    <mergeCell ref="Y15:AA15"/>
    <mergeCell ref="AB15:AD15"/>
    <mergeCell ref="P11:R11"/>
    <mergeCell ref="P12:R12"/>
    <mergeCell ref="S12:U12"/>
    <mergeCell ref="V12:X12"/>
    <mergeCell ref="Y12:AA12"/>
    <mergeCell ref="AB12:AD12"/>
    <mergeCell ref="P13:R13"/>
    <mergeCell ref="S13:U13"/>
    <mergeCell ref="V13:X13"/>
    <mergeCell ref="P14:R14"/>
    <mergeCell ref="S14:U14"/>
    <mergeCell ref="V14:X14"/>
    <mergeCell ref="S15:U15"/>
    <mergeCell ref="V15:X15"/>
    <mergeCell ref="F21:H21"/>
    <mergeCell ref="I21:K21"/>
    <mergeCell ref="I19:K19"/>
    <mergeCell ref="L19:N19"/>
    <mergeCell ref="C20:E20"/>
    <mergeCell ref="F20:H20"/>
    <mergeCell ref="I20:K20"/>
    <mergeCell ref="L20:N20"/>
    <mergeCell ref="L21:N21"/>
    <mergeCell ref="I23:K23"/>
    <mergeCell ref="L23:N23"/>
    <mergeCell ref="P26:R26"/>
    <mergeCell ref="S26:U26"/>
    <mergeCell ref="V26:X26"/>
    <mergeCell ref="Y26:AA26"/>
    <mergeCell ref="AB26:AD26"/>
    <mergeCell ref="C21:E21"/>
    <mergeCell ref="C22:E22"/>
    <mergeCell ref="F22:H22"/>
    <mergeCell ref="I22:K22"/>
    <mergeCell ref="L22:N22"/>
    <mergeCell ref="C23:E23"/>
    <mergeCell ref="F23:H23"/>
    <mergeCell ref="C24:E24"/>
    <mergeCell ref="F24:H24"/>
    <mergeCell ref="I24:K24"/>
    <mergeCell ref="L24:N24"/>
    <mergeCell ref="F25:H25"/>
    <mergeCell ref="I25:K25"/>
    <mergeCell ref="L25:N25"/>
    <mergeCell ref="C25:E25"/>
    <mergeCell ref="C26:E26"/>
    <mergeCell ref="F26:H26"/>
    <mergeCell ref="I26:K26"/>
    <mergeCell ref="L26:N26"/>
    <mergeCell ref="C27:E27"/>
    <mergeCell ref="F27:H27"/>
    <mergeCell ref="V28:X28"/>
    <mergeCell ref="Y28:AA28"/>
    <mergeCell ref="P28:R28"/>
    <mergeCell ref="P29:R29"/>
    <mergeCell ref="S29:U29"/>
    <mergeCell ref="V29:X29"/>
    <mergeCell ref="Y29:AA29"/>
    <mergeCell ref="AB29:AD29"/>
    <mergeCell ref="P27:R27"/>
    <mergeCell ref="S27:U27"/>
    <mergeCell ref="V27:X27"/>
    <mergeCell ref="Y27:AA27"/>
    <mergeCell ref="AB27:AD27"/>
    <mergeCell ref="S28:U28"/>
    <mergeCell ref="AB28:AD28"/>
    <mergeCell ref="I27:K27"/>
    <mergeCell ref="L27:N27"/>
    <mergeCell ref="C28:E28"/>
    <mergeCell ref="F28:H28"/>
    <mergeCell ref="I28:K28"/>
    <mergeCell ref="L28:N28"/>
    <mergeCell ref="L29:N29"/>
    <mergeCell ref="F29:H29"/>
    <mergeCell ref="I29:K29"/>
    <mergeCell ref="P30:R30"/>
    <mergeCell ref="S30:U30"/>
    <mergeCell ref="V30:X30"/>
    <mergeCell ref="Y30:AA30"/>
    <mergeCell ref="AB30:AD30"/>
    <mergeCell ref="V32:X32"/>
    <mergeCell ref="Y32:AA32"/>
    <mergeCell ref="P31:R31"/>
    <mergeCell ref="S31:U31"/>
    <mergeCell ref="V31:X31"/>
    <mergeCell ref="Y31:AA31"/>
    <mergeCell ref="AB31:AD31"/>
    <mergeCell ref="S32:U32"/>
    <mergeCell ref="AB32:AD32"/>
    <mergeCell ref="Y34:AA34"/>
    <mergeCell ref="AB34:AD34"/>
    <mergeCell ref="Y35:AA35"/>
    <mergeCell ref="AB35:AD35"/>
    <mergeCell ref="Y36:AA36"/>
    <mergeCell ref="AB36:AD36"/>
    <mergeCell ref="P32:R32"/>
    <mergeCell ref="P33:R33"/>
    <mergeCell ref="S33:U33"/>
    <mergeCell ref="V33:X33"/>
    <mergeCell ref="Y33:AA33"/>
    <mergeCell ref="AB33:AD33"/>
    <mergeCell ref="P34:R34"/>
    <mergeCell ref="S34:U34"/>
    <mergeCell ref="V34:X34"/>
    <mergeCell ref="P35:R35"/>
    <mergeCell ref="S35:U35"/>
    <mergeCell ref="V35:X35"/>
    <mergeCell ref="S36:U36"/>
    <mergeCell ref="V36:X36"/>
    <mergeCell ref="C40:E40"/>
    <mergeCell ref="F40:H40"/>
    <mergeCell ref="I40:K40"/>
    <mergeCell ref="L40:N40"/>
    <mergeCell ref="F41:H41"/>
    <mergeCell ref="I41:K41"/>
    <mergeCell ref="L41:N41"/>
    <mergeCell ref="C41:E41"/>
    <mergeCell ref="C42:E42"/>
    <mergeCell ref="F42:H42"/>
    <mergeCell ref="I42:K42"/>
    <mergeCell ref="L42:N42"/>
    <mergeCell ref="C43:E43"/>
    <mergeCell ref="F43:H43"/>
    <mergeCell ref="C48:E48"/>
    <mergeCell ref="F48:H48"/>
    <mergeCell ref="I48:K48"/>
    <mergeCell ref="L48:N48"/>
    <mergeCell ref="F49:H49"/>
    <mergeCell ref="I49:K49"/>
    <mergeCell ref="L49:N49"/>
    <mergeCell ref="C49:E49"/>
    <mergeCell ref="C50:E50"/>
    <mergeCell ref="F50:H50"/>
    <mergeCell ref="I50:K50"/>
    <mergeCell ref="L50:N50"/>
    <mergeCell ref="C51:E51"/>
    <mergeCell ref="F51:H51"/>
    <mergeCell ref="F53:H53"/>
    <mergeCell ref="I53:K53"/>
    <mergeCell ref="I51:K51"/>
    <mergeCell ref="L51:N51"/>
    <mergeCell ref="C52:E52"/>
    <mergeCell ref="F52:H52"/>
    <mergeCell ref="I52:K52"/>
    <mergeCell ref="L52:N52"/>
    <mergeCell ref="L53:N53"/>
    <mergeCell ref="I55:K55"/>
    <mergeCell ref="L55:N55"/>
    <mergeCell ref="C53:E53"/>
    <mergeCell ref="C54:E54"/>
    <mergeCell ref="F54:H54"/>
    <mergeCell ref="I54:K54"/>
    <mergeCell ref="L54:N54"/>
    <mergeCell ref="C55:E55"/>
    <mergeCell ref="F55:H55"/>
    <mergeCell ref="C56:E56"/>
    <mergeCell ref="F56:H56"/>
    <mergeCell ref="I56:K56"/>
    <mergeCell ref="L56:N56"/>
    <mergeCell ref="F57:H57"/>
    <mergeCell ref="I57:K57"/>
    <mergeCell ref="L57:N57"/>
    <mergeCell ref="C57:E57"/>
    <mergeCell ref="C58:E58"/>
    <mergeCell ref="F58:H58"/>
    <mergeCell ref="I58:K58"/>
    <mergeCell ref="L58:N58"/>
    <mergeCell ref="C59:E59"/>
    <mergeCell ref="F59:H59"/>
    <mergeCell ref="F61:H61"/>
    <mergeCell ref="I61:K61"/>
    <mergeCell ref="I59:K59"/>
    <mergeCell ref="L59:N59"/>
    <mergeCell ref="C60:E60"/>
    <mergeCell ref="F60:H60"/>
    <mergeCell ref="I60:K60"/>
    <mergeCell ref="L60:N60"/>
    <mergeCell ref="L61:N61"/>
    <mergeCell ref="I2:K2"/>
    <mergeCell ref="L2:N2"/>
    <mergeCell ref="C3:E3"/>
    <mergeCell ref="F3:H3"/>
    <mergeCell ref="I3:K3"/>
    <mergeCell ref="L3:N3"/>
    <mergeCell ref="L4:N4"/>
    <mergeCell ref="C4:E4"/>
    <mergeCell ref="C5:E5"/>
    <mergeCell ref="F5:H5"/>
    <mergeCell ref="I5:K5"/>
    <mergeCell ref="L5:N5"/>
    <mergeCell ref="C6:E6"/>
    <mergeCell ref="F6:H6"/>
    <mergeCell ref="C8:E8"/>
    <mergeCell ref="F8:H8"/>
    <mergeCell ref="I8:K8"/>
    <mergeCell ref="L8:N8"/>
    <mergeCell ref="F9:H9"/>
    <mergeCell ref="I9:K9"/>
    <mergeCell ref="L9:N9"/>
    <mergeCell ref="I11:K11"/>
    <mergeCell ref="L11:N11"/>
    <mergeCell ref="C9:E9"/>
    <mergeCell ref="C10:E10"/>
    <mergeCell ref="F10:H10"/>
    <mergeCell ref="I10:K10"/>
    <mergeCell ref="L10:N10"/>
    <mergeCell ref="C11:E11"/>
    <mergeCell ref="F11:H11"/>
    <mergeCell ref="I15:K15"/>
    <mergeCell ref="L15:N15"/>
    <mergeCell ref="C61:E61"/>
    <mergeCell ref="C62:E62"/>
    <mergeCell ref="F62:H62"/>
    <mergeCell ref="I62:K62"/>
    <mergeCell ref="L62:N62"/>
    <mergeCell ref="C16:E16"/>
    <mergeCell ref="F16:H16"/>
    <mergeCell ref="I16:K16"/>
    <mergeCell ref="L16:N16"/>
    <mergeCell ref="F17:H17"/>
    <mergeCell ref="I17:K17"/>
    <mergeCell ref="L17:N17"/>
    <mergeCell ref="C17:E17"/>
    <mergeCell ref="C18:E18"/>
    <mergeCell ref="F18:H18"/>
    <mergeCell ref="I18:K18"/>
    <mergeCell ref="L18:N18"/>
    <mergeCell ref="C19:E19"/>
    <mergeCell ref="F19:H19"/>
    <mergeCell ref="I31:K31"/>
    <mergeCell ref="L31:N31"/>
    <mergeCell ref="C29:E29"/>
    <mergeCell ref="C30:E30"/>
    <mergeCell ref="F30:H30"/>
    <mergeCell ref="I30:K30"/>
    <mergeCell ref="L30:N30"/>
    <mergeCell ref="C31:E31"/>
    <mergeCell ref="F31:H31"/>
    <mergeCell ref="C32:E32"/>
    <mergeCell ref="F32:H32"/>
    <mergeCell ref="I32:K32"/>
    <mergeCell ref="L32:N32"/>
    <mergeCell ref="F33:H33"/>
    <mergeCell ref="I33:K33"/>
    <mergeCell ref="L33:N33"/>
    <mergeCell ref="C33:E33"/>
    <mergeCell ref="C34:E34"/>
    <mergeCell ref="F34:H34"/>
    <mergeCell ref="I34:K34"/>
    <mergeCell ref="L34:N34"/>
    <mergeCell ref="C35:E35"/>
    <mergeCell ref="F35:H35"/>
    <mergeCell ref="F37:H37"/>
    <mergeCell ref="I37:K37"/>
    <mergeCell ref="I35:K35"/>
    <mergeCell ref="L35:N35"/>
    <mergeCell ref="C36:E36"/>
    <mergeCell ref="F36:H36"/>
    <mergeCell ref="I36:K36"/>
    <mergeCell ref="L36:N36"/>
    <mergeCell ref="L37:N37"/>
    <mergeCell ref="I39:K39"/>
    <mergeCell ref="L39:N39"/>
    <mergeCell ref="C37:E37"/>
    <mergeCell ref="C38:E38"/>
    <mergeCell ref="F38:H38"/>
    <mergeCell ref="I38:K38"/>
    <mergeCell ref="L38:N38"/>
    <mergeCell ref="C39:E39"/>
    <mergeCell ref="F39:H39"/>
    <mergeCell ref="F45:H45"/>
    <mergeCell ref="I45:K45"/>
    <mergeCell ref="I43:K43"/>
    <mergeCell ref="L43:N43"/>
    <mergeCell ref="C44:E44"/>
    <mergeCell ref="F44:H44"/>
    <mergeCell ref="I44:K44"/>
    <mergeCell ref="L44:N44"/>
    <mergeCell ref="L45:N45"/>
    <mergeCell ref="I47:K47"/>
    <mergeCell ref="L47:N47"/>
    <mergeCell ref="C45:E45"/>
    <mergeCell ref="C46:E46"/>
    <mergeCell ref="F46:H46"/>
    <mergeCell ref="I46:K46"/>
    <mergeCell ref="L46:N46"/>
    <mergeCell ref="C47:E47"/>
    <mergeCell ref="F47:H47"/>
  </mergeCells>
  <hyperlinks>
    <hyperlink r:id="rId1" ref="I20"/>
    <hyperlink r:id="rId2" ref="P20"/>
    <hyperlink r:id="rId3" ref="I21"/>
    <hyperlink r:id="rId4" ref="P21"/>
    <hyperlink r:id="rId5" ref="I22"/>
    <hyperlink r:id="rId6" ref="P22"/>
    <hyperlink r:id="rId7" ref="I23"/>
    <hyperlink r:id="rId8" ref="P23"/>
    <hyperlink r:id="rId9" ref="F27"/>
    <hyperlink r:id="rId10" ref="P27"/>
    <hyperlink r:id="rId11" ref="F28"/>
    <hyperlink r:id="rId12" ref="P28"/>
    <hyperlink r:id="rId13" ref="F29"/>
    <hyperlink r:id="rId14" ref="P29"/>
    <hyperlink r:id="rId15" ref="F30"/>
    <hyperlink r:id="rId16" ref="P30"/>
    <hyperlink r:id="rId17" ref="F34"/>
    <hyperlink r:id="rId18" ref="I34"/>
    <hyperlink r:id="rId19" ref="P34"/>
    <hyperlink r:id="rId20" ref="F35"/>
    <hyperlink r:id="rId21" ref="I35"/>
    <hyperlink r:id="rId22" ref="P35"/>
    <hyperlink r:id="rId23" ref="F36"/>
    <hyperlink r:id="rId24" ref="I36"/>
    <hyperlink r:id="rId25" ref="P36"/>
    <hyperlink r:id="rId26" ref="F37"/>
    <hyperlink r:id="rId27" ref="I37"/>
    <hyperlink r:id="rId28" ref="P37"/>
    <hyperlink r:id="rId29" ref="L41"/>
    <hyperlink r:id="rId30" ref="P41"/>
    <hyperlink r:id="rId31" ref="L42"/>
    <hyperlink r:id="rId32" ref="P42"/>
    <hyperlink r:id="rId33" ref="L43"/>
    <hyperlink r:id="rId34" ref="P43"/>
    <hyperlink r:id="rId35" ref="L44"/>
    <hyperlink r:id="rId36" ref="P44"/>
    <hyperlink r:id="rId37" ref="P45"/>
  </hyperlinks>
  <drawing r:id="rId3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14" width="12.38"/>
    <col customWidth="1" min="21" max="21" width="13.88"/>
    <col customWidth="1" min="24" max="24" width="13.88"/>
  </cols>
  <sheetData>
    <row r="1">
      <c r="A1" s="868" t="s">
        <v>6488</v>
      </c>
      <c r="B1" s="868" t="s">
        <v>8850</v>
      </c>
      <c r="C1" s="869" t="s">
        <v>8851</v>
      </c>
      <c r="D1" s="249"/>
      <c r="E1" s="250"/>
      <c r="F1" s="869" t="s">
        <v>8852</v>
      </c>
      <c r="G1" s="249"/>
      <c r="H1" s="250"/>
      <c r="I1" s="869" t="s">
        <v>8853</v>
      </c>
      <c r="J1" s="249"/>
      <c r="K1" s="250"/>
      <c r="L1" s="869" t="s">
        <v>8854</v>
      </c>
      <c r="M1" s="249"/>
      <c r="N1" s="250"/>
      <c r="O1" s="868" t="s">
        <v>8850</v>
      </c>
      <c r="P1" s="870" t="s">
        <v>8973</v>
      </c>
      <c r="Q1" s="249"/>
      <c r="R1" s="249"/>
      <c r="S1" s="249"/>
      <c r="T1" s="249"/>
      <c r="U1" s="249"/>
      <c r="V1" s="249"/>
      <c r="W1" s="249"/>
      <c r="X1" s="249"/>
      <c r="Y1" s="249"/>
      <c r="Z1" s="249"/>
      <c r="AA1" s="249"/>
      <c r="AB1" s="249"/>
      <c r="AC1" s="249"/>
      <c r="AD1" s="250"/>
      <c r="AE1" s="868" t="s">
        <v>8850</v>
      </c>
    </row>
    <row r="2">
      <c r="A2" s="872" t="s">
        <v>8858</v>
      </c>
      <c r="B2" s="961">
        <v>45901.0</v>
      </c>
      <c r="C2" s="933"/>
      <c r="D2" s="249"/>
      <c r="E2" s="250"/>
      <c r="F2" s="949"/>
      <c r="G2" s="249"/>
      <c r="H2" s="250"/>
      <c r="I2" s="962"/>
      <c r="J2" s="249"/>
      <c r="K2" s="250"/>
      <c r="L2" s="949"/>
      <c r="M2" s="249"/>
      <c r="N2" s="250"/>
      <c r="O2" s="872" t="s">
        <v>9005</v>
      </c>
      <c r="P2" s="877"/>
      <c r="Q2" s="249"/>
      <c r="R2" s="250"/>
      <c r="S2" s="877"/>
      <c r="T2" s="249"/>
      <c r="U2" s="250"/>
      <c r="V2" s="877"/>
      <c r="W2" s="249"/>
      <c r="X2" s="250"/>
      <c r="Y2" s="877"/>
      <c r="Z2" s="249"/>
      <c r="AA2" s="250"/>
      <c r="AB2" s="877"/>
      <c r="AC2" s="249"/>
      <c r="AD2" s="250"/>
      <c r="AE2" s="872" t="s">
        <v>9005</v>
      </c>
    </row>
    <row r="3">
      <c r="A3" s="872" t="s">
        <v>8861</v>
      </c>
      <c r="B3" s="961" t="s">
        <v>9006</v>
      </c>
      <c r="C3" s="949"/>
      <c r="D3" s="249"/>
      <c r="E3" s="250"/>
      <c r="F3" s="949"/>
      <c r="G3" s="249"/>
      <c r="H3" s="250"/>
      <c r="I3" s="962"/>
      <c r="J3" s="249"/>
      <c r="K3" s="250"/>
      <c r="L3" s="949"/>
      <c r="M3" s="249"/>
      <c r="N3" s="250"/>
      <c r="O3" s="872" t="s">
        <v>9006</v>
      </c>
      <c r="P3" s="877"/>
      <c r="Q3" s="249"/>
      <c r="R3" s="250"/>
      <c r="S3" s="877"/>
      <c r="T3" s="249"/>
      <c r="U3" s="250"/>
      <c r="V3" s="877"/>
      <c r="W3" s="249"/>
      <c r="X3" s="250"/>
      <c r="Y3" s="877"/>
      <c r="Z3" s="249"/>
      <c r="AA3" s="250"/>
      <c r="AB3" s="877"/>
      <c r="AC3" s="249"/>
      <c r="AD3" s="250"/>
      <c r="AE3" s="872" t="s">
        <v>9006</v>
      </c>
    </row>
    <row r="4">
      <c r="A4" s="872" t="s">
        <v>8862</v>
      </c>
      <c r="B4" s="961" t="s">
        <v>9007</v>
      </c>
      <c r="C4" s="949"/>
      <c r="D4" s="249"/>
      <c r="E4" s="250"/>
      <c r="F4" s="949"/>
      <c r="G4" s="249"/>
      <c r="H4" s="250"/>
      <c r="I4" s="949"/>
      <c r="J4" s="249"/>
      <c r="K4" s="250"/>
      <c r="L4" s="949"/>
      <c r="M4" s="249"/>
      <c r="N4" s="250"/>
      <c r="O4" s="872" t="s">
        <v>9007</v>
      </c>
      <c r="P4" s="877"/>
      <c r="Q4" s="249"/>
      <c r="R4" s="250"/>
      <c r="S4" s="877"/>
      <c r="T4" s="249"/>
      <c r="U4" s="250"/>
      <c r="V4" s="877"/>
      <c r="W4" s="249"/>
      <c r="X4" s="250"/>
      <c r="Y4" s="877"/>
      <c r="Z4" s="249"/>
      <c r="AA4" s="250"/>
      <c r="AB4" s="877"/>
      <c r="AC4" s="249"/>
      <c r="AD4" s="250"/>
      <c r="AE4" s="872" t="s">
        <v>9007</v>
      </c>
    </row>
    <row r="5">
      <c r="A5" s="872" t="s">
        <v>8863</v>
      </c>
      <c r="B5" s="961" t="s">
        <v>9008</v>
      </c>
      <c r="C5" s="949"/>
      <c r="D5" s="249"/>
      <c r="E5" s="250"/>
      <c r="F5" s="949"/>
      <c r="G5" s="249"/>
      <c r="H5" s="250"/>
      <c r="I5" s="949"/>
      <c r="J5" s="249"/>
      <c r="K5" s="250"/>
      <c r="L5" s="949"/>
      <c r="M5" s="249"/>
      <c r="N5" s="250"/>
      <c r="O5" s="872" t="s">
        <v>9008</v>
      </c>
      <c r="P5" s="877"/>
      <c r="Q5" s="249"/>
      <c r="R5" s="250"/>
      <c r="S5" s="877"/>
      <c r="T5" s="249"/>
      <c r="U5" s="250"/>
      <c r="V5" s="877"/>
      <c r="W5" s="249"/>
      <c r="X5" s="250"/>
      <c r="Y5" s="877"/>
      <c r="Z5" s="249"/>
      <c r="AA5" s="250"/>
      <c r="AB5" s="877"/>
      <c r="AC5" s="249"/>
      <c r="AD5" s="250"/>
      <c r="AE5" s="872" t="s">
        <v>9008</v>
      </c>
    </row>
    <row r="6">
      <c r="A6" s="872" t="s">
        <v>8865</v>
      </c>
      <c r="B6" s="961" t="s">
        <v>9009</v>
      </c>
      <c r="C6" s="949"/>
      <c r="D6" s="249"/>
      <c r="E6" s="250"/>
      <c r="F6" s="933"/>
      <c r="G6" s="249"/>
      <c r="H6" s="250"/>
      <c r="I6" s="962"/>
      <c r="J6" s="249"/>
      <c r="K6" s="250"/>
      <c r="L6" s="949"/>
      <c r="M6" s="249"/>
      <c r="N6" s="250"/>
      <c r="O6" s="872" t="s">
        <v>9009</v>
      </c>
      <c r="P6" s="877"/>
      <c r="Q6" s="249"/>
      <c r="R6" s="250"/>
      <c r="S6" s="877"/>
      <c r="T6" s="249"/>
      <c r="U6" s="250"/>
      <c r="V6" s="877"/>
      <c r="W6" s="249"/>
      <c r="X6" s="250"/>
      <c r="Y6" s="877"/>
      <c r="Z6" s="249"/>
      <c r="AA6" s="250"/>
      <c r="AB6" s="877"/>
      <c r="AC6" s="249"/>
      <c r="AD6" s="250"/>
      <c r="AE6" s="872" t="s">
        <v>9009</v>
      </c>
    </row>
    <row r="7">
      <c r="A7" s="872" t="s">
        <v>8867</v>
      </c>
      <c r="B7" s="961" t="s">
        <v>9010</v>
      </c>
      <c r="C7" s="949"/>
      <c r="D7" s="249"/>
      <c r="E7" s="250"/>
      <c r="F7" s="952"/>
      <c r="G7" s="249"/>
      <c r="H7" s="250"/>
      <c r="I7" s="962"/>
      <c r="J7" s="249"/>
      <c r="K7" s="250"/>
      <c r="L7" s="949"/>
      <c r="M7" s="249"/>
      <c r="N7" s="250"/>
      <c r="O7" s="872" t="s">
        <v>9010</v>
      </c>
      <c r="P7" s="877"/>
      <c r="Q7" s="249"/>
      <c r="R7" s="250"/>
      <c r="S7" s="877"/>
      <c r="T7" s="249"/>
      <c r="U7" s="250"/>
      <c r="V7" s="877"/>
      <c r="W7" s="249"/>
      <c r="X7" s="250"/>
      <c r="Y7" s="877"/>
      <c r="Z7" s="249"/>
      <c r="AA7" s="250"/>
      <c r="AB7" s="877"/>
      <c r="AC7" s="249"/>
      <c r="AD7" s="250"/>
      <c r="AE7" s="872" t="s">
        <v>9010</v>
      </c>
    </row>
    <row r="8">
      <c r="A8" s="872" t="s">
        <v>7559</v>
      </c>
      <c r="B8" s="961" t="s">
        <v>9011</v>
      </c>
      <c r="C8" s="949"/>
      <c r="D8" s="249"/>
      <c r="E8" s="250"/>
      <c r="F8" s="949"/>
      <c r="G8" s="249"/>
      <c r="H8" s="250"/>
      <c r="I8" s="949"/>
      <c r="J8" s="249"/>
      <c r="K8" s="250"/>
      <c r="L8" s="949"/>
      <c r="M8" s="249"/>
      <c r="N8" s="250"/>
      <c r="O8" s="872" t="s">
        <v>9011</v>
      </c>
      <c r="P8" s="877"/>
      <c r="Q8" s="249"/>
      <c r="R8" s="250"/>
      <c r="S8" s="877"/>
      <c r="T8" s="249"/>
      <c r="U8" s="250"/>
      <c r="V8" s="877"/>
      <c r="W8" s="249"/>
      <c r="X8" s="250"/>
      <c r="Y8" s="877"/>
      <c r="Z8" s="249"/>
      <c r="AA8" s="250"/>
      <c r="AB8" s="877"/>
      <c r="AC8" s="249"/>
      <c r="AD8" s="250"/>
      <c r="AE8" s="872" t="s">
        <v>9011</v>
      </c>
    </row>
    <row r="9">
      <c r="A9" s="872" t="s">
        <v>8858</v>
      </c>
      <c r="B9" s="961" t="s">
        <v>9012</v>
      </c>
      <c r="C9" s="933"/>
      <c r="D9" s="249"/>
      <c r="E9" s="250"/>
      <c r="F9" s="949"/>
      <c r="G9" s="249"/>
      <c r="H9" s="250"/>
      <c r="I9" s="962"/>
      <c r="J9" s="249"/>
      <c r="K9" s="250"/>
      <c r="L9" s="949"/>
      <c r="M9" s="249"/>
      <c r="N9" s="250"/>
      <c r="O9" s="872" t="s">
        <v>9012</v>
      </c>
      <c r="P9" s="877"/>
      <c r="Q9" s="249"/>
      <c r="R9" s="250"/>
      <c r="S9" s="877"/>
      <c r="T9" s="249"/>
      <c r="U9" s="250"/>
      <c r="V9" s="877"/>
      <c r="W9" s="249"/>
      <c r="X9" s="250"/>
      <c r="Y9" s="877"/>
      <c r="Z9" s="249"/>
      <c r="AA9" s="250"/>
      <c r="AB9" s="877"/>
      <c r="AC9" s="249"/>
      <c r="AD9" s="250"/>
      <c r="AE9" s="872" t="s">
        <v>9012</v>
      </c>
    </row>
    <row r="10">
      <c r="A10" s="872" t="s">
        <v>8861</v>
      </c>
      <c r="B10" s="961" t="s">
        <v>9013</v>
      </c>
      <c r="C10" s="949"/>
      <c r="D10" s="249"/>
      <c r="E10" s="250"/>
      <c r="F10" s="949"/>
      <c r="G10" s="249"/>
      <c r="H10" s="250"/>
      <c r="I10" s="953"/>
      <c r="J10" s="249"/>
      <c r="K10" s="250"/>
      <c r="L10" s="949"/>
      <c r="M10" s="249"/>
      <c r="N10" s="250"/>
      <c r="O10" s="872" t="s">
        <v>9013</v>
      </c>
      <c r="P10" s="877"/>
      <c r="Q10" s="249"/>
      <c r="R10" s="250"/>
      <c r="S10" s="877"/>
      <c r="T10" s="249"/>
      <c r="U10" s="250"/>
      <c r="V10" s="877"/>
      <c r="W10" s="249"/>
      <c r="X10" s="250"/>
      <c r="Y10" s="877"/>
      <c r="Z10" s="249"/>
      <c r="AA10" s="250"/>
      <c r="AB10" s="877"/>
      <c r="AC10" s="249"/>
      <c r="AD10" s="250"/>
      <c r="AE10" s="872" t="s">
        <v>9013</v>
      </c>
    </row>
    <row r="11">
      <c r="A11" s="872" t="s">
        <v>8862</v>
      </c>
      <c r="B11" s="961" t="s">
        <v>9014</v>
      </c>
      <c r="C11" s="949"/>
      <c r="D11" s="249"/>
      <c r="E11" s="250"/>
      <c r="F11" s="949"/>
      <c r="G11" s="249"/>
      <c r="H11" s="250"/>
      <c r="I11" s="954"/>
      <c r="J11" s="249"/>
      <c r="K11" s="250"/>
      <c r="L11" s="949"/>
      <c r="M11" s="249"/>
      <c r="N11" s="250"/>
      <c r="O11" s="872" t="s">
        <v>9014</v>
      </c>
      <c r="P11" s="877"/>
      <c r="Q11" s="249"/>
      <c r="R11" s="250"/>
      <c r="S11" s="877"/>
      <c r="T11" s="249"/>
      <c r="U11" s="250"/>
      <c r="V11" s="877"/>
      <c r="W11" s="249"/>
      <c r="X11" s="250"/>
      <c r="Y11" s="877"/>
      <c r="Z11" s="249"/>
      <c r="AA11" s="250"/>
      <c r="AB11" s="877"/>
      <c r="AC11" s="249"/>
      <c r="AD11" s="250"/>
      <c r="AE11" s="872" t="s">
        <v>9014</v>
      </c>
    </row>
    <row r="12">
      <c r="A12" s="872" t="s">
        <v>8863</v>
      </c>
      <c r="B12" s="961" t="s">
        <v>9015</v>
      </c>
      <c r="C12" s="949"/>
      <c r="D12" s="249"/>
      <c r="E12" s="250"/>
      <c r="F12" s="949"/>
      <c r="G12" s="249"/>
      <c r="H12" s="250"/>
      <c r="I12" s="963"/>
      <c r="J12" s="249"/>
      <c r="K12" s="250"/>
      <c r="L12" s="949"/>
      <c r="M12" s="249"/>
      <c r="N12" s="250"/>
      <c r="O12" s="872" t="s">
        <v>9015</v>
      </c>
      <c r="P12" s="915"/>
      <c r="Q12" s="249"/>
      <c r="R12" s="250"/>
      <c r="S12" s="915"/>
      <c r="T12" s="249"/>
      <c r="U12" s="250"/>
      <c r="V12" s="915"/>
      <c r="W12" s="249"/>
      <c r="X12" s="250"/>
      <c r="Y12" s="877"/>
      <c r="Z12" s="249"/>
      <c r="AA12" s="250"/>
      <c r="AB12" s="877"/>
      <c r="AC12" s="249"/>
      <c r="AD12" s="250"/>
      <c r="AE12" s="872" t="s">
        <v>9015</v>
      </c>
    </row>
    <row r="13">
      <c r="A13" s="872" t="s">
        <v>8865</v>
      </c>
      <c r="B13" s="961" t="s">
        <v>9016</v>
      </c>
      <c r="C13" s="876"/>
      <c r="D13" s="249"/>
      <c r="E13" s="250"/>
      <c r="F13" s="876"/>
      <c r="G13" s="249"/>
      <c r="H13" s="250"/>
      <c r="I13" s="964"/>
      <c r="J13" s="249"/>
      <c r="K13" s="250"/>
      <c r="L13" s="875" t="s">
        <v>9051</v>
      </c>
      <c r="M13" s="249"/>
      <c r="N13" s="250"/>
      <c r="O13" s="872" t="s">
        <v>9016</v>
      </c>
      <c r="P13" s="927" t="s">
        <v>9051</v>
      </c>
      <c r="Q13" s="249"/>
      <c r="R13" s="250"/>
      <c r="S13" s="915"/>
      <c r="T13" s="249"/>
      <c r="U13" s="250"/>
      <c r="V13" s="915"/>
      <c r="W13" s="249"/>
      <c r="X13" s="250"/>
      <c r="Y13" s="877"/>
      <c r="Z13" s="249"/>
      <c r="AA13" s="250"/>
      <c r="AB13" s="877"/>
      <c r="AC13" s="249"/>
      <c r="AD13" s="250"/>
      <c r="AE13" s="872" t="s">
        <v>9016</v>
      </c>
    </row>
    <row r="14">
      <c r="A14" s="872" t="s">
        <v>8867</v>
      </c>
      <c r="B14" s="961" t="s">
        <v>9017</v>
      </c>
      <c r="C14" s="876"/>
      <c r="D14" s="249"/>
      <c r="E14" s="250"/>
      <c r="F14" s="876"/>
      <c r="G14" s="249"/>
      <c r="H14" s="250"/>
      <c r="I14" s="964"/>
      <c r="J14" s="249"/>
      <c r="K14" s="250"/>
      <c r="L14" s="875" t="s">
        <v>9051</v>
      </c>
      <c r="M14" s="249"/>
      <c r="N14" s="250"/>
      <c r="O14" s="872" t="s">
        <v>9017</v>
      </c>
      <c r="P14" s="927" t="s">
        <v>9051</v>
      </c>
      <c r="Q14" s="249"/>
      <c r="R14" s="250"/>
      <c r="S14" s="927" t="s">
        <v>9052</v>
      </c>
      <c r="T14" s="249"/>
      <c r="U14" s="250"/>
      <c r="V14" s="927"/>
      <c r="W14" s="249"/>
      <c r="X14" s="250"/>
      <c r="Y14" s="877"/>
      <c r="Z14" s="249"/>
      <c r="AA14" s="250"/>
      <c r="AB14" s="877"/>
      <c r="AC14" s="249"/>
      <c r="AD14" s="250"/>
      <c r="AE14" s="872" t="s">
        <v>9017</v>
      </c>
    </row>
    <row r="15">
      <c r="A15" s="872" t="s">
        <v>7559</v>
      </c>
      <c r="B15" s="961" t="s">
        <v>9020</v>
      </c>
      <c r="C15" s="876"/>
      <c r="D15" s="249"/>
      <c r="E15" s="250"/>
      <c r="F15" s="875"/>
      <c r="G15" s="249"/>
      <c r="H15" s="250"/>
      <c r="I15" s="876"/>
      <c r="J15" s="249"/>
      <c r="K15" s="250"/>
      <c r="L15" s="875" t="s">
        <v>9051</v>
      </c>
      <c r="M15" s="249"/>
      <c r="N15" s="250"/>
      <c r="O15" s="872" t="s">
        <v>9020</v>
      </c>
      <c r="P15" s="927" t="s">
        <v>9051</v>
      </c>
      <c r="Q15" s="249"/>
      <c r="R15" s="250"/>
      <c r="S15" s="927" t="s">
        <v>9052</v>
      </c>
      <c r="T15" s="249"/>
      <c r="U15" s="250"/>
      <c r="V15" s="927"/>
      <c r="W15" s="249"/>
      <c r="X15" s="250"/>
      <c r="Y15" s="877"/>
      <c r="Z15" s="249"/>
      <c r="AA15" s="250"/>
      <c r="AB15" s="877"/>
      <c r="AC15" s="249"/>
      <c r="AD15" s="250"/>
      <c r="AE15" s="872" t="s">
        <v>9020</v>
      </c>
    </row>
    <row r="16">
      <c r="A16" s="872" t="s">
        <v>8858</v>
      </c>
      <c r="B16" s="961" t="s">
        <v>9023</v>
      </c>
      <c r="C16" s="876"/>
      <c r="D16" s="249"/>
      <c r="E16" s="250"/>
      <c r="F16" s="875"/>
      <c r="G16" s="249"/>
      <c r="H16" s="250"/>
      <c r="I16" s="892"/>
      <c r="J16" s="249"/>
      <c r="K16" s="250"/>
      <c r="L16" s="875"/>
      <c r="M16" s="249"/>
      <c r="N16" s="250"/>
      <c r="O16" s="872" t="s">
        <v>9023</v>
      </c>
      <c r="P16" s="927"/>
      <c r="Q16" s="249"/>
      <c r="R16" s="250"/>
      <c r="S16" s="927"/>
      <c r="T16" s="249"/>
      <c r="U16" s="250"/>
      <c r="V16" s="927"/>
      <c r="W16" s="249"/>
      <c r="X16" s="250"/>
      <c r="Y16" s="877"/>
      <c r="Z16" s="249"/>
      <c r="AA16" s="250"/>
      <c r="AB16" s="877"/>
      <c r="AC16" s="249"/>
      <c r="AD16" s="250"/>
      <c r="AE16" s="872" t="s">
        <v>9023</v>
      </c>
    </row>
    <row r="17">
      <c r="A17" s="872" t="s">
        <v>8861</v>
      </c>
      <c r="B17" s="961" t="s">
        <v>9025</v>
      </c>
      <c r="C17" s="876"/>
      <c r="D17" s="249"/>
      <c r="E17" s="250"/>
      <c r="F17" s="875"/>
      <c r="G17" s="249"/>
      <c r="H17" s="250"/>
      <c r="I17" s="892"/>
      <c r="J17" s="249"/>
      <c r="K17" s="250"/>
      <c r="L17" s="876"/>
      <c r="M17" s="249"/>
      <c r="N17" s="250"/>
      <c r="O17" s="872" t="s">
        <v>9025</v>
      </c>
      <c r="P17" s="927"/>
      <c r="Q17" s="249"/>
      <c r="R17" s="250"/>
      <c r="S17" s="927"/>
      <c r="T17" s="249"/>
      <c r="U17" s="250"/>
      <c r="V17" s="927"/>
      <c r="W17" s="249"/>
      <c r="X17" s="250"/>
      <c r="Y17" s="877"/>
      <c r="Z17" s="249"/>
      <c r="AA17" s="250"/>
      <c r="AB17" s="877"/>
      <c r="AC17" s="249"/>
      <c r="AD17" s="250"/>
      <c r="AE17" s="872" t="s">
        <v>9025</v>
      </c>
    </row>
    <row r="18">
      <c r="A18" s="872" t="s">
        <v>8862</v>
      </c>
      <c r="B18" s="961" t="s">
        <v>9026</v>
      </c>
      <c r="C18" s="876"/>
      <c r="D18" s="249"/>
      <c r="E18" s="250"/>
      <c r="F18" s="875"/>
      <c r="G18" s="249"/>
      <c r="H18" s="250"/>
      <c r="I18" s="892"/>
      <c r="J18" s="249"/>
      <c r="K18" s="250"/>
      <c r="L18" s="876"/>
      <c r="M18" s="249"/>
      <c r="N18" s="250"/>
      <c r="O18" s="872" t="s">
        <v>9026</v>
      </c>
      <c r="P18" s="927"/>
      <c r="Q18" s="249"/>
      <c r="R18" s="250"/>
      <c r="S18" s="927"/>
      <c r="T18" s="249"/>
      <c r="U18" s="250"/>
      <c r="V18" s="915"/>
      <c r="W18" s="249"/>
      <c r="X18" s="250"/>
      <c r="Y18" s="877"/>
      <c r="Z18" s="249"/>
      <c r="AA18" s="250"/>
      <c r="AB18" s="877"/>
      <c r="AC18" s="249"/>
      <c r="AD18" s="250"/>
      <c r="AE18" s="872" t="s">
        <v>9026</v>
      </c>
    </row>
    <row r="19">
      <c r="A19" s="872" t="s">
        <v>8863</v>
      </c>
      <c r="B19" s="961" t="s">
        <v>9027</v>
      </c>
      <c r="C19" s="876"/>
      <c r="D19" s="249"/>
      <c r="E19" s="250"/>
      <c r="F19" s="875"/>
      <c r="G19" s="249"/>
      <c r="H19" s="250"/>
      <c r="I19" s="875" t="s">
        <v>9029</v>
      </c>
      <c r="J19" s="249"/>
      <c r="K19" s="250"/>
      <c r="L19" s="876"/>
      <c r="M19" s="249"/>
      <c r="N19" s="250"/>
      <c r="O19" s="872" t="s">
        <v>9027</v>
      </c>
      <c r="P19" s="965" t="s">
        <v>9029</v>
      </c>
      <c r="Q19" s="249"/>
      <c r="R19" s="250"/>
      <c r="S19" s="915"/>
      <c r="T19" s="249"/>
      <c r="U19" s="250"/>
      <c r="V19" s="915"/>
      <c r="W19" s="249"/>
      <c r="X19" s="250"/>
      <c r="Y19" s="877"/>
      <c r="Z19" s="249"/>
      <c r="AA19" s="250"/>
      <c r="AB19" s="877"/>
      <c r="AC19" s="249"/>
      <c r="AD19" s="250"/>
      <c r="AE19" s="872" t="s">
        <v>9027</v>
      </c>
    </row>
    <row r="20">
      <c r="A20" s="872" t="s">
        <v>8865</v>
      </c>
      <c r="B20" s="961" t="s">
        <v>9028</v>
      </c>
      <c r="C20" s="875"/>
      <c r="D20" s="249"/>
      <c r="E20" s="250"/>
      <c r="F20" s="875" t="s">
        <v>9053</v>
      </c>
      <c r="G20" s="249"/>
      <c r="H20" s="250"/>
      <c r="I20" s="966" t="s">
        <v>9029</v>
      </c>
      <c r="J20" s="249"/>
      <c r="K20" s="250"/>
      <c r="L20" s="876"/>
      <c r="M20" s="249"/>
      <c r="N20" s="250"/>
      <c r="O20" s="872" t="s">
        <v>9028</v>
      </c>
      <c r="P20" s="965" t="s">
        <v>9029</v>
      </c>
      <c r="Q20" s="249"/>
      <c r="R20" s="250"/>
      <c r="S20" s="927" t="s">
        <v>9053</v>
      </c>
      <c r="T20" s="249"/>
      <c r="U20" s="250"/>
      <c r="V20" s="927" t="s">
        <v>9054</v>
      </c>
      <c r="W20" s="249"/>
      <c r="X20" s="250"/>
      <c r="Y20" s="877"/>
      <c r="Z20" s="249"/>
      <c r="AA20" s="250"/>
      <c r="AB20" s="877"/>
      <c r="AC20" s="249"/>
      <c r="AD20" s="250"/>
      <c r="AE20" s="872" t="s">
        <v>9028</v>
      </c>
    </row>
    <row r="21">
      <c r="A21" s="872" t="s">
        <v>8867</v>
      </c>
      <c r="B21" s="961" t="s">
        <v>9030</v>
      </c>
      <c r="C21" s="876"/>
      <c r="D21" s="249"/>
      <c r="E21" s="250"/>
      <c r="F21" s="967" t="s">
        <v>9053</v>
      </c>
      <c r="G21" s="249"/>
      <c r="H21" s="250"/>
      <c r="I21" s="966" t="s">
        <v>9029</v>
      </c>
      <c r="J21" s="249"/>
      <c r="K21" s="250"/>
      <c r="L21" s="875"/>
      <c r="M21" s="249"/>
      <c r="N21" s="250"/>
      <c r="O21" s="872" t="s">
        <v>9030</v>
      </c>
      <c r="P21" s="965" t="s">
        <v>9029</v>
      </c>
      <c r="Q21" s="249"/>
      <c r="R21" s="250"/>
      <c r="S21" s="927" t="s">
        <v>9053</v>
      </c>
      <c r="T21" s="249"/>
      <c r="U21" s="250"/>
      <c r="V21" s="927" t="s">
        <v>9054</v>
      </c>
      <c r="W21" s="249"/>
      <c r="X21" s="250"/>
      <c r="Y21" s="877"/>
      <c r="Z21" s="249"/>
      <c r="AA21" s="250"/>
      <c r="AB21" s="877"/>
      <c r="AC21" s="249"/>
      <c r="AD21" s="250"/>
      <c r="AE21" s="872" t="s">
        <v>9030</v>
      </c>
    </row>
    <row r="22">
      <c r="A22" s="872" t="s">
        <v>7559</v>
      </c>
      <c r="B22" s="961" t="s">
        <v>2309</v>
      </c>
      <c r="C22" s="875"/>
      <c r="D22" s="249"/>
      <c r="E22" s="250"/>
      <c r="F22" s="967" t="s">
        <v>9053</v>
      </c>
      <c r="G22" s="249"/>
      <c r="H22" s="250"/>
      <c r="I22" s="966" t="s">
        <v>9029</v>
      </c>
      <c r="J22" s="249"/>
      <c r="K22" s="250"/>
      <c r="L22" s="875"/>
      <c r="M22" s="249"/>
      <c r="N22" s="250"/>
      <c r="O22" s="872" t="s">
        <v>2309</v>
      </c>
      <c r="P22" s="965" t="s">
        <v>9029</v>
      </c>
      <c r="Q22" s="249"/>
      <c r="R22" s="250"/>
      <c r="S22" s="927" t="s">
        <v>9053</v>
      </c>
      <c r="T22" s="249"/>
      <c r="U22" s="250"/>
      <c r="V22" s="927" t="s">
        <v>9054</v>
      </c>
      <c r="W22" s="249"/>
      <c r="X22" s="250"/>
      <c r="Y22" s="877"/>
      <c r="Z22" s="249"/>
      <c r="AA22" s="250"/>
      <c r="AB22" s="877"/>
      <c r="AC22" s="249"/>
      <c r="AD22" s="250"/>
      <c r="AE22" s="872" t="s">
        <v>2309</v>
      </c>
    </row>
    <row r="23">
      <c r="A23" s="872" t="s">
        <v>8858</v>
      </c>
      <c r="B23" s="961" t="s">
        <v>9034</v>
      </c>
      <c r="C23" s="876"/>
      <c r="D23" s="249"/>
      <c r="E23" s="250"/>
      <c r="F23" s="967" t="s">
        <v>9053</v>
      </c>
      <c r="G23" s="249"/>
      <c r="H23" s="250"/>
      <c r="I23" s="966"/>
      <c r="J23" s="249"/>
      <c r="K23" s="250"/>
      <c r="L23" s="875"/>
      <c r="M23" s="249"/>
      <c r="N23" s="250"/>
      <c r="O23" s="872" t="s">
        <v>9034</v>
      </c>
      <c r="P23" s="968"/>
      <c r="Q23" s="249"/>
      <c r="R23" s="250"/>
      <c r="S23" s="927" t="s">
        <v>9053</v>
      </c>
      <c r="T23" s="249"/>
      <c r="U23" s="250"/>
      <c r="V23" s="927"/>
      <c r="W23" s="249"/>
      <c r="X23" s="250"/>
      <c r="Y23" s="877"/>
      <c r="Z23" s="249"/>
      <c r="AA23" s="250"/>
      <c r="AB23" s="877"/>
      <c r="AC23" s="249"/>
      <c r="AD23" s="250"/>
      <c r="AE23" s="872" t="s">
        <v>9034</v>
      </c>
    </row>
    <row r="24">
      <c r="A24" s="872" t="s">
        <v>8861</v>
      </c>
      <c r="B24" s="961" t="s">
        <v>9035</v>
      </c>
      <c r="C24" s="876"/>
      <c r="D24" s="249"/>
      <c r="E24" s="250"/>
      <c r="F24" s="969"/>
      <c r="G24" s="249"/>
      <c r="H24" s="250"/>
      <c r="I24" s="964"/>
      <c r="J24" s="249"/>
      <c r="K24" s="250"/>
      <c r="L24" s="875"/>
      <c r="M24" s="249"/>
      <c r="N24" s="250"/>
      <c r="O24" s="872" t="s">
        <v>9035</v>
      </c>
      <c r="P24" s="915"/>
      <c r="Q24" s="249"/>
      <c r="R24" s="250"/>
      <c r="S24" s="927"/>
      <c r="T24" s="249"/>
      <c r="U24" s="250"/>
      <c r="V24" s="927"/>
      <c r="W24" s="249"/>
      <c r="X24" s="250"/>
      <c r="Y24" s="877"/>
      <c r="Z24" s="249"/>
      <c r="AA24" s="250"/>
      <c r="AB24" s="877"/>
      <c r="AC24" s="249"/>
      <c r="AD24" s="250"/>
      <c r="AE24" s="872" t="s">
        <v>9035</v>
      </c>
    </row>
    <row r="25">
      <c r="A25" s="872" t="s">
        <v>8862</v>
      </c>
      <c r="B25" s="961" t="s">
        <v>9036</v>
      </c>
      <c r="C25" s="876"/>
      <c r="D25" s="249"/>
      <c r="E25" s="250"/>
      <c r="F25" s="876"/>
      <c r="G25" s="249"/>
      <c r="H25" s="250"/>
      <c r="I25" s="964"/>
      <c r="J25" s="249"/>
      <c r="K25" s="250"/>
      <c r="L25" s="876"/>
      <c r="M25" s="249"/>
      <c r="N25" s="250"/>
      <c r="O25" s="872" t="s">
        <v>9036</v>
      </c>
      <c r="P25" s="915"/>
      <c r="Q25" s="249"/>
      <c r="R25" s="250"/>
      <c r="S25" s="927"/>
      <c r="T25" s="249"/>
      <c r="U25" s="250"/>
      <c r="V25" s="927"/>
      <c r="W25" s="249"/>
      <c r="X25" s="250"/>
      <c r="Y25" s="877"/>
      <c r="Z25" s="249"/>
      <c r="AA25" s="250"/>
      <c r="AB25" s="877"/>
      <c r="AC25" s="249"/>
      <c r="AD25" s="250"/>
      <c r="AE25" s="872" t="s">
        <v>9036</v>
      </c>
    </row>
    <row r="26">
      <c r="A26" s="872" t="s">
        <v>8863</v>
      </c>
      <c r="B26" s="961" t="s">
        <v>9037</v>
      </c>
      <c r="C26" s="876"/>
      <c r="D26" s="249"/>
      <c r="E26" s="250"/>
      <c r="F26" s="876"/>
      <c r="G26" s="249"/>
      <c r="H26" s="250"/>
      <c r="I26" s="892"/>
      <c r="J26" s="249"/>
      <c r="K26" s="250"/>
      <c r="L26" s="875" t="s">
        <v>9055</v>
      </c>
      <c r="M26" s="249"/>
      <c r="N26" s="250"/>
      <c r="O26" s="872" t="s">
        <v>9037</v>
      </c>
      <c r="P26" s="965" t="s">
        <v>9040</v>
      </c>
      <c r="Q26" s="249"/>
      <c r="R26" s="250"/>
      <c r="S26" s="915"/>
      <c r="T26" s="249"/>
      <c r="U26" s="250"/>
      <c r="V26" s="927"/>
      <c r="W26" s="249"/>
      <c r="X26" s="250"/>
      <c r="Y26" s="877"/>
      <c r="Z26" s="249"/>
      <c r="AA26" s="250"/>
      <c r="AB26" s="877"/>
      <c r="AC26" s="249"/>
      <c r="AD26" s="250"/>
      <c r="AE26" s="872" t="s">
        <v>9037</v>
      </c>
    </row>
    <row r="27">
      <c r="A27" s="872" t="s">
        <v>8865</v>
      </c>
      <c r="B27" s="961" t="s">
        <v>9039</v>
      </c>
      <c r="C27" s="876"/>
      <c r="D27" s="249"/>
      <c r="E27" s="250"/>
      <c r="F27" s="876"/>
      <c r="G27" s="249"/>
      <c r="H27" s="250"/>
      <c r="I27" s="892"/>
      <c r="J27" s="249"/>
      <c r="K27" s="250"/>
      <c r="L27" s="875" t="s">
        <v>9056</v>
      </c>
      <c r="M27" s="249"/>
      <c r="N27" s="250"/>
      <c r="O27" s="872" t="s">
        <v>9039</v>
      </c>
      <c r="P27" s="965" t="s">
        <v>6542</v>
      </c>
      <c r="Q27" s="249"/>
      <c r="R27" s="250"/>
      <c r="S27" s="927" t="s">
        <v>9057</v>
      </c>
      <c r="T27" s="249"/>
      <c r="U27" s="250"/>
      <c r="V27" s="915"/>
      <c r="W27" s="249"/>
      <c r="X27" s="250"/>
      <c r="Y27" s="877"/>
      <c r="Z27" s="249"/>
      <c r="AA27" s="250"/>
      <c r="AB27" s="877"/>
      <c r="AC27" s="249"/>
      <c r="AD27" s="250"/>
      <c r="AE27" s="872" t="s">
        <v>9039</v>
      </c>
    </row>
    <row r="28">
      <c r="A28" s="872" t="s">
        <v>8867</v>
      </c>
      <c r="B28" s="961" t="s">
        <v>9041</v>
      </c>
      <c r="C28" s="876"/>
      <c r="D28" s="249"/>
      <c r="E28" s="250"/>
      <c r="F28" s="876"/>
      <c r="G28" s="249"/>
      <c r="H28" s="250"/>
      <c r="I28" s="892"/>
      <c r="J28" s="249"/>
      <c r="K28" s="250"/>
      <c r="L28" s="875" t="s">
        <v>9056</v>
      </c>
      <c r="M28" s="249"/>
      <c r="N28" s="250"/>
      <c r="O28" s="872" t="s">
        <v>9041</v>
      </c>
      <c r="P28" s="965" t="s">
        <v>6542</v>
      </c>
      <c r="Q28" s="249"/>
      <c r="R28" s="250"/>
      <c r="S28" s="927" t="s">
        <v>9057</v>
      </c>
      <c r="T28" s="249"/>
      <c r="U28" s="250"/>
      <c r="V28" s="915"/>
      <c r="W28" s="249"/>
      <c r="X28" s="250"/>
      <c r="Y28" s="877"/>
      <c r="Z28" s="249"/>
      <c r="AA28" s="250"/>
      <c r="AB28" s="877"/>
      <c r="AC28" s="249"/>
      <c r="AD28" s="250"/>
      <c r="AE28" s="872" t="s">
        <v>9041</v>
      </c>
    </row>
    <row r="29">
      <c r="A29" s="872" t="s">
        <v>7559</v>
      </c>
      <c r="B29" s="961" t="s">
        <v>9043</v>
      </c>
      <c r="C29" s="876"/>
      <c r="D29" s="249"/>
      <c r="E29" s="250"/>
      <c r="F29" s="876"/>
      <c r="G29" s="249"/>
      <c r="H29" s="250"/>
      <c r="I29" s="892"/>
      <c r="J29" s="249"/>
      <c r="K29" s="250"/>
      <c r="L29" s="875" t="s">
        <v>9056</v>
      </c>
      <c r="M29" s="249"/>
      <c r="N29" s="250"/>
      <c r="O29" s="872" t="s">
        <v>9043</v>
      </c>
      <c r="P29" s="965" t="s">
        <v>6542</v>
      </c>
      <c r="Q29" s="249"/>
      <c r="R29" s="250"/>
      <c r="S29" s="927" t="s">
        <v>9057</v>
      </c>
      <c r="T29" s="249"/>
      <c r="U29" s="250"/>
      <c r="V29" s="915"/>
      <c r="W29" s="249"/>
      <c r="X29" s="250"/>
      <c r="Y29" s="877"/>
      <c r="Z29" s="249"/>
      <c r="AA29" s="250"/>
      <c r="AB29" s="877"/>
      <c r="AC29" s="249"/>
      <c r="AD29" s="250"/>
      <c r="AE29" s="872" t="s">
        <v>9043</v>
      </c>
    </row>
    <row r="30">
      <c r="A30" s="872" t="s">
        <v>8858</v>
      </c>
      <c r="B30" s="961" t="s">
        <v>9045</v>
      </c>
      <c r="C30" s="876"/>
      <c r="D30" s="249"/>
      <c r="E30" s="250"/>
      <c r="F30" s="876"/>
      <c r="G30" s="249"/>
      <c r="H30" s="250"/>
      <c r="I30" s="964"/>
      <c r="J30" s="249"/>
      <c r="K30" s="250"/>
      <c r="L30" s="876"/>
      <c r="M30" s="249"/>
      <c r="N30" s="250"/>
      <c r="O30" s="872" t="s">
        <v>9045</v>
      </c>
      <c r="P30" s="968"/>
      <c r="Q30" s="249"/>
      <c r="R30" s="250"/>
      <c r="S30" s="927" t="s">
        <v>9057</v>
      </c>
      <c r="T30" s="249"/>
      <c r="U30" s="250"/>
      <c r="V30" s="927"/>
      <c r="W30" s="249"/>
      <c r="X30" s="250"/>
      <c r="Y30" s="874"/>
      <c r="Z30" s="249"/>
      <c r="AA30" s="250"/>
      <c r="AB30" s="877"/>
      <c r="AC30" s="249"/>
      <c r="AD30" s="250"/>
      <c r="AE30" s="872" t="s">
        <v>9045</v>
      </c>
    </row>
    <row r="31">
      <c r="A31" s="872" t="s">
        <v>8861</v>
      </c>
      <c r="B31" s="961" t="s">
        <v>9046</v>
      </c>
      <c r="C31" s="876"/>
      <c r="D31" s="249"/>
      <c r="E31" s="250"/>
      <c r="F31" s="876"/>
      <c r="G31" s="249"/>
      <c r="H31" s="250"/>
      <c r="I31" s="964"/>
      <c r="J31" s="249"/>
      <c r="K31" s="250"/>
      <c r="L31" s="876"/>
      <c r="M31" s="249"/>
      <c r="N31" s="250"/>
      <c r="O31" s="872" t="s">
        <v>9046</v>
      </c>
      <c r="P31" s="915"/>
      <c r="Q31" s="249"/>
      <c r="R31" s="250"/>
      <c r="S31" s="915"/>
      <c r="T31" s="249"/>
      <c r="U31" s="250"/>
      <c r="V31" s="927"/>
      <c r="W31" s="249"/>
      <c r="X31" s="250"/>
      <c r="Y31" s="874"/>
      <c r="Z31" s="249"/>
      <c r="AA31" s="250"/>
      <c r="AB31" s="877"/>
      <c r="AC31" s="249"/>
      <c r="AD31" s="250"/>
      <c r="AE31" s="872" t="s">
        <v>9046</v>
      </c>
    </row>
    <row r="32">
      <c r="A32" s="872" t="s">
        <v>8862</v>
      </c>
      <c r="B32" s="961">
        <v>45200.0</v>
      </c>
      <c r="C32" s="876"/>
      <c r="D32" s="249"/>
      <c r="E32" s="250"/>
      <c r="F32" s="876"/>
      <c r="G32" s="249"/>
      <c r="H32" s="250"/>
      <c r="I32" s="964"/>
      <c r="J32" s="249"/>
      <c r="K32" s="250"/>
      <c r="L32" s="876"/>
      <c r="M32" s="249"/>
      <c r="N32" s="250"/>
      <c r="O32" s="959">
        <v>45200.0</v>
      </c>
      <c r="P32" s="915"/>
      <c r="Q32" s="249"/>
      <c r="R32" s="250"/>
      <c r="S32" s="915"/>
      <c r="T32" s="249"/>
      <c r="U32" s="250"/>
      <c r="V32" s="927"/>
      <c r="W32" s="249"/>
      <c r="X32" s="250"/>
      <c r="Y32" s="874"/>
      <c r="Z32" s="249"/>
      <c r="AA32" s="250"/>
      <c r="AB32" s="877"/>
      <c r="AC32" s="249"/>
      <c r="AD32" s="250"/>
      <c r="AE32" s="959">
        <v>45200.0</v>
      </c>
    </row>
    <row r="33">
      <c r="A33" s="872" t="s">
        <v>8863</v>
      </c>
      <c r="B33" s="961">
        <v>45201.0</v>
      </c>
      <c r="C33" s="876"/>
      <c r="D33" s="249"/>
      <c r="E33" s="250"/>
      <c r="F33" s="875" t="s">
        <v>9048</v>
      </c>
      <c r="G33" s="249"/>
      <c r="H33" s="250"/>
      <c r="I33" s="964"/>
      <c r="J33" s="249"/>
      <c r="K33" s="250"/>
      <c r="L33" s="875" t="s">
        <v>9048</v>
      </c>
      <c r="M33" s="249"/>
      <c r="N33" s="250"/>
      <c r="O33" s="959">
        <v>45201.0</v>
      </c>
      <c r="P33" s="965" t="s">
        <v>9048</v>
      </c>
      <c r="Q33" s="249"/>
      <c r="R33" s="250"/>
      <c r="S33" s="915"/>
      <c r="T33" s="249"/>
      <c r="U33" s="250"/>
      <c r="V33" s="915"/>
      <c r="W33" s="249"/>
      <c r="X33" s="250"/>
      <c r="Y33" s="877"/>
      <c r="Z33" s="249"/>
      <c r="AA33" s="250"/>
      <c r="AB33" s="877"/>
      <c r="AC33" s="249"/>
      <c r="AD33" s="250"/>
      <c r="AE33" s="959">
        <v>45201.0</v>
      </c>
    </row>
    <row r="34">
      <c r="A34" s="872" t="s">
        <v>8865</v>
      </c>
      <c r="B34" s="961">
        <v>45202.0</v>
      </c>
      <c r="C34" s="876"/>
      <c r="D34" s="249"/>
      <c r="E34" s="250"/>
      <c r="F34" s="875" t="s">
        <v>9048</v>
      </c>
      <c r="G34" s="249"/>
      <c r="H34" s="250"/>
      <c r="I34" s="964"/>
      <c r="J34" s="249"/>
      <c r="K34" s="250"/>
      <c r="L34" s="875" t="s">
        <v>9048</v>
      </c>
      <c r="M34" s="249"/>
      <c r="N34" s="250"/>
      <c r="O34" s="959">
        <v>45202.0</v>
      </c>
      <c r="P34" s="965" t="s">
        <v>9048</v>
      </c>
      <c r="Q34" s="249"/>
      <c r="R34" s="250"/>
      <c r="S34" s="968"/>
      <c r="T34" s="249"/>
      <c r="U34" s="250"/>
      <c r="V34" s="915"/>
      <c r="W34" s="249"/>
      <c r="X34" s="250"/>
      <c r="Y34" s="877"/>
      <c r="Z34" s="249"/>
      <c r="AA34" s="250"/>
      <c r="AB34" s="877"/>
      <c r="AC34" s="249"/>
      <c r="AD34" s="250"/>
      <c r="AE34" s="959">
        <v>45202.0</v>
      </c>
    </row>
    <row r="35">
      <c r="A35" s="872" t="s">
        <v>8867</v>
      </c>
      <c r="B35" s="961">
        <v>45203.0</v>
      </c>
      <c r="C35" s="876"/>
      <c r="D35" s="249"/>
      <c r="E35" s="250"/>
      <c r="F35" s="875" t="s">
        <v>9048</v>
      </c>
      <c r="G35" s="249"/>
      <c r="H35" s="250"/>
      <c r="I35" s="964"/>
      <c r="J35" s="249"/>
      <c r="K35" s="250"/>
      <c r="L35" s="875" t="s">
        <v>9048</v>
      </c>
      <c r="M35" s="249"/>
      <c r="N35" s="250"/>
      <c r="O35" s="959">
        <v>45203.0</v>
      </c>
      <c r="P35" s="965" t="s">
        <v>9048</v>
      </c>
      <c r="Q35" s="249"/>
      <c r="R35" s="250"/>
      <c r="S35" s="968"/>
      <c r="T35" s="249"/>
      <c r="U35" s="250"/>
      <c r="V35" s="915"/>
      <c r="W35" s="249"/>
      <c r="X35" s="250"/>
      <c r="Y35" s="877"/>
      <c r="Z35" s="249"/>
      <c r="AA35" s="250"/>
      <c r="AB35" s="877"/>
      <c r="AC35" s="249"/>
      <c r="AD35" s="250"/>
      <c r="AE35" s="959">
        <v>45203.0</v>
      </c>
    </row>
    <row r="36">
      <c r="A36" s="872" t="s">
        <v>7559</v>
      </c>
      <c r="B36" s="961">
        <v>45204.0</v>
      </c>
      <c r="C36" s="876"/>
      <c r="D36" s="249"/>
      <c r="E36" s="250"/>
      <c r="F36" s="876"/>
      <c r="G36" s="249"/>
      <c r="H36" s="250"/>
      <c r="I36" s="964"/>
      <c r="J36" s="249"/>
      <c r="K36" s="250"/>
      <c r="L36" s="875" t="s">
        <v>9048</v>
      </c>
      <c r="M36" s="249"/>
      <c r="N36" s="250"/>
      <c r="O36" s="959">
        <v>45204.0</v>
      </c>
      <c r="P36" s="965" t="s">
        <v>9048</v>
      </c>
      <c r="Q36" s="249"/>
      <c r="R36" s="250"/>
      <c r="S36" s="968"/>
      <c r="T36" s="249"/>
      <c r="U36" s="250"/>
      <c r="V36" s="915"/>
      <c r="W36" s="249"/>
      <c r="X36" s="250"/>
      <c r="Y36" s="877"/>
      <c r="Z36" s="249"/>
      <c r="AA36" s="250"/>
      <c r="AB36" s="877"/>
      <c r="AC36" s="249"/>
      <c r="AD36" s="250"/>
      <c r="AE36" s="959">
        <v>45204.0</v>
      </c>
    </row>
    <row r="37">
      <c r="A37" s="872" t="s">
        <v>8858</v>
      </c>
      <c r="B37" s="961">
        <v>45205.0</v>
      </c>
      <c r="C37" s="876"/>
      <c r="D37" s="249"/>
      <c r="E37" s="250"/>
      <c r="F37" s="966"/>
      <c r="G37" s="249"/>
      <c r="H37" s="250"/>
      <c r="I37" s="966"/>
      <c r="J37" s="249"/>
      <c r="K37" s="250"/>
      <c r="L37" s="875" t="s">
        <v>9048</v>
      </c>
      <c r="M37" s="249"/>
      <c r="N37" s="250"/>
      <c r="O37" s="959">
        <v>45205.0</v>
      </c>
      <c r="P37" s="965" t="s">
        <v>9048</v>
      </c>
      <c r="Q37" s="249"/>
      <c r="R37" s="250"/>
      <c r="S37" s="968"/>
      <c r="T37" s="249"/>
      <c r="U37" s="250"/>
      <c r="V37" s="915"/>
      <c r="W37" s="249"/>
      <c r="X37" s="250"/>
      <c r="Y37" s="877"/>
      <c r="Z37" s="249"/>
      <c r="AA37" s="250"/>
      <c r="AB37" s="877"/>
      <c r="AC37" s="249"/>
      <c r="AD37" s="250"/>
      <c r="AE37" s="959">
        <v>45205.0</v>
      </c>
    </row>
    <row r="38">
      <c r="A38" s="872" t="s">
        <v>8861</v>
      </c>
      <c r="B38" s="961">
        <v>45206.0</v>
      </c>
      <c r="C38" s="876"/>
      <c r="D38" s="249"/>
      <c r="E38" s="250"/>
      <c r="F38" s="875"/>
      <c r="G38" s="249"/>
      <c r="H38" s="250"/>
      <c r="I38" s="964"/>
      <c r="J38" s="249"/>
      <c r="K38" s="250"/>
      <c r="L38" s="876"/>
      <c r="M38" s="249"/>
      <c r="N38" s="250"/>
      <c r="O38" s="959">
        <v>45206.0</v>
      </c>
      <c r="P38" s="915"/>
      <c r="Q38" s="249"/>
      <c r="R38" s="250"/>
      <c r="S38" s="915"/>
      <c r="T38" s="249"/>
      <c r="U38" s="250"/>
      <c r="V38" s="915"/>
      <c r="W38" s="249"/>
      <c r="X38" s="250"/>
      <c r="Y38" s="877"/>
      <c r="Z38" s="249"/>
      <c r="AA38" s="250"/>
      <c r="AB38" s="877"/>
      <c r="AC38" s="249"/>
      <c r="AD38" s="250"/>
      <c r="AE38" s="959">
        <v>45206.0</v>
      </c>
    </row>
    <row r="39">
      <c r="A39" s="872" t="s">
        <v>8862</v>
      </c>
      <c r="B39" s="961">
        <v>45207.0</v>
      </c>
      <c r="C39" s="876"/>
      <c r="D39" s="249"/>
      <c r="E39" s="250"/>
      <c r="F39" s="875"/>
      <c r="G39" s="249"/>
      <c r="H39" s="250"/>
      <c r="I39" s="892"/>
      <c r="J39" s="249"/>
      <c r="K39" s="250"/>
      <c r="L39" s="876"/>
      <c r="M39" s="249"/>
      <c r="N39" s="250"/>
      <c r="O39" s="959">
        <v>45207.0</v>
      </c>
      <c r="P39" s="915"/>
      <c r="Q39" s="249"/>
      <c r="R39" s="250"/>
      <c r="S39" s="915"/>
      <c r="T39" s="249"/>
      <c r="U39" s="250"/>
      <c r="V39" s="915"/>
      <c r="W39" s="249"/>
      <c r="X39" s="250"/>
      <c r="Y39" s="877"/>
      <c r="Z39" s="249"/>
      <c r="AA39" s="250"/>
      <c r="AB39" s="877"/>
      <c r="AC39" s="249"/>
      <c r="AD39" s="250"/>
      <c r="AE39" s="959">
        <v>45207.0</v>
      </c>
    </row>
    <row r="40">
      <c r="A40" s="872" t="s">
        <v>8863</v>
      </c>
      <c r="B40" s="961">
        <v>45208.0</v>
      </c>
      <c r="C40" s="876"/>
      <c r="D40" s="249"/>
      <c r="E40" s="250"/>
      <c r="F40" s="875" t="s">
        <v>9058</v>
      </c>
      <c r="G40" s="249"/>
      <c r="H40" s="250"/>
      <c r="I40" s="875" t="s">
        <v>1571</v>
      </c>
      <c r="J40" s="249"/>
      <c r="K40" s="250"/>
      <c r="L40" s="876"/>
      <c r="M40" s="249"/>
      <c r="N40" s="250"/>
      <c r="O40" s="959">
        <v>45208.0</v>
      </c>
      <c r="P40" s="965" t="s">
        <v>1571</v>
      </c>
      <c r="Q40" s="249"/>
      <c r="R40" s="250"/>
      <c r="S40" s="927"/>
      <c r="T40" s="249"/>
      <c r="U40" s="250"/>
      <c r="V40" s="915"/>
      <c r="W40" s="249"/>
      <c r="X40" s="250"/>
      <c r="Y40" s="877"/>
      <c r="Z40" s="249"/>
      <c r="AA40" s="250"/>
      <c r="AB40" s="877"/>
      <c r="AC40" s="249"/>
      <c r="AD40" s="250"/>
      <c r="AE40" s="959">
        <v>45208.0</v>
      </c>
    </row>
    <row r="41">
      <c r="A41" s="872" t="s">
        <v>8865</v>
      </c>
      <c r="B41" s="961">
        <v>45209.0</v>
      </c>
      <c r="C41" s="876"/>
      <c r="D41" s="249"/>
      <c r="E41" s="250"/>
      <c r="F41" s="875" t="s">
        <v>9058</v>
      </c>
      <c r="G41" s="249"/>
      <c r="H41" s="250"/>
      <c r="I41" s="875" t="s">
        <v>1571</v>
      </c>
      <c r="J41" s="249"/>
      <c r="K41" s="250"/>
      <c r="L41" s="966"/>
      <c r="M41" s="249"/>
      <c r="N41" s="250"/>
      <c r="O41" s="959">
        <v>45209.0</v>
      </c>
      <c r="P41" s="965" t="s">
        <v>1571</v>
      </c>
      <c r="Q41" s="249"/>
      <c r="R41" s="250"/>
      <c r="S41" s="927"/>
      <c r="T41" s="249"/>
      <c r="U41" s="250"/>
      <c r="V41" s="927"/>
      <c r="W41" s="249"/>
      <c r="X41" s="250"/>
      <c r="Y41" s="874"/>
      <c r="Z41" s="249"/>
      <c r="AA41" s="250"/>
      <c r="AB41" s="874"/>
      <c r="AC41" s="249"/>
      <c r="AD41" s="250"/>
      <c r="AE41" s="959">
        <v>45209.0</v>
      </c>
    </row>
    <row r="42">
      <c r="A42" s="872" t="s">
        <v>8867</v>
      </c>
      <c r="B42" s="961">
        <v>45210.0</v>
      </c>
      <c r="C42" s="875"/>
      <c r="D42" s="249"/>
      <c r="E42" s="250"/>
      <c r="F42" s="875" t="s">
        <v>9058</v>
      </c>
      <c r="G42" s="249"/>
      <c r="H42" s="250"/>
      <c r="I42" s="875" t="s">
        <v>1571</v>
      </c>
      <c r="J42" s="249"/>
      <c r="K42" s="250"/>
      <c r="L42" s="966"/>
      <c r="M42" s="249"/>
      <c r="N42" s="250"/>
      <c r="O42" s="959">
        <v>45210.0</v>
      </c>
      <c r="P42" s="965" t="s">
        <v>1571</v>
      </c>
      <c r="Q42" s="249"/>
      <c r="R42" s="250"/>
      <c r="S42" s="927"/>
      <c r="T42" s="249"/>
      <c r="U42" s="250"/>
      <c r="V42" s="927"/>
      <c r="W42" s="249"/>
      <c r="X42" s="250"/>
      <c r="Y42" s="874"/>
      <c r="Z42" s="249"/>
      <c r="AA42" s="250"/>
      <c r="AB42" s="874"/>
      <c r="AC42" s="249"/>
      <c r="AD42" s="250"/>
      <c r="AE42" s="959">
        <v>45210.0</v>
      </c>
    </row>
    <row r="43">
      <c r="A43" s="872" t="s">
        <v>7559</v>
      </c>
      <c r="B43" s="961">
        <v>45211.0</v>
      </c>
      <c r="C43" s="876"/>
      <c r="D43" s="249"/>
      <c r="E43" s="250"/>
      <c r="F43" s="875" t="s">
        <v>9058</v>
      </c>
      <c r="G43" s="249"/>
      <c r="H43" s="250"/>
      <c r="I43" s="875" t="s">
        <v>1571</v>
      </c>
      <c r="J43" s="249"/>
      <c r="K43" s="250"/>
      <c r="L43" s="966"/>
      <c r="M43" s="249"/>
      <c r="N43" s="250"/>
      <c r="O43" s="959">
        <v>45211.0</v>
      </c>
      <c r="P43" s="965" t="s">
        <v>1571</v>
      </c>
      <c r="Q43" s="249"/>
      <c r="R43" s="250"/>
      <c r="S43" s="927"/>
      <c r="T43" s="249"/>
      <c r="U43" s="250"/>
      <c r="V43" s="927"/>
      <c r="W43" s="249"/>
      <c r="X43" s="250"/>
      <c r="Y43" s="874"/>
      <c r="Z43" s="249"/>
      <c r="AA43" s="250"/>
      <c r="AB43" s="874"/>
      <c r="AC43" s="249"/>
      <c r="AD43" s="250"/>
      <c r="AE43" s="959">
        <v>45211.0</v>
      </c>
    </row>
    <row r="44">
      <c r="A44" s="872" t="s">
        <v>8858</v>
      </c>
      <c r="B44" s="961">
        <v>45212.0</v>
      </c>
      <c r="C44" s="949"/>
      <c r="D44" s="249"/>
      <c r="E44" s="250"/>
      <c r="F44" s="933"/>
      <c r="G44" s="249"/>
      <c r="H44" s="250"/>
      <c r="I44" s="933"/>
      <c r="J44" s="249"/>
      <c r="K44" s="250"/>
      <c r="L44" s="949"/>
      <c r="M44" s="249"/>
      <c r="N44" s="250"/>
      <c r="O44" s="959">
        <v>45212.0</v>
      </c>
      <c r="P44" s="965" t="s">
        <v>1571</v>
      </c>
      <c r="Q44" s="249"/>
      <c r="R44" s="250"/>
      <c r="S44" s="927"/>
      <c r="T44" s="249"/>
      <c r="U44" s="250"/>
      <c r="V44" s="915"/>
      <c r="W44" s="249"/>
      <c r="X44" s="250"/>
      <c r="Y44" s="874"/>
      <c r="Z44" s="249"/>
      <c r="AA44" s="250"/>
      <c r="AB44" s="874"/>
      <c r="AC44" s="249"/>
      <c r="AD44" s="250"/>
      <c r="AE44" s="959">
        <v>45212.0</v>
      </c>
    </row>
    <row r="45">
      <c r="A45" s="872" t="s">
        <v>8861</v>
      </c>
      <c r="B45" s="961">
        <v>45213.0</v>
      </c>
      <c r="C45" s="949"/>
      <c r="D45" s="249"/>
      <c r="E45" s="250"/>
      <c r="F45" s="933"/>
      <c r="G45" s="249"/>
      <c r="H45" s="250"/>
      <c r="I45" s="933"/>
      <c r="J45" s="249"/>
      <c r="K45" s="250"/>
      <c r="L45" s="949"/>
      <c r="M45" s="249"/>
      <c r="N45" s="250"/>
      <c r="O45" s="959">
        <v>45213.0</v>
      </c>
      <c r="P45" s="968"/>
      <c r="Q45" s="249"/>
      <c r="R45" s="250"/>
      <c r="S45" s="927"/>
      <c r="T45" s="249"/>
      <c r="U45" s="250"/>
      <c r="V45" s="915"/>
      <c r="W45" s="249"/>
      <c r="X45" s="250"/>
      <c r="Y45" s="874"/>
      <c r="Z45" s="249"/>
      <c r="AA45" s="250"/>
      <c r="AB45" s="874"/>
      <c r="AC45" s="249"/>
      <c r="AD45" s="250"/>
      <c r="AE45" s="959">
        <v>45213.0</v>
      </c>
    </row>
    <row r="46">
      <c r="A46" s="872" t="s">
        <v>8862</v>
      </c>
      <c r="B46" s="961">
        <v>45214.0</v>
      </c>
      <c r="C46" s="949"/>
      <c r="D46" s="249"/>
      <c r="E46" s="250"/>
      <c r="F46" s="933"/>
      <c r="G46" s="249"/>
      <c r="H46" s="250"/>
      <c r="I46" s="933"/>
      <c r="J46" s="249"/>
      <c r="K46" s="250"/>
      <c r="L46" s="949"/>
      <c r="M46" s="249"/>
      <c r="N46" s="250"/>
      <c r="O46" s="959">
        <v>45214.0</v>
      </c>
      <c r="P46" s="927"/>
      <c r="Q46" s="249"/>
      <c r="R46" s="250"/>
      <c r="S46" s="927"/>
      <c r="T46" s="249"/>
      <c r="U46" s="250"/>
      <c r="V46" s="927"/>
      <c r="W46" s="249"/>
      <c r="X46" s="250"/>
      <c r="Y46" s="874"/>
      <c r="Z46" s="249"/>
      <c r="AA46" s="250"/>
      <c r="AB46" s="874"/>
      <c r="AC46" s="249"/>
      <c r="AD46" s="250"/>
      <c r="AE46" s="959">
        <v>45214.0</v>
      </c>
    </row>
    <row r="47">
      <c r="A47" s="872" t="s">
        <v>8863</v>
      </c>
      <c r="B47" s="961">
        <v>45215.0</v>
      </c>
      <c r="C47" s="949"/>
      <c r="D47" s="249"/>
      <c r="E47" s="250"/>
      <c r="F47" s="933"/>
      <c r="G47" s="249"/>
      <c r="H47" s="250"/>
      <c r="I47" s="933"/>
      <c r="J47" s="249"/>
      <c r="K47" s="250"/>
      <c r="L47" s="949"/>
      <c r="M47" s="249"/>
      <c r="N47" s="250"/>
      <c r="O47" s="959">
        <v>45215.0</v>
      </c>
      <c r="P47" s="927"/>
      <c r="Q47" s="249"/>
      <c r="R47" s="250"/>
      <c r="S47" s="915"/>
      <c r="T47" s="249"/>
      <c r="U47" s="250"/>
      <c r="V47" s="915"/>
      <c r="W47" s="249"/>
      <c r="X47" s="250"/>
      <c r="Y47" s="874"/>
      <c r="Z47" s="249"/>
      <c r="AA47" s="250"/>
      <c r="AB47" s="874"/>
      <c r="AC47" s="249"/>
      <c r="AD47" s="250"/>
      <c r="AE47" s="959">
        <v>45215.0</v>
      </c>
    </row>
    <row r="48">
      <c r="A48" s="872" t="s">
        <v>8865</v>
      </c>
      <c r="B48" s="961">
        <v>45216.0</v>
      </c>
      <c r="C48" s="949"/>
      <c r="D48" s="249"/>
      <c r="E48" s="250"/>
      <c r="F48" s="949"/>
      <c r="G48" s="249"/>
      <c r="H48" s="250"/>
      <c r="I48" s="933"/>
      <c r="J48" s="249"/>
      <c r="K48" s="250"/>
      <c r="L48" s="949"/>
      <c r="M48" s="249"/>
      <c r="N48" s="250"/>
      <c r="O48" s="959">
        <v>45216.0</v>
      </c>
      <c r="P48" s="927"/>
      <c r="Q48" s="249"/>
      <c r="R48" s="250"/>
      <c r="S48" s="915"/>
      <c r="T48" s="249"/>
      <c r="U48" s="250"/>
      <c r="V48" s="915"/>
      <c r="W48" s="249"/>
      <c r="X48" s="250"/>
      <c r="Y48" s="874"/>
      <c r="Z48" s="249"/>
      <c r="AA48" s="250"/>
      <c r="AB48" s="874"/>
      <c r="AC48" s="249"/>
      <c r="AD48" s="250"/>
      <c r="AE48" s="959">
        <v>45216.0</v>
      </c>
    </row>
    <row r="49">
      <c r="A49" s="872" t="s">
        <v>8867</v>
      </c>
      <c r="B49" s="961">
        <v>45217.0</v>
      </c>
      <c r="C49" s="970" t="s">
        <v>9059</v>
      </c>
      <c r="D49" s="249"/>
      <c r="E49" s="250"/>
      <c r="F49" s="970" t="s">
        <v>9059</v>
      </c>
      <c r="G49" s="249"/>
      <c r="H49" s="250"/>
      <c r="I49" s="970" t="s">
        <v>9059</v>
      </c>
      <c r="J49" s="249"/>
      <c r="K49" s="250"/>
      <c r="L49" s="970" t="s">
        <v>9059</v>
      </c>
      <c r="M49" s="249"/>
      <c r="N49" s="250"/>
      <c r="O49" s="959">
        <v>45217.0</v>
      </c>
      <c r="P49" s="971" t="s">
        <v>9059</v>
      </c>
      <c r="Q49" s="249"/>
      <c r="R49" s="250"/>
      <c r="S49" s="915"/>
      <c r="T49" s="249"/>
      <c r="U49" s="250"/>
      <c r="V49" s="915"/>
      <c r="W49" s="249"/>
      <c r="X49" s="250"/>
      <c r="Y49" s="877"/>
      <c r="Z49" s="249"/>
      <c r="AA49" s="250"/>
      <c r="AB49" s="877"/>
      <c r="AC49" s="249"/>
      <c r="AD49" s="250"/>
      <c r="AE49" s="959">
        <v>45217.0</v>
      </c>
    </row>
    <row r="50">
      <c r="A50" s="872" t="s">
        <v>7559</v>
      </c>
      <c r="B50" s="961">
        <v>45218.0</v>
      </c>
      <c r="C50" s="949"/>
      <c r="D50" s="249"/>
      <c r="E50" s="250"/>
      <c r="F50" s="949"/>
      <c r="G50" s="249"/>
      <c r="H50" s="250"/>
      <c r="I50" s="963"/>
      <c r="J50" s="249"/>
      <c r="K50" s="250"/>
      <c r="L50" s="949"/>
      <c r="M50" s="249"/>
      <c r="N50" s="250"/>
      <c r="O50" s="959">
        <v>45218.0</v>
      </c>
      <c r="P50" s="915"/>
      <c r="Q50" s="249"/>
      <c r="R50" s="250"/>
      <c r="S50" s="915"/>
      <c r="T50" s="249"/>
      <c r="U50" s="250"/>
      <c r="V50" s="915"/>
      <c r="W50" s="249"/>
      <c r="X50" s="250"/>
      <c r="Y50" s="877"/>
      <c r="Z50" s="249"/>
      <c r="AA50" s="250"/>
      <c r="AB50" s="877"/>
      <c r="AC50" s="249"/>
      <c r="AD50" s="250"/>
      <c r="AE50" s="959">
        <v>45218.0</v>
      </c>
    </row>
    <row r="51">
      <c r="A51" s="872" t="s">
        <v>8858</v>
      </c>
      <c r="B51" s="961">
        <v>45219.0</v>
      </c>
      <c r="C51" s="949"/>
      <c r="D51" s="249"/>
      <c r="E51" s="250"/>
      <c r="F51" s="949"/>
      <c r="G51" s="249"/>
      <c r="H51" s="250"/>
      <c r="I51" s="963"/>
      <c r="J51" s="249"/>
      <c r="K51" s="250"/>
      <c r="L51" s="949"/>
      <c r="M51" s="249"/>
      <c r="N51" s="250"/>
      <c r="O51" s="959">
        <v>45219.0</v>
      </c>
      <c r="P51" s="915"/>
      <c r="Q51" s="249"/>
      <c r="R51" s="250"/>
      <c r="S51" s="915"/>
      <c r="T51" s="249"/>
      <c r="U51" s="250"/>
      <c r="V51" s="927"/>
      <c r="W51" s="249"/>
      <c r="X51" s="250"/>
      <c r="Y51" s="874"/>
      <c r="Z51" s="249"/>
      <c r="AA51" s="250"/>
      <c r="AB51" s="874"/>
      <c r="AC51" s="249"/>
      <c r="AD51" s="250"/>
      <c r="AE51" s="959">
        <v>45219.0</v>
      </c>
    </row>
    <row r="52">
      <c r="A52" s="872" t="s">
        <v>8861</v>
      </c>
      <c r="B52" s="961">
        <v>45220.0</v>
      </c>
      <c r="C52" s="949"/>
      <c r="D52" s="249"/>
      <c r="E52" s="250"/>
      <c r="F52" s="949"/>
      <c r="G52" s="249"/>
      <c r="H52" s="250"/>
      <c r="I52" s="933"/>
      <c r="J52" s="249"/>
      <c r="K52" s="250"/>
      <c r="L52" s="949"/>
      <c r="M52" s="249"/>
      <c r="N52" s="250"/>
      <c r="O52" s="959">
        <v>45220.0</v>
      </c>
      <c r="P52" s="915"/>
      <c r="Q52" s="249"/>
      <c r="R52" s="250"/>
      <c r="S52" s="915"/>
      <c r="T52" s="249"/>
      <c r="U52" s="250"/>
      <c r="V52" s="927"/>
      <c r="W52" s="249"/>
      <c r="X52" s="250"/>
      <c r="Y52" s="874"/>
      <c r="Z52" s="249"/>
      <c r="AA52" s="250"/>
      <c r="AB52" s="874"/>
      <c r="AC52" s="249"/>
      <c r="AD52" s="250"/>
      <c r="AE52" s="959">
        <v>45220.0</v>
      </c>
    </row>
    <row r="53">
      <c r="A53" s="872" t="s">
        <v>8862</v>
      </c>
      <c r="B53" s="961">
        <v>45221.0</v>
      </c>
      <c r="C53" s="933"/>
      <c r="D53" s="249"/>
      <c r="E53" s="250"/>
      <c r="F53" s="933"/>
      <c r="G53" s="249"/>
      <c r="H53" s="250"/>
      <c r="I53" s="933"/>
      <c r="J53" s="249"/>
      <c r="K53" s="250"/>
      <c r="L53" s="933"/>
      <c r="M53" s="249"/>
      <c r="N53" s="250"/>
      <c r="O53" s="959">
        <v>45221.0</v>
      </c>
      <c r="P53" s="915"/>
      <c r="Q53" s="249"/>
      <c r="R53" s="250"/>
      <c r="S53" s="927"/>
      <c r="T53" s="249"/>
      <c r="U53" s="250"/>
      <c r="V53" s="927"/>
      <c r="W53" s="249"/>
      <c r="X53" s="250"/>
      <c r="Y53" s="874"/>
      <c r="Z53" s="249"/>
      <c r="AA53" s="250"/>
      <c r="AB53" s="874"/>
      <c r="AC53" s="249"/>
      <c r="AD53" s="250"/>
      <c r="AE53" s="959">
        <v>45221.0</v>
      </c>
    </row>
    <row r="54">
      <c r="A54" s="872" t="s">
        <v>8863</v>
      </c>
      <c r="B54" s="961">
        <v>45222.0</v>
      </c>
      <c r="C54" s="949"/>
      <c r="D54" s="249"/>
      <c r="E54" s="250"/>
      <c r="F54" s="949"/>
      <c r="G54" s="249"/>
      <c r="H54" s="250"/>
      <c r="I54" s="933"/>
      <c r="J54" s="249"/>
      <c r="K54" s="250"/>
      <c r="L54" s="949"/>
      <c r="M54" s="249"/>
      <c r="N54" s="250"/>
      <c r="O54" s="959">
        <v>45222.0</v>
      </c>
      <c r="P54" s="927"/>
      <c r="Q54" s="249"/>
      <c r="R54" s="250"/>
      <c r="S54" s="927"/>
      <c r="T54" s="249"/>
      <c r="U54" s="250"/>
      <c r="V54" s="927"/>
      <c r="W54" s="249"/>
      <c r="X54" s="250"/>
      <c r="Y54" s="874"/>
      <c r="Z54" s="249"/>
      <c r="AA54" s="250"/>
      <c r="AB54" s="874"/>
      <c r="AC54" s="249"/>
      <c r="AD54" s="250"/>
      <c r="AE54" s="959">
        <v>45222.0</v>
      </c>
    </row>
    <row r="55">
      <c r="A55" s="872" t="s">
        <v>8865</v>
      </c>
      <c r="B55" s="961">
        <v>45223.0</v>
      </c>
      <c r="C55" s="949"/>
      <c r="D55" s="249"/>
      <c r="E55" s="250"/>
      <c r="F55" s="949"/>
      <c r="G55" s="249"/>
      <c r="H55" s="250"/>
      <c r="I55" s="933"/>
      <c r="J55" s="249"/>
      <c r="K55" s="250"/>
      <c r="L55" s="949"/>
      <c r="M55" s="249"/>
      <c r="N55" s="250"/>
      <c r="O55" s="959">
        <v>45223.0</v>
      </c>
      <c r="P55" s="874"/>
      <c r="Q55" s="249"/>
      <c r="R55" s="250"/>
      <c r="S55" s="874"/>
      <c r="T55" s="249"/>
      <c r="U55" s="250"/>
      <c r="V55" s="874"/>
      <c r="W55" s="249"/>
      <c r="X55" s="250"/>
      <c r="Y55" s="874"/>
      <c r="Z55" s="249"/>
      <c r="AA55" s="250"/>
      <c r="AB55" s="874"/>
      <c r="AC55" s="249"/>
      <c r="AD55" s="250"/>
      <c r="AE55" s="959">
        <v>45223.0</v>
      </c>
    </row>
    <row r="56">
      <c r="A56" s="872" t="s">
        <v>8867</v>
      </c>
      <c r="B56" s="961">
        <v>45224.0</v>
      </c>
      <c r="C56" s="949"/>
      <c r="D56" s="249"/>
      <c r="E56" s="250"/>
      <c r="F56" s="949"/>
      <c r="G56" s="249"/>
      <c r="H56" s="250"/>
      <c r="I56" s="949"/>
      <c r="J56" s="249"/>
      <c r="K56" s="250"/>
      <c r="L56" s="949"/>
      <c r="M56" s="249"/>
      <c r="N56" s="250"/>
      <c r="O56" s="959">
        <v>45224.0</v>
      </c>
      <c r="P56" s="874"/>
      <c r="Q56" s="249"/>
      <c r="R56" s="250"/>
      <c r="S56" s="874"/>
      <c r="T56" s="249"/>
      <c r="U56" s="250"/>
      <c r="V56" s="877"/>
      <c r="W56" s="249"/>
      <c r="X56" s="250"/>
      <c r="Y56" s="874"/>
      <c r="Z56" s="249"/>
      <c r="AA56" s="250"/>
      <c r="AB56" s="874"/>
      <c r="AC56" s="249"/>
      <c r="AD56" s="250"/>
      <c r="AE56" s="959">
        <v>45224.0</v>
      </c>
    </row>
    <row r="57">
      <c r="A57" s="872" t="s">
        <v>7559</v>
      </c>
      <c r="B57" s="961">
        <v>45225.0</v>
      </c>
      <c r="C57" s="949"/>
      <c r="D57" s="249"/>
      <c r="E57" s="250"/>
      <c r="F57" s="949"/>
      <c r="G57" s="249"/>
      <c r="H57" s="250"/>
      <c r="I57" s="949"/>
      <c r="J57" s="249"/>
      <c r="K57" s="250"/>
      <c r="L57" s="949"/>
      <c r="M57" s="249"/>
      <c r="N57" s="250"/>
      <c r="O57" s="959">
        <v>45225.0</v>
      </c>
      <c r="P57" s="874"/>
      <c r="Q57" s="249"/>
      <c r="R57" s="250"/>
      <c r="S57" s="874"/>
      <c r="T57" s="249"/>
      <c r="U57" s="250"/>
      <c r="V57" s="877"/>
      <c r="W57" s="249"/>
      <c r="X57" s="250"/>
      <c r="Y57" s="874"/>
      <c r="Z57" s="249"/>
      <c r="AA57" s="250"/>
      <c r="AB57" s="874"/>
      <c r="AC57" s="249"/>
      <c r="AD57" s="250"/>
      <c r="AE57" s="959">
        <v>45225.0</v>
      </c>
    </row>
    <row r="58">
      <c r="A58" s="872" t="s">
        <v>8858</v>
      </c>
      <c r="B58" s="961">
        <v>45226.0</v>
      </c>
      <c r="C58" s="949"/>
      <c r="D58" s="249"/>
      <c r="E58" s="250"/>
      <c r="F58" s="949"/>
      <c r="G58" s="249"/>
      <c r="H58" s="250"/>
      <c r="I58" s="949"/>
      <c r="J58" s="249"/>
      <c r="K58" s="250"/>
      <c r="L58" s="949"/>
      <c r="M58" s="249"/>
      <c r="N58" s="250"/>
      <c r="O58" s="959">
        <v>45226.0</v>
      </c>
      <c r="P58" s="874"/>
      <c r="Q58" s="249"/>
      <c r="R58" s="250"/>
      <c r="S58" s="874"/>
      <c r="T58" s="249"/>
      <c r="U58" s="250"/>
      <c r="V58" s="874"/>
      <c r="W58" s="249"/>
      <c r="X58" s="250"/>
      <c r="Y58" s="874"/>
      <c r="Z58" s="249"/>
      <c r="AA58" s="250"/>
      <c r="AB58" s="874"/>
      <c r="AC58" s="249"/>
      <c r="AD58" s="250"/>
      <c r="AE58" s="959">
        <v>45226.0</v>
      </c>
    </row>
    <row r="59">
      <c r="A59" s="872" t="s">
        <v>8861</v>
      </c>
      <c r="B59" s="961">
        <v>45227.0</v>
      </c>
      <c r="C59" s="949"/>
      <c r="D59" s="249"/>
      <c r="E59" s="250"/>
      <c r="F59" s="949"/>
      <c r="G59" s="249"/>
      <c r="H59" s="250"/>
      <c r="I59" s="933"/>
      <c r="J59" s="249"/>
      <c r="K59" s="250"/>
      <c r="L59" s="933"/>
      <c r="M59" s="249"/>
      <c r="N59" s="250"/>
      <c r="O59" s="959">
        <v>45227.0</v>
      </c>
      <c r="P59" s="874"/>
      <c r="Q59" s="249"/>
      <c r="R59" s="250"/>
      <c r="S59" s="874"/>
      <c r="T59" s="249"/>
      <c r="U59" s="250"/>
      <c r="V59" s="874"/>
      <c r="W59" s="249"/>
      <c r="X59" s="250"/>
      <c r="Y59" s="874"/>
      <c r="Z59" s="249"/>
      <c r="AA59" s="250"/>
      <c r="AB59" s="874"/>
      <c r="AC59" s="249"/>
      <c r="AD59" s="250"/>
      <c r="AE59" s="959">
        <v>45227.0</v>
      </c>
    </row>
    <row r="60">
      <c r="A60" s="872" t="s">
        <v>8862</v>
      </c>
      <c r="B60" s="961">
        <v>45228.0</v>
      </c>
      <c r="C60" s="933"/>
      <c r="D60" s="249"/>
      <c r="E60" s="250"/>
      <c r="F60" s="933"/>
      <c r="G60" s="249"/>
      <c r="H60" s="250"/>
      <c r="I60" s="933"/>
      <c r="J60" s="249"/>
      <c r="K60" s="250"/>
      <c r="L60" s="933"/>
      <c r="M60" s="249"/>
      <c r="N60" s="250"/>
      <c r="O60" s="959">
        <v>45228.0</v>
      </c>
      <c r="P60" s="874"/>
      <c r="Q60" s="249"/>
      <c r="R60" s="250"/>
      <c r="S60" s="874"/>
      <c r="T60" s="249"/>
      <c r="U60" s="250"/>
      <c r="V60" s="874"/>
      <c r="W60" s="249"/>
      <c r="X60" s="250"/>
      <c r="Y60" s="874"/>
      <c r="Z60" s="249"/>
      <c r="AA60" s="250"/>
      <c r="AB60" s="874"/>
      <c r="AC60" s="249"/>
      <c r="AD60" s="250"/>
      <c r="AE60" s="959">
        <v>45228.0</v>
      </c>
    </row>
    <row r="61">
      <c r="A61" s="872" t="s">
        <v>8863</v>
      </c>
      <c r="B61" s="961">
        <v>45229.0</v>
      </c>
      <c r="C61" s="949"/>
      <c r="D61" s="249"/>
      <c r="E61" s="250"/>
      <c r="F61" s="949"/>
      <c r="G61" s="249"/>
      <c r="H61" s="250"/>
      <c r="I61" s="933"/>
      <c r="J61" s="249"/>
      <c r="K61" s="250"/>
      <c r="L61" s="933"/>
      <c r="M61" s="249"/>
      <c r="N61" s="250"/>
      <c r="O61" s="959">
        <v>45229.0</v>
      </c>
      <c r="P61" s="877"/>
      <c r="Q61" s="249"/>
      <c r="R61" s="250"/>
      <c r="S61" s="874"/>
      <c r="T61" s="249"/>
      <c r="U61" s="250"/>
      <c r="V61" s="874"/>
      <c r="W61" s="249"/>
      <c r="X61" s="250"/>
      <c r="Y61" s="874"/>
      <c r="Z61" s="249"/>
      <c r="AA61" s="250"/>
      <c r="AB61" s="874"/>
      <c r="AC61" s="249"/>
      <c r="AD61" s="250"/>
      <c r="AE61" s="959">
        <v>45229.0</v>
      </c>
    </row>
    <row r="62">
      <c r="A62" s="872" t="s">
        <v>8865</v>
      </c>
      <c r="B62" s="961">
        <v>45230.0</v>
      </c>
      <c r="C62" s="949"/>
      <c r="D62" s="249"/>
      <c r="E62" s="250"/>
      <c r="F62" s="949"/>
      <c r="G62" s="249"/>
      <c r="H62" s="250"/>
      <c r="I62" s="933"/>
      <c r="J62" s="249"/>
      <c r="K62" s="250"/>
      <c r="L62" s="933"/>
      <c r="M62" s="249"/>
      <c r="N62" s="250"/>
      <c r="O62" s="959">
        <v>45230.0</v>
      </c>
      <c r="P62" s="877"/>
      <c r="Q62" s="249"/>
      <c r="R62" s="250"/>
      <c r="S62" s="874"/>
      <c r="T62" s="249"/>
      <c r="U62" s="250"/>
      <c r="V62" s="874"/>
      <c r="W62" s="249"/>
      <c r="X62" s="250"/>
      <c r="Y62" s="874"/>
      <c r="Z62" s="249"/>
      <c r="AA62" s="250"/>
      <c r="AB62" s="874"/>
      <c r="AC62" s="249"/>
      <c r="AD62" s="250"/>
      <c r="AE62" s="959">
        <v>45230.0</v>
      </c>
    </row>
    <row r="63">
      <c r="A63" s="352"/>
      <c r="B63" s="352"/>
      <c r="C63" s="972"/>
      <c r="D63" s="972"/>
      <c r="E63" s="972"/>
      <c r="F63" s="972"/>
      <c r="G63" s="972"/>
      <c r="H63" s="972"/>
      <c r="I63" s="972"/>
      <c r="J63" s="972"/>
      <c r="K63" s="972"/>
      <c r="L63" s="972"/>
      <c r="M63" s="972"/>
      <c r="N63" s="972"/>
      <c r="O63" s="352"/>
      <c r="P63" s="360"/>
      <c r="Q63" s="360"/>
      <c r="R63" s="360"/>
      <c r="S63" s="360"/>
      <c r="T63" s="360"/>
      <c r="U63" s="360"/>
      <c r="V63" s="360"/>
      <c r="W63" s="360"/>
      <c r="X63" s="360"/>
      <c r="Y63" s="360"/>
      <c r="Z63" s="360"/>
      <c r="AA63" s="360"/>
      <c r="AB63" s="360"/>
      <c r="AC63" s="360"/>
      <c r="AD63" s="360"/>
      <c r="AE63" s="352"/>
    </row>
    <row r="64">
      <c r="A64" s="352"/>
      <c r="B64" s="352"/>
      <c r="C64" s="972"/>
      <c r="D64" s="972"/>
      <c r="E64" s="972"/>
      <c r="F64" s="972"/>
      <c r="G64" s="972"/>
      <c r="H64" s="972"/>
      <c r="I64" s="972"/>
      <c r="J64" s="972"/>
      <c r="K64" s="972"/>
      <c r="L64" s="972"/>
      <c r="M64" s="972"/>
      <c r="N64" s="972"/>
      <c r="O64" s="352"/>
      <c r="P64" s="360"/>
      <c r="Q64" s="360"/>
      <c r="R64" s="360"/>
      <c r="S64" s="360"/>
      <c r="T64" s="360"/>
      <c r="U64" s="360"/>
      <c r="V64" s="360"/>
      <c r="W64" s="360"/>
      <c r="X64" s="360"/>
      <c r="Y64" s="360"/>
      <c r="Z64" s="360"/>
      <c r="AA64" s="360"/>
      <c r="AB64" s="360"/>
      <c r="AC64" s="360"/>
      <c r="AD64" s="360"/>
      <c r="AE64" s="352"/>
    </row>
    <row r="65">
      <c r="A65" s="352"/>
      <c r="B65" s="352"/>
      <c r="C65" s="972"/>
      <c r="D65" s="972"/>
      <c r="E65" s="972"/>
      <c r="F65" s="972"/>
      <c r="G65" s="972"/>
      <c r="H65" s="972"/>
      <c r="I65" s="972"/>
      <c r="J65" s="972"/>
      <c r="K65" s="972"/>
      <c r="L65" s="972"/>
      <c r="M65" s="972"/>
      <c r="N65" s="972"/>
      <c r="O65" s="352"/>
      <c r="P65" s="360"/>
      <c r="Q65" s="360"/>
      <c r="R65" s="360"/>
      <c r="S65" s="360"/>
      <c r="T65" s="360"/>
      <c r="U65" s="360"/>
      <c r="V65" s="360"/>
      <c r="W65" s="360"/>
      <c r="X65" s="360"/>
      <c r="Y65" s="360"/>
      <c r="Z65" s="360"/>
      <c r="AA65" s="360"/>
      <c r="AB65" s="360"/>
      <c r="AC65" s="360"/>
      <c r="AD65" s="360"/>
      <c r="AE65" s="352"/>
    </row>
    <row r="66">
      <c r="A66" s="352"/>
      <c r="B66" s="352"/>
      <c r="C66" s="972"/>
      <c r="D66" s="972"/>
      <c r="E66" s="972"/>
      <c r="F66" s="972"/>
      <c r="G66" s="972"/>
      <c r="H66" s="972"/>
      <c r="I66" s="972"/>
      <c r="J66" s="972"/>
      <c r="K66" s="972"/>
      <c r="L66" s="972"/>
      <c r="M66" s="972"/>
      <c r="N66" s="972"/>
      <c r="O66" s="352"/>
      <c r="P66" s="360"/>
      <c r="Q66" s="360"/>
      <c r="R66" s="360"/>
      <c r="S66" s="360"/>
      <c r="T66" s="360"/>
      <c r="U66" s="360"/>
      <c r="V66" s="360"/>
      <c r="W66" s="360"/>
      <c r="X66" s="360"/>
      <c r="Y66" s="360"/>
      <c r="Z66" s="360"/>
      <c r="AA66" s="360"/>
      <c r="AB66" s="360"/>
      <c r="AC66" s="360"/>
      <c r="AD66" s="360"/>
      <c r="AE66" s="352"/>
    </row>
    <row r="67">
      <c r="A67" s="352"/>
      <c r="B67" s="352"/>
      <c r="C67" s="972"/>
      <c r="D67" s="972"/>
      <c r="E67" s="972"/>
      <c r="F67" s="972"/>
      <c r="G67" s="972"/>
      <c r="H67" s="972"/>
      <c r="I67" s="972"/>
      <c r="J67" s="972"/>
      <c r="K67" s="972"/>
      <c r="L67" s="972"/>
      <c r="M67" s="972"/>
      <c r="N67" s="972"/>
      <c r="O67" s="352"/>
      <c r="P67" s="360"/>
      <c r="Q67" s="360"/>
      <c r="R67" s="360"/>
      <c r="S67" s="360"/>
      <c r="T67" s="360"/>
      <c r="U67" s="360"/>
      <c r="V67" s="360"/>
      <c r="W67" s="360"/>
      <c r="X67" s="360"/>
      <c r="Y67" s="360"/>
      <c r="Z67" s="360"/>
      <c r="AA67" s="360"/>
      <c r="AB67" s="360"/>
      <c r="AC67" s="360"/>
      <c r="AD67" s="360"/>
      <c r="AE67" s="352"/>
    </row>
    <row r="68">
      <c r="A68" s="352"/>
      <c r="B68" s="352"/>
      <c r="C68" s="972"/>
      <c r="D68" s="972"/>
      <c r="E68" s="972"/>
      <c r="F68" s="972"/>
      <c r="G68" s="972"/>
      <c r="H68" s="972"/>
      <c r="I68" s="972"/>
      <c r="J68" s="972"/>
      <c r="K68" s="972"/>
      <c r="L68" s="972"/>
      <c r="M68" s="972"/>
      <c r="N68" s="972"/>
      <c r="O68" s="352"/>
      <c r="P68" s="360"/>
      <c r="Q68" s="360"/>
      <c r="R68" s="360"/>
      <c r="S68" s="360"/>
      <c r="T68" s="360"/>
      <c r="U68" s="360"/>
      <c r="V68" s="360"/>
      <c r="W68" s="360"/>
      <c r="X68" s="360"/>
      <c r="Y68" s="360"/>
      <c r="Z68" s="360"/>
      <c r="AA68" s="360"/>
      <c r="AB68" s="360"/>
      <c r="AC68" s="360"/>
      <c r="AD68" s="360"/>
      <c r="AE68" s="352"/>
    </row>
    <row r="69">
      <c r="A69" s="352"/>
      <c r="B69" s="352"/>
      <c r="C69" s="972"/>
      <c r="D69" s="972"/>
      <c r="E69" s="972"/>
      <c r="F69" s="972"/>
      <c r="G69" s="972"/>
      <c r="H69" s="972"/>
      <c r="I69" s="972"/>
      <c r="J69" s="972"/>
      <c r="K69" s="972"/>
      <c r="L69" s="972"/>
      <c r="M69" s="972"/>
      <c r="N69" s="972"/>
      <c r="O69" s="352"/>
      <c r="P69" s="352"/>
      <c r="Q69" s="352"/>
      <c r="R69" s="352"/>
      <c r="S69" s="352"/>
      <c r="T69" s="352"/>
      <c r="U69" s="352"/>
      <c r="V69" s="352"/>
      <c r="W69" s="352"/>
      <c r="X69" s="352"/>
      <c r="Y69" s="352"/>
      <c r="Z69" s="352"/>
      <c r="AA69" s="352"/>
      <c r="AB69" s="352"/>
      <c r="AC69" s="352"/>
      <c r="AD69" s="352"/>
      <c r="AE69" s="352"/>
    </row>
    <row r="70">
      <c r="A70" s="352"/>
      <c r="B70" s="352"/>
      <c r="C70" s="972"/>
      <c r="D70" s="972"/>
      <c r="E70" s="972"/>
      <c r="F70" s="972"/>
      <c r="G70" s="972"/>
      <c r="H70" s="972"/>
      <c r="I70" s="972"/>
      <c r="J70" s="972"/>
      <c r="K70" s="972"/>
      <c r="L70" s="972"/>
      <c r="M70" s="972"/>
      <c r="N70" s="972"/>
      <c r="O70" s="352"/>
      <c r="P70" s="352"/>
      <c r="Q70" s="352"/>
      <c r="R70" s="352"/>
      <c r="S70" s="352"/>
      <c r="T70" s="352"/>
      <c r="U70" s="352"/>
      <c r="V70" s="352"/>
      <c r="W70" s="352"/>
      <c r="X70" s="352"/>
      <c r="Y70" s="352"/>
      <c r="Z70" s="352"/>
      <c r="AA70" s="352"/>
      <c r="AB70" s="352"/>
      <c r="AC70" s="352"/>
      <c r="AD70" s="352"/>
      <c r="AE70" s="352"/>
    </row>
    <row r="71">
      <c r="A71" s="352"/>
      <c r="B71" s="352"/>
      <c r="C71" s="972"/>
      <c r="D71" s="972"/>
      <c r="E71" s="972"/>
      <c r="F71" s="972"/>
      <c r="G71" s="972"/>
      <c r="H71" s="972"/>
      <c r="I71" s="972"/>
      <c r="J71" s="972"/>
      <c r="K71" s="972"/>
      <c r="L71" s="972"/>
      <c r="M71" s="972"/>
      <c r="N71" s="972"/>
      <c r="O71" s="352"/>
      <c r="P71" s="352"/>
      <c r="Q71" s="352"/>
      <c r="R71" s="352"/>
      <c r="S71" s="352"/>
      <c r="T71" s="352"/>
      <c r="U71" s="352"/>
      <c r="V71" s="352"/>
      <c r="W71" s="352"/>
      <c r="X71" s="352"/>
      <c r="Y71" s="352"/>
      <c r="Z71" s="352"/>
      <c r="AA71" s="352"/>
      <c r="AB71" s="352"/>
      <c r="AC71" s="352"/>
      <c r="AD71" s="352"/>
      <c r="AE71" s="352"/>
    </row>
    <row r="72">
      <c r="A72" s="352"/>
      <c r="B72" s="352"/>
      <c r="C72" s="972"/>
      <c r="D72" s="972"/>
      <c r="E72" s="972"/>
      <c r="F72" s="972"/>
      <c r="G72" s="972"/>
      <c r="H72" s="972"/>
      <c r="I72" s="972"/>
      <c r="J72" s="972"/>
      <c r="K72" s="972"/>
      <c r="L72" s="972"/>
      <c r="M72" s="972"/>
      <c r="N72" s="972"/>
      <c r="O72" s="352"/>
      <c r="P72" s="352"/>
      <c r="Q72" s="352"/>
      <c r="R72" s="352"/>
      <c r="S72" s="352"/>
      <c r="T72" s="352"/>
      <c r="U72" s="352"/>
      <c r="V72" s="352"/>
      <c r="W72" s="352"/>
      <c r="X72" s="352"/>
      <c r="Y72" s="352"/>
      <c r="Z72" s="352"/>
      <c r="AA72" s="352"/>
      <c r="AB72" s="352"/>
      <c r="AC72" s="352"/>
      <c r="AD72" s="352"/>
      <c r="AE72" s="352"/>
    </row>
    <row r="73">
      <c r="A73" s="352"/>
      <c r="B73" s="352"/>
      <c r="C73" s="972"/>
      <c r="D73" s="972"/>
      <c r="E73" s="972"/>
      <c r="F73" s="972"/>
      <c r="G73" s="972"/>
      <c r="H73" s="972"/>
      <c r="I73" s="972"/>
      <c r="J73" s="972"/>
      <c r="K73" s="972"/>
      <c r="L73" s="972"/>
      <c r="M73" s="972"/>
      <c r="N73" s="972"/>
      <c r="O73" s="352"/>
      <c r="P73" s="352"/>
      <c r="Q73" s="352"/>
      <c r="R73" s="352"/>
      <c r="S73" s="352"/>
      <c r="T73" s="352"/>
      <c r="U73" s="352"/>
      <c r="V73" s="352"/>
      <c r="W73" s="352"/>
      <c r="X73" s="352"/>
      <c r="Y73" s="352"/>
      <c r="Z73" s="352"/>
      <c r="AA73" s="352"/>
      <c r="AB73" s="352"/>
      <c r="AC73" s="352"/>
      <c r="AD73" s="352"/>
      <c r="AE73" s="352"/>
    </row>
    <row r="74">
      <c r="A74" s="352"/>
      <c r="B74" s="352"/>
      <c r="C74" s="972"/>
      <c r="D74" s="972"/>
      <c r="E74" s="972"/>
      <c r="F74" s="972"/>
      <c r="G74" s="972"/>
      <c r="H74" s="972"/>
      <c r="I74" s="972"/>
      <c r="J74" s="972"/>
      <c r="K74" s="972"/>
      <c r="L74" s="972"/>
      <c r="M74" s="972"/>
      <c r="N74" s="972"/>
      <c r="O74" s="352"/>
      <c r="P74" s="352"/>
      <c r="Q74" s="352"/>
      <c r="R74" s="352"/>
      <c r="S74" s="352"/>
      <c r="T74" s="352"/>
      <c r="U74" s="352"/>
      <c r="V74" s="352"/>
      <c r="W74" s="352"/>
      <c r="X74" s="352"/>
      <c r="Y74" s="352"/>
      <c r="Z74" s="352"/>
      <c r="AA74" s="352"/>
      <c r="AB74" s="352"/>
      <c r="AC74" s="352"/>
      <c r="AD74" s="352"/>
      <c r="AE74" s="352"/>
    </row>
    <row r="75">
      <c r="A75" s="352"/>
      <c r="B75" s="352"/>
      <c r="C75" s="972"/>
      <c r="D75" s="972"/>
      <c r="E75" s="972"/>
      <c r="F75" s="972"/>
      <c r="G75" s="972"/>
      <c r="H75" s="972"/>
      <c r="I75" s="972"/>
      <c r="J75" s="972"/>
      <c r="K75" s="972"/>
      <c r="L75" s="972"/>
      <c r="M75" s="972"/>
      <c r="N75" s="972"/>
      <c r="O75" s="352"/>
      <c r="P75" s="352"/>
      <c r="Q75" s="352"/>
      <c r="R75" s="352"/>
      <c r="S75" s="352"/>
      <c r="T75" s="352"/>
      <c r="U75" s="352"/>
      <c r="V75" s="352"/>
      <c r="W75" s="352"/>
      <c r="X75" s="352"/>
      <c r="Y75" s="352"/>
      <c r="Z75" s="352"/>
      <c r="AA75" s="352"/>
      <c r="AB75" s="352"/>
      <c r="AC75" s="352"/>
      <c r="AD75" s="352"/>
      <c r="AE75" s="352"/>
    </row>
    <row r="76">
      <c r="A76" s="352"/>
      <c r="B76" s="352"/>
      <c r="C76" s="972"/>
      <c r="D76" s="972"/>
      <c r="E76" s="972"/>
      <c r="F76" s="972"/>
      <c r="G76" s="972"/>
      <c r="H76" s="972"/>
      <c r="I76" s="972"/>
      <c r="J76" s="972"/>
      <c r="K76" s="972"/>
      <c r="L76" s="972"/>
      <c r="M76" s="972"/>
      <c r="N76" s="972"/>
      <c r="O76" s="352"/>
      <c r="P76" s="352"/>
      <c r="Q76" s="352"/>
      <c r="R76" s="352"/>
      <c r="S76" s="352"/>
      <c r="T76" s="352"/>
      <c r="U76" s="352"/>
      <c r="V76" s="352"/>
      <c r="W76" s="352"/>
      <c r="X76" s="352"/>
      <c r="Y76" s="352"/>
      <c r="Z76" s="352"/>
      <c r="AA76" s="352"/>
      <c r="AB76" s="352"/>
      <c r="AC76" s="352"/>
      <c r="AD76" s="352"/>
      <c r="AE76" s="352"/>
    </row>
    <row r="77">
      <c r="A77" s="352"/>
      <c r="B77" s="352"/>
      <c r="C77" s="972"/>
      <c r="D77" s="972"/>
      <c r="E77" s="972"/>
      <c r="F77" s="972"/>
      <c r="G77" s="972"/>
      <c r="H77" s="972"/>
      <c r="I77" s="972"/>
      <c r="J77" s="972"/>
      <c r="K77" s="972"/>
      <c r="L77" s="972"/>
      <c r="M77" s="972"/>
      <c r="N77" s="972"/>
      <c r="O77" s="352"/>
      <c r="P77" s="352"/>
      <c r="Q77" s="352"/>
      <c r="R77" s="352"/>
      <c r="S77" s="352"/>
      <c r="T77" s="352"/>
      <c r="U77" s="352"/>
      <c r="V77" s="352"/>
      <c r="W77" s="352"/>
      <c r="X77" s="352"/>
      <c r="Y77" s="352"/>
      <c r="Z77" s="352"/>
      <c r="AA77" s="352"/>
      <c r="AB77" s="352"/>
      <c r="AC77" s="352"/>
      <c r="AD77" s="352"/>
      <c r="AE77" s="352"/>
    </row>
    <row r="78">
      <c r="A78" s="352"/>
      <c r="B78" s="352"/>
      <c r="C78" s="972"/>
      <c r="D78" s="972"/>
      <c r="E78" s="972"/>
      <c r="F78" s="972"/>
      <c r="G78" s="972"/>
      <c r="H78" s="972"/>
      <c r="I78" s="972"/>
      <c r="J78" s="972"/>
      <c r="K78" s="972"/>
      <c r="L78" s="972"/>
      <c r="M78" s="972"/>
      <c r="N78" s="972"/>
      <c r="O78" s="352"/>
      <c r="P78" s="352"/>
      <c r="Q78" s="352"/>
      <c r="R78" s="352"/>
      <c r="S78" s="352"/>
      <c r="T78" s="352"/>
      <c r="U78" s="352"/>
      <c r="V78" s="352"/>
      <c r="W78" s="352"/>
      <c r="X78" s="352"/>
      <c r="Y78" s="352"/>
      <c r="Z78" s="352"/>
      <c r="AA78" s="352"/>
      <c r="AB78" s="352"/>
      <c r="AC78" s="352"/>
      <c r="AD78" s="352"/>
      <c r="AE78" s="352"/>
    </row>
    <row r="79">
      <c r="A79" s="352"/>
      <c r="B79" s="352"/>
      <c r="C79" s="972"/>
      <c r="D79" s="972"/>
      <c r="E79" s="972"/>
      <c r="F79" s="972"/>
      <c r="G79" s="972"/>
      <c r="H79" s="972"/>
      <c r="I79" s="972"/>
      <c r="J79" s="972"/>
      <c r="K79" s="972"/>
      <c r="L79" s="972"/>
      <c r="M79" s="972"/>
      <c r="N79" s="972"/>
      <c r="O79" s="352"/>
      <c r="P79" s="352"/>
      <c r="Q79" s="352"/>
      <c r="R79" s="352"/>
      <c r="S79" s="352"/>
      <c r="T79" s="352"/>
      <c r="U79" s="352"/>
      <c r="V79" s="352"/>
      <c r="W79" s="352"/>
      <c r="X79" s="352"/>
      <c r="Y79" s="352"/>
      <c r="Z79" s="352"/>
      <c r="AA79" s="352"/>
      <c r="AB79" s="352"/>
      <c r="AC79" s="352"/>
      <c r="AD79" s="352"/>
      <c r="AE79" s="352"/>
    </row>
    <row r="80">
      <c r="A80" s="352"/>
      <c r="B80" s="352"/>
      <c r="C80" s="972"/>
      <c r="D80" s="972"/>
      <c r="E80" s="972"/>
      <c r="F80" s="972"/>
      <c r="G80" s="972"/>
      <c r="H80" s="972"/>
      <c r="I80" s="972"/>
      <c r="J80" s="972"/>
      <c r="K80" s="972"/>
      <c r="L80" s="972"/>
      <c r="M80" s="972"/>
      <c r="N80" s="972"/>
      <c r="O80" s="352"/>
      <c r="P80" s="352"/>
      <c r="Q80" s="352"/>
      <c r="R80" s="352"/>
      <c r="S80" s="352"/>
      <c r="T80" s="352"/>
      <c r="U80" s="352"/>
      <c r="V80" s="352"/>
      <c r="W80" s="352"/>
      <c r="X80" s="352"/>
      <c r="Y80" s="352"/>
      <c r="Z80" s="352"/>
      <c r="AA80" s="352"/>
      <c r="AB80" s="352"/>
      <c r="AC80" s="352"/>
      <c r="AD80" s="352"/>
      <c r="AE80" s="352"/>
    </row>
    <row r="81">
      <c r="A81" s="352"/>
      <c r="B81" s="352"/>
      <c r="C81" s="972"/>
      <c r="D81" s="972"/>
      <c r="E81" s="972"/>
      <c r="F81" s="972"/>
      <c r="G81" s="972"/>
      <c r="H81" s="972"/>
      <c r="I81" s="972"/>
      <c r="J81" s="972"/>
      <c r="K81" s="972"/>
      <c r="L81" s="972"/>
      <c r="M81" s="972"/>
      <c r="N81" s="972"/>
      <c r="O81" s="352"/>
      <c r="P81" s="352"/>
      <c r="Q81" s="352"/>
      <c r="R81" s="352"/>
      <c r="S81" s="352"/>
      <c r="T81" s="352"/>
      <c r="U81" s="352"/>
      <c r="V81" s="352"/>
      <c r="W81" s="352"/>
      <c r="X81" s="352"/>
      <c r="Y81" s="352"/>
      <c r="Z81" s="352"/>
      <c r="AA81" s="352"/>
      <c r="AB81" s="352"/>
      <c r="AC81" s="352"/>
      <c r="AD81" s="352"/>
      <c r="AE81" s="352"/>
    </row>
    <row r="82">
      <c r="A82" s="352"/>
      <c r="B82" s="352"/>
      <c r="C82" s="972"/>
      <c r="D82" s="972"/>
      <c r="E82" s="972"/>
      <c r="F82" s="972"/>
      <c r="G82" s="972"/>
      <c r="H82" s="972"/>
      <c r="I82" s="972"/>
      <c r="J82" s="972"/>
      <c r="K82" s="972"/>
      <c r="L82" s="972"/>
      <c r="M82" s="972"/>
      <c r="N82" s="972"/>
      <c r="O82" s="352"/>
      <c r="P82" s="352"/>
      <c r="Q82" s="352"/>
      <c r="R82" s="352"/>
      <c r="S82" s="352"/>
      <c r="T82" s="352"/>
      <c r="U82" s="352"/>
      <c r="V82" s="352"/>
      <c r="W82" s="352"/>
      <c r="X82" s="352"/>
      <c r="Y82" s="352"/>
      <c r="Z82" s="352"/>
      <c r="AA82" s="352"/>
      <c r="AB82" s="352"/>
      <c r="AC82" s="352"/>
      <c r="AD82" s="352"/>
      <c r="AE82" s="352"/>
    </row>
    <row r="83">
      <c r="A83" s="352"/>
      <c r="B83" s="352"/>
      <c r="C83" s="972"/>
      <c r="D83" s="972"/>
      <c r="E83" s="972"/>
      <c r="F83" s="972"/>
      <c r="G83" s="972"/>
      <c r="H83" s="972"/>
      <c r="I83" s="972"/>
      <c r="J83" s="972"/>
      <c r="K83" s="972"/>
      <c r="L83" s="972"/>
      <c r="M83" s="972"/>
      <c r="N83" s="972"/>
      <c r="O83" s="352"/>
      <c r="P83" s="352"/>
      <c r="Q83" s="352"/>
      <c r="R83" s="352"/>
      <c r="S83" s="352"/>
      <c r="T83" s="352"/>
      <c r="U83" s="352"/>
      <c r="V83" s="352"/>
      <c r="W83" s="352"/>
      <c r="X83" s="352"/>
      <c r="Y83" s="352"/>
      <c r="Z83" s="352"/>
      <c r="AA83" s="352"/>
      <c r="AB83" s="352"/>
      <c r="AC83" s="352"/>
      <c r="AD83" s="352"/>
      <c r="AE83" s="352"/>
    </row>
    <row r="84">
      <c r="A84" s="352"/>
      <c r="B84" s="352"/>
      <c r="C84" s="972"/>
      <c r="D84" s="972"/>
      <c r="E84" s="972"/>
      <c r="F84" s="972"/>
      <c r="G84" s="972"/>
      <c r="H84" s="972"/>
      <c r="I84" s="972"/>
      <c r="J84" s="972"/>
      <c r="K84" s="972"/>
      <c r="L84" s="972"/>
      <c r="M84" s="972"/>
      <c r="N84" s="972"/>
      <c r="O84" s="352"/>
      <c r="P84" s="352"/>
      <c r="Q84" s="352"/>
      <c r="R84" s="352"/>
      <c r="S84" s="352"/>
      <c r="T84" s="352"/>
      <c r="U84" s="352"/>
      <c r="V84" s="352"/>
      <c r="W84" s="352"/>
      <c r="X84" s="352"/>
      <c r="Y84" s="352"/>
      <c r="Z84" s="352"/>
      <c r="AA84" s="352"/>
      <c r="AB84" s="352"/>
      <c r="AC84" s="352"/>
      <c r="AD84" s="352"/>
      <c r="AE84" s="352"/>
    </row>
    <row r="85">
      <c r="A85" s="352"/>
      <c r="B85" s="352"/>
      <c r="C85" s="972"/>
      <c r="D85" s="972"/>
      <c r="E85" s="972"/>
      <c r="F85" s="972"/>
      <c r="G85" s="972"/>
      <c r="H85" s="972"/>
      <c r="I85" s="972"/>
      <c r="J85" s="972"/>
      <c r="K85" s="972"/>
      <c r="L85" s="972"/>
      <c r="M85" s="972"/>
      <c r="N85" s="972"/>
      <c r="O85" s="352"/>
      <c r="P85" s="352"/>
      <c r="Q85" s="352"/>
      <c r="R85" s="352"/>
      <c r="S85" s="352"/>
      <c r="T85" s="352"/>
      <c r="U85" s="352"/>
      <c r="V85" s="352"/>
      <c r="W85" s="352"/>
      <c r="X85" s="352"/>
      <c r="Y85" s="352"/>
      <c r="Z85" s="352"/>
      <c r="AA85" s="352"/>
      <c r="AB85" s="352"/>
      <c r="AC85" s="352"/>
      <c r="AD85" s="352"/>
      <c r="AE85" s="352"/>
    </row>
    <row r="86">
      <c r="A86" s="352"/>
      <c r="B86" s="352"/>
      <c r="C86" s="972"/>
      <c r="D86" s="972"/>
      <c r="E86" s="972"/>
      <c r="F86" s="972"/>
      <c r="G86" s="972"/>
      <c r="H86" s="972"/>
      <c r="I86" s="972"/>
      <c r="J86" s="972"/>
      <c r="K86" s="972"/>
      <c r="L86" s="972"/>
      <c r="M86" s="972"/>
      <c r="N86" s="972"/>
      <c r="O86" s="352"/>
      <c r="P86" s="352"/>
      <c r="Q86" s="352"/>
      <c r="R86" s="352"/>
      <c r="S86" s="352"/>
      <c r="T86" s="352"/>
      <c r="U86" s="352"/>
      <c r="V86" s="352"/>
      <c r="W86" s="352"/>
      <c r="X86" s="352"/>
      <c r="Y86" s="352"/>
      <c r="Z86" s="352"/>
      <c r="AA86" s="352"/>
      <c r="AB86" s="352"/>
      <c r="AC86" s="352"/>
      <c r="AD86" s="352"/>
      <c r="AE86" s="352"/>
    </row>
    <row r="87">
      <c r="A87" s="352"/>
      <c r="B87" s="352"/>
      <c r="C87" s="972"/>
      <c r="D87" s="972"/>
      <c r="E87" s="972"/>
      <c r="F87" s="972"/>
      <c r="G87" s="972"/>
      <c r="H87" s="972"/>
      <c r="I87" s="972"/>
      <c r="J87" s="972"/>
      <c r="K87" s="972"/>
      <c r="L87" s="972"/>
      <c r="M87" s="972"/>
      <c r="N87" s="972"/>
      <c r="O87" s="352"/>
      <c r="P87" s="352"/>
      <c r="Q87" s="352"/>
      <c r="R87" s="352"/>
      <c r="S87" s="352"/>
      <c r="T87" s="352"/>
      <c r="U87" s="352"/>
      <c r="V87" s="352"/>
      <c r="W87" s="352"/>
      <c r="X87" s="352"/>
      <c r="Y87" s="352"/>
      <c r="Z87" s="352"/>
      <c r="AA87" s="352"/>
      <c r="AB87" s="352"/>
      <c r="AC87" s="352"/>
      <c r="AD87" s="352"/>
      <c r="AE87" s="352"/>
    </row>
    <row r="88">
      <c r="A88" s="352"/>
      <c r="B88" s="352"/>
      <c r="C88" s="972"/>
      <c r="D88" s="972"/>
      <c r="E88" s="972"/>
      <c r="F88" s="972"/>
      <c r="G88" s="972"/>
      <c r="H88" s="972"/>
      <c r="I88" s="972"/>
      <c r="J88" s="972"/>
      <c r="K88" s="972"/>
      <c r="L88" s="972"/>
      <c r="M88" s="972"/>
      <c r="N88" s="972"/>
      <c r="O88" s="352"/>
      <c r="P88" s="352"/>
      <c r="Q88" s="352"/>
      <c r="R88" s="352"/>
      <c r="S88" s="352"/>
      <c r="T88" s="352"/>
      <c r="U88" s="352"/>
      <c r="V88" s="352"/>
      <c r="W88" s="352"/>
      <c r="X88" s="352"/>
      <c r="Y88" s="352"/>
      <c r="Z88" s="352"/>
      <c r="AA88" s="352"/>
      <c r="AB88" s="352"/>
      <c r="AC88" s="352"/>
      <c r="AD88" s="352"/>
      <c r="AE88" s="352"/>
    </row>
    <row r="89">
      <c r="A89" s="352"/>
      <c r="B89" s="352"/>
      <c r="C89" s="972"/>
      <c r="D89" s="972"/>
      <c r="E89" s="972"/>
      <c r="F89" s="972"/>
      <c r="G89" s="972"/>
      <c r="H89" s="972"/>
      <c r="I89" s="972"/>
      <c r="J89" s="972"/>
      <c r="K89" s="972"/>
      <c r="L89" s="972"/>
      <c r="M89" s="972"/>
      <c r="N89" s="972"/>
      <c r="O89" s="352"/>
      <c r="P89" s="352"/>
      <c r="Q89" s="352"/>
      <c r="R89" s="352"/>
      <c r="S89" s="352"/>
      <c r="T89" s="352"/>
      <c r="U89" s="352"/>
      <c r="V89" s="352"/>
      <c r="W89" s="352"/>
      <c r="X89" s="352"/>
      <c r="Y89" s="352"/>
      <c r="Z89" s="352"/>
      <c r="AA89" s="352"/>
      <c r="AB89" s="352"/>
      <c r="AC89" s="352"/>
      <c r="AD89" s="352"/>
      <c r="AE89" s="352"/>
    </row>
    <row r="90">
      <c r="A90" s="352"/>
      <c r="B90" s="352"/>
      <c r="C90" s="972"/>
      <c r="D90" s="972"/>
      <c r="E90" s="972"/>
      <c r="F90" s="972"/>
      <c r="G90" s="972"/>
      <c r="H90" s="972"/>
      <c r="I90" s="972"/>
      <c r="J90" s="972"/>
      <c r="K90" s="972"/>
      <c r="L90" s="972"/>
      <c r="M90" s="972"/>
      <c r="N90" s="972"/>
      <c r="O90" s="352"/>
      <c r="P90" s="352"/>
      <c r="Q90" s="352"/>
      <c r="R90" s="352"/>
      <c r="S90" s="352"/>
      <c r="T90" s="352"/>
      <c r="U90" s="352"/>
      <c r="V90" s="352"/>
      <c r="W90" s="352"/>
      <c r="X90" s="352"/>
      <c r="Y90" s="352"/>
      <c r="Z90" s="352"/>
      <c r="AA90" s="352"/>
      <c r="AB90" s="352"/>
      <c r="AC90" s="352"/>
      <c r="AD90" s="352"/>
      <c r="AE90" s="352"/>
    </row>
    <row r="91">
      <c r="A91" s="352"/>
      <c r="B91" s="352"/>
      <c r="C91" s="972"/>
      <c r="D91" s="972"/>
      <c r="E91" s="972"/>
      <c r="F91" s="972"/>
      <c r="G91" s="972"/>
      <c r="H91" s="972"/>
      <c r="I91" s="972"/>
      <c r="J91" s="972"/>
      <c r="K91" s="972"/>
      <c r="L91" s="972"/>
      <c r="M91" s="972"/>
      <c r="N91" s="972"/>
      <c r="O91" s="352"/>
      <c r="P91" s="352"/>
      <c r="Q91" s="352"/>
      <c r="R91" s="352"/>
      <c r="S91" s="352"/>
      <c r="T91" s="352"/>
      <c r="U91" s="352"/>
      <c r="V91" s="352"/>
      <c r="W91" s="352"/>
      <c r="X91" s="352"/>
      <c r="Y91" s="352"/>
      <c r="Z91" s="352"/>
      <c r="AA91" s="352"/>
      <c r="AB91" s="352"/>
      <c r="AC91" s="352"/>
      <c r="AD91" s="352"/>
      <c r="AE91" s="352"/>
    </row>
    <row r="92">
      <c r="A92" s="352"/>
      <c r="B92" s="352"/>
      <c r="C92" s="972"/>
      <c r="D92" s="972"/>
      <c r="E92" s="972"/>
      <c r="F92" s="972"/>
      <c r="G92" s="972"/>
      <c r="H92" s="972"/>
      <c r="I92" s="972"/>
      <c r="J92" s="972"/>
      <c r="K92" s="972"/>
      <c r="L92" s="972"/>
      <c r="M92" s="972"/>
      <c r="N92" s="972"/>
      <c r="O92" s="352"/>
      <c r="P92" s="352"/>
      <c r="Q92" s="352"/>
      <c r="R92" s="352"/>
      <c r="S92" s="352"/>
      <c r="T92" s="352"/>
      <c r="U92" s="352"/>
      <c r="V92" s="352"/>
      <c r="W92" s="352"/>
      <c r="X92" s="352"/>
      <c r="Y92" s="352"/>
      <c r="Z92" s="352"/>
      <c r="AA92" s="352"/>
      <c r="AB92" s="352"/>
      <c r="AC92" s="352"/>
      <c r="AD92" s="352"/>
      <c r="AE92" s="352"/>
    </row>
    <row r="93">
      <c r="A93" s="352"/>
      <c r="B93" s="352"/>
      <c r="C93" s="972"/>
      <c r="D93" s="972"/>
      <c r="E93" s="972"/>
      <c r="F93" s="972"/>
      <c r="G93" s="972"/>
      <c r="H93" s="972"/>
      <c r="I93" s="972"/>
      <c r="J93" s="972"/>
      <c r="K93" s="972"/>
      <c r="L93" s="972"/>
      <c r="M93" s="972"/>
      <c r="N93" s="972"/>
      <c r="O93" s="352"/>
      <c r="P93" s="352"/>
      <c r="Q93" s="352"/>
      <c r="R93" s="352"/>
      <c r="S93" s="352"/>
      <c r="T93" s="352"/>
      <c r="U93" s="352"/>
      <c r="V93" s="352"/>
      <c r="W93" s="352"/>
      <c r="X93" s="352"/>
      <c r="Y93" s="352"/>
      <c r="Z93" s="352"/>
      <c r="AA93" s="352"/>
      <c r="AB93" s="352"/>
      <c r="AC93" s="352"/>
      <c r="AD93" s="352"/>
      <c r="AE93" s="352"/>
    </row>
    <row r="94">
      <c r="A94" s="352"/>
      <c r="B94" s="352"/>
      <c r="C94" s="972"/>
      <c r="D94" s="972"/>
      <c r="E94" s="972"/>
      <c r="F94" s="972"/>
      <c r="G94" s="972"/>
      <c r="H94" s="972"/>
      <c r="I94" s="972"/>
      <c r="J94" s="972"/>
      <c r="K94" s="972"/>
      <c r="L94" s="972"/>
      <c r="M94" s="972"/>
      <c r="N94" s="972"/>
      <c r="O94" s="352"/>
      <c r="P94" s="352"/>
      <c r="Q94" s="352"/>
      <c r="R94" s="352"/>
      <c r="S94" s="352"/>
      <c r="T94" s="352"/>
      <c r="U94" s="352"/>
      <c r="V94" s="352"/>
      <c r="W94" s="352"/>
      <c r="X94" s="352"/>
      <c r="Y94" s="352"/>
      <c r="Z94" s="352"/>
      <c r="AA94" s="352"/>
      <c r="AB94" s="352"/>
      <c r="AC94" s="352"/>
      <c r="AD94" s="352"/>
      <c r="AE94" s="352"/>
    </row>
    <row r="95">
      <c r="A95" s="352"/>
      <c r="B95" s="352"/>
      <c r="C95" s="972"/>
      <c r="D95" s="972"/>
      <c r="E95" s="972"/>
      <c r="F95" s="972"/>
      <c r="G95" s="972"/>
      <c r="H95" s="972"/>
      <c r="I95" s="972"/>
      <c r="J95" s="972"/>
      <c r="K95" s="972"/>
      <c r="L95" s="972"/>
      <c r="M95" s="972"/>
      <c r="N95" s="972"/>
      <c r="O95" s="352"/>
      <c r="P95" s="352"/>
      <c r="Q95" s="352"/>
      <c r="R95" s="352"/>
      <c r="S95" s="352"/>
      <c r="T95" s="352"/>
      <c r="U95" s="352"/>
      <c r="V95" s="352"/>
      <c r="W95" s="352"/>
      <c r="X95" s="352"/>
      <c r="Y95" s="352"/>
      <c r="Z95" s="352"/>
      <c r="AA95" s="352"/>
      <c r="AB95" s="352"/>
      <c r="AC95" s="352"/>
      <c r="AD95" s="352"/>
      <c r="AE95" s="352"/>
    </row>
    <row r="96">
      <c r="A96" s="352"/>
      <c r="B96" s="352"/>
      <c r="C96" s="972"/>
      <c r="D96" s="972"/>
      <c r="E96" s="972"/>
      <c r="F96" s="972"/>
      <c r="G96" s="972"/>
      <c r="H96" s="972"/>
      <c r="I96" s="972"/>
      <c r="J96" s="972"/>
      <c r="K96" s="972"/>
      <c r="L96" s="972"/>
      <c r="M96" s="972"/>
      <c r="N96" s="972"/>
      <c r="O96" s="352"/>
      <c r="P96" s="352"/>
      <c r="Q96" s="352"/>
      <c r="R96" s="352"/>
      <c r="S96" s="352"/>
      <c r="T96" s="352"/>
      <c r="U96" s="352"/>
      <c r="V96" s="352"/>
      <c r="W96" s="352"/>
      <c r="X96" s="352"/>
      <c r="Y96" s="352"/>
      <c r="Z96" s="352"/>
      <c r="AA96" s="352"/>
      <c r="AB96" s="352"/>
      <c r="AC96" s="352"/>
      <c r="AD96" s="352"/>
      <c r="AE96" s="352"/>
    </row>
    <row r="97">
      <c r="A97" s="352"/>
      <c r="B97" s="352"/>
      <c r="C97" s="972"/>
      <c r="D97" s="972"/>
      <c r="E97" s="972"/>
      <c r="F97" s="972"/>
      <c r="G97" s="972"/>
      <c r="H97" s="972"/>
      <c r="I97" s="972"/>
      <c r="J97" s="972"/>
      <c r="K97" s="972"/>
      <c r="L97" s="972"/>
      <c r="M97" s="972"/>
      <c r="N97" s="972"/>
      <c r="O97" s="352"/>
      <c r="P97" s="352"/>
      <c r="Q97" s="352"/>
      <c r="R97" s="352"/>
      <c r="S97" s="352"/>
      <c r="T97" s="352"/>
      <c r="U97" s="352"/>
      <c r="V97" s="352"/>
      <c r="W97" s="352"/>
      <c r="X97" s="352"/>
      <c r="Y97" s="352"/>
      <c r="Z97" s="352"/>
      <c r="AA97" s="352"/>
      <c r="AB97" s="352"/>
      <c r="AC97" s="352"/>
      <c r="AD97" s="352"/>
      <c r="AE97" s="352"/>
    </row>
    <row r="98">
      <c r="A98" s="352"/>
      <c r="B98" s="352"/>
      <c r="C98" s="972"/>
      <c r="D98" s="972"/>
      <c r="E98" s="972"/>
      <c r="F98" s="972"/>
      <c r="G98" s="972"/>
      <c r="H98" s="972"/>
      <c r="I98" s="972"/>
      <c r="J98" s="972"/>
      <c r="K98" s="972"/>
      <c r="L98" s="972"/>
      <c r="M98" s="972"/>
      <c r="N98" s="972"/>
      <c r="O98" s="352"/>
      <c r="P98" s="352"/>
      <c r="Q98" s="352"/>
      <c r="R98" s="352"/>
      <c r="S98" s="352"/>
      <c r="T98" s="352"/>
      <c r="U98" s="352"/>
      <c r="V98" s="352"/>
      <c r="W98" s="352"/>
      <c r="X98" s="352"/>
      <c r="Y98" s="352"/>
      <c r="Z98" s="352"/>
      <c r="AA98" s="352"/>
      <c r="AB98" s="352"/>
      <c r="AC98" s="352"/>
      <c r="AD98" s="352"/>
      <c r="AE98" s="352"/>
    </row>
    <row r="99">
      <c r="A99" s="352"/>
      <c r="B99" s="352"/>
      <c r="C99" s="972"/>
      <c r="D99" s="972"/>
      <c r="E99" s="972"/>
      <c r="F99" s="972"/>
      <c r="G99" s="972"/>
      <c r="H99" s="972"/>
      <c r="I99" s="972"/>
      <c r="J99" s="972"/>
      <c r="K99" s="972"/>
      <c r="L99" s="972"/>
      <c r="M99" s="972"/>
      <c r="N99" s="972"/>
      <c r="O99" s="352"/>
      <c r="P99" s="352"/>
      <c r="Q99" s="352"/>
      <c r="R99" s="352"/>
      <c r="S99" s="352"/>
      <c r="T99" s="352"/>
      <c r="U99" s="352"/>
      <c r="V99" s="352"/>
      <c r="W99" s="352"/>
      <c r="X99" s="352"/>
      <c r="Y99" s="352"/>
      <c r="Z99" s="352"/>
      <c r="AA99" s="352"/>
      <c r="AB99" s="352"/>
      <c r="AC99" s="352"/>
      <c r="AD99" s="352"/>
      <c r="AE99" s="352"/>
    </row>
    <row r="100">
      <c r="A100" s="352"/>
      <c r="B100" s="352"/>
      <c r="C100" s="972"/>
      <c r="D100" s="972"/>
      <c r="E100" s="972"/>
      <c r="F100" s="972"/>
      <c r="G100" s="972"/>
      <c r="H100" s="972"/>
      <c r="I100" s="972"/>
      <c r="J100" s="972"/>
      <c r="K100" s="972"/>
      <c r="L100" s="972"/>
      <c r="M100" s="972"/>
      <c r="N100" s="972"/>
      <c r="O100" s="352"/>
      <c r="P100" s="352"/>
      <c r="Q100" s="352"/>
      <c r="R100" s="352"/>
      <c r="S100" s="352"/>
      <c r="T100" s="352"/>
      <c r="U100" s="352"/>
      <c r="V100" s="352"/>
      <c r="W100" s="352"/>
      <c r="X100" s="352"/>
      <c r="Y100" s="352"/>
      <c r="Z100" s="352"/>
      <c r="AA100" s="352"/>
      <c r="AB100" s="352"/>
      <c r="AC100" s="352"/>
      <c r="AD100" s="352"/>
      <c r="AE100" s="352"/>
    </row>
    <row r="101">
      <c r="A101" s="352"/>
      <c r="B101" s="352"/>
      <c r="C101" s="972"/>
      <c r="D101" s="972"/>
      <c r="E101" s="972"/>
      <c r="F101" s="972"/>
      <c r="G101" s="972"/>
      <c r="H101" s="972"/>
      <c r="I101" s="972"/>
      <c r="J101" s="972"/>
      <c r="K101" s="972"/>
      <c r="L101" s="972"/>
      <c r="M101" s="972"/>
      <c r="N101" s="972"/>
      <c r="O101" s="352"/>
      <c r="P101" s="352"/>
      <c r="Q101" s="352"/>
      <c r="R101" s="352"/>
      <c r="S101" s="352"/>
      <c r="T101" s="352"/>
      <c r="U101" s="352"/>
      <c r="V101" s="352"/>
      <c r="W101" s="352"/>
      <c r="X101" s="352"/>
      <c r="Y101" s="352"/>
      <c r="Z101" s="352"/>
      <c r="AA101" s="352"/>
      <c r="AB101" s="352"/>
      <c r="AC101" s="352"/>
      <c r="AD101" s="352"/>
      <c r="AE101" s="352"/>
    </row>
    <row r="102">
      <c r="A102" s="352"/>
      <c r="B102" s="352"/>
      <c r="C102" s="972"/>
      <c r="D102" s="972"/>
      <c r="E102" s="972"/>
      <c r="F102" s="972"/>
      <c r="G102" s="972"/>
      <c r="H102" s="972"/>
      <c r="I102" s="972"/>
      <c r="J102" s="972"/>
      <c r="K102" s="972"/>
      <c r="L102" s="972"/>
      <c r="M102" s="972"/>
      <c r="N102" s="972"/>
      <c r="O102" s="352"/>
      <c r="P102" s="352"/>
      <c r="Q102" s="352"/>
      <c r="R102" s="352"/>
      <c r="S102" s="352"/>
      <c r="T102" s="352"/>
      <c r="U102" s="352"/>
      <c r="V102" s="352"/>
      <c r="W102" s="352"/>
      <c r="X102" s="352"/>
      <c r="Y102" s="352"/>
      <c r="Z102" s="352"/>
      <c r="AA102" s="352"/>
      <c r="AB102" s="352"/>
      <c r="AC102" s="352"/>
      <c r="AD102" s="352"/>
      <c r="AE102" s="352"/>
    </row>
    <row r="103">
      <c r="A103" s="352"/>
      <c r="B103" s="352"/>
      <c r="C103" s="972"/>
      <c r="D103" s="972"/>
      <c r="E103" s="972"/>
      <c r="F103" s="972"/>
      <c r="G103" s="972"/>
      <c r="H103" s="972"/>
      <c r="I103" s="972"/>
      <c r="J103" s="972"/>
      <c r="K103" s="972"/>
      <c r="L103" s="972"/>
      <c r="M103" s="972"/>
      <c r="N103" s="972"/>
      <c r="O103" s="352"/>
      <c r="P103" s="352"/>
      <c r="Q103" s="352"/>
      <c r="R103" s="352"/>
      <c r="S103" s="352"/>
      <c r="T103" s="352"/>
      <c r="U103" s="352"/>
      <c r="V103" s="352"/>
      <c r="W103" s="352"/>
      <c r="X103" s="352"/>
      <c r="Y103" s="352"/>
      <c r="Z103" s="352"/>
      <c r="AA103" s="352"/>
      <c r="AB103" s="352"/>
      <c r="AC103" s="352"/>
      <c r="AD103" s="352"/>
      <c r="AE103" s="352"/>
    </row>
    <row r="104">
      <c r="A104" s="352"/>
      <c r="B104" s="352"/>
      <c r="C104" s="972"/>
      <c r="D104" s="972"/>
      <c r="E104" s="972"/>
      <c r="F104" s="972"/>
      <c r="G104" s="972"/>
      <c r="H104" s="972"/>
      <c r="I104" s="972"/>
      <c r="J104" s="972"/>
      <c r="K104" s="972"/>
      <c r="L104" s="972"/>
      <c r="M104" s="972"/>
      <c r="N104" s="972"/>
      <c r="O104" s="352"/>
      <c r="P104" s="352"/>
      <c r="Q104" s="352"/>
      <c r="R104" s="352"/>
      <c r="S104" s="352"/>
      <c r="T104" s="352"/>
      <c r="U104" s="352"/>
      <c r="V104" s="352"/>
      <c r="W104" s="352"/>
      <c r="X104" s="352"/>
      <c r="Y104" s="352"/>
      <c r="Z104" s="352"/>
      <c r="AA104" s="352"/>
      <c r="AB104" s="352"/>
      <c r="AC104" s="352"/>
      <c r="AD104" s="352"/>
      <c r="AE104" s="352"/>
    </row>
    <row r="105">
      <c r="A105" s="352"/>
      <c r="B105" s="352"/>
      <c r="C105" s="972"/>
      <c r="D105" s="972"/>
      <c r="E105" s="972"/>
      <c r="F105" s="972"/>
      <c r="G105" s="972"/>
      <c r="H105" s="972"/>
      <c r="I105" s="972"/>
      <c r="J105" s="972"/>
      <c r="K105" s="972"/>
      <c r="L105" s="972"/>
      <c r="M105" s="972"/>
      <c r="N105" s="972"/>
      <c r="O105" s="352"/>
      <c r="P105" s="352"/>
      <c r="Q105" s="352"/>
      <c r="R105" s="352"/>
      <c r="S105" s="352"/>
      <c r="T105" s="352"/>
      <c r="U105" s="352"/>
      <c r="V105" s="352"/>
      <c r="W105" s="352"/>
      <c r="X105" s="352"/>
      <c r="Y105" s="352"/>
      <c r="Z105" s="352"/>
      <c r="AA105" s="352"/>
      <c r="AB105" s="352"/>
      <c r="AC105" s="352"/>
      <c r="AD105" s="352"/>
      <c r="AE105" s="352"/>
    </row>
    <row r="106">
      <c r="A106" s="352"/>
      <c r="B106" s="352"/>
      <c r="C106" s="972"/>
      <c r="D106" s="972"/>
      <c r="E106" s="972"/>
      <c r="F106" s="972"/>
      <c r="G106" s="972"/>
      <c r="H106" s="972"/>
      <c r="I106" s="972"/>
      <c r="J106" s="972"/>
      <c r="K106" s="972"/>
      <c r="L106" s="972"/>
      <c r="M106" s="972"/>
      <c r="N106" s="972"/>
      <c r="O106" s="352"/>
      <c r="P106" s="352"/>
      <c r="Q106" s="352"/>
      <c r="R106" s="352"/>
      <c r="S106" s="352"/>
      <c r="T106" s="352"/>
      <c r="U106" s="352"/>
      <c r="V106" s="352"/>
      <c r="W106" s="352"/>
      <c r="X106" s="352"/>
      <c r="Y106" s="352"/>
      <c r="Z106" s="352"/>
      <c r="AA106" s="352"/>
      <c r="AB106" s="352"/>
      <c r="AC106" s="352"/>
      <c r="AD106" s="352"/>
      <c r="AE106" s="352"/>
    </row>
    <row r="107">
      <c r="A107" s="352"/>
      <c r="B107" s="352"/>
      <c r="C107" s="972"/>
      <c r="D107" s="972"/>
      <c r="E107" s="972"/>
      <c r="F107" s="972"/>
      <c r="G107" s="972"/>
      <c r="H107" s="972"/>
      <c r="I107" s="972"/>
      <c r="J107" s="972"/>
      <c r="K107" s="972"/>
      <c r="L107" s="972"/>
      <c r="M107" s="972"/>
      <c r="N107" s="972"/>
      <c r="O107" s="352"/>
      <c r="P107" s="352"/>
      <c r="Q107" s="352"/>
      <c r="R107" s="352"/>
      <c r="S107" s="352"/>
      <c r="T107" s="352"/>
      <c r="U107" s="352"/>
      <c r="V107" s="352"/>
      <c r="W107" s="352"/>
      <c r="X107" s="352"/>
      <c r="Y107" s="352"/>
      <c r="Z107" s="352"/>
      <c r="AA107" s="352"/>
      <c r="AB107" s="352"/>
      <c r="AC107" s="352"/>
      <c r="AD107" s="352"/>
      <c r="AE107" s="352"/>
    </row>
    <row r="108">
      <c r="A108" s="352"/>
      <c r="B108" s="352"/>
      <c r="C108" s="972"/>
      <c r="D108" s="972"/>
      <c r="E108" s="972"/>
      <c r="F108" s="972"/>
      <c r="G108" s="972"/>
      <c r="H108" s="972"/>
      <c r="I108" s="972"/>
      <c r="J108" s="972"/>
      <c r="K108" s="972"/>
      <c r="L108" s="972"/>
      <c r="M108" s="972"/>
      <c r="N108" s="972"/>
      <c r="O108" s="352"/>
      <c r="P108" s="352"/>
      <c r="Q108" s="352"/>
      <c r="R108" s="352"/>
      <c r="S108" s="352"/>
      <c r="T108" s="352"/>
      <c r="U108" s="352"/>
      <c r="V108" s="352"/>
      <c r="W108" s="352"/>
      <c r="X108" s="352"/>
      <c r="Y108" s="352"/>
      <c r="Z108" s="352"/>
      <c r="AA108" s="352"/>
      <c r="AB108" s="352"/>
      <c r="AC108" s="352"/>
      <c r="AD108" s="352"/>
      <c r="AE108" s="352"/>
    </row>
    <row r="109">
      <c r="A109" s="352"/>
      <c r="B109" s="352"/>
      <c r="C109" s="972"/>
      <c r="D109" s="972"/>
      <c r="E109" s="972"/>
      <c r="F109" s="972"/>
      <c r="G109" s="972"/>
      <c r="H109" s="972"/>
      <c r="I109" s="972"/>
      <c r="J109" s="972"/>
      <c r="K109" s="972"/>
      <c r="L109" s="972"/>
      <c r="M109" s="972"/>
      <c r="N109" s="972"/>
      <c r="O109" s="352"/>
      <c r="P109" s="352"/>
      <c r="Q109" s="352"/>
      <c r="R109" s="352"/>
      <c r="S109" s="352"/>
      <c r="T109" s="352"/>
      <c r="U109" s="352"/>
      <c r="V109" s="352"/>
      <c r="W109" s="352"/>
      <c r="X109" s="352"/>
      <c r="Y109" s="352"/>
      <c r="Z109" s="352"/>
      <c r="AA109" s="352"/>
      <c r="AB109" s="352"/>
      <c r="AC109" s="352"/>
      <c r="AD109" s="352"/>
      <c r="AE109" s="352"/>
    </row>
    <row r="110">
      <c r="A110" s="352"/>
      <c r="B110" s="352"/>
      <c r="C110" s="972"/>
      <c r="D110" s="972"/>
      <c r="E110" s="972"/>
      <c r="F110" s="972"/>
      <c r="G110" s="972"/>
      <c r="H110" s="972"/>
      <c r="I110" s="972"/>
      <c r="J110" s="972"/>
      <c r="K110" s="972"/>
      <c r="L110" s="972"/>
      <c r="M110" s="972"/>
      <c r="N110" s="972"/>
      <c r="O110" s="352"/>
      <c r="P110" s="352"/>
      <c r="Q110" s="352"/>
      <c r="R110" s="352"/>
      <c r="S110" s="352"/>
      <c r="T110" s="352"/>
      <c r="U110" s="352"/>
      <c r="V110" s="352"/>
      <c r="W110" s="352"/>
      <c r="X110" s="352"/>
      <c r="Y110" s="352"/>
      <c r="Z110" s="352"/>
      <c r="AA110" s="352"/>
      <c r="AB110" s="352"/>
      <c r="AC110" s="352"/>
      <c r="AD110" s="352"/>
      <c r="AE110" s="352"/>
    </row>
    <row r="111">
      <c r="A111" s="352"/>
      <c r="B111" s="352"/>
      <c r="C111" s="972"/>
      <c r="D111" s="972"/>
      <c r="E111" s="972"/>
      <c r="F111" s="972"/>
      <c r="G111" s="972"/>
      <c r="H111" s="972"/>
      <c r="I111" s="972"/>
      <c r="J111" s="972"/>
      <c r="K111" s="972"/>
      <c r="L111" s="972"/>
      <c r="M111" s="972"/>
      <c r="N111" s="972"/>
      <c r="O111" s="352"/>
      <c r="P111" s="352"/>
      <c r="Q111" s="352"/>
      <c r="R111" s="352"/>
      <c r="S111" s="352"/>
      <c r="T111" s="352"/>
      <c r="U111" s="352"/>
      <c r="V111" s="352"/>
      <c r="W111" s="352"/>
      <c r="X111" s="352"/>
      <c r="Y111" s="352"/>
      <c r="Z111" s="352"/>
      <c r="AA111" s="352"/>
      <c r="AB111" s="352"/>
      <c r="AC111" s="352"/>
      <c r="AD111" s="352"/>
      <c r="AE111" s="352"/>
    </row>
    <row r="112">
      <c r="A112" s="352"/>
      <c r="B112" s="352"/>
      <c r="C112" s="972"/>
      <c r="D112" s="972"/>
      <c r="E112" s="972"/>
      <c r="F112" s="972"/>
      <c r="G112" s="972"/>
      <c r="H112" s="972"/>
      <c r="I112" s="972"/>
      <c r="J112" s="972"/>
      <c r="K112" s="972"/>
      <c r="L112" s="972"/>
      <c r="M112" s="972"/>
      <c r="N112" s="972"/>
      <c r="O112" s="352"/>
      <c r="P112" s="352"/>
      <c r="Q112" s="352"/>
      <c r="R112" s="352"/>
      <c r="S112" s="352"/>
      <c r="T112" s="352"/>
      <c r="U112" s="352"/>
      <c r="V112" s="352"/>
      <c r="W112" s="352"/>
      <c r="X112" s="352"/>
      <c r="Y112" s="352"/>
      <c r="Z112" s="352"/>
      <c r="AA112" s="352"/>
      <c r="AB112" s="352"/>
      <c r="AC112" s="352"/>
      <c r="AD112" s="352"/>
      <c r="AE112" s="352"/>
    </row>
    <row r="113">
      <c r="A113" s="352"/>
      <c r="B113" s="352"/>
      <c r="C113" s="972"/>
      <c r="D113" s="972"/>
      <c r="E113" s="972"/>
      <c r="F113" s="972"/>
      <c r="G113" s="972"/>
      <c r="H113" s="972"/>
      <c r="I113" s="972"/>
      <c r="J113" s="972"/>
      <c r="K113" s="972"/>
      <c r="L113" s="972"/>
      <c r="M113" s="972"/>
      <c r="N113" s="972"/>
      <c r="O113" s="352"/>
      <c r="P113" s="352"/>
      <c r="Q113" s="352"/>
      <c r="R113" s="352"/>
      <c r="S113" s="352"/>
      <c r="T113" s="352"/>
      <c r="U113" s="352"/>
      <c r="V113" s="352"/>
      <c r="W113" s="352"/>
      <c r="X113" s="352"/>
      <c r="Y113" s="352"/>
      <c r="Z113" s="352"/>
      <c r="AA113" s="352"/>
      <c r="AB113" s="352"/>
      <c r="AC113" s="352"/>
      <c r="AD113" s="352"/>
      <c r="AE113" s="352"/>
    </row>
    <row r="114">
      <c r="A114" s="352"/>
      <c r="B114" s="352"/>
      <c r="C114" s="972"/>
      <c r="D114" s="972"/>
      <c r="E114" s="972"/>
      <c r="F114" s="972"/>
      <c r="G114" s="972"/>
      <c r="H114" s="972"/>
      <c r="I114" s="972"/>
      <c r="J114" s="972"/>
      <c r="K114" s="972"/>
      <c r="L114" s="972"/>
      <c r="M114" s="972"/>
      <c r="N114" s="972"/>
      <c r="O114" s="352"/>
      <c r="P114" s="352"/>
      <c r="Q114" s="352"/>
      <c r="R114" s="352"/>
      <c r="S114" s="352"/>
      <c r="T114" s="352"/>
      <c r="U114" s="352"/>
      <c r="V114" s="352"/>
      <c r="W114" s="352"/>
      <c r="X114" s="352"/>
      <c r="Y114" s="352"/>
      <c r="Z114" s="352"/>
      <c r="AA114" s="352"/>
      <c r="AB114" s="352"/>
      <c r="AC114" s="352"/>
      <c r="AD114" s="352"/>
      <c r="AE114" s="352"/>
    </row>
    <row r="115">
      <c r="A115" s="352"/>
      <c r="B115" s="352"/>
      <c r="C115" s="972"/>
      <c r="D115" s="972"/>
      <c r="E115" s="972"/>
      <c r="F115" s="972"/>
      <c r="G115" s="972"/>
      <c r="H115" s="972"/>
      <c r="I115" s="972"/>
      <c r="J115" s="972"/>
      <c r="K115" s="972"/>
      <c r="L115" s="972"/>
      <c r="M115" s="972"/>
      <c r="N115" s="972"/>
      <c r="O115" s="352"/>
      <c r="P115" s="352"/>
      <c r="Q115" s="352"/>
      <c r="R115" s="352"/>
      <c r="S115" s="352"/>
      <c r="T115" s="352"/>
      <c r="U115" s="352"/>
      <c r="V115" s="352"/>
      <c r="W115" s="352"/>
      <c r="X115" s="352"/>
      <c r="Y115" s="352"/>
      <c r="Z115" s="352"/>
      <c r="AA115" s="352"/>
      <c r="AB115" s="352"/>
      <c r="AC115" s="352"/>
      <c r="AD115" s="352"/>
      <c r="AE115" s="352"/>
    </row>
    <row r="116">
      <c r="A116" s="352"/>
      <c r="B116" s="352"/>
      <c r="C116" s="972"/>
      <c r="D116" s="972"/>
      <c r="E116" s="972"/>
      <c r="F116" s="972"/>
      <c r="G116" s="972"/>
      <c r="H116" s="972"/>
      <c r="I116" s="972"/>
      <c r="J116" s="972"/>
      <c r="K116" s="972"/>
      <c r="L116" s="972"/>
      <c r="M116" s="972"/>
      <c r="N116" s="972"/>
      <c r="O116" s="352"/>
      <c r="P116" s="352"/>
      <c r="Q116" s="352"/>
      <c r="R116" s="352"/>
      <c r="S116" s="352"/>
      <c r="T116" s="352"/>
      <c r="U116" s="352"/>
      <c r="V116" s="352"/>
      <c r="W116" s="352"/>
      <c r="X116" s="352"/>
      <c r="Y116" s="352"/>
      <c r="Z116" s="352"/>
      <c r="AA116" s="352"/>
      <c r="AB116" s="352"/>
      <c r="AC116" s="352"/>
      <c r="AD116" s="352"/>
      <c r="AE116" s="352"/>
    </row>
    <row r="117">
      <c r="A117" s="352"/>
      <c r="B117" s="352"/>
      <c r="C117" s="972"/>
      <c r="D117" s="972"/>
      <c r="E117" s="972"/>
      <c r="F117" s="972"/>
      <c r="G117" s="972"/>
      <c r="H117" s="972"/>
      <c r="I117" s="972"/>
      <c r="J117" s="972"/>
      <c r="K117" s="972"/>
      <c r="L117" s="972"/>
      <c r="M117" s="972"/>
      <c r="N117" s="972"/>
      <c r="O117" s="352"/>
      <c r="P117" s="352"/>
      <c r="Q117" s="352"/>
      <c r="R117" s="352"/>
      <c r="S117" s="352"/>
      <c r="T117" s="352"/>
      <c r="U117" s="352"/>
      <c r="V117" s="352"/>
      <c r="W117" s="352"/>
      <c r="X117" s="352"/>
      <c r="Y117" s="352"/>
      <c r="Z117" s="352"/>
      <c r="AA117" s="352"/>
      <c r="AB117" s="352"/>
      <c r="AC117" s="352"/>
      <c r="AD117" s="352"/>
      <c r="AE117" s="352"/>
    </row>
    <row r="118">
      <c r="A118" s="352"/>
      <c r="B118" s="352"/>
      <c r="C118" s="972"/>
      <c r="D118" s="972"/>
      <c r="E118" s="972"/>
      <c r="F118" s="972"/>
      <c r="G118" s="972"/>
      <c r="H118" s="972"/>
      <c r="I118" s="972"/>
      <c r="J118" s="972"/>
      <c r="K118" s="972"/>
      <c r="L118" s="972"/>
      <c r="M118" s="972"/>
      <c r="N118" s="972"/>
      <c r="O118" s="352"/>
      <c r="P118" s="352"/>
      <c r="Q118" s="352"/>
      <c r="R118" s="352"/>
      <c r="S118" s="352"/>
      <c r="T118" s="352"/>
      <c r="U118" s="352"/>
      <c r="V118" s="352"/>
      <c r="W118" s="352"/>
      <c r="X118" s="352"/>
      <c r="Y118" s="352"/>
      <c r="Z118" s="352"/>
      <c r="AA118" s="352"/>
      <c r="AB118" s="352"/>
      <c r="AC118" s="352"/>
      <c r="AD118" s="352"/>
      <c r="AE118" s="352"/>
    </row>
    <row r="119">
      <c r="A119" s="352"/>
      <c r="B119" s="352"/>
      <c r="C119" s="972"/>
      <c r="D119" s="972"/>
      <c r="E119" s="972"/>
      <c r="F119" s="972"/>
      <c r="G119" s="972"/>
      <c r="H119" s="972"/>
      <c r="I119" s="972"/>
      <c r="J119" s="972"/>
      <c r="K119" s="972"/>
      <c r="L119" s="972"/>
      <c r="M119" s="972"/>
      <c r="N119" s="972"/>
      <c r="O119" s="352"/>
      <c r="P119" s="352"/>
      <c r="Q119" s="352"/>
      <c r="R119" s="352"/>
      <c r="S119" s="352"/>
      <c r="T119" s="352"/>
      <c r="U119" s="352"/>
      <c r="V119" s="352"/>
      <c r="W119" s="352"/>
      <c r="X119" s="352"/>
      <c r="Y119" s="352"/>
      <c r="Z119" s="352"/>
      <c r="AA119" s="352"/>
      <c r="AB119" s="352"/>
      <c r="AC119" s="352"/>
      <c r="AD119" s="352"/>
      <c r="AE119" s="352"/>
    </row>
    <row r="120">
      <c r="A120" s="352"/>
      <c r="B120" s="352"/>
      <c r="C120" s="972"/>
      <c r="D120" s="972"/>
      <c r="E120" s="972"/>
      <c r="F120" s="972"/>
      <c r="G120" s="972"/>
      <c r="H120" s="972"/>
      <c r="I120" s="972"/>
      <c r="J120" s="972"/>
      <c r="K120" s="972"/>
      <c r="L120" s="972"/>
      <c r="M120" s="972"/>
      <c r="N120" s="972"/>
      <c r="O120" s="352"/>
      <c r="P120" s="352"/>
      <c r="Q120" s="352"/>
      <c r="R120" s="352"/>
      <c r="S120" s="352"/>
      <c r="T120" s="352"/>
      <c r="U120" s="352"/>
      <c r="V120" s="352"/>
      <c r="W120" s="352"/>
      <c r="X120" s="352"/>
      <c r="Y120" s="352"/>
      <c r="Z120" s="352"/>
      <c r="AA120" s="352"/>
      <c r="AB120" s="352"/>
      <c r="AC120" s="352"/>
      <c r="AD120" s="352"/>
      <c r="AE120" s="352"/>
    </row>
    <row r="121">
      <c r="A121" s="352"/>
      <c r="B121" s="352"/>
      <c r="C121" s="972"/>
      <c r="D121" s="972"/>
      <c r="E121" s="972"/>
      <c r="F121" s="972"/>
      <c r="G121" s="972"/>
      <c r="H121" s="972"/>
      <c r="I121" s="972"/>
      <c r="J121" s="972"/>
      <c r="K121" s="972"/>
      <c r="L121" s="972"/>
      <c r="M121" s="972"/>
      <c r="N121" s="972"/>
      <c r="O121" s="352"/>
      <c r="P121" s="352"/>
      <c r="Q121" s="352"/>
      <c r="R121" s="352"/>
      <c r="S121" s="352"/>
      <c r="T121" s="352"/>
      <c r="U121" s="352"/>
      <c r="V121" s="352"/>
      <c r="W121" s="352"/>
      <c r="X121" s="352"/>
      <c r="Y121" s="352"/>
      <c r="Z121" s="352"/>
      <c r="AA121" s="352"/>
      <c r="AB121" s="352"/>
      <c r="AC121" s="352"/>
      <c r="AD121" s="352"/>
      <c r="AE121" s="352"/>
    </row>
    <row r="122">
      <c r="A122" s="352"/>
      <c r="B122" s="352"/>
      <c r="C122" s="972"/>
      <c r="D122" s="972"/>
      <c r="E122" s="972"/>
      <c r="F122" s="972"/>
      <c r="G122" s="972"/>
      <c r="H122" s="972"/>
      <c r="I122" s="972"/>
      <c r="J122" s="972"/>
      <c r="K122" s="972"/>
      <c r="L122" s="972"/>
      <c r="M122" s="972"/>
      <c r="N122" s="972"/>
      <c r="O122" s="352"/>
      <c r="P122" s="352"/>
      <c r="Q122" s="352"/>
      <c r="R122" s="352"/>
      <c r="S122" s="352"/>
      <c r="T122" s="352"/>
      <c r="U122" s="352"/>
      <c r="V122" s="352"/>
      <c r="W122" s="352"/>
      <c r="X122" s="352"/>
      <c r="Y122" s="352"/>
      <c r="Z122" s="352"/>
      <c r="AA122" s="352"/>
      <c r="AB122" s="352"/>
      <c r="AC122" s="352"/>
      <c r="AD122" s="352"/>
      <c r="AE122" s="352"/>
    </row>
    <row r="123">
      <c r="A123" s="352"/>
      <c r="B123" s="352"/>
      <c r="C123" s="972"/>
      <c r="D123" s="972"/>
      <c r="E123" s="972"/>
      <c r="F123" s="972"/>
      <c r="G123" s="972"/>
      <c r="H123" s="972"/>
      <c r="I123" s="972"/>
      <c r="J123" s="972"/>
      <c r="K123" s="972"/>
      <c r="L123" s="972"/>
      <c r="M123" s="972"/>
      <c r="N123" s="972"/>
      <c r="O123" s="352"/>
      <c r="P123" s="352"/>
      <c r="Q123" s="352"/>
      <c r="R123" s="352"/>
      <c r="S123" s="352"/>
      <c r="T123" s="352"/>
      <c r="U123" s="352"/>
      <c r="V123" s="352"/>
      <c r="W123" s="352"/>
      <c r="X123" s="352"/>
      <c r="Y123" s="352"/>
      <c r="Z123" s="352"/>
      <c r="AA123" s="352"/>
      <c r="AB123" s="352"/>
      <c r="AC123" s="352"/>
      <c r="AD123" s="352"/>
      <c r="AE123" s="352"/>
    </row>
    <row r="124">
      <c r="A124" s="352"/>
      <c r="B124" s="352"/>
      <c r="C124" s="972"/>
      <c r="D124" s="972"/>
      <c r="E124" s="972"/>
      <c r="F124" s="972"/>
      <c r="G124" s="972"/>
      <c r="H124" s="972"/>
      <c r="I124" s="972"/>
      <c r="J124" s="972"/>
      <c r="K124" s="972"/>
      <c r="L124" s="972"/>
      <c r="M124" s="972"/>
      <c r="N124" s="972"/>
      <c r="O124" s="352"/>
      <c r="P124" s="352"/>
      <c r="Q124" s="352"/>
      <c r="R124" s="352"/>
      <c r="S124" s="352"/>
      <c r="T124" s="352"/>
      <c r="U124" s="352"/>
      <c r="V124" s="352"/>
      <c r="W124" s="352"/>
      <c r="X124" s="352"/>
      <c r="Y124" s="352"/>
      <c r="Z124" s="352"/>
      <c r="AA124" s="352"/>
      <c r="AB124" s="352"/>
      <c r="AC124" s="352"/>
      <c r="AD124" s="352"/>
      <c r="AE124" s="352"/>
    </row>
    <row r="125">
      <c r="A125" s="352"/>
      <c r="B125" s="352"/>
      <c r="C125" s="972"/>
      <c r="D125" s="972"/>
      <c r="E125" s="972"/>
      <c r="F125" s="972"/>
      <c r="G125" s="972"/>
      <c r="H125" s="972"/>
      <c r="I125" s="972"/>
      <c r="J125" s="972"/>
      <c r="K125" s="972"/>
      <c r="L125" s="972"/>
      <c r="M125" s="972"/>
      <c r="N125" s="972"/>
      <c r="O125" s="352"/>
      <c r="P125" s="352"/>
      <c r="Q125" s="352"/>
      <c r="R125" s="352"/>
      <c r="S125" s="352"/>
      <c r="T125" s="352"/>
      <c r="U125" s="352"/>
      <c r="V125" s="352"/>
      <c r="W125" s="352"/>
      <c r="X125" s="352"/>
      <c r="Y125" s="352"/>
      <c r="Z125" s="352"/>
      <c r="AA125" s="352"/>
      <c r="AB125" s="352"/>
      <c r="AC125" s="352"/>
      <c r="AD125" s="352"/>
      <c r="AE125" s="352"/>
    </row>
    <row r="126">
      <c r="A126" s="352"/>
      <c r="B126" s="352"/>
      <c r="C126" s="972"/>
      <c r="D126" s="972"/>
      <c r="E126" s="972"/>
      <c r="F126" s="972"/>
      <c r="G126" s="972"/>
      <c r="H126" s="972"/>
      <c r="I126" s="972"/>
      <c r="J126" s="972"/>
      <c r="K126" s="972"/>
      <c r="L126" s="972"/>
      <c r="M126" s="972"/>
      <c r="N126" s="972"/>
      <c r="O126" s="352"/>
      <c r="P126" s="352"/>
      <c r="Q126" s="352"/>
      <c r="R126" s="352"/>
      <c r="S126" s="352"/>
      <c r="T126" s="352"/>
      <c r="U126" s="352"/>
      <c r="V126" s="352"/>
      <c r="W126" s="352"/>
      <c r="X126" s="352"/>
      <c r="Y126" s="352"/>
      <c r="Z126" s="352"/>
      <c r="AA126" s="352"/>
      <c r="AB126" s="352"/>
      <c r="AC126" s="352"/>
      <c r="AD126" s="352"/>
      <c r="AE126" s="352"/>
    </row>
    <row r="127">
      <c r="A127" s="352"/>
      <c r="B127" s="352"/>
      <c r="C127" s="972"/>
      <c r="D127" s="972"/>
      <c r="E127" s="972"/>
      <c r="F127" s="972"/>
      <c r="G127" s="972"/>
      <c r="H127" s="972"/>
      <c r="I127" s="972"/>
      <c r="J127" s="972"/>
      <c r="K127" s="972"/>
      <c r="L127" s="972"/>
      <c r="M127" s="972"/>
      <c r="N127" s="972"/>
      <c r="O127" s="352"/>
      <c r="P127" s="352"/>
      <c r="Q127" s="352"/>
      <c r="R127" s="352"/>
      <c r="S127" s="352"/>
      <c r="T127" s="352"/>
      <c r="U127" s="352"/>
      <c r="V127" s="352"/>
      <c r="W127" s="352"/>
      <c r="X127" s="352"/>
      <c r="Y127" s="352"/>
      <c r="Z127" s="352"/>
      <c r="AA127" s="352"/>
      <c r="AB127" s="352"/>
      <c r="AC127" s="352"/>
      <c r="AD127" s="352"/>
      <c r="AE127" s="352"/>
    </row>
    <row r="128">
      <c r="A128" s="352"/>
      <c r="B128" s="352"/>
      <c r="C128" s="972"/>
      <c r="D128" s="972"/>
      <c r="E128" s="972"/>
      <c r="F128" s="972"/>
      <c r="G128" s="972"/>
      <c r="H128" s="972"/>
      <c r="I128" s="972"/>
      <c r="J128" s="972"/>
      <c r="K128" s="972"/>
      <c r="L128" s="972"/>
      <c r="M128" s="972"/>
      <c r="N128" s="972"/>
      <c r="O128" s="352"/>
      <c r="P128" s="352"/>
      <c r="Q128" s="352"/>
      <c r="R128" s="352"/>
      <c r="S128" s="352"/>
      <c r="T128" s="352"/>
      <c r="U128" s="352"/>
      <c r="V128" s="352"/>
      <c r="W128" s="352"/>
      <c r="X128" s="352"/>
      <c r="Y128" s="352"/>
      <c r="Z128" s="352"/>
      <c r="AA128" s="352"/>
      <c r="AB128" s="352"/>
      <c r="AC128" s="352"/>
      <c r="AD128" s="352"/>
      <c r="AE128" s="352"/>
    </row>
    <row r="129">
      <c r="A129" s="352"/>
      <c r="B129" s="352"/>
      <c r="C129" s="972"/>
      <c r="D129" s="972"/>
      <c r="E129" s="972"/>
      <c r="F129" s="972"/>
      <c r="G129" s="972"/>
      <c r="H129" s="972"/>
      <c r="I129" s="972"/>
      <c r="J129" s="972"/>
      <c r="K129" s="972"/>
      <c r="L129" s="972"/>
      <c r="M129" s="972"/>
      <c r="N129" s="972"/>
      <c r="O129" s="352"/>
      <c r="P129" s="352"/>
      <c r="Q129" s="352"/>
      <c r="R129" s="352"/>
      <c r="S129" s="352"/>
      <c r="T129" s="352"/>
      <c r="U129" s="352"/>
      <c r="V129" s="352"/>
      <c r="W129" s="352"/>
      <c r="X129" s="352"/>
      <c r="Y129" s="352"/>
      <c r="Z129" s="352"/>
      <c r="AA129" s="352"/>
      <c r="AB129" s="352"/>
      <c r="AC129" s="352"/>
      <c r="AD129" s="352"/>
      <c r="AE129" s="352"/>
    </row>
    <row r="130">
      <c r="A130" s="352"/>
      <c r="B130" s="352"/>
      <c r="C130" s="972"/>
      <c r="D130" s="972"/>
      <c r="E130" s="972"/>
      <c r="F130" s="972"/>
      <c r="G130" s="972"/>
      <c r="H130" s="972"/>
      <c r="I130" s="972"/>
      <c r="J130" s="972"/>
      <c r="K130" s="972"/>
      <c r="L130" s="972"/>
      <c r="M130" s="972"/>
      <c r="N130" s="972"/>
      <c r="O130" s="352"/>
      <c r="P130" s="352"/>
      <c r="Q130" s="352"/>
      <c r="R130" s="352"/>
      <c r="S130" s="352"/>
      <c r="T130" s="352"/>
      <c r="U130" s="352"/>
      <c r="V130" s="352"/>
      <c r="W130" s="352"/>
      <c r="X130" s="352"/>
      <c r="Y130" s="352"/>
      <c r="Z130" s="352"/>
      <c r="AA130" s="352"/>
      <c r="AB130" s="352"/>
      <c r="AC130" s="352"/>
      <c r="AD130" s="352"/>
      <c r="AE130" s="352"/>
    </row>
    <row r="131">
      <c r="A131" s="352"/>
      <c r="B131" s="352"/>
      <c r="C131" s="972"/>
      <c r="D131" s="972"/>
      <c r="E131" s="972"/>
      <c r="F131" s="972"/>
      <c r="G131" s="972"/>
      <c r="H131" s="972"/>
      <c r="I131" s="972"/>
      <c r="J131" s="972"/>
      <c r="K131" s="972"/>
      <c r="L131" s="972"/>
      <c r="M131" s="972"/>
      <c r="N131" s="972"/>
      <c r="O131" s="352"/>
      <c r="P131" s="352"/>
      <c r="Q131" s="352"/>
      <c r="R131" s="352"/>
      <c r="S131" s="352"/>
      <c r="T131" s="352"/>
      <c r="U131" s="352"/>
      <c r="V131" s="352"/>
      <c r="W131" s="352"/>
      <c r="X131" s="352"/>
      <c r="Y131" s="352"/>
      <c r="Z131" s="352"/>
      <c r="AA131" s="352"/>
      <c r="AB131" s="352"/>
      <c r="AC131" s="352"/>
      <c r="AD131" s="352"/>
      <c r="AE131" s="352"/>
    </row>
    <row r="132">
      <c r="A132" s="352"/>
      <c r="B132" s="352"/>
      <c r="C132" s="972"/>
      <c r="D132" s="972"/>
      <c r="E132" s="972"/>
      <c r="F132" s="972"/>
      <c r="G132" s="972"/>
      <c r="H132" s="972"/>
      <c r="I132" s="972"/>
      <c r="J132" s="972"/>
      <c r="K132" s="972"/>
      <c r="L132" s="972"/>
      <c r="M132" s="972"/>
      <c r="N132" s="972"/>
      <c r="O132" s="352"/>
      <c r="P132" s="352"/>
      <c r="Q132" s="352"/>
      <c r="R132" s="352"/>
      <c r="S132" s="352"/>
      <c r="T132" s="352"/>
      <c r="U132" s="352"/>
      <c r="V132" s="352"/>
      <c r="W132" s="352"/>
      <c r="X132" s="352"/>
      <c r="Y132" s="352"/>
      <c r="Z132" s="352"/>
      <c r="AA132" s="352"/>
      <c r="AB132" s="352"/>
      <c r="AC132" s="352"/>
      <c r="AD132" s="352"/>
      <c r="AE132" s="352"/>
    </row>
    <row r="133">
      <c r="A133" s="352"/>
      <c r="B133" s="352"/>
      <c r="C133" s="972"/>
      <c r="D133" s="972"/>
      <c r="E133" s="972"/>
      <c r="F133" s="972"/>
      <c r="G133" s="972"/>
      <c r="H133" s="972"/>
      <c r="I133" s="972"/>
      <c r="J133" s="972"/>
      <c r="K133" s="972"/>
      <c r="L133" s="972"/>
      <c r="M133" s="972"/>
      <c r="N133" s="972"/>
      <c r="O133" s="352"/>
      <c r="P133" s="352"/>
      <c r="Q133" s="352"/>
      <c r="R133" s="352"/>
      <c r="S133" s="352"/>
      <c r="T133" s="352"/>
      <c r="U133" s="352"/>
      <c r="V133" s="352"/>
      <c r="W133" s="352"/>
      <c r="X133" s="352"/>
      <c r="Y133" s="352"/>
      <c r="Z133" s="352"/>
      <c r="AA133" s="352"/>
      <c r="AB133" s="352"/>
      <c r="AC133" s="352"/>
      <c r="AD133" s="352"/>
      <c r="AE133" s="352"/>
    </row>
    <row r="134">
      <c r="A134" s="352"/>
      <c r="B134" s="352"/>
      <c r="C134" s="972"/>
      <c r="D134" s="972"/>
      <c r="E134" s="972"/>
      <c r="F134" s="972"/>
      <c r="G134" s="972"/>
      <c r="H134" s="972"/>
      <c r="I134" s="972"/>
      <c r="J134" s="972"/>
      <c r="K134" s="972"/>
      <c r="L134" s="972"/>
      <c r="M134" s="972"/>
      <c r="N134" s="972"/>
      <c r="O134" s="352"/>
      <c r="P134" s="352"/>
      <c r="Q134" s="352"/>
      <c r="R134" s="352"/>
      <c r="S134" s="352"/>
      <c r="T134" s="352"/>
      <c r="U134" s="352"/>
      <c r="V134" s="352"/>
      <c r="W134" s="352"/>
      <c r="X134" s="352"/>
      <c r="Y134" s="352"/>
      <c r="Z134" s="352"/>
      <c r="AA134" s="352"/>
      <c r="AB134" s="352"/>
      <c r="AC134" s="352"/>
      <c r="AD134" s="352"/>
      <c r="AE134" s="352"/>
    </row>
    <row r="135">
      <c r="A135" s="352"/>
      <c r="B135" s="352"/>
      <c r="C135" s="972"/>
      <c r="D135" s="972"/>
      <c r="E135" s="972"/>
      <c r="F135" s="972"/>
      <c r="G135" s="972"/>
      <c r="H135" s="972"/>
      <c r="I135" s="972"/>
      <c r="J135" s="972"/>
      <c r="K135" s="972"/>
      <c r="L135" s="972"/>
      <c r="M135" s="972"/>
      <c r="N135" s="972"/>
      <c r="O135" s="352"/>
      <c r="P135" s="352"/>
      <c r="Q135" s="352"/>
      <c r="R135" s="352"/>
      <c r="S135" s="352"/>
      <c r="T135" s="352"/>
      <c r="U135" s="352"/>
      <c r="V135" s="352"/>
      <c r="W135" s="352"/>
      <c r="X135" s="352"/>
      <c r="Y135" s="352"/>
      <c r="Z135" s="352"/>
      <c r="AA135" s="352"/>
      <c r="AB135" s="352"/>
      <c r="AC135" s="352"/>
      <c r="AD135" s="352"/>
      <c r="AE135" s="352"/>
    </row>
    <row r="136">
      <c r="A136" s="352"/>
      <c r="B136" s="352"/>
      <c r="C136" s="972"/>
      <c r="D136" s="972"/>
      <c r="E136" s="972"/>
      <c r="F136" s="972"/>
      <c r="G136" s="972"/>
      <c r="H136" s="972"/>
      <c r="I136" s="972"/>
      <c r="J136" s="972"/>
      <c r="K136" s="972"/>
      <c r="L136" s="972"/>
      <c r="M136" s="972"/>
      <c r="N136" s="972"/>
      <c r="O136" s="352"/>
      <c r="P136" s="352"/>
      <c r="Q136" s="352"/>
      <c r="R136" s="352"/>
      <c r="S136" s="352"/>
      <c r="T136" s="352"/>
      <c r="U136" s="352"/>
      <c r="V136" s="352"/>
      <c r="W136" s="352"/>
      <c r="X136" s="352"/>
      <c r="Y136" s="352"/>
      <c r="Z136" s="352"/>
      <c r="AA136" s="352"/>
      <c r="AB136" s="352"/>
      <c r="AC136" s="352"/>
      <c r="AD136" s="352"/>
      <c r="AE136" s="352"/>
    </row>
    <row r="137">
      <c r="A137" s="352"/>
      <c r="B137" s="352"/>
      <c r="C137" s="972"/>
      <c r="D137" s="972"/>
      <c r="E137" s="972"/>
      <c r="F137" s="972"/>
      <c r="G137" s="972"/>
      <c r="H137" s="972"/>
      <c r="I137" s="972"/>
      <c r="J137" s="972"/>
      <c r="K137" s="972"/>
      <c r="L137" s="972"/>
      <c r="M137" s="972"/>
      <c r="N137" s="972"/>
      <c r="O137" s="352"/>
      <c r="P137" s="352"/>
      <c r="Q137" s="352"/>
      <c r="R137" s="352"/>
      <c r="S137" s="352"/>
      <c r="T137" s="352"/>
      <c r="U137" s="352"/>
      <c r="V137" s="352"/>
      <c r="W137" s="352"/>
      <c r="X137" s="352"/>
      <c r="Y137" s="352"/>
      <c r="Z137" s="352"/>
      <c r="AA137" s="352"/>
      <c r="AB137" s="352"/>
      <c r="AC137" s="352"/>
      <c r="AD137" s="352"/>
      <c r="AE137" s="352"/>
    </row>
    <row r="138">
      <c r="A138" s="352"/>
      <c r="B138" s="352"/>
      <c r="C138" s="972"/>
      <c r="D138" s="972"/>
      <c r="E138" s="972"/>
      <c r="F138" s="972"/>
      <c r="G138" s="972"/>
      <c r="H138" s="972"/>
      <c r="I138" s="972"/>
      <c r="J138" s="972"/>
      <c r="K138" s="972"/>
      <c r="L138" s="972"/>
      <c r="M138" s="972"/>
      <c r="N138" s="972"/>
      <c r="O138" s="352"/>
      <c r="P138" s="352"/>
      <c r="Q138" s="352"/>
      <c r="R138" s="352"/>
      <c r="S138" s="352"/>
      <c r="T138" s="352"/>
      <c r="U138" s="352"/>
      <c r="V138" s="352"/>
      <c r="W138" s="352"/>
      <c r="X138" s="352"/>
      <c r="Y138" s="352"/>
      <c r="Z138" s="352"/>
      <c r="AA138" s="352"/>
      <c r="AB138" s="352"/>
      <c r="AC138" s="352"/>
      <c r="AD138" s="352"/>
      <c r="AE138" s="352"/>
    </row>
    <row r="139">
      <c r="A139" s="352"/>
      <c r="B139" s="352"/>
      <c r="C139" s="972"/>
      <c r="D139" s="972"/>
      <c r="E139" s="972"/>
      <c r="F139" s="972"/>
      <c r="G139" s="972"/>
      <c r="H139" s="972"/>
      <c r="I139" s="972"/>
      <c r="J139" s="972"/>
      <c r="K139" s="972"/>
      <c r="L139" s="972"/>
      <c r="M139" s="972"/>
      <c r="N139" s="972"/>
      <c r="O139" s="352"/>
      <c r="P139" s="352"/>
      <c r="Q139" s="352"/>
      <c r="R139" s="352"/>
      <c r="S139" s="352"/>
      <c r="T139" s="352"/>
      <c r="U139" s="352"/>
      <c r="V139" s="352"/>
      <c r="W139" s="352"/>
      <c r="X139" s="352"/>
      <c r="Y139" s="352"/>
      <c r="Z139" s="352"/>
      <c r="AA139" s="352"/>
      <c r="AB139" s="352"/>
      <c r="AC139" s="352"/>
      <c r="AD139" s="352"/>
      <c r="AE139" s="352"/>
    </row>
    <row r="140">
      <c r="A140" s="352"/>
      <c r="B140" s="352"/>
      <c r="C140" s="972"/>
      <c r="D140" s="972"/>
      <c r="E140" s="972"/>
      <c r="F140" s="972"/>
      <c r="G140" s="972"/>
      <c r="H140" s="972"/>
      <c r="I140" s="972"/>
      <c r="J140" s="972"/>
      <c r="K140" s="972"/>
      <c r="L140" s="972"/>
      <c r="M140" s="972"/>
      <c r="N140" s="972"/>
      <c r="O140" s="352"/>
      <c r="P140" s="352"/>
      <c r="Q140" s="352"/>
      <c r="R140" s="352"/>
      <c r="S140" s="352"/>
      <c r="T140" s="352"/>
      <c r="U140" s="352"/>
      <c r="V140" s="352"/>
      <c r="W140" s="352"/>
      <c r="X140" s="352"/>
      <c r="Y140" s="352"/>
      <c r="Z140" s="352"/>
      <c r="AA140" s="352"/>
      <c r="AB140" s="352"/>
      <c r="AC140" s="352"/>
      <c r="AD140" s="352"/>
      <c r="AE140" s="352"/>
    </row>
    <row r="141">
      <c r="A141" s="352"/>
      <c r="B141" s="352"/>
      <c r="C141" s="972"/>
      <c r="D141" s="972"/>
      <c r="E141" s="972"/>
      <c r="F141" s="972"/>
      <c r="G141" s="972"/>
      <c r="H141" s="972"/>
      <c r="I141" s="972"/>
      <c r="J141" s="972"/>
      <c r="K141" s="972"/>
      <c r="L141" s="972"/>
      <c r="M141" s="972"/>
      <c r="N141" s="972"/>
      <c r="O141" s="352"/>
      <c r="P141" s="352"/>
      <c r="Q141" s="352"/>
      <c r="R141" s="352"/>
      <c r="S141" s="352"/>
      <c r="T141" s="352"/>
      <c r="U141" s="352"/>
      <c r="V141" s="352"/>
      <c r="W141" s="352"/>
      <c r="X141" s="352"/>
      <c r="Y141" s="352"/>
      <c r="Z141" s="352"/>
      <c r="AA141" s="352"/>
      <c r="AB141" s="352"/>
      <c r="AC141" s="352"/>
      <c r="AD141" s="352"/>
      <c r="AE141" s="352"/>
    </row>
    <row r="142">
      <c r="A142" s="352"/>
      <c r="B142" s="352"/>
      <c r="C142" s="972"/>
      <c r="D142" s="972"/>
      <c r="E142" s="972"/>
      <c r="F142" s="972"/>
      <c r="G142" s="972"/>
      <c r="H142" s="972"/>
      <c r="I142" s="972"/>
      <c r="J142" s="972"/>
      <c r="K142" s="972"/>
      <c r="L142" s="972"/>
      <c r="M142" s="972"/>
      <c r="N142" s="972"/>
      <c r="O142" s="352"/>
      <c r="P142" s="352"/>
      <c r="Q142" s="352"/>
      <c r="R142" s="352"/>
      <c r="S142" s="352"/>
      <c r="T142" s="352"/>
      <c r="U142" s="352"/>
      <c r="V142" s="352"/>
      <c r="W142" s="352"/>
      <c r="X142" s="352"/>
      <c r="Y142" s="352"/>
      <c r="Z142" s="352"/>
      <c r="AA142" s="352"/>
      <c r="AB142" s="352"/>
      <c r="AC142" s="352"/>
      <c r="AD142" s="352"/>
      <c r="AE142" s="352"/>
    </row>
    <row r="143">
      <c r="A143" s="352"/>
      <c r="B143" s="352"/>
      <c r="C143" s="972"/>
      <c r="D143" s="972"/>
      <c r="E143" s="972"/>
      <c r="F143" s="972"/>
      <c r="G143" s="972"/>
      <c r="H143" s="972"/>
      <c r="I143" s="972"/>
      <c r="J143" s="972"/>
      <c r="K143" s="972"/>
      <c r="L143" s="972"/>
      <c r="M143" s="972"/>
      <c r="N143" s="972"/>
      <c r="O143" s="352"/>
      <c r="P143" s="352"/>
      <c r="Q143" s="352"/>
      <c r="R143" s="352"/>
      <c r="S143" s="352"/>
      <c r="T143" s="352"/>
      <c r="U143" s="352"/>
      <c r="V143" s="352"/>
      <c r="W143" s="352"/>
      <c r="X143" s="352"/>
      <c r="Y143" s="352"/>
      <c r="Z143" s="352"/>
      <c r="AA143" s="352"/>
      <c r="AB143" s="352"/>
      <c r="AC143" s="352"/>
      <c r="AD143" s="352"/>
      <c r="AE143" s="352"/>
    </row>
    <row r="144">
      <c r="A144" s="352"/>
      <c r="B144" s="352"/>
      <c r="C144" s="972"/>
      <c r="D144" s="972"/>
      <c r="E144" s="972"/>
      <c r="F144" s="972"/>
      <c r="G144" s="972"/>
      <c r="H144" s="972"/>
      <c r="I144" s="972"/>
      <c r="J144" s="972"/>
      <c r="K144" s="972"/>
      <c r="L144" s="972"/>
      <c r="M144" s="972"/>
      <c r="N144" s="972"/>
      <c r="O144" s="352"/>
      <c r="P144" s="352"/>
      <c r="Q144" s="352"/>
      <c r="R144" s="352"/>
      <c r="S144" s="352"/>
      <c r="T144" s="352"/>
      <c r="U144" s="352"/>
      <c r="V144" s="352"/>
      <c r="W144" s="352"/>
      <c r="X144" s="352"/>
      <c r="Y144" s="352"/>
      <c r="Z144" s="352"/>
      <c r="AA144" s="352"/>
      <c r="AB144" s="352"/>
      <c r="AC144" s="352"/>
      <c r="AD144" s="352"/>
      <c r="AE144" s="352"/>
    </row>
    <row r="145">
      <c r="A145" s="352"/>
      <c r="B145" s="352"/>
      <c r="C145" s="972"/>
      <c r="D145" s="972"/>
      <c r="E145" s="972"/>
      <c r="F145" s="972"/>
      <c r="G145" s="972"/>
      <c r="H145" s="972"/>
      <c r="I145" s="972"/>
      <c r="J145" s="972"/>
      <c r="K145" s="972"/>
      <c r="L145" s="972"/>
      <c r="M145" s="972"/>
      <c r="N145" s="972"/>
      <c r="O145" s="352"/>
      <c r="P145" s="352"/>
      <c r="Q145" s="352"/>
      <c r="R145" s="352"/>
      <c r="S145" s="352"/>
      <c r="T145" s="352"/>
      <c r="U145" s="352"/>
      <c r="V145" s="352"/>
      <c r="W145" s="352"/>
      <c r="X145" s="352"/>
      <c r="Y145" s="352"/>
      <c r="Z145" s="352"/>
      <c r="AA145" s="352"/>
      <c r="AB145" s="352"/>
      <c r="AC145" s="352"/>
      <c r="AD145" s="352"/>
      <c r="AE145" s="352"/>
    </row>
    <row r="146">
      <c r="A146" s="352"/>
      <c r="B146" s="352"/>
      <c r="C146" s="972"/>
      <c r="D146" s="972"/>
      <c r="E146" s="972"/>
      <c r="F146" s="972"/>
      <c r="G146" s="972"/>
      <c r="H146" s="972"/>
      <c r="I146" s="972"/>
      <c r="J146" s="972"/>
      <c r="K146" s="972"/>
      <c r="L146" s="972"/>
      <c r="M146" s="972"/>
      <c r="N146" s="972"/>
      <c r="O146" s="352"/>
      <c r="P146" s="352"/>
      <c r="Q146" s="352"/>
      <c r="R146" s="352"/>
      <c r="S146" s="352"/>
      <c r="T146" s="352"/>
      <c r="U146" s="352"/>
      <c r="V146" s="352"/>
      <c r="W146" s="352"/>
      <c r="X146" s="352"/>
      <c r="Y146" s="352"/>
      <c r="Z146" s="352"/>
      <c r="AA146" s="352"/>
      <c r="AB146" s="352"/>
      <c r="AC146" s="352"/>
      <c r="AD146" s="352"/>
      <c r="AE146" s="352"/>
    </row>
    <row r="147">
      <c r="A147" s="352"/>
      <c r="B147" s="352"/>
      <c r="C147" s="972"/>
      <c r="D147" s="972"/>
      <c r="E147" s="972"/>
      <c r="F147" s="972"/>
      <c r="G147" s="972"/>
      <c r="H147" s="972"/>
      <c r="I147" s="972"/>
      <c r="J147" s="972"/>
      <c r="K147" s="972"/>
      <c r="L147" s="972"/>
      <c r="M147" s="972"/>
      <c r="N147" s="972"/>
      <c r="O147" s="352"/>
      <c r="P147" s="352"/>
      <c r="Q147" s="352"/>
      <c r="R147" s="352"/>
      <c r="S147" s="352"/>
      <c r="T147" s="352"/>
      <c r="U147" s="352"/>
      <c r="V147" s="352"/>
      <c r="W147" s="352"/>
      <c r="X147" s="352"/>
      <c r="Y147" s="352"/>
      <c r="Z147" s="352"/>
      <c r="AA147" s="352"/>
      <c r="AB147" s="352"/>
      <c r="AC147" s="352"/>
      <c r="AD147" s="352"/>
      <c r="AE147" s="352"/>
    </row>
    <row r="148">
      <c r="A148" s="352"/>
      <c r="B148" s="352"/>
      <c r="C148" s="972"/>
      <c r="D148" s="972"/>
      <c r="E148" s="972"/>
      <c r="F148" s="972"/>
      <c r="G148" s="972"/>
      <c r="H148" s="972"/>
      <c r="I148" s="972"/>
      <c r="J148" s="972"/>
      <c r="K148" s="972"/>
      <c r="L148" s="972"/>
      <c r="M148" s="972"/>
      <c r="N148" s="972"/>
      <c r="O148" s="352"/>
      <c r="P148" s="352"/>
      <c r="Q148" s="352"/>
      <c r="R148" s="352"/>
      <c r="S148" s="352"/>
      <c r="T148" s="352"/>
      <c r="U148" s="352"/>
      <c r="V148" s="352"/>
      <c r="W148" s="352"/>
      <c r="X148" s="352"/>
      <c r="Y148" s="352"/>
      <c r="Z148" s="352"/>
      <c r="AA148" s="352"/>
      <c r="AB148" s="352"/>
      <c r="AC148" s="352"/>
      <c r="AD148" s="352"/>
      <c r="AE148" s="352"/>
    </row>
    <row r="149">
      <c r="A149" s="352"/>
      <c r="B149" s="352"/>
      <c r="C149" s="972"/>
      <c r="D149" s="972"/>
      <c r="E149" s="972"/>
      <c r="F149" s="972"/>
      <c r="G149" s="972"/>
      <c r="H149" s="972"/>
      <c r="I149" s="972"/>
      <c r="J149" s="972"/>
      <c r="K149" s="972"/>
      <c r="L149" s="972"/>
      <c r="M149" s="972"/>
      <c r="N149" s="972"/>
      <c r="O149" s="352"/>
      <c r="P149" s="352"/>
      <c r="Q149" s="352"/>
      <c r="R149" s="352"/>
      <c r="S149" s="352"/>
      <c r="T149" s="352"/>
      <c r="U149" s="352"/>
      <c r="V149" s="352"/>
      <c r="W149" s="352"/>
      <c r="X149" s="352"/>
      <c r="Y149" s="352"/>
      <c r="Z149" s="352"/>
      <c r="AA149" s="352"/>
      <c r="AB149" s="352"/>
      <c r="AC149" s="352"/>
      <c r="AD149" s="352"/>
      <c r="AE149" s="352"/>
    </row>
    <row r="150">
      <c r="A150" s="352"/>
      <c r="B150" s="352"/>
      <c r="C150" s="972"/>
      <c r="D150" s="972"/>
      <c r="E150" s="972"/>
      <c r="F150" s="972"/>
      <c r="G150" s="972"/>
      <c r="H150" s="972"/>
      <c r="I150" s="972"/>
      <c r="J150" s="972"/>
      <c r="K150" s="972"/>
      <c r="L150" s="972"/>
      <c r="M150" s="972"/>
      <c r="N150" s="972"/>
      <c r="O150" s="352"/>
      <c r="P150" s="352"/>
      <c r="Q150" s="352"/>
      <c r="R150" s="352"/>
      <c r="S150" s="352"/>
      <c r="T150" s="352"/>
      <c r="U150" s="352"/>
      <c r="V150" s="352"/>
      <c r="W150" s="352"/>
      <c r="X150" s="352"/>
      <c r="Y150" s="352"/>
      <c r="Z150" s="352"/>
      <c r="AA150" s="352"/>
      <c r="AB150" s="352"/>
      <c r="AC150" s="352"/>
      <c r="AD150" s="352"/>
      <c r="AE150" s="352"/>
    </row>
    <row r="151">
      <c r="A151" s="352"/>
      <c r="B151" s="352"/>
      <c r="C151" s="972"/>
      <c r="D151" s="972"/>
      <c r="E151" s="972"/>
      <c r="F151" s="972"/>
      <c r="G151" s="972"/>
      <c r="H151" s="972"/>
      <c r="I151" s="972"/>
      <c r="J151" s="972"/>
      <c r="K151" s="972"/>
      <c r="L151" s="972"/>
      <c r="M151" s="972"/>
      <c r="N151" s="972"/>
      <c r="O151" s="352"/>
      <c r="P151" s="352"/>
      <c r="Q151" s="352"/>
      <c r="R151" s="352"/>
      <c r="S151" s="352"/>
      <c r="T151" s="352"/>
      <c r="U151" s="352"/>
      <c r="V151" s="352"/>
      <c r="W151" s="352"/>
      <c r="X151" s="352"/>
      <c r="Y151" s="352"/>
      <c r="Z151" s="352"/>
      <c r="AA151" s="352"/>
      <c r="AB151" s="352"/>
      <c r="AC151" s="352"/>
      <c r="AD151" s="352"/>
      <c r="AE151" s="352"/>
    </row>
    <row r="152">
      <c r="A152" s="352"/>
      <c r="B152" s="352"/>
      <c r="C152" s="972"/>
      <c r="D152" s="972"/>
      <c r="E152" s="972"/>
      <c r="F152" s="972"/>
      <c r="G152" s="972"/>
      <c r="H152" s="972"/>
      <c r="I152" s="972"/>
      <c r="J152" s="972"/>
      <c r="K152" s="972"/>
      <c r="L152" s="972"/>
      <c r="M152" s="972"/>
      <c r="N152" s="972"/>
      <c r="O152" s="352"/>
      <c r="P152" s="352"/>
      <c r="Q152" s="352"/>
      <c r="R152" s="352"/>
      <c r="S152" s="352"/>
      <c r="T152" s="352"/>
      <c r="U152" s="352"/>
      <c r="V152" s="352"/>
      <c r="W152" s="352"/>
      <c r="X152" s="352"/>
      <c r="Y152" s="352"/>
      <c r="Z152" s="352"/>
      <c r="AA152" s="352"/>
      <c r="AB152" s="352"/>
      <c r="AC152" s="352"/>
      <c r="AD152" s="352"/>
      <c r="AE152" s="352"/>
    </row>
    <row r="153">
      <c r="A153" s="352"/>
      <c r="B153" s="352"/>
      <c r="C153" s="972"/>
      <c r="D153" s="972"/>
      <c r="E153" s="972"/>
      <c r="F153" s="972"/>
      <c r="G153" s="972"/>
      <c r="H153" s="972"/>
      <c r="I153" s="972"/>
      <c r="J153" s="972"/>
      <c r="K153" s="972"/>
      <c r="L153" s="972"/>
      <c r="M153" s="972"/>
      <c r="N153" s="972"/>
      <c r="O153" s="352"/>
      <c r="P153" s="352"/>
      <c r="Q153" s="352"/>
      <c r="R153" s="352"/>
      <c r="S153" s="352"/>
      <c r="T153" s="352"/>
      <c r="U153" s="352"/>
      <c r="V153" s="352"/>
      <c r="W153" s="352"/>
      <c r="X153" s="352"/>
      <c r="Y153" s="352"/>
      <c r="Z153" s="352"/>
      <c r="AA153" s="352"/>
      <c r="AB153" s="352"/>
      <c r="AC153" s="352"/>
      <c r="AD153" s="352"/>
      <c r="AE153" s="352"/>
    </row>
    <row r="154">
      <c r="A154" s="352"/>
      <c r="B154" s="352"/>
      <c r="C154" s="972"/>
      <c r="D154" s="972"/>
      <c r="E154" s="972"/>
      <c r="F154" s="972"/>
      <c r="G154" s="972"/>
      <c r="H154" s="972"/>
      <c r="I154" s="972"/>
      <c r="J154" s="972"/>
      <c r="K154" s="972"/>
      <c r="L154" s="972"/>
      <c r="M154" s="972"/>
      <c r="N154" s="972"/>
      <c r="O154" s="352"/>
      <c r="P154" s="352"/>
      <c r="Q154" s="352"/>
      <c r="R154" s="352"/>
      <c r="S154" s="352"/>
      <c r="T154" s="352"/>
      <c r="U154" s="352"/>
      <c r="V154" s="352"/>
      <c r="W154" s="352"/>
      <c r="X154" s="352"/>
      <c r="Y154" s="352"/>
      <c r="Z154" s="352"/>
      <c r="AA154" s="352"/>
      <c r="AB154" s="352"/>
      <c r="AC154" s="352"/>
      <c r="AD154" s="352"/>
      <c r="AE154" s="352"/>
    </row>
    <row r="155">
      <c r="A155" s="352"/>
      <c r="B155" s="352"/>
      <c r="C155" s="972"/>
      <c r="D155" s="972"/>
      <c r="E155" s="972"/>
      <c r="F155" s="972"/>
      <c r="G155" s="972"/>
      <c r="H155" s="972"/>
      <c r="I155" s="972"/>
      <c r="J155" s="972"/>
      <c r="K155" s="972"/>
      <c r="L155" s="972"/>
      <c r="M155" s="972"/>
      <c r="N155" s="972"/>
      <c r="O155" s="352"/>
      <c r="P155" s="352"/>
      <c r="Q155" s="352"/>
      <c r="R155" s="352"/>
      <c r="S155" s="352"/>
      <c r="T155" s="352"/>
      <c r="U155" s="352"/>
      <c r="V155" s="352"/>
      <c r="W155" s="352"/>
      <c r="X155" s="352"/>
      <c r="Y155" s="352"/>
      <c r="Z155" s="352"/>
      <c r="AA155" s="352"/>
      <c r="AB155" s="352"/>
      <c r="AC155" s="352"/>
      <c r="AD155" s="352"/>
      <c r="AE155" s="352"/>
    </row>
    <row r="156">
      <c r="A156" s="352"/>
      <c r="B156" s="352"/>
      <c r="C156" s="972"/>
      <c r="D156" s="972"/>
      <c r="E156" s="972"/>
      <c r="F156" s="972"/>
      <c r="G156" s="972"/>
      <c r="H156" s="972"/>
      <c r="I156" s="972"/>
      <c r="J156" s="972"/>
      <c r="K156" s="972"/>
      <c r="L156" s="972"/>
      <c r="M156" s="972"/>
      <c r="N156" s="972"/>
      <c r="O156" s="352"/>
      <c r="P156" s="352"/>
      <c r="Q156" s="352"/>
      <c r="R156" s="352"/>
      <c r="S156" s="352"/>
      <c r="T156" s="352"/>
      <c r="U156" s="352"/>
      <c r="V156" s="352"/>
      <c r="W156" s="352"/>
      <c r="X156" s="352"/>
      <c r="Y156" s="352"/>
      <c r="Z156" s="352"/>
      <c r="AA156" s="352"/>
      <c r="AB156" s="352"/>
      <c r="AC156" s="352"/>
      <c r="AD156" s="352"/>
      <c r="AE156" s="352"/>
    </row>
    <row r="157">
      <c r="A157" s="352"/>
      <c r="B157" s="352"/>
      <c r="C157" s="972"/>
      <c r="D157" s="972"/>
      <c r="E157" s="972"/>
      <c r="F157" s="972"/>
      <c r="G157" s="972"/>
      <c r="H157" s="972"/>
      <c r="I157" s="972"/>
      <c r="J157" s="972"/>
      <c r="K157" s="972"/>
      <c r="L157" s="972"/>
      <c r="M157" s="972"/>
      <c r="N157" s="972"/>
      <c r="O157" s="352"/>
      <c r="P157" s="352"/>
      <c r="Q157" s="352"/>
      <c r="R157" s="352"/>
      <c r="S157" s="352"/>
      <c r="T157" s="352"/>
      <c r="U157" s="352"/>
      <c r="V157" s="352"/>
      <c r="W157" s="352"/>
      <c r="X157" s="352"/>
      <c r="Y157" s="352"/>
      <c r="Z157" s="352"/>
      <c r="AA157" s="352"/>
      <c r="AB157" s="352"/>
      <c r="AC157" s="352"/>
      <c r="AD157" s="352"/>
      <c r="AE157" s="352"/>
    </row>
    <row r="158">
      <c r="A158" s="352"/>
      <c r="B158" s="352"/>
      <c r="C158" s="972"/>
      <c r="D158" s="972"/>
      <c r="E158" s="972"/>
      <c r="F158" s="972"/>
      <c r="G158" s="972"/>
      <c r="H158" s="972"/>
      <c r="I158" s="972"/>
      <c r="J158" s="972"/>
      <c r="K158" s="972"/>
      <c r="L158" s="972"/>
      <c r="M158" s="972"/>
      <c r="N158" s="972"/>
      <c r="O158" s="352"/>
      <c r="P158" s="352"/>
      <c r="Q158" s="352"/>
      <c r="R158" s="352"/>
      <c r="S158" s="352"/>
      <c r="T158" s="352"/>
      <c r="U158" s="352"/>
      <c r="V158" s="352"/>
      <c r="W158" s="352"/>
      <c r="X158" s="352"/>
      <c r="Y158" s="352"/>
      <c r="Z158" s="352"/>
      <c r="AA158" s="352"/>
      <c r="AB158" s="352"/>
      <c r="AC158" s="352"/>
      <c r="AD158" s="352"/>
      <c r="AE158" s="352"/>
    </row>
    <row r="159">
      <c r="A159" s="352"/>
      <c r="B159" s="352"/>
      <c r="C159" s="972"/>
      <c r="D159" s="972"/>
      <c r="E159" s="972"/>
      <c r="F159" s="972"/>
      <c r="G159" s="972"/>
      <c r="H159" s="972"/>
      <c r="I159" s="972"/>
      <c r="J159" s="972"/>
      <c r="K159" s="972"/>
      <c r="L159" s="972"/>
      <c r="M159" s="972"/>
      <c r="N159" s="972"/>
      <c r="O159" s="352"/>
      <c r="P159" s="352"/>
      <c r="Q159" s="352"/>
      <c r="R159" s="352"/>
      <c r="S159" s="352"/>
      <c r="T159" s="352"/>
      <c r="U159" s="352"/>
      <c r="V159" s="352"/>
      <c r="W159" s="352"/>
      <c r="X159" s="352"/>
      <c r="Y159" s="352"/>
      <c r="Z159" s="352"/>
      <c r="AA159" s="352"/>
      <c r="AB159" s="352"/>
      <c r="AC159" s="352"/>
      <c r="AD159" s="352"/>
      <c r="AE159" s="352"/>
    </row>
    <row r="160">
      <c r="A160" s="352"/>
      <c r="B160" s="352"/>
      <c r="C160" s="972"/>
      <c r="D160" s="972"/>
      <c r="E160" s="972"/>
      <c r="F160" s="972"/>
      <c r="G160" s="972"/>
      <c r="H160" s="972"/>
      <c r="I160" s="972"/>
      <c r="J160" s="972"/>
      <c r="K160" s="972"/>
      <c r="L160" s="972"/>
      <c r="M160" s="972"/>
      <c r="N160" s="972"/>
      <c r="O160" s="352"/>
      <c r="P160" s="352"/>
      <c r="Q160" s="352"/>
      <c r="R160" s="352"/>
      <c r="S160" s="352"/>
      <c r="T160" s="352"/>
      <c r="U160" s="352"/>
      <c r="V160" s="352"/>
      <c r="W160" s="352"/>
      <c r="X160" s="352"/>
      <c r="Y160" s="352"/>
      <c r="Z160" s="352"/>
      <c r="AA160" s="352"/>
      <c r="AB160" s="352"/>
      <c r="AC160" s="352"/>
      <c r="AD160" s="352"/>
      <c r="AE160" s="352"/>
    </row>
    <row r="161">
      <c r="A161" s="352"/>
      <c r="B161" s="352"/>
      <c r="C161" s="972"/>
      <c r="D161" s="972"/>
      <c r="E161" s="972"/>
      <c r="F161" s="972"/>
      <c r="G161" s="972"/>
      <c r="H161" s="972"/>
      <c r="I161" s="972"/>
      <c r="J161" s="972"/>
      <c r="K161" s="972"/>
      <c r="L161" s="972"/>
      <c r="M161" s="972"/>
      <c r="N161" s="972"/>
      <c r="O161" s="352"/>
      <c r="P161" s="352"/>
      <c r="Q161" s="352"/>
      <c r="R161" s="352"/>
      <c r="S161" s="352"/>
      <c r="T161" s="352"/>
      <c r="U161" s="352"/>
      <c r="V161" s="352"/>
      <c r="W161" s="352"/>
      <c r="X161" s="352"/>
      <c r="Y161" s="352"/>
      <c r="Z161" s="352"/>
      <c r="AA161" s="352"/>
      <c r="AB161" s="352"/>
      <c r="AC161" s="352"/>
      <c r="AD161" s="352"/>
      <c r="AE161" s="352"/>
    </row>
    <row r="162">
      <c r="A162" s="352"/>
      <c r="B162" s="352"/>
      <c r="C162" s="972"/>
      <c r="D162" s="972"/>
      <c r="E162" s="972"/>
      <c r="F162" s="972"/>
      <c r="G162" s="972"/>
      <c r="H162" s="972"/>
      <c r="I162" s="972"/>
      <c r="J162" s="972"/>
      <c r="K162" s="972"/>
      <c r="L162" s="972"/>
      <c r="M162" s="972"/>
      <c r="N162" s="972"/>
      <c r="O162" s="352"/>
      <c r="P162" s="352"/>
      <c r="Q162" s="352"/>
      <c r="R162" s="352"/>
      <c r="S162" s="352"/>
      <c r="T162" s="352"/>
      <c r="U162" s="352"/>
      <c r="V162" s="352"/>
      <c r="W162" s="352"/>
      <c r="X162" s="352"/>
      <c r="Y162" s="352"/>
      <c r="Z162" s="352"/>
      <c r="AA162" s="352"/>
      <c r="AB162" s="352"/>
      <c r="AC162" s="352"/>
      <c r="AD162" s="352"/>
      <c r="AE162" s="352"/>
    </row>
    <row r="163">
      <c r="A163" s="352"/>
      <c r="B163" s="352"/>
      <c r="C163" s="972"/>
      <c r="D163" s="972"/>
      <c r="E163" s="972"/>
      <c r="F163" s="972"/>
      <c r="G163" s="972"/>
      <c r="H163" s="972"/>
      <c r="I163" s="972"/>
      <c r="J163" s="972"/>
      <c r="K163" s="972"/>
      <c r="L163" s="972"/>
      <c r="M163" s="972"/>
      <c r="N163" s="972"/>
      <c r="O163" s="352"/>
      <c r="P163" s="352"/>
      <c r="Q163" s="352"/>
      <c r="R163" s="352"/>
      <c r="S163" s="352"/>
      <c r="T163" s="352"/>
      <c r="U163" s="352"/>
      <c r="V163" s="352"/>
      <c r="W163" s="352"/>
      <c r="X163" s="352"/>
      <c r="Y163" s="352"/>
      <c r="Z163" s="352"/>
      <c r="AA163" s="352"/>
      <c r="AB163" s="352"/>
      <c r="AC163" s="352"/>
      <c r="AD163" s="352"/>
      <c r="AE163" s="352"/>
    </row>
    <row r="164">
      <c r="A164" s="352"/>
      <c r="B164" s="352"/>
      <c r="C164" s="972"/>
      <c r="D164" s="972"/>
      <c r="E164" s="972"/>
      <c r="F164" s="972"/>
      <c r="G164" s="972"/>
      <c r="H164" s="972"/>
      <c r="I164" s="972"/>
      <c r="J164" s="972"/>
      <c r="K164" s="972"/>
      <c r="L164" s="972"/>
      <c r="M164" s="972"/>
      <c r="N164" s="972"/>
      <c r="O164" s="352"/>
      <c r="P164" s="352"/>
      <c r="Q164" s="352"/>
      <c r="R164" s="352"/>
      <c r="S164" s="352"/>
      <c r="T164" s="352"/>
      <c r="U164" s="352"/>
      <c r="V164" s="352"/>
      <c r="W164" s="352"/>
      <c r="X164" s="352"/>
      <c r="Y164" s="352"/>
      <c r="Z164" s="352"/>
      <c r="AA164" s="352"/>
      <c r="AB164" s="352"/>
      <c r="AC164" s="352"/>
      <c r="AD164" s="352"/>
      <c r="AE164" s="352"/>
    </row>
    <row r="165">
      <c r="A165" s="352"/>
      <c r="B165" s="352"/>
      <c r="C165" s="972"/>
      <c r="D165" s="972"/>
      <c r="E165" s="972"/>
      <c r="F165" s="972"/>
      <c r="G165" s="972"/>
      <c r="H165" s="972"/>
      <c r="I165" s="972"/>
      <c r="J165" s="972"/>
      <c r="K165" s="972"/>
      <c r="L165" s="972"/>
      <c r="M165" s="972"/>
      <c r="N165" s="972"/>
      <c r="O165" s="352"/>
      <c r="P165" s="352"/>
      <c r="Q165" s="352"/>
      <c r="R165" s="352"/>
      <c r="S165" s="352"/>
      <c r="T165" s="352"/>
      <c r="U165" s="352"/>
      <c r="V165" s="352"/>
      <c r="W165" s="352"/>
      <c r="X165" s="352"/>
      <c r="Y165" s="352"/>
      <c r="Z165" s="352"/>
      <c r="AA165" s="352"/>
      <c r="AB165" s="352"/>
      <c r="AC165" s="352"/>
      <c r="AD165" s="352"/>
      <c r="AE165" s="352"/>
    </row>
    <row r="166">
      <c r="A166" s="352"/>
      <c r="B166" s="352"/>
      <c r="C166" s="972"/>
      <c r="D166" s="972"/>
      <c r="E166" s="972"/>
      <c r="F166" s="972"/>
      <c r="G166" s="972"/>
      <c r="H166" s="972"/>
      <c r="I166" s="972"/>
      <c r="J166" s="972"/>
      <c r="K166" s="972"/>
      <c r="L166" s="972"/>
      <c r="M166" s="972"/>
      <c r="N166" s="972"/>
      <c r="O166" s="352"/>
      <c r="P166" s="352"/>
      <c r="Q166" s="352"/>
      <c r="R166" s="352"/>
      <c r="S166" s="352"/>
      <c r="T166" s="352"/>
      <c r="U166" s="352"/>
      <c r="V166" s="352"/>
      <c r="W166" s="352"/>
      <c r="X166" s="352"/>
      <c r="Y166" s="352"/>
      <c r="Z166" s="352"/>
      <c r="AA166" s="352"/>
      <c r="AB166" s="352"/>
      <c r="AC166" s="352"/>
      <c r="AD166" s="352"/>
      <c r="AE166" s="352"/>
    </row>
    <row r="167">
      <c r="A167" s="352"/>
      <c r="B167" s="352"/>
      <c r="C167" s="972"/>
      <c r="D167" s="972"/>
      <c r="E167" s="972"/>
      <c r="F167" s="972"/>
      <c r="G167" s="972"/>
      <c r="H167" s="972"/>
      <c r="I167" s="972"/>
      <c r="J167" s="972"/>
      <c r="K167" s="972"/>
      <c r="L167" s="972"/>
      <c r="M167" s="972"/>
      <c r="N167" s="972"/>
      <c r="O167" s="352"/>
      <c r="P167" s="352"/>
      <c r="Q167" s="352"/>
      <c r="R167" s="352"/>
      <c r="S167" s="352"/>
      <c r="T167" s="352"/>
      <c r="U167" s="352"/>
      <c r="V167" s="352"/>
      <c r="W167" s="352"/>
      <c r="X167" s="352"/>
      <c r="Y167" s="352"/>
      <c r="Z167" s="352"/>
      <c r="AA167" s="352"/>
      <c r="AB167" s="352"/>
      <c r="AC167" s="352"/>
      <c r="AD167" s="352"/>
      <c r="AE167" s="352"/>
    </row>
    <row r="168">
      <c r="A168" s="352"/>
      <c r="B168" s="352"/>
      <c r="C168" s="972"/>
      <c r="D168" s="972"/>
      <c r="E168" s="972"/>
      <c r="F168" s="972"/>
      <c r="G168" s="972"/>
      <c r="H168" s="972"/>
      <c r="I168" s="972"/>
      <c r="J168" s="972"/>
      <c r="K168" s="972"/>
      <c r="L168" s="972"/>
      <c r="M168" s="972"/>
      <c r="N168" s="972"/>
      <c r="O168" s="352"/>
      <c r="P168" s="352"/>
      <c r="Q168" s="352"/>
      <c r="R168" s="352"/>
      <c r="S168" s="352"/>
      <c r="T168" s="352"/>
      <c r="U168" s="352"/>
      <c r="V168" s="352"/>
      <c r="W168" s="352"/>
      <c r="X168" s="352"/>
      <c r="Y168" s="352"/>
      <c r="Z168" s="352"/>
      <c r="AA168" s="352"/>
      <c r="AB168" s="352"/>
      <c r="AC168" s="352"/>
      <c r="AD168" s="352"/>
      <c r="AE168" s="352"/>
    </row>
    <row r="169">
      <c r="A169" s="352"/>
      <c r="B169" s="352"/>
      <c r="C169" s="972"/>
      <c r="D169" s="972"/>
      <c r="E169" s="972"/>
      <c r="F169" s="972"/>
      <c r="G169" s="972"/>
      <c r="H169" s="972"/>
      <c r="I169" s="972"/>
      <c r="J169" s="972"/>
      <c r="K169" s="972"/>
      <c r="L169" s="972"/>
      <c r="M169" s="972"/>
      <c r="N169" s="972"/>
      <c r="O169" s="352"/>
      <c r="P169" s="352"/>
      <c r="Q169" s="352"/>
      <c r="R169" s="352"/>
      <c r="S169" s="352"/>
      <c r="T169" s="352"/>
      <c r="U169" s="352"/>
      <c r="V169" s="352"/>
      <c r="W169" s="352"/>
      <c r="X169" s="352"/>
      <c r="Y169" s="352"/>
      <c r="Z169" s="352"/>
      <c r="AA169" s="352"/>
      <c r="AB169" s="352"/>
      <c r="AC169" s="352"/>
      <c r="AD169" s="352"/>
      <c r="AE169" s="352"/>
    </row>
    <row r="170">
      <c r="A170" s="352"/>
      <c r="B170" s="352"/>
      <c r="C170" s="972"/>
      <c r="D170" s="972"/>
      <c r="E170" s="972"/>
      <c r="F170" s="972"/>
      <c r="G170" s="972"/>
      <c r="H170" s="972"/>
      <c r="I170" s="972"/>
      <c r="J170" s="972"/>
      <c r="K170" s="972"/>
      <c r="L170" s="972"/>
      <c r="M170" s="972"/>
      <c r="N170" s="972"/>
      <c r="O170" s="352"/>
      <c r="P170" s="352"/>
      <c r="Q170" s="352"/>
      <c r="R170" s="352"/>
      <c r="S170" s="352"/>
      <c r="T170" s="352"/>
      <c r="U170" s="352"/>
      <c r="V170" s="352"/>
      <c r="W170" s="352"/>
      <c r="X170" s="352"/>
      <c r="Y170" s="352"/>
      <c r="Z170" s="352"/>
      <c r="AA170" s="352"/>
      <c r="AB170" s="352"/>
      <c r="AC170" s="352"/>
      <c r="AD170" s="352"/>
      <c r="AE170" s="352"/>
    </row>
    <row r="171">
      <c r="A171" s="352"/>
      <c r="B171" s="352"/>
      <c r="C171" s="972"/>
      <c r="D171" s="972"/>
      <c r="E171" s="972"/>
      <c r="F171" s="972"/>
      <c r="G171" s="972"/>
      <c r="H171" s="972"/>
      <c r="I171" s="972"/>
      <c r="J171" s="972"/>
      <c r="K171" s="972"/>
      <c r="L171" s="972"/>
      <c r="M171" s="972"/>
      <c r="N171" s="972"/>
      <c r="O171" s="352"/>
      <c r="P171" s="352"/>
      <c r="Q171" s="352"/>
      <c r="R171" s="352"/>
      <c r="S171" s="352"/>
      <c r="T171" s="352"/>
      <c r="U171" s="352"/>
      <c r="V171" s="352"/>
      <c r="W171" s="352"/>
      <c r="X171" s="352"/>
      <c r="Y171" s="352"/>
      <c r="Z171" s="352"/>
      <c r="AA171" s="352"/>
      <c r="AB171" s="352"/>
      <c r="AC171" s="352"/>
      <c r="AD171" s="352"/>
      <c r="AE171" s="352"/>
    </row>
    <row r="172">
      <c r="A172" s="352"/>
      <c r="B172" s="352"/>
      <c r="C172" s="972"/>
      <c r="D172" s="972"/>
      <c r="E172" s="972"/>
      <c r="F172" s="972"/>
      <c r="G172" s="972"/>
      <c r="H172" s="972"/>
      <c r="I172" s="972"/>
      <c r="J172" s="972"/>
      <c r="K172" s="972"/>
      <c r="L172" s="972"/>
      <c r="M172" s="972"/>
      <c r="N172" s="972"/>
      <c r="O172" s="352"/>
      <c r="P172" s="352"/>
      <c r="Q172" s="352"/>
      <c r="R172" s="352"/>
      <c r="S172" s="352"/>
      <c r="T172" s="352"/>
      <c r="U172" s="352"/>
      <c r="V172" s="352"/>
      <c r="W172" s="352"/>
      <c r="X172" s="352"/>
      <c r="Y172" s="352"/>
      <c r="Z172" s="352"/>
      <c r="AA172" s="352"/>
      <c r="AB172" s="352"/>
      <c r="AC172" s="352"/>
      <c r="AD172" s="352"/>
      <c r="AE172" s="352"/>
    </row>
    <row r="173">
      <c r="A173" s="352"/>
      <c r="B173" s="352"/>
      <c r="C173" s="972"/>
      <c r="D173" s="972"/>
      <c r="E173" s="972"/>
      <c r="F173" s="972"/>
      <c r="G173" s="972"/>
      <c r="H173" s="972"/>
      <c r="I173" s="972"/>
      <c r="J173" s="972"/>
      <c r="K173" s="972"/>
      <c r="L173" s="972"/>
      <c r="M173" s="972"/>
      <c r="N173" s="972"/>
      <c r="O173" s="352"/>
      <c r="P173" s="352"/>
      <c r="Q173" s="352"/>
      <c r="R173" s="352"/>
      <c r="S173" s="352"/>
      <c r="T173" s="352"/>
      <c r="U173" s="352"/>
      <c r="V173" s="352"/>
      <c r="W173" s="352"/>
      <c r="X173" s="352"/>
      <c r="Y173" s="352"/>
      <c r="Z173" s="352"/>
      <c r="AA173" s="352"/>
      <c r="AB173" s="352"/>
      <c r="AC173" s="352"/>
      <c r="AD173" s="352"/>
      <c r="AE173" s="352"/>
    </row>
    <row r="174">
      <c r="A174" s="352"/>
      <c r="B174" s="352"/>
      <c r="C174" s="972"/>
      <c r="D174" s="972"/>
      <c r="E174" s="972"/>
      <c r="F174" s="972"/>
      <c r="G174" s="972"/>
      <c r="H174" s="972"/>
      <c r="I174" s="972"/>
      <c r="J174" s="972"/>
      <c r="K174" s="972"/>
      <c r="L174" s="972"/>
      <c r="M174" s="972"/>
      <c r="N174" s="972"/>
      <c r="O174" s="352"/>
      <c r="P174" s="352"/>
      <c r="Q174" s="352"/>
      <c r="R174" s="352"/>
      <c r="S174" s="352"/>
      <c r="T174" s="352"/>
      <c r="U174" s="352"/>
      <c r="V174" s="352"/>
      <c r="W174" s="352"/>
      <c r="X174" s="352"/>
      <c r="Y174" s="352"/>
      <c r="Z174" s="352"/>
      <c r="AA174" s="352"/>
      <c r="AB174" s="352"/>
      <c r="AC174" s="352"/>
      <c r="AD174" s="352"/>
      <c r="AE174" s="352"/>
    </row>
    <row r="175">
      <c r="A175" s="352"/>
      <c r="B175" s="352"/>
      <c r="C175" s="972"/>
      <c r="D175" s="972"/>
      <c r="E175" s="972"/>
      <c r="F175" s="972"/>
      <c r="G175" s="972"/>
      <c r="H175" s="972"/>
      <c r="I175" s="972"/>
      <c r="J175" s="972"/>
      <c r="K175" s="972"/>
      <c r="L175" s="972"/>
      <c r="M175" s="972"/>
      <c r="N175" s="972"/>
      <c r="O175" s="352"/>
      <c r="P175" s="352"/>
      <c r="Q175" s="352"/>
      <c r="R175" s="352"/>
      <c r="S175" s="352"/>
      <c r="T175" s="352"/>
      <c r="U175" s="352"/>
      <c r="V175" s="352"/>
      <c r="W175" s="352"/>
      <c r="X175" s="352"/>
      <c r="Y175" s="352"/>
      <c r="Z175" s="352"/>
      <c r="AA175" s="352"/>
      <c r="AB175" s="352"/>
      <c r="AC175" s="352"/>
      <c r="AD175" s="352"/>
      <c r="AE175" s="352"/>
    </row>
    <row r="176">
      <c r="A176" s="352"/>
      <c r="B176" s="352"/>
      <c r="C176" s="972"/>
      <c r="D176" s="972"/>
      <c r="E176" s="972"/>
      <c r="F176" s="972"/>
      <c r="G176" s="972"/>
      <c r="H176" s="972"/>
      <c r="I176" s="972"/>
      <c r="J176" s="972"/>
      <c r="K176" s="972"/>
      <c r="L176" s="972"/>
      <c r="M176" s="972"/>
      <c r="N176" s="972"/>
      <c r="O176" s="352"/>
      <c r="P176" s="352"/>
      <c r="Q176" s="352"/>
      <c r="R176" s="352"/>
      <c r="S176" s="352"/>
      <c r="T176" s="352"/>
      <c r="U176" s="352"/>
      <c r="V176" s="352"/>
      <c r="W176" s="352"/>
      <c r="X176" s="352"/>
      <c r="Y176" s="352"/>
      <c r="Z176" s="352"/>
      <c r="AA176" s="352"/>
      <c r="AB176" s="352"/>
      <c r="AC176" s="352"/>
      <c r="AD176" s="352"/>
      <c r="AE176" s="352"/>
    </row>
    <row r="177">
      <c r="A177" s="352"/>
      <c r="B177" s="352"/>
      <c r="C177" s="972"/>
      <c r="D177" s="972"/>
      <c r="E177" s="972"/>
      <c r="F177" s="972"/>
      <c r="G177" s="972"/>
      <c r="H177" s="972"/>
      <c r="I177" s="972"/>
      <c r="J177" s="972"/>
      <c r="K177" s="972"/>
      <c r="L177" s="972"/>
      <c r="M177" s="972"/>
      <c r="N177" s="972"/>
      <c r="O177" s="352"/>
      <c r="P177" s="352"/>
      <c r="Q177" s="352"/>
      <c r="R177" s="352"/>
      <c r="S177" s="352"/>
      <c r="T177" s="352"/>
      <c r="U177" s="352"/>
      <c r="V177" s="352"/>
      <c r="W177" s="352"/>
      <c r="X177" s="352"/>
      <c r="Y177" s="352"/>
      <c r="Z177" s="352"/>
      <c r="AA177" s="352"/>
      <c r="AB177" s="352"/>
      <c r="AC177" s="352"/>
      <c r="AD177" s="352"/>
      <c r="AE177" s="352"/>
    </row>
    <row r="178">
      <c r="A178" s="352"/>
      <c r="B178" s="352"/>
      <c r="C178" s="972"/>
      <c r="D178" s="972"/>
      <c r="E178" s="972"/>
      <c r="F178" s="972"/>
      <c r="G178" s="972"/>
      <c r="H178" s="972"/>
      <c r="I178" s="972"/>
      <c r="J178" s="972"/>
      <c r="K178" s="972"/>
      <c r="L178" s="972"/>
      <c r="M178" s="972"/>
      <c r="N178" s="972"/>
      <c r="O178" s="352"/>
      <c r="P178" s="352"/>
      <c r="Q178" s="352"/>
      <c r="R178" s="352"/>
      <c r="S178" s="352"/>
      <c r="T178" s="352"/>
      <c r="U178" s="352"/>
      <c r="V178" s="352"/>
      <c r="W178" s="352"/>
      <c r="X178" s="352"/>
      <c r="Y178" s="352"/>
      <c r="Z178" s="352"/>
      <c r="AA178" s="352"/>
      <c r="AB178" s="352"/>
      <c r="AC178" s="352"/>
      <c r="AD178" s="352"/>
      <c r="AE178" s="352"/>
    </row>
    <row r="179">
      <c r="A179" s="352"/>
      <c r="B179" s="352"/>
      <c r="C179" s="972"/>
      <c r="D179" s="972"/>
      <c r="E179" s="972"/>
      <c r="F179" s="972"/>
      <c r="G179" s="972"/>
      <c r="H179" s="972"/>
      <c r="I179" s="972"/>
      <c r="J179" s="972"/>
      <c r="K179" s="972"/>
      <c r="L179" s="972"/>
      <c r="M179" s="972"/>
      <c r="N179" s="972"/>
      <c r="O179" s="352"/>
      <c r="P179" s="352"/>
      <c r="Q179" s="352"/>
      <c r="R179" s="352"/>
      <c r="S179" s="352"/>
      <c r="T179" s="352"/>
      <c r="U179" s="352"/>
      <c r="V179" s="352"/>
      <c r="W179" s="352"/>
      <c r="X179" s="352"/>
      <c r="Y179" s="352"/>
      <c r="Z179" s="352"/>
      <c r="AA179" s="352"/>
      <c r="AB179" s="352"/>
      <c r="AC179" s="352"/>
      <c r="AD179" s="352"/>
      <c r="AE179" s="352"/>
    </row>
    <row r="180">
      <c r="A180" s="352"/>
      <c r="B180" s="352"/>
      <c r="C180" s="972"/>
      <c r="D180" s="972"/>
      <c r="E180" s="972"/>
      <c r="F180" s="972"/>
      <c r="G180" s="972"/>
      <c r="H180" s="972"/>
      <c r="I180" s="972"/>
      <c r="J180" s="972"/>
      <c r="K180" s="972"/>
      <c r="L180" s="972"/>
      <c r="M180" s="972"/>
      <c r="N180" s="972"/>
      <c r="O180" s="352"/>
      <c r="P180" s="352"/>
      <c r="Q180" s="352"/>
      <c r="R180" s="352"/>
      <c r="S180" s="352"/>
      <c r="T180" s="352"/>
      <c r="U180" s="352"/>
      <c r="V180" s="352"/>
      <c r="W180" s="352"/>
      <c r="X180" s="352"/>
      <c r="Y180" s="352"/>
      <c r="Z180" s="352"/>
      <c r="AA180" s="352"/>
      <c r="AB180" s="352"/>
      <c r="AC180" s="352"/>
      <c r="AD180" s="352"/>
      <c r="AE180" s="352"/>
    </row>
    <row r="181">
      <c r="A181" s="352"/>
      <c r="B181" s="352"/>
      <c r="C181" s="972"/>
      <c r="D181" s="972"/>
      <c r="E181" s="972"/>
      <c r="F181" s="972"/>
      <c r="G181" s="972"/>
      <c r="H181" s="972"/>
      <c r="I181" s="972"/>
      <c r="J181" s="972"/>
      <c r="K181" s="972"/>
      <c r="L181" s="972"/>
      <c r="M181" s="972"/>
      <c r="N181" s="972"/>
      <c r="O181" s="352"/>
      <c r="P181" s="352"/>
      <c r="Q181" s="352"/>
      <c r="R181" s="352"/>
      <c r="S181" s="352"/>
      <c r="T181" s="352"/>
      <c r="U181" s="352"/>
      <c r="V181" s="352"/>
      <c r="W181" s="352"/>
      <c r="X181" s="352"/>
      <c r="Y181" s="352"/>
      <c r="Z181" s="352"/>
      <c r="AA181" s="352"/>
      <c r="AB181" s="352"/>
      <c r="AC181" s="352"/>
      <c r="AD181" s="352"/>
      <c r="AE181" s="352"/>
    </row>
    <row r="182">
      <c r="A182" s="352"/>
      <c r="B182" s="352"/>
      <c r="C182" s="972"/>
      <c r="D182" s="972"/>
      <c r="E182" s="972"/>
      <c r="F182" s="972"/>
      <c r="G182" s="972"/>
      <c r="H182" s="972"/>
      <c r="I182" s="972"/>
      <c r="J182" s="972"/>
      <c r="K182" s="972"/>
      <c r="L182" s="972"/>
      <c r="M182" s="972"/>
      <c r="N182" s="972"/>
      <c r="O182" s="352"/>
      <c r="P182" s="352"/>
      <c r="Q182" s="352"/>
      <c r="R182" s="352"/>
      <c r="S182" s="352"/>
      <c r="T182" s="352"/>
      <c r="U182" s="352"/>
      <c r="V182" s="352"/>
      <c r="W182" s="352"/>
      <c r="X182" s="352"/>
      <c r="Y182" s="352"/>
      <c r="Z182" s="352"/>
      <c r="AA182" s="352"/>
      <c r="AB182" s="352"/>
      <c r="AC182" s="352"/>
      <c r="AD182" s="352"/>
      <c r="AE182" s="352"/>
    </row>
    <row r="183">
      <c r="A183" s="352"/>
      <c r="B183" s="352"/>
      <c r="C183" s="972"/>
      <c r="D183" s="972"/>
      <c r="E183" s="972"/>
      <c r="F183" s="972"/>
      <c r="G183" s="972"/>
      <c r="H183" s="972"/>
      <c r="I183" s="972"/>
      <c r="J183" s="972"/>
      <c r="K183" s="972"/>
      <c r="L183" s="972"/>
      <c r="M183" s="972"/>
      <c r="N183" s="972"/>
      <c r="O183" s="352"/>
      <c r="P183" s="352"/>
      <c r="Q183" s="352"/>
      <c r="R183" s="352"/>
      <c r="S183" s="352"/>
      <c r="T183" s="352"/>
      <c r="U183" s="352"/>
      <c r="V183" s="352"/>
      <c r="W183" s="352"/>
      <c r="X183" s="352"/>
      <c r="Y183" s="352"/>
      <c r="Z183" s="352"/>
      <c r="AA183" s="352"/>
      <c r="AB183" s="352"/>
      <c r="AC183" s="352"/>
      <c r="AD183" s="352"/>
      <c r="AE183" s="352"/>
    </row>
    <row r="184">
      <c r="A184" s="352"/>
      <c r="B184" s="352"/>
      <c r="C184" s="972"/>
      <c r="D184" s="972"/>
      <c r="E184" s="972"/>
      <c r="F184" s="972"/>
      <c r="G184" s="972"/>
      <c r="H184" s="972"/>
      <c r="I184" s="972"/>
      <c r="J184" s="972"/>
      <c r="K184" s="972"/>
      <c r="L184" s="972"/>
      <c r="M184" s="972"/>
      <c r="N184" s="972"/>
      <c r="O184" s="352"/>
      <c r="P184" s="352"/>
      <c r="Q184" s="352"/>
      <c r="R184" s="352"/>
      <c r="S184" s="352"/>
      <c r="T184" s="352"/>
      <c r="U184" s="352"/>
      <c r="V184" s="352"/>
      <c r="W184" s="352"/>
      <c r="X184" s="352"/>
      <c r="Y184" s="352"/>
      <c r="Z184" s="352"/>
      <c r="AA184" s="352"/>
      <c r="AB184" s="352"/>
      <c r="AC184" s="352"/>
      <c r="AD184" s="352"/>
      <c r="AE184" s="352"/>
    </row>
    <row r="185">
      <c r="A185" s="352"/>
      <c r="B185" s="352"/>
      <c r="C185" s="972"/>
      <c r="D185" s="972"/>
      <c r="E185" s="972"/>
      <c r="F185" s="972"/>
      <c r="G185" s="972"/>
      <c r="H185" s="972"/>
      <c r="I185" s="972"/>
      <c r="J185" s="972"/>
      <c r="K185" s="972"/>
      <c r="L185" s="972"/>
      <c r="M185" s="972"/>
      <c r="N185" s="972"/>
      <c r="O185" s="352"/>
      <c r="P185" s="352"/>
      <c r="Q185" s="352"/>
      <c r="R185" s="352"/>
      <c r="S185" s="352"/>
      <c r="T185" s="352"/>
      <c r="U185" s="352"/>
      <c r="V185" s="352"/>
      <c r="W185" s="352"/>
      <c r="X185" s="352"/>
      <c r="Y185" s="352"/>
      <c r="Z185" s="352"/>
      <c r="AA185" s="352"/>
      <c r="AB185" s="352"/>
      <c r="AC185" s="352"/>
      <c r="AD185" s="352"/>
      <c r="AE185" s="352"/>
    </row>
    <row r="186">
      <c r="A186" s="352"/>
      <c r="B186" s="352"/>
      <c r="C186" s="972"/>
      <c r="D186" s="972"/>
      <c r="E186" s="972"/>
      <c r="F186" s="972"/>
      <c r="G186" s="972"/>
      <c r="H186" s="972"/>
      <c r="I186" s="972"/>
      <c r="J186" s="972"/>
      <c r="K186" s="972"/>
      <c r="L186" s="972"/>
      <c r="M186" s="972"/>
      <c r="N186" s="972"/>
      <c r="O186" s="352"/>
      <c r="P186" s="352"/>
      <c r="Q186" s="352"/>
      <c r="R186" s="352"/>
      <c r="S186" s="352"/>
      <c r="T186" s="352"/>
      <c r="U186" s="352"/>
      <c r="V186" s="352"/>
      <c r="W186" s="352"/>
      <c r="X186" s="352"/>
      <c r="Y186" s="352"/>
      <c r="Z186" s="352"/>
      <c r="AA186" s="352"/>
      <c r="AB186" s="352"/>
      <c r="AC186" s="352"/>
      <c r="AD186" s="352"/>
      <c r="AE186" s="352"/>
    </row>
    <row r="187">
      <c r="A187" s="352"/>
      <c r="B187" s="352"/>
      <c r="C187" s="972"/>
      <c r="D187" s="972"/>
      <c r="E187" s="972"/>
      <c r="F187" s="972"/>
      <c r="G187" s="972"/>
      <c r="H187" s="972"/>
      <c r="I187" s="972"/>
      <c r="J187" s="972"/>
      <c r="K187" s="972"/>
      <c r="L187" s="972"/>
      <c r="M187" s="972"/>
      <c r="N187" s="972"/>
      <c r="O187" s="352"/>
      <c r="P187" s="352"/>
      <c r="Q187" s="352"/>
      <c r="R187" s="352"/>
      <c r="S187" s="352"/>
      <c r="T187" s="352"/>
      <c r="U187" s="352"/>
      <c r="V187" s="352"/>
      <c r="W187" s="352"/>
      <c r="X187" s="352"/>
      <c r="Y187" s="352"/>
      <c r="Z187" s="352"/>
      <c r="AA187" s="352"/>
      <c r="AB187" s="352"/>
      <c r="AC187" s="352"/>
      <c r="AD187" s="352"/>
      <c r="AE187" s="352"/>
    </row>
    <row r="188">
      <c r="A188" s="352"/>
      <c r="B188" s="352"/>
      <c r="C188" s="972"/>
      <c r="D188" s="972"/>
      <c r="E188" s="972"/>
      <c r="F188" s="972"/>
      <c r="G188" s="972"/>
      <c r="H188" s="972"/>
      <c r="I188" s="972"/>
      <c r="J188" s="972"/>
      <c r="K188" s="972"/>
      <c r="L188" s="972"/>
      <c r="M188" s="972"/>
      <c r="N188" s="972"/>
      <c r="O188" s="352"/>
      <c r="P188" s="352"/>
      <c r="Q188" s="352"/>
      <c r="R188" s="352"/>
      <c r="S188" s="352"/>
      <c r="T188" s="352"/>
      <c r="U188" s="352"/>
      <c r="V188" s="352"/>
      <c r="W188" s="352"/>
      <c r="X188" s="352"/>
      <c r="Y188" s="352"/>
      <c r="Z188" s="352"/>
      <c r="AA188" s="352"/>
      <c r="AB188" s="352"/>
      <c r="AC188" s="352"/>
      <c r="AD188" s="352"/>
      <c r="AE188" s="352"/>
    </row>
    <row r="189">
      <c r="A189" s="352"/>
      <c r="B189" s="352"/>
      <c r="C189" s="972"/>
      <c r="D189" s="972"/>
      <c r="E189" s="972"/>
      <c r="F189" s="972"/>
      <c r="G189" s="972"/>
      <c r="H189" s="972"/>
      <c r="I189" s="972"/>
      <c r="J189" s="972"/>
      <c r="K189" s="972"/>
      <c r="L189" s="972"/>
      <c r="M189" s="972"/>
      <c r="N189" s="972"/>
      <c r="O189" s="352"/>
      <c r="P189" s="352"/>
      <c r="Q189" s="352"/>
      <c r="R189" s="352"/>
      <c r="S189" s="352"/>
      <c r="T189" s="352"/>
      <c r="U189" s="352"/>
      <c r="V189" s="352"/>
      <c r="W189" s="352"/>
      <c r="X189" s="352"/>
      <c r="Y189" s="352"/>
      <c r="Z189" s="352"/>
      <c r="AA189" s="352"/>
      <c r="AB189" s="352"/>
      <c r="AC189" s="352"/>
      <c r="AD189" s="352"/>
      <c r="AE189" s="352"/>
    </row>
    <row r="190">
      <c r="A190" s="352"/>
      <c r="B190" s="352"/>
      <c r="C190" s="972"/>
      <c r="D190" s="972"/>
      <c r="E190" s="972"/>
      <c r="F190" s="972"/>
      <c r="G190" s="972"/>
      <c r="H190" s="972"/>
      <c r="I190" s="972"/>
      <c r="J190" s="972"/>
      <c r="K190" s="972"/>
      <c r="L190" s="972"/>
      <c r="M190" s="972"/>
      <c r="N190" s="972"/>
      <c r="O190" s="352"/>
      <c r="P190" s="352"/>
      <c r="Q190" s="352"/>
      <c r="R190" s="352"/>
      <c r="S190" s="352"/>
      <c r="T190" s="352"/>
      <c r="U190" s="352"/>
      <c r="V190" s="352"/>
      <c r="W190" s="352"/>
      <c r="X190" s="352"/>
      <c r="Y190" s="352"/>
      <c r="Z190" s="352"/>
      <c r="AA190" s="352"/>
      <c r="AB190" s="352"/>
      <c r="AC190" s="352"/>
      <c r="AD190" s="352"/>
      <c r="AE190" s="352"/>
    </row>
    <row r="191">
      <c r="A191" s="352"/>
      <c r="B191" s="352"/>
      <c r="C191" s="972"/>
      <c r="D191" s="972"/>
      <c r="E191" s="972"/>
      <c r="F191" s="972"/>
      <c r="G191" s="972"/>
      <c r="H191" s="972"/>
      <c r="I191" s="972"/>
      <c r="J191" s="972"/>
      <c r="K191" s="972"/>
      <c r="L191" s="972"/>
      <c r="M191" s="972"/>
      <c r="N191" s="972"/>
      <c r="O191" s="352"/>
      <c r="P191" s="352"/>
      <c r="Q191" s="352"/>
      <c r="R191" s="352"/>
      <c r="S191" s="352"/>
      <c r="T191" s="352"/>
      <c r="U191" s="352"/>
      <c r="V191" s="352"/>
      <c r="W191" s="352"/>
      <c r="X191" s="352"/>
      <c r="Y191" s="352"/>
      <c r="Z191" s="352"/>
      <c r="AA191" s="352"/>
      <c r="AB191" s="352"/>
      <c r="AC191" s="352"/>
      <c r="AD191" s="352"/>
      <c r="AE191" s="352"/>
    </row>
    <row r="192">
      <c r="A192" s="352"/>
      <c r="B192" s="352"/>
      <c r="C192" s="972"/>
      <c r="D192" s="972"/>
      <c r="E192" s="972"/>
      <c r="F192" s="972"/>
      <c r="G192" s="972"/>
      <c r="H192" s="972"/>
      <c r="I192" s="972"/>
      <c r="J192" s="972"/>
      <c r="K192" s="972"/>
      <c r="L192" s="972"/>
      <c r="M192" s="972"/>
      <c r="N192" s="972"/>
      <c r="O192" s="352"/>
      <c r="P192" s="352"/>
      <c r="Q192" s="352"/>
      <c r="R192" s="352"/>
      <c r="S192" s="352"/>
      <c r="T192" s="352"/>
      <c r="U192" s="352"/>
      <c r="V192" s="352"/>
      <c r="W192" s="352"/>
      <c r="X192" s="352"/>
      <c r="Y192" s="352"/>
      <c r="Z192" s="352"/>
      <c r="AA192" s="352"/>
      <c r="AB192" s="352"/>
      <c r="AC192" s="352"/>
      <c r="AD192" s="352"/>
      <c r="AE192" s="352"/>
    </row>
    <row r="193">
      <c r="A193" s="352"/>
      <c r="B193" s="352"/>
      <c r="C193" s="972"/>
      <c r="D193" s="972"/>
      <c r="E193" s="972"/>
      <c r="F193" s="972"/>
      <c r="G193" s="972"/>
      <c r="H193" s="972"/>
      <c r="I193" s="972"/>
      <c r="J193" s="972"/>
      <c r="K193" s="972"/>
      <c r="L193" s="972"/>
      <c r="M193" s="972"/>
      <c r="N193" s="972"/>
      <c r="O193" s="352"/>
      <c r="P193" s="352"/>
      <c r="Q193" s="352"/>
      <c r="R193" s="352"/>
      <c r="S193" s="352"/>
      <c r="T193" s="352"/>
      <c r="U193" s="352"/>
      <c r="V193" s="352"/>
      <c r="W193" s="352"/>
      <c r="X193" s="352"/>
      <c r="Y193" s="352"/>
      <c r="Z193" s="352"/>
      <c r="AA193" s="352"/>
      <c r="AB193" s="352"/>
      <c r="AC193" s="352"/>
      <c r="AD193" s="352"/>
      <c r="AE193" s="352"/>
    </row>
    <row r="194">
      <c r="A194" s="352"/>
      <c r="B194" s="352"/>
      <c r="C194" s="972"/>
      <c r="D194" s="972"/>
      <c r="E194" s="972"/>
      <c r="F194" s="972"/>
      <c r="G194" s="972"/>
      <c r="H194" s="972"/>
      <c r="I194" s="972"/>
      <c r="J194" s="972"/>
      <c r="K194" s="972"/>
      <c r="L194" s="972"/>
      <c r="M194" s="972"/>
      <c r="N194" s="972"/>
      <c r="O194" s="352"/>
      <c r="P194" s="352"/>
      <c r="Q194" s="352"/>
      <c r="R194" s="352"/>
      <c r="S194" s="352"/>
      <c r="T194" s="352"/>
      <c r="U194" s="352"/>
      <c r="V194" s="352"/>
      <c r="W194" s="352"/>
      <c r="X194" s="352"/>
      <c r="Y194" s="352"/>
      <c r="Z194" s="352"/>
      <c r="AA194" s="352"/>
      <c r="AB194" s="352"/>
      <c r="AC194" s="352"/>
      <c r="AD194" s="352"/>
      <c r="AE194" s="352"/>
    </row>
    <row r="195">
      <c r="A195" s="352"/>
      <c r="B195" s="352"/>
      <c r="C195" s="972"/>
      <c r="D195" s="972"/>
      <c r="E195" s="972"/>
      <c r="F195" s="972"/>
      <c r="G195" s="972"/>
      <c r="H195" s="972"/>
      <c r="I195" s="972"/>
      <c r="J195" s="972"/>
      <c r="K195" s="972"/>
      <c r="L195" s="972"/>
      <c r="M195" s="972"/>
      <c r="N195" s="972"/>
      <c r="O195" s="352"/>
      <c r="P195" s="352"/>
      <c r="Q195" s="352"/>
      <c r="R195" s="352"/>
      <c r="S195" s="352"/>
      <c r="T195" s="352"/>
      <c r="U195" s="352"/>
      <c r="V195" s="352"/>
      <c r="W195" s="352"/>
      <c r="X195" s="352"/>
      <c r="Y195" s="352"/>
      <c r="Z195" s="352"/>
      <c r="AA195" s="352"/>
      <c r="AB195" s="352"/>
      <c r="AC195" s="352"/>
      <c r="AD195" s="352"/>
      <c r="AE195" s="352"/>
    </row>
    <row r="196">
      <c r="A196" s="352"/>
      <c r="B196" s="352"/>
      <c r="C196" s="972"/>
      <c r="D196" s="972"/>
      <c r="E196" s="972"/>
      <c r="F196" s="972"/>
      <c r="G196" s="972"/>
      <c r="H196" s="972"/>
      <c r="I196" s="972"/>
      <c r="J196" s="972"/>
      <c r="K196" s="972"/>
      <c r="L196" s="972"/>
      <c r="M196" s="972"/>
      <c r="N196" s="972"/>
      <c r="O196" s="352"/>
      <c r="P196" s="352"/>
      <c r="Q196" s="352"/>
      <c r="R196" s="352"/>
      <c r="S196" s="352"/>
      <c r="T196" s="352"/>
      <c r="U196" s="352"/>
      <c r="V196" s="352"/>
      <c r="W196" s="352"/>
      <c r="X196" s="352"/>
      <c r="Y196" s="352"/>
      <c r="Z196" s="352"/>
      <c r="AA196" s="352"/>
      <c r="AB196" s="352"/>
      <c r="AC196" s="352"/>
      <c r="AD196" s="352"/>
      <c r="AE196" s="352"/>
    </row>
    <row r="197">
      <c r="A197" s="352"/>
      <c r="B197" s="352"/>
      <c r="C197" s="972"/>
      <c r="D197" s="972"/>
      <c r="E197" s="972"/>
      <c r="F197" s="972"/>
      <c r="G197" s="972"/>
      <c r="H197" s="972"/>
      <c r="I197" s="972"/>
      <c r="J197" s="972"/>
      <c r="K197" s="972"/>
      <c r="L197" s="972"/>
      <c r="M197" s="972"/>
      <c r="N197" s="972"/>
      <c r="O197" s="352"/>
      <c r="P197" s="352"/>
      <c r="Q197" s="352"/>
      <c r="R197" s="352"/>
      <c r="S197" s="352"/>
      <c r="T197" s="352"/>
      <c r="U197" s="352"/>
      <c r="V197" s="352"/>
      <c r="W197" s="352"/>
      <c r="X197" s="352"/>
      <c r="Y197" s="352"/>
      <c r="Z197" s="352"/>
      <c r="AA197" s="352"/>
      <c r="AB197" s="352"/>
      <c r="AC197" s="352"/>
      <c r="AD197" s="352"/>
      <c r="AE197" s="352"/>
    </row>
    <row r="198">
      <c r="A198" s="352"/>
      <c r="B198" s="352"/>
      <c r="C198" s="972"/>
      <c r="D198" s="972"/>
      <c r="E198" s="972"/>
      <c r="F198" s="972"/>
      <c r="G198" s="972"/>
      <c r="H198" s="972"/>
      <c r="I198" s="972"/>
      <c r="J198" s="972"/>
      <c r="K198" s="972"/>
      <c r="L198" s="972"/>
      <c r="M198" s="972"/>
      <c r="N198" s="972"/>
      <c r="O198" s="352"/>
      <c r="P198" s="352"/>
      <c r="Q198" s="352"/>
      <c r="R198" s="352"/>
      <c r="S198" s="352"/>
      <c r="T198" s="352"/>
      <c r="U198" s="352"/>
      <c r="V198" s="352"/>
      <c r="W198" s="352"/>
      <c r="X198" s="352"/>
      <c r="Y198" s="352"/>
      <c r="Z198" s="352"/>
      <c r="AA198" s="352"/>
      <c r="AB198" s="352"/>
      <c r="AC198" s="352"/>
      <c r="AD198" s="352"/>
      <c r="AE198" s="352"/>
    </row>
    <row r="199">
      <c r="A199" s="352"/>
      <c r="B199" s="352"/>
      <c r="C199" s="972"/>
      <c r="D199" s="972"/>
      <c r="E199" s="972"/>
      <c r="F199" s="972"/>
      <c r="G199" s="972"/>
      <c r="H199" s="972"/>
      <c r="I199" s="972"/>
      <c r="J199" s="972"/>
      <c r="K199" s="972"/>
      <c r="L199" s="972"/>
      <c r="M199" s="972"/>
      <c r="N199" s="972"/>
      <c r="O199" s="352"/>
      <c r="P199" s="352"/>
      <c r="Q199" s="352"/>
      <c r="R199" s="352"/>
      <c r="S199" s="352"/>
      <c r="T199" s="352"/>
      <c r="U199" s="352"/>
      <c r="V199" s="352"/>
      <c r="W199" s="352"/>
      <c r="X199" s="352"/>
      <c r="Y199" s="352"/>
      <c r="Z199" s="352"/>
      <c r="AA199" s="352"/>
      <c r="AB199" s="352"/>
      <c r="AC199" s="352"/>
      <c r="AD199" s="352"/>
      <c r="AE199" s="352"/>
    </row>
    <row r="200">
      <c r="A200" s="352"/>
      <c r="B200" s="352"/>
      <c r="C200" s="972"/>
      <c r="D200" s="972"/>
      <c r="E200" s="972"/>
      <c r="F200" s="972"/>
      <c r="G200" s="972"/>
      <c r="H200" s="972"/>
      <c r="I200" s="972"/>
      <c r="J200" s="972"/>
      <c r="K200" s="972"/>
      <c r="L200" s="972"/>
      <c r="M200" s="972"/>
      <c r="N200" s="972"/>
      <c r="O200" s="352"/>
      <c r="P200" s="352"/>
      <c r="Q200" s="352"/>
      <c r="R200" s="352"/>
      <c r="S200" s="352"/>
      <c r="T200" s="352"/>
      <c r="U200" s="352"/>
      <c r="V200" s="352"/>
      <c r="W200" s="352"/>
      <c r="X200" s="352"/>
      <c r="Y200" s="352"/>
      <c r="Z200" s="352"/>
      <c r="AA200" s="352"/>
      <c r="AB200" s="352"/>
      <c r="AC200" s="352"/>
      <c r="AD200" s="352"/>
      <c r="AE200" s="352"/>
    </row>
    <row r="201">
      <c r="A201" s="352"/>
      <c r="B201" s="352"/>
      <c r="C201" s="972"/>
      <c r="D201" s="972"/>
      <c r="E201" s="972"/>
      <c r="F201" s="972"/>
      <c r="G201" s="972"/>
      <c r="H201" s="972"/>
      <c r="I201" s="972"/>
      <c r="J201" s="972"/>
      <c r="K201" s="972"/>
      <c r="L201" s="972"/>
      <c r="M201" s="972"/>
      <c r="N201" s="972"/>
      <c r="O201" s="352"/>
      <c r="P201" s="352"/>
      <c r="Q201" s="352"/>
      <c r="R201" s="352"/>
      <c r="S201" s="352"/>
      <c r="T201" s="352"/>
      <c r="U201" s="352"/>
      <c r="V201" s="352"/>
      <c r="W201" s="352"/>
      <c r="X201" s="352"/>
      <c r="Y201" s="352"/>
      <c r="Z201" s="352"/>
      <c r="AA201" s="352"/>
      <c r="AB201" s="352"/>
      <c r="AC201" s="352"/>
      <c r="AD201" s="352"/>
      <c r="AE201" s="352"/>
    </row>
    <row r="202">
      <c r="A202" s="352"/>
      <c r="B202" s="352"/>
      <c r="C202" s="972"/>
      <c r="D202" s="972"/>
      <c r="E202" s="972"/>
      <c r="F202" s="972"/>
      <c r="G202" s="972"/>
      <c r="H202" s="972"/>
      <c r="I202" s="972"/>
      <c r="J202" s="972"/>
      <c r="K202" s="972"/>
      <c r="L202" s="972"/>
      <c r="M202" s="972"/>
      <c r="N202" s="972"/>
      <c r="O202" s="352"/>
      <c r="P202" s="352"/>
      <c r="Q202" s="352"/>
      <c r="R202" s="352"/>
      <c r="S202" s="352"/>
      <c r="T202" s="352"/>
      <c r="U202" s="352"/>
      <c r="V202" s="352"/>
      <c r="W202" s="352"/>
      <c r="X202" s="352"/>
      <c r="Y202" s="352"/>
      <c r="Z202" s="352"/>
      <c r="AA202" s="352"/>
      <c r="AB202" s="352"/>
      <c r="AC202" s="352"/>
      <c r="AD202" s="352"/>
      <c r="AE202" s="352"/>
    </row>
    <row r="203">
      <c r="A203" s="352"/>
      <c r="B203" s="352"/>
      <c r="C203" s="972"/>
      <c r="D203" s="972"/>
      <c r="E203" s="972"/>
      <c r="F203" s="972"/>
      <c r="G203" s="972"/>
      <c r="H203" s="972"/>
      <c r="I203" s="972"/>
      <c r="J203" s="972"/>
      <c r="K203" s="972"/>
      <c r="L203" s="972"/>
      <c r="M203" s="972"/>
      <c r="N203" s="972"/>
      <c r="O203" s="352"/>
      <c r="P203" s="352"/>
      <c r="Q203" s="352"/>
      <c r="R203" s="352"/>
      <c r="S203" s="352"/>
      <c r="T203" s="352"/>
      <c r="U203" s="352"/>
      <c r="V203" s="352"/>
      <c r="W203" s="352"/>
      <c r="X203" s="352"/>
      <c r="Y203" s="352"/>
      <c r="Z203" s="352"/>
      <c r="AA203" s="352"/>
      <c r="AB203" s="352"/>
      <c r="AC203" s="352"/>
      <c r="AD203" s="352"/>
      <c r="AE203" s="352"/>
    </row>
    <row r="204">
      <c r="A204" s="352"/>
      <c r="B204" s="352"/>
      <c r="C204" s="972"/>
      <c r="D204" s="972"/>
      <c r="E204" s="972"/>
      <c r="F204" s="972"/>
      <c r="G204" s="972"/>
      <c r="H204" s="972"/>
      <c r="I204" s="972"/>
      <c r="J204" s="972"/>
      <c r="K204" s="972"/>
      <c r="L204" s="972"/>
      <c r="M204" s="972"/>
      <c r="N204" s="972"/>
      <c r="O204" s="352"/>
      <c r="P204" s="352"/>
      <c r="Q204" s="352"/>
      <c r="R204" s="352"/>
      <c r="S204" s="352"/>
      <c r="T204" s="352"/>
      <c r="U204" s="352"/>
      <c r="V204" s="352"/>
      <c r="W204" s="352"/>
      <c r="X204" s="352"/>
      <c r="Y204" s="352"/>
      <c r="Z204" s="352"/>
      <c r="AA204" s="352"/>
      <c r="AB204" s="352"/>
      <c r="AC204" s="352"/>
      <c r="AD204" s="352"/>
      <c r="AE204" s="352"/>
    </row>
    <row r="205">
      <c r="A205" s="352"/>
      <c r="B205" s="352"/>
      <c r="C205" s="972"/>
      <c r="D205" s="972"/>
      <c r="E205" s="972"/>
      <c r="F205" s="972"/>
      <c r="G205" s="972"/>
      <c r="H205" s="972"/>
      <c r="I205" s="972"/>
      <c r="J205" s="972"/>
      <c r="K205" s="972"/>
      <c r="L205" s="972"/>
      <c r="M205" s="972"/>
      <c r="N205" s="972"/>
      <c r="O205" s="352"/>
      <c r="P205" s="352"/>
      <c r="Q205" s="352"/>
      <c r="R205" s="352"/>
      <c r="S205" s="352"/>
      <c r="T205" s="352"/>
      <c r="U205" s="352"/>
      <c r="V205" s="352"/>
      <c r="W205" s="352"/>
      <c r="X205" s="352"/>
      <c r="Y205" s="352"/>
      <c r="Z205" s="352"/>
      <c r="AA205" s="352"/>
      <c r="AB205" s="352"/>
      <c r="AC205" s="352"/>
      <c r="AD205" s="352"/>
      <c r="AE205" s="352"/>
    </row>
    <row r="206">
      <c r="A206" s="352"/>
      <c r="B206" s="352"/>
      <c r="C206" s="972"/>
      <c r="D206" s="972"/>
      <c r="E206" s="972"/>
      <c r="F206" s="972"/>
      <c r="G206" s="972"/>
      <c r="H206" s="972"/>
      <c r="I206" s="972"/>
      <c r="J206" s="972"/>
      <c r="K206" s="972"/>
      <c r="L206" s="972"/>
      <c r="M206" s="972"/>
      <c r="N206" s="972"/>
      <c r="O206" s="352"/>
      <c r="P206" s="352"/>
      <c r="Q206" s="352"/>
      <c r="R206" s="352"/>
      <c r="S206" s="352"/>
      <c r="T206" s="352"/>
      <c r="U206" s="352"/>
      <c r="V206" s="352"/>
      <c r="W206" s="352"/>
      <c r="X206" s="352"/>
      <c r="Y206" s="352"/>
      <c r="Z206" s="352"/>
      <c r="AA206" s="352"/>
      <c r="AB206" s="352"/>
      <c r="AC206" s="352"/>
      <c r="AD206" s="352"/>
      <c r="AE206" s="352"/>
    </row>
    <row r="207">
      <c r="A207" s="352"/>
      <c r="B207" s="352"/>
      <c r="C207" s="972"/>
      <c r="D207" s="972"/>
      <c r="E207" s="972"/>
      <c r="F207" s="972"/>
      <c r="G207" s="972"/>
      <c r="H207" s="972"/>
      <c r="I207" s="972"/>
      <c r="J207" s="972"/>
      <c r="K207" s="972"/>
      <c r="L207" s="972"/>
      <c r="M207" s="972"/>
      <c r="N207" s="972"/>
      <c r="O207" s="352"/>
      <c r="P207" s="352"/>
      <c r="Q207" s="352"/>
      <c r="R207" s="352"/>
      <c r="S207" s="352"/>
      <c r="T207" s="352"/>
      <c r="U207" s="352"/>
      <c r="V207" s="352"/>
      <c r="W207" s="352"/>
      <c r="X207" s="352"/>
      <c r="Y207" s="352"/>
      <c r="Z207" s="352"/>
      <c r="AA207" s="352"/>
      <c r="AB207" s="352"/>
      <c r="AC207" s="352"/>
      <c r="AD207" s="352"/>
      <c r="AE207" s="352"/>
    </row>
    <row r="208">
      <c r="A208" s="352"/>
      <c r="B208" s="352"/>
      <c r="C208" s="972"/>
      <c r="D208" s="972"/>
      <c r="E208" s="972"/>
      <c r="F208" s="972"/>
      <c r="G208" s="972"/>
      <c r="H208" s="972"/>
      <c r="I208" s="972"/>
      <c r="J208" s="972"/>
      <c r="K208" s="972"/>
      <c r="L208" s="972"/>
      <c r="M208" s="972"/>
      <c r="N208" s="972"/>
      <c r="O208" s="352"/>
      <c r="P208" s="352"/>
      <c r="Q208" s="352"/>
      <c r="R208" s="352"/>
      <c r="S208" s="352"/>
      <c r="T208" s="352"/>
      <c r="U208" s="352"/>
      <c r="V208" s="352"/>
      <c r="W208" s="352"/>
      <c r="X208" s="352"/>
      <c r="Y208" s="352"/>
      <c r="Z208" s="352"/>
      <c r="AA208" s="352"/>
      <c r="AB208" s="352"/>
      <c r="AC208" s="352"/>
      <c r="AD208" s="352"/>
      <c r="AE208" s="352"/>
    </row>
    <row r="209">
      <c r="A209" s="352"/>
      <c r="B209" s="352"/>
      <c r="C209" s="972"/>
      <c r="D209" s="972"/>
      <c r="E209" s="972"/>
      <c r="F209" s="972"/>
      <c r="G209" s="972"/>
      <c r="H209" s="972"/>
      <c r="I209" s="972"/>
      <c r="J209" s="972"/>
      <c r="K209" s="972"/>
      <c r="L209" s="972"/>
      <c r="M209" s="972"/>
      <c r="N209" s="972"/>
      <c r="O209" s="352"/>
      <c r="P209" s="352"/>
      <c r="Q209" s="352"/>
      <c r="R209" s="352"/>
      <c r="S209" s="352"/>
      <c r="T209" s="352"/>
      <c r="U209" s="352"/>
      <c r="V209" s="352"/>
      <c r="W209" s="352"/>
      <c r="X209" s="352"/>
      <c r="Y209" s="352"/>
      <c r="Z209" s="352"/>
      <c r="AA209" s="352"/>
      <c r="AB209" s="352"/>
      <c r="AC209" s="352"/>
      <c r="AD209" s="352"/>
      <c r="AE209" s="352"/>
    </row>
    <row r="210">
      <c r="A210" s="352"/>
      <c r="B210" s="352"/>
      <c r="C210" s="972"/>
      <c r="D210" s="972"/>
      <c r="E210" s="972"/>
      <c r="F210" s="972"/>
      <c r="G210" s="972"/>
      <c r="H210" s="972"/>
      <c r="I210" s="972"/>
      <c r="J210" s="972"/>
      <c r="K210" s="972"/>
      <c r="L210" s="972"/>
      <c r="M210" s="972"/>
      <c r="N210" s="972"/>
      <c r="O210" s="352"/>
      <c r="P210" s="352"/>
      <c r="Q210" s="352"/>
      <c r="R210" s="352"/>
      <c r="S210" s="352"/>
      <c r="T210" s="352"/>
      <c r="U210" s="352"/>
      <c r="V210" s="352"/>
      <c r="W210" s="352"/>
      <c r="X210" s="352"/>
      <c r="Y210" s="352"/>
      <c r="Z210" s="352"/>
      <c r="AA210" s="352"/>
      <c r="AB210" s="352"/>
      <c r="AC210" s="352"/>
      <c r="AD210" s="352"/>
      <c r="AE210" s="352"/>
    </row>
    <row r="211">
      <c r="A211" s="352"/>
      <c r="B211" s="352"/>
      <c r="C211" s="972"/>
      <c r="D211" s="972"/>
      <c r="E211" s="972"/>
      <c r="F211" s="972"/>
      <c r="G211" s="972"/>
      <c r="H211" s="972"/>
      <c r="I211" s="972"/>
      <c r="J211" s="972"/>
      <c r="K211" s="972"/>
      <c r="L211" s="972"/>
      <c r="M211" s="972"/>
      <c r="N211" s="972"/>
      <c r="O211" s="352"/>
      <c r="P211" s="352"/>
      <c r="Q211" s="352"/>
      <c r="R211" s="352"/>
      <c r="S211" s="352"/>
      <c r="T211" s="352"/>
      <c r="U211" s="352"/>
      <c r="V211" s="352"/>
      <c r="W211" s="352"/>
      <c r="X211" s="352"/>
      <c r="Y211" s="352"/>
      <c r="Z211" s="352"/>
      <c r="AA211" s="352"/>
      <c r="AB211" s="352"/>
      <c r="AC211" s="352"/>
      <c r="AD211" s="352"/>
      <c r="AE211" s="352"/>
    </row>
    <row r="212">
      <c r="A212" s="352"/>
      <c r="B212" s="352"/>
      <c r="C212" s="972"/>
      <c r="D212" s="972"/>
      <c r="E212" s="972"/>
      <c r="F212" s="972"/>
      <c r="G212" s="972"/>
      <c r="H212" s="972"/>
      <c r="I212" s="972"/>
      <c r="J212" s="972"/>
      <c r="K212" s="972"/>
      <c r="L212" s="972"/>
      <c r="M212" s="972"/>
      <c r="N212" s="972"/>
      <c r="O212" s="352"/>
      <c r="P212" s="352"/>
      <c r="Q212" s="352"/>
      <c r="R212" s="352"/>
      <c r="S212" s="352"/>
      <c r="T212" s="352"/>
      <c r="U212" s="352"/>
      <c r="V212" s="352"/>
      <c r="W212" s="352"/>
      <c r="X212" s="352"/>
      <c r="Y212" s="352"/>
      <c r="Z212" s="352"/>
      <c r="AA212" s="352"/>
      <c r="AB212" s="352"/>
      <c r="AC212" s="352"/>
      <c r="AD212" s="352"/>
      <c r="AE212" s="352"/>
    </row>
    <row r="213">
      <c r="A213" s="352"/>
      <c r="B213" s="352"/>
      <c r="C213" s="972"/>
      <c r="D213" s="972"/>
      <c r="E213" s="972"/>
      <c r="F213" s="972"/>
      <c r="G213" s="972"/>
      <c r="H213" s="972"/>
      <c r="I213" s="972"/>
      <c r="J213" s="972"/>
      <c r="K213" s="972"/>
      <c r="L213" s="972"/>
      <c r="M213" s="972"/>
      <c r="N213" s="972"/>
      <c r="O213" s="352"/>
      <c r="P213" s="352"/>
      <c r="Q213" s="352"/>
      <c r="R213" s="352"/>
      <c r="S213" s="352"/>
      <c r="T213" s="352"/>
      <c r="U213" s="352"/>
      <c r="V213" s="352"/>
      <c r="W213" s="352"/>
      <c r="X213" s="352"/>
      <c r="Y213" s="352"/>
      <c r="Z213" s="352"/>
      <c r="AA213" s="352"/>
      <c r="AB213" s="352"/>
      <c r="AC213" s="352"/>
      <c r="AD213" s="352"/>
      <c r="AE213" s="352"/>
    </row>
    <row r="214">
      <c r="A214" s="352"/>
      <c r="B214" s="352"/>
      <c r="C214" s="972"/>
      <c r="D214" s="972"/>
      <c r="E214" s="972"/>
      <c r="F214" s="972"/>
      <c r="G214" s="972"/>
      <c r="H214" s="972"/>
      <c r="I214" s="972"/>
      <c r="J214" s="972"/>
      <c r="K214" s="972"/>
      <c r="L214" s="972"/>
      <c r="M214" s="972"/>
      <c r="N214" s="972"/>
      <c r="O214" s="352"/>
      <c r="P214" s="352"/>
      <c r="Q214" s="352"/>
      <c r="R214" s="352"/>
      <c r="S214" s="352"/>
      <c r="T214" s="352"/>
      <c r="U214" s="352"/>
      <c r="V214" s="352"/>
      <c r="W214" s="352"/>
      <c r="X214" s="352"/>
      <c r="Y214" s="352"/>
      <c r="Z214" s="352"/>
      <c r="AA214" s="352"/>
      <c r="AB214" s="352"/>
      <c r="AC214" s="352"/>
      <c r="AD214" s="352"/>
      <c r="AE214" s="352"/>
    </row>
    <row r="215">
      <c r="A215" s="352"/>
      <c r="B215" s="352"/>
      <c r="C215" s="972"/>
      <c r="D215" s="972"/>
      <c r="E215" s="972"/>
      <c r="F215" s="972"/>
      <c r="G215" s="972"/>
      <c r="H215" s="972"/>
      <c r="I215" s="972"/>
      <c r="J215" s="972"/>
      <c r="K215" s="972"/>
      <c r="L215" s="972"/>
      <c r="M215" s="972"/>
      <c r="N215" s="972"/>
      <c r="O215" s="352"/>
      <c r="P215" s="352"/>
      <c r="Q215" s="352"/>
      <c r="R215" s="352"/>
      <c r="S215" s="352"/>
      <c r="T215" s="352"/>
      <c r="U215" s="352"/>
      <c r="V215" s="352"/>
      <c r="W215" s="352"/>
      <c r="X215" s="352"/>
      <c r="Y215" s="352"/>
      <c r="Z215" s="352"/>
      <c r="AA215" s="352"/>
      <c r="AB215" s="352"/>
      <c r="AC215" s="352"/>
      <c r="AD215" s="352"/>
      <c r="AE215" s="352"/>
    </row>
    <row r="216">
      <c r="A216" s="352"/>
      <c r="B216" s="352"/>
      <c r="C216" s="972"/>
      <c r="D216" s="972"/>
      <c r="E216" s="972"/>
      <c r="F216" s="972"/>
      <c r="G216" s="972"/>
      <c r="H216" s="972"/>
      <c r="I216" s="972"/>
      <c r="J216" s="972"/>
      <c r="K216" s="972"/>
      <c r="L216" s="972"/>
      <c r="M216" s="972"/>
      <c r="N216" s="972"/>
      <c r="O216" s="352"/>
      <c r="P216" s="352"/>
      <c r="Q216" s="352"/>
      <c r="R216" s="352"/>
      <c r="S216" s="352"/>
      <c r="T216" s="352"/>
      <c r="U216" s="352"/>
      <c r="V216" s="352"/>
      <c r="W216" s="352"/>
      <c r="X216" s="352"/>
      <c r="Y216" s="352"/>
      <c r="Z216" s="352"/>
      <c r="AA216" s="352"/>
      <c r="AB216" s="352"/>
      <c r="AC216" s="352"/>
      <c r="AD216" s="352"/>
      <c r="AE216" s="352"/>
    </row>
    <row r="217">
      <c r="A217" s="352"/>
      <c r="B217" s="352"/>
      <c r="C217" s="972"/>
      <c r="D217" s="972"/>
      <c r="E217" s="972"/>
      <c r="F217" s="972"/>
      <c r="G217" s="972"/>
      <c r="H217" s="972"/>
      <c r="I217" s="972"/>
      <c r="J217" s="972"/>
      <c r="K217" s="972"/>
      <c r="L217" s="972"/>
      <c r="M217" s="972"/>
      <c r="N217" s="972"/>
      <c r="O217" s="352"/>
      <c r="P217" s="352"/>
      <c r="Q217" s="352"/>
      <c r="R217" s="352"/>
      <c r="S217" s="352"/>
      <c r="T217" s="352"/>
      <c r="U217" s="352"/>
      <c r="V217" s="352"/>
      <c r="W217" s="352"/>
      <c r="X217" s="352"/>
      <c r="Y217" s="352"/>
      <c r="Z217" s="352"/>
      <c r="AA217" s="352"/>
      <c r="AB217" s="352"/>
      <c r="AC217" s="352"/>
      <c r="AD217" s="352"/>
      <c r="AE217" s="352"/>
    </row>
    <row r="218">
      <c r="A218" s="352"/>
      <c r="B218" s="352"/>
      <c r="C218" s="972"/>
      <c r="D218" s="972"/>
      <c r="E218" s="972"/>
      <c r="F218" s="972"/>
      <c r="G218" s="972"/>
      <c r="H218" s="972"/>
      <c r="I218" s="972"/>
      <c r="J218" s="972"/>
      <c r="K218" s="972"/>
      <c r="L218" s="972"/>
      <c r="M218" s="972"/>
      <c r="N218" s="972"/>
      <c r="O218" s="352"/>
      <c r="P218" s="352"/>
      <c r="Q218" s="352"/>
      <c r="R218" s="352"/>
      <c r="S218" s="352"/>
      <c r="T218" s="352"/>
      <c r="U218" s="352"/>
      <c r="V218" s="352"/>
      <c r="W218" s="352"/>
      <c r="X218" s="352"/>
      <c r="Y218" s="352"/>
      <c r="Z218" s="352"/>
      <c r="AA218" s="352"/>
      <c r="AB218" s="352"/>
      <c r="AC218" s="352"/>
      <c r="AD218" s="352"/>
      <c r="AE218" s="352"/>
    </row>
    <row r="219">
      <c r="A219" s="352"/>
      <c r="B219" s="352"/>
      <c r="C219" s="972"/>
      <c r="D219" s="972"/>
      <c r="E219" s="972"/>
      <c r="F219" s="972"/>
      <c r="G219" s="972"/>
      <c r="H219" s="972"/>
      <c r="I219" s="972"/>
      <c r="J219" s="972"/>
      <c r="K219" s="972"/>
      <c r="L219" s="972"/>
      <c r="M219" s="972"/>
      <c r="N219" s="972"/>
      <c r="O219" s="352"/>
      <c r="P219" s="352"/>
      <c r="Q219" s="352"/>
      <c r="R219" s="352"/>
      <c r="S219" s="352"/>
      <c r="T219" s="352"/>
      <c r="U219" s="352"/>
      <c r="V219" s="352"/>
      <c r="W219" s="352"/>
      <c r="X219" s="352"/>
      <c r="Y219" s="352"/>
      <c r="Z219" s="352"/>
      <c r="AA219" s="352"/>
      <c r="AB219" s="352"/>
      <c r="AC219" s="352"/>
      <c r="AD219" s="352"/>
      <c r="AE219" s="352"/>
    </row>
    <row r="220">
      <c r="A220" s="352"/>
      <c r="B220" s="352"/>
      <c r="C220" s="972"/>
      <c r="D220" s="972"/>
      <c r="E220" s="972"/>
      <c r="F220" s="972"/>
      <c r="G220" s="972"/>
      <c r="H220" s="972"/>
      <c r="I220" s="972"/>
      <c r="J220" s="972"/>
      <c r="K220" s="972"/>
      <c r="L220" s="972"/>
      <c r="M220" s="972"/>
      <c r="N220" s="972"/>
      <c r="O220" s="352"/>
      <c r="P220" s="352"/>
      <c r="Q220" s="352"/>
      <c r="R220" s="352"/>
      <c r="S220" s="352"/>
      <c r="T220" s="352"/>
      <c r="U220" s="352"/>
      <c r="V220" s="352"/>
      <c r="W220" s="352"/>
      <c r="X220" s="352"/>
      <c r="Y220" s="352"/>
      <c r="Z220" s="352"/>
      <c r="AA220" s="352"/>
      <c r="AB220" s="352"/>
      <c r="AC220" s="352"/>
      <c r="AD220" s="352"/>
      <c r="AE220" s="352"/>
    </row>
    <row r="221">
      <c r="A221" s="352"/>
      <c r="B221" s="352"/>
      <c r="C221" s="972"/>
      <c r="D221" s="972"/>
      <c r="E221" s="972"/>
      <c r="F221" s="972"/>
      <c r="G221" s="972"/>
      <c r="H221" s="972"/>
      <c r="I221" s="972"/>
      <c r="J221" s="972"/>
      <c r="K221" s="972"/>
      <c r="L221" s="972"/>
      <c r="M221" s="972"/>
      <c r="N221" s="972"/>
      <c r="O221" s="352"/>
      <c r="P221" s="352"/>
      <c r="Q221" s="352"/>
      <c r="R221" s="352"/>
      <c r="S221" s="352"/>
      <c r="T221" s="352"/>
      <c r="U221" s="352"/>
      <c r="V221" s="352"/>
      <c r="W221" s="352"/>
      <c r="X221" s="352"/>
      <c r="Y221" s="352"/>
      <c r="Z221" s="352"/>
      <c r="AA221" s="352"/>
      <c r="AB221" s="352"/>
      <c r="AC221" s="352"/>
      <c r="AD221" s="352"/>
      <c r="AE221" s="352"/>
    </row>
    <row r="222">
      <c r="A222" s="352"/>
      <c r="B222" s="352"/>
      <c r="C222" s="972"/>
      <c r="D222" s="972"/>
      <c r="E222" s="972"/>
      <c r="F222" s="972"/>
      <c r="G222" s="972"/>
      <c r="H222" s="972"/>
      <c r="I222" s="972"/>
      <c r="J222" s="972"/>
      <c r="K222" s="972"/>
      <c r="L222" s="972"/>
      <c r="M222" s="972"/>
      <c r="N222" s="972"/>
      <c r="O222" s="352"/>
      <c r="P222" s="352"/>
      <c r="Q222" s="352"/>
      <c r="R222" s="352"/>
      <c r="S222" s="352"/>
      <c r="T222" s="352"/>
      <c r="U222" s="352"/>
      <c r="V222" s="352"/>
      <c r="W222" s="352"/>
      <c r="X222" s="352"/>
      <c r="Y222" s="352"/>
      <c r="Z222" s="352"/>
      <c r="AA222" s="352"/>
      <c r="AB222" s="352"/>
      <c r="AC222" s="352"/>
      <c r="AD222" s="352"/>
      <c r="AE222" s="352"/>
    </row>
    <row r="223">
      <c r="A223" s="352"/>
      <c r="B223" s="352"/>
      <c r="C223" s="972"/>
      <c r="D223" s="972"/>
      <c r="E223" s="972"/>
      <c r="F223" s="972"/>
      <c r="G223" s="972"/>
      <c r="H223" s="972"/>
      <c r="I223" s="972"/>
      <c r="J223" s="972"/>
      <c r="K223" s="972"/>
      <c r="L223" s="972"/>
      <c r="M223" s="972"/>
      <c r="N223" s="972"/>
      <c r="O223" s="352"/>
      <c r="P223" s="352"/>
      <c r="Q223" s="352"/>
      <c r="R223" s="352"/>
      <c r="S223" s="352"/>
      <c r="T223" s="352"/>
      <c r="U223" s="352"/>
      <c r="V223" s="352"/>
      <c r="W223" s="352"/>
      <c r="X223" s="352"/>
      <c r="Y223" s="352"/>
      <c r="Z223" s="352"/>
      <c r="AA223" s="352"/>
      <c r="AB223" s="352"/>
      <c r="AC223" s="352"/>
      <c r="AD223" s="352"/>
      <c r="AE223" s="352"/>
    </row>
    <row r="224">
      <c r="A224" s="352"/>
      <c r="B224" s="352"/>
      <c r="C224" s="972"/>
      <c r="D224" s="972"/>
      <c r="E224" s="972"/>
      <c r="F224" s="972"/>
      <c r="G224" s="972"/>
      <c r="H224" s="972"/>
      <c r="I224" s="972"/>
      <c r="J224" s="972"/>
      <c r="K224" s="972"/>
      <c r="L224" s="972"/>
      <c r="M224" s="972"/>
      <c r="N224" s="972"/>
      <c r="O224" s="352"/>
      <c r="P224" s="352"/>
      <c r="Q224" s="352"/>
      <c r="R224" s="352"/>
      <c r="S224" s="352"/>
      <c r="T224" s="352"/>
      <c r="U224" s="352"/>
      <c r="V224" s="352"/>
      <c r="W224" s="352"/>
      <c r="X224" s="352"/>
      <c r="Y224" s="352"/>
      <c r="Z224" s="352"/>
      <c r="AA224" s="352"/>
      <c r="AB224" s="352"/>
      <c r="AC224" s="352"/>
      <c r="AD224" s="352"/>
      <c r="AE224" s="352"/>
    </row>
    <row r="225">
      <c r="A225" s="352"/>
      <c r="B225" s="352"/>
      <c r="C225" s="972"/>
      <c r="D225" s="972"/>
      <c r="E225" s="972"/>
      <c r="F225" s="972"/>
      <c r="G225" s="972"/>
      <c r="H225" s="972"/>
      <c r="I225" s="972"/>
      <c r="J225" s="972"/>
      <c r="K225" s="972"/>
      <c r="L225" s="972"/>
      <c r="M225" s="972"/>
      <c r="N225" s="972"/>
      <c r="O225" s="352"/>
      <c r="P225" s="352"/>
      <c r="Q225" s="352"/>
      <c r="R225" s="352"/>
      <c r="S225" s="352"/>
      <c r="T225" s="352"/>
      <c r="U225" s="352"/>
      <c r="V225" s="352"/>
      <c r="W225" s="352"/>
      <c r="X225" s="352"/>
      <c r="Y225" s="352"/>
      <c r="Z225" s="352"/>
      <c r="AA225" s="352"/>
      <c r="AB225" s="352"/>
      <c r="AC225" s="352"/>
      <c r="AD225" s="352"/>
      <c r="AE225" s="352"/>
    </row>
    <row r="226">
      <c r="A226" s="352"/>
      <c r="B226" s="352"/>
      <c r="C226" s="972"/>
      <c r="D226" s="972"/>
      <c r="E226" s="972"/>
      <c r="F226" s="972"/>
      <c r="G226" s="972"/>
      <c r="H226" s="972"/>
      <c r="I226" s="972"/>
      <c r="J226" s="972"/>
      <c r="K226" s="972"/>
      <c r="L226" s="972"/>
      <c r="M226" s="972"/>
      <c r="N226" s="972"/>
      <c r="O226" s="352"/>
      <c r="P226" s="352"/>
      <c r="Q226" s="352"/>
      <c r="R226" s="352"/>
      <c r="S226" s="352"/>
      <c r="T226" s="352"/>
      <c r="U226" s="352"/>
      <c r="V226" s="352"/>
      <c r="W226" s="352"/>
      <c r="X226" s="352"/>
      <c r="Y226" s="352"/>
      <c r="Z226" s="352"/>
      <c r="AA226" s="352"/>
      <c r="AB226" s="352"/>
      <c r="AC226" s="352"/>
      <c r="AD226" s="352"/>
      <c r="AE226" s="352"/>
    </row>
    <row r="227">
      <c r="A227" s="352"/>
      <c r="B227" s="352"/>
      <c r="C227" s="972"/>
      <c r="D227" s="972"/>
      <c r="E227" s="972"/>
      <c r="F227" s="972"/>
      <c r="G227" s="972"/>
      <c r="H227" s="972"/>
      <c r="I227" s="972"/>
      <c r="J227" s="972"/>
      <c r="K227" s="972"/>
      <c r="L227" s="972"/>
      <c r="M227" s="972"/>
      <c r="N227" s="972"/>
      <c r="O227" s="352"/>
      <c r="P227" s="352"/>
      <c r="Q227" s="352"/>
      <c r="R227" s="352"/>
      <c r="S227" s="352"/>
      <c r="T227" s="352"/>
      <c r="U227" s="352"/>
      <c r="V227" s="352"/>
      <c r="W227" s="352"/>
      <c r="X227" s="352"/>
      <c r="Y227" s="352"/>
      <c r="Z227" s="352"/>
      <c r="AA227" s="352"/>
      <c r="AB227" s="352"/>
      <c r="AC227" s="352"/>
      <c r="AD227" s="352"/>
      <c r="AE227" s="352"/>
    </row>
    <row r="228">
      <c r="A228" s="352"/>
      <c r="B228" s="352"/>
      <c r="C228" s="972"/>
      <c r="D228" s="972"/>
      <c r="E228" s="972"/>
      <c r="F228" s="972"/>
      <c r="G228" s="972"/>
      <c r="H228" s="972"/>
      <c r="I228" s="972"/>
      <c r="J228" s="972"/>
      <c r="K228" s="972"/>
      <c r="L228" s="972"/>
      <c r="M228" s="972"/>
      <c r="N228" s="972"/>
      <c r="O228" s="352"/>
      <c r="P228" s="352"/>
      <c r="Q228" s="352"/>
      <c r="R228" s="352"/>
      <c r="S228" s="352"/>
      <c r="T228" s="352"/>
      <c r="U228" s="352"/>
      <c r="V228" s="352"/>
      <c r="W228" s="352"/>
      <c r="X228" s="352"/>
      <c r="Y228" s="352"/>
      <c r="Z228" s="352"/>
      <c r="AA228" s="352"/>
      <c r="AB228" s="352"/>
      <c r="AC228" s="352"/>
      <c r="AD228" s="352"/>
      <c r="AE228" s="352"/>
    </row>
    <row r="229">
      <c r="A229" s="352"/>
      <c r="B229" s="352"/>
      <c r="C229" s="972"/>
      <c r="D229" s="972"/>
      <c r="E229" s="972"/>
      <c r="F229" s="972"/>
      <c r="G229" s="972"/>
      <c r="H229" s="972"/>
      <c r="I229" s="972"/>
      <c r="J229" s="972"/>
      <c r="K229" s="972"/>
      <c r="L229" s="972"/>
      <c r="M229" s="972"/>
      <c r="N229" s="972"/>
      <c r="O229" s="352"/>
      <c r="P229" s="352"/>
      <c r="Q229" s="352"/>
      <c r="R229" s="352"/>
      <c r="S229" s="352"/>
      <c r="T229" s="352"/>
      <c r="U229" s="352"/>
      <c r="V229" s="352"/>
      <c r="W229" s="352"/>
      <c r="X229" s="352"/>
      <c r="Y229" s="352"/>
      <c r="Z229" s="352"/>
      <c r="AA229" s="352"/>
      <c r="AB229" s="352"/>
      <c r="AC229" s="352"/>
      <c r="AD229" s="352"/>
      <c r="AE229" s="352"/>
    </row>
    <row r="230">
      <c r="A230" s="352"/>
      <c r="B230" s="352"/>
      <c r="C230" s="972"/>
      <c r="D230" s="972"/>
      <c r="E230" s="972"/>
      <c r="F230" s="972"/>
      <c r="G230" s="972"/>
      <c r="H230" s="972"/>
      <c r="I230" s="972"/>
      <c r="J230" s="972"/>
      <c r="K230" s="972"/>
      <c r="L230" s="972"/>
      <c r="M230" s="972"/>
      <c r="N230" s="972"/>
      <c r="O230" s="352"/>
      <c r="P230" s="352"/>
      <c r="Q230" s="352"/>
      <c r="R230" s="352"/>
      <c r="S230" s="352"/>
      <c r="T230" s="352"/>
      <c r="U230" s="352"/>
      <c r="V230" s="352"/>
      <c r="W230" s="352"/>
      <c r="X230" s="352"/>
      <c r="Y230" s="352"/>
      <c r="Z230" s="352"/>
      <c r="AA230" s="352"/>
      <c r="AB230" s="352"/>
      <c r="AC230" s="352"/>
      <c r="AD230" s="352"/>
      <c r="AE230" s="352"/>
    </row>
    <row r="231">
      <c r="A231" s="352"/>
      <c r="B231" s="352"/>
      <c r="C231" s="972"/>
      <c r="D231" s="972"/>
      <c r="E231" s="972"/>
      <c r="F231" s="972"/>
      <c r="G231" s="972"/>
      <c r="H231" s="972"/>
      <c r="I231" s="972"/>
      <c r="J231" s="972"/>
      <c r="K231" s="972"/>
      <c r="L231" s="972"/>
      <c r="M231" s="972"/>
      <c r="N231" s="972"/>
      <c r="O231" s="352"/>
      <c r="P231" s="352"/>
      <c r="Q231" s="352"/>
      <c r="R231" s="352"/>
      <c r="S231" s="352"/>
      <c r="T231" s="352"/>
      <c r="U231" s="352"/>
      <c r="V231" s="352"/>
      <c r="W231" s="352"/>
      <c r="X231" s="352"/>
      <c r="Y231" s="352"/>
      <c r="Z231" s="352"/>
      <c r="AA231" s="352"/>
      <c r="AB231" s="352"/>
      <c r="AC231" s="352"/>
      <c r="AD231" s="352"/>
      <c r="AE231" s="352"/>
    </row>
    <row r="232">
      <c r="A232" s="352"/>
      <c r="B232" s="352"/>
      <c r="C232" s="972"/>
      <c r="D232" s="972"/>
      <c r="E232" s="972"/>
      <c r="F232" s="972"/>
      <c r="G232" s="972"/>
      <c r="H232" s="972"/>
      <c r="I232" s="972"/>
      <c r="J232" s="972"/>
      <c r="K232" s="972"/>
      <c r="L232" s="972"/>
      <c r="M232" s="972"/>
      <c r="N232" s="972"/>
      <c r="O232" s="352"/>
      <c r="P232" s="352"/>
      <c r="Q232" s="352"/>
      <c r="R232" s="352"/>
      <c r="S232" s="352"/>
      <c r="T232" s="352"/>
      <c r="U232" s="352"/>
      <c r="V232" s="352"/>
      <c r="W232" s="352"/>
      <c r="X232" s="352"/>
      <c r="Y232" s="352"/>
      <c r="Z232" s="352"/>
      <c r="AA232" s="352"/>
      <c r="AB232" s="352"/>
      <c r="AC232" s="352"/>
      <c r="AD232" s="352"/>
      <c r="AE232" s="352"/>
    </row>
    <row r="233">
      <c r="A233" s="352"/>
      <c r="B233" s="352"/>
      <c r="C233" s="972"/>
      <c r="D233" s="972"/>
      <c r="E233" s="972"/>
      <c r="F233" s="972"/>
      <c r="G233" s="972"/>
      <c r="H233" s="972"/>
      <c r="I233" s="972"/>
      <c r="J233" s="972"/>
      <c r="K233" s="972"/>
      <c r="L233" s="972"/>
      <c r="M233" s="972"/>
      <c r="N233" s="972"/>
      <c r="O233" s="352"/>
      <c r="P233" s="352"/>
      <c r="Q233" s="352"/>
      <c r="R233" s="352"/>
      <c r="S233" s="352"/>
      <c r="T233" s="352"/>
      <c r="U233" s="352"/>
      <c r="V233" s="352"/>
      <c r="W233" s="352"/>
      <c r="X233" s="352"/>
      <c r="Y233" s="352"/>
      <c r="Z233" s="352"/>
      <c r="AA233" s="352"/>
      <c r="AB233" s="352"/>
      <c r="AC233" s="352"/>
      <c r="AD233" s="352"/>
      <c r="AE233" s="352"/>
    </row>
    <row r="234">
      <c r="A234" s="352"/>
      <c r="B234" s="352"/>
      <c r="C234" s="972"/>
      <c r="D234" s="972"/>
      <c r="E234" s="972"/>
      <c r="F234" s="972"/>
      <c r="G234" s="972"/>
      <c r="H234" s="972"/>
      <c r="I234" s="972"/>
      <c r="J234" s="972"/>
      <c r="K234" s="972"/>
      <c r="L234" s="972"/>
      <c r="M234" s="972"/>
      <c r="N234" s="972"/>
      <c r="O234" s="352"/>
      <c r="P234" s="352"/>
      <c r="Q234" s="352"/>
      <c r="R234" s="352"/>
      <c r="S234" s="352"/>
      <c r="T234" s="352"/>
      <c r="U234" s="352"/>
      <c r="V234" s="352"/>
      <c r="W234" s="352"/>
      <c r="X234" s="352"/>
      <c r="Y234" s="352"/>
      <c r="Z234" s="352"/>
      <c r="AA234" s="352"/>
      <c r="AB234" s="352"/>
      <c r="AC234" s="352"/>
      <c r="AD234" s="352"/>
      <c r="AE234" s="352"/>
    </row>
    <row r="235">
      <c r="A235" s="352"/>
      <c r="B235" s="352"/>
      <c r="C235" s="972"/>
      <c r="D235" s="972"/>
      <c r="E235" s="972"/>
      <c r="F235" s="972"/>
      <c r="G235" s="972"/>
      <c r="H235" s="972"/>
      <c r="I235" s="972"/>
      <c r="J235" s="972"/>
      <c r="K235" s="972"/>
      <c r="L235" s="972"/>
      <c r="M235" s="972"/>
      <c r="N235" s="972"/>
      <c r="O235" s="352"/>
      <c r="P235" s="352"/>
      <c r="Q235" s="352"/>
      <c r="R235" s="352"/>
      <c r="S235" s="352"/>
      <c r="T235" s="352"/>
      <c r="U235" s="352"/>
      <c r="V235" s="352"/>
      <c r="W235" s="352"/>
      <c r="X235" s="352"/>
      <c r="Y235" s="352"/>
      <c r="Z235" s="352"/>
      <c r="AA235" s="352"/>
      <c r="AB235" s="352"/>
      <c r="AC235" s="352"/>
      <c r="AD235" s="352"/>
      <c r="AE235" s="352"/>
    </row>
    <row r="236">
      <c r="A236" s="352"/>
      <c r="B236" s="352"/>
      <c r="C236" s="972"/>
      <c r="D236" s="972"/>
      <c r="E236" s="972"/>
      <c r="F236" s="972"/>
      <c r="G236" s="972"/>
      <c r="H236" s="972"/>
      <c r="I236" s="972"/>
      <c r="J236" s="972"/>
      <c r="K236" s="972"/>
      <c r="L236" s="972"/>
      <c r="M236" s="972"/>
      <c r="N236" s="972"/>
      <c r="O236" s="352"/>
      <c r="P236" s="352"/>
      <c r="Q236" s="352"/>
      <c r="R236" s="352"/>
      <c r="S236" s="352"/>
      <c r="T236" s="352"/>
      <c r="U236" s="352"/>
      <c r="V236" s="352"/>
      <c r="W236" s="352"/>
      <c r="X236" s="352"/>
      <c r="Y236" s="352"/>
      <c r="Z236" s="352"/>
      <c r="AA236" s="352"/>
      <c r="AB236" s="352"/>
      <c r="AC236" s="352"/>
      <c r="AD236" s="352"/>
      <c r="AE236" s="352"/>
    </row>
    <row r="237">
      <c r="A237" s="352"/>
      <c r="B237" s="352"/>
      <c r="C237" s="972"/>
      <c r="D237" s="972"/>
      <c r="E237" s="972"/>
      <c r="F237" s="972"/>
      <c r="G237" s="972"/>
      <c r="H237" s="972"/>
      <c r="I237" s="972"/>
      <c r="J237" s="972"/>
      <c r="K237" s="972"/>
      <c r="L237" s="972"/>
      <c r="M237" s="972"/>
      <c r="N237" s="972"/>
      <c r="O237" s="352"/>
      <c r="P237" s="352"/>
      <c r="Q237" s="352"/>
      <c r="R237" s="352"/>
      <c r="S237" s="352"/>
      <c r="T237" s="352"/>
      <c r="U237" s="352"/>
      <c r="V237" s="352"/>
      <c r="W237" s="352"/>
      <c r="X237" s="352"/>
      <c r="Y237" s="352"/>
      <c r="Z237" s="352"/>
      <c r="AA237" s="352"/>
      <c r="AB237" s="352"/>
      <c r="AC237" s="352"/>
      <c r="AD237" s="352"/>
      <c r="AE237" s="352"/>
    </row>
    <row r="238">
      <c r="A238" s="352"/>
      <c r="B238" s="352"/>
      <c r="C238" s="972"/>
      <c r="D238" s="972"/>
      <c r="E238" s="972"/>
      <c r="F238" s="972"/>
      <c r="G238" s="972"/>
      <c r="H238" s="972"/>
      <c r="I238" s="972"/>
      <c r="J238" s="972"/>
      <c r="K238" s="972"/>
      <c r="L238" s="972"/>
      <c r="M238" s="972"/>
      <c r="N238" s="972"/>
      <c r="O238" s="352"/>
      <c r="P238" s="352"/>
      <c r="Q238" s="352"/>
      <c r="R238" s="352"/>
      <c r="S238" s="352"/>
      <c r="T238" s="352"/>
      <c r="U238" s="352"/>
      <c r="V238" s="352"/>
      <c r="W238" s="352"/>
      <c r="X238" s="352"/>
      <c r="Y238" s="352"/>
      <c r="Z238" s="352"/>
      <c r="AA238" s="352"/>
      <c r="AB238" s="352"/>
      <c r="AC238" s="352"/>
      <c r="AD238" s="352"/>
      <c r="AE238" s="352"/>
    </row>
    <row r="239">
      <c r="A239" s="352"/>
      <c r="B239" s="352"/>
      <c r="C239" s="972"/>
      <c r="D239" s="972"/>
      <c r="E239" s="972"/>
      <c r="F239" s="972"/>
      <c r="G239" s="972"/>
      <c r="H239" s="972"/>
      <c r="I239" s="972"/>
      <c r="J239" s="972"/>
      <c r="K239" s="972"/>
      <c r="L239" s="972"/>
      <c r="M239" s="972"/>
      <c r="N239" s="972"/>
      <c r="O239" s="352"/>
      <c r="P239" s="352"/>
      <c r="Q239" s="352"/>
      <c r="R239" s="352"/>
      <c r="S239" s="352"/>
      <c r="T239" s="352"/>
      <c r="U239" s="352"/>
      <c r="V239" s="352"/>
      <c r="W239" s="352"/>
      <c r="X239" s="352"/>
      <c r="Y239" s="352"/>
      <c r="Z239" s="352"/>
      <c r="AA239" s="352"/>
      <c r="AB239" s="352"/>
      <c r="AC239" s="352"/>
      <c r="AD239" s="352"/>
      <c r="AE239" s="352"/>
    </row>
    <row r="240">
      <c r="A240" s="352"/>
      <c r="B240" s="352"/>
      <c r="C240" s="972"/>
      <c r="D240" s="972"/>
      <c r="E240" s="972"/>
      <c r="F240" s="972"/>
      <c r="G240" s="972"/>
      <c r="H240" s="972"/>
      <c r="I240" s="972"/>
      <c r="J240" s="972"/>
      <c r="K240" s="972"/>
      <c r="L240" s="972"/>
      <c r="M240" s="972"/>
      <c r="N240" s="972"/>
      <c r="O240" s="352"/>
      <c r="P240" s="352"/>
      <c r="Q240" s="352"/>
      <c r="R240" s="352"/>
      <c r="S240" s="352"/>
      <c r="T240" s="352"/>
      <c r="U240" s="352"/>
      <c r="V240" s="352"/>
      <c r="W240" s="352"/>
      <c r="X240" s="352"/>
      <c r="Y240" s="352"/>
      <c r="Z240" s="352"/>
      <c r="AA240" s="352"/>
      <c r="AB240" s="352"/>
      <c r="AC240" s="352"/>
      <c r="AD240" s="352"/>
      <c r="AE240" s="352"/>
    </row>
    <row r="241">
      <c r="A241" s="352"/>
      <c r="B241" s="352"/>
      <c r="C241" s="972"/>
      <c r="D241" s="972"/>
      <c r="E241" s="972"/>
      <c r="F241" s="972"/>
      <c r="G241" s="972"/>
      <c r="H241" s="972"/>
      <c r="I241" s="972"/>
      <c r="J241" s="972"/>
      <c r="K241" s="972"/>
      <c r="L241" s="972"/>
      <c r="M241" s="972"/>
      <c r="N241" s="972"/>
      <c r="O241" s="352"/>
      <c r="P241" s="352"/>
      <c r="Q241" s="352"/>
      <c r="R241" s="352"/>
      <c r="S241" s="352"/>
      <c r="T241" s="352"/>
      <c r="U241" s="352"/>
      <c r="V241" s="352"/>
      <c r="W241" s="352"/>
      <c r="X241" s="352"/>
      <c r="Y241" s="352"/>
      <c r="Z241" s="352"/>
      <c r="AA241" s="352"/>
      <c r="AB241" s="352"/>
      <c r="AC241" s="352"/>
      <c r="AD241" s="352"/>
      <c r="AE241" s="352"/>
    </row>
    <row r="242">
      <c r="A242" s="352"/>
      <c r="B242" s="352"/>
      <c r="C242" s="972"/>
      <c r="D242" s="972"/>
      <c r="E242" s="972"/>
      <c r="F242" s="972"/>
      <c r="G242" s="972"/>
      <c r="H242" s="972"/>
      <c r="I242" s="972"/>
      <c r="J242" s="972"/>
      <c r="K242" s="972"/>
      <c r="L242" s="972"/>
      <c r="M242" s="972"/>
      <c r="N242" s="972"/>
      <c r="O242" s="352"/>
      <c r="P242" s="352"/>
      <c r="Q242" s="352"/>
      <c r="R242" s="352"/>
      <c r="S242" s="352"/>
      <c r="T242" s="352"/>
      <c r="U242" s="352"/>
      <c r="V242" s="352"/>
      <c r="W242" s="352"/>
      <c r="X242" s="352"/>
      <c r="Y242" s="352"/>
      <c r="Z242" s="352"/>
      <c r="AA242" s="352"/>
      <c r="AB242" s="352"/>
      <c r="AC242" s="352"/>
      <c r="AD242" s="352"/>
      <c r="AE242" s="352"/>
    </row>
    <row r="243">
      <c r="A243" s="352"/>
      <c r="B243" s="352"/>
      <c r="C243" s="972"/>
      <c r="D243" s="972"/>
      <c r="E243" s="972"/>
      <c r="F243" s="972"/>
      <c r="G243" s="972"/>
      <c r="H243" s="972"/>
      <c r="I243" s="972"/>
      <c r="J243" s="972"/>
      <c r="K243" s="972"/>
      <c r="L243" s="972"/>
      <c r="M243" s="972"/>
      <c r="N243" s="972"/>
      <c r="O243" s="352"/>
      <c r="P243" s="352"/>
      <c r="Q243" s="352"/>
      <c r="R243" s="352"/>
      <c r="S243" s="352"/>
      <c r="T243" s="352"/>
      <c r="U243" s="352"/>
      <c r="V243" s="352"/>
      <c r="W243" s="352"/>
      <c r="X243" s="352"/>
      <c r="Y243" s="352"/>
      <c r="Z243" s="352"/>
      <c r="AA243" s="352"/>
      <c r="AB243" s="352"/>
      <c r="AC243" s="352"/>
      <c r="AD243" s="352"/>
      <c r="AE243" s="352"/>
    </row>
    <row r="244">
      <c r="A244" s="352"/>
      <c r="B244" s="352"/>
      <c r="C244" s="972"/>
      <c r="D244" s="972"/>
      <c r="E244" s="972"/>
      <c r="F244" s="972"/>
      <c r="G244" s="972"/>
      <c r="H244" s="972"/>
      <c r="I244" s="972"/>
      <c r="J244" s="972"/>
      <c r="K244" s="972"/>
      <c r="L244" s="972"/>
      <c r="M244" s="972"/>
      <c r="N244" s="972"/>
      <c r="O244" s="352"/>
      <c r="P244" s="352"/>
      <c r="Q244" s="352"/>
      <c r="R244" s="352"/>
      <c r="S244" s="352"/>
      <c r="T244" s="352"/>
      <c r="U244" s="352"/>
      <c r="V244" s="352"/>
      <c r="W244" s="352"/>
      <c r="X244" s="352"/>
      <c r="Y244" s="352"/>
      <c r="Z244" s="352"/>
      <c r="AA244" s="352"/>
      <c r="AB244" s="352"/>
      <c r="AC244" s="352"/>
      <c r="AD244" s="352"/>
      <c r="AE244" s="352"/>
    </row>
    <row r="245">
      <c r="A245" s="352"/>
      <c r="B245" s="352"/>
      <c r="C245" s="972"/>
      <c r="D245" s="972"/>
      <c r="E245" s="972"/>
      <c r="F245" s="972"/>
      <c r="G245" s="972"/>
      <c r="H245" s="972"/>
      <c r="I245" s="972"/>
      <c r="J245" s="972"/>
      <c r="K245" s="972"/>
      <c r="L245" s="972"/>
      <c r="M245" s="972"/>
      <c r="N245" s="972"/>
      <c r="O245" s="352"/>
      <c r="P245" s="352"/>
      <c r="Q245" s="352"/>
      <c r="R245" s="352"/>
      <c r="S245" s="352"/>
      <c r="T245" s="352"/>
      <c r="U245" s="352"/>
      <c r="V245" s="352"/>
      <c r="W245" s="352"/>
      <c r="X245" s="352"/>
      <c r="Y245" s="352"/>
      <c r="Z245" s="352"/>
      <c r="AA245" s="352"/>
      <c r="AB245" s="352"/>
      <c r="AC245" s="352"/>
      <c r="AD245" s="352"/>
      <c r="AE245" s="352"/>
    </row>
    <row r="246">
      <c r="A246" s="352"/>
      <c r="B246" s="352"/>
      <c r="C246" s="972"/>
      <c r="D246" s="972"/>
      <c r="E246" s="972"/>
      <c r="F246" s="972"/>
      <c r="G246" s="972"/>
      <c r="H246" s="972"/>
      <c r="I246" s="972"/>
      <c r="J246" s="972"/>
      <c r="K246" s="972"/>
      <c r="L246" s="972"/>
      <c r="M246" s="972"/>
      <c r="N246" s="972"/>
      <c r="O246" s="352"/>
      <c r="P246" s="352"/>
      <c r="Q246" s="352"/>
      <c r="R246" s="352"/>
      <c r="S246" s="352"/>
      <c r="T246" s="352"/>
      <c r="U246" s="352"/>
      <c r="V246" s="352"/>
      <c r="W246" s="352"/>
      <c r="X246" s="352"/>
      <c r="Y246" s="352"/>
      <c r="Z246" s="352"/>
      <c r="AA246" s="352"/>
      <c r="AB246" s="352"/>
      <c r="AC246" s="352"/>
      <c r="AD246" s="352"/>
      <c r="AE246" s="352"/>
    </row>
    <row r="247">
      <c r="A247" s="352"/>
      <c r="B247" s="352"/>
      <c r="C247" s="972"/>
      <c r="D247" s="972"/>
      <c r="E247" s="972"/>
      <c r="F247" s="972"/>
      <c r="G247" s="972"/>
      <c r="H247" s="972"/>
      <c r="I247" s="972"/>
      <c r="J247" s="972"/>
      <c r="K247" s="972"/>
      <c r="L247" s="972"/>
      <c r="M247" s="972"/>
      <c r="N247" s="972"/>
      <c r="O247" s="352"/>
      <c r="P247" s="352"/>
      <c r="Q247" s="352"/>
      <c r="R247" s="352"/>
      <c r="S247" s="352"/>
      <c r="T247" s="352"/>
      <c r="U247" s="352"/>
      <c r="V247" s="352"/>
      <c r="W247" s="352"/>
      <c r="X247" s="352"/>
      <c r="Y247" s="352"/>
      <c r="Z247" s="352"/>
      <c r="AA247" s="352"/>
      <c r="AB247" s="352"/>
      <c r="AC247" s="352"/>
      <c r="AD247" s="352"/>
      <c r="AE247" s="352"/>
    </row>
    <row r="248">
      <c r="A248" s="352"/>
      <c r="B248" s="352"/>
      <c r="C248" s="972"/>
      <c r="D248" s="972"/>
      <c r="E248" s="972"/>
      <c r="F248" s="972"/>
      <c r="G248" s="972"/>
      <c r="H248" s="972"/>
      <c r="I248" s="972"/>
      <c r="J248" s="972"/>
      <c r="K248" s="972"/>
      <c r="L248" s="972"/>
      <c r="M248" s="972"/>
      <c r="N248" s="972"/>
      <c r="O248" s="352"/>
      <c r="P248" s="352"/>
      <c r="Q248" s="352"/>
      <c r="R248" s="352"/>
      <c r="S248" s="352"/>
      <c r="T248" s="352"/>
      <c r="U248" s="352"/>
      <c r="V248" s="352"/>
      <c r="W248" s="352"/>
      <c r="X248" s="352"/>
      <c r="Y248" s="352"/>
      <c r="Z248" s="352"/>
      <c r="AA248" s="352"/>
      <c r="AB248" s="352"/>
      <c r="AC248" s="352"/>
      <c r="AD248" s="352"/>
      <c r="AE248" s="352"/>
    </row>
    <row r="249">
      <c r="A249" s="352"/>
      <c r="B249" s="352"/>
      <c r="C249" s="972"/>
      <c r="D249" s="972"/>
      <c r="E249" s="972"/>
      <c r="F249" s="972"/>
      <c r="G249" s="972"/>
      <c r="H249" s="972"/>
      <c r="I249" s="972"/>
      <c r="J249" s="972"/>
      <c r="K249" s="972"/>
      <c r="L249" s="972"/>
      <c r="M249" s="972"/>
      <c r="N249" s="972"/>
      <c r="O249" s="352"/>
      <c r="P249" s="352"/>
      <c r="Q249" s="352"/>
      <c r="R249" s="352"/>
      <c r="S249" s="352"/>
      <c r="T249" s="352"/>
      <c r="U249" s="352"/>
      <c r="V249" s="352"/>
      <c r="W249" s="352"/>
      <c r="X249" s="352"/>
      <c r="Y249" s="352"/>
      <c r="Z249" s="352"/>
      <c r="AA249" s="352"/>
      <c r="AB249" s="352"/>
      <c r="AC249" s="352"/>
      <c r="AD249" s="352"/>
      <c r="AE249" s="352"/>
    </row>
    <row r="250">
      <c r="A250" s="352"/>
      <c r="B250" s="352"/>
      <c r="C250" s="972"/>
      <c r="D250" s="972"/>
      <c r="E250" s="972"/>
      <c r="F250" s="972"/>
      <c r="G250" s="972"/>
      <c r="H250" s="972"/>
      <c r="I250" s="972"/>
      <c r="J250" s="972"/>
      <c r="K250" s="972"/>
      <c r="L250" s="972"/>
      <c r="M250" s="972"/>
      <c r="N250" s="972"/>
      <c r="O250" s="352"/>
      <c r="P250" s="352"/>
      <c r="Q250" s="352"/>
      <c r="R250" s="352"/>
      <c r="S250" s="352"/>
      <c r="T250" s="352"/>
      <c r="U250" s="352"/>
      <c r="V250" s="352"/>
      <c r="W250" s="352"/>
      <c r="X250" s="352"/>
      <c r="Y250" s="352"/>
      <c r="Z250" s="352"/>
      <c r="AA250" s="352"/>
      <c r="AB250" s="352"/>
      <c r="AC250" s="352"/>
      <c r="AD250" s="352"/>
      <c r="AE250" s="352"/>
    </row>
    <row r="251">
      <c r="A251" s="352"/>
      <c r="B251" s="352"/>
      <c r="C251" s="972"/>
      <c r="D251" s="972"/>
      <c r="E251" s="972"/>
      <c r="F251" s="972"/>
      <c r="G251" s="972"/>
      <c r="H251" s="972"/>
      <c r="I251" s="972"/>
      <c r="J251" s="972"/>
      <c r="K251" s="972"/>
      <c r="L251" s="972"/>
      <c r="M251" s="972"/>
      <c r="N251" s="972"/>
      <c r="O251" s="352"/>
      <c r="P251" s="352"/>
      <c r="Q251" s="352"/>
      <c r="R251" s="352"/>
      <c r="S251" s="352"/>
      <c r="T251" s="352"/>
      <c r="U251" s="352"/>
      <c r="V251" s="352"/>
      <c r="W251" s="352"/>
      <c r="X251" s="352"/>
      <c r="Y251" s="352"/>
      <c r="Z251" s="352"/>
      <c r="AA251" s="352"/>
      <c r="AB251" s="352"/>
      <c r="AC251" s="352"/>
      <c r="AD251" s="352"/>
      <c r="AE251" s="352"/>
    </row>
    <row r="252">
      <c r="A252" s="352"/>
      <c r="B252" s="352"/>
      <c r="C252" s="972"/>
      <c r="D252" s="972"/>
      <c r="E252" s="972"/>
      <c r="F252" s="972"/>
      <c r="G252" s="972"/>
      <c r="H252" s="972"/>
      <c r="I252" s="972"/>
      <c r="J252" s="972"/>
      <c r="K252" s="972"/>
      <c r="L252" s="972"/>
      <c r="M252" s="972"/>
      <c r="N252" s="972"/>
      <c r="O252" s="352"/>
      <c r="P252" s="352"/>
      <c r="Q252" s="352"/>
      <c r="R252" s="352"/>
      <c r="S252" s="352"/>
      <c r="T252" s="352"/>
      <c r="U252" s="352"/>
      <c r="V252" s="352"/>
      <c r="W252" s="352"/>
      <c r="X252" s="352"/>
      <c r="Y252" s="352"/>
      <c r="Z252" s="352"/>
      <c r="AA252" s="352"/>
      <c r="AB252" s="352"/>
      <c r="AC252" s="352"/>
      <c r="AD252" s="352"/>
      <c r="AE252" s="352"/>
    </row>
    <row r="253">
      <c r="A253" s="352"/>
      <c r="B253" s="352"/>
      <c r="C253" s="972"/>
      <c r="D253" s="972"/>
      <c r="E253" s="972"/>
      <c r="F253" s="972"/>
      <c r="G253" s="972"/>
      <c r="H253" s="972"/>
      <c r="I253" s="972"/>
      <c r="J253" s="972"/>
      <c r="K253" s="972"/>
      <c r="L253" s="972"/>
      <c r="M253" s="972"/>
      <c r="N253" s="972"/>
      <c r="O253" s="352"/>
      <c r="P253" s="352"/>
      <c r="Q253" s="352"/>
      <c r="R253" s="352"/>
      <c r="S253" s="352"/>
      <c r="T253" s="352"/>
      <c r="U253" s="352"/>
      <c r="V253" s="352"/>
      <c r="W253" s="352"/>
      <c r="X253" s="352"/>
      <c r="Y253" s="352"/>
      <c r="Z253" s="352"/>
      <c r="AA253" s="352"/>
      <c r="AB253" s="352"/>
      <c r="AC253" s="352"/>
      <c r="AD253" s="352"/>
      <c r="AE253" s="352"/>
    </row>
    <row r="254">
      <c r="A254" s="352"/>
      <c r="B254" s="352"/>
      <c r="C254" s="972"/>
      <c r="D254" s="972"/>
      <c r="E254" s="972"/>
      <c r="F254" s="972"/>
      <c r="G254" s="972"/>
      <c r="H254" s="972"/>
      <c r="I254" s="972"/>
      <c r="J254" s="972"/>
      <c r="K254" s="972"/>
      <c r="L254" s="972"/>
      <c r="M254" s="972"/>
      <c r="N254" s="972"/>
      <c r="O254" s="352"/>
      <c r="P254" s="352"/>
      <c r="Q254" s="352"/>
      <c r="R254" s="352"/>
      <c r="S254" s="352"/>
      <c r="T254" s="352"/>
      <c r="U254" s="352"/>
      <c r="V254" s="352"/>
      <c r="W254" s="352"/>
      <c r="X254" s="352"/>
      <c r="Y254" s="352"/>
      <c r="Z254" s="352"/>
      <c r="AA254" s="352"/>
      <c r="AB254" s="352"/>
      <c r="AC254" s="352"/>
      <c r="AD254" s="352"/>
      <c r="AE254" s="352"/>
    </row>
    <row r="255">
      <c r="A255" s="352"/>
      <c r="B255" s="352"/>
      <c r="C255" s="972"/>
      <c r="D255" s="972"/>
      <c r="E255" s="972"/>
      <c r="F255" s="972"/>
      <c r="G255" s="972"/>
      <c r="H255" s="972"/>
      <c r="I255" s="972"/>
      <c r="J255" s="972"/>
      <c r="K255" s="972"/>
      <c r="L255" s="972"/>
      <c r="M255" s="972"/>
      <c r="N255" s="972"/>
      <c r="O255" s="352"/>
      <c r="P255" s="352"/>
      <c r="Q255" s="352"/>
      <c r="R255" s="352"/>
      <c r="S255" s="352"/>
      <c r="T255" s="352"/>
      <c r="U255" s="352"/>
      <c r="V255" s="352"/>
      <c r="W255" s="352"/>
      <c r="X255" s="352"/>
      <c r="Y255" s="352"/>
      <c r="Z255" s="352"/>
      <c r="AA255" s="352"/>
      <c r="AB255" s="352"/>
      <c r="AC255" s="352"/>
      <c r="AD255" s="352"/>
      <c r="AE255" s="352"/>
    </row>
    <row r="256">
      <c r="A256" s="352"/>
      <c r="B256" s="352"/>
      <c r="C256" s="972"/>
      <c r="D256" s="972"/>
      <c r="E256" s="972"/>
      <c r="F256" s="972"/>
      <c r="G256" s="972"/>
      <c r="H256" s="972"/>
      <c r="I256" s="972"/>
      <c r="J256" s="972"/>
      <c r="K256" s="972"/>
      <c r="L256" s="972"/>
      <c r="M256" s="972"/>
      <c r="N256" s="972"/>
      <c r="O256" s="352"/>
      <c r="P256" s="352"/>
      <c r="Q256" s="352"/>
      <c r="R256" s="352"/>
      <c r="S256" s="352"/>
      <c r="T256" s="352"/>
      <c r="U256" s="352"/>
      <c r="V256" s="352"/>
      <c r="W256" s="352"/>
      <c r="X256" s="352"/>
      <c r="Y256" s="352"/>
      <c r="Z256" s="352"/>
      <c r="AA256" s="352"/>
      <c r="AB256" s="352"/>
      <c r="AC256" s="352"/>
      <c r="AD256" s="352"/>
      <c r="AE256" s="352"/>
    </row>
    <row r="257">
      <c r="A257" s="352"/>
      <c r="B257" s="352"/>
      <c r="C257" s="972"/>
      <c r="D257" s="972"/>
      <c r="E257" s="972"/>
      <c r="F257" s="972"/>
      <c r="G257" s="972"/>
      <c r="H257" s="972"/>
      <c r="I257" s="972"/>
      <c r="J257" s="972"/>
      <c r="K257" s="972"/>
      <c r="L257" s="972"/>
      <c r="M257" s="972"/>
      <c r="N257" s="972"/>
      <c r="O257" s="352"/>
      <c r="P257" s="352"/>
      <c r="Q257" s="352"/>
      <c r="R257" s="352"/>
      <c r="S257" s="352"/>
      <c r="T257" s="352"/>
      <c r="U257" s="352"/>
      <c r="V257" s="352"/>
      <c r="W257" s="352"/>
      <c r="X257" s="352"/>
      <c r="Y257" s="352"/>
      <c r="Z257" s="352"/>
      <c r="AA257" s="352"/>
      <c r="AB257" s="352"/>
      <c r="AC257" s="352"/>
      <c r="AD257" s="352"/>
      <c r="AE257" s="352"/>
    </row>
    <row r="258">
      <c r="A258" s="352"/>
      <c r="B258" s="352"/>
      <c r="C258" s="972"/>
      <c r="D258" s="972"/>
      <c r="E258" s="972"/>
      <c r="F258" s="972"/>
      <c r="G258" s="972"/>
      <c r="H258" s="972"/>
      <c r="I258" s="972"/>
      <c r="J258" s="972"/>
      <c r="K258" s="972"/>
      <c r="L258" s="972"/>
      <c r="M258" s="972"/>
      <c r="N258" s="972"/>
      <c r="O258" s="352"/>
      <c r="P258" s="352"/>
      <c r="Q258" s="352"/>
      <c r="R258" s="352"/>
      <c r="S258" s="352"/>
      <c r="T258" s="352"/>
      <c r="U258" s="352"/>
      <c r="V258" s="352"/>
      <c r="W258" s="352"/>
      <c r="X258" s="352"/>
      <c r="Y258" s="352"/>
      <c r="Z258" s="352"/>
      <c r="AA258" s="352"/>
      <c r="AB258" s="352"/>
      <c r="AC258" s="352"/>
      <c r="AD258" s="352"/>
      <c r="AE258" s="352"/>
    </row>
    <row r="259">
      <c r="A259" s="352"/>
      <c r="B259" s="352"/>
      <c r="C259" s="972"/>
      <c r="D259" s="972"/>
      <c r="E259" s="972"/>
      <c r="F259" s="972"/>
      <c r="G259" s="972"/>
      <c r="H259" s="972"/>
      <c r="I259" s="972"/>
      <c r="J259" s="972"/>
      <c r="K259" s="972"/>
      <c r="L259" s="972"/>
      <c r="M259" s="972"/>
      <c r="N259" s="972"/>
      <c r="O259" s="352"/>
      <c r="P259" s="352"/>
      <c r="Q259" s="352"/>
      <c r="R259" s="352"/>
      <c r="S259" s="352"/>
      <c r="T259" s="352"/>
      <c r="U259" s="352"/>
      <c r="V259" s="352"/>
      <c r="W259" s="352"/>
      <c r="X259" s="352"/>
      <c r="Y259" s="352"/>
      <c r="Z259" s="352"/>
      <c r="AA259" s="352"/>
      <c r="AB259" s="352"/>
      <c r="AC259" s="352"/>
      <c r="AD259" s="352"/>
      <c r="AE259" s="352"/>
    </row>
    <row r="260">
      <c r="A260" s="352"/>
      <c r="B260" s="352"/>
      <c r="C260" s="972"/>
      <c r="D260" s="972"/>
      <c r="E260" s="972"/>
      <c r="F260" s="972"/>
      <c r="G260" s="972"/>
      <c r="H260" s="972"/>
      <c r="I260" s="972"/>
      <c r="J260" s="972"/>
      <c r="K260" s="972"/>
      <c r="L260" s="972"/>
      <c r="M260" s="972"/>
      <c r="N260" s="972"/>
      <c r="O260" s="352"/>
      <c r="P260" s="352"/>
      <c r="Q260" s="352"/>
      <c r="R260" s="352"/>
      <c r="S260" s="352"/>
      <c r="T260" s="352"/>
      <c r="U260" s="352"/>
      <c r="V260" s="352"/>
      <c r="W260" s="352"/>
      <c r="X260" s="352"/>
      <c r="Y260" s="352"/>
      <c r="Z260" s="352"/>
      <c r="AA260" s="352"/>
      <c r="AB260" s="352"/>
      <c r="AC260" s="352"/>
      <c r="AD260" s="352"/>
      <c r="AE260" s="352"/>
    </row>
    <row r="261">
      <c r="A261" s="352"/>
      <c r="B261" s="352"/>
      <c r="C261" s="972"/>
      <c r="D261" s="972"/>
      <c r="E261" s="972"/>
      <c r="F261" s="972"/>
      <c r="G261" s="972"/>
      <c r="H261" s="972"/>
      <c r="I261" s="972"/>
      <c r="J261" s="972"/>
      <c r="K261" s="972"/>
      <c r="L261" s="972"/>
      <c r="M261" s="972"/>
      <c r="N261" s="972"/>
      <c r="O261" s="352"/>
      <c r="P261" s="352"/>
      <c r="Q261" s="352"/>
      <c r="R261" s="352"/>
      <c r="S261" s="352"/>
      <c r="T261" s="352"/>
      <c r="U261" s="352"/>
      <c r="V261" s="352"/>
      <c r="W261" s="352"/>
      <c r="X261" s="352"/>
      <c r="Y261" s="352"/>
      <c r="Z261" s="352"/>
      <c r="AA261" s="352"/>
      <c r="AB261" s="352"/>
      <c r="AC261" s="352"/>
      <c r="AD261" s="352"/>
      <c r="AE261" s="352"/>
    </row>
    <row r="262">
      <c r="A262" s="352"/>
      <c r="B262" s="352"/>
      <c r="C262" s="972"/>
      <c r="D262" s="972"/>
      <c r="E262" s="972"/>
      <c r="F262" s="972"/>
      <c r="G262" s="972"/>
      <c r="H262" s="972"/>
      <c r="I262" s="972"/>
      <c r="J262" s="972"/>
      <c r="K262" s="972"/>
      <c r="L262" s="972"/>
      <c r="M262" s="972"/>
      <c r="N262" s="972"/>
      <c r="O262" s="352"/>
      <c r="P262" s="352"/>
      <c r="Q262" s="352"/>
      <c r="R262" s="352"/>
      <c r="S262" s="352"/>
      <c r="T262" s="352"/>
      <c r="U262" s="352"/>
      <c r="V262" s="352"/>
      <c r="W262" s="352"/>
      <c r="X262" s="352"/>
      <c r="Y262" s="352"/>
      <c r="Z262" s="352"/>
      <c r="AA262" s="352"/>
      <c r="AB262" s="352"/>
      <c r="AC262" s="352"/>
      <c r="AD262" s="352"/>
      <c r="AE262" s="352"/>
    </row>
    <row r="263">
      <c r="A263" s="352"/>
      <c r="B263" s="352"/>
      <c r="C263" s="972"/>
      <c r="D263" s="972"/>
      <c r="E263" s="972"/>
      <c r="F263" s="972"/>
      <c r="G263" s="972"/>
      <c r="H263" s="972"/>
      <c r="I263" s="972"/>
      <c r="J263" s="972"/>
      <c r="K263" s="972"/>
      <c r="L263" s="972"/>
      <c r="M263" s="972"/>
      <c r="N263" s="972"/>
      <c r="O263" s="352"/>
      <c r="P263" s="352"/>
      <c r="Q263" s="352"/>
      <c r="R263" s="352"/>
      <c r="S263" s="352"/>
      <c r="T263" s="352"/>
      <c r="U263" s="352"/>
      <c r="V263" s="352"/>
      <c r="W263" s="352"/>
      <c r="X263" s="352"/>
      <c r="Y263" s="352"/>
      <c r="Z263" s="352"/>
      <c r="AA263" s="352"/>
      <c r="AB263" s="352"/>
      <c r="AC263" s="352"/>
      <c r="AD263" s="352"/>
      <c r="AE263" s="352"/>
    </row>
    <row r="264">
      <c r="A264" s="352"/>
      <c r="B264" s="352"/>
      <c r="C264" s="972"/>
      <c r="D264" s="972"/>
      <c r="E264" s="972"/>
      <c r="F264" s="972"/>
      <c r="G264" s="972"/>
      <c r="H264" s="972"/>
      <c r="I264" s="972"/>
      <c r="J264" s="972"/>
      <c r="K264" s="972"/>
      <c r="L264" s="972"/>
      <c r="M264" s="972"/>
      <c r="N264" s="972"/>
      <c r="O264" s="352"/>
      <c r="P264" s="352"/>
      <c r="Q264" s="352"/>
      <c r="R264" s="352"/>
      <c r="S264" s="352"/>
      <c r="T264" s="352"/>
      <c r="U264" s="352"/>
      <c r="V264" s="352"/>
      <c r="W264" s="352"/>
      <c r="X264" s="352"/>
      <c r="Y264" s="352"/>
      <c r="Z264" s="352"/>
      <c r="AA264" s="352"/>
      <c r="AB264" s="352"/>
      <c r="AC264" s="352"/>
      <c r="AD264" s="352"/>
      <c r="AE264" s="352"/>
    </row>
    <row r="265">
      <c r="A265" s="352"/>
      <c r="B265" s="352"/>
      <c r="C265" s="972"/>
      <c r="D265" s="972"/>
      <c r="E265" s="972"/>
      <c r="F265" s="972"/>
      <c r="G265" s="972"/>
      <c r="H265" s="972"/>
      <c r="I265" s="972"/>
      <c r="J265" s="972"/>
      <c r="K265" s="972"/>
      <c r="L265" s="972"/>
      <c r="M265" s="972"/>
      <c r="N265" s="972"/>
      <c r="O265" s="352"/>
      <c r="P265" s="352"/>
      <c r="Q265" s="352"/>
      <c r="R265" s="352"/>
      <c r="S265" s="352"/>
      <c r="T265" s="352"/>
      <c r="U265" s="352"/>
      <c r="V265" s="352"/>
      <c r="W265" s="352"/>
      <c r="X265" s="352"/>
      <c r="Y265" s="352"/>
      <c r="Z265" s="352"/>
      <c r="AA265" s="352"/>
      <c r="AB265" s="352"/>
      <c r="AC265" s="352"/>
      <c r="AD265" s="352"/>
      <c r="AE265" s="352"/>
    </row>
    <row r="266">
      <c r="A266" s="352"/>
      <c r="B266" s="352"/>
      <c r="C266" s="972"/>
      <c r="D266" s="972"/>
      <c r="E266" s="972"/>
      <c r="F266" s="972"/>
      <c r="G266" s="972"/>
      <c r="H266" s="972"/>
      <c r="I266" s="972"/>
      <c r="J266" s="972"/>
      <c r="K266" s="972"/>
      <c r="L266" s="972"/>
      <c r="M266" s="972"/>
      <c r="N266" s="972"/>
      <c r="O266" s="352"/>
      <c r="P266" s="352"/>
      <c r="Q266" s="352"/>
      <c r="R266" s="352"/>
      <c r="S266" s="352"/>
      <c r="T266" s="352"/>
      <c r="U266" s="352"/>
      <c r="V266" s="352"/>
      <c r="W266" s="352"/>
      <c r="X266" s="352"/>
      <c r="Y266" s="352"/>
      <c r="Z266" s="352"/>
      <c r="AA266" s="352"/>
      <c r="AB266" s="352"/>
      <c r="AC266" s="352"/>
      <c r="AD266" s="352"/>
      <c r="AE266" s="352"/>
    </row>
    <row r="267">
      <c r="A267" s="352"/>
      <c r="B267" s="352"/>
      <c r="C267" s="972"/>
      <c r="D267" s="972"/>
      <c r="E267" s="972"/>
      <c r="F267" s="972"/>
      <c r="G267" s="972"/>
      <c r="H267" s="972"/>
      <c r="I267" s="972"/>
      <c r="J267" s="972"/>
      <c r="K267" s="972"/>
      <c r="L267" s="972"/>
      <c r="M267" s="972"/>
      <c r="N267" s="972"/>
      <c r="O267" s="352"/>
      <c r="P267" s="352"/>
      <c r="Q267" s="352"/>
      <c r="R267" s="352"/>
      <c r="S267" s="352"/>
      <c r="T267" s="352"/>
      <c r="U267" s="352"/>
      <c r="V267" s="352"/>
      <c r="W267" s="352"/>
      <c r="X267" s="352"/>
      <c r="Y267" s="352"/>
      <c r="Z267" s="352"/>
      <c r="AA267" s="352"/>
      <c r="AB267" s="352"/>
      <c r="AC267" s="352"/>
      <c r="AD267" s="352"/>
      <c r="AE267" s="352"/>
    </row>
    <row r="268">
      <c r="A268" s="352"/>
      <c r="B268" s="352"/>
      <c r="C268" s="972"/>
      <c r="D268" s="972"/>
      <c r="E268" s="972"/>
      <c r="F268" s="972"/>
      <c r="G268" s="972"/>
      <c r="H268" s="972"/>
      <c r="I268" s="972"/>
      <c r="J268" s="972"/>
      <c r="K268" s="972"/>
      <c r="L268" s="972"/>
      <c r="M268" s="972"/>
      <c r="N268" s="972"/>
      <c r="O268" s="352"/>
      <c r="P268" s="352"/>
      <c r="Q268" s="352"/>
      <c r="R268" s="352"/>
      <c r="S268" s="352"/>
      <c r="T268" s="352"/>
      <c r="U268" s="352"/>
      <c r="V268" s="352"/>
      <c r="W268" s="352"/>
      <c r="X268" s="352"/>
      <c r="Y268" s="352"/>
      <c r="Z268" s="352"/>
      <c r="AA268" s="352"/>
      <c r="AB268" s="352"/>
      <c r="AC268" s="352"/>
      <c r="AD268" s="352"/>
      <c r="AE268" s="352"/>
    </row>
    <row r="269">
      <c r="A269" s="352"/>
      <c r="B269" s="352"/>
      <c r="C269" s="972"/>
      <c r="D269" s="972"/>
      <c r="E269" s="972"/>
      <c r="F269" s="972"/>
      <c r="G269" s="972"/>
      <c r="H269" s="972"/>
      <c r="I269" s="972"/>
      <c r="J269" s="972"/>
      <c r="K269" s="972"/>
      <c r="L269" s="972"/>
      <c r="M269" s="972"/>
      <c r="N269" s="972"/>
      <c r="O269" s="352"/>
      <c r="P269" s="352"/>
      <c r="Q269" s="352"/>
      <c r="R269" s="352"/>
      <c r="S269" s="352"/>
      <c r="T269" s="352"/>
      <c r="U269" s="352"/>
      <c r="V269" s="352"/>
      <c r="W269" s="352"/>
      <c r="X269" s="352"/>
      <c r="Y269" s="352"/>
      <c r="Z269" s="352"/>
      <c r="AA269" s="352"/>
      <c r="AB269" s="352"/>
      <c r="AC269" s="352"/>
      <c r="AD269" s="352"/>
      <c r="AE269" s="352"/>
    </row>
    <row r="270">
      <c r="A270" s="352"/>
      <c r="B270" s="352"/>
      <c r="C270" s="972"/>
      <c r="D270" s="972"/>
      <c r="E270" s="972"/>
      <c r="F270" s="972"/>
      <c r="G270" s="972"/>
      <c r="H270" s="972"/>
      <c r="I270" s="972"/>
      <c r="J270" s="972"/>
      <c r="K270" s="972"/>
      <c r="L270" s="972"/>
      <c r="M270" s="972"/>
      <c r="N270" s="972"/>
      <c r="O270" s="352"/>
      <c r="P270" s="352"/>
      <c r="Q270" s="352"/>
      <c r="R270" s="352"/>
      <c r="S270" s="352"/>
      <c r="T270" s="352"/>
      <c r="U270" s="352"/>
      <c r="V270" s="352"/>
      <c r="W270" s="352"/>
      <c r="X270" s="352"/>
      <c r="Y270" s="352"/>
      <c r="Z270" s="352"/>
      <c r="AA270" s="352"/>
      <c r="AB270" s="352"/>
      <c r="AC270" s="352"/>
      <c r="AD270" s="352"/>
      <c r="AE270" s="352"/>
    </row>
    <row r="271">
      <c r="A271" s="352"/>
      <c r="B271" s="352"/>
      <c r="C271" s="972"/>
      <c r="D271" s="972"/>
      <c r="E271" s="972"/>
      <c r="F271" s="972"/>
      <c r="G271" s="972"/>
      <c r="H271" s="972"/>
      <c r="I271" s="972"/>
      <c r="J271" s="972"/>
      <c r="K271" s="972"/>
      <c r="L271" s="972"/>
      <c r="M271" s="972"/>
      <c r="N271" s="972"/>
      <c r="O271" s="352"/>
      <c r="P271" s="352"/>
      <c r="Q271" s="352"/>
      <c r="R271" s="352"/>
      <c r="S271" s="352"/>
      <c r="T271" s="352"/>
      <c r="U271" s="352"/>
      <c r="V271" s="352"/>
      <c r="W271" s="352"/>
      <c r="X271" s="352"/>
      <c r="Y271" s="352"/>
      <c r="Z271" s="352"/>
      <c r="AA271" s="352"/>
      <c r="AB271" s="352"/>
      <c r="AC271" s="352"/>
      <c r="AD271" s="352"/>
      <c r="AE271" s="352"/>
    </row>
    <row r="272">
      <c r="A272" s="352"/>
      <c r="B272" s="352"/>
      <c r="C272" s="972"/>
      <c r="D272" s="972"/>
      <c r="E272" s="972"/>
      <c r="F272" s="972"/>
      <c r="G272" s="972"/>
      <c r="H272" s="972"/>
      <c r="I272" s="972"/>
      <c r="J272" s="972"/>
      <c r="K272" s="972"/>
      <c r="L272" s="972"/>
      <c r="M272" s="972"/>
      <c r="N272" s="972"/>
      <c r="O272" s="352"/>
      <c r="P272" s="352"/>
      <c r="Q272" s="352"/>
      <c r="R272" s="352"/>
      <c r="S272" s="352"/>
      <c r="T272" s="352"/>
      <c r="U272" s="352"/>
      <c r="V272" s="352"/>
      <c r="W272" s="352"/>
      <c r="X272" s="352"/>
      <c r="Y272" s="352"/>
      <c r="Z272" s="352"/>
      <c r="AA272" s="352"/>
      <c r="AB272" s="352"/>
      <c r="AC272" s="352"/>
      <c r="AD272" s="352"/>
      <c r="AE272" s="352"/>
    </row>
    <row r="273">
      <c r="A273" s="352"/>
      <c r="B273" s="352"/>
      <c r="C273" s="972"/>
      <c r="D273" s="972"/>
      <c r="E273" s="972"/>
      <c r="F273" s="972"/>
      <c r="G273" s="972"/>
      <c r="H273" s="972"/>
      <c r="I273" s="972"/>
      <c r="J273" s="972"/>
      <c r="K273" s="972"/>
      <c r="L273" s="972"/>
      <c r="M273" s="972"/>
      <c r="N273" s="972"/>
      <c r="O273" s="352"/>
      <c r="P273" s="352"/>
      <c r="Q273" s="352"/>
      <c r="R273" s="352"/>
      <c r="S273" s="352"/>
      <c r="T273" s="352"/>
      <c r="U273" s="352"/>
      <c r="V273" s="352"/>
      <c r="W273" s="352"/>
      <c r="X273" s="352"/>
      <c r="Y273" s="352"/>
      <c r="Z273" s="352"/>
      <c r="AA273" s="352"/>
      <c r="AB273" s="352"/>
      <c r="AC273" s="352"/>
      <c r="AD273" s="352"/>
      <c r="AE273" s="352"/>
    </row>
    <row r="274">
      <c r="A274" s="352"/>
      <c r="B274" s="352"/>
      <c r="C274" s="972"/>
      <c r="D274" s="972"/>
      <c r="E274" s="972"/>
      <c r="F274" s="972"/>
      <c r="G274" s="972"/>
      <c r="H274" s="972"/>
      <c r="I274" s="972"/>
      <c r="J274" s="972"/>
      <c r="K274" s="972"/>
      <c r="L274" s="972"/>
      <c r="M274" s="972"/>
      <c r="N274" s="972"/>
      <c r="O274" s="352"/>
      <c r="P274" s="352"/>
      <c r="Q274" s="352"/>
      <c r="R274" s="352"/>
      <c r="S274" s="352"/>
      <c r="T274" s="352"/>
      <c r="U274" s="352"/>
      <c r="V274" s="352"/>
      <c r="W274" s="352"/>
      <c r="X274" s="352"/>
      <c r="Y274" s="352"/>
      <c r="Z274" s="352"/>
      <c r="AA274" s="352"/>
      <c r="AB274" s="352"/>
      <c r="AC274" s="352"/>
      <c r="AD274" s="352"/>
      <c r="AE274" s="352"/>
    </row>
    <row r="275">
      <c r="A275" s="352"/>
      <c r="B275" s="352"/>
      <c r="C275" s="972"/>
      <c r="D275" s="972"/>
      <c r="E275" s="972"/>
      <c r="F275" s="972"/>
      <c r="G275" s="972"/>
      <c r="H275" s="972"/>
      <c r="I275" s="972"/>
      <c r="J275" s="972"/>
      <c r="K275" s="972"/>
      <c r="L275" s="972"/>
      <c r="M275" s="972"/>
      <c r="N275" s="972"/>
      <c r="O275" s="352"/>
      <c r="P275" s="352"/>
      <c r="Q275" s="352"/>
      <c r="R275" s="352"/>
      <c r="S275" s="352"/>
      <c r="T275" s="352"/>
      <c r="U275" s="352"/>
      <c r="V275" s="352"/>
      <c r="W275" s="352"/>
      <c r="X275" s="352"/>
      <c r="Y275" s="352"/>
      <c r="Z275" s="352"/>
      <c r="AA275" s="352"/>
      <c r="AB275" s="352"/>
      <c r="AC275" s="352"/>
      <c r="AD275" s="352"/>
      <c r="AE275" s="352"/>
    </row>
    <row r="276">
      <c r="A276" s="352"/>
      <c r="B276" s="352"/>
      <c r="C276" s="972"/>
      <c r="D276" s="972"/>
      <c r="E276" s="972"/>
      <c r="F276" s="972"/>
      <c r="G276" s="972"/>
      <c r="H276" s="972"/>
      <c r="I276" s="972"/>
      <c r="J276" s="972"/>
      <c r="K276" s="972"/>
      <c r="L276" s="972"/>
      <c r="M276" s="972"/>
      <c r="N276" s="972"/>
      <c r="O276" s="352"/>
      <c r="P276" s="352"/>
      <c r="Q276" s="352"/>
      <c r="R276" s="352"/>
      <c r="S276" s="352"/>
      <c r="T276" s="352"/>
      <c r="U276" s="352"/>
      <c r="V276" s="352"/>
      <c r="W276" s="352"/>
      <c r="X276" s="352"/>
      <c r="Y276" s="352"/>
      <c r="Z276" s="352"/>
      <c r="AA276" s="352"/>
      <c r="AB276" s="352"/>
      <c r="AC276" s="352"/>
      <c r="AD276" s="352"/>
      <c r="AE276" s="352"/>
    </row>
    <row r="277">
      <c r="A277" s="352"/>
      <c r="B277" s="352"/>
      <c r="C277" s="972"/>
      <c r="D277" s="972"/>
      <c r="E277" s="972"/>
      <c r="F277" s="972"/>
      <c r="G277" s="972"/>
      <c r="H277" s="972"/>
      <c r="I277" s="972"/>
      <c r="J277" s="972"/>
      <c r="K277" s="972"/>
      <c r="L277" s="972"/>
      <c r="M277" s="972"/>
      <c r="N277" s="972"/>
      <c r="O277" s="352"/>
      <c r="P277" s="352"/>
      <c r="Q277" s="352"/>
      <c r="R277" s="352"/>
      <c r="S277" s="352"/>
      <c r="T277" s="352"/>
      <c r="U277" s="352"/>
      <c r="V277" s="352"/>
      <c r="W277" s="352"/>
      <c r="X277" s="352"/>
      <c r="Y277" s="352"/>
      <c r="Z277" s="352"/>
      <c r="AA277" s="352"/>
      <c r="AB277" s="352"/>
      <c r="AC277" s="352"/>
      <c r="AD277" s="352"/>
      <c r="AE277" s="352"/>
    </row>
    <row r="278">
      <c r="A278" s="352"/>
      <c r="B278" s="352"/>
      <c r="C278" s="972"/>
      <c r="D278" s="972"/>
      <c r="E278" s="972"/>
      <c r="F278" s="972"/>
      <c r="G278" s="972"/>
      <c r="H278" s="972"/>
      <c r="I278" s="972"/>
      <c r="J278" s="972"/>
      <c r="K278" s="972"/>
      <c r="L278" s="972"/>
      <c r="M278" s="972"/>
      <c r="N278" s="972"/>
      <c r="O278" s="352"/>
      <c r="P278" s="352"/>
      <c r="Q278" s="352"/>
      <c r="R278" s="352"/>
      <c r="S278" s="352"/>
      <c r="T278" s="352"/>
      <c r="U278" s="352"/>
      <c r="V278" s="352"/>
      <c r="W278" s="352"/>
      <c r="X278" s="352"/>
      <c r="Y278" s="352"/>
      <c r="Z278" s="352"/>
      <c r="AA278" s="352"/>
      <c r="AB278" s="352"/>
      <c r="AC278" s="352"/>
      <c r="AD278" s="352"/>
      <c r="AE278" s="352"/>
    </row>
    <row r="279">
      <c r="A279" s="352"/>
      <c r="B279" s="352"/>
      <c r="C279" s="972"/>
      <c r="D279" s="972"/>
      <c r="E279" s="972"/>
      <c r="F279" s="972"/>
      <c r="G279" s="972"/>
      <c r="H279" s="972"/>
      <c r="I279" s="972"/>
      <c r="J279" s="972"/>
      <c r="K279" s="972"/>
      <c r="L279" s="972"/>
      <c r="M279" s="972"/>
      <c r="N279" s="972"/>
      <c r="O279" s="352"/>
      <c r="P279" s="352"/>
      <c r="Q279" s="352"/>
      <c r="R279" s="352"/>
      <c r="S279" s="352"/>
      <c r="T279" s="352"/>
      <c r="U279" s="352"/>
      <c r="V279" s="352"/>
      <c r="W279" s="352"/>
      <c r="X279" s="352"/>
      <c r="Y279" s="352"/>
      <c r="Z279" s="352"/>
      <c r="AA279" s="352"/>
      <c r="AB279" s="352"/>
      <c r="AC279" s="352"/>
      <c r="AD279" s="352"/>
      <c r="AE279" s="352"/>
    </row>
    <row r="280">
      <c r="A280" s="352"/>
      <c r="B280" s="352"/>
      <c r="C280" s="972"/>
      <c r="D280" s="972"/>
      <c r="E280" s="972"/>
      <c r="F280" s="972"/>
      <c r="G280" s="972"/>
      <c r="H280" s="972"/>
      <c r="I280" s="972"/>
      <c r="J280" s="972"/>
      <c r="K280" s="972"/>
      <c r="L280" s="972"/>
      <c r="M280" s="972"/>
      <c r="N280" s="972"/>
      <c r="O280" s="352"/>
      <c r="P280" s="352"/>
      <c r="Q280" s="352"/>
      <c r="R280" s="352"/>
      <c r="S280" s="352"/>
      <c r="T280" s="352"/>
      <c r="U280" s="352"/>
      <c r="V280" s="352"/>
      <c r="W280" s="352"/>
      <c r="X280" s="352"/>
      <c r="Y280" s="352"/>
      <c r="Z280" s="352"/>
      <c r="AA280" s="352"/>
      <c r="AB280" s="352"/>
      <c r="AC280" s="352"/>
      <c r="AD280" s="352"/>
      <c r="AE280" s="352"/>
    </row>
    <row r="281">
      <c r="A281" s="352"/>
      <c r="B281" s="352"/>
      <c r="C281" s="972"/>
      <c r="D281" s="972"/>
      <c r="E281" s="972"/>
      <c r="F281" s="972"/>
      <c r="G281" s="972"/>
      <c r="H281" s="972"/>
      <c r="I281" s="972"/>
      <c r="J281" s="972"/>
      <c r="K281" s="972"/>
      <c r="L281" s="972"/>
      <c r="M281" s="972"/>
      <c r="N281" s="972"/>
      <c r="O281" s="352"/>
      <c r="P281" s="352"/>
      <c r="Q281" s="352"/>
      <c r="R281" s="352"/>
      <c r="S281" s="352"/>
      <c r="T281" s="352"/>
      <c r="U281" s="352"/>
      <c r="V281" s="352"/>
      <c r="W281" s="352"/>
      <c r="X281" s="352"/>
      <c r="Y281" s="352"/>
      <c r="Z281" s="352"/>
      <c r="AA281" s="352"/>
      <c r="AB281" s="352"/>
      <c r="AC281" s="352"/>
      <c r="AD281" s="352"/>
      <c r="AE281" s="352"/>
    </row>
    <row r="282">
      <c r="A282" s="352"/>
      <c r="B282" s="352"/>
      <c r="C282" s="972"/>
      <c r="D282" s="972"/>
      <c r="E282" s="972"/>
      <c r="F282" s="972"/>
      <c r="G282" s="972"/>
      <c r="H282" s="972"/>
      <c r="I282" s="972"/>
      <c r="J282" s="972"/>
      <c r="K282" s="972"/>
      <c r="L282" s="972"/>
      <c r="M282" s="972"/>
      <c r="N282" s="972"/>
      <c r="O282" s="352"/>
      <c r="P282" s="352"/>
      <c r="Q282" s="352"/>
      <c r="R282" s="352"/>
      <c r="S282" s="352"/>
      <c r="T282" s="352"/>
      <c r="U282" s="352"/>
      <c r="V282" s="352"/>
      <c r="W282" s="352"/>
      <c r="X282" s="352"/>
      <c r="Y282" s="352"/>
      <c r="Z282" s="352"/>
      <c r="AA282" s="352"/>
      <c r="AB282" s="352"/>
      <c r="AC282" s="352"/>
      <c r="AD282" s="352"/>
      <c r="AE282" s="352"/>
    </row>
    <row r="283">
      <c r="A283" s="352"/>
      <c r="B283" s="352"/>
      <c r="C283" s="972"/>
      <c r="D283" s="972"/>
      <c r="E283" s="972"/>
      <c r="F283" s="972"/>
      <c r="G283" s="972"/>
      <c r="H283" s="972"/>
      <c r="I283" s="972"/>
      <c r="J283" s="972"/>
      <c r="K283" s="972"/>
      <c r="L283" s="972"/>
      <c r="M283" s="972"/>
      <c r="N283" s="972"/>
      <c r="O283" s="352"/>
      <c r="P283" s="352"/>
      <c r="Q283" s="352"/>
      <c r="R283" s="352"/>
      <c r="S283" s="352"/>
      <c r="T283" s="352"/>
      <c r="U283" s="352"/>
      <c r="V283" s="352"/>
      <c r="W283" s="352"/>
      <c r="X283" s="352"/>
      <c r="Y283" s="352"/>
      <c r="Z283" s="352"/>
      <c r="AA283" s="352"/>
      <c r="AB283" s="352"/>
      <c r="AC283" s="352"/>
      <c r="AD283" s="352"/>
      <c r="AE283" s="352"/>
    </row>
    <row r="284">
      <c r="A284" s="352"/>
      <c r="B284" s="352"/>
      <c r="C284" s="972"/>
      <c r="D284" s="972"/>
      <c r="E284" s="972"/>
      <c r="F284" s="972"/>
      <c r="G284" s="972"/>
      <c r="H284" s="972"/>
      <c r="I284" s="972"/>
      <c r="J284" s="972"/>
      <c r="K284" s="972"/>
      <c r="L284" s="972"/>
      <c r="M284" s="972"/>
      <c r="N284" s="972"/>
      <c r="O284" s="352"/>
      <c r="P284" s="352"/>
      <c r="Q284" s="352"/>
      <c r="R284" s="352"/>
      <c r="S284" s="352"/>
      <c r="T284" s="352"/>
      <c r="U284" s="352"/>
      <c r="V284" s="352"/>
      <c r="W284" s="352"/>
      <c r="X284" s="352"/>
      <c r="Y284" s="352"/>
      <c r="Z284" s="352"/>
      <c r="AA284" s="352"/>
      <c r="AB284" s="352"/>
      <c r="AC284" s="352"/>
      <c r="AD284" s="352"/>
      <c r="AE284" s="352"/>
    </row>
    <row r="285">
      <c r="A285" s="352"/>
      <c r="B285" s="352"/>
      <c r="C285" s="972"/>
      <c r="D285" s="972"/>
      <c r="E285" s="972"/>
      <c r="F285" s="972"/>
      <c r="G285" s="972"/>
      <c r="H285" s="972"/>
      <c r="I285" s="972"/>
      <c r="J285" s="972"/>
      <c r="K285" s="972"/>
      <c r="L285" s="972"/>
      <c r="M285" s="972"/>
      <c r="N285" s="972"/>
      <c r="O285" s="352"/>
      <c r="P285" s="352"/>
      <c r="Q285" s="352"/>
      <c r="R285" s="352"/>
      <c r="S285" s="352"/>
      <c r="T285" s="352"/>
      <c r="U285" s="352"/>
      <c r="V285" s="352"/>
      <c r="W285" s="352"/>
      <c r="X285" s="352"/>
      <c r="Y285" s="352"/>
      <c r="Z285" s="352"/>
      <c r="AA285" s="352"/>
      <c r="AB285" s="352"/>
      <c r="AC285" s="352"/>
      <c r="AD285" s="352"/>
      <c r="AE285" s="352"/>
    </row>
    <row r="286">
      <c r="A286" s="352"/>
      <c r="B286" s="352"/>
      <c r="C286" s="972"/>
      <c r="D286" s="972"/>
      <c r="E286" s="972"/>
      <c r="F286" s="972"/>
      <c r="G286" s="972"/>
      <c r="H286" s="972"/>
      <c r="I286" s="972"/>
      <c r="J286" s="972"/>
      <c r="K286" s="972"/>
      <c r="L286" s="972"/>
      <c r="M286" s="972"/>
      <c r="N286" s="972"/>
      <c r="O286" s="352"/>
      <c r="P286" s="352"/>
      <c r="Q286" s="352"/>
      <c r="R286" s="352"/>
      <c r="S286" s="352"/>
      <c r="T286" s="352"/>
      <c r="U286" s="352"/>
      <c r="V286" s="352"/>
      <c r="W286" s="352"/>
      <c r="X286" s="352"/>
      <c r="Y286" s="352"/>
      <c r="Z286" s="352"/>
      <c r="AA286" s="352"/>
      <c r="AB286" s="352"/>
      <c r="AC286" s="352"/>
      <c r="AD286" s="352"/>
      <c r="AE286" s="352"/>
    </row>
    <row r="287">
      <c r="A287" s="352"/>
      <c r="B287" s="352"/>
      <c r="C287" s="972"/>
      <c r="D287" s="972"/>
      <c r="E287" s="972"/>
      <c r="F287" s="972"/>
      <c r="G287" s="972"/>
      <c r="H287" s="972"/>
      <c r="I287" s="972"/>
      <c r="J287" s="972"/>
      <c r="K287" s="972"/>
      <c r="L287" s="972"/>
      <c r="M287" s="972"/>
      <c r="N287" s="972"/>
      <c r="O287" s="352"/>
      <c r="P287" s="352"/>
      <c r="Q287" s="352"/>
      <c r="R287" s="352"/>
      <c r="S287" s="352"/>
      <c r="T287" s="352"/>
      <c r="U287" s="352"/>
      <c r="V287" s="352"/>
      <c r="W287" s="352"/>
      <c r="X287" s="352"/>
      <c r="Y287" s="352"/>
      <c r="Z287" s="352"/>
      <c r="AA287" s="352"/>
      <c r="AB287" s="352"/>
      <c r="AC287" s="352"/>
      <c r="AD287" s="352"/>
      <c r="AE287" s="352"/>
    </row>
    <row r="288">
      <c r="A288" s="352"/>
      <c r="B288" s="352"/>
      <c r="C288" s="972"/>
      <c r="D288" s="972"/>
      <c r="E288" s="972"/>
      <c r="F288" s="972"/>
      <c r="G288" s="972"/>
      <c r="H288" s="972"/>
      <c r="I288" s="972"/>
      <c r="J288" s="972"/>
      <c r="K288" s="972"/>
      <c r="L288" s="972"/>
      <c r="M288" s="972"/>
      <c r="N288" s="972"/>
      <c r="O288" s="352"/>
      <c r="P288" s="352"/>
      <c r="Q288" s="352"/>
      <c r="R288" s="352"/>
      <c r="S288" s="352"/>
      <c r="T288" s="352"/>
      <c r="U288" s="352"/>
      <c r="V288" s="352"/>
      <c r="W288" s="352"/>
      <c r="X288" s="352"/>
      <c r="Y288" s="352"/>
      <c r="Z288" s="352"/>
      <c r="AA288" s="352"/>
      <c r="AB288" s="352"/>
      <c r="AC288" s="352"/>
      <c r="AD288" s="352"/>
      <c r="AE288" s="352"/>
    </row>
    <row r="289">
      <c r="A289" s="352"/>
      <c r="B289" s="352"/>
      <c r="C289" s="972"/>
      <c r="D289" s="972"/>
      <c r="E289" s="972"/>
      <c r="F289" s="972"/>
      <c r="G289" s="972"/>
      <c r="H289" s="972"/>
      <c r="I289" s="972"/>
      <c r="J289" s="972"/>
      <c r="K289" s="972"/>
      <c r="L289" s="972"/>
      <c r="M289" s="972"/>
      <c r="N289" s="972"/>
      <c r="O289" s="352"/>
      <c r="P289" s="352"/>
      <c r="Q289" s="352"/>
      <c r="R289" s="352"/>
      <c r="S289" s="352"/>
      <c r="T289" s="352"/>
      <c r="U289" s="352"/>
      <c r="V289" s="352"/>
      <c r="W289" s="352"/>
      <c r="X289" s="352"/>
      <c r="Y289" s="352"/>
      <c r="Z289" s="352"/>
      <c r="AA289" s="352"/>
      <c r="AB289" s="352"/>
      <c r="AC289" s="352"/>
      <c r="AD289" s="352"/>
      <c r="AE289" s="352"/>
    </row>
    <row r="290">
      <c r="A290" s="352"/>
      <c r="B290" s="352"/>
      <c r="C290" s="972"/>
      <c r="D290" s="972"/>
      <c r="E290" s="972"/>
      <c r="F290" s="972"/>
      <c r="G290" s="972"/>
      <c r="H290" s="972"/>
      <c r="I290" s="972"/>
      <c r="J290" s="972"/>
      <c r="K290" s="972"/>
      <c r="L290" s="972"/>
      <c r="M290" s="972"/>
      <c r="N290" s="972"/>
      <c r="O290" s="352"/>
      <c r="P290" s="352"/>
      <c r="Q290" s="352"/>
      <c r="R290" s="352"/>
      <c r="S290" s="352"/>
      <c r="T290" s="352"/>
      <c r="U290" s="352"/>
      <c r="V290" s="352"/>
      <c r="W290" s="352"/>
      <c r="X290" s="352"/>
      <c r="Y290" s="352"/>
      <c r="Z290" s="352"/>
      <c r="AA290" s="352"/>
      <c r="AB290" s="352"/>
      <c r="AC290" s="352"/>
      <c r="AD290" s="352"/>
      <c r="AE290" s="352"/>
    </row>
    <row r="291">
      <c r="A291" s="352"/>
      <c r="B291" s="352"/>
      <c r="C291" s="972"/>
      <c r="D291" s="972"/>
      <c r="E291" s="972"/>
      <c r="F291" s="972"/>
      <c r="G291" s="972"/>
      <c r="H291" s="972"/>
      <c r="I291" s="972"/>
      <c r="J291" s="972"/>
      <c r="K291" s="972"/>
      <c r="L291" s="972"/>
      <c r="M291" s="972"/>
      <c r="N291" s="972"/>
      <c r="O291" s="352"/>
      <c r="P291" s="352"/>
      <c r="Q291" s="352"/>
      <c r="R291" s="352"/>
      <c r="S291" s="352"/>
      <c r="T291" s="352"/>
      <c r="U291" s="352"/>
      <c r="V291" s="352"/>
      <c r="W291" s="352"/>
      <c r="X291" s="352"/>
      <c r="Y291" s="352"/>
      <c r="Z291" s="352"/>
      <c r="AA291" s="352"/>
      <c r="AB291" s="352"/>
      <c r="AC291" s="352"/>
      <c r="AD291" s="352"/>
      <c r="AE291" s="352"/>
    </row>
    <row r="292">
      <c r="A292" s="352"/>
      <c r="B292" s="352"/>
      <c r="C292" s="972"/>
      <c r="D292" s="972"/>
      <c r="E292" s="972"/>
      <c r="F292" s="972"/>
      <c r="G292" s="972"/>
      <c r="H292" s="972"/>
      <c r="I292" s="972"/>
      <c r="J292" s="972"/>
      <c r="K292" s="972"/>
      <c r="L292" s="972"/>
      <c r="M292" s="972"/>
      <c r="N292" s="972"/>
      <c r="O292" s="352"/>
      <c r="P292" s="352"/>
      <c r="Q292" s="352"/>
      <c r="R292" s="352"/>
      <c r="S292" s="352"/>
      <c r="T292" s="352"/>
      <c r="U292" s="352"/>
      <c r="V292" s="352"/>
      <c r="W292" s="352"/>
      <c r="X292" s="352"/>
      <c r="Y292" s="352"/>
      <c r="Z292" s="352"/>
      <c r="AA292" s="352"/>
      <c r="AB292" s="352"/>
      <c r="AC292" s="352"/>
      <c r="AD292" s="352"/>
      <c r="AE292" s="352"/>
    </row>
    <row r="293">
      <c r="A293" s="352"/>
      <c r="B293" s="352"/>
      <c r="C293" s="972"/>
      <c r="D293" s="972"/>
      <c r="E293" s="972"/>
      <c r="F293" s="972"/>
      <c r="G293" s="972"/>
      <c r="H293" s="972"/>
      <c r="I293" s="972"/>
      <c r="J293" s="972"/>
      <c r="K293" s="972"/>
      <c r="L293" s="972"/>
      <c r="M293" s="972"/>
      <c r="N293" s="972"/>
      <c r="O293" s="352"/>
      <c r="P293" s="352"/>
      <c r="Q293" s="352"/>
      <c r="R293" s="352"/>
      <c r="S293" s="352"/>
      <c r="T293" s="352"/>
      <c r="U293" s="352"/>
      <c r="V293" s="352"/>
      <c r="W293" s="352"/>
      <c r="X293" s="352"/>
      <c r="Y293" s="352"/>
      <c r="Z293" s="352"/>
      <c r="AA293" s="352"/>
      <c r="AB293" s="352"/>
      <c r="AC293" s="352"/>
      <c r="AD293" s="352"/>
      <c r="AE293" s="352"/>
    </row>
    <row r="294">
      <c r="A294" s="352"/>
      <c r="B294" s="352"/>
      <c r="C294" s="972"/>
      <c r="D294" s="972"/>
      <c r="E294" s="972"/>
      <c r="F294" s="972"/>
      <c r="G294" s="972"/>
      <c r="H294" s="972"/>
      <c r="I294" s="972"/>
      <c r="J294" s="972"/>
      <c r="K294" s="972"/>
      <c r="L294" s="972"/>
      <c r="M294" s="972"/>
      <c r="N294" s="972"/>
      <c r="O294" s="352"/>
      <c r="P294" s="352"/>
      <c r="Q294" s="352"/>
      <c r="R294" s="352"/>
      <c r="S294" s="352"/>
      <c r="T294" s="352"/>
      <c r="U294" s="352"/>
      <c r="V294" s="352"/>
      <c r="W294" s="352"/>
      <c r="X294" s="352"/>
      <c r="Y294" s="352"/>
      <c r="Z294" s="352"/>
      <c r="AA294" s="352"/>
      <c r="AB294" s="352"/>
      <c r="AC294" s="352"/>
      <c r="AD294" s="352"/>
      <c r="AE294" s="352"/>
    </row>
    <row r="295">
      <c r="A295" s="352"/>
      <c r="B295" s="352"/>
      <c r="C295" s="972"/>
      <c r="D295" s="972"/>
      <c r="E295" s="972"/>
      <c r="F295" s="972"/>
      <c r="G295" s="972"/>
      <c r="H295" s="972"/>
      <c r="I295" s="972"/>
      <c r="J295" s="972"/>
      <c r="K295" s="972"/>
      <c r="L295" s="972"/>
      <c r="M295" s="972"/>
      <c r="N295" s="972"/>
      <c r="O295" s="352"/>
      <c r="P295" s="352"/>
      <c r="Q295" s="352"/>
      <c r="R295" s="352"/>
      <c r="S295" s="352"/>
      <c r="T295" s="352"/>
      <c r="U295" s="352"/>
      <c r="V295" s="352"/>
      <c r="W295" s="352"/>
      <c r="X295" s="352"/>
      <c r="Y295" s="352"/>
      <c r="Z295" s="352"/>
      <c r="AA295" s="352"/>
      <c r="AB295" s="352"/>
      <c r="AC295" s="352"/>
      <c r="AD295" s="352"/>
      <c r="AE295" s="352"/>
    </row>
    <row r="296">
      <c r="A296" s="352"/>
      <c r="B296" s="352"/>
      <c r="C296" s="972"/>
      <c r="D296" s="972"/>
      <c r="E296" s="972"/>
      <c r="F296" s="972"/>
      <c r="G296" s="972"/>
      <c r="H296" s="972"/>
      <c r="I296" s="972"/>
      <c r="J296" s="972"/>
      <c r="K296" s="972"/>
      <c r="L296" s="972"/>
      <c r="M296" s="972"/>
      <c r="N296" s="972"/>
      <c r="O296" s="352"/>
      <c r="P296" s="352"/>
      <c r="Q296" s="352"/>
      <c r="R296" s="352"/>
      <c r="S296" s="352"/>
      <c r="T296" s="352"/>
      <c r="U296" s="352"/>
      <c r="V296" s="352"/>
      <c r="W296" s="352"/>
      <c r="X296" s="352"/>
      <c r="Y296" s="352"/>
      <c r="Z296" s="352"/>
      <c r="AA296" s="352"/>
      <c r="AB296" s="352"/>
      <c r="AC296" s="352"/>
      <c r="AD296" s="352"/>
      <c r="AE296" s="352"/>
    </row>
    <row r="297">
      <c r="A297" s="352"/>
      <c r="B297" s="352"/>
      <c r="C297" s="972"/>
      <c r="D297" s="972"/>
      <c r="E297" s="972"/>
      <c r="F297" s="972"/>
      <c r="G297" s="972"/>
      <c r="H297" s="972"/>
      <c r="I297" s="972"/>
      <c r="J297" s="972"/>
      <c r="K297" s="972"/>
      <c r="L297" s="972"/>
      <c r="M297" s="972"/>
      <c r="N297" s="972"/>
      <c r="O297" s="352"/>
      <c r="P297" s="352"/>
      <c r="Q297" s="352"/>
      <c r="R297" s="352"/>
      <c r="S297" s="352"/>
      <c r="T297" s="352"/>
      <c r="U297" s="352"/>
      <c r="V297" s="352"/>
      <c r="W297" s="352"/>
      <c r="X297" s="352"/>
      <c r="Y297" s="352"/>
      <c r="Z297" s="352"/>
      <c r="AA297" s="352"/>
      <c r="AB297" s="352"/>
      <c r="AC297" s="352"/>
      <c r="AD297" s="352"/>
      <c r="AE297" s="352"/>
    </row>
    <row r="298">
      <c r="A298" s="352"/>
      <c r="B298" s="352"/>
      <c r="C298" s="972"/>
      <c r="D298" s="972"/>
      <c r="E298" s="972"/>
      <c r="F298" s="972"/>
      <c r="G298" s="972"/>
      <c r="H298" s="972"/>
      <c r="I298" s="972"/>
      <c r="J298" s="972"/>
      <c r="K298" s="972"/>
      <c r="L298" s="972"/>
      <c r="M298" s="972"/>
      <c r="N298" s="972"/>
      <c r="O298" s="352"/>
      <c r="P298" s="352"/>
      <c r="Q298" s="352"/>
      <c r="R298" s="352"/>
      <c r="S298" s="352"/>
      <c r="T298" s="352"/>
      <c r="U298" s="352"/>
      <c r="V298" s="352"/>
      <c r="W298" s="352"/>
      <c r="X298" s="352"/>
      <c r="Y298" s="352"/>
      <c r="Z298" s="352"/>
      <c r="AA298" s="352"/>
      <c r="AB298" s="352"/>
      <c r="AC298" s="352"/>
      <c r="AD298" s="352"/>
      <c r="AE298" s="352"/>
    </row>
    <row r="299">
      <c r="A299" s="352"/>
      <c r="B299" s="352"/>
      <c r="C299" s="972"/>
      <c r="D299" s="972"/>
      <c r="E299" s="972"/>
      <c r="F299" s="972"/>
      <c r="G299" s="972"/>
      <c r="H299" s="972"/>
      <c r="I299" s="972"/>
      <c r="J299" s="972"/>
      <c r="K299" s="972"/>
      <c r="L299" s="972"/>
      <c r="M299" s="972"/>
      <c r="N299" s="972"/>
      <c r="O299" s="352"/>
      <c r="P299" s="352"/>
      <c r="Q299" s="352"/>
      <c r="R299" s="352"/>
      <c r="S299" s="352"/>
      <c r="T299" s="352"/>
      <c r="U299" s="352"/>
      <c r="V299" s="352"/>
      <c r="W299" s="352"/>
      <c r="X299" s="352"/>
      <c r="Y299" s="352"/>
      <c r="Z299" s="352"/>
      <c r="AA299" s="352"/>
      <c r="AB299" s="352"/>
      <c r="AC299" s="352"/>
      <c r="AD299" s="352"/>
      <c r="AE299" s="352"/>
    </row>
    <row r="300">
      <c r="A300" s="352"/>
      <c r="B300" s="352"/>
      <c r="C300" s="972"/>
      <c r="D300" s="972"/>
      <c r="E300" s="972"/>
      <c r="F300" s="972"/>
      <c r="G300" s="972"/>
      <c r="H300" s="972"/>
      <c r="I300" s="972"/>
      <c r="J300" s="972"/>
      <c r="K300" s="972"/>
      <c r="L300" s="972"/>
      <c r="M300" s="972"/>
      <c r="N300" s="972"/>
      <c r="O300" s="352"/>
      <c r="P300" s="352"/>
      <c r="Q300" s="352"/>
      <c r="R300" s="352"/>
      <c r="S300" s="352"/>
      <c r="T300" s="352"/>
      <c r="U300" s="352"/>
      <c r="V300" s="352"/>
      <c r="W300" s="352"/>
      <c r="X300" s="352"/>
      <c r="Y300" s="352"/>
      <c r="Z300" s="352"/>
      <c r="AA300" s="352"/>
      <c r="AB300" s="352"/>
      <c r="AC300" s="352"/>
      <c r="AD300" s="352"/>
      <c r="AE300" s="352"/>
    </row>
    <row r="301">
      <c r="A301" s="352"/>
      <c r="B301" s="352"/>
      <c r="C301" s="972"/>
      <c r="D301" s="972"/>
      <c r="E301" s="972"/>
      <c r="F301" s="972"/>
      <c r="G301" s="972"/>
      <c r="H301" s="972"/>
      <c r="I301" s="972"/>
      <c r="J301" s="972"/>
      <c r="K301" s="972"/>
      <c r="L301" s="972"/>
      <c r="M301" s="972"/>
      <c r="N301" s="972"/>
      <c r="O301" s="352"/>
      <c r="P301" s="352"/>
      <c r="Q301" s="352"/>
      <c r="R301" s="352"/>
      <c r="S301" s="352"/>
      <c r="T301" s="352"/>
      <c r="U301" s="352"/>
      <c r="V301" s="352"/>
      <c r="W301" s="352"/>
      <c r="X301" s="352"/>
      <c r="Y301" s="352"/>
      <c r="Z301" s="352"/>
      <c r="AA301" s="352"/>
      <c r="AB301" s="352"/>
      <c r="AC301" s="352"/>
      <c r="AD301" s="352"/>
      <c r="AE301" s="352"/>
    </row>
    <row r="302">
      <c r="A302" s="352"/>
      <c r="B302" s="352"/>
      <c r="C302" s="972"/>
      <c r="D302" s="972"/>
      <c r="E302" s="972"/>
      <c r="F302" s="972"/>
      <c r="G302" s="972"/>
      <c r="H302" s="972"/>
      <c r="I302" s="972"/>
      <c r="J302" s="972"/>
      <c r="K302" s="972"/>
      <c r="L302" s="972"/>
      <c r="M302" s="972"/>
      <c r="N302" s="972"/>
      <c r="O302" s="352"/>
      <c r="P302" s="352"/>
      <c r="Q302" s="352"/>
      <c r="R302" s="352"/>
      <c r="S302" s="352"/>
      <c r="T302" s="352"/>
      <c r="U302" s="352"/>
      <c r="V302" s="352"/>
      <c r="W302" s="352"/>
      <c r="X302" s="352"/>
      <c r="Y302" s="352"/>
      <c r="Z302" s="352"/>
      <c r="AA302" s="352"/>
      <c r="AB302" s="352"/>
      <c r="AC302" s="352"/>
      <c r="AD302" s="352"/>
      <c r="AE302" s="352"/>
    </row>
    <row r="303">
      <c r="A303" s="352"/>
      <c r="B303" s="352"/>
      <c r="C303" s="972"/>
      <c r="D303" s="972"/>
      <c r="E303" s="972"/>
      <c r="F303" s="972"/>
      <c r="G303" s="972"/>
      <c r="H303" s="972"/>
      <c r="I303" s="972"/>
      <c r="J303" s="972"/>
      <c r="K303" s="972"/>
      <c r="L303" s="972"/>
      <c r="M303" s="972"/>
      <c r="N303" s="972"/>
      <c r="O303" s="352"/>
      <c r="P303" s="352"/>
      <c r="Q303" s="352"/>
      <c r="R303" s="352"/>
      <c r="S303" s="352"/>
      <c r="T303" s="352"/>
      <c r="U303" s="352"/>
      <c r="V303" s="352"/>
      <c r="W303" s="352"/>
      <c r="X303" s="352"/>
      <c r="Y303" s="352"/>
      <c r="Z303" s="352"/>
      <c r="AA303" s="352"/>
      <c r="AB303" s="352"/>
      <c r="AC303" s="352"/>
      <c r="AD303" s="352"/>
      <c r="AE303" s="352"/>
    </row>
    <row r="304">
      <c r="A304" s="352"/>
      <c r="B304" s="352"/>
      <c r="C304" s="972"/>
      <c r="D304" s="972"/>
      <c r="E304" s="972"/>
      <c r="F304" s="972"/>
      <c r="G304" s="972"/>
      <c r="H304" s="972"/>
      <c r="I304" s="972"/>
      <c r="J304" s="972"/>
      <c r="K304" s="972"/>
      <c r="L304" s="972"/>
      <c r="M304" s="972"/>
      <c r="N304" s="972"/>
      <c r="O304" s="352"/>
      <c r="P304" s="352"/>
      <c r="Q304" s="352"/>
      <c r="R304" s="352"/>
      <c r="S304" s="352"/>
      <c r="T304" s="352"/>
      <c r="U304" s="352"/>
      <c r="V304" s="352"/>
      <c r="W304" s="352"/>
      <c r="X304" s="352"/>
      <c r="Y304" s="352"/>
      <c r="Z304" s="352"/>
      <c r="AA304" s="352"/>
      <c r="AB304" s="352"/>
      <c r="AC304" s="352"/>
      <c r="AD304" s="352"/>
      <c r="AE304" s="352"/>
    </row>
    <row r="305">
      <c r="A305" s="352"/>
      <c r="B305" s="352"/>
      <c r="C305" s="972"/>
      <c r="D305" s="972"/>
      <c r="E305" s="972"/>
      <c r="F305" s="972"/>
      <c r="G305" s="972"/>
      <c r="H305" s="972"/>
      <c r="I305" s="972"/>
      <c r="J305" s="972"/>
      <c r="K305" s="972"/>
      <c r="L305" s="972"/>
      <c r="M305" s="972"/>
      <c r="N305" s="972"/>
      <c r="O305" s="352"/>
      <c r="P305" s="352"/>
      <c r="Q305" s="352"/>
      <c r="R305" s="352"/>
      <c r="S305" s="352"/>
      <c r="T305" s="352"/>
      <c r="U305" s="352"/>
      <c r="V305" s="352"/>
      <c r="W305" s="352"/>
      <c r="X305" s="352"/>
      <c r="Y305" s="352"/>
      <c r="Z305" s="352"/>
      <c r="AA305" s="352"/>
      <c r="AB305" s="352"/>
      <c r="AC305" s="352"/>
      <c r="AD305" s="352"/>
      <c r="AE305" s="352"/>
    </row>
    <row r="306">
      <c r="A306" s="352"/>
      <c r="B306" s="352"/>
      <c r="C306" s="972"/>
      <c r="D306" s="972"/>
      <c r="E306" s="972"/>
      <c r="F306" s="972"/>
      <c r="G306" s="972"/>
      <c r="H306" s="972"/>
      <c r="I306" s="972"/>
      <c r="J306" s="972"/>
      <c r="K306" s="972"/>
      <c r="L306" s="972"/>
      <c r="M306" s="972"/>
      <c r="N306" s="972"/>
      <c r="O306" s="352"/>
      <c r="P306" s="352"/>
      <c r="Q306" s="352"/>
      <c r="R306" s="352"/>
      <c r="S306" s="352"/>
      <c r="T306" s="352"/>
      <c r="U306" s="352"/>
      <c r="V306" s="352"/>
      <c r="W306" s="352"/>
      <c r="X306" s="352"/>
      <c r="Y306" s="352"/>
      <c r="Z306" s="352"/>
      <c r="AA306" s="352"/>
      <c r="AB306" s="352"/>
      <c r="AC306" s="352"/>
      <c r="AD306" s="352"/>
      <c r="AE306" s="352"/>
    </row>
    <row r="307">
      <c r="A307" s="352"/>
      <c r="B307" s="352"/>
      <c r="C307" s="972"/>
      <c r="D307" s="972"/>
      <c r="E307" s="972"/>
      <c r="F307" s="972"/>
      <c r="G307" s="972"/>
      <c r="H307" s="972"/>
      <c r="I307" s="972"/>
      <c r="J307" s="972"/>
      <c r="K307" s="972"/>
      <c r="L307" s="972"/>
      <c r="M307" s="972"/>
      <c r="N307" s="972"/>
      <c r="O307" s="352"/>
      <c r="P307" s="352"/>
      <c r="Q307" s="352"/>
      <c r="R307" s="352"/>
      <c r="S307" s="352"/>
      <c r="T307" s="352"/>
      <c r="U307" s="352"/>
      <c r="V307" s="352"/>
      <c r="W307" s="352"/>
      <c r="X307" s="352"/>
      <c r="Y307" s="352"/>
      <c r="Z307" s="352"/>
      <c r="AA307" s="352"/>
      <c r="AB307" s="352"/>
      <c r="AC307" s="352"/>
      <c r="AD307" s="352"/>
      <c r="AE307" s="352"/>
    </row>
    <row r="308">
      <c r="A308" s="352"/>
      <c r="B308" s="352"/>
      <c r="C308" s="972"/>
      <c r="D308" s="972"/>
      <c r="E308" s="972"/>
      <c r="F308" s="972"/>
      <c r="G308" s="972"/>
      <c r="H308" s="972"/>
      <c r="I308" s="972"/>
      <c r="J308" s="972"/>
      <c r="K308" s="972"/>
      <c r="L308" s="972"/>
      <c r="M308" s="972"/>
      <c r="N308" s="972"/>
      <c r="O308" s="352"/>
      <c r="P308" s="352"/>
      <c r="Q308" s="352"/>
      <c r="R308" s="352"/>
      <c r="S308" s="352"/>
      <c r="T308" s="352"/>
      <c r="U308" s="352"/>
      <c r="V308" s="352"/>
      <c r="W308" s="352"/>
      <c r="X308" s="352"/>
      <c r="Y308" s="352"/>
      <c r="Z308" s="352"/>
      <c r="AA308" s="352"/>
      <c r="AB308" s="352"/>
      <c r="AC308" s="352"/>
      <c r="AD308" s="352"/>
      <c r="AE308" s="352"/>
    </row>
    <row r="309">
      <c r="A309" s="352"/>
      <c r="B309" s="352"/>
      <c r="C309" s="972"/>
      <c r="D309" s="972"/>
      <c r="E309" s="972"/>
      <c r="F309" s="972"/>
      <c r="G309" s="972"/>
      <c r="H309" s="972"/>
      <c r="I309" s="972"/>
      <c r="J309" s="972"/>
      <c r="K309" s="972"/>
      <c r="L309" s="972"/>
      <c r="M309" s="972"/>
      <c r="N309" s="972"/>
      <c r="O309" s="352"/>
      <c r="P309" s="352"/>
      <c r="Q309" s="352"/>
      <c r="R309" s="352"/>
      <c r="S309" s="352"/>
      <c r="T309" s="352"/>
      <c r="U309" s="352"/>
      <c r="V309" s="352"/>
      <c r="W309" s="352"/>
      <c r="X309" s="352"/>
      <c r="Y309" s="352"/>
      <c r="Z309" s="352"/>
      <c r="AA309" s="352"/>
      <c r="AB309" s="352"/>
      <c r="AC309" s="352"/>
      <c r="AD309" s="352"/>
      <c r="AE309" s="352"/>
    </row>
    <row r="310">
      <c r="A310" s="352"/>
      <c r="B310" s="352"/>
      <c r="C310" s="972"/>
      <c r="D310" s="972"/>
      <c r="E310" s="972"/>
      <c r="F310" s="972"/>
      <c r="G310" s="972"/>
      <c r="H310" s="972"/>
      <c r="I310" s="972"/>
      <c r="J310" s="972"/>
      <c r="K310" s="972"/>
      <c r="L310" s="972"/>
      <c r="M310" s="972"/>
      <c r="N310" s="972"/>
      <c r="O310" s="352"/>
      <c r="P310" s="352"/>
      <c r="Q310" s="352"/>
      <c r="R310" s="352"/>
      <c r="S310" s="352"/>
      <c r="T310" s="352"/>
      <c r="U310" s="352"/>
      <c r="V310" s="352"/>
      <c r="W310" s="352"/>
      <c r="X310" s="352"/>
      <c r="Y310" s="352"/>
      <c r="Z310" s="352"/>
      <c r="AA310" s="352"/>
      <c r="AB310" s="352"/>
      <c r="AC310" s="352"/>
      <c r="AD310" s="352"/>
      <c r="AE310" s="352"/>
    </row>
    <row r="311">
      <c r="A311" s="352"/>
      <c r="B311" s="352"/>
      <c r="C311" s="972"/>
      <c r="D311" s="972"/>
      <c r="E311" s="972"/>
      <c r="F311" s="972"/>
      <c r="G311" s="972"/>
      <c r="H311" s="972"/>
      <c r="I311" s="972"/>
      <c r="J311" s="972"/>
      <c r="K311" s="972"/>
      <c r="L311" s="972"/>
      <c r="M311" s="972"/>
      <c r="N311" s="972"/>
      <c r="O311" s="352"/>
      <c r="P311" s="352"/>
      <c r="Q311" s="352"/>
      <c r="R311" s="352"/>
      <c r="S311" s="352"/>
      <c r="T311" s="352"/>
      <c r="U311" s="352"/>
      <c r="V311" s="352"/>
      <c r="W311" s="352"/>
      <c r="X311" s="352"/>
      <c r="Y311" s="352"/>
      <c r="Z311" s="352"/>
      <c r="AA311" s="352"/>
      <c r="AB311" s="352"/>
      <c r="AC311" s="352"/>
      <c r="AD311" s="352"/>
      <c r="AE311" s="352"/>
    </row>
    <row r="312">
      <c r="A312" s="352"/>
      <c r="B312" s="352"/>
      <c r="C312" s="972"/>
      <c r="D312" s="972"/>
      <c r="E312" s="972"/>
      <c r="F312" s="972"/>
      <c r="G312" s="972"/>
      <c r="H312" s="972"/>
      <c r="I312" s="972"/>
      <c r="J312" s="972"/>
      <c r="K312" s="972"/>
      <c r="L312" s="972"/>
      <c r="M312" s="972"/>
      <c r="N312" s="972"/>
      <c r="O312" s="352"/>
      <c r="P312" s="352"/>
      <c r="Q312" s="352"/>
      <c r="R312" s="352"/>
      <c r="S312" s="352"/>
      <c r="T312" s="352"/>
      <c r="U312" s="352"/>
      <c r="V312" s="352"/>
      <c r="W312" s="352"/>
      <c r="X312" s="352"/>
      <c r="Y312" s="352"/>
      <c r="Z312" s="352"/>
      <c r="AA312" s="352"/>
      <c r="AB312" s="352"/>
      <c r="AC312" s="352"/>
      <c r="AD312" s="352"/>
      <c r="AE312" s="352"/>
    </row>
    <row r="313">
      <c r="A313" s="352"/>
      <c r="B313" s="352"/>
      <c r="C313" s="972"/>
      <c r="D313" s="972"/>
      <c r="E313" s="972"/>
      <c r="F313" s="972"/>
      <c r="G313" s="972"/>
      <c r="H313" s="972"/>
      <c r="I313" s="972"/>
      <c r="J313" s="972"/>
      <c r="K313" s="972"/>
      <c r="L313" s="972"/>
      <c r="M313" s="972"/>
      <c r="N313" s="972"/>
      <c r="O313" s="352"/>
      <c r="P313" s="352"/>
      <c r="Q313" s="352"/>
      <c r="R313" s="352"/>
      <c r="S313" s="352"/>
      <c r="T313" s="352"/>
      <c r="U313" s="352"/>
      <c r="V313" s="352"/>
      <c r="W313" s="352"/>
      <c r="X313" s="352"/>
      <c r="Y313" s="352"/>
      <c r="Z313" s="352"/>
      <c r="AA313" s="352"/>
      <c r="AB313" s="352"/>
      <c r="AC313" s="352"/>
      <c r="AD313" s="352"/>
      <c r="AE313" s="352"/>
    </row>
    <row r="314">
      <c r="A314" s="352"/>
      <c r="B314" s="352"/>
      <c r="C314" s="972"/>
      <c r="D314" s="972"/>
      <c r="E314" s="972"/>
      <c r="F314" s="972"/>
      <c r="G314" s="972"/>
      <c r="H314" s="972"/>
      <c r="I314" s="972"/>
      <c r="J314" s="972"/>
      <c r="K314" s="972"/>
      <c r="L314" s="972"/>
      <c r="M314" s="972"/>
      <c r="N314" s="972"/>
      <c r="O314" s="352"/>
      <c r="P314" s="352"/>
      <c r="Q314" s="352"/>
      <c r="R314" s="352"/>
      <c r="S314" s="352"/>
      <c r="T314" s="352"/>
      <c r="U314" s="352"/>
      <c r="V314" s="352"/>
      <c r="W314" s="352"/>
      <c r="X314" s="352"/>
      <c r="Y314" s="352"/>
      <c r="Z314" s="352"/>
      <c r="AA314" s="352"/>
      <c r="AB314" s="352"/>
      <c r="AC314" s="352"/>
      <c r="AD314" s="352"/>
      <c r="AE314" s="352"/>
    </row>
    <row r="315">
      <c r="A315" s="352"/>
      <c r="B315" s="352"/>
      <c r="C315" s="972"/>
      <c r="D315" s="972"/>
      <c r="E315" s="972"/>
      <c r="F315" s="972"/>
      <c r="G315" s="972"/>
      <c r="H315" s="972"/>
      <c r="I315" s="972"/>
      <c r="J315" s="972"/>
      <c r="K315" s="972"/>
      <c r="L315" s="972"/>
      <c r="M315" s="972"/>
      <c r="N315" s="972"/>
      <c r="O315" s="352"/>
      <c r="P315" s="352"/>
      <c r="Q315" s="352"/>
      <c r="R315" s="352"/>
      <c r="S315" s="352"/>
      <c r="T315" s="352"/>
      <c r="U315" s="352"/>
      <c r="V315" s="352"/>
      <c r="W315" s="352"/>
      <c r="X315" s="352"/>
      <c r="Y315" s="352"/>
      <c r="Z315" s="352"/>
      <c r="AA315" s="352"/>
      <c r="AB315" s="352"/>
      <c r="AC315" s="352"/>
      <c r="AD315" s="352"/>
      <c r="AE315" s="352"/>
    </row>
    <row r="316">
      <c r="A316" s="352"/>
      <c r="B316" s="352"/>
      <c r="C316" s="972"/>
      <c r="D316" s="972"/>
      <c r="E316" s="972"/>
      <c r="F316" s="972"/>
      <c r="G316" s="972"/>
      <c r="H316" s="972"/>
      <c r="I316" s="972"/>
      <c r="J316" s="972"/>
      <c r="K316" s="972"/>
      <c r="L316" s="972"/>
      <c r="M316" s="972"/>
      <c r="N316" s="972"/>
      <c r="O316" s="352"/>
      <c r="P316" s="352"/>
      <c r="Q316" s="352"/>
      <c r="R316" s="352"/>
      <c r="S316" s="352"/>
      <c r="T316" s="352"/>
      <c r="U316" s="352"/>
      <c r="V316" s="352"/>
      <c r="W316" s="352"/>
      <c r="X316" s="352"/>
      <c r="Y316" s="352"/>
      <c r="Z316" s="352"/>
      <c r="AA316" s="352"/>
      <c r="AB316" s="352"/>
      <c r="AC316" s="352"/>
      <c r="AD316" s="352"/>
      <c r="AE316" s="352"/>
    </row>
    <row r="317">
      <c r="A317" s="352"/>
      <c r="B317" s="352"/>
      <c r="C317" s="972"/>
      <c r="D317" s="972"/>
      <c r="E317" s="972"/>
      <c r="F317" s="972"/>
      <c r="G317" s="972"/>
      <c r="H317" s="972"/>
      <c r="I317" s="972"/>
      <c r="J317" s="972"/>
      <c r="K317" s="972"/>
      <c r="L317" s="972"/>
      <c r="M317" s="972"/>
      <c r="N317" s="972"/>
      <c r="O317" s="352"/>
      <c r="P317" s="352"/>
      <c r="Q317" s="352"/>
      <c r="R317" s="352"/>
      <c r="S317" s="352"/>
      <c r="T317" s="352"/>
      <c r="U317" s="352"/>
      <c r="V317" s="352"/>
      <c r="W317" s="352"/>
      <c r="X317" s="352"/>
      <c r="Y317" s="352"/>
      <c r="Z317" s="352"/>
      <c r="AA317" s="352"/>
      <c r="AB317" s="352"/>
      <c r="AC317" s="352"/>
      <c r="AD317" s="352"/>
      <c r="AE317" s="352"/>
    </row>
    <row r="318">
      <c r="A318" s="352"/>
      <c r="B318" s="352"/>
      <c r="C318" s="972"/>
      <c r="D318" s="972"/>
      <c r="E318" s="972"/>
      <c r="F318" s="972"/>
      <c r="G318" s="972"/>
      <c r="H318" s="972"/>
      <c r="I318" s="972"/>
      <c r="J318" s="972"/>
      <c r="K318" s="972"/>
      <c r="L318" s="972"/>
      <c r="M318" s="972"/>
      <c r="N318" s="972"/>
      <c r="O318" s="352"/>
      <c r="P318" s="352"/>
      <c r="Q318" s="352"/>
      <c r="R318" s="352"/>
      <c r="S318" s="352"/>
      <c r="T318" s="352"/>
      <c r="U318" s="352"/>
      <c r="V318" s="352"/>
      <c r="W318" s="352"/>
      <c r="X318" s="352"/>
      <c r="Y318" s="352"/>
      <c r="Z318" s="352"/>
      <c r="AA318" s="352"/>
      <c r="AB318" s="352"/>
      <c r="AC318" s="352"/>
      <c r="AD318" s="352"/>
      <c r="AE318" s="352"/>
    </row>
    <row r="319">
      <c r="A319" s="352"/>
      <c r="B319" s="352"/>
      <c r="C319" s="972"/>
      <c r="D319" s="972"/>
      <c r="E319" s="972"/>
      <c r="F319" s="972"/>
      <c r="G319" s="972"/>
      <c r="H319" s="972"/>
      <c r="I319" s="972"/>
      <c r="J319" s="972"/>
      <c r="K319" s="972"/>
      <c r="L319" s="972"/>
      <c r="M319" s="972"/>
      <c r="N319" s="972"/>
      <c r="O319" s="352"/>
      <c r="P319" s="352"/>
      <c r="Q319" s="352"/>
      <c r="R319" s="352"/>
      <c r="S319" s="352"/>
      <c r="T319" s="352"/>
      <c r="U319" s="352"/>
      <c r="V319" s="352"/>
      <c r="W319" s="352"/>
      <c r="X319" s="352"/>
      <c r="Y319" s="352"/>
      <c r="Z319" s="352"/>
      <c r="AA319" s="352"/>
      <c r="AB319" s="352"/>
      <c r="AC319" s="352"/>
      <c r="AD319" s="352"/>
      <c r="AE319" s="352"/>
    </row>
    <row r="320">
      <c r="A320" s="352"/>
      <c r="B320" s="352"/>
      <c r="C320" s="972"/>
      <c r="D320" s="972"/>
      <c r="E320" s="972"/>
      <c r="F320" s="972"/>
      <c r="G320" s="972"/>
      <c r="H320" s="972"/>
      <c r="I320" s="972"/>
      <c r="J320" s="972"/>
      <c r="K320" s="972"/>
      <c r="L320" s="972"/>
      <c r="M320" s="972"/>
      <c r="N320" s="972"/>
      <c r="O320" s="352"/>
      <c r="P320" s="352"/>
      <c r="Q320" s="352"/>
      <c r="R320" s="352"/>
      <c r="S320" s="352"/>
      <c r="T320" s="352"/>
      <c r="U320" s="352"/>
      <c r="V320" s="352"/>
      <c r="W320" s="352"/>
      <c r="X320" s="352"/>
      <c r="Y320" s="352"/>
      <c r="Z320" s="352"/>
      <c r="AA320" s="352"/>
      <c r="AB320" s="352"/>
      <c r="AC320" s="352"/>
      <c r="AD320" s="352"/>
      <c r="AE320" s="352"/>
    </row>
    <row r="321">
      <c r="A321" s="352"/>
      <c r="B321" s="352"/>
      <c r="C321" s="972"/>
      <c r="D321" s="972"/>
      <c r="E321" s="972"/>
      <c r="F321" s="972"/>
      <c r="G321" s="972"/>
      <c r="H321" s="972"/>
      <c r="I321" s="972"/>
      <c r="J321" s="972"/>
      <c r="K321" s="972"/>
      <c r="L321" s="972"/>
      <c r="M321" s="972"/>
      <c r="N321" s="972"/>
      <c r="O321" s="352"/>
      <c r="P321" s="352"/>
      <c r="Q321" s="352"/>
      <c r="R321" s="352"/>
      <c r="S321" s="352"/>
      <c r="T321" s="352"/>
      <c r="U321" s="352"/>
      <c r="V321" s="352"/>
      <c r="W321" s="352"/>
      <c r="X321" s="352"/>
      <c r="Y321" s="352"/>
      <c r="Z321" s="352"/>
      <c r="AA321" s="352"/>
      <c r="AB321" s="352"/>
      <c r="AC321" s="352"/>
      <c r="AD321" s="352"/>
      <c r="AE321" s="352"/>
    </row>
    <row r="322">
      <c r="A322" s="352"/>
      <c r="B322" s="352"/>
      <c r="C322" s="972"/>
      <c r="D322" s="972"/>
      <c r="E322" s="972"/>
      <c r="F322" s="972"/>
      <c r="G322" s="972"/>
      <c r="H322" s="972"/>
      <c r="I322" s="972"/>
      <c r="J322" s="972"/>
      <c r="K322" s="972"/>
      <c r="L322" s="972"/>
      <c r="M322" s="972"/>
      <c r="N322" s="972"/>
      <c r="O322" s="352"/>
      <c r="P322" s="352"/>
      <c r="Q322" s="352"/>
      <c r="R322" s="352"/>
      <c r="S322" s="352"/>
      <c r="T322" s="352"/>
      <c r="U322" s="352"/>
      <c r="V322" s="352"/>
      <c r="W322" s="352"/>
      <c r="X322" s="352"/>
      <c r="Y322" s="352"/>
      <c r="Z322" s="352"/>
      <c r="AA322" s="352"/>
      <c r="AB322" s="352"/>
      <c r="AC322" s="352"/>
      <c r="AD322" s="352"/>
      <c r="AE322" s="352"/>
    </row>
    <row r="323">
      <c r="A323" s="352"/>
      <c r="B323" s="352"/>
      <c r="C323" s="972"/>
      <c r="D323" s="972"/>
      <c r="E323" s="972"/>
      <c r="F323" s="972"/>
      <c r="G323" s="972"/>
      <c r="H323" s="972"/>
      <c r="I323" s="972"/>
      <c r="J323" s="972"/>
      <c r="K323" s="972"/>
      <c r="L323" s="972"/>
      <c r="M323" s="972"/>
      <c r="N323" s="972"/>
      <c r="O323" s="352"/>
      <c r="P323" s="352"/>
      <c r="Q323" s="352"/>
      <c r="R323" s="352"/>
      <c r="S323" s="352"/>
      <c r="T323" s="352"/>
      <c r="U323" s="352"/>
      <c r="V323" s="352"/>
      <c r="W323" s="352"/>
      <c r="X323" s="352"/>
      <c r="Y323" s="352"/>
      <c r="Z323" s="352"/>
      <c r="AA323" s="352"/>
      <c r="AB323" s="352"/>
      <c r="AC323" s="352"/>
      <c r="AD323" s="352"/>
      <c r="AE323" s="352"/>
    </row>
    <row r="324">
      <c r="A324" s="352"/>
      <c r="B324" s="352"/>
      <c r="C324" s="972"/>
      <c r="D324" s="972"/>
      <c r="E324" s="972"/>
      <c r="F324" s="972"/>
      <c r="G324" s="972"/>
      <c r="H324" s="972"/>
      <c r="I324" s="972"/>
      <c r="J324" s="972"/>
      <c r="K324" s="972"/>
      <c r="L324" s="972"/>
      <c r="M324" s="972"/>
      <c r="N324" s="972"/>
      <c r="O324" s="352"/>
      <c r="P324" s="352"/>
      <c r="Q324" s="352"/>
      <c r="R324" s="352"/>
      <c r="S324" s="352"/>
      <c r="T324" s="352"/>
      <c r="U324" s="352"/>
      <c r="V324" s="352"/>
      <c r="W324" s="352"/>
      <c r="X324" s="352"/>
      <c r="Y324" s="352"/>
      <c r="Z324" s="352"/>
      <c r="AA324" s="352"/>
      <c r="AB324" s="352"/>
      <c r="AC324" s="352"/>
      <c r="AD324" s="352"/>
      <c r="AE324" s="352"/>
    </row>
    <row r="325">
      <c r="A325" s="352"/>
      <c r="B325" s="352"/>
      <c r="C325" s="972"/>
      <c r="D325" s="972"/>
      <c r="E325" s="972"/>
      <c r="F325" s="972"/>
      <c r="G325" s="972"/>
      <c r="H325" s="972"/>
      <c r="I325" s="972"/>
      <c r="J325" s="972"/>
      <c r="K325" s="972"/>
      <c r="L325" s="972"/>
      <c r="M325" s="972"/>
      <c r="N325" s="972"/>
      <c r="O325" s="352"/>
      <c r="P325" s="352"/>
      <c r="Q325" s="352"/>
      <c r="R325" s="352"/>
      <c r="S325" s="352"/>
      <c r="T325" s="352"/>
      <c r="U325" s="352"/>
      <c r="V325" s="352"/>
      <c r="W325" s="352"/>
      <c r="X325" s="352"/>
      <c r="Y325" s="352"/>
      <c r="Z325" s="352"/>
      <c r="AA325" s="352"/>
      <c r="AB325" s="352"/>
      <c r="AC325" s="352"/>
      <c r="AD325" s="352"/>
      <c r="AE325" s="352"/>
    </row>
    <row r="326">
      <c r="A326" s="352"/>
      <c r="B326" s="352"/>
      <c r="C326" s="972"/>
      <c r="D326" s="972"/>
      <c r="E326" s="972"/>
      <c r="F326" s="972"/>
      <c r="G326" s="972"/>
      <c r="H326" s="972"/>
      <c r="I326" s="972"/>
      <c r="J326" s="972"/>
      <c r="K326" s="972"/>
      <c r="L326" s="972"/>
      <c r="M326" s="972"/>
      <c r="N326" s="972"/>
      <c r="O326" s="352"/>
      <c r="P326" s="352"/>
      <c r="Q326" s="352"/>
      <c r="R326" s="352"/>
      <c r="S326" s="352"/>
      <c r="T326" s="352"/>
      <c r="U326" s="352"/>
      <c r="V326" s="352"/>
      <c r="W326" s="352"/>
      <c r="X326" s="352"/>
      <c r="Y326" s="352"/>
      <c r="Z326" s="352"/>
      <c r="AA326" s="352"/>
      <c r="AB326" s="352"/>
      <c r="AC326" s="352"/>
      <c r="AD326" s="352"/>
      <c r="AE326" s="352"/>
    </row>
    <row r="327">
      <c r="A327" s="352"/>
      <c r="B327" s="352"/>
      <c r="C327" s="972"/>
      <c r="D327" s="972"/>
      <c r="E327" s="972"/>
      <c r="F327" s="972"/>
      <c r="G327" s="972"/>
      <c r="H327" s="972"/>
      <c r="I327" s="972"/>
      <c r="J327" s="972"/>
      <c r="K327" s="972"/>
      <c r="L327" s="972"/>
      <c r="M327" s="972"/>
      <c r="N327" s="972"/>
      <c r="O327" s="352"/>
      <c r="P327" s="352"/>
      <c r="Q327" s="352"/>
      <c r="R327" s="352"/>
      <c r="S327" s="352"/>
      <c r="T327" s="352"/>
      <c r="U327" s="352"/>
      <c r="V327" s="352"/>
      <c r="W327" s="352"/>
      <c r="X327" s="352"/>
      <c r="Y327" s="352"/>
      <c r="Z327" s="352"/>
      <c r="AA327" s="352"/>
      <c r="AB327" s="352"/>
      <c r="AC327" s="352"/>
      <c r="AD327" s="352"/>
      <c r="AE327" s="352"/>
    </row>
    <row r="328">
      <c r="A328" s="352"/>
      <c r="B328" s="352"/>
      <c r="C328" s="972"/>
      <c r="D328" s="972"/>
      <c r="E328" s="972"/>
      <c r="F328" s="972"/>
      <c r="G328" s="972"/>
      <c r="H328" s="972"/>
      <c r="I328" s="972"/>
      <c r="J328" s="972"/>
      <c r="K328" s="972"/>
      <c r="L328" s="972"/>
      <c r="M328" s="972"/>
      <c r="N328" s="972"/>
      <c r="O328" s="352"/>
      <c r="P328" s="352"/>
      <c r="Q328" s="352"/>
      <c r="R328" s="352"/>
      <c r="S328" s="352"/>
      <c r="T328" s="352"/>
      <c r="U328" s="352"/>
      <c r="V328" s="352"/>
      <c r="W328" s="352"/>
      <c r="X328" s="352"/>
      <c r="Y328" s="352"/>
      <c r="Z328" s="352"/>
      <c r="AA328" s="352"/>
      <c r="AB328" s="352"/>
      <c r="AC328" s="352"/>
      <c r="AD328" s="352"/>
      <c r="AE328" s="352"/>
    </row>
    <row r="329">
      <c r="A329" s="352"/>
      <c r="B329" s="352"/>
      <c r="C329" s="972"/>
      <c r="D329" s="972"/>
      <c r="E329" s="972"/>
      <c r="F329" s="972"/>
      <c r="G329" s="972"/>
      <c r="H329" s="972"/>
      <c r="I329" s="972"/>
      <c r="J329" s="972"/>
      <c r="K329" s="972"/>
      <c r="L329" s="972"/>
      <c r="M329" s="972"/>
      <c r="N329" s="972"/>
      <c r="O329" s="352"/>
      <c r="P329" s="352"/>
      <c r="Q329" s="352"/>
      <c r="R329" s="352"/>
      <c r="S329" s="352"/>
      <c r="T329" s="352"/>
      <c r="U329" s="352"/>
      <c r="V329" s="352"/>
      <c r="W329" s="352"/>
      <c r="X329" s="352"/>
      <c r="Y329" s="352"/>
      <c r="Z329" s="352"/>
      <c r="AA329" s="352"/>
      <c r="AB329" s="352"/>
      <c r="AC329" s="352"/>
      <c r="AD329" s="352"/>
      <c r="AE329" s="352"/>
    </row>
    <row r="330">
      <c r="A330" s="352"/>
      <c r="B330" s="352"/>
      <c r="C330" s="972"/>
      <c r="D330" s="972"/>
      <c r="E330" s="972"/>
      <c r="F330" s="972"/>
      <c r="G330" s="972"/>
      <c r="H330" s="972"/>
      <c r="I330" s="972"/>
      <c r="J330" s="972"/>
      <c r="K330" s="972"/>
      <c r="L330" s="972"/>
      <c r="M330" s="972"/>
      <c r="N330" s="972"/>
      <c r="O330" s="352"/>
      <c r="P330" s="352"/>
      <c r="Q330" s="352"/>
      <c r="R330" s="352"/>
      <c r="S330" s="352"/>
      <c r="T330" s="352"/>
      <c r="U330" s="352"/>
      <c r="V330" s="352"/>
      <c r="W330" s="352"/>
      <c r="X330" s="352"/>
      <c r="Y330" s="352"/>
      <c r="Z330" s="352"/>
      <c r="AA330" s="352"/>
      <c r="AB330" s="352"/>
      <c r="AC330" s="352"/>
      <c r="AD330" s="352"/>
      <c r="AE330" s="352"/>
    </row>
    <row r="331">
      <c r="A331" s="352"/>
      <c r="B331" s="352"/>
      <c r="C331" s="972"/>
      <c r="D331" s="972"/>
      <c r="E331" s="972"/>
      <c r="F331" s="972"/>
      <c r="G331" s="972"/>
      <c r="H331" s="972"/>
      <c r="I331" s="972"/>
      <c r="J331" s="972"/>
      <c r="K331" s="972"/>
      <c r="L331" s="972"/>
      <c r="M331" s="972"/>
      <c r="N331" s="972"/>
      <c r="O331" s="352"/>
      <c r="P331" s="352"/>
      <c r="Q331" s="352"/>
      <c r="R331" s="352"/>
      <c r="S331" s="352"/>
      <c r="T331" s="352"/>
      <c r="U331" s="352"/>
      <c r="V331" s="352"/>
      <c r="W331" s="352"/>
      <c r="X331" s="352"/>
      <c r="Y331" s="352"/>
      <c r="Z331" s="352"/>
      <c r="AA331" s="352"/>
      <c r="AB331" s="352"/>
      <c r="AC331" s="352"/>
      <c r="AD331" s="352"/>
      <c r="AE331" s="352"/>
    </row>
    <row r="332">
      <c r="A332" s="352"/>
      <c r="B332" s="352"/>
      <c r="C332" s="972"/>
      <c r="D332" s="972"/>
      <c r="E332" s="972"/>
      <c r="F332" s="972"/>
      <c r="G332" s="972"/>
      <c r="H332" s="972"/>
      <c r="I332" s="972"/>
      <c r="J332" s="972"/>
      <c r="K332" s="972"/>
      <c r="L332" s="972"/>
      <c r="M332" s="972"/>
      <c r="N332" s="972"/>
      <c r="O332" s="352"/>
      <c r="P332" s="352"/>
      <c r="Q332" s="352"/>
      <c r="R332" s="352"/>
      <c r="S332" s="352"/>
      <c r="T332" s="352"/>
      <c r="U332" s="352"/>
      <c r="V332" s="352"/>
      <c r="W332" s="352"/>
      <c r="X332" s="352"/>
      <c r="Y332" s="352"/>
      <c r="Z332" s="352"/>
      <c r="AA332" s="352"/>
      <c r="AB332" s="352"/>
      <c r="AC332" s="352"/>
      <c r="AD332" s="352"/>
      <c r="AE332" s="352"/>
    </row>
    <row r="333">
      <c r="A333" s="352"/>
      <c r="B333" s="352"/>
      <c r="C333" s="972"/>
      <c r="D333" s="972"/>
      <c r="E333" s="972"/>
      <c r="F333" s="972"/>
      <c r="G333" s="972"/>
      <c r="H333" s="972"/>
      <c r="I333" s="972"/>
      <c r="J333" s="972"/>
      <c r="K333" s="972"/>
      <c r="L333" s="972"/>
      <c r="M333" s="972"/>
      <c r="N333" s="972"/>
      <c r="O333" s="352"/>
      <c r="P333" s="352"/>
      <c r="Q333" s="352"/>
      <c r="R333" s="352"/>
      <c r="S333" s="352"/>
      <c r="T333" s="352"/>
      <c r="U333" s="352"/>
      <c r="V333" s="352"/>
      <c r="W333" s="352"/>
      <c r="X333" s="352"/>
      <c r="Y333" s="352"/>
      <c r="Z333" s="352"/>
      <c r="AA333" s="352"/>
      <c r="AB333" s="352"/>
      <c r="AC333" s="352"/>
      <c r="AD333" s="352"/>
      <c r="AE333" s="352"/>
    </row>
    <row r="334">
      <c r="A334" s="352"/>
      <c r="B334" s="352"/>
      <c r="C334" s="972"/>
      <c r="D334" s="972"/>
      <c r="E334" s="972"/>
      <c r="F334" s="972"/>
      <c r="G334" s="972"/>
      <c r="H334" s="972"/>
      <c r="I334" s="972"/>
      <c r="J334" s="972"/>
      <c r="K334" s="972"/>
      <c r="L334" s="972"/>
      <c r="M334" s="972"/>
      <c r="N334" s="972"/>
      <c r="O334" s="352"/>
      <c r="P334" s="352"/>
      <c r="Q334" s="352"/>
      <c r="R334" s="352"/>
      <c r="S334" s="352"/>
      <c r="T334" s="352"/>
      <c r="U334" s="352"/>
      <c r="V334" s="352"/>
      <c r="W334" s="352"/>
      <c r="X334" s="352"/>
      <c r="Y334" s="352"/>
      <c r="Z334" s="352"/>
      <c r="AA334" s="352"/>
      <c r="AB334" s="352"/>
      <c r="AC334" s="352"/>
      <c r="AD334" s="352"/>
      <c r="AE334" s="352"/>
    </row>
    <row r="335">
      <c r="A335" s="352"/>
      <c r="B335" s="352"/>
      <c r="C335" s="972"/>
      <c r="D335" s="972"/>
      <c r="E335" s="972"/>
      <c r="F335" s="972"/>
      <c r="G335" s="972"/>
      <c r="H335" s="972"/>
      <c r="I335" s="972"/>
      <c r="J335" s="972"/>
      <c r="K335" s="972"/>
      <c r="L335" s="972"/>
      <c r="M335" s="972"/>
      <c r="N335" s="972"/>
      <c r="O335" s="352"/>
      <c r="P335" s="352"/>
      <c r="Q335" s="352"/>
      <c r="R335" s="352"/>
      <c r="S335" s="352"/>
      <c r="T335" s="352"/>
      <c r="U335" s="352"/>
      <c r="V335" s="352"/>
      <c r="W335" s="352"/>
      <c r="X335" s="352"/>
      <c r="Y335" s="352"/>
      <c r="Z335" s="352"/>
      <c r="AA335" s="352"/>
      <c r="AB335" s="352"/>
      <c r="AC335" s="352"/>
      <c r="AD335" s="352"/>
      <c r="AE335" s="352"/>
    </row>
    <row r="336">
      <c r="A336" s="352"/>
      <c r="B336" s="352"/>
      <c r="C336" s="972"/>
      <c r="D336" s="972"/>
      <c r="E336" s="972"/>
      <c r="F336" s="972"/>
      <c r="G336" s="972"/>
      <c r="H336" s="972"/>
      <c r="I336" s="972"/>
      <c r="J336" s="972"/>
      <c r="K336" s="972"/>
      <c r="L336" s="972"/>
      <c r="M336" s="972"/>
      <c r="N336" s="972"/>
      <c r="O336" s="352"/>
      <c r="P336" s="352"/>
      <c r="Q336" s="352"/>
      <c r="R336" s="352"/>
      <c r="S336" s="352"/>
      <c r="T336" s="352"/>
      <c r="U336" s="352"/>
      <c r="V336" s="352"/>
      <c r="W336" s="352"/>
      <c r="X336" s="352"/>
      <c r="Y336" s="352"/>
      <c r="Z336" s="352"/>
      <c r="AA336" s="352"/>
      <c r="AB336" s="352"/>
      <c r="AC336" s="352"/>
      <c r="AD336" s="352"/>
      <c r="AE336" s="352"/>
    </row>
    <row r="337">
      <c r="A337" s="352"/>
      <c r="B337" s="352"/>
      <c r="C337" s="972"/>
      <c r="D337" s="972"/>
      <c r="E337" s="972"/>
      <c r="F337" s="972"/>
      <c r="G337" s="972"/>
      <c r="H337" s="972"/>
      <c r="I337" s="972"/>
      <c r="J337" s="972"/>
      <c r="K337" s="972"/>
      <c r="L337" s="972"/>
      <c r="M337" s="972"/>
      <c r="N337" s="972"/>
      <c r="O337" s="352"/>
      <c r="P337" s="352"/>
      <c r="Q337" s="352"/>
      <c r="R337" s="352"/>
      <c r="S337" s="352"/>
      <c r="T337" s="352"/>
      <c r="U337" s="352"/>
      <c r="V337" s="352"/>
      <c r="W337" s="352"/>
      <c r="X337" s="352"/>
      <c r="Y337" s="352"/>
      <c r="Z337" s="352"/>
      <c r="AA337" s="352"/>
      <c r="AB337" s="352"/>
      <c r="AC337" s="352"/>
      <c r="AD337" s="352"/>
      <c r="AE337" s="352"/>
    </row>
    <row r="338">
      <c r="A338" s="352"/>
      <c r="B338" s="352"/>
      <c r="C338" s="972"/>
      <c r="D338" s="972"/>
      <c r="E338" s="972"/>
      <c r="F338" s="972"/>
      <c r="G338" s="972"/>
      <c r="H338" s="972"/>
      <c r="I338" s="972"/>
      <c r="J338" s="972"/>
      <c r="K338" s="972"/>
      <c r="L338" s="972"/>
      <c r="M338" s="972"/>
      <c r="N338" s="972"/>
      <c r="O338" s="352"/>
      <c r="P338" s="352"/>
      <c r="Q338" s="352"/>
      <c r="R338" s="352"/>
      <c r="S338" s="352"/>
      <c r="T338" s="352"/>
      <c r="U338" s="352"/>
      <c r="V338" s="352"/>
      <c r="W338" s="352"/>
      <c r="X338" s="352"/>
      <c r="Y338" s="352"/>
      <c r="Z338" s="352"/>
      <c r="AA338" s="352"/>
      <c r="AB338" s="352"/>
      <c r="AC338" s="352"/>
      <c r="AD338" s="352"/>
      <c r="AE338" s="352"/>
    </row>
    <row r="339">
      <c r="A339" s="352"/>
      <c r="B339" s="352"/>
      <c r="C339" s="972"/>
      <c r="D339" s="972"/>
      <c r="E339" s="972"/>
      <c r="F339" s="972"/>
      <c r="G339" s="972"/>
      <c r="H339" s="972"/>
      <c r="I339" s="972"/>
      <c r="J339" s="972"/>
      <c r="K339" s="972"/>
      <c r="L339" s="972"/>
      <c r="M339" s="972"/>
      <c r="N339" s="972"/>
      <c r="O339" s="352"/>
      <c r="P339" s="352"/>
      <c r="Q339" s="352"/>
      <c r="R339" s="352"/>
      <c r="S339" s="352"/>
      <c r="T339" s="352"/>
      <c r="U339" s="352"/>
      <c r="V339" s="352"/>
      <c r="W339" s="352"/>
      <c r="X339" s="352"/>
      <c r="Y339" s="352"/>
      <c r="Z339" s="352"/>
      <c r="AA339" s="352"/>
      <c r="AB339" s="352"/>
      <c r="AC339" s="352"/>
      <c r="AD339" s="352"/>
      <c r="AE339" s="352"/>
    </row>
    <row r="340">
      <c r="A340" s="352"/>
      <c r="B340" s="352"/>
      <c r="C340" s="972"/>
      <c r="D340" s="972"/>
      <c r="E340" s="972"/>
      <c r="F340" s="972"/>
      <c r="G340" s="972"/>
      <c r="H340" s="972"/>
      <c r="I340" s="972"/>
      <c r="J340" s="972"/>
      <c r="K340" s="972"/>
      <c r="L340" s="972"/>
      <c r="M340" s="972"/>
      <c r="N340" s="972"/>
      <c r="O340" s="352"/>
      <c r="P340" s="352"/>
      <c r="Q340" s="352"/>
      <c r="R340" s="352"/>
      <c r="S340" s="352"/>
      <c r="T340" s="352"/>
      <c r="U340" s="352"/>
      <c r="V340" s="352"/>
      <c r="W340" s="352"/>
      <c r="X340" s="352"/>
      <c r="Y340" s="352"/>
      <c r="Z340" s="352"/>
      <c r="AA340" s="352"/>
      <c r="AB340" s="352"/>
      <c r="AC340" s="352"/>
      <c r="AD340" s="352"/>
      <c r="AE340" s="352"/>
    </row>
    <row r="341">
      <c r="A341" s="352"/>
      <c r="B341" s="352"/>
      <c r="C341" s="972"/>
      <c r="D341" s="972"/>
      <c r="E341" s="972"/>
      <c r="F341" s="972"/>
      <c r="G341" s="972"/>
      <c r="H341" s="972"/>
      <c r="I341" s="972"/>
      <c r="J341" s="972"/>
      <c r="K341" s="972"/>
      <c r="L341" s="972"/>
      <c r="M341" s="972"/>
      <c r="N341" s="972"/>
      <c r="O341" s="352"/>
      <c r="P341" s="352"/>
      <c r="Q341" s="352"/>
      <c r="R341" s="352"/>
      <c r="S341" s="352"/>
      <c r="T341" s="352"/>
      <c r="U341" s="352"/>
      <c r="V341" s="352"/>
      <c r="W341" s="352"/>
      <c r="X341" s="352"/>
      <c r="Y341" s="352"/>
      <c r="Z341" s="352"/>
      <c r="AA341" s="352"/>
      <c r="AB341" s="352"/>
      <c r="AC341" s="352"/>
      <c r="AD341" s="352"/>
      <c r="AE341" s="352"/>
    </row>
    <row r="342">
      <c r="A342" s="352"/>
      <c r="B342" s="352"/>
      <c r="C342" s="972"/>
      <c r="D342" s="972"/>
      <c r="E342" s="972"/>
      <c r="F342" s="972"/>
      <c r="G342" s="972"/>
      <c r="H342" s="972"/>
      <c r="I342" s="972"/>
      <c r="J342" s="972"/>
      <c r="K342" s="972"/>
      <c r="L342" s="972"/>
      <c r="M342" s="972"/>
      <c r="N342" s="972"/>
      <c r="O342" s="352"/>
      <c r="P342" s="352"/>
      <c r="Q342" s="352"/>
      <c r="R342" s="352"/>
      <c r="S342" s="352"/>
      <c r="T342" s="352"/>
      <c r="U342" s="352"/>
      <c r="V342" s="352"/>
      <c r="W342" s="352"/>
      <c r="X342" s="352"/>
      <c r="Y342" s="352"/>
      <c r="Z342" s="352"/>
      <c r="AA342" s="352"/>
      <c r="AB342" s="352"/>
      <c r="AC342" s="352"/>
      <c r="AD342" s="352"/>
      <c r="AE342" s="352"/>
    </row>
    <row r="343">
      <c r="A343" s="352"/>
      <c r="B343" s="352"/>
      <c r="C343" s="972"/>
      <c r="D343" s="972"/>
      <c r="E343" s="972"/>
      <c r="F343" s="972"/>
      <c r="G343" s="972"/>
      <c r="H343" s="972"/>
      <c r="I343" s="972"/>
      <c r="J343" s="972"/>
      <c r="K343" s="972"/>
      <c r="L343" s="972"/>
      <c r="M343" s="972"/>
      <c r="N343" s="972"/>
      <c r="O343" s="352"/>
      <c r="P343" s="352"/>
      <c r="Q343" s="352"/>
      <c r="R343" s="352"/>
      <c r="S343" s="352"/>
      <c r="T343" s="352"/>
      <c r="U343" s="352"/>
      <c r="V343" s="352"/>
      <c r="W343" s="352"/>
      <c r="X343" s="352"/>
      <c r="Y343" s="352"/>
      <c r="Z343" s="352"/>
      <c r="AA343" s="352"/>
      <c r="AB343" s="352"/>
      <c r="AC343" s="352"/>
      <c r="AD343" s="352"/>
      <c r="AE343" s="352"/>
    </row>
    <row r="344">
      <c r="A344" s="352"/>
      <c r="B344" s="352"/>
      <c r="C344" s="972"/>
      <c r="D344" s="972"/>
      <c r="E344" s="972"/>
      <c r="F344" s="972"/>
      <c r="G344" s="972"/>
      <c r="H344" s="972"/>
      <c r="I344" s="972"/>
      <c r="J344" s="972"/>
      <c r="K344" s="972"/>
      <c r="L344" s="972"/>
      <c r="M344" s="972"/>
      <c r="N344" s="972"/>
      <c r="O344" s="352"/>
      <c r="P344" s="352"/>
      <c r="Q344" s="352"/>
      <c r="R344" s="352"/>
      <c r="S344" s="352"/>
      <c r="T344" s="352"/>
      <c r="U344" s="352"/>
      <c r="V344" s="352"/>
      <c r="W344" s="352"/>
      <c r="X344" s="352"/>
      <c r="Y344" s="352"/>
      <c r="Z344" s="352"/>
      <c r="AA344" s="352"/>
      <c r="AB344" s="352"/>
      <c r="AC344" s="352"/>
      <c r="AD344" s="352"/>
      <c r="AE344" s="352"/>
    </row>
    <row r="345">
      <c r="A345" s="352"/>
      <c r="B345" s="352"/>
      <c r="C345" s="972"/>
      <c r="D345" s="972"/>
      <c r="E345" s="972"/>
      <c r="F345" s="972"/>
      <c r="G345" s="972"/>
      <c r="H345" s="972"/>
      <c r="I345" s="972"/>
      <c r="J345" s="972"/>
      <c r="K345" s="972"/>
      <c r="L345" s="972"/>
      <c r="M345" s="972"/>
      <c r="N345" s="972"/>
      <c r="O345" s="352"/>
      <c r="P345" s="352"/>
      <c r="Q345" s="352"/>
      <c r="R345" s="352"/>
      <c r="S345" s="352"/>
      <c r="T345" s="352"/>
      <c r="U345" s="352"/>
      <c r="V345" s="352"/>
      <c r="W345" s="352"/>
      <c r="X345" s="352"/>
      <c r="Y345" s="352"/>
      <c r="Z345" s="352"/>
      <c r="AA345" s="352"/>
      <c r="AB345" s="352"/>
      <c r="AC345" s="352"/>
      <c r="AD345" s="352"/>
      <c r="AE345" s="352"/>
    </row>
    <row r="346">
      <c r="A346" s="352"/>
      <c r="B346" s="352"/>
      <c r="C346" s="972"/>
      <c r="D346" s="972"/>
      <c r="E346" s="972"/>
      <c r="F346" s="972"/>
      <c r="G346" s="972"/>
      <c r="H346" s="972"/>
      <c r="I346" s="972"/>
      <c r="J346" s="972"/>
      <c r="K346" s="972"/>
      <c r="L346" s="972"/>
      <c r="M346" s="972"/>
      <c r="N346" s="972"/>
      <c r="O346" s="352"/>
      <c r="P346" s="352"/>
      <c r="Q346" s="352"/>
      <c r="R346" s="352"/>
      <c r="S346" s="352"/>
      <c r="T346" s="352"/>
      <c r="U346" s="352"/>
      <c r="V346" s="352"/>
      <c r="W346" s="352"/>
      <c r="X346" s="352"/>
      <c r="Y346" s="352"/>
      <c r="Z346" s="352"/>
      <c r="AA346" s="352"/>
      <c r="AB346" s="352"/>
      <c r="AC346" s="352"/>
      <c r="AD346" s="352"/>
      <c r="AE346" s="352"/>
    </row>
    <row r="347">
      <c r="A347" s="352"/>
      <c r="B347" s="352"/>
      <c r="C347" s="972"/>
      <c r="D347" s="972"/>
      <c r="E347" s="972"/>
      <c r="F347" s="972"/>
      <c r="G347" s="972"/>
      <c r="H347" s="972"/>
      <c r="I347" s="972"/>
      <c r="J347" s="972"/>
      <c r="K347" s="972"/>
      <c r="L347" s="972"/>
      <c r="M347" s="972"/>
      <c r="N347" s="972"/>
      <c r="O347" s="352"/>
      <c r="P347" s="352"/>
      <c r="Q347" s="352"/>
      <c r="R347" s="352"/>
      <c r="S347" s="352"/>
      <c r="T347" s="352"/>
      <c r="U347" s="352"/>
      <c r="V347" s="352"/>
      <c r="W347" s="352"/>
      <c r="X347" s="352"/>
      <c r="Y347" s="352"/>
      <c r="Z347" s="352"/>
      <c r="AA347" s="352"/>
      <c r="AB347" s="352"/>
      <c r="AC347" s="352"/>
      <c r="AD347" s="352"/>
      <c r="AE347" s="352"/>
    </row>
    <row r="348">
      <c r="A348" s="352"/>
      <c r="B348" s="352"/>
      <c r="C348" s="972"/>
      <c r="D348" s="972"/>
      <c r="E348" s="972"/>
      <c r="F348" s="972"/>
      <c r="G348" s="972"/>
      <c r="H348" s="972"/>
      <c r="I348" s="972"/>
      <c r="J348" s="972"/>
      <c r="K348" s="972"/>
      <c r="L348" s="972"/>
      <c r="M348" s="972"/>
      <c r="N348" s="972"/>
      <c r="O348" s="352"/>
      <c r="P348" s="352"/>
      <c r="Q348" s="352"/>
      <c r="R348" s="352"/>
      <c r="S348" s="352"/>
      <c r="T348" s="352"/>
      <c r="U348" s="352"/>
      <c r="V348" s="352"/>
      <c r="W348" s="352"/>
      <c r="X348" s="352"/>
      <c r="Y348" s="352"/>
      <c r="Z348" s="352"/>
      <c r="AA348" s="352"/>
      <c r="AB348" s="352"/>
      <c r="AC348" s="352"/>
      <c r="AD348" s="352"/>
      <c r="AE348" s="352"/>
    </row>
    <row r="349">
      <c r="A349" s="352"/>
      <c r="B349" s="352"/>
      <c r="C349" s="972"/>
      <c r="D349" s="972"/>
      <c r="E349" s="972"/>
      <c r="F349" s="972"/>
      <c r="G349" s="972"/>
      <c r="H349" s="972"/>
      <c r="I349" s="972"/>
      <c r="J349" s="972"/>
      <c r="K349" s="972"/>
      <c r="L349" s="972"/>
      <c r="M349" s="972"/>
      <c r="N349" s="972"/>
      <c r="O349" s="352"/>
      <c r="P349" s="352"/>
      <c r="Q349" s="352"/>
      <c r="R349" s="352"/>
      <c r="S349" s="352"/>
      <c r="T349" s="352"/>
      <c r="U349" s="352"/>
      <c r="V349" s="352"/>
      <c r="W349" s="352"/>
      <c r="X349" s="352"/>
      <c r="Y349" s="352"/>
      <c r="Z349" s="352"/>
      <c r="AA349" s="352"/>
      <c r="AB349" s="352"/>
      <c r="AC349" s="352"/>
      <c r="AD349" s="352"/>
      <c r="AE349" s="352"/>
    </row>
    <row r="350">
      <c r="A350" s="352"/>
      <c r="B350" s="352"/>
      <c r="C350" s="972"/>
      <c r="D350" s="972"/>
      <c r="E350" s="972"/>
      <c r="F350" s="972"/>
      <c r="G350" s="972"/>
      <c r="H350" s="972"/>
      <c r="I350" s="972"/>
      <c r="J350" s="972"/>
      <c r="K350" s="972"/>
      <c r="L350" s="972"/>
      <c r="M350" s="972"/>
      <c r="N350" s="972"/>
      <c r="O350" s="352"/>
      <c r="P350" s="352"/>
      <c r="Q350" s="352"/>
      <c r="R350" s="352"/>
      <c r="S350" s="352"/>
      <c r="T350" s="352"/>
      <c r="U350" s="352"/>
      <c r="V350" s="352"/>
      <c r="W350" s="352"/>
      <c r="X350" s="352"/>
      <c r="Y350" s="352"/>
      <c r="Z350" s="352"/>
      <c r="AA350" s="352"/>
      <c r="AB350" s="352"/>
      <c r="AC350" s="352"/>
      <c r="AD350" s="352"/>
      <c r="AE350" s="352"/>
    </row>
    <row r="351">
      <c r="A351" s="352"/>
      <c r="B351" s="352"/>
      <c r="C351" s="972"/>
      <c r="D351" s="972"/>
      <c r="E351" s="972"/>
      <c r="F351" s="972"/>
      <c r="G351" s="972"/>
      <c r="H351" s="972"/>
      <c r="I351" s="972"/>
      <c r="J351" s="972"/>
      <c r="K351" s="972"/>
      <c r="L351" s="972"/>
      <c r="M351" s="972"/>
      <c r="N351" s="972"/>
      <c r="O351" s="352"/>
      <c r="P351" s="352"/>
      <c r="Q351" s="352"/>
      <c r="R351" s="352"/>
      <c r="S351" s="352"/>
      <c r="T351" s="352"/>
      <c r="U351" s="352"/>
      <c r="V351" s="352"/>
      <c r="W351" s="352"/>
      <c r="X351" s="352"/>
      <c r="Y351" s="352"/>
      <c r="Z351" s="352"/>
      <c r="AA351" s="352"/>
      <c r="AB351" s="352"/>
      <c r="AC351" s="352"/>
      <c r="AD351" s="352"/>
      <c r="AE351" s="352"/>
    </row>
    <row r="352">
      <c r="A352" s="352"/>
      <c r="B352" s="352"/>
      <c r="C352" s="972"/>
      <c r="D352" s="972"/>
      <c r="E352" s="972"/>
      <c r="F352" s="972"/>
      <c r="G352" s="972"/>
      <c r="H352" s="972"/>
      <c r="I352" s="972"/>
      <c r="J352" s="972"/>
      <c r="K352" s="972"/>
      <c r="L352" s="972"/>
      <c r="M352" s="972"/>
      <c r="N352" s="972"/>
      <c r="O352" s="352"/>
      <c r="P352" s="352"/>
      <c r="Q352" s="352"/>
      <c r="R352" s="352"/>
      <c r="S352" s="352"/>
      <c r="T352" s="352"/>
      <c r="U352" s="352"/>
      <c r="V352" s="352"/>
      <c r="W352" s="352"/>
      <c r="X352" s="352"/>
      <c r="Y352" s="352"/>
      <c r="Z352" s="352"/>
      <c r="AA352" s="352"/>
      <c r="AB352" s="352"/>
      <c r="AC352" s="352"/>
      <c r="AD352" s="352"/>
      <c r="AE352" s="352"/>
    </row>
    <row r="353">
      <c r="A353" s="352"/>
      <c r="B353" s="352"/>
      <c r="C353" s="972"/>
      <c r="D353" s="972"/>
      <c r="E353" s="972"/>
      <c r="F353" s="972"/>
      <c r="G353" s="972"/>
      <c r="H353" s="972"/>
      <c r="I353" s="972"/>
      <c r="J353" s="972"/>
      <c r="K353" s="972"/>
      <c r="L353" s="972"/>
      <c r="M353" s="972"/>
      <c r="N353" s="972"/>
      <c r="O353" s="352"/>
      <c r="P353" s="352"/>
      <c r="Q353" s="352"/>
      <c r="R353" s="352"/>
      <c r="S353" s="352"/>
      <c r="T353" s="352"/>
      <c r="U353" s="352"/>
      <c r="V353" s="352"/>
      <c r="W353" s="352"/>
      <c r="X353" s="352"/>
      <c r="Y353" s="352"/>
      <c r="Z353" s="352"/>
      <c r="AA353" s="352"/>
      <c r="AB353" s="352"/>
      <c r="AC353" s="352"/>
      <c r="AD353" s="352"/>
      <c r="AE353" s="352"/>
    </row>
    <row r="354">
      <c r="A354" s="352"/>
      <c r="B354" s="352"/>
      <c r="C354" s="972"/>
      <c r="D354" s="972"/>
      <c r="E354" s="972"/>
      <c r="F354" s="972"/>
      <c r="G354" s="972"/>
      <c r="H354" s="972"/>
      <c r="I354" s="972"/>
      <c r="J354" s="972"/>
      <c r="K354" s="972"/>
      <c r="L354" s="972"/>
      <c r="M354" s="972"/>
      <c r="N354" s="972"/>
      <c r="O354" s="352"/>
      <c r="P354" s="352"/>
      <c r="Q354" s="352"/>
      <c r="R354" s="352"/>
      <c r="S354" s="352"/>
      <c r="T354" s="352"/>
      <c r="U354" s="352"/>
      <c r="V354" s="352"/>
      <c r="W354" s="352"/>
      <c r="X354" s="352"/>
      <c r="Y354" s="352"/>
      <c r="Z354" s="352"/>
      <c r="AA354" s="352"/>
      <c r="AB354" s="352"/>
      <c r="AC354" s="352"/>
      <c r="AD354" s="352"/>
      <c r="AE354" s="352"/>
    </row>
    <row r="355">
      <c r="A355" s="352"/>
      <c r="B355" s="352"/>
      <c r="C355" s="972"/>
      <c r="D355" s="972"/>
      <c r="E355" s="972"/>
      <c r="F355" s="972"/>
      <c r="G355" s="972"/>
      <c r="H355" s="972"/>
      <c r="I355" s="972"/>
      <c r="J355" s="972"/>
      <c r="K355" s="972"/>
      <c r="L355" s="972"/>
      <c r="M355" s="972"/>
      <c r="N355" s="972"/>
      <c r="O355" s="352"/>
      <c r="P355" s="352"/>
      <c r="Q355" s="352"/>
      <c r="R355" s="352"/>
      <c r="S355" s="352"/>
      <c r="T355" s="352"/>
      <c r="U355" s="352"/>
      <c r="V355" s="352"/>
      <c r="W355" s="352"/>
      <c r="X355" s="352"/>
      <c r="Y355" s="352"/>
      <c r="Z355" s="352"/>
      <c r="AA355" s="352"/>
      <c r="AB355" s="352"/>
      <c r="AC355" s="352"/>
      <c r="AD355" s="352"/>
      <c r="AE355" s="352"/>
    </row>
    <row r="356">
      <c r="A356" s="352"/>
      <c r="B356" s="352"/>
      <c r="C356" s="972"/>
      <c r="D356" s="972"/>
      <c r="E356" s="972"/>
      <c r="F356" s="972"/>
      <c r="G356" s="972"/>
      <c r="H356" s="972"/>
      <c r="I356" s="972"/>
      <c r="J356" s="972"/>
      <c r="K356" s="972"/>
      <c r="L356" s="972"/>
      <c r="M356" s="972"/>
      <c r="N356" s="972"/>
      <c r="O356" s="352"/>
      <c r="P356" s="352"/>
      <c r="Q356" s="352"/>
      <c r="R356" s="352"/>
      <c r="S356" s="352"/>
      <c r="T356" s="352"/>
      <c r="U356" s="352"/>
      <c r="V356" s="352"/>
      <c r="W356" s="352"/>
      <c r="X356" s="352"/>
      <c r="Y356" s="352"/>
      <c r="Z356" s="352"/>
      <c r="AA356" s="352"/>
      <c r="AB356" s="352"/>
      <c r="AC356" s="352"/>
      <c r="AD356" s="352"/>
      <c r="AE356" s="352"/>
    </row>
    <row r="357">
      <c r="A357" s="352"/>
      <c r="B357" s="352"/>
      <c r="C357" s="972"/>
      <c r="D357" s="972"/>
      <c r="E357" s="972"/>
      <c r="F357" s="972"/>
      <c r="G357" s="972"/>
      <c r="H357" s="972"/>
      <c r="I357" s="972"/>
      <c r="J357" s="972"/>
      <c r="K357" s="972"/>
      <c r="L357" s="972"/>
      <c r="M357" s="972"/>
      <c r="N357" s="972"/>
      <c r="O357" s="352"/>
      <c r="P357" s="352"/>
      <c r="Q357" s="352"/>
      <c r="R357" s="352"/>
      <c r="S357" s="352"/>
      <c r="T357" s="352"/>
      <c r="U357" s="352"/>
      <c r="V357" s="352"/>
      <c r="W357" s="352"/>
      <c r="X357" s="352"/>
      <c r="Y357" s="352"/>
      <c r="Z357" s="352"/>
      <c r="AA357" s="352"/>
      <c r="AB357" s="352"/>
      <c r="AC357" s="352"/>
      <c r="AD357" s="352"/>
      <c r="AE357" s="352"/>
    </row>
    <row r="358">
      <c r="A358" s="352"/>
      <c r="B358" s="352"/>
      <c r="C358" s="972"/>
      <c r="D358" s="972"/>
      <c r="E358" s="972"/>
      <c r="F358" s="972"/>
      <c r="G358" s="972"/>
      <c r="H358" s="972"/>
      <c r="I358" s="972"/>
      <c r="J358" s="972"/>
      <c r="K358" s="972"/>
      <c r="L358" s="972"/>
      <c r="M358" s="972"/>
      <c r="N358" s="972"/>
      <c r="O358" s="352"/>
      <c r="P358" s="352"/>
      <c r="Q358" s="352"/>
      <c r="R358" s="352"/>
      <c r="S358" s="352"/>
      <c r="T358" s="352"/>
      <c r="U358" s="352"/>
      <c r="V358" s="352"/>
      <c r="W358" s="352"/>
      <c r="X358" s="352"/>
      <c r="Y358" s="352"/>
      <c r="Z358" s="352"/>
      <c r="AA358" s="352"/>
      <c r="AB358" s="352"/>
      <c r="AC358" s="352"/>
      <c r="AD358" s="352"/>
      <c r="AE358" s="352"/>
    </row>
    <row r="359">
      <c r="A359" s="352"/>
      <c r="B359" s="352"/>
      <c r="C359" s="972"/>
      <c r="D359" s="972"/>
      <c r="E359" s="972"/>
      <c r="F359" s="972"/>
      <c r="G359" s="972"/>
      <c r="H359" s="972"/>
      <c r="I359" s="972"/>
      <c r="J359" s="972"/>
      <c r="K359" s="972"/>
      <c r="L359" s="972"/>
      <c r="M359" s="972"/>
      <c r="N359" s="972"/>
      <c r="O359" s="352"/>
      <c r="P359" s="352"/>
      <c r="Q359" s="352"/>
      <c r="R359" s="352"/>
      <c r="S359" s="352"/>
      <c r="T359" s="352"/>
      <c r="U359" s="352"/>
      <c r="V359" s="352"/>
      <c r="W359" s="352"/>
      <c r="X359" s="352"/>
      <c r="Y359" s="352"/>
      <c r="Z359" s="352"/>
      <c r="AA359" s="352"/>
      <c r="AB359" s="352"/>
      <c r="AC359" s="352"/>
      <c r="AD359" s="352"/>
      <c r="AE359" s="352"/>
    </row>
    <row r="360">
      <c r="A360" s="352"/>
      <c r="B360" s="352"/>
      <c r="C360" s="972"/>
      <c r="D360" s="972"/>
      <c r="E360" s="972"/>
      <c r="F360" s="972"/>
      <c r="G360" s="972"/>
      <c r="H360" s="972"/>
      <c r="I360" s="972"/>
      <c r="J360" s="972"/>
      <c r="K360" s="972"/>
      <c r="L360" s="972"/>
      <c r="M360" s="972"/>
      <c r="N360" s="972"/>
      <c r="O360" s="352"/>
      <c r="P360" s="352"/>
      <c r="Q360" s="352"/>
      <c r="R360" s="352"/>
      <c r="S360" s="352"/>
      <c r="T360" s="352"/>
      <c r="U360" s="352"/>
      <c r="V360" s="352"/>
      <c r="W360" s="352"/>
      <c r="X360" s="352"/>
      <c r="Y360" s="352"/>
      <c r="Z360" s="352"/>
      <c r="AA360" s="352"/>
      <c r="AB360" s="352"/>
      <c r="AC360" s="352"/>
      <c r="AD360" s="352"/>
      <c r="AE360" s="352"/>
    </row>
    <row r="361">
      <c r="A361" s="352"/>
      <c r="B361" s="352"/>
      <c r="C361" s="972"/>
      <c r="D361" s="972"/>
      <c r="E361" s="972"/>
      <c r="F361" s="972"/>
      <c r="G361" s="972"/>
      <c r="H361" s="972"/>
      <c r="I361" s="972"/>
      <c r="J361" s="972"/>
      <c r="K361" s="972"/>
      <c r="L361" s="972"/>
      <c r="M361" s="972"/>
      <c r="N361" s="972"/>
      <c r="O361" s="352"/>
      <c r="P361" s="352"/>
      <c r="Q361" s="352"/>
      <c r="R361" s="352"/>
      <c r="S361" s="352"/>
      <c r="T361" s="352"/>
      <c r="U361" s="352"/>
      <c r="V361" s="352"/>
      <c r="W361" s="352"/>
      <c r="X361" s="352"/>
      <c r="Y361" s="352"/>
      <c r="Z361" s="352"/>
      <c r="AA361" s="352"/>
      <c r="AB361" s="352"/>
      <c r="AC361" s="352"/>
      <c r="AD361" s="352"/>
      <c r="AE361" s="352"/>
    </row>
    <row r="362">
      <c r="A362" s="352"/>
      <c r="B362" s="352"/>
      <c r="C362" s="972"/>
      <c r="D362" s="972"/>
      <c r="E362" s="972"/>
      <c r="F362" s="972"/>
      <c r="G362" s="972"/>
      <c r="H362" s="972"/>
      <c r="I362" s="972"/>
      <c r="J362" s="972"/>
      <c r="K362" s="972"/>
      <c r="L362" s="972"/>
      <c r="M362" s="972"/>
      <c r="N362" s="972"/>
      <c r="O362" s="352"/>
      <c r="P362" s="352"/>
      <c r="Q362" s="352"/>
      <c r="R362" s="352"/>
      <c r="S362" s="352"/>
      <c r="T362" s="352"/>
      <c r="U362" s="352"/>
      <c r="V362" s="352"/>
      <c r="W362" s="352"/>
      <c r="X362" s="352"/>
      <c r="Y362" s="352"/>
      <c r="Z362" s="352"/>
      <c r="AA362" s="352"/>
      <c r="AB362" s="352"/>
      <c r="AC362" s="352"/>
      <c r="AD362" s="352"/>
      <c r="AE362" s="352"/>
    </row>
    <row r="363">
      <c r="A363" s="352"/>
      <c r="B363" s="352"/>
      <c r="C363" s="972"/>
      <c r="D363" s="972"/>
      <c r="E363" s="972"/>
      <c r="F363" s="972"/>
      <c r="G363" s="972"/>
      <c r="H363" s="972"/>
      <c r="I363" s="972"/>
      <c r="J363" s="972"/>
      <c r="K363" s="972"/>
      <c r="L363" s="972"/>
      <c r="M363" s="972"/>
      <c r="N363" s="972"/>
      <c r="O363" s="352"/>
      <c r="P363" s="352"/>
      <c r="Q363" s="352"/>
      <c r="R363" s="352"/>
      <c r="S363" s="352"/>
      <c r="T363" s="352"/>
      <c r="U363" s="352"/>
      <c r="V363" s="352"/>
      <c r="W363" s="352"/>
      <c r="X363" s="352"/>
      <c r="Y363" s="352"/>
      <c r="Z363" s="352"/>
      <c r="AA363" s="352"/>
      <c r="AB363" s="352"/>
      <c r="AC363" s="352"/>
      <c r="AD363" s="352"/>
      <c r="AE363" s="352"/>
    </row>
    <row r="364">
      <c r="A364" s="352"/>
      <c r="B364" s="352"/>
      <c r="C364" s="972"/>
      <c r="D364" s="972"/>
      <c r="E364" s="972"/>
      <c r="F364" s="972"/>
      <c r="G364" s="972"/>
      <c r="H364" s="972"/>
      <c r="I364" s="972"/>
      <c r="J364" s="972"/>
      <c r="K364" s="972"/>
      <c r="L364" s="972"/>
      <c r="M364" s="972"/>
      <c r="N364" s="972"/>
      <c r="O364" s="352"/>
      <c r="P364" s="352"/>
      <c r="Q364" s="352"/>
      <c r="R364" s="352"/>
      <c r="S364" s="352"/>
      <c r="T364" s="352"/>
      <c r="U364" s="352"/>
      <c r="V364" s="352"/>
      <c r="W364" s="352"/>
      <c r="X364" s="352"/>
      <c r="Y364" s="352"/>
      <c r="Z364" s="352"/>
      <c r="AA364" s="352"/>
      <c r="AB364" s="352"/>
      <c r="AC364" s="352"/>
      <c r="AD364" s="352"/>
      <c r="AE364" s="352"/>
    </row>
    <row r="365">
      <c r="A365" s="352"/>
      <c r="B365" s="352"/>
      <c r="C365" s="972"/>
      <c r="D365" s="972"/>
      <c r="E365" s="972"/>
      <c r="F365" s="972"/>
      <c r="G365" s="972"/>
      <c r="H365" s="972"/>
      <c r="I365" s="972"/>
      <c r="J365" s="972"/>
      <c r="K365" s="972"/>
      <c r="L365" s="972"/>
      <c r="M365" s="972"/>
      <c r="N365" s="972"/>
      <c r="O365" s="352"/>
      <c r="P365" s="352"/>
      <c r="Q365" s="352"/>
      <c r="R365" s="352"/>
      <c r="S365" s="352"/>
      <c r="T365" s="352"/>
      <c r="U365" s="352"/>
      <c r="V365" s="352"/>
      <c r="W365" s="352"/>
      <c r="X365" s="352"/>
      <c r="Y365" s="352"/>
      <c r="Z365" s="352"/>
      <c r="AA365" s="352"/>
      <c r="AB365" s="352"/>
      <c r="AC365" s="352"/>
      <c r="AD365" s="352"/>
      <c r="AE365" s="352"/>
    </row>
    <row r="366">
      <c r="A366" s="352"/>
      <c r="B366" s="352"/>
      <c r="C366" s="972"/>
      <c r="D366" s="972"/>
      <c r="E366" s="972"/>
      <c r="F366" s="972"/>
      <c r="G366" s="972"/>
      <c r="H366" s="972"/>
      <c r="I366" s="972"/>
      <c r="J366" s="972"/>
      <c r="K366" s="972"/>
      <c r="L366" s="972"/>
      <c r="M366" s="972"/>
      <c r="N366" s="972"/>
      <c r="O366" s="352"/>
      <c r="P366" s="352"/>
      <c r="Q366" s="352"/>
      <c r="R366" s="352"/>
      <c r="S366" s="352"/>
      <c r="T366" s="352"/>
      <c r="U366" s="352"/>
      <c r="V366" s="352"/>
      <c r="W366" s="352"/>
      <c r="X366" s="352"/>
      <c r="Y366" s="352"/>
      <c r="Z366" s="352"/>
      <c r="AA366" s="352"/>
      <c r="AB366" s="352"/>
      <c r="AC366" s="352"/>
      <c r="AD366" s="352"/>
      <c r="AE366" s="352"/>
    </row>
    <row r="367">
      <c r="A367" s="352"/>
      <c r="B367" s="352"/>
      <c r="C367" s="972"/>
      <c r="D367" s="972"/>
      <c r="E367" s="972"/>
      <c r="F367" s="972"/>
      <c r="G367" s="972"/>
      <c r="H367" s="972"/>
      <c r="I367" s="972"/>
      <c r="J367" s="972"/>
      <c r="K367" s="972"/>
      <c r="L367" s="972"/>
      <c r="M367" s="972"/>
      <c r="N367" s="972"/>
      <c r="O367" s="352"/>
      <c r="P367" s="352"/>
      <c r="Q367" s="352"/>
      <c r="R367" s="352"/>
      <c r="S367" s="352"/>
      <c r="T367" s="352"/>
      <c r="U367" s="352"/>
      <c r="V367" s="352"/>
      <c r="W367" s="352"/>
      <c r="X367" s="352"/>
      <c r="Y367" s="352"/>
      <c r="Z367" s="352"/>
      <c r="AA367" s="352"/>
      <c r="AB367" s="352"/>
      <c r="AC367" s="352"/>
      <c r="AD367" s="352"/>
      <c r="AE367" s="352"/>
    </row>
    <row r="368">
      <c r="A368" s="352"/>
      <c r="B368" s="352"/>
      <c r="C368" s="972"/>
      <c r="D368" s="972"/>
      <c r="E368" s="972"/>
      <c r="F368" s="972"/>
      <c r="G368" s="972"/>
      <c r="H368" s="972"/>
      <c r="I368" s="972"/>
      <c r="J368" s="972"/>
      <c r="K368" s="972"/>
      <c r="L368" s="972"/>
      <c r="M368" s="972"/>
      <c r="N368" s="972"/>
      <c r="O368" s="352"/>
      <c r="P368" s="352"/>
      <c r="Q368" s="352"/>
      <c r="R368" s="352"/>
      <c r="S368" s="352"/>
      <c r="T368" s="352"/>
      <c r="U368" s="352"/>
      <c r="V368" s="352"/>
      <c r="W368" s="352"/>
      <c r="X368" s="352"/>
      <c r="Y368" s="352"/>
      <c r="Z368" s="352"/>
      <c r="AA368" s="352"/>
      <c r="AB368" s="352"/>
      <c r="AC368" s="352"/>
      <c r="AD368" s="352"/>
      <c r="AE368" s="352"/>
    </row>
    <row r="369">
      <c r="A369" s="352"/>
      <c r="B369" s="352"/>
      <c r="C369" s="972"/>
      <c r="D369" s="972"/>
      <c r="E369" s="972"/>
      <c r="F369" s="972"/>
      <c r="G369" s="972"/>
      <c r="H369" s="972"/>
      <c r="I369" s="972"/>
      <c r="J369" s="972"/>
      <c r="K369" s="972"/>
      <c r="L369" s="972"/>
      <c r="M369" s="972"/>
      <c r="N369" s="972"/>
      <c r="O369" s="352"/>
      <c r="P369" s="352"/>
      <c r="Q369" s="352"/>
      <c r="R369" s="352"/>
      <c r="S369" s="352"/>
      <c r="T369" s="352"/>
      <c r="U369" s="352"/>
      <c r="V369" s="352"/>
      <c r="W369" s="352"/>
      <c r="X369" s="352"/>
      <c r="Y369" s="352"/>
      <c r="Z369" s="352"/>
      <c r="AA369" s="352"/>
      <c r="AB369" s="352"/>
      <c r="AC369" s="352"/>
      <c r="AD369" s="352"/>
      <c r="AE369" s="352"/>
    </row>
    <row r="370">
      <c r="A370" s="352"/>
      <c r="B370" s="352"/>
      <c r="C370" s="972"/>
      <c r="D370" s="972"/>
      <c r="E370" s="972"/>
      <c r="F370" s="972"/>
      <c r="G370" s="972"/>
      <c r="H370" s="972"/>
      <c r="I370" s="972"/>
      <c r="J370" s="972"/>
      <c r="K370" s="972"/>
      <c r="L370" s="972"/>
      <c r="M370" s="972"/>
      <c r="N370" s="972"/>
      <c r="O370" s="352"/>
      <c r="P370" s="352"/>
      <c r="Q370" s="352"/>
      <c r="R370" s="352"/>
      <c r="S370" s="352"/>
      <c r="T370" s="352"/>
      <c r="U370" s="352"/>
      <c r="V370" s="352"/>
      <c r="W370" s="352"/>
      <c r="X370" s="352"/>
      <c r="Y370" s="352"/>
      <c r="Z370" s="352"/>
      <c r="AA370" s="352"/>
      <c r="AB370" s="352"/>
      <c r="AC370" s="352"/>
      <c r="AD370" s="352"/>
      <c r="AE370" s="352"/>
    </row>
    <row r="371">
      <c r="A371" s="352"/>
      <c r="B371" s="352"/>
      <c r="C371" s="972"/>
      <c r="D371" s="972"/>
      <c r="E371" s="972"/>
      <c r="F371" s="972"/>
      <c r="G371" s="972"/>
      <c r="H371" s="972"/>
      <c r="I371" s="972"/>
      <c r="J371" s="972"/>
      <c r="K371" s="972"/>
      <c r="L371" s="972"/>
      <c r="M371" s="972"/>
      <c r="N371" s="972"/>
      <c r="O371" s="352"/>
      <c r="P371" s="352"/>
      <c r="Q371" s="352"/>
      <c r="R371" s="352"/>
      <c r="S371" s="352"/>
      <c r="T371" s="352"/>
      <c r="U371" s="352"/>
      <c r="V371" s="352"/>
      <c r="W371" s="352"/>
      <c r="X371" s="352"/>
      <c r="Y371" s="352"/>
      <c r="Z371" s="352"/>
      <c r="AA371" s="352"/>
      <c r="AB371" s="352"/>
      <c r="AC371" s="352"/>
      <c r="AD371" s="352"/>
      <c r="AE371" s="352"/>
    </row>
    <row r="372">
      <c r="A372" s="352"/>
      <c r="B372" s="352"/>
      <c r="C372" s="972"/>
      <c r="D372" s="972"/>
      <c r="E372" s="972"/>
      <c r="F372" s="972"/>
      <c r="G372" s="972"/>
      <c r="H372" s="972"/>
      <c r="I372" s="972"/>
      <c r="J372" s="972"/>
      <c r="K372" s="972"/>
      <c r="L372" s="972"/>
      <c r="M372" s="972"/>
      <c r="N372" s="972"/>
      <c r="O372" s="352"/>
      <c r="P372" s="352"/>
      <c r="Q372" s="352"/>
      <c r="R372" s="352"/>
      <c r="S372" s="352"/>
      <c r="T372" s="352"/>
      <c r="U372" s="352"/>
      <c r="V372" s="352"/>
      <c r="W372" s="352"/>
      <c r="X372" s="352"/>
      <c r="Y372" s="352"/>
      <c r="Z372" s="352"/>
      <c r="AA372" s="352"/>
      <c r="AB372" s="352"/>
      <c r="AC372" s="352"/>
      <c r="AD372" s="352"/>
      <c r="AE372" s="352"/>
    </row>
    <row r="373">
      <c r="A373" s="352"/>
      <c r="B373" s="352"/>
      <c r="C373" s="972"/>
      <c r="D373" s="972"/>
      <c r="E373" s="972"/>
      <c r="F373" s="972"/>
      <c r="G373" s="972"/>
      <c r="H373" s="972"/>
      <c r="I373" s="972"/>
      <c r="J373" s="972"/>
      <c r="K373" s="972"/>
      <c r="L373" s="972"/>
      <c r="M373" s="972"/>
      <c r="N373" s="972"/>
      <c r="O373" s="352"/>
      <c r="P373" s="352"/>
      <c r="Q373" s="352"/>
      <c r="R373" s="352"/>
      <c r="S373" s="352"/>
      <c r="T373" s="352"/>
      <c r="U373" s="352"/>
      <c r="V373" s="352"/>
      <c r="W373" s="352"/>
      <c r="X373" s="352"/>
      <c r="Y373" s="352"/>
      <c r="Z373" s="352"/>
      <c r="AA373" s="352"/>
      <c r="AB373" s="352"/>
      <c r="AC373" s="352"/>
      <c r="AD373" s="352"/>
      <c r="AE373" s="352"/>
    </row>
    <row r="374">
      <c r="A374" s="352"/>
      <c r="B374" s="352"/>
      <c r="C374" s="972"/>
      <c r="D374" s="972"/>
      <c r="E374" s="972"/>
      <c r="F374" s="972"/>
      <c r="G374" s="972"/>
      <c r="H374" s="972"/>
      <c r="I374" s="972"/>
      <c r="J374" s="972"/>
      <c r="K374" s="972"/>
      <c r="L374" s="972"/>
      <c r="M374" s="972"/>
      <c r="N374" s="972"/>
      <c r="O374" s="352"/>
      <c r="P374" s="352"/>
      <c r="Q374" s="352"/>
      <c r="R374" s="352"/>
      <c r="S374" s="352"/>
      <c r="T374" s="352"/>
      <c r="U374" s="352"/>
      <c r="V374" s="352"/>
      <c r="W374" s="352"/>
      <c r="X374" s="352"/>
      <c r="Y374" s="352"/>
      <c r="Z374" s="352"/>
      <c r="AA374" s="352"/>
      <c r="AB374" s="352"/>
      <c r="AC374" s="352"/>
      <c r="AD374" s="352"/>
      <c r="AE374" s="352"/>
    </row>
    <row r="375">
      <c r="A375" s="352"/>
      <c r="B375" s="352"/>
      <c r="C375" s="972"/>
      <c r="D375" s="972"/>
      <c r="E375" s="972"/>
      <c r="F375" s="972"/>
      <c r="G375" s="972"/>
      <c r="H375" s="972"/>
      <c r="I375" s="972"/>
      <c r="J375" s="972"/>
      <c r="K375" s="972"/>
      <c r="L375" s="972"/>
      <c r="M375" s="972"/>
      <c r="N375" s="972"/>
      <c r="O375" s="352"/>
      <c r="P375" s="352"/>
      <c r="Q375" s="352"/>
      <c r="R375" s="352"/>
      <c r="S375" s="352"/>
      <c r="T375" s="352"/>
      <c r="U375" s="352"/>
      <c r="V375" s="352"/>
      <c r="W375" s="352"/>
      <c r="X375" s="352"/>
      <c r="Y375" s="352"/>
      <c r="Z375" s="352"/>
      <c r="AA375" s="352"/>
      <c r="AB375" s="352"/>
      <c r="AC375" s="352"/>
      <c r="AD375" s="352"/>
      <c r="AE375" s="352"/>
    </row>
    <row r="376">
      <c r="A376" s="352"/>
      <c r="B376" s="352"/>
      <c r="C376" s="972"/>
      <c r="D376" s="972"/>
      <c r="E376" s="972"/>
      <c r="F376" s="972"/>
      <c r="G376" s="972"/>
      <c r="H376" s="972"/>
      <c r="I376" s="972"/>
      <c r="J376" s="972"/>
      <c r="K376" s="972"/>
      <c r="L376" s="972"/>
      <c r="M376" s="972"/>
      <c r="N376" s="972"/>
      <c r="O376" s="352"/>
      <c r="P376" s="352"/>
      <c r="Q376" s="352"/>
      <c r="R376" s="352"/>
      <c r="S376" s="352"/>
      <c r="T376" s="352"/>
      <c r="U376" s="352"/>
      <c r="V376" s="352"/>
      <c r="W376" s="352"/>
      <c r="X376" s="352"/>
      <c r="Y376" s="352"/>
      <c r="Z376" s="352"/>
      <c r="AA376" s="352"/>
      <c r="AB376" s="352"/>
      <c r="AC376" s="352"/>
      <c r="AD376" s="352"/>
      <c r="AE376" s="352"/>
    </row>
    <row r="377">
      <c r="A377" s="352"/>
      <c r="B377" s="352"/>
      <c r="C377" s="972"/>
      <c r="D377" s="972"/>
      <c r="E377" s="972"/>
      <c r="F377" s="972"/>
      <c r="G377" s="972"/>
      <c r="H377" s="972"/>
      <c r="I377" s="972"/>
      <c r="J377" s="972"/>
      <c r="K377" s="972"/>
      <c r="L377" s="972"/>
      <c r="M377" s="972"/>
      <c r="N377" s="972"/>
      <c r="O377" s="352"/>
      <c r="P377" s="352"/>
      <c r="Q377" s="352"/>
      <c r="R377" s="352"/>
      <c r="S377" s="352"/>
      <c r="T377" s="352"/>
      <c r="U377" s="352"/>
      <c r="V377" s="352"/>
      <c r="W377" s="352"/>
      <c r="X377" s="352"/>
      <c r="Y377" s="352"/>
      <c r="Z377" s="352"/>
      <c r="AA377" s="352"/>
      <c r="AB377" s="352"/>
      <c r="AC377" s="352"/>
      <c r="AD377" s="352"/>
      <c r="AE377" s="352"/>
    </row>
    <row r="378">
      <c r="A378" s="352"/>
      <c r="B378" s="352"/>
      <c r="C378" s="972"/>
      <c r="D378" s="972"/>
      <c r="E378" s="972"/>
      <c r="F378" s="972"/>
      <c r="G378" s="972"/>
      <c r="H378" s="972"/>
      <c r="I378" s="972"/>
      <c r="J378" s="972"/>
      <c r="K378" s="972"/>
      <c r="L378" s="972"/>
      <c r="M378" s="972"/>
      <c r="N378" s="972"/>
      <c r="O378" s="352"/>
      <c r="P378" s="352"/>
      <c r="Q378" s="352"/>
      <c r="R378" s="352"/>
      <c r="S378" s="352"/>
      <c r="T378" s="352"/>
      <c r="U378" s="352"/>
      <c r="V378" s="352"/>
      <c r="W378" s="352"/>
      <c r="X378" s="352"/>
      <c r="Y378" s="352"/>
      <c r="Z378" s="352"/>
      <c r="AA378" s="352"/>
      <c r="AB378" s="352"/>
      <c r="AC378" s="352"/>
      <c r="AD378" s="352"/>
      <c r="AE378" s="352"/>
    </row>
    <row r="379">
      <c r="A379" s="352"/>
      <c r="B379" s="352"/>
      <c r="C379" s="972"/>
      <c r="D379" s="972"/>
      <c r="E379" s="972"/>
      <c r="F379" s="972"/>
      <c r="G379" s="972"/>
      <c r="H379" s="972"/>
      <c r="I379" s="972"/>
      <c r="J379" s="972"/>
      <c r="K379" s="972"/>
      <c r="L379" s="972"/>
      <c r="M379" s="972"/>
      <c r="N379" s="972"/>
      <c r="O379" s="352"/>
      <c r="P379" s="352"/>
      <c r="Q379" s="352"/>
      <c r="R379" s="352"/>
      <c r="S379" s="352"/>
      <c r="T379" s="352"/>
      <c r="U379" s="352"/>
      <c r="V379" s="352"/>
      <c r="W379" s="352"/>
      <c r="X379" s="352"/>
      <c r="Y379" s="352"/>
      <c r="Z379" s="352"/>
      <c r="AA379" s="352"/>
      <c r="AB379" s="352"/>
      <c r="AC379" s="352"/>
      <c r="AD379" s="352"/>
      <c r="AE379" s="352"/>
    </row>
    <row r="380">
      <c r="A380" s="352"/>
      <c r="B380" s="352"/>
      <c r="C380" s="972"/>
      <c r="D380" s="972"/>
      <c r="E380" s="972"/>
      <c r="F380" s="972"/>
      <c r="G380" s="972"/>
      <c r="H380" s="972"/>
      <c r="I380" s="972"/>
      <c r="J380" s="972"/>
      <c r="K380" s="972"/>
      <c r="L380" s="972"/>
      <c r="M380" s="972"/>
      <c r="N380" s="972"/>
      <c r="O380" s="352"/>
      <c r="P380" s="352"/>
      <c r="Q380" s="352"/>
      <c r="R380" s="352"/>
      <c r="S380" s="352"/>
      <c r="T380" s="352"/>
      <c r="U380" s="352"/>
      <c r="V380" s="352"/>
      <c r="W380" s="352"/>
      <c r="X380" s="352"/>
      <c r="Y380" s="352"/>
      <c r="Z380" s="352"/>
      <c r="AA380" s="352"/>
      <c r="AB380" s="352"/>
      <c r="AC380" s="352"/>
      <c r="AD380" s="352"/>
      <c r="AE380" s="352"/>
    </row>
    <row r="381">
      <c r="A381" s="352"/>
      <c r="B381" s="352"/>
      <c r="C381" s="972"/>
      <c r="D381" s="972"/>
      <c r="E381" s="972"/>
      <c r="F381" s="972"/>
      <c r="G381" s="972"/>
      <c r="H381" s="972"/>
      <c r="I381" s="972"/>
      <c r="J381" s="972"/>
      <c r="K381" s="972"/>
      <c r="L381" s="972"/>
      <c r="M381" s="972"/>
      <c r="N381" s="972"/>
      <c r="O381" s="352"/>
      <c r="P381" s="352"/>
      <c r="Q381" s="352"/>
      <c r="R381" s="352"/>
      <c r="S381" s="352"/>
      <c r="T381" s="352"/>
      <c r="U381" s="352"/>
      <c r="V381" s="352"/>
      <c r="W381" s="352"/>
      <c r="X381" s="352"/>
      <c r="Y381" s="352"/>
      <c r="Z381" s="352"/>
      <c r="AA381" s="352"/>
      <c r="AB381" s="352"/>
      <c r="AC381" s="352"/>
      <c r="AD381" s="352"/>
      <c r="AE381" s="352"/>
    </row>
    <row r="382">
      <c r="A382" s="352"/>
      <c r="B382" s="352"/>
      <c r="C382" s="972"/>
      <c r="D382" s="972"/>
      <c r="E382" s="972"/>
      <c r="F382" s="972"/>
      <c r="G382" s="972"/>
      <c r="H382" s="972"/>
      <c r="I382" s="972"/>
      <c r="J382" s="972"/>
      <c r="K382" s="972"/>
      <c r="L382" s="972"/>
      <c r="M382" s="972"/>
      <c r="N382" s="972"/>
      <c r="O382" s="352"/>
      <c r="P382" s="352"/>
      <c r="Q382" s="352"/>
      <c r="R382" s="352"/>
      <c r="S382" s="352"/>
      <c r="T382" s="352"/>
      <c r="U382" s="352"/>
      <c r="V382" s="352"/>
      <c r="W382" s="352"/>
      <c r="X382" s="352"/>
      <c r="Y382" s="352"/>
      <c r="Z382" s="352"/>
      <c r="AA382" s="352"/>
      <c r="AB382" s="352"/>
      <c r="AC382" s="352"/>
      <c r="AD382" s="352"/>
      <c r="AE382" s="352"/>
    </row>
    <row r="383">
      <c r="A383" s="352"/>
      <c r="B383" s="352"/>
      <c r="C383" s="972"/>
      <c r="D383" s="972"/>
      <c r="E383" s="972"/>
      <c r="F383" s="972"/>
      <c r="G383" s="972"/>
      <c r="H383" s="972"/>
      <c r="I383" s="972"/>
      <c r="J383" s="972"/>
      <c r="K383" s="972"/>
      <c r="L383" s="972"/>
      <c r="M383" s="972"/>
      <c r="N383" s="972"/>
      <c r="O383" s="352"/>
      <c r="P383" s="352"/>
      <c r="Q383" s="352"/>
      <c r="R383" s="352"/>
      <c r="S383" s="352"/>
      <c r="T383" s="352"/>
      <c r="U383" s="352"/>
      <c r="V383" s="352"/>
      <c r="W383" s="352"/>
      <c r="X383" s="352"/>
      <c r="Y383" s="352"/>
      <c r="Z383" s="352"/>
      <c r="AA383" s="352"/>
      <c r="AB383" s="352"/>
      <c r="AC383" s="352"/>
      <c r="AD383" s="352"/>
      <c r="AE383" s="352"/>
    </row>
    <row r="384">
      <c r="A384" s="352"/>
      <c r="B384" s="352"/>
      <c r="C384" s="972"/>
      <c r="D384" s="972"/>
      <c r="E384" s="972"/>
      <c r="F384" s="972"/>
      <c r="G384" s="972"/>
      <c r="H384" s="972"/>
      <c r="I384" s="972"/>
      <c r="J384" s="972"/>
      <c r="K384" s="972"/>
      <c r="L384" s="972"/>
      <c r="M384" s="972"/>
      <c r="N384" s="972"/>
      <c r="O384" s="352"/>
      <c r="P384" s="352"/>
      <c r="Q384" s="352"/>
      <c r="R384" s="352"/>
      <c r="S384" s="352"/>
      <c r="T384" s="352"/>
      <c r="U384" s="352"/>
      <c r="V384" s="352"/>
      <c r="W384" s="352"/>
      <c r="X384" s="352"/>
      <c r="Y384" s="352"/>
      <c r="Z384" s="352"/>
      <c r="AA384" s="352"/>
      <c r="AB384" s="352"/>
      <c r="AC384" s="352"/>
      <c r="AD384" s="352"/>
      <c r="AE384" s="352"/>
    </row>
    <row r="385">
      <c r="A385" s="352"/>
      <c r="B385" s="352"/>
      <c r="C385" s="972"/>
      <c r="D385" s="972"/>
      <c r="E385" s="972"/>
      <c r="F385" s="972"/>
      <c r="G385" s="972"/>
      <c r="H385" s="972"/>
      <c r="I385" s="972"/>
      <c r="J385" s="972"/>
      <c r="K385" s="972"/>
      <c r="L385" s="972"/>
      <c r="M385" s="972"/>
      <c r="N385" s="972"/>
      <c r="O385" s="352"/>
      <c r="P385" s="352"/>
      <c r="Q385" s="352"/>
      <c r="R385" s="352"/>
      <c r="S385" s="352"/>
      <c r="T385" s="352"/>
      <c r="U385" s="352"/>
      <c r="V385" s="352"/>
      <c r="W385" s="352"/>
      <c r="X385" s="352"/>
      <c r="Y385" s="352"/>
      <c r="Z385" s="352"/>
      <c r="AA385" s="352"/>
      <c r="AB385" s="352"/>
      <c r="AC385" s="352"/>
      <c r="AD385" s="352"/>
      <c r="AE385" s="352"/>
    </row>
    <row r="386">
      <c r="A386" s="352"/>
      <c r="B386" s="352"/>
      <c r="C386" s="972"/>
      <c r="D386" s="972"/>
      <c r="E386" s="972"/>
      <c r="F386" s="972"/>
      <c r="G386" s="972"/>
      <c r="H386" s="972"/>
      <c r="I386" s="972"/>
      <c r="J386" s="972"/>
      <c r="K386" s="972"/>
      <c r="L386" s="972"/>
      <c r="M386" s="972"/>
      <c r="N386" s="972"/>
      <c r="O386" s="352"/>
      <c r="P386" s="352"/>
      <c r="Q386" s="352"/>
      <c r="R386" s="352"/>
      <c r="S386" s="352"/>
      <c r="T386" s="352"/>
      <c r="U386" s="352"/>
      <c r="V386" s="352"/>
      <c r="W386" s="352"/>
      <c r="X386" s="352"/>
      <c r="Y386" s="352"/>
      <c r="Z386" s="352"/>
      <c r="AA386" s="352"/>
      <c r="AB386" s="352"/>
      <c r="AC386" s="352"/>
      <c r="AD386" s="352"/>
      <c r="AE386" s="352"/>
    </row>
    <row r="387">
      <c r="A387" s="352"/>
      <c r="B387" s="352"/>
      <c r="C387" s="972"/>
      <c r="D387" s="972"/>
      <c r="E387" s="972"/>
      <c r="F387" s="972"/>
      <c r="G387" s="972"/>
      <c r="H387" s="972"/>
      <c r="I387" s="972"/>
      <c r="J387" s="972"/>
      <c r="K387" s="972"/>
      <c r="L387" s="972"/>
      <c r="M387" s="972"/>
      <c r="N387" s="972"/>
      <c r="O387" s="352"/>
      <c r="P387" s="352"/>
      <c r="Q387" s="352"/>
      <c r="R387" s="352"/>
      <c r="S387" s="352"/>
      <c r="T387" s="352"/>
      <c r="U387" s="352"/>
      <c r="V387" s="352"/>
      <c r="W387" s="352"/>
      <c r="X387" s="352"/>
      <c r="Y387" s="352"/>
      <c r="Z387" s="352"/>
      <c r="AA387" s="352"/>
      <c r="AB387" s="352"/>
      <c r="AC387" s="352"/>
      <c r="AD387" s="352"/>
      <c r="AE387" s="352"/>
    </row>
    <row r="388">
      <c r="A388" s="352"/>
      <c r="B388" s="352"/>
      <c r="C388" s="972"/>
      <c r="D388" s="972"/>
      <c r="E388" s="972"/>
      <c r="F388" s="972"/>
      <c r="G388" s="972"/>
      <c r="H388" s="972"/>
      <c r="I388" s="972"/>
      <c r="J388" s="972"/>
      <c r="K388" s="972"/>
      <c r="L388" s="972"/>
      <c r="M388" s="972"/>
      <c r="N388" s="972"/>
      <c r="O388" s="352"/>
      <c r="P388" s="352"/>
      <c r="Q388" s="352"/>
      <c r="R388" s="352"/>
      <c r="S388" s="352"/>
      <c r="T388" s="352"/>
      <c r="U388" s="352"/>
      <c r="V388" s="352"/>
      <c r="W388" s="352"/>
      <c r="X388" s="352"/>
      <c r="Y388" s="352"/>
      <c r="Z388" s="352"/>
      <c r="AA388" s="352"/>
      <c r="AB388" s="352"/>
      <c r="AC388" s="352"/>
      <c r="AD388" s="352"/>
      <c r="AE388" s="352"/>
    </row>
    <row r="389">
      <c r="A389" s="352"/>
      <c r="B389" s="352"/>
      <c r="C389" s="972"/>
      <c r="D389" s="972"/>
      <c r="E389" s="972"/>
      <c r="F389" s="972"/>
      <c r="G389" s="972"/>
      <c r="H389" s="972"/>
      <c r="I389" s="972"/>
      <c r="J389" s="972"/>
      <c r="K389" s="972"/>
      <c r="L389" s="972"/>
      <c r="M389" s="972"/>
      <c r="N389" s="972"/>
      <c r="O389" s="352"/>
      <c r="P389" s="352"/>
      <c r="Q389" s="352"/>
      <c r="R389" s="352"/>
      <c r="S389" s="352"/>
      <c r="T389" s="352"/>
      <c r="U389" s="352"/>
      <c r="V389" s="352"/>
      <c r="W389" s="352"/>
      <c r="X389" s="352"/>
      <c r="Y389" s="352"/>
      <c r="Z389" s="352"/>
      <c r="AA389" s="352"/>
      <c r="AB389" s="352"/>
      <c r="AC389" s="352"/>
      <c r="AD389" s="352"/>
      <c r="AE389" s="352"/>
    </row>
    <row r="390">
      <c r="A390" s="352"/>
      <c r="B390" s="352"/>
      <c r="C390" s="972"/>
      <c r="D390" s="972"/>
      <c r="E390" s="972"/>
      <c r="F390" s="972"/>
      <c r="G390" s="972"/>
      <c r="H390" s="972"/>
      <c r="I390" s="972"/>
      <c r="J390" s="972"/>
      <c r="K390" s="972"/>
      <c r="L390" s="972"/>
      <c r="M390" s="972"/>
      <c r="N390" s="972"/>
      <c r="O390" s="352"/>
      <c r="P390" s="352"/>
      <c r="Q390" s="352"/>
      <c r="R390" s="352"/>
      <c r="S390" s="352"/>
      <c r="T390" s="352"/>
      <c r="U390" s="352"/>
      <c r="V390" s="352"/>
      <c r="W390" s="352"/>
      <c r="X390" s="352"/>
      <c r="Y390" s="352"/>
      <c r="Z390" s="352"/>
      <c r="AA390" s="352"/>
      <c r="AB390" s="352"/>
      <c r="AC390" s="352"/>
      <c r="AD390" s="352"/>
      <c r="AE390" s="352"/>
    </row>
    <row r="391">
      <c r="A391" s="352"/>
      <c r="B391" s="352"/>
      <c r="C391" s="972"/>
      <c r="D391" s="972"/>
      <c r="E391" s="972"/>
      <c r="F391" s="972"/>
      <c r="G391" s="972"/>
      <c r="H391" s="972"/>
      <c r="I391" s="972"/>
      <c r="J391" s="972"/>
      <c r="K391" s="972"/>
      <c r="L391" s="972"/>
      <c r="M391" s="972"/>
      <c r="N391" s="972"/>
      <c r="O391" s="352"/>
      <c r="P391" s="352"/>
      <c r="Q391" s="352"/>
      <c r="R391" s="352"/>
      <c r="S391" s="352"/>
      <c r="T391" s="352"/>
      <c r="U391" s="352"/>
      <c r="V391" s="352"/>
      <c r="W391" s="352"/>
      <c r="X391" s="352"/>
      <c r="Y391" s="352"/>
      <c r="Z391" s="352"/>
      <c r="AA391" s="352"/>
      <c r="AB391" s="352"/>
      <c r="AC391" s="352"/>
      <c r="AD391" s="352"/>
      <c r="AE391" s="352"/>
    </row>
    <row r="392">
      <c r="A392" s="352"/>
      <c r="B392" s="352"/>
      <c r="C392" s="972"/>
      <c r="D392" s="972"/>
      <c r="E392" s="972"/>
      <c r="F392" s="972"/>
      <c r="G392" s="972"/>
      <c r="H392" s="972"/>
      <c r="I392" s="972"/>
      <c r="J392" s="972"/>
      <c r="K392" s="972"/>
      <c r="L392" s="972"/>
      <c r="M392" s="972"/>
      <c r="N392" s="972"/>
      <c r="O392" s="352"/>
      <c r="P392" s="352"/>
      <c r="Q392" s="352"/>
      <c r="R392" s="352"/>
      <c r="S392" s="352"/>
      <c r="T392" s="352"/>
      <c r="U392" s="352"/>
      <c r="V392" s="352"/>
      <c r="W392" s="352"/>
      <c r="X392" s="352"/>
      <c r="Y392" s="352"/>
      <c r="Z392" s="352"/>
      <c r="AA392" s="352"/>
      <c r="AB392" s="352"/>
      <c r="AC392" s="352"/>
      <c r="AD392" s="352"/>
      <c r="AE392" s="352"/>
    </row>
    <row r="393">
      <c r="A393" s="352"/>
      <c r="B393" s="352"/>
      <c r="C393" s="972"/>
      <c r="D393" s="972"/>
      <c r="E393" s="972"/>
      <c r="F393" s="972"/>
      <c r="G393" s="972"/>
      <c r="H393" s="972"/>
      <c r="I393" s="972"/>
      <c r="J393" s="972"/>
      <c r="K393" s="972"/>
      <c r="L393" s="972"/>
      <c r="M393" s="972"/>
      <c r="N393" s="972"/>
      <c r="O393" s="352"/>
      <c r="P393" s="352"/>
      <c r="Q393" s="352"/>
      <c r="R393" s="352"/>
      <c r="S393" s="352"/>
      <c r="T393" s="352"/>
      <c r="U393" s="352"/>
      <c r="V393" s="352"/>
      <c r="W393" s="352"/>
      <c r="X393" s="352"/>
      <c r="Y393" s="352"/>
      <c r="Z393" s="352"/>
      <c r="AA393" s="352"/>
      <c r="AB393" s="352"/>
      <c r="AC393" s="352"/>
      <c r="AD393" s="352"/>
      <c r="AE393" s="352"/>
    </row>
    <row r="394">
      <c r="A394" s="352"/>
      <c r="B394" s="352"/>
      <c r="C394" s="972"/>
      <c r="D394" s="972"/>
      <c r="E394" s="972"/>
      <c r="F394" s="972"/>
      <c r="G394" s="972"/>
      <c r="H394" s="972"/>
      <c r="I394" s="972"/>
      <c r="J394" s="972"/>
      <c r="K394" s="972"/>
      <c r="L394" s="972"/>
      <c r="M394" s="972"/>
      <c r="N394" s="972"/>
      <c r="O394" s="352"/>
      <c r="P394" s="352"/>
      <c r="Q394" s="352"/>
      <c r="R394" s="352"/>
      <c r="S394" s="352"/>
      <c r="T394" s="352"/>
      <c r="U394" s="352"/>
      <c r="V394" s="352"/>
      <c r="W394" s="352"/>
      <c r="X394" s="352"/>
      <c r="Y394" s="352"/>
      <c r="Z394" s="352"/>
      <c r="AA394" s="352"/>
      <c r="AB394" s="352"/>
      <c r="AC394" s="352"/>
      <c r="AD394" s="352"/>
      <c r="AE394" s="352"/>
    </row>
    <row r="395">
      <c r="A395" s="352"/>
      <c r="B395" s="352"/>
      <c r="C395" s="972"/>
      <c r="D395" s="972"/>
      <c r="E395" s="972"/>
      <c r="F395" s="972"/>
      <c r="G395" s="972"/>
      <c r="H395" s="972"/>
      <c r="I395" s="972"/>
      <c r="J395" s="972"/>
      <c r="K395" s="972"/>
      <c r="L395" s="972"/>
      <c r="M395" s="972"/>
      <c r="N395" s="972"/>
      <c r="O395" s="352"/>
      <c r="P395" s="352"/>
      <c r="Q395" s="352"/>
      <c r="R395" s="352"/>
      <c r="S395" s="352"/>
      <c r="T395" s="352"/>
      <c r="U395" s="352"/>
      <c r="V395" s="352"/>
      <c r="W395" s="352"/>
      <c r="X395" s="352"/>
      <c r="Y395" s="352"/>
      <c r="Z395" s="352"/>
      <c r="AA395" s="352"/>
      <c r="AB395" s="352"/>
      <c r="AC395" s="352"/>
      <c r="AD395" s="352"/>
      <c r="AE395" s="352"/>
    </row>
    <row r="396">
      <c r="A396" s="352"/>
      <c r="B396" s="352"/>
      <c r="C396" s="972"/>
      <c r="D396" s="972"/>
      <c r="E396" s="972"/>
      <c r="F396" s="972"/>
      <c r="G396" s="972"/>
      <c r="H396" s="972"/>
      <c r="I396" s="972"/>
      <c r="J396" s="972"/>
      <c r="K396" s="972"/>
      <c r="L396" s="972"/>
      <c r="M396" s="972"/>
      <c r="N396" s="972"/>
      <c r="O396" s="352"/>
      <c r="P396" s="352"/>
      <c r="Q396" s="352"/>
      <c r="R396" s="352"/>
      <c r="S396" s="352"/>
      <c r="T396" s="352"/>
      <c r="U396" s="352"/>
      <c r="V396" s="352"/>
      <c r="W396" s="352"/>
      <c r="X396" s="352"/>
      <c r="Y396" s="352"/>
      <c r="Z396" s="352"/>
      <c r="AA396" s="352"/>
      <c r="AB396" s="352"/>
      <c r="AC396" s="352"/>
      <c r="AD396" s="352"/>
      <c r="AE396" s="352"/>
    </row>
    <row r="397">
      <c r="A397" s="352"/>
      <c r="B397" s="352"/>
      <c r="C397" s="972"/>
      <c r="D397" s="972"/>
      <c r="E397" s="972"/>
      <c r="F397" s="972"/>
      <c r="G397" s="972"/>
      <c r="H397" s="972"/>
      <c r="I397" s="972"/>
      <c r="J397" s="972"/>
      <c r="K397" s="972"/>
      <c r="L397" s="972"/>
      <c r="M397" s="972"/>
      <c r="N397" s="972"/>
      <c r="O397" s="352"/>
      <c r="P397" s="352"/>
      <c r="Q397" s="352"/>
      <c r="R397" s="352"/>
      <c r="S397" s="352"/>
      <c r="T397" s="352"/>
      <c r="U397" s="352"/>
      <c r="V397" s="352"/>
      <c r="W397" s="352"/>
      <c r="X397" s="352"/>
      <c r="Y397" s="352"/>
      <c r="Z397" s="352"/>
      <c r="AA397" s="352"/>
      <c r="AB397" s="352"/>
      <c r="AC397" s="352"/>
      <c r="AD397" s="352"/>
      <c r="AE397" s="352"/>
    </row>
    <row r="398">
      <c r="A398" s="352"/>
      <c r="B398" s="352"/>
      <c r="C398" s="972"/>
      <c r="D398" s="972"/>
      <c r="E398" s="972"/>
      <c r="F398" s="972"/>
      <c r="G398" s="972"/>
      <c r="H398" s="972"/>
      <c r="I398" s="972"/>
      <c r="J398" s="972"/>
      <c r="K398" s="972"/>
      <c r="L398" s="972"/>
      <c r="M398" s="972"/>
      <c r="N398" s="972"/>
      <c r="O398" s="352"/>
      <c r="P398" s="352"/>
      <c r="Q398" s="352"/>
      <c r="R398" s="352"/>
      <c r="S398" s="352"/>
      <c r="T398" s="352"/>
      <c r="U398" s="352"/>
      <c r="V398" s="352"/>
      <c r="W398" s="352"/>
      <c r="X398" s="352"/>
      <c r="Y398" s="352"/>
      <c r="Z398" s="352"/>
      <c r="AA398" s="352"/>
      <c r="AB398" s="352"/>
      <c r="AC398" s="352"/>
      <c r="AD398" s="352"/>
      <c r="AE398" s="352"/>
    </row>
    <row r="399">
      <c r="A399" s="352"/>
      <c r="B399" s="352"/>
      <c r="C399" s="972"/>
      <c r="D399" s="972"/>
      <c r="E399" s="972"/>
      <c r="F399" s="972"/>
      <c r="G399" s="972"/>
      <c r="H399" s="972"/>
      <c r="I399" s="972"/>
      <c r="J399" s="972"/>
      <c r="K399" s="972"/>
      <c r="L399" s="972"/>
      <c r="M399" s="972"/>
      <c r="N399" s="972"/>
      <c r="O399" s="352"/>
      <c r="P399" s="352"/>
      <c r="Q399" s="352"/>
      <c r="R399" s="352"/>
      <c r="S399" s="352"/>
      <c r="T399" s="352"/>
      <c r="U399" s="352"/>
      <c r="V399" s="352"/>
      <c r="W399" s="352"/>
      <c r="X399" s="352"/>
      <c r="Y399" s="352"/>
      <c r="Z399" s="352"/>
      <c r="AA399" s="352"/>
      <c r="AB399" s="352"/>
      <c r="AC399" s="352"/>
      <c r="AD399" s="352"/>
      <c r="AE399" s="352"/>
    </row>
    <row r="400">
      <c r="A400" s="352"/>
      <c r="B400" s="352"/>
      <c r="C400" s="972"/>
      <c r="D400" s="972"/>
      <c r="E400" s="972"/>
      <c r="F400" s="972"/>
      <c r="G400" s="972"/>
      <c r="H400" s="972"/>
      <c r="I400" s="972"/>
      <c r="J400" s="972"/>
      <c r="K400" s="972"/>
      <c r="L400" s="972"/>
      <c r="M400" s="972"/>
      <c r="N400" s="972"/>
      <c r="O400" s="352"/>
      <c r="P400" s="352"/>
      <c r="Q400" s="352"/>
      <c r="R400" s="352"/>
      <c r="S400" s="352"/>
      <c r="T400" s="352"/>
      <c r="U400" s="352"/>
      <c r="V400" s="352"/>
      <c r="W400" s="352"/>
      <c r="X400" s="352"/>
      <c r="Y400" s="352"/>
      <c r="Z400" s="352"/>
      <c r="AA400" s="352"/>
      <c r="AB400" s="352"/>
      <c r="AC400" s="352"/>
      <c r="AD400" s="352"/>
      <c r="AE400" s="352"/>
    </row>
    <row r="401">
      <c r="A401" s="352"/>
      <c r="B401" s="352"/>
      <c r="C401" s="972"/>
      <c r="D401" s="972"/>
      <c r="E401" s="972"/>
      <c r="F401" s="972"/>
      <c r="G401" s="972"/>
      <c r="H401" s="972"/>
      <c r="I401" s="972"/>
      <c r="J401" s="972"/>
      <c r="K401" s="972"/>
      <c r="L401" s="972"/>
      <c r="M401" s="972"/>
      <c r="N401" s="972"/>
      <c r="O401" s="352"/>
      <c r="P401" s="352"/>
      <c r="Q401" s="352"/>
      <c r="R401" s="352"/>
      <c r="S401" s="352"/>
      <c r="T401" s="352"/>
      <c r="U401" s="352"/>
      <c r="V401" s="352"/>
      <c r="W401" s="352"/>
      <c r="X401" s="352"/>
      <c r="Y401" s="352"/>
      <c r="Z401" s="352"/>
      <c r="AA401" s="352"/>
      <c r="AB401" s="352"/>
      <c r="AC401" s="352"/>
      <c r="AD401" s="352"/>
      <c r="AE401" s="352"/>
    </row>
    <row r="402">
      <c r="A402" s="352"/>
      <c r="B402" s="352"/>
      <c r="C402" s="972"/>
      <c r="D402" s="972"/>
      <c r="E402" s="972"/>
      <c r="F402" s="972"/>
      <c r="G402" s="972"/>
      <c r="H402" s="972"/>
      <c r="I402" s="972"/>
      <c r="J402" s="972"/>
      <c r="K402" s="972"/>
      <c r="L402" s="972"/>
      <c r="M402" s="972"/>
      <c r="N402" s="972"/>
      <c r="O402" s="352"/>
      <c r="P402" s="352"/>
      <c r="Q402" s="352"/>
      <c r="R402" s="352"/>
      <c r="S402" s="352"/>
      <c r="T402" s="352"/>
      <c r="U402" s="352"/>
      <c r="V402" s="352"/>
      <c r="W402" s="352"/>
      <c r="X402" s="352"/>
      <c r="Y402" s="352"/>
      <c r="Z402" s="352"/>
      <c r="AA402" s="352"/>
      <c r="AB402" s="352"/>
      <c r="AC402" s="352"/>
      <c r="AD402" s="352"/>
      <c r="AE402" s="352"/>
    </row>
    <row r="403">
      <c r="A403" s="352"/>
      <c r="B403" s="352"/>
      <c r="C403" s="972"/>
      <c r="D403" s="972"/>
      <c r="E403" s="972"/>
      <c r="F403" s="972"/>
      <c r="G403" s="972"/>
      <c r="H403" s="972"/>
      <c r="I403" s="972"/>
      <c r="J403" s="972"/>
      <c r="K403" s="972"/>
      <c r="L403" s="972"/>
      <c r="M403" s="972"/>
      <c r="N403" s="972"/>
      <c r="O403" s="352"/>
      <c r="P403" s="352"/>
      <c r="Q403" s="352"/>
      <c r="R403" s="352"/>
      <c r="S403" s="352"/>
      <c r="T403" s="352"/>
      <c r="U403" s="352"/>
      <c r="V403" s="352"/>
      <c r="W403" s="352"/>
      <c r="X403" s="352"/>
      <c r="Y403" s="352"/>
      <c r="Z403" s="352"/>
      <c r="AA403" s="352"/>
      <c r="AB403" s="352"/>
      <c r="AC403" s="352"/>
      <c r="AD403" s="352"/>
      <c r="AE403" s="352"/>
    </row>
    <row r="404">
      <c r="A404" s="352"/>
      <c r="B404" s="352"/>
      <c r="C404" s="972"/>
      <c r="D404" s="972"/>
      <c r="E404" s="972"/>
      <c r="F404" s="972"/>
      <c r="G404" s="972"/>
      <c r="H404" s="972"/>
      <c r="I404" s="972"/>
      <c r="J404" s="972"/>
      <c r="K404" s="972"/>
      <c r="L404" s="972"/>
      <c r="M404" s="972"/>
      <c r="N404" s="972"/>
      <c r="O404" s="352"/>
      <c r="P404" s="352"/>
      <c r="Q404" s="352"/>
      <c r="R404" s="352"/>
      <c r="S404" s="352"/>
      <c r="T404" s="352"/>
      <c r="U404" s="352"/>
      <c r="V404" s="352"/>
      <c r="W404" s="352"/>
      <c r="X404" s="352"/>
      <c r="Y404" s="352"/>
      <c r="Z404" s="352"/>
      <c r="AA404" s="352"/>
      <c r="AB404" s="352"/>
      <c r="AC404" s="352"/>
      <c r="AD404" s="352"/>
      <c r="AE404" s="352"/>
    </row>
    <row r="405">
      <c r="A405" s="352"/>
      <c r="B405" s="352"/>
      <c r="C405" s="972"/>
      <c r="D405" s="972"/>
      <c r="E405" s="972"/>
      <c r="F405" s="972"/>
      <c r="G405" s="972"/>
      <c r="H405" s="972"/>
      <c r="I405" s="972"/>
      <c r="J405" s="972"/>
      <c r="K405" s="972"/>
      <c r="L405" s="972"/>
      <c r="M405" s="972"/>
      <c r="N405" s="972"/>
      <c r="O405" s="352"/>
      <c r="P405" s="352"/>
      <c r="Q405" s="352"/>
      <c r="R405" s="352"/>
      <c r="S405" s="352"/>
      <c r="T405" s="352"/>
      <c r="U405" s="352"/>
      <c r="V405" s="352"/>
      <c r="W405" s="352"/>
      <c r="X405" s="352"/>
      <c r="Y405" s="352"/>
      <c r="Z405" s="352"/>
      <c r="AA405" s="352"/>
      <c r="AB405" s="352"/>
      <c r="AC405" s="352"/>
      <c r="AD405" s="352"/>
      <c r="AE405" s="352"/>
    </row>
    <row r="406">
      <c r="A406" s="352"/>
      <c r="B406" s="352"/>
      <c r="C406" s="972"/>
      <c r="D406" s="972"/>
      <c r="E406" s="972"/>
      <c r="F406" s="972"/>
      <c r="G406" s="972"/>
      <c r="H406" s="972"/>
      <c r="I406" s="972"/>
      <c r="J406" s="972"/>
      <c r="K406" s="972"/>
      <c r="L406" s="972"/>
      <c r="M406" s="972"/>
      <c r="N406" s="972"/>
      <c r="O406" s="352"/>
      <c r="P406" s="352"/>
      <c r="Q406" s="352"/>
      <c r="R406" s="352"/>
      <c r="S406" s="352"/>
      <c r="T406" s="352"/>
      <c r="U406" s="352"/>
      <c r="V406" s="352"/>
      <c r="W406" s="352"/>
      <c r="X406" s="352"/>
      <c r="Y406" s="352"/>
      <c r="Z406" s="352"/>
      <c r="AA406" s="352"/>
      <c r="AB406" s="352"/>
      <c r="AC406" s="352"/>
      <c r="AD406" s="352"/>
      <c r="AE406" s="352"/>
    </row>
    <row r="407">
      <c r="A407" s="352"/>
      <c r="B407" s="352"/>
      <c r="C407" s="972"/>
      <c r="D407" s="972"/>
      <c r="E407" s="972"/>
      <c r="F407" s="972"/>
      <c r="G407" s="972"/>
      <c r="H407" s="972"/>
      <c r="I407" s="972"/>
      <c r="J407" s="972"/>
      <c r="K407" s="972"/>
      <c r="L407" s="972"/>
      <c r="M407" s="972"/>
      <c r="N407" s="972"/>
      <c r="O407" s="352"/>
      <c r="P407" s="352"/>
      <c r="Q407" s="352"/>
      <c r="R407" s="352"/>
      <c r="S407" s="352"/>
      <c r="T407" s="352"/>
      <c r="U407" s="352"/>
      <c r="V407" s="352"/>
      <c r="W407" s="352"/>
      <c r="X407" s="352"/>
      <c r="Y407" s="352"/>
      <c r="Z407" s="352"/>
      <c r="AA407" s="352"/>
      <c r="AB407" s="352"/>
      <c r="AC407" s="352"/>
      <c r="AD407" s="352"/>
      <c r="AE407" s="352"/>
    </row>
    <row r="408">
      <c r="A408" s="352"/>
      <c r="B408" s="352"/>
      <c r="C408" s="972"/>
      <c r="D408" s="972"/>
      <c r="E408" s="972"/>
      <c r="F408" s="972"/>
      <c r="G408" s="972"/>
      <c r="H408" s="972"/>
      <c r="I408" s="972"/>
      <c r="J408" s="972"/>
      <c r="K408" s="972"/>
      <c r="L408" s="972"/>
      <c r="M408" s="972"/>
      <c r="N408" s="972"/>
      <c r="O408" s="352"/>
      <c r="P408" s="352"/>
      <c r="Q408" s="352"/>
      <c r="R408" s="352"/>
      <c r="S408" s="352"/>
      <c r="T408" s="352"/>
      <c r="U408" s="352"/>
      <c r="V408" s="352"/>
      <c r="W408" s="352"/>
      <c r="X408" s="352"/>
      <c r="Y408" s="352"/>
      <c r="Z408" s="352"/>
      <c r="AA408" s="352"/>
      <c r="AB408" s="352"/>
      <c r="AC408" s="352"/>
      <c r="AD408" s="352"/>
      <c r="AE408" s="352"/>
    </row>
    <row r="409">
      <c r="A409" s="352"/>
      <c r="B409" s="352"/>
      <c r="C409" s="972"/>
      <c r="D409" s="972"/>
      <c r="E409" s="972"/>
      <c r="F409" s="972"/>
      <c r="G409" s="972"/>
      <c r="H409" s="972"/>
      <c r="I409" s="972"/>
      <c r="J409" s="972"/>
      <c r="K409" s="972"/>
      <c r="L409" s="972"/>
      <c r="M409" s="972"/>
      <c r="N409" s="972"/>
      <c r="O409" s="352"/>
      <c r="P409" s="352"/>
      <c r="Q409" s="352"/>
      <c r="R409" s="352"/>
      <c r="S409" s="352"/>
      <c r="T409" s="352"/>
      <c r="U409" s="352"/>
      <c r="V409" s="352"/>
      <c r="W409" s="352"/>
      <c r="X409" s="352"/>
      <c r="Y409" s="352"/>
      <c r="Z409" s="352"/>
      <c r="AA409" s="352"/>
      <c r="AB409" s="352"/>
      <c r="AC409" s="352"/>
      <c r="AD409" s="352"/>
      <c r="AE409" s="352"/>
    </row>
    <row r="410">
      <c r="A410" s="352"/>
      <c r="B410" s="352"/>
      <c r="C410" s="972"/>
      <c r="D410" s="972"/>
      <c r="E410" s="972"/>
      <c r="F410" s="972"/>
      <c r="G410" s="972"/>
      <c r="H410" s="972"/>
      <c r="I410" s="972"/>
      <c r="J410" s="972"/>
      <c r="K410" s="972"/>
      <c r="L410" s="972"/>
      <c r="M410" s="972"/>
      <c r="N410" s="972"/>
      <c r="O410" s="352"/>
      <c r="P410" s="352"/>
      <c r="Q410" s="352"/>
      <c r="R410" s="352"/>
      <c r="S410" s="352"/>
      <c r="T410" s="352"/>
      <c r="U410" s="352"/>
      <c r="V410" s="352"/>
      <c r="W410" s="352"/>
      <c r="X410" s="352"/>
      <c r="Y410" s="352"/>
      <c r="Z410" s="352"/>
      <c r="AA410" s="352"/>
      <c r="AB410" s="352"/>
      <c r="AC410" s="352"/>
      <c r="AD410" s="352"/>
      <c r="AE410" s="352"/>
    </row>
    <row r="411">
      <c r="A411" s="352"/>
      <c r="B411" s="352"/>
      <c r="C411" s="972"/>
      <c r="D411" s="972"/>
      <c r="E411" s="972"/>
      <c r="F411" s="972"/>
      <c r="G411" s="972"/>
      <c r="H411" s="972"/>
      <c r="I411" s="972"/>
      <c r="J411" s="972"/>
      <c r="K411" s="972"/>
      <c r="L411" s="972"/>
      <c r="M411" s="972"/>
      <c r="N411" s="972"/>
      <c r="O411" s="352"/>
      <c r="P411" s="352"/>
      <c r="Q411" s="352"/>
      <c r="R411" s="352"/>
      <c r="S411" s="352"/>
      <c r="T411" s="352"/>
      <c r="U411" s="352"/>
      <c r="V411" s="352"/>
      <c r="W411" s="352"/>
      <c r="X411" s="352"/>
      <c r="Y411" s="352"/>
      <c r="Z411" s="352"/>
      <c r="AA411" s="352"/>
      <c r="AB411" s="352"/>
      <c r="AC411" s="352"/>
      <c r="AD411" s="352"/>
      <c r="AE411" s="352"/>
    </row>
    <row r="412">
      <c r="A412" s="352"/>
      <c r="B412" s="352"/>
      <c r="C412" s="972"/>
      <c r="D412" s="972"/>
      <c r="E412" s="972"/>
      <c r="F412" s="972"/>
      <c r="G412" s="972"/>
      <c r="H412" s="972"/>
      <c r="I412" s="972"/>
      <c r="J412" s="972"/>
      <c r="K412" s="972"/>
      <c r="L412" s="972"/>
      <c r="M412" s="972"/>
      <c r="N412" s="972"/>
      <c r="O412" s="352"/>
      <c r="P412" s="352"/>
      <c r="Q412" s="352"/>
      <c r="R412" s="352"/>
      <c r="S412" s="352"/>
      <c r="T412" s="352"/>
      <c r="U412" s="352"/>
      <c r="V412" s="352"/>
      <c r="W412" s="352"/>
      <c r="X412" s="352"/>
      <c r="Y412" s="352"/>
      <c r="Z412" s="352"/>
      <c r="AA412" s="352"/>
      <c r="AB412" s="352"/>
      <c r="AC412" s="352"/>
      <c r="AD412" s="352"/>
      <c r="AE412" s="352"/>
    </row>
    <row r="413">
      <c r="A413" s="352"/>
      <c r="B413" s="352"/>
      <c r="C413" s="972"/>
      <c r="D413" s="972"/>
      <c r="E413" s="972"/>
      <c r="F413" s="972"/>
      <c r="G413" s="972"/>
      <c r="H413" s="972"/>
      <c r="I413" s="972"/>
      <c r="J413" s="972"/>
      <c r="K413" s="972"/>
      <c r="L413" s="972"/>
      <c r="M413" s="972"/>
      <c r="N413" s="972"/>
      <c r="O413" s="352"/>
      <c r="P413" s="352"/>
      <c r="Q413" s="352"/>
      <c r="R413" s="352"/>
      <c r="S413" s="352"/>
      <c r="T413" s="352"/>
      <c r="U413" s="352"/>
      <c r="V413" s="352"/>
      <c r="W413" s="352"/>
      <c r="X413" s="352"/>
      <c r="Y413" s="352"/>
      <c r="Z413" s="352"/>
      <c r="AA413" s="352"/>
      <c r="AB413" s="352"/>
      <c r="AC413" s="352"/>
      <c r="AD413" s="352"/>
      <c r="AE413" s="352"/>
    </row>
    <row r="414">
      <c r="A414" s="352"/>
      <c r="B414" s="352"/>
      <c r="C414" s="972"/>
      <c r="D414" s="972"/>
      <c r="E414" s="972"/>
      <c r="F414" s="972"/>
      <c r="G414" s="972"/>
      <c r="H414" s="972"/>
      <c r="I414" s="972"/>
      <c r="J414" s="972"/>
      <c r="K414" s="972"/>
      <c r="L414" s="972"/>
      <c r="M414" s="972"/>
      <c r="N414" s="972"/>
      <c r="O414" s="352"/>
      <c r="P414" s="352"/>
      <c r="Q414" s="352"/>
      <c r="R414" s="352"/>
      <c r="S414" s="352"/>
      <c r="T414" s="352"/>
      <c r="U414" s="352"/>
      <c r="V414" s="352"/>
      <c r="W414" s="352"/>
      <c r="X414" s="352"/>
      <c r="Y414" s="352"/>
      <c r="Z414" s="352"/>
      <c r="AA414" s="352"/>
      <c r="AB414" s="352"/>
      <c r="AC414" s="352"/>
      <c r="AD414" s="352"/>
      <c r="AE414" s="352"/>
    </row>
    <row r="415">
      <c r="A415" s="352"/>
      <c r="B415" s="352"/>
      <c r="C415" s="972"/>
      <c r="D415" s="972"/>
      <c r="E415" s="972"/>
      <c r="F415" s="972"/>
      <c r="G415" s="972"/>
      <c r="H415" s="972"/>
      <c r="I415" s="972"/>
      <c r="J415" s="972"/>
      <c r="K415" s="972"/>
      <c r="L415" s="972"/>
      <c r="M415" s="972"/>
      <c r="N415" s="972"/>
      <c r="O415" s="352"/>
      <c r="P415" s="352"/>
      <c r="Q415" s="352"/>
      <c r="R415" s="352"/>
      <c r="S415" s="352"/>
      <c r="T415" s="352"/>
      <c r="U415" s="352"/>
      <c r="V415" s="352"/>
      <c r="W415" s="352"/>
      <c r="X415" s="352"/>
      <c r="Y415" s="352"/>
      <c r="Z415" s="352"/>
      <c r="AA415" s="352"/>
      <c r="AB415" s="352"/>
      <c r="AC415" s="352"/>
      <c r="AD415" s="352"/>
      <c r="AE415" s="352"/>
    </row>
    <row r="416">
      <c r="A416" s="352"/>
      <c r="B416" s="352"/>
      <c r="C416" s="972"/>
      <c r="D416" s="972"/>
      <c r="E416" s="972"/>
      <c r="F416" s="972"/>
      <c r="G416" s="972"/>
      <c r="H416" s="972"/>
      <c r="I416" s="972"/>
      <c r="J416" s="972"/>
      <c r="K416" s="972"/>
      <c r="L416" s="972"/>
      <c r="M416" s="972"/>
      <c r="N416" s="972"/>
      <c r="O416" s="352"/>
      <c r="P416" s="352"/>
      <c r="Q416" s="352"/>
      <c r="R416" s="352"/>
      <c r="S416" s="352"/>
      <c r="T416" s="352"/>
      <c r="U416" s="352"/>
      <c r="V416" s="352"/>
      <c r="W416" s="352"/>
      <c r="X416" s="352"/>
      <c r="Y416" s="352"/>
      <c r="Z416" s="352"/>
      <c r="AA416" s="352"/>
      <c r="AB416" s="352"/>
      <c r="AC416" s="352"/>
      <c r="AD416" s="352"/>
      <c r="AE416" s="352"/>
    </row>
    <row r="417">
      <c r="A417" s="352"/>
      <c r="B417" s="352"/>
      <c r="C417" s="972"/>
      <c r="D417" s="972"/>
      <c r="E417" s="972"/>
      <c r="F417" s="972"/>
      <c r="G417" s="972"/>
      <c r="H417" s="972"/>
      <c r="I417" s="972"/>
      <c r="J417" s="972"/>
      <c r="K417" s="972"/>
      <c r="L417" s="972"/>
      <c r="M417" s="972"/>
      <c r="N417" s="972"/>
      <c r="O417" s="352"/>
      <c r="P417" s="352"/>
      <c r="Q417" s="352"/>
      <c r="R417" s="352"/>
      <c r="S417" s="352"/>
      <c r="T417" s="352"/>
      <c r="U417" s="352"/>
      <c r="V417" s="352"/>
      <c r="W417" s="352"/>
      <c r="X417" s="352"/>
      <c r="Y417" s="352"/>
      <c r="Z417" s="352"/>
      <c r="AA417" s="352"/>
      <c r="AB417" s="352"/>
      <c r="AC417" s="352"/>
      <c r="AD417" s="352"/>
      <c r="AE417" s="352"/>
    </row>
    <row r="418">
      <c r="A418" s="352"/>
      <c r="B418" s="352"/>
      <c r="C418" s="972"/>
      <c r="D418" s="972"/>
      <c r="E418" s="972"/>
      <c r="F418" s="972"/>
      <c r="G418" s="972"/>
      <c r="H418" s="972"/>
      <c r="I418" s="972"/>
      <c r="J418" s="972"/>
      <c r="K418" s="972"/>
      <c r="L418" s="972"/>
      <c r="M418" s="972"/>
      <c r="N418" s="972"/>
      <c r="O418" s="352"/>
      <c r="P418" s="352"/>
      <c r="Q418" s="352"/>
      <c r="R418" s="352"/>
      <c r="S418" s="352"/>
      <c r="T418" s="352"/>
      <c r="U418" s="352"/>
      <c r="V418" s="352"/>
      <c r="W418" s="352"/>
      <c r="X418" s="352"/>
      <c r="Y418" s="352"/>
      <c r="Z418" s="352"/>
      <c r="AA418" s="352"/>
      <c r="AB418" s="352"/>
      <c r="AC418" s="352"/>
      <c r="AD418" s="352"/>
      <c r="AE418" s="352"/>
    </row>
    <row r="419">
      <c r="A419" s="352"/>
      <c r="B419" s="352"/>
      <c r="C419" s="972"/>
      <c r="D419" s="972"/>
      <c r="E419" s="972"/>
      <c r="F419" s="972"/>
      <c r="G419" s="972"/>
      <c r="H419" s="972"/>
      <c r="I419" s="972"/>
      <c r="J419" s="972"/>
      <c r="K419" s="972"/>
      <c r="L419" s="972"/>
      <c r="M419" s="972"/>
      <c r="N419" s="972"/>
      <c r="O419" s="352"/>
      <c r="P419" s="352"/>
      <c r="Q419" s="352"/>
      <c r="R419" s="352"/>
      <c r="S419" s="352"/>
      <c r="T419" s="352"/>
      <c r="U419" s="352"/>
      <c r="V419" s="352"/>
      <c r="W419" s="352"/>
      <c r="X419" s="352"/>
      <c r="Y419" s="352"/>
      <c r="Z419" s="352"/>
      <c r="AA419" s="352"/>
      <c r="AB419" s="352"/>
      <c r="AC419" s="352"/>
      <c r="AD419" s="352"/>
      <c r="AE419" s="352"/>
    </row>
    <row r="420">
      <c r="A420" s="352"/>
      <c r="B420" s="352"/>
      <c r="C420" s="972"/>
      <c r="D420" s="972"/>
      <c r="E420" s="972"/>
      <c r="F420" s="972"/>
      <c r="G420" s="972"/>
      <c r="H420" s="972"/>
      <c r="I420" s="972"/>
      <c r="J420" s="972"/>
      <c r="K420" s="972"/>
      <c r="L420" s="972"/>
      <c r="M420" s="972"/>
      <c r="N420" s="972"/>
      <c r="O420" s="352"/>
      <c r="P420" s="352"/>
      <c r="Q420" s="352"/>
      <c r="R420" s="352"/>
      <c r="S420" s="352"/>
      <c r="T420" s="352"/>
      <c r="U420" s="352"/>
      <c r="V420" s="352"/>
      <c r="W420" s="352"/>
      <c r="X420" s="352"/>
      <c r="Y420" s="352"/>
      <c r="Z420" s="352"/>
      <c r="AA420" s="352"/>
      <c r="AB420" s="352"/>
      <c r="AC420" s="352"/>
      <c r="AD420" s="352"/>
      <c r="AE420" s="352"/>
    </row>
    <row r="421">
      <c r="A421" s="352"/>
      <c r="B421" s="352"/>
      <c r="C421" s="972"/>
      <c r="D421" s="972"/>
      <c r="E421" s="972"/>
      <c r="F421" s="972"/>
      <c r="G421" s="972"/>
      <c r="H421" s="972"/>
      <c r="I421" s="972"/>
      <c r="J421" s="972"/>
      <c r="K421" s="972"/>
      <c r="L421" s="972"/>
      <c r="M421" s="972"/>
      <c r="N421" s="972"/>
      <c r="O421" s="352"/>
      <c r="P421" s="352"/>
      <c r="Q421" s="352"/>
      <c r="R421" s="352"/>
      <c r="S421" s="352"/>
      <c r="T421" s="352"/>
      <c r="U421" s="352"/>
      <c r="V421" s="352"/>
      <c r="W421" s="352"/>
      <c r="X421" s="352"/>
      <c r="Y421" s="352"/>
      <c r="Z421" s="352"/>
      <c r="AA421" s="352"/>
      <c r="AB421" s="352"/>
      <c r="AC421" s="352"/>
      <c r="AD421" s="352"/>
      <c r="AE421" s="352"/>
    </row>
    <row r="422">
      <c r="A422" s="352"/>
      <c r="B422" s="352"/>
      <c r="C422" s="972"/>
      <c r="D422" s="972"/>
      <c r="E422" s="972"/>
      <c r="F422" s="972"/>
      <c r="G422" s="972"/>
      <c r="H422" s="972"/>
      <c r="I422" s="972"/>
      <c r="J422" s="972"/>
      <c r="K422" s="972"/>
      <c r="L422" s="972"/>
      <c r="M422" s="972"/>
      <c r="N422" s="972"/>
      <c r="O422" s="352"/>
      <c r="P422" s="352"/>
      <c r="Q422" s="352"/>
      <c r="R422" s="352"/>
      <c r="S422" s="352"/>
      <c r="T422" s="352"/>
      <c r="U422" s="352"/>
      <c r="V422" s="352"/>
      <c r="W422" s="352"/>
      <c r="X422" s="352"/>
      <c r="Y422" s="352"/>
      <c r="Z422" s="352"/>
      <c r="AA422" s="352"/>
      <c r="AB422" s="352"/>
      <c r="AC422" s="352"/>
      <c r="AD422" s="352"/>
      <c r="AE422" s="352"/>
    </row>
    <row r="423">
      <c r="A423" s="352"/>
      <c r="B423" s="352"/>
      <c r="C423" s="972"/>
      <c r="D423" s="972"/>
      <c r="E423" s="972"/>
      <c r="F423" s="972"/>
      <c r="G423" s="972"/>
      <c r="H423" s="972"/>
      <c r="I423" s="972"/>
      <c r="J423" s="972"/>
      <c r="K423" s="972"/>
      <c r="L423" s="972"/>
      <c r="M423" s="972"/>
      <c r="N423" s="972"/>
      <c r="O423" s="352"/>
      <c r="P423" s="352"/>
      <c r="Q423" s="352"/>
      <c r="R423" s="352"/>
      <c r="S423" s="352"/>
      <c r="T423" s="352"/>
      <c r="U423" s="352"/>
      <c r="V423" s="352"/>
      <c r="W423" s="352"/>
      <c r="X423" s="352"/>
      <c r="Y423" s="352"/>
      <c r="Z423" s="352"/>
      <c r="AA423" s="352"/>
      <c r="AB423" s="352"/>
      <c r="AC423" s="352"/>
      <c r="AD423" s="352"/>
      <c r="AE423" s="352"/>
    </row>
    <row r="424">
      <c r="A424" s="352"/>
      <c r="B424" s="352"/>
      <c r="C424" s="972"/>
      <c r="D424" s="972"/>
      <c r="E424" s="972"/>
      <c r="F424" s="972"/>
      <c r="G424" s="972"/>
      <c r="H424" s="972"/>
      <c r="I424" s="972"/>
      <c r="J424" s="972"/>
      <c r="K424" s="972"/>
      <c r="L424" s="972"/>
      <c r="M424" s="972"/>
      <c r="N424" s="972"/>
      <c r="O424" s="352"/>
      <c r="P424" s="352"/>
      <c r="Q424" s="352"/>
      <c r="R424" s="352"/>
      <c r="S424" s="352"/>
      <c r="T424" s="352"/>
      <c r="U424" s="352"/>
      <c r="V424" s="352"/>
      <c r="W424" s="352"/>
      <c r="X424" s="352"/>
      <c r="Y424" s="352"/>
      <c r="Z424" s="352"/>
      <c r="AA424" s="352"/>
      <c r="AB424" s="352"/>
      <c r="AC424" s="352"/>
      <c r="AD424" s="352"/>
      <c r="AE424" s="352"/>
    </row>
    <row r="425">
      <c r="A425" s="352"/>
      <c r="B425" s="352"/>
      <c r="C425" s="972"/>
      <c r="D425" s="972"/>
      <c r="E425" s="972"/>
      <c r="F425" s="972"/>
      <c r="G425" s="972"/>
      <c r="H425" s="972"/>
      <c r="I425" s="972"/>
      <c r="J425" s="972"/>
      <c r="K425" s="972"/>
      <c r="L425" s="972"/>
      <c r="M425" s="972"/>
      <c r="N425" s="972"/>
      <c r="O425" s="352"/>
      <c r="P425" s="352"/>
      <c r="Q425" s="352"/>
      <c r="R425" s="352"/>
      <c r="S425" s="352"/>
      <c r="T425" s="352"/>
      <c r="U425" s="352"/>
      <c r="V425" s="352"/>
      <c r="W425" s="352"/>
      <c r="X425" s="352"/>
      <c r="Y425" s="352"/>
      <c r="Z425" s="352"/>
      <c r="AA425" s="352"/>
      <c r="AB425" s="352"/>
      <c r="AC425" s="352"/>
      <c r="AD425" s="352"/>
      <c r="AE425" s="352"/>
    </row>
    <row r="426">
      <c r="A426" s="352"/>
      <c r="B426" s="352"/>
      <c r="C426" s="972"/>
      <c r="D426" s="972"/>
      <c r="E426" s="972"/>
      <c r="F426" s="972"/>
      <c r="G426" s="972"/>
      <c r="H426" s="972"/>
      <c r="I426" s="972"/>
      <c r="J426" s="972"/>
      <c r="K426" s="972"/>
      <c r="L426" s="972"/>
      <c r="M426" s="972"/>
      <c r="N426" s="972"/>
      <c r="O426" s="352"/>
      <c r="P426" s="352"/>
      <c r="Q426" s="352"/>
      <c r="R426" s="352"/>
      <c r="S426" s="352"/>
      <c r="T426" s="352"/>
      <c r="U426" s="352"/>
      <c r="V426" s="352"/>
      <c r="W426" s="352"/>
      <c r="X426" s="352"/>
      <c r="Y426" s="352"/>
      <c r="Z426" s="352"/>
      <c r="AA426" s="352"/>
      <c r="AB426" s="352"/>
      <c r="AC426" s="352"/>
      <c r="AD426" s="352"/>
      <c r="AE426" s="352"/>
    </row>
    <row r="427">
      <c r="A427" s="352"/>
      <c r="B427" s="352"/>
      <c r="C427" s="972"/>
      <c r="D427" s="972"/>
      <c r="E427" s="972"/>
      <c r="F427" s="972"/>
      <c r="G427" s="972"/>
      <c r="H427" s="972"/>
      <c r="I427" s="972"/>
      <c r="J427" s="972"/>
      <c r="K427" s="972"/>
      <c r="L427" s="972"/>
      <c r="M427" s="972"/>
      <c r="N427" s="972"/>
      <c r="O427" s="352"/>
      <c r="P427" s="352"/>
      <c r="Q427" s="352"/>
      <c r="R427" s="352"/>
      <c r="S427" s="352"/>
      <c r="T427" s="352"/>
      <c r="U427" s="352"/>
      <c r="V427" s="352"/>
      <c r="W427" s="352"/>
      <c r="X427" s="352"/>
      <c r="Y427" s="352"/>
      <c r="Z427" s="352"/>
      <c r="AA427" s="352"/>
      <c r="AB427" s="352"/>
      <c r="AC427" s="352"/>
      <c r="AD427" s="352"/>
      <c r="AE427" s="352"/>
    </row>
    <row r="428">
      <c r="A428" s="352"/>
      <c r="B428" s="352"/>
      <c r="C428" s="972"/>
      <c r="D428" s="972"/>
      <c r="E428" s="972"/>
      <c r="F428" s="972"/>
      <c r="G428" s="972"/>
      <c r="H428" s="972"/>
      <c r="I428" s="972"/>
      <c r="J428" s="972"/>
      <c r="K428" s="972"/>
      <c r="L428" s="972"/>
      <c r="M428" s="972"/>
      <c r="N428" s="972"/>
      <c r="O428" s="352"/>
      <c r="P428" s="352"/>
      <c r="Q428" s="352"/>
      <c r="R428" s="352"/>
      <c r="S428" s="352"/>
      <c r="T428" s="352"/>
      <c r="U428" s="352"/>
      <c r="V428" s="352"/>
      <c r="W428" s="352"/>
      <c r="X428" s="352"/>
      <c r="Y428" s="352"/>
      <c r="Z428" s="352"/>
      <c r="AA428" s="352"/>
      <c r="AB428" s="352"/>
      <c r="AC428" s="352"/>
      <c r="AD428" s="352"/>
      <c r="AE428" s="352"/>
    </row>
    <row r="429">
      <c r="A429" s="352"/>
      <c r="B429" s="352"/>
      <c r="C429" s="972"/>
      <c r="D429" s="972"/>
      <c r="E429" s="972"/>
      <c r="F429" s="972"/>
      <c r="G429" s="972"/>
      <c r="H429" s="972"/>
      <c r="I429" s="972"/>
      <c r="J429" s="972"/>
      <c r="K429" s="972"/>
      <c r="L429" s="972"/>
      <c r="M429" s="972"/>
      <c r="N429" s="972"/>
      <c r="O429" s="352"/>
      <c r="P429" s="352"/>
      <c r="Q429" s="352"/>
      <c r="R429" s="352"/>
      <c r="S429" s="352"/>
      <c r="T429" s="352"/>
      <c r="U429" s="352"/>
      <c r="V429" s="352"/>
      <c r="W429" s="352"/>
      <c r="X429" s="352"/>
      <c r="Y429" s="352"/>
      <c r="Z429" s="352"/>
      <c r="AA429" s="352"/>
      <c r="AB429" s="352"/>
      <c r="AC429" s="352"/>
      <c r="AD429" s="352"/>
      <c r="AE429" s="352"/>
    </row>
    <row r="430">
      <c r="A430" s="352"/>
      <c r="B430" s="352"/>
      <c r="C430" s="972"/>
      <c r="D430" s="972"/>
      <c r="E430" s="972"/>
      <c r="F430" s="972"/>
      <c r="G430" s="972"/>
      <c r="H430" s="972"/>
      <c r="I430" s="972"/>
      <c r="J430" s="972"/>
      <c r="K430" s="972"/>
      <c r="L430" s="972"/>
      <c r="M430" s="972"/>
      <c r="N430" s="972"/>
      <c r="O430" s="352"/>
      <c r="P430" s="352"/>
      <c r="Q430" s="352"/>
      <c r="R430" s="352"/>
      <c r="S430" s="352"/>
      <c r="T430" s="352"/>
      <c r="U430" s="352"/>
      <c r="V430" s="352"/>
      <c r="W430" s="352"/>
      <c r="X430" s="352"/>
      <c r="Y430" s="352"/>
      <c r="Z430" s="352"/>
      <c r="AA430" s="352"/>
      <c r="AB430" s="352"/>
      <c r="AC430" s="352"/>
      <c r="AD430" s="352"/>
      <c r="AE430" s="352"/>
    </row>
    <row r="431">
      <c r="A431" s="352"/>
      <c r="B431" s="352"/>
      <c r="C431" s="972"/>
      <c r="D431" s="972"/>
      <c r="E431" s="972"/>
      <c r="F431" s="972"/>
      <c r="G431" s="972"/>
      <c r="H431" s="972"/>
      <c r="I431" s="972"/>
      <c r="J431" s="972"/>
      <c r="K431" s="972"/>
      <c r="L431" s="972"/>
      <c r="M431" s="972"/>
      <c r="N431" s="972"/>
      <c r="O431" s="352"/>
      <c r="P431" s="352"/>
      <c r="Q431" s="352"/>
      <c r="R431" s="352"/>
      <c r="S431" s="352"/>
      <c r="T431" s="352"/>
      <c r="U431" s="352"/>
      <c r="V431" s="352"/>
      <c r="W431" s="352"/>
      <c r="X431" s="352"/>
      <c r="Y431" s="352"/>
      <c r="Z431" s="352"/>
      <c r="AA431" s="352"/>
      <c r="AB431" s="352"/>
      <c r="AC431" s="352"/>
      <c r="AD431" s="352"/>
      <c r="AE431" s="352"/>
    </row>
    <row r="432">
      <c r="A432" s="352"/>
      <c r="B432" s="352"/>
      <c r="C432" s="972"/>
      <c r="D432" s="972"/>
      <c r="E432" s="972"/>
      <c r="F432" s="972"/>
      <c r="G432" s="972"/>
      <c r="H432" s="972"/>
      <c r="I432" s="972"/>
      <c r="J432" s="972"/>
      <c r="K432" s="972"/>
      <c r="L432" s="972"/>
      <c r="M432" s="972"/>
      <c r="N432" s="972"/>
      <c r="O432" s="352"/>
      <c r="P432" s="352"/>
      <c r="Q432" s="352"/>
      <c r="R432" s="352"/>
      <c r="S432" s="352"/>
      <c r="T432" s="352"/>
      <c r="U432" s="352"/>
      <c r="V432" s="352"/>
      <c r="W432" s="352"/>
      <c r="X432" s="352"/>
      <c r="Y432" s="352"/>
      <c r="Z432" s="352"/>
      <c r="AA432" s="352"/>
      <c r="AB432" s="352"/>
      <c r="AC432" s="352"/>
      <c r="AD432" s="352"/>
      <c r="AE432" s="352"/>
    </row>
    <row r="433">
      <c r="A433" s="352"/>
      <c r="B433" s="352"/>
      <c r="C433" s="972"/>
      <c r="D433" s="972"/>
      <c r="E433" s="972"/>
      <c r="F433" s="972"/>
      <c r="G433" s="972"/>
      <c r="H433" s="972"/>
      <c r="I433" s="972"/>
      <c r="J433" s="972"/>
      <c r="K433" s="972"/>
      <c r="L433" s="972"/>
      <c r="M433" s="972"/>
      <c r="N433" s="972"/>
      <c r="O433" s="352"/>
      <c r="P433" s="352"/>
      <c r="Q433" s="352"/>
      <c r="R433" s="352"/>
      <c r="S433" s="352"/>
      <c r="T433" s="352"/>
      <c r="U433" s="352"/>
      <c r="V433" s="352"/>
      <c r="W433" s="352"/>
      <c r="X433" s="352"/>
      <c r="Y433" s="352"/>
      <c r="Z433" s="352"/>
      <c r="AA433" s="352"/>
      <c r="AB433" s="352"/>
      <c r="AC433" s="352"/>
      <c r="AD433" s="352"/>
      <c r="AE433" s="352"/>
    </row>
    <row r="434">
      <c r="A434" s="352"/>
      <c r="B434" s="352"/>
      <c r="C434" s="972"/>
      <c r="D434" s="972"/>
      <c r="E434" s="972"/>
      <c r="F434" s="972"/>
      <c r="G434" s="972"/>
      <c r="H434" s="972"/>
      <c r="I434" s="972"/>
      <c r="J434" s="972"/>
      <c r="K434" s="972"/>
      <c r="L434" s="972"/>
      <c r="M434" s="972"/>
      <c r="N434" s="972"/>
      <c r="O434" s="352"/>
      <c r="P434" s="352"/>
      <c r="Q434" s="352"/>
      <c r="R434" s="352"/>
      <c r="S434" s="352"/>
      <c r="T434" s="352"/>
      <c r="U434" s="352"/>
      <c r="V434" s="352"/>
      <c r="W434" s="352"/>
      <c r="X434" s="352"/>
      <c r="Y434" s="352"/>
      <c r="Z434" s="352"/>
      <c r="AA434" s="352"/>
      <c r="AB434" s="352"/>
      <c r="AC434" s="352"/>
      <c r="AD434" s="352"/>
      <c r="AE434" s="352"/>
    </row>
    <row r="435">
      <c r="A435" s="352"/>
      <c r="B435" s="352"/>
      <c r="C435" s="972"/>
      <c r="D435" s="972"/>
      <c r="E435" s="972"/>
      <c r="F435" s="972"/>
      <c r="G435" s="972"/>
      <c r="H435" s="972"/>
      <c r="I435" s="972"/>
      <c r="J435" s="972"/>
      <c r="K435" s="972"/>
      <c r="L435" s="972"/>
      <c r="M435" s="972"/>
      <c r="N435" s="972"/>
      <c r="O435" s="352"/>
      <c r="P435" s="352"/>
      <c r="Q435" s="352"/>
      <c r="R435" s="352"/>
      <c r="S435" s="352"/>
      <c r="T435" s="352"/>
      <c r="U435" s="352"/>
      <c r="V435" s="352"/>
      <c r="W435" s="352"/>
      <c r="X435" s="352"/>
      <c r="Y435" s="352"/>
      <c r="Z435" s="352"/>
      <c r="AA435" s="352"/>
      <c r="AB435" s="352"/>
      <c r="AC435" s="352"/>
      <c r="AD435" s="352"/>
      <c r="AE435" s="352"/>
    </row>
    <row r="436">
      <c r="A436" s="352"/>
      <c r="B436" s="352"/>
      <c r="C436" s="972"/>
      <c r="D436" s="972"/>
      <c r="E436" s="972"/>
      <c r="F436" s="972"/>
      <c r="G436" s="972"/>
      <c r="H436" s="972"/>
      <c r="I436" s="972"/>
      <c r="J436" s="972"/>
      <c r="K436" s="972"/>
      <c r="L436" s="972"/>
      <c r="M436" s="972"/>
      <c r="N436" s="972"/>
      <c r="O436" s="352"/>
      <c r="P436" s="352"/>
      <c r="Q436" s="352"/>
      <c r="R436" s="352"/>
      <c r="S436" s="352"/>
      <c r="T436" s="352"/>
      <c r="U436" s="352"/>
      <c r="V436" s="352"/>
      <c r="W436" s="352"/>
      <c r="X436" s="352"/>
      <c r="Y436" s="352"/>
      <c r="Z436" s="352"/>
      <c r="AA436" s="352"/>
      <c r="AB436" s="352"/>
      <c r="AC436" s="352"/>
      <c r="AD436" s="352"/>
      <c r="AE436" s="352"/>
    </row>
    <row r="437">
      <c r="A437" s="352"/>
      <c r="B437" s="352"/>
      <c r="C437" s="972"/>
      <c r="D437" s="972"/>
      <c r="E437" s="972"/>
      <c r="F437" s="972"/>
      <c r="G437" s="972"/>
      <c r="H437" s="972"/>
      <c r="I437" s="972"/>
      <c r="J437" s="972"/>
      <c r="K437" s="972"/>
      <c r="L437" s="972"/>
      <c r="M437" s="972"/>
      <c r="N437" s="972"/>
      <c r="O437" s="352"/>
      <c r="P437" s="352"/>
      <c r="Q437" s="352"/>
      <c r="R437" s="352"/>
      <c r="S437" s="352"/>
      <c r="T437" s="352"/>
      <c r="U437" s="352"/>
      <c r="V437" s="352"/>
      <c r="W437" s="352"/>
      <c r="X437" s="352"/>
      <c r="Y437" s="352"/>
      <c r="Z437" s="352"/>
      <c r="AA437" s="352"/>
      <c r="AB437" s="352"/>
      <c r="AC437" s="352"/>
      <c r="AD437" s="352"/>
      <c r="AE437" s="352"/>
    </row>
    <row r="438">
      <c r="A438" s="352"/>
      <c r="B438" s="352"/>
      <c r="C438" s="972"/>
      <c r="D438" s="972"/>
      <c r="E438" s="972"/>
      <c r="F438" s="972"/>
      <c r="G438" s="972"/>
      <c r="H438" s="972"/>
      <c r="I438" s="972"/>
      <c r="J438" s="972"/>
      <c r="K438" s="972"/>
      <c r="L438" s="972"/>
      <c r="M438" s="972"/>
      <c r="N438" s="972"/>
      <c r="O438" s="352"/>
      <c r="P438" s="352"/>
      <c r="Q438" s="352"/>
      <c r="R438" s="352"/>
      <c r="S438" s="352"/>
      <c r="T438" s="352"/>
      <c r="U438" s="352"/>
      <c r="V438" s="352"/>
      <c r="W438" s="352"/>
      <c r="X438" s="352"/>
      <c r="Y438" s="352"/>
      <c r="Z438" s="352"/>
      <c r="AA438" s="352"/>
      <c r="AB438" s="352"/>
      <c r="AC438" s="352"/>
      <c r="AD438" s="352"/>
      <c r="AE438" s="352"/>
    </row>
    <row r="439">
      <c r="A439" s="352"/>
      <c r="B439" s="352"/>
      <c r="C439" s="972"/>
      <c r="D439" s="972"/>
      <c r="E439" s="972"/>
      <c r="F439" s="972"/>
      <c r="G439" s="972"/>
      <c r="H439" s="972"/>
      <c r="I439" s="972"/>
      <c r="J439" s="972"/>
      <c r="K439" s="972"/>
      <c r="L439" s="972"/>
      <c r="M439" s="972"/>
      <c r="N439" s="972"/>
      <c r="O439" s="352"/>
      <c r="P439" s="352"/>
      <c r="Q439" s="352"/>
      <c r="R439" s="352"/>
      <c r="S439" s="352"/>
      <c r="T439" s="352"/>
      <c r="U439" s="352"/>
      <c r="V439" s="352"/>
      <c r="W439" s="352"/>
      <c r="X439" s="352"/>
      <c r="Y439" s="352"/>
      <c r="Z439" s="352"/>
      <c r="AA439" s="352"/>
      <c r="AB439" s="352"/>
      <c r="AC439" s="352"/>
      <c r="AD439" s="352"/>
      <c r="AE439" s="352"/>
    </row>
    <row r="440">
      <c r="A440" s="352"/>
      <c r="B440" s="352"/>
      <c r="C440" s="972"/>
      <c r="D440" s="972"/>
      <c r="E440" s="972"/>
      <c r="F440" s="972"/>
      <c r="G440" s="972"/>
      <c r="H440" s="972"/>
      <c r="I440" s="972"/>
      <c r="J440" s="972"/>
      <c r="K440" s="972"/>
      <c r="L440" s="972"/>
      <c r="M440" s="972"/>
      <c r="N440" s="972"/>
      <c r="O440" s="352"/>
      <c r="P440" s="352"/>
      <c r="Q440" s="352"/>
      <c r="R440" s="352"/>
      <c r="S440" s="352"/>
      <c r="T440" s="352"/>
      <c r="U440" s="352"/>
      <c r="V440" s="352"/>
      <c r="W440" s="352"/>
      <c r="X440" s="352"/>
      <c r="Y440" s="352"/>
      <c r="Z440" s="352"/>
      <c r="AA440" s="352"/>
      <c r="AB440" s="352"/>
      <c r="AC440" s="352"/>
      <c r="AD440" s="352"/>
      <c r="AE440" s="352"/>
    </row>
    <row r="441">
      <c r="A441" s="352"/>
      <c r="B441" s="352"/>
      <c r="C441" s="972"/>
      <c r="D441" s="972"/>
      <c r="E441" s="972"/>
      <c r="F441" s="972"/>
      <c r="G441" s="972"/>
      <c r="H441" s="972"/>
      <c r="I441" s="972"/>
      <c r="J441" s="972"/>
      <c r="K441" s="972"/>
      <c r="L441" s="972"/>
      <c r="M441" s="972"/>
      <c r="N441" s="972"/>
      <c r="O441" s="352"/>
      <c r="P441" s="352"/>
      <c r="Q441" s="352"/>
      <c r="R441" s="352"/>
      <c r="S441" s="352"/>
      <c r="T441" s="352"/>
      <c r="U441" s="352"/>
      <c r="V441" s="352"/>
      <c r="W441" s="352"/>
      <c r="X441" s="352"/>
      <c r="Y441" s="352"/>
      <c r="Z441" s="352"/>
      <c r="AA441" s="352"/>
      <c r="AB441" s="352"/>
      <c r="AC441" s="352"/>
      <c r="AD441" s="352"/>
      <c r="AE441" s="352"/>
    </row>
    <row r="442">
      <c r="A442" s="352"/>
      <c r="B442" s="352"/>
      <c r="C442" s="972"/>
      <c r="D442" s="972"/>
      <c r="E442" s="972"/>
      <c r="F442" s="972"/>
      <c r="G442" s="972"/>
      <c r="H442" s="972"/>
      <c r="I442" s="972"/>
      <c r="J442" s="972"/>
      <c r="K442" s="972"/>
      <c r="L442" s="972"/>
      <c r="M442" s="972"/>
      <c r="N442" s="972"/>
      <c r="O442" s="352"/>
      <c r="P442" s="352"/>
      <c r="Q442" s="352"/>
      <c r="R442" s="352"/>
      <c r="S442" s="352"/>
      <c r="T442" s="352"/>
      <c r="U442" s="352"/>
      <c r="V442" s="352"/>
      <c r="W442" s="352"/>
      <c r="X442" s="352"/>
      <c r="Y442" s="352"/>
      <c r="Z442" s="352"/>
      <c r="AA442" s="352"/>
      <c r="AB442" s="352"/>
      <c r="AC442" s="352"/>
      <c r="AD442" s="352"/>
      <c r="AE442" s="352"/>
    </row>
    <row r="443">
      <c r="A443" s="352"/>
      <c r="B443" s="352"/>
      <c r="C443" s="972"/>
      <c r="D443" s="972"/>
      <c r="E443" s="972"/>
      <c r="F443" s="972"/>
      <c r="G443" s="972"/>
      <c r="H443" s="972"/>
      <c r="I443" s="972"/>
      <c r="J443" s="972"/>
      <c r="K443" s="972"/>
      <c r="L443" s="972"/>
      <c r="M443" s="972"/>
      <c r="N443" s="972"/>
      <c r="O443" s="352"/>
      <c r="P443" s="352"/>
      <c r="Q443" s="352"/>
      <c r="R443" s="352"/>
      <c r="S443" s="352"/>
      <c r="T443" s="352"/>
      <c r="U443" s="352"/>
      <c r="V443" s="352"/>
      <c r="W443" s="352"/>
      <c r="X443" s="352"/>
      <c r="Y443" s="352"/>
      <c r="Z443" s="352"/>
      <c r="AA443" s="352"/>
      <c r="AB443" s="352"/>
      <c r="AC443" s="352"/>
      <c r="AD443" s="352"/>
      <c r="AE443" s="352"/>
    </row>
    <row r="444">
      <c r="A444" s="352"/>
      <c r="B444" s="352"/>
      <c r="C444" s="972"/>
      <c r="D444" s="972"/>
      <c r="E444" s="972"/>
      <c r="F444" s="972"/>
      <c r="G444" s="972"/>
      <c r="H444" s="972"/>
      <c r="I444" s="972"/>
      <c r="J444" s="972"/>
      <c r="K444" s="972"/>
      <c r="L444" s="972"/>
      <c r="M444" s="972"/>
      <c r="N444" s="972"/>
      <c r="O444" s="352"/>
      <c r="P444" s="352"/>
      <c r="Q444" s="352"/>
      <c r="R444" s="352"/>
      <c r="S444" s="352"/>
      <c r="T444" s="352"/>
      <c r="U444" s="352"/>
      <c r="V444" s="352"/>
      <c r="W444" s="352"/>
      <c r="X444" s="352"/>
      <c r="Y444" s="352"/>
      <c r="Z444" s="352"/>
      <c r="AA444" s="352"/>
      <c r="AB444" s="352"/>
      <c r="AC444" s="352"/>
      <c r="AD444" s="352"/>
      <c r="AE444" s="352"/>
    </row>
    <row r="445">
      <c r="A445" s="352"/>
      <c r="B445" s="352"/>
      <c r="C445" s="972"/>
      <c r="D445" s="972"/>
      <c r="E445" s="972"/>
      <c r="F445" s="972"/>
      <c r="G445" s="972"/>
      <c r="H445" s="972"/>
      <c r="I445" s="972"/>
      <c r="J445" s="972"/>
      <c r="K445" s="972"/>
      <c r="L445" s="972"/>
      <c r="M445" s="972"/>
      <c r="N445" s="972"/>
      <c r="O445" s="352"/>
      <c r="P445" s="352"/>
      <c r="Q445" s="352"/>
      <c r="R445" s="352"/>
      <c r="S445" s="352"/>
      <c r="T445" s="352"/>
      <c r="U445" s="352"/>
      <c r="V445" s="352"/>
      <c r="W445" s="352"/>
      <c r="X445" s="352"/>
      <c r="Y445" s="352"/>
      <c r="Z445" s="352"/>
      <c r="AA445" s="352"/>
      <c r="AB445" s="352"/>
      <c r="AC445" s="352"/>
      <c r="AD445" s="352"/>
      <c r="AE445" s="352"/>
    </row>
    <row r="446">
      <c r="A446" s="352"/>
      <c r="B446" s="352"/>
      <c r="C446" s="972"/>
      <c r="D446" s="972"/>
      <c r="E446" s="972"/>
      <c r="F446" s="972"/>
      <c r="G446" s="972"/>
      <c r="H446" s="972"/>
      <c r="I446" s="972"/>
      <c r="J446" s="972"/>
      <c r="K446" s="972"/>
      <c r="L446" s="972"/>
      <c r="M446" s="972"/>
      <c r="N446" s="972"/>
      <c r="O446" s="352"/>
      <c r="P446" s="352"/>
      <c r="Q446" s="352"/>
      <c r="R446" s="352"/>
      <c r="S446" s="352"/>
      <c r="T446" s="352"/>
      <c r="U446" s="352"/>
      <c r="V446" s="352"/>
      <c r="W446" s="352"/>
      <c r="X446" s="352"/>
      <c r="Y446" s="352"/>
      <c r="Z446" s="352"/>
      <c r="AA446" s="352"/>
      <c r="AB446" s="352"/>
      <c r="AC446" s="352"/>
      <c r="AD446" s="352"/>
      <c r="AE446" s="352"/>
    </row>
    <row r="447">
      <c r="A447" s="352"/>
      <c r="B447" s="352"/>
      <c r="C447" s="972"/>
      <c r="D447" s="972"/>
      <c r="E447" s="972"/>
      <c r="F447" s="972"/>
      <c r="G447" s="972"/>
      <c r="H447" s="972"/>
      <c r="I447" s="972"/>
      <c r="J447" s="972"/>
      <c r="K447" s="972"/>
      <c r="L447" s="972"/>
      <c r="M447" s="972"/>
      <c r="N447" s="972"/>
      <c r="O447" s="352"/>
      <c r="P447" s="352"/>
      <c r="Q447" s="352"/>
      <c r="R447" s="352"/>
      <c r="S447" s="352"/>
      <c r="T447" s="352"/>
      <c r="U447" s="352"/>
      <c r="V447" s="352"/>
      <c r="W447" s="352"/>
      <c r="X447" s="352"/>
      <c r="Y447" s="352"/>
      <c r="Z447" s="352"/>
      <c r="AA447" s="352"/>
      <c r="AB447" s="352"/>
      <c r="AC447" s="352"/>
      <c r="AD447" s="352"/>
      <c r="AE447" s="352"/>
    </row>
    <row r="448">
      <c r="A448" s="352"/>
      <c r="B448" s="352"/>
      <c r="C448" s="972"/>
      <c r="D448" s="972"/>
      <c r="E448" s="972"/>
      <c r="F448" s="972"/>
      <c r="G448" s="972"/>
      <c r="H448" s="972"/>
      <c r="I448" s="972"/>
      <c r="J448" s="972"/>
      <c r="K448" s="972"/>
      <c r="L448" s="972"/>
      <c r="M448" s="972"/>
      <c r="N448" s="972"/>
      <c r="O448" s="352"/>
      <c r="P448" s="352"/>
      <c r="Q448" s="352"/>
      <c r="R448" s="352"/>
      <c r="S448" s="352"/>
      <c r="T448" s="352"/>
      <c r="U448" s="352"/>
      <c r="V448" s="352"/>
      <c r="W448" s="352"/>
      <c r="X448" s="352"/>
      <c r="Y448" s="352"/>
      <c r="Z448" s="352"/>
      <c r="AA448" s="352"/>
      <c r="AB448" s="352"/>
      <c r="AC448" s="352"/>
      <c r="AD448" s="352"/>
      <c r="AE448" s="352"/>
    </row>
    <row r="449">
      <c r="A449" s="352"/>
      <c r="B449" s="352"/>
      <c r="C449" s="972"/>
      <c r="D449" s="972"/>
      <c r="E449" s="972"/>
      <c r="F449" s="972"/>
      <c r="G449" s="972"/>
      <c r="H449" s="972"/>
      <c r="I449" s="972"/>
      <c r="J449" s="972"/>
      <c r="K449" s="972"/>
      <c r="L449" s="972"/>
      <c r="M449" s="972"/>
      <c r="N449" s="972"/>
      <c r="O449" s="352"/>
      <c r="P449" s="352"/>
      <c r="Q449" s="352"/>
      <c r="R449" s="352"/>
      <c r="S449" s="352"/>
      <c r="T449" s="352"/>
      <c r="U449" s="352"/>
      <c r="V449" s="352"/>
      <c r="W449" s="352"/>
      <c r="X449" s="352"/>
      <c r="Y449" s="352"/>
      <c r="Z449" s="352"/>
      <c r="AA449" s="352"/>
      <c r="AB449" s="352"/>
      <c r="AC449" s="352"/>
      <c r="AD449" s="352"/>
      <c r="AE449" s="352"/>
    </row>
    <row r="450">
      <c r="A450" s="352"/>
      <c r="B450" s="352"/>
      <c r="C450" s="972"/>
      <c r="D450" s="972"/>
      <c r="E450" s="972"/>
      <c r="F450" s="972"/>
      <c r="G450" s="972"/>
      <c r="H450" s="972"/>
      <c r="I450" s="972"/>
      <c r="J450" s="972"/>
      <c r="K450" s="972"/>
      <c r="L450" s="972"/>
      <c r="M450" s="972"/>
      <c r="N450" s="972"/>
      <c r="O450" s="352"/>
      <c r="P450" s="352"/>
      <c r="Q450" s="352"/>
      <c r="R450" s="352"/>
      <c r="S450" s="352"/>
      <c r="T450" s="352"/>
      <c r="U450" s="352"/>
      <c r="V450" s="352"/>
      <c r="W450" s="352"/>
      <c r="X450" s="352"/>
      <c r="Y450" s="352"/>
      <c r="Z450" s="352"/>
      <c r="AA450" s="352"/>
      <c r="AB450" s="352"/>
      <c r="AC450" s="352"/>
      <c r="AD450" s="352"/>
      <c r="AE450" s="352"/>
    </row>
    <row r="451">
      <c r="A451" s="352"/>
      <c r="B451" s="352"/>
      <c r="C451" s="972"/>
      <c r="D451" s="972"/>
      <c r="E451" s="972"/>
      <c r="F451" s="972"/>
      <c r="G451" s="972"/>
      <c r="H451" s="972"/>
      <c r="I451" s="972"/>
      <c r="J451" s="972"/>
      <c r="K451" s="972"/>
      <c r="L451" s="972"/>
      <c r="M451" s="972"/>
      <c r="N451" s="972"/>
      <c r="O451" s="352"/>
      <c r="P451" s="352"/>
      <c r="Q451" s="352"/>
      <c r="R451" s="352"/>
      <c r="S451" s="352"/>
      <c r="T451" s="352"/>
      <c r="U451" s="352"/>
      <c r="V451" s="352"/>
      <c r="W451" s="352"/>
      <c r="X451" s="352"/>
      <c r="Y451" s="352"/>
      <c r="Z451" s="352"/>
      <c r="AA451" s="352"/>
      <c r="AB451" s="352"/>
      <c r="AC451" s="352"/>
      <c r="AD451" s="352"/>
      <c r="AE451" s="352"/>
    </row>
    <row r="452">
      <c r="A452" s="352"/>
      <c r="B452" s="352"/>
      <c r="C452" s="972"/>
      <c r="D452" s="972"/>
      <c r="E452" s="972"/>
      <c r="F452" s="972"/>
      <c r="G452" s="972"/>
      <c r="H452" s="972"/>
      <c r="I452" s="972"/>
      <c r="J452" s="972"/>
      <c r="K452" s="972"/>
      <c r="L452" s="972"/>
      <c r="M452" s="972"/>
      <c r="N452" s="972"/>
      <c r="O452" s="352"/>
      <c r="P452" s="352"/>
      <c r="Q452" s="352"/>
      <c r="R452" s="352"/>
      <c r="S452" s="352"/>
      <c r="T452" s="352"/>
      <c r="U452" s="352"/>
      <c r="V452" s="352"/>
      <c r="W452" s="352"/>
      <c r="X452" s="352"/>
      <c r="Y452" s="352"/>
      <c r="Z452" s="352"/>
      <c r="AA452" s="352"/>
      <c r="AB452" s="352"/>
      <c r="AC452" s="352"/>
      <c r="AD452" s="352"/>
      <c r="AE452" s="352"/>
    </row>
    <row r="453">
      <c r="A453" s="352"/>
      <c r="B453" s="352"/>
      <c r="C453" s="972"/>
      <c r="D453" s="972"/>
      <c r="E453" s="972"/>
      <c r="F453" s="972"/>
      <c r="G453" s="972"/>
      <c r="H453" s="972"/>
      <c r="I453" s="972"/>
      <c r="J453" s="972"/>
      <c r="K453" s="972"/>
      <c r="L453" s="972"/>
      <c r="M453" s="972"/>
      <c r="N453" s="972"/>
      <c r="O453" s="352"/>
      <c r="P453" s="352"/>
      <c r="Q453" s="352"/>
      <c r="R453" s="352"/>
      <c r="S453" s="352"/>
      <c r="T453" s="352"/>
      <c r="U453" s="352"/>
      <c r="V453" s="352"/>
      <c r="W453" s="352"/>
      <c r="X453" s="352"/>
      <c r="Y453" s="352"/>
      <c r="Z453" s="352"/>
      <c r="AA453" s="352"/>
      <c r="AB453" s="352"/>
      <c r="AC453" s="352"/>
      <c r="AD453" s="352"/>
      <c r="AE453" s="352"/>
    </row>
    <row r="454">
      <c r="A454" s="352"/>
      <c r="B454" s="352"/>
      <c r="C454" s="972"/>
      <c r="D454" s="972"/>
      <c r="E454" s="972"/>
      <c r="F454" s="972"/>
      <c r="G454" s="972"/>
      <c r="H454" s="972"/>
      <c r="I454" s="972"/>
      <c r="J454" s="972"/>
      <c r="K454" s="972"/>
      <c r="L454" s="972"/>
      <c r="M454" s="972"/>
      <c r="N454" s="972"/>
      <c r="O454" s="352"/>
      <c r="P454" s="352"/>
      <c r="Q454" s="352"/>
      <c r="R454" s="352"/>
      <c r="S454" s="352"/>
      <c r="T454" s="352"/>
      <c r="U454" s="352"/>
      <c r="V454" s="352"/>
      <c r="W454" s="352"/>
      <c r="X454" s="352"/>
      <c r="Y454" s="352"/>
      <c r="Z454" s="352"/>
      <c r="AA454" s="352"/>
      <c r="AB454" s="352"/>
      <c r="AC454" s="352"/>
      <c r="AD454" s="352"/>
      <c r="AE454" s="352"/>
    </row>
    <row r="455">
      <c r="A455" s="352"/>
      <c r="B455" s="352"/>
      <c r="C455" s="972"/>
      <c r="D455" s="972"/>
      <c r="E455" s="972"/>
      <c r="F455" s="972"/>
      <c r="G455" s="972"/>
      <c r="H455" s="972"/>
      <c r="I455" s="972"/>
      <c r="J455" s="972"/>
      <c r="K455" s="972"/>
      <c r="L455" s="972"/>
      <c r="M455" s="972"/>
      <c r="N455" s="972"/>
      <c r="O455" s="352"/>
      <c r="P455" s="352"/>
      <c r="Q455" s="352"/>
      <c r="R455" s="352"/>
      <c r="S455" s="352"/>
      <c r="T455" s="352"/>
      <c r="U455" s="352"/>
      <c r="V455" s="352"/>
      <c r="W455" s="352"/>
      <c r="X455" s="352"/>
      <c r="Y455" s="352"/>
      <c r="Z455" s="352"/>
      <c r="AA455" s="352"/>
      <c r="AB455" s="352"/>
      <c r="AC455" s="352"/>
      <c r="AD455" s="352"/>
      <c r="AE455" s="352"/>
    </row>
    <row r="456">
      <c r="A456" s="352"/>
      <c r="B456" s="352"/>
      <c r="C456" s="972"/>
      <c r="D456" s="972"/>
      <c r="E456" s="972"/>
      <c r="F456" s="972"/>
      <c r="G456" s="972"/>
      <c r="H456" s="972"/>
      <c r="I456" s="972"/>
      <c r="J456" s="972"/>
      <c r="K456" s="972"/>
      <c r="L456" s="972"/>
      <c r="M456" s="972"/>
      <c r="N456" s="972"/>
      <c r="O456" s="352"/>
      <c r="P456" s="352"/>
      <c r="Q456" s="352"/>
      <c r="R456" s="352"/>
      <c r="S456" s="352"/>
      <c r="T456" s="352"/>
      <c r="U456" s="352"/>
      <c r="V456" s="352"/>
      <c r="W456" s="352"/>
      <c r="X456" s="352"/>
      <c r="Y456" s="352"/>
      <c r="Z456" s="352"/>
      <c r="AA456" s="352"/>
      <c r="AB456" s="352"/>
      <c r="AC456" s="352"/>
      <c r="AD456" s="352"/>
      <c r="AE456" s="352"/>
    </row>
    <row r="457">
      <c r="A457" s="352"/>
      <c r="B457" s="352"/>
      <c r="C457" s="972"/>
      <c r="D457" s="972"/>
      <c r="E457" s="972"/>
      <c r="F457" s="972"/>
      <c r="G457" s="972"/>
      <c r="H457" s="972"/>
      <c r="I457" s="972"/>
      <c r="J457" s="972"/>
      <c r="K457" s="972"/>
      <c r="L457" s="972"/>
      <c r="M457" s="972"/>
      <c r="N457" s="972"/>
      <c r="O457" s="352"/>
      <c r="P457" s="352"/>
      <c r="Q457" s="352"/>
      <c r="R457" s="352"/>
      <c r="S457" s="352"/>
      <c r="T457" s="352"/>
      <c r="U457" s="352"/>
      <c r="V457" s="352"/>
      <c r="W457" s="352"/>
      <c r="X457" s="352"/>
      <c r="Y457" s="352"/>
      <c r="Z457" s="352"/>
      <c r="AA457" s="352"/>
      <c r="AB457" s="352"/>
      <c r="AC457" s="352"/>
      <c r="AD457" s="352"/>
      <c r="AE457" s="352"/>
    </row>
    <row r="458">
      <c r="A458" s="352"/>
      <c r="B458" s="352"/>
      <c r="C458" s="972"/>
      <c r="D458" s="972"/>
      <c r="E458" s="972"/>
      <c r="F458" s="972"/>
      <c r="G458" s="972"/>
      <c r="H458" s="972"/>
      <c r="I458" s="972"/>
      <c r="J458" s="972"/>
      <c r="K458" s="972"/>
      <c r="L458" s="972"/>
      <c r="M458" s="972"/>
      <c r="N458" s="972"/>
      <c r="O458" s="352"/>
      <c r="P458" s="352"/>
      <c r="Q458" s="352"/>
      <c r="R458" s="352"/>
      <c r="S458" s="352"/>
      <c r="T458" s="352"/>
      <c r="U458" s="352"/>
      <c r="V458" s="352"/>
      <c r="W458" s="352"/>
      <c r="X458" s="352"/>
      <c r="Y458" s="352"/>
      <c r="Z458" s="352"/>
      <c r="AA458" s="352"/>
      <c r="AB458" s="352"/>
      <c r="AC458" s="352"/>
      <c r="AD458" s="352"/>
      <c r="AE458" s="352"/>
    </row>
    <row r="459">
      <c r="A459" s="352"/>
      <c r="B459" s="352"/>
      <c r="C459" s="972"/>
      <c r="D459" s="972"/>
      <c r="E459" s="972"/>
      <c r="F459" s="972"/>
      <c r="G459" s="972"/>
      <c r="H459" s="972"/>
      <c r="I459" s="972"/>
      <c r="J459" s="972"/>
      <c r="K459" s="972"/>
      <c r="L459" s="972"/>
      <c r="M459" s="972"/>
      <c r="N459" s="972"/>
      <c r="O459" s="352"/>
      <c r="P459" s="352"/>
      <c r="Q459" s="352"/>
      <c r="R459" s="352"/>
      <c r="S459" s="352"/>
      <c r="T459" s="352"/>
      <c r="U459" s="352"/>
      <c r="V459" s="352"/>
      <c r="W459" s="352"/>
      <c r="X459" s="352"/>
      <c r="Y459" s="352"/>
      <c r="Z459" s="352"/>
      <c r="AA459" s="352"/>
      <c r="AB459" s="352"/>
      <c r="AC459" s="352"/>
      <c r="AD459" s="352"/>
      <c r="AE459" s="352"/>
    </row>
    <row r="460">
      <c r="A460" s="352"/>
      <c r="B460" s="352"/>
      <c r="C460" s="972"/>
      <c r="D460" s="972"/>
      <c r="E460" s="972"/>
      <c r="F460" s="972"/>
      <c r="G460" s="972"/>
      <c r="H460" s="972"/>
      <c r="I460" s="972"/>
      <c r="J460" s="972"/>
      <c r="K460" s="972"/>
      <c r="L460" s="972"/>
      <c r="M460" s="972"/>
      <c r="N460" s="972"/>
      <c r="O460" s="352"/>
      <c r="P460" s="352"/>
      <c r="Q460" s="352"/>
      <c r="R460" s="352"/>
      <c r="S460" s="352"/>
      <c r="T460" s="352"/>
      <c r="U460" s="352"/>
      <c r="V460" s="352"/>
      <c r="W460" s="352"/>
      <c r="X460" s="352"/>
      <c r="Y460" s="352"/>
      <c r="Z460" s="352"/>
      <c r="AA460" s="352"/>
      <c r="AB460" s="352"/>
      <c r="AC460" s="352"/>
      <c r="AD460" s="352"/>
      <c r="AE460" s="352"/>
    </row>
    <row r="461">
      <c r="A461" s="352"/>
      <c r="B461" s="352"/>
      <c r="C461" s="972"/>
      <c r="D461" s="972"/>
      <c r="E461" s="972"/>
      <c r="F461" s="972"/>
      <c r="G461" s="972"/>
      <c r="H461" s="972"/>
      <c r="I461" s="972"/>
      <c r="J461" s="972"/>
      <c r="K461" s="972"/>
      <c r="L461" s="972"/>
      <c r="M461" s="972"/>
      <c r="N461" s="972"/>
      <c r="O461" s="352"/>
      <c r="P461" s="352"/>
      <c r="Q461" s="352"/>
      <c r="R461" s="352"/>
      <c r="S461" s="352"/>
      <c r="T461" s="352"/>
      <c r="U461" s="352"/>
      <c r="V461" s="352"/>
      <c r="W461" s="352"/>
      <c r="X461" s="352"/>
      <c r="Y461" s="352"/>
      <c r="Z461" s="352"/>
      <c r="AA461" s="352"/>
      <c r="AB461" s="352"/>
      <c r="AC461" s="352"/>
      <c r="AD461" s="352"/>
      <c r="AE461" s="352"/>
    </row>
    <row r="462">
      <c r="A462" s="352"/>
      <c r="B462" s="352"/>
      <c r="C462" s="972"/>
      <c r="D462" s="972"/>
      <c r="E462" s="972"/>
      <c r="F462" s="972"/>
      <c r="G462" s="972"/>
      <c r="H462" s="972"/>
      <c r="I462" s="972"/>
      <c r="J462" s="972"/>
      <c r="K462" s="972"/>
      <c r="L462" s="972"/>
      <c r="M462" s="972"/>
      <c r="N462" s="972"/>
      <c r="O462" s="352"/>
      <c r="P462" s="352"/>
      <c r="Q462" s="352"/>
      <c r="R462" s="352"/>
      <c r="S462" s="352"/>
      <c r="T462" s="352"/>
      <c r="U462" s="352"/>
      <c r="V462" s="352"/>
      <c r="W462" s="352"/>
      <c r="X462" s="352"/>
      <c r="Y462" s="352"/>
      <c r="Z462" s="352"/>
      <c r="AA462" s="352"/>
      <c r="AB462" s="352"/>
      <c r="AC462" s="352"/>
      <c r="AD462" s="352"/>
      <c r="AE462" s="352"/>
    </row>
    <row r="463">
      <c r="A463" s="352"/>
      <c r="B463" s="352"/>
      <c r="C463" s="972"/>
      <c r="D463" s="972"/>
      <c r="E463" s="972"/>
      <c r="F463" s="972"/>
      <c r="G463" s="972"/>
      <c r="H463" s="972"/>
      <c r="I463" s="972"/>
      <c r="J463" s="972"/>
      <c r="K463" s="972"/>
      <c r="L463" s="972"/>
      <c r="M463" s="972"/>
      <c r="N463" s="972"/>
      <c r="O463" s="352"/>
      <c r="P463" s="352"/>
      <c r="Q463" s="352"/>
      <c r="R463" s="352"/>
      <c r="S463" s="352"/>
      <c r="T463" s="352"/>
      <c r="U463" s="352"/>
      <c r="V463" s="352"/>
      <c r="W463" s="352"/>
      <c r="X463" s="352"/>
      <c r="Y463" s="352"/>
      <c r="Z463" s="352"/>
      <c r="AA463" s="352"/>
      <c r="AB463" s="352"/>
      <c r="AC463" s="352"/>
      <c r="AD463" s="352"/>
      <c r="AE463" s="352"/>
    </row>
    <row r="464">
      <c r="A464" s="352"/>
      <c r="B464" s="352"/>
      <c r="C464" s="972"/>
      <c r="D464" s="972"/>
      <c r="E464" s="972"/>
      <c r="F464" s="972"/>
      <c r="G464" s="972"/>
      <c r="H464" s="972"/>
      <c r="I464" s="972"/>
      <c r="J464" s="972"/>
      <c r="K464" s="972"/>
      <c r="L464" s="972"/>
      <c r="M464" s="972"/>
      <c r="N464" s="972"/>
      <c r="O464" s="352"/>
      <c r="P464" s="352"/>
      <c r="Q464" s="352"/>
      <c r="R464" s="352"/>
      <c r="S464" s="352"/>
      <c r="T464" s="352"/>
      <c r="U464" s="352"/>
      <c r="V464" s="352"/>
      <c r="W464" s="352"/>
      <c r="X464" s="352"/>
      <c r="Y464" s="352"/>
      <c r="Z464" s="352"/>
      <c r="AA464" s="352"/>
      <c r="AB464" s="352"/>
      <c r="AC464" s="352"/>
      <c r="AD464" s="352"/>
      <c r="AE464" s="352"/>
    </row>
    <row r="465">
      <c r="A465" s="352"/>
      <c r="B465" s="352"/>
      <c r="C465" s="972"/>
      <c r="D465" s="972"/>
      <c r="E465" s="972"/>
      <c r="F465" s="972"/>
      <c r="G465" s="972"/>
      <c r="H465" s="972"/>
      <c r="I465" s="972"/>
      <c r="J465" s="972"/>
      <c r="K465" s="972"/>
      <c r="L465" s="972"/>
      <c r="M465" s="972"/>
      <c r="N465" s="972"/>
      <c r="O465" s="352"/>
      <c r="P465" s="352"/>
      <c r="Q465" s="352"/>
      <c r="R465" s="352"/>
      <c r="S465" s="352"/>
      <c r="T465" s="352"/>
      <c r="U465" s="352"/>
      <c r="V465" s="352"/>
      <c r="W465" s="352"/>
      <c r="X465" s="352"/>
      <c r="Y465" s="352"/>
      <c r="Z465" s="352"/>
      <c r="AA465" s="352"/>
      <c r="AB465" s="352"/>
      <c r="AC465" s="352"/>
      <c r="AD465" s="352"/>
      <c r="AE465" s="352"/>
    </row>
    <row r="466">
      <c r="A466" s="352"/>
      <c r="B466" s="352"/>
      <c r="C466" s="972"/>
      <c r="D466" s="972"/>
      <c r="E466" s="972"/>
      <c r="F466" s="972"/>
      <c r="G466" s="972"/>
      <c r="H466" s="972"/>
      <c r="I466" s="972"/>
      <c r="J466" s="972"/>
      <c r="K466" s="972"/>
      <c r="L466" s="972"/>
      <c r="M466" s="972"/>
      <c r="N466" s="972"/>
      <c r="O466" s="352"/>
      <c r="P466" s="352"/>
      <c r="Q466" s="352"/>
      <c r="R466" s="352"/>
      <c r="S466" s="352"/>
      <c r="T466" s="352"/>
      <c r="U466" s="352"/>
      <c r="V466" s="352"/>
      <c r="W466" s="352"/>
      <c r="X466" s="352"/>
      <c r="Y466" s="352"/>
      <c r="Z466" s="352"/>
      <c r="AA466" s="352"/>
      <c r="AB466" s="352"/>
      <c r="AC466" s="352"/>
      <c r="AD466" s="352"/>
      <c r="AE466" s="352"/>
    </row>
    <row r="467">
      <c r="A467" s="352"/>
      <c r="B467" s="352"/>
      <c r="C467" s="972"/>
      <c r="D467" s="972"/>
      <c r="E467" s="972"/>
      <c r="F467" s="972"/>
      <c r="G467" s="972"/>
      <c r="H467" s="972"/>
      <c r="I467" s="972"/>
      <c r="J467" s="972"/>
      <c r="K467" s="972"/>
      <c r="L467" s="972"/>
      <c r="M467" s="972"/>
      <c r="N467" s="972"/>
      <c r="O467" s="352"/>
      <c r="P467" s="352"/>
      <c r="Q467" s="352"/>
      <c r="R467" s="352"/>
      <c r="S467" s="352"/>
      <c r="T467" s="352"/>
      <c r="U467" s="352"/>
      <c r="V467" s="352"/>
      <c r="W467" s="352"/>
      <c r="X467" s="352"/>
      <c r="Y467" s="352"/>
      <c r="Z467" s="352"/>
      <c r="AA467" s="352"/>
      <c r="AB467" s="352"/>
      <c r="AC467" s="352"/>
      <c r="AD467" s="352"/>
      <c r="AE467" s="352"/>
    </row>
    <row r="468">
      <c r="A468" s="352"/>
      <c r="B468" s="352"/>
      <c r="C468" s="972"/>
      <c r="D468" s="972"/>
      <c r="E468" s="972"/>
      <c r="F468" s="972"/>
      <c r="G468" s="972"/>
      <c r="H468" s="972"/>
      <c r="I468" s="972"/>
      <c r="J468" s="972"/>
      <c r="K468" s="972"/>
      <c r="L468" s="972"/>
      <c r="M468" s="972"/>
      <c r="N468" s="972"/>
      <c r="O468" s="352"/>
      <c r="P468" s="352"/>
      <c r="Q468" s="352"/>
      <c r="R468" s="352"/>
      <c r="S468" s="352"/>
      <c r="T468" s="352"/>
      <c r="U468" s="352"/>
      <c r="V468" s="352"/>
      <c r="W468" s="352"/>
      <c r="X468" s="352"/>
      <c r="Y468" s="352"/>
      <c r="Z468" s="352"/>
      <c r="AA468" s="352"/>
      <c r="AB468" s="352"/>
      <c r="AC468" s="352"/>
      <c r="AD468" s="352"/>
      <c r="AE468" s="352"/>
    </row>
    <row r="469">
      <c r="A469" s="352"/>
      <c r="B469" s="352"/>
      <c r="C469" s="972"/>
      <c r="D469" s="972"/>
      <c r="E469" s="972"/>
      <c r="F469" s="972"/>
      <c r="G469" s="972"/>
      <c r="H469" s="972"/>
      <c r="I469" s="972"/>
      <c r="J469" s="972"/>
      <c r="K469" s="972"/>
      <c r="L469" s="972"/>
      <c r="M469" s="972"/>
      <c r="N469" s="972"/>
      <c r="O469" s="352"/>
      <c r="P469" s="352"/>
      <c r="Q469" s="352"/>
      <c r="R469" s="352"/>
      <c r="S469" s="352"/>
      <c r="T469" s="352"/>
      <c r="U469" s="352"/>
      <c r="V469" s="352"/>
      <c r="W469" s="352"/>
      <c r="X469" s="352"/>
      <c r="Y469" s="352"/>
      <c r="Z469" s="352"/>
      <c r="AA469" s="352"/>
      <c r="AB469" s="352"/>
      <c r="AC469" s="352"/>
      <c r="AD469" s="352"/>
      <c r="AE469" s="352"/>
    </row>
    <row r="470">
      <c r="A470" s="352"/>
      <c r="B470" s="352"/>
      <c r="C470" s="972"/>
      <c r="D470" s="972"/>
      <c r="E470" s="972"/>
      <c r="F470" s="972"/>
      <c r="G470" s="972"/>
      <c r="H470" s="972"/>
      <c r="I470" s="972"/>
      <c r="J470" s="972"/>
      <c r="K470" s="972"/>
      <c r="L470" s="972"/>
      <c r="M470" s="972"/>
      <c r="N470" s="972"/>
      <c r="O470" s="352"/>
      <c r="P470" s="352"/>
      <c r="Q470" s="352"/>
      <c r="R470" s="352"/>
      <c r="S470" s="352"/>
      <c r="T470" s="352"/>
      <c r="U470" s="352"/>
      <c r="V470" s="352"/>
      <c r="W470" s="352"/>
      <c r="X470" s="352"/>
      <c r="Y470" s="352"/>
      <c r="Z470" s="352"/>
      <c r="AA470" s="352"/>
      <c r="AB470" s="352"/>
      <c r="AC470" s="352"/>
      <c r="AD470" s="352"/>
      <c r="AE470" s="352"/>
    </row>
    <row r="471">
      <c r="A471" s="352"/>
      <c r="B471" s="352"/>
      <c r="C471" s="972"/>
      <c r="D471" s="972"/>
      <c r="E471" s="972"/>
      <c r="F471" s="972"/>
      <c r="G471" s="972"/>
      <c r="H471" s="972"/>
      <c r="I471" s="972"/>
      <c r="J471" s="972"/>
      <c r="K471" s="972"/>
      <c r="L471" s="972"/>
      <c r="M471" s="972"/>
      <c r="N471" s="972"/>
      <c r="O471" s="352"/>
      <c r="P471" s="352"/>
      <c r="Q471" s="352"/>
      <c r="R471" s="352"/>
      <c r="S471" s="352"/>
      <c r="T471" s="352"/>
      <c r="U471" s="352"/>
      <c r="V471" s="352"/>
      <c r="W471" s="352"/>
      <c r="X471" s="352"/>
      <c r="Y471" s="352"/>
      <c r="Z471" s="352"/>
      <c r="AA471" s="352"/>
      <c r="AB471" s="352"/>
      <c r="AC471" s="352"/>
      <c r="AD471" s="352"/>
      <c r="AE471" s="352"/>
    </row>
    <row r="472">
      <c r="A472" s="352"/>
      <c r="B472" s="352"/>
      <c r="C472" s="972"/>
      <c r="D472" s="972"/>
      <c r="E472" s="972"/>
      <c r="F472" s="972"/>
      <c r="G472" s="972"/>
      <c r="H472" s="972"/>
      <c r="I472" s="972"/>
      <c r="J472" s="972"/>
      <c r="K472" s="972"/>
      <c r="L472" s="972"/>
      <c r="M472" s="972"/>
      <c r="N472" s="972"/>
      <c r="O472" s="352"/>
      <c r="P472" s="352"/>
      <c r="Q472" s="352"/>
      <c r="R472" s="352"/>
      <c r="S472" s="352"/>
      <c r="T472" s="352"/>
      <c r="U472" s="352"/>
      <c r="V472" s="352"/>
      <c r="W472" s="352"/>
      <c r="X472" s="352"/>
      <c r="Y472" s="352"/>
      <c r="Z472" s="352"/>
      <c r="AA472" s="352"/>
      <c r="AB472" s="352"/>
      <c r="AC472" s="352"/>
      <c r="AD472" s="352"/>
      <c r="AE472" s="352"/>
    </row>
    <row r="473">
      <c r="A473" s="352"/>
      <c r="B473" s="352"/>
      <c r="C473" s="972"/>
      <c r="D473" s="972"/>
      <c r="E473" s="972"/>
      <c r="F473" s="972"/>
      <c r="G473" s="972"/>
      <c r="H473" s="972"/>
      <c r="I473" s="972"/>
      <c r="J473" s="972"/>
      <c r="K473" s="972"/>
      <c r="L473" s="972"/>
      <c r="M473" s="972"/>
      <c r="N473" s="972"/>
      <c r="O473" s="352"/>
      <c r="P473" s="352"/>
      <c r="Q473" s="352"/>
      <c r="R473" s="352"/>
      <c r="S473" s="352"/>
      <c r="T473" s="352"/>
      <c r="U473" s="352"/>
      <c r="V473" s="352"/>
      <c r="W473" s="352"/>
      <c r="X473" s="352"/>
      <c r="Y473" s="352"/>
      <c r="Z473" s="352"/>
      <c r="AA473" s="352"/>
      <c r="AB473" s="352"/>
      <c r="AC473" s="352"/>
      <c r="AD473" s="352"/>
      <c r="AE473" s="352"/>
    </row>
    <row r="474">
      <c r="A474" s="352"/>
      <c r="B474" s="352"/>
      <c r="C474" s="972"/>
      <c r="D474" s="972"/>
      <c r="E474" s="972"/>
      <c r="F474" s="972"/>
      <c r="G474" s="972"/>
      <c r="H474" s="972"/>
      <c r="I474" s="972"/>
      <c r="J474" s="972"/>
      <c r="K474" s="972"/>
      <c r="L474" s="972"/>
      <c r="M474" s="972"/>
      <c r="N474" s="972"/>
      <c r="O474" s="352"/>
      <c r="P474" s="352"/>
      <c r="Q474" s="352"/>
      <c r="R474" s="352"/>
      <c r="S474" s="352"/>
      <c r="T474" s="352"/>
      <c r="U474" s="352"/>
      <c r="V474" s="352"/>
      <c r="W474" s="352"/>
      <c r="X474" s="352"/>
      <c r="Y474" s="352"/>
      <c r="Z474" s="352"/>
      <c r="AA474" s="352"/>
      <c r="AB474" s="352"/>
      <c r="AC474" s="352"/>
      <c r="AD474" s="352"/>
      <c r="AE474" s="352"/>
    </row>
    <row r="475">
      <c r="A475" s="352"/>
      <c r="B475" s="352"/>
      <c r="C475" s="972"/>
      <c r="D475" s="972"/>
      <c r="E475" s="972"/>
      <c r="F475" s="972"/>
      <c r="G475" s="972"/>
      <c r="H475" s="972"/>
      <c r="I475" s="972"/>
      <c r="J475" s="972"/>
      <c r="K475" s="972"/>
      <c r="L475" s="972"/>
      <c r="M475" s="972"/>
      <c r="N475" s="972"/>
      <c r="O475" s="352"/>
      <c r="P475" s="352"/>
      <c r="Q475" s="352"/>
      <c r="R475" s="352"/>
      <c r="S475" s="352"/>
      <c r="T475" s="352"/>
      <c r="U475" s="352"/>
      <c r="V475" s="352"/>
      <c r="W475" s="352"/>
      <c r="X475" s="352"/>
      <c r="Y475" s="352"/>
      <c r="Z475" s="352"/>
      <c r="AA475" s="352"/>
      <c r="AB475" s="352"/>
      <c r="AC475" s="352"/>
      <c r="AD475" s="352"/>
      <c r="AE475" s="352"/>
    </row>
    <row r="476">
      <c r="A476" s="352"/>
      <c r="B476" s="352"/>
      <c r="C476" s="972"/>
      <c r="D476" s="972"/>
      <c r="E476" s="972"/>
      <c r="F476" s="972"/>
      <c r="G476" s="972"/>
      <c r="H476" s="972"/>
      <c r="I476" s="972"/>
      <c r="J476" s="972"/>
      <c r="K476" s="972"/>
      <c r="L476" s="972"/>
      <c r="M476" s="972"/>
      <c r="N476" s="972"/>
      <c r="O476" s="352"/>
      <c r="P476" s="352"/>
      <c r="Q476" s="352"/>
      <c r="R476" s="352"/>
      <c r="S476" s="352"/>
      <c r="T476" s="352"/>
      <c r="U476" s="352"/>
      <c r="V476" s="352"/>
      <c r="W476" s="352"/>
      <c r="X476" s="352"/>
      <c r="Y476" s="352"/>
      <c r="Z476" s="352"/>
      <c r="AA476" s="352"/>
      <c r="AB476" s="352"/>
      <c r="AC476" s="352"/>
      <c r="AD476" s="352"/>
      <c r="AE476" s="352"/>
    </row>
    <row r="477">
      <c r="A477" s="352"/>
      <c r="B477" s="352"/>
      <c r="C477" s="972"/>
      <c r="D477" s="972"/>
      <c r="E477" s="972"/>
      <c r="F477" s="972"/>
      <c r="G477" s="972"/>
      <c r="H477" s="972"/>
      <c r="I477" s="972"/>
      <c r="J477" s="972"/>
      <c r="K477" s="972"/>
      <c r="L477" s="972"/>
      <c r="M477" s="972"/>
      <c r="N477" s="972"/>
      <c r="O477" s="352"/>
      <c r="P477" s="352"/>
      <c r="Q477" s="352"/>
      <c r="R477" s="352"/>
      <c r="S477" s="352"/>
      <c r="T477" s="352"/>
      <c r="U477" s="352"/>
      <c r="V477" s="352"/>
      <c r="W477" s="352"/>
      <c r="X477" s="352"/>
      <c r="Y477" s="352"/>
      <c r="Z477" s="352"/>
      <c r="AA477" s="352"/>
      <c r="AB477" s="352"/>
      <c r="AC477" s="352"/>
      <c r="AD477" s="352"/>
      <c r="AE477" s="352"/>
    </row>
    <row r="478">
      <c r="A478" s="352"/>
      <c r="B478" s="352"/>
      <c r="C478" s="972"/>
      <c r="D478" s="972"/>
      <c r="E478" s="972"/>
      <c r="F478" s="972"/>
      <c r="G478" s="972"/>
      <c r="H478" s="972"/>
      <c r="I478" s="972"/>
      <c r="J478" s="972"/>
      <c r="K478" s="972"/>
      <c r="L478" s="972"/>
      <c r="M478" s="972"/>
      <c r="N478" s="972"/>
      <c r="O478" s="352"/>
      <c r="P478" s="352"/>
      <c r="Q478" s="352"/>
      <c r="R478" s="352"/>
      <c r="S478" s="352"/>
      <c r="T478" s="352"/>
      <c r="U478" s="352"/>
      <c r="V478" s="352"/>
      <c r="W478" s="352"/>
      <c r="X478" s="352"/>
      <c r="Y478" s="352"/>
      <c r="Z478" s="352"/>
      <c r="AA478" s="352"/>
      <c r="AB478" s="352"/>
      <c r="AC478" s="352"/>
      <c r="AD478" s="352"/>
      <c r="AE478" s="352"/>
    </row>
    <row r="479">
      <c r="A479" s="352"/>
      <c r="B479" s="352"/>
      <c r="C479" s="972"/>
      <c r="D479" s="972"/>
      <c r="E479" s="972"/>
      <c r="F479" s="972"/>
      <c r="G479" s="972"/>
      <c r="H479" s="972"/>
      <c r="I479" s="972"/>
      <c r="J479" s="972"/>
      <c r="K479" s="972"/>
      <c r="L479" s="972"/>
      <c r="M479" s="972"/>
      <c r="N479" s="972"/>
      <c r="O479" s="352"/>
      <c r="P479" s="352"/>
      <c r="Q479" s="352"/>
      <c r="R479" s="352"/>
      <c r="S479" s="352"/>
      <c r="T479" s="352"/>
      <c r="U479" s="352"/>
      <c r="V479" s="352"/>
      <c r="W479" s="352"/>
      <c r="X479" s="352"/>
      <c r="Y479" s="352"/>
      <c r="Z479" s="352"/>
      <c r="AA479" s="352"/>
      <c r="AB479" s="352"/>
      <c r="AC479" s="352"/>
      <c r="AD479" s="352"/>
      <c r="AE479" s="352"/>
    </row>
    <row r="480">
      <c r="A480" s="352"/>
      <c r="B480" s="352"/>
      <c r="C480" s="972"/>
      <c r="D480" s="972"/>
      <c r="E480" s="972"/>
      <c r="F480" s="972"/>
      <c r="G480" s="972"/>
      <c r="H480" s="972"/>
      <c r="I480" s="972"/>
      <c r="J480" s="972"/>
      <c r="K480" s="972"/>
      <c r="L480" s="972"/>
      <c r="M480" s="972"/>
      <c r="N480" s="972"/>
      <c r="O480" s="352"/>
      <c r="P480" s="352"/>
      <c r="Q480" s="352"/>
      <c r="R480" s="352"/>
      <c r="S480" s="352"/>
      <c r="T480" s="352"/>
      <c r="U480" s="352"/>
      <c r="V480" s="352"/>
      <c r="W480" s="352"/>
      <c r="X480" s="352"/>
      <c r="Y480" s="352"/>
      <c r="Z480" s="352"/>
      <c r="AA480" s="352"/>
      <c r="AB480" s="352"/>
      <c r="AC480" s="352"/>
      <c r="AD480" s="352"/>
      <c r="AE480" s="352"/>
    </row>
    <row r="481">
      <c r="A481" s="352"/>
      <c r="B481" s="352"/>
      <c r="C481" s="972"/>
      <c r="D481" s="972"/>
      <c r="E481" s="972"/>
      <c r="F481" s="972"/>
      <c r="G481" s="972"/>
      <c r="H481" s="972"/>
      <c r="I481" s="972"/>
      <c r="J481" s="972"/>
      <c r="K481" s="972"/>
      <c r="L481" s="972"/>
      <c r="M481" s="972"/>
      <c r="N481" s="972"/>
      <c r="O481" s="352"/>
      <c r="P481" s="352"/>
      <c r="Q481" s="352"/>
      <c r="R481" s="352"/>
      <c r="S481" s="352"/>
      <c r="T481" s="352"/>
      <c r="U481" s="352"/>
      <c r="V481" s="352"/>
      <c r="W481" s="352"/>
      <c r="X481" s="352"/>
      <c r="Y481" s="352"/>
      <c r="Z481" s="352"/>
      <c r="AA481" s="352"/>
      <c r="AB481" s="352"/>
      <c r="AC481" s="352"/>
      <c r="AD481" s="352"/>
      <c r="AE481" s="352"/>
    </row>
    <row r="482">
      <c r="A482" s="352"/>
      <c r="B482" s="352"/>
      <c r="C482" s="972"/>
      <c r="D482" s="972"/>
      <c r="E482" s="972"/>
      <c r="F482" s="972"/>
      <c r="G482" s="972"/>
      <c r="H482" s="972"/>
      <c r="I482" s="972"/>
      <c r="J482" s="972"/>
      <c r="K482" s="972"/>
      <c r="L482" s="972"/>
      <c r="M482" s="972"/>
      <c r="N482" s="972"/>
      <c r="O482" s="352"/>
      <c r="P482" s="352"/>
      <c r="Q482" s="352"/>
      <c r="R482" s="352"/>
      <c r="S482" s="352"/>
      <c r="T482" s="352"/>
      <c r="U482" s="352"/>
      <c r="V482" s="352"/>
      <c r="W482" s="352"/>
      <c r="X482" s="352"/>
      <c r="Y482" s="352"/>
      <c r="Z482" s="352"/>
      <c r="AA482" s="352"/>
      <c r="AB482" s="352"/>
      <c r="AC482" s="352"/>
      <c r="AD482" s="352"/>
      <c r="AE482" s="352"/>
    </row>
    <row r="483">
      <c r="A483" s="352"/>
      <c r="B483" s="352"/>
      <c r="C483" s="972"/>
      <c r="D483" s="972"/>
      <c r="E483" s="972"/>
      <c r="F483" s="972"/>
      <c r="G483" s="972"/>
      <c r="H483" s="972"/>
      <c r="I483" s="972"/>
      <c r="J483" s="972"/>
      <c r="K483" s="972"/>
      <c r="L483" s="972"/>
      <c r="M483" s="972"/>
      <c r="N483" s="972"/>
      <c r="O483" s="352"/>
      <c r="P483" s="352"/>
      <c r="Q483" s="352"/>
      <c r="R483" s="352"/>
      <c r="S483" s="352"/>
      <c r="T483" s="352"/>
      <c r="U483" s="352"/>
      <c r="V483" s="352"/>
      <c r="W483" s="352"/>
      <c r="X483" s="352"/>
      <c r="Y483" s="352"/>
      <c r="Z483" s="352"/>
      <c r="AA483" s="352"/>
      <c r="AB483" s="352"/>
      <c r="AC483" s="352"/>
      <c r="AD483" s="352"/>
      <c r="AE483" s="352"/>
    </row>
    <row r="484">
      <c r="A484" s="352"/>
      <c r="B484" s="352"/>
      <c r="C484" s="972"/>
      <c r="D484" s="972"/>
      <c r="E484" s="972"/>
      <c r="F484" s="972"/>
      <c r="G484" s="972"/>
      <c r="H484" s="972"/>
      <c r="I484" s="972"/>
      <c r="J484" s="972"/>
      <c r="K484" s="972"/>
      <c r="L484" s="972"/>
      <c r="M484" s="972"/>
      <c r="N484" s="972"/>
      <c r="O484" s="352"/>
      <c r="P484" s="352"/>
      <c r="Q484" s="352"/>
      <c r="R484" s="352"/>
      <c r="S484" s="352"/>
      <c r="T484" s="352"/>
      <c r="U484" s="352"/>
      <c r="V484" s="352"/>
      <c r="W484" s="352"/>
      <c r="X484" s="352"/>
      <c r="Y484" s="352"/>
      <c r="Z484" s="352"/>
      <c r="AA484" s="352"/>
      <c r="AB484" s="352"/>
      <c r="AC484" s="352"/>
      <c r="AD484" s="352"/>
      <c r="AE484" s="352"/>
    </row>
    <row r="485">
      <c r="A485" s="352"/>
      <c r="B485" s="352"/>
      <c r="C485" s="972"/>
      <c r="D485" s="972"/>
      <c r="E485" s="972"/>
      <c r="F485" s="972"/>
      <c r="G485" s="972"/>
      <c r="H485" s="972"/>
      <c r="I485" s="972"/>
      <c r="J485" s="972"/>
      <c r="K485" s="972"/>
      <c r="L485" s="972"/>
      <c r="M485" s="972"/>
      <c r="N485" s="972"/>
      <c r="O485" s="352"/>
      <c r="P485" s="352"/>
      <c r="Q485" s="352"/>
      <c r="R485" s="352"/>
      <c r="S485" s="352"/>
      <c r="T485" s="352"/>
      <c r="U485" s="352"/>
      <c r="V485" s="352"/>
      <c r="W485" s="352"/>
      <c r="X485" s="352"/>
      <c r="Y485" s="352"/>
      <c r="Z485" s="352"/>
      <c r="AA485" s="352"/>
      <c r="AB485" s="352"/>
      <c r="AC485" s="352"/>
      <c r="AD485" s="352"/>
      <c r="AE485" s="352"/>
    </row>
    <row r="486">
      <c r="A486" s="352"/>
      <c r="B486" s="352"/>
      <c r="C486" s="972"/>
      <c r="D486" s="972"/>
      <c r="E486" s="972"/>
      <c r="F486" s="972"/>
      <c r="G486" s="972"/>
      <c r="H486" s="972"/>
      <c r="I486" s="972"/>
      <c r="J486" s="972"/>
      <c r="K486" s="972"/>
      <c r="L486" s="972"/>
      <c r="M486" s="972"/>
      <c r="N486" s="972"/>
      <c r="O486" s="352"/>
      <c r="P486" s="352"/>
      <c r="Q486" s="352"/>
      <c r="R486" s="352"/>
      <c r="S486" s="352"/>
      <c r="T486" s="352"/>
      <c r="U486" s="352"/>
      <c r="V486" s="352"/>
      <c r="W486" s="352"/>
      <c r="X486" s="352"/>
      <c r="Y486" s="352"/>
      <c r="Z486" s="352"/>
      <c r="AA486" s="352"/>
      <c r="AB486" s="352"/>
      <c r="AC486" s="352"/>
      <c r="AD486" s="352"/>
      <c r="AE486" s="352"/>
    </row>
    <row r="487">
      <c r="A487" s="352"/>
      <c r="B487" s="352"/>
      <c r="C487" s="972"/>
      <c r="D487" s="972"/>
      <c r="E487" s="972"/>
      <c r="F487" s="972"/>
      <c r="G487" s="972"/>
      <c r="H487" s="972"/>
      <c r="I487" s="972"/>
      <c r="J487" s="972"/>
      <c r="K487" s="972"/>
      <c r="L487" s="972"/>
      <c r="M487" s="972"/>
      <c r="N487" s="972"/>
      <c r="O487" s="352"/>
      <c r="P487" s="352"/>
      <c r="Q487" s="352"/>
      <c r="R487" s="352"/>
      <c r="S487" s="352"/>
      <c r="T487" s="352"/>
      <c r="U487" s="352"/>
      <c r="V487" s="352"/>
      <c r="W487" s="352"/>
      <c r="X487" s="352"/>
      <c r="Y487" s="352"/>
      <c r="Z487" s="352"/>
      <c r="AA487" s="352"/>
      <c r="AB487" s="352"/>
      <c r="AC487" s="352"/>
      <c r="AD487" s="352"/>
      <c r="AE487" s="352"/>
    </row>
    <row r="488">
      <c r="A488" s="352"/>
      <c r="B488" s="352"/>
      <c r="C488" s="972"/>
      <c r="D488" s="972"/>
      <c r="E488" s="972"/>
      <c r="F488" s="972"/>
      <c r="G488" s="972"/>
      <c r="H488" s="972"/>
      <c r="I488" s="972"/>
      <c r="J488" s="972"/>
      <c r="K488" s="972"/>
      <c r="L488" s="972"/>
      <c r="M488" s="972"/>
      <c r="N488" s="972"/>
      <c r="O488" s="352"/>
      <c r="P488" s="352"/>
      <c r="Q488" s="352"/>
      <c r="R488" s="352"/>
      <c r="S488" s="352"/>
      <c r="T488" s="352"/>
      <c r="U488" s="352"/>
      <c r="V488" s="352"/>
      <c r="W488" s="352"/>
      <c r="X488" s="352"/>
      <c r="Y488" s="352"/>
      <c r="Z488" s="352"/>
      <c r="AA488" s="352"/>
      <c r="AB488" s="352"/>
      <c r="AC488" s="352"/>
      <c r="AD488" s="352"/>
      <c r="AE488" s="352"/>
    </row>
    <row r="489">
      <c r="A489" s="352"/>
      <c r="B489" s="352"/>
      <c r="C489" s="972"/>
      <c r="D489" s="972"/>
      <c r="E489" s="972"/>
      <c r="F489" s="972"/>
      <c r="G489" s="972"/>
      <c r="H489" s="972"/>
      <c r="I489" s="972"/>
      <c r="J489" s="972"/>
      <c r="K489" s="972"/>
      <c r="L489" s="972"/>
      <c r="M489" s="972"/>
      <c r="N489" s="972"/>
      <c r="O489" s="352"/>
      <c r="P489" s="352"/>
      <c r="Q489" s="352"/>
      <c r="R489" s="352"/>
      <c r="S489" s="352"/>
      <c r="T489" s="352"/>
      <c r="U489" s="352"/>
      <c r="V489" s="352"/>
      <c r="W489" s="352"/>
      <c r="X489" s="352"/>
      <c r="Y489" s="352"/>
      <c r="Z489" s="352"/>
      <c r="AA489" s="352"/>
      <c r="AB489" s="352"/>
      <c r="AC489" s="352"/>
      <c r="AD489" s="352"/>
      <c r="AE489" s="352"/>
    </row>
    <row r="490">
      <c r="A490" s="352"/>
      <c r="B490" s="352"/>
      <c r="C490" s="972"/>
      <c r="D490" s="972"/>
      <c r="E490" s="972"/>
      <c r="F490" s="972"/>
      <c r="G490" s="972"/>
      <c r="H490" s="972"/>
      <c r="I490" s="972"/>
      <c r="J490" s="972"/>
      <c r="K490" s="972"/>
      <c r="L490" s="972"/>
      <c r="M490" s="972"/>
      <c r="N490" s="972"/>
      <c r="O490" s="352"/>
      <c r="P490" s="352"/>
      <c r="Q490" s="352"/>
      <c r="R490" s="352"/>
      <c r="S490" s="352"/>
      <c r="T490" s="352"/>
      <c r="U490" s="352"/>
      <c r="V490" s="352"/>
      <c r="W490" s="352"/>
      <c r="X490" s="352"/>
      <c r="Y490" s="352"/>
      <c r="Z490" s="352"/>
      <c r="AA490" s="352"/>
      <c r="AB490" s="352"/>
      <c r="AC490" s="352"/>
      <c r="AD490" s="352"/>
      <c r="AE490" s="352"/>
    </row>
    <row r="491">
      <c r="A491" s="352"/>
      <c r="B491" s="352"/>
      <c r="C491" s="972"/>
      <c r="D491" s="972"/>
      <c r="E491" s="972"/>
      <c r="F491" s="972"/>
      <c r="G491" s="972"/>
      <c r="H491" s="972"/>
      <c r="I491" s="972"/>
      <c r="J491" s="972"/>
      <c r="K491" s="972"/>
      <c r="L491" s="972"/>
      <c r="M491" s="972"/>
      <c r="N491" s="972"/>
      <c r="O491" s="352"/>
      <c r="P491" s="352"/>
      <c r="Q491" s="352"/>
      <c r="R491" s="352"/>
      <c r="S491" s="352"/>
      <c r="T491" s="352"/>
      <c r="U491" s="352"/>
      <c r="V491" s="352"/>
      <c r="W491" s="352"/>
      <c r="X491" s="352"/>
      <c r="Y491" s="352"/>
      <c r="Z491" s="352"/>
      <c r="AA491" s="352"/>
      <c r="AB491" s="352"/>
      <c r="AC491" s="352"/>
      <c r="AD491" s="352"/>
      <c r="AE491" s="352"/>
    </row>
    <row r="492">
      <c r="A492" s="352"/>
      <c r="B492" s="352"/>
      <c r="C492" s="972"/>
      <c r="D492" s="972"/>
      <c r="E492" s="972"/>
      <c r="F492" s="972"/>
      <c r="G492" s="972"/>
      <c r="H492" s="972"/>
      <c r="I492" s="972"/>
      <c r="J492" s="972"/>
      <c r="K492" s="972"/>
      <c r="L492" s="972"/>
      <c r="M492" s="972"/>
      <c r="N492" s="972"/>
      <c r="O492" s="352"/>
      <c r="P492" s="352"/>
      <c r="Q492" s="352"/>
      <c r="R492" s="352"/>
      <c r="S492" s="352"/>
      <c r="T492" s="352"/>
      <c r="U492" s="352"/>
      <c r="V492" s="352"/>
      <c r="W492" s="352"/>
      <c r="X492" s="352"/>
      <c r="Y492" s="352"/>
      <c r="Z492" s="352"/>
      <c r="AA492" s="352"/>
      <c r="AB492" s="352"/>
      <c r="AC492" s="352"/>
      <c r="AD492" s="352"/>
      <c r="AE492" s="352"/>
    </row>
    <row r="493">
      <c r="A493" s="352"/>
      <c r="B493" s="352"/>
      <c r="C493" s="972"/>
      <c r="D493" s="972"/>
      <c r="E493" s="972"/>
      <c r="F493" s="972"/>
      <c r="G493" s="972"/>
      <c r="H493" s="972"/>
      <c r="I493" s="972"/>
      <c r="J493" s="972"/>
      <c r="K493" s="972"/>
      <c r="L493" s="972"/>
      <c r="M493" s="972"/>
      <c r="N493" s="972"/>
      <c r="O493" s="352"/>
      <c r="P493" s="352"/>
      <c r="Q493" s="352"/>
      <c r="R493" s="352"/>
      <c r="S493" s="352"/>
      <c r="T493" s="352"/>
      <c r="U493" s="352"/>
      <c r="V493" s="352"/>
      <c r="W493" s="352"/>
      <c r="X493" s="352"/>
      <c r="Y493" s="352"/>
      <c r="Z493" s="352"/>
      <c r="AA493" s="352"/>
      <c r="AB493" s="352"/>
      <c r="AC493" s="352"/>
      <c r="AD493" s="352"/>
      <c r="AE493" s="352"/>
    </row>
    <row r="494">
      <c r="A494" s="352"/>
      <c r="B494" s="352"/>
      <c r="C494" s="972"/>
      <c r="D494" s="972"/>
      <c r="E494" s="972"/>
      <c r="F494" s="972"/>
      <c r="G494" s="972"/>
      <c r="H494" s="972"/>
      <c r="I494" s="972"/>
      <c r="J494" s="972"/>
      <c r="K494" s="972"/>
      <c r="L494" s="972"/>
      <c r="M494" s="972"/>
      <c r="N494" s="972"/>
      <c r="O494" s="352"/>
      <c r="P494" s="352"/>
      <c r="Q494" s="352"/>
      <c r="R494" s="352"/>
      <c r="S494" s="352"/>
      <c r="T494" s="352"/>
      <c r="U494" s="352"/>
      <c r="V494" s="352"/>
      <c r="W494" s="352"/>
      <c r="X494" s="352"/>
      <c r="Y494" s="352"/>
      <c r="Z494" s="352"/>
      <c r="AA494" s="352"/>
      <c r="AB494" s="352"/>
      <c r="AC494" s="352"/>
      <c r="AD494" s="352"/>
      <c r="AE494" s="352"/>
    </row>
    <row r="495">
      <c r="A495" s="352"/>
      <c r="B495" s="352"/>
      <c r="C495" s="972"/>
      <c r="D495" s="972"/>
      <c r="E495" s="972"/>
      <c r="F495" s="972"/>
      <c r="G495" s="972"/>
      <c r="H495" s="972"/>
      <c r="I495" s="972"/>
      <c r="J495" s="972"/>
      <c r="K495" s="972"/>
      <c r="L495" s="972"/>
      <c r="M495" s="972"/>
      <c r="N495" s="972"/>
      <c r="O495" s="352"/>
      <c r="P495" s="352"/>
      <c r="Q495" s="352"/>
      <c r="R495" s="352"/>
      <c r="S495" s="352"/>
      <c r="T495" s="352"/>
      <c r="U495" s="352"/>
      <c r="V495" s="352"/>
      <c r="W495" s="352"/>
      <c r="X495" s="352"/>
      <c r="Y495" s="352"/>
      <c r="Z495" s="352"/>
      <c r="AA495" s="352"/>
      <c r="AB495" s="352"/>
      <c r="AC495" s="352"/>
      <c r="AD495" s="352"/>
      <c r="AE495" s="352"/>
    </row>
    <row r="496">
      <c r="A496" s="352"/>
      <c r="B496" s="352"/>
      <c r="C496" s="972"/>
      <c r="D496" s="972"/>
      <c r="E496" s="972"/>
      <c r="F496" s="972"/>
      <c r="G496" s="972"/>
      <c r="H496" s="972"/>
      <c r="I496" s="972"/>
      <c r="J496" s="972"/>
      <c r="K496" s="972"/>
      <c r="L496" s="972"/>
      <c r="M496" s="972"/>
      <c r="N496" s="972"/>
      <c r="O496" s="352"/>
      <c r="P496" s="352"/>
      <c r="Q496" s="352"/>
      <c r="R496" s="352"/>
      <c r="S496" s="352"/>
      <c r="T496" s="352"/>
      <c r="U496" s="352"/>
      <c r="V496" s="352"/>
      <c r="W496" s="352"/>
      <c r="X496" s="352"/>
      <c r="Y496" s="352"/>
      <c r="Z496" s="352"/>
      <c r="AA496" s="352"/>
      <c r="AB496" s="352"/>
      <c r="AC496" s="352"/>
      <c r="AD496" s="352"/>
      <c r="AE496" s="352"/>
    </row>
    <row r="497">
      <c r="A497" s="352"/>
      <c r="B497" s="352"/>
      <c r="C497" s="972"/>
      <c r="D497" s="972"/>
      <c r="E497" s="972"/>
      <c r="F497" s="972"/>
      <c r="G497" s="972"/>
      <c r="H497" s="972"/>
      <c r="I497" s="972"/>
      <c r="J497" s="972"/>
      <c r="K497" s="972"/>
      <c r="L497" s="972"/>
      <c r="M497" s="972"/>
      <c r="N497" s="972"/>
      <c r="O497" s="352"/>
      <c r="P497" s="352"/>
      <c r="Q497" s="352"/>
      <c r="R497" s="352"/>
      <c r="S497" s="352"/>
      <c r="T497" s="352"/>
      <c r="U497" s="352"/>
      <c r="V497" s="352"/>
      <c r="W497" s="352"/>
      <c r="X497" s="352"/>
      <c r="Y497" s="352"/>
      <c r="Z497" s="352"/>
      <c r="AA497" s="352"/>
      <c r="AB497" s="352"/>
      <c r="AC497" s="352"/>
      <c r="AD497" s="352"/>
      <c r="AE497" s="352"/>
    </row>
    <row r="498">
      <c r="A498" s="352"/>
      <c r="B498" s="352"/>
      <c r="C498" s="972"/>
      <c r="D498" s="972"/>
      <c r="E498" s="972"/>
      <c r="F498" s="972"/>
      <c r="G498" s="972"/>
      <c r="H498" s="972"/>
      <c r="I498" s="972"/>
      <c r="J498" s="972"/>
      <c r="K498" s="972"/>
      <c r="L498" s="972"/>
      <c r="M498" s="972"/>
      <c r="N498" s="972"/>
      <c r="O498" s="352"/>
      <c r="P498" s="352"/>
      <c r="Q498" s="352"/>
      <c r="R498" s="352"/>
      <c r="S498" s="352"/>
      <c r="T498" s="352"/>
      <c r="U498" s="352"/>
      <c r="V498" s="352"/>
      <c r="W498" s="352"/>
      <c r="X498" s="352"/>
      <c r="Y498" s="352"/>
      <c r="Z498" s="352"/>
      <c r="AA498" s="352"/>
      <c r="AB498" s="352"/>
      <c r="AC498" s="352"/>
      <c r="AD498" s="352"/>
      <c r="AE498" s="352"/>
    </row>
    <row r="499">
      <c r="A499" s="352"/>
      <c r="B499" s="352"/>
      <c r="C499" s="972"/>
      <c r="D499" s="972"/>
      <c r="E499" s="972"/>
      <c r="F499" s="972"/>
      <c r="G499" s="972"/>
      <c r="H499" s="972"/>
      <c r="I499" s="972"/>
      <c r="J499" s="972"/>
      <c r="K499" s="972"/>
      <c r="L499" s="972"/>
      <c r="M499" s="972"/>
      <c r="N499" s="972"/>
      <c r="O499" s="352"/>
      <c r="P499" s="352"/>
      <c r="Q499" s="352"/>
      <c r="R499" s="352"/>
      <c r="S499" s="352"/>
      <c r="T499" s="352"/>
      <c r="U499" s="352"/>
      <c r="V499" s="352"/>
      <c r="W499" s="352"/>
      <c r="X499" s="352"/>
      <c r="Y499" s="352"/>
      <c r="Z499" s="352"/>
      <c r="AA499" s="352"/>
      <c r="AB499" s="352"/>
      <c r="AC499" s="352"/>
      <c r="AD499" s="352"/>
      <c r="AE499" s="352"/>
    </row>
    <row r="500">
      <c r="A500" s="352"/>
      <c r="B500" s="352"/>
      <c r="C500" s="972"/>
      <c r="D500" s="972"/>
      <c r="E500" s="972"/>
      <c r="F500" s="972"/>
      <c r="G500" s="972"/>
      <c r="H500" s="972"/>
      <c r="I500" s="972"/>
      <c r="J500" s="972"/>
      <c r="K500" s="972"/>
      <c r="L500" s="972"/>
      <c r="M500" s="972"/>
      <c r="N500" s="972"/>
      <c r="O500" s="352"/>
      <c r="P500" s="352"/>
      <c r="Q500" s="352"/>
      <c r="R500" s="352"/>
      <c r="S500" s="352"/>
      <c r="T500" s="352"/>
      <c r="U500" s="352"/>
      <c r="V500" s="352"/>
      <c r="W500" s="352"/>
      <c r="X500" s="352"/>
      <c r="Y500" s="352"/>
      <c r="Z500" s="352"/>
      <c r="AA500" s="352"/>
      <c r="AB500" s="352"/>
      <c r="AC500" s="352"/>
      <c r="AD500" s="352"/>
      <c r="AE500" s="352"/>
    </row>
    <row r="501">
      <c r="A501" s="352"/>
      <c r="B501" s="352"/>
      <c r="C501" s="972"/>
      <c r="D501" s="972"/>
      <c r="E501" s="972"/>
      <c r="F501" s="972"/>
      <c r="G501" s="972"/>
      <c r="H501" s="972"/>
      <c r="I501" s="972"/>
      <c r="J501" s="972"/>
      <c r="K501" s="972"/>
      <c r="L501" s="972"/>
      <c r="M501" s="972"/>
      <c r="N501" s="972"/>
      <c r="O501" s="352"/>
      <c r="P501" s="352"/>
      <c r="Q501" s="352"/>
      <c r="R501" s="352"/>
      <c r="S501" s="352"/>
      <c r="T501" s="352"/>
      <c r="U501" s="352"/>
      <c r="V501" s="352"/>
      <c r="W501" s="352"/>
      <c r="X501" s="352"/>
      <c r="Y501" s="352"/>
      <c r="Z501" s="352"/>
      <c r="AA501" s="352"/>
      <c r="AB501" s="352"/>
      <c r="AC501" s="352"/>
      <c r="AD501" s="352"/>
      <c r="AE501" s="352"/>
    </row>
    <row r="502">
      <c r="A502" s="352"/>
      <c r="B502" s="352"/>
      <c r="C502" s="972"/>
      <c r="D502" s="972"/>
      <c r="E502" s="972"/>
      <c r="F502" s="972"/>
      <c r="G502" s="972"/>
      <c r="H502" s="972"/>
      <c r="I502" s="972"/>
      <c r="J502" s="972"/>
      <c r="K502" s="972"/>
      <c r="L502" s="972"/>
      <c r="M502" s="972"/>
      <c r="N502" s="972"/>
      <c r="O502" s="352"/>
      <c r="P502" s="352"/>
      <c r="Q502" s="352"/>
      <c r="R502" s="352"/>
      <c r="S502" s="352"/>
      <c r="T502" s="352"/>
      <c r="U502" s="352"/>
      <c r="V502" s="352"/>
      <c r="W502" s="352"/>
      <c r="X502" s="352"/>
      <c r="Y502" s="352"/>
      <c r="Z502" s="352"/>
      <c r="AA502" s="352"/>
      <c r="AB502" s="352"/>
      <c r="AC502" s="352"/>
      <c r="AD502" s="352"/>
      <c r="AE502" s="352"/>
    </row>
    <row r="503">
      <c r="A503" s="352"/>
      <c r="B503" s="352"/>
      <c r="C503" s="972"/>
      <c r="D503" s="972"/>
      <c r="E503" s="972"/>
      <c r="F503" s="972"/>
      <c r="G503" s="972"/>
      <c r="H503" s="972"/>
      <c r="I503" s="972"/>
      <c r="J503" s="972"/>
      <c r="K503" s="972"/>
      <c r="L503" s="972"/>
      <c r="M503" s="972"/>
      <c r="N503" s="972"/>
      <c r="O503" s="352"/>
      <c r="P503" s="352"/>
      <c r="Q503" s="352"/>
      <c r="R503" s="352"/>
      <c r="S503" s="352"/>
      <c r="T503" s="352"/>
      <c r="U503" s="352"/>
      <c r="V503" s="352"/>
      <c r="W503" s="352"/>
      <c r="X503" s="352"/>
      <c r="Y503" s="352"/>
      <c r="Z503" s="352"/>
      <c r="AA503" s="352"/>
      <c r="AB503" s="352"/>
      <c r="AC503" s="352"/>
      <c r="AD503" s="352"/>
      <c r="AE503" s="352"/>
    </row>
    <row r="504">
      <c r="A504" s="352"/>
      <c r="B504" s="352"/>
      <c r="C504" s="972"/>
      <c r="D504" s="972"/>
      <c r="E504" s="972"/>
      <c r="F504" s="972"/>
      <c r="G504" s="972"/>
      <c r="H504" s="972"/>
      <c r="I504" s="972"/>
      <c r="J504" s="972"/>
      <c r="K504" s="972"/>
      <c r="L504" s="972"/>
      <c r="M504" s="972"/>
      <c r="N504" s="972"/>
      <c r="O504" s="352"/>
      <c r="P504" s="352"/>
      <c r="Q504" s="352"/>
      <c r="R504" s="352"/>
      <c r="S504" s="352"/>
      <c r="T504" s="352"/>
      <c r="U504" s="352"/>
      <c r="V504" s="352"/>
      <c r="W504" s="352"/>
      <c r="X504" s="352"/>
      <c r="Y504" s="352"/>
      <c r="Z504" s="352"/>
      <c r="AA504" s="352"/>
      <c r="AB504" s="352"/>
      <c r="AC504" s="352"/>
      <c r="AD504" s="352"/>
      <c r="AE504" s="352"/>
    </row>
    <row r="505">
      <c r="A505" s="352"/>
      <c r="B505" s="352"/>
      <c r="C505" s="972"/>
      <c r="D505" s="972"/>
      <c r="E505" s="972"/>
      <c r="F505" s="972"/>
      <c r="G505" s="972"/>
      <c r="H505" s="972"/>
      <c r="I505" s="972"/>
      <c r="J505" s="972"/>
      <c r="K505" s="972"/>
      <c r="L505" s="972"/>
      <c r="M505" s="972"/>
      <c r="N505" s="972"/>
      <c r="O505" s="352"/>
      <c r="P505" s="352"/>
      <c r="Q505" s="352"/>
      <c r="R505" s="352"/>
      <c r="S505" s="352"/>
      <c r="T505" s="352"/>
      <c r="U505" s="352"/>
      <c r="V505" s="352"/>
      <c r="W505" s="352"/>
      <c r="X505" s="352"/>
      <c r="Y505" s="352"/>
      <c r="Z505" s="352"/>
      <c r="AA505" s="352"/>
      <c r="AB505" s="352"/>
      <c r="AC505" s="352"/>
      <c r="AD505" s="352"/>
      <c r="AE505" s="352"/>
    </row>
    <row r="506">
      <c r="A506" s="352"/>
      <c r="B506" s="352"/>
      <c r="C506" s="972"/>
      <c r="D506" s="972"/>
      <c r="E506" s="972"/>
      <c r="F506" s="972"/>
      <c r="G506" s="972"/>
      <c r="H506" s="972"/>
      <c r="I506" s="972"/>
      <c r="J506" s="972"/>
      <c r="K506" s="972"/>
      <c r="L506" s="972"/>
      <c r="M506" s="972"/>
      <c r="N506" s="972"/>
      <c r="O506" s="352"/>
      <c r="P506" s="352"/>
      <c r="Q506" s="352"/>
      <c r="R506" s="352"/>
      <c r="S506" s="352"/>
      <c r="T506" s="352"/>
      <c r="U506" s="352"/>
      <c r="V506" s="352"/>
      <c r="W506" s="352"/>
      <c r="X506" s="352"/>
      <c r="Y506" s="352"/>
      <c r="Z506" s="352"/>
      <c r="AA506" s="352"/>
      <c r="AB506" s="352"/>
      <c r="AC506" s="352"/>
      <c r="AD506" s="352"/>
      <c r="AE506" s="352"/>
    </row>
    <row r="507">
      <c r="A507" s="352"/>
      <c r="B507" s="352"/>
      <c r="C507" s="972"/>
      <c r="D507" s="972"/>
      <c r="E507" s="972"/>
      <c r="F507" s="972"/>
      <c r="G507" s="972"/>
      <c r="H507" s="972"/>
      <c r="I507" s="972"/>
      <c r="J507" s="972"/>
      <c r="K507" s="972"/>
      <c r="L507" s="972"/>
      <c r="M507" s="972"/>
      <c r="N507" s="972"/>
      <c r="O507" s="352"/>
      <c r="P507" s="352"/>
      <c r="Q507" s="352"/>
      <c r="R507" s="352"/>
      <c r="S507" s="352"/>
      <c r="T507" s="352"/>
      <c r="U507" s="352"/>
      <c r="V507" s="352"/>
      <c r="W507" s="352"/>
      <c r="X507" s="352"/>
      <c r="Y507" s="352"/>
      <c r="Z507" s="352"/>
      <c r="AA507" s="352"/>
      <c r="AB507" s="352"/>
      <c r="AC507" s="352"/>
      <c r="AD507" s="352"/>
      <c r="AE507" s="352"/>
    </row>
    <row r="508">
      <c r="A508" s="352"/>
      <c r="B508" s="352"/>
      <c r="C508" s="972"/>
      <c r="D508" s="972"/>
      <c r="E508" s="972"/>
      <c r="F508" s="972"/>
      <c r="G508" s="972"/>
      <c r="H508" s="972"/>
      <c r="I508" s="972"/>
      <c r="J508" s="972"/>
      <c r="K508" s="972"/>
      <c r="L508" s="972"/>
      <c r="M508" s="972"/>
      <c r="N508" s="972"/>
      <c r="O508" s="352"/>
      <c r="P508" s="352"/>
      <c r="Q508" s="352"/>
      <c r="R508" s="352"/>
      <c r="S508" s="352"/>
      <c r="T508" s="352"/>
      <c r="U508" s="352"/>
      <c r="V508" s="352"/>
      <c r="W508" s="352"/>
      <c r="X508" s="352"/>
      <c r="Y508" s="352"/>
      <c r="Z508" s="352"/>
      <c r="AA508" s="352"/>
      <c r="AB508" s="352"/>
      <c r="AC508" s="352"/>
      <c r="AD508" s="352"/>
      <c r="AE508" s="352"/>
    </row>
    <row r="509">
      <c r="A509" s="352"/>
      <c r="B509" s="352"/>
      <c r="C509" s="972"/>
      <c r="D509" s="972"/>
      <c r="E509" s="972"/>
      <c r="F509" s="972"/>
      <c r="G509" s="972"/>
      <c r="H509" s="972"/>
      <c r="I509" s="972"/>
      <c r="J509" s="972"/>
      <c r="K509" s="972"/>
      <c r="L509" s="972"/>
      <c r="M509" s="972"/>
      <c r="N509" s="972"/>
      <c r="O509" s="352"/>
      <c r="P509" s="352"/>
      <c r="Q509" s="352"/>
      <c r="R509" s="352"/>
      <c r="S509" s="352"/>
      <c r="T509" s="352"/>
      <c r="U509" s="352"/>
      <c r="V509" s="352"/>
      <c r="W509" s="352"/>
      <c r="X509" s="352"/>
      <c r="Y509" s="352"/>
      <c r="Z509" s="352"/>
      <c r="AA509" s="352"/>
      <c r="AB509" s="352"/>
      <c r="AC509" s="352"/>
      <c r="AD509" s="352"/>
      <c r="AE509" s="352"/>
    </row>
    <row r="510">
      <c r="A510" s="352"/>
      <c r="B510" s="352"/>
      <c r="C510" s="972"/>
      <c r="D510" s="972"/>
      <c r="E510" s="972"/>
      <c r="F510" s="972"/>
      <c r="G510" s="972"/>
      <c r="H510" s="972"/>
      <c r="I510" s="972"/>
      <c r="J510" s="972"/>
      <c r="K510" s="972"/>
      <c r="L510" s="972"/>
      <c r="M510" s="972"/>
      <c r="N510" s="972"/>
      <c r="O510" s="352"/>
      <c r="P510" s="352"/>
      <c r="Q510" s="352"/>
      <c r="R510" s="352"/>
      <c r="S510" s="352"/>
      <c r="T510" s="352"/>
      <c r="U510" s="352"/>
      <c r="V510" s="352"/>
      <c r="W510" s="352"/>
      <c r="X510" s="352"/>
      <c r="Y510" s="352"/>
      <c r="Z510" s="352"/>
      <c r="AA510" s="352"/>
      <c r="AB510" s="352"/>
      <c r="AC510" s="352"/>
      <c r="AD510" s="352"/>
      <c r="AE510" s="352"/>
    </row>
    <row r="511">
      <c r="A511" s="352"/>
      <c r="B511" s="352"/>
      <c r="C511" s="972"/>
      <c r="D511" s="972"/>
      <c r="E511" s="972"/>
      <c r="F511" s="972"/>
      <c r="G511" s="972"/>
      <c r="H511" s="972"/>
      <c r="I511" s="972"/>
      <c r="J511" s="972"/>
      <c r="K511" s="972"/>
      <c r="L511" s="972"/>
      <c r="M511" s="972"/>
      <c r="N511" s="972"/>
      <c r="O511" s="352"/>
      <c r="P511" s="352"/>
      <c r="Q511" s="352"/>
      <c r="R511" s="352"/>
      <c r="S511" s="352"/>
      <c r="T511" s="352"/>
      <c r="U511" s="352"/>
      <c r="V511" s="352"/>
      <c r="W511" s="352"/>
      <c r="X511" s="352"/>
      <c r="Y511" s="352"/>
      <c r="Z511" s="352"/>
      <c r="AA511" s="352"/>
      <c r="AB511" s="352"/>
      <c r="AC511" s="352"/>
      <c r="AD511" s="352"/>
      <c r="AE511" s="352"/>
    </row>
    <row r="512">
      <c r="A512" s="352"/>
      <c r="B512" s="352"/>
      <c r="C512" s="972"/>
      <c r="D512" s="972"/>
      <c r="E512" s="972"/>
      <c r="F512" s="972"/>
      <c r="G512" s="972"/>
      <c r="H512" s="972"/>
      <c r="I512" s="972"/>
      <c r="J512" s="972"/>
      <c r="K512" s="972"/>
      <c r="L512" s="972"/>
      <c r="M512" s="972"/>
      <c r="N512" s="972"/>
      <c r="O512" s="352"/>
      <c r="P512" s="352"/>
      <c r="Q512" s="352"/>
      <c r="R512" s="352"/>
      <c r="S512" s="352"/>
      <c r="T512" s="352"/>
      <c r="U512" s="352"/>
      <c r="V512" s="352"/>
      <c r="W512" s="352"/>
      <c r="X512" s="352"/>
      <c r="Y512" s="352"/>
      <c r="Z512" s="352"/>
      <c r="AA512" s="352"/>
      <c r="AB512" s="352"/>
      <c r="AC512" s="352"/>
      <c r="AD512" s="352"/>
      <c r="AE512" s="352"/>
    </row>
    <row r="513">
      <c r="A513" s="352"/>
      <c r="B513" s="352"/>
      <c r="C513" s="972"/>
      <c r="D513" s="972"/>
      <c r="E513" s="972"/>
      <c r="F513" s="972"/>
      <c r="G513" s="972"/>
      <c r="H513" s="972"/>
      <c r="I513" s="972"/>
      <c r="J513" s="972"/>
      <c r="K513" s="972"/>
      <c r="L513" s="972"/>
      <c r="M513" s="972"/>
      <c r="N513" s="972"/>
      <c r="O513" s="352"/>
      <c r="P513" s="352"/>
      <c r="Q513" s="352"/>
      <c r="R513" s="352"/>
      <c r="S513" s="352"/>
      <c r="T513" s="352"/>
      <c r="U513" s="352"/>
      <c r="V513" s="352"/>
      <c r="W513" s="352"/>
      <c r="X513" s="352"/>
      <c r="Y513" s="352"/>
      <c r="Z513" s="352"/>
      <c r="AA513" s="352"/>
      <c r="AB513" s="352"/>
      <c r="AC513" s="352"/>
      <c r="AD513" s="352"/>
      <c r="AE513" s="352"/>
    </row>
    <row r="514">
      <c r="A514" s="352"/>
      <c r="B514" s="352"/>
      <c r="C514" s="972"/>
      <c r="D514" s="972"/>
      <c r="E514" s="972"/>
      <c r="F514" s="972"/>
      <c r="G514" s="972"/>
      <c r="H514" s="972"/>
      <c r="I514" s="972"/>
      <c r="J514" s="972"/>
      <c r="K514" s="972"/>
      <c r="L514" s="972"/>
      <c r="M514" s="972"/>
      <c r="N514" s="972"/>
      <c r="O514" s="352"/>
      <c r="P514" s="352"/>
      <c r="Q514" s="352"/>
      <c r="R514" s="352"/>
      <c r="S514" s="352"/>
      <c r="T514" s="352"/>
      <c r="U514" s="352"/>
      <c r="V514" s="352"/>
      <c r="W514" s="352"/>
      <c r="X514" s="352"/>
      <c r="Y514" s="352"/>
      <c r="Z514" s="352"/>
      <c r="AA514" s="352"/>
      <c r="AB514" s="352"/>
      <c r="AC514" s="352"/>
      <c r="AD514" s="352"/>
      <c r="AE514" s="352"/>
    </row>
    <row r="515">
      <c r="A515" s="352"/>
      <c r="B515" s="352"/>
      <c r="C515" s="972"/>
      <c r="D515" s="972"/>
      <c r="E515" s="972"/>
      <c r="F515" s="972"/>
      <c r="G515" s="972"/>
      <c r="H515" s="972"/>
      <c r="I515" s="972"/>
      <c r="J515" s="972"/>
      <c r="K515" s="972"/>
      <c r="L515" s="972"/>
      <c r="M515" s="972"/>
      <c r="N515" s="972"/>
      <c r="O515" s="352"/>
      <c r="P515" s="352"/>
      <c r="Q515" s="352"/>
      <c r="R515" s="352"/>
      <c r="S515" s="352"/>
      <c r="T515" s="352"/>
      <c r="U515" s="352"/>
      <c r="V515" s="352"/>
      <c r="W515" s="352"/>
      <c r="X515" s="352"/>
      <c r="Y515" s="352"/>
      <c r="Z515" s="352"/>
      <c r="AA515" s="352"/>
      <c r="AB515" s="352"/>
      <c r="AC515" s="352"/>
      <c r="AD515" s="352"/>
      <c r="AE515" s="352"/>
    </row>
    <row r="516">
      <c r="A516" s="352"/>
      <c r="B516" s="352"/>
      <c r="C516" s="972"/>
      <c r="D516" s="972"/>
      <c r="E516" s="972"/>
      <c r="F516" s="972"/>
      <c r="G516" s="972"/>
      <c r="H516" s="972"/>
      <c r="I516" s="972"/>
      <c r="J516" s="972"/>
      <c r="K516" s="972"/>
      <c r="L516" s="972"/>
      <c r="M516" s="972"/>
      <c r="N516" s="972"/>
      <c r="O516" s="352"/>
      <c r="P516" s="352"/>
      <c r="Q516" s="352"/>
      <c r="R516" s="352"/>
      <c r="S516" s="352"/>
      <c r="T516" s="352"/>
      <c r="U516" s="352"/>
      <c r="V516" s="352"/>
      <c r="W516" s="352"/>
      <c r="X516" s="352"/>
      <c r="Y516" s="352"/>
      <c r="Z516" s="352"/>
      <c r="AA516" s="352"/>
      <c r="AB516" s="352"/>
      <c r="AC516" s="352"/>
      <c r="AD516" s="352"/>
      <c r="AE516" s="352"/>
    </row>
    <row r="517">
      <c r="A517" s="352"/>
      <c r="B517" s="352"/>
      <c r="C517" s="972"/>
      <c r="D517" s="972"/>
      <c r="E517" s="972"/>
      <c r="F517" s="972"/>
      <c r="G517" s="972"/>
      <c r="H517" s="972"/>
      <c r="I517" s="972"/>
      <c r="J517" s="972"/>
      <c r="K517" s="972"/>
      <c r="L517" s="972"/>
      <c r="M517" s="972"/>
      <c r="N517" s="972"/>
      <c r="O517" s="352"/>
      <c r="P517" s="352"/>
      <c r="Q517" s="352"/>
      <c r="R517" s="352"/>
      <c r="S517" s="352"/>
      <c r="T517" s="352"/>
      <c r="U517" s="352"/>
      <c r="V517" s="352"/>
      <c r="W517" s="352"/>
      <c r="X517" s="352"/>
      <c r="Y517" s="352"/>
      <c r="Z517" s="352"/>
      <c r="AA517" s="352"/>
      <c r="AB517" s="352"/>
      <c r="AC517" s="352"/>
      <c r="AD517" s="352"/>
      <c r="AE517" s="352"/>
    </row>
    <row r="518">
      <c r="A518" s="352"/>
      <c r="B518" s="352"/>
      <c r="C518" s="972"/>
      <c r="D518" s="972"/>
      <c r="E518" s="972"/>
      <c r="F518" s="972"/>
      <c r="G518" s="972"/>
      <c r="H518" s="972"/>
      <c r="I518" s="972"/>
      <c r="J518" s="972"/>
      <c r="K518" s="972"/>
      <c r="L518" s="972"/>
      <c r="M518" s="972"/>
      <c r="N518" s="972"/>
      <c r="O518" s="352"/>
      <c r="P518" s="352"/>
      <c r="Q518" s="352"/>
      <c r="R518" s="352"/>
      <c r="S518" s="352"/>
      <c r="T518" s="352"/>
      <c r="U518" s="352"/>
      <c r="V518" s="352"/>
      <c r="W518" s="352"/>
      <c r="X518" s="352"/>
      <c r="Y518" s="352"/>
      <c r="Z518" s="352"/>
      <c r="AA518" s="352"/>
      <c r="AB518" s="352"/>
      <c r="AC518" s="352"/>
      <c r="AD518" s="352"/>
      <c r="AE518" s="352"/>
    </row>
    <row r="519">
      <c r="A519" s="352"/>
      <c r="B519" s="352"/>
      <c r="C519" s="972"/>
      <c r="D519" s="972"/>
      <c r="E519" s="972"/>
      <c r="F519" s="972"/>
      <c r="G519" s="972"/>
      <c r="H519" s="972"/>
      <c r="I519" s="972"/>
      <c r="J519" s="972"/>
      <c r="K519" s="972"/>
      <c r="L519" s="972"/>
      <c r="M519" s="972"/>
      <c r="N519" s="972"/>
      <c r="O519" s="352"/>
      <c r="P519" s="352"/>
      <c r="Q519" s="352"/>
      <c r="R519" s="352"/>
      <c r="S519" s="352"/>
      <c r="T519" s="352"/>
      <c r="U519" s="352"/>
      <c r="V519" s="352"/>
      <c r="W519" s="352"/>
      <c r="X519" s="352"/>
      <c r="Y519" s="352"/>
      <c r="Z519" s="352"/>
      <c r="AA519" s="352"/>
      <c r="AB519" s="352"/>
      <c r="AC519" s="352"/>
      <c r="AD519" s="352"/>
      <c r="AE519" s="352"/>
    </row>
    <row r="520">
      <c r="A520" s="352"/>
      <c r="B520" s="352"/>
      <c r="C520" s="972"/>
      <c r="D520" s="972"/>
      <c r="E520" s="972"/>
      <c r="F520" s="972"/>
      <c r="G520" s="972"/>
      <c r="H520" s="972"/>
      <c r="I520" s="972"/>
      <c r="J520" s="972"/>
      <c r="K520" s="972"/>
      <c r="L520" s="972"/>
      <c r="M520" s="972"/>
      <c r="N520" s="972"/>
      <c r="O520" s="352"/>
      <c r="P520" s="352"/>
      <c r="Q520" s="352"/>
      <c r="R520" s="352"/>
      <c r="S520" s="352"/>
      <c r="T520" s="352"/>
      <c r="U520" s="352"/>
      <c r="V520" s="352"/>
      <c r="W520" s="352"/>
      <c r="X520" s="352"/>
      <c r="Y520" s="352"/>
      <c r="Z520" s="352"/>
      <c r="AA520" s="352"/>
      <c r="AB520" s="352"/>
      <c r="AC520" s="352"/>
      <c r="AD520" s="352"/>
      <c r="AE520" s="352"/>
    </row>
    <row r="521">
      <c r="A521" s="352"/>
      <c r="B521" s="352"/>
      <c r="C521" s="972"/>
      <c r="D521" s="972"/>
      <c r="E521" s="972"/>
      <c r="F521" s="972"/>
      <c r="G521" s="972"/>
      <c r="H521" s="972"/>
      <c r="I521" s="972"/>
      <c r="J521" s="972"/>
      <c r="K521" s="972"/>
      <c r="L521" s="972"/>
      <c r="M521" s="972"/>
      <c r="N521" s="972"/>
      <c r="O521" s="352"/>
      <c r="P521" s="352"/>
      <c r="Q521" s="352"/>
      <c r="R521" s="352"/>
      <c r="S521" s="352"/>
      <c r="T521" s="352"/>
      <c r="U521" s="352"/>
      <c r="V521" s="352"/>
      <c r="W521" s="352"/>
      <c r="X521" s="352"/>
      <c r="Y521" s="352"/>
      <c r="Z521" s="352"/>
      <c r="AA521" s="352"/>
      <c r="AB521" s="352"/>
      <c r="AC521" s="352"/>
      <c r="AD521" s="352"/>
      <c r="AE521" s="352"/>
    </row>
    <row r="522">
      <c r="A522" s="352"/>
      <c r="B522" s="352"/>
      <c r="C522" s="972"/>
      <c r="D522" s="972"/>
      <c r="E522" s="972"/>
      <c r="F522" s="972"/>
      <c r="G522" s="972"/>
      <c r="H522" s="972"/>
      <c r="I522" s="972"/>
      <c r="J522" s="972"/>
      <c r="K522" s="972"/>
      <c r="L522" s="972"/>
      <c r="M522" s="972"/>
      <c r="N522" s="972"/>
      <c r="O522" s="352"/>
      <c r="P522" s="352"/>
      <c r="Q522" s="352"/>
      <c r="R522" s="352"/>
      <c r="S522" s="352"/>
      <c r="T522" s="352"/>
      <c r="U522" s="352"/>
      <c r="V522" s="352"/>
      <c r="W522" s="352"/>
      <c r="X522" s="352"/>
      <c r="Y522" s="352"/>
      <c r="Z522" s="352"/>
      <c r="AA522" s="352"/>
      <c r="AB522" s="352"/>
      <c r="AC522" s="352"/>
      <c r="AD522" s="352"/>
      <c r="AE522" s="352"/>
    </row>
    <row r="523">
      <c r="A523" s="352"/>
      <c r="B523" s="352"/>
      <c r="C523" s="972"/>
      <c r="D523" s="972"/>
      <c r="E523" s="972"/>
      <c r="F523" s="972"/>
      <c r="G523" s="972"/>
      <c r="H523" s="972"/>
      <c r="I523" s="972"/>
      <c r="J523" s="972"/>
      <c r="K523" s="972"/>
      <c r="L523" s="972"/>
      <c r="M523" s="972"/>
      <c r="N523" s="972"/>
      <c r="O523" s="352"/>
      <c r="P523" s="352"/>
      <c r="Q523" s="352"/>
      <c r="R523" s="352"/>
      <c r="S523" s="352"/>
      <c r="T523" s="352"/>
      <c r="U523" s="352"/>
      <c r="V523" s="352"/>
      <c r="W523" s="352"/>
      <c r="X523" s="352"/>
      <c r="Y523" s="352"/>
      <c r="Z523" s="352"/>
      <c r="AA523" s="352"/>
      <c r="AB523" s="352"/>
      <c r="AC523" s="352"/>
      <c r="AD523" s="352"/>
      <c r="AE523" s="352"/>
    </row>
    <row r="524">
      <c r="A524" s="352"/>
      <c r="B524" s="352"/>
      <c r="C524" s="972"/>
      <c r="D524" s="972"/>
      <c r="E524" s="972"/>
      <c r="F524" s="972"/>
      <c r="G524" s="972"/>
      <c r="H524" s="972"/>
      <c r="I524" s="972"/>
      <c r="J524" s="972"/>
      <c r="K524" s="972"/>
      <c r="L524" s="972"/>
      <c r="M524" s="972"/>
      <c r="N524" s="972"/>
      <c r="O524" s="352"/>
      <c r="P524" s="352"/>
      <c r="Q524" s="352"/>
      <c r="R524" s="352"/>
      <c r="S524" s="352"/>
      <c r="T524" s="352"/>
      <c r="U524" s="352"/>
      <c r="V524" s="352"/>
      <c r="W524" s="352"/>
      <c r="X524" s="352"/>
      <c r="Y524" s="352"/>
      <c r="Z524" s="352"/>
      <c r="AA524" s="352"/>
      <c r="AB524" s="352"/>
      <c r="AC524" s="352"/>
      <c r="AD524" s="352"/>
      <c r="AE524" s="352"/>
    </row>
    <row r="525">
      <c r="A525" s="352"/>
      <c r="B525" s="352"/>
      <c r="C525" s="972"/>
      <c r="D525" s="972"/>
      <c r="E525" s="972"/>
      <c r="F525" s="972"/>
      <c r="G525" s="972"/>
      <c r="H525" s="972"/>
      <c r="I525" s="972"/>
      <c r="J525" s="972"/>
      <c r="K525" s="972"/>
      <c r="L525" s="972"/>
      <c r="M525" s="972"/>
      <c r="N525" s="972"/>
      <c r="O525" s="352"/>
      <c r="P525" s="352"/>
      <c r="Q525" s="352"/>
      <c r="R525" s="352"/>
      <c r="S525" s="352"/>
      <c r="T525" s="352"/>
      <c r="U525" s="352"/>
      <c r="V525" s="352"/>
      <c r="W525" s="352"/>
      <c r="X525" s="352"/>
      <c r="Y525" s="352"/>
      <c r="Z525" s="352"/>
      <c r="AA525" s="352"/>
      <c r="AB525" s="352"/>
      <c r="AC525" s="352"/>
      <c r="AD525" s="352"/>
      <c r="AE525" s="352"/>
    </row>
    <row r="526">
      <c r="A526" s="352"/>
      <c r="B526" s="352"/>
      <c r="C526" s="972"/>
      <c r="D526" s="972"/>
      <c r="E526" s="972"/>
      <c r="F526" s="972"/>
      <c r="G526" s="972"/>
      <c r="H526" s="972"/>
      <c r="I526" s="972"/>
      <c r="J526" s="972"/>
      <c r="K526" s="972"/>
      <c r="L526" s="972"/>
      <c r="M526" s="972"/>
      <c r="N526" s="972"/>
      <c r="O526" s="352"/>
      <c r="P526" s="352"/>
      <c r="Q526" s="352"/>
      <c r="R526" s="352"/>
      <c r="S526" s="352"/>
      <c r="T526" s="352"/>
      <c r="U526" s="352"/>
      <c r="V526" s="352"/>
      <c r="W526" s="352"/>
      <c r="X526" s="352"/>
      <c r="Y526" s="352"/>
      <c r="Z526" s="352"/>
      <c r="AA526" s="352"/>
      <c r="AB526" s="352"/>
      <c r="AC526" s="352"/>
      <c r="AD526" s="352"/>
      <c r="AE526" s="352"/>
    </row>
    <row r="527">
      <c r="A527" s="352"/>
      <c r="B527" s="352"/>
      <c r="C527" s="972"/>
      <c r="D527" s="972"/>
      <c r="E527" s="972"/>
      <c r="F527" s="972"/>
      <c r="G527" s="972"/>
      <c r="H527" s="972"/>
      <c r="I527" s="972"/>
      <c r="J527" s="972"/>
      <c r="K527" s="972"/>
      <c r="L527" s="972"/>
      <c r="M527" s="972"/>
      <c r="N527" s="972"/>
      <c r="O527" s="352"/>
      <c r="P527" s="352"/>
      <c r="Q527" s="352"/>
      <c r="R527" s="352"/>
      <c r="S527" s="352"/>
      <c r="T527" s="352"/>
      <c r="U527" s="352"/>
      <c r="V527" s="352"/>
      <c r="W527" s="352"/>
      <c r="X527" s="352"/>
      <c r="Y527" s="352"/>
      <c r="Z527" s="352"/>
      <c r="AA527" s="352"/>
      <c r="AB527" s="352"/>
      <c r="AC527" s="352"/>
      <c r="AD527" s="352"/>
      <c r="AE527" s="352"/>
    </row>
    <row r="528">
      <c r="A528" s="352"/>
      <c r="B528" s="352"/>
      <c r="C528" s="972"/>
      <c r="D528" s="972"/>
      <c r="E528" s="972"/>
      <c r="F528" s="972"/>
      <c r="G528" s="972"/>
      <c r="H528" s="972"/>
      <c r="I528" s="972"/>
      <c r="J528" s="972"/>
      <c r="K528" s="972"/>
      <c r="L528" s="972"/>
      <c r="M528" s="972"/>
      <c r="N528" s="972"/>
      <c r="O528" s="352"/>
      <c r="P528" s="352"/>
      <c r="Q528" s="352"/>
      <c r="R528" s="352"/>
      <c r="S528" s="352"/>
      <c r="T528" s="352"/>
      <c r="U528" s="352"/>
      <c r="V528" s="352"/>
      <c r="W528" s="352"/>
      <c r="X528" s="352"/>
      <c r="Y528" s="352"/>
      <c r="Z528" s="352"/>
      <c r="AA528" s="352"/>
      <c r="AB528" s="352"/>
      <c r="AC528" s="352"/>
      <c r="AD528" s="352"/>
      <c r="AE528" s="352"/>
    </row>
    <row r="529">
      <c r="A529" s="352"/>
      <c r="B529" s="352"/>
      <c r="C529" s="972"/>
      <c r="D529" s="972"/>
      <c r="E529" s="972"/>
      <c r="F529" s="972"/>
      <c r="G529" s="972"/>
      <c r="H529" s="972"/>
      <c r="I529" s="972"/>
      <c r="J529" s="972"/>
      <c r="K529" s="972"/>
      <c r="L529" s="972"/>
      <c r="M529" s="972"/>
      <c r="N529" s="972"/>
      <c r="O529" s="352"/>
      <c r="P529" s="352"/>
      <c r="Q529" s="352"/>
      <c r="R529" s="352"/>
      <c r="S529" s="352"/>
      <c r="T529" s="352"/>
      <c r="U529" s="352"/>
      <c r="V529" s="352"/>
      <c r="W529" s="352"/>
      <c r="X529" s="352"/>
      <c r="Y529" s="352"/>
      <c r="Z529" s="352"/>
      <c r="AA529" s="352"/>
      <c r="AB529" s="352"/>
      <c r="AC529" s="352"/>
      <c r="AD529" s="352"/>
      <c r="AE529" s="352"/>
    </row>
    <row r="530">
      <c r="A530" s="352"/>
      <c r="B530" s="352"/>
      <c r="C530" s="972"/>
      <c r="D530" s="972"/>
      <c r="E530" s="972"/>
      <c r="F530" s="972"/>
      <c r="G530" s="972"/>
      <c r="H530" s="972"/>
      <c r="I530" s="972"/>
      <c r="J530" s="972"/>
      <c r="K530" s="972"/>
      <c r="L530" s="972"/>
      <c r="M530" s="972"/>
      <c r="N530" s="972"/>
      <c r="O530" s="352"/>
      <c r="P530" s="352"/>
      <c r="Q530" s="352"/>
      <c r="R530" s="352"/>
      <c r="S530" s="352"/>
      <c r="T530" s="352"/>
      <c r="U530" s="352"/>
      <c r="V530" s="352"/>
      <c r="W530" s="352"/>
      <c r="X530" s="352"/>
      <c r="Y530" s="352"/>
      <c r="Z530" s="352"/>
      <c r="AA530" s="352"/>
      <c r="AB530" s="352"/>
      <c r="AC530" s="352"/>
      <c r="AD530" s="352"/>
      <c r="AE530" s="352"/>
    </row>
    <row r="531">
      <c r="A531" s="352"/>
      <c r="B531" s="352"/>
      <c r="C531" s="972"/>
      <c r="D531" s="972"/>
      <c r="E531" s="972"/>
      <c r="F531" s="972"/>
      <c r="G531" s="972"/>
      <c r="H531" s="972"/>
      <c r="I531" s="972"/>
      <c r="J531" s="972"/>
      <c r="K531" s="972"/>
      <c r="L531" s="972"/>
      <c r="M531" s="972"/>
      <c r="N531" s="972"/>
      <c r="O531" s="352"/>
      <c r="P531" s="352"/>
      <c r="Q531" s="352"/>
      <c r="R531" s="352"/>
      <c r="S531" s="352"/>
      <c r="T531" s="352"/>
      <c r="U531" s="352"/>
      <c r="V531" s="352"/>
      <c r="W531" s="352"/>
      <c r="X531" s="352"/>
      <c r="Y531" s="352"/>
      <c r="Z531" s="352"/>
      <c r="AA531" s="352"/>
      <c r="AB531" s="352"/>
      <c r="AC531" s="352"/>
      <c r="AD531" s="352"/>
      <c r="AE531" s="352"/>
    </row>
    <row r="532">
      <c r="A532" s="352"/>
      <c r="B532" s="352"/>
      <c r="C532" s="972"/>
      <c r="D532" s="972"/>
      <c r="E532" s="972"/>
      <c r="F532" s="972"/>
      <c r="G532" s="972"/>
      <c r="H532" s="972"/>
      <c r="I532" s="972"/>
      <c r="J532" s="972"/>
      <c r="K532" s="972"/>
      <c r="L532" s="972"/>
      <c r="M532" s="972"/>
      <c r="N532" s="972"/>
      <c r="O532" s="352"/>
      <c r="P532" s="352"/>
      <c r="Q532" s="352"/>
      <c r="R532" s="352"/>
      <c r="S532" s="352"/>
      <c r="T532" s="352"/>
      <c r="U532" s="352"/>
      <c r="V532" s="352"/>
      <c r="W532" s="352"/>
      <c r="X532" s="352"/>
      <c r="Y532" s="352"/>
      <c r="Z532" s="352"/>
      <c r="AA532" s="352"/>
      <c r="AB532" s="352"/>
      <c r="AC532" s="352"/>
      <c r="AD532" s="352"/>
      <c r="AE532" s="352"/>
    </row>
    <row r="533">
      <c r="A533" s="352"/>
      <c r="B533" s="352"/>
      <c r="C533" s="972"/>
      <c r="D533" s="972"/>
      <c r="E533" s="972"/>
      <c r="F533" s="972"/>
      <c r="G533" s="972"/>
      <c r="H533" s="972"/>
      <c r="I533" s="972"/>
      <c r="J533" s="972"/>
      <c r="K533" s="972"/>
      <c r="L533" s="972"/>
      <c r="M533" s="972"/>
      <c r="N533" s="972"/>
      <c r="O533" s="352"/>
      <c r="P533" s="352"/>
      <c r="Q533" s="352"/>
      <c r="R533" s="352"/>
      <c r="S533" s="352"/>
      <c r="T533" s="352"/>
      <c r="U533" s="352"/>
      <c r="V533" s="352"/>
      <c r="W533" s="352"/>
      <c r="X533" s="352"/>
      <c r="Y533" s="352"/>
      <c r="Z533" s="352"/>
      <c r="AA533" s="352"/>
      <c r="AB533" s="352"/>
      <c r="AC533" s="352"/>
      <c r="AD533" s="352"/>
      <c r="AE533" s="352"/>
    </row>
    <row r="534">
      <c r="A534" s="352"/>
      <c r="B534" s="352"/>
      <c r="C534" s="972"/>
      <c r="D534" s="972"/>
      <c r="E534" s="972"/>
      <c r="F534" s="972"/>
      <c r="G534" s="972"/>
      <c r="H534" s="972"/>
      <c r="I534" s="972"/>
      <c r="J534" s="972"/>
      <c r="K534" s="972"/>
      <c r="L534" s="972"/>
      <c r="M534" s="972"/>
      <c r="N534" s="972"/>
      <c r="O534" s="352"/>
      <c r="P534" s="352"/>
      <c r="Q534" s="352"/>
      <c r="R534" s="352"/>
      <c r="S534" s="352"/>
      <c r="T534" s="352"/>
      <c r="U534" s="352"/>
      <c r="V534" s="352"/>
      <c r="W534" s="352"/>
      <c r="X534" s="352"/>
      <c r="Y534" s="352"/>
      <c r="Z534" s="352"/>
      <c r="AA534" s="352"/>
      <c r="AB534" s="352"/>
      <c r="AC534" s="352"/>
      <c r="AD534" s="352"/>
      <c r="AE534" s="352"/>
    </row>
    <row r="535">
      <c r="A535" s="352"/>
      <c r="B535" s="352"/>
      <c r="C535" s="972"/>
      <c r="D535" s="972"/>
      <c r="E535" s="972"/>
      <c r="F535" s="972"/>
      <c r="G535" s="972"/>
      <c r="H535" s="972"/>
      <c r="I535" s="972"/>
      <c r="J535" s="972"/>
      <c r="K535" s="972"/>
      <c r="L535" s="972"/>
      <c r="M535" s="972"/>
      <c r="N535" s="972"/>
      <c r="O535" s="352"/>
      <c r="P535" s="352"/>
      <c r="Q535" s="352"/>
      <c r="R535" s="352"/>
      <c r="S535" s="352"/>
      <c r="T535" s="352"/>
      <c r="U535" s="352"/>
      <c r="V535" s="352"/>
      <c r="W535" s="352"/>
      <c r="X535" s="352"/>
      <c r="Y535" s="352"/>
      <c r="Z535" s="352"/>
      <c r="AA535" s="352"/>
      <c r="AB535" s="352"/>
      <c r="AC535" s="352"/>
      <c r="AD535" s="352"/>
      <c r="AE535" s="352"/>
    </row>
    <row r="536">
      <c r="A536" s="352"/>
      <c r="B536" s="352"/>
      <c r="C536" s="972"/>
      <c r="D536" s="972"/>
      <c r="E536" s="972"/>
      <c r="F536" s="972"/>
      <c r="G536" s="972"/>
      <c r="H536" s="972"/>
      <c r="I536" s="972"/>
      <c r="J536" s="972"/>
      <c r="K536" s="972"/>
      <c r="L536" s="972"/>
      <c r="M536" s="972"/>
      <c r="N536" s="972"/>
      <c r="O536" s="352"/>
      <c r="P536" s="352"/>
      <c r="Q536" s="352"/>
      <c r="R536" s="352"/>
      <c r="S536" s="352"/>
      <c r="T536" s="352"/>
      <c r="U536" s="352"/>
      <c r="V536" s="352"/>
      <c r="W536" s="352"/>
      <c r="X536" s="352"/>
      <c r="Y536" s="352"/>
      <c r="Z536" s="352"/>
      <c r="AA536" s="352"/>
      <c r="AB536" s="352"/>
      <c r="AC536" s="352"/>
      <c r="AD536" s="352"/>
      <c r="AE536" s="352"/>
    </row>
    <row r="537">
      <c r="A537" s="352"/>
      <c r="B537" s="352"/>
      <c r="C537" s="972"/>
      <c r="D537" s="972"/>
      <c r="E537" s="972"/>
      <c r="F537" s="972"/>
      <c r="G537" s="972"/>
      <c r="H537" s="972"/>
      <c r="I537" s="972"/>
      <c r="J537" s="972"/>
      <c r="K537" s="972"/>
      <c r="L537" s="972"/>
      <c r="M537" s="972"/>
      <c r="N537" s="972"/>
      <c r="O537" s="352"/>
      <c r="P537" s="352"/>
      <c r="Q537" s="352"/>
      <c r="R537" s="352"/>
      <c r="S537" s="352"/>
      <c r="T537" s="352"/>
      <c r="U537" s="352"/>
      <c r="V537" s="352"/>
      <c r="W537" s="352"/>
      <c r="X537" s="352"/>
      <c r="Y537" s="352"/>
      <c r="Z537" s="352"/>
      <c r="AA537" s="352"/>
      <c r="AB537" s="352"/>
      <c r="AC537" s="352"/>
      <c r="AD537" s="352"/>
      <c r="AE537" s="352"/>
    </row>
    <row r="538">
      <c r="A538" s="352"/>
      <c r="B538" s="352"/>
      <c r="C538" s="972"/>
      <c r="D538" s="972"/>
      <c r="E538" s="972"/>
      <c r="F538" s="972"/>
      <c r="G538" s="972"/>
      <c r="H538" s="972"/>
      <c r="I538" s="972"/>
      <c r="J538" s="972"/>
      <c r="K538" s="972"/>
      <c r="L538" s="972"/>
      <c r="M538" s="972"/>
      <c r="N538" s="972"/>
      <c r="O538" s="352"/>
      <c r="P538" s="352"/>
      <c r="Q538" s="352"/>
      <c r="R538" s="352"/>
      <c r="S538" s="352"/>
      <c r="T538" s="352"/>
      <c r="U538" s="352"/>
      <c r="V538" s="352"/>
      <c r="W538" s="352"/>
      <c r="X538" s="352"/>
      <c r="Y538" s="352"/>
      <c r="Z538" s="352"/>
      <c r="AA538" s="352"/>
      <c r="AB538" s="352"/>
      <c r="AC538" s="352"/>
      <c r="AD538" s="352"/>
      <c r="AE538" s="352"/>
    </row>
    <row r="539">
      <c r="A539" s="352"/>
      <c r="B539" s="352"/>
      <c r="C539" s="972"/>
      <c r="D539" s="972"/>
      <c r="E539" s="972"/>
      <c r="F539" s="972"/>
      <c r="G539" s="972"/>
      <c r="H539" s="972"/>
      <c r="I539" s="972"/>
      <c r="J539" s="972"/>
      <c r="K539" s="972"/>
      <c r="L539" s="972"/>
      <c r="M539" s="972"/>
      <c r="N539" s="972"/>
      <c r="O539" s="352"/>
      <c r="P539" s="352"/>
      <c r="Q539" s="352"/>
      <c r="R539" s="352"/>
      <c r="S539" s="352"/>
      <c r="T539" s="352"/>
      <c r="U539" s="352"/>
      <c r="V539" s="352"/>
      <c r="W539" s="352"/>
      <c r="X539" s="352"/>
      <c r="Y539" s="352"/>
      <c r="Z539" s="352"/>
      <c r="AA539" s="352"/>
      <c r="AB539" s="352"/>
      <c r="AC539" s="352"/>
      <c r="AD539" s="352"/>
      <c r="AE539" s="352"/>
    </row>
    <row r="540">
      <c r="A540" s="352"/>
      <c r="B540" s="352"/>
      <c r="C540" s="972"/>
      <c r="D540" s="972"/>
      <c r="E540" s="972"/>
      <c r="F540" s="972"/>
      <c r="G540" s="972"/>
      <c r="H540" s="972"/>
      <c r="I540" s="972"/>
      <c r="J540" s="972"/>
      <c r="K540" s="972"/>
      <c r="L540" s="972"/>
      <c r="M540" s="972"/>
      <c r="N540" s="972"/>
      <c r="O540" s="352"/>
      <c r="P540" s="352"/>
      <c r="Q540" s="352"/>
      <c r="R540" s="352"/>
      <c r="S540" s="352"/>
      <c r="T540" s="352"/>
      <c r="U540" s="352"/>
      <c r="V540" s="352"/>
      <c r="W540" s="352"/>
      <c r="X540" s="352"/>
      <c r="Y540" s="352"/>
      <c r="Z540" s="352"/>
      <c r="AA540" s="352"/>
      <c r="AB540" s="352"/>
      <c r="AC540" s="352"/>
      <c r="AD540" s="352"/>
      <c r="AE540" s="352"/>
    </row>
    <row r="541">
      <c r="A541" s="352"/>
      <c r="B541" s="352"/>
      <c r="C541" s="972"/>
      <c r="D541" s="972"/>
      <c r="E541" s="972"/>
      <c r="F541" s="972"/>
      <c r="G541" s="972"/>
      <c r="H541" s="972"/>
      <c r="I541" s="972"/>
      <c r="J541" s="972"/>
      <c r="K541" s="972"/>
      <c r="L541" s="972"/>
      <c r="M541" s="972"/>
      <c r="N541" s="972"/>
      <c r="O541" s="352"/>
      <c r="P541" s="352"/>
      <c r="Q541" s="352"/>
      <c r="R541" s="352"/>
      <c r="S541" s="352"/>
      <c r="T541" s="352"/>
      <c r="U541" s="352"/>
      <c r="V541" s="352"/>
      <c r="W541" s="352"/>
      <c r="X541" s="352"/>
      <c r="Y541" s="352"/>
      <c r="Z541" s="352"/>
      <c r="AA541" s="352"/>
      <c r="AB541" s="352"/>
      <c r="AC541" s="352"/>
      <c r="AD541" s="352"/>
      <c r="AE541" s="352"/>
    </row>
    <row r="542">
      <c r="A542" s="352"/>
      <c r="B542" s="352"/>
      <c r="C542" s="972"/>
      <c r="D542" s="972"/>
      <c r="E542" s="972"/>
      <c r="F542" s="972"/>
      <c r="G542" s="972"/>
      <c r="H542" s="972"/>
      <c r="I542" s="972"/>
      <c r="J542" s="972"/>
      <c r="K542" s="972"/>
      <c r="L542" s="972"/>
      <c r="M542" s="972"/>
      <c r="N542" s="972"/>
      <c r="O542" s="352"/>
      <c r="P542" s="352"/>
      <c r="Q542" s="352"/>
      <c r="R542" s="352"/>
      <c r="S542" s="352"/>
      <c r="T542" s="352"/>
      <c r="U542" s="352"/>
      <c r="V542" s="352"/>
      <c r="W542" s="352"/>
      <c r="X542" s="352"/>
      <c r="Y542" s="352"/>
      <c r="Z542" s="352"/>
      <c r="AA542" s="352"/>
      <c r="AB542" s="352"/>
      <c r="AC542" s="352"/>
      <c r="AD542" s="352"/>
      <c r="AE542" s="352"/>
    </row>
    <row r="543">
      <c r="A543" s="352"/>
      <c r="B543" s="352"/>
      <c r="C543" s="972"/>
      <c r="D543" s="972"/>
      <c r="E543" s="972"/>
      <c r="F543" s="972"/>
      <c r="G543" s="972"/>
      <c r="H543" s="972"/>
      <c r="I543" s="972"/>
      <c r="J543" s="972"/>
      <c r="K543" s="972"/>
      <c r="L543" s="972"/>
      <c r="M543" s="972"/>
      <c r="N543" s="972"/>
      <c r="O543" s="352"/>
      <c r="P543" s="352"/>
      <c r="Q543" s="352"/>
      <c r="R543" s="352"/>
      <c r="S543" s="352"/>
      <c r="T543" s="352"/>
      <c r="U543" s="352"/>
      <c r="V543" s="352"/>
      <c r="W543" s="352"/>
      <c r="X543" s="352"/>
      <c r="Y543" s="352"/>
      <c r="Z543" s="352"/>
      <c r="AA543" s="352"/>
      <c r="AB543" s="352"/>
      <c r="AC543" s="352"/>
      <c r="AD543" s="352"/>
      <c r="AE543" s="352"/>
    </row>
    <row r="544">
      <c r="A544" s="352"/>
      <c r="B544" s="352"/>
      <c r="C544" s="972"/>
      <c r="D544" s="972"/>
      <c r="E544" s="972"/>
      <c r="F544" s="972"/>
      <c r="G544" s="972"/>
      <c r="H544" s="972"/>
      <c r="I544" s="972"/>
      <c r="J544" s="972"/>
      <c r="K544" s="972"/>
      <c r="L544" s="972"/>
      <c r="M544" s="972"/>
      <c r="N544" s="972"/>
      <c r="O544" s="352"/>
      <c r="P544" s="352"/>
      <c r="Q544" s="352"/>
      <c r="R544" s="352"/>
      <c r="S544" s="352"/>
      <c r="T544" s="352"/>
      <c r="U544" s="352"/>
      <c r="V544" s="352"/>
      <c r="W544" s="352"/>
      <c r="X544" s="352"/>
      <c r="Y544" s="352"/>
      <c r="Z544" s="352"/>
      <c r="AA544" s="352"/>
      <c r="AB544" s="352"/>
      <c r="AC544" s="352"/>
      <c r="AD544" s="352"/>
      <c r="AE544" s="352"/>
    </row>
    <row r="545">
      <c r="A545" s="352"/>
      <c r="B545" s="352"/>
      <c r="C545" s="972"/>
      <c r="D545" s="972"/>
      <c r="E545" s="972"/>
      <c r="F545" s="972"/>
      <c r="G545" s="972"/>
      <c r="H545" s="972"/>
      <c r="I545" s="972"/>
      <c r="J545" s="972"/>
      <c r="K545" s="972"/>
      <c r="L545" s="972"/>
      <c r="M545" s="972"/>
      <c r="N545" s="972"/>
      <c r="O545" s="352"/>
      <c r="P545" s="352"/>
      <c r="Q545" s="352"/>
      <c r="R545" s="352"/>
      <c r="S545" s="352"/>
      <c r="T545" s="352"/>
      <c r="U545" s="352"/>
      <c r="V545" s="352"/>
      <c r="W545" s="352"/>
      <c r="X545" s="352"/>
      <c r="Y545" s="352"/>
      <c r="Z545" s="352"/>
      <c r="AA545" s="352"/>
      <c r="AB545" s="352"/>
      <c r="AC545" s="352"/>
      <c r="AD545" s="352"/>
      <c r="AE545" s="352"/>
    </row>
    <row r="546">
      <c r="A546" s="352"/>
      <c r="B546" s="352"/>
      <c r="C546" s="972"/>
      <c r="D546" s="972"/>
      <c r="E546" s="972"/>
      <c r="F546" s="972"/>
      <c r="G546" s="972"/>
      <c r="H546" s="972"/>
      <c r="I546" s="972"/>
      <c r="J546" s="972"/>
      <c r="K546" s="972"/>
      <c r="L546" s="972"/>
      <c r="M546" s="972"/>
      <c r="N546" s="972"/>
      <c r="O546" s="352"/>
      <c r="P546" s="352"/>
      <c r="Q546" s="352"/>
      <c r="R546" s="352"/>
      <c r="S546" s="352"/>
      <c r="T546" s="352"/>
      <c r="U546" s="352"/>
      <c r="V546" s="352"/>
      <c r="W546" s="352"/>
      <c r="X546" s="352"/>
      <c r="Y546" s="352"/>
      <c r="Z546" s="352"/>
      <c r="AA546" s="352"/>
      <c r="AB546" s="352"/>
      <c r="AC546" s="352"/>
      <c r="AD546" s="352"/>
      <c r="AE546" s="352"/>
    </row>
    <row r="547">
      <c r="A547" s="352"/>
      <c r="B547" s="352"/>
      <c r="C547" s="972"/>
      <c r="D547" s="972"/>
      <c r="E547" s="972"/>
      <c r="F547" s="972"/>
      <c r="G547" s="972"/>
      <c r="H547" s="972"/>
      <c r="I547" s="972"/>
      <c r="J547" s="972"/>
      <c r="K547" s="972"/>
      <c r="L547" s="972"/>
      <c r="M547" s="972"/>
      <c r="N547" s="972"/>
      <c r="O547" s="352"/>
      <c r="P547" s="352"/>
      <c r="Q547" s="352"/>
      <c r="R547" s="352"/>
      <c r="S547" s="352"/>
      <c r="T547" s="352"/>
      <c r="U547" s="352"/>
      <c r="V547" s="352"/>
      <c r="W547" s="352"/>
      <c r="X547" s="352"/>
      <c r="Y547" s="352"/>
      <c r="Z547" s="352"/>
      <c r="AA547" s="352"/>
      <c r="AB547" s="352"/>
      <c r="AC547" s="352"/>
      <c r="AD547" s="352"/>
      <c r="AE547" s="352"/>
    </row>
    <row r="548">
      <c r="A548" s="352"/>
      <c r="B548" s="352"/>
      <c r="C548" s="972"/>
      <c r="D548" s="972"/>
      <c r="E548" s="972"/>
      <c r="F548" s="972"/>
      <c r="G548" s="972"/>
      <c r="H548" s="972"/>
      <c r="I548" s="972"/>
      <c r="J548" s="972"/>
      <c r="K548" s="972"/>
      <c r="L548" s="972"/>
      <c r="M548" s="972"/>
      <c r="N548" s="972"/>
      <c r="O548" s="352"/>
      <c r="P548" s="352"/>
      <c r="Q548" s="352"/>
      <c r="R548" s="352"/>
      <c r="S548" s="352"/>
      <c r="T548" s="352"/>
      <c r="U548" s="352"/>
      <c r="V548" s="352"/>
      <c r="W548" s="352"/>
      <c r="X548" s="352"/>
      <c r="Y548" s="352"/>
      <c r="Z548" s="352"/>
      <c r="AA548" s="352"/>
      <c r="AB548" s="352"/>
      <c r="AC548" s="352"/>
      <c r="AD548" s="352"/>
      <c r="AE548" s="352"/>
    </row>
    <row r="549">
      <c r="A549" s="352"/>
      <c r="B549" s="352"/>
      <c r="C549" s="972"/>
      <c r="D549" s="972"/>
      <c r="E549" s="972"/>
      <c r="F549" s="972"/>
      <c r="G549" s="972"/>
      <c r="H549" s="972"/>
      <c r="I549" s="972"/>
      <c r="J549" s="972"/>
      <c r="K549" s="972"/>
      <c r="L549" s="972"/>
      <c r="M549" s="972"/>
      <c r="N549" s="972"/>
      <c r="O549" s="352"/>
      <c r="P549" s="352"/>
      <c r="Q549" s="352"/>
      <c r="R549" s="352"/>
      <c r="S549" s="352"/>
      <c r="T549" s="352"/>
      <c r="U549" s="352"/>
      <c r="V549" s="352"/>
      <c r="W549" s="352"/>
      <c r="X549" s="352"/>
      <c r="Y549" s="352"/>
      <c r="Z549" s="352"/>
      <c r="AA549" s="352"/>
      <c r="AB549" s="352"/>
      <c r="AC549" s="352"/>
      <c r="AD549" s="352"/>
      <c r="AE549" s="352"/>
    </row>
    <row r="550">
      <c r="A550" s="352"/>
      <c r="B550" s="352"/>
      <c r="C550" s="972"/>
      <c r="D550" s="972"/>
      <c r="E550" s="972"/>
      <c r="F550" s="972"/>
      <c r="G550" s="972"/>
      <c r="H550" s="972"/>
      <c r="I550" s="972"/>
      <c r="J550" s="972"/>
      <c r="K550" s="972"/>
      <c r="L550" s="972"/>
      <c r="M550" s="972"/>
      <c r="N550" s="972"/>
      <c r="O550" s="352"/>
      <c r="P550" s="352"/>
      <c r="Q550" s="352"/>
      <c r="R550" s="352"/>
      <c r="S550" s="352"/>
      <c r="T550" s="352"/>
      <c r="U550" s="352"/>
      <c r="V550" s="352"/>
      <c r="W550" s="352"/>
      <c r="X550" s="352"/>
      <c r="Y550" s="352"/>
      <c r="Z550" s="352"/>
      <c r="AA550" s="352"/>
      <c r="AB550" s="352"/>
      <c r="AC550" s="352"/>
      <c r="AD550" s="352"/>
      <c r="AE550" s="352"/>
    </row>
    <row r="551">
      <c r="A551" s="352"/>
      <c r="B551" s="352"/>
      <c r="C551" s="972"/>
      <c r="D551" s="972"/>
      <c r="E551" s="972"/>
      <c r="F551" s="972"/>
      <c r="G551" s="972"/>
      <c r="H551" s="972"/>
      <c r="I551" s="972"/>
      <c r="J551" s="972"/>
      <c r="K551" s="972"/>
      <c r="L551" s="972"/>
      <c r="M551" s="972"/>
      <c r="N551" s="972"/>
      <c r="O551" s="352"/>
      <c r="P551" s="352"/>
      <c r="Q551" s="352"/>
      <c r="R551" s="352"/>
      <c r="S551" s="352"/>
      <c r="T551" s="352"/>
      <c r="U551" s="352"/>
      <c r="V551" s="352"/>
      <c r="W551" s="352"/>
      <c r="X551" s="352"/>
      <c r="Y551" s="352"/>
      <c r="Z551" s="352"/>
      <c r="AA551" s="352"/>
      <c r="AB551" s="352"/>
      <c r="AC551" s="352"/>
      <c r="AD551" s="352"/>
      <c r="AE551" s="352"/>
    </row>
    <row r="552">
      <c r="A552" s="352"/>
      <c r="B552" s="352"/>
      <c r="C552" s="972"/>
      <c r="D552" s="972"/>
      <c r="E552" s="972"/>
      <c r="F552" s="972"/>
      <c r="G552" s="972"/>
      <c r="H552" s="972"/>
      <c r="I552" s="972"/>
      <c r="J552" s="972"/>
      <c r="K552" s="972"/>
      <c r="L552" s="972"/>
      <c r="M552" s="972"/>
      <c r="N552" s="972"/>
      <c r="O552" s="352"/>
      <c r="P552" s="352"/>
      <c r="Q552" s="352"/>
      <c r="R552" s="352"/>
      <c r="S552" s="352"/>
      <c r="T552" s="352"/>
      <c r="U552" s="352"/>
      <c r="V552" s="352"/>
      <c r="W552" s="352"/>
      <c r="X552" s="352"/>
      <c r="Y552" s="352"/>
      <c r="Z552" s="352"/>
      <c r="AA552" s="352"/>
      <c r="AB552" s="352"/>
      <c r="AC552" s="352"/>
      <c r="AD552" s="352"/>
      <c r="AE552" s="352"/>
    </row>
    <row r="553">
      <c r="A553" s="352"/>
      <c r="B553" s="352"/>
      <c r="C553" s="972"/>
      <c r="D553" s="972"/>
      <c r="E553" s="972"/>
      <c r="F553" s="972"/>
      <c r="G553" s="972"/>
      <c r="H553" s="972"/>
      <c r="I553" s="972"/>
      <c r="J553" s="972"/>
      <c r="K553" s="972"/>
      <c r="L553" s="972"/>
      <c r="M553" s="972"/>
      <c r="N553" s="972"/>
      <c r="O553" s="352"/>
      <c r="P553" s="352"/>
      <c r="Q553" s="352"/>
      <c r="R553" s="352"/>
      <c r="S553" s="352"/>
      <c r="T553" s="352"/>
      <c r="U553" s="352"/>
      <c r="V553" s="352"/>
      <c r="W553" s="352"/>
      <c r="X553" s="352"/>
      <c r="Y553" s="352"/>
      <c r="Z553" s="352"/>
      <c r="AA553" s="352"/>
      <c r="AB553" s="352"/>
      <c r="AC553" s="352"/>
      <c r="AD553" s="352"/>
      <c r="AE553" s="352"/>
    </row>
    <row r="554">
      <c r="A554" s="352"/>
      <c r="B554" s="352"/>
      <c r="C554" s="972"/>
      <c r="D554" s="972"/>
      <c r="E554" s="972"/>
      <c r="F554" s="972"/>
      <c r="G554" s="972"/>
      <c r="H554" s="972"/>
      <c r="I554" s="972"/>
      <c r="J554" s="972"/>
      <c r="K554" s="972"/>
      <c r="L554" s="972"/>
      <c r="M554" s="972"/>
      <c r="N554" s="972"/>
      <c r="O554" s="352"/>
      <c r="P554" s="352"/>
      <c r="Q554" s="352"/>
      <c r="R554" s="352"/>
      <c r="S554" s="352"/>
      <c r="T554" s="352"/>
      <c r="U554" s="352"/>
      <c r="V554" s="352"/>
      <c r="W554" s="352"/>
      <c r="X554" s="352"/>
      <c r="Y554" s="352"/>
      <c r="Z554" s="352"/>
      <c r="AA554" s="352"/>
      <c r="AB554" s="352"/>
      <c r="AC554" s="352"/>
      <c r="AD554" s="352"/>
      <c r="AE554" s="352"/>
    </row>
    <row r="555">
      <c r="A555" s="352"/>
      <c r="B555" s="352"/>
      <c r="C555" s="972"/>
      <c r="D555" s="972"/>
      <c r="E555" s="972"/>
      <c r="F555" s="972"/>
      <c r="G555" s="972"/>
      <c r="H555" s="972"/>
      <c r="I555" s="972"/>
      <c r="J555" s="972"/>
      <c r="K555" s="972"/>
      <c r="L555" s="972"/>
      <c r="M555" s="972"/>
      <c r="N555" s="972"/>
      <c r="O555" s="352"/>
      <c r="P555" s="352"/>
      <c r="Q555" s="352"/>
      <c r="R555" s="352"/>
      <c r="S555" s="352"/>
      <c r="T555" s="352"/>
      <c r="U555" s="352"/>
      <c r="V555" s="352"/>
      <c r="W555" s="352"/>
      <c r="X555" s="352"/>
      <c r="Y555" s="352"/>
      <c r="Z555" s="352"/>
      <c r="AA555" s="352"/>
      <c r="AB555" s="352"/>
      <c r="AC555" s="352"/>
      <c r="AD555" s="352"/>
      <c r="AE555" s="352"/>
    </row>
    <row r="556">
      <c r="A556" s="352"/>
      <c r="B556" s="352"/>
      <c r="C556" s="972"/>
      <c r="D556" s="972"/>
      <c r="E556" s="972"/>
      <c r="F556" s="972"/>
      <c r="G556" s="972"/>
      <c r="H556" s="972"/>
      <c r="I556" s="972"/>
      <c r="J556" s="972"/>
      <c r="K556" s="972"/>
      <c r="L556" s="972"/>
      <c r="M556" s="972"/>
      <c r="N556" s="972"/>
      <c r="O556" s="352"/>
      <c r="P556" s="352"/>
      <c r="Q556" s="352"/>
      <c r="R556" s="352"/>
      <c r="S556" s="352"/>
      <c r="T556" s="352"/>
      <c r="U556" s="352"/>
      <c r="V556" s="352"/>
      <c r="W556" s="352"/>
      <c r="X556" s="352"/>
      <c r="Y556" s="352"/>
      <c r="Z556" s="352"/>
      <c r="AA556" s="352"/>
      <c r="AB556" s="352"/>
      <c r="AC556" s="352"/>
      <c r="AD556" s="352"/>
      <c r="AE556" s="352"/>
    </row>
    <row r="557">
      <c r="A557" s="352"/>
      <c r="B557" s="352"/>
      <c r="C557" s="972"/>
      <c r="D557" s="972"/>
      <c r="E557" s="972"/>
      <c r="F557" s="972"/>
      <c r="G557" s="972"/>
      <c r="H557" s="972"/>
      <c r="I557" s="972"/>
      <c r="J557" s="972"/>
      <c r="K557" s="972"/>
      <c r="L557" s="972"/>
      <c r="M557" s="972"/>
      <c r="N557" s="972"/>
      <c r="O557" s="352"/>
      <c r="P557" s="352"/>
      <c r="Q557" s="352"/>
      <c r="R557" s="352"/>
      <c r="S557" s="352"/>
      <c r="T557" s="352"/>
      <c r="U557" s="352"/>
      <c r="V557" s="352"/>
      <c r="W557" s="352"/>
      <c r="X557" s="352"/>
      <c r="Y557" s="352"/>
      <c r="Z557" s="352"/>
      <c r="AA557" s="352"/>
      <c r="AB557" s="352"/>
      <c r="AC557" s="352"/>
      <c r="AD557" s="352"/>
      <c r="AE557" s="352"/>
    </row>
    <row r="558">
      <c r="A558" s="352"/>
      <c r="B558" s="352"/>
      <c r="C558" s="972"/>
      <c r="D558" s="972"/>
      <c r="E558" s="972"/>
      <c r="F558" s="972"/>
      <c r="G558" s="972"/>
      <c r="H558" s="972"/>
      <c r="I558" s="972"/>
      <c r="J558" s="972"/>
      <c r="K558" s="972"/>
      <c r="L558" s="972"/>
      <c r="M558" s="972"/>
      <c r="N558" s="972"/>
      <c r="O558" s="352"/>
      <c r="P558" s="352"/>
      <c r="Q558" s="352"/>
      <c r="R558" s="352"/>
      <c r="S558" s="352"/>
      <c r="T558" s="352"/>
      <c r="U558" s="352"/>
      <c r="V558" s="352"/>
      <c r="W558" s="352"/>
      <c r="X558" s="352"/>
      <c r="Y558" s="352"/>
      <c r="Z558" s="352"/>
      <c r="AA558" s="352"/>
      <c r="AB558" s="352"/>
      <c r="AC558" s="352"/>
      <c r="AD558" s="352"/>
      <c r="AE558" s="352"/>
    </row>
    <row r="559">
      <c r="A559" s="352"/>
      <c r="B559" s="352"/>
      <c r="C559" s="972"/>
      <c r="D559" s="972"/>
      <c r="E559" s="972"/>
      <c r="F559" s="972"/>
      <c r="G559" s="972"/>
      <c r="H559" s="972"/>
      <c r="I559" s="972"/>
      <c r="J559" s="972"/>
      <c r="K559" s="972"/>
      <c r="L559" s="972"/>
      <c r="M559" s="972"/>
      <c r="N559" s="972"/>
      <c r="O559" s="352"/>
      <c r="P559" s="352"/>
      <c r="Q559" s="352"/>
      <c r="R559" s="352"/>
      <c r="S559" s="352"/>
      <c r="T559" s="352"/>
      <c r="U559" s="352"/>
      <c r="V559" s="352"/>
      <c r="W559" s="352"/>
      <c r="X559" s="352"/>
      <c r="Y559" s="352"/>
      <c r="Z559" s="352"/>
      <c r="AA559" s="352"/>
      <c r="AB559" s="352"/>
      <c r="AC559" s="352"/>
      <c r="AD559" s="352"/>
      <c r="AE559" s="352"/>
    </row>
    <row r="560">
      <c r="A560" s="352"/>
      <c r="B560" s="352"/>
      <c r="C560" s="972"/>
      <c r="D560" s="972"/>
      <c r="E560" s="972"/>
      <c r="F560" s="972"/>
      <c r="G560" s="972"/>
      <c r="H560" s="972"/>
      <c r="I560" s="972"/>
      <c r="J560" s="972"/>
      <c r="K560" s="972"/>
      <c r="L560" s="972"/>
      <c r="M560" s="972"/>
      <c r="N560" s="972"/>
      <c r="O560" s="352"/>
      <c r="P560" s="352"/>
      <c r="Q560" s="352"/>
      <c r="R560" s="352"/>
      <c r="S560" s="352"/>
      <c r="T560" s="352"/>
      <c r="U560" s="352"/>
      <c r="V560" s="352"/>
      <c r="W560" s="352"/>
      <c r="X560" s="352"/>
      <c r="Y560" s="352"/>
      <c r="Z560" s="352"/>
      <c r="AA560" s="352"/>
      <c r="AB560" s="352"/>
      <c r="AC560" s="352"/>
      <c r="AD560" s="352"/>
      <c r="AE560" s="352"/>
    </row>
    <row r="561">
      <c r="A561" s="352"/>
      <c r="B561" s="352"/>
      <c r="C561" s="972"/>
      <c r="D561" s="972"/>
      <c r="E561" s="972"/>
      <c r="F561" s="972"/>
      <c r="G561" s="972"/>
      <c r="H561" s="972"/>
      <c r="I561" s="972"/>
      <c r="J561" s="972"/>
      <c r="K561" s="972"/>
      <c r="L561" s="972"/>
      <c r="M561" s="972"/>
      <c r="N561" s="972"/>
      <c r="O561" s="352"/>
      <c r="P561" s="352"/>
      <c r="Q561" s="352"/>
      <c r="R561" s="352"/>
      <c r="S561" s="352"/>
      <c r="T561" s="352"/>
      <c r="U561" s="352"/>
      <c r="V561" s="352"/>
      <c r="W561" s="352"/>
      <c r="X561" s="352"/>
      <c r="Y561" s="352"/>
      <c r="Z561" s="352"/>
      <c r="AA561" s="352"/>
      <c r="AB561" s="352"/>
      <c r="AC561" s="352"/>
      <c r="AD561" s="352"/>
      <c r="AE561" s="352"/>
    </row>
    <row r="562">
      <c r="A562" s="352"/>
      <c r="B562" s="352"/>
      <c r="C562" s="972"/>
      <c r="D562" s="972"/>
      <c r="E562" s="972"/>
      <c r="F562" s="972"/>
      <c r="G562" s="972"/>
      <c r="H562" s="972"/>
      <c r="I562" s="972"/>
      <c r="J562" s="972"/>
      <c r="K562" s="972"/>
      <c r="L562" s="972"/>
      <c r="M562" s="972"/>
      <c r="N562" s="972"/>
      <c r="O562" s="352"/>
      <c r="P562" s="352"/>
      <c r="Q562" s="352"/>
      <c r="R562" s="352"/>
      <c r="S562" s="352"/>
      <c r="T562" s="352"/>
      <c r="U562" s="352"/>
      <c r="V562" s="352"/>
      <c r="W562" s="352"/>
      <c r="X562" s="352"/>
      <c r="Y562" s="352"/>
      <c r="Z562" s="352"/>
      <c r="AA562" s="352"/>
      <c r="AB562" s="352"/>
      <c r="AC562" s="352"/>
      <c r="AD562" s="352"/>
      <c r="AE562" s="352"/>
    </row>
    <row r="563">
      <c r="A563" s="352"/>
      <c r="B563" s="352"/>
      <c r="C563" s="972"/>
      <c r="D563" s="972"/>
      <c r="E563" s="972"/>
      <c r="F563" s="972"/>
      <c r="G563" s="972"/>
      <c r="H563" s="972"/>
      <c r="I563" s="972"/>
      <c r="J563" s="972"/>
      <c r="K563" s="972"/>
      <c r="L563" s="972"/>
      <c r="M563" s="972"/>
      <c r="N563" s="972"/>
      <c r="O563" s="352"/>
      <c r="P563" s="352"/>
      <c r="Q563" s="352"/>
      <c r="R563" s="352"/>
      <c r="S563" s="352"/>
      <c r="T563" s="352"/>
      <c r="U563" s="352"/>
      <c r="V563" s="352"/>
      <c r="W563" s="352"/>
      <c r="X563" s="352"/>
      <c r="Y563" s="352"/>
      <c r="Z563" s="352"/>
      <c r="AA563" s="352"/>
      <c r="AB563" s="352"/>
      <c r="AC563" s="352"/>
      <c r="AD563" s="352"/>
      <c r="AE563" s="352"/>
    </row>
    <row r="564">
      <c r="A564" s="352"/>
      <c r="B564" s="352"/>
      <c r="C564" s="972"/>
      <c r="D564" s="972"/>
      <c r="E564" s="972"/>
      <c r="F564" s="972"/>
      <c r="G564" s="972"/>
      <c r="H564" s="972"/>
      <c r="I564" s="972"/>
      <c r="J564" s="972"/>
      <c r="K564" s="972"/>
      <c r="L564" s="972"/>
      <c r="M564" s="972"/>
      <c r="N564" s="972"/>
      <c r="O564" s="352"/>
      <c r="P564" s="352"/>
      <c r="Q564" s="352"/>
      <c r="R564" s="352"/>
      <c r="S564" s="352"/>
      <c r="T564" s="352"/>
      <c r="U564" s="352"/>
      <c r="V564" s="352"/>
      <c r="W564" s="352"/>
      <c r="X564" s="352"/>
      <c r="Y564" s="352"/>
      <c r="Z564" s="352"/>
      <c r="AA564" s="352"/>
      <c r="AB564" s="352"/>
      <c r="AC564" s="352"/>
      <c r="AD564" s="352"/>
      <c r="AE564" s="352"/>
    </row>
    <row r="565">
      <c r="A565" s="352"/>
      <c r="B565" s="352"/>
      <c r="C565" s="972"/>
      <c r="D565" s="972"/>
      <c r="E565" s="972"/>
      <c r="F565" s="972"/>
      <c r="G565" s="972"/>
      <c r="H565" s="972"/>
      <c r="I565" s="972"/>
      <c r="J565" s="972"/>
      <c r="K565" s="972"/>
      <c r="L565" s="972"/>
      <c r="M565" s="972"/>
      <c r="N565" s="972"/>
      <c r="O565" s="352"/>
      <c r="P565" s="352"/>
      <c r="Q565" s="352"/>
      <c r="R565" s="352"/>
      <c r="S565" s="352"/>
      <c r="T565" s="352"/>
      <c r="U565" s="352"/>
      <c r="V565" s="352"/>
      <c r="W565" s="352"/>
      <c r="X565" s="352"/>
      <c r="Y565" s="352"/>
      <c r="Z565" s="352"/>
      <c r="AA565" s="352"/>
      <c r="AB565" s="352"/>
      <c r="AC565" s="352"/>
      <c r="AD565" s="352"/>
      <c r="AE565" s="352"/>
    </row>
    <row r="566">
      <c r="A566" s="352"/>
      <c r="B566" s="352"/>
      <c r="C566" s="972"/>
      <c r="D566" s="972"/>
      <c r="E566" s="972"/>
      <c r="F566" s="972"/>
      <c r="G566" s="972"/>
      <c r="H566" s="972"/>
      <c r="I566" s="972"/>
      <c r="J566" s="972"/>
      <c r="K566" s="972"/>
      <c r="L566" s="972"/>
      <c r="M566" s="972"/>
      <c r="N566" s="972"/>
      <c r="O566" s="352"/>
      <c r="P566" s="352"/>
      <c r="Q566" s="352"/>
      <c r="R566" s="352"/>
      <c r="S566" s="352"/>
      <c r="T566" s="352"/>
      <c r="U566" s="352"/>
      <c r="V566" s="352"/>
      <c r="W566" s="352"/>
      <c r="X566" s="352"/>
      <c r="Y566" s="352"/>
      <c r="Z566" s="352"/>
      <c r="AA566" s="352"/>
      <c r="AB566" s="352"/>
      <c r="AC566" s="352"/>
      <c r="AD566" s="352"/>
      <c r="AE566" s="352"/>
    </row>
    <row r="567">
      <c r="A567" s="352"/>
      <c r="B567" s="352"/>
      <c r="C567" s="972"/>
      <c r="D567" s="972"/>
      <c r="E567" s="972"/>
      <c r="F567" s="972"/>
      <c r="G567" s="972"/>
      <c r="H567" s="972"/>
      <c r="I567" s="972"/>
      <c r="J567" s="972"/>
      <c r="K567" s="972"/>
      <c r="L567" s="972"/>
      <c r="M567" s="972"/>
      <c r="N567" s="972"/>
      <c r="O567" s="352"/>
      <c r="P567" s="352"/>
      <c r="Q567" s="352"/>
      <c r="R567" s="352"/>
      <c r="S567" s="352"/>
      <c r="T567" s="352"/>
      <c r="U567" s="352"/>
      <c r="V567" s="352"/>
      <c r="W567" s="352"/>
      <c r="X567" s="352"/>
      <c r="Y567" s="352"/>
      <c r="Z567" s="352"/>
      <c r="AA567" s="352"/>
      <c r="AB567" s="352"/>
      <c r="AC567" s="352"/>
      <c r="AD567" s="352"/>
      <c r="AE567" s="352"/>
    </row>
    <row r="568">
      <c r="A568" s="352"/>
      <c r="B568" s="352"/>
      <c r="C568" s="972"/>
      <c r="D568" s="972"/>
      <c r="E568" s="972"/>
      <c r="F568" s="972"/>
      <c r="G568" s="972"/>
      <c r="H568" s="972"/>
      <c r="I568" s="972"/>
      <c r="J568" s="972"/>
      <c r="K568" s="972"/>
      <c r="L568" s="972"/>
      <c r="M568" s="972"/>
      <c r="N568" s="972"/>
      <c r="O568" s="352"/>
      <c r="P568" s="352"/>
      <c r="Q568" s="352"/>
      <c r="R568" s="352"/>
      <c r="S568" s="352"/>
      <c r="T568" s="352"/>
      <c r="U568" s="352"/>
      <c r="V568" s="352"/>
      <c r="W568" s="352"/>
      <c r="X568" s="352"/>
      <c r="Y568" s="352"/>
      <c r="Z568" s="352"/>
      <c r="AA568" s="352"/>
      <c r="AB568" s="352"/>
      <c r="AC568" s="352"/>
      <c r="AD568" s="352"/>
      <c r="AE568" s="352"/>
    </row>
    <row r="569">
      <c r="A569" s="352"/>
      <c r="B569" s="352"/>
      <c r="C569" s="972"/>
      <c r="D569" s="972"/>
      <c r="E569" s="972"/>
      <c r="F569" s="972"/>
      <c r="G569" s="972"/>
      <c r="H569" s="972"/>
      <c r="I569" s="972"/>
      <c r="J569" s="972"/>
      <c r="K569" s="972"/>
      <c r="L569" s="972"/>
      <c r="M569" s="972"/>
      <c r="N569" s="972"/>
      <c r="O569" s="352"/>
      <c r="P569" s="352"/>
      <c r="Q569" s="352"/>
      <c r="R569" s="352"/>
      <c r="S569" s="352"/>
      <c r="T569" s="352"/>
      <c r="U569" s="352"/>
      <c r="V569" s="352"/>
      <c r="W569" s="352"/>
      <c r="X569" s="352"/>
      <c r="Y569" s="352"/>
      <c r="Z569" s="352"/>
      <c r="AA569" s="352"/>
      <c r="AB569" s="352"/>
      <c r="AC569" s="352"/>
      <c r="AD569" s="352"/>
      <c r="AE569" s="352"/>
    </row>
    <row r="570">
      <c r="A570" s="352"/>
      <c r="B570" s="352"/>
      <c r="C570" s="972"/>
      <c r="D570" s="972"/>
      <c r="E570" s="972"/>
      <c r="F570" s="972"/>
      <c r="G570" s="972"/>
      <c r="H570" s="972"/>
      <c r="I570" s="972"/>
      <c r="J570" s="972"/>
      <c r="K570" s="972"/>
      <c r="L570" s="972"/>
      <c r="M570" s="972"/>
      <c r="N570" s="972"/>
      <c r="O570" s="352"/>
      <c r="P570" s="352"/>
      <c r="Q570" s="352"/>
      <c r="R570" s="352"/>
      <c r="S570" s="352"/>
      <c r="T570" s="352"/>
      <c r="U570" s="352"/>
      <c r="V570" s="352"/>
      <c r="W570" s="352"/>
      <c r="X570" s="352"/>
      <c r="Y570" s="352"/>
      <c r="Z570" s="352"/>
      <c r="AA570" s="352"/>
      <c r="AB570" s="352"/>
      <c r="AC570" s="352"/>
      <c r="AD570" s="352"/>
      <c r="AE570" s="352"/>
    </row>
    <row r="571">
      <c r="A571" s="352"/>
      <c r="B571" s="352"/>
      <c r="C571" s="972"/>
      <c r="D571" s="972"/>
      <c r="E571" s="972"/>
      <c r="F571" s="972"/>
      <c r="G571" s="972"/>
      <c r="H571" s="972"/>
      <c r="I571" s="972"/>
      <c r="J571" s="972"/>
      <c r="K571" s="972"/>
      <c r="L571" s="972"/>
      <c r="M571" s="972"/>
      <c r="N571" s="972"/>
      <c r="O571" s="352"/>
      <c r="P571" s="352"/>
      <c r="Q571" s="352"/>
      <c r="R571" s="352"/>
      <c r="S571" s="352"/>
      <c r="T571" s="352"/>
      <c r="U571" s="352"/>
      <c r="V571" s="352"/>
      <c r="W571" s="352"/>
      <c r="X571" s="352"/>
      <c r="Y571" s="352"/>
      <c r="Z571" s="352"/>
      <c r="AA571" s="352"/>
      <c r="AB571" s="352"/>
      <c r="AC571" s="352"/>
      <c r="AD571" s="352"/>
      <c r="AE571" s="352"/>
    </row>
    <row r="572">
      <c r="A572" s="352"/>
      <c r="B572" s="352"/>
      <c r="C572" s="972"/>
      <c r="D572" s="972"/>
      <c r="E572" s="972"/>
      <c r="F572" s="972"/>
      <c r="G572" s="972"/>
      <c r="H572" s="972"/>
      <c r="I572" s="972"/>
      <c r="J572" s="972"/>
      <c r="K572" s="972"/>
      <c r="L572" s="972"/>
      <c r="M572" s="972"/>
      <c r="N572" s="972"/>
      <c r="O572" s="352"/>
      <c r="P572" s="352"/>
      <c r="Q572" s="352"/>
      <c r="R572" s="352"/>
      <c r="S572" s="352"/>
      <c r="T572" s="352"/>
      <c r="U572" s="352"/>
      <c r="V572" s="352"/>
      <c r="W572" s="352"/>
      <c r="X572" s="352"/>
      <c r="Y572" s="352"/>
      <c r="Z572" s="352"/>
      <c r="AA572" s="352"/>
      <c r="AB572" s="352"/>
      <c r="AC572" s="352"/>
      <c r="AD572" s="352"/>
      <c r="AE572" s="352"/>
    </row>
    <row r="573">
      <c r="A573" s="352"/>
      <c r="B573" s="352"/>
      <c r="C573" s="972"/>
      <c r="D573" s="972"/>
      <c r="E573" s="972"/>
      <c r="F573" s="972"/>
      <c r="G573" s="972"/>
      <c r="H573" s="972"/>
      <c r="I573" s="972"/>
      <c r="J573" s="972"/>
      <c r="K573" s="972"/>
      <c r="L573" s="972"/>
      <c r="M573" s="972"/>
      <c r="N573" s="972"/>
      <c r="O573" s="352"/>
      <c r="P573" s="352"/>
      <c r="Q573" s="352"/>
      <c r="R573" s="352"/>
      <c r="S573" s="352"/>
      <c r="T573" s="352"/>
      <c r="U573" s="352"/>
      <c r="V573" s="352"/>
      <c r="W573" s="352"/>
      <c r="X573" s="352"/>
      <c r="Y573" s="352"/>
      <c r="Z573" s="352"/>
      <c r="AA573" s="352"/>
      <c r="AB573" s="352"/>
      <c r="AC573" s="352"/>
      <c r="AD573" s="352"/>
      <c r="AE573" s="352"/>
    </row>
    <row r="574">
      <c r="A574" s="352"/>
      <c r="B574" s="352"/>
      <c r="C574" s="972"/>
      <c r="D574" s="972"/>
      <c r="E574" s="972"/>
      <c r="F574" s="972"/>
      <c r="G574" s="972"/>
      <c r="H574" s="972"/>
      <c r="I574" s="972"/>
      <c r="J574" s="972"/>
      <c r="K574" s="972"/>
      <c r="L574" s="972"/>
      <c r="M574" s="972"/>
      <c r="N574" s="972"/>
      <c r="O574" s="352"/>
      <c r="P574" s="352"/>
      <c r="Q574" s="352"/>
      <c r="R574" s="352"/>
      <c r="S574" s="352"/>
      <c r="T574" s="352"/>
      <c r="U574" s="352"/>
      <c r="V574" s="352"/>
      <c r="W574" s="352"/>
      <c r="X574" s="352"/>
      <c r="Y574" s="352"/>
      <c r="Z574" s="352"/>
      <c r="AA574" s="352"/>
      <c r="AB574" s="352"/>
      <c r="AC574" s="352"/>
      <c r="AD574" s="352"/>
      <c r="AE574" s="352"/>
    </row>
    <row r="575">
      <c r="A575" s="352"/>
      <c r="B575" s="352"/>
      <c r="C575" s="972"/>
      <c r="D575" s="972"/>
      <c r="E575" s="972"/>
      <c r="F575" s="972"/>
      <c r="G575" s="972"/>
      <c r="H575" s="972"/>
      <c r="I575" s="972"/>
      <c r="J575" s="972"/>
      <c r="K575" s="972"/>
      <c r="L575" s="972"/>
      <c r="M575" s="972"/>
      <c r="N575" s="972"/>
      <c r="O575" s="352"/>
      <c r="P575" s="352"/>
      <c r="Q575" s="352"/>
      <c r="R575" s="352"/>
      <c r="S575" s="352"/>
      <c r="T575" s="352"/>
      <c r="U575" s="352"/>
      <c r="V575" s="352"/>
      <c r="W575" s="352"/>
      <c r="X575" s="352"/>
      <c r="Y575" s="352"/>
      <c r="Z575" s="352"/>
      <c r="AA575" s="352"/>
      <c r="AB575" s="352"/>
      <c r="AC575" s="352"/>
      <c r="AD575" s="352"/>
      <c r="AE575" s="352"/>
    </row>
    <row r="576">
      <c r="A576" s="352"/>
      <c r="B576" s="352"/>
      <c r="C576" s="972"/>
      <c r="D576" s="972"/>
      <c r="E576" s="972"/>
      <c r="F576" s="972"/>
      <c r="G576" s="972"/>
      <c r="H576" s="972"/>
      <c r="I576" s="972"/>
      <c r="J576" s="972"/>
      <c r="K576" s="972"/>
      <c r="L576" s="972"/>
      <c r="M576" s="972"/>
      <c r="N576" s="972"/>
      <c r="O576" s="352"/>
      <c r="P576" s="352"/>
      <c r="Q576" s="352"/>
      <c r="R576" s="352"/>
      <c r="S576" s="352"/>
      <c r="T576" s="352"/>
      <c r="U576" s="352"/>
      <c r="V576" s="352"/>
      <c r="W576" s="352"/>
      <c r="X576" s="352"/>
      <c r="Y576" s="352"/>
      <c r="Z576" s="352"/>
      <c r="AA576" s="352"/>
      <c r="AB576" s="352"/>
      <c r="AC576" s="352"/>
      <c r="AD576" s="352"/>
      <c r="AE576" s="352"/>
    </row>
    <row r="577">
      <c r="A577" s="352"/>
      <c r="B577" s="352"/>
      <c r="C577" s="972"/>
      <c r="D577" s="972"/>
      <c r="E577" s="972"/>
      <c r="F577" s="972"/>
      <c r="G577" s="972"/>
      <c r="H577" s="972"/>
      <c r="I577" s="972"/>
      <c r="J577" s="972"/>
      <c r="K577" s="972"/>
      <c r="L577" s="972"/>
      <c r="M577" s="972"/>
      <c r="N577" s="972"/>
      <c r="O577" s="352"/>
      <c r="P577" s="352"/>
      <c r="Q577" s="352"/>
      <c r="R577" s="352"/>
      <c r="S577" s="352"/>
      <c r="T577" s="352"/>
      <c r="U577" s="352"/>
      <c r="V577" s="352"/>
      <c r="W577" s="352"/>
      <c r="X577" s="352"/>
      <c r="Y577" s="352"/>
      <c r="Z577" s="352"/>
      <c r="AA577" s="352"/>
      <c r="AB577" s="352"/>
      <c r="AC577" s="352"/>
      <c r="AD577" s="352"/>
      <c r="AE577" s="352"/>
    </row>
    <row r="578">
      <c r="A578" s="352"/>
      <c r="B578" s="352"/>
      <c r="C578" s="972"/>
      <c r="D578" s="972"/>
      <c r="E578" s="972"/>
      <c r="F578" s="972"/>
      <c r="G578" s="972"/>
      <c r="H578" s="972"/>
      <c r="I578" s="972"/>
      <c r="J578" s="972"/>
      <c r="K578" s="972"/>
      <c r="L578" s="972"/>
      <c r="M578" s="972"/>
      <c r="N578" s="972"/>
      <c r="O578" s="352"/>
      <c r="P578" s="352"/>
      <c r="Q578" s="352"/>
      <c r="R578" s="352"/>
      <c r="S578" s="352"/>
      <c r="T578" s="352"/>
      <c r="U578" s="352"/>
      <c r="V578" s="352"/>
      <c r="W578" s="352"/>
      <c r="X578" s="352"/>
      <c r="Y578" s="352"/>
      <c r="Z578" s="352"/>
      <c r="AA578" s="352"/>
      <c r="AB578" s="352"/>
      <c r="AC578" s="352"/>
      <c r="AD578" s="352"/>
      <c r="AE578" s="352"/>
    </row>
    <row r="579">
      <c r="A579" s="352"/>
      <c r="B579" s="352"/>
      <c r="C579" s="972"/>
      <c r="D579" s="972"/>
      <c r="E579" s="972"/>
      <c r="F579" s="972"/>
      <c r="G579" s="972"/>
      <c r="H579" s="972"/>
      <c r="I579" s="972"/>
      <c r="J579" s="972"/>
      <c r="K579" s="972"/>
      <c r="L579" s="972"/>
      <c r="M579" s="972"/>
      <c r="N579" s="972"/>
      <c r="O579" s="352"/>
      <c r="P579" s="352"/>
      <c r="Q579" s="352"/>
      <c r="R579" s="352"/>
      <c r="S579" s="352"/>
      <c r="T579" s="352"/>
      <c r="U579" s="352"/>
      <c r="V579" s="352"/>
      <c r="W579" s="352"/>
      <c r="X579" s="352"/>
      <c r="Y579" s="352"/>
      <c r="Z579" s="352"/>
      <c r="AA579" s="352"/>
      <c r="AB579" s="352"/>
      <c r="AC579" s="352"/>
      <c r="AD579" s="352"/>
      <c r="AE579" s="352"/>
    </row>
    <row r="580">
      <c r="A580" s="352"/>
      <c r="B580" s="352"/>
      <c r="C580" s="972"/>
      <c r="D580" s="972"/>
      <c r="E580" s="972"/>
      <c r="F580" s="972"/>
      <c r="G580" s="972"/>
      <c r="H580" s="972"/>
      <c r="I580" s="972"/>
      <c r="J580" s="972"/>
      <c r="K580" s="972"/>
      <c r="L580" s="972"/>
      <c r="M580" s="972"/>
      <c r="N580" s="972"/>
      <c r="O580" s="352"/>
      <c r="P580" s="352"/>
      <c r="Q580" s="352"/>
      <c r="R580" s="352"/>
      <c r="S580" s="352"/>
      <c r="T580" s="352"/>
      <c r="U580" s="352"/>
      <c r="V580" s="352"/>
      <c r="W580" s="352"/>
      <c r="X580" s="352"/>
      <c r="Y580" s="352"/>
      <c r="Z580" s="352"/>
      <c r="AA580" s="352"/>
      <c r="AB580" s="352"/>
      <c r="AC580" s="352"/>
      <c r="AD580" s="352"/>
      <c r="AE580" s="352"/>
    </row>
    <row r="581">
      <c r="A581" s="352"/>
      <c r="B581" s="352"/>
      <c r="C581" s="972"/>
      <c r="D581" s="972"/>
      <c r="E581" s="972"/>
      <c r="F581" s="972"/>
      <c r="G581" s="972"/>
      <c r="H581" s="972"/>
      <c r="I581" s="972"/>
      <c r="J581" s="972"/>
      <c r="K581" s="972"/>
      <c r="L581" s="972"/>
      <c r="M581" s="972"/>
      <c r="N581" s="972"/>
      <c r="O581" s="352"/>
      <c r="P581" s="352"/>
      <c r="Q581" s="352"/>
      <c r="R581" s="352"/>
      <c r="S581" s="352"/>
      <c r="T581" s="352"/>
      <c r="U581" s="352"/>
      <c r="V581" s="352"/>
      <c r="W581" s="352"/>
      <c r="X581" s="352"/>
      <c r="Y581" s="352"/>
      <c r="Z581" s="352"/>
      <c r="AA581" s="352"/>
      <c r="AB581" s="352"/>
      <c r="AC581" s="352"/>
      <c r="AD581" s="352"/>
      <c r="AE581" s="352"/>
    </row>
    <row r="582">
      <c r="A582" s="352"/>
      <c r="B582" s="352"/>
      <c r="C582" s="972"/>
      <c r="D582" s="972"/>
      <c r="E582" s="972"/>
      <c r="F582" s="972"/>
      <c r="G582" s="972"/>
      <c r="H582" s="972"/>
      <c r="I582" s="972"/>
      <c r="J582" s="972"/>
      <c r="K582" s="972"/>
      <c r="L582" s="972"/>
      <c r="M582" s="972"/>
      <c r="N582" s="972"/>
      <c r="O582" s="352"/>
      <c r="P582" s="352"/>
      <c r="Q582" s="352"/>
      <c r="R582" s="352"/>
      <c r="S582" s="352"/>
      <c r="T582" s="352"/>
      <c r="U582" s="352"/>
      <c r="V582" s="352"/>
      <c r="W582" s="352"/>
      <c r="X582" s="352"/>
      <c r="Y582" s="352"/>
      <c r="Z582" s="352"/>
      <c r="AA582" s="352"/>
      <c r="AB582" s="352"/>
      <c r="AC582" s="352"/>
      <c r="AD582" s="352"/>
      <c r="AE582" s="352"/>
    </row>
    <row r="583">
      <c r="A583" s="352"/>
      <c r="B583" s="352"/>
      <c r="C583" s="972"/>
      <c r="D583" s="972"/>
      <c r="E583" s="972"/>
      <c r="F583" s="972"/>
      <c r="G583" s="972"/>
      <c r="H583" s="972"/>
      <c r="I583" s="972"/>
      <c r="J583" s="972"/>
      <c r="K583" s="972"/>
      <c r="L583" s="972"/>
      <c r="M583" s="972"/>
      <c r="N583" s="972"/>
      <c r="O583" s="352"/>
      <c r="P583" s="352"/>
      <c r="Q583" s="352"/>
      <c r="R583" s="352"/>
      <c r="S583" s="352"/>
      <c r="T583" s="352"/>
      <c r="U583" s="352"/>
      <c r="V583" s="352"/>
      <c r="W583" s="352"/>
      <c r="X583" s="352"/>
      <c r="Y583" s="352"/>
      <c r="Z583" s="352"/>
      <c r="AA583" s="352"/>
      <c r="AB583" s="352"/>
      <c r="AC583" s="352"/>
      <c r="AD583" s="352"/>
      <c r="AE583" s="352"/>
    </row>
    <row r="584">
      <c r="A584" s="352"/>
      <c r="B584" s="352"/>
      <c r="C584" s="972"/>
      <c r="D584" s="972"/>
      <c r="E584" s="972"/>
      <c r="F584" s="972"/>
      <c r="G584" s="972"/>
      <c r="H584" s="972"/>
      <c r="I584" s="972"/>
      <c r="J584" s="972"/>
      <c r="K584" s="972"/>
      <c r="L584" s="972"/>
      <c r="M584" s="972"/>
      <c r="N584" s="972"/>
      <c r="O584" s="352"/>
      <c r="P584" s="352"/>
      <c r="Q584" s="352"/>
      <c r="R584" s="352"/>
      <c r="S584" s="352"/>
      <c r="T584" s="352"/>
      <c r="U584" s="352"/>
      <c r="V584" s="352"/>
      <c r="W584" s="352"/>
      <c r="X584" s="352"/>
      <c r="Y584" s="352"/>
      <c r="Z584" s="352"/>
      <c r="AA584" s="352"/>
      <c r="AB584" s="352"/>
      <c r="AC584" s="352"/>
      <c r="AD584" s="352"/>
      <c r="AE584" s="352"/>
    </row>
    <row r="585">
      <c r="A585" s="352"/>
      <c r="B585" s="352"/>
      <c r="C585" s="972"/>
      <c r="D585" s="972"/>
      <c r="E585" s="972"/>
      <c r="F585" s="972"/>
      <c r="G585" s="972"/>
      <c r="H585" s="972"/>
      <c r="I585" s="972"/>
      <c r="J585" s="972"/>
      <c r="K585" s="972"/>
      <c r="L585" s="972"/>
      <c r="M585" s="972"/>
      <c r="N585" s="972"/>
      <c r="O585" s="352"/>
      <c r="P585" s="352"/>
      <c r="Q585" s="352"/>
      <c r="R585" s="352"/>
      <c r="S585" s="352"/>
      <c r="T585" s="352"/>
      <c r="U585" s="352"/>
      <c r="V585" s="352"/>
      <c r="W585" s="352"/>
      <c r="X585" s="352"/>
      <c r="Y585" s="352"/>
      <c r="Z585" s="352"/>
      <c r="AA585" s="352"/>
      <c r="AB585" s="352"/>
      <c r="AC585" s="352"/>
      <c r="AD585" s="352"/>
      <c r="AE585" s="352"/>
    </row>
    <row r="586">
      <c r="A586" s="352"/>
      <c r="B586" s="352"/>
      <c r="C586" s="972"/>
      <c r="D586" s="972"/>
      <c r="E586" s="972"/>
      <c r="F586" s="972"/>
      <c r="G586" s="972"/>
      <c r="H586" s="972"/>
      <c r="I586" s="972"/>
      <c r="J586" s="972"/>
      <c r="K586" s="972"/>
      <c r="L586" s="972"/>
      <c r="M586" s="972"/>
      <c r="N586" s="972"/>
      <c r="O586" s="352"/>
      <c r="P586" s="352"/>
      <c r="Q586" s="352"/>
      <c r="R586" s="352"/>
      <c r="S586" s="352"/>
      <c r="T586" s="352"/>
      <c r="U586" s="352"/>
      <c r="V586" s="352"/>
      <c r="W586" s="352"/>
      <c r="X586" s="352"/>
      <c r="Y586" s="352"/>
      <c r="Z586" s="352"/>
      <c r="AA586" s="352"/>
      <c r="AB586" s="352"/>
      <c r="AC586" s="352"/>
      <c r="AD586" s="352"/>
      <c r="AE586" s="352"/>
    </row>
    <row r="587">
      <c r="A587" s="352"/>
      <c r="B587" s="352"/>
      <c r="C587" s="972"/>
      <c r="D587" s="972"/>
      <c r="E587" s="972"/>
      <c r="F587" s="972"/>
      <c r="G587" s="972"/>
      <c r="H587" s="972"/>
      <c r="I587" s="972"/>
      <c r="J587" s="972"/>
      <c r="K587" s="972"/>
      <c r="L587" s="972"/>
      <c r="M587" s="972"/>
      <c r="N587" s="972"/>
      <c r="O587" s="352"/>
      <c r="P587" s="352"/>
      <c r="Q587" s="352"/>
      <c r="R587" s="352"/>
      <c r="S587" s="352"/>
      <c r="T587" s="352"/>
      <c r="U587" s="352"/>
      <c r="V587" s="352"/>
      <c r="W587" s="352"/>
      <c r="X587" s="352"/>
      <c r="Y587" s="352"/>
      <c r="Z587" s="352"/>
      <c r="AA587" s="352"/>
      <c r="AB587" s="352"/>
      <c r="AC587" s="352"/>
      <c r="AD587" s="352"/>
      <c r="AE587" s="352"/>
    </row>
    <row r="588">
      <c r="A588" s="352"/>
      <c r="B588" s="352"/>
      <c r="C588" s="972"/>
      <c r="D588" s="972"/>
      <c r="E588" s="972"/>
      <c r="F588" s="972"/>
      <c r="G588" s="972"/>
      <c r="H588" s="972"/>
      <c r="I588" s="972"/>
      <c r="J588" s="972"/>
      <c r="K588" s="972"/>
      <c r="L588" s="972"/>
      <c r="M588" s="972"/>
      <c r="N588" s="972"/>
      <c r="O588" s="352"/>
      <c r="P588" s="352"/>
      <c r="Q588" s="352"/>
      <c r="R588" s="352"/>
      <c r="S588" s="352"/>
      <c r="T588" s="352"/>
      <c r="U588" s="352"/>
      <c r="V588" s="352"/>
      <c r="W588" s="352"/>
      <c r="X588" s="352"/>
      <c r="Y588" s="352"/>
      <c r="Z588" s="352"/>
      <c r="AA588" s="352"/>
      <c r="AB588" s="352"/>
      <c r="AC588" s="352"/>
      <c r="AD588" s="352"/>
      <c r="AE588" s="352"/>
    </row>
    <row r="589">
      <c r="A589" s="352"/>
      <c r="B589" s="352"/>
      <c r="C589" s="972"/>
      <c r="D589" s="972"/>
      <c r="E589" s="972"/>
      <c r="F589" s="972"/>
      <c r="G589" s="972"/>
      <c r="H589" s="972"/>
      <c r="I589" s="972"/>
      <c r="J589" s="972"/>
      <c r="K589" s="972"/>
      <c r="L589" s="972"/>
      <c r="M589" s="972"/>
      <c r="N589" s="972"/>
      <c r="O589" s="352"/>
      <c r="P589" s="352"/>
      <c r="Q589" s="352"/>
      <c r="R589" s="352"/>
      <c r="S589" s="352"/>
      <c r="T589" s="352"/>
      <c r="U589" s="352"/>
      <c r="V589" s="352"/>
      <c r="W589" s="352"/>
      <c r="X589" s="352"/>
      <c r="Y589" s="352"/>
      <c r="Z589" s="352"/>
      <c r="AA589" s="352"/>
      <c r="AB589" s="352"/>
      <c r="AC589" s="352"/>
      <c r="AD589" s="352"/>
      <c r="AE589" s="352"/>
    </row>
    <row r="590">
      <c r="A590" s="352"/>
      <c r="B590" s="352"/>
      <c r="C590" s="972"/>
      <c r="D590" s="972"/>
      <c r="E590" s="972"/>
      <c r="F590" s="972"/>
      <c r="G590" s="972"/>
      <c r="H590" s="972"/>
      <c r="I590" s="972"/>
      <c r="J590" s="972"/>
      <c r="K590" s="972"/>
      <c r="L590" s="972"/>
      <c r="M590" s="972"/>
      <c r="N590" s="972"/>
      <c r="O590" s="352"/>
      <c r="P590" s="352"/>
      <c r="Q590" s="352"/>
      <c r="R590" s="352"/>
      <c r="S590" s="352"/>
      <c r="T590" s="352"/>
      <c r="U590" s="352"/>
      <c r="V590" s="352"/>
      <c r="W590" s="352"/>
      <c r="X590" s="352"/>
      <c r="Y590" s="352"/>
      <c r="Z590" s="352"/>
      <c r="AA590" s="352"/>
      <c r="AB590" s="352"/>
      <c r="AC590" s="352"/>
      <c r="AD590" s="352"/>
      <c r="AE590" s="352"/>
    </row>
    <row r="591">
      <c r="A591" s="352"/>
      <c r="B591" s="352"/>
      <c r="C591" s="972"/>
      <c r="D591" s="972"/>
      <c r="E591" s="972"/>
      <c r="F591" s="972"/>
      <c r="G591" s="972"/>
      <c r="H591" s="972"/>
      <c r="I591" s="972"/>
      <c r="J591" s="972"/>
      <c r="K591" s="972"/>
      <c r="L591" s="972"/>
      <c r="M591" s="972"/>
      <c r="N591" s="972"/>
      <c r="O591" s="352"/>
      <c r="P591" s="352"/>
      <c r="Q591" s="352"/>
      <c r="R591" s="352"/>
      <c r="S591" s="352"/>
      <c r="T591" s="352"/>
      <c r="U591" s="352"/>
      <c r="V591" s="352"/>
      <c r="W591" s="352"/>
      <c r="X591" s="352"/>
      <c r="Y591" s="352"/>
      <c r="Z591" s="352"/>
      <c r="AA591" s="352"/>
      <c r="AB591" s="352"/>
      <c r="AC591" s="352"/>
      <c r="AD591" s="352"/>
      <c r="AE591" s="352"/>
    </row>
    <row r="592">
      <c r="A592" s="352"/>
      <c r="B592" s="352"/>
      <c r="C592" s="972"/>
      <c r="D592" s="972"/>
      <c r="E592" s="972"/>
      <c r="F592" s="972"/>
      <c r="G592" s="972"/>
      <c r="H592" s="972"/>
      <c r="I592" s="972"/>
      <c r="J592" s="972"/>
      <c r="K592" s="972"/>
      <c r="L592" s="972"/>
      <c r="M592" s="972"/>
      <c r="N592" s="972"/>
      <c r="O592" s="352"/>
      <c r="P592" s="352"/>
      <c r="Q592" s="352"/>
      <c r="R592" s="352"/>
      <c r="S592" s="352"/>
      <c r="T592" s="352"/>
      <c r="U592" s="352"/>
      <c r="V592" s="352"/>
      <c r="W592" s="352"/>
      <c r="X592" s="352"/>
      <c r="Y592" s="352"/>
      <c r="Z592" s="352"/>
      <c r="AA592" s="352"/>
      <c r="AB592" s="352"/>
      <c r="AC592" s="352"/>
      <c r="AD592" s="352"/>
      <c r="AE592" s="352"/>
    </row>
    <row r="593">
      <c r="A593" s="352"/>
      <c r="B593" s="352"/>
      <c r="C593" s="972"/>
      <c r="D593" s="972"/>
      <c r="E593" s="972"/>
      <c r="F593" s="972"/>
      <c r="G593" s="972"/>
      <c r="H593" s="972"/>
      <c r="I593" s="972"/>
      <c r="J593" s="972"/>
      <c r="K593" s="972"/>
      <c r="L593" s="972"/>
      <c r="M593" s="972"/>
      <c r="N593" s="972"/>
      <c r="O593" s="352"/>
      <c r="P593" s="352"/>
      <c r="Q593" s="352"/>
      <c r="R593" s="352"/>
      <c r="S593" s="352"/>
      <c r="T593" s="352"/>
      <c r="U593" s="352"/>
      <c r="V593" s="352"/>
      <c r="W593" s="352"/>
      <c r="X593" s="352"/>
      <c r="Y593" s="352"/>
      <c r="Z593" s="352"/>
      <c r="AA593" s="352"/>
      <c r="AB593" s="352"/>
      <c r="AC593" s="352"/>
      <c r="AD593" s="352"/>
      <c r="AE593" s="352"/>
    </row>
    <row r="594">
      <c r="A594" s="352"/>
      <c r="B594" s="352"/>
      <c r="C594" s="972"/>
      <c r="D594" s="972"/>
      <c r="E594" s="972"/>
      <c r="F594" s="972"/>
      <c r="G594" s="972"/>
      <c r="H594" s="972"/>
      <c r="I594" s="972"/>
      <c r="J594" s="972"/>
      <c r="K594" s="972"/>
      <c r="L594" s="972"/>
      <c r="M594" s="972"/>
      <c r="N594" s="972"/>
      <c r="O594" s="352"/>
      <c r="P594" s="352"/>
      <c r="Q594" s="352"/>
      <c r="R594" s="352"/>
      <c r="S594" s="352"/>
      <c r="T594" s="352"/>
      <c r="U594" s="352"/>
      <c r="V594" s="352"/>
      <c r="W594" s="352"/>
      <c r="X594" s="352"/>
      <c r="Y594" s="352"/>
      <c r="Z594" s="352"/>
      <c r="AA594" s="352"/>
      <c r="AB594" s="352"/>
      <c r="AC594" s="352"/>
      <c r="AD594" s="352"/>
      <c r="AE594" s="352"/>
    </row>
    <row r="595">
      <c r="A595" s="352"/>
      <c r="B595" s="352"/>
      <c r="C595" s="972"/>
      <c r="D595" s="972"/>
      <c r="E595" s="972"/>
      <c r="F595" s="972"/>
      <c r="G595" s="972"/>
      <c r="H595" s="972"/>
      <c r="I595" s="972"/>
      <c r="J595" s="972"/>
      <c r="K595" s="972"/>
      <c r="L595" s="972"/>
      <c r="M595" s="972"/>
      <c r="N595" s="972"/>
      <c r="O595" s="352"/>
      <c r="P595" s="352"/>
      <c r="Q595" s="352"/>
      <c r="R595" s="352"/>
      <c r="S595" s="352"/>
      <c r="T595" s="352"/>
      <c r="U595" s="352"/>
      <c r="V595" s="352"/>
      <c r="W595" s="352"/>
      <c r="X595" s="352"/>
      <c r="Y595" s="352"/>
      <c r="Z595" s="352"/>
      <c r="AA595" s="352"/>
      <c r="AB595" s="352"/>
      <c r="AC595" s="352"/>
      <c r="AD595" s="352"/>
      <c r="AE595" s="352"/>
    </row>
    <row r="596">
      <c r="A596" s="352"/>
      <c r="B596" s="352"/>
      <c r="C596" s="972"/>
      <c r="D596" s="972"/>
      <c r="E596" s="972"/>
      <c r="F596" s="972"/>
      <c r="G596" s="972"/>
      <c r="H596" s="972"/>
      <c r="I596" s="972"/>
      <c r="J596" s="972"/>
      <c r="K596" s="972"/>
      <c r="L596" s="972"/>
      <c r="M596" s="972"/>
      <c r="N596" s="972"/>
      <c r="O596" s="352"/>
      <c r="P596" s="352"/>
      <c r="Q596" s="352"/>
      <c r="R596" s="352"/>
      <c r="S596" s="352"/>
      <c r="T596" s="352"/>
      <c r="U596" s="352"/>
      <c r="V596" s="352"/>
      <c r="W596" s="352"/>
      <c r="X596" s="352"/>
      <c r="Y596" s="352"/>
      <c r="Z596" s="352"/>
      <c r="AA596" s="352"/>
      <c r="AB596" s="352"/>
      <c r="AC596" s="352"/>
      <c r="AD596" s="352"/>
      <c r="AE596" s="352"/>
    </row>
    <row r="597">
      <c r="A597" s="352"/>
      <c r="B597" s="352"/>
      <c r="C597" s="972"/>
      <c r="D597" s="972"/>
      <c r="E597" s="972"/>
      <c r="F597" s="972"/>
      <c r="G597" s="972"/>
      <c r="H597" s="972"/>
      <c r="I597" s="972"/>
      <c r="J597" s="972"/>
      <c r="K597" s="972"/>
      <c r="L597" s="972"/>
      <c r="M597" s="972"/>
      <c r="N597" s="972"/>
      <c r="O597" s="352"/>
      <c r="P597" s="352"/>
      <c r="Q597" s="352"/>
      <c r="R597" s="352"/>
      <c r="S597" s="352"/>
      <c r="T597" s="352"/>
      <c r="U597" s="352"/>
      <c r="V597" s="352"/>
      <c r="W597" s="352"/>
      <c r="X597" s="352"/>
      <c r="Y597" s="352"/>
      <c r="Z597" s="352"/>
      <c r="AA597" s="352"/>
      <c r="AB597" s="352"/>
      <c r="AC597" s="352"/>
      <c r="AD597" s="352"/>
      <c r="AE597" s="352"/>
    </row>
    <row r="598">
      <c r="A598" s="352"/>
      <c r="B598" s="352"/>
      <c r="C598" s="972"/>
      <c r="D598" s="972"/>
      <c r="E598" s="972"/>
      <c r="F598" s="972"/>
      <c r="G598" s="972"/>
      <c r="H598" s="972"/>
      <c r="I598" s="972"/>
      <c r="J598" s="972"/>
      <c r="K598" s="972"/>
      <c r="L598" s="972"/>
      <c r="M598" s="972"/>
      <c r="N598" s="972"/>
      <c r="O598" s="352"/>
      <c r="P598" s="352"/>
      <c r="Q598" s="352"/>
      <c r="R598" s="352"/>
      <c r="S598" s="352"/>
      <c r="T598" s="352"/>
      <c r="U598" s="352"/>
      <c r="V598" s="352"/>
      <c r="W598" s="352"/>
      <c r="X598" s="352"/>
      <c r="Y598" s="352"/>
      <c r="Z598" s="352"/>
      <c r="AA598" s="352"/>
      <c r="AB598" s="352"/>
      <c r="AC598" s="352"/>
      <c r="AD598" s="352"/>
      <c r="AE598" s="352"/>
    </row>
    <row r="599">
      <c r="A599" s="352"/>
      <c r="B599" s="352"/>
      <c r="C599" s="972"/>
      <c r="D599" s="972"/>
      <c r="E599" s="972"/>
      <c r="F599" s="972"/>
      <c r="G599" s="972"/>
      <c r="H599" s="972"/>
      <c r="I599" s="972"/>
      <c r="J599" s="972"/>
      <c r="K599" s="972"/>
      <c r="L599" s="972"/>
      <c r="M599" s="972"/>
      <c r="N599" s="972"/>
      <c r="O599" s="352"/>
      <c r="P599" s="352"/>
      <c r="Q599" s="352"/>
      <c r="R599" s="352"/>
      <c r="S599" s="352"/>
      <c r="T599" s="352"/>
      <c r="U599" s="352"/>
      <c r="V599" s="352"/>
      <c r="W599" s="352"/>
      <c r="X599" s="352"/>
      <c r="Y599" s="352"/>
      <c r="Z599" s="352"/>
      <c r="AA599" s="352"/>
      <c r="AB599" s="352"/>
      <c r="AC599" s="352"/>
      <c r="AD599" s="352"/>
      <c r="AE599" s="352"/>
    </row>
    <row r="600">
      <c r="A600" s="352"/>
      <c r="B600" s="352"/>
      <c r="C600" s="972"/>
      <c r="D600" s="972"/>
      <c r="E600" s="972"/>
      <c r="F600" s="972"/>
      <c r="G600" s="972"/>
      <c r="H600" s="972"/>
      <c r="I600" s="972"/>
      <c r="J600" s="972"/>
      <c r="K600" s="972"/>
      <c r="L600" s="972"/>
      <c r="M600" s="972"/>
      <c r="N600" s="972"/>
      <c r="O600" s="352"/>
      <c r="P600" s="352"/>
      <c r="Q600" s="352"/>
      <c r="R600" s="352"/>
      <c r="S600" s="352"/>
      <c r="T600" s="352"/>
      <c r="U600" s="352"/>
      <c r="V600" s="352"/>
      <c r="W600" s="352"/>
      <c r="X600" s="352"/>
      <c r="Y600" s="352"/>
      <c r="Z600" s="352"/>
      <c r="AA600" s="352"/>
      <c r="AB600" s="352"/>
      <c r="AC600" s="352"/>
      <c r="AD600" s="352"/>
      <c r="AE600" s="352"/>
    </row>
    <row r="601">
      <c r="A601" s="352"/>
      <c r="B601" s="352"/>
      <c r="C601" s="972"/>
      <c r="D601" s="972"/>
      <c r="E601" s="972"/>
      <c r="F601" s="972"/>
      <c r="G601" s="972"/>
      <c r="H601" s="972"/>
      <c r="I601" s="972"/>
      <c r="J601" s="972"/>
      <c r="K601" s="972"/>
      <c r="L601" s="972"/>
      <c r="M601" s="972"/>
      <c r="N601" s="972"/>
      <c r="O601" s="352"/>
      <c r="P601" s="352"/>
      <c r="Q601" s="352"/>
      <c r="R601" s="352"/>
      <c r="S601" s="352"/>
      <c r="T601" s="352"/>
      <c r="U601" s="352"/>
      <c r="V601" s="352"/>
      <c r="W601" s="352"/>
      <c r="X601" s="352"/>
      <c r="Y601" s="352"/>
      <c r="Z601" s="352"/>
      <c r="AA601" s="352"/>
      <c r="AB601" s="352"/>
      <c r="AC601" s="352"/>
      <c r="AD601" s="352"/>
      <c r="AE601" s="352"/>
    </row>
    <row r="602">
      <c r="A602" s="352"/>
      <c r="B602" s="352"/>
      <c r="C602" s="972"/>
      <c r="D602" s="972"/>
      <c r="E602" s="972"/>
      <c r="F602" s="972"/>
      <c r="G602" s="972"/>
      <c r="H602" s="972"/>
      <c r="I602" s="972"/>
      <c r="J602" s="972"/>
      <c r="K602" s="972"/>
      <c r="L602" s="972"/>
      <c r="M602" s="972"/>
      <c r="N602" s="972"/>
      <c r="O602" s="352"/>
      <c r="P602" s="352"/>
      <c r="Q602" s="352"/>
      <c r="R602" s="352"/>
      <c r="S602" s="352"/>
      <c r="T602" s="352"/>
      <c r="U602" s="352"/>
      <c r="V602" s="352"/>
      <c r="W602" s="352"/>
      <c r="X602" s="352"/>
      <c r="Y602" s="352"/>
      <c r="Z602" s="352"/>
      <c r="AA602" s="352"/>
      <c r="AB602" s="352"/>
      <c r="AC602" s="352"/>
      <c r="AD602" s="352"/>
      <c r="AE602" s="352"/>
    </row>
    <row r="603">
      <c r="A603" s="352"/>
      <c r="B603" s="352"/>
      <c r="C603" s="972"/>
      <c r="D603" s="972"/>
      <c r="E603" s="972"/>
      <c r="F603" s="972"/>
      <c r="G603" s="972"/>
      <c r="H603" s="972"/>
      <c r="I603" s="972"/>
      <c r="J603" s="972"/>
      <c r="K603" s="972"/>
      <c r="L603" s="972"/>
      <c r="M603" s="972"/>
      <c r="N603" s="972"/>
      <c r="O603" s="352"/>
      <c r="P603" s="352"/>
      <c r="Q603" s="352"/>
      <c r="R603" s="352"/>
      <c r="S603" s="352"/>
      <c r="T603" s="352"/>
      <c r="U603" s="352"/>
      <c r="V603" s="352"/>
      <c r="W603" s="352"/>
      <c r="X603" s="352"/>
      <c r="Y603" s="352"/>
      <c r="Z603" s="352"/>
      <c r="AA603" s="352"/>
      <c r="AB603" s="352"/>
      <c r="AC603" s="352"/>
      <c r="AD603" s="352"/>
      <c r="AE603" s="352"/>
    </row>
    <row r="604">
      <c r="A604" s="352"/>
      <c r="B604" s="352"/>
      <c r="C604" s="972"/>
      <c r="D604" s="972"/>
      <c r="E604" s="972"/>
      <c r="F604" s="972"/>
      <c r="G604" s="972"/>
      <c r="H604" s="972"/>
      <c r="I604" s="972"/>
      <c r="J604" s="972"/>
      <c r="K604" s="972"/>
      <c r="L604" s="972"/>
      <c r="M604" s="972"/>
      <c r="N604" s="972"/>
      <c r="O604" s="352"/>
      <c r="P604" s="352"/>
      <c r="Q604" s="352"/>
      <c r="R604" s="352"/>
      <c r="S604" s="352"/>
      <c r="T604" s="352"/>
      <c r="U604" s="352"/>
      <c r="V604" s="352"/>
      <c r="W604" s="352"/>
      <c r="X604" s="352"/>
      <c r="Y604" s="352"/>
      <c r="Z604" s="352"/>
      <c r="AA604" s="352"/>
      <c r="AB604" s="352"/>
      <c r="AC604" s="352"/>
      <c r="AD604" s="352"/>
      <c r="AE604" s="352"/>
    </row>
    <row r="605">
      <c r="A605" s="352"/>
      <c r="B605" s="352"/>
      <c r="C605" s="972"/>
      <c r="D605" s="972"/>
      <c r="E605" s="972"/>
      <c r="F605" s="972"/>
      <c r="G605" s="972"/>
      <c r="H605" s="972"/>
      <c r="I605" s="972"/>
      <c r="J605" s="972"/>
      <c r="K605" s="972"/>
      <c r="L605" s="972"/>
      <c r="M605" s="972"/>
      <c r="N605" s="972"/>
      <c r="O605" s="352"/>
      <c r="P605" s="352"/>
      <c r="Q605" s="352"/>
      <c r="R605" s="352"/>
      <c r="S605" s="352"/>
      <c r="T605" s="352"/>
      <c r="U605" s="352"/>
      <c r="V605" s="352"/>
      <c r="W605" s="352"/>
      <c r="X605" s="352"/>
      <c r="Y605" s="352"/>
      <c r="Z605" s="352"/>
      <c r="AA605" s="352"/>
      <c r="AB605" s="352"/>
      <c r="AC605" s="352"/>
      <c r="AD605" s="352"/>
      <c r="AE605" s="352"/>
    </row>
    <row r="606">
      <c r="A606" s="352"/>
      <c r="B606" s="352"/>
      <c r="C606" s="972"/>
      <c r="D606" s="972"/>
      <c r="E606" s="972"/>
      <c r="F606" s="972"/>
      <c r="G606" s="972"/>
      <c r="H606" s="972"/>
      <c r="I606" s="972"/>
      <c r="J606" s="972"/>
      <c r="K606" s="972"/>
      <c r="L606" s="972"/>
      <c r="M606" s="972"/>
      <c r="N606" s="972"/>
      <c r="O606" s="352"/>
      <c r="P606" s="352"/>
      <c r="Q606" s="352"/>
      <c r="R606" s="352"/>
      <c r="S606" s="352"/>
      <c r="T606" s="352"/>
      <c r="U606" s="352"/>
      <c r="V606" s="352"/>
      <c r="W606" s="352"/>
      <c r="X606" s="352"/>
      <c r="Y606" s="352"/>
      <c r="Z606" s="352"/>
      <c r="AA606" s="352"/>
      <c r="AB606" s="352"/>
      <c r="AC606" s="352"/>
      <c r="AD606" s="352"/>
      <c r="AE606" s="352"/>
    </row>
    <row r="607">
      <c r="A607" s="352"/>
      <c r="B607" s="352"/>
      <c r="C607" s="972"/>
      <c r="D607" s="972"/>
      <c r="E607" s="972"/>
      <c r="F607" s="972"/>
      <c r="G607" s="972"/>
      <c r="H607" s="972"/>
      <c r="I607" s="972"/>
      <c r="J607" s="972"/>
      <c r="K607" s="972"/>
      <c r="L607" s="972"/>
      <c r="M607" s="972"/>
      <c r="N607" s="972"/>
      <c r="O607" s="352"/>
      <c r="P607" s="352"/>
      <c r="Q607" s="352"/>
      <c r="R607" s="352"/>
      <c r="S607" s="352"/>
      <c r="T607" s="352"/>
      <c r="U607" s="352"/>
      <c r="V607" s="352"/>
      <c r="W607" s="352"/>
      <c r="X607" s="352"/>
      <c r="Y607" s="352"/>
      <c r="Z607" s="352"/>
      <c r="AA607" s="352"/>
      <c r="AB607" s="352"/>
      <c r="AC607" s="352"/>
      <c r="AD607" s="352"/>
      <c r="AE607" s="352"/>
    </row>
    <row r="608">
      <c r="A608" s="352"/>
      <c r="B608" s="352"/>
      <c r="C608" s="972"/>
      <c r="D608" s="972"/>
      <c r="E608" s="972"/>
      <c r="F608" s="972"/>
      <c r="G608" s="972"/>
      <c r="H608" s="972"/>
      <c r="I608" s="972"/>
      <c r="J608" s="972"/>
      <c r="K608" s="972"/>
      <c r="L608" s="972"/>
      <c r="M608" s="972"/>
      <c r="N608" s="972"/>
      <c r="O608" s="352"/>
      <c r="P608" s="352"/>
      <c r="Q608" s="352"/>
      <c r="R608" s="352"/>
      <c r="S608" s="352"/>
      <c r="T608" s="352"/>
      <c r="U608" s="352"/>
      <c r="V608" s="352"/>
      <c r="W608" s="352"/>
      <c r="X608" s="352"/>
      <c r="Y608" s="352"/>
      <c r="Z608" s="352"/>
      <c r="AA608" s="352"/>
      <c r="AB608" s="352"/>
      <c r="AC608" s="352"/>
      <c r="AD608" s="352"/>
      <c r="AE608" s="352"/>
    </row>
    <row r="609">
      <c r="A609" s="352"/>
      <c r="B609" s="352"/>
      <c r="C609" s="972"/>
      <c r="D609" s="972"/>
      <c r="E609" s="972"/>
      <c r="F609" s="972"/>
      <c r="G609" s="972"/>
      <c r="H609" s="972"/>
      <c r="I609" s="972"/>
      <c r="J609" s="972"/>
      <c r="K609" s="972"/>
      <c r="L609" s="972"/>
      <c r="M609" s="972"/>
      <c r="N609" s="972"/>
      <c r="O609" s="352"/>
      <c r="P609" s="352"/>
      <c r="Q609" s="352"/>
      <c r="R609" s="352"/>
      <c r="S609" s="352"/>
      <c r="T609" s="352"/>
      <c r="U609" s="352"/>
      <c r="V609" s="352"/>
      <c r="W609" s="352"/>
      <c r="X609" s="352"/>
      <c r="Y609" s="352"/>
      <c r="Z609" s="352"/>
      <c r="AA609" s="352"/>
      <c r="AB609" s="352"/>
      <c r="AC609" s="352"/>
      <c r="AD609" s="352"/>
      <c r="AE609" s="352"/>
    </row>
    <row r="610">
      <c r="A610" s="352"/>
      <c r="B610" s="352"/>
      <c r="C610" s="972"/>
      <c r="D610" s="972"/>
      <c r="E610" s="972"/>
      <c r="F610" s="972"/>
      <c r="G610" s="972"/>
      <c r="H610" s="972"/>
      <c r="I610" s="972"/>
      <c r="J610" s="972"/>
      <c r="K610" s="972"/>
      <c r="L610" s="972"/>
      <c r="M610" s="972"/>
      <c r="N610" s="972"/>
      <c r="O610" s="352"/>
      <c r="P610" s="352"/>
      <c r="Q610" s="352"/>
      <c r="R610" s="352"/>
      <c r="S610" s="352"/>
      <c r="T610" s="352"/>
      <c r="U610" s="352"/>
      <c r="V610" s="352"/>
      <c r="W610" s="352"/>
      <c r="X610" s="352"/>
      <c r="Y610" s="352"/>
      <c r="Z610" s="352"/>
      <c r="AA610" s="352"/>
      <c r="AB610" s="352"/>
      <c r="AC610" s="352"/>
      <c r="AD610" s="352"/>
      <c r="AE610" s="352"/>
    </row>
    <row r="611">
      <c r="A611" s="352"/>
      <c r="B611" s="352"/>
      <c r="C611" s="972"/>
      <c r="D611" s="972"/>
      <c r="E611" s="972"/>
      <c r="F611" s="972"/>
      <c r="G611" s="972"/>
      <c r="H611" s="972"/>
      <c r="I611" s="972"/>
      <c r="J611" s="972"/>
      <c r="K611" s="972"/>
      <c r="L611" s="972"/>
      <c r="M611" s="972"/>
      <c r="N611" s="972"/>
      <c r="O611" s="352"/>
      <c r="P611" s="352"/>
      <c r="Q611" s="352"/>
      <c r="R611" s="352"/>
      <c r="S611" s="352"/>
      <c r="T611" s="352"/>
      <c r="U611" s="352"/>
      <c r="V611" s="352"/>
      <c r="W611" s="352"/>
      <c r="X611" s="352"/>
      <c r="Y611" s="352"/>
      <c r="Z611" s="352"/>
      <c r="AA611" s="352"/>
      <c r="AB611" s="352"/>
      <c r="AC611" s="352"/>
      <c r="AD611" s="352"/>
      <c r="AE611" s="352"/>
    </row>
    <row r="612">
      <c r="A612" s="352"/>
      <c r="B612" s="352"/>
      <c r="C612" s="972"/>
      <c r="D612" s="972"/>
      <c r="E612" s="972"/>
      <c r="F612" s="972"/>
      <c r="G612" s="972"/>
      <c r="H612" s="972"/>
      <c r="I612" s="972"/>
      <c r="J612" s="972"/>
      <c r="K612" s="972"/>
      <c r="L612" s="972"/>
      <c r="M612" s="972"/>
      <c r="N612" s="972"/>
      <c r="O612" s="352"/>
      <c r="P612" s="352"/>
      <c r="Q612" s="352"/>
      <c r="R612" s="352"/>
      <c r="S612" s="352"/>
      <c r="T612" s="352"/>
      <c r="U612" s="352"/>
      <c r="V612" s="352"/>
      <c r="W612" s="352"/>
      <c r="X612" s="352"/>
      <c r="Y612" s="352"/>
      <c r="Z612" s="352"/>
      <c r="AA612" s="352"/>
      <c r="AB612" s="352"/>
      <c r="AC612" s="352"/>
      <c r="AD612" s="352"/>
      <c r="AE612" s="352"/>
    </row>
    <row r="613">
      <c r="A613" s="352"/>
      <c r="B613" s="352"/>
      <c r="C613" s="972"/>
      <c r="D613" s="972"/>
      <c r="E613" s="972"/>
      <c r="F613" s="972"/>
      <c r="G613" s="972"/>
      <c r="H613" s="972"/>
      <c r="I613" s="972"/>
      <c r="J613" s="972"/>
      <c r="K613" s="972"/>
      <c r="L613" s="972"/>
      <c r="M613" s="972"/>
      <c r="N613" s="972"/>
      <c r="O613" s="352"/>
      <c r="P613" s="352"/>
      <c r="Q613" s="352"/>
      <c r="R613" s="352"/>
      <c r="S613" s="352"/>
      <c r="T613" s="352"/>
      <c r="U613" s="352"/>
      <c r="V613" s="352"/>
      <c r="W613" s="352"/>
      <c r="X613" s="352"/>
      <c r="Y613" s="352"/>
      <c r="Z613" s="352"/>
      <c r="AA613" s="352"/>
      <c r="AB613" s="352"/>
      <c r="AC613" s="352"/>
      <c r="AD613" s="352"/>
      <c r="AE613" s="352"/>
    </row>
    <row r="614">
      <c r="A614" s="352"/>
      <c r="B614" s="352"/>
      <c r="C614" s="972"/>
      <c r="D614" s="972"/>
      <c r="E614" s="972"/>
      <c r="F614" s="972"/>
      <c r="G614" s="972"/>
      <c r="H614" s="972"/>
      <c r="I614" s="972"/>
      <c r="J614" s="972"/>
      <c r="K614" s="972"/>
      <c r="L614" s="972"/>
      <c r="M614" s="972"/>
      <c r="N614" s="972"/>
      <c r="O614" s="352"/>
      <c r="P614" s="352"/>
      <c r="Q614" s="352"/>
      <c r="R614" s="352"/>
      <c r="S614" s="352"/>
      <c r="T614" s="352"/>
      <c r="U614" s="352"/>
      <c r="V614" s="352"/>
      <c r="W614" s="352"/>
      <c r="X614" s="352"/>
      <c r="Y614" s="352"/>
      <c r="Z614" s="352"/>
      <c r="AA614" s="352"/>
      <c r="AB614" s="352"/>
      <c r="AC614" s="352"/>
      <c r="AD614" s="352"/>
      <c r="AE614" s="352"/>
    </row>
    <row r="615">
      <c r="A615" s="352"/>
      <c r="B615" s="352"/>
      <c r="C615" s="972"/>
      <c r="D615" s="972"/>
      <c r="E615" s="972"/>
      <c r="F615" s="972"/>
      <c r="G615" s="972"/>
      <c r="H615" s="972"/>
      <c r="I615" s="972"/>
      <c r="J615" s="972"/>
      <c r="K615" s="972"/>
      <c r="L615" s="972"/>
      <c r="M615" s="972"/>
      <c r="N615" s="972"/>
      <c r="O615" s="352"/>
      <c r="P615" s="352"/>
      <c r="Q615" s="352"/>
      <c r="R615" s="352"/>
      <c r="S615" s="352"/>
      <c r="T615" s="352"/>
      <c r="U615" s="352"/>
      <c r="V615" s="352"/>
      <c r="W615" s="352"/>
      <c r="X615" s="352"/>
      <c r="Y615" s="352"/>
      <c r="Z615" s="352"/>
      <c r="AA615" s="352"/>
      <c r="AB615" s="352"/>
      <c r="AC615" s="352"/>
      <c r="AD615" s="352"/>
      <c r="AE615" s="352"/>
    </row>
    <row r="616">
      <c r="A616" s="352"/>
      <c r="B616" s="352"/>
      <c r="C616" s="972"/>
      <c r="D616" s="972"/>
      <c r="E616" s="972"/>
      <c r="F616" s="972"/>
      <c r="G616" s="972"/>
      <c r="H616" s="972"/>
      <c r="I616" s="972"/>
      <c r="J616" s="972"/>
      <c r="K616" s="972"/>
      <c r="L616" s="972"/>
      <c r="M616" s="972"/>
      <c r="N616" s="972"/>
      <c r="O616" s="352"/>
      <c r="P616" s="352"/>
      <c r="Q616" s="352"/>
      <c r="R616" s="352"/>
      <c r="S616" s="352"/>
      <c r="T616" s="352"/>
      <c r="U616" s="352"/>
      <c r="V616" s="352"/>
      <c r="W616" s="352"/>
      <c r="X616" s="352"/>
      <c r="Y616" s="352"/>
      <c r="Z616" s="352"/>
      <c r="AA616" s="352"/>
      <c r="AB616" s="352"/>
      <c r="AC616" s="352"/>
      <c r="AD616" s="352"/>
      <c r="AE616" s="352"/>
    </row>
    <row r="617">
      <c r="A617" s="352"/>
      <c r="B617" s="352"/>
      <c r="C617" s="972"/>
      <c r="D617" s="972"/>
      <c r="E617" s="972"/>
      <c r="F617" s="972"/>
      <c r="G617" s="972"/>
      <c r="H617" s="972"/>
      <c r="I617" s="972"/>
      <c r="J617" s="972"/>
      <c r="K617" s="972"/>
      <c r="L617" s="972"/>
      <c r="M617" s="972"/>
      <c r="N617" s="972"/>
      <c r="O617" s="352"/>
      <c r="P617" s="352"/>
      <c r="Q617" s="352"/>
      <c r="R617" s="352"/>
      <c r="S617" s="352"/>
      <c r="T617" s="352"/>
      <c r="U617" s="352"/>
      <c r="V617" s="352"/>
      <c r="W617" s="352"/>
      <c r="X617" s="352"/>
      <c r="Y617" s="352"/>
      <c r="Z617" s="352"/>
      <c r="AA617" s="352"/>
      <c r="AB617" s="352"/>
      <c r="AC617" s="352"/>
      <c r="AD617" s="352"/>
      <c r="AE617" s="352"/>
    </row>
    <row r="618">
      <c r="A618" s="352"/>
      <c r="B618" s="352"/>
      <c r="C618" s="972"/>
      <c r="D618" s="972"/>
      <c r="E618" s="972"/>
      <c r="F618" s="972"/>
      <c r="G618" s="972"/>
      <c r="H618" s="972"/>
      <c r="I618" s="972"/>
      <c r="J618" s="972"/>
      <c r="K618" s="972"/>
      <c r="L618" s="972"/>
      <c r="M618" s="972"/>
      <c r="N618" s="972"/>
      <c r="O618" s="352"/>
      <c r="P618" s="352"/>
      <c r="Q618" s="352"/>
      <c r="R618" s="352"/>
      <c r="S618" s="352"/>
      <c r="T618" s="352"/>
      <c r="U618" s="352"/>
      <c r="V618" s="352"/>
      <c r="W618" s="352"/>
      <c r="X618" s="352"/>
      <c r="Y618" s="352"/>
      <c r="Z618" s="352"/>
      <c r="AA618" s="352"/>
      <c r="AB618" s="352"/>
      <c r="AC618" s="352"/>
      <c r="AD618" s="352"/>
      <c r="AE618" s="352"/>
    </row>
    <row r="619">
      <c r="A619" s="352"/>
      <c r="B619" s="352"/>
      <c r="C619" s="972"/>
      <c r="D619" s="972"/>
      <c r="E619" s="972"/>
      <c r="F619" s="972"/>
      <c r="G619" s="972"/>
      <c r="H619" s="972"/>
      <c r="I619" s="972"/>
      <c r="J619" s="972"/>
      <c r="K619" s="972"/>
      <c r="L619" s="972"/>
      <c r="M619" s="972"/>
      <c r="N619" s="972"/>
      <c r="O619" s="352"/>
      <c r="P619" s="352"/>
      <c r="Q619" s="352"/>
      <c r="R619" s="352"/>
      <c r="S619" s="352"/>
      <c r="T619" s="352"/>
      <c r="U619" s="352"/>
      <c r="V619" s="352"/>
      <c r="W619" s="352"/>
      <c r="X619" s="352"/>
      <c r="Y619" s="352"/>
      <c r="Z619" s="352"/>
      <c r="AA619" s="352"/>
      <c r="AB619" s="352"/>
      <c r="AC619" s="352"/>
      <c r="AD619" s="352"/>
      <c r="AE619" s="352"/>
    </row>
    <row r="620">
      <c r="A620" s="352"/>
      <c r="B620" s="352"/>
      <c r="C620" s="972"/>
      <c r="D620" s="972"/>
      <c r="E620" s="972"/>
      <c r="F620" s="972"/>
      <c r="G620" s="972"/>
      <c r="H620" s="972"/>
      <c r="I620" s="972"/>
      <c r="J620" s="972"/>
      <c r="K620" s="972"/>
      <c r="L620" s="972"/>
      <c r="M620" s="972"/>
      <c r="N620" s="972"/>
      <c r="O620" s="352"/>
      <c r="P620" s="352"/>
      <c r="Q620" s="352"/>
      <c r="R620" s="352"/>
      <c r="S620" s="352"/>
      <c r="T620" s="352"/>
      <c r="U620" s="352"/>
      <c r="V620" s="352"/>
      <c r="W620" s="352"/>
      <c r="X620" s="352"/>
      <c r="Y620" s="352"/>
      <c r="Z620" s="352"/>
      <c r="AA620" s="352"/>
      <c r="AB620" s="352"/>
      <c r="AC620" s="352"/>
      <c r="AD620" s="352"/>
      <c r="AE620" s="352"/>
    </row>
    <row r="621">
      <c r="A621" s="352"/>
      <c r="B621" s="352"/>
      <c r="C621" s="972"/>
      <c r="D621" s="972"/>
      <c r="E621" s="972"/>
      <c r="F621" s="972"/>
      <c r="G621" s="972"/>
      <c r="H621" s="972"/>
      <c r="I621" s="972"/>
      <c r="J621" s="972"/>
      <c r="K621" s="972"/>
      <c r="L621" s="972"/>
      <c r="M621" s="972"/>
      <c r="N621" s="972"/>
      <c r="O621" s="352"/>
      <c r="P621" s="352"/>
      <c r="Q621" s="352"/>
      <c r="R621" s="352"/>
      <c r="S621" s="352"/>
      <c r="T621" s="352"/>
      <c r="U621" s="352"/>
      <c r="V621" s="352"/>
      <c r="W621" s="352"/>
      <c r="X621" s="352"/>
      <c r="Y621" s="352"/>
      <c r="Z621" s="352"/>
      <c r="AA621" s="352"/>
      <c r="AB621" s="352"/>
      <c r="AC621" s="352"/>
      <c r="AD621" s="352"/>
      <c r="AE621" s="352"/>
    </row>
    <row r="622">
      <c r="A622" s="352"/>
      <c r="B622" s="352"/>
      <c r="C622" s="972"/>
      <c r="D622" s="972"/>
      <c r="E622" s="972"/>
      <c r="F622" s="972"/>
      <c r="G622" s="972"/>
      <c r="H622" s="972"/>
      <c r="I622" s="972"/>
      <c r="J622" s="972"/>
      <c r="K622" s="972"/>
      <c r="L622" s="972"/>
      <c r="M622" s="972"/>
      <c r="N622" s="972"/>
      <c r="O622" s="352"/>
      <c r="P622" s="352"/>
      <c r="Q622" s="352"/>
      <c r="R622" s="352"/>
      <c r="S622" s="352"/>
      <c r="T622" s="352"/>
      <c r="U622" s="352"/>
      <c r="V622" s="352"/>
      <c r="W622" s="352"/>
      <c r="X622" s="352"/>
      <c r="Y622" s="352"/>
      <c r="Z622" s="352"/>
      <c r="AA622" s="352"/>
      <c r="AB622" s="352"/>
      <c r="AC622" s="352"/>
      <c r="AD622" s="352"/>
      <c r="AE622" s="352"/>
    </row>
    <row r="623">
      <c r="A623" s="352"/>
      <c r="B623" s="352"/>
      <c r="C623" s="972"/>
      <c r="D623" s="972"/>
      <c r="E623" s="972"/>
      <c r="F623" s="972"/>
      <c r="G623" s="972"/>
      <c r="H623" s="972"/>
      <c r="I623" s="972"/>
      <c r="J623" s="972"/>
      <c r="K623" s="972"/>
      <c r="L623" s="972"/>
      <c r="M623" s="972"/>
      <c r="N623" s="972"/>
      <c r="O623" s="352"/>
      <c r="P623" s="352"/>
      <c r="Q623" s="352"/>
      <c r="R623" s="352"/>
      <c r="S623" s="352"/>
      <c r="T623" s="352"/>
      <c r="U623" s="352"/>
      <c r="V623" s="352"/>
      <c r="W623" s="352"/>
      <c r="X623" s="352"/>
      <c r="Y623" s="352"/>
      <c r="Z623" s="352"/>
      <c r="AA623" s="352"/>
      <c r="AB623" s="352"/>
      <c r="AC623" s="352"/>
      <c r="AD623" s="352"/>
      <c r="AE623" s="352"/>
    </row>
    <row r="624">
      <c r="A624" s="352"/>
      <c r="B624" s="352"/>
      <c r="C624" s="972"/>
      <c r="D624" s="972"/>
      <c r="E624" s="972"/>
      <c r="F624" s="972"/>
      <c r="G624" s="972"/>
      <c r="H624" s="972"/>
      <c r="I624" s="972"/>
      <c r="J624" s="972"/>
      <c r="K624" s="972"/>
      <c r="L624" s="972"/>
      <c r="M624" s="972"/>
      <c r="N624" s="972"/>
      <c r="O624" s="352"/>
      <c r="P624" s="352"/>
      <c r="Q624" s="352"/>
      <c r="R624" s="352"/>
      <c r="S624" s="352"/>
      <c r="T624" s="352"/>
      <c r="U624" s="352"/>
      <c r="V624" s="352"/>
      <c r="W624" s="352"/>
      <c r="X624" s="352"/>
      <c r="Y624" s="352"/>
      <c r="Z624" s="352"/>
      <c r="AA624" s="352"/>
      <c r="AB624" s="352"/>
      <c r="AC624" s="352"/>
      <c r="AD624" s="352"/>
      <c r="AE624" s="352"/>
    </row>
    <row r="625">
      <c r="A625" s="352"/>
      <c r="B625" s="352"/>
      <c r="C625" s="972"/>
      <c r="D625" s="972"/>
      <c r="E625" s="972"/>
      <c r="F625" s="972"/>
      <c r="G625" s="972"/>
      <c r="H625" s="972"/>
      <c r="I625" s="972"/>
      <c r="J625" s="972"/>
      <c r="K625" s="972"/>
      <c r="L625" s="972"/>
      <c r="M625" s="972"/>
      <c r="N625" s="972"/>
      <c r="O625" s="352"/>
      <c r="P625" s="352"/>
      <c r="Q625" s="352"/>
      <c r="R625" s="352"/>
      <c r="S625" s="352"/>
      <c r="T625" s="352"/>
      <c r="U625" s="352"/>
      <c r="V625" s="352"/>
      <c r="W625" s="352"/>
      <c r="X625" s="352"/>
      <c r="Y625" s="352"/>
      <c r="Z625" s="352"/>
      <c r="AA625" s="352"/>
      <c r="AB625" s="352"/>
      <c r="AC625" s="352"/>
      <c r="AD625" s="352"/>
      <c r="AE625" s="352"/>
    </row>
    <row r="626">
      <c r="A626" s="352"/>
      <c r="B626" s="352"/>
      <c r="C626" s="972"/>
      <c r="D626" s="972"/>
      <c r="E626" s="972"/>
      <c r="F626" s="972"/>
      <c r="G626" s="972"/>
      <c r="H626" s="972"/>
      <c r="I626" s="972"/>
      <c r="J626" s="972"/>
      <c r="K626" s="972"/>
      <c r="L626" s="972"/>
      <c r="M626" s="972"/>
      <c r="N626" s="972"/>
      <c r="O626" s="352"/>
      <c r="P626" s="352"/>
      <c r="Q626" s="352"/>
      <c r="R626" s="352"/>
      <c r="S626" s="352"/>
      <c r="T626" s="352"/>
      <c r="U626" s="352"/>
      <c r="V626" s="352"/>
      <c r="W626" s="352"/>
      <c r="X626" s="352"/>
      <c r="Y626" s="352"/>
      <c r="Z626" s="352"/>
      <c r="AA626" s="352"/>
      <c r="AB626" s="352"/>
      <c r="AC626" s="352"/>
      <c r="AD626" s="352"/>
      <c r="AE626" s="352"/>
    </row>
    <row r="627">
      <c r="A627" s="352"/>
      <c r="B627" s="352"/>
      <c r="C627" s="972"/>
      <c r="D627" s="972"/>
      <c r="E627" s="972"/>
      <c r="F627" s="972"/>
      <c r="G627" s="972"/>
      <c r="H627" s="972"/>
      <c r="I627" s="972"/>
      <c r="J627" s="972"/>
      <c r="K627" s="972"/>
      <c r="L627" s="972"/>
      <c r="M627" s="972"/>
      <c r="N627" s="972"/>
      <c r="O627" s="352"/>
      <c r="P627" s="352"/>
      <c r="Q627" s="352"/>
      <c r="R627" s="352"/>
      <c r="S627" s="352"/>
      <c r="T627" s="352"/>
      <c r="U627" s="352"/>
      <c r="V627" s="352"/>
      <c r="W627" s="352"/>
      <c r="X627" s="352"/>
      <c r="Y627" s="352"/>
      <c r="Z627" s="352"/>
      <c r="AA627" s="352"/>
      <c r="AB627" s="352"/>
      <c r="AC627" s="352"/>
      <c r="AD627" s="352"/>
      <c r="AE627" s="352"/>
    </row>
    <row r="628">
      <c r="A628" s="352"/>
      <c r="B628" s="352"/>
      <c r="C628" s="972"/>
      <c r="D628" s="972"/>
      <c r="E628" s="972"/>
      <c r="F628" s="972"/>
      <c r="G628" s="972"/>
      <c r="H628" s="972"/>
      <c r="I628" s="972"/>
      <c r="J628" s="972"/>
      <c r="K628" s="972"/>
      <c r="L628" s="972"/>
      <c r="M628" s="972"/>
      <c r="N628" s="972"/>
      <c r="O628" s="352"/>
      <c r="P628" s="352"/>
      <c r="Q628" s="352"/>
      <c r="R628" s="352"/>
      <c r="S628" s="352"/>
      <c r="T628" s="352"/>
      <c r="U628" s="352"/>
      <c r="V628" s="352"/>
      <c r="W628" s="352"/>
      <c r="X628" s="352"/>
      <c r="Y628" s="352"/>
      <c r="Z628" s="352"/>
      <c r="AA628" s="352"/>
      <c r="AB628" s="352"/>
      <c r="AC628" s="352"/>
      <c r="AD628" s="352"/>
      <c r="AE628" s="352"/>
    </row>
    <row r="629">
      <c r="A629" s="352"/>
      <c r="B629" s="352"/>
      <c r="C629" s="972"/>
      <c r="D629" s="972"/>
      <c r="E629" s="972"/>
      <c r="F629" s="972"/>
      <c r="G629" s="972"/>
      <c r="H629" s="972"/>
      <c r="I629" s="972"/>
      <c r="J629" s="972"/>
      <c r="K629" s="972"/>
      <c r="L629" s="972"/>
      <c r="M629" s="972"/>
      <c r="N629" s="972"/>
      <c r="O629" s="352"/>
      <c r="P629" s="352"/>
      <c r="Q629" s="352"/>
      <c r="R629" s="352"/>
      <c r="S629" s="352"/>
      <c r="T629" s="352"/>
      <c r="U629" s="352"/>
      <c r="V629" s="352"/>
      <c r="W629" s="352"/>
      <c r="X629" s="352"/>
      <c r="Y629" s="352"/>
      <c r="Z629" s="352"/>
      <c r="AA629" s="352"/>
      <c r="AB629" s="352"/>
      <c r="AC629" s="352"/>
      <c r="AD629" s="352"/>
      <c r="AE629" s="352"/>
    </row>
    <row r="630">
      <c r="A630" s="352"/>
      <c r="B630" s="352"/>
      <c r="C630" s="972"/>
      <c r="D630" s="972"/>
      <c r="E630" s="972"/>
      <c r="F630" s="972"/>
      <c r="G630" s="972"/>
      <c r="H630" s="972"/>
      <c r="I630" s="972"/>
      <c r="J630" s="972"/>
      <c r="K630" s="972"/>
      <c r="L630" s="972"/>
      <c r="M630" s="972"/>
      <c r="N630" s="972"/>
      <c r="O630" s="352"/>
      <c r="P630" s="352"/>
      <c r="Q630" s="352"/>
      <c r="R630" s="352"/>
      <c r="S630" s="352"/>
      <c r="T630" s="352"/>
      <c r="U630" s="352"/>
      <c r="V630" s="352"/>
      <c r="W630" s="352"/>
      <c r="X630" s="352"/>
      <c r="Y630" s="352"/>
      <c r="Z630" s="352"/>
      <c r="AA630" s="352"/>
      <c r="AB630" s="352"/>
      <c r="AC630" s="352"/>
      <c r="AD630" s="352"/>
      <c r="AE630" s="352"/>
    </row>
    <row r="631">
      <c r="A631" s="352"/>
      <c r="B631" s="352"/>
      <c r="C631" s="972"/>
      <c r="D631" s="972"/>
      <c r="E631" s="972"/>
      <c r="F631" s="972"/>
      <c r="G631" s="972"/>
      <c r="H631" s="972"/>
      <c r="I631" s="972"/>
      <c r="J631" s="972"/>
      <c r="K631" s="972"/>
      <c r="L631" s="972"/>
      <c r="M631" s="972"/>
      <c r="N631" s="972"/>
      <c r="O631" s="352"/>
      <c r="P631" s="352"/>
      <c r="Q631" s="352"/>
      <c r="R631" s="352"/>
      <c r="S631" s="352"/>
      <c r="T631" s="352"/>
      <c r="U631" s="352"/>
      <c r="V631" s="352"/>
      <c r="W631" s="352"/>
      <c r="X631" s="352"/>
      <c r="Y631" s="352"/>
      <c r="Z631" s="352"/>
      <c r="AA631" s="352"/>
      <c r="AB631" s="352"/>
      <c r="AC631" s="352"/>
      <c r="AD631" s="352"/>
      <c r="AE631" s="352"/>
    </row>
    <row r="632">
      <c r="A632" s="352"/>
      <c r="B632" s="352"/>
      <c r="C632" s="972"/>
      <c r="D632" s="972"/>
      <c r="E632" s="972"/>
      <c r="F632" s="972"/>
      <c r="G632" s="972"/>
      <c r="H632" s="972"/>
      <c r="I632" s="972"/>
      <c r="J632" s="972"/>
      <c r="K632" s="972"/>
      <c r="L632" s="972"/>
      <c r="M632" s="972"/>
      <c r="N632" s="972"/>
      <c r="O632" s="352"/>
      <c r="P632" s="352"/>
      <c r="Q632" s="352"/>
      <c r="R632" s="352"/>
      <c r="S632" s="352"/>
      <c r="T632" s="352"/>
      <c r="U632" s="352"/>
      <c r="V632" s="352"/>
      <c r="W632" s="352"/>
      <c r="X632" s="352"/>
      <c r="Y632" s="352"/>
      <c r="Z632" s="352"/>
      <c r="AA632" s="352"/>
      <c r="AB632" s="352"/>
      <c r="AC632" s="352"/>
      <c r="AD632" s="352"/>
      <c r="AE632" s="352"/>
    </row>
    <row r="633">
      <c r="A633" s="352"/>
      <c r="B633" s="352"/>
      <c r="C633" s="972"/>
      <c r="D633" s="972"/>
      <c r="E633" s="972"/>
      <c r="F633" s="972"/>
      <c r="G633" s="972"/>
      <c r="H633" s="972"/>
      <c r="I633" s="972"/>
      <c r="J633" s="972"/>
      <c r="K633" s="972"/>
      <c r="L633" s="972"/>
      <c r="M633" s="972"/>
      <c r="N633" s="972"/>
      <c r="O633" s="352"/>
      <c r="P633" s="352"/>
      <c r="Q633" s="352"/>
      <c r="R633" s="352"/>
      <c r="S633" s="352"/>
      <c r="T633" s="352"/>
      <c r="U633" s="352"/>
      <c r="V633" s="352"/>
      <c r="W633" s="352"/>
      <c r="X633" s="352"/>
      <c r="Y633" s="352"/>
      <c r="Z633" s="352"/>
      <c r="AA633" s="352"/>
      <c r="AB633" s="352"/>
      <c r="AC633" s="352"/>
      <c r="AD633" s="352"/>
      <c r="AE633" s="352"/>
    </row>
    <row r="634">
      <c r="A634" s="352"/>
      <c r="B634" s="352"/>
      <c r="C634" s="972"/>
      <c r="D634" s="972"/>
      <c r="E634" s="972"/>
      <c r="F634" s="972"/>
      <c r="G634" s="972"/>
      <c r="H634" s="972"/>
      <c r="I634" s="972"/>
      <c r="J634" s="972"/>
      <c r="K634" s="972"/>
      <c r="L634" s="972"/>
      <c r="M634" s="972"/>
      <c r="N634" s="972"/>
      <c r="O634" s="352"/>
      <c r="P634" s="352"/>
      <c r="Q634" s="352"/>
      <c r="R634" s="352"/>
      <c r="S634" s="352"/>
      <c r="T634" s="352"/>
      <c r="U634" s="352"/>
      <c r="V634" s="352"/>
      <c r="W634" s="352"/>
      <c r="X634" s="352"/>
      <c r="Y634" s="352"/>
      <c r="Z634" s="352"/>
      <c r="AA634" s="352"/>
      <c r="AB634" s="352"/>
      <c r="AC634" s="352"/>
      <c r="AD634" s="352"/>
      <c r="AE634" s="352"/>
    </row>
    <row r="635">
      <c r="A635" s="352"/>
      <c r="B635" s="352"/>
      <c r="C635" s="972"/>
      <c r="D635" s="972"/>
      <c r="E635" s="972"/>
      <c r="F635" s="972"/>
      <c r="G635" s="972"/>
      <c r="H635" s="972"/>
      <c r="I635" s="972"/>
      <c r="J635" s="972"/>
      <c r="K635" s="972"/>
      <c r="L635" s="972"/>
      <c r="M635" s="972"/>
      <c r="N635" s="972"/>
      <c r="O635" s="352"/>
      <c r="P635" s="352"/>
      <c r="Q635" s="352"/>
      <c r="R635" s="352"/>
      <c r="S635" s="352"/>
      <c r="T635" s="352"/>
      <c r="U635" s="352"/>
      <c r="V635" s="352"/>
      <c r="W635" s="352"/>
      <c r="X635" s="352"/>
      <c r="Y635" s="352"/>
      <c r="Z635" s="352"/>
      <c r="AA635" s="352"/>
      <c r="AB635" s="352"/>
      <c r="AC635" s="352"/>
      <c r="AD635" s="352"/>
      <c r="AE635" s="352"/>
    </row>
    <row r="636">
      <c r="A636" s="352"/>
      <c r="B636" s="352"/>
      <c r="C636" s="972"/>
      <c r="D636" s="972"/>
      <c r="E636" s="972"/>
      <c r="F636" s="972"/>
      <c r="G636" s="972"/>
      <c r="H636" s="972"/>
      <c r="I636" s="972"/>
      <c r="J636" s="972"/>
      <c r="K636" s="972"/>
      <c r="L636" s="972"/>
      <c r="M636" s="972"/>
      <c r="N636" s="972"/>
      <c r="O636" s="352"/>
      <c r="P636" s="352"/>
      <c r="Q636" s="352"/>
      <c r="R636" s="352"/>
      <c r="S636" s="352"/>
      <c r="T636" s="352"/>
      <c r="U636" s="352"/>
      <c r="V636" s="352"/>
      <c r="W636" s="352"/>
      <c r="X636" s="352"/>
      <c r="Y636" s="352"/>
      <c r="Z636" s="352"/>
      <c r="AA636" s="352"/>
      <c r="AB636" s="352"/>
      <c r="AC636" s="352"/>
      <c r="AD636" s="352"/>
      <c r="AE636" s="352"/>
    </row>
    <row r="637">
      <c r="A637" s="352"/>
      <c r="B637" s="352"/>
      <c r="C637" s="972"/>
      <c r="D637" s="972"/>
      <c r="E637" s="972"/>
      <c r="F637" s="972"/>
      <c r="G637" s="972"/>
      <c r="H637" s="972"/>
      <c r="I637" s="972"/>
      <c r="J637" s="972"/>
      <c r="K637" s="972"/>
      <c r="L637" s="972"/>
      <c r="M637" s="972"/>
      <c r="N637" s="972"/>
      <c r="O637" s="352"/>
      <c r="P637" s="352"/>
      <c r="Q637" s="352"/>
      <c r="R637" s="352"/>
      <c r="S637" s="352"/>
      <c r="T637" s="352"/>
      <c r="U637" s="352"/>
      <c r="V637" s="352"/>
      <c r="W637" s="352"/>
      <c r="X637" s="352"/>
      <c r="Y637" s="352"/>
      <c r="Z637" s="352"/>
      <c r="AA637" s="352"/>
      <c r="AB637" s="352"/>
      <c r="AC637" s="352"/>
      <c r="AD637" s="352"/>
      <c r="AE637" s="352"/>
    </row>
    <row r="638">
      <c r="A638" s="352"/>
      <c r="B638" s="352"/>
      <c r="C638" s="972"/>
      <c r="D638" s="972"/>
      <c r="E638" s="972"/>
      <c r="F638" s="972"/>
      <c r="G638" s="972"/>
      <c r="H638" s="972"/>
      <c r="I638" s="972"/>
      <c r="J638" s="972"/>
      <c r="K638" s="972"/>
      <c r="L638" s="972"/>
      <c r="M638" s="972"/>
      <c r="N638" s="972"/>
      <c r="O638" s="352"/>
      <c r="P638" s="352"/>
      <c r="Q638" s="352"/>
      <c r="R638" s="352"/>
      <c r="S638" s="352"/>
      <c r="T638" s="352"/>
      <c r="U638" s="352"/>
      <c r="V638" s="352"/>
      <c r="W638" s="352"/>
      <c r="X638" s="352"/>
      <c r="Y638" s="352"/>
      <c r="Z638" s="352"/>
      <c r="AA638" s="352"/>
      <c r="AB638" s="352"/>
      <c r="AC638" s="352"/>
      <c r="AD638" s="352"/>
      <c r="AE638" s="352"/>
    </row>
    <row r="639">
      <c r="A639" s="352"/>
      <c r="B639" s="352"/>
      <c r="C639" s="972"/>
      <c r="D639" s="972"/>
      <c r="E639" s="972"/>
      <c r="F639" s="972"/>
      <c r="G639" s="972"/>
      <c r="H639" s="972"/>
      <c r="I639" s="972"/>
      <c r="J639" s="972"/>
      <c r="K639" s="972"/>
      <c r="L639" s="972"/>
      <c r="M639" s="972"/>
      <c r="N639" s="972"/>
      <c r="O639" s="352"/>
      <c r="P639" s="352"/>
      <c r="Q639" s="352"/>
      <c r="R639" s="352"/>
      <c r="S639" s="352"/>
      <c r="T639" s="352"/>
      <c r="U639" s="352"/>
      <c r="V639" s="352"/>
      <c r="W639" s="352"/>
      <c r="X639" s="352"/>
      <c r="Y639" s="352"/>
      <c r="Z639" s="352"/>
      <c r="AA639" s="352"/>
      <c r="AB639" s="352"/>
      <c r="AC639" s="352"/>
      <c r="AD639" s="352"/>
      <c r="AE639" s="352"/>
    </row>
    <row r="640">
      <c r="A640" s="352"/>
      <c r="B640" s="352"/>
      <c r="C640" s="972"/>
      <c r="D640" s="972"/>
      <c r="E640" s="972"/>
      <c r="F640" s="972"/>
      <c r="G640" s="972"/>
      <c r="H640" s="972"/>
      <c r="I640" s="972"/>
      <c r="J640" s="972"/>
      <c r="K640" s="972"/>
      <c r="L640" s="972"/>
      <c r="M640" s="972"/>
      <c r="N640" s="972"/>
      <c r="O640" s="352"/>
      <c r="P640" s="352"/>
      <c r="Q640" s="352"/>
      <c r="R640" s="352"/>
      <c r="S640" s="352"/>
      <c r="T640" s="352"/>
      <c r="U640" s="352"/>
      <c r="V640" s="352"/>
      <c r="W640" s="352"/>
      <c r="X640" s="352"/>
      <c r="Y640" s="352"/>
      <c r="Z640" s="352"/>
      <c r="AA640" s="352"/>
      <c r="AB640" s="352"/>
      <c r="AC640" s="352"/>
      <c r="AD640" s="352"/>
      <c r="AE640" s="352"/>
    </row>
    <row r="641">
      <c r="A641" s="352"/>
      <c r="B641" s="352"/>
      <c r="C641" s="972"/>
      <c r="D641" s="972"/>
      <c r="E641" s="972"/>
      <c r="F641" s="972"/>
      <c r="G641" s="972"/>
      <c r="H641" s="972"/>
      <c r="I641" s="972"/>
      <c r="J641" s="972"/>
      <c r="K641" s="972"/>
      <c r="L641" s="972"/>
      <c r="M641" s="972"/>
      <c r="N641" s="972"/>
      <c r="O641" s="352"/>
      <c r="P641" s="352"/>
      <c r="Q641" s="352"/>
      <c r="R641" s="352"/>
      <c r="S641" s="352"/>
      <c r="T641" s="352"/>
      <c r="U641" s="352"/>
      <c r="V641" s="352"/>
      <c r="W641" s="352"/>
      <c r="X641" s="352"/>
      <c r="Y641" s="352"/>
      <c r="Z641" s="352"/>
      <c r="AA641" s="352"/>
      <c r="AB641" s="352"/>
      <c r="AC641" s="352"/>
      <c r="AD641" s="352"/>
      <c r="AE641" s="352"/>
    </row>
    <row r="642">
      <c r="A642" s="352"/>
      <c r="B642" s="352"/>
      <c r="C642" s="972"/>
      <c r="D642" s="972"/>
      <c r="E642" s="972"/>
      <c r="F642" s="972"/>
      <c r="G642" s="972"/>
      <c r="H642" s="972"/>
      <c r="I642" s="972"/>
      <c r="J642" s="972"/>
      <c r="K642" s="972"/>
      <c r="L642" s="972"/>
      <c r="M642" s="972"/>
      <c r="N642" s="972"/>
      <c r="O642" s="352"/>
      <c r="P642" s="352"/>
      <c r="Q642" s="352"/>
      <c r="R642" s="352"/>
      <c r="S642" s="352"/>
      <c r="T642" s="352"/>
      <c r="U642" s="352"/>
      <c r="V642" s="352"/>
      <c r="W642" s="352"/>
      <c r="X642" s="352"/>
      <c r="Y642" s="352"/>
      <c r="Z642" s="352"/>
      <c r="AA642" s="352"/>
      <c r="AB642" s="352"/>
      <c r="AC642" s="352"/>
      <c r="AD642" s="352"/>
      <c r="AE642" s="352"/>
    </row>
    <row r="643">
      <c r="A643" s="352"/>
      <c r="B643" s="352"/>
      <c r="C643" s="972"/>
      <c r="D643" s="972"/>
      <c r="E643" s="972"/>
      <c r="F643" s="972"/>
      <c r="G643" s="972"/>
      <c r="H643" s="972"/>
      <c r="I643" s="972"/>
      <c r="J643" s="972"/>
      <c r="K643" s="972"/>
      <c r="L643" s="972"/>
      <c r="M643" s="972"/>
      <c r="N643" s="972"/>
      <c r="O643" s="352"/>
      <c r="P643" s="352"/>
      <c r="Q643" s="352"/>
      <c r="R643" s="352"/>
      <c r="S643" s="352"/>
      <c r="T643" s="352"/>
      <c r="U643" s="352"/>
      <c r="V643" s="352"/>
      <c r="W643" s="352"/>
      <c r="X643" s="352"/>
      <c r="Y643" s="352"/>
      <c r="Z643" s="352"/>
      <c r="AA643" s="352"/>
      <c r="AB643" s="352"/>
      <c r="AC643" s="352"/>
      <c r="AD643" s="352"/>
      <c r="AE643" s="352"/>
    </row>
    <row r="644">
      <c r="A644" s="352"/>
      <c r="B644" s="352"/>
      <c r="C644" s="972"/>
      <c r="D644" s="972"/>
      <c r="E644" s="972"/>
      <c r="F644" s="972"/>
      <c r="G644" s="972"/>
      <c r="H644" s="972"/>
      <c r="I644" s="972"/>
      <c r="J644" s="972"/>
      <c r="K644" s="972"/>
      <c r="L644" s="972"/>
      <c r="M644" s="972"/>
      <c r="N644" s="972"/>
      <c r="O644" s="352"/>
      <c r="P644" s="352"/>
      <c r="Q644" s="352"/>
      <c r="R644" s="352"/>
      <c r="S644" s="352"/>
      <c r="T644" s="352"/>
      <c r="U644" s="352"/>
      <c r="V644" s="352"/>
      <c r="W644" s="352"/>
      <c r="X644" s="352"/>
      <c r="Y644" s="352"/>
      <c r="Z644" s="352"/>
      <c r="AA644" s="352"/>
      <c r="AB644" s="352"/>
      <c r="AC644" s="352"/>
      <c r="AD644" s="352"/>
      <c r="AE644" s="352"/>
    </row>
    <row r="645">
      <c r="A645" s="352"/>
      <c r="B645" s="352"/>
      <c r="C645" s="972"/>
      <c r="D645" s="972"/>
      <c r="E645" s="972"/>
      <c r="F645" s="972"/>
      <c r="G645" s="972"/>
      <c r="H645" s="972"/>
      <c r="I645" s="972"/>
      <c r="J645" s="972"/>
      <c r="K645" s="972"/>
      <c r="L645" s="972"/>
      <c r="M645" s="972"/>
      <c r="N645" s="972"/>
      <c r="O645" s="352"/>
      <c r="P645" s="352"/>
      <c r="Q645" s="352"/>
      <c r="R645" s="352"/>
      <c r="S645" s="352"/>
      <c r="T645" s="352"/>
      <c r="U645" s="352"/>
      <c r="V645" s="352"/>
      <c r="W645" s="352"/>
      <c r="X645" s="352"/>
      <c r="Y645" s="352"/>
      <c r="Z645" s="352"/>
      <c r="AA645" s="352"/>
      <c r="AB645" s="352"/>
      <c r="AC645" s="352"/>
      <c r="AD645" s="352"/>
      <c r="AE645" s="352"/>
    </row>
    <row r="646">
      <c r="A646" s="352"/>
      <c r="B646" s="352"/>
      <c r="C646" s="972"/>
      <c r="D646" s="972"/>
      <c r="E646" s="972"/>
      <c r="F646" s="972"/>
      <c r="G646" s="972"/>
      <c r="H646" s="972"/>
      <c r="I646" s="972"/>
      <c r="J646" s="972"/>
      <c r="K646" s="972"/>
      <c r="L646" s="972"/>
      <c r="M646" s="972"/>
      <c r="N646" s="972"/>
      <c r="O646" s="352"/>
      <c r="P646" s="352"/>
      <c r="Q646" s="352"/>
      <c r="R646" s="352"/>
      <c r="S646" s="352"/>
      <c r="T646" s="352"/>
      <c r="U646" s="352"/>
      <c r="V646" s="352"/>
      <c r="W646" s="352"/>
      <c r="X646" s="352"/>
      <c r="Y646" s="352"/>
      <c r="Z646" s="352"/>
      <c r="AA646" s="352"/>
      <c r="AB646" s="352"/>
      <c r="AC646" s="352"/>
      <c r="AD646" s="352"/>
      <c r="AE646" s="352"/>
    </row>
    <row r="647">
      <c r="A647" s="352"/>
      <c r="B647" s="352"/>
      <c r="C647" s="972"/>
      <c r="D647" s="972"/>
      <c r="E647" s="972"/>
      <c r="F647" s="972"/>
      <c r="G647" s="972"/>
      <c r="H647" s="972"/>
      <c r="I647" s="972"/>
      <c r="J647" s="972"/>
      <c r="K647" s="972"/>
      <c r="L647" s="972"/>
      <c r="M647" s="972"/>
      <c r="N647" s="972"/>
      <c r="O647" s="352"/>
      <c r="P647" s="352"/>
      <c r="Q647" s="352"/>
      <c r="R647" s="352"/>
      <c r="S647" s="352"/>
      <c r="T647" s="352"/>
      <c r="U647" s="352"/>
      <c r="V647" s="352"/>
      <c r="W647" s="352"/>
      <c r="X647" s="352"/>
      <c r="Y647" s="352"/>
      <c r="Z647" s="352"/>
      <c r="AA647" s="352"/>
      <c r="AB647" s="352"/>
      <c r="AC647" s="352"/>
      <c r="AD647" s="352"/>
      <c r="AE647" s="352"/>
    </row>
    <row r="648">
      <c r="A648" s="352"/>
      <c r="B648" s="352"/>
      <c r="C648" s="972"/>
      <c r="D648" s="972"/>
      <c r="E648" s="972"/>
      <c r="F648" s="972"/>
      <c r="G648" s="972"/>
      <c r="H648" s="972"/>
      <c r="I648" s="972"/>
      <c r="J648" s="972"/>
      <c r="K648" s="972"/>
      <c r="L648" s="972"/>
      <c r="M648" s="972"/>
      <c r="N648" s="972"/>
      <c r="O648" s="352"/>
      <c r="P648" s="352"/>
      <c r="Q648" s="352"/>
      <c r="R648" s="352"/>
      <c r="S648" s="352"/>
      <c r="T648" s="352"/>
      <c r="U648" s="352"/>
      <c r="V648" s="352"/>
      <c r="W648" s="352"/>
      <c r="X648" s="352"/>
      <c r="Y648" s="352"/>
      <c r="Z648" s="352"/>
      <c r="AA648" s="352"/>
      <c r="AB648" s="352"/>
      <c r="AC648" s="352"/>
      <c r="AD648" s="352"/>
      <c r="AE648" s="352"/>
    </row>
    <row r="649">
      <c r="A649" s="352"/>
      <c r="B649" s="352"/>
      <c r="C649" s="972"/>
      <c r="D649" s="972"/>
      <c r="E649" s="972"/>
      <c r="F649" s="972"/>
      <c r="G649" s="972"/>
      <c r="H649" s="972"/>
      <c r="I649" s="972"/>
      <c r="J649" s="972"/>
      <c r="K649" s="972"/>
      <c r="L649" s="972"/>
      <c r="M649" s="972"/>
      <c r="N649" s="972"/>
      <c r="O649" s="352"/>
      <c r="P649" s="352"/>
      <c r="Q649" s="352"/>
      <c r="R649" s="352"/>
      <c r="S649" s="352"/>
      <c r="T649" s="352"/>
      <c r="U649" s="352"/>
      <c r="V649" s="352"/>
      <c r="W649" s="352"/>
      <c r="X649" s="352"/>
      <c r="Y649" s="352"/>
      <c r="Z649" s="352"/>
      <c r="AA649" s="352"/>
      <c r="AB649" s="352"/>
      <c r="AC649" s="352"/>
      <c r="AD649" s="352"/>
      <c r="AE649" s="352"/>
    </row>
    <row r="650">
      <c r="A650" s="352"/>
      <c r="B650" s="352"/>
      <c r="C650" s="972"/>
      <c r="D650" s="972"/>
      <c r="E650" s="972"/>
      <c r="F650" s="972"/>
      <c r="G650" s="972"/>
      <c r="H650" s="972"/>
      <c r="I650" s="972"/>
      <c r="J650" s="972"/>
      <c r="K650" s="972"/>
      <c r="L650" s="972"/>
      <c r="M650" s="972"/>
      <c r="N650" s="972"/>
      <c r="O650" s="352"/>
      <c r="P650" s="352"/>
      <c r="Q650" s="352"/>
      <c r="R650" s="352"/>
      <c r="S650" s="352"/>
      <c r="T650" s="352"/>
      <c r="U650" s="352"/>
      <c r="V650" s="352"/>
      <c r="W650" s="352"/>
      <c r="X650" s="352"/>
      <c r="Y650" s="352"/>
      <c r="Z650" s="352"/>
      <c r="AA650" s="352"/>
      <c r="AB650" s="352"/>
      <c r="AC650" s="352"/>
      <c r="AD650" s="352"/>
      <c r="AE650" s="352"/>
    </row>
    <row r="651">
      <c r="A651" s="352"/>
      <c r="B651" s="352"/>
      <c r="C651" s="972"/>
      <c r="D651" s="972"/>
      <c r="E651" s="972"/>
      <c r="F651" s="972"/>
      <c r="G651" s="972"/>
      <c r="H651" s="972"/>
      <c r="I651" s="972"/>
      <c r="J651" s="972"/>
      <c r="K651" s="972"/>
      <c r="L651" s="972"/>
      <c r="M651" s="972"/>
      <c r="N651" s="972"/>
      <c r="O651" s="352"/>
      <c r="P651" s="352"/>
      <c r="Q651" s="352"/>
      <c r="R651" s="352"/>
      <c r="S651" s="352"/>
      <c r="T651" s="352"/>
      <c r="U651" s="352"/>
      <c r="V651" s="352"/>
      <c r="W651" s="352"/>
      <c r="X651" s="352"/>
      <c r="Y651" s="352"/>
      <c r="Z651" s="352"/>
      <c r="AA651" s="352"/>
      <c r="AB651" s="352"/>
      <c r="AC651" s="352"/>
      <c r="AD651" s="352"/>
      <c r="AE651" s="352"/>
    </row>
    <row r="652">
      <c r="A652" s="352"/>
      <c r="B652" s="352"/>
      <c r="C652" s="972"/>
      <c r="D652" s="972"/>
      <c r="E652" s="972"/>
      <c r="F652" s="972"/>
      <c r="G652" s="972"/>
      <c r="H652" s="972"/>
      <c r="I652" s="972"/>
      <c r="J652" s="972"/>
      <c r="K652" s="972"/>
      <c r="L652" s="972"/>
      <c r="M652" s="972"/>
      <c r="N652" s="972"/>
      <c r="O652" s="352"/>
      <c r="P652" s="352"/>
      <c r="Q652" s="352"/>
      <c r="R652" s="352"/>
      <c r="S652" s="352"/>
      <c r="T652" s="352"/>
      <c r="U652" s="352"/>
      <c r="V652" s="352"/>
      <c r="W652" s="352"/>
      <c r="X652" s="352"/>
      <c r="Y652" s="352"/>
      <c r="Z652" s="352"/>
      <c r="AA652" s="352"/>
      <c r="AB652" s="352"/>
      <c r="AC652" s="352"/>
      <c r="AD652" s="352"/>
      <c r="AE652" s="352"/>
    </row>
    <row r="653">
      <c r="A653" s="352"/>
      <c r="B653" s="352"/>
      <c r="C653" s="972"/>
      <c r="D653" s="972"/>
      <c r="E653" s="972"/>
      <c r="F653" s="972"/>
      <c r="G653" s="972"/>
      <c r="H653" s="972"/>
      <c r="I653" s="972"/>
      <c r="J653" s="972"/>
      <c r="K653" s="972"/>
      <c r="L653" s="972"/>
      <c r="M653" s="972"/>
      <c r="N653" s="972"/>
      <c r="O653" s="352"/>
      <c r="P653" s="352"/>
      <c r="Q653" s="352"/>
      <c r="R653" s="352"/>
      <c r="S653" s="352"/>
      <c r="T653" s="352"/>
      <c r="U653" s="352"/>
      <c r="V653" s="352"/>
      <c r="W653" s="352"/>
      <c r="X653" s="352"/>
      <c r="Y653" s="352"/>
      <c r="Z653" s="352"/>
      <c r="AA653" s="352"/>
      <c r="AB653" s="352"/>
      <c r="AC653" s="352"/>
      <c r="AD653" s="352"/>
      <c r="AE653" s="352"/>
    </row>
    <row r="654">
      <c r="A654" s="352"/>
      <c r="B654" s="352"/>
      <c r="C654" s="972"/>
      <c r="D654" s="972"/>
      <c r="E654" s="972"/>
      <c r="F654" s="972"/>
      <c r="G654" s="972"/>
      <c r="H654" s="972"/>
      <c r="I654" s="972"/>
      <c r="J654" s="972"/>
      <c r="K654" s="972"/>
      <c r="L654" s="972"/>
      <c r="M654" s="972"/>
      <c r="N654" s="972"/>
      <c r="O654" s="352"/>
      <c r="P654" s="352"/>
      <c r="Q654" s="352"/>
      <c r="R654" s="352"/>
      <c r="S654" s="352"/>
      <c r="T654" s="352"/>
      <c r="U654" s="352"/>
      <c r="V654" s="352"/>
      <c r="W654" s="352"/>
      <c r="X654" s="352"/>
      <c r="Y654" s="352"/>
      <c r="Z654" s="352"/>
      <c r="AA654" s="352"/>
      <c r="AB654" s="352"/>
      <c r="AC654" s="352"/>
      <c r="AD654" s="352"/>
      <c r="AE654" s="352"/>
    </row>
    <row r="655">
      <c r="A655" s="352"/>
      <c r="B655" s="352"/>
      <c r="C655" s="972"/>
      <c r="D655" s="972"/>
      <c r="E655" s="972"/>
      <c r="F655" s="972"/>
      <c r="G655" s="972"/>
      <c r="H655" s="972"/>
      <c r="I655" s="972"/>
      <c r="J655" s="972"/>
      <c r="K655" s="972"/>
      <c r="L655" s="972"/>
      <c r="M655" s="972"/>
      <c r="N655" s="972"/>
      <c r="O655" s="352"/>
      <c r="P655" s="352"/>
      <c r="Q655" s="352"/>
      <c r="R655" s="352"/>
      <c r="S655" s="352"/>
      <c r="T655" s="352"/>
      <c r="U655" s="352"/>
      <c r="V655" s="352"/>
      <c r="W655" s="352"/>
      <c r="X655" s="352"/>
      <c r="Y655" s="352"/>
      <c r="Z655" s="352"/>
      <c r="AA655" s="352"/>
      <c r="AB655" s="352"/>
      <c r="AC655" s="352"/>
      <c r="AD655" s="352"/>
      <c r="AE655" s="352"/>
    </row>
  </sheetData>
  <mergeCells count="554">
    <mergeCell ref="Y25:AA25"/>
    <mergeCell ref="AB25:AD25"/>
    <mergeCell ref="P23:R23"/>
    <mergeCell ref="P24:R24"/>
    <mergeCell ref="S24:U24"/>
    <mergeCell ref="V24:X24"/>
    <mergeCell ref="Y24:AA24"/>
    <mergeCell ref="AB24:AD24"/>
    <mergeCell ref="P25:R25"/>
    <mergeCell ref="Y17:AA17"/>
    <mergeCell ref="AB17:AD17"/>
    <mergeCell ref="Y18:AA18"/>
    <mergeCell ref="AB18:AD18"/>
    <mergeCell ref="Y19:AA19"/>
    <mergeCell ref="AB19:AD19"/>
    <mergeCell ref="P15:R15"/>
    <mergeCell ref="P16:R16"/>
    <mergeCell ref="S16:U16"/>
    <mergeCell ref="V16:X16"/>
    <mergeCell ref="Y16:AA16"/>
    <mergeCell ref="AB16:AD16"/>
    <mergeCell ref="P17:R17"/>
    <mergeCell ref="S17:U17"/>
    <mergeCell ref="V17:X17"/>
    <mergeCell ref="P18:R18"/>
    <mergeCell ref="S18:U18"/>
    <mergeCell ref="V18:X18"/>
    <mergeCell ref="S19:U19"/>
    <mergeCell ref="V19:X19"/>
    <mergeCell ref="Y21:AA21"/>
    <mergeCell ref="AB21:AD21"/>
    <mergeCell ref="Y22:AA22"/>
    <mergeCell ref="AB22:AD22"/>
    <mergeCell ref="Y23:AA23"/>
    <mergeCell ref="AB23:AD23"/>
    <mergeCell ref="P19:R19"/>
    <mergeCell ref="P20:R20"/>
    <mergeCell ref="S20:U20"/>
    <mergeCell ref="V20:X20"/>
    <mergeCell ref="Y20:AA20"/>
    <mergeCell ref="AB20:AD20"/>
    <mergeCell ref="P21:R21"/>
    <mergeCell ref="S21:U21"/>
    <mergeCell ref="V21:X21"/>
    <mergeCell ref="P22:R22"/>
    <mergeCell ref="S22:U22"/>
    <mergeCell ref="V22:X22"/>
    <mergeCell ref="S23:U23"/>
    <mergeCell ref="V23:X23"/>
    <mergeCell ref="S25:U25"/>
    <mergeCell ref="V25:X25"/>
    <mergeCell ref="Y46:AA46"/>
    <mergeCell ref="AB46:AD46"/>
    <mergeCell ref="P44:R44"/>
    <mergeCell ref="P45:R45"/>
    <mergeCell ref="S45:U45"/>
    <mergeCell ref="V45:X45"/>
    <mergeCell ref="Y45:AA45"/>
    <mergeCell ref="AB45:AD45"/>
    <mergeCell ref="P46:R46"/>
    <mergeCell ref="Y38:AA38"/>
    <mergeCell ref="AB38:AD38"/>
    <mergeCell ref="Y39:AA39"/>
    <mergeCell ref="AB39:AD39"/>
    <mergeCell ref="Y40:AA40"/>
    <mergeCell ref="AB40:AD40"/>
    <mergeCell ref="P36:R36"/>
    <mergeCell ref="P37:R37"/>
    <mergeCell ref="S37:U37"/>
    <mergeCell ref="V37:X37"/>
    <mergeCell ref="Y37:AA37"/>
    <mergeCell ref="AB37:AD37"/>
    <mergeCell ref="P38:R38"/>
    <mergeCell ref="S38:U38"/>
    <mergeCell ref="V38:X38"/>
    <mergeCell ref="P39:R39"/>
    <mergeCell ref="S39:U39"/>
    <mergeCell ref="V39:X39"/>
    <mergeCell ref="S40:U40"/>
    <mergeCell ref="V40:X40"/>
    <mergeCell ref="Y42:AA42"/>
    <mergeCell ref="AB42:AD42"/>
    <mergeCell ref="Y43:AA43"/>
    <mergeCell ref="AB43:AD43"/>
    <mergeCell ref="Y44:AA44"/>
    <mergeCell ref="AB44:AD44"/>
    <mergeCell ref="P40:R40"/>
    <mergeCell ref="P41:R41"/>
    <mergeCell ref="S41:U41"/>
    <mergeCell ref="V41:X41"/>
    <mergeCell ref="Y41:AA41"/>
    <mergeCell ref="AB41:AD41"/>
    <mergeCell ref="P42:R42"/>
    <mergeCell ref="S42:U42"/>
    <mergeCell ref="V42:X42"/>
    <mergeCell ref="P43:R43"/>
    <mergeCell ref="S43:U43"/>
    <mergeCell ref="V43:X43"/>
    <mergeCell ref="S44:U44"/>
    <mergeCell ref="V44:X44"/>
    <mergeCell ref="S46:U46"/>
    <mergeCell ref="V46:X46"/>
    <mergeCell ref="P47:R47"/>
    <mergeCell ref="S47:U47"/>
    <mergeCell ref="V47:X47"/>
    <mergeCell ref="Y47:AA47"/>
    <mergeCell ref="AB47:AD47"/>
    <mergeCell ref="Y55:AA55"/>
    <mergeCell ref="AB55:AD55"/>
    <mergeCell ref="Y56:AA56"/>
    <mergeCell ref="AB56:AD56"/>
    <mergeCell ref="Y57:AA57"/>
    <mergeCell ref="AB57:AD57"/>
    <mergeCell ref="S55:U55"/>
    <mergeCell ref="V55:X55"/>
    <mergeCell ref="P56:R56"/>
    <mergeCell ref="S56:U56"/>
    <mergeCell ref="V56:X56"/>
    <mergeCell ref="S57:U57"/>
    <mergeCell ref="V57:X57"/>
    <mergeCell ref="Y59:AA59"/>
    <mergeCell ref="AB59:AD59"/>
    <mergeCell ref="P57:R57"/>
    <mergeCell ref="P58:R58"/>
    <mergeCell ref="S58:U58"/>
    <mergeCell ref="V58:X58"/>
    <mergeCell ref="Y58:AA58"/>
    <mergeCell ref="AB58:AD58"/>
    <mergeCell ref="P59:R59"/>
    <mergeCell ref="V62:X62"/>
    <mergeCell ref="Y62:AA62"/>
    <mergeCell ref="P61:R61"/>
    <mergeCell ref="S61:U61"/>
    <mergeCell ref="V61:X61"/>
    <mergeCell ref="Y61:AA61"/>
    <mergeCell ref="AB61:AD61"/>
    <mergeCell ref="P62:R62"/>
    <mergeCell ref="S62:U62"/>
    <mergeCell ref="AB62:AD62"/>
    <mergeCell ref="V49:X49"/>
    <mergeCell ref="Y49:AA49"/>
    <mergeCell ref="P48:R48"/>
    <mergeCell ref="S48:U48"/>
    <mergeCell ref="V48:X48"/>
    <mergeCell ref="Y48:AA48"/>
    <mergeCell ref="AB48:AD48"/>
    <mergeCell ref="S49:U49"/>
    <mergeCell ref="AB49:AD49"/>
    <mergeCell ref="Y51:AA51"/>
    <mergeCell ref="AB51:AD51"/>
    <mergeCell ref="Y52:AA52"/>
    <mergeCell ref="AB52:AD52"/>
    <mergeCell ref="Y53:AA53"/>
    <mergeCell ref="AB53:AD53"/>
    <mergeCell ref="P49:R49"/>
    <mergeCell ref="P50:R50"/>
    <mergeCell ref="S50:U50"/>
    <mergeCell ref="V50:X50"/>
    <mergeCell ref="Y50:AA50"/>
    <mergeCell ref="AB50:AD50"/>
    <mergeCell ref="P51:R51"/>
    <mergeCell ref="S51:U51"/>
    <mergeCell ref="V51:X51"/>
    <mergeCell ref="P52:R52"/>
    <mergeCell ref="S52:U52"/>
    <mergeCell ref="V52:X52"/>
    <mergeCell ref="S53:U53"/>
    <mergeCell ref="V53:X53"/>
    <mergeCell ref="P53:R53"/>
    <mergeCell ref="P54:R54"/>
    <mergeCell ref="S54:U54"/>
    <mergeCell ref="V54:X54"/>
    <mergeCell ref="Y54:AA54"/>
    <mergeCell ref="AB54:AD54"/>
    <mergeCell ref="P55:R55"/>
    <mergeCell ref="S59:U59"/>
    <mergeCell ref="V59:X59"/>
    <mergeCell ref="P60:R60"/>
    <mergeCell ref="S60:U60"/>
    <mergeCell ref="V60:X60"/>
    <mergeCell ref="Y60:AA60"/>
    <mergeCell ref="AB60:AD60"/>
    <mergeCell ref="C1:E1"/>
    <mergeCell ref="F1:H1"/>
    <mergeCell ref="I1:K1"/>
    <mergeCell ref="L1:N1"/>
    <mergeCell ref="P1:AD1"/>
    <mergeCell ref="C2:E2"/>
    <mergeCell ref="F2:H2"/>
    <mergeCell ref="AB2:AD2"/>
    <mergeCell ref="F4:H4"/>
    <mergeCell ref="I4:K4"/>
    <mergeCell ref="V4:X4"/>
    <mergeCell ref="V5:X5"/>
    <mergeCell ref="Y5:AA5"/>
    <mergeCell ref="AB5:AD5"/>
    <mergeCell ref="V2:X2"/>
    <mergeCell ref="Y2:AA2"/>
    <mergeCell ref="V3:X3"/>
    <mergeCell ref="Y3:AA3"/>
    <mergeCell ref="AB3:AD3"/>
    <mergeCell ref="Y4:AA4"/>
    <mergeCell ref="AB4:AD4"/>
    <mergeCell ref="I6:K6"/>
    <mergeCell ref="L6:N6"/>
    <mergeCell ref="P6:R6"/>
    <mergeCell ref="S6:U6"/>
    <mergeCell ref="V6:X6"/>
    <mergeCell ref="Y6:AA6"/>
    <mergeCell ref="AB6:AD6"/>
    <mergeCell ref="Y7:AA7"/>
    <mergeCell ref="AB7:AD7"/>
    <mergeCell ref="C7:E7"/>
    <mergeCell ref="F7:H7"/>
    <mergeCell ref="I7:K7"/>
    <mergeCell ref="L7:N7"/>
    <mergeCell ref="P7:R7"/>
    <mergeCell ref="S7:U7"/>
    <mergeCell ref="V7:X7"/>
    <mergeCell ref="C12:E12"/>
    <mergeCell ref="F12:H12"/>
    <mergeCell ref="I12:K12"/>
    <mergeCell ref="L12:N12"/>
    <mergeCell ref="F13:H13"/>
    <mergeCell ref="I13:K13"/>
    <mergeCell ref="L13:N13"/>
    <mergeCell ref="C13:E13"/>
    <mergeCell ref="C14:E14"/>
    <mergeCell ref="F14:H14"/>
    <mergeCell ref="I14:K14"/>
    <mergeCell ref="L14:N14"/>
    <mergeCell ref="C15:E15"/>
    <mergeCell ref="F15:H15"/>
    <mergeCell ref="P2:R2"/>
    <mergeCell ref="S2:U2"/>
    <mergeCell ref="P3:R3"/>
    <mergeCell ref="S3:U3"/>
    <mergeCell ref="P4:R4"/>
    <mergeCell ref="S4:U4"/>
    <mergeCell ref="S5:U5"/>
    <mergeCell ref="Y9:AA9"/>
    <mergeCell ref="AB9:AD9"/>
    <mergeCell ref="Y10:AA10"/>
    <mergeCell ref="AB10:AD10"/>
    <mergeCell ref="Y11:AA11"/>
    <mergeCell ref="AB11:AD11"/>
    <mergeCell ref="P5:R5"/>
    <mergeCell ref="P8:R8"/>
    <mergeCell ref="S8:U8"/>
    <mergeCell ref="V8:X8"/>
    <mergeCell ref="Y8:AA8"/>
    <mergeCell ref="AB8:AD8"/>
    <mergeCell ref="P9:R9"/>
    <mergeCell ref="S9:U9"/>
    <mergeCell ref="V9:X9"/>
    <mergeCell ref="P10:R10"/>
    <mergeCell ref="S10:U10"/>
    <mergeCell ref="V10:X10"/>
    <mergeCell ref="S11:U11"/>
    <mergeCell ref="V11:X11"/>
    <mergeCell ref="Y13:AA13"/>
    <mergeCell ref="AB13:AD13"/>
    <mergeCell ref="Y14:AA14"/>
    <mergeCell ref="AB14:AD14"/>
    <mergeCell ref="Y15:AA15"/>
    <mergeCell ref="AB15:AD15"/>
    <mergeCell ref="P11:R11"/>
    <mergeCell ref="P12:R12"/>
    <mergeCell ref="S12:U12"/>
    <mergeCell ref="V12:X12"/>
    <mergeCell ref="Y12:AA12"/>
    <mergeCell ref="AB12:AD12"/>
    <mergeCell ref="P13:R13"/>
    <mergeCell ref="S13:U13"/>
    <mergeCell ref="V13:X13"/>
    <mergeCell ref="P14:R14"/>
    <mergeCell ref="S14:U14"/>
    <mergeCell ref="V14:X14"/>
    <mergeCell ref="S15:U15"/>
    <mergeCell ref="V15:X15"/>
    <mergeCell ref="F21:H21"/>
    <mergeCell ref="I21:K21"/>
    <mergeCell ref="I19:K19"/>
    <mergeCell ref="L19:N19"/>
    <mergeCell ref="C20:E20"/>
    <mergeCell ref="F20:H20"/>
    <mergeCell ref="I20:K20"/>
    <mergeCell ref="L20:N20"/>
    <mergeCell ref="L21:N21"/>
    <mergeCell ref="I23:K23"/>
    <mergeCell ref="L23:N23"/>
    <mergeCell ref="P26:R26"/>
    <mergeCell ref="S26:U26"/>
    <mergeCell ref="V26:X26"/>
    <mergeCell ref="Y26:AA26"/>
    <mergeCell ref="AB26:AD26"/>
    <mergeCell ref="C21:E21"/>
    <mergeCell ref="C22:E22"/>
    <mergeCell ref="F22:H22"/>
    <mergeCell ref="I22:K22"/>
    <mergeCell ref="L22:N22"/>
    <mergeCell ref="C23:E23"/>
    <mergeCell ref="F23:H23"/>
    <mergeCell ref="C24:E24"/>
    <mergeCell ref="F24:H24"/>
    <mergeCell ref="I24:K24"/>
    <mergeCell ref="L24:N24"/>
    <mergeCell ref="F25:H25"/>
    <mergeCell ref="I25:K25"/>
    <mergeCell ref="L25:N25"/>
    <mergeCell ref="C25:E25"/>
    <mergeCell ref="C26:E26"/>
    <mergeCell ref="F26:H26"/>
    <mergeCell ref="I26:K26"/>
    <mergeCell ref="L26:N26"/>
    <mergeCell ref="C27:E27"/>
    <mergeCell ref="F27:H27"/>
    <mergeCell ref="V28:X28"/>
    <mergeCell ref="Y28:AA28"/>
    <mergeCell ref="P28:R28"/>
    <mergeCell ref="P29:R29"/>
    <mergeCell ref="S29:U29"/>
    <mergeCell ref="V29:X29"/>
    <mergeCell ref="Y29:AA29"/>
    <mergeCell ref="AB29:AD29"/>
    <mergeCell ref="P27:R27"/>
    <mergeCell ref="S27:U27"/>
    <mergeCell ref="V27:X27"/>
    <mergeCell ref="Y27:AA27"/>
    <mergeCell ref="AB27:AD27"/>
    <mergeCell ref="S28:U28"/>
    <mergeCell ref="AB28:AD28"/>
    <mergeCell ref="I27:K27"/>
    <mergeCell ref="L27:N27"/>
    <mergeCell ref="C28:E28"/>
    <mergeCell ref="F28:H28"/>
    <mergeCell ref="I28:K28"/>
    <mergeCell ref="L28:N28"/>
    <mergeCell ref="L29:N29"/>
    <mergeCell ref="F29:H29"/>
    <mergeCell ref="I29:K29"/>
    <mergeCell ref="P30:R30"/>
    <mergeCell ref="S30:U30"/>
    <mergeCell ref="V30:X30"/>
    <mergeCell ref="Y30:AA30"/>
    <mergeCell ref="AB30:AD30"/>
    <mergeCell ref="V32:X32"/>
    <mergeCell ref="Y32:AA32"/>
    <mergeCell ref="P31:R31"/>
    <mergeCell ref="S31:U31"/>
    <mergeCell ref="V31:X31"/>
    <mergeCell ref="Y31:AA31"/>
    <mergeCell ref="AB31:AD31"/>
    <mergeCell ref="S32:U32"/>
    <mergeCell ref="AB32:AD32"/>
    <mergeCell ref="Y34:AA34"/>
    <mergeCell ref="AB34:AD34"/>
    <mergeCell ref="Y35:AA35"/>
    <mergeCell ref="AB35:AD35"/>
    <mergeCell ref="Y36:AA36"/>
    <mergeCell ref="AB36:AD36"/>
    <mergeCell ref="P32:R32"/>
    <mergeCell ref="P33:R33"/>
    <mergeCell ref="S33:U33"/>
    <mergeCell ref="V33:X33"/>
    <mergeCell ref="Y33:AA33"/>
    <mergeCell ref="AB33:AD33"/>
    <mergeCell ref="P34:R34"/>
    <mergeCell ref="S34:U34"/>
    <mergeCell ref="V34:X34"/>
    <mergeCell ref="P35:R35"/>
    <mergeCell ref="S35:U35"/>
    <mergeCell ref="V35:X35"/>
    <mergeCell ref="S36:U36"/>
    <mergeCell ref="V36:X36"/>
    <mergeCell ref="C40:E40"/>
    <mergeCell ref="F40:H40"/>
    <mergeCell ref="I40:K40"/>
    <mergeCell ref="L40:N40"/>
    <mergeCell ref="F41:H41"/>
    <mergeCell ref="I41:K41"/>
    <mergeCell ref="L41:N41"/>
    <mergeCell ref="C41:E41"/>
    <mergeCell ref="C42:E42"/>
    <mergeCell ref="F42:H42"/>
    <mergeCell ref="I42:K42"/>
    <mergeCell ref="L42:N42"/>
    <mergeCell ref="C43:E43"/>
    <mergeCell ref="F43:H43"/>
    <mergeCell ref="C48:E48"/>
    <mergeCell ref="F48:H48"/>
    <mergeCell ref="I48:K48"/>
    <mergeCell ref="L48:N48"/>
    <mergeCell ref="F49:H49"/>
    <mergeCell ref="I49:K49"/>
    <mergeCell ref="L49:N49"/>
    <mergeCell ref="C49:E49"/>
    <mergeCell ref="C50:E50"/>
    <mergeCell ref="F50:H50"/>
    <mergeCell ref="I50:K50"/>
    <mergeCell ref="L50:N50"/>
    <mergeCell ref="C51:E51"/>
    <mergeCell ref="F51:H51"/>
    <mergeCell ref="F53:H53"/>
    <mergeCell ref="I53:K53"/>
    <mergeCell ref="I51:K51"/>
    <mergeCell ref="L51:N51"/>
    <mergeCell ref="C52:E52"/>
    <mergeCell ref="F52:H52"/>
    <mergeCell ref="I52:K52"/>
    <mergeCell ref="L52:N52"/>
    <mergeCell ref="L53:N53"/>
    <mergeCell ref="I55:K55"/>
    <mergeCell ref="L55:N55"/>
    <mergeCell ref="C53:E53"/>
    <mergeCell ref="C54:E54"/>
    <mergeCell ref="F54:H54"/>
    <mergeCell ref="I54:K54"/>
    <mergeCell ref="L54:N54"/>
    <mergeCell ref="C55:E55"/>
    <mergeCell ref="F55:H55"/>
    <mergeCell ref="C56:E56"/>
    <mergeCell ref="F56:H56"/>
    <mergeCell ref="I56:K56"/>
    <mergeCell ref="L56:N56"/>
    <mergeCell ref="F57:H57"/>
    <mergeCell ref="I57:K57"/>
    <mergeCell ref="L57:N57"/>
    <mergeCell ref="C57:E57"/>
    <mergeCell ref="C58:E58"/>
    <mergeCell ref="F58:H58"/>
    <mergeCell ref="I58:K58"/>
    <mergeCell ref="L58:N58"/>
    <mergeCell ref="C59:E59"/>
    <mergeCell ref="F59:H59"/>
    <mergeCell ref="F61:H61"/>
    <mergeCell ref="I61:K61"/>
    <mergeCell ref="I59:K59"/>
    <mergeCell ref="L59:N59"/>
    <mergeCell ref="C60:E60"/>
    <mergeCell ref="F60:H60"/>
    <mergeCell ref="I60:K60"/>
    <mergeCell ref="L60:N60"/>
    <mergeCell ref="L61:N61"/>
    <mergeCell ref="I2:K2"/>
    <mergeCell ref="L2:N2"/>
    <mergeCell ref="C3:E3"/>
    <mergeCell ref="F3:H3"/>
    <mergeCell ref="I3:K3"/>
    <mergeCell ref="L3:N3"/>
    <mergeCell ref="L4:N4"/>
    <mergeCell ref="C4:E4"/>
    <mergeCell ref="C5:E5"/>
    <mergeCell ref="F5:H5"/>
    <mergeCell ref="I5:K5"/>
    <mergeCell ref="L5:N5"/>
    <mergeCell ref="C6:E6"/>
    <mergeCell ref="F6:H6"/>
    <mergeCell ref="C8:E8"/>
    <mergeCell ref="F8:H8"/>
    <mergeCell ref="I8:K8"/>
    <mergeCell ref="L8:N8"/>
    <mergeCell ref="F9:H9"/>
    <mergeCell ref="I9:K9"/>
    <mergeCell ref="L9:N9"/>
    <mergeCell ref="I11:K11"/>
    <mergeCell ref="L11:N11"/>
    <mergeCell ref="C9:E9"/>
    <mergeCell ref="C10:E10"/>
    <mergeCell ref="F10:H10"/>
    <mergeCell ref="I10:K10"/>
    <mergeCell ref="L10:N10"/>
    <mergeCell ref="C11:E11"/>
    <mergeCell ref="F11:H11"/>
    <mergeCell ref="I15:K15"/>
    <mergeCell ref="L15:N15"/>
    <mergeCell ref="C61:E61"/>
    <mergeCell ref="C62:E62"/>
    <mergeCell ref="F62:H62"/>
    <mergeCell ref="I62:K62"/>
    <mergeCell ref="L62:N62"/>
    <mergeCell ref="C16:E16"/>
    <mergeCell ref="F16:H16"/>
    <mergeCell ref="I16:K16"/>
    <mergeCell ref="L16:N16"/>
    <mergeCell ref="F17:H17"/>
    <mergeCell ref="I17:K17"/>
    <mergeCell ref="L17:N17"/>
    <mergeCell ref="C17:E17"/>
    <mergeCell ref="C18:E18"/>
    <mergeCell ref="F18:H18"/>
    <mergeCell ref="I18:K18"/>
    <mergeCell ref="L18:N18"/>
    <mergeCell ref="C19:E19"/>
    <mergeCell ref="F19:H19"/>
    <mergeCell ref="I31:K31"/>
    <mergeCell ref="L31:N31"/>
    <mergeCell ref="C29:E29"/>
    <mergeCell ref="C30:E30"/>
    <mergeCell ref="F30:H30"/>
    <mergeCell ref="I30:K30"/>
    <mergeCell ref="L30:N30"/>
    <mergeCell ref="C31:E31"/>
    <mergeCell ref="F31:H31"/>
    <mergeCell ref="C32:E32"/>
    <mergeCell ref="F32:H32"/>
    <mergeCell ref="I32:K32"/>
    <mergeCell ref="L32:N32"/>
    <mergeCell ref="F33:H33"/>
    <mergeCell ref="I33:K33"/>
    <mergeCell ref="L33:N33"/>
    <mergeCell ref="C33:E33"/>
    <mergeCell ref="C34:E34"/>
    <mergeCell ref="F34:H34"/>
    <mergeCell ref="I34:K34"/>
    <mergeCell ref="L34:N34"/>
    <mergeCell ref="C35:E35"/>
    <mergeCell ref="F35:H35"/>
    <mergeCell ref="F37:H37"/>
    <mergeCell ref="I37:K37"/>
    <mergeCell ref="I35:K35"/>
    <mergeCell ref="L35:N35"/>
    <mergeCell ref="C36:E36"/>
    <mergeCell ref="F36:H36"/>
    <mergeCell ref="I36:K36"/>
    <mergeCell ref="L36:N36"/>
    <mergeCell ref="L37:N37"/>
    <mergeCell ref="I39:K39"/>
    <mergeCell ref="L39:N39"/>
    <mergeCell ref="C37:E37"/>
    <mergeCell ref="C38:E38"/>
    <mergeCell ref="F38:H38"/>
    <mergeCell ref="I38:K38"/>
    <mergeCell ref="L38:N38"/>
    <mergeCell ref="C39:E39"/>
    <mergeCell ref="F39:H39"/>
    <mergeCell ref="F45:H45"/>
    <mergeCell ref="I45:K45"/>
    <mergeCell ref="I43:K43"/>
    <mergeCell ref="L43:N43"/>
    <mergeCell ref="C44:E44"/>
    <mergeCell ref="F44:H44"/>
    <mergeCell ref="I44:K44"/>
    <mergeCell ref="L44:N44"/>
    <mergeCell ref="L45:N45"/>
    <mergeCell ref="I47:K47"/>
    <mergeCell ref="L47:N47"/>
    <mergeCell ref="C45:E45"/>
    <mergeCell ref="C46:E46"/>
    <mergeCell ref="F46:H46"/>
    <mergeCell ref="I46:K46"/>
    <mergeCell ref="L46:N46"/>
    <mergeCell ref="C47:E47"/>
    <mergeCell ref="F47:H47"/>
  </mergeCells>
  <hyperlinks>
    <hyperlink r:id="rId1" ref="P19"/>
    <hyperlink r:id="rId2" ref="P20"/>
    <hyperlink r:id="rId3" ref="P21"/>
    <hyperlink r:id="rId4" ref="P22"/>
    <hyperlink r:id="rId5" ref="P26"/>
    <hyperlink r:id="rId6" ref="P27"/>
    <hyperlink r:id="rId7" ref="P28"/>
    <hyperlink r:id="rId8" ref="P29"/>
    <hyperlink r:id="rId9" ref="P33"/>
    <hyperlink r:id="rId10" ref="P34"/>
    <hyperlink r:id="rId11" ref="P35"/>
    <hyperlink r:id="rId12" ref="P36"/>
    <hyperlink r:id="rId13" ref="P37"/>
    <hyperlink r:id="rId14" ref="P40"/>
    <hyperlink r:id="rId15" ref="P41"/>
    <hyperlink r:id="rId16" ref="P42"/>
    <hyperlink r:id="rId17" ref="P43"/>
    <hyperlink r:id="rId18" ref="P44"/>
  </hyperlinks>
  <drawing r:id="rId1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5"/>
    <col customWidth="1" min="3" max="3" width="18.63"/>
    <col customWidth="1" min="7" max="7" width="97.0"/>
    <col customWidth="1" min="8" max="8" width="21.88"/>
    <col customWidth="1" min="10" max="10" width="46.5"/>
  </cols>
  <sheetData>
    <row r="1" ht="89.25" customHeight="1">
      <c r="A1" s="973" t="s">
        <v>9060</v>
      </c>
      <c r="B1" s="974" t="str">
        <f>IFERROR(__xludf.DUMMYFUNCTION("IMPORTRANGE(""https://docs.google.com/spreadsheets/d/1jvc-9eRvx-4Uhu5ycw6VAIfHmnmCo4cSazFFcduTAls/edit?resourcekey=&amp;gid=1955992258#gid=1955992258"",""Form Responses 1!A1:N500"")"),"Timestamp")</f>
        <v>Timestamp</v>
      </c>
      <c r="C1" s="974" t="str">
        <f>IFERROR(__xludf.DUMMYFUNCTION("""COMPUTED_VALUE"""),"Name")</f>
        <v>Name</v>
      </c>
      <c r="D1" s="974" t="str">
        <f>IFERROR(__xludf.DUMMYFUNCTION("""COMPUTED_VALUE"""),"Email")</f>
        <v>Email</v>
      </c>
      <c r="E1" s="974" t="str">
        <f>IFERROR(__xludf.DUMMYFUNCTION("""COMPUTED_VALUE"""),"Height/Weight?")</f>
        <v>Height/Weight?</v>
      </c>
      <c r="F1" s="974" t="str">
        <f>IFERROR(__xludf.DUMMYFUNCTION("""COMPUTED_VALUE"""),"Position(s)")</f>
        <v>Position(s)</v>
      </c>
      <c r="G1" s="974" t="str">
        <f>IFERROR(__xludf.DUMMYFUNCTION("""COMPUTED_VALUE"""),"Baseball Statistics(Please insert HS season stats)/Accolades (High School &amp; Summer if available)")</f>
        <v>Baseball Statistics(Please insert HS season stats)/Accolades (High School &amp; Summer if available)</v>
      </c>
      <c r="H1" s="974" t="str">
        <f>IFERROR(__xludf.DUMMYFUNCTION("""COMPUTED_VALUE"""),"GPA (Unweighted/Weighted)")</f>
        <v>GPA (Unweighted/Weighted)</v>
      </c>
      <c r="I1" s="974" t="str">
        <f>IFERROR(__xludf.DUMMYFUNCTION("""COMPUTED_VALUE"""),"Test Scores (SAT/ACT or both) please list.")</f>
        <v>Test Scores (SAT/ACT or both) please list.</v>
      </c>
      <c r="J1" s="974" t="str">
        <f>IFERROR(__xludf.DUMMYFUNCTION("""COMPUTED_VALUE"""),"Injury History - Please list any sport specific injuries and/or surgeries you have had.")</f>
        <v>Injury History - Please list any sport specific injuries and/or surgeries you have had.</v>
      </c>
      <c r="K1" s="974" t="str">
        <f>IFERROR(__xludf.DUMMYFUNCTION("""COMPUTED_VALUE"""),"Do you have any allergies to foods and/or medications? If yes, please list them below.")</f>
        <v>Do you have any allergies to foods and/or medications? If yes, please list them below.</v>
      </c>
      <c r="L1" s="974" t="str">
        <f>IFERROR(__xludf.DUMMYFUNCTION("""COMPUTED_VALUE"""),"Are you currently taking any medications? If yes, please list them below.")</f>
        <v>Are you currently taking any medications? If yes, please list them below.</v>
      </c>
      <c r="M1" s="974" t="str">
        <f>IFERROR(__xludf.DUMMYFUNCTION("""COMPUTED_VALUE"""),"Do you require any academic accommodations(i.e. extra time on tests)?")</f>
        <v>Do you require any academic accommodations(i.e. extra time on tests)?</v>
      </c>
      <c r="N1" s="768" t="str">
        <f>IFERROR(__xludf.DUMMYFUNCTION("""COMPUTED_VALUE"""),"HS Grad Year")</f>
        <v>HS Grad Year</v>
      </c>
      <c r="O1" s="768" t="str">
        <f>IFERROR(__xludf.DUMMYFUNCTION("""COMPUTED_VALUE"""),"Mailing Address")</f>
        <v>Mailing Address</v>
      </c>
      <c r="P1" s="768"/>
      <c r="Q1" s="768"/>
      <c r="R1" s="768"/>
      <c r="S1" s="768"/>
      <c r="T1" s="768"/>
      <c r="U1" s="768"/>
      <c r="V1" s="768"/>
      <c r="W1" s="768"/>
      <c r="X1" s="768"/>
      <c r="Y1" s="768"/>
      <c r="Z1" s="768"/>
      <c r="AA1" s="768"/>
    </row>
    <row r="2" ht="30.0" customHeight="1">
      <c r="A2" s="768" t="str">
        <f t="array" ref="A2">XLOOKUP(C2,'High School Players'!D:D,'High School Players'!K:K,"NO",0,1)</f>
        <v>NO</v>
      </c>
      <c r="B2" s="975">
        <f>IFERROR(__xludf.DUMMYFUNCTION("""COMPUTED_VALUE"""),45445.5734083912)</f>
        <v>45445.57341</v>
      </c>
      <c r="C2" s="768" t="str">
        <f>IFERROR(__xludf.DUMMYFUNCTION("""COMPUTED_VALUE"""),"Test")</f>
        <v>Test</v>
      </c>
      <c r="D2" s="768"/>
      <c r="E2" s="768"/>
      <c r="F2" s="768"/>
      <c r="G2" s="768"/>
      <c r="H2" s="768"/>
      <c r="I2" s="768"/>
      <c r="J2" s="768"/>
      <c r="K2" s="768"/>
      <c r="L2" s="768"/>
      <c r="M2" s="768"/>
      <c r="N2" s="768"/>
      <c r="O2" s="768"/>
      <c r="P2" s="768"/>
      <c r="Q2" s="768"/>
      <c r="R2" s="768"/>
      <c r="S2" s="768"/>
      <c r="T2" s="768"/>
      <c r="U2" s="768"/>
      <c r="V2" s="768"/>
      <c r="W2" s="768"/>
      <c r="X2" s="768"/>
      <c r="Y2" s="768"/>
      <c r="Z2" s="768"/>
      <c r="AA2" s="768"/>
    </row>
    <row r="3" ht="30.0" customHeight="1">
      <c r="A3" s="768" t="str">
        <f t="array" ref="A3">XLOOKUP(C3,'High School Players'!D:D,'High School Players'!K:K,"NO",0,1)</f>
        <v>XX</v>
      </c>
      <c r="B3" s="975">
        <f>IFERROR(__xludf.DUMMYFUNCTION("""COMPUTED_VALUE"""),45452.57747881944)</f>
        <v>45452.57748</v>
      </c>
      <c r="C3" s="768" t="str">
        <f>IFERROR(__xludf.DUMMYFUNCTION("""COMPUTED_VALUE"""),"Brayton Coomer")</f>
        <v>Brayton Coomer</v>
      </c>
      <c r="D3" s="768" t="str">
        <f>IFERROR(__xludf.DUMMYFUNCTION("""COMPUTED_VALUE"""),"b.coomer45@icloud.com")</f>
        <v>b.coomer45@icloud.com</v>
      </c>
      <c r="E3" s="768" t="str">
        <f>IFERROR(__xludf.DUMMYFUNCTION("""COMPUTED_VALUE"""),"6’5/210")</f>
        <v>6’5/210</v>
      </c>
      <c r="F3" s="768" t="str">
        <f>IFERROR(__xludf.DUMMYFUNCTION("""COMPUTED_VALUE"""),"3rd,1st,left field,right field ")</f>
        <v>3rd,1st,left field,right field </v>
      </c>
      <c r="G3" s="768"/>
      <c r="H3" s="768">
        <f>IFERROR(__xludf.DUMMYFUNCTION("""COMPUTED_VALUE"""),3.8)</f>
        <v>3.8</v>
      </c>
      <c r="I3" s="768">
        <f>IFERROR(__xludf.DUMMYFUNCTION("""COMPUTED_VALUE"""),19.0)</f>
        <v>19</v>
      </c>
      <c r="J3" s="768" t="str">
        <f>IFERROR(__xludf.DUMMYFUNCTION("""COMPUTED_VALUE"""),"nose surgery")</f>
        <v>nose surgery</v>
      </c>
      <c r="K3" s="768" t="str">
        <f>IFERROR(__xludf.DUMMYFUNCTION("""COMPUTED_VALUE"""),"no")</f>
        <v>no</v>
      </c>
      <c r="L3" s="768" t="str">
        <f>IFERROR(__xludf.DUMMYFUNCTION("""COMPUTED_VALUE"""),"no")</f>
        <v>no</v>
      </c>
      <c r="M3" s="768" t="str">
        <f>IFERROR(__xludf.DUMMYFUNCTION("""COMPUTED_VALUE"""),"no")</f>
        <v>no</v>
      </c>
      <c r="N3" s="768"/>
      <c r="O3" s="768"/>
      <c r="P3" s="768"/>
      <c r="Q3" s="768"/>
      <c r="R3" s="768"/>
      <c r="S3" s="768"/>
      <c r="T3" s="768"/>
      <c r="U3" s="768"/>
      <c r="V3" s="768"/>
      <c r="W3" s="768"/>
      <c r="X3" s="768"/>
      <c r="Y3" s="768"/>
      <c r="Z3" s="768"/>
      <c r="AA3" s="768"/>
    </row>
    <row r="4" ht="30.0" customHeight="1">
      <c r="A4" s="768" t="str">
        <f t="array" ref="A4">XLOOKUP(C4,'High School Players'!D:D,'High School Players'!K:K,"NO",0,1)</f>
        <v>XX</v>
      </c>
      <c r="B4" s="975">
        <f>IFERROR(__xludf.DUMMYFUNCTION("""COMPUTED_VALUE"""),45452.5936134375)</f>
        <v>45452.59361</v>
      </c>
      <c r="C4" s="768" t="str">
        <f>IFERROR(__xludf.DUMMYFUNCTION("""COMPUTED_VALUE"""),"Cole Lasher")</f>
        <v>Cole Lasher</v>
      </c>
      <c r="D4" s="768" t="str">
        <f>IFERROR(__xludf.DUMMYFUNCTION("""COMPUTED_VALUE"""),"clslugger123@gmail.com")</f>
        <v>clslugger123@gmail.com</v>
      </c>
      <c r="E4" s="768" t="str">
        <f>IFERROR(__xludf.DUMMYFUNCTION("""COMPUTED_VALUE"""),"6”3 190")</f>
        <v>6”3 190</v>
      </c>
      <c r="F4" s="768" t="str">
        <f>IFERROR(__xludf.DUMMYFUNCTION("""COMPUTED_VALUE"""),"OF, 1B")</f>
        <v>OF, 1B</v>
      </c>
      <c r="G4" s="768" t="str">
        <f>IFERROR(__xludf.DUMMYFUNCTION("""COMPUTED_VALUE"""),"15u summer Perfect Game 1st Team All American Hitter 2025 class. Perfect Game Junior National Showcase Attendee. Multiple Principle Honor Rolls and First Honor Rolls. ")</f>
        <v>15u summer Perfect Game 1st Team All American Hitter 2025 class. Perfect Game Junior National Showcase Attendee. Multiple Principle Honor Rolls and First Honor Rolls. </v>
      </c>
      <c r="H4" s="768">
        <f>IFERROR(__xludf.DUMMYFUNCTION("""COMPUTED_VALUE"""),4.2)</f>
        <v>4.2</v>
      </c>
      <c r="I4" s="768" t="str">
        <f>IFERROR(__xludf.DUMMYFUNCTION("""COMPUTED_VALUE"""),"1310 SAT ")</f>
        <v>1310 SAT </v>
      </c>
      <c r="J4" s="768" t="str">
        <f>IFERROR(__xludf.DUMMYFUNCTION("""COMPUTED_VALUE"""),"Right elbow scope")</f>
        <v>Right elbow scope</v>
      </c>
      <c r="K4" s="768" t="str">
        <f>IFERROR(__xludf.DUMMYFUNCTION("""COMPUTED_VALUE"""),"Amoxicillin")</f>
        <v>Amoxicillin</v>
      </c>
      <c r="L4" s="768" t="str">
        <f>IFERROR(__xludf.DUMMYFUNCTION("""COMPUTED_VALUE"""),"None")</f>
        <v>None</v>
      </c>
      <c r="M4" s="768" t="str">
        <f>IFERROR(__xludf.DUMMYFUNCTION("""COMPUTED_VALUE"""),"None")</f>
        <v>None</v>
      </c>
      <c r="N4" s="768"/>
      <c r="O4" s="768"/>
      <c r="P4" s="768"/>
      <c r="Q4" s="768"/>
      <c r="R4" s="768"/>
      <c r="S4" s="768"/>
      <c r="T4" s="768"/>
      <c r="U4" s="768"/>
      <c r="V4" s="768"/>
      <c r="W4" s="768"/>
      <c r="X4" s="768"/>
      <c r="Y4" s="768"/>
      <c r="Z4" s="768"/>
      <c r="AA4" s="768"/>
    </row>
    <row r="5" ht="30.0" customHeight="1">
      <c r="A5" s="768" t="str">
        <f t="array" ref="A5">XLOOKUP(C5,'High School Players'!D:D,'High School Players'!K:K,"NO",0,1)</f>
        <v>NO</v>
      </c>
      <c r="B5" s="975">
        <f>IFERROR(__xludf.DUMMYFUNCTION("""COMPUTED_VALUE"""),45452.6457037963)</f>
        <v>45452.6457</v>
      </c>
      <c r="C5" s="768" t="str">
        <f>IFERROR(__xludf.DUMMYFUNCTION("""COMPUTED_VALUE"""),"Beau Berge")</f>
        <v>Beau Berge</v>
      </c>
      <c r="D5" s="768" t="str">
        <f>IFERROR(__xludf.DUMMYFUNCTION("""COMPUTED_VALUE"""),"bberge13@icloud.com")</f>
        <v>bberge13@icloud.com</v>
      </c>
      <c r="E5" s="768" t="str">
        <f>IFERROR(__xludf.DUMMYFUNCTION("""COMPUTED_VALUE"""),"6ft1 175lbs")</f>
        <v>6ft1 175lbs</v>
      </c>
      <c r="F5" s="768" t="str">
        <f>IFERROR(__xludf.DUMMYFUNCTION("""COMPUTED_VALUE"""),"1st base, 3rd base. All outfield.")</f>
        <v>1st base, 3rd base. All outfield.</v>
      </c>
      <c r="G5" s="768" t="str">
        <f>IFERROR(__xludf.DUMMYFUNCTION("""COMPUTED_VALUE"""),"20 games played for fall ball and summer ball. 37 AB, 18 hits, 3 doubles. 2 triples, 1Hr. 16 RBI’s, 10 walks. Ops 1.361, SLG .757, Avg .486.")</f>
        <v>20 games played for fall ball and summer ball. 37 AB, 18 hits, 3 doubles. 2 triples, 1Hr. 16 RBI’s, 10 walks. Ops 1.361, SLG .757, Avg .486.</v>
      </c>
      <c r="H5" s="768">
        <f>IFERROR(__xludf.DUMMYFUNCTION("""COMPUTED_VALUE"""),3.5)</f>
        <v>3.5</v>
      </c>
      <c r="I5" s="768" t="str">
        <f>IFERROR(__xludf.DUMMYFUNCTION("""COMPUTED_VALUE"""),"NA,NA")</f>
        <v>NA,NA</v>
      </c>
      <c r="J5" s="768" t="str">
        <f>IFERROR(__xludf.DUMMYFUNCTION("""COMPUTED_VALUE"""),"NA.")</f>
        <v>NA.</v>
      </c>
      <c r="K5" s="768" t="str">
        <f>IFERROR(__xludf.DUMMYFUNCTION("""COMPUTED_VALUE"""),"No.")</f>
        <v>No.</v>
      </c>
      <c r="L5" s="768" t="str">
        <f>IFERROR(__xludf.DUMMYFUNCTION("""COMPUTED_VALUE"""),"No.")</f>
        <v>No.</v>
      </c>
      <c r="M5" s="768" t="str">
        <f>IFERROR(__xludf.DUMMYFUNCTION("""COMPUTED_VALUE"""),"No.")</f>
        <v>No.</v>
      </c>
      <c r="N5" s="768"/>
      <c r="O5" s="768"/>
      <c r="P5" s="768"/>
      <c r="Q5" s="768"/>
      <c r="R5" s="768"/>
      <c r="S5" s="768"/>
      <c r="T5" s="768"/>
      <c r="U5" s="768"/>
      <c r="V5" s="768"/>
      <c r="W5" s="768"/>
      <c r="X5" s="768"/>
      <c r="Y5" s="768"/>
      <c r="Z5" s="768"/>
      <c r="AA5" s="768"/>
    </row>
    <row r="6" ht="30.0" customHeight="1">
      <c r="A6" s="768" t="str">
        <f t="array" ref="A6">XLOOKUP(C6,'High School Players'!D:D,'High School Players'!K:K,"NO",0,1)</f>
        <v>XX</v>
      </c>
      <c r="B6" s="975">
        <f>IFERROR(__xludf.DUMMYFUNCTION("""COMPUTED_VALUE"""),45452.699136932875)</f>
        <v>45452.69914</v>
      </c>
      <c r="C6" s="768" t="str">
        <f>IFERROR(__xludf.DUMMYFUNCTION("""COMPUTED_VALUE"""),"Brody Winemiller")</f>
        <v>Brody Winemiller</v>
      </c>
      <c r="D6" s="768" t="str">
        <f>IFERROR(__xludf.DUMMYFUNCTION("""COMPUTED_VALUE"""),"Brodywinemiller@icloud.com")</f>
        <v>Brodywinemiller@icloud.com</v>
      </c>
      <c r="E6" s="768" t="str">
        <f>IFERROR(__xludf.DUMMYFUNCTION("""COMPUTED_VALUE"""),"6’4 205")</f>
        <v>6’4 205</v>
      </c>
      <c r="F6" s="768" t="str">
        <f>IFERROR(__xludf.DUMMYFUNCTION("""COMPUTED_VALUE"""),"Corner Outfield, First Base")</f>
        <v>Corner Outfield, First Base</v>
      </c>
      <c r="G6" s="768" t="str">
        <f>IFERROR(__xludf.DUMMYFUNCTION("""COMPUTED_VALUE"""),"Started varsity since freshman year. 12 total high school home runs. Led the team in RBI’s as a sophomore. Led the team in home runs with 6 as a junior. Won defensive player of the year as a junior. ")</f>
        <v>Started varsity since freshman year. 12 total high school home runs. Led the team in RBI’s as a sophomore. Led the team in home runs with 6 as a junior. Won defensive player of the year as a junior. </v>
      </c>
      <c r="H6" s="768" t="str">
        <f>IFERROR(__xludf.DUMMYFUNCTION("""COMPUTED_VALUE"""),"4.3 weighted")</f>
        <v>4.3 weighted</v>
      </c>
      <c r="I6" s="768" t="str">
        <f>IFERROR(__xludf.DUMMYFUNCTION("""COMPUTED_VALUE"""),"ACT-24")</f>
        <v>ACT-24</v>
      </c>
      <c r="J6" s="768" t="str">
        <f>IFERROR(__xludf.DUMMYFUNCTION("""COMPUTED_VALUE"""),"Broken foot-Baseball. Concussion-Football")</f>
        <v>Broken foot-Baseball. Concussion-Football</v>
      </c>
      <c r="K6" s="768" t="str">
        <f>IFERROR(__xludf.DUMMYFUNCTION("""COMPUTED_VALUE"""),"No")</f>
        <v>No</v>
      </c>
      <c r="L6" s="768" t="str">
        <f>IFERROR(__xludf.DUMMYFUNCTION("""COMPUTED_VALUE"""),"No")</f>
        <v>No</v>
      </c>
      <c r="M6" s="768" t="str">
        <f>IFERROR(__xludf.DUMMYFUNCTION("""COMPUTED_VALUE"""),"No")</f>
        <v>No</v>
      </c>
      <c r="N6" s="768"/>
      <c r="O6" s="768"/>
      <c r="P6" s="768"/>
      <c r="Q6" s="768"/>
      <c r="R6" s="768"/>
      <c r="S6" s="768"/>
      <c r="T6" s="768"/>
      <c r="U6" s="768"/>
      <c r="V6" s="768"/>
      <c r="W6" s="768"/>
      <c r="X6" s="768"/>
      <c r="Y6" s="768"/>
      <c r="Z6" s="768"/>
      <c r="AA6" s="768"/>
    </row>
    <row r="7" ht="30.0" customHeight="1">
      <c r="A7" s="768" t="str">
        <f t="array" ref="A7">XLOOKUP(C7,'High School Players'!D:D,'High School Players'!K:K,"NO",0,1)</f>
        <v>NO</v>
      </c>
      <c r="B7" s="975">
        <f>IFERROR(__xludf.DUMMYFUNCTION("""COMPUTED_VALUE"""),45453.71158074074)</f>
        <v>45453.71158</v>
      </c>
      <c r="C7" s="768" t="str">
        <f>IFERROR(__xludf.DUMMYFUNCTION("""COMPUTED_VALUE"""),"James Hankerson Jr")</f>
        <v>James Hankerson Jr</v>
      </c>
      <c r="D7" s="768" t="str">
        <f>IFERROR(__xludf.DUMMYFUNCTION("""COMPUTED_VALUE"""),"james.hankerson2@gmail.com")</f>
        <v>james.hankerson2@gmail.com</v>
      </c>
      <c r="E7" s="768" t="str">
        <f>IFERROR(__xludf.DUMMYFUNCTION("""COMPUTED_VALUE"""),"6’3 230")</f>
        <v>6’3 230</v>
      </c>
      <c r="F7" s="768" t="str">
        <f>IFERROR(__xludf.DUMMYFUNCTION("""COMPUTED_VALUE"""),"1B/OF")</f>
        <v>1B/OF</v>
      </c>
      <c r="G7" s="768" t="str">
        <f>IFERROR(__xludf.DUMMYFUNCTION("""COMPUTED_VALUE"""),"2 time 813 preps hitter of the year (2A-5A), 3 time all state ")</f>
        <v>2 time 813 preps hitter of the year (2A-5A), 3 time all state </v>
      </c>
      <c r="H7" s="768">
        <f>IFERROR(__xludf.DUMMYFUNCTION("""COMPUTED_VALUE"""),3.88)</f>
        <v>3.88</v>
      </c>
      <c r="I7" s="768">
        <f>IFERROR(__xludf.DUMMYFUNCTION("""COMPUTED_VALUE"""),1270.0)</f>
        <v>1270</v>
      </c>
      <c r="J7" s="768" t="str">
        <f>IFERROR(__xludf.DUMMYFUNCTION("""COMPUTED_VALUE"""),"Broken foot summer between sophomore and junior year")</f>
        <v>Broken foot summer between sophomore and junior year</v>
      </c>
      <c r="K7" s="768" t="str">
        <f>IFERROR(__xludf.DUMMYFUNCTION("""COMPUTED_VALUE"""),"N/A")</f>
        <v>N/A</v>
      </c>
      <c r="L7" s="768" t="str">
        <f>IFERROR(__xludf.DUMMYFUNCTION("""COMPUTED_VALUE"""),"N/A")</f>
        <v>N/A</v>
      </c>
      <c r="M7" s="768" t="str">
        <f>IFERROR(__xludf.DUMMYFUNCTION("""COMPUTED_VALUE"""),"N/A")</f>
        <v>N/A</v>
      </c>
      <c r="N7" s="768"/>
      <c r="O7" s="768"/>
      <c r="P7" s="768"/>
      <c r="Q7" s="768"/>
      <c r="R7" s="768"/>
      <c r="S7" s="768"/>
      <c r="T7" s="768"/>
      <c r="U7" s="768"/>
      <c r="V7" s="768"/>
      <c r="W7" s="768"/>
      <c r="X7" s="768"/>
      <c r="Y7" s="768"/>
      <c r="Z7" s="768"/>
      <c r="AA7" s="768"/>
    </row>
    <row r="8" ht="30.0" customHeight="1">
      <c r="A8" s="768" t="str">
        <f t="array" ref="A8">XLOOKUP(C8,'High School Players'!D:D,'High School Players'!K:K,"NO",0,1)</f>
        <v>XX</v>
      </c>
      <c r="B8" s="975">
        <f>IFERROR(__xludf.DUMMYFUNCTION("""COMPUTED_VALUE"""),45454.05900621528)</f>
        <v>45454.05901</v>
      </c>
      <c r="C8" s="768" t="str">
        <f>IFERROR(__xludf.DUMMYFUNCTION("""COMPUTED_VALUE"""),"Isaac Pamaran")</f>
        <v>Isaac Pamaran</v>
      </c>
      <c r="D8" s="768" t="str">
        <f>IFERROR(__xludf.DUMMYFUNCTION("""COMPUTED_VALUE"""),"Isaac.pamaran@gmail.com")</f>
        <v>Isaac.pamaran@gmail.com</v>
      </c>
      <c r="E8" s="768" t="str">
        <f>IFERROR(__xludf.DUMMYFUNCTION("""COMPUTED_VALUE"""),"5’10–185")</f>
        <v>5’10–185</v>
      </c>
      <c r="F8" s="768" t="str">
        <f>IFERROR(__xludf.DUMMYFUNCTION("""COMPUTED_VALUE"""),"CF, Mif")</f>
        <v>CF, Mif</v>
      </c>
      <c r="G8" s="768" t="str">
        <f>IFERROR(__xludf.DUMMYFUNCTION("""COMPUTED_VALUE"""),"Highschool first team all state. ")</f>
        <v>Highschool first team all state. </v>
      </c>
      <c r="H8" s="768">
        <f>IFERROR(__xludf.DUMMYFUNCTION("""COMPUTED_VALUE"""),4.0)</f>
        <v>4</v>
      </c>
      <c r="I8" s="768">
        <f>IFERROR(__xludf.DUMMYFUNCTION("""COMPUTED_VALUE"""),24.0)</f>
        <v>24</v>
      </c>
      <c r="J8" s="768" t="str">
        <f>IFERROR(__xludf.DUMMYFUNCTION("""COMPUTED_VALUE"""),"None")</f>
        <v>None</v>
      </c>
      <c r="K8" s="768" t="str">
        <f>IFERROR(__xludf.DUMMYFUNCTION("""COMPUTED_VALUE"""),"None")</f>
        <v>None</v>
      </c>
      <c r="L8" s="768" t="str">
        <f>IFERROR(__xludf.DUMMYFUNCTION("""COMPUTED_VALUE"""),"No")</f>
        <v>No</v>
      </c>
      <c r="M8" s="768" t="str">
        <f>IFERROR(__xludf.DUMMYFUNCTION("""COMPUTED_VALUE"""),"No ")</f>
        <v>No </v>
      </c>
      <c r="N8" s="768"/>
      <c r="O8" s="768"/>
      <c r="P8" s="768"/>
      <c r="Q8" s="768"/>
      <c r="R8" s="768"/>
      <c r="S8" s="768"/>
      <c r="T8" s="768"/>
      <c r="U8" s="768"/>
      <c r="V8" s="768"/>
      <c r="W8" s="768"/>
      <c r="X8" s="768"/>
      <c r="Y8" s="768"/>
      <c r="Z8" s="768"/>
      <c r="AA8" s="768"/>
    </row>
    <row r="9" ht="30.0" customHeight="1">
      <c r="A9" s="768" t="str">
        <f t="array" ref="A9">XLOOKUP(C9,'High School Players'!D:D,'High School Players'!K:K,"NO",0,1)</f>
        <v>NO</v>
      </c>
      <c r="B9" s="975">
        <f>IFERROR(__xludf.DUMMYFUNCTION("""COMPUTED_VALUE"""),45454.53421128472)</f>
        <v>45454.53421</v>
      </c>
      <c r="C9" s="768" t="str">
        <f>IFERROR(__xludf.DUMMYFUNCTION("""COMPUTED_VALUE"""),"William Howard")</f>
        <v>William Howard</v>
      </c>
      <c r="D9" s="768" t="str">
        <f>IFERROR(__xludf.DUMMYFUNCTION("""COMPUTED_VALUE"""),"williamhoward2025@gmail.com")</f>
        <v>williamhoward2025@gmail.com</v>
      </c>
      <c r="E9" s="768" t="str">
        <f>IFERROR(__xludf.DUMMYFUNCTION("""COMPUTED_VALUE"""),"6’1/195")</f>
        <v>6’1/195</v>
      </c>
      <c r="F9" s="768" t="str">
        <f>IFERROR(__xludf.DUMMYFUNCTION("""COMPUTED_VALUE"""),"C, P, &amp; 3B")</f>
        <v>C, P, &amp; 3B</v>
      </c>
      <c r="G9" s="768" t="str">
        <f>IFERROR(__xludf.DUMMYFUNCTION("""COMPUTED_VALUE"""),".427 avg, .527 obp, 1.140 ops, .993 fpct. 3x all conference ")</f>
        <v>.427 avg, .527 obp, 1.140 ops, .993 fpct. 3x all conference </v>
      </c>
      <c r="H9" s="768">
        <f>IFERROR(__xludf.DUMMYFUNCTION("""COMPUTED_VALUE"""),4.2)</f>
        <v>4.2</v>
      </c>
      <c r="I9" s="768">
        <f>IFERROR(__xludf.DUMMYFUNCTION("""COMPUTED_VALUE"""),21.0)</f>
        <v>21</v>
      </c>
      <c r="J9" s="768" t="str">
        <f>IFERROR(__xludf.DUMMYFUNCTION("""COMPUTED_VALUE"""),"None, minor back pain went away quick")</f>
        <v>None, minor back pain went away quick</v>
      </c>
      <c r="K9" s="768" t="str">
        <f>IFERROR(__xludf.DUMMYFUNCTION("""COMPUTED_VALUE"""),"No")</f>
        <v>No</v>
      </c>
      <c r="L9" s="768" t="str">
        <f>IFERROR(__xludf.DUMMYFUNCTION("""COMPUTED_VALUE"""),"No")</f>
        <v>No</v>
      </c>
      <c r="M9" s="768" t="str">
        <f>IFERROR(__xludf.DUMMYFUNCTION("""COMPUTED_VALUE"""),"Yes, National Honors Society (NHS), student ambassador, gold honor role for 4+ semesters (4.0+ gpa)")</f>
        <v>Yes, National Honors Society (NHS), student ambassador, gold honor role for 4+ semesters (4.0+ gpa)</v>
      </c>
      <c r="N9" s="768"/>
      <c r="O9" s="768"/>
      <c r="P9" s="768"/>
      <c r="Q9" s="768"/>
      <c r="R9" s="768"/>
      <c r="S9" s="768"/>
      <c r="T9" s="768"/>
      <c r="U9" s="768"/>
      <c r="V9" s="768"/>
      <c r="W9" s="768"/>
      <c r="X9" s="768"/>
      <c r="Y9" s="768"/>
      <c r="Z9" s="768"/>
      <c r="AA9" s="768"/>
    </row>
    <row r="10" ht="30.0" customHeight="1">
      <c r="A10" s="768">
        <f t="array" ref="A10">XLOOKUP(C10,'High School Players'!D:D,'High School Players'!K:K,"NO",0,1)</f>
        <v>0.1</v>
      </c>
      <c r="B10" s="975">
        <f>IFERROR(__xludf.DUMMYFUNCTION("""COMPUTED_VALUE"""),45456.471731666665)</f>
        <v>45456.47173</v>
      </c>
      <c r="C10" s="768" t="str">
        <f>IFERROR(__xludf.DUMMYFUNCTION("""COMPUTED_VALUE"""),"Sachin Gopal")</f>
        <v>Sachin Gopal</v>
      </c>
      <c r="D10" s="768" t="str">
        <f>IFERROR(__xludf.DUMMYFUNCTION("""COMPUTED_VALUE"""),"sachingopal@yahoo.com")</f>
        <v>sachingopal@yahoo.com</v>
      </c>
      <c r="E10" s="768" t="str">
        <f>IFERROR(__xludf.DUMMYFUNCTION("""COMPUTED_VALUE"""),"6’0 185")</f>
        <v>6’0 185</v>
      </c>
      <c r="F10" s="768" t="str">
        <f>IFERROR(__xludf.DUMMYFUNCTION("""COMPUTED_VALUE"""),"Pitcher")</f>
        <v>Pitcher</v>
      </c>
      <c r="G10" s="768" t="str">
        <f>IFERROR(__xludf.DUMMYFUNCTION("""COMPUTED_VALUE"""),"This High school season: CNEPSBL all star and All NEPSAC HM, 31IP 30K 6BB 1.58ERA .935 WHIP .200 BAA. Last Summer: 40IP (3 CG’s), 45K,  11BB, 1.75 ERA,  .950 WHIP, and a .180 BAA.")</f>
        <v>This High school season: CNEPSBL all star and All NEPSAC HM, 31IP 30K 6BB 1.58ERA .935 WHIP .200 BAA. Last Summer: 40IP (3 CG’s), 45K,  11BB, 1.75 ERA,  .950 WHIP, and a .180 BAA.</v>
      </c>
      <c r="H10" s="768" t="str">
        <f>IFERROR(__xludf.DUMMYFUNCTION("""COMPUTED_VALUE"""),"3.7 UW")</f>
        <v>3.7 UW</v>
      </c>
      <c r="I10" s="768" t="str">
        <f>IFERROR(__xludf.DUMMYFUNCTION("""COMPUTED_VALUE"""),"1420 SAT")</f>
        <v>1420 SAT</v>
      </c>
      <c r="J10" s="768" t="str">
        <f>IFERROR(__xludf.DUMMYFUNCTION("""COMPUTED_VALUE"""),"No injuries ")</f>
        <v>No injuries </v>
      </c>
      <c r="K10" s="768" t="str">
        <f>IFERROR(__xludf.DUMMYFUNCTION("""COMPUTED_VALUE"""),"No allergies ")</f>
        <v>No allergies </v>
      </c>
      <c r="L10" s="768" t="str">
        <f>IFERROR(__xludf.DUMMYFUNCTION("""COMPUTED_VALUE"""),"No medication ")</f>
        <v>No medication </v>
      </c>
      <c r="M10" s="768" t="str">
        <f>IFERROR(__xludf.DUMMYFUNCTION("""COMPUTED_VALUE"""),"I am eligible for accommodations but don’t actually use them or need them")</f>
        <v>I am eligible for accommodations but don’t actually use them or need them</v>
      </c>
      <c r="N10" s="768"/>
      <c r="O10" s="768"/>
      <c r="P10" s="768"/>
      <c r="Q10" s="768"/>
      <c r="R10" s="768"/>
      <c r="S10" s="768"/>
      <c r="T10" s="768"/>
      <c r="U10" s="768"/>
      <c r="V10" s="768"/>
      <c r="W10" s="768"/>
      <c r="X10" s="768"/>
      <c r="Y10" s="768"/>
      <c r="Z10" s="768"/>
      <c r="AA10" s="768"/>
    </row>
    <row r="11" ht="30.0" customHeight="1">
      <c r="A11" s="768" t="str">
        <f t="array" ref="A11">XLOOKUP(C11,'High School Players'!D:D,'High School Players'!K:K,"NO",0,1)</f>
        <v>NO</v>
      </c>
      <c r="B11" s="975">
        <f>IFERROR(__xludf.DUMMYFUNCTION("""COMPUTED_VALUE"""),45456.721075381945)</f>
        <v>45456.72108</v>
      </c>
      <c r="C11" s="768" t="str">
        <f>IFERROR(__xludf.DUMMYFUNCTION("""COMPUTED_VALUE"""),"Donovan Abel")</f>
        <v>Donovan Abel</v>
      </c>
      <c r="D11" s="768" t="str">
        <f>IFERROR(__xludf.DUMMYFUNCTION("""COMPUTED_VALUE"""),"donnieabel6@gmail.com")</f>
        <v>donnieabel6@gmail.com</v>
      </c>
      <c r="E11" s="768" t="str">
        <f>IFERROR(__xludf.DUMMYFUNCTION("""COMPUTED_VALUE"""),"6 feet/ 183 pounds")</f>
        <v>6 feet/ 183 pounds</v>
      </c>
      <c r="F11" s="768" t="str">
        <f>IFERROR(__xludf.DUMMYFUNCTION("""COMPUTED_VALUE"""),"Catcher")</f>
        <v>Catcher</v>
      </c>
      <c r="G11" s="768" t="str">
        <f>IFERROR(__xludf.DUMMYFUNCTION("""COMPUTED_VALUE"""),"2023 all district 2023 all academic ")</f>
        <v>2023 all district 2023 all academic </v>
      </c>
      <c r="H11" s="768" t="str">
        <f>IFERROR(__xludf.DUMMYFUNCTION("""COMPUTED_VALUE"""),"5.87 out of 6.0 scale ")</f>
        <v>5.87 out of 6.0 scale </v>
      </c>
      <c r="I11" s="768" t="str">
        <f>IFERROR(__xludf.DUMMYFUNCTION("""COMPUTED_VALUE"""),"1100 SAT")</f>
        <v>1100 SAT</v>
      </c>
      <c r="J11" s="768" t="str">
        <f>IFERROR(__xludf.DUMMYFUNCTION("""COMPUTED_VALUE"""),"No injuries or surgeries")</f>
        <v>No injuries or surgeries</v>
      </c>
      <c r="K11" s="768" t="str">
        <f>IFERROR(__xludf.DUMMYFUNCTION("""COMPUTED_VALUE"""),"No")</f>
        <v>No</v>
      </c>
      <c r="L11" s="768" t="str">
        <f>IFERROR(__xludf.DUMMYFUNCTION("""COMPUTED_VALUE"""),"No")</f>
        <v>No</v>
      </c>
      <c r="M11" s="768" t="str">
        <f>IFERROR(__xludf.DUMMYFUNCTION("""COMPUTED_VALUE"""),"Yes.")</f>
        <v>Yes.</v>
      </c>
      <c r="N11" s="768"/>
      <c r="O11" s="768"/>
      <c r="P11" s="768"/>
      <c r="Q11" s="768"/>
      <c r="R11" s="768"/>
      <c r="S11" s="768"/>
      <c r="T11" s="768"/>
      <c r="U11" s="768"/>
      <c r="V11" s="768"/>
      <c r="W11" s="768"/>
      <c r="X11" s="768"/>
      <c r="Y11" s="768"/>
      <c r="Z11" s="768"/>
      <c r="AA11" s="768"/>
    </row>
    <row r="12" ht="30.0" customHeight="1">
      <c r="A12" s="768" t="str">
        <f t="array" ref="A12">XLOOKUP(C12,'High School Players'!D:D,'High School Players'!K:K,"NO",0,1)</f>
        <v>XX</v>
      </c>
      <c r="B12" s="975">
        <f>IFERROR(__xludf.DUMMYFUNCTION("""COMPUTED_VALUE"""),45457.625747893515)</f>
        <v>45457.62575</v>
      </c>
      <c r="C12" s="768" t="str">
        <f>IFERROR(__xludf.DUMMYFUNCTION("""COMPUTED_VALUE"""),"Jax heid")</f>
        <v>Jax heid</v>
      </c>
      <c r="D12" s="768" t="str">
        <f>IFERROR(__xludf.DUMMYFUNCTION("""COMPUTED_VALUE"""),"Jheid25@boydisd.net")</f>
        <v>Jheid25@boydisd.net</v>
      </c>
      <c r="E12" s="768" t="str">
        <f>IFERROR(__xludf.DUMMYFUNCTION("""COMPUTED_VALUE"""),"5’11")</f>
        <v>5’11</v>
      </c>
      <c r="F12" s="768" t="str">
        <f>IFERROR(__xludf.DUMMYFUNCTION("""COMPUTED_VALUE"""),"SS/2b")</f>
        <v>SS/2b</v>
      </c>
      <c r="G12" s="768" t="str">
        <f>IFERROR(__xludf.DUMMYFUNCTION("""COMPUTED_VALUE"""),".450 hs batting average, 3x 1st team all district, 1st team all state ss, all tournament state team ss, 3rd team all state ss")</f>
        <v>.450 hs batting average, 3x 1st team all district, 1st team all state ss, all tournament state team ss, 3rd team all state ss</v>
      </c>
      <c r="H12" s="768">
        <f>IFERROR(__xludf.DUMMYFUNCTION("""COMPUTED_VALUE"""),4.0)</f>
        <v>4</v>
      </c>
      <c r="I12" s="768" t="str">
        <f>IFERROR(__xludf.DUMMYFUNCTION("""COMPUTED_VALUE"""),"Not taken")</f>
        <v>Not taken</v>
      </c>
      <c r="J12" s="768" t="str">
        <f>IFERROR(__xludf.DUMMYFUNCTION("""COMPUTED_VALUE"""),"Hamet bone")</f>
        <v>Hamet bone</v>
      </c>
      <c r="K12" s="768"/>
      <c r="L12" s="768"/>
      <c r="M12" s="768" t="str">
        <f>IFERROR(__xludf.DUMMYFUNCTION("""COMPUTED_VALUE"""),"NHS")</f>
        <v>NHS</v>
      </c>
      <c r="N12" s="768"/>
      <c r="O12" s="768"/>
      <c r="P12" s="768"/>
      <c r="Q12" s="768"/>
      <c r="R12" s="768"/>
      <c r="S12" s="768"/>
      <c r="T12" s="768"/>
      <c r="U12" s="768"/>
      <c r="V12" s="768"/>
      <c r="W12" s="768"/>
      <c r="X12" s="768"/>
      <c r="Y12" s="768"/>
      <c r="Z12" s="768"/>
      <c r="AA12" s="768"/>
    </row>
    <row r="13" ht="30.0" customHeight="1">
      <c r="A13" s="768" t="str">
        <f t="array" ref="A13">XLOOKUP(C13,'High School Players'!D:D,'High School Players'!K:K,"NO",0,1)</f>
        <v>NO</v>
      </c>
      <c r="B13" s="975">
        <f>IFERROR(__xludf.DUMMYFUNCTION("""COMPUTED_VALUE"""),45457.722965810186)</f>
        <v>45457.72297</v>
      </c>
      <c r="C13" s="768" t="str">
        <f>IFERROR(__xludf.DUMMYFUNCTION("""COMPUTED_VALUE"""),"Eddie")</f>
        <v>Eddie</v>
      </c>
      <c r="D13" s="768" t="str">
        <f>IFERROR(__xludf.DUMMYFUNCTION("""COMPUTED_VALUE"""),"everettmarshall55@gmail.com")</f>
        <v>everettmarshall55@gmail.com</v>
      </c>
      <c r="E13" s="768" t="str">
        <f>IFERROR(__xludf.DUMMYFUNCTION("""COMPUTED_VALUE"""),"6’1”")</f>
        <v>6’1”</v>
      </c>
      <c r="F13" s="768" t="str">
        <f>IFERROR(__xludf.DUMMYFUNCTION("""COMPUTED_VALUE"""),"C/1B")</f>
        <v>C/1B</v>
      </c>
      <c r="G13" s="768" t="str">
        <f>IFERROR(__xludf.DUMMYFUNCTION("""COMPUTED_VALUE"""),"Highschool State Champions, leading the team batting .381 with 6 homeruns")</f>
        <v>Highschool State Champions, leading the team batting .381 with 6 homeruns</v>
      </c>
      <c r="H13" s="768">
        <f>IFERROR(__xludf.DUMMYFUNCTION("""COMPUTED_VALUE"""),4.0)</f>
        <v>4</v>
      </c>
      <c r="I13" s="768" t="str">
        <f>IFERROR(__xludf.DUMMYFUNCTION("""COMPUTED_VALUE"""),"SAT 1090")</f>
        <v>SAT 1090</v>
      </c>
      <c r="J13" s="768"/>
      <c r="K13" s="768"/>
      <c r="L13" s="768"/>
      <c r="M13" s="768"/>
      <c r="N13" s="768"/>
      <c r="O13" s="768"/>
      <c r="P13" s="768"/>
      <c r="Q13" s="768"/>
      <c r="R13" s="768"/>
      <c r="S13" s="768"/>
      <c r="T13" s="768"/>
      <c r="U13" s="768"/>
      <c r="V13" s="768"/>
      <c r="W13" s="768"/>
      <c r="X13" s="768"/>
      <c r="Y13" s="768"/>
      <c r="Z13" s="768"/>
      <c r="AA13" s="768"/>
    </row>
    <row r="14" ht="30.0" customHeight="1">
      <c r="A14" s="768" t="str">
        <f t="array" ref="A14">XLOOKUP(C14,'High School Players'!D:D,'High School Players'!K:K,"NO",0,1)</f>
        <v>NO</v>
      </c>
      <c r="B14" s="975">
        <f>IFERROR(__xludf.DUMMYFUNCTION("""COMPUTED_VALUE"""),45457.78247751157)</f>
        <v>45457.78248</v>
      </c>
      <c r="C14" s="768" t="str">
        <f>IFERROR(__xludf.DUMMYFUNCTION("""COMPUTED_VALUE"""),"William (Cael) Allen")</f>
        <v>William (Cael) Allen</v>
      </c>
      <c r="D14" s="768" t="str">
        <f>IFERROR(__xludf.DUMMYFUNCTION("""COMPUTED_VALUE"""),"caelallen22@gmail.com")</f>
        <v>caelallen22@gmail.com</v>
      </c>
      <c r="E14" s="768" t="str">
        <f>IFERROR(__xludf.DUMMYFUNCTION("""COMPUTED_VALUE"""),"6’2.5 205")</f>
        <v>6’2.5 205</v>
      </c>
      <c r="F14" s="768" t="str">
        <f>IFERROR(__xludf.DUMMYFUNCTION("""COMPUTED_VALUE"""),"3b, RHP")</f>
        <v>3b, RHP</v>
      </c>
      <c r="G14" s="768" t="str">
        <f>IFERROR(__xludf.DUMMYFUNCTION("""COMPUTED_VALUE"""),"Collierville HS Dual Player of the Year, MVPitcher at a 2023 Perfect Game tournament, multiple all tournament teams, 2x PG Preseason Underclass All American, PG showcase top prospect team")</f>
        <v>Collierville HS Dual Player of the Year, MVPitcher at a 2023 Perfect Game tournament, multiple all tournament teams, 2x PG Preseason Underclass All American, PG showcase top prospect team</v>
      </c>
      <c r="H14" s="768" t="str">
        <f>IFERROR(__xludf.DUMMYFUNCTION("""COMPUTED_VALUE"""),"Cumulative Weighted- 3.71 Cumulative Unweighted- 3.37")</f>
        <v>Cumulative Weighted- 3.71 Cumulative Unweighted- 3.37</v>
      </c>
      <c r="I14" s="768" t="str">
        <f>IFERROR(__xludf.DUMMYFUNCTION("""COMPUTED_VALUE"""),"ACT- 25(not super scored)")</f>
        <v>ACT- 25(not super scored)</v>
      </c>
      <c r="J14" s="768" t="str">
        <f>IFERROR(__xludf.DUMMYFUNCTION("""COMPUTED_VALUE"""),"Broken Foot in 8th grade (football) ")</f>
        <v>Broken Foot in 8th grade (football) </v>
      </c>
      <c r="K14" s="768" t="str">
        <f>IFERROR(__xludf.DUMMYFUNCTION("""COMPUTED_VALUE"""),"Allergic to all nuts, Omnicef")</f>
        <v>Allergic to all nuts, Omnicef</v>
      </c>
      <c r="L14" s="768" t="str">
        <f>IFERROR(__xludf.DUMMYFUNCTION("""COMPUTED_VALUE"""),"No")</f>
        <v>No</v>
      </c>
      <c r="M14" s="768" t="str">
        <f>IFERROR(__xludf.DUMMYFUNCTION("""COMPUTED_VALUE"""),"No")</f>
        <v>No</v>
      </c>
      <c r="N14" s="768"/>
      <c r="O14" s="768"/>
      <c r="P14" s="768"/>
      <c r="Q14" s="768"/>
      <c r="R14" s="768"/>
      <c r="S14" s="768"/>
      <c r="T14" s="768"/>
      <c r="U14" s="768"/>
      <c r="V14" s="768"/>
      <c r="W14" s="768"/>
      <c r="X14" s="768"/>
      <c r="Y14" s="768"/>
      <c r="Z14" s="768"/>
      <c r="AA14" s="768"/>
    </row>
    <row r="15" ht="30.0" customHeight="1">
      <c r="A15" s="768" t="str">
        <f t="array" ref="A15">XLOOKUP(C15,'High School Players'!D:D,'High School Players'!K:K,"NO",0,1)</f>
        <v>NO</v>
      </c>
      <c r="B15" s="975">
        <f>IFERROR(__xludf.DUMMYFUNCTION("""COMPUTED_VALUE"""),45458.95777871528)</f>
        <v>45458.95778</v>
      </c>
      <c r="C15" s="768" t="str">
        <f>IFERROR(__xludf.DUMMYFUNCTION("""COMPUTED_VALUE"""),"Spike Magill")</f>
        <v>Spike Magill</v>
      </c>
      <c r="D15" s="768" t="str">
        <f>IFERROR(__xludf.DUMMYFUNCTION("""COMPUTED_VALUE"""),"spikemagill2025@gmail.com")</f>
        <v>spikemagill2025@gmail.com</v>
      </c>
      <c r="E15" s="768" t="str">
        <f>IFERROR(__xludf.DUMMYFUNCTION("""COMPUTED_VALUE"""),"5' 11.75"" / 180 lbs")</f>
        <v>5' 11.75" / 180 lbs</v>
      </c>
      <c r="F15" s="768" t="str">
        <f>IFERROR(__xludf.DUMMYFUNCTION("""COMPUTED_VALUE"""),"Catcher")</f>
        <v>Catcher</v>
      </c>
      <c r="G15" s="768" t="str">
        <f>IFERROR(__xludf.DUMMYFUNCTION("""COMPUTED_VALUE"""),"2022-2024 Varsity Letter Winner, 2024 1st Team Continental League All-Conference, 2024 1st Team Continental League Academic Team, 2024 CHSAA All-State Honorable Mention")</f>
        <v>2022-2024 Varsity Letter Winner, 2024 1st Team Continental League All-Conference, 2024 1st Team Continental League Academic Team, 2024 CHSAA All-State Honorable Mention</v>
      </c>
      <c r="H15" s="768">
        <f>IFERROR(__xludf.DUMMYFUNCTION("""COMPUTED_VALUE"""),4.0)</f>
        <v>4</v>
      </c>
      <c r="I15" s="768" t="str">
        <f>IFERROR(__xludf.DUMMYFUNCTION("""COMPUTED_VALUE"""),"SAT - 1070 (first attempt)")</f>
        <v>SAT - 1070 (first attempt)</v>
      </c>
      <c r="J15" s="768" t="str">
        <f>IFERROR(__xludf.DUMMYFUNCTION("""COMPUTED_VALUE"""),"5/2022 - Surgery to repair shoulder dislocation/labrum repair")</f>
        <v>5/2022 - Surgery to repair shoulder dislocation/labrum repair</v>
      </c>
      <c r="K15" s="768" t="str">
        <f>IFERROR(__xludf.DUMMYFUNCTION("""COMPUTED_VALUE"""),"No")</f>
        <v>No</v>
      </c>
      <c r="L15" s="768" t="str">
        <f>IFERROR(__xludf.DUMMYFUNCTION("""COMPUTED_VALUE"""),"No")</f>
        <v>No</v>
      </c>
      <c r="M15" s="768" t="str">
        <f>IFERROR(__xludf.DUMMYFUNCTION("""COMPUTED_VALUE"""),"No")</f>
        <v>No</v>
      </c>
      <c r="N15" s="768"/>
      <c r="O15" s="768"/>
      <c r="P15" s="768"/>
      <c r="Q15" s="768"/>
      <c r="R15" s="768"/>
      <c r="S15" s="768"/>
      <c r="T15" s="768"/>
      <c r="U15" s="768"/>
      <c r="V15" s="768"/>
      <c r="W15" s="768"/>
      <c r="X15" s="768"/>
      <c r="Y15" s="768"/>
      <c r="Z15" s="768"/>
      <c r="AA15" s="768"/>
    </row>
    <row r="16" ht="30.0" customHeight="1">
      <c r="A16" s="768" t="str">
        <f t="array" ref="A16">XLOOKUP(C16,'High School Players'!D:D,'High School Players'!K:K,"NO",0,1)</f>
        <v>NO</v>
      </c>
      <c r="B16" s="975">
        <f>IFERROR(__xludf.DUMMYFUNCTION("""COMPUTED_VALUE"""),45459.96186635416)</f>
        <v>45459.96187</v>
      </c>
      <c r="C16" s="768" t="str">
        <f>IFERROR(__xludf.DUMMYFUNCTION("""COMPUTED_VALUE"""),"Felix Stork")</f>
        <v>Felix Stork</v>
      </c>
      <c r="D16" s="768" t="str">
        <f>IFERROR(__xludf.DUMMYFUNCTION("""COMPUTED_VALUE"""),"felixdodgers5@gmail.com")</f>
        <v>felixdodgers5@gmail.com</v>
      </c>
      <c r="E16" s="768" t="str">
        <f>IFERROR(__xludf.DUMMYFUNCTION("""COMPUTED_VALUE"""),"6’")</f>
        <v>6’</v>
      </c>
      <c r="F16" s="768" t="str">
        <f>IFERROR(__xludf.DUMMYFUNCTION("""COMPUTED_VALUE"""),"Left Handed Pitcher")</f>
        <v>Left Handed Pitcher</v>
      </c>
      <c r="G16" s="768" t="str">
        <f>IFERROR(__xludf.DUMMYFUNCTION("""COMPUTED_VALUE"""),"47 innings, 3.70 ERA, 60 Strikeouts. All league honorable mention. Summer (So far) 8 innings, 0 runs, 5 hits, 4 walks, 13 strikeouts.")</f>
        <v>47 innings, 3.70 ERA, 60 Strikeouts. All league honorable mention. Summer (So far) 8 innings, 0 runs, 5 hits, 4 walks, 13 strikeouts.</v>
      </c>
      <c r="H16" s="768">
        <f>IFERROR(__xludf.DUMMYFUNCTION("""COMPUTED_VALUE"""),3.97)</f>
        <v>3.97</v>
      </c>
      <c r="I16" s="768" t="str">
        <f>IFERROR(__xludf.DUMMYFUNCTION("""COMPUTED_VALUE"""),"None")</f>
        <v>None</v>
      </c>
      <c r="J16" s="768" t="str">
        <f>IFERROR(__xludf.DUMMYFUNCTION("""COMPUTED_VALUE"""),"None")</f>
        <v>None</v>
      </c>
      <c r="K16" s="768" t="str">
        <f>IFERROR(__xludf.DUMMYFUNCTION("""COMPUTED_VALUE"""),"No")</f>
        <v>No</v>
      </c>
      <c r="L16" s="768" t="str">
        <f>IFERROR(__xludf.DUMMYFUNCTION("""COMPUTED_VALUE"""),"No")</f>
        <v>No</v>
      </c>
      <c r="M16" s="768" t="str">
        <f>IFERROR(__xludf.DUMMYFUNCTION("""COMPUTED_VALUE"""),"No")</f>
        <v>No</v>
      </c>
      <c r="N16" s="768"/>
      <c r="O16" s="768"/>
      <c r="P16" s="768"/>
      <c r="Q16" s="768"/>
      <c r="R16" s="768"/>
      <c r="S16" s="768"/>
      <c r="T16" s="768"/>
      <c r="U16" s="768"/>
      <c r="V16" s="768"/>
      <c r="W16" s="768"/>
      <c r="X16" s="768"/>
      <c r="Y16" s="768"/>
      <c r="Z16" s="768"/>
      <c r="AA16" s="768"/>
    </row>
    <row r="17" ht="30.0" customHeight="1">
      <c r="A17" s="768" t="str">
        <f t="array" ref="A17">XLOOKUP(C17,'High School Players'!D:D,'High School Players'!K:K,"NO",0,1)</f>
        <v>NO</v>
      </c>
      <c r="B17" s="975">
        <f>IFERROR(__xludf.DUMMYFUNCTION("""COMPUTED_VALUE"""),45460.5040678125)</f>
        <v>45460.50407</v>
      </c>
      <c r="C17" s="768" t="str">
        <f>IFERROR(__xludf.DUMMYFUNCTION("""COMPUTED_VALUE"""),"Caleb Hill")</f>
        <v>Caleb Hill</v>
      </c>
      <c r="D17" s="768" t="str">
        <f>IFERROR(__xludf.DUMMYFUNCTION("""COMPUTED_VALUE"""),"calebjhill07@gmail.com")</f>
        <v>calebjhill07@gmail.com</v>
      </c>
      <c r="E17" s="768" t="str">
        <f>IFERROR(__xludf.DUMMYFUNCTION("""COMPUTED_VALUE"""),"5’10/ 160lbs")</f>
        <v>5’10/ 160lbs</v>
      </c>
      <c r="F17" s="768" t="str">
        <f>IFERROR(__xludf.DUMMYFUNCTION("""COMPUTED_VALUE"""),"SS")</f>
        <v>SS</v>
      </c>
      <c r="G17" s="768" t="str">
        <f>IFERROR(__xludf.DUMMYFUNCTION("""COMPUTED_VALUE"""),"highschool: .364 BA, .546 OBP, .468 SLG, 108 PA, 28 Hits, 1HR, 12 RBIs, 20 Runs, 24 walks, 9 SO, 7HBP, 22 SB")</f>
        <v>highschool: .364 BA, .546 OBP, .468 SLG, 108 PA, 28 Hits, 1HR, 12 RBIs, 20 Runs, 24 walks, 9 SO, 7HBP, 22 SB</v>
      </c>
      <c r="H17" s="768">
        <f>IFERROR(__xludf.DUMMYFUNCTION("""COMPUTED_VALUE"""),4.6)</f>
        <v>4.6</v>
      </c>
      <c r="I17" s="768" t="str">
        <f>IFERROR(__xludf.DUMMYFUNCTION("""COMPUTED_VALUE"""),"don’t have any")</f>
        <v>don’t have any</v>
      </c>
      <c r="J17" s="768" t="str">
        <f>IFERROR(__xludf.DUMMYFUNCTION("""COMPUTED_VALUE"""),"no")</f>
        <v>no</v>
      </c>
      <c r="K17" s="768" t="str">
        <f>IFERROR(__xludf.DUMMYFUNCTION("""COMPUTED_VALUE"""),"no")</f>
        <v>no</v>
      </c>
      <c r="L17" s="768" t="str">
        <f>IFERROR(__xludf.DUMMYFUNCTION("""COMPUTED_VALUE"""),"no")</f>
        <v>no</v>
      </c>
      <c r="M17" s="768" t="str">
        <f>IFERROR(__xludf.DUMMYFUNCTION("""COMPUTED_VALUE"""),"no")</f>
        <v>no</v>
      </c>
      <c r="N17" s="768"/>
      <c r="O17" s="768"/>
      <c r="P17" s="768"/>
      <c r="Q17" s="768"/>
      <c r="R17" s="768"/>
      <c r="S17" s="768"/>
      <c r="T17" s="768"/>
      <c r="U17" s="768"/>
      <c r="V17" s="768"/>
      <c r="W17" s="768"/>
      <c r="X17" s="768"/>
      <c r="Y17" s="768"/>
      <c r="Z17" s="768"/>
      <c r="AA17" s="768"/>
    </row>
    <row r="18" ht="30.0" customHeight="1">
      <c r="A18" s="768" t="str">
        <f t="array" ref="A18">XLOOKUP(C18,'High School Players'!D:D,'High School Players'!K:K,"NO",0,1)</f>
        <v>NO</v>
      </c>
      <c r="B18" s="975">
        <f>IFERROR(__xludf.DUMMYFUNCTION("""COMPUTED_VALUE"""),45460.53958256944)</f>
        <v>45460.53958</v>
      </c>
      <c r="C18" s="768" t="str">
        <f>IFERROR(__xludf.DUMMYFUNCTION("""COMPUTED_VALUE"""),"Noah Stopnik")</f>
        <v>Noah Stopnik</v>
      </c>
      <c r="D18" s="768" t="str">
        <f>IFERROR(__xludf.DUMMYFUNCTION("""COMPUTED_VALUE"""),"noahstopnik@gmail.com")</f>
        <v>noahstopnik@gmail.com</v>
      </c>
      <c r="E18" s="768" t="str">
        <f>IFERROR(__xludf.DUMMYFUNCTION("""COMPUTED_VALUE"""),"6’3” 185lbs")</f>
        <v>6’3” 185lbs</v>
      </c>
      <c r="F18" s="768" t="str">
        <f>IFERROR(__xludf.DUMMYFUNCTION("""COMPUTED_VALUE"""),"RHP")</f>
        <v>RHP</v>
      </c>
      <c r="G18" s="768" t="str">
        <f>IFERROR(__xludf.DUMMYFUNCTION("""COMPUTED_VALUE"""),"Academic First Team All State, 16 IP, 1.31 ERA, 31Ks, .078 BAA")</f>
        <v>Academic First Team All State, 16 IP, 1.31 ERA, 31Ks, .078 BAA</v>
      </c>
      <c r="H18" s="768">
        <f>IFERROR(__xludf.DUMMYFUNCTION("""COMPUTED_VALUE"""),4.14)</f>
        <v>4.14</v>
      </c>
      <c r="I18" s="768">
        <f>IFERROR(__xludf.DUMMYFUNCTION("""COMPUTED_VALUE"""),1480.0)</f>
        <v>1480</v>
      </c>
      <c r="J18" s="768" t="str">
        <f>IFERROR(__xludf.DUMMYFUNCTION("""COMPUTED_VALUE"""),"None")</f>
        <v>None</v>
      </c>
      <c r="K18" s="768" t="str">
        <f>IFERROR(__xludf.DUMMYFUNCTION("""COMPUTED_VALUE"""),"No")</f>
        <v>No</v>
      </c>
      <c r="L18" s="768" t="str">
        <f>IFERROR(__xludf.DUMMYFUNCTION("""COMPUTED_VALUE"""),"No")</f>
        <v>No</v>
      </c>
      <c r="M18" s="768" t="str">
        <f>IFERROR(__xludf.DUMMYFUNCTION("""COMPUTED_VALUE"""),"No")</f>
        <v>No</v>
      </c>
      <c r="N18" s="768"/>
      <c r="O18" s="768"/>
      <c r="P18" s="768"/>
      <c r="Q18" s="768"/>
      <c r="R18" s="768"/>
      <c r="S18" s="768"/>
      <c r="T18" s="768"/>
      <c r="U18" s="768"/>
      <c r="V18" s="768"/>
      <c r="W18" s="768"/>
      <c r="X18" s="768"/>
      <c r="Y18" s="768"/>
      <c r="Z18" s="768"/>
      <c r="AA18" s="768"/>
    </row>
    <row r="19" ht="30.0" customHeight="1">
      <c r="A19" s="768" t="str">
        <f t="array" ref="A19">XLOOKUP(C19,'High School Players'!D:D,'High School Players'!K:K,"NO",0,1)</f>
        <v>NO</v>
      </c>
      <c r="B19" s="975">
        <f>IFERROR(__xludf.DUMMYFUNCTION("""COMPUTED_VALUE"""),45460.548191678245)</f>
        <v>45460.54819</v>
      </c>
      <c r="C19" s="768" t="str">
        <f>IFERROR(__xludf.DUMMYFUNCTION("""COMPUTED_VALUE"""),"David Litle ")</f>
        <v>David Litle </v>
      </c>
      <c r="D19" s="768" t="str">
        <f>IFERROR(__xludf.DUMMYFUNCTION("""COMPUTED_VALUE"""),"dlitelitle@yahoo.com")</f>
        <v>dlitelitle@yahoo.com</v>
      </c>
      <c r="E19" s="768" t="str">
        <f>IFERROR(__xludf.DUMMYFUNCTION("""COMPUTED_VALUE"""),"5’10 175")</f>
        <v>5’10 175</v>
      </c>
      <c r="F19" s="768" t="str">
        <f>IFERROR(__xludf.DUMMYFUNCTION("""COMPUTED_VALUE"""),"Shortstop and Second Base ")</f>
        <v>Shortstop and Second Base </v>
      </c>
      <c r="G19" s="768" t="str">
        <f>IFERROR(__xludf.DUMMYFUNCTION("""COMPUTED_VALUE"""),"NA")</f>
        <v>NA</v>
      </c>
      <c r="H19" s="768">
        <f>IFERROR(__xludf.DUMMYFUNCTION("""COMPUTED_VALUE"""),4.0)</f>
        <v>4</v>
      </c>
      <c r="I19" s="768" t="str">
        <f>IFERROR(__xludf.DUMMYFUNCTION("""COMPUTED_VALUE"""),"NA")</f>
        <v>NA</v>
      </c>
      <c r="J19" s="768" t="str">
        <f>IFERROR(__xludf.DUMMYFUNCTION("""COMPUTED_VALUE"""),"Broken Arm ")</f>
        <v>Broken Arm </v>
      </c>
      <c r="K19" s="768" t="str">
        <f>IFERROR(__xludf.DUMMYFUNCTION("""COMPUTED_VALUE"""),"NA")</f>
        <v>NA</v>
      </c>
      <c r="L19" s="768" t="str">
        <f>IFERROR(__xludf.DUMMYFUNCTION("""COMPUTED_VALUE"""),"NA")</f>
        <v>NA</v>
      </c>
      <c r="M19" s="768" t="str">
        <f>IFERROR(__xludf.DUMMYFUNCTION("""COMPUTED_VALUE"""),"I have hearing loss so I get preferred seating. ")</f>
        <v>I have hearing loss so I get preferred seating. </v>
      </c>
      <c r="N19" s="768"/>
      <c r="O19" s="768"/>
      <c r="P19" s="768"/>
      <c r="Q19" s="768"/>
      <c r="R19" s="768"/>
      <c r="S19" s="768"/>
      <c r="T19" s="768"/>
      <c r="U19" s="768"/>
      <c r="V19" s="768"/>
      <c r="W19" s="768"/>
      <c r="X19" s="768"/>
      <c r="Y19" s="768"/>
      <c r="Z19" s="768"/>
      <c r="AA19" s="768"/>
    </row>
    <row r="20" ht="30.0" customHeight="1">
      <c r="A20" s="768" t="str">
        <f t="array" ref="A20">XLOOKUP(C20,'High School Players'!D:D,'High School Players'!K:K,"NO",0,1)</f>
        <v>XX</v>
      </c>
      <c r="B20" s="975">
        <f>IFERROR(__xludf.DUMMYFUNCTION("""COMPUTED_VALUE"""),45460.567088587966)</f>
        <v>45460.56709</v>
      </c>
      <c r="C20" s="768" t="str">
        <f>IFERROR(__xludf.DUMMYFUNCTION("""COMPUTED_VALUE"""),"Rowen Bergeron")</f>
        <v>Rowen Bergeron</v>
      </c>
      <c r="D20" s="768" t="str">
        <f>IFERROR(__xludf.DUMMYFUNCTION("""COMPUTED_VALUE"""),"rowenbergeron1@gmail.com")</f>
        <v>rowenbergeron1@gmail.com</v>
      </c>
      <c r="E20" s="768" t="str">
        <f>IFERROR(__xludf.DUMMYFUNCTION("""COMPUTED_VALUE"""),"Height - 6’1 Weight - 190")</f>
        <v>Height - 6’1 Weight - 190</v>
      </c>
      <c r="F20" s="768" t="str">
        <f>IFERROR(__xludf.DUMMYFUNCTION("""COMPUTED_VALUE"""),"SS, 3rd, 2nd, CF, LF, RF")</f>
        <v>SS, 3rd, 2nd, CF, LF, RF</v>
      </c>
      <c r="G20" s="768" t="str">
        <f>IFERROR(__xludf.DUMMYFUNCTION("""COMPUTED_VALUE""")," Highschool. AVG - .355, RBI - 36, 3B - 3, HR - 3, 2B - 8, OBP - .455, SLG - .570 1st Team All District, First Team All region")</f>
        <v> Highschool. AVG - .355, RBI - 36, 3B - 3, HR - 3, 2B - 8, OBP - .455, SLG - .570 1st Team All District, First Team All region</v>
      </c>
      <c r="H20" s="768">
        <f>IFERROR(__xludf.DUMMYFUNCTION("""COMPUTED_VALUE"""),4.0)</f>
        <v>4</v>
      </c>
      <c r="I20" s="768" t="str">
        <f>IFERROR(__xludf.DUMMYFUNCTION("""COMPUTED_VALUE"""),"ACT - 26")</f>
        <v>ACT - 26</v>
      </c>
      <c r="J20" s="768" t="str">
        <f>IFERROR(__xludf.DUMMYFUNCTION("""COMPUTED_VALUE"""),"None")</f>
        <v>None</v>
      </c>
      <c r="K20" s="768" t="str">
        <f>IFERROR(__xludf.DUMMYFUNCTION("""COMPUTED_VALUE"""),"None")</f>
        <v>None</v>
      </c>
      <c r="L20" s="768" t="str">
        <f>IFERROR(__xludf.DUMMYFUNCTION("""COMPUTED_VALUE"""),"None")</f>
        <v>None</v>
      </c>
      <c r="M20" s="768" t="str">
        <f>IFERROR(__xludf.DUMMYFUNCTION("""COMPUTED_VALUE"""),"None")</f>
        <v>None</v>
      </c>
      <c r="N20" s="768"/>
      <c r="O20" s="768"/>
      <c r="P20" s="768"/>
      <c r="Q20" s="768"/>
      <c r="R20" s="768"/>
      <c r="S20" s="768"/>
      <c r="T20" s="768"/>
      <c r="U20" s="768"/>
      <c r="V20" s="768"/>
      <c r="W20" s="768"/>
      <c r="X20" s="768"/>
      <c r="Y20" s="768"/>
      <c r="Z20" s="768"/>
      <c r="AA20" s="768"/>
    </row>
    <row r="21" ht="30.0" customHeight="1">
      <c r="A21" s="768" t="str">
        <f t="array" ref="A21">XLOOKUP(C21,'High School Players'!D:D,'High School Players'!K:K,"NO",0,1)</f>
        <v>NO</v>
      </c>
      <c r="B21" s="975">
        <f>IFERROR(__xludf.DUMMYFUNCTION("""COMPUTED_VALUE"""),45460.58892378472)</f>
        <v>45460.58892</v>
      </c>
      <c r="C21" s="768" t="str">
        <f>IFERROR(__xludf.DUMMYFUNCTION("""COMPUTED_VALUE"""),"Nicholas Russo ")</f>
        <v>Nicholas Russo </v>
      </c>
      <c r="D21" s="768" t="str">
        <f>IFERROR(__xludf.DUMMYFUNCTION("""COMPUTED_VALUE"""),"nickrusso2511@gmail.com")</f>
        <v>nickrusso2511@gmail.com</v>
      </c>
      <c r="E21" s="768" t="str">
        <f>IFERROR(__xludf.DUMMYFUNCTION("""COMPUTED_VALUE"""),"6,3 210")</f>
        <v>6,3 210</v>
      </c>
      <c r="F21" s="768" t="str">
        <f>IFERROR(__xludf.DUMMYFUNCTION("""COMPUTED_VALUE"""),"RHP")</f>
        <v>RHP</v>
      </c>
      <c r="G21" s="768"/>
      <c r="H21" s="768">
        <f>IFERROR(__xludf.DUMMYFUNCTION("""COMPUTED_VALUE"""),3.7)</f>
        <v>3.7</v>
      </c>
      <c r="I21" s="768">
        <f>IFERROR(__xludf.DUMMYFUNCTION("""COMPUTED_VALUE"""),25.0)</f>
        <v>25</v>
      </c>
      <c r="J21" s="768" t="str">
        <f>IFERROR(__xludf.DUMMYFUNCTION("""COMPUTED_VALUE"""),"None")</f>
        <v>None</v>
      </c>
      <c r="K21" s="768" t="str">
        <f>IFERROR(__xludf.DUMMYFUNCTION("""COMPUTED_VALUE"""),"Gluten ")</f>
        <v>Gluten </v>
      </c>
      <c r="L21" s="768" t="str">
        <f>IFERROR(__xludf.DUMMYFUNCTION("""COMPUTED_VALUE"""),"No ")</f>
        <v>No </v>
      </c>
      <c r="M21" s="768" t="str">
        <f>IFERROR(__xludf.DUMMYFUNCTION("""COMPUTED_VALUE"""),"No ")</f>
        <v>No </v>
      </c>
      <c r="N21" s="768"/>
      <c r="O21" s="768"/>
      <c r="P21" s="768"/>
      <c r="Q21" s="768"/>
      <c r="R21" s="768"/>
      <c r="S21" s="768"/>
      <c r="T21" s="768"/>
      <c r="U21" s="768"/>
      <c r="V21" s="768"/>
      <c r="W21" s="768"/>
      <c r="X21" s="768"/>
      <c r="Y21" s="768"/>
      <c r="Z21" s="768"/>
      <c r="AA21" s="768"/>
    </row>
    <row r="22" ht="30.0" customHeight="1">
      <c r="A22" s="768" t="str">
        <f t="array" ref="A22">XLOOKUP(C22,'High School Players'!D:D,'High School Players'!K:K,"NO",0,1)</f>
        <v>XX</v>
      </c>
      <c r="B22" s="975">
        <f>IFERROR(__xludf.DUMMYFUNCTION("""COMPUTED_VALUE"""),45460.614940555555)</f>
        <v>45460.61494</v>
      </c>
      <c r="C22" s="768" t="str">
        <f>IFERROR(__xludf.DUMMYFUNCTION("""COMPUTED_VALUE"""),"Nick Manning")</f>
        <v>Nick Manning</v>
      </c>
      <c r="D22" s="768" t="str">
        <f>IFERROR(__xludf.DUMMYFUNCTION("""COMPUTED_VALUE"""),"Nick.manning1234@icloud.com")</f>
        <v>Nick.manning1234@icloud.com</v>
      </c>
      <c r="E22" s="768" t="str">
        <f>IFERROR(__xludf.DUMMYFUNCTION("""COMPUTED_VALUE"""),"6’7 220lbs")</f>
        <v>6’7 220lbs</v>
      </c>
      <c r="F22" s="768" t="str">
        <f>IFERROR(__xludf.DUMMYFUNCTION("""COMPUTED_VALUE"""),"RHP")</f>
        <v>RHP</v>
      </c>
      <c r="G22" s="768"/>
      <c r="H22" s="768" t="str">
        <f>IFERROR(__xludf.DUMMYFUNCTION("""COMPUTED_VALUE"""),"3.7 cumulative weighted ")</f>
        <v>3.7 cumulative weighted </v>
      </c>
      <c r="I22" s="768" t="str">
        <f>IFERROR(__xludf.DUMMYFUNCTION("""COMPUTED_VALUE"""),"Not taken")</f>
        <v>Not taken</v>
      </c>
      <c r="J22" s="768" t="str">
        <f>IFERROR(__xludf.DUMMYFUNCTION("""COMPUTED_VALUE"""),"No")</f>
        <v>No</v>
      </c>
      <c r="K22" s="768" t="str">
        <f>IFERROR(__xludf.DUMMYFUNCTION("""COMPUTED_VALUE"""),"No")</f>
        <v>No</v>
      </c>
      <c r="L22" s="768" t="str">
        <f>IFERROR(__xludf.DUMMYFUNCTION("""COMPUTED_VALUE"""),"No")</f>
        <v>No</v>
      </c>
      <c r="M22" s="768" t="str">
        <f>IFERROR(__xludf.DUMMYFUNCTION("""COMPUTED_VALUE"""),"No")</f>
        <v>No</v>
      </c>
      <c r="N22" s="768"/>
      <c r="O22" s="768"/>
      <c r="P22" s="768"/>
      <c r="Q22" s="768"/>
      <c r="R22" s="768"/>
      <c r="S22" s="768"/>
      <c r="T22" s="768"/>
      <c r="U22" s="768"/>
      <c r="V22" s="768"/>
      <c r="W22" s="768"/>
      <c r="X22" s="768"/>
      <c r="Y22" s="768"/>
      <c r="Z22" s="768"/>
      <c r="AA22" s="768"/>
    </row>
    <row r="23" ht="30.0" customHeight="1">
      <c r="A23" s="768" t="str">
        <f t="array" ref="A23">XLOOKUP(C23,'High School Players'!D:D,'High School Players'!K:K,"NO",0,1)</f>
        <v>NO</v>
      </c>
      <c r="B23" s="975">
        <f>IFERROR(__xludf.DUMMYFUNCTION("""COMPUTED_VALUE"""),45460.82783805556)</f>
        <v>45460.82784</v>
      </c>
      <c r="C23" s="768" t="str">
        <f>IFERROR(__xludf.DUMMYFUNCTION("""COMPUTED_VALUE"""),"Collin")</f>
        <v>Collin</v>
      </c>
      <c r="D23" s="768" t="str">
        <f>IFERROR(__xludf.DUMMYFUNCTION("""COMPUTED_VALUE"""),"Pence")</f>
        <v>Pence</v>
      </c>
      <c r="E23" s="768" t="str">
        <f>IFERROR(__xludf.DUMMYFUNCTION("""COMPUTED_VALUE"""),"200 6ft 5inches")</f>
        <v>200 6ft 5inches</v>
      </c>
      <c r="F23" s="768" t="str">
        <f>IFERROR(__xludf.DUMMYFUNCTION("""COMPUTED_VALUE"""),"Rhp")</f>
        <v>Rhp</v>
      </c>
      <c r="G23" s="768" t="str">
        <f>IFERROR(__xludf.DUMMYFUNCTION("""COMPUTED_VALUE"""),"i can send u screen shots")</f>
        <v>i can send u screen shots</v>
      </c>
      <c r="H23" s="768">
        <f>IFERROR(__xludf.DUMMYFUNCTION("""COMPUTED_VALUE"""),4.24)</f>
        <v>4.24</v>
      </c>
      <c r="I23" s="768" t="str">
        <f>IFERROR(__xludf.DUMMYFUNCTION("""COMPUTED_VALUE"""),"1280 sat")</f>
        <v>1280 sat</v>
      </c>
      <c r="J23" s="768" t="str">
        <f>IFERROR(__xludf.DUMMYFUNCTION("""COMPUTED_VALUE"""),"none")</f>
        <v>none</v>
      </c>
      <c r="K23" s="768" t="str">
        <f>IFERROR(__xludf.DUMMYFUNCTION("""COMPUTED_VALUE"""),"none")</f>
        <v>none</v>
      </c>
      <c r="L23" s="768" t="str">
        <f>IFERROR(__xludf.DUMMYFUNCTION("""COMPUTED_VALUE"""),"none")</f>
        <v>none</v>
      </c>
      <c r="M23" s="768" t="str">
        <f>IFERROR(__xludf.DUMMYFUNCTION("""COMPUTED_VALUE"""),"no")</f>
        <v>no</v>
      </c>
      <c r="N23" s="768"/>
      <c r="O23" s="768"/>
      <c r="P23" s="768"/>
      <c r="Q23" s="768"/>
      <c r="R23" s="768"/>
      <c r="S23" s="768"/>
      <c r="T23" s="768"/>
      <c r="U23" s="768"/>
      <c r="V23" s="768"/>
      <c r="W23" s="768"/>
      <c r="X23" s="768"/>
      <c r="Y23" s="768"/>
      <c r="Z23" s="768"/>
      <c r="AA23" s="768"/>
    </row>
    <row r="24" ht="30.0" customHeight="1">
      <c r="A24" s="768" t="str">
        <f t="array" ref="A24">XLOOKUP(C24,'High School Players'!D:D,'High School Players'!K:K,"NO",0,1)</f>
        <v>XX</v>
      </c>
      <c r="B24" s="975">
        <f>IFERROR(__xludf.DUMMYFUNCTION("""COMPUTED_VALUE"""),45460.86099736112)</f>
        <v>45460.861</v>
      </c>
      <c r="C24" s="768" t="str">
        <f>IFERROR(__xludf.DUMMYFUNCTION("""COMPUTED_VALUE"""),"Jack Pye")</f>
        <v>Jack Pye</v>
      </c>
      <c r="D24" s="768" t="str">
        <f>IFERROR(__xludf.DUMMYFUNCTION("""COMPUTED_VALUE"""),"Jmpye011423@gmail.com")</f>
        <v>Jmpye011423@gmail.com</v>
      </c>
      <c r="E24" s="768" t="str">
        <f>IFERROR(__xludf.DUMMYFUNCTION("""COMPUTED_VALUE"""),"6’3 190")</f>
        <v>6’3 190</v>
      </c>
      <c r="F24" s="768" t="str">
        <f>IFERROR(__xludf.DUMMYFUNCTION("""COMPUTED_VALUE"""),"RHP")</f>
        <v>RHP</v>
      </c>
      <c r="G24" s="976" t="str">
        <f>IFERROR(__xludf.DUMMYFUNCTION("""COMPUTED_VALUE"""),"https://www.maxpreps.com/pa/wyndmoor/la-salle-college-explorers/athletes/jack-pye/baseball/stats/?careerid=01m1mi0b58vm6")</f>
        <v>https://www.maxpreps.com/pa/wyndmoor/la-salle-college-explorers/athletes/jack-pye/baseball/stats/?careerid=01m1mi0b58vm6</v>
      </c>
      <c r="H24" s="768">
        <f>IFERROR(__xludf.DUMMYFUNCTION("""COMPUTED_VALUE"""),3.75)</f>
        <v>3.75</v>
      </c>
      <c r="I24" s="768" t="str">
        <f>IFERROR(__xludf.DUMMYFUNCTION("""COMPUTED_VALUE"""),"1240 SAT")</f>
        <v>1240 SAT</v>
      </c>
      <c r="J24" s="768" t="str">
        <f>IFERROR(__xludf.DUMMYFUNCTION("""COMPUTED_VALUE"""),"None")</f>
        <v>None</v>
      </c>
      <c r="K24" s="768" t="str">
        <f>IFERROR(__xludf.DUMMYFUNCTION("""COMPUTED_VALUE"""),"None")</f>
        <v>None</v>
      </c>
      <c r="L24" s="768" t="str">
        <f>IFERROR(__xludf.DUMMYFUNCTION("""COMPUTED_VALUE"""),"None")</f>
        <v>None</v>
      </c>
      <c r="M24" s="768" t="str">
        <f>IFERROR(__xludf.DUMMYFUNCTION("""COMPUTED_VALUE"""),"No")</f>
        <v>No</v>
      </c>
      <c r="N24" s="768"/>
      <c r="O24" s="768"/>
      <c r="P24" s="768"/>
      <c r="Q24" s="768"/>
      <c r="R24" s="768"/>
      <c r="S24" s="768"/>
      <c r="T24" s="768"/>
      <c r="U24" s="768"/>
      <c r="V24" s="768"/>
      <c r="W24" s="768"/>
      <c r="X24" s="768"/>
      <c r="Y24" s="768"/>
      <c r="Z24" s="768"/>
      <c r="AA24" s="768"/>
    </row>
    <row r="25" ht="30.0" customHeight="1">
      <c r="A25" s="768" t="str">
        <f t="array" ref="A25">XLOOKUP(C25,'High School Players'!D:D,'High School Players'!K:K,"NO",0,1)</f>
        <v>XX</v>
      </c>
      <c r="B25" s="975">
        <f>IFERROR(__xludf.DUMMYFUNCTION("""COMPUTED_VALUE"""),45461.03842355324)</f>
        <v>45461.03842</v>
      </c>
      <c r="C25" s="768" t="str">
        <f>IFERROR(__xludf.DUMMYFUNCTION("""COMPUTED_VALUE"""),"Hunter Manning")</f>
        <v>Hunter Manning</v>
      </c>
      <c r="D25" s="768" t="str">
        <f>IFERROR(__xludf.DUMMYFUNCTION("""COMPUTED_VALUE"""),"Huntermanning10@icloud.com")</f>
        <v>Huntermanning10@icloud.com</v>
      </c>
      <c r="E25" s="768" t="str">
        <f>IFERROR(__xludf.DUMMYFUNCTION("""COMPUTED_VALUE"""),"6’5 205lbs")</f>
        <v>6’5 205lbs</v>
      </c>
      <c r="F25" s="768" t="str">
        <f>IFERROR(__xludf.DUMMYFUNCTION("""COMPUTED_VALUE"""),"RHP")</f>
        <v>RHP</v>
      </c>
      <c r="G25" s="768" t="str">
        <f>IFERROR(__xludf.DUMMYFUNCTION("""COMPUTED_VALUE"""),"51IP 64K 14BB 1.235 ERA. 2nd Team All Foothill League")</f>
        <v>51IP 64K 14BB 1.235 ERA. 2nd Team All Foothill League</v>
      </c>
      <c r="H25" s="768">
        <f>IFERROR(__xludf.DUMMYFUNCTION("""COMPUTED_VALUE"""),3.7)</f>
        <v>3.7</v>
      </c>
      <c r="I25" s="768" t="str">
        <f>IFERROR(__xludf.DUMMYFUNCTION("""COMPUTED_VALUE"""),"Have not taken them yet")</f>
        <v>Have not taken them yet</v>
      </c>
      <c r="J25" s="768" t="str">
        <f>IFERROR(__xludf.DUMMYFUNCTION("""COMPUTED_VALUE"""),"N/A")</f>
        <v>N/A</v>
      </c>
      <c r="K25" s="768" t="str">
        <f>IFERROR(__xludf.DUMMYFUNCTION("""COMPUTED_VALUE"""),"NO")</f>
        <v>NO</v>
      </c>
      <c r="L25" s="768" t="str">
        <f>IFERROR(__xludf.DUMMYFUNCTION("""COMPUTED_VALUE"""),"NO")</f>
        <v>NO</v>
      </c>
      <c r="M25" s="768" t="str">
        <f>IFERROR(__xludf.DUMMYFUNCTION("""COMPUTED_VALUE"""),"Scholar Athlete")</f>
        <v>Scholar Athlete</v>
      </c>
      <c r="N25" s="768"/>
      <c r="O25" s="768"/>
      <c r="P25" s="768"/>
      <c r="Q25" s="768"/>
      <c r="R25" s="768"/>
      <c r="S25" s="768"/>
      <c r="T25" s="768"/>
      <c r="U25" s="768"/>
      <c r="V25" s="768"/>
      <c r="W25" s="768"/>
      <c r="X25" s="768"/>
      <c r="Y25" s="768"/>
      <c r="Z25" s="768"/>
      <c r="AA25" s="768"/>
    </row>
    <row r="26" ht="30.0" customHeight="1">
      <c r="A26" s="768" t="str">
        <f t="array" ref="A26">XLOOKUP(C26,'High School Players'!D:D,'High School Players'!K:K,"NO",0,1)</f>
        <v>NO</v>
      </c>
      <c r="B26" s="975">
        <f>IFERROR(__xludf.DUMMYFUNCTION("""COMPUTED_VALUE"""),45461.63157871528)</f>
        <v>45461.63158</v>
      </c>
      <c r="C26" s="768" t="str">
        <f>IFERROR(__xludf.DUMMYFUNCTION("""COMPUTED_VALUE"""),"Teddy Juaire")</f>
        <v>Teddy Juaire</v>
      </c>
      <c r="D26" s="768" t="str">
        <f>IFERROR(__xludf.DUMMYFUNCTION("""COMPUTED_VALUE"""),"Theojuaire@gmail.com")</f>
        <v>Theojuaire@gmail.com</v>
      </c>
      <c r="E26" s="768" t="str">
        <f>IFERROR(__xludf.DUMMYFUNCTION("""COMPUTED_VALUE"""),"6’1 210 lbs")</f>
        <v>6’1 210 lbs</v>
      </c>
      <c r="F26" s="768" t="str">
        <f>IFERROR(__xludf.DUMMYFUNCTION("""COMPUTED_VALUE"""),"RHP")</f>
        <v>RHP</v>
      </c>
      <c r="G26" s="768" t="str">
        <f>IFERROR(__xludf.DUMMYFUNCTION("""COMPUTED_VALUE"""),"All Conference and Section, 1.2 ERA 40 Ks ")</f>
        <v>All Conference and Section, 1.2 ERA 40 Ks </v>
      </c>
      <c r="H26" s="768">
        <f>IFERROR(__xludf.DUMMYFUNCTION("""COMPUTED_VALUE"""),4.25)</f>
        <v>4.25</v>
      </c>
      <c r="I26" s="768" t="str">
        <f>IFERROR(__xludf.DUMMYFUNCTION("""COMPUTED_VALUE"""),"31 ACT")</f>
        <v>31 ACT</v>
      </c>
      <c r="J26" s="768" t="str">
        <f>IFERROR(__xludf.DUMMYFUNCTION("""COMPUTED_VALUE"""),"No injuries")</f>
        <v>No injuries</v>
      </c>
      <c r="K26" s="768" t="str">
        <f>IFERROR(__xludf.DUMMYFUNCTION("""COMPUTED_VALUE"""),"No")</f>
        <v>No</v>
      </c>
      <c r="L26" s="768"/>
      <c r="M26" s="768" t="str">
        <f>IFERROR(__xludf.DUMMYFUNCTION("""COMPUTED_VALUE"""),"No")</f>
        <v>No</v>
      </c>
      <c r="N26" s="768"/>
      <c r="O26" s="768"/>
      <c r="P26" s="768"/>
      <c r="Q26" s="768"/>
      <c r="R26" s="768"/>
      <c r="S26" s="768"/>
      <c r="T26" s="768"/>
      <c r="U26" s="768"/>
      <c r="V26" s="768"/>
      <c r="W26" s="768"/>
      <c r="X26" s="768"/>
      <c r="Y26" s="768"/>
      <c r="Z26" s="768"/>
      <c r="AA26" s="768"/>
    </row>
    <row r="27" ht="30.0" customHeight="1">
      <c r="A27" s="768" t="str">
        <f t="array" ref="A27">XLOOKUP(C27,'High School Players'!D:D,'High School Players'!K:K,"NO",0,1)</f>
        <v>NO</v>
      </c>
      <c r="B27" s="975">
        <f>IFERROR(__xludf.DUMMYFUNCTION("""COMPUTED_VALUE"""),45462.59204361111)</f>
        <v>45462.59204</v>
      </c>
      <c r="C27" s="768" t="str">
        <f>IFERROR(__xludf.DUMMYFUNCTION("""COMPUTED_VALUE"""),"Jake Miller")</f>
        <v>Jake Miller</v>
      </c>
      <c r="D27" s="768" t="str">
        <f>IFERROR(__xludf.DUMMYFUNCTION("""COMPUTED_VALUE"""),"millerjake2025@gmail.com")</f>
        <v>millerjake2025@gmail.com</v>
      </c>
      <c r="E27" s="768" t="str">
        <f>IFERROR(__xludf.DUMMYFUNCTION("""COMPUTED_VALUE"""),"5’11 175")</f>
        <v>5’11 175</v>
      </c>
      <c r="F27" s="768" t="str">
        <f>IFERROR(__xludf.DUMMYFUNCTION("""COMPUTED_VALUE"""),"SS, 2B, 3B")</f>
        <v>SS, 2B, 3B</v>
      </c>
      <c r="G27" s="768" t="str">
        <f>IFERROR(__xludf.DUMMYFUNCTION("""COMPUTED_VALUE"""),"SO highschool 3rd team all state. 1st team all district. Fall Avg. .400 Spring Avg. .552 ")</f>
        <v>SO highschool 3rd team all state. 1st team all district. Fall Avg. .400 Spring Avg. .552 </v>
      </c>
      <c r="H27" s="768" t="str">
        <f>IFERROR(__xludf.DUMMYFUNCTION("""COMPUTED_VALUE"""),"4.0/4.0")</f>
        <v>4.0/4.0</v>
      </c>
      <c r="I27" s="768" t="str">
        <f>IFERROR(__xludf.DUMMYFUNCTION("""COMPUTED_VALUE"""),"ACT 23")</f>
        <v>ACT 23</v>
      </c>
      <c r="J27" s="768" t="str">
        <f>IFERROR(__xludf.DUMMYFUNCTION("""COMPUTED_VALUE"""),"None besides a muscle strain.")</f>
        <v>None besides a muscle strain.</v>
      </c>
      <c r="K27" s="768" t="str">
        <f>IFERROR(__xludf.DUMMYFUNCTION("""COMPUTED_VALUE"""),"None")</f>
        <v>None</v>
      </c>
      <c r="L27" s="768" t="str">
        <f>IFERROR(__xludf.DUMMYFUNCTION("""COMPUTED_VALUE"""),"None")</f>
        <v>None</v>
      </c>
      <c r="M27" s="768" t="str">
        <f>IFERROR(__xludf.DUMMYFUNCTION("""COMPUTED_VALUE"""),"Mock Trial back to back outstanding witness and outstanding attorney award. ")</f>
        <v>Mock Trial back to back outstanding witness and outstanding attorney award. </v>
      </c>
      <c r="N27" s="768"/>
      <c r="O27" s="768"/>
      <c r="P27" s="768"/>
      <c r="Q27" s="768"/>
      <c r="R27" s="768"/>
      <c r="S27" s="768"/>
      <c r="T27" s="768"/>
      <c r="U27" s="768"/>
      <c r="V27" s="768"/>
      <c r="W27" s="768"/>
      <c r="X27" s="768"/>
      <c r="Y27" s="768"/>
      <c r="Z27" s="768"/>
      <c r="AA27" s="768"/>
    </row>
    <row r="28" ht="30.0" customHeight="1">
      <c r="A28" s="768" t="str">
        <f t="array" ref="A28">XLOOKUP(C28,'High School Players'!D:D,'High School Players'!K:K,"NO",0,1)</f>
        <v>XX</v>
      </c>
      <c r="B28" s="975">
        <f>IFERROR(__xludf.DUMMYFUNCTION("""COMPUTED_VALUE"""),45462.59890336805)</f>
        <v>45462.5989</v>
      </c>
      <c r="C28" s="768" t="str">
        <f>IFERROR(__xludf.DUMMYFUNCTION("""COMPUTED_VALUE"""),"Hayden Willey")</f>
        <v>Hayden Willey</v>
      </c>
      <c r="D28" s="768" t="str">
        <f>IFERROR(__xludf.DUMMYFUNCTION("""COMPUTED_VALUE"""),"hjwilley0316@gmail.com")</f>
        <v>hjwilley0316@gmail.com</v>
      </c>
      <c r="E28" s="768" t="str">
        <f>IFERROR(__xludf.DUMMYFUNCTION("""COMPUTED_VALUE"""),"5’10”/ 180lbs")</f>
        <v>5’10”/ 180lbs</v>
      </c>
      <c r="F28" s="768" t="str">
        <f>IFERROR(__xludf.DUMMYFUNCTION("""COMPUTED_VALUE"""),"Utility (MIF, 3b, outfield, RHP)")</f>
        <v>Utility (MIF, 3b, outfield, RHP)</v>
      </c>
      <c r="G28" s="768" t="str">
        <f>IFERROR(__xludf.DUMMYFUNCTION("""COMPUTED_VALUE"""),".387 batting average with 146 PA, ")</f>
        <v>.387 batting average with 146 PA, </v>
      </c>
      <c r="H28" s="768" t="str">
        <f>IFERROR(__xludf.DUMMYFUNCTION("""COMPUTED_VALUE"""),"3.4 unweighted ")</f>
        <v>3.4 unweighted </v>
      </c>
      <c r="I28" s="768" t="str">
        <f>IFERROR(__xludf.DUMMYFUNCTION("""COMPUTED_VALUE"""),"1080 SAT")</f>
        <v>1080 SAT</v>
      </c>
      <c r="J28" s="768" t="str">
        <f>IFERROR(__xludf.DUMMYFUNCTION("""COMPUTED_VALUE"""),"None")</f>
        <v>None</v>
      </c>
      <c r="K28" s="768" t="str">
        <f>IFERROR(__xludf.DUMMYFUNCTION("""COMPUTED_VALUE"""),"No")</f>
        <v>No</v>
      </c>
      <c r="L28" s="768" t="str">
        <f>IFERROR(__xludf.DUMMYFUNCTION("""COMPUTED_VALUE"""),"No")</f>
        <v>No</v>
      </c>
      <c r="M28" s="768" t="str">
        <f>IFERROR(__xludf.DUMMYFUNCTION("""COMPUTED_VALUE"""),"No")</f>
        <v>No</v>
      </c>
      <c r="N28" s="768"/>
      <c r="O28" s="768"/>
      <c r="P28" s="768"/>
      <c r="Q28" s="768"/>
      <c r="R28" s="768"/>
      <c r="S28" s="768"/>
      <c r="T28" s="768"/>
      <c r="U28" s="768"/>
      <c r="V28" s="768"/>
      <c r="W28" s="768"/>
      <c r="X28" s="768"/>
      <c r="Y28" s="768"/>
      <c r="Z28" s="768"/>
      <c r="AA28" s="768"/>
    </row>
    <row r="29" ht="30.0" customHeight="1">
      <c r="A29" s="768" t="str">
        <f t="array" ref="A29">XLOOKUP(C29,'High School Players'!D:D,'High School Players'!K:K,"NO",0,1)</f>
        <v>XX</v>
      </c>
      <c r="B29" s="975">
        <f>IFERROR(__xludf.DUMMYFUNCTION("""COMPUTED_VALUE"""),45462.65886795139)</f>
        <v>45462.65887</v>
      </c>
      <c r="C29" s="768" t="str">
        <f>IFERROR(__xludf.DUMMYFUNCTION("""COMPUTED_VALUE"""),"Hayden Willey")</f>
        <v>Hayden Willey</v>
      </c>
      <c r="D29" s="768" t="str">
        <f>IFERROR(__xludf.DUMMYFUNCTION("""COMPUTED_VALUE"""),"hjwilley0316@gmail.com")</f>
        <v>hjwilley0316@gmail.com</v>
      </c>
      <c r="E29" s="768" t="str">
        <f>IFERROR(__xludf.DUMMYFUNCTION("""COMPUTED_VALUE"""),"5’10”/180")</f>
        <v>5’10”/180</v>
      </c>
      <c r="F29" s="768" t="str">
        <f>IFERROR(__xludf.DUMMYFUNCTION("""COMPUTED_VALUE"""),"Utility (SS,2B,3B, Outfield, RHP")</f>
        <v>Utility (SS,2B,3B, Outfield, RHP</v>
      </c>
      <c r="G29" s="768" t="str">
        <f>IFERROR(__xludf.DUMMYFUNCTION("""COMPUTED_VALUE"""),".387 batting average junior year with 140 PA, 47 RBI, First team all district center field sophomore year, honorable mention all district shortstop junior year. ")</f>
        <v>.387 batting average junior year with 140 PA, 47 RBI, First team all district center field sophomore year, honorable mention all district shortstop junior year. </v>
      </c>
      <c r="H29" s="768" t="str">
        <f>IFERROR(__xludf.DUMMYFUNCTION("""COMPUTED_VALUE"""),"3.4 unweighted ")</f>
        <v>3.4 unweighted </v>
      </c>
      <c r="I29" s="768" t="str">
        <f>IFERROR(__xludf.DUMMYFUNCTION("""COMPUTED_VALUE"""),"1080 SAT")</f>
        <v>1080 SAT</v>
      </c>
      <c r="J29" s="768" t="str">
        <f>IFERROR(__xludf.DUMMYFUNCTION("""COMPUTED_VALUE"""),"None")</f>
        <v>None</v>
      </c>
      <c r="K29" s="768" t="str">
        <f>IFERROR(__xludf.DUMMYFUNCTION("""COMPUTED_VALUE"""),"No")</f>
        <v>No</v>
      </c>
      <c r="L29" s="768" t="str">
        <f>IFERROR(__xludf.DUMMYFUNCTION("""COMPUTED_VALUE"""),"No")</f>
        <v>No</v>
      </c>
      <c r="M29" s="768" t="str">
        <f>IFERROR(__xludf.DUMMYFUNCTION("""COMPUTED_VALUE"""),"No")</f>
        <v>No</v>
      </c>
      <c r="N29" s="768"/>
      <c r="O29" s="768"/>
      <c r="P29" s="768"/>
      <c r="Q29" s="768"/>
      <c r="R29" s="768"/>
      <c r="S29" s="768"/>
      <c r="T29" s="768"/>
      <c r="U29" s="768"/>
      <c r="V29" s="768"/>
      <c r="W29" s="768"/>
      <c r="X29" s="768"/>
      <c r="Y29" s="768"/>
      <c r="Z29" s="768"/>
      <c r="AA29" s="768"/>
    </row>
    <row r="30" ht="30.0" customHeight="1">
      <c r="A30" s="768" t="str">
        <f t="array" ref="A30">XLOOKUP(C30,'High School Players'!D:D,'High School Players'!K:K,"NO",0,1)</f>
        <v>NO</v>
      </c>
      <c r="B30" s="975">
        <f>IFERROR(__xludf.DUMMYFUNCTION("""COMPUTED_VALUE"""),45464.5169596875)</f>
        <v>45464.51696</v>
      </c>
      <c r="C30" s="768" t="str">
        <f>IFERROR(__xludf.DUMMYFUNCTION("""COMPUTED_VALUE"""),"Jack Scott ")</f>
        <v>Jack Scott </v>
      </c>
      <c r="D30" s="768" t="str">
        <f>IFERROR(__xludf.DUMMYFUNCTION("""COMPUTED_VALUE"""),"jacksonscott122@gmail.com")</f>
        <v>jacksonscott122@gmail.com</v>
      </c>
      <c r="E30" s="768" t="str">
        <f>IFERROR(__xludf.DUMMYFUNCTION("""COMPUTED_VALUE"""),"6’0")</f>
        <v>6’0</v>
      </c>
      <c r="F30" s="768" t="str">
        <f>IFERROR(__xludf.DUMMYFUNCTION("""COMPUTED_VALUE"""),"OF, 3B, 2B, SS, 1B")</f>
        <v>OF, 3B, 2B, SS, 1B</v>
      </c>
      <c r="G30" s="768" t="str">
        <f>IFERROR(__xludf.DUMMYFUNCTION("""COMPUTED_VALUE"""),"First team all state, first team all district, led 7a in batting average ")</f>
        <v>First team all state, first team all district, led 7a in batting average </v>
      </c>
      <c r="H30" s="768">
        <f>IFERROR(__xludf.DUMMYFUNCTION("""COMPUTED_VALUE"""),4.0)</f>
        <v>4</v>
      </c>
      <c r="I30" s="768" t="str">
        <f>IFERROR(__xludf.DUMMYFUNCTION("""COMPUTED_VALUE"""),"ACT: 24 SAT: N/A")</f>
        <v>ACT: 24 SAT: N/A</v>
      </c>
      <c r="J30" s="768" t="str">
        <f>IFERROR(__xludf.DUMMYFUNCTION("""COMPUTED_VALUE"""),"Growth plate fracture 2020")</f>
        <v>Growth plate fracture 2020</v>
      </c>
      <c r="K30" s="768" t="str">
        <f>IFERROR(__xludf.DUMMYFUNCTION("""COMPUTED_VALUE"""),"No")</f>
        <v>No</v>
      </c>
      <c r="L30" s="768" t="str">
        <f>IFERROR(__xludf.DUMMYFUNCTION("""COMPUTED_VALUE"""),"Wellbutrin for anxiety ")</f>
        <v>Wellbutrin for anxiety </v>
      </c>
      <c r="M30" s="768" t="str">
        <f>IFERROR(__xludf.DUMMYFUNCTION("""COMPUTED_VALUE"""),"No")</f>
        <v>No</v>
      </c>
      <c r="N30" s="768"/>
      <c r="O30" s="768"/>
      <c r="P30" s="768"/>
      <c r="Q30" s="768"/>
      <c r="R30" s="768"/>
      <c r="S30" s="768"/>
      <c r="T30" s="768"/>
      <c r="U30" s="768"/>
      <c r="V30" s="768"/>
      <c r="W30" s="768"/>
      <c r="X30" s="768"/>
      <c r="Y30" s="768"/>
      <c r="Z30" s="768"/>
      <c r="AA30" s="768"/>
    </row>
    <row r="31" ht="30.0" customHeight="1">
      <c r="A31" s="768" t="str">
        <f t="array" ref="A31">XLOOKUP(C31,'High School Players'!D:D,'High School Players'!K:K,"NO",0,1)</f>
        <v>NO</v>
      </c>
      <c r="B31" s="975">
        <f>IFERROR(__xludf.DUMMYFUNCTION("""COMPUTED_VALUE"""),45464.55092076389)</f>
        <v>45464.55092</v>
      </c>
      <c r="C31" s="768" t="str">
        <f>IFERROR(__xludf.DUMMYFUNCTION("""COMPUTED_VALUE"""),"Ryan Holman ")</f>
        <v>Ryan Holman </v>
      </c>
      <c r="D31" s="768" t="str">
        <f>IFERROR(__xludf.DUMMYFUNCTION("""COMPUTED_VALUE"""),"ryanholman2025@gmail.com")</f>
        <v>ryanholman2025@gmail.com</v>
      </c>
      <c r="E31" s="768" t="str">
        <f>IFERROR(__xludf.DUMMYFUNCTION("""COMPUTED_VALUE"""),"6’ 190")</f>
        <v>6’ 190</v>
      </c>
      <c r="F31" s="768" t="str">
        <f>IFERROR(__xludf.DUMMYFUNCTION("""COMPUTED_VALUE"""),"RHP / MIF ")</f>
        <v>RHP / MIF </v>
      </c>
      <c r="G31" s="768" t="str">
        <f>IFERROR(__xludf.DUMMYFUNCTION("""COMPUTED_VALUE"""),"4 year varsity player at Delbarton. All Conference Team 2024, Garden State Games participant 23 and 24. PBR Futures Games 23")</f>
        <v>4 year varsity player at Delbarton. All Conference Team 2024, Garden State Games participant 23 and 24. PBR Futures Games 23</v>
      </c>
      <c r="H31" s="768">
        <f>IFERROR(__xludf.DUMMYFUNCTION("""COMPUTED_VALUE"""),4.16)</f>
        <v>4.16</v>
      </c>
      <c r="I31" s="768" t="str">
        <f>IFERROR(__xludf.DUMMYFUNCTION("""COMPUTED_VALUE"""),"1230 SAT")</f>
        <v>1230 SAT</v>
      </c>
      <c r="J31" s="768" t="str">
        <f>IFERROR(__xludf.DUMMYFUNCTION("""COMPUTED_VALUE"""),"None ")</f>
        <v>None </v>
      </c>
      <c r="K31" s="768" t="str">
        <f>IFERROR(__xludf.DUMMYFUNCTION("""COMPUTED_VALUE"""),"No")</f>
        <v>No</v>
      </c>
      <c r="L31" s="768" t="str">
        <f>IFERROR(__xludf.DUMMYFUNCTION("""COMPUTED_VALUE"""),"No")</f>
        <v>No</v>
      </c>
      <c r="M31" s="768" t="str">
        <f>IFERROR(__xludf.DUMMYFUNCTION("""COMPUTED_VALUE"""),"No ")</f>
        <v>No </v>
      </c>
      <c r="N31" s="768"/>
      <c r="O31" s="768"/>
      <c r="P31" s="768"/>
      <c r="Q31" s="768"/>
      <c r="R31" s="768"/>
      <c r="S31" s="768"/>
      <c r="T31" s="768"/>
      <c r="U31" s="768"/>
      <c r="V31" s="768"/>
      <c r="W31" s="768"/>
      <c r="X31" s="768"/>
      <c r="Y31" s="768"/>
      <c r="Z31" s="768"/>
      <c r="AA31" s="768"/>
    </row>
    <row r="32" ht="30.0" customHeight="1">
      <c r="A32" s="768" t="str">
        <f t="array" ref="A32">XLOOKUP(C32,'High School Players'!D:D,'High School Players'!K:K,"NO",0,1)</f>
        <v>XX</v>
      </c>
      <c r="B32" s="975">
        <f>IFERROR(__xludf.DUMMYFUNCTION("""COMPUTED_VALUE"""),45464.92921599537)</f>
        <v>45464.92922</v>
      </c>
      <c r="C32" s="768" t="str">
        <f>IFERROR(__xludf.DUMMYFUNCTION("""COMPUTED_VALUE"""),"Brady Kaufman")</f>
        <v>Brady Kaufman</v>
      </c>
      <c r="D32" s="768" t="str">
        <f>IFERROR(__xludf.DUMMYFUNCTION("""COMPUTED_VALUE"""),"bradykaufman1111@yahoo.com")</f>
        <v>bradykaufman1111@yahoo.com</v>
      </c>
      <c r="E32" s="768" t="str">
        <f>IFERROR(__xludf.DUMMYFUNCTION("""COMPUTED_VALUE"""),"6’2 185lbs")</f>
        <v>6’2 185lbs</v>
      </c>
      <c r="F32" s="768" t="str">
        <f>IFERROR(__xludf.DUMMYFUNCTION("""COMPUTED_VALUE"""),"Pitcher/SS")</f>
        <v>Pitcher/SS</v>
      </c>
      <c r="G32" s="768" t="str">
        <f>IFERROR(__xludf.DUMMYFUNCTION("""COMPUTED_VALUE"""),"Highschool pitching: 43 innings 74 K’s 8BB 0.00ERA .121BAA")</f>
        <v>Highschool pitching: 43 innings 74 K’s 8BB 0.00ERA .121BAA</v>
      </c>
      <c r="H32" s="768">
        <f>IFERROR(__xludf.DUMMYFUNCTION("""COMPUTED_VALUE"""),3.95)</f>
        <v>3.95</v>
      </c>
      <c r="I32" s="768" t="str">
        <f>IFERROR(__xludf.DUMMYFUNCTION("""COMPUTED_VALUE"""),"Act 22")</f>
        <v>Act 22</v>
      </c>
      <c r="J32" s="768" t="str">
        <f>IFERROR(__xludf.DUMMYFUNCTION("""COMPUTED_VALUE"""),"None")</f>
        <v>None</v>
      </c>
      <c r="K32" s="768" t="str">
        <f>IFERROR(__xludf.DUMMYFUNCTION("""COMPUTED_VALUE"""),"None")</f>
        <v>None</v>
      </c>
      <c r="L32" s="768" t="str">
        <f>IFERROR(__xludf.DUMMYFUNCTION("""COMPUTED_VALUE"""),"None ")</f>
        <v>None </v>
      </c>
      <c r="M32" s="768" t="str">
        <f>IFERROR(__xludf.DUMMYFUNCTION("""COMPUTED_VALUE"""),"None")</f>
        <v>None</v>
      </c>
      <c r="N32" s="768"/>
      <c r="O32" s="768"/>
      <c r="P32" s="768"/>
      <c r="Q32" s="768"/>
      <c r="R32" s="768"/>
      <c r="S32" s="768"/>
      <c r="T32" s="768"/>
      <c r="U32" s="768"/>
      <c r="V32" s="768"/>
      <c r="W32" s="768"/>
      <c r="X32" s="768"/>
      <c r="Y32" s="768"/>
      <c r="Z32" s="768"/>
      <c r="AA32" s="768"/>
    </row>
    <row r="33" ht="30.0" customHeight="1">
      <c r="A33" s="768" t="str">
        <f t="array" ref="A33">XLOOKUP(C33,'High School Players'!D:D,'High School Players'!K:K,"NO",0,1)</f>
        <v>NO</v>
      </c>
      <c r="B33" s="975">
        <f>IFERROR(__xludf.DUMMYFUNCTION("""COMPUTED_VALUE"""),45465.52051686343)</f>
        <v>45465.52052</v>
      </c>
      <c r="C33" s="768" t="str">
        <f>IFERROR(__xludf.DUMMYFUNCTION("""COMPUTED_VALUE"""),"Bowen Powell")</f>
        <v>Bowen Powell</v>
      </c>
      <c r="D33" s="768" t="str">
        <f>IFERROR(__xludf.DUMMYFUNCTION("""COMPUTED_VALUE"""),"bowenpowell333@gmail.com")</f>
        <v>bowenpowell333@gmail.com</v>
      </c>
      <c r="E33" s="768" t="str">
        <f>IFERROR(__xludf.DUMMYFUNCTION("""COMPUTED_VALUE"""),"6’ 1”/ 175")</f>
        <v>6’ 1”/ 175</v>
      </c>
      <c r="F33" s="768" t="str">
        <f>IFERROR(__xludf.DUMMYFUNCTION("""COMPUTED_VALUE"""),"MIF/3B/OF")</f>
        <v>MIF/3B/OF</v>
      </c>
      <c r="G33" s="768" t="str">
        <f>IFERROR(__xludf.DUMMYFUNCTION("""COMPUTED_VALUE"""),"2024 GM4 Player of the year, 2023 GM4 All conference and all region")</f>
        <v>2024 GM4 Player of the year, 2023 GM4 All conference and all region</v>
      </c>
      <c r="H33" s="768">
        <f>IFERROR(__xludf.DUMMYFUNCTION("""COMPUTED_VALUE"""),4.15)</f>
        <v>4.15</v>
      </c>
      <c r="I33" s="768" t="str">
        <f>IFERROR(__xludf.DUMMYFUNCTION("""COMPUTED_VALUE"""),"SAT- 1280")</f>
        <v>SAT- 1280</v>
      </c>
      <c r="J33" s="768" t="str">
        <f>IFERROR(__xludf.DUMMYFUNCTION("""COMPUTED_VALUE"""),"N/A")</f>
        <v>N/A</v>
      </c>
      <c r="K33" s="768" t="str">
        <f>IFERROR(__xludf.DUMMYFUNCTION("""COMPUTED_VALUE"""),"Insulin- Diabetic")</f>
        <v>Insulin- Diabetic</v>
      </c>
      <c r="L33" s="768" t="str">
        <f>IFERROR(__xludf.DUMMYFUNCTION("""COMPUTED_VALUE"""),"Fiasp, Tresiba")</f>
        <v>Fiasp, Tresiba</v>
      </c>
      <c r="M33" s="768" t="str">
        <f>IFERROR(__xludf.DUMMYFUNCTION("""COMPUTED_VALUE"""),"No")</f>
        <v>No</v>
      </c>
      <c r="N33" s="768"/>
      <c r="O33" s="768"/>
      <c r="P33" s="768"/>
      <c r="Q33" s="768"/>
      <c r="R33" s="768"/>
      <c r="S33" s="768"/>
      <c r="T33" s="768"/>
      <c r="U33" s="768"/>
      <c r="V33" s="768"/>
      <c r="W33" s="768"/>
      <c r="X33" s="768"/>
      <c r="Y33" s="768"/>
      <c r="Z33" s="768"/>
      <c r="AA33" s="768"/>
    </row>
    <row r="34" ht="30.0" customHeight="1">
      <c r="A34" s="768">
        <f t="array" ref="A34">XLOOKUP(C34,'High School Players'!D:D,'High School Players'!K:K,"NO",0,1)</f>
        <v>4</v>
      </c>
      <c r="B34" s="975">
        <f>IFERROR(__xludf.DUMMYFUNCTION("""COMPUTED_VALUE"""),45465.71331293981)</f>
        <v>45465.71331</v>
      </c>
      <c r="C34" s="768" t="str">
        <f>IFERROR(__xludf.DUMMYFUNCTION("""COMPUTED_VALUE"""),"Chase Ecker")</f>
        <v>Chase Ecker</v>
      </c>
      <c r="D34" s="768" t="str">
        <f>IFERROR(__xludf.DUMMYFUNCTION("""COMPUTED_VALUE"""),"cecker05@malvernprep.org")</f>
        <v>cecker05@malvernprep.org</v>
      </c>
      <c r="E34" s="768" t="str">
        <f>IFERROR(__xludf.DUMMYFUNCTION("""COMPUTED_VALUE"""),"5’11/178lbs")</f>
        <v>5’11/178lbs</v>
      </c>
      <c r="F34" s="768" t="str">
        <f>IFERROR(__xludf.DUMMYFUNCTION("""COMPUTED_VALUE"""),"CF,OF, Athlete ")</f>
        <v>CF,OF, Athlete </v>
      </c>
      <c r="G34" s="768" t="str">
        <f>IFERROR(__xludf.DUMMYFUNCTION("""COMPUTED_VALUE"""),"Malvern Prep Baseball- Conference Champs, State Champs, played every game most of them being leadoff hitter, earned All League in the Inter Rac. Future games invite, Carpenter Cup Team, Fastest 60 time leaderboard in PA, Best in the US MLB invite. ")</f>
        <v>Malvern Prep Baseball- Conference Champs, State Champs, played every game most of them being leadoff hitter, earned All League in the Inter Rac. Future games invite, Carpenter Cup Team, Fastest 60 time leaderboard in PA, Best in the US MLB invite. </v>
      </c>
      <c r="H34" s="768">
        <f>IFERROR(__xludf.DUMMYFUNCTION("""COMPUTED_VALUE"""),4.0)</f>
        <v>4</v>
      </c>
      <c r="I34" s="768"/>
      <c r="J34" s="768" t="str">
        <f>IFERROR(__xludf.DUMMYFUNCTION("""COMPUTED_VALUE"""),"Hip Flexor Freshman year and a Hand/Wrist injury my junior season. Was still able to play through both. ")</f>
        <v>Hip Flexor Freshman year and a Hand/Wrist injury my junior season. Was still able to play through both. </v>
      </c>
      <c r="K34" s="768" t="str">
        <f>IFERROR(__xludf.DUMMYFUNCTION("""COMPUTED_VALUE"""),"No")</f>
        <v>No</v>
      </c>
      <c r="L34" s="768" t="str">
        <f>IFERROR(__xludf.DUMMYFUNCTION("""COMPUTED_VALUE"""),"No")</f>
        <v>No</v>
      </c>
      <c r="M34" s="768" t="str">
        <f>IFERROR(__xludf.DUMMYFUNCTION("""COMPUTED_VALUE"""),"No")</f>
        <v>No</v>
      </c>
      <c r="N34" s="768"/>
      <c r="O34" s="768"/>
      <c r="P34" s="768"/>
      <c r="Q34" s="768"/>
      <c r="R34" s="768"/>
      <c r="S34" s="768"/>
      <c r="T34" s="768"/>
      <c r="U34" s="768"/>
      <c r="V34" s="768"/>
      <c r="W34" s="768"/>
      <c r="X34" s="768"/>
      <c r="Y34" s="768"/>
      <c r="Z34" s="768"/>
      <c r="AA34" s="768"/>
    </row>
    <row r="35" ht="30.0" customHeight="1">
      <c r="A35" s="768" t="str">
        <f t="array" ref="A35">XLOOKUP(C35,'High School Players'!D:D,'High School Players'!K:K,"NO",0,1)</f>
        <v>NO</v>
      </c>
      <c r="B35" s="975">
        <f>IFERROR(__xludf.DUMMYFUNCTION("""COMPUTED_VALUE"""),45466.60048552083)</f>
        <v>45466.60049</v>
      </c>
      <c r="C35" s="768" t="str">
        <f>IFERROR(__xludf.DUMMYFUNCTION("""COMPUTED_VALUE"""),"Jackson clark")</f>
        <v>Jackson clark</v>
      </c>
      <c r="D35" s="768" t="str">
        <f>IFERROR(__xludf.DUMMYFUNCTION("""COMPUTED_VALUE"""),"jackson.e.clark07@gmail.com")</f>
        <v>jackson.e.clark07@gmail.com</v>
      </c>
      <c r="E35" s="768" t="str">
        <f>IFERROR(__xludf.DUMMYFUNCTION("""COMPUTED_VALUE"""),"6’2/180")</f>
        <v>6’2/180</v>
      </c>
      <c r="F35" s="768" t="str">
        <f>IFERROR(__xludf.DUMMYFUNCTION("""COMPUTED_VALUE"""),"RHP")</f>
        <v>RHP</v>
      </c>
      <c r="G35" s="768" t="str">
        <f>IFERROR(__xludf.DUMMYFUNCTION("""COMPUTED_VALUE"""),"FB T88. Summer so far: 9.2 innings- 14k - 4H - 7BB - 1ER")</f>
        <v>FB T88. Summer so far: 9.2 innings- 14k - 4H - 7BB - 1ER</v>
      </c>
      <c r="H35" s="768" t="str">
        <f>IFERROR(__xludf.DUMMYFUNCTION("""COMPUTED_VALUE"""),"3.8/5.9 weighted")</f>
        <v>3.8/5.9 weighted</v>
      </c>
      <c r="I35" s="768" t="str">
        <f>IFERROR(__xludf.DUMMYFUNCTION("""COMPUTED_VALUE"""),"27 ACT")</f>
        <v>27 ACT</v>
      </c>
      <c r="J35" s="768" t="str">
        <f>IFERROR(__xludf.DUMMYFUNCTION("""COMPUTED_VALUE"""),"Pinky surgery in April ")</f>
        <v>Pinky surgery in April </v>
      </c>
      <c r="K35" s="768" t="str">
        <f>IFERROR(__xludf.DUMMYFUNCTION("""COMPUTED_VALUE"""),"Penicillin")</f>
        <v>Penicillin</v>
      </c>
      <c r="L35" s="768" t="str">
        <f>IFERROR(__xludf.DUMMYFUNCTION("""COMPUTED_VALUE"""),"Albuderal for asthma when needed")</f>
        <v>Albuderal for asthma when needed</v>
      </c>
      <c r="M35" s="768" t="str">
        <f>IFERROR(__xludf.DUMMYFUNCTION("""COMPUTED_VALUE"""),"IB Program")</f>
        <v>IB Program</v>
      </c>
      <c r="N35" s="768"/>
      <c r="O35" s="768"/>
      <c r="P35" s="768"/>
      <c r="Q35" s="768"/>
      <c r="R35" s="768"/>
      <c r="S35" s="768"/>
      <c r="T35" s="768"/>
      <c r="U35" s="768"/>
      <c r="V35" s="768"/>
      <c r="W35" s="768"/>
      <c r="X35" s="768"/>
      <c r="Y35" s="768"/>
      <c r="Z35" s="768"/>
      <c r="AA35" s="768"/>
    </row>
    <row r="36" ht="30.0" customHeight="1">
      <c r="A36" s="768">
        <f t="array" ref="A36">XLOOKUP(C36,'High School Players'!D:D,'High School Players'!K:K,"NO",0,1)</f>
        <v>0.1</v>
      </c>
      <c r="B36" s="975">
        <f>IFERROR(__xludf.DUMMYFUNCTION("""COMPUTED_VALUE"""),45467.669448148146)</f>
        <v>45467.66945</v>
      </c>
      <c r="C36" s="768" t="str">
        <f>IFERROR(__xludf.DUMMYFUNCTION("""COMPUTED_VALUE"""),"Patrick Walsh")</f>
        <v>Patrick Walsh</v>
      </c>
      <c r="D36" s="768" t="str">
        <f>IFERROR(__xludf.DUMMYFUNCTION("""COMPUTED_VALUE"""),"walsh.patrick.2025@gmail.com")</f>
        <v>walsh.patrick.2025@gmail.com</v>
      </c>
      <c r="E36" s="768" t="str">
        <f>IFERROR(__xludf.DUMMYFUNCTION("""COMPUTED_VALUE"""),"6’1 200lbs")</f>
        <v>6’1 200lbs</v>
      </c>
      <c r="F36" s="768" t="str">
        <f>IFERROR(__xludf.DUMMYFUNCTION("""COMPUTED_VALUE"""),"1B, 3B, RHP")</f>
        <v>1B, 3B, RHP</v>
      </c>
      <c r="G36" s="768" t="str">
        <f>IFERROR(__xludf.DUMMYFUNCTION("""COMPUTED_VALUE"""),"Slash Line: 0.487/0.610/1.064 2B: 10 3B: 4 HR: 9 RBI: 38 SB: 13 BB: 22 R: 36 GP:28 PA: 105 Pitching IP: 38.2 ERA: 3.44 K:56 2024 CSAC CPOY 2024 NCBA 1st Team All-State 2024 Charlotte Observer 1st Team All-Area")</f>
        <v>Slash Line: 0.487/0.610/1.064 2B: 10 3B: 4 HR: 9 RBI: 38 SB: 13 BB: 22 R: 36 GP:28 PA: 105 Pitching IP: 38.2 ERA: 3.44 K:56 2024 CSAC CPOY 2024 NCBA 1st Team All-State 2024 Charlotte Observer 1st Team All-Area</v>
      </c>
      <c r="H36" s="768">
        <f>IFERROR(__xludf.DUMMYFUNCTION("""COMPUTED_VALUE"""),4.44)</f>
        <v>4.44</v>
      </c>
      <c r="I36" s="768" t="str">
        <f>IFERROR(__xludf.DUMMYFUNCTION("""COMPUTED_VALUE"""),"SAT:1230 ACT: Not yet Taken")</f>
        <v>SAT:1230 ACT: Not yet Taken</v>
      </c>
      <c r="J36" s="768" t="str">
        <f>IFERROR(__xludf.DUMMYFUNCTION("""COMPUTED_VALUE"""),"No Baseball Related injuries. MLC Sprain in October 2023 playing football.  Hamstring avulsion playing football in August 2022.  ")</f>
        <v>No Baseball Related injuries. MLC Sprain in October 2023 playing football.  Hamstring avulsion playing football in August 2022.  </v>
      </c>
      <c r="K36" s="768" t="str">
        <f>IFERROR(__xludf.DUMMYFUNCTION("""COMPUTED_VALUE"""),"No")</f>
        <v>No</v>
      </c>
      <c r="L36" s="768" t="str">
        <f>IFERROR(__xludf.DUMMYFUNCTION("""COMPUTED_VALUE"""),"No")</f>
        <v>No</v>
      </c>
      <c r="M36" s="768" t="str">
        <f>IFERROR(__xludf.DUMMYFUNCTION("""COMPUTED_VALUE"""),"No")</f>
        <v>No</v>
      </c>
      <c r="N36" s="768"/>
      <c r="O36" s="768"/>
      <c r="P36" s="768"/>
      <c r="Q36" s="768"/>
      <c r="R36" s="768"/>
      <c r="S36" s="768"/>
      <c r="T36" s="768"/>
      <c r="U36" s="768"/>
      <c r="V36" s="768"/>
      <c r="W36" s="768"/>
      <c r="X36" s="768"/>
      <c r="Y36" s="768"/>
      <c r="Z36" s="768"/>
      <c r="AA36" s="768"/>
    </row>
    <row r="37" ht="30.0" customHeight="1">
      <c r="A37" s="768">
        <f t="array" ref="A37">XLOOKUP(C37,'High School Players'!D:D,'High School Players'!K:K,"NO",0,1)</f>
        <v>2</v>
      </c>
      <c r="B37" s="975">
        <f>IFERROR(__xludf.DUMMYFUNCTION("""COMPUTED_VALUE"""),45467.74967145833)</f>
        <v>45467.74967</v>
      </c>
      <c r="C37" s="768" t="str">
        <f>IFERROR(__xludf.DUMMYFUNCTION("""COMPUTED_VALUE"""),"Jake Hooten")</f>
        <v>Jake Hooten</v>
      </c>
      <c r="D37" s="768" t="str">
        <f>IFERROR(__xludf.DUMMYFUNCTION("""COMPUTED_VALUE"""),"jr3hooten@gmail.com")</f>
        <v>jr3hooten@gmail.com</v>
      </c>
      <c r="E37" s="768" t="str">
        <f>IFERROR(__xludf.DUMMYFUNCTION("""COMPUTED_VALUE"""),"6,2 195 lb")</f>
        <v>6,2 195 lb</v>
      </c>
      <c r="F37" s="768" t="str">
        <f>IFERROR(__xludf.DUMMYFUNCTION("""COMPUTED_VALUE"""),"Center, Infield RHP utility")</f>
        <v>Center, Infield RHP utility</v>
      </c>
      <c r="G37" s="768" t="str">
        <f>IFERROR(__xludf.DUMMYFUNCTION("""COMPUTED_VALUE"""),"22 games .375 avg, .467 obp, .998 ops, 74PA, 24/64 hits/ab, 6 doubles, 2HR, 18R, 17rbi Team MVP, Pitching: 4-1 18 innings, 29k, .79 ERA")</f>
        <v>22 games .375 avg, .467 obp, .998 ops, 74PA, 24/64 hits/ab, 6 doubles, 2HR, 18R, 17rbi Team MVP, Pitching: 4-1 18 innings, 29k, .79 ERA</v>
      </c>
      <c r="H37" s="768">
        <f>IFERROR(__xludf.DUMMYFUNCTION("""COMPUTED_VALUE"""),4.83)</f>
        <v>4.83</v>
      </c>
      <c r="I37" s="768" t="str">
        <f>IFERROR(__xludf.DUMMYFUNCTION("""COMPUTED_VALUE"""),"34 ACT 1390 SAT")</f>
        <v>34 ACT 1390 SAT</v>
      </c>
      <c r="J37" s="768" t="str">
        <f>IFERROR(__xludf.DUMMYFUNCTION("""COMPUTED_VALUE"""),"Broken ankle/screws; Broken finger")</f>
        <v>Broken ankle/screws; Broken finger</v>
      </c>
      <c r="K37" s="768" t="str">
        <f>IFERROR(__xludf.DUMMYFUNCTION("""COMPUTED_VALUE"""),"No")</f>
        <v>No</v>
      </c>
      <c r="L37" s="768" t="str">
        <f>IFERROR(__xludf.DUMMYFUNCTION("""COMPUTED_VALUE"""),"No")</f>
        <v>No</v>
      </c>
      <c r="M37" s="768" t="str">
        <f>IFERROR(__xludf.DUMMYFUNCTION("""COMPUTED_VALUE"""),"No")</f>
        <v>No</v>
      </c>
      <c r="N37" s="768"/>
      <c r="O37" s="768"/>
      <c r="P37" s="768"/>
      <c r="Q37" s="768"/>
      <c r="R37" s="768"/>
      <c r="S37" s="768"/>
      <c r="T37" s="768"/>
      <c r="U37" s="768"/>
      <c r="V37" s="768"/>
      <c r="W37" s="768"/>
      <c r="X37" s="768"/>
      <c r="Y37" s="768"/>
      <c r="Z37" s="768"/>
      <c r="AA37" s="768"/>
    </row>
    <row r="38" ht="30.0" customHeight="1">
      <c r="A38" s="768" t="str">
        <f t="array" ref="A38">XLOOKUP(C38,'High School Players'!D:D,'High School Players'!K:K,"NO",0,1)</f>
        <v>XX</v>
      </c>
      <c r="B38" s="975">
        <f>IFERROR(__xludf.DUMMYFUNCTION("""COMPUTED_VALUE"""),45467.845607337964)</f>
        <v>45467.84561</v>
      </c>
      <c r="C38" s="768" t="str">
        <f>IFERROR(__xludf.DUMMYFUNCTION("""COMPUTED_VALUE"""),"Bryce wells")</f>
        <v>Bryce wells</v>
      </c>
      <c r="D38" s="768" t="str">
        <f>IFERROR(__xludf.DUMMYFUNCTION("""COMPUTED_VALUE"""),"Brycewells36@icloud.com")</f>
        <v>Brycewells36@icloud.com</v>
      </c>
      <c r="E38" s="768" t="str">
        <f>IFERROR(__xludf.DUMMYFUNCTION("""COMPUTED_VALUE"""),"6’1”")</f>
        <v>6’1”</v>
      </c>
      <c r="F38" s="768" t="str">
        <f>IFERROR(__xludf.DUMMYFUNCTION("""COMPUTED_VALUE"""),"Catcher, outfield")</f>
        <v>Catcher, outfield</v>
      </c>
      <c r="G38" s="768" t="str">
        <f>IFERROR(__xludf.DUMMYFUNCTION("""COMPUTED_VALUE"""),"First team all district")</f>
        <v>First team all district</v>
      </c>
      <c r="H38" s="768">
        <f>IFERROR(__xludf.DUMMYFUNCTION("""COMPUTED_VALUE"""),3.75)</f>
        <v>3.75</v>
      </c>
      <c r="I38" s="768" t="str">
        <f>IFERROR(__xludf.DUMMYFUNCTION("""COMPUTED_VALUE"""),"1000. Going to retake in the fall")</f>
        <v>1000. Going to retake in the fall</v>
      </c>
      <c r="J38" s="768" t="str">
        <f>IFERROR(__xludf.DUMMYFUNCTION("""COMPUTED_VALUE"""),"None ")</f>
        <v>None </v>
      </c>
      <c r="K38" s="768" t="str">
        <f>IFERROR(__xludf.DUMMYFUNCTION("""COMPUTED_VALUE"""),"None")</f>
        <v>None</v>
      </c>
      <c r="L38" s="768" t="str">
        <f>IFERROR(__xludf.DUMMYFUNCTION("""COMPUTED_VALUE"""),"None")</f>
        <v>None</v>
      </c>
      <c r="M38" s="768" t="str">
        <f>IFERROR(__xludf.DUMMYFUNCTION("""COMPUTED_VALUE"""),"None")</f>
        <v>None</v>
      </c>
      <c r="N38" s="768"/>
      <c r="O38" s="768"/>
      <c r="P38" s="768"/>
      <c r="Q38" s="768"/>
      <c r="R38" s="768"/>
      <c r="S38" s="768"/>
      <c r="T38" s="768"/>
      <c r="U38" s="768"/>
      <c r="V38" s="768"/>
      <c r="W38" s="768"/>
      <c r="X38" s="768"/>
      <c r="Y38" s="768"/>
      <c r="Z38" s="768"/>
      <c r="AA38" s="768"/>
    </row>
    <row r="39" ht="30.0" customHeight="1">
      <c r="A39" s="768" t="str">
        <f t="array" ref="A39">XLOOKUP(C39,'High School Players'!D:D,'High School Players'!K:K,"NO",0,1)</f>
        <v>NO</v>
      </c>
      <c r="B39" s="975">
        <f>IFERROR(__xludf.DUMMYFUNCTION("""COMPUTED_VALUE"""),45468.70311431713)</f>
        <v>45468.70311</v>
      </c>
      <c r="C39" s="768" t="str">
        <f>IFERROR(__xludf.DUMMYFUNCTION("""COMPUTED_VALUE"""),"JD Mace ")</f>
        <v>JD Mace </v>
      </c>
      <c r="D39" s="768" t="str">
        <f>IFERROR(__xludf.DUMMYFUNCTION("""COMPUTED_VALUE"""),"jdmace810@gmail.com")</f>
        <v>jdmace810@gmail.com</v>
      </c>
      <c r="E39" s="768" t="str">
        <f>IFERROR(__xludf.DUMMYFUNCTION("""COMPUTED_VALUE"""),"6’6 210")</f>
        <v>6’6 210</v>
      </c>
      <c r="F39" s="768" t="str">
        <f>IFERROR(__xludf.DUMMYFUNCTION("""COMPUTED_VALUE"""),"RHP")</f>
        <v>RHP</v>
      </c>
      <c r="G39" s="768"/>
      <c r="H39" s="768">
        <f>IFERROR(__xludf.DUMMYFUNCTION("""COMPUTED_VALUE"""),3.9)</f>
        <v>3.9</v>
      </c>
      <c r="I39" s="768" t="str">
        <f>IFERROR(__xludf.DUMMYFUNCTION("""COMPUTED_VALUE"""),"SAT 980")</f>
        <v>SAT 980</v>
      </c>
      <c r="J39" s="768" t="str">
        <f>IFERROR(__xludf.DUMMYFUNCTION("""COMPUTED_VALUE"""),"Shoulder injury ")</f>
        <v>Shoulder injury </v>
      </c>
      <c r="K39" s="768" t="str">
        <f>IFERROR(__xludf.DUMMYFUNCTION("""COMPUTED_VALUE"""),"No")</f>
        <v>No</v>
      </c>
      <c r="L39" s="768" t="str">
        <f>IFERROR(__xludf.DUMMYFUNCTION("""COMPUTED_VALUE"""),"No")</f>
        <v>No</v>
      </c>
      <c r="M39" s="768" t="str">
        <f>IFERROR(__xludf.DUMMYFUNCTION("""COMPUTED_VALUE"""),"No")</f>
        <v>No</v>
      </c>
      <c r="N39" s="768"/>
      <c r="O39" s="768"/>
      <c r="P39" s="768"/>
      <c r="Q39" s="768"/>
      <c r="R39" s="768"/>
      <c r="S39" s="768"/>
      <c r="T39" s="768"/>
      <c r="U39" s="768"/>
      <c r="V39" s="768"/>
      <c r="W39" s="768"/>
      <c r="X39" s="768"/>
      <c r="Y39" s="768"/>
      <c r="Z39" s="768"/>
      <c r="AA39" s="768"/>
    </row>
    <row r="40" ht="30.0" customHeight="1">
      <c r="A40" s="768" t="str">
        <f t="array" ref="A40">XLOOKUP(C40,'High School Players'!D:D,'High School Players'!K:K,"NO",0,1)</f>
        <v>NO</v>
      </c>
      <c r="B40" s="975">
        <f>IFERROR(__xludf.DUMMYFUNCTION("""COMPUTED_VALUE"""),45469.64565472222)</f>
        <v>45469.64565</v>
      </c>
      <c r="C40" s="768" t="str">
        <f>IFERROR(__xludf.DUMMYFUNCTION("""COMPUTED_VALUE"""),"Caden Worbington")</f>
        <v>Caden Worbington</v>
      </c>
      <c r="D40" s="768" t="str">
        <f>IFERROR(__xludf.DUMMYFUNCTION("""COMPUTED_VALUE"""),"Worbo7@icloud.com")</f>
        <v>Worbo7@icloud.com</v>
      </c>
      <c r="E40" s="768" t="str">
        <f>IFERROR(__xludf.DUMMYFUNCTION("""COMPUTED_VALUE"""),"6’3/190 lb")</f>
        <v>6’3/190 lb</v>
      </c>
      <c r="F40" s="768" t="str">
        <f>IFERROR(__xludf.DUMMYFUNCTION("""COMPUTED_VALUE"""),"Pitcher")</f>
        <v>Pitcher</v>
      </c>
      <c r="G40" s="768" t="str">
        <f>IFERROR(__xludf.DUMMYFUNCTION("""COMPUTED_VALUE"""),"High school : 50 innings pitched, 74 Ks, 1.12 era, .165 opponent ba ")</f>
        <v>High school : 50 innings pitched, 74 Ks, 1.12 era, .165 opponent ba </v>
      </c>
      <c r="H40" s="768">
        <f>IFERROR(__xludf.DUMMYFUNCTION("""COMPUTED_VALUE"""),4.46)</f>
        <v>4.46</v>
      </c>
      <c r="I40" s="768">
        <f>IFERROR(__xludf.DUMMYFUNCTION("""COMPUTED_VALUE"""),24.0)</f>
        <v>24</v>
      </c>
      <c r="J40" s="768" t="str">
        <f>IFERROR(__xludf.DUMMYFUNCTION("""COMPUTED_VALUE"""),"None")</f>
        <v>None</v>
      </c>
      <c r="K40" s="768" t="str">
        <f>IFERROR(__xludf.DUMMYFUNCTION("""COMPUTED_VALUE"""),"No")</f>
        <v>No</v>
      </c>
      <c r="L40" s="768" t="str">
        <f>IFERROR(__xludf.DUMMYFUNCTION("""COMPUTED_VALUE"""),"No")</f>
        <v>No</v>
      </c>
      <c r="M40" s="768" t="str">
        <f>IFERROR(__xludf.DUMMYFUNCTION("""COMPUTED_VALUE"""),"No")</f>
        <v>No</v>
      </c>
      <c r="N40" s="768"/>
      <c r="O40" s="768"/>
      <c r="P40" s="768"/>
      <c r="Q40" s="768"/>
      <c r="R40" s="768"/>
      <c r="S40" s="768"/>
      <c r="T40" s="768"/>
      <c r="U40" s="768"/>
      <c r="V40" s="768"/>
      <c r="W40" s="768"/>
      <c r="X40" s="768"/>
      <c r="Y40" s="768"/>
      <c r="Z40" s="768"/>
      <c r="AA40" s="768"/>
    </row>
    <row r="41" ht="30.0" customHeight="1">
      <c r="A41" s="768" t="str">
        <f t="array" ref="A41">XLOOKUP(C41,'High School Players'!D:D,'High School Players'!K:K,"NO",0,1)</f>
        <v>XX</v>
      </c>
      <c r="B41" s="975">
        <f>IFERROR(__xludf.DUMMYFUNCTION("""COMPUTED_VALUE"""),45469.67545459491)</f>
        <v>45469.67545</v>
      </c>
      <c r="C41" s="768" t="str">
        <f>IFERROR(__xludf.DUMMYFUNCTION("""COMPUTED_VALUE"""),"Brady Kaufman")</f>
        <v>Brady Kaufman</v>
      </c>
      <c r="D41" s="768" t="str">
        <f>IFERROR(__xludf.DUMMYFUNCTION("""COMPUTED_VALUE"""),"bradykaufman1111@yahoo.com")</f>
        <v>bradykaufman1111@yahoo.com</v>
      </c>
      <c r="E41" s="768" t="str">
        <f>IFERROR(__xludf.DUMMYFUNCTION("""COMPUTED_VALUE"""),"6’2   185lbs")</f>
        <v>6’2   185lbs</v>
      </c>
      <c r="F41" s="768" t="str">
        <f>IFERROR(__xludf.DUMMYFUNCTION("""COMPUTED_VALUE"""),"RHP/SS")</f>
        <v>RHP/SS</v>
      </c>
      <c r="G41" s="768" t="str">
        <f>IFERROR(__xludf.DUMMYFUNCTION("""COMPUTED_VALUE"""),"Highschool pitching: 43 innings, 74 k’s, 0.00 ERA, 8-0 record.")</f>
        <v>Highschool pitching: 43 innings, 74 k’s, 0.00 ERA, 8-0 record.</v>
      </c>
      <c r="H41" s="768" t="str">
        <f>IFERROR(__xludf.DUMMYFUNCTION("""COMPUTED_VALUE"""),"3.95 unweighted")</f>
        <v>3.95 unweighted</v>
      </c>
      <c r="I41" s="768" t="str">
        <f>IFERROR(__xludf.DUMMYFUNCTION("""COMPUTED_VALUE"""),"22 act")</f>
        <v>22 act</v>
      </c>
      <c r="J41" s="768" t="str">
        <f>IFERROR(__xludf.DUMMYFUNCTION("""COMPUTED_VALUE"""),"None")</f>
        <v>None</v>
      </c>
      <c r="K41" s="768" t="str">
        <f>IFERROR(__xludf.DUMMYFUNCTION("""COMPUTED_VALUE"""),"None")</f>
        <v>None</v>
      </c>
      <c r="L41" s="768" t="str">
        <f>IFERROR(__xludf.DUMMYFUNCTION("""COMPUTED_VALUE"""),"None")</f>
        <v>None</v>
      </c>
      <c r="M41" s="768" t="str">
        <f>IFERROR(__xludf.DUMMYFUNCTION("""COMPUTED_VALUE"""),"None")</f>
        <v>None</v>
      </c>
      <c r="N41" s="768"/>
      <c r="O41" s="768"/>
      <c r="P41" s="768"/>
      <c r="Q41" s="768"/>
      <c r="R41" s="768"/>
      <c r="S41" s="768"/>
      <c r="T41" s="768"/>
      <c r="U41" s="768"/>
      <c r="V41" s="768"/>
      <c r="W41" s="768"/>
      <c r="X41" s="768"/>
      <c r="Y41" s="768"/>
      <c r="Z41" s="768"/>
      <c r="AA41" s="768"/>
    </row>
    <row r="42" ht="30.0" customHeight="1">
      <c r="A42" s="768" t="str">
        <f t="array" ref="A42">XLOOKUP(C42,'High School Players'!D:D,'High School Players'!K:K,"NO",0,1)</f>
        <v>XX</v>
      </c>
      <c r="B42" s="975">
        <f>IFERROR(__xludf.DUMMYFUNCTION("""COMPUTED_VALUE"""),45469.76591652777)</f>
        <v>45469.76592</v>
      </c>
      <c r="C42" s="768" t="str">
        <f>IFERROR(__xludf.DUMMYFUNCTION("""COMPUTED_VALUE"""),"Connor Cavo")</f>
        <v>Connor Cavo</v>
      </c>
      <c r="D42" s="768" t="str">
        <f>IFERROR(__xludf.DUMMYFUNCTION("""COMPUTED_VALUE"""),"Connorcavo75@gmail.com")</f>
        <v>Connorcavo75@gmail.com</v>
      </c>
      <c r="E42" s="768" t="str">
        <f>IFERROR(__xludf.DUMMYFUNCTION("""COMPUTED_VALUE"""),"6’4 180lbs")</f>
        <v>6’4 180lbs</v>
      </c>
      <c r="F42" s="768" t="str">
        <f>IFERROR(__xludf.DUMMYFUNCTION("""COMPUTED_VALUE"""),"RHP")</f>
        <v>RHP</v>
      </c>
      <c r="G42" s="768" t="str">
        <f>IFERROR(__xludf.DUMMYFUNCTION("""COMPUTED_VALUE"""),"Summer ERA: 1.60        School ERA: 3.15–62 Innings—62 strikeouts")</f>
        <v>Summer ERA: 1.60        School ERA: 3.15–62 Innings—62 strikeouts</v>
      </c>
      <c r="H42" s="768">
        <f>IFERROR(__xludf.DUMMYFUNCTION("""COMPUTED_VALUE"""),4.14)</f>
        <v>4.14</v>
      </c>
      <c r="I42" s="768" t="str">
        <f>IFERROR(__xludf.DUMMYFUNCTION("""COMPUTED_VALUE"""),"ACT:27")</f>
        <v>ACT:27</v>
      </c>
      <c r="J42" s="768" t="str">
        <f>IFERROR(__xludf.DUMMYFUNCTION("""COMPUTED_VALUE"""),"No surgeries")</f>
        <v>No surgeries</v>
      </c>
      <c r="K42" s="768" t="str">
        <f>IFERROR(__xludf.DUMMYFUNCTION("""COMPUTED_VALUE"""),"No")</f>
        <v>No</v>
      </c>
      <c r="L42" s="768" t="str">
        <f>IFERROR(__xludf.DUMMYFUNCTION("""COMPUTED_VALUE"""),"No")</f>
        <v>No</v>
      </c>
      <c r="M42" s="768" t="str">
        <f>IFERROR(__xludf.DUMMYFUNCTION("""COMPUTED_VALUE"""),"No")</f>
        <v>No</v>
      </c>
      <c r="N42" s="768"/>
      <c r="O42" s="768"/>
      <c r="P42" s="768"/>
      <c r="Q42" s="768"/>
      <c r="R42" s="768"/>
      <c r="S42" s="768"/>
      <c r="T42" s="768"/>
      <c r="U42" s="768"/>
      <c r="V42" s="768"/>
      <c r="W42" s="768"/>
      <c r="X42" s="768"/>
      <c r="Y42" s="768"/>
      <c r="Z42" s="768"/>
      <c r="AA42" s="768"/>
    </row>
    <row r="43" ht="30.0" customHeight="1">
      <c r="A43" s="768" t="str">
        <f t="array" ref="A43">XLOOKUP(C43,'High School Players'!D:D,'High School Players'!K:K,"NO",0,1)</f>
        <v>NO</v>
      </c>
      <c r="B43" s="975">
        <f>IFERROR(__xludf.DUMMYFUNCTION("""COMPUTED_VALUE"""),45470.60772454861)</f>
        <v>45470.60772</v>
      </c>
      <c r="C43" s="768" t="str">
        <f>IFERROR(__xludf.DUMMYFUNCTION("""COMPUTED_VALUE"""),"Jack Cullison")</f>
        <v>Jack Cullison</v>
      </c>
      <c r="D43" s="768" t="str">
        <f>IFERROR(__xludf.DUMMYFUNCTION("""COMPUTED_VALUE"""),"jackcullison35@gmail.com")</f>
        <v>jackcullison35@gmail.com</v>
      </c>
      <c r="E43" s="768" t="str">
        <f>IFERROR(__xludf.DUMMYFUNCTION("""COMPUTED_VALUE"""),"6’2 215")</f>
        <v>6’2 215</v>
      </c>
      <c r="F43" s="768" t="str">
        <f>IFERROR(__xludf.DUMMYFUNCTION("""COMPUTED_VALUE"""),"INF/C")</f>
        <v>INF/C</v>
      </c>
      <c r="G43" s="768" t="str">
        <f>IFERROR(__xludf.DUMMYFUNCTION("""COMPUTED_VALUE"""),"GEL First Team All League")</f>
        <v>GEL First Team All League</v>
      </c>
      <c r="H43" s="768">
        <f>IFERROR(__xludf.DUMMYFUNCTION("""COMPUTED_VALUE"""),4.45)</f>
        <v>4.45</v>
      </c>
      <c r="I43" s="768">
        <f>IFERROR(__xludf.DUMMYFUNCTION("""COMPUTED_VALUE"""),1350.0)</f>
        <v>1350</v>
      </c>
      <c r="J43" s="768" t="str">
        <f>IFERROR(__xludf.DUMMYFUNCTION("""COMPUTED_VALUE"""),"Pinky surgery x2 2022")</f>
        <v>Pinky surgery x2 2022</v>
      </c>
      <c r="K43" s="768" t="str">
        <f>IFERROR(__xludf.DUMMYFUNCTION("""COMPUTED_VALUE"""),"N/A")</f>
        <v>N/A</v>
      </c>
      <c r="L43" s="768" t="str">
        <f>IFERROR(__xludf.DUMMYFUNCTION("""COMPUTED_VALUE"""),"N/A")</f>
        <v>N/A</v>
      </c>
      <c r="M43" s="768" t="str">
        <f>IFERROR(__xludf.DUMMYFUNCTION("""COMPUTED_VALUE"""),"N/A")</f>
        <v>N/A</v>
      </c>
      <c r="N43" s="768"/>
      <c r="O43" s="768"/>
      <c r="P43" s="768"/>
      <c r="Q43" s="768"/>
      <c r="R43" s="768"/>
      <c r="S43" s="768"/>
      <c r="T43" s="768"/>
      <c r="U43" s="768"/>
      <c r="V43" s="768"/>
      <c r="W43" s="768"/>
      <c r="X43" s="768"/>
      <c r="Y43" s="768"/>
      <c r="Z43" s="768"/>
      <c r="AA43" s="768"/>
    </row>
    <row r="44" ht="30.0" customHeight="1">
      <c r="A44" s="768" t="str">
        <f t="array" ref="A44">XLOOKUP(C44,'High School Players'!D:D,'High School Players'!K:K,"NO",0,1)</f>
        <v>NO</v>
      </c>
      <c r="B44" s="975">
        <f>IFERROR(__xludf.DUMMYFUNCTION("""COMPUTED_VALUE"""),45470.63168091435)</f>
        <v>45470.63168</v>
      </c>
      <c r="C44" s="768" t="str">
        <f>IFERROR(__xludf.DUMMYFUNCTION("""COMPUTED_VALUE"""),"Madux Iovinelli")</f>
        <v>Madux Iovinelli</v>
      </c>
      <c r="D44" s="768" t="str">
        <f>IFERROR(__xludf.DUMMYFUNCTION("""COMPUTED_VALUE"""),"Madux25@gmail.com")</f>
        <v>Madux25@gmail.com</v>
      </c>
      <c r="E44" s="768" t="str">
        <f>IFERROR(__xludf.DUMMYFUNCTION("""COMPUTED_VALUE"""),"6'4"" 195lbs")</f>
        <v>6'4" 195lbs</v>
      </c>
      <c r="F44" s="768" t="str">
        <f>IFERROR(__xludf.DUMMYFUNCTION("""COMPUTED_VALUE"""),"LHP/1B/OF")</f>
        <v>LHP/1B/OF</v>
      </c>
      <c r="G44" s="768" t="str">
        <f>IFERROR(__xludf.DUMMYFUNCTION("""COMPUTED_VALUE"""),"LHS: 486 AVG / 5 HRS / 34 H / 15 XBH / 19 RBI / .576 OBP / .857 SLG / 1st Team All Star CAL League ")</f>
        <v>LHS: 486 AVG / 5 HRS / 34 H / 15 XBH / 19 RBI / .576 OBP / .857 SLG / 1st Team All Star CAL League </v>
      </c>
      <c r="H44" s="768">
        <f>IFERROR(__xludf.DUMMYFUNCTION("""COMPUTED_VALUE"""),3.5)</f>
        <v>3.5</v>
      </c>
      <c r="I44" s="768"/>
      <c r="J44" s="768"/>
      <c r="K44" s="768"/>
      <c r="L44" s="768"/>
      <c r="M44" s="768" t="str">
        <f>IFERROR(__xludf.DUMMYFUNCTION("""COMPUTED_VALUE"""),"Yes IEP with minimal accommodations")</f>
        <v>Yes IEP with minimal accommodations</v>
      </c>
      <c r="N44" s="768"/>
      <c r="O44" s="768"/>
      <c r="P44" s="768"/>
      <c r="Q44" s="768"/>
      <c r="R44" s="768"/>
      <c r="S44" s="768"/>
      <c r="T44" s="768"/>
      <c r="U44" s="768"/>
      <c r="V44" s="768"/>
      <c r="W44" s="768"/>
      <c r="X44" s="768"/>
      <c r="Y44" s="768"/>
      <c r="Z44" s="768"/>
      <c r="AA44" s="768"/>
    </row>
    <row r="45" ht="30.0" customHeight="1">
      <c r="A45" s="768" t="str">
        <f t="array" ref="A45">XLOOKUP(C45,'High School Players'!D:D,'High School Players'!K:K,"NO",0,1)</f>
        <v>NO</v>
      </c>
      <c r="B45" s="975">
        <f>IFERROR(__xludf.DUMMYFUNCTION("""COMPUTED_VALUE"""),45471.75240773148)</f>
        <v>45471.75241</v>
      </c>
      <c r="C45" s="768" t="str">
        <f>IFERROR(__xludf.DUMMYFUNCTION("""COMPUTED_VALUE"""),"Ayden Wall")</f>
        <v>Ayden Wall</v>
      </c>
      <c r="D45" s="768" t="str">
        <f>IFERROR(__xludf.DUMMYFUNCTION("""COMPUTED_VALUE"""),"aydenwall14@gmail.com")</f>
        <v>aydenwall14@gmail.com</v>
      </c>
      <c r="E45" s="768" t="str">
        <f>IFERROR(__xludf.DUMMYFUNCTION("""COMPUTED_VALUE"""),"6’2 180")</f>
        <v>6’2 180</v>
      </c>
      <c r="F45" s="768" t="str">
        <f>IFERROR(__xludf.DUMMYFUNCTION("""COMPUTED_VALUE"""),"C/Lf/Rf")</f>
        <v>C/Lf/Rf</v>
      </c>
      <c r="G45" s="768" t="str">
        <f>IFERROR(__xludf.DUMMYFUNCTION("""COMPUTED_VALUE"""),".355 hs ba, .450 conference avg. all conference , all region , 2023 pbr future games")</f>
        <v>.355 hs ba, .450 conference avg. all conference , all region , 2023 pbr future games</v>
      </c>
      <c r="H45" s="768">
        <f>IFERROR(__xludf.DUMMYFUNCTION("""COMPUTED_VALUE"""),4.02)</f>
        <v>4.02</v>
      </c>
      <c r="I45" s="768" t="str">
        <f>IFERROR(__xludf.DUMMYFUNCTION("""COMPUTED_VALUE"""),"Act- 20")</f>
        <v>Act- 20</v>
      </c>
      <c r="J45" s="768" t="str">
        <f>IFERROR(__xludf.DUMMYFUNCTION("""COMPUTED_VALUE"""),"None")</f>
        <v>None</v>
      </c>
      <c r="K45" s="768" t="str">
        <f>IFERROR(__xludf.DUMMYFUNCTION("""COMPUTED_VALUE"""),"None")</f>
        <v>None</v>
      </c>
      <c r="L45" s="768" t="str">
        <f>IFERROR(__xludf.DUMMYFUNCTION("""COMPUTED_VALUE"""),"None")</f>
        <v>None</v>
      </c>
      <c r="M45" s="768" t="str">
        <f>IFERROR(__xludf.DUMMYFUNCTION("""COMPUTED_VALUE"""),"None")</f>
        <v>None</v>
      </c>
      <c r="N45" s="768"/>
      <c r="O45" s="768"/>
      <c r="P45" s="768"/>
      <c r="Q45" s="768"/>
      <c r="R45" s="768"/>
      <c r="S45" s="768"/>
      <c r="T45" s="768"/>
      <c r="U45" s="768"/>
      <c r="V45" s="768"/>
      <c r="W45" s="768"/>
      <c r="X45" s="768"/>
      <c r="Y45" s="768"/>
      <c r="Z45" s="768"/>
      <c r="AA45" s="768"/>
    </row>
    <row r="46" ht="30.0" customHeight="1">
      <c r="A46" s="768" t="str">
        <f t="array" ref="A46">XLOOKUP(C46,'High School Players'!D:D,'High School Players'!K:K,"NO",0,1)</f>
        <v>NO</v>
      </c>
      <c r="B46" s="975">
        <f>IFERROR(__xludf.DUMMYFUNCTION("""COMPUTED_VALUE"""),45472.48929865741)</f>
        <v>45472.4893</v>
      </c>
      <c r="C46" s="768" t="str">
        <f>IFERROR(__xludf.DUMMYFUNCTION("""COMPUTED_VALUE"""),"Holden Phillips")</f>
        <v>Holden Phillips</v>
      </c>
      <c r="D46" s="768" t="str">
        <f>IFERROR(__xludf.DUMMYFUNCTION("""COMPUTED_VALUE"""),"holdenphillips2025@att.net")</f>
        <v>holdenphillips2025@att.net</v>
      </c>
      <c r="E46" s="768" t="str">
        <f>IFERROR(__xludf.DUMMYFUNCTION("""COMPUTED_VALUE"""),"6”1/ 195 ")</f>
        <v>6”1/ 195 </v>
      </c>
      <c r="F46" s="768" t="str">
        <f>IFERROR(__xludf.DUMMYFUNCTION("""COMPUTED_VALUE"""),"iNF")</f>
        <v>iNF</v>
      </c>
      <c r="G46" s="768" t="str">
        <f>IFERROR(__xludf.DUMMYFUNCTION("""COMPUTED_VALUE"""),"Summer: .386/ 21 H/ 7 2B/ 3 3B/ 1 HR/ .538 SLG.        Highschool: .402/ .510 OBP/ 41 H/ 12 2B/ 3 3B/ 2 HR .991 fielding percentage on 98 attempts 15 SB/ 1.000 SB%")</f>
        <v>Summer: .386/ 21 H/ 7 2B/ 3 3B/ 1 HR/ .538 SLG.        Highschool: .402/ .510 OBP/ 41 H/ 12 2B/ 3 3B/ 2 HR .991 fielding percentage on 98 attempts 15 SB/ 1.000 SB%</v>
      </c>
      <c r="H46" s="768">
        <f>IFERROR(__xludf.DUMMYFUNCTION("""COMPUTED_VALUE"""),4.1)</f>
        <v>4.1</v>
      </c>
      <c r="I46" s="768" t="str">
        <f>IFERROR(__xludf.DUMMYFUNCTION("""COMPUTED_VALUE"""),"SAT: 1200")</f>
        <v>SAT: 1200</v>
      </c>
      <c r="J46" s="768" t="str">
        <f>IFERROR(__xludf.DUMMYFUNCTION("""COMPUTED_VALUE"""),"Dislocated Shoulder/ no surgery ")</f>
        <v>Dislocated Shoulder/ no surgery </v>
      </c>
      <c r="K46" s="768" t="str">
        <f>IFERROR(__xludf.DUMMYFUNCTION("""COMPUTED_VALUE"""),"No")</f>
        <v>No</v>
      </c>
      <c r="L46" s="768" t="str">
        <f>IFERROR(__xludf.DUMMYFUNCTION("""COMPUTED_VALUE"""),"No")</f>
        <v>No</v>
      </c>
      <c r="M46" s="768" t="str">
        <f>IFERROR(__xludf.DUMMYFUNCTION("""COMPUTED_VALUE"""),"No")</f>
        <v>No</v>
      </c>
      <c r="N46" s="768"/>
      <c r="O46" s="768"/>
      <c r="P46" s="768"/>
      <c r="Q46" s="768"/>
      <c r="R46" s="768"/>
      <c r="S46" s="768"/>
      <c r="T46" s="768"/>
      <c r="U46" s="768"/>
      <c r="V46" s="768"/>
      <c r="W46" s="768"/>
      <c r="X46" s="768"/>
      <c r="Y46" s="768"/>
      <c r="Z46" s="768"/>
      <c r="AA46" s="768"/>
    </row>
    <row r="47" ht="30.0" customHeight="1">
      <c r="A47" s="768" t="str">
        <f t="array" ref="A47">XLOOKUP(C47,'High School Players'!D:D,'High School Players'!K:K,"NO",0,1)</f>
        <v>NO</v>
      </c>
      <c r="B47" s="975">
        <f>IFERROR(__xludf.DUMMYFUNCTION("""COMPUTED_VALUE"""),45472.500894826386)</f>
        <v>45472.50089</v>
      </c>
      <c r="C47" s="768" t="str">
        <f>IFERROR(__xludf.DUMMYFUNCTION("""COMPUTED_VALUE"""),"James Will McKinzie")</f>
        <v>James Will McKinzie</v>
      </c>
      <c r="D47" s="768" t="str">
        <f>IFERROR(__xludf.DUMMYFUNCTION("""COMPUTED_VALUE"""),"wmckinzie2025@icloud.com")</f>
        <v>wmckinzie2025@icloud.com</v>
      </c>
      <c r="E47" s="768" t="str">
        <f>IFERROR(__xludf.DUMMYFUNCTION("""COMPUTED_VALUE"""),"5’10/ 172")</f>
        <v>5’10/ 172</v>
      </c>
      <c r="F47" s="768" t="str">
        <f>IFERROR(__xludf.DUMMYFUNCTION("""COMPUTED_VALUE"""),"SS/ UTL")</f>
        <v>SS/ UTL</v>
      </c>
      <c r="G47" s="768" t="str">
        <f>IFERROR(__xludf.DUMMYFUNCTION("""COMPUTED_VALUE"""),"60-6.6, 10-1,5, IF Velo - 89, OF Velo - 89, Pop 1.92, 82, Exit Velo - 94 - Middle Infielder All District, Academic All District")</f>
        <v>60-6.6, 10-1,5, IF Velo - 89, OF Velo - 89, Pop 1.92, 82, Exit Velo - 94 - Middle Infielder All District, Academic All District</v>
      </c>
      <c r="H47" s="768">
        <f>IFERROR(__xludf.DUMMYFUNCTION("""COMPUTED_VALUE"""),3.78)</f>
        <v>3.78</v>
      </c>
      <c r="I47" s="768" t="str">
        <f>IFERROR(__xludf.DUMMYFUNCTION("""COMPUTED_VALUE"""),"21 - retaking ")</f>
        <v>21 - retaking </v>
      </c>
      <c r="J47" s="768" t="str">
        <f>IFERROR(__xludf.DUMMYFUNCTION("""COMPUTED_VALUE"""),"Broken Femur - Sophomore Year - 2 surgeries initial hardware placement, then removal of metal 11 months later, Broken Elbow - 10 Years old, Broken Fibula - 11 years old")</f>
        <v>Broken Femur - Sophomore Year - 2 surgeries initial hardware placement, then removal of metal 11 months later, Broken Elbow - 10 Years old, Broken Fibula - 11 years old</v>
      </c>
      <c r="K47" s="768" t="str">
        <f>IFERROR(__xludf.DUMMYFUNCTION("""COMPUTED_VALUE"""),"None")</f>
        <v>None</v>
      </c>
      <c r="L47" s="768" t="str">
        <f>IFERROR(__xludf.DUMMYFUNCTION("""COMPUTED_VALUE"""),"None")</f>
        <v>None</v>
      </c>
      <c r="M47" s="768" t="str">
        <f>IFERROR(__xludf.DUMMYFUNCTION("""COMPUTED_VALUE"""),"National Honor Society")</f>
        <v>National Honor Society</v>
      </c>
      <c r="N47" s="768"/>
      <c r="O47" s="768"/>
      <c r="P47" s="768"/>
      <c r="Q47" s="768"/>
      <c r="R47" s="768"/>
      <c r="S47" s="768"/>
      <c r="T47" s="768"/>
      <c r="U47" s="768"/>
      <c r="V47" s="768"/>
      <c r="W47" s="768"/>
      <c r="X47" s="768"/>
      <c r="Y47" s="768"/>
      <c r="Z47" s="768"/>
      <c r="AA47" s="768"/>
    </row>
    <row r="48" ht="30.0" customHeight="1">
      <c r="A48" s="768" t="str">
        <f t="array" ref="A48">XLOOKUP(C48,'High School Players'!D:D,'High School Players'!K:K,"NO",0,1)</f>
        <v>NO</v>
      </c>
      <c r="B48" s="975">
        <f>IFERROR(__xludf.DUMMYFUNCTION("""COMPUTED_VALUE"""),45472.66089467592)</f>
        <v>45472.66089</v>
      </c>
      <c r="C48" s="768" t="str">
        <f>IFERROR(__xludf.DUMMYFUNCTION("""COMPUTED_VALUE"""),"Maddox Perez")</f>
        <v>Maddox Perez</v>
      </c>
      <c r="D48" s="768" t="str">
        <f>IFERROR(__xludf.DUMMYFUNCTION("""COMPUTED_VALUE"""),"Perezmm32@gmail.com")</f>
        <v>Perezmm32@gmail.com</v>
      </c>
      <c r="E48" s="768" t="str">
        <f>IFERROR(__xludf.DUMMYFUNCTION("""COMPUTED_VALUE"""),"6 foot / 225 lbs")</f>
        <v>6 foot / 225 lbs</v>
      </c>
      <c r="F48" s="768" t="str">
        <f>IFERROR(__xludf.DUMMYFUNCTION("""COMPUTED_VALUE"""),"Catcher")</f>
        <v>Catcher</v>
      </c>
      <c r="G48" s="768" t="str">
        <f>IFERROR(__xludf.DUMMYFUNCTION("""COMPUTED_VALUE"""),"All Conference player")</f>
        <v>All Conference player</v>
      </c>
      <c r="H48" s="768">
        <f>IFERROR(__xludf.DUMMYFUNCTION("""COMPUTED_VALUE"""),4.94)</f>
        <v>4.94</v>
      </c>
      <c r="I48" s="768" t="str">
        <f>IFERROR(__xludf.DUMMYFUNCTION("""COMPUTED_VALUE"""),"ACT 22 SAT 1050 retaking in the fall")</f>
        <v>ACT 22 SAT 1050 retaking in the fall</v>
      </c>
      <c r="J48" s="768" t="str">
        <f>IFERROR(__xludf.DUMMYFUNCTION("""COMPUTED_VALUE"""),"Fractured Hamate Bone in left hand")</f>
        <v>Fractured Hamate Bone in left hand</v>
      </c>
      <c r="K48" s="768" t="str">
        <f>IFERROR(__xludf.DUMMYFUNCTION("""COMPUTED_VALUE"""),"No")</f>
        <v>No</v>
      </c>
      <c r="L48" s="768" t="str">
        <f>IFERROR(__xludf.DUMMYFUNCTION("""COMPUTED_VALUE"""),"No")</f>
        <v>No</v>
      </c>
      <c r="M48" s="768" t="str">
        <f>IFERROR(__xludf.DUMMYFUNCTION("""COMPUTED_VALUE"""),"No ")</f>
        <v>No </v>
      </c>
      <c r="N48" s="768"/>
      <c r="O48" s="768"/>
      <c r="P48" s="768"/>
      <c r="Q48" s="768"/>
      <c r="R48" s="768"/>
      <c r="S48" s="768"/>
      <c r="T48" s="768"/>
      <c r="U48" s="768"/>
      <c r="V48" s="768"/>
      <c r="W48" s="768"/>
      <c r="X48" s="768"/>
      <c r="Y48" s="768"/>
      <c r="Z48" s="768"/>
      <c r="AA48" s="768"/>
    </row>
    <row r="49" ht="30.0" customHeight="1">
      <c r="A49" s="768" t="str">
        <f t="array" ref="A49">XLOOKUP(C49,'High School Players'!D:D,'High School Players'!K:K,"NO",0,1)</f>
        <v>NO</v>
      </c>
      <c r="B49" s="975">
        <f>IFERROR(__xludf.DUMMYFUNCTION("""COMPUTED_VALUE"""),45473.82456896991)</f>
        <v>45473.82457</v>
      </c>
      <c r="C49" s="768" t="str">
        <f>IFERROR(__xludf.DUMMYFUNCTION("""COMPUTED_VALUE"""),"Matthew Pazak")</f>
        <v>Matthew Pazak</v>
      </c>
      <c r="D49" s="768" t="str">
        <f>IFERROR(__xludf.DUMMYFUNCTION("""COMPUTED_VALUE"""),"matthewpazak@gmail.com")</f>
        <v>matthewpazak@gmail.com</v>
      </c>
      <c r="E49" s="768" t="str">
        <f>IFERROR(__xludf.DUMMYFUNCTION("""COMPUTED_VALUE"""),"6’0/195lb")</f>
        <v>6’0/195lb</v>
      </c>
      <c r="F49" s="768" t="str">
        <f>IFERROR(__xludf.DUMMYFUNCTION("""COMPUTED_VALUE"""),"Catcher, 1st/3rd")</f>
        <v>Catcher, 1st/3rd</v>
      </c>
      <c r="G49" s="768" t="str">
        <f>IFERROR(__xludf.DUMMYFUNCTION("""COMPUTED_VALUE"""),"25-6A Defensive Player of the Year/ 400+ average this summer/ 12 caught stealing this summer.")</f>
        <v>25-6A Defensive Player of the Year/ 400+ average this summer/ 12 caught stealing this summer.</v>
      </c>
      <c r="H49" s="768" t="str">
        <f>IFERROR(__xludf.DUMMYFUNCTION("""COMPUTED_VALUE"""),"5.75/4.0")</f>
        <v>5.75/4.0</v>
      </c>
      <c r="I49" s="768" t="str">
        <f>IFERROR(__xludf.DUMMYFUNCTION("""COMPUTED_VALUE"""),"1200 SAT super scored")</f>
        <v>1200 SAT super scored</v>
      </c>
      <c r="J49" s="768" t="str">
        <f>IFERROR(__xludf.DUMMYFUNCTION("""COMPUTED_VALUE"""),"Growth plate injury freshman fall. Got a screw put in.")</f>
        <v>Growth plate injury freshman fall. Got a screw put in.</v>
      </c>
      <c r="K49" s="768" t="str">
        <f>IFERROR(__xludf.DUMMYFUNCTION("""COMPUTED_VALUE"""),"No")</f>
        <v>No</v>
      </c>
      <c r="L49" s="768" t="str">
        <f>IFERROR(__xludf.DUMMYFUNCTION("""COMPUTED_VALUE"""),"No")</f>
        <v>No</v>
      </c>
      <c r="M49" s="768" t="str">
        <f>IFERROR(__xludf.DUMMYFUNCTION("""COMPUTED_VALUE"""),"No")</f>
        <v>No</v>
      </c>
      <c r="N49" s="768"/>
      <c r="O49" s="768"/>
      <c r="P49" s="768"/>
      <c r="Q49" s="768"/>
      <c r="R49" s="768"/>
      <c r="S49" s="768"/>
      <c r="T49" s="768"/>
      <c r="U49" s="768"/>
      <c r="V49" s="768"/>
      <c r="W49" s="768"/>
      <c r="X49" s="768"/>
      <c r="Y49" s="768"/>
      <c r="Z49" s="768"/>
      <c r="AA49" s="768"/>
    </row>
    <row r="50" ht="30.0" customHeight="1">
      <c r="A50" s="768">
        <f t="array" ref="A50">XLOOKUP(C50,'High School Players'!D:D,'High School Players'!K:K,"NO",0,1)</f>
        <v>3</v>
      </c>
      <c r="B50" s="975">
        <f>IFERROR(__xludf.DUMMYFUNCTION("""COMPUTED_VALUE"""),45473.872206354165)</f>
        <v>45473.87221</v>
      </c>
      <c r="C50" s="768" t="str">
        <f>IFERROR(__xludf.DUMMYFUNCTION("""COMPUTED_VALUE"""),"Drew Kindlon")</f>
        <v>Drew Kindlon</v>
      </c>
      <c r="D50" s="768" t="str">
        <f>IFERROR(__xludf.DUMMYFUNCTION("""COMPUTED_VALUE"""),"kindlondrew632@gmail.com")</f>
        <v>kindlondrew632@gmail.com</v>
      </c>
      <c r="E50" s="768" t="str">
        <f>IFERROR(__xludf.DUMMYFUNCTION("""COMPUTED_VALUE"""),"6’3 220")</f>
        <v>6’3 220</v>
      </c>
      <c r="F50" s="768" t="str">
        <f>IFERROR(__xludf.DUMMYFUNCTION("""COMPUTED_VALUE"""),"RHP ")</f>
        <v>RHP </v>
      </c>
      <c r="G50" s="768"/>
      <c r="H50" s="768">
        <f>IFERROR(__xludf.DUMMYFUNCTION("""COMPUTED_VALUE"""),3.8)</f>
        <v>3.8</v>
      </c>
      <c r="I50" s="768">
        <f>IFERROR(__xludf.DUMMYFUNCTION("""COMPUTED_VALUE"""),1240.0)</f>
        <v>1240</v>
      </c>
      <c r="J50" s="768" t="str">
        <f>IFERROR(__xludf.DUMMYFUNCTION("""COMPUTED_VALUE"""),"Ucl strain Back fracture ")</f>
        <v>Ucl strain Back fracture </v>
      </c>
      <c r="K50" s="768" t="str">
        <f>IFERROR(__xludf.DUMMYFUNCTION("""COMPUTED_VALUE"""),"No")</f>
        <v>No</v>
      </c>
      <c r="L50" s="768" t="str">
        <f>IFERROR(__xludf.DUMMYFUNCTION("""COMPUTED_VALUE"""),"No")</f>
        <v>No</v>
      </c>
      <c r="M50" s="768" t="str">
        <f>IFERROR(__xludf.DUMMYFUNCTION("""COMPUTED_VALUE"""),"No")</f>
        <v>No</v>
      </c>
      <c r="N50" s="768"/>
      <c r="O50" s="768"/>
      <c r="P50" s="768"/>
      <c r="Q50" s="768"/>
      <c r="R50" s="768"/>
      <c r="S50" s="768"/>
      <c r="T50" s="768"/>
      <c r="U50" s="768"/>
      <c r="V50" s="768"/>
      <c r="W50" s="768"/>
      <c r="X50" s="768"/>
      <c r="Y50" s="768"/>
      <c r="Z50" s="768"/>
      <c r="AA50" s="768"/>
    </row>
    <row r="51" ht="30.0" customHeight="1">
      <c r="A51" s="768" t="str">
        <f t="array" ref="A51">XLOOKUP(C51,'High School Players'!D:D,'High School Players'!K:K,"NO",0,1)</f>
        <v>NO</v>
      </c>
      <c r="B51" s="975">
        <f>IFERROR(__xludf.DUMMYFUNCTION("""COMPUTED_VALUE"""),45474.82415501158)</f>
        <v>45474.82416</v>
      </c>
      <c r="C51" s="768" t="str">
        <f>IFERROR(__xludf.DUMMYFUNCTION("""COMPUTED_VALUE"""),"Aiden poirier ")</f>
        <v>Aiden poirier </v>
      </c>
      <c r="D51" s="768" t="str">
        <f>IFERROR(__xludf.DUMMYFUNCTION("""COMPUTED_VALUE"""),"Aiden.p.2007@gmail.com")</f>
        <v>Aiden.p.2007@gmail.com</v>
      </c>
      <c r="E51" s="768" t="str">
        <f>IFERROR(__xludf.DUMMYFUNCTION("""COMPUTED_VALUE"""),"5’11 175")</f>
        <v>5’11 175</v>
      </c>
      <c r="F51" s="768" t="str">
        <f>IFERROR(__xludf.DUMMYFUNCTION("""COMPUTED_VALUE"""),"Shortstop")</f>
        <v>Shortstop</v>
      </c>
      <c r="G51" s="768" t="str">
        <f>IFERROR(__xludf.DUMMYFUNCTION("""COMPUTED_VALUE"""),".364 avg .453 obp .862 ops 44 total hits 11Xbh 21 stolen bases")</f>
        <v>.364 avg .453 obp .862 ops 44 total hits 11Xbh 21 stolen bases</v>
      </c>
      <c r="H51" s="768">
        <f>IFERROR(__xludf.DUMMYFUNCTION("""COMPUTED_VALUE"""),3.7)</f>
        <v>3.7</v>
      </c>
      <c r="I51" s="768">
        <f>IFERROR(__xludf.DUMMYFUNCTION("""COMPUTED_VALUE"""),970.0)</f>
        <v>970</v>
      </c>
      <c r="J51" s="768"/>
      <c r="K51" s="768" t="str">
        <f>IFERROR(__xludf.DUMMYFUNCTION("""COMPUTED_VALUE"""),"No")</f>
        <v>No</v>
      </c>
      <c r="L51" s="768" t="str">
        <f>IFERROR(__xludf.DUMMYFUNCTION("""COMPUTED_VALUE"""),"No")</f>
        <v>No</v>
      </c>
      <c r="M51" s="768"/>
      <c r="N51" s="768"/>
      <c r="O51" s="768"/>
      <c r="P51" s="768"/>
      <c r="Q51" s="768"/>
      <c r="R51" s="768"/>
      <c r="S51" s="768"/>
      <c r="T51" s="768"/>
      <c r="U51" s="768"/>
      <c r="V51" s="768"/>
      <c r="W51" s="768"/>
      <c r="X51" s="768"/>
      <c r="Y51" s="768"/>
      <c r="Z51" s="768"/>
      <c r="AA51" s="768"/>
    </row>
    <row r="52" ht="30.0" customHeight="1">
      <c r="A52" s="768" t="str">
        <f t="array" ref="A52">XLOOKUP(C52,'High School Players'!D:D,'High School Players'!K:K,"NO",0,1)</f>
        <v/>
      </c>
      <c r="B52" s="975">
        <f>IFERROR(__xludf.DUMMYFUNCTION("""COMPUTED_VALUE"""),45474.83870396991)</f>
        <v>45474.8387</v>
      </c>
      <c r="C52" s="768" t="str">
        <f>IFERROR(__xludf.DUMMYFUNCTION("""COMPUTED_VALUE"""),"Kaenan Kiefer")</f>
        <v>Kaenan Kiefer</v>
      </c>
      <c r="D52" s="768" t="str">
        <f>IFERROR(__xludf.DUMMYFUNCTION("""COMPUTED_VALUE"""),"kkiefer44dp@gmail.com")</f>
        <v>kkiefer44dp@gmail.com</v>
      </c>
      <c r="E52" s="768" t="str">
        <f>IFERROR(__xludf.DUMMYFUNCTION("""COMPUTED_VALUE"""),"6,0 ft 175lbs")</f>
        <v>6,0 ft 175lbs</v>
      </c>
      <c r="F52" s="768" t="str">
        <f>IFERROR(__xludf.DUMMYFUNCTION("""COMPUTED_VALUE"""),"SS/2B/CF")</f>
        <v>SS/2B/CF</v>
      </c>
      <c r="G52" s="768" t="str">
        <f>IFERROR(__xludf.DUMMYFUNCTION("""COMPUTED_VALUE"""),"2nd team all district SS/ 3 year starting SS ")</f>
        <v>2nd team all district SS/ 3 year starting SS </v>
      </c>
      <c r="H52" s="768">
        <f>IFERROR(__xludf.DUMMYFUNCTION("""COMPUTED_VALUE"""),3.6)</f>
        <v>3.6</v>
      </c>
      <c r="I52" s="768" t="str">
        <f>IFERROR(__xludf.DUMMYFUNCTION("""COMPUTED_VALUE"""),"N/A")</f>
        <v>N/A</v>
      </c>
      <c r="J52" s="768" t="str">
        <f>IFERROR(__xludf.DUMMYFUNCTION("""COMPUTED_VALUE"""),"N/A")</f>
        <v>N/A</v>
      </c>
      <c r="K52" s="768" t="str">
        <f>IFERROR(__xludf.DUMMYFUNCTION("""COMPUTED_VALUE"""),"N/A")</f>
        <v>N/A</v>
      </c>
      <c r="L52" s="768" t="str">
        <f>IFERROR(__xludf.DUMMYFUNCTION("""COMPUTED_VALUE"""),"N/A")</f>
        <v>N/A</v>
      </c>
      <c r="M52" s="768" t="str">
        <f>IFERROR(__xludf.DUMMYFUNCTION("""COMPUTED_VALUE"""),"N/A")</f>
        <v>N/A</v>
      </c>
      <c r="N52" s="768"/>
      <c r="O52" s="768"/>
      <c r="P52" s="768"/>
      <c r="Q52" s="768"/>
      <c r="R52" s="768"/>
      <c r="S52" s="768"/>
      <c r="T52" s="768"/>
      <c r="U52" s="768"/>
      <c r="V52" s="768"/>
      <c r="W52" s="768"/>
      <c r="X52" s="768"/>
      <c r="Y52" s="768"/>
      <c r="Z52" s="768"/>
      <c r="AA52" s="768"/>
    </row>
    <row r="53" ht="30.0" customHeight="1">
      <c r="A53" s="768" t="str">
        <f t="array" ref="A53">XLOOKUP(C53,'High School Players'!D:D,'High School Players'!K:K,"NO",0,1)</f>
        <v>XX</v>
      </c>
      <c r="B53" s="975">
        <f>IFERROR(__xludf.DUMMYFUNCTION("""COMPUTED_VALUE"""),45474.85309945601)</f>
        <v>45474.8531</v>
      </c>
      <c r="C53" s="768" t="str">
        <f>IFERROR(__xludf.DUMMYFUNCTION("""COMPUTED_VALUE"""),"Luke Holbrook")</f>
        <v>Luke Holbrook</v>
      </c>
      <c r="D53" s="768" t="str">
        <f>IFERROR(__xludf.DUMMYFUNCTION("""COMPUTED_VALUE"""),"lcholbrook06@gmail.com")</f>
        <v>lcholbrook06@gmail.com</v>
      </c>
      <c r="E53" s="768" t="str">
        <f>IFERROR(__xludf.DUMMYFUNCTION("""COMPUTED_VALUE"""),"6’3 200")</f>
        <v>6’3 200</v>
      </c>
      <c r="F53" s="768" t="str">
        <f>IFERROR(__xludf.DUMMYFUNCTION("""COMPUTED_VALUE"""),"RHP/ INF")</f>
        <v>RHP/ INF</v>
      </c>
      <c r="G53" s="768" t="str">
        <f>IFERROR(__xludf.DUMMYFUNCTION("""COMPUTED_VALUE"""),"48 innings, 78Ks, 10 walks")</f>
        <v>48 innings, 78Ks, 10 walks</v>
      </c>
      <c r="H53" s="768">
        <f>IFERROR(__xludf.DUMMYFUNCTION("""COMPUTED_VALUE"""),4.26)</f>
        <v>4.26</v>
      </c>
      <c r="I53" s="768" t="str">
        <f>IFERROR(__xludf.DUMMYFUNCTION("""COMPUTED_VALUE"""),"27 ACT")</f>
        <v>27 ACT</v>
      </c>
      <c r="J53" s="768"/>
      <c r="K53" s="768"/>
      <c r="L53" s="768"/>
      <c r="M53" s="768"/>
      <c r="N53" s="768"/>
      <c r="O53" s="768"/>
      <c r="P53" s="768"/>
      <c r="Q53" s="768"/>
      <c r="R53" s="768"/>
      <c r="S53" s="768"/>
      <c r="T53" s="768"/>
      <c r="U53" s="768"/>
      <c r="V53" s="768"/>
      <c r="W53" s="768"/>
      <c r="X53" s="768"/>
      <c r="Y53" s="768"/>
      <c r="Z53" s="768"/>
      <c r="AA53" s="768"/>
    </row>
    <row r="54" ht="30.0" customHeight="1">
      <c r="A54" s="768" t="str">
        <f t="array" ref="A54">XLOOKUP(C54,'High School Players'!D:D,'High School Players'!K:K,"NO",0,1)</f>
        <v>NO</v>
      </c>
      <c r="B54" s="975">
        <f>IFERROR(__xludf.DUMMYFUNCTION("""COMPUTED_VALUE"""),45479.5452977199)</f>
        <v>45479.5453</v>
      </c>
      <c r="C54" s="768" t="str">
        <f>IFERROR(__xludf.DUMMYFUNCTION("""COMPUTED_VALUE"""),"Jailen Monegan")</f>
        <v>Jailen Monegan</v>
      </c>
      <c r="D54" s="768" t="str">
        <f>IFERROR(__xludf.DUMMYFUNCTION("""COMPUTED_VALUE"""),"jailenmonegan@gmail.com")</f>
        <v>jailenmonegan@gmail.com</v>
      </c>
      <c r="E54" s="768" t="str">
        <f>IFERROR(__xludf.DUMMYFUNCTION("""COMPUTED_VALUE"""),"6’0. 195.6")</f>
        <v>6’0. 195.6</v>
      </c>
      <c r="F54" s="768" t="str">
        <f>IFERROR(__xludf.DUMMYFUNCTION("""COMPUTED_VALUE"""),"Mif. 3b. Of")</f>
        <v>Mif. 3b. Of</v>
      </c>
      <c r="G54" s="768" t="str">
        <f>IFERROR(__xludf.DUMMYFUNCTION("""COMPUTED_VALUE"""),"ba: (.333) obp: ( .500) ops: (967) slg: (476) sb: (12)")</f>
        <v>ba: (.333) obp: ( .500) ops: (967) slg: (476) sb: (12)</v>
      </c>
      <c r="H54" s="768">
        <f>IFERROR(__xludf.DUMMYFUNCTION("""COMPUTED_VALUE"""),3.5)</f>
        <v>3.5</v>
      </c>
      <c r="I54" s="768" t="str">
        <f>IFERROR(__xludf.DUMMYFUNCTION("""COMPUTED_VALUE"""),"none yet")</f>
        <v>none yet</v>
      </c>
      <c r="J54" s="768" t="str">
        <f>IFERROR(__xludf.DUMMYFUNCTION("""COMPUTED_VALUE"""),"none")</f>
        <v>none</v>
      </c>
      <c r="K54" s="768" t="str">
        <f>IFERROR(__xludf.DUMMYFUNCTION("""COMPUTED_VALUE"""),"none")</f>
        <v>none</v>
      </c>
      <c r="L54" s="768" t="str">
        <f>IFERROR(__xludf.DUMMYFUNCTION("""COMPUTED_VALUE"""),"Azstarys")</f>
        <v>Azstarys</v>
      </c>
      <c r="M54" s="768" t="str">
        <f>IFERROR(__xludf.DUMMYFUNCTION("""COMPUTED_VALUE"""),"yes i have a 504: extra time on test, quiz and assignments. filled in notes. oral interpretation ")</f>
        <v>yes i have a 504: extra time on test, quiz and assignments. filled in notes. oral interpretation </v>
      </c>
      <c r="N54" s="768"/>
      <c r="O54" s="768"/>
      <c r="P54" s="768"/>
      <c r="Q54" s="768"/>
      <c r="R54" s="768"/>
      <c r="S54" s="768"/>
      <c r="T54" s="768"/>
      <c r="U54" s="768"/>
      <c r="V54" s="768"/>
      <c r="W54" s="768"/>
      <c r="X54" s="768"/>
      <c r="Y54" s="768"/>
      <c r="Z54" s="768"/>
      <c r="AA54" s="768"/>
    </row>
    <row r="55" ht="30.0" customHeight="1">
      <c r="A55" s="768" t="str">
        <f t="array" ref="A55">XLOOKUP(C55,'High School Players'!D:D,'High School Players'!K:K,"NO",0,1)</f>
        <v>NO</v>
      </c>
      <c r="B55" s="975">
        <f>IFERROR(__xludf.DUMMYFUNCTION("""COMPUTED_VALUE"""),45479.748845752314)</f>
        <v>45479.74885</v>
      </c>
      <c r="C55" s="768" t="str">
        <f>IFERROR(__xludf.DUMMYFUNCTION("""COMPUTED_VALUE"""),"Lawson Olmstead")</f>
        <v>Lawson Olmstead</v>
      </c>
      <c r="D55" s="768" t="str">
        <f>IFERROR(__xludf.DUMMYFUNCTION("""COMPUTED_VALUE"""),"lawsonolmstead@gmail.com")</f>
        <v>lawsonolmstead@gmail.com</v>
      </c>
      <c r="E55" s="768" t="str">
        <f>IFERROR(__xludf.DUMMYFUNCTION("""COMPUTED_VALUE"""),"6’1/185")</f>
        <v>6’1/185</v>
      </c>
      <c r="F55" s="768" t="str">
        <f>IFERROR(__xludf.DUMMYFUNCTION("""COMPUTED_VALUE"""),"C")</f>
        <v>C</v>
      </c>
      <c r="G55" s="768" t="str">
        <f>IFERROR(__xludf.DUMMYFUNCTION("""COMPUTED_VALUE"""),"Two time Mater Dei defensive player of the year. ")</f>
        <v>Two time Mater Dei defensive player of the year. </v>
      </c>
      <c r="H55" s="768">
        <f>IFERROR(__xludf.DUMMYFUNCTION("""COMPUTED_VALUE"""),3.9)</f>
        <v>3.9</v>
      </c>
      <c r="I55" s="768" t="str">
        <f>IFERROR(__xludf.DUMMYFUNCTION("""COMPUTED_VALUE"""),"N/A")</f>
        <v>N/A</v>
      </c>
      <c r="J55" s="768" t="str">
        <f>IFERROR(__xludf.DUMMYFUNCTION("""COMPUTED_VALUE"""),"None ")</f>
        <v>None </v>
      </c>
      <c r="K55" s="768" t="str">
        <f>IFERROR(__xludf.DUMMYFUNCTION("""COMPUTED_VALUE"""),"None.")</f>
        <v>None.</v>
      </c>
      <c r="L55" s="768" t="str">
        <f>IFERROR(__xludf.DUMMYFUNCTION("""COMPUTED_VALUE"""),"No.")</f>
        <v>No.</v>
      </c>
      <c r="M55" s="768" t="str">
        <f>IFERROR(__xludf.DUMMYFUNCTION("""COMPUTED_VALUE"""),"No.")</f>
        <v>No.</v>
      </c>
      <c r="N55" s="768"/>
      <c r="O55" s="768"/>
      <c r="P55" s="768"/>
      <c r="Q55" s="768"/>
      <c r="R55" s="768"/>
      <c r="S55" s="768"/>
      <c r="T55" s="768"/>
      <c r="U55" s="768"/>
      <c r="V55" s="768"/>
      <c r="W55" s="768"/>
      <c r="X55" s="768"/>
      <c r="Y55" s="768"/>
      <c r="Z55" s="768"/>
      <c r="AA55" s="768"/>
    </row>
    <row r="56" ht="30.0" customHeight="1">
      <c r="A56" s="768" t="str">
        <f t="array" ref="A56">XLOOKUP(C56,'High School Players'!D:D,'High School Players'!K:K,"NO",0,1)</f>
        <v/>
      </c>
      <c r="B56" s="975">
        <f>IFERROR(__xludf.DUMMYFUNCTION("""COMPUTED_VALUE"""),45479.9415208912)</f>
        <v>45479.94152</v>
      </c>
      <c r="C56" s="768" t="str">
        <f>IFERROR(__xludf.DUMMYFUNCTION("""COMPUTED_VALUE"""),"Cade Watson")</f>
        <v>Cade Watson</v>
      </c>
      <c r="D56" s="768" t="str">
        <f>IFERROR(__xludf.DUMMYFUNCTION("""COMPUTED_VALUE"""),"cwatson25@punahou.edu")</f>
        <v>cwatson25@punahou.edu</v>
      </c>
      <c r="E56" s="768" t="str">
        <f>IFERROR(__xludf.DUMMYFUNCTION("""COMPUTED_VALUE"""),"6’2")</f>
        <v>6’2</v>
      </c>
      <c r="F56" s="768" t="str">
        <f>IFERROR(__xludf.DUMMYFUNCTION("""COMPUTED_VALUE"""),"RHP")</f>
        <v>RHP</v>
      </c>
      <c r="G56" s="768" t="str">
        <f>IFERROR(__xludf.DUMMYFUNCTION("""COMPUTED_VALUE"""),"High School era 2.11. High School batting average 424")</f>
        <v>High School era 2.11. High School batting average 424</v>
      </c>
      <c r="H56" s="768">
        <f>IFERROR(__xludf.DUMMYFUNCTION("""COMPUTED_VALUE"""),3.7)</f>
        <v>3.7</v>
      </c>
      <c r="I56" s="768"/>
      <c r="J56" s="768" t="str">
        <f>IFERROR(__xludf.DUMMYFUNCTION("""COMPUTED_VALUE"""),"Small surgery on my right knee in 9th grade summer to repair a part of my meniscus")</f>
        <v>Small surgery on my right knee in 9th grade summer to repair a part of my meniscus</v>
      </c>
      <c r="K56" s="768" t="str">
        <f>IFERROR(__xludf.DUMMYFUNCTION("""COMPUTED_VALUE"""),"No")</f>
        <v>No</v>
      </c>
      <c r="L56" s="768" t="str">
        <f>IFERROR(__xludf.DUMMYFUNCTION("""COMPUTED_VALUE"""),"No")</f>
        <v>No</v>
      </c>
      <c r="M56" s="768" t="str">
        <f>IFERROR(__xludf.DUMMYFUNCTION("""COMPUTED_VALUE"""),"No")</f>
        <v>No</v>
      </c>
      <c r="N56" s="768"/>
      <c r="O56" s="768"/>
      <c r="P56" s="768"/>
      <c r="Q56" s="768"/>
      <c r="R56" s="768"/>
      <c r="S56" s="768"/>
      <c r="T56" s="768"/>
      <c r="U56" s="768"/>
      <c r="V56" s="768"/>
      <c r="W56" s="768"/>
      <c r="X56" s="768"/>
      <c r="Y56" s="768"/>
      <c r="Z56" s="768"/>
      <c r="AA56" s="768"/>
    </row>
    <row r="57" ht="30.0" customHeight="1">
      <c r="A57" s="768" t="str">
        <f t="array" ref="A57">XLOOKUP(C57,'High School Players'!D:D,'High School Players'!K:K,"NO",0,1)</f>
        <v>NO</v>
      </c>
      <c r="B57" s="975">
        <f>IFERROR(__xludf.DUMMYFUNCTION("""COMPUTED_VALUE"""),45480.77389363426)</f>
        <v>45480.77389</v>
      </c>
      <c r="C57" s="768" t="str">
        <f>IFERROR(__xludf.DUMMYFUNCTION("""COMPUTED_VALUE"""),"Jackson Estes")</f>
        <v>Jackson Estes</v>
      </c>
      <c r="D57" s="768" t="str">
        <f>IFERROR(__xludf.DUMMYFUNCTION("""COMPUTED_VALUE"""),"Jacksonestes7@icooud.com")</f>
        <v>Jacksonestes7@icooud.com</v>
      </c>
      <c r="E57" s="768" t="str">
        <f>IFERROR(__xludf.DUMMYFUNCTION("""COMPUTED_VALUE"""),"6’3 210")</f>
        <v>6’3 210</v>
      </c>
      <c r="F57" s="768" t="str">
        <f>IFERROR(__xludf.DUMMYFUNCTION("""COMPUTED_VALUE"""),"LHP, OF, 1st")</f>
        <v>LHP, OF, 1st</v>
      </c>
      <c r="G57" s="768" t="str">
        <f>IFERROR(__xludf.DUMMYFUNCTION("""COMPUTED_VALUE"""),"All state, all conference 2x")</f>
        <v>All state, all conference 2x</v>
      </c>
      <c r="H57" s="768">
        <f>IFERROR(__xludf.DUMMYFUNCTION("""COMPUTED_VALUE"""),3.5)</f>
        <v>3.5</v>
      </c>
      <c r="I57" s="768">
        <f>IFERROR(__xludf.DUMMYFUNCTION("""COMPUTED_VALUE"""),22.0)</f>
        <v>22</v>
      </c>
      <c r="J57" s="768" t="str">
        <f>IFERROR(__xludf.DUMMYFUNCTION("""COMPUTED_VALUE"""),"Avulsed PCL in thumb")</f>
        <v>Avulsed PCL in thumb</v>
      </c>
      <c r="K57" s="768"/>
      <c r="L57" s="768"/>
      <c r="M57" s="768"/>
      <c r="N57" s="768"/>
      <c r="O57" s="768"/>
      <c r="P57" s="768"/>
      <c r="Q57" s="768"/>
      <c r="R57" s="768"/>
      <c r="S57" s="768"/>
      <c r="T57" s="768"/>
      <c r="U57" s="768"/>
      <c r="V57" s="768"/>
      <c r="W57" s="768"/>
      <c r="X57" s="768"/>
      <c r="Y57" s="768"/>
      <c r="Z57" s="768"/>
      <c r="AA57" s="768"/>
    </row>
    <row r="58" ht="30.0" customHeight="1">
      <c r="A58" s="768" t="str">
        <f t="array" ref="A58">XLOOKUP(C58,'High School Players'!D:D,'High School Players'!K:K,"NO",0,1)</f>
        <v>NO</v>
      </c>
      <c r="B58" s="975">
        <f>IFERROR(__xludf.DUMMYFUNCTION("""COMPUTED_VALUE"""),45481.77702512732)</f>
        <v>45481.77703</v>
      </c>
      <c r="C58" s="768" t="str">
        <f>IFERROR(__xludf.DUMMYFUNCTION("""COMPUTED_VALUE"""),"Nick Santos")</f>
        <v>Nick Santos</v>
      </c>
      <c r="D58" s="768" t="str">
        <f>IFERROR(__xludf.DUMMYFUNCTION("""COMPUTED_VALUE"""),"Nickdakwik12@gmail.com")</f>
        <v>Nickdakwik12@gmail.com</v>
      </c>
      <c r="E58" s="768" t="str">
        <f>IFERROR(__xludf.DUMMYFUNCTION("""COMPUTED_VALUE"""),"6’1 / 181")</f>
        <v>6’1 / 181</v>
      </c>
      <c r="F58" s="768" t="str">
        <f>IFERROR(__xludf.DUMMYFUNCTION("""COMPUTED_VALUE"""),"Catcher")</f>
        <v>Catcher</v>
      </c>
      <c r="G58" s="768" t="str">
        <f>IFERROR(__xludf.DUMMYFUNCTION("""COMPUTED_VALUE"""),"High school- .360 BA 24 RBIs ")</f>
        <v>High school- .360 BA 24 RBIs </v>
      </c>
      <c r="H58" s="768">
        <f>IFERROR(__xludf.DUMMYFUNCTION("""COMPUTED_VALUE"""),4.3)</f>
        <v>4.3</v>
      </c>
      <c r="I58" s="768"/>
      <c r="J58" s="768" t="str">
        <f>IFERROR(__xludf.DUMMYFUNCTION("""COMPUTED_VALUE"""),"None")</f>
        <v>None</v>
      </c>
      <c r="K58" s="768" t="str">
        <f>IFERROR(__xludf.DUMMYFUNCTION("""COMPUTED_VALUE"""),"None")</f>
        <v>None</v>
      </c>
      <c r="L58" s="768" t="str">
        <f>IFERROR(__xludf.DUMMYFUNCTION("""COMPUTED_VALUE"""),"None")</f>
        <v>None</v>
      </c>
      <c r="M58" s="768" t="str">
        <f>IFERROR(__xludf.DUMMYFUNCTION("""COMPUTED_VALUE"""),"None")</f>
        <v>None</v>
      </c>
      <c r="N58" s="768"/>
      <c r="O58" s="768"/>
      <c r="P58" s="768"/>
      <c r="Q58" s="768"/>
      <c r="R58" s="768"/>
      <c r="S58" s="768"/>
      <c r="T58" s="768"/>
      <c r="U58" s="768"/>
      <c r="V58" s="768"/>
      <c r="W58" s="768"/>
      <c r="X58" s="768"/>
      <c r="Y58" s="768"/>
      <c r="Z58" s="768"/>
      <c r="AA58" s="768"/>
    </row>
    <row r="59" ht="30.0" customHeight="1">
      <c r="A59" s="768" t="str">
        <f t="array" ref="A59">XLOOKUP(C59,'High School Players'!D:D,'High School Players'!K:K,"NO",0,1)</f>
        <v>NO</v>
      </c>
      <c r="B59" s="975">
        <f>IFERROR(__xludf.DUMMYFUNCTION("""COMPUTED_VALUE"""),45482.64445600694)</f>
        <v>45482.64446</v>
      </c>
      <c r="C59" s="768" t="str">
        <f>IFERROR(__xludf.DUMMYFUNCTION("""COMPUTED_VALUE"""),"Landon Ammerman")</f>
        <v>Landon Ammerman</v>
      </c>
      <c r="D59" s="768" t="str">
        <f>IFERROR(__xludf.DUMMYFUNCTION("""COMPUTED_VALUE"""),"landon.ammerman@icloud.com")</f>
        <v>landon.ammerman@icloud.com</v>
      </c>
      <c r="E59" s="768" t="str">
        <f>IFERROR(__xludf.DUMMYFUNCTION("""COMPUTED_VALUE"""),"6’1 150")</f>
        <v>6’1 150</v>
      </c>
      <c r="F59" s="768" t="str">
        <f>IFERROR(__xludf.DUMMYFUNCTION("""COMPUTED_VALUE"""),"1st base pitcher outfield")</f>
        <v>1st base pitcher outfield</v>
      </c>
      <c r="G59" s="768" t="str">
        <f>IFERROR(__xludf.DUMMYFUNCTION("""COMPUTED_VALUE"""),"80.1 innings 16 walks 75 strikeouts .931 whip 1.3 era")</f>
        <v>80.1 innings 16 walks 75 strikeouts .931 whip 1.3 era</v>
      </c>
      <c r="H59" s="768">
        <f>IFERROR(__xludf.DUMMYFUNCTION("""COMPUTED_VALUE"""),4.0)</f>
        <v>4</v>
      </c>
      <c r="I59" s="768" t="str">
        <f>IFERROR(__xludf.DUMMYFUNCTION("""COMPUTED_VALUE"""),"1050 sat")</f>
        <v>1050 sat</v>
      </c>
      <c r="J59" s="768" t="str">
        <f>IFERROR(__xludf.DUMMYFUNCTION("""COMPUTED_VALUE"""),"None")</f>
        <v>None</v>
      </c>
      <c r="K59" s="768" t="str">
        <f>IFERROR(__xludf.DUMMYFUNCTION("""COMPUTED_VALUE"""),"None")</f>
        <v>None</v>
      </c>
      <c r="L59" s="768" t="str">
        <f>IFERROR(__xludf.DUMMYFUNCTION("""COMPUTED_VALUE"""),"None")</f>
        <v>None</v>
      </c>
      <c r="M59" s="768"/>
      <c r="N59" s="768"/>
      <c r="O59" s="768"/>
      <c r="P59" s="768"/>
      <c r="Q59" s="768"/>
      <c r="R59" s="768"/>
      <c r="S59" s="768"/>
      <c r="T59" s="768"/>
      <c r="U59" s="768"/>
      <c r="V59" s="768"/>
      <c r="W59" s="768"/>
      <c r="X59" s="768"/>
      <c r="Y59" s="768"/>
      <c r="Z59" s="768"/>
      <c r="AA59" s="768"/>
    </row>
    <row r="60" ht="30.0" customHeight="1">
      <c r="A60" s="768" t="str">
        <f t="array" ref="A60">XLOOKUP(C60,'High School Players'!D:D,'High School Players'!K:K,"NO",0,1)</f>
        <v>XX</v>
      </c>
      <c r="B60" s="975">
        <f>IFERROR(__xludf.DUMMYFUNCTION("""COMPUTED_VALUE"""),45482.82436806713)</f>
        <v>45482.82437</v>
      </c>
      <c r="C60" s="768" t="str">
        <f>IFERROR(__xludf.DUMMYFUNCTION("""COMPUTED_VALUE"""),"Easton nelms")</f>
        <v>Easton nelms</v>
      </c>
      <c r="D60" s="768" t="str">
        <f>IFERROR(__xludf.DUMMYFUNCTION("""COMPUTED_VALUE"""),"Eastonnelms@icloud.com")</f>
        <v>Eastonnelms@icloud.com</v>
      </c>
      <c r="E60" s="768" t="str">
        <f>IFERROR(__xludf.DUMMYFUNCTION("""COMPUTED_VALUE"""),"6’3/195")</f>
        <v>6’3/195</v>
      </c>
      <c r="F60" s="768" t="str">
        <f>IFERROR(__xludf.DUMMYFUNCTION("""COMPUTED_VALUE"""),"MIF/OF")</f>
        <v>MIF/OF</v>
      </c>
      <c r="G60" s="768" t="str">
        <f>IFERROR(__xludf.DUMMYFUNCTION("""COMPUTED_VALUE"""),"All state 7a, All area large school UTL x2, ALABCA all star game 2x, Future games x2")</f>
        <v>All state 7a, All area large school UTL x2, ALABCA all star game 2x, Future games x2</v>
      </c>
      <c r="H60" s="768" t="str">
        <f>IFERROR(__xludf.DUMMYFUNCTION("""COMPUTED_VALUE"""),"4.12 (Weighted)")</f>
        <v>4.12 (Weighted)</v>
      </c>
      <c r="I60" s="768" t="str">
        <f>IFERROR(__xludf.DUMMYFUNCTION("""COMPUTED_VALUE"""),"Act : 22")</f>
        <v>Act : 22</v>
      </c>
      <c r="J60" s="768" t="str">
        <f>IFERROR(__xludf.DUMMYFUNCTION("""COMPUTED_VALUE"""),"Shoulder tendinitis ")</f>
        <v>Shoulder tendinitis </v>
      </c>
      <c r="K60" s="768"/>
      <c r="L60" s="768"/>
      <c r="M60" s="768"/>
      <c r="N60" s="768"/>
      <c r="O60" s="768"/>
      <c r="P60" s="768"/>
      <c r="Q60" s="768"/>
      <c r="R60" s="768"/>
      <c r="S60" s="768"/>
      <c r="T60" s="768"/>
      <c r="U60" s="768"/>
      <c r="V60" s="768"/>
      <c r="W60" s="768"/>
      <c r="X60" s="768"/>
      <c r="Y60" s="768"/>
      <c r="Z60" s="768"/>
      <c r="AA60" s="768"/>
    </row>
    <row r="61" ht="30.0" customHeight="1">
      <c r="A61" s="768" t="str">
        <f t="array" ref="A61">XLOOKUP(C61,'High School Players'!D:D,'High School Players'!K:K,"NO",0,1)</f>
        <v>XX</v>
      </c>
      <c r="B61" s="975">
        <f>IFERROR(__xludf.DUMMYFUNCTION("""COMPUTED_VALUE"""),45483.02385971065)</f>
        <v>45483.02386</v>
      </c>
      <c r="C61" s="768" t="str">
        <f>IFERROR(__xludf.DUMMYFUNCTION("""COMPUTED_VALUE"""),"Jake Finnegan")</f>
        <v>Jake Finnegan</v>
      </c>
      <c r="D61" s="768" t="str">
        <f>IFERROR(__xludf.DUMMYFUNCTION("""COMPUTED_VALUE"""),"Jake.Finnegan2025@gmail.com")</f>
        <v>Jake.Finnegan2025@gmail.com</v>
      </c>
      <c r="E61" s="768" t="str">
        <f>IFERROR(__xludf.DUMMYFUNCTION("""COMPUTED_VALUE"""),"6’2 190")</f>
        <v>6’2 190</v>
      </c>
      <c r="F61" s="768" t="str">
        <f>IFERROR(__xludf.DUMMYFUNCTION("""COMPUTED_VALUE"""),"3b, SS")</f>
        <v>3b, SS</v>
      </c>
      <c r="G61" s="768"/>
      <c r="H61" s="768"/>
      <c r="I61" s="768">
        <f>IFERROR(__xludf.DUMMYFUNCTION("""COMPUTED_VALUE"""),1140.0)</f>
        <v>1140</v>
      </c>
      <c r="J61" s="768"/>
      <c r="K61" s="768" t="str">
        <f>IFERROR(__xludf.DUMMYFUNCTION("""COMPUTED_VALUE"""),"N/A")</f>
        <v>N/A</v>
      </c>
      <c r="L61" s="768" t="str">
        <f>IFERROR(__xludf.DUMMYFUNCTION("""COMPUTED_VALUE"""),"N/A")</f>
        <v>N/A</v>
      </c>
      <c r="M61" s="768" t="str">
        <f>IFERROR(__xludf.DUMMYFUNCTION("""COMPUTED_VALUE"""),"N/A")</f>
        <v>N/A</v>
      </c>
      <c r="N61" s="768"/>
      <c r="O61" s="768"/>
      <c r="P61" s="768"/>
      <c r="Q61" s="768"/>
      <c r="R61" s="768"/>
      <c r="S61" s="768"/>
      <c r="T61" s="768"/>
      <c r="U61" s="768"/>
      <c r="V61" s="768"/>
      <c r="W61" s="768"/>
      <c r="X61" s="768"/>
      <c r="Y61" s="768"/>
      <c r="Z61" s="768"/>
      <c r="AA61" s="768"/>
    </row>
    <row r="62" ht="30.0" customHeight="1">
      <c r="A62" s="768" t="str">
        <f t="array" ref="A62">XLOOKUP(C62,'High School Players'!D:D,'High School Players'!K:K,"NO",0,1)</f>
        <v>NO</v>
      </c>
      <c r="B62" s="975">
        <f>IFERROR(__xludf.DUMMYFUNCTION("""COMPUTED_VALUE"""),45483.899679236114)</f>
        <v>45483.89968</v>
      </c>
      <c r="C62" s="768" t="str">
        <f>IFERROR(__xludf.DUMMYFUNCTION("""COMPUTED_VALUE"""),"Riley Furrow")</f>
        <v>Riley Furrow</v>
      </c>
      <c r="D62" s="768" t="str">
        <f>IFERROR(__xludf.DUMMYFUNCTION("""COMPUTED_VALUE"""),"rileyfurrow2@gmail.com")</f>
        <v>rileyfurrow2@gmail.com</v>
      </c>
      <c r="E62" s="768" t="str">
        <f>IFERROR(__xludf.DUMMYFUNCTION("""COMPUTED_VALUE"""),"6’1 205")</f>
        <v>6’1 205</v>
      </c>
      <c r="F62" s="768" t="str">
        <f>IFERROR(__xludf.DUMMYFUNCTION("""COMPUTED_VALUE"""),"RHP")</f>
        <v>RHP</v>
      </c>
      <c r="G62" s="768" t="str">
        <f>IFERROR(__xludf.DUMMYFUNCTION("""COMPUTED_VALUE"""),"Shut down the number one team in the state for 6 innings. Shut down the favorite team to win states at Wake Forest")</f>
        <v>Shut down the number one team in the state for 6 innings. Shut down the favorite team to win states at Wake Forest</v>
      </c>
      <c r="H62" s="768">
        <f>IFERROR(__xludf.DUMMYFUNCTION("""COMPUTED_VALUE"""),3.3)</f>
        <v>3.3</v>
      </c>
      <c r="I62" s="768"/>
      <c r="J62" s="768" t="str">
        <f>IFERROR(__xludf.DUMMYFUNCTION("""COMPUTED_VALUE"""),"Ankle Surgery-12-28-2021")</f>
        <v>Ankle Surgery-12-28-2021</v>
      </c>
      <c r="K62" s="768"/>
      <c r="L62" s="768" t="str">
        <f>IFERROR(__xludf.DUMMYFUNCTION("""COMPUTED_VALUE"""),"Seasonal medicine for allergies ")</f>
        <v>Seasonal medicine for allergies </v>
      </c>
      <c r="M62" s="768" t="str">
        <f>IFERROR(__xludf.DUMMYFUNCTION("""COMPUTED_VALUE"""),"Went to states back to back years in a marketing club called Deca.")</f>
        <v>Went to states back to back years in a marketing club called Deca.</v>
      </c>
      <c r="N62" s="768"/>
      <c r="O62" s="768"/>
      <c r="P62" s="768"/>
      <c r="Q62" s="768"/>
      <c r="R62" s="768"/>
      <c r="S62" s="768"/>
      <c r="T62" s="768"/>
      <c r="U62" s="768"/>
      <c r="V62" s="768"/>
      <c r="W62" s="768"/>
      <c r="X62" s="768"/>
      <c r="Y62" s="768"/>
      <c r="Z62" s="768"/>
      <c r="AA62" s="768"/>
    </row>
    <row r="63" ht="30.0" customHeight="1">
      <c r="A63" s="768" t="str">
        <f t="array" ref="A63">XLOOKUP(C63,'High School Players'!D:D,'High School Players'!K:K,"NO",0,1)</f>
        <v>XX</v>
      </c>
      <c r="B63" s="975">
        <f>IFERROR(__xludf.DUMMYFUNCTION("""COMPUTED_VALUE"""),45488.66781054398)</f>
        <v>45488.66781</v>
      </c>
      <c r="C63" s="768" t="str">
        <f>IFERROR(__xludf.DUMMYFUNCTION("""COMPUTED_VALUE"""),"Remo Indomenico")</f>
        <v>Remo Indomenico</v>
      </c>
      <c r="D63" s="768" t="str">
        <f>IFERROR(__xludf.DUMMYFUNCTION("""COMPUTED_VALUE"""),"Rindo2138@gmail.com")</f>
        <v>Rindo2138@gmail.com</v>
      </c>
      <c r="E63" s="768" t="str">
        <f>IFERROR(__xludf.DUMMYFUNCTION("""COMPUTED_VALUE"""),"6ft 185lbs")</f>
        <v>6ft 185lbs</v>
      </c>
      <c r="F63" s="768" t="str">
        <f>IFERROR(__xludf.DUMMYFUNCTION("""COMPUTED_VALUE"""),"Of/Lhp")</f>
        <v>Of/Lhp</v>
      </c>
      <c r="G63" s="768" t="str">
        <f>IFERROR(__xludf.DUMMYFUNCTION("""COMPUTED_VALUE"""),"Lead team in ba and obp for high school")</f>
        <v>Lead team in ba and obp for high school</v>
      </c>
      <c r="H63" s="768" t="str">
        <f>IFERROR(__xludf.DUMMYFUNCTION("""COMPUTED_VALUE"""),"3.8/4")</f>
        <v>3.8/4</v>
      </c>
      <c r="I63" s="768" t="str">
        <f>IFERROR(__xludf.DUMMYFUNCTION("""COMPUTED_VALUE"""),"26 act")</f>
        <v>26 act</v>
      </c>
      <c r="J63" s="768" t="str">
        <f>IFERROR(__xludf.DUMMYFUNCTION("""COMPUTED_VALUE"""),"No injuries or surgeries fingers crossed")</f>
        <v>No injuries or surgeries fingers crossed</v>
      </c>
      <c r="K63" s="768" t="str">
        <f>IFERROR(__xludf.DUMMYFUNCTION("""COMPUTED_VALUE"""),"Fish, dogs and cats allergies. ")</f>
        <v>Fish, dogs and cats allergies. </v>
      </c>
      <c r="L63" s="768" t="str">
        <f>IFERROR(__xludf.DUMMYFUNCTION("""COMPUTED_VALUE"""),"Only allergy medication as needed")</f>
        <v>Only allergy medication as needed</v>
      </c>
      <c r="M63" s="768" t="str">
        <f>IFERROR(__xludf.DUMMYFUNCTION("""COMPUTED_VALUE"""),"No")</f>
        <v>No</v>
      </c>
      <c r="N63" s="768"/>
      <c r="O63" s="768"/>
      <c r="P63" s="768"/>
      <c r="Q63" s="768"/>
      <c r="R63" s="768"/>
      <c r="S63" s="768"/>
      <c r="T63" s="768"/>
      <c r="U63" s="768"/>
      <c r="V63" s="768"/>
      <c r="W63" s="768"/>
      <c r="X63" s="768"/>
      <c r="Y63" s="768"/>
      <c r="Z63" s="768"/>
      <c r="AA63" s="768"/>
    </row>
    <row r="64" ht="30.0" customHeight="1">
      <c r="A64" s="768" t="str">
        <f t="array" ref="A64">XLOOKUP(C64,'High School Players'!D:D,'High School Players'!K:K,"NO",0,1)</f>
        <v>NO</v>
      </c>
      <c r="B64" s="975">
        <f>IFERROR(__xludf.DUMMYFUNCTION("""COMPUTED_VALUE"""),45491.79370332176)</f>
        <v>45491.7937</v>
      </c>
      <c r="C64" s="768" t="str">
        <f>IFERROR(__xludf.DUMMYFUNCTION("""COMPUTED_VALUE"""),"Nick Russo")</f>
        <v>Nick Russo</v>
      </c>
      <c r="D64" s="768" t="str">
        <f>IFERROR(__xludf.DUMMYFUNCTION("""COMPUTED_VALUE"""),"nickrusso2511@gmail.com")</f>
        <v>nickrusso2511@gmail.com</v>
      </c>
      <c r="E64" s="768" t="str">
        <f>IFERROR(__xludf.DUMMYFUNCTION("""COMPUTED_VALUE"""),"6,4 210")</f>
        <v>6,4 210</v>
      </c>
      <c r="F64" s="768" t="str">
        <f>IFERROR(__xludf.DUMMYFUNCTION("""COMPUTED_VALUE"""),"RHP")</f>
        <v>RHP</v>
      </c>
      <c r="G64" s="768"/>
      <c r="H64" s="768">
        <f>IFERROR(__xludf.DUMMYFUNCTION("""COMPUTED_VALUE"""),3.7)</f>
        <v>3.7</v>
      </c>
      <c r="I64" s="768" t="str">
        <f>IFERROR(__xludf.DUMMYFUNCTION("""COMPUTED_VALUE"""),"Act: 25")</f>
        <v>Act: 25</v>
      </c>
      <c r="J64" s="768" t="str">
        <f>IFERROR(__xludf.DUMMYFUNCTION("""COMPUTED_VALUE"""),"Sprained Ucl")</f>
        <v>Sprained Ucl</v>
      </c>
      <c r="K64" s="768" t="str">
        <f>IFERROR(__xludf.DUMMYFUNCTION("""COMPUTED_VALUE"""),"Gluten ")</f>
        <v>Gluten </v>
      </c>
      <c r="L64" s="768"/>
      <c r="M64" s="768"/>
      <c r="N64" s="768"/>
      <c r="O64" s="768"/>
      <c r="P64" s="768"/>
      <c r="Q64" s="768"/>
      <c r="R64" s="768"/>
      <c r="S64" s="768"/>
      <c r="T64" s="768"/>
      <c r="U64" s="768"/>
      <c r="V64" s="768"/>
      <c r="W64" s="768"/>
      <c r="X64" s="768"/>
      <c r="Y64" s="768"/>
      <c r="Z64" s="768"/>
      <c r="AA64" s="768"/>
    </row>
    <row r="65" ht="30.0" customHeight="1">
      <c r="A65" s="768" t="str">
        <f t="array" ref="A65">XLOOKUP(C65,'High School Players'!D:D,'High School Players'!K:K,"NO",0,1)</f>
        <v>XX</v>
      </c>
      <c r="B65" s="975">
        <f>IFERROR(__xludf.DUMMYFUNCTION("""COMPUTED_VALUE"""),45491.80928634259)</f>
        <v>45491.80929</v>
      </c>
      <c r="C65" s="768" t="str">
        <f>IFERROR(__xludf.DUMMYFUNCTION("""COMPUTED_VALUE"""),"Clayton Norrell")</f>
        <v>Clayton Norrell</v>
      </c>
      <c r="D65" s="768" t="str">
        <f>IFERROR(__xludf.DUMMYFUNCTION("""COMPUTED_VALUE"""),"clayton.norrell@icloud.com")</f>
        <v>clayton.norrell@icloud.com</v>
      </c>
      <c r="E65" s="768" t="str">
        <f>IFERROR(__xludf.DUMMYFUNCTION("""COMPUTED_VALUE"""),"5'11/180")</f>
        <v>5'11/180</v>
      </c>
      <c r="F65" s="768" t="str">
        <f>IFERROR(__xludf.DUMMYFUNCTION("""COMPUTED_VALUE"""),"LHP, 1B")</f>
        <v>LHP, 1B</v>
      </c>
      <c r="G65" s="768" t="str">
        <f>IFERROR(__xludf.DUMMYFUNCTION("""COMPUTED_VALUE"""),"High school stats: 65 innings, 70 strikeouts, 1.929 ERA, 19 walks ")</f>
        <v>High school stats: 65 innings, 70 strikeouts, 1.929 ERA, 19 walks </v>
      </c>
      <c r="H65" s="768">
        <f>IFERROR(__xludf.DUMMYFUNCTION("""COMPUTED_VALUE"""),3.8)</f>
        <v>3.8</v>
      </c>
      <c r="I65" s="768" t="str">
        <f>IFERROR(__xludf.DUMMYFUNCTION("""COMPUTED_VALUE"""),"SAT: 1050")</f>
        <v>SAT: 1050</v>
      </c>
      <c r="J65" s="768" t="str">
        <f>IFERROR(__xludf.DUMMYFUNCTION("""COMPUTED_VALUE"""),"N/A")</f>
        <v>N/A</v>
      </c>
      <c r="K65" s="768" t="str">
        <f>IFERROR(__xludf.DUMMYFUNCTION("""COMPUTED_VALUE"""),"N/A")</f>
        <v>N/A</v>
      </c>
      <c r="L65" s="768" t="str">
        <f>IFERROR(__xludf.DUMMYFUNCTION("""COMPUTED_VALUE"""),"N/A")</f>
        <v>N/A</v>
      </c>
      <c r="M65" s="768" t="str">
        <f>IFERROR(__xludf.DUMMYFUNCTION("""COMPUTED_VALUE"""),"N/A")</f>
        <v>N/A</v>
      </c>
      <c r="N65" s="768"/>
      <c r="O65" s="768"/>
      <c r="P65" s="768"/>
      <c r="Q65" s="768"/>
      <c r="R65" s="768"/>
      <c r="S65" s="768"/>
      <c r="T65" s="768"/>
      <c r="U65" s="768"/>
      <c r="V65" s="768"/>
      <c r="W65" s="768"/>
      <c r="X65" s="768"/>
      <c r="Y65" s="768"/>
      <c r="Z65" s="768"/>
      <c r="AA65" s="768"/>
    </row>
    <row r="66" ht="30.0" customHeight="1">
      <c r="A66" s="768" t="str">
        <f t="array" ref="A66">XLOOKUP(C66,'High School Players'!D:D,'High School Players'!K:K,"NO",0,1)</f>
        <v>NO</v>
      </c>
      <c r="B66" s="975">
        <f>IFERROR(__xludf.DUMMYFUNCTION("""COMPUTED_VALUE"""),45491.89488604167)</f>
        <v>45491.89489</v>
      </c>
      <c r="C66" s="768" t="str">
        <f>IFERROR(__xludf.DUMMYFUNCTION("""COMPUTED_VALUE"""),"Roger Vincent")</f>
        <v>Roger Vincent</v>
      </c>
      <c r="D66" s="768" t="str">
        <f>IFERROR(__xludf.DUMMYFUNCTION("""COMPUTED_VALUE"""),"rgv2025@gmail.com")</f>
        <v>rgv2025@gmail.com</v>
      </c>
      <c r="E66" s="768" t="str">
        <f>IFERROR(__xludf.DUMMYFUNCTION("""COMPUTED_VALUE"""),"6’3’’/200")</f>
        <v>6’3’’/200</v>
      </c>
      <c r="F66" s="768" t="str">
        <f>IFERROR(__xludf.DUMMYFUNCTION("""COMPUTED_VALUE"""),"LHP")</f>
        <v>LHP</v>
      </c>
      <c r="G66" s="768" t="str">
        <f>IFERROR(__xludf.DUMMYFUNCTION("""COMPUTED_VALUE"""),"36IP, 10H, 48 SO, .792 ERA, .083 BAA")</f>
        <v>36IP, 10H, 48 SO, .792 ERA, .083 BAA</v>
      </c>
      <c r="H66" s="768">
        <f>IFERROR(__xludf.DUMMYFUNCTION("""COMPUTED_VALUE"""),3.738)</f>
        <v>3.738</v>
      </c>
      <c r="I66" s="768" t="str">
        <f>IFERROR(__xludf.DUMMYFUNCTION("""COMPUTED_VALUE"""),"1100/22")</f>
        <v>1100/22</v>
      </c>
      <c r="J66" s="768" t="str">
        <f>IFERROR(__xludf.DUMMYFUNCTION("""COMPUTED_VALUE"""),"None")</f>
        <v>None</v>
      </c>
      <c r="K66" s="768" t="str">
        <f>IFERROR(__xludf.DUMMYFUNCTION("""COMPUTED_VALUE"""),"No ")</f>
        <v>No </v>
      </c>
      <c r="L66" s="768" t="str">
        <f>IFERROR(__xludf.DUMMYFUNCTION("""COMPUTED_VALUE"""),"No")</f>
        <v>No</v>
      </c>
      <c r="M66" s="768" t="str">
        <f>IFERROR(__xludf.DUMMYFUNCTION("""COMPUTED_VALUE"""),"No")</f>
        <v>No</v>
      </c>
      <c r="N66" s="768"/>
      <c r="O66" s="768"/>
      <c r="P66" s="768"/>
      <c r="Q66" s="768"/>
      <c r="R66" s="768"/>
      <c r="S66" s="768"/>
      <c r="T66" s="768"/>
      <c r="U66" s="768"/>
      <c r="V66" s="768"/>
      <c r="W66" s="768"/>
      <c r="X66" s="768"/>
      <c r="Y66" s="768"/>
      <c r="Z66" s="768"/>
      <c r="AA66" s="768"/>
    </row>
    <row r="67" ht="30.0" customHeight="1">
      <c r="A67" s="768" t="str">
        <f t="array" ref="A67">XLOOKUP(C67,'High School Players'!D:D,'High School Players'!K:K,"NO",0,1)</f>
        <v>NO</v>
      </c>
      <c r="B67" s="975">
        <f>IFERROR(__xludf.DUMMYFUNCTION("""COMPUTED_VALUE"""),45492.429052314816)</f>
        <v>45492.42905</v>
      </c>
      <c r="C67" s="768" t="str">
        <f>IFERROR(__xludf.DUMMYFUNCTION("""COMPUTED_VALUE"""),"Alex Love")</f>
        <v>Alex Love</v>
      </c>
      <c r="D67" s="768" t="str">
        <f>IFERROR(__xludf.DUMMYFUNCTION("""COMPUTED_VALUE"""),"alove@ncstrojans.com")</f>
        <v>alove@ncstrojans.com</v>
      </c>
      <c r="E67" s="768" t="str">
        <f>IFERROR(__xludf.DUMMYFUNCTION("""COMPUTED_VALUE"""),"6’5 210")</f>
        <v>6’5 210</v>
      </c>
      <c r="F67" s="768" t="str">
        <f>IFERROR(__xludf.DUMMYFUNCTION("""COMPUTED_VALUE"""),"Pitcher")</f>
        <v>Pitcher</v>
      </c>
      <c r="G67" s="768" t="str">
        <f>IFERROR(__xludf.DUMMYFUNCTION("""COMPUTED_VALUE"""),"1st team all district / 1st team all region")</f>
        <v>1st team all district / 1st team all region</v>
      </c>
      <c r="H67" s="768">
        <f>IFERROR(__xludf.DUMMYFUNCTION("""COMPUTED_VALUE"""),3.2)</f>
        <v>3.2</v>
      </c>
      <c r="I67" s="768" t="str">
        <f>IFERROR(__xludf.DUMMYFUNCTION("""COMPUTED_VALUE"""),"ACT - 23")</f>
        <v>ACT - 23</v>
      </c>
      <c r="J67" s="768" t="str">
        <f>IFERROR(__xludf.DUMMYFUNCTION("""COMPUTED_VALUE"""),"Noke")</f>
        <v>Noke</v>
      </c>
      <c r="K67" s="768" t="str">
        <f>IFERROR(__xludf.DUMMYFUNCTION("""COMPUTED_VALUE"""),"No")</f>
        <v>No</v>
      </c>
      <c r="L67" s="768" t="str">
        <f>IFERROR(__xludf.DUMMYFUNCTION("""COMPUTED_VALUE"""),"No")</f>
        <v>No</v>
      </c>
      <c r="M67" s="768" t="str">
        <f>IFERROR(__xludf.DUMMYFUNCTION("""COMPUTED_VALUE"""),"No")</f>
        <v>No</v>
      </c>
      <c r="N67" s="768"/>
      <c r="O67" s="768"/>
      <c r="P67" s="768"/>
      <c r="Q67" s="768"/>
      <c r="R67" s="768"/>
      <c r="S67" s="768"/>
      <c r="T67" s="768"/>
      <c r="U67" s="768"/>
      <c r="V67" s="768"/>
      <c r="W67" s="768"/>
      <c r="X67" s="768"/>
      <c r="Y67" s="768"/>
      <c r="Z67" s="768"/>
      <c r="AA67" s="768"/>
    </row>
    <row r="68" ht="30.0" customHeight="1">
      <c r="A68" s="768">
        <f t="array" ref="A68">XLOOKUP(C68,'High School Players'!D:D,'High School Players'!K:K,"NO",0,1)</f>
        <v>2</v>
      </c>
      <c r="B68" s="975">
        <f>IFERROR(__xludf.DUMMYFUNCTION("""COMPUTED_VALUE"""),45492.950064432865)</f>
        <v>45492.95006</v>
      </c>
      <c r="C68" s="768" t="str">
        <f>IFERROR(__xludf.DUMMYFUNCTION("""COMPUTED_VALUE"""),"Nathan Lake")</f>
        <v>Nathan Lake</v>
      </c>
      <c r="D68" s="768" t="str">
        <f>IFERROR(__xludf.DUMMYFUNCTION("""COMPUTED_VALUE"""),"Nathan.lake@outlook.com")</f>
        <v>Nathan.lake@outlook.com</v>
      </c>
      <c r="E68" s="768" t="str">
        <f>IFERROR(__xludf.DUMMYFUNCTION("""COMPUTED_VALUE"""),"6’3 200")</f>
        <v>6’3 200</v>
      </c>
      <c r="F68" s="768" t="str">
        <f>IFERROR(__xludf.DUMMYFUNCTION("""COMPUTED_VALUE"""),"LHP")</f>
        <v>LHP</v>
      </c>
      <c r="G68" s="768" t="str">
        <f>IFERROR(__xludf.DUMMYFUNCTION("""COMPUTED_VALUE"""),"1.4 era 1st team all district ")</f>
        <v>1.4 era 1st team all district </v>
      </c>
      <c r="H68" s="768">
        <f>IFERROR(__xludf.DUMMYFUNCTION("""COMPUTED_VALUE"""),3.8)</f>
        <v>3.8</v>
      </c>
      <c r="I68" s="768">
        <f>IFERROR(__xludf.DUMMYFUNCTION("""COMPUTED_VALUE"""),1180.0)</f>
        <v>1180</v>
      </c>
      <c r="J68" s="768"/>
      <c r="K68" s="768" t="str">
        <f>IFERROR(__xludf.DUMMYFUNCTION("""COMPUTED_VALUE"""),"No")</f>
        <v>No</v>
      </c>
      <c r="L68" s="768" t="str">
        <f>IFERROR(__xludf.DUMMYFUNCTION("""COMPUTED_VALUE"""),"Claritin ")</f>
        <v>Claritin </v>
      </c>
      <c r="M68" s="768" t="str">
        <f>IFERROR(__xludf.DUMMYFUNCTION("""COMPUTED_VALUE"""),"No")</f>
        <v>No</v>
      </c>
      <c r="N68" s="768"/>
      <c r="O68" s="768"/>
      <c r="P68" s="768"/>
      <c r="Q68" s="768"/>
      <c r="R68" s="768"/>
      <c r="S68" s="768"/>
      <c r="T68" s="768"/>
      <c r="U68" s="768"/>
      <c r="V68" s="768"/>
      <c r="W68" s="768"/>
      <c r="X68" s="768"/>
      <c r="Y68" s="768"/>
      <c r="Z68" s="768"/>
      <c r="AA68" s="768"/>
    </row>
    <row r="69" ht="30.0" customHeight="1">
      <c r="A69" s="768" t="str">
        <f t="array" ref="A69">XLOOKUP(C69,'High School Players'!D:D,'High School Players'!K:K,"NO",0,1)</f>
        <v>NO</v>
      </c>
      <c r="B69" s="975">
        <f>IFERROR(__xludf.DUMMYFUNCTION("""COMPUTED_VALUE"""),45495.8174482176)</f>
        <v>45495.81745</v>
      </c>
      <c r="C69" s="768" t="str">
        <f>IFERROR(__xludf.DUMMYFUNCTION("""COMPUTED_VALUE"""),"Jack Cullison ")</f>
        <v>Jack Cullison </v>
      </c>
      <c r="D69" s="768" t="str">
        <f>IFERROR(__xludf.DUMMYFUNCTION("""COMPUTED_VALUE"""),"jackcullison35@gmail.com")</f>
        <v>jackcullison35@gmail.com</v>
      </c>
      <c r="E69" s="768" t="str">
        <f>IFERROR(__xludf.DUMMYFUNCTION("""COMPUTED_VALUE"""),"6’2/215")</f>
        <v>6’2/215</v>
      </c>
      <c r="F69" s="768" t="str">
        <f>IFERROR(__xludf.DUMMYFUNCTION("""COMPUTED_VALUE"""),"SS, C, 3B, 1B, 2B")</f>
        <v>SS, C, 3B, 1B, 2B</v>
      </c>
      <c r="G69" s="768" t="str">
        <f>IFERROR(__xludf.DUMMYFUNCTION("""COMPUTED_VALUE"""),"First Team all League 2024")</f>
        <v>First Team all League 2024</v>
      </c>
      <c r="H69" s="768">
        <f>IFERROR(__xludf.DUMMYFUNCTION("""COMPUTED_VALUE"""),4.45)</f>
        <v>4.45</v>
      </c>
      <c r="I69" s="768">
        <f>IFERROR(__xludf.DUMMYFUNCTION("""COMPUTED_VALUE"""),1350.0)</f>
        <v>1350</v>
      </c>
      <c r="J69" s="768" t="str">
        <f>IFERROR(__xludf.DUMMYFUNCTION("""COMPUTED_VALUE"""),"N/A")</f>
        <v>N/A</v>
      </c>
      <c r="K69" s="768" t="str">
        <f>IFERROR(__xludf.DUMMYFUNCTION("""COMPUTED_VALUE"""),"N/A")</f>
        <v>N/A</v>
      </c>
      <c r="L69" s="768" t="str">
        <f>IFERROR(__xludf.DUMMYFUNCTION("""COMPUTED_VALUE"""),"N/A")</f>
        <v>N/A</v>
      </c>
      <c r="M69" s="768" t="str">
        <f>IFERROR(__xludf.DUMMYFUNCTION("""COMPUTED_VALUE"""),"N/A")</f>
        <v>N/A</v>
      </c>
      <c r="N69" s="768"/>
      <c r="O69" s="768"/>
      <c r="P69" s="768"/>
      <c r="Q69" s="768"/>
      <c r="R69" s="768"/>
      <c r="S69" s="768"/>
      <c r="T69" s="768"/>
      <c r="U69" s="768"/>
      <c r="V69" s="768"/>
      <c r="W69" s="768"/>
      <c r="X69" s="768"/>
      <c r="Y69" s="768"/>
      <c r="Z69" s="768"/>
      <c r="AA69" s="768"/>
    </row>
    <row r="70" ht="30.0" customHeight="1">
      <c r="A70" s="768" t="str">
        <f t="array" ref="A70">XLOOKUP(C70,'High School Players'!D:D,'High School Players'!K:K,"NO",0,1)</f>
        <v>NO</v>
      </c>
      <c r="B70" s="975">
        <f>IFERROR(__xludf.DUMMYFUNCTION("""COMPUTED_VALUE"""),45497.938951979166)</f>
        <v>45497.93895</v>
      </c>
      <c r="C70" s="768" t="str">
        <f>IFERROR(__xludf.DUMMYFUNCTION("""COMPUTED_VALUE"""),"Everett Burgess")</f>
        <v>Everett Burgess</v>
      </c>
      <c r="D70" s="768" t="str">
        <f>IFERROR(__xludf.DUMMYFUNCTION("""COMPUTED_VALUE"""),"Everettburgess25@gmail.com")</f>
        <v>Everettburgess25@gmail.com</v>
      </c>
      <c r="E70" s="768" t="str">
        <f>IFERROR(__xludf.DUMMYFUNCTION("""COMPUTED_VALUE"""),"6’2/220")</f>
        <v>6’2/220</v>
      </c>
      <c r="F70" s="768" t="str">
        <f>IFERROR(__xludf.DUMMYFUNCTION("""COMPUTED_VALUE"""),"1B,OF")</f>
        <v>1B,OF</v>
      </c>
      <c r="G70" s="768" t="str">
        <f>IFERROR(__xludf.DUMMYFUNCTION("""COMPUTED_VALUE"""),"HS 2024 - Hitting: .344 / .459 / .882, 4 XBH, 1 HR, 13 RBI; 2nd Team SAC All Conference ; 2024 Summer - Hitting: .359 / .500 / 1.000, 3 XBH, 1 HR, 11 RBI")</f>
        <v>HS 2024 - Hitting: .344 / .459 / .882, 4 XBH, 1 HR, 13 RBI; 2nd Team SAC All Conference ; 2024 Summer - Hitting: .359 / .500 / 1.000, 3 XBH, 1 HR, 11 RBI</v>
      </c>
      <c r="H70" s="768" t="str">
        <f>IFERROR(__xludf.DUMMYFUNCTION("""COMPUTED_VALUE"""),"4.3 Weighted / 3.8 Unweighted ")</f>
        <v>4.3 Weighted / 3.8 Unweighted </v>
      </c>
      <c r="I70" s="768" t="str">
        <f>IFERROR(__xludf.DUMMYFUNCTION("""COMPUTED_VALUE"""),"1070 / 27")</f>
        <v>1070 / 27</v>
      </c>
      <c r="J70" s="768" t="str">
        <f>IFERROR(__xludf.DUMMYFUNCTION("""COMPUTED_VALUE"""),"Partial tear of right hamstring - November 2022")</f>
        <v>Partial tear of right hamstring - November 2022</v>
      </c>
      <c r="K70" s="768" t="str">
        <f>IFERROR(__xludf.DUMMYFUNCTION("""COMPUTED_VALUE"""),"No")</f>
        <v>No</v>
      </c>
      <c r="L70" s="768" t="str">
        <f>IFERROR(__xludf.DUMMYFUNCTION("""COMPUTED_VALUE"""),"No")</f>
        <v>No</v>
      </c>
      <c r="M70" s="768" t="str">
        <f>IFERROR(__xludf.DUMMYFUNCTION("""COMPUTED_VALUE"""),"No")</f>
        <v>No</v>
      </c>
      <c r="N70" s="768"/>
      <c r="O70" s="768"/>
      <c r="P70" s="768"/>
      <c r="Q70" s="768"/>
      <c r="R70" s="768"/>
      <c r="S70" s="768"/>
      <c r="T70" s="768"/>
      <c r="U70" s="768"/>
      <c r="V70" s="768"/>
      <c r="W70" s="768"/>
      <c r="X70" s="768"/>
      <c r="Y70" s="768"/>
      <c r="Z70" s="768"/>
      <c r="AA70" s="768"/>
    </row>
    <row r="71" ht="30.0" customHeight="1">
      <c r="A71" s="768">
        <f t="array" ref="A71">XLOOKUP(C71,'High School Players'!D:D,'High School Players'!K:K,"NO",0,1)</f>
        <v>4</v>
      </c>
      <c r="B71" s="975">
        <f>IFERROR(__xludf.DUMMYFUNCTION("""COMPUTED_VALUE"""),45498.64021612269)</f>
        <v>45498.64022</v>
      </c>
      <c r="C71" s="768" t="str">
        <f>IFERROR(__xludf.DUMMYFUNCTION("""COMPUTED_VALUE"""),"Kason Herlong")</f>
        <v>Kason Herlong</v>
      </c>
      <c r="D71" s="768" t="str">
        <f>IFERROR(__xludf.DUMMYFUNCTION("""COMPUTED_VALUE"""),"rkherl67@gmail.com")</f>
        <v>rkherl67@gmail.com</v>
      </c>
      <c r="E71" s="768" t="str">
        <f>IFERROR(__xludf.DUMMYFUNCTION("""COMPUTED_VALUE"""),"6’0/180")</f>
        <v>6’0/180</v>
      </c>
      <c r="F71" s="768" t="str">
        <f>IFERROR(__xludf.DUMMYFUNCTION("""COMPUTED_VALUE"""),"SS/3B/RHP")</f>
        <v>SS/3B/RHP</v>
      </c>
      <c r="G71" s="768" t="str">
        <f>IFERROR(__xludf.DUMMYFUNCTION("""COMPUTED_VALUE"""),"High School: .526 BA 3 HR’s 41 Hits .968 Fielding Percentage")</f>
        <v>High School: .526 BA 3 HR’s 41 Hits .968 Fielding Percentage</v>
      </c>
      <c r="H71" s="768">
        <f>IFERROR(__xludf.DUMMYFUNCTION("""COMPUTED_VALUE"""),5.23)</f>
        <v>5.23</v>
      </c>
      <c r="I71" s="768" t="str">
        <f>IFERROR(__xludf.DUMMYFUNCTION("""COMPUTED_VALUE"""),"1210 SAT")</f>
        <v>1210 SAT</v>
      </c>
      <c r="J71" s="768" t="str">
        <f>IFERROR(__xludf.DUMMYFUNCTION("""COMPUTED_VALUE"""),"N/A")</f>
        <v>N/A</v>
      </c>
      <c r="K71" s="768" t="str">
        <f>IFERROR(__xludf.DUMMYFUNCTION("""COMPUTED_VALUE"""),"N/A")</f>
        <v>N/A</v>
      </c>
      <c r="L71" s="768" t="str">
        <f>IFERROR(__xludf.DUMMYFUNCTION("""COMPUTED_VALUE"""),"N/A")</f>
        <v>N/A</v>
      </c>
      <c r="M71" s="768" t="str">
        <f>IFERROR(__xludf.DUMMYFUNCTION("""COMPUTED_VALUE"""),"N/A")</f>
        <v>N/A</v>
      </c>
      <c r="N71" s="768"/>
      <c r="O71" s="768"/>
      <c r="P71" s="768"/>
      <c r="Q71" s="768"/>
      <c r="R71" s="768"/>
      <c r="S71" s="768"/>
      <c r="T71" s="768"/>
      <c r="U71" s="768"/>
      <c r="V71" s="768"/>
      <c r="W71" s="768"/>
      <c r="X71" s="768"/>
      <c r="Y71" s="768"/>
      <c r="Z71" s="768"/>
      <c r="AA71" s="768"/>
    </row>
    <row r="72" ht="30.0" customHeight="1">
      <c r="A72" s="768" t="str">
        <f t="array" ref="A72">XLOOKUP(C72,'High School Players'!D:D,'High School Players'!K:K,"NO",0,1)</f>
        <v>NO</v>
      </c>
      <c r="B72" s="975">
        <f>IFERROR(__xludf.DUMMYFUNCTION("""COMPUTED_VALUE"""),45498.64613826389)</f>
        <v>45498.64614</v>
      </c>
      <c r="C72" s="768" t="str">
        <f>IFERROR(__xludf.DUMMYFUNCTION("""COMPUTED_VALUE"""),"Trenton Uyeda")</f>
        <v>Trenton Uyeda</v>
      </c>
      <c r="D72" s="768" t="str">
        <f>IFERROR(__xludf.DUMMYFUNCTION("""COMPUTED_VALUE"""),"trentonuyeda@gmail.com")</f>
        <v>trentonuyeda@gmail.com</v>
      </c>
      <c r="E72" s="768" t="str">
        <f>IFERROR(__xludf.DUMMYFUNCTION("""COMPUTED_VALUE"""),"5’11” 155lbs")</f>
        <v>5’11” 155lbs</v>
      </c>
      <c r="F72" s="768" t="str">
        <f>IFERROR(__xludf.DUMMYFUNCTION("""COMPUTED_VALUE"""),"Shortstop")</f>
        <v>Shortstop</v>
      </c>
      <c r="G72" s="768" t="str">
        <f>IFERROR(__xludf.DUMMYFUNCTION("""COMPUTED_VALUE"""),"Summer .318 AVG HS .269 AVG ")</f>
        <v>Summer .318 AVG HS .269 AVG </v>
      </c>
      <c r="H72" s="768">
        <f>IFERROR(__xludf.DUMMYFUNCTION("""COMPUTED_VALUE"""),3.83)</f>
        <v>3.83</v>
      </c>
      <c r="I72" s="768" t="str">
        <f>IFERROR(__xludf.DUMMYFUNCTION("""COMPUTED_VALUE"""),"SAT 1160")</f>
        <v>SAT 1160</v>
      </c>
      <c r="J72" s="768" t="str">
        <f>IFERROR(__xludf.DUMMYFUNCTION("""COMPUTED_VALUE"""),"None ")</f>
        <v>None </v>
      </c>
      <c r="K72" s="768" t="str">
        <f>IFERROR(__xludf.DUMMYFUNCTION("""COMPUTED_VALUE"""),"No")</f>
        <v>No</v>
      </c>
      <c r="L72" s="768" t="str">
        <f>IFERROR(__xludf.DUMMYFUNCTION("""COMPUTED_VALUE"""),"No")</f>
        <v>No</v>
      </c>
      <c r="M72" s="768" t="str">
        <f>IFERROR(__xludf.DUMMYFUNCTION("""COMPUTED_VALUE"""),"No")</f>
        <v>No</v>
      </c>
      <c r="N72" s="768"/>
      <c r="O72" s="768"/>
      <c r="P72" s="768"/>
      <c r="Q72" s="768"/>
      <c r="R72" s="768"/>
      <c r="S72" s="768"/>
      <c r="T72" s="768"/>
      <c r="U72" s="768"/>
      <c r="V72" s="768"/>
      <c r="W72" s="768"/>
      <c r="X72" s="768"/>
      <c r="Y72" s="768"/>
      <c r="Z72" s="768"/>
      <c r="AA72" s="768"/>
    </row>
    <row r="73" ht="30.0" customHeight="1">
      <c r="A73" s="768" t="str">
        <f t="array" ref="A73">XLOOKUP(C73,'High School Players'!D:D,'High School Players'!K:K,"NO",0,1)</f>
        <v>XX</v>
      </c>
      <c r="B73" s="975">
        <f>IFERROR(__xludf.DUMMYFUNCTION("""COMPUTED_VALUE"""),45501.49971304398)</f>
        <v>45501.49971</v>
      </c>
      <c r="C73" s="768" t="str">
        <f>IFERROR(__xludf.DUMMYFUNCTION("""COMPUTED_VALUE"""),"Gabe Mathison")</f>
        <v>Gabe Mathison</v>
      </c>
      <c r="D73" s="768" t="str">
        <f>IFERROR(__xludf.DUMMYFUNCTION("""COMPUTED_VALUE"""),"gabe.mathison@gmail.com")</f>
        <v>gabe.mathison@gmail.com</v>
      </c>
      <c r="E73" s="768" t="str">
        <f>IFERROR(__xludf.DUMMYFUNCTION("""COMPUTED_VALUE"""),"6’1” 180 lbs")</f>
        <v>6’1” 180 lbs</v>
      </c>
      <c r="F73" s="768" t="str">
        <f>IFERROR(__xludf.DUMMYFUNCTION("""COMPUTED_VALUE"""),"OF/1B/LHP")</f>
        <v>OF/1B/LHP</v>
      </c>
      <c r="G73" s="768"/>
      <c r="H73" s="768" t="str">
        <f>IFERROR(__xludf.DUMMYFUNCTION("""COMPUTED_VALUE"""),"3.86 cumulative")</f>
        <v>3.86 cumulative</v>
      </c>
      <c r="I73" s="768" t="str">
        <f>IFERROR(__xludf.DUMMYFUNCTION("""COMPUTED_VALUE"""),"1140 SAT")</f>
        <v>1140 SAT</v>
      </c>
      <c r="J73" s="768" t="str">
        <f>IFERROR(__xludf.DUMMYFUNCTION("""COMPUTED_VALUE"""),"Left shoulder growth plate fracture in 2022, left quad tear 2023")</f>
        <v>Left shoulder growth plate fracture in 2022, left quad tear 2023</v>
      </c>
      <c r="K73" s="768" t="str">
        <f>IFERROR(__xludf.DUMMYFUNCTION("""COMPUTED_VALUE"""),"None")</f>
        <v>None</v>
      </c>
      <c r="L73" s="768" t="str">
        <f>IFERROR(__xludf.DUMMYFUNCTION("""COMPUTED_VALUE"""),"None")</f>
        <v>None</v>
      </c>
      <c r="M73" s="768" t="str">
        <f>IFERROR(__xludf.DUMMYFUNCTION("""COMPUTED_VALUE"""),"No")</f>
        <v>No</v>
      </c>
      <c r="N73" s="768"/>
      <c r="O73" s="768"/>
      <c r="P73" s="768"/>
      <c r="Q73" s="768"/>
      <c r="R73" s="768"/>
      <c r="S73" s="768"/>
      <c r="T73" s="768"/>
      <c r="U73" s="768"/>
      <c r="V73" s="768"/>
      <c r="W73" s="768"/>
      <c r="X73" s="768"/>
      <c r="Y73" s="768"/>
      <c r="Z73" s="768"/>
      <c r="AA73" s="768"/>
    </row>
    <row r="74" ht="30.0" customHeight="1">
      <c r="A74" s="768" t="str">
        <f t="array" ref="A74">XLOOKUP(C74,'High School Players'!D:D,'High School Players'!K:K,"NO",0,1)</f>
        <v>NO</v>
      </c>
      <c r="B74" s="975">
        <f>IFERROR(__xludf.DUMMYFUNCTION("""COMPUTED_VALUE"""),45502.62456064815)</f>
        <v>45502.62456</v>
      </c>
      <c r="C74" s="768" t="str">
        <f>IFERROR(__xludf.DUMMYFUNCTION("""COMPUTED_VALUE"""),"Carson Bowman")</f>
        <v>Carson Bowman</v>
      </c>
      <c r="D74" s="768" t="str">
        <f>IFERROR(__xludf.DUMMYFUNCTION("""COMPUTED_VALUE"""),"Cbow63006@icloud.com")</f>
        <v>Cbow63006@icloud.com</v>
      </c>
      <c r="E74" s="768" t="str">
        <f>IFERROR(__xludf.DUMMYFUNCTION("""COMPUTED_VALUE"""),"5’11/180")</f>
        <v>5’11/180</v>
      </c>
      <c r="F74" s="768" t="str">
        <f>IFERROR(__xludf.DUMMYFUNCTION("""COMPUTED_VALUE"""),"Mif/3rd/utility")</f>
        <v>Mif/3rd/utility</v>
      </c>
      <c r="G74" s="768" t="str">
        <f>IFERROR(__xludf.DUMMYFUNCTION("""COMPUTED_VALUE"""),"High school: Avg: .463(25/54), homerun, 7 doubles, 24 stolen bases. Two time prep A All state selection and two time all conference selection (2023 &amp; 2024), 2024 team captain. Summer: Avg:.537(22/41) perfect game , OPS: 1.343( perfect game), homerun, 10 d"&amp;"oubles, 2 triples . Number 11 shortstop in Pennsylvania and top 500 national recruit. ")</f>
        <v>High school: Avg: .463(25/54), homerun, 7 doubles, 24 stolen bases. Two time prep A All state selection and two time all conference selection (2023 &amp; 2024), 2024 team captain. Summer: Avg:.537(22/41) perfect game , OPS: 1.343( perfect game), homerun, 10 doubles, 2 triples . Number 11 shortstop in Pennsylvania and top 500 national recruit. </v>
      </c>
      <c r="H74" s="768" t="str">
        <f>IFERROR(__xludf.DUMMYFUNCTION("""COMPUTED_VALUE"""),"5.1/6.0")</f>
        <v>5.1/6.0</v>
      </c>
      <c r="I74" s="768" t="str">
        <f>IFERROR(__xludf.DUMMYFUNCTION("""COMPUTED_VALUE"""),"SAT: 1140")</f>
        <v>SAT: 1140</v>
      </c>
      <c r="J74" s="768" t="str">
        <f>IFERROR(__xludf.DUMMYFUNCTION("""COMPUTED_VALUE"""),"None")</f>
        <v>None</v>
      </c>
      <c r="K74" s="768" t="str">
        <f>IFERROR(__xludf.DUMMYFUNCTION("""COMPUTED_VALUE"""),"Allergic to Augmentin")</f>
        <v>Allergic to Augmentin</v>
      </c>
      <c r="L74" s="768" t="str">
        <f>IFERROR(__xludf.DUMMYFUNCTION("""COMPUTED_VALUE"""),"None")</f>
        <v>None</v>
      </c>
      <c r="M74" s="768" t="str">
        <f>IFERROR(__xludf.DUMMYFUNCTION("""COMPUTED_VALUE"""),"None")</f>
        <v>None</v>
      </c>
      <c r="N74" s="768"/>
      <c r="O74" s="768"/>
      <c r="P74" s="768"/>
      <c r="Q74" s="768"/>
      <c r="R74" s="768"/>
      <c r="S74" s="768"/>
      <c r="T74" s="768"/>
      <c r="U74" s="768"/>
      <c r="V74" s="768"/>
      <c r="W74" s="768"/>
      <c r="X74" s="768"/>
      <c r="Y74" s="768"/>
      <c r="Z74" s="768"/>
      <c r="AA74" s="768"/>
    </row>
    <row r="75" ht="30.0" customHeight="1">
      <c r="A75" s="768">
        <f t="array" ref="A75">XLOOKUP(C75,'High School Players'!D:D,'High School Players'!K:K,"NO",0,1)</f>
        <v>0.1</v>
      </c>
      <c r="B75" s="975">
        <f>IFERROR(__xludf.DUMMYFUNCTION("""COMPUTED_VALUE"""),45505.42793898148)</f>
        <v>45505.42794</v>
      </c>
      <c r="C75" s="768" t="str">
        <f>IFERROR(__xludf.DUMMYFUNCTION("""COMPUTED_VALUE"""),"Noah Stead")</f>
        <v>Noah Stead</v>
      </c>
      <c r="D75" s="768" t="str">
        <f>IFERROR(__xludf.DUMMYFUNCTION("""COMPUTED_VALUE"""),"Steadnoah5@gmail.com")</f>
        <v>Steadnoah5@gmail.com</v>
      </c>
      <c r="E75" s="768" t="str">
        <f>IFERROR(__xludf.DUMMYFUNCTION("""COMPUTED_VALUE"""),"5’11/170")</f>
        <v>5’11/170</v>
      </c>
      <c r="F75" s="768" t="str">
        <f>IFERROR(__xludf.DUMMYFUNCTION("""COMPUTED_VALUE"""),"SS/2B/3B")</f>
        <v>SS/2B/3B</v>
      </c>
      <c r="G75" s="768" t="str">
        <f>IFERROR(__xludf.DUMMYFUNCTION("""COMPUTED_VALUE"""),"All Ventura County First Team/ Scholar Athlete 2 Years/ Offensive Player of the Year for Varsity ")</f>
        <v>All Ventura County First Team/ Scholar Athlete 2 Years/ Offensive Player of the Year for Varsity </v>
      </c>
      <c r="H75" s="768" t="str">
        <f>IFERROR(__xludf.DUMMYFUNCTION("""COMPUTED_VALUE"""),"4.0 Weighted")</f>
        <v>4.0 Weighted</v>
      </c>
      <c r="I75" s="768" t="str">
        <f>IFERROR(__xludf.DUMMYFUNCTION("""COMPUTED_VALUE"""),"None Yet. Taking in November")</f>
        <v>None Yet. Taking in November</v>
      </c>
      <c r="J75" s="768" t="str">
        <f>IFERROR(__xludf.DUMMYFUNCTION("""COMPUTED_VALUE"""),"None")</f>
        <v>None</v>
      </c>
      <c r="K75" s="768" t="str">
        <f>IFERROR(__xludf.DUMMYFUNCTION("""COMPUTED_VALUE"""),"None")</f>
        <v>None</v>
      </c>
      <c r="L75" s="768" t="str">
        <f>IFERROR(__xludf.DUMMYFUNCTION("""COMPUTED_VALUE"""),"None")</f>
        <v>None</v>
      </c>
      <c r="M75" s="768" t="str">
        <f>IFERROR(__xludf.DUMMYFUNCTION("""COMPUTED_VALUE"""),"None")</f>
        <v>None</v>
      </c>
      <c r="N75" s="768"/>
      <c r="O75" s="768"/>
      <c r="P75" s="768"/>
      <c r="Q75" s="768"/>
      <c r="R75" s="768"/>
      <c r="S75" s="768"/>
      <c r="T75" s="768"/>
      <c r="U75" s="768"/>
      <c r="V75" s="768"/>
      <c r="W75" s="768"/>
      <c r="X75" s="768"/>
      <c r="Y75" s="768"/>
      <c r="Z75" s="768"/>
      <c r="AA75" s="768"/>
    </row>
    <row r="76" ht="30.0" customHeight="1">
      <c r="A76" s="768" t="str">
        <f t="array" ref="A76">XLOOKUP(C76,'High School Players'!D:D,'High School Players'!K:K,"NO",0,1)</f>
        <v>XX</v>
      </c>
      <c r="B76" s="975">
        <f>IFERROR(__xludf.DUMMYFUNCTION("""COMPUTED_VALUE"""),45506.684981377315)</f>
        <v>45506.68498</v>
      </c>
      <c r="C76" s="768" t="str">
        <f>IFERROR(__xludf.DUMMYFUNCTION("""COMPUTED_VALUE"""),"Mark Metcalf")</f>
        <v>Mark Metcalf</v>
      </c>
      <c r="D76" s="768" t="str">
        <f>IFERROR(__xludf.DUMMYFUNCTION("""COMPUTED_VALUE"""),"Mmetcalf11@icloud.com")</f>
        <v>Mmetcalf11@icloud.com</v>
      </c>
      <c r="E76" s="768" t="str">
        <f>IFERROR(__xludf.DUMMYFUNCTION("""COMPUTED_VALUE"""),"5’10 145")</f>
        <v>5’10 145</v>
      </c>
      <c r="F76" s="768" t="str">
        <f>IFERROR(__xludf.DUMMYFUNCTION("""COMPUTED_VALUE"""),"SS/2B/CF/3B")</f>
        <v>SS/2B/CF/3B</v>
      </c>
      <c r="G76" s="768" t="str">
        <f>IFERROR(__xludf.DUMMYFUNCTION("""COMPUTED_VALUE"""),"21 GP .433 Avg .530 OBP 29 H")</f>
        <v>21 GP .433 Avg .530 OBP 29 H</v>
      </c>
      <c r="H76" s="768">
        <f>IFERROR(__xludf.DUMMYFUNCTION("""COMPUTED_VALUE"""),3.0)</f>
        <v>3</v>
      </c>
      <c r="I76" s="768" t="str">
        <f>IFERROR(__xludf.DUMMYFUNCTION("""COMPUTED_VALUE"""),"Taking SAT in fall")</f>
        <v>Taking SAT in fall</v>
      </c>
      <c r="J76" s="768" t="str">
        <f>IFERROR(__xludf.DUMMYFUNCTION("""COMPUTED_VALUE"""),"Broken Wrist Hernia surgery in the fall")</f>
        <v>Broken Wrist Hernia surgery in the fall</v>
      </c>
      <c r="K76" s="768" t="str">
        <f>IFERROR(__xludf.DUMMYFUNCTION("""COMPUTED_VALUE"""),"No")</f>
        <v>No</v>
      </c>
      <c r="L76" s="768" t="str">
        <f>IFERROR(__xludf.DUMMYFUNCTION("""COMPUTED_VALUE"""),"No")</f>
        <v>No</v>
      </c>
      <c r="M76" s="768" t="str">
        <f>IFERROR(__xludf.DUMMYFUNCTION("""COMPUTED_VALUE"""),"No")</f>
        <v>No</v>
      </c>
      <c r="N76" s="768"/>
      <c r="O76" s="768"/>
      <c r="P76" s="768"/>
      <c r="Q76" s="768"/>
      <c r="R76" s="768"/>
      <c r="S76" s="768"/>
      <c r="T76" s="768"/>
      <c r="U76" s="768"/>
      <c r="V76" s="768"/>
      <c r="W76" s="768"/>
      <c r="X76" s="768"/>
      <c r="Y76" s="768"/>
      <c r="Z76" s="768"/>
      <c r="AA76" s="768"/>
    </row>
    <row r="77" ht="30.0" customHeight="1">
      <c r="A77" s="768" t="str">
        <f t="array" ref="A77">XLOOKUP(C77,'High School Players'!D:D,'High School Players'!K:K,"NO",0,1)</f>
        <v>XX</v>
      </c>
      <c r="B77" s="975">
        <f>IFERROR(__xludf.DUMMYFUNCTION("""COMPUTED_VALUE"""),45506.69426549769)</f>
        <v>45506.69427</v>
      </c>
      <c r="C77" s="768" t="str">
        <f>IFERROR(__xludf.DUMMYFUNCTION("""COMPUTED_VALUE"""),"Brodie Benefield")</f>
        <v>Brodie Benefield</v>
      </c>
      <c r="D77" s="768" t="str">
        <f>IFERROR(__xludf.DUMMYFUNCTION("""COMPUTED_VALUE"""),"bwbenefield1010@gmail.com")</f>
        <v>bwbenefield1010@gmail.com</v>
      </c>
      <c r="E77" s="768" t="str">
        <f>IFERROR(__xludf.DUMMYFUNCTION("""COMPUTED_VALUE"""),"6”3 200")</f>
        <v>6”3 200</v>
      </c>
      <c r="F77" s="768" t="str">
        <f>IFERROR(__xludf.DUMMYFUNCTION("""COMPUTED_VALUE"""),"Third base / RHP")</f>
        <v>Third base / RHP</v>
      </c>
      <c r="G77" s="768" t="str">
        <f>IFERROR(__xludf.DUMMYFUNCTION("""COMPUTED_VALUE"""),"Highschool all region team. Batting average over .300")</f>
        <v>Highschool all region team. Batting average over .300</v>
      </c>
      <c r="H77" s="768" t="str">
        <f>IFERROR(__xludf.DUMMYFUNCTION("""COMPUTED_VALUE"""),"Unweighted 3.79. Weighted 4.53")</f>
        <v>Unweighted 3.79. Weighted 4.53</v>
      </c>
      <c r="I77" s="768" t="str">
        <f>IFERROR(__xludf.DUMMYFUNCTION("""COMPUTED_VALUE"""),"N/A")</f>
        <v>N/A</v>
      </c>
      <c r="J77" s="768" t="str">
        <f>IFERROR(__xludf.DUMMYFUNCTION("""COMPUTED_VALUE"""),"None")</f>
        <v>None</v>
      </c>
      <c r="K77" s="768" t="str">
        <f>IFERROR(__xludf.DUMMYFUNCTION("""COMPUTED_VALUE"""),"None ")</f>
        <v>None </v>
      </c>
      <c r="L77" s="768" t="str">
        <f>IFERROR(__xludf.DUMMYFUNCTION("""COMPUTED_VALUE"""),"None")</f>
        <v>None</v>
      </c>
      <c r="M77" s="768" t="str">
        <f>IFERROR(__xludf.DUMMYFUNCTION("""COMPUTED_VALUE"""),"No")</f>
        <v>No</v>
      </c>
      <c r="N77" s="768"/>
      <c r="O77" s="768"/>
      <c r="P77" s="768"/>
      <c r="Q77" s="768"/>
      <c r="R77" s="768"/>
      <c r="S77" s="768"/>
      <c r="T77" s="768"/>
      <c r="U77" s="768"/>
      <c r="V77" s="768"/>
      <c r="W77" s="768"/>
      <c r="X77" s="768"/>
      <c r="Y77" s="768"/>
      <c r="Z77" s="768"/>
      <c r="AA77" s="768"/>
    </row>
    <row r="78" ht="30.0" customHeight="1">
      <c r="A78" s="768" t="str">
        <f t="array" ref="A78">XLOOKUP(C78,'High School Players'!D:D,'High School Players'!K:K,"NO",0,1)</f>
        <v>XX</v>
      </c>
      <c r="B78" s="975">
        <f>IFERROR(__xludf.DUMMYFUNCTION("""COMPUTED_VALUE"""),45507.68516953704)</f>
        <v>45507.68517</v>
      </c>
      <c r="C78" s="768" t="str">
        <f>IFERROR(__xludf.DUMMYFUNCTION("""COMPUTED_VALUE"""),"Wyatt Hossenlopp")</f>
        <v>Wyatt Hossenlopp</v>
      </c>
      <c r="D78" s="768" t="str">
        <f>IFERROR(__xludf.DUMMYFUNCTION("""COMPUTED_VALUE"""),"wyatthossenlopp@gmail.com")</f>
        <v>wyatthossenlopp@gmail.com</v>
      </c>
      <c r="E78" s="768" t="str">
        <f>IFERROR(__xludf.DUMMYFUNCTION("""COMPUTED_VALUE"""),"6'0 Ft/200lbs ")</f>
        <v>6'0 Ft/200lbs </v>
      </c>
      <c r="F78" s="768" t="str">
        <f>IFERROR(__xludf.DUMMYFUNCTION("""COMPUTED_VALUE"""),"MIF/3B ")</f>
        <v>MIF/3B </v>
      </c>
      <c r="G78" s="768" t="str">
        <f>IFERROR(__xludf.DUMMYFUNCTION("""COMPUTED_VALUE"""),"Summer: BA: .447, OBP:491, OPS: 1.171,  H: 21 1B: 15, 2B: 3, 3B: 1 HR: 2, RBI: 10/ Highschool:  BA: .244, OBP: .337, OPS: .645, H: 19, 1B:15, 2B:3 3B:1 ")</f>
        <v>Summer: BA: .447, OBP:491, OPS: 1.171,  H: 21 1B: 15, 2B: 3, 3B: 1 HR: 2, RBI: 10/ Highschool:  BA: .244, OBP: .337, OPS: .645, H: 19, 1B:15, 2B:3 3B:1 </v>
      </c>
      <c r="H78" s="768">
        <f>IFERROR(__xludf.DUMMYFUNCTION("""COMPUTED_VALUE"""),4.18)</f>
        <v>4.18</v>
      </c>
      <c r="I78" s="768" t="str">
        <f>IFERROR(__xludf.DUMMYFUNCTION("""COMPUTED_VALUE"""),"ACT on 9/14/2024 and SAT 11/2/2024 ")</f>
        <v>ACT on 9/14/2024 and SAT 11/2/2024 </v>
      </c>
      <c r="J78" s="768" t="str">
        <f>IFERROR(__xludf.DUMMYFUNCTION("""COMPUTED_VALUE"""),"Surgery on my Right Knee for Torn Cartilage in 2020 ")</f>
        <v>Surgery on my Right Knee for Torn Cartilage in 2020 </v>
      </c>
      <c r="K78" s="768" t="str">
        <f>IFERROR(__xludf.DUMMYFUNCTION("""COMPUTED_VALUE"""),"Penicillin ")</f>
        <v>Penicillin </v>
      </c>
      <c r="L78" s="768" t="str">
        <f>IFERROR(__xludf.DUMMYFUNCTION("""COMPUTED_VALUE"""),"I am Not  ")</f>
        <v>I am Not  </v>
      </c>
      <c r="M78" s="768" t="str">
        <f>IFERROR(__xludf.DUMMYFUNCTION("""COMPUTED_VALUE"""),"Freshman and Sophomore year Honor roll and made National Honors Society")</f>
        <v>Freshman and Sophomore year Honor roll and made National Honors Society</v>
      </c>
      <c r="N78" s="768"/>
      <c r="O78" s="768"/>
      <c r="P78" s="768"/>
      <c r="Q78" s="768"/>
      <c r="R78" s="768"/>
      <c r="S78" s="768"/>
      <c r="T78" s="768"/>
      <c r="U78" s="768"/>
      <c r="V78" s="768"/>
      <c r="W78" s="768"/>
      <c r="X78" s="768"/>
      <c r="Y78" s="768"/>
      <c r="Z78" s="768"/>
      <c r="AA78" s="768"/>
    </row>
    <row r="79" ht="30.0" customHeight="1">
      <c r="A79" s="768" t="str">
        <f t="array" ref="A79">XLOOKUP(C79,'High School Players'!D:D,'High School Players'!K:K,"NO",0,1)</f>
        <v>XX</v>
      </c>
      <c r="B79" s="975">
        <f>IFERROR(__xludf.DUMMYFUNCTION("""COMPUTED_VALUE"""),45512.82595724537)</f>
        <v>45512.82596</v>
      </c>
      <c r="C79" s="768" t="str">
        <f>IFERROR(__xludf.DUMMYFUNCTION("""COMPUTED_VALUE"""),"Nolan Gillis")</f>
        <v>Nolan Gillis</v>
      </c>
      <c r="D79" s="768" t="str">
        <f>IFERROR(__xludf.DUMMYFUNCTION("""COMPUTED_VALUE"""),"nolang1031@gmail.com")</f>
        <v>nolang1031@gmail.com</v>
      </c>
      <c r="E79" s="768" t="str">
        <f>IFERROR(__xludf.DUMMYFUNCTION("""COMPUTED_VALUE"""),"6’2, 185")</f>
        <v>6’2, 185</v>
      </c>
      <c r="F79" s="768" t="str">
        <f>IFERROR(__xludf.DUMMYFUNCTION("""COMPUTED_VALUE"""),"Pitcher")</f>
        <v>Pitcher</v>
      </c>
      <c r="G79" s="768" t="str">
        <f>IFERROR(__xludf.DUMMYFUNCTION("""COMPUTED_VALUE"""),"Summer 19.2ip, 2.8 era, 10 hits, 29ks, 7bb, .143baa (has since changed)")</f>
        <v>Summer 19.2ip, 2.8 era, 10 hits, 29ks, 7bb, .143baa (has since changed)</v>
      </c>
      <c r="H79" s="768">
        <f>IFERROR(__xludf.DUMMYFUNCTION("""COMPUTED_VALUE"""),3.39)</f>
        <v>3.39</v>
      </c>
      <c r="I79" s="768" t="str">
        <f>IFERROR(__xludf.DUMMYFUNCTION("""COMPUTED_VALUE"""),"1100 Sat")</f>
        <v>1100 Sat</v>
      </c>
      <c r="J79" s="768" t="str">
        <f>IFERROR(__xludf.DUMMYFUNCTION("""COMPUTED_VALUE"""),"Elbow Stress fracture (2021)")</f>
        <v>Elbow Stress fracture (2021)</v>
      </c>
      <c r="K79" s="768" t="str">
        <f>IFERROR(__xludf.DUMMYFUNCTION("""COMPUTED_VALUE"""),"no")</f>
        <v>no</v>
      </c>
      <c r="L79" s="768" t="str">
        <f>IFERROR(__xludf.DUMMYFUNCTION("""COMPUTED_VALUE"""),"no")</f>
        <v>no</v>
      </c>
      <c r="M79" s="768" t="str">
        <f>IFERROR(__xludf.DUMMYFUNCTION("""COMPUTED_VALUE"""),"no")</f>
        <v>no</v>
      </c>
      <c r="N79" s="768"/>
      <c r="O79" s="768"/>
      <c r="P79" s="768"/>
      <c r="Q79" s="768"/>
      <c r="R79" s="768"/>
      <c r="S79" s="768"/>
      <c r="T79" s="768"/>
      <c r="U79" s="768"/>
      <c r="V79" s="768"/>
      <c r="W79" s="768"/>
      <c r="X79" s="768"/>
      <c r="Y79" s="768"/>
      <c r="Z79" s="768"/>
      <c r="AA79" s="768"/>
    </row>
    <row r="80" ht="30.0" customHeight="1">
      <c r="A80" s="768" t="str">
        <f t="array" ref="A80">XLOOKUP(C80,'High School Players'!D:D,'High School Players'!K:K,"NO",0,1)</f>
        <v>XX</v>
      </c>
      <c r="B80" s="975">
        <f>IFERROR(__xludf.DUMMYFUNCTION("""COMPUTED_VALUE"""),45513.907648356486)</f>
        <v>45513.90765</v>
      </c>
      <c r="C80" s="768" t="str">
        <f>IFERROR(__xludf.DUMMYFUNCTION("""COMPUTED_VALUE"""),"Jackson Lee")</f>
        <v>Jackson Lee</v>
      </c>
      <c r="D80" s="768" t="str">
        <f>IFERROR(__xludf.DUMMYFUNCTION("""COMPUTED_VALUE"""),"Jfl82206@gmail.com")</f>
        <v>Jfl82206@gmail.com</v>
      </c>
      <c r="E80" s="768" t="str">
        <f>IFERROR(__xludf.DUMMYFUNCTION("""COMPUTED_VALUE"""),"6’0, 180lbs")</f>
        <v>6’0, 180lbs</v>
      </c>
      <c r="F80" s="768" t="str">
        <f>IFERROR(__xludf.DUMMYFUNCTION("""COMPUTED_VALUE"""),"LHP")</f>
        <v>LHP</v>
      </c>
      <c r="G80" s="768" t="str">
        <f>IFERROR(__xludf.DUMMYFUNCTION("""COMPUTED_VALUE"""),"High school stats- 73.2 IP, 126 SO, 10-2 record, 2.00 ERA, All Region Team, All State Team")</f>
        <v>High school stats- 73.2 IP, 126 SO, 10-2 record, 2.00 ERA, All Region Team, All State Team</v>
      </c>
      <c r="H80" s="768">
        <f>IFERROR(__xludf.DUMMYFUNCTION("""COMPUTED_VALUE"""),4.3)</f>
        <v>4.3</v>
      </c>
      <c r="I80" s="768" t="str">
        <f>IFERROR(__xludf.DUMMYFUNCTION("""COMPUTED_VALUE"""),"26-ACT")</f>
        <v>26-ACT</v>
      </c>
      <c r="J80" s="768" t="str">
        <f>IFERROR(__xludf.DUMMYFUNCTION("""COMPUTED_VALUE"""),"None")</f>
        <v>None</v>
      </c>
      <c r="K80" s="768" t="str">
        <f>IFERROR(__xludf.DUMMYFUNCTION("""COMPUTED_VALUE"""),"None")</f>
        <v>None</v>
      </c>
      <c r="L80" s="768" t="str">
        <f>IFERROR(__xludf.DUMMYFUNCTION("""COMPUTED_VALUE"""),"None")</f>
        <v>None</v>
      </c>
      <c r="M80" s="768" t="str">
        <f>IFERROR(__xludf.DUMMYFUNCTION("""COMPUTED_VALUE"""),"No")</f>
        <v>No</v>
      </c>
      <c r="N80" s="768"/>
      <c r="O80" s="768"/>
      <c r="P80" s="768"/>
      <c r="Q80" s="768"/>
      <c r="R80" s="768"/>
      <c r="S80" s="768"/>
      <c r="T80" s="768"/>
      <c r="U80" s="768"/>
      <c r="V80" s="768"/>
      <c r="W80" s="768"/>
      <c r="X80" s="768"/>
      <c r="Y80" s="768"/>
      <c r="Z80" s="768"/>
      <c r="AA80" s="768"/>
    </row>
    <row r="81" ht="30.0" customHeight="1">
      <c r="A81" s="768" t="str">
        <f t="array" ref="A81">XLOOKUP(C81,'High School Players'!D:D,'High School Players'!K:K,"NO",0,1)</f>
        <v>XX</v>
      </c>
      <c r="B81" s="975">
        <f>IFERROR(__xludf.DUMMYFUNCTION("""COMPUTED_VALUE"""),45514.57796729167)</f>
        <v>45514.57797</v>
      </c>
      <c r="C81" s="768" t="str">
        <f>IFERROR(__xludf.DUMMYFUNCTION("""COMPUTED_VALUE"""),"Jack Fuller")</f>
        <v>Jack Fuller</v>
      </c>
      <c r="D81" s="768" t="str">
        <f>IFERROR(__xludf.DUMMYFUNCTION("""COMPUTED_VALUE"""),"jfullerlefty9@gmail.com")</f>
        <v>jfullerlefty9@gmail.com</v>
      </c>
      <c r="E81" s="768" t="str">
        <f>IFERROR(__xludf.DUMMYFUNCTION("""COMPUTED_VALUE"""),"6’3”/195lbs.")</f>
        <v>6’3”/195lbs.</v>
      </c>
      <c r="F81" s="768" t="str">
        <f>IFERROR(__xludf.DUMMYFUNCTION("""COMPUTED_VALUE"""),"LHP")</f>
        <v>LHP</v>
      </c>
      <c r="G81" s="768" t="str">
        <f>IFERROR(__xludf.DUMMYFUNCTION("""COMPUTED_VALUE"""),"4-6A All District Team, Fort Worth Area Team, PBR Futures Games, Perfect Game Junior National, #2 uncommitted pitcher in Texas (Perfect Game)")</f>
        <v>4-6A All District Team, Fort Worth Area Team, PBR Futures Games, Perfect Game Junior National, #2 uncommitted pitcher in Texas (Perfect Game)</v>
      </c>
      <c r="H81" s="768">
        <f>IFERROR(__xludf.DUMMYFUNCTION("""COMPUTED_VALUE"""),94.86)</f>
        <v>94.86</v>
      </c>
      <c r="I81" s="768">
        <f>IFERROR(__xludf.DUMMYFUNCTION("""COMPUTED_VALUE"""),1280.0)</f>
        <v>1280</v>
      </c>
      <c r="J81" s="768"/>
      <c r="K81" s="768" t="str">
        <f>IFERROR(__xludf.DUMMYFUNCTION("""COMPUTED_VALUE"""),"Yes, Tree nuts")</f>
        <v>Yes, Tree nuts</v>
      </c>
      <c r="L81" s="768" t="str">
        <f>IFERROR(__xludf.DUMMYFUNCTION("""COMPUTED_VALUE"""),"No")</f>
        <v>No</v>
      </c>
      <c r="M81" s="768" t="str">
        <f>IFERROR(__xludf.DUMMYFUNCTION("""COMPUTED_VALUE"""),"No")</f>
        <v>No</v>
      </c>
      <c r="N81" s="768"/>
      <c r="O81" s="768"/>
      <c r="P81" s="768"/>
      <c r="Q81" s="768"/>
      <c r="R81" s="768"/>
      <c r="S81" s="768"/>
      <c r="T81" s="768"/>
      <c r="U81" s="768"/>
      <c r="V81" s="768"/>
      <c r="W81" s="768"/>
      <c r="X81" s="768"/>
      <c r="Y81" s="768"/>
      <c r="Z81" s="768"/>
      <c r="AA81" s="768"/>
    </row>
    <row r="82" ht="30.0" customHeight="1">
      <c r="A82" s="768">
        <f t="array" ref="A82">XLOOKUP(C82,'High School Players'!D:D,'High School Players'!K:K,"NO",0,1)</f>
        <v>0.1</v>
      </c>
      <c r="B82" s="975">
        <f>IFERROR(__xludf.DUMMYFUNCTION("""COMPUTED_VALUE"""),45515.80719681713)</f>
        <v>45515.8072</v>
      </c>
      <c r="C82" s="768" t="str">
        <f>IFERROR(__xludf.DUMMYFUNCTION("""COMPUTED_VALUE"""),"Mateu Dalmau")</f>
        <v>Mateu Dalmau</v>
      </c>
      <c r="D82" s="768" t="str">
        <f>IFERROR(__xludf.DUMMYFUNCTION("""COMPUTED_VALUE"""),"mattdalmau2007@gmail.com")</f>
        <v>mattdalmau2007@gmail.com</v>
      </c>
      <c r="E82" s="768" t="str">
        <f>IFERROR(__xludf.DUMMYFUNCTION("""COMPUTED_VALUE"""),"5’11 180")</f>
        <v>5’11 180</v>
      </c>
      <c r="F82" s="768" t="str">
        <f>IFERROR(__xludf.DUMMYFUNCTION("""COMPUTED_VALUE"""),"LHP/IB")</f>
        <v>LHP/IB</v>
      </c>
      <c r="G82" s="768" t="str">
        <f>IFERROR(__xludf.DUMMYFUNCTION("""COMPUTED_VALUE"""),"HS: .362 AVG, .506 OBP, SB: 1.5 ERA, 24 IP, 24 K,  5-0 W/L")</f>
        <v>HS: .362 AVG, .506 OBP, SB: 1.5 ERA, 24 IP, 24 K,  5-0 W/L</v>
      </c>
      <c r="H82" s="768">
        <f>IFERROR(__xludf.DUMMYFUNCTION("""COMPUTED_VALUE"""),4.3)</f>
        <v>4.3</v>
      </c>
      <c r="I82" s="768" t="str">
        <f>IFERROR(__xludf.DUMMYFUNCTION("""COMPUTED_VALUE"""),"NA")</f>
        <v>NA</v>
      </c>
      <c r="J82" s="768" t="str">
        <f>IFERROR(__xludf.DUMMYFUNCTION("""COMPUTED_VALUE"""),"NA")</f>
        <v>NA</v>
      </c>
      <c r="K82" s="768" t="str">
        <f>IFERROR(__xludf.DUMMYFUNCTION("""COMPUTED_VALUE"""),"NA")</f>
        <v>NA</v>
      </c>
      <c r="L82" s="768" t="str">
        <f>IFERROR(__xludf.DUMMYFUNCTION("""COMPUTED_VALUE"""),"NA")</f>
        <v>NA</v>
      </c>
      <c r="M82" s="768" t="str">
        <f>IFERROR(__xludf.DUMMYFUNCTION("""COMPUTED_VALUE"""),"NA")</f>
        <v>NA</v>
      </c>
      <c r="N82" s="768"/>
      <c r="O82" s="768"/>
      <c r="P82" s="768"/>
      <c r="Q82" s="768"/>
      <c r="R82" s="768"/>
      <c r="S82" s="768"/>
      <c r="T82" s="768"/>
      <c r="U82" s="768"/>
      <c r="V82" s="768"/>
      <c r="W82" s="768"/>
      <c r="X82" s="768"/>
      <c r="Y82" s="768"/>
      <c r="Z82" s="768"/>
      <c r="AA82" s="768"/>
    </row>
    <row r="83" ht="30.0" customHeight="1">
      <c r="A83" s="768" t="str">
        <f t="array" ref="A83">XLOOKUP(C83,'High School Players'!D:D,'High School Players'!K:K,"NO",0,1)</f>
        <v>XX</v>
      </c>
      <c r="B83" s="975">
        <f>IFERROR(__xludf.DUMMYFUNCTION("""COMPUTED_VALUE"""),45515.82714724537)</f>
        <v>45515.82715</v>
      </c>
      <c r="C83" s="768" t="str">
        <f>IFERROR(__xludf.DUMMYFUNCTION("""COMPUTED_VALUE"""),"Carter Cox")</f>
        <v>Carter Cox</v>
      </c>
      <c r="D83" s="768" t="str">
        <f>IFERROR(__xludf.DUMMYFUNCTION("""COMPUTED_VALUE"""),"cartercox3308@gmail.com")</f>
        <v>cartercox3308@gmail.com</v>
      </c>
      <c r="E83" s="768" t="str">
        <f>IFERROR(__xludf.DUMMYFUNCTION("""COMPUTED_VALUE"""),"5’11/185")</f>
        <v>5’11/185</v>
      </c>
      <c r="F83" s="768" t="str">
        <f>IFERROR(__xludf.DUMMYFUNCTION("""COMPUTED_VALUE"""),"Pitcher and outfield")</f>
        <v>Pitcher and outfield</v>
      </c>
      <c r="G83" s="768" t="str">
        <f>IFERROR(__xludf.DUMMYFUNCTION("""COMPUTED_VALUE"""),"In high school I batted .276 with 16 hits and an OBP of .416. On the mound in high school I had an ERA of 0.95 and struck out 53 batters over the course of 44 innings. In the summer I hit .308 with 16 hits and an OBP of .478. On the mound I had a 1.52 ERA"&amp;" with a strikeout to walk ratio of 47/6 in 32 innings.")</f>
        <v>In high school I batted .276 with 16 hits and an OBP of .416. On the mound in high school I had an ERA of 0.95 and struck out 53 batters over the course of 44 innings. In the summer I hit .308 with 16 hits and an OBP of .478. On the mound I had a 1.52 ERA with a strikeout to walk ratio of 47/6 in 32 innings.</v>
      </c>
      <c r="H83" s="768">
        <f>IFERROR(__xludf.DUMMYFUNCTION("""COMPUTED_VALUE"""),4.35)</f>
        <v>4.35</v>
      </c>
      <c r="I83" s="768" t="str">
        <f>IFERROR(__xludf.DUMMYFUNCTION("""COMPUTED_VALUE"""),"N/A")</f>
        <v>N/A</v>
      </c>
      <c r="J83" s="768" t="str">
        <f>IFERROR(__xludf.DUMMYFUNCTION("""COMPUTED_VALUE"""),"Had a minor fracture in my left foot two years ago after being hit by a pitch.")</f>
        <v>Had a minor fracture in my left foot two years ago after being hit by a pitch.</v>
      </c>
      <c r="K83" s="768" t="str">
        <f>IFERROR(__xludf.DUMMYFUNCTION("""COMPUTED_VALUE"""),"N/A")</f>
        <v>N/A</v>
      </c>
      <c r="L83" s="768" t="str">
        <f>IFERROR(__xludf.DUMMYFUNCTION("""COMPUTED_VALUE"""),"N/A")</f>
        <v>N/A</v>
      </c>
      <c r="M83" s="768" t="str">
        <f>IFERROR(__xludf.DUMMYFUNCTION("""COMPUTED_VALUE"""),"No")</f>
        <v>No</v>
      </c>
      <c r="N83" s="768"/>
      <c r="O83" s="768"/>
      <c r="P83" s="768"/>
      <c r="Q83" s="768"/>
      <c r="R83" s="768"/>
      <c r="S83" s="768"/>
      <c r="T83" s="768"/>
      <c r="U83" s="768"/>
      <c r="V83" s="768"/>
      <c r="W83" s="768"/>
      <c r="X83" s="768"/>
      <c r="Y83" s="768"/>
      <c r="Z83" s="768"/>
      <c r="AA83" s="768"/>
    </row>
    <row r="84" ht="30.0" customHeight="1">
      <c r="A84" s="768">
        <f t="array" ref="A84">XLOOKUP(C84,'High School Players'!D:D,'High School Players'!K:K,"NO",0,1)</f>
        <v>2</v>
      </c>
      <c r="B84" s="975">
        <f>IFERROR(__xludf.DUMMYFUNCTION("""COMPUTED_VALUE"""),45517.75641120371)</f>
        <v>45517.75641</v>
      </c>
      <c r="C84" s="768" t="str">
        <f>IFERROR(__xludf.DUMMYFUNCTION("""COMPUTED_VALUE"""),"Tate Elliott")</f>
        <v>Tate Elliott</v>
      </c>
      <c r="D84" s="768" t="str">
        <f>IFERROR(__xludf.DUMMYFUNCTION("""COMPUTED_VALUE"""),"tateelliott1131@gmail.com")</f>
        <v>tateelliott1131@gmail.com</v>
      </c>
      <c r="E84" s="768" t="str">
        <f>IFERROR(__xludf.DUMMYFUNCTION("""COMPUTED_VALUE"""),"6’3 205")</f>
        <v>6’3 205</v>
      </c>
      <c r="F84" s="768" t="str">
        <f>IFERROR(__xludf.DUMMYFUNCTION("""COMPUTED_VALUE"""),"Catcher")</f>
        <v>Catcher</v>
      </c>
      <c r="G84" s="768" t="str">
        <f>IFERROR(__xludf.DUMMYFUNCTION("""COMPUTED_VALUE"""),"Preseason All American, All district, Texas 5a All star")</f>
        <v>Preseason All American, All district, Texas 5a All star</v>
      </c>
      <c r="H84" s="768">
        <f>IFERROR(__xludf.DUMMYFUNCTION("""COMPUTED_VALUE"""),3.5)</f>
        <v>3.5</v>
      </c>
      <c r="I84" s="768">
        <f>IFERROR(__xludf.DUMMYFUNCTION("""COMPUTED_VALUE"""),1070.0)</f>
        <v>1070</v>
      </c>
      <c r="J84" s="768"/>
      <c r="K84" s="768"/>
      <c r="L84" s="768"/>
      <c r="M84" s="768"/>
      <c r="N84" s="768"/>
      <c r="O84" s="768"/>
      <c r="P84" s="768"/>
      <c r="Q84" s="768"/>
      <c r="R84" s="768"/>
      <c r="S84" s="768"/>
      <c r="T84" s="768"/>
      <c r="U84" s="768"/>
      <c r="V84" s="768"/>
      <c r="W84" s="768"/>
      <c r="X84" s="768"/>
      <c r="Y84" s="768"/>
      <c r="Z84" s="768"/>
      <c r="AA84" s="768"/>
    </row>
    <row r="85" ht="30.0" customHeight="1">
      <c r="A85" s="768" t="str">
        <f t="array" ref="A85">XLOOKUP(C85,'High School Players'!D:D,'High School Players'!K:K,"NO",0,1)</f>
        <v>NO</v>
      </c>
      <c r="B85" s="975">
        <f>IFERROR(__xludf.DUMMYFUNCTION("""COMPUTED_VALUE"""),45517.86755520833)</f>
        <v>45517.86756</v>
      </c>
      <c r="C85" s="768" t="str">
        <f>IFERROR(__xludf.DUMMYFUNCTION("""COMPUTED_VALUE"""),"Pierson Howe")</f>
        <v>Pierson Howe</v>
      </c>
      <c r="D85" s="768" t="str">
        <f>IFERROR(__xludf.DUMMYFUNCTION("""COMPUTED_VALUE"""),"piersonhowe@gmail.com")</f>
        <v>piersonhowe@gmail.com</v>
      </c>
      <c r="E85" s="768" t="str">
        <f>IFERROR(__xludf.DUMMYFUNCTION("""COMPUTED_VALUE"""),"6’1” 195LBS")</f>
        <v>6’1” 195LBS</v>
      </c>
      <c r="F85" s="768" t="str">
        <f>IFERROR(__xludf.DUMMYFUNCTION("""COMPUTED_VALUE"""),"RHP")</f>
        <v>RHP</v>
      </c>
      <c r="G85" s="768" t="str">
        <f>IFERROR(__xludf.DUMMYFUNCTION("""COMPUTED_VALUE"""),"1st Team All Del Ray. 2023, 2024 Pitcher of the Year. All area team. ")</f>
        <v>1st Team All Del Ray. 2023, 2024 Pitcher of the Year. All area team. </v>
      </c>
      <c r="H85" s="768">
        <f>IFERROR(__xludf.DUMMYFUNCTION("""COMPUTED_VALUE"""),4.25)</f>
        <v>4.25</v>
      </c>
      <c r="I85" s="768">
        <f>IFERROR(__xludf.DUMMYFUNCTION("""COMPUTED_VALUE"""),1130.0)</f>
        <v>1130</v>
      </c>
      <c r="J85" s="768"/>
      <c r="K85" s="768"/>
      <c r="L85" s="768"/>
      <c r="M85" s="768"/>
      <c r="N85" s="768"/>
      <c r="O85" s="768"/>
      <c r="P85" s="768"/>
      <c r="Q85" s="768"/>
      <c r="R85" s="768"/>
      <c r="S85" s="768"/>
      <c r="T85" s="768"/>
      <c r="U85" s="768"/>
      <c r="V85" s="768"/>
      <c r="W85" s="768"/>
      <c r="X85" s="768"/>
      <c r="Y85" s="768"/>
      <c r="Z85" s="768"/>
      <c r="AA85" s="768"/>
    </row>
    <row r="86" ht="30.0" customHeight="1">
      <c r="A86" s="768" t="str">
        <f t="array" ref="A86">XLOOKUP(C86,'High School Players'!D:D,'High School Players'!K:K,"NO",0,1)</f>
        <v>NO</v>
      </c>
      <c r="B86" s="975">
        <f>IFERROR(__xludf.DUMMYFUNCTION("""COMPUTED_VALUE"""),45518.47011767361)</f>
        <v>45518.47012</v>
      </c>
      <c r="C86" s="768" t="str">
        <f>IFERROR(__xludf.DUMMYFUNCTION("""COMPUTED_VALUE"""),"George ")</f>
        <v>George </v>
      </c>
      <c r="D86" s="768" t="str">
        <f>IFERROR(__xludf.DUMMYFUNCTION("""COMPUTED_VALUE"""),"gmwillis06@gmail.com")</f>
        <v>gmwillis06@gmail.com</v>
      </c>
      <c r="E86" s="768" t="str">
        <f>IFERROR(__xludf.DUMMYFUNCTION("""COMPUTED_VALUE"""),"6’1/195")</f>
        <v>6’1/195</v>
      </c>
      <c r="F86" s="768" t="str">
        <f>IFERROR(__xludf.DUMMYFUNCTION("""COMPUTED_VALUE"""),"Catcher/utility ")</f>
        <v>Catcher/utility </v>
      </c>
      <c r="G86" s="768" t="str">
        <f>IFERROR(__xludf.DUMMYFUNCTION("""COMPUTED_VALUE"""),"2023 first team all district utility, 2024 first team all district catcher, 2024 new balance state championship top hitter, 2x area code tryout invite")</f>
        <v>2023 first team all district utility, 2024 first team all district catcher, 2024 new balance state championship top hitter, 2x area code tryout invite</v>
      </c>
      <c r="H86" s="768">
        <f>IFERROR(__xludf.DUMMYFUNCTION("""COMPUTED_VALUE"""),4.6)</f>
        <v>4.6</v>
      </c>
      <c r="I86" s="768" t="str">
        <f>IFERROR(__xludf.DUMMYFUNCTION("""COMPUTED_VALUE"""),"1010 SAT")</f>
        <v>1010 SAT</v>
      </c>
      <c r="J86" s="768" t="str">
        <f>IFERROR(__xludf.DUMMYFUNCTION("""COMPUTED_VALUE"""),"None ")</f>
        <v>None </v>
      </c>
      <c r="K86" s="768" t="str">
        <f>IFERROR(__xludf.DUMMYFUNCTION("""COMPUTED_VALUE"""),"None ")</f>
        <v>None </v>
      </c>
      <c r="L86" s="768"/>
      <c r="M86" s="768" t="str">
        <f>IFERROR(__xludf.DUMMYFUNCTION("""COMPUTED_VALUE"""),"No ")</f>
        <v>No </v>
      </c>
      <c r="N86" s="768"/>
      <c r="O86" s="768"/>
      <c r="P86" s="768"/>
      <c r="Q86" s="768"/>
      <c r="R86" s="768"/>
      <c r="S86" s="768"/>
      <c r="T86" s="768"/>
      <c r="U86" s="768"/>
      <c r="V86" s="768"/>
      <c r="W86" s="768"/>
      <c r="X86" s="768"/>
      <c r="Y86" s="768"/>
      <c r="Z86" s="768"/>
      <c r="AA86" s="768"/>
    </row>
    <row r="87" ht="30.0" customHeight="1">
      <c r="A87" s="768" t="str">
        <f t="array" ref="A87">XLOOKUP(C87,'High School Players'!D:D,'High School Players'!K:K,"NO",0,1)</f>
        <v>NO</v>
      </c>
      <c r="B87" s="975">
        <f>IFERROR(__xludf.DUMMYFUNCTION("""COMPUTED_VALUE"""),45519.86257402778)</f>
        <v>45519.86257</v>
      </c>
      <c r="C87" s="768" t="str">
        <f>IFERROR(__xludf.DUMMYFUNCTION("""COMPUTED_VALUE"""),"Cory Carver")</f>
        <v>Cory Carver</v>
      </c>
      <c r="D87" s="768" t="str">
        <f>IFERROR(__xludf.DUMMYFUNCTION("""COMPUTED_VALUE"""),"cory.d.carver13@gmail.com")</f>
        <v>cory.d.carver13@gmail.com</v>
      </c>
      <c r="E87" s="768" t="str">
        <f>IFERROR(__xludf.DUMMYFUNCTION("""COMPUTED_VALUE"""),"5’7” / 150")</f>
        <v>5’7” / 150</v>
      </c>
      <c r="F87" s="768" t="str">
        <f>IFERROR(__xludf.DUMMYFUNCTION("""COMPUTED_VALUE"""),"SS CF 3B")</f>
        <v>SS CF 3B</v>
      </c>
      <c r="G87" s="768" t="str">
        <f>IFERROR(__xludf.DUMMYFUNCTION("""COMPUTED_VALUE"""),".480 BA, 2 HR, 38 H, 43 R, .929 FP. 2 years all state, 2 years all conference, academic all state, player of the year (League)")</f>
        <v>.480 BA, 2 HR, 38 H, 43 R, .929 FP. 2 years all state, 2 years all conference, academic all state, player of the year (League)</v>
      </c>
      <c r="H87" s="768">
        <f>IFERROR(__xludf.DUMMYFUNCTION("""COMPUTED_VALUE"""),4.0)</f>
        <v>4</v>
      </c>
      <c r="I87" s="768" t="str">
        <f>IFERROR(__xludf.DUMMYFUNCTION("""COMPUTED_VALUE"""),"N/A")</f>
        <v>N/A</v>
      </c>
      <c r="J87" s="768" t="str">
        <f>IFERROR(__xludf.DUMMYFUNCTION("""COMPUTED_VALUE"""),"N/A")</f>
        <v>N/A</v>
      </c>
      <c r="K87" s="768" t="str">
        <f>IFERROR(__xludf.DUMMYFUNCTION("""COMPUTED_VALUE"""),"Zithromax")</f>
        <v>Zithromax</v>
      </c>
      <c r="L87" s="768"/>
      <c r="M87" s="768" t="str">
        <f>IFERROR(__xludf.DUMMYFUNCTION("""COMPUTED_VALUE"""),"Concurrent college classes. Currently a 5.0 GPA.")</f>
        <v>Concurrent college classes. Currently a 5.0 GPA.</v>
      </c>
      <c r="N87" s="768"/>
      <c r="O87" s="768"/>
      <c r="P87" s="768"/>
      <c r="Q87" s="768"/>
      <c r="R87" s="768"/>
      <c r="S87" s="768"/>
      <c r="T87" s="768"/>
      <c r="U87" s="768"/>
      <c r="V87" s="768"/>
      <c r="W87" s="768"/>
      <c r="X87" s="768"/>
      <c r="Y87" s="768"/>
      <c r="Z87" s="768"/>
      <c r="AA87" s="768"/>
    </row>
    <row r="88" ht="30.0" customHeight="1">
      <c r="A88" s="768" t="str">
        <f t="array" ref="A88">XLOOKUP(C88,'High School Players'!D:D,'High School Players'!K:K,"NO",0,1)</f>
        <v>XX</v>
      </c>
      <c r="B88" s="975">
        <f>IFERROR(__xludf.DUMMYFUNCTION("""COMPUTED_VALUE"""),45519.88992351852)</f>
        <v>45519.88992</v>
      </c>
      <c r="C88" s="768" t="str">
        <f>IFERROR(__xludf.DUMMYFUNCTION("""COMPUTED_VALUE"""),"Henry Moak")</f>
        <v>Henry Moak</v>
      </c>
      <c r="D88" s="768" t="str">
        <f>IFERROR(__xludf.DUMMYFUNCTION("""COMPUTED_VALUE"""),"henrymoak17@iCloud.com")</f>
        <v>henrymoak17@iCloud.com</v>
      </c>
      <c r="E88" s="768" t="str">
        <f>IFERROR(__xludf.DUMMYFUNCTION("""COMPUTED_VALUE"""),"6”6, 195lbs")</f>
        <v>6”6, 195lbs</v>
      </c>
      <c r="F88" s="768" t="str">
        <f>IFERROR(__xludf.DUMMYFUNCTION("""COMPUTED_VALUE"""),"LHP")</f>
        <v>LHP</v>
      </c>
      <c r="G88" s="768"/>
      <c r="H88" s="768">
        <f>IFERROR(__xludf.DUMMYFUNCTION("""COMPUTED_VALUE"""),2.8)</f>
        <v>2.8</v>
      </c>
      <c r="I88" s="768" t="str">
        <f>IFERROR(__xludf.DUMMYFUNCTION("""COMPUTED_VALUE"""),"Have not taken yet.")</f>
        <v>Have not taken yet.</v>
      </c>
      <c r="J88" s="768" t="str">
        <f>IFERROR(__xludf.DUMMYFUNCTION("""COMPUTED_VALUE"""),"Pars fracture lower back.")</f>
        <v>Pars fracture lower back.</v>
      </c>
      <c r="K88" s="768" t="str">
        <f>IFERROR(__xludf.DUMMYFUNCTION("""COMPUTED_VALUE"""),"No")</f>
        <v>No</v>
      </c>
      <c r="L88" s="768" t="str">
        <f>IFERROR(__xludf.DUMMYFUNCTION("""COMPUTED_VALUE"""),"No")</f>
        <v>No</v>
      </c>
      <c r="M88" s="768" t="str">
        <f>IFERROR(__xludf.DUMMYFUNCTION("""COMPUTED_VALUE"""),"Extended time")</f>
        <v>Extended time</v>
      </c>
      <c r="N88" s="768"/>
      <c r="O88" s="768"/>
      <c r="P88" s="768"/>
      <c r="Q88" s="768"/>
      <c r="R88" s="768"/>
      <c r="S88" s="768"/>
      <c r="T88" s="768"/>
      <c r="U88" s="768"/>
      <c r="V88" s="768"/>
      <c r="W88" s="768"/>
      <c r="X88" s="768"/>
      <c r="Y88" s="768"/>
      <c r="Z88" s="768"/>
      <c r="AA88" s="768"/>
    </row>
    <row r="89" ht="30.0" customHeight="1">
      <c r="A89" s="768" t="str">
        <f t="array" ref="A89">XLOOKUP(C89,'High School Players'!D:D,'High School Players'!K:K,"NO",0,1)</f>
        <v>XX</v>
      </c>
      <c r="B89" s="975">
        <f>IFERROR(__xludf.DUMMYFUNCTION("""COMPUTED_VALUE"""),45524.447425046295)</f>
        <v>45524.44743</v>
      </c>
      <c r="C89" s="768" t="str">
        <f>IFERROR(__xludf.DUMMYFUNCTION("""COMPUTED_VALUE"""),"Austin Knierim")</f>
        <v>Austin Knierim</v>
      </c>
      <c r="D89" s="768" t="str">
        <f>IFERROR(__xludf.DUMMYFUNCTION("""COMPUTED_VALUE"""),"ak34baseball@gmail.com")</f>
        <v>ak34baseball@gmail.com</v>
      </c>
      <c r="E89" s="768" t="str">
        <f>IFERROR(__xludf.DUMMYFUNCTION("""COMPUTED_VALUE"""),"6’ /175")</f>
        <v>6’ /175</v>
      </c>
      <c r="F89" s="768" t="str">
        <f>IFERROR(__xludf.DUMMYFUNCTION("""COMPUTED_VALUE"""),"SS/pitcher")</f>
        <v>SS/pitcher</v>
      </c>
      <c r="G89" s="768" t="str">
        <f>IFERROR(__xludf.DUMMYFUNCTION("""COMPUTED_VALUE"""),"summer .443avg .656slug. 27hits 13 doubles")</f>
        <v>summer .443avg .656slug. 27hits 13 doubles</v>
      </c>
      <c r="H89" s="768">
        <f>IFERROR(__xludf.DUMMYFUNCTION("""COMPUTED_VALUE"""),4.38)</f>
        <v>4.38</v>
      </c>
      <c r="I89" s="768">
        <f>IFERROR(__xludf.DUMMYFUNCTION("""COMPUTED_VALUE"""),1170.0)</f>
        <v>1170</v>
      </c>
      <c r="J89" s="768" t="str">
        <f>IFERROR(__xludf.DUMMYFUNCTION("""COMPUTED_VALUE"""),"no")</f>
        <v>no</v>
      </c>
      <c r="K89" s="768" t="str">
        <f>IFERROR(__xludf.DUMMYFUNCTION("""COMPUTED_VALUE"""),"no")</f>
        <v>no</v>
      </c>
      <c r="L89" s="768" t="str">
        <f>IFERROR(__xludf.DUMMYFUNCTION("""COMPUTED_VALUE"""),"no")</f>
        <v>no</v>
      </c>
      <c r="M89" s="768">
        <f>IFERROR(__xludf.DUMMYFUNCTION("""COMPUTED_VALUE"""),504.0)</f>
        <v>504</v>
      </c>
      <c r="N89" s="768"/>
      <c r="O89" s="768"/>
      <c r="P89" s="768"/>
      <c r="Q89" s="768"/>
      <c r="R89" s="768"/>
      <c r="S89" s="768"/>
      <c r="T89" s="768"/>
      <c r="U89" s="768"/>
      <c r="V89" s="768"/>
      <c r="W89" s="768"/>
      <c r="X89" s="768"/>
      <c r="Y89" s="768"/>
      <c r="Z89" s="768"/>
      <c r="AA89" s="768"/>
    </row>
    <row r="90" ht="30.0" customHeight="1">
      <c r="A90" s="768" t="str">
        <f t="array" ref="A90">XLOOKUP(C90,'High School Players'!D:D,'High School Players'!K:K,"NO",0,1)</f>
        <v>NO</v>
      </c>
      <c r="B90" s="975">
        <f>IFERROR(__xludf.DUMMYFUNCTION("""COMPUTED_VALUE"""),45535.52387839121)</f>
        <v>45535.52388</v>
      </c>
      <c r="C90" s="768" t="str">
        <f>IFERROR(__xludf.DUMMYFUNCTION("""COMPUTED_VALUE"""),"Eli  Sinsabaugh")</f>
        <v>Eli  Sinsabaugh</v>
      </c>
      <c r="D90" s="768" t="str">
        <f>IFERROR(__xludf.DUMMYFUNCTION("""COMPUTED_VALUE"""),"ejsinsabaugh26@gocathedral.com")</f>
        <v>ejsinsabaugh26@gocathedral.com</v>
      </c>
      <c r="E90" s="768" t="str">
        <f>IFERROR(__xludf.DUMMYFUNCTION("""COMPUTED_VALUE"""),"5,9 145lbs")</f>
        <v>5,9 145lbs</v>
      </c>
      <c r="F90" s="768" t="str">
        <f>IFERROR(__xludf.DUMMYFUNCTION("""COMPUTED_VALUE"""),"MIF, OF")</f>
        <v>MIF, OF</v>
      </c>
      <c r="G90" s="768" t="str">
        <f>IFERROR(__xludf.DUMMYFUNCTION("""COMPUTED_VALUE"""),"High school stats:  BA: .396 5 xtra base hits 14 stolen bases Summer stats 2024:  BA: .320 Runs: 28 RBI: 14 SB: 31 4 extra base hits.")</f>
        <v>High school stats:  BA: .396 5 xtra base hits 14 stolen bases Summer stats 2024:  BA: .320 Runs: 28 RBI: 14 SB: 31 4 extra base hits.</v>
      </c>
      <c r="H90" s="768">
        <f>IFERROR(__xludf.DUMMYFUNCTION("""COMPUTED_VALUE"""),3.7)</f>
        <v>3.7</v>
      </c>
      <c r="I90" s="768" t="str">
        <f>IFERROR(__xludf.DUMMYFUNCTION("""COMPUTED_VALUE"""),"Haven’t taken yet.")</f>
        <v>Haven’t taken yet.</v>
      </c>
      <c r="J90" s="768" t="str">
        <f>IFERROR(__xludf.DUMMYFUNCTION("""COMPUTED_VALUE"""),"None")</f>
        <v>None</v>
      </c>
      <c r="K90" s="768" t="str">
        <f>IFERROR(__xludf.DUMMYFUNCTION("""COMPUTED_VALUE"""),"None.")</f>
        <v>None.</v>
      </c>
      <c r="L90" s="768" t="str">
        <f>IFERROR(__xludf.DUMMYFUNCTION("""COMPUTED_VALUE"""),"No.")</f>
        <v>No.</v>
      </c>
      <c r="M90" s="768" t="str">
        <f>IFERROR(__xludf.DUMMYFUNCTION("""COMPUTED_VALUE"""),"None")</f>
        <v>None</v>
      </c>
      <c r="N90" s="768"/>
      <c r="O90" s="768"/>
      <c r="P90" s="768"/>
      <c r="Q90" s="768"/>
      <c r="R90" s="768"/>
      <c r="S90" s="768"/>
      <c r="T90" s="768"/>
      <c r="U90" s="768"/>
      <c r="V90" s="768"/>
      <c r="W90" s="768"/>
      <c r="X90" s="768"/>
      <c r="Y90" s="768"/>
      <c r="Z90" s="768"/>
      <c r="AA90" s="768"/>
    </row>
    <row r="91" ht="30.0" customHeight="1">
      <c r="A91" s="768" t="str">
        <f t="array" ref="A91">XLOOKUP(C91,'High School Players'!D:D,'High School Players'!K:K,"NO",0,1)</f>
        <v>NO</v>
      </c>
      <c r="B91" s="975">
        <f>IFERROR(__xludf.DUMMYFUNCTION("""COMPUTED_VALUE"""),45541.5001665625)</f>
        <v>45541.50017</v>
      </c>
      <c r="C91" s="768" t="str">
        <f>IFERROR(__xludf.DUMMYFUNCTION("""COMPUTED_VALUE"""),"Geno")</f>
        <v>Geno</v>
      </c>
      <c r="D91" s="768" t="str">
        <f>IFERROR(__xludf.DUMMYFUNCTION("""COMPUTED_VALUE"""),"genogoralski@icloud.com")</f>
        <v>genogoralski@icloud.com</v>
      </c>
      <c r="E91" s="768" t="str">
        <f>IFERROR(__xludf.DUMMYFUNCTION("""COMPUTED_VALUE"""),"5'11 180")</f>
        <v>5'11 180</v>
      </c>
      <c r="F91" s="768" t="str">
        <f>IFERROR(__xludf.DUMMYFUNCTION("""COMPUTED_VALUE"""),"Outfield ")</f>
        <v>Outfield </v>
      </c>
      <c r="G91" s="768" t="str">
        <f>IFERROR(__xludf.DUMMYFUNCTION("""COMPUTED_VALUE"""),"2x First Team All County, 2x First Team All Region, 47th ranked Outfiled in the Country(PBR), 6th in the state of Georgia,")</f>
        <v>2x First Team All County, 2x First Team All Region, 47th ranked Outfiled in the Country(PBR), 6th in the state of Georgia,</v>
      </c>
      <c r="H91" s="768">
        <f>IFERROR(__xludf.DUMMYFUNCTION("""COMPUTED_VALUE"""),4.0)</f>
        <v>4</v>
      </c>
      <c r="I91" s="768" t="str">
        <f>IFERROR(__xludf.DUMMYFUNCTION("""COMPUTED_VALUE"""),"I will be taking in the winter ")</f>
        <v>I will be taking in the winter </v>
      </c>
      <c r="J91" s="768" t="str">
        <f>IFERROR(__xludf.DUMMYFUNCTION("""COMPUTED_VALUE"""),"I had Tommy John when I was 13")</f>
        <v>I had Tommy John when I was 13</v>
      </c>
      <c r="K91" s="768" t="str">
        <f>IFERROR(__xludf.DUMMYFUNCTION("""COMPUTED_VALUE"""),"No")</f>
        <v>No</v>
      </c>
      <c r="L91" s="768" t="str">
        <f>IFERROR(__xludf.DUMMYFUNCTION("""COMPUTED_VALUE"""),"no")</f>
        <v>no</v>
      </c>
      <c r="M91" s="768" t="str">
        <f>IFERROR(__xludf.DUMMYFUNCTION("""COMPUTED_VALUE"""),"I have maintained all A's throughout my high school years")</f>
        <v>I have maintained all A's throughout my high school years</v>
      </c>
      <c r="N91" s="768"/>
      <c r="O91" s="768"/>
      <c r="P91" s="768"/>
      <c r="Q91" s="768"/>
      <c r="R91" s="768"/>
      <c r="S91" s="768"/>
      <c r="T91" s="768"/>
      <c r="U91" s="768"/>
      <c r="V91" s="768"/>
      <c r="W91" s="768"/>
      <c r="X91" s="768"/>
      <c r="Y91" s="768"/>
      <c r="Z91" s="768"/>
      <c r="AA91" s="768"/>
    </row>
    <row r="92" ht="30.0" customHeight="1">
      <c r="A92" s="768">
        <f t="array" ref="A92">XLOOKUP(C92,'High School Players'!D:D,'High School Players'!K:K,"NO",0,1)</f>
        <v>3</v>
      </c>
      <c r="B92" s="975">
        <f>IFERROR(__xludf.DUMMYFUNCTION("""COMPUTED_VALUE"""),45545.461918807865)</f>
        <v>45545.46192</v>
      </c>
      <c r="C92" s="768" t="str">
        <f>IFERROR(__xludf.DUMMYFUNCTION("""COMPUTED_VALUE"""),"Teddy Stephenson")</f>
        <v>Teddy Stephenson</v>
      </c>
      <c r="D92" s="768" t="str">
        <f>IFERROR(__xludf.DUMMYFUNCTION("""COMPUTED_VALUE"""),"stephensonteddy19@gmail.com")</f>
        <v>stephensonteddy19@gmail.com</v>
      </c>
      <c r="E92" s="768" t="str">
        <f>IFERROR(__xludf.DUMMYFUNCTION("""COMPUTED_VALUE"""),"6’0 205lb")</f>
        <v>6’0 205lb</v>
      </c>
      <c r="F92" s="768" t="str">
        <f>IFERROR(__xludf.DUMMYFUNCTION("""COMPUTED_VALUE"""),"IF, OF, P")</f>
        <v>IF, OF, P</v>
      </c>
      <c r="G92" s="768" t="str">
        <f>IFERROR(__xludf.DUMMYFUNCTION("""COMPUTED_VALUE"""),"Ranked top 5 in New England, Named to the futures games")</f>
        <v>Ranked top 5 in New England, Named to the futures games</v>
      </c>
      <c r="H92" s="768">
        <f>IFERROR(__xludf.DUMMYFUNCTION("""COMPUTED_VALUE"""),3.5)</f>
        <v>3.5</v>
      </c>
      <c r="I92" s="768"/>
      <c r="J92" s="768" t="str">
        <f>IFERROR(__xludf.DUMMYFUNCTION("""COMPUTED_VALUE"""),"None")</f>
        <v>None</v>
      </c>
      <c r="K92" s="768" t="str">
        <f>IFERROR(__xludf.DUMMYFUNCTION("""COMPUTED_VALUE"""),"None")</f>
        <v>None</v>
      </c>
      <c r="L92" s="768" t="str">
        <f>IFERROR(__xludf.DUMMYFUNCTION("""COMPUTED_VALUE"""),"None")</f>
        <v>None</v>
      </c>
      <c r="M92" s="768" t="str">
        <f>IFERROR(__xludf.DUMMYFUNCTION("""COMPUTED_VALUE"""),"No")</f>
        <v>No</v>
      </c>
      <c r="N92" s="768"/>
      <c r="O92" s="768"/>
      <c r="P92" s="768"/>
      <c r="Q92" s="768"/>
      <c r="R92" s="768"/>
      <c r="S92" s="768"/>
      <c r="T92" s="768"/>
      <c r="U92" s="768"/>
      <c r="V92" s="768"/>
      <c r="W92" s="768"/>
      <c r="X92" s="768"/>
      <c r="Y92" s="768"/>
      <c r="Z92" s="768"/>
      <c r="AA92" s="768"/>
    </row>
    <row r="93" ht="30.0" customHeight="1">
      <c r="A93" s="768" t="str">
        <f t="array" ref="A93">XLOOKUP(C93,'High School Players'!D:D,'High School Players'!K:K,"NO",0,1)</f>
        <v>XX</v>
      </c>
      <c r="B93" s="975">
        <f>IFERROR(__xludf.DUMMYFUNCTION("""COMPUTED_VALUE"""),45545.82207759259)</f>
        <v>45545.82208</v>
      </c>
      <c r="C93" s="768" t="str">
        <f>IFERROR(__xludf.DUMMYFUNCTION("""COMPUTED_VALUE"""),"Reed Robinson")</f>
        <v>Reed Robinson</v>
      </c>
      <c r="D93" s="768" t="str">
        <f>IFERROR(__xludf.DUMMYFUNCTION("""COMPUTED_VALUE"""),"rrobinson@npusc.k12.in.us")</f>
        <v>rrobinson@npusc.k12.in.us</v>
      </c>
      <c r="E93" s="768" t="str">
        <f>IFERROR(__xludf.DUMMYFUNCTION("""COMPUTED_VALUE"""),"5’10 190")</f>
        <v>5’10 190</v>
      </c>
      <c r="F93" s="768" t="str">
        <f>IFERROR(__xludf.DUMMYFUNCTION("""COMPUTED_VALUE"""),"C/OF/2B")</f>
        <v>C/OF/2B</v>
      </c>
      <c r="G93" s="768" t="str">
        <f>IFERROR(__xludf.DUMMYFUNCTION("""COMPUTED_VALUE"""),"2024 High School Stats Quality at Bats - 75.4%- (123 PA, 91 AB) Batting Average - 473 in 31 games 43 RBI's - 2nd in state all classes ОВР - .585 Slugging Percentage - 783 Hits - 43 OPS - 1.378 Only 7 Strikeouts in 123 PA's (0 K's ooking) HR's - 5, 3B - 5,"&amp;" 2B - 6 3A State Champions")</f>
        <v>2024 High School Stats Quality at Bats - 75.4%- (123 PA, 91 AB) Batting Average - 473 in 31 games 43 RBI's - 2nd in state all classes ОВР - .585 Slugging Percentage - 783 Hits - 43 OPS - 1.378 Only 7 Strikeouts in 123 PA's (0 K's ooking) HR's - 5, 3B - 5, 2B - 6 3A State Champions</v>
      </c>
      <c r="H93" s="768">
        <f>IFERROR(__xludf.DUMMYFUNCTION("""COMPUTED_VALUE"""),3.91)</f>
        <v>3.91</v>
      </c>
      <c r="I93" s="768" t="str">
        <f>IFERROR(__xludf.DUMMYFUNCTION("""COMPUTED_VALUE"""),"Neither")</f>
        <v>Neither</v>
      </c>
      <c r="J93" s="768" t="str">
        <f>IFERROR(__xludf.DUMMYFUNCTION("""COMPUTED_VALUE"""),"I tore my quad last year that limited my summer for baseball.")</f>
        <v>I tore my quad last year that limited my summer for baseball.</v>
      </c>
      <c r="K93" s="768" t="str">
        <f>IFERROR(__xludf.DUMMYFUNCTION("""COMPUTED_VALUE"""),"No ")</f>
        <v>No </v>
      </c>
      <c r="L93" s="768" t="str">
        <f>IFERROR(__xludf.DUMMYFUNCTION("""COMPUTED_VALUE"""),"No")</f>
        <v>No</v>
      </c>
      <c r="M93" s="768" t="str">
        <f>IFERROR(__xludf.DUMMYFUNCTION("""COMPUTED_VALUE"""),"National Honors society, IHSAA Student advisory committee(first ever selected from my school) IHSAA sportsmanship award.")</f>
        <v>National Honors society, IHSAA Student advisory committee(first ever selected from my school) IHSAA sportsmanship award.</v>
      </c>
      <c r="N93" s="768"/>
      <c r="O93" s="768"/>
      <c r="P93" s="768"/>
      <c r="Q93" s="768"/>
      <c r="R93" s="768"/>
      <c r="S93" s="768"/>
      <c r="T93" s="768"/>
      <c r="U93" s="768"/>
      <c r="V93" s="768"/>
      <c r="W93" s="768"/>
      <c r="X93" s="768"/>
      <c r="Y93" s="768"/>
      <c r="Z93" s="768"/>
      <c r="AA93" s="768"/>
    </row>
    <row r="94" ht="30.0" customHeight="1">
      <c r="A94" s="768" t="str">
        <f t="array" ref="A94">XLOOKUP(C94,'High School Players'!D:D,'High School Players'!K:K,"NO",0,1)</f>
        <v>NO</v>
      </c>
      <c r="B94" s="975">
        <f>IFERROR(__xludf.DUMMYFUNCTION("""COMPUTED_VALUE"""),45547.61119821759)</f>
        <v>45547.6112</v>
      </c>
      <c r="C94" s="768" t="str">
        <f>IFERROR(__xludf.DUMMYFUNCTION("""COMPUTED_VALUE"""),"Connor Davy ")</f>
        <v>Connor Davy </v>
      </c>
      <c r="D94" s="768" t="str">
        <f>IFERROR(__xludf.DUMMYFUNCTION("""COMPUTED_VALUE"""),"connordavy21@gmail.com")</f>
        <v>connordavy21@gmail.com</v>
      </c>
      <c r="E94" s="768" t="str">
        <f>IFERROR(__xludf.DUMMYFUNCTION("""COMPUTED_VALUE"""),"5’11 180")</f>
        <v>5’11 180</v>
      </c>
      <c r="F94" s="768" t="str">
        <f>IFERROR(__xludf.DUMMYFUNCTION("""COMPUTED_VALUE"""),"mif/OF")</f>
        <v>mif/OF</v>
      </c>
      <c r="G94" s="768" t="str">
        <f>IFERROR(__xludf.DUMMYFUNCTION("""COMPUTED_VALUE"""),"first team all star 3 years in a row hit .613 batting avg 8 HR’s")</f>
        <v>first team all star 3 years in a row hit .613 batting avg 8 HR’s</v>
      </c>
      <c r="H94" s="768" t="str">
        <f>IFERROR(__xludf.DUMMYFUNCTION("""COMPUTED_VALUE"""),"3.6ish")</f>
        <v>3.6ish</v>
      </c>
      <c r="I94" s="768"/>
      <c r="J94" s="768"/>
      <c r="K94" s="768"/>
      <c r="L94" s="768"/>
      <c r="M94" s="768"/>
      <c r="N94" s="768"/>
      <c r="O94" s="768"/>
      <c r="P94" s="768"/>
      <c r="Q94" s="768"/>
      <c r="R94" s="768"/>
      <c r="S94" s="768"/>
      <c r="T94" s="768"/>
      <c r="U94" s="768"/>
      <c r="V94" s="768"/>
      <c r="W94" s="768"/>
      <c r="X94" s="768"/>
      <c r="Y94" s="768"/>
      <c r="Z94" s="768"/>
      <c r="AA94" s="768"/>
    </row>
    <row r="95" ht="30.0" customHeight="1">
      <c r="A95" s="768" t="str">
        <f t="array" ref="A95">XLOOKUP(C95,'High School Players'!D:D,'High School Players'!K:K,"NO",0,1)</f>
        <v>NO</v>
      </c>
      <c r="B95" s="975">
        <f>IFERROR(__xludf.DUMMYFUNCTION("""COMPUTED_VALUE"""),45547.88034953704)</f>
        <v>45547.88035</v>
      </c>
      <c r="C95" s="768" t="str">
        <f>IFERROR(__xludf.DUMMYFUNCTION("""COMPUTED_VALUE"""),"Keaton  Bowers")</f>
        <v>Keaton  Bowers</v>
      </c>
      <c r="D95" s="768" t="str">
        <f>IFERROR(__xludf.DUMMYFUNCTION("""COMPUTED_VALUE"""),"kbowers349@yahoo.com")</f>
        <v>kbowers349@yahoo.com</v>
      </c>
      <c r="E95" s="768" t="str">
        <f>IFERROR(__xludf.DUMMYFUNCTION("""COMPUTED_VALUE"""),"5 feet 11 inches 180 pounds")</f>
        <v>5 feet 11 inches 180 pounds</v>
      </c>
      <c r="F95" s="768" t="str">
        <f>IFERROR(__xludf.DUMMYFUNCTION("""COMPUTED_VALUE"""),"Catcher, Corner infield")</f>
        <v>Catcher, Corner infield</v>
      </c>
      <c r="G95" s="768" t="str">
        <f>IFERROR(__xludf.DUMMYFUNCTION("""COMPUTED_VALUE"""),"Exit velo off tee 93, Max exit velo 97 1.89 second pop time in showcase. Fastest in game 1.93. 7.14 60 yard dash. First team all league, First team all district. ")</f>
        <v>Exit velo off tee 93, Max exit velo 97 1.89 second pop time in showcase. Fastest in game 1.93. 7.14 60 yard dash. First team all league, First team all district. </v>
      </c>
      <c r="H95" s="768">
        <f>IFERROR(__xludf.DUMMYFUNCTION("""COMPUTED_VALUE"""),3.6)</f>
        <v>3.6</v>
      </c>
      <c r="I95" s="768"/>
      <c r="J95" s="768" t="str">
        <f>IFERROR(__xludf.DUMMYFUNCTION("""COMPUTED_VALUE"""),"Broken femur ")</f>
        <v>Broken femur </v>
      </c>
      <c r="K95" s="768"/>
      <c r="L95" s="768"/>
      <c r="M95" s="768"/>
      <c r="N95" s="768"/>
      <c r="O95" s="768"/>
      <c r="P95" s="768"/>
      <c r="Q95" s="768"/>
      <c r="R95" s="768"/>
      <c r="S95" s="768"/>
      <c r="T95" s="768"/>
      <c r="U95" s="768"/>
      <c r="V95" s="768"/>
      <c r="W95" s="768"/>
      <c r="X95" s="768"/>
      <c r="Y95" s="768"/>
      <c r="Z95" s="768"/>
      <c r="AA95" s="768"/>
    </row>
    <row r="96" ht="30.0" customHeight="1">
      <c r="A96" s="768" t="str">
        <f t="array" ref="A96">XLOOKUP(C96,'High School Players'!D:D,'High School Players'!K:K,"NO",0,1)</f>
        <v>NO</v>
      </c>
      <c r="B96" s="975">
        <f>IFERROR(__xludf.DUMMYFUNCTION("""COMPUTED_VALUE"""),45549.75254598379)</f>
        <v>45549.75255</v>
      </c>
      <c r="C96" s="768" t="str">
        <f>IFERROR(__xludf.DUMMYFUNCTION("""COMPUTED_VALUE"""),"Henry Humes")</f>
        <v>Henry Humes</v>
      </c>
      <c r="D96" s="768" t="str">
        <f>IFERROR(__xludf.DUMMYFUNCTION("""COMPUTED_VALUE"""),"henryhumes14@gmail.com")</f>
        <v>henryhumes14@gmail.com</v>
      </c>
      <c r="E96" s="768" t="str">
        <f>IFERROR(__xludf.DUMMYFUNCTION("""COMPUTED_VALUE"""),"6’5/177")</f>
        <v>6’5/177</v>
      </c>
      <c r="F96" s="768" t="str">
        <f>IFERROR(__xludf.DUMMYFUNCTION("""COMPUTED_VALUE"""),"RHP")</f>
        <v>RHP</v>
      </c>
      <c r="G96" s="768" t="str">
        <f>IFERROR(__xludf.DUMMYFUNCTION("""COMPUTED_VALUE"""),"High School: 52 2/3 ip 2.52 ERA 1.22 whip 50 hits 15bbs 19er 39ks. High School All Conference. Summer: IP- 37 ER- 11 ERA- 2.08 Whip-.973 Hits- 30 Walks- 6 K’s- 48 Strike %- 66%")</f>
        <v>High School: 52 2/3 ip 2.52 ERA 1.22 whip 50 hits 15bbs 19er 39ks. High School All Conference. Summer: IP- 37 ER- 11 ERA- 2.08 Whip-.973 Hits- 30 Walks- 6 K’s- 48 Strike %- 66%</v>
      </c>
      <c r="H96" s="768" t="str">
        <f>IFERROR(__xludf.DUMMYFUNCTION("""COMPUTED_VALUE"""),"4.0/4.0")</f>
        <v>4.0/4.0</v>
      </c>
      <c r="I96" s="768" t="str">
        <f>IFERROR(__xludf.DUMMYFUNCTION("""COMPUTED_VALUE"""),"Haven’t taken yet, will in spring ")</f>
        <v>Haven’t taken yet, will in spring </v>
      </c>
      <c r="J96" s="768" t="str">
        <f>IFERROR(__xludf.DUMMYFUNCTION("""COMPUTED_VALUE"""),"N/A")</f>
        <v>N/A</v>
      </c>
      <c r="K96" s="768" t="str">
        <f>IFERROR(__xludf.DUMMYFUNCTION("""COMPUTED_VALUE"""),"N/A")</f>
        <v>N/A</v>
      </c>
      <c r="L96" s="768" t="str">
        <f>IFERROR(__xludf.DUMMYFUNCTION("""COMPUTED_VALUE"""),"N/A")</f>
        <v>N/A</v>
      </c>
      <c r="M96" s="768" t="str">
        <f>IFERROR(__xludf.DUMMYFUNCTION("""COMPUTED_VALUE"""),"No")</f>
        <v>No</v>
      </c>
      <c r="N96" s="768"/>
      <c r="O96" s="768"/>
      <c r="P96" s="768"/>
      <c r="Q96" s="768"/>
      <c r="R96" s="768"/>
      <c r="S96" s="768"/>
      <c r="T96" s="768"/>
      <c r="U96" s="768"/>
      <c r="V96" s="768"/>
      <c r="W96" s="768"/>
      <c r="X96" s="768"/>
      <c r="Y96" s="768"/>
      <c r="Z96" s="768"/>
      <c r="AA96" s="768"/>
    </row>
    <row r="97" ht="30.0" customHeight="1">
      <c r="A97" s="768" t="str">
        <f t="array" ref="A97">XLOOKUP(C97,'High School Players'!D:D,'High School Players'!K:K,"NO",0,1)</f>
        <v>XX</v>
      </c>
      <c r="B97" s="975">
        <f>IFERROR(__xludf.DUMMYFUNCTION("""COMPUTED_VALUE"""),45556.535979189815)</f>
        <v>45556.53598</v>
      </c>
      <c r="C97" s="768" t="str">
        <f>IFERROR(__xludf.DUMMYFUNCTION("""COMPUTED_VALUE"""),"Danilo Soto")</f>
        <v>Danilo Soto</v>
      </c>
      <c r="D97" s="768" t="str">
        <f>IFERROR(__xludf.DUMMYFUNCTION("""COMPUTED_VALUE"""),"danijrsoto@gmail.com")</f>
        <v>danijrsoto@gmail.com</v>
      </c>
      <c r="E97" s="768" t="str">
        <f>IFERROR(__xludf.DUMMYFUNCTION("""COMPUTED_VALUE"""),"5’10/170")</f>
        <v>5’10/170</v>
      </c>
      <c r="F97" s="768" t="str">
        <f>IFERROR(__xludf.DUMMYFUNCTION("""COMPUTED_VALUE"""),"MIF")</f>
        <v>MIF</v>
      </c>
      <c r="G97" s="768" t="str">
        <f>IFERROR(__xludf.DUMMYFUNCTION("""COMPUTED_VALUE"""),"Avg: 542. OPS: 1.406 OBP: 677. SLG: 729. Hits: 32 XBH: 7 HR: 1 RBI: 23 ")</f>
        <v>Avg: 542. OPS: 1.406 OBP: 677. SLG: 729. Hits: 32 XBH: 7 HR: 1 RBI: 23 </v>
      </c>
      <c r="H97" s="768">
        <f>IFERROR(__xludf.DUMMYFUNCTION("""COMPUTED_VALUE"""),4.3)</f>
        <v>4.3</v>
      </c>
      <c r="I97" s="768" t="str">
        <f>IFERROR(__xludf.DUMMYFUNCTION("""COMPUTED_VALUE"""),"N/A")</f>
        <v>N/A</v>
      </c>
      <c r="J97" s="768" t="str">
        <f>IFERROR(__xludf.DUMMYFUNCTION("""COMPUTED_VALUE"""),"Elbow Surgery")</f>
        <v>Elbow Surgery</v>
      </c>
      <c r="K97" s="768" t="str">
        <f>IFERROR(__xludf.DUMMYFUNCTION("""COMPUTED_VALUE"""),"N/A")</f>
        <v>N/A</v>
      </c>
      <c r="L97" s="768" t="str">
        <f>IFERROR(__xludf.DUMMYFUNCTION("""COMPUTED_VALUE"""),"N/A")</f>
        <v>N/A</v>
      </c>
      <c r="M97" s="768" t="str">
        <f>IFERROR(__xludf.DUMMYFUNCTION("""COMPUTED_VALUE"""),"National Honor Society. ")</f>
        <v>National Honor Society. </v>
      </c>
      <c r="N97" s="768"/>
      <c r="O97" s="768"/>
      <c r="P97" s="768"/>
      <c r="Q97" s="768"/>
      <c r="R97" s="768"/>
      <c r="S97" s="768"/>
      <c r="T97" s="768"/>
      <c r="U97" s="768"/>
      <c r="V97" s="768"/>
      <c r="W97" s="768"/>
      <c r="X97" s="768"/>
      <c r="Y97" s="768"/>
      <c r="Z97" s="768"/>
      <c r="AA97" s="768"/>
    </row>
    <row r="98" ht="30.0" customHeight="1">
      <c r="A98" s="768">
        <f t="array" ref="A98">XLOOKUP(C98,'High School Players'!D:D,'High School Players'!K:K,"NO",0,1)</f>
        <v>3</v>
      </c>
      <c r="B98" s="975">
        <f>IFERROR(__xludf.DUMMYFUNCTION("""COMPUTED_VALUE"""),45556.59764923611)</f>
        <v>45556.59765</v>
      </c>
      <c r="C98" s="768" t="str">
        <f>IFERROR(__xludf.DUMMYFUNCTION("""COMPUTED_VALUE"""),"Jeremy Powell")</f>
        <v>Jeremy Powell</v>
      </c>
      <c r="D98" s="768" t="str">
        <f>IFERROR(__xludf.DUMMYFUNCTION("""COMPUTED_VALUE"""),"Jeremy.powell2026@gmail.com")</f>
        <v>Jeremy.powell2026@gmail.com</v>
      </c>
      <c r="E98" s="768" t="str">
        <f>IFERROR(__xludf.DUMMYFUNCTION("""COMPUTED_VALUE"""),"5’10 180")</f>
        <v>5’10 180</v>
      </c>
      <c r="F98" s="768" t="str">
        <f>IFERROR(__xludf.DUMMYFUNCTION("""COMPUTED_VALUE"""),"P/OF")</f>
        <v>P/OF</v>
      </c>
      <c r="G98" s="768" t="str">
        <f>IFERROR(__xludf.DUMMYFUNCTION("""COMPUTED_VALUE"""),"- Diamond Prospects Palmetto Games participant (attended/invitation only)  - PBR Top Prospects Games (attended/invitation only)  - PBR Fall Top Prospects invite (not attending)  - SC Region 4 All-Region Player (only selection from your school)  - Named to"&amp;" a few All Tournament teams for summer appearances - touched 88 on Trackman at Virginia Tech - Varsity Letter as a Freshman &amp; Sophomore")</f>
        <v>- Diamond Prospects Palmetto Games participant (attended/invitation only)  - PBR Top Prospects Games (attended/invitation only)  - PBR Fall Top Prospects invite (not attending)  - SC Region 4 All-Region Player (only selection from your school)  - Named to a few All Tournament teams for summer appearances - touched 88 on Trackman at Virginia Tech - Varsity Letter as a Freshman &amp; Sophomore</v>
      </c>
      <c r="H98" s="768" t="str">
        <f>IFERROR(__xludf.DUMMYFUNCTION("""COMPUTED_VALUE"""),"3.8 unweighted ")</f>
        <v>3.8 unweighted </v>
      </c>
      <c r="I98" s="768" t="str">
        <f>IFERROR(__xludf.DUMMYFUNCTION("""COMPUTED_VALUE"""),"ACT: 24")</f>
        <v>ACT: 24</v>
      </c>
      <c r="J98" s="768" t="str">
        <f>IFERROR(__xludf.DUMMYFUNCTION("""COMPUTED_VALUE"""),"None")</f>
        <v>None</v>
      </c>
      <c r="K98" s="768"/>
      <c r="L98" s="768"/>
      <c r="M98" s="768" t="str">
        <f>IFERROR(__xludf.DUMMYFUNCTION("""COMPUTED_VALUE"""),"- All A's sophomore year
- Outstanding English department award for sophomore class
-National Honor Society (sophomore &amp; continuing into Jr year)
maintaining 4.75+ GPA
- Completing AP World History as a freshman with a 3 on the exam")</f>
        <v>- All A's sophomore year
- Outstanding English department award for sophomore class
-National Honor Society (sophomore &amp; continuing into Jr year)
maintaining 4.75+ GPA
- Completing AP World History as a freshman with a 3 on the exam</v>
      </c>
      <c r="N98" s="768"/>
      <c r="O98" s="768"/>
      <c r="P98" s="768"/>
      <c r="Q98" s="768"/>
      <c r="R98" s="768"/>
      <c r="S98" s="768"/>
      <c r="T98" s="768"/>
      <c r="U98" s="768"/>
      <c r="V98" s="768"/>
      <c r="W98" s="768"/>
      <c r="X98" s="768"/>
      <c r="Y98" s="768"/>
      <c r="Z98" s="768"/>
      <c r="AA98" s="768"/>
    </row>
    <row r="99" ht="30.0" customHeight="1">
      <c r="A99" s="768" t="str">
        <f t="array" ref="A99">XLOOKUP(C99,'High School Players'!D:D,'High School Players'!K:K,"NO",0,1)</f>
        <v>XX</v>
      </c>
      <c r="B99" s="975">
        <f>IFERROR(__xludf.DUMMYFUNCTION("""COMPUTED_VALUE"""),45556.63663403935)</f>
        <v>45556.63663</v>
      </c>
      <c r="C99" s="768" t="str">
        <f>IFERROR(__xludf.DUMMYFUNCTION("""COMPUTED_VALUE"""),"Camden Blank")</f>
        <v>Camden Blank</v>
      </c>
      <c r="D99" s="768" t="str">
        <f>IFERROR(__xludf.DUMMYFUNCTION("""COMPUTED_VALUE"""),"cam1237@icloud.com")</f>
        <v>cam1237@icloud.com</v>
      </c>
      <c r="E99" s="768" t="str">
        <f>IFERROR(__xludf.DUMMYFUNCTION("""COMPUTED_VALUE"""),"5’9”/180")</f>
        <v>5’9”/180</v>
      </c>
      <c r="F99" s="768" t="str">
        <f>IFERROR(__xludf.DUMMYFUNCTION("""COMPUTED_VALUE"""),"SS, 2B")</f>
        <v>SS, 2B</v>
      </c>
      <c r="G99" s="768" t="str">
        <f>IFERROR(__xludf.DUMMYFUNCTION("""COMPUTED_VALUE"""),".441 BA for High School, Summer BA .342, OBP .490, 26 Hits, 26 Runs, 23 Walks, 18 SB")</f>
        <v>.441 BA for High School, Summer BA .342, OBP .490, 26 Hits, 26 Runs, 23 Walks, 18 SB</v>
      </c>
      <c r="H99" s="768">
        <f>IFERROR(__xludf.DUMMYFUNCTION("""COMPUTED_VALUE"""),3.5)</f>
        <v>3.5</v>
      </c>
      <c r="I99" s="768" t="str">
        <f>IFERROR(__xludf.DUMMYFUNCTION("""COMPUTED_VALUE"""),"N/A")</f>
        <v>N/A</v>
      </c>
      <c r="J99" s="768" t="str">
        <f>IFERROR(__xludf.DUMMYFUNCTION("""COMPUTED_VALUE"""),"None")</f>
        <v>None</v>
      </c>
      <c r="K99" s="768" t="str">
        <f>IFERROR(__xludf.DUMMYFUNCTION("""COMPUTED_VALUE"""),"No")</f>
        <v>No</v>
      </c>
      <c r="L99" s="768" t="str">
        <f>IFERROR(__xludf.DUMMYFUNCTION("""COMPUTED_VALUE"""),"No")</f>
        <v>No</v>
      </c>
      <c r="M99" s="768" t="str">
        <f>IFERROR(__xludf.DUMMYFUNCTION("""COMPUTED_VALUE"""),"No")</f>
        <v>No</v>
      </c>
      <c r="N99" s="768"/>
      <c r="O99" s="768"/>
      <c r="P99" s="768"/>
      <c r="Q99" s="768"/>
      <c r="R99" s="768"/>
      <c r="S99" s="768"/>
      <c r="T99" s="768"/>
      <c r="U99" s="768"/>
      <c r="V99" s="768"/>
      <c r="W99" s="768"/>
      <c r="X99" s="768"/>
      <c r="Y99" s="768"/>
      <c r="Z99" s="768"/>
      <c r="AA99" s="768"/>
    </row>
    <row r="100" ht="30.0" customHeight="1">
      <c r="A100" s="768" t="str">
        <f t="array" ref="A100">XLOOKUP(C100,'High School Players'!D:D,'High School Players'!K:K,"NO",0,1)</f>
        <v>XX</v>
      </c>
      <c r="B100" s="975">
        <f>IFERROR(__xludf.DUMMYFUNCTION("""COMPUTED_VALUE"""),45556.70352969907)</f>
        <v>45556.70353</v>
      </c>
      <c r="C100" s="768" t="str">
        <f>IFERROR(__xludf.DUMMYFUNCTION("""COMPUTED_VALUE"""),"Alex King")</f>
        <v>Alex King</v>
      </c>
      <c r="D100" s="768" t="str">
        <f>IFERROR(__xludf.DUMMYFUNCTION("""COMPUTED_VALUE"""),"alexking.2093@gmail.com")</f>
        <v>alexking.2093@gmail.com</v>
      </c>
      <c r="E100" s="768" t="str">
        <f>IFERROR(__xludf.DUMMYFUNCTION("""COMPUTED_VALUE"""),"6’0” 165lbs")</f>
        <v>6’0” 165lbs</v>
      </c>
      <c r="F100" s="768" t="str">
        <f>IFERROR(__xludf.DUMMYFUNCTION("""COMPUTED_VALUE"""),"RHP")</f>
        <v>RHP</v>
      </c>
      <c r="G100" s="768" t="str">
        <f>IFERROR(__xludf.DUMMYFUNCTION("""COMPUTED_VALUE"""),"All Continental League Honorable Mention, Futures Games Alumni, AZ Fall Classic All-Academic Game Alumni")</f>
        <v>All Continental League Honorable Mention, Futures Games Alumni, AZ Fall Classic All-Academic Game Alumni</v>
      </c>
      <c r="H100" s="768">
        <f>IFERROR(__xludf.DUMMYFUNCTION("""COMPUTED_VALUE"""),3.71)</f>
        <v>3.71</v>
      </c>
      <c r="I100" s="768" t="str">
        <f>IFERROR(__xludf.DUMMYFUNCTION("""COMPUTED_VALUE"""),"N/A")</f>
        <v>N/A</v>
      </c>
      <c r="J100" s="768" t="str">
        <f>IFERROR(__xludf.DUMMYFUNCTION("""COMPUTED_VALUE"""),"N/A")</f>
        <v>N/A</v>
      </c>
      <c r="K100" s="768" t="str">
        <f>IFERROR(__xludf.DUMMYFUNCTION("""COMPUTED_VALUE"""),"N/A")</f>
        <v>N/A</v>
      </c>
      <c r="L100" s="768" t="str">
        <f>IFERROR(__xludf.DUMMYFUNCTION("""COMPUTED_VALUE"""),"N/A")</f>
        <v>N/A</v>
      </c>
      <c r="M100" s="768" t="str">
        <f>IFERROR(__xludf.DUMMYFUNCTION("""COMPUTED_VALUE"""),"N/A")</f>
        <v>N/A</v>
      </c>
      <c r="N100" s="768"/>
      <c r="O100" s="768"/>
      <c r="P100" s="768"/>
      <c r="Q100" s="768"/>
      <c r="R100" s="768"/>
      <c r="S100" s="768"/>
      <c r="T100" s="768"/>
      <c r="U100" s="768"/>
      <c r="V100" s="768"/>
      <c r="W100" s="768"/>
      <c r="X100" s="768"/>
      <c r="Y100" s="768"/>
      <c r="Z100" s="768"/>
      <c r="AA100" s="768"/>
    </row>
    <row r="101" ht="30.0" customHeight="1">
      <c r="A101" s="768" t="str">
        <f t="array" ref="A101">XLOOKUP(C101,'High School Players'!D:D,'High School Players'!K:K,"NO",0,1)</f>
        <v>NO</v>
      </c>
      <c r="B101" s="975">
        <f>IFERROR(__xludf.DUMMYFUNCTION("""COMPUTED_VALUE"""),45556.73013795139)</f>
        <v>45556.73014</v>
      </c>
      <c r="C101" s="768" t="str">
        <f>IFERROR(__xludf.DUMMYFUNCTION("""COMPUTED_VALUE"""),"Hyatt Richardson")</f>
        <v>Hyatt Richardson</v>
      </c>
      <c r="D101" s="768" t="str">
        <f>IFERROR(__xludf.DUMMYFUNCTION("""COMPUTED_VALUE"""),"hyattrichardson2006@icloud.com")</f>
        <v>hyattrichardson2006@icloud.com</v>
      </c>
      <c r="E101" s="768" t="str">
        <f>IFERROR(__xludf.DUMMYFUNCTION("""COMPUTED_VALUE"""),"6,2 200")</f>
        <v>6,2 200</v>
      </c>
      <c r="F101" s="768" t="str">
        <f>IFERROR(__xludf.DUMMYFUNCTION("""COMPUTED_VALUE"""),"RHP")</f>
        <v>RHP</v>
      </c>
      <c r="G101" s="768" t="str">
        <f>IFERROR(__xludf.DUMMYFUNCTION("""COMPUTED_VALUE"""),"Best Pitcher award for 2 years")</f>
        <v>Best Pitcher award for 2 years</v>
      </c>
      <c r="H101" s="768">
        <f>IFERROR(__xludf.DUMMYFUNCTION("""COMPUTED_VALUE"""),3.6)</f>
        <v>3.6</v>
      </c>
      <c r="I101" s="768" t="str">
        <f>IFERROR(__xludf.DUMMYFUNCTION("""COMPUTED_VALUE"""),"Not Yet Taken")</f>
        <v>Not Yet Taken</v>
      </c>
      <c r="J101" s="768" t="str">
        <f>IFERROR(__xludf.DUMMYFUNCTION("""COMPUTED_VALUE"""),"None")</f>
        <v>None</v>
      </c>
      <c r="K101" s="768" t="str">
        <f>IFERROR(__xludf.DUMMYFUNCTION("""COMPUTED_VALUE"""),"No")</f>
        <v>No</v>
      </c>
      <c r="L101" s="768" t="str">
        <f>IFERROR(__xludf.DUMMYFUNCTION("""COMPUTED_VALUE"""),"No")</f>
        <v>No</v>
      </c>
      <c r="M101" s="768" t="str">
        <f>IFERROR(__xludf.DUMMYFUNCTION("""COMPUTED_VALUE"""),"Bright Futures")</f>
        <v>Bright Futures</v>
      </c>
      <c r="N101" s="768"/>
      <c r="O101" s="768"/>
      <c r="P101" s="768"/>
      <c r="Q101" s="768"/>
      <c r="R101" s="768"/>
      <c r="S101" s="768"/>
      <c r="T101" s="768"/>
      <c r="U101" s="768"/>
      <c r="V101" s="768"/>
      <c r="W101" s="768"/>
      <c r="X101" s="768"/>
      <c r="Y101" s="768"/>
      <c r="Z101" s="768"/>
      <c r="AA101" s="768"/>
    </row>
    <row r="102" ht="30.0" customHeight="1">
      <c r="A102" s="768" t="str">
        <f t="array" ref="A102">XLOOKUP(C102,'High School Players'!D:D,'High School Players'!K:K,"NO",0,1)</f>
        <v>XX</v>
      </c>
      <c r="B102" s="975">
        <f>IFERROR(__xludf.DUMMYFUNCTION("""COMPUTED_VALUE"""),45558.44396089121)</f>
        <v>45558.44396</v>
      </c>
      <c r="C102" s="768" t="str">
        <f>IFERROR(__xludf.DUMMYFUNCTION("""COMPUTED_VALUE"""),"Walker Killimett")</f>
        <v>Walker Killimett</v>
      </c>
      <c r="D102" s="768" t="str">
        <f>IFERROR(__xludf.DUMMYFUNCTION("""COMPUTED_VALUE"""),"walkerkillimett2026@gmail.com")</f>
        <v>walkerkillimett2026@gmail.com</v>
      </c>
      <c r="E102" s="768" t="str">
        <f>IFERROR(__xludf.DUMMYFUNCTION("""COMPUTED_VALUE"""),"5’11 180Ibs")</f>
        <v>5’11 180Ibs</v>
      </c>
      <c r="F102" s="768" t="str">
        <f>IFERROR(__xludf.DUMMYFUNCTION("""COMPUTED_VALUE"""),"OF")</f>
        <v>OF</v>
      </c>
      <c r="G102" s="768" t="str">
        <f>IFERROR(__xludf.DUMMYFUNCTION("""COMPUTED_VALUE"""),"First Team All region 7a Georgia. First Team all Cobb county")</f>
        <v>First Team All region 7a Georgia. First Team all Cobb county</v>
      </c>
      <c r="H102" s="768">
        <f>IFERROR(__xludf.DUMMYFUNCTION("""COMPUTED_VALUE"""),4.0)</f>
        <v>4</v>
      </c>
      <c r="I102" s="768" t="str">
        <f>IFERROR(__xludf.DUMMYFUNCTION("""COMPUTED_VALUE"""),"N/A")</f>
        <v>N/A</v>
      </c>
      <c r="J102" s="768" t="str">
        <f>IFERROR(__xludf.DUMMYFUNCTION("""COMPUTED_VALUE"""),"N/A")</f>
        <v>N/A</v>
      </c>
      <c r="K102" s="768" t="str">
        <f>IFERROR(__xludf.DUMMYFUNCTION("""COMPUTED_VALUE"""),"Amoxicillin ")</f>
        <v>Amoxicillin </v>
      </c>
      <c r="L102" s="768" t="str">
        <f>IFERROR(__xludf.DUMMYFUNCTION("""COMPUTED_VALUE"""),"N/A")</f>
        <v>N/A</v>
      </c>
      <c r="M102" s="768" t="str">
        <f>IFERROR(__xludf.DUMMYFUNCTION("""COMPUTED_VALUE"""),"No")</f>
        <v>No</v>
      </c>
      <c r="N102" s="768"/>
      <c r="O102" s="768"/>
      <c r="P102" s="768"/>
      <c r="Q102" s="768"/>
      <c r="R102" s="768"/>
      <c r="S102" s="768"/>
      <c r="T102" s="768"/>
      <c r="U102" s="768"/>
      <c r="V102" s="768"/>
      <c r="W102" s="768"/>
      <c r="X102" s="768"/>
      <c r="Y102" s="768"/>
      <c r="Z102" s="768"/>
      <c r="AA102" s="768"/>
    </row>
    <row r="103" ht="30.0" customHeight="1">
      <c r="A103" s="768" t="str">
        <f t="array" ref="A103">XLOOKUP(C103,'High School Players'!D:D,'High School Players'!K:K,"NO",0,1)</f>
        <v>XX</v>
      </c>
      <c r="B103" s="975">
        <f>IFERROR(__xludf.DUMMYFUNCTION("""COMPUTED_VALUE"""),45559.48864509259)</f>
        <v>45559.48865</v>
      </c>
      <c r="C103" s="768" t="str">
        <f>IFERROR(__xludf.DUMMYFUNCTION("""COMPUTED_VALUE"""),"Zach Floyd")</f>
        <v>Zach Floyd</v>
      </c>
      <c r="D103" s="768" t="str">
        <f>IFERROR(__xludf.DUMMYFUNCTION("""COMPUTED_VALUE"""),"zach5floyd@gmail.com")</f>
        <v>zach5floyd@gmail.com</v>
      </c>
      <c r="E103" s="768" t="str">
        <f>IFERROR(__xludf.DUMMYFUNCTION("""COMPUTED_VALUE"""),"5’11/ 181lbs")</f>
        <v>5’11/ 181lbs</v>
      </c>
      <c r="F103" s="768" t="str">
        <f>IFERROR(__xludf.DUMMYFUNCTION("""COMPUTED_VALUE"""),"OF/C")</f>
        <v>OF/C</v>
      </c>
      <c r="G103" s="768" t="str">
        <f>IFERROR(__xludf.DUMMYFUNCTION("""COMPUTED_VALUE"""),"Trinity High School")</f>
        <v>Trinity High School</v>
      </c>
      <c r="H103" s="768">
        <f>IFERROR(__xludf.DUMMYFUNCTION("""COMPUTED_VALUE"""),4.0)</f>
        <v>4</v>
      </c>
      <c r="I103" s="768" t="str">
        <f>IFERROR(__xludf.DUMMYFUNCTION("""COMPUTED_VALUE"""),"Haven’t taken yet")</f>
        <v>Haven’t taken yet</v>
      </c>
      <c r="J103" s="768" t="str">
        <f>IFERROR(__xludf.DUMMYFUNCTION("""COMPUTED_VALUE"""),"Torn Calf")</f>
        <v>Torn Calf</v>
      </c>
      <c r="K103" s="768" t="str">
        <f>IFERROR(__xludf.DUMMYFUNCTION("""COMPUTED_VALUE"""),"No")</f>
        <v>No</v>
      </c>
      <c r="L103" s="768" t="str">
        <f>IFERROR(__xludf.DUMMYFUNCTION("""COMPUTED_VALUE"""),"No")</f>
        <v>No</v>
      </c>
      <c r="M103" s="768" t="str">
        <f>IFERROR(__xludf.DUMMYFUNCTION("""COMPUTED_VALUE"""),"Honor Roll Award")</f>
        <v>Honor Roll Award</v>
      </c>
      <c r="N103" s="768"/>
      <c r="O103" s="768"/>
      <c r="P103" s="768"/>
      <c r="Q103" s="768"/>
      <c r="R103" s="768"/>
      <c r="S103" s="768"/>
      <c r="T103" s="768"/>
      <c r="U103" s="768"/>
      <c r="V103" s="768"/>
      <c r="W103" s="768"/>
      <c r="X103" s="768"/>
      <c r="Y103" s="768"/>
      <c r="Z103" s="768"/>
      <c r="AA103" s="768"/>
    </row>
    <row r="104" ht="30.0" customHeight="1">
      <c r="A104" s="768" t="str">
        <f t="array" ref="A104">XLOOKUP(C104,'High School Players'!D:D,'High School Players'!K:K,"NO",0,1)</f>
        <v>XX</v>
      </c>
      <c r="B104" s="975">
        <f>IFERROR(__xludf.DUMMYFUNCTION("""COMPUTED_VALUE"""),45559.59087086805)</f>
        <v>45559.59087</v>
      </c>
      <c r="C104" s="768" t="str">
        <f>IFERROR(__xludf.DUMMYFUNCTION("""COMPUTED_VALUE"""),"Hunter Atkins")</f>
        <v>Hunter Atkins</v>
      </c>
      <c r="D104" s="768" t="str">
        <f>IFERROR(__xludf.DUMMYFUNCTION("""COMPUTED_VALUE"""),"pitch259@gmail.com")</f>
        <v>pitch259@gmail.com</v>
      </c>
      <c r="E104" s="768" t="str">
        <f>IFERROR(__xludf.DUMMYFUNCTION("""COMPUTED_VALUE"""),"6’3/195")</f>
        <v>6’3/195</v>
      </c>
      <c r="F104" s="768" t="str">
        <f>IFERROR(__xludf.DUMMYFUNCTION("""COMPUTED_VALUE"""),"Pitcher ")</f>
        <v>Pitcher </v>
      </c>
      <c r="G104" s="768" t="str">
        <f>IFERROR(__xludf.DUMMYFUNCTION("""COMPUTED_VALUE"""),"Rockmart High School/ East Cobb Astros ")</f>
        <v>Rockmart High School/ East Cobb Astros </v>
      </c>
      <c r="H104" s="768">
        <f>IFERROR(__xludf.DUMMYFUNCTION("""COMPUTED_VALUE"""),3.667)</f>
        <v>3.667</v>
      </c>
      <c r="I104" s="768" t="str">
        <f>IFERROR(__xludf.DUMMYFUNCTION("""COMPUTED_VALUE"""),"NA")</f>
        <v>NA</v>
      </c>
      <c r="J104" s="768" t="str">
        <f>IFERROR(__xludf.DUMMYFUNCTION("""COMPUTED_VALUE"""),"appendix surgery/ broken right ankle ")</f>
        <v>appendix surgery/ broken right ankle </v>
      </c>
      <c r="K104" s="768" t="str">
        <f>IFERROR(__xludf.DUMMYFUNCTION("""COMPUTED_VALUE"""),"No")</f>
        <v>No</v>
      </c>
      <c r="L104" s="768" t="str">
        <f>IFERROR(__xludf.DUMMYFUNCTION("""COMPUTED_VALUE"""),"No")</f>
        <v>No</v>
      </c>
      <c r="M104" s="768" t="str">
        <f>IFERROR(__xludf.DUMMYFUNCTION("""COMPUTED_VALUE"""),"No")</f>
        <v>No</v>
      </c>
      <c r="N104" s="768"/>
      <c r="O104" s="768"/>
      <c r="P104" s="768"/>
      <c r="Q104" s="768"/>
      <c r="R104" s="768"/>
      <c r="S104" s="768"/>
      <c r="T104" s="768"/>
      <c r="U104" s="768"/>
      <c r="V104" s="768"/>
      <c r="W104" s="768"/>
      <c r="X104" s="768"/>
      <c r="Y104" s="768"/>
      <c r="Z104" s="768"/>
      <c r="AA104" s="768"/>
    </row>
    <row r="105" ht="30.0" customHeight="1">
      <c r="A105" s="768" t="str">
        <f t="array" ref="A105">XLOOKUP(C105,'High School Players'!D:D,'High School Players'!K:K,"NO",0,1)</f>
        <v>NO</v>
      </c>
      <c r="B105" s="975">
        <f>IFERROR(__xludf.DUMMYFUNCTION("""COMPUTED_VALUE"""),45560.032561064814)</f>
        <v>45560.03256</v>
      </c>
      <c r="C105" s="768" t="str">
        <f>IFERROR(__xludf.DUMMYFUNCTION("""COMPUTED_VALUE"""),"Daniel Martinez")</f>
        <v>Daniel Martinez</v>
      </c>
      <c r="D105" s="768" t="str">
        <f>IFERROR(__xludf.DUMMYFUNCTION("""COMPUTED_VALUE"""),"dmartinez01150907@gmail.com")</f>
        <v>dmartinez01150907@gmail.com</v>
      </c>
      <c r="E105" s="768" t="str">
        <f>IFERROR(__xludf.DUMMYFUNCTION("""COMPUTED_VALUE"""),"6’2 215")</f>
        <v>6’2 215</v>
      </c>
      <c r="F105" s="768" t="str">
        <f>IFERROR(__xludf.DUMMYFUNCTION("""COMPUTED_VALUE"""),"C, 3B, 1B ")</f>
        <v>C, 3B, 1B </v>
      </c>
      <c r="G105" s="768" t="str">
        <f>IFERROR(__xludf.DUMMYFUNCTION("""COMPUTED_VALUE"""),"Pop time: 1.97 exit velo: 100 ")</f>
        <v>Pop time: 1.97 exit velo: 100 </v>
      </c>
      <c r="H105" s="768">
        <f>IFERROR(__xludf.DUMMYFUNCTION("""COMPUTED_VALUE"""),3.8)</f>
        <v>3.8</v>
      </c>
      <c r="I105" s="768" t="str">
        <f>IFERROR(__xludf.DUMMYFUNCTION("""COMPUTED_VALUE"""),"N/A")</f>
        <v>N/A</v>
      </c>
      <c r="J105" s="768" t="str">
        <f>IFERROR(__xludf.DUMMYFUNCTION("""COMPUTED_VALUE"""),"None ")</f>
        <v>None </v>
      </c>
      <c r="K105" s="768" t="str">
        <f>IFERROR(__xludf.DUMMYFUNCTION("""COMPUTED_VALUE"""),"None ")</f>
        <v>None </v>
      </c>
      <c r="L105" s="768" t="str">
        <f>IFERROR(__xludf.DUMMYFUNCTION("""COMPUTED_VALUE"""),"None ")</f>
        <v>None </v>
      </c>
      <c r="M105" s="768" t="str">
        <f>IFERROR(__xludf.DUMMYFUNCTION("""COMPUTED_VALUE"""),"Academic letter ")</f>
        <v>Academic letter </v>
      </c>
      <c r="N105" s="768"/>
      <c r="O105" s="768"/>
      <c r="P105" s="768"/>
      <c r="Q105" s="768"/>
      <c r="R105" s="768"/>
      <c r="S105" s="768"/>
      <c r="T105" s="768"/>
      <c r="U105" s="768"/>
      <c r="V105" s="768"/>
      <c r="W105" s="768"/>
      <c r="X105" s="768"/>
      <c r="Y105" s="768"/>
      <c r="Z105" s="768"/>
      <c r="AA105" s="768"/>
    </row>
    <row r="106" ht="30.0" customHeight="1">
      <c r="A106" s="768" t="str">
        <f t="array" ref="A106">XLOOKUP(C106,'High School Players'!D:D,'High School Players'!K:K,"NO",0,1)</f>
        <v>XX</v>
      </c>
      <c r="B106" s="975">
        <f>IFERROR(__xludf.DUMMYFUNCTION("""COMPUTED_VALUE"""),45560.4429590625)</f>
        <v>45560.44296</v>
      </c>
      <c r="C106" s="768" t="str">
        <f>IFERROR(__xludf.DUMMYFUNCTION("""COMPUTED_VALUE"""),"Brady McKay")</f>
        <v>Brady McKay</v>
      </c>
      <c r="D106" s="768" t="str">
        <f>IFERROR(__xludf.DUMMYFUNCTION("""COMPUTED_VALUE"""),"bradymckay28@gmail.com")</f>
        <v>bradymckay28@gmail.com</v>
      </c>
      <c r="E106" s="768" t="str">
        <f>IFERROR(__xludf.DUMMYFUNCTION("""COMPUTED_VALUE"""),"5’10/170")</f>
        <v>5’10/170</v>
      </c>
      <c r="F106" s="768" t="str">
        <f>IFERROR(__xludf.DUMMYFUNCTION("""COMPUTED_VALUE"""),"SS")</f>
        <v>SS</v>
      </c>
      <c r="G106" s="768"/>
      <c r="H106" s="768">
        <f>IFERROR(__xludf.DUMMYFUNCTION("""COMPUTED_VALUE"""),4.2)</f>
        <v>4.2</v>
      </c>
      <c r="I106" s="768"/>
      <c r="J106" s="768"/>
      <c r="K106" s="768"/>
      <c r="L106" s="768"/>
      <c r="M106" s="768"/>
      <c r="N106" s="768"/>
      <c r="O106" s="768"/>
      <c r="P106" s="768"/>
      <c r="Q106" s="768"/>
      <c r="R106" s="768"/>
      <c r="S106" s="768"/>
      <c r="T106" s="768"/>
      <c r="U106" s="768"/>
      <c r="V106" s="768"/>
      <c r="W106" s="768"/>
      <c r="X106" s="768"/>
      <c r="Y106" s="768"/>
      <c r="Z106" s="768"/>
      <c r="AA106" s="768"/>
    </row>
    <row r="107" ht="30.0" customHeight="1">
      <c r="A107" s="768" t="str">
        <f t="array" ref="A107">XLOOKUP(C107,'High School Players'!D:D,'High School Players'!K:K,"NO",0,1)</f>
        <v>NO</v>
      </c>
      <c r="B107" s="975">
        <f>IFERROR(__xludf.DUMMYFUNCTION("""COMPUTED_VALUE"""),45561.63592533565)</f>
        <v>45561.63593</v>
      </c>
      <c r="C107" s="768" t="str">
        <f>IFERROR(__xludf.DUMMYFUNCTION("""COMPUTED_VALUE"""),"Dane Cunningham")</f>
        <v>Dane Cunningham</v>
      </c>
      <c r="D107" s="768" t="str">
        <f>IFERROR(__xludf.DUMMYFUNCTION("""COMPUTED_VALUE"""),"Cunningdane02@icloud.com")</f>
        <v>Cunningdane02@icloud.com</v>
      </c>
      <c r="E107" s="768" t="str">
        <f>IFERROR(__xludf.DUMMYFUNCTION("""COMPUTED_VALUE"""),"6’2/ 200 pounds ")</f>
        <v>6’2/ 200 pounds </v>
      </c>
      <c r="F107" s="768" t="str">
        <f>IFERROR(__xludf.DUMMYFUNCTION("""COMPUTED_VALUE"""),"CI/OF")</f>
        <v>CI/OF</v>
      </c>
      <c r="G107" s="768" t="str">
        <f>IFERROR(__xludf.DUMMYFUNCTION("""COMPUTED_VALUE"""),"High school summer batted 485, summer ball teams batted 515 ")</f>
        <v>High school summer batted 485, summer ball teams batted 515 </v>
      </c>
      <c r="H107" s="768" t="str">
        <f>IFERROR(__xludf.DUMMYFUNCTION("""COMPUTED_VALUE"""),"3.17/3.337")</f>
        <v>3.17/3.337</v>
      </c>
      <c r="I107" s="768" t="str">
        <f>IFERROR(__xludf.DUMMYFUNCTION("""COMPUTED_VALUE"""),"None ")</f>
        <v>None </v>
      </c>
      <c r="J107" s="768" t="str">
        <f>IFERROR(__xludf.DUMMYFUNCTION("""COMPUTED_VALUE"""),"Slight torn flexer tendon a year ago ")</f>
        <v>Slight torn flexer tendon a year ago </v>
      </c>
      <c r="K107" s="768" t="str">
        <f>IFERROR(__xludf.DUMMYFUNCTION("""COMPUTED_VALUE"""),"Bees ")</f>
        <v>Bees </v>
      </c>
      <c r="L107" s="768" t="str">
        <f>IFERROR(__xludf.DUMMYFUNCTION("""COMPUTED_VALUE"""),"No ")</f>
        <v>No </v>
      </c>
      <c r="M107" s="768" t="str">
        <f>IFERROR(__xludf.DUMMYFUNCTION("""COMPUTED_VALUE"""),"Yes ")</f>
        <v>Yes </v>
      </c>
      <c r="N107" s="768"/>
      <c r="O107" s="768"/>
      <c r="P107" s="768"/>
      <c r="Q107" s="768"/>
      <c r="R107" s="768"/>
      <c r="S107" s="768"/>
      <c r="T107" s="768"/>
      <c r="U107" s="768"/>
      <c r="V107" s="768"/>
      <c r="W107" s="768"/>
      <c r="X107" s="768"/>
      <c r="Y107" s="768"/>
      <c r="Z107" s="768"/>
      <c r="AA107" s="768"/>
    </row>
    <row r="108" ht="30.0" customHeight="1">
      <c r="A108" s="768">
        <f t="array" ref="A108">XLOOKUP(C108,'High School Players'!D:D,'High School Players'!K:K,"NO",0,1)</f>
        <v>0.1</v>
      </c>
      <c r="B108" s="975">
        <f>IFERROR(__xludf.DUMMYFUNCTION("""COMPUTED_VALUE"""),45570.440314872685)</f>
        <v>45570.44031</v>
      </c>
      <c r="C108" s="768" t="str">
        <f>IFERROR(__xludf.DUMMYFUNCTION("""COMPUTED_VALUE"""),"Brian Mancinelli")</f>
        <v>Brian Mancinelli</v>
      </c>
      <c r="D108" s="768" t="str">
        <f>IFERROR(__xludf.DUMMYFUNCTION("""COMPUTED_VALUE"""),"Brianmancinelli@icloud.com")</f>
        <v>Brianmancinelli@icloud.com</v>
      </c>
      <c r="E108" s="768" t="str">
        <f>IFERROR(__xludf.DUMMYFUNCTION("""COMPUTED_VALUE"""),"6’3 184")</f>
        <v>6’3 184</v>
      </c>
      <c r="F108" s="768" t="str">
        <f>IFERROR(__xludf.DUMMYFUNCTION("""COMPUTED_VALUE"""),"RHP/1B")</f>
        <v>RHP/1B</v>
      </c>
      <c r="G108" s="768" t="str">
        <f>IFERROR(__xludf.DUMMYFUNCTION("""COMPUTED_VALUE"""),"2024 Cape and Islands All Star, Massachusetts Baseball Coaches Association All Star Game MVP, 1.86 High School ERA, Ranked #7 overall in MA on Perfect Game")</f>
        <v>2024 Cape and Islands All Star, Massachusetts Baseball Coaches Association All Star Game MVP, 1.86 High School ERA, Ranked #7 overall in MA on Perfect Game</v>
      </c>
      <c r="H108" s="768" t="str">
        <f>IFERROR(__xludf.DUMMYFUNCTION("""COMPUTED_VALUE"""),"3.67 weighted ")</f>
        <v>3.67 weighted </v>
      </c>
      <c r="I108" s="768"/>
      <c r="J108" s="768" t="str">
        <f>IFERROR(__xludf.DUMMYFUNCTION("""COMPUTED_VALUE"""),"L5 Stress Fracture ")</f>
        <v>L5 Stress Fracture </v>
      </c>
      <c r="K108" s="768"/>
      <c r="L108" s="768"/>
      <c r="M108" s="768"/>
      <c r="N108" s="768"/>
      <c r="O108" s="768"/>
      <c r="P108" s="768"/>
      <c r="Q108" s="768"/>
      <c r="R108" s="768"/>
      <c r="S108" s="768"/>
      <c r="T108" s="768"/>
      <c r="U108" s="768"/>
      <c r="V108" s="768"/>
      <c r="W108" s="768"/>
      <c r="X108" s="768"/>
      <c r="Y108" s="768"/>
      <c r="Z108" s="768"/>
      <c r="AA108" s="768"/>
    </row>
    <row r="109" ht="30.0" customHeight="1">
      <c r="A109" s="768" t="str">
        <f t="array" ref="A109">XLOOKUP(C109,'High School Players'!D:D,'High School Players'!K:K,"NO",0,1)</f>
        <v>NO</v>
      </c>
      <c r="B109" s="975">
        <f>IFERROR(__xludf.DUMMYFUNCTION("""COMPUTED_VALUE"""),45572.71587560185)</f>
        <v>45572.71588</v>
      </c>
      <c r="C109" s="768" t="str">
        <f>IFERROR(__xludf.DUMMYFUNCTION("""COMPUTED_VALUE"""),"Wilkin Lurie")</f>
        <v>Wilkin Lurie</v>
      </c>
      <c r="D109" s="768" t="str">
        <f>IFERROR(__xludf.DUMMYFUNCTION("""COMPUTED_VALUE"""),"lurie.wilkin@gmail.com")</f>
        <v>lurie.wilkin@gmail.com</v>
      </c>
      <c r="E109" s="768" t="str">
        <f>IFERROR(__xludf.DUMMYFUNCTION("""COMPUTED_VALUE"""),"6”2/180 pounds ")</f>
        <v>6”2/180 pounds </v>
      </c>
      <c r="F109" s="768" t="str">
        <f>IFERROR(__xludf.DUMMYFUNCTION("""COMPUTED_VALUE"""),"Outfield")</f>
        <v>Outfield</v>
      </c>
      <c r="G109" s="768" t="str">
        <f>IFERROR(__xludf.DUMMYFUNCTION("""COMPUTED_VALUE"""),"Hit in the lower 300’s with 3 home runs. Started varsity as a freshman with a homerun against the state championships TC roberson.")</f>
        <v>Hit in the lower 300’s with 3 home runs. Started varsity as a freshman with a homerun against the state championships TC roberson.</v>
      </c>
      <c r="H109" s="768">
        <f>IFERROR(__xludf.DUMMYFUNCTION("""COMPUTED_VALUE"""),3.95)</f>
        <v>3.95</v>
      </c>
      <c r="I109" s="768" t="str">
        <f>IFERROR(__xludf.DUMMYFUNCTION("""COMPUTED_VALUE"""),"have not taken them yet")</f>
        <v>have not taken them yet</v>
      </c>
      <c r="J109" s="768" t="str">
        <f>IFERROR(__xludf.DUMMYFUNCTION("""COMPUTED_VALUE"""),"Concussion freshman year playing football")</f>
        <v>Concussion freshman year playing football</v>
      </c>
      <c r="K109" s="768" t="str">
        <f>IFERROR(__xludf.DUMMYFUNCTION("""COMPUTED_VALUE"""),"no")</f>
        <v>no</v>
      </c>
      <c r="L109" s="768" t="str">
        <f>IFERROR(__xludf.DUMMYFUNCTION("""COMPUTED_VALUE"""),"no")</f>
        <v>no</v>
      </c>
      <c r="M109" s="768" t="str">
        <f>IFERROR(__xludf.DUMMYFUNCTION("""COMPUTED_VALUE"""),"no")</f>
        <v>no</v>
      </c>
      <c r="N109" s="768"/>
      <c r="O109" s="768"/>
      <c r="P109" s="768"/>
      <c r="Q109" s="768"/>
      <c r="R109" s="768"/>
      <c r="S109" s="768"/>
      <c r="T109" s="768"/>
      <c r="U109" s="768"/>
      <c r="V109" s="768"/>
      <c r="W109" s="768"/>
      <c r="X109" s="768"/>
      <c r="Y109" s="768"/>
      <c r="Z109" s="768"/>
      <c r="AA109" s="768"/>
    </row>
    <row r="110" ht="30.0" customHeight="1">
      <c r="A110" s="768" t="str">
        <f t="array" ref="A110">XLOOKUP(C110,'High School Players'!D:D,'High School Players'!K:K,"NO",0,1)</f>
        <v>NO</v>
      </c>
      <c r="B110" s="975">
        <f>IFERROR(__xludf.DUMMYFUNCTION("""COMPUTED_VALUE"""),45572.76228137732)</f>
        <v>45572.76228</v>
      </c>
      <c r="C110" s="768"/>
      <c r="D110" s="768"/>
      <c r="E110" s="768"/>
      <c r="F110" s="768"/>
      <c r="G110" s="768"/>
      <c r="H110" s="768"/>
      <c r="I110" s="768"/>
      <c r="J110" s="768"/>
      <c r="K110" s="768"/>
      <c r="L110" s="768"/>
      <c r="M110" s="768"/>
      <c r="N110" s="768"/>
      <c r="O110" s="768"/>
      <c r="P110" s="768"/>
      <c r="Q110" s="768"/>
      <c r="R110" s="768"/>
      <c r="S110" s="768"/>
      <c r="T110" s="768"/>
      <c r="U110" s="768"/>
      <c r="V110" s="768"/>
      <c r="W110" s="768"/>
      <c r="X110" s="768"/>
      <c r="Y110" s="768"/>
      <c r="Z110" s="768"/>
      <c r="AA110" s="768"/>
    </row>
    <row r="111" ht="30.0" customHeight="1">
      <c r="A111" s="768" t="str">
        <f t="array" ref="A111">XLOOKUP(C111,'High School Players'!D:D,'High School Players'!K:K,"NO",0,1)</f>
        <v>NO</v>
      </c>
      <c r="B111" s="975">
        <f>IFERROR(__xludf.DUMMYFUNCTION("""COMPUTED_VALUE"""),45575.84379755787)</f>
        <v>45575.8438</v>
      </c>
      <c r="C111" s="768" t="str">
        <f>IFERROR(__xludf.DUMMYFUNCTION("""COMPUTED_VALUE"""),"Liam Parsons")</f>
        <v>Liam Parsons</v>
      </c>
      <c r="D111" s="768" t="str">
        <f>IFERROR(__xludf.DUMMYFUNCTION("""COMPUTED_VALUE"""),"LiamHParsons@gmail.com")</f>
        <v>LiamHParsons@gmail.com</v>
      </c>
      <c r="E111" s="768" t="str">
        <f>IFERROR(__xludf.DUMMYFUNCTION("""COMPUTED_VALUE"""),"6’2 - 170")</f>
        <v>6’2 - 170</v>
      </c>
      <c r="F111" s="768" t="str">
        <f>IFERROR(__xludf.DUMMYFUNCTION("""COMPUTED_VALUE"""),"Catcher")</f>
        <v>Catcher</v>
      </c>
      <c r="G111" s="768" t="str">
        <f>IFERROR(__xludf.DUMMYFUNCTION("""COMPUTED_VALUE"""),"(high school - 350 AVG - 440 OBP - 25 Hits - 10 Doubles / All conference, Coaches award, Body armor state games). ( travel - 412 AVG - 545 OBP)")</f>
        <v>(high school - 350 AVG - 440 OBP - 25 Hits - 10 Doubles / All conference, Coaches award, Body armor state games). ( travel - 412 AVG - 545 OBP)</v>
      </c>
      <c r="H111" s="768" t="str">
        <f>IFERROR(__xludf.DUMMYFUNCTION("""COMPUTED_VALUE"""),"unweighted - 3.875 weighted - 4.2813 ")</f>
        <v>unweighted - 3.875 weighted - 4.2813 </v>
      </c>
      <c r="I111" s="768" t="str">
        <f>IFERROR(__xludf.DUMMYFUNCTION("""COMPUTED_VALUE"""),"None yet ")</f>
        <v>None yet </v>
      </c>
      <c r="J111" s="768" t="str">
        <f>IFERROR(__xludf.DUMMYFUNCTION("""COMPUTED_VALUE"""),"None")</f>
        <v>None</v>
      </c>
      <c r="K111" s="768" t="str">
        <f>IFERROR(__xludf.DUMMYFUNCTION("""COMPUTED_VALUE"""),"None ")</f>
        <v>None </v>
      </c>
      <c r="L111" s="768" t="str">
        <f>IFERROR(__xludf.DUMMYFUNCTION("""COMPUTED_VALUE"""),"None")</f>
        <v>None</v>
      </c>
      <c r="M111" s="768" t="str">
        <f>IFERROR(__xludf.DUMMYFUNCTION("""COMPUTED_VALUE"""),"None ")</f>
        <v>None </v>
      </c>
      <c r="N111" s="768"/>
      <c r="O111" s="768"/>
      <c r="P111" s="768"/>
      <c r="Q111" s="768"/>
      <c r="R111" s="768"/>
      <c r="S111" s="768"/>
      <c r="T111" s="768"/>
      <c r="U111" s="768"/>
      <c r="V111" s="768"/>
      <c r="W111" s="768"/>
      <c r="X111" s="768"/>
      <c r="Y111" s="768"/>
      <c r="Z111" s="768"/>
      <c r="AA111" s="768"/>
    </row>
    <row r="112" ht="30.0" customHeight="1">
      <c r="A112" s="768" t="str">
        <f t="array" ref="A112">XLOOKUP(C112,'High School Players'!D:D,'High School Players'!K:K,"NO",0,1)</f>
        <v>NO</v>
      </c>
      <c r="B112" s="975">
        <f>IFERROR(__xludf.DUMMYFUNCTION("""COMPUTED_VALUE"""),45576.46378115741)</f>
        <v>45576.46378</v>
      </c>
      <c r="C112" s="768" t="str">
        <f>IFERROR(__xludf.DUMMYFUNCTION("""COMPUTED_VALUE"""),"Landon McKenna")</f>
        <v>Landon McKenna</v>
      </c>
      <c r="D112" s="768" t="str">
        <f>IFERROR(__xludf.DUMMYFUNCTION("""COMPUTED_VALUE"""),"Landonmckenna@icloud.com")</f>
        <v>Landonmckenna@icloud.com</v>
      </c>
      <c r="E112" s="768" t="str">
        <f>IFERROR(__xludf.DUMMYFUNCTION("""COMPUTED_VALUE"""),"6ft 170lbs")</f>
        <v>6ft 170lbs</v>
      </c>
      <c r="F112" s="768" t="str">
        <f>IFERROR(__xludf.DUMMYFUNCTION("""COMPUTED_VALUE"""),"MIF/CF/Utility")</f>
        <v>MIF/CF/Utility</v>
      </c>
      <c r="G112" s="768" t="str">
        <f>IFERROR(__xludf.DUMMYFUNCTION("""COMPUTED_VALUE"""),"Around 400 BA for school season and 1st team All-District and HM All-State. Summer season I had a .413 BA and a 1.063 OPS.")</f>
        <v>Around 400 BA for school season and 1st team All-District and HM All-State. Summer season I had a .413 BA and a 1.063 OPS.</v>
      </c>
      <c r="H112" s="768" t="str">
        <f>IFERROR(__xludf.DUMMYFUNCTION("""COMPUTED_VALUE"""),"Unweighted- 4.0 and Weighted- 5.6")</f>
        <v>Unweighted- 4.0 and Weighted- 5.6</v>
      </c>
      <c r="I112" s="768" t="str">
        <f>IFERROR(__xludf.DUMMYFUNCTION("""COMPUTED_VALUE"""),"I haven’t taken the SAT yet but I got a 1220/1440 on the PSAT 2 years ago and my results from the PSAT I took this year will be coming in in a few weeks. I’ll be taking the actual SAT sometime this fall.")</f>
        <v>I haven’t taken the SAT yet but I got a 1220/1440 on the PSAT 2 years ago and my results from the PSAT I took this year will be coming in in a few weeks. I’ll be taking the actual SAT sometime this fall.</v>
      </c>
      <c r="J112" s="768" t="str">
        <f>IFERROR(__xludf.DUMMYFUNCTION("""COMPUTED_VALUE"""),"Not any")</f>
        <v>Not any</v>
      </c>
      <c r="K112" s="768"/>
      <c r="L112" s="768"/>
      <c r="M112" s="768" t="str">
        <f>IFERROR(__xludf.DUMMYFUNCTION("""COMPUTED_VALUE"""),"No")</f>
        <v>No</v>
      </c>
      <c r="N112" s="768"/>
      <c r="O112" s="768"/>
      <c r="P112" s="768"/>
      <c r="Q112" s="768"/>
      <c r="R112" s="768"/>
      <c r="S112" s="768"/>
      <c r="T112" s="768"/>
      <c r="U112" s="768"/>
      <c r="V112" s="768"/>
      <c r="W112" s="768"/>
      <c r="X112" s="768"/>
      <c r="Y112" s="768"/>
      <c r="Z112" s="768"/>
      <c r="AA112" s="768"/>
    </row>
    <row r="113" ht="30.0" customHeight="1">
      <c r="A113" s="768" t="str">
        <f t="array" ref="A113">XLOOKUP(C113,'High School Players'!D:D,'High School Players'!K:K,"NO",0,1)</f>
        <v>XX</v>
      </c>
      <c r="B113" s="975">
        <f>IFERROR(__xludf.DUMMYFUNCTION("""COMPUTED_VALUE"""),45586.513390416665)</f>
        <v>45586.51339</v>
      </c>
      <c r="C113" s="768" t="str">
        <f>IFERROR(__xludf.DUMMYFUNCTION("""COMPUTED_VALUE"""),"Joseph Vaccarella")</f>
        <v>Joseph Vaccarella</v>
      </c>
      <c r="D113" s="768" t="str">
        <f>IFERROR(__xludf.DUMMYFUNCTION("""COMPUTED_VALUE"""),"Joseph.p.vaccarella@gmail.com")</f>
        <v>Joseph.p.vaccarella@gmail.com</v>
      </c>
      <c r="E113" s="768">
        <f>IFERROR(__xludf.DUMMYFUNCTION("""COMPUTED_VALUE"""),6.4)</f>
        <v>6.4</v>
      </c>
      <c r="F113" s="768" t="str">
        <f>IFERROR(__xludf.DUMMYFUNCTION("""COMPUTED_VALUE"""),"RHP")</f>
        <v>RHP</v>
      </c>
      <c r="G113" s="768" t="str">
        <f>IFERROR(__xludf.DUMMYFUNCTION("""COMPUTED_VALUE"""),"12-1 (8-0) in highschool for the year")</f>
        <v>12-1 (8-0) in highschool for the year</v>
      </c>
      <c r="H113" s="768" t="str">
        <f>IFERROR(__xludf.DUMMYFUNCTION("""COMPUTED_VALUE"""),"3.62 unweighted")</f>
        <v>3.62 unweighted</v>
      </c>
      <c r="I113" s="768" t="str">
        <f>IFERROR(__xludf.DUMMYFUNCTION("""COMPUTED_VALUE"""),"1200 Sat")</f>
        <v>1200 Sat</v>
      </c>
      <c r="J113" s="768" t="str">
        <f>IFERROR(__xludf.DUMMYFUNCTION("""COMPUTED_VALUE"""),"None")</f>
        <v>None</v>
      </c>
      <c r="K113" s="768" t="str">
        <f>IFERROR(__xludf.DUMMYFUNCTION("""COMPUTED_VALUE"""),"No")</f>
        <v>No</v>
      </c>
      <c r="L113" s="768" t="str">
        <f>IFERROR(__xludf.DUMMYFUNCTION("""COMPUTED_VALUE"""),"No")</f>
        <v>No</v>
      </c>
      <c r="M113" s="768" t="str">
        <f>IFERROR(__xludf.DUMMYFUNCTION("""COMPUTED_VALUE"""),"No")</f>
        <v>No</v>
      </c>
      <c r="N113" s="768"/>
      <c r="O113" s="768"/>
      <c r="P113" s="768"/>
      <c r="Q113" s="768"/>
      <c r="R113" s="768"/>
      <c r="S113" s="768"/>
      <c r="T113" s="768"/>
      <c r="U113" s="768"/>
      <c r="V113" s="768"/>
      <c r="W113" s="768"/>
      <c r="X113" s="768"/>
      <c r="Y113" s="768"/>
      <c r="Z113" s="768"/>
      <c r="AA113" s="768"/>
    </row>
    <row r="114" ht="30.0" customHeight="1">
      <c r="A114" s="768">
        <f t="array" ref="A114">XLOOKUP(C114,'High School Players'!D:D,'High School Players'!K:K,"NO",0,1)</f>
        <v>0.1</v>
      </c>
      <c r="B114" s="975">
        <f>IFERROR(__xludf.DUMMYFUNCTION("""COMPUTED_VALUE"""),45819.96630303241)</f>
        <v>45819.9663</v>
      </c>
      <c r="C114" s="768" t="str">
        <f>IFERROR(__xludf.DUMMYFUNCTION("""COMPUTED_VALUE"""),"Ace Tarango")</f>
        <v>Ace Tarango</v>
      </c>
      <c r="D114" s="768" t="str">
        <f>IFERROR(__xludf.DUMMYFUNCTION("""COMPUTED_VALUE"""),"aptarango@gmail.com")</f>
        <v>aptarango@gmail.com</v>
      </c>
      <c r="E114" s="768" t="str">
        <f>IFERROR(__xludf.DUMMYFUNCTION("""COMPUTED_VALUE"""),"6'1'' / 170lbs")</f>
        <v>6'1'' / 170lbs</v>
      </c>
      <c r="F114" s="768" t="str">
        <f>IFERROR(__xludf.DUMMYFUNCTION("""COMPUTED_VALUE"""),"CF/OF")</f>
        <v>CF/OF</v>
      </c>
      <c r="G114" s="768" t="str">
        <f>IFERROR(__xludf.DUMMYFUNCTION("""COMPUTED_VALUE"""),".402 AVG, .478 OBP, .980 OPS, 2HR, 33R, 24SB (SB% 100). / 1st Team All-Bay League (jr. yr), 2nd Team All-Bay League(Soph. yr), 2024 MC Coaches Award, PG Preseason Underclass All American(CA Region HM)")</f>
        <v>.402 AVG, .478 OBP, .980 OPS, 2HR, 33R, 24SB (SB% 100). / 1st Team All-Bay League (jr. yr), 2nd Team All-Bay League(Soph. yr), 2024 MC Coaches Award, PG Preseason Underclass All American(CA Region HM)</v>
      </c>
      <c r="H114" s="768" t="str">
        <f>IFERROR(__xludf.DUMMYFUNCTION("""COMPUTED_VALUE"""),"3.90/4.30")</f>
        <v>3.90/4.30</v>
      </c>
      <c r="I114" s="768" t="str">
        <f>IFERROR(__xludf.DUMMYFUNCTION("""COMPUTED_VALUE"""),"N/A (Results on June 20, 2025)")</f>
        <v>N/A (Results on June 20, 2025)</v>
      </c>
      <c r="J114" s="768"/>
      <c r="K114" s="768" t="str">
        <f>IFERROR(__xludf.DUMMYFUNCTION("""COMPUTED_VALUE"""),"Penicillin products")</f>
        <v>Penicillin products</v>
      </c>
      <c r="L114" s="768" t="str">
        <f>IFERROR(__xludf.DUMMYFUNCTION("""COMPUTED_VALUE"""),"N/A")</f>
        <v>N/A</v>
      </c>
      <c r="M114" s="768" t="str">
        <f>IFERROR(__xludf.DUMMYFUNCTION("""COMPUTED_VALUE"""),"no")</f>
        <v>no</v>
      </c>
      <c r="N114" s="768"/>
      <c r="O114" s="768"/>
      <c r="P114" s="768"/>
      <c r="Q114" s="768"/>
      <c r="R114" s="768"/>
      <c r="S114" s="768"/>
      <c r="T114" s="768"/>
      <c r="U114" s="768"/>
      <c r="V114" s="768"/>
      <c r="W114" s="768"/>
      <c r="X114" s="768"/>
      <c r="Y114" s="768"/>
      <c r="Z114" s="768"/>
      <c r="AA114" s="768"/>
    </row>
    <row r="115" ht="30.0" customHeight="1">
      <c r="A115" s="768" t="str">
        <f t="array" ref="A115">XLOOKUP(C115,'High School Players'!D:D,'High School Players'!K:K,"NO",0,1)</f>
        <v>NO</v>
      </c>
      <c r="B115" s="975">
        <f>IFERROR(__xludf.DUMMYFUNCTION("""COMPUTED_VALUE"""),45820.653565127315)</f>
        <v>45820.65357</v>
      </c>
      <c r="C115" s="768" t="str">
        <f>IFERROR(__xludf.DUMMYFUNCTION("""COMPUTED_VALUE"""),"Ronan O’Brien")</f>
        <v>Ronan O’Brien</v>
      </c>
      <c r="D115" s="768" t="str">
        <f>IFERROR(__xludf.DUMMYFUNCTION("""COMPUTED_VALUE"""),"robrien26@brophybroncos.org")</f>
        <v>robrien26@brophybroncos.org</v>
      </c>
      <c r="E115" s="768" t="str">
        <f>IFERROR(__xludf.DUMMYFUNCTION("""COMPUTED_VALUE"""),"6’3/200")</f>
        <v>6’3/200</v>
      </c>
      <c r="F115" s="768" t="str">
        <f>IFERROR(__xludf.DUMMYFUNCTION("""COMPUTED_VALUE"""),"RHP")</f>
        <v>RHP</v>
      </c>
      <c r="G115" s="768" t="str">
        <f>IFERROR(__xludf.DUMMYFUNCTION("""COMPUTED_VALUE"""),"39.2 IP, 1.235 ERA, 1.008 WHIP, 66ks:11BBs, 4-0, All-Central Region 2nd Team")</f>
        <v>39.2 IP, 1.235 ERA, 1.008 WHIP, 66ks:11BBs, 4-0, All-Central Region 2nd Team</v>
      </c>
      <c r="H115" s="768" t="str">
        <f>IFERROR(__xludf.DUMMYFUNCTION("""COMPUTED_VALUE"""),"3.86/4.42")</f>
        <v>3.86/4.42</v>
      </c>
      <c r="I115" s="768">
        <f>IFERROR(__xludf.DUMMYFUNCTION("""COMPUTED_VALUE"""),1440.0)</f>
        <v>1440</v>
      </c>
      <c r="J115" s="768" t="str">
        <f>IFERROR(__xludf.DUMMYFUNCTION("""COMPUTED_VALUE"""),"Broken Left Femur, Concussion, Olecranon fracture")</f>
        <v>Broken Left Femur, Concussion, Olecranon fracture</v>
      </c>
      <c r="K115" s="768" t="str">
        <f>IFERROR(__xludf.DUMMYFUNCTION("""COMPUTED_VALUE"""),"Penicillin")</f>
        <v>Penicillin</v>
      </c>
      <c r="L115" s="768" t="str">
        <f>IFERROR(__xludf.DUMMYFUNCTION("""COMPUTED_VALUE"""),"No")</f>
        <v>No</v>
      </c>
      <c r="M115" s="768" t="str">
        <f>IFERROR(__xludf.DUMMYFUNCTION("""COMPUTED_VALUE"""),"No")</f>
        <v>No</v>
      </c>
      <c r="N115" s="768"/>
      <c r="O115" s="768"/>
      <c r="P115" s="768"/>
      <c r="Q115" s="768"/>
      <c r="R115" s="768"/>
      <c r="S115" s="768"/>
      <c r="T115" s="768"/>
      <c r="U115" s="768"/>
      <c r="V115" s="768"/>
      <c r="W115" s="768"/>
      <c r="X115" s="768"/>
      <c r="Y115" s="768"/>
      <c r="Z115" s="768"/>
      <c r="AA115" s="768"/>
    </row>
    <row r="116" ht="30.0" customHeight="1">
      <c r="A116" s="768" t="str">
        <f t="array" ref="A116">XLOOKUP(C116,'High School Players'!D:D,'High School Players'!K:K,"NO",0,1)</f>
        <v>NO</v>
      </c>
      <c r="B116" s="975">
        <f>IFERROR(__xludf.DUMMYFUNCTION("""COMPUTED_VALUE"""),45822.84557023148)</f>
        <v>45822.84557</v>
      </c>
      <c r="C116" s="768" t="str">
        <f>IFERROR(__xludf.DUMMYFUNCTION("""COMPUTED_VALUE"""),"John Rossman")</f>
        <v>John Rossman</v>
      </c>
      <c r="D116" s="768" t="str">
        <f>IFERROR(__xludf.DUMMYFUNCTION("""COMPUTED_VALUE"""),"johnrossman1@gmail.com")</f>
        <v>johnrossman1@gmail.com</v>
      </c>
      <c r="E116" s="768" t="str">
        <f>IFERROR(__xludf.DUMMYFUNCTION("""COMPUTED_VALUE"""),"5’11/175")</f>
        <v>5’11/175</v>
      </c>
      <c r="F116" s="768" t="str">
        <f>IFERROR(__xludf.DUMMYFUNCTION("""COMPUTED_VALUE"""),"MIF/OF")</f>
        <v>MIF/OF</v>
      </c>
      <c r="G116" s="768" t="str">
        <f>IFERROR(__xludf.DUMMYFUNCTION("""COMPUTED_VALUE"""),"BA: .338 (27/80) 22 singles, 3 doubles, 2 Homeruns, OBP: .440, OPS: .886, SLG: .450, 28 runs scored, 23 stolen bases (leadoff hitter). 26/26 games started. Accolades: All MAPL honorable mention, coaches award.")</f>
        <v>BA: .338 (27/80) 22 singles, 3 doubles, 2 Homeruns, OBP: .440, OPS: .886, SLG: .450, 28 runs scored, 23 stolen bases (leadoff hitter). 26/26 games started. Accolades: All MAPL honorable mention, coaches award.</v>
      </c>
      <c r="H116" s="768" t="str">
        <f>IFERROR(__xludf.DUMMYFUNCTION("""COMPUTED_VALUE"""),"90/91")</f>
        <v>90/91</v>
      </c>
      <c r="I116" s="768">
        <f>IFERROR(__xludf.DUMMYFUNCTION("""COMPUTED_VALUE"""),1250.0)</f>
        <v>1250</v>
      </c>
      <c r="J116" s="768" t="str">
        <f>IFERROR(__xludf.DUMMYFUNCTION("""COMPUTED_VALUE"""),"None")</f>
        <v>None</v>
      </c>
      <c r="K116" s="768" t="str">
        <f>IFERROR(__xludf.DUMMYFUNCTION("""COMPUTED_VALUE"""),"None")</f>
        <v>None</v>
      </c>
      <c r="L116" s="768" t="str">
        <f>IFERROR(__xludf.DUMMYFUNCTION("""COMPUTED_VALUE"""),"None")</f>
        <v>None</v>
      </c>
      <c r="M116" s="768" t="str">
        <f>IFERROR(__xludf.DUMMYFUNCTION("""COMPUTED_VALUE"""),"None")</f>
        <v>None</v>
      </c>
      <c r="N116" s="768"/>
      <c r="O116" s="768"/>
      <c r="P116" s="768"/>
      <c r="Q116" s="768"/>
      <c r="R116" s="768"/>
      <c r="S116" s="768"/>
      <c r="T116" s="768"/>
      <c r="U116" s="768"/>
      <c r="V116" s="768"/>
      <c r="W116" s="768"/>
      <c r="X116" s="768"/>
      <c r="Y116" s="768"/>
      <c r="Z116" s="768"/>
      <c r="AA116" s="768"/>
    </row>
    <row r="117" ht="30.0" customHeight="1">
      <c r="A117" s="768">
        <f t="array" ref="A117">XLOOKUP(C117,'High School Players'!D:D,'High School Players'!K:K,"NO",0,1)</f>
        <v>2</v>
      </c>
      <c r="B117" s="975">
        <f>IFERROR(__xludf.DUMMYFUNCTION("""COMPUTED_VALUE"""),45823.35405998843)</f>
        <v>45823.35406</v>
      </c>
      <c r="C117" s="768" t="str">
        <f>IFERROR(__xludf.DUMMYFUNCTION("""COMPUTED_VALUE"""),"Ty Gray")</f>
        <v>Ty Gray</v>
      </c>
      <c r="D117" s="768" t="str">
        <f>IFERROR(__xludf.DUMMYFUNCTION("""COMPUTED_VALUE"""),"tyagray27@icloud.com")</f>
        <v>tyagray27@icloud.com</v>
      </c>
      <c r="E117" s="768" t="str">
        <f>IFERROR(__xludf.DUMMYFUNCTION("""COMPUTED_VALUE"""),"6’3/176lbs ")</f>
        <v>6’3/176lbs </v>
      </c>
      <c r="F117" s="768" t="str">
        <f>IFERROR(__xludf.DUMMYFUNCTION("""COMPUTED_VALUE"""),"SS")</f>
        <v>SS</v>
      </c>
      <c r="G117" s="768" t="str">
        <f>IFERROR(__xludf.DUMMYFUNCTION("""COMPUTED_VALUE"""),"AVG. 460 / 32 Hits / 20 RBI’s ")</f>
        <v>AVG. 460 / 32 Hits / 20 RBI’s </v>
      </c>
      <c r="H117" s="768" t="str">
        <f>IFERROR(__xludf.DUMMYFUNCTION("""COMPUTED_VALUE"""),"3.3 / 3.7 ")</f>
        <v>3.3 / 3.7 </v>
      </c>
      <c r="I117" s="768" t="str">
        <f>IFERROR(__xludf.DUMMYFUNCTION("""COMPUTED_VALUE"""),"No scores yet taking this summer ")</f>
        <v>No scores yet taking this summer </v>
      </c>
      <c r="J117" s="768" t="str">
        <f>IFERROR(__xludf.DUMMYFUNCTION("""COMPUTED_VALUE"""),"No Injury’s ")</f>
        <v>No Injury’s </v>
      </c>
      <c r="K117" s="768" t="str">
        <f>IFERROR(__xludf.DUMMYFUNCTION("""COMPUTED_VALUE"""),"None ")</f>
        <v>None </v>
      </c>
      <c r="L117" s="768" t="str">
        <f>IFERROR(__xludf.DUMMYFUNCTION("""COMPUTED_VALUE"""),"None ")</f>
        <v>None </v>
      </c>
      <c r="M117" s="768" t="str">
        <f>IFERROR(__xludf.DUMMYFUNCTION("""COMPUTED_VALUE"""),"None ")</f>
        <v>None </v>
      </c>
      <c r="N117" s="768"/>
      <c r="O117" s="768"/>
      <c r="P117" s="768"/>
      <c r="Q117" s="768"/>
      <c r="R117" s="768"/>
      <c r="S117" s="768"/>
      <c r="T117" s="768"/>
      <c r="U117" s="768"/>
      <c r="V117" s="768"/>
      <c r="W117" s="768"/>
      <c r="X117" s="768"/>
      <c r="Y117" s="768"/>
      <c r="Z117" s="768"/>
      <c r="AA117" s="768"/>
    </row>
    <row r="118" ht="30.0" customHeight="1">
      <c r="A118" s="768">
        <f t="array" ref="A118">XLOOKUP(C118,'High School Players'!D:D,'High School Players'!K:K,"NO",0,1)</f>
        <v>3</v>
      </c>
      <c r="B118" s="975">
        <f>IFERROR(__xludf.DUMMYFUNCTION("""COMPUTED_VALUE"""),45823.42769311342)</f>
        <v>45823.42769</v>
      </c>
      <c r="C118" s="768" t="str">
        <f>IFERROR(__xludf.DUMMYFUNCTION("""COMPUTED_VALUE"""),"Reid Dadic")</f>
        <v>Reid Dadic</v>
      </c>
      <c r="D118" s="768" t="str">
        <f>IFERROR(__xludf.DUMMYFUNCTION("""COMPUTED_VALUE"""),"rwdadic@gmail.com")</f>
        <v>rwdadic@gmail.com</v>
      </c>
      <c r="E118" s="768" t="str">
        <f>IFERROR(__xludf.DUMMYFUNCTION("""COMPUTED_VALUE"""),"6’2 195")</f>
        <v>6’2 195</v>
      </c>
      <c r="F118" s="768" t="str">
        <f>IFERROR(__xludf.DUMMYFUNCTION("""COMPUTED_VALUE"""),"OF/RHP")</f>
        <v>OF/RHP</v>
      </c>
      <c r="G118" s="768" t="str">
        <f>IFERROR(__xludf.DUMMYFUNCTION("""COMPUTED_VALUE"""),"High School: Hitting: AVG:.220 OBP:400 OPS:.815 SLG:415 K:11 BB:8 Pitching: IP:35.1 ERA:3.36 WHIP:1.075 K:34 BB:4 Strike%:69% Summer as of 6/15: Hitting: AVG:.391 OBP:.588 OPS:1.066 SLG:.478 K:1 BB:10 Pitching: IP:3.2 ERA:0.00 WHIP:.818 K:5 BB:1 Strike%:6"&amp;"9%")</f>
        <v>High School: Hitting: AVG:.220 OBP:400 OPS:.815 SLG:415 K:11 BB:8 Pitching: IP:35.1 ERA:3.36 WHIP:1.075 K:34 BB:4 Strike%:69% Summer as of 6/15: Hitting: AVG:.391 OBP:.588 OPS:1.066 SLG:.478 K:1 BB:10 Pitching: IP:3.2 ERA:0.00 WHIP:.818 K:5 BB:1 Strike%:69%</v>
      </c>
      <c r="H118" s="768" t="str">
        <f>IFERROR(__xludf.DUMMYFUNCTION("""COMPUTED_VALUE"""),"Unweighted: 3.5 Weighted: 4.38")</f>
        <v>Unweighted: 3.5 Weighted: 4.38</v>
      </c>
      <c r="I118" s="768" t="str">
        <f>IFERROR(__xludf.DUMMYFUNCTION("""COMPUTED_VALUE"""),"SAT:1100")</f>
        <v>SAT:1100</v>
      </c>
      <c r="J118" s="768" t="str">
        <f>IFERROR(__xludf.DUMMYFUNCTION("""COMPUTED_VALUE"""),"N/A")</f>
        <v>N/A</v>
      </c>
      <c r="K118" s="768" t="str">
        <f>IFERROR(__xludf.DUMMYFUNCTION("""COMPUTED_VALUE"""),"N/A")</f>
        <v>N/A</v>
      </c>
      <c r="L118" s="768" t="str">
        <f>IFERROR(__xludf.DUMMYFUNCTION("""COMPUTED_VALUE"""),"N/A")</f>
        <v>N/A</v>
      </c>
      <c r="M118" s="768" t="str">
        <f>IFERROR(__xludf.DUMMYFUNCTION("""COMPUTED_VALUE"""),"N/A")</f>
        <v>N/A</v>
      </c>
      <c r="N118" s="768"/>
      <c r="O118" s="768"/>
      <c r="P118" s="768"/>
      <c r="Q118" s="768"/>
      <c r="R118" s="768"/>
      <c r="S118" s="768"/>
      <c r="T118" s="768"/>
      <c r="U118" s="768"/>
      <c r="V118" s="768"/>
      <c r="W118" s="768"/>
      <c r="X118" s="768"/>
      <c r="Y118" s="768"/>
      <c r="Z118" s="768"/>
      <c r="AA118" s="768"/>
    </row>
    <row r="119" ht="30.0" customHeight="1">
      <c r="A119" s="768" t="str">
        <f t="array" ref="A119">XLOOKUP(C119,'High School Players'!D:D,'High School Players'!K:K,"NO",0,1)</f>
        <v>XX</v>
      </c>
      <c r="B119" s="975">
        <f>IFERROR(__xludf.DUMMYFUNCTION("""COMPUTED_VALUE"""),45823.52769008101)</f>
        <v>45823.52769</v>
      </c>
      <c r="C119" s="768" t="str">
        <f>IFERROR(__xludf.DUMMYFUNCTION("""COMPUTED_VALUE"""),"Dion Wilburn")</f>
        <v>Dion Wilburn</v>
      </c>
      <c r="D119" s="768" t="str">
        <f>IFERROR(__xludf.DUMMYFUNCTION("""COMPUTED_VALUE"""),"dionwilburn11@outlook.com")</f>
        <v>dionwilburn11@outlook.com</v>
      </c>
      <c r="E119" s="768" t="str">
        <f>IFERROR(__xludf.DUMMYFUNCTION("""COMPUTED_VALUE"""),"6’6 / 195lbs")</f>
        <v>6’6 / 195lbs</v>
      </c>
      <c r="F119" s="768" t="str">
        <f>IFERROR(__xludf.DUMMYFUNCTION("""COMPUTED_VALUE"""),"Pitcher , outfield ")</f>
        <v>Pitcher , outfield </v>
      </c>
      <c r="G119" s="768" t="str">
        <f>IFERROR(__xludf.DUMMYFUNCTION("""COMPUTED_VALUE"""),"2.36 ERA , 4-0 W-L , 53K’s , 35.2 Innings")</f>
        <v>2.36 ERA , 4-0 W-L , 53K’s , 35.2 Innings</v>
      </c>
      <c r="H119" s="768" t="str">
        <f>IFERROR(__xludf.DUMMYFUNCTION("""COMPUTED_VALUE"""),"3.930 / 4.826")</f>
        <v>3.930 / 4.826</v>
      </c>
      <c r="I119" s="768" t="str">
        <f>IFERROR(__xludf.DUMMYFUNCTION("""COMPUTED_VALUE"""),"SAT - 1210")</f>
        <v>SAT - 1210</v>
      </c>
      <c r="J119" s="768"/>
      <c r="K119" s="768"/>
      <c r="L119" s="768"/>
      <c r="M119" s="768" t="str">
        <f>IFERROR(__xludf.DUMMYFUNCTION("""COMPUTED_VALUE"""),"Extra time on test")</f>
        <v>Extra time on test</v>
      </c>
      <c r="N119" s="768"/>
      <c r="O119" s="768"/>
      <c r="P119" s="768"/>
      <c r="Q119" s="768"/>
      <c r="R119" s="768"/>
      <c r="S119" s="768"/>
      <c r="T119" s="768"/>
      <c r="U119" s="768"/>
      <c r="V119" s="768"/>
      <c r="W119" s="768"/>
      <c r="X119" s="768"/>
      <c r="Y119" s="768"/>
      <c r="Z119" s="768"/>
      <c r="AA119" s="768"/>
    </row>
    <row r="120" ht="30.0" customHeight="1">
      <c r="A120" s="768" t="str">
        <f t="array" ref="A120">XLOOKUP(C120,'High School Players'!D:D,'High School Players'!K:K,"NO",0,1)</f>
        <v>NO</v>
      </c>
      <c r="B120" s="975">
        <f>IFERROR(__xludf.DUMMYFUNCTION("""COMPUTED_VALUE"""),45827.529151215276)</f>
        <v>45827.52915</v>
      </c>
      <c r="C120" s="768" t="str">
        <f>IFERROR(__xludf.DUMMYFUNCTION("""COMPUTED_VALUE"""),"Peyton Trummell")</f>
        <v>Peyton Trummell</v>
      </c>
      <c r="D120" s="768" t="str">
        <f>IFERROR(__xludf.DUMMYFUNCTION("""COMPUTED_VALUE"""),"12345.peyton321@gmail.com")</f>
        <v>12345.peyton321@gmail.com</v>
      </c>
      <c r="E120" s="768" t="str">
        <f>IFERROR(__xludf.DUMMYFUNCTION("""COMPUTED_VALUE"""),"5’10/200LB")</f>
        <v>5’10/200LB</v>
      </c>
      <c r="F120" s="768" t="str">
        <f>IFERROR(__xludf.DUMMYFUNCTION("""COMPUTED_VALUE"""),"OF")</f>
        <v>OF</v>
      </c>
      <c r="G120" s="768" t="str">
        <f>IFERROR(__xludf.DUMMYFUNCTION("""COMPUTED_VALUE"""),".343 Full Season Average - .429 District Average - Team MVP")</f>
        <v>.343 Full Season Average - .429 District Average - Team MVP</v>
      </c>
      <c r="H120" s="768">
        <f>IFERROR(__xludf.DUMMYFUNCTION("""COMPUTED_VALUE"""),3.45)</f>
        <v>3.45</v>
      </c>
      <c r="I120" s="768" t="str">
        <f>IFERROR(__xludf.DUMMYFUNCTION("""COMPUTED_VALUE"""),"1070 SAT")</f>
        <v>1070 SAT</v>
      </c>
      <c r="J120" s="768" t="str">
        <f>IFERROR(__xludf.DUMMYFUNCTION("""COMPUTED_VALUE"""),"None")</f>
        <v>None</v>
      </c>
      <c r="K120" s="768" t="str">
        <f>IFERROR(__xludf.DUMMYFUNCTION("""COMPUTED_VALUE"""),"None ")</f>
        <v>None </v>
      </c>
      <c r="L120" s="768" t="str">
        <f>IFERROR(__xludf.DUMMYFUNCTION("""COMPUTED_VALUE"""),"None ")</f>
        <v>None </v>
      </c>
      <c r="M120" s="768" t="str">
        <f>IFERROR(__xludf.DUMMYFUNCTION("""COMPUTED_VALUE"""),"None")</f>
        <v>None</v>
      </c>
      <c r="N120" s="768"/>
      <c r="O120" s="768"/>
      <c r="P120" s="768"/>
      <c r="Q120" s="768"/>
      <c r="R120" s="768"/>
      <c r="S120" s="768"/>
      <c r="T120" s="768"/>
      <c r="U120" s="768"/>
      <c r="V120" s="768"/>
      <c r="W120" s="768"/>
      <c r="X120" s="768"/>
      <c r="Y120" s="768"/>
      <c r="Z120" s="768"/>
      <c r="AA120" s="768"/>
    </row>
    <row r="121" ht="30.0" customHeight="1">
      <c r="A121" s="768" t="str">
        <f t="array" ref="A121">XLOOKUP(C121,'High School Players'!D:D,'High School Players'!K:K,"NO",0,1)</f>
        <v>XX</v>
      </c>
      <c r="B121" s="975">
        <f>IFERROR(__xludf.DUMMYFUNCTION("""COMPUTED_VALUE"""),45827.73471103009)</f>
        <v>45827.73471</v>
      </c>
      <c r="C121" s="768" t="str">
        <f>IFERROR(__xludf.DUMMYFUNCTION("""COMPUTED_VALUE"""),"Henry Verhamme")</f>
        <v>Henry Verhamme</v>
      </c>
      <c r="D121" s="768" t="str">
        <f>IFERROR(__xludf.DUMMYFUNCTION("""COMPUTED_VALUE"""),"ahverhamme@gmail.com")</f>
        <v>ahverhamme@gmail.com</v>
      </c>
      <c r="E121" s="768" t="str">
        <f>IFERROR(__xludf.DUMMYFUNCTION("""COMPUTED_VALUE"""),"5' 10' 185")</f>
        <v>5' 10' 185</v>
      </c>
      <c r="F121" s="768" t="str">
        <f>IFERROR(__xludf.DUMMYFUNCTION("""COMPUTED_VALUE"""),"SS, 3B, RHP")</f>
        <v>SS, 3B, RHP</v>
      </c>
      <c r="G121" s="768" t="str">
        <f>IFERROR(__xludf.DUMMYFUNCTION("""COMPUTED_VALUE"""),"HS .380/.479/.532, 30 hits, 39 runs scored in 25 games.  8 BB/7SO.  SS fielding percentage .979. 5.2 innings pitched 0.00 ERA")</f>
        <v>HS .380/.479/.532, 30 hits, 39 runs scored in 25 games.  8 BB/7SO.  SS fielding percentage .979. 5.2 innings pitched 0.00 ERA</v>
      </c>
      <c r="H121" s="768">
        <f>IFERROR(__xludf.DUMMYFUNCTION("""COMPUTED_VALUE"""),3.65)</f>
        <v>3.65</v>
      </c>
      <c r="I121" s="768" t="str">
        <f>IFERROR(__xludf.DUMMYFUNCTION("""COMPUTED_VALUE"""),"N/A")</f>
        <v>N/A</v>
      </c>
      <c r="J121" s="768" t="str">
        <f>IFERROR(__xludf.DUMMYFUNCTION("""COMPUTED_VALUE"""),"N/A")</f>
        <v>N/A</v>
      </c>
      <c r="K121" s="768" t="str">
        <f>IFERROR(__xludf.DUMMYFUNCTION("""COMPUTED_VALUE"""),"N/A")</f>
        <v>N/A</v>
      </c>
      <c r="L121" s="768" t="str">
        <f>IFERROR(__xludf.DUMMYFUNCTION("""COMPUTED_VALUE"""),"N/A")</f>
        <v>N/A</v>
      </c>
      <c r="M121" s="768" t="str">
        <f>IFERROR(__xludf.DUMMYFUNCTION("""COMPUTED_VALUE"""),"Will take ACT or SAT if needed.")</f>
        <v>Will take ACT or SAT if needed.</v>
      </c>
      <c r="N121" s="768"/>
      <c r="O121" s="768"/>
      <c r="P121" s="768"/>
      <c r="Q121" s="768"/>
      <c r="R121" s="768"/>
      <c r="S121" s="768"/>
      <c r="T121" s="768"/>
      <c r="U121" s="768"/>
      <c r="V121" s="768"/>
      <c r="W121" s="768"/>
      <c r="X121" s="768"/>
      <c r="Y121" s="768"/>
      <c r="Z121" s="768"/>
      <c r="AA121" s="768"/>
    </row>
    <row r="122" ht="30.0" customHeight="1">
      <c r="A122" s="768" t="str">
        <f t="array" ref="A122">XLOOKUP(C122,'High School Players'!D:D,'High School Players'!K:K,"NO",0,1)</f>
        <v>XX</v>
      </c>
      <c r="B122" s="975">
        <f>IFERROR(__xludf.DUMMYFUNCTION("""COMPUTED_VALUE"""),45827.89776230324)</f>
        <v>45827.89776</v>
      </c>
      <c r="C122" s="768" t="str">
        <f>IFERROR(__xludf.DUMMYFUNCTION("""COMPUTED_VALUE"""),"Miles Keogh")</f>
        <v>Miles Keogh</v>
      </c>
      <c r="D122" s="768" t="str">
        <f>IFERROR(__xludf.DUMMYFUNCTION("""COMPUTED_VALUE"""),"mileskeogh0@gmail.com")</f>
        <v>mileskeogh0@gmail.com</v>
      </c>
      <c r="E122" s="768" t="str">
        <f>IFERROR(__xludf.DUMMYFUNCTION("""COMPUTED_VALUE"""),"5”11 180")</f>
        <v>5”11 180</v>
      </c>
      <c r="F122" s="768" t="str">
        <f>IFERROR(__xludf.DUMMYFUNCTION("""COMPUTED_VALUE"""),"SS,2B,CF")</f>
        <v>SS,2B,CF</v>
      </c>
      <c r="G122" s="768" t="str">
        <f>IFERROR(__xludf.DUMMYFUNCTION("""COMPUTED_VALUE"""),".505 50 H 23 1B 14 2B 5 3B 8 HR 48 RBI 60 R 17 BB 13 SO 35 SB")</f>
        <v>.505 50 H 23 1B 14 2B 5 3B 8 HR 48 RBI 60 R 17 BB 13 SO 35 SB</v>
      </c>
      <c r="H122" s="768" t="str">
        <f>IFERROR(__xludf.DUMMYFUNCTION("""COMPUTED_VALUE"""),"4.0/4.53")</f>
        <v>4.0/4.53</v>
      </c>
      <c r="I122" s="768" t="str">
        <f>IFERROR(__xludf.DUMMYFUNCTION("""COMPUTED_VALUE"""),"21 ACT")</f>
        <v>21 ACT</v>
      </c>
      <c r="J122" s="768" t="str">
        <f>IFERROR(__xludf.DUMMYFUNCTION("""COMPUTED_VALUE"""),"UCL surgery (thumb) hamate surgery (left hand) ")</f>
        <v>UCL surgery (thumb) hamate surgery (left hand) </v>
      </c>
      <c r="K122" s="768" t="str">
        <f>IFERROR(__xludf.DUMMYFUNCTION("""COMPUTED_VALUE"""),"n/a")</f>
        <v>n/a</v>
      </c>
      <c r="L122" s="768" t="str">
        <f>IFERROR(__xludf.DUMMYFUNCTION("""COMPUTED_VALUE"""),"n/a")</f>
        <v>n/a</v>
      </c>
      <c r="M122" s="768" t="str">
        <f>IFERROR(__xludf.DUMMYFUNCTION("""COMPUTED_VALUE"""),"n/a")</f>
        <v>n/a</v>
      </c>
      <c r="N122" s="768"/>
      <c r="O122" s="768"/>
      <c r="P122" s="768"/>
      <c r="Q122" s="768"/>
      <c r="R122" s="768"/>
      <c r="S122" s="768"/>
      <c r="T122" s="768"/>
      <c r="U122" s="768"/>
      <c r="V122" s="768"/>
      <c r="W122" s="768"/>
      <c r="X122" s="768"/>
      <c r="Y122" s="768"/>
      <c r="Z122" s="768"/>
      <c r="AA122" s="768"/>
    </row>
    <row r="123" ht="30.0" customHeight="1">
      <c r="A123" s="768" t="str">
        <f t="array" ref="A123">XLOOKUP(C123,'High School Players'!D:D,'High School Players'!K:K,"NO",0,1)</f>
        <v>XX</v>
      </c>
      <c r="B123" s="975">
        <f>IFERROR(__xludf.DUMMYFUNCTION("""COMPUTED_VALUE"""),45828.66126314815)</f>
        <v>45828.66126</v>
      </c>
      <c r="C123" s="768" t="str">
        <f>IFERROR(__xludf.DUMMYFUNCTION("""COMPUTED_VALUE"""),"Braydon Bown")</f>
        <v>Braydon Bown</v>
      </c>
      <c r="D123" s="768" t="str">
        <f>IFERROR(__xludf.DUMMYFUNCTION("""COMPUTED_VALUE"""),"braydonbown@icloud.com")</f>
        <v>braydonbown@icloud.com</v>
      </c>
      <c r="E123" s="768" t="str">
        <f>IFERROR(__xludf.DUMMYFUNCTION("""COMPUTED_VALUE"""),"6’2” 188")</f>
        <v>6’2” 188</v>
      </c>
      <c r="F123" s="768" t="str">
        <f>IFERROR(__xludf.DUMMYFUNCTION("""COMPUTED_VALUE"""),"RHP")</f>
        <v>RHP</v>
      </c>
      <c r="G123" s="768" t="str">
        <f>IFERROR(__xludf.DUMMYFUNCTION("""COMPUTED_VALUE"""),"HS: 49 innings 8-0 record 20 walks 80 Ks 2.00 ERA First team all keystone and second team all state ")</f>
        <v>HS: 49 innings 8-0 record 20 walks 80 Ks 2.00 ERA First team all keystone and second team all state </v>
      </c>
      <c r="H123" s="768">
        <f>IFERROR(__xludf.DUMMYFUNCTION("""COMPUTED_VALUE"""),3.484)</f>
        <v>3.484</v>
      </c>
      <c r="I123" s="768" t="str">
        <f>IFERROR(__xludf.DUMMYFUNCTION("""COMPUTED_VALUE"""),"Not taken yet")</f>
        <v>Not taken yet</v>
      </c>
      <c r="J123" s="768" t="str">
        <f>IFERROR(__xludf.DUMMYFUNCTION("""COMPUTED_VALUE"""),"Adenoids removed ")</f>
        <v>Adenoids removed </v>
      </c>
      <c r="K123" s="768" t="str">
        <f>IFERROR(__xludf.DUMMYFUNCTION("""COMPUTED_VALUE"""),"No")</f>
        <v>No</v>
      </c>
      <c r="L123" s="768" t="str">
        <f>IFERROR(__xludf.DUMMYFUNCTION("""COMPUTED_VALUE"""),"No")</f>
        <v>No</v>
      </c>
      <c r="M123" s="768" t="str">
        <f>IFERROR(__xludf.DUMMYFUNCTION("""COMPUTED_VALUE"""),"No")</f>
        <v>No</v>
      </c>
      <c r="N123" s="768"/>
      <c r="O123" s="768"/>
      <c r="P123" s="768"/>
      <c r="Q123" s="768"/>
      <c r="R123" s="768"/>
      <c r="S123" s="768"/>
      <c r="T123" s="768"/>
      <c r="U123" s="768"/>
      <c r="V123" s="768"/>
      <c r="W123" s="768"/>
      <c r="X123" s="768"/>
      <c r="Y123" s="768"/>
      <c r="Z123" s="768"/>
      <c r="AA123" s="768"/>
    </row>
    <row r="124" ht="30.0" customHeight="1">
      <c r="A124" s="768" t="str">
        <f t="array" ref="A124">XLOOKUP(C124,'High School Players'!D:D,'High School Players'!K:K,"NO",0,1)</f>
        <v>XX</v>
      </c>
      <c r="B124" s="975">
        <f>IFERROR(__xludf.DUMMYFUNCTION("""COMPUTED_VALUE"""),45828.99469771991)</f>
        <v>45828.9947</v>
      </c>
      <c r="C124" s="768" t="str">
        <f>IFERROR(__xludf.DUMMYFUNCTION("""COMPUTED_VALUE"""),"Vaughan Steinert")</f>
        <v>Vaughan Steinert</v>
      </c>
      <c r="D124" s="768" t="str">
        <f>IFERROR(__xludf.DUMMYFUNCTION("""COMPUTED_VALUE"""),"lirebels.97@gmail.com")</f>
        <v>lirebels.97@gmail.com</v>
      </c>
      <c r="E124" s="768" t="str">
        <f>IFERROR(__xludf.DUMMYFUNCTION("""COMPUTED_VALUE"""),"6’0 178")</f>
        <v>6’0 178</v>
      </c>
      <c r="F124" s="768" t="str">
        <f>IFERROR(__xludf.DUMMYFUNCTION("""COMPUTED_VALUE"""),"CF, SS")</f>
        <v>CF, SS</v>
      </c>
      <c r="G124" s="768" t="str">
        <f>IFERROR(__xludf.DUMMYFUNCTION("""COMPUTED_VALUE"""),"N/A")</f>
        <v>N/A</v>
      </c>
      <c r="H124" s="768" t="str">
        <f>IFERROR(__xludf.DUMMYFUNCTION("""COMPUTED_VALUE"""),"84-85 range")</f>
        <v>84-85 range</v>
      </c>
      <c r="I124" s="768" t="str">
        <f>IFERROR(__xludf.DUMMYFUNCTION("""COMPUTED_VALUE"""),"SAT: 1120")</f>
        <v>SAT: 1120</v>
      </c>
      <c r="J124" s="768" t="str">
        <f>IFERROR(__xludf.DUMMYFUNCTION("""COMPUTED_VALUE"""),"Broken Ankle, Sprained Ankle 2x, Broken Wrist (All from Hockey)")</f>
        <v>Broken Ankle, Sprained Ankle 2x, Broken Wrist (All from Hockey)</v>
      </c>
      <c r="K124" s="768" t="str">
        <f>IFERROR(__xludf.DUMMYFUNCTION("""COMPUTED_VALUE"""),"Tree Nuts")</f>
        <v>Tree Nuts</v>
      </c>
      <c r="L124" s="768" t="str">
        <f>IFERROR(__xludf.DUMMYFUNCTION("""COMPUTED_VALUE"""),"No")</f>
        <v>No</v>
      </c>
      <c r="M124" s="768" t="str">
        <f>IFERROR(__xludf.DUMMYFUNCTION("""COMPUTED_VALUE"""),"No")</f>
        <v>No</v>
      </c>
      <c r="N124" s="768"/>
      <c r="O124" s="768"/>
      <c r="P124" s="768"/>
      <c r="Q124" s="768"/>
      <c r="R124" s="768"/>
      <c r="S124" s="768"/>
      <c r="T124" s="768"/>
      <c r="U124" s="768"/>
      <c r="V124" s="768"/>
      <c r="W124" s="768"/>
      <c r="X124" s="768"/>
      <c r="Y124" s="768"/>
      <c r="Z124" s="768"/>
      <c r="AA124" s="768"/>
    </row>
    <row r="125" ht="30.0" customHeight="1">
      <c r="A125" s="768" t="str">
        <f t="array" ref="A125">XLOOKUP(C125,'High School Players'!D:D,'High School Players'!K:K,"NO",0,1)</f>
        <v>XX</v>
      </c>
      <c r="B125" s="975">
        <f>IFERROR(__xludf.DUMMYFUNCTION("""COMPUTED_VALUE"""),45830.55360461806)</f>
        <v>45830.5536</v>
      </c>
      <c r="C125" s="768" t="str">
        <f>IFERROR(__xludf.DUMMYFUNCTION("""COMPUTED_VALUE"""),"Oliver Swartz")</f>
        <v>Oliver Swartz</v>
      </c>
      <c r="D125" s="768" t="str">
        <f>IFERROR(__xludf.DUMMYFUNCTION("""COMPUTED_VALUE"""),"oliverswartz26@gmail.com")</f>
        <v>oliverswartz26@gmail.com</v>
      </c>
      <c r="E125" s="768" t="str">
        <f>IFERROR(__xludf.DUMMYFUNCTION("""COMPUTED_VALUE"""),"5’11 183")</f>
        <v>5’11 183</v>
      </c>
      <c r="F125" s="768" t="str">
        <f>IFERROR(__xludf.DUMMYFUNCTION("""COMPUTED_VALUE"""),"LHP")</f>
        <v>LHP</v>
      </c>
      <c r="G125" s="768" t="str">
        <f>IFERROR(__xludf.DUMMYFUNCTION("""COMPUTED_VALUE"""),"HS- 18in/41K 60% Strikes | Summer ball stats: 7in | 9K | 2H | 0ER ")</f>
        <v>HS- 18in/41K 60% Strikes | Summer ball stats: 7in | 9K | 2H | 0ER </v>
      </c>
      <c r="H125" s="768" t="str">
        <f>IFERROR(__xludf.DUMMYFUNCTION("""COMPUTED_VALUE"""),"3.9/4.0")</f>
        <v>3.9/4.0</v>
      </c>
      <c r="I125" s="768" t="str">
        <f>IFERROR(__xludf.DUMMYFUNCTION("""COMPUTED_VALUE"""),"ACT: 30")</f>
        <v>ACT: 30</v>
      </c>
      <c r="J125" s="768" t="str">
        <f>IFERROR(__xludf.DUMMYFUNCTION("""COMPUTED_VALUE"""),"Hernia Surgery @ 10yr old")</f>
        <v>Hernia Surgery @ 10yr old</v>
      </c>
      <c r="K125" s="768" t="str">
        <f>IFERROR(__xludf.DUMMYFUNCTION("""COMPUTED_VALUE"""),"None")</f>
        <v>None</v>
      </c>
      <c r="L125" s="768" t="str">
        <f>IFERROR(__xludf.DUMMYFUNCTION("""COMPUTED_VALUE"""),"None")</f>
        <v>None</v>
      </c>
      <c r="M125" s="768" t="str">
        <f>IFERROR(__xludf.DUMMYFUNCTION("""COMPUTED_VALUE"""),"Nope")</f>
        <v>Nope</v>
      </c>
      <c r="N125" s="768"/>
      <c r="O125" s="768"/>
      <c r="P125" s="768"/>
      <c r="Q125" s="768"/>
      <c r="R125" s="768"/>
      <c r="S125" s="768"/>
      <c r="T125" s="768"/>
      <c r="U125" s="768"/>
      <c r="V125" s="768"/>
      <c r="W125" s="768"/>
      <c r="X125" s="768"/>
      <c r="Y125" s="768"/>
      <c r="Z125" s="768"/>
      <c r="AA125" s="768"/>
    </row>
    <row r="126" ht="30.0" customHeight="1">
      <c r="A126" s="768" t="str">
        <f t="array" ref="A126">XLOOKUP(C126,'High School Players'!D:D,'High School Players'!K:K,"NO",0,1)</f>
        <v>XX</v>
      </c>
      <c r="B126" s="975">
        <f>IFERROR(__xludf.DUMMYFUNCTION("""COMPUTED_VALUE"""),45830.762057175925)</f>
        <v>45830.76206</v>
      </c>
      <c r="C126" s="768" t="str">
        <f>IFERROR(__xludf.DUMMYFUNCTION("""COMPUTED_VALUE"""),"Carson Binder")</f>
        <v>Carson Binder</v>
      </c>
      <c r="D126" s="768" t="str">
        <f>IFERROR(__xludf.DUMMYFUNCTION("""COMPUTED_VALUE"""),"carsondbinder27@gmail.com")</f>
        <v>carsondbinder27@gmail.com</v>
      </c>
      <c r="E126" s="768" t="str">
        <f>IFERROR(__xludf.DUMMYFUNCTION("""COMPUTED_VALUE"""),"6’1 185 ")</f>
        <v>6’1 185 </v>
      </c>
      <c r="F126" s="768" t="str">
        <f>IFERROR(__xludf.DUMMYFUNCTION("""COMPUTED_VALUE"""),"Catcher ")</f>
        <v>Catcher </v>
      </c>
      <c r="G126" s="768" t="str">
        <f>IFERROR(__xludf.DUMMYFUNCTION("""COMPUTED_VALUE"""),"Defense player of the year for Berkeley Prep High School stats: 0.367 AVG 40 hits 25 Runs 0.450 OBP")</f>
        <v>Defense player of the year for Berkeley Prep High School stats: 0.367 AVG 40 hits 25 Runs 0.450 OBP</v>
      </c>
      <c r="H126" s="768" t="str">
        <f>IFERROR(__xludf.DUMMYFUNCTION("""COMPUTED_VALUE"""),"3.6/ 4.0 ")</f>
        <v>3.6/ 4.0 </v>
      </c>
      <c r="I126" s="768" t="str">
        <f>IFERROR(__xludf.DUMMYFUNCTION("""COMPUTED_VALUE"""),"SAT 1070 only took it once ")</f>
        <v>SAT 1070 only took it once </v>
      </c>
      <c r="J126" s="768" t="str">
        <f>IFERROR(__xludf.DUMMYFUNCTION("""COMPUTED_VALUE"""),"No surgery. fractured ankle twice. Broken Nose.")</f>
        <v>No surgery. fractured ankle twice. Broken Nose.</v>
      </c>
      <c r="K126" s="768" t="str">
        <f>IFERROR(__xludf.DUMMYFUNCTION("""COMPUTED_VALUE"""),"No")</f>
        <v>No</v>
      </c>
      <c r="L126" s="768" t="str">
        <f>IFERROR(__xludf.DUMMYFUNCTION("""COMPUTED_VALUE"""),"No")</f>
        <v>No</v>
      </c>
      <c r="M126" s="768" t="str">
        <f>IFERROR(__xludf.DUMMYFUNCTION("""COMPUTED_VALUE"""),"No")</f>
        <v>No</v>
      </c>
      <c r="N126" s="768"/>
      <c r="O126" s="768"/>
      <c r="P126" s="768"/>
      <c r="Q126" s="768"/>
      <c r="R126" s="768"/>
      <c r="S126" s="768"/>
      <c r="T126" s="768"/>
      <c r="U126" s="768"/>
      <c r="V126" s="768"/>
      <c r="W126" s="768"/>
      <c r="X126" s="768"/>
      <c r="Y126" s="768"/>
      <c r="Z126" s="768"/>
      <c r="AA126" s="768"/>
    </row>
    <row r="127" ht="30.0" customHeight="1">
      <c r="A127" s="768" t="str">
        <f t="array" ref="A127">XLOOKUP(C127,'High School Players'!D:D,'High School Players'!K:K,"NO",0,1)</f>
        <v>XX</v>
      </c>
      <c r="B127" s="975">
        <f>IFERROR(__xludf.DUMMYFUNCTION("""COMPUTED_VALUE"""),45831.34056515046)</f>
        <v>45831.34057</v>
      </c>
      <c r="C127" s="768" t="str">
        <f>IFERROR(__xludf.DUMMYFUNCTION("""COMPUTED_VALUE"""),"Walker Hudson")</f>
        <v>Walker Hudson</v>
      </c>
      <c r="D127" s="768" t="str">
        <f>IFERROR(__xludf.DUMMYFUNCTION("""COMPUTED_VALUE"""),"walkerdhudson@icloud.com")</f>
        <v>walkerdhudson@icloud.com</v>
      </c>
      <c r="E127" s="768" t="str">
        <f>IFERROR(__xludf.DUMMYFUNCTION("""COMPUTED_VALUE"""),"6’1, 215lbs")</f>
        <v>6’1, 215lbs</v>
      </c>
      <c r="F127" s="768" t="str">
        <f>IFERROR(__xludf.DUMMYFUNCTION("""COMPUTED_VALUE"""),"Catcher ")</f>
        <v>Catcher </v>
      </c>
      <c r="G127" s="768" t="str">
        <f>IFERROR(__xludf.DUMMYFUNCTION("""COMPUTED_VALUE"""),".511 AVG.  .607 OBP.  1.367 OPS.  .761 SLG. 47 H.  13 2B.  2 3B. 2 HR.  29 RBI.  24 BB ")</f>
        <v>.511 AVG.  .607 OBP.  1.367 OPS.  .761 SLG. 47 H.  13 2B.  2 3B. 2 HR.  29 RBI.  24 BB </v>
      </c>
      <c r="H127" s="768">
        <f>IFERROR(__xludf.DUMMYFUNCTION("""COMPUTED_VALUE"""),4.0)</f>
        <v>4</v>
      </c>
      <c r="I127" s="768" t="str">
        <f>IFERROR(__xludf.DUMMYFUNCTION("""COMPUTED_VALUE"""),"Will take soon")</f>
        <v>Will take soon</v>
      </c>
      <c r="J127" s="768" t="str">
        <f>IFERROR(__xludf.DUMMYFUNCTION("""COMPUTED_VALUE"""),"None")</f>
        <v>None</v>
      </c>
      <c r="K127" s="768" t="str">
        <f>IFERROR(__xludf.DUMMYFUNCTION("""COMPUTED_VALUE"""),"None")</f>
        <v>None</v>
      </c>
      <c r="L127" s="768" t="str">
        <f>IFERROR(__xludf.DUMMYFUNCTION("""COMPUTED_VALUE"""),"None")</f>
        <v>None</v>
      </c>
      <c r="M127" s="768" t="str">
        <f>IFERROR(__xludf.DUMMYFUNCTION("""COMPUTED_VALUE"""),"None")</f>
        <v>None</v>
      </c>
      <c r="N127" s="768"/>
      <c r="O127" s="768"/>
      <c r="P127" s="768"/>
      <c r="Q127" s="768"/>
      <c r="R127" s="768"/>
      <c r="S127" s="768"/>
      <c r="T127" s="768"/>
      <c r="U127" s="768"/>
      <c r="V127" s="768"/>
      <c r="W127" s="768"/>
      <c r="X127" s="768"/>
      <c r="Y127" s="768"/>
      <c r="Z127" s="768"/>
      <c r="AA127" s="768"/>
    </row>
    <row r="128" ht="30.0" customHeight="1">
      <c r="A128" s="768" t="str">
        <f t="array" ref="A128">XLOOKUP(C128,'High School Players'!D:D,'High School Players'!K:K,"NO",0,1)</f>
        <v>XX</v>
      </c>
      <c r="B128" s="975">
        <f>IFERROR(__xludf.DUMMYFUNCTION("""COMPUTED_VALUE"""),45831.40655035879)</f>
        <v>45831.40655</v>
      </c>
      <c r="C128" s="768" t="str">
        <f>IFERROR(__xludf.DUMMYFUNCTION("""COMPUTED_VALUE"""),"Ian Taylor")</f>
        <v>Ian Taylor</v>
      </c>
      <c r="D128" s="768" t="str">
        <f>IFERROR(__xludf.DUMMYFUNCTION("""COMPUTED_VALUE"""),"Ian139139@gmail.com")</f>
        <v>Ian139139@gmail.com</v>
      </c>
      <c r="E128" s="768" t="str">
        <f>IFERROR(__xludf.DUMMYFUNCTION("""COMPUTED_VALUE"""),"5’10 180Lbs")</f>
        <v>5’10 180Lbs</v>
      </c>
      <c r="F128" s="768" t="str">
        <f>IFERROR(__xludf.DUMMYFUNCTION("""COMPUTED_VALUE"""),"CF")</f>
        <v>CF</v>
      </c>
      <c r="G128" s="768" t="str">
        <f>IFERROR(__xludf.DUMMYFUNCTION("""COMPUTED_VALUE"""),"HS: .365/.530/.750 20SB 9 2B 6 3B 4 HR ,26 RBI, BB/HBP 22/9, 36 Runs")</f>
        <v>HS: .365/.530/.750 20SB 9 2B 6 3B 4 HR ,26 RBI, BB/HBP 22/9, 36 Runs</v>
      </c>
      <c r="H128" s="768" t="str">
        <f>IFERROR(__xludf.DUMMYFUNCTION("""COMPUTED_VALUE"""),"3.75/3.9")</f>
        <v>3.75/3.9</v>
      </c>
      <c r="I128" s="768" t="str">
        <f>IFERROR(__xludf.DUMMYFUNCTION("""COMPUTED_VALUE"""),"SAT: 1200")</f>
        <v>SAT: 1200</v>
      </c>
      <c r="J128" s="768" t="str">
        <f>IFERROR(__xludf.DUMMYFUNCTION("""COMPUTED_VALUE"""),"Bilateral stress fractures in the L4. Unlateral stress fracture L5")</f>
        <v>Bilateral stress fractures in the L4. Unlateral stress fracture L5</v>
      </c>
      <c r="K128" s="768" t="str">
        <f>IFERROR(__xludf.DUMMYFUNCTION("""COMPUTED_VALUE"""),"Peanuts, Augmentin")</f>
        <v>Peanuts, Augmentin</v>
      </c>
      <c r="L128" s="768" t="str">
        <f>IFERROR(__xludf.DUMMYFUNCTION("""COMPUTED_VALUE"""),"Singular")</f>
        <v>Singular</v>
      </c>
      <c r="M128" s="768" t="str">
        <f>IFERROR(__xludf.DUMMYFUNCTION("""COMPUTED_VALUE"""),"N/a")</f>
        <v>N/a</v>
      </c>
      <c r="N128" s="768"/>
      <c r="O128" s="768"/>
      <c r="P128" s="768"/>
      <c r="Q128" s="768"/>
      <c r="R128" s="768"/>
      <c r="S128" s="768"/>
      <c r="T128" s="768"/>
      <c r="U128" s="768"/>
      <c r="V128" s="768"/>
      <c r="W128" s="768"/>
      <c r="X128" s="768"/>
      <c r="Y128" s="768"/>
      <c r="Z128" s="768"/>
      <c r="AA128" s="768"/>
    </row>
    <row r="129" ht="30.0" customHeight="1">
      <c r="A129" s="768" t="str">
        <f t="array" ref="A129">XLOOKUP(C129,'High School Players'!D:D,'High School Players'!K:K,"NO",0,1)</f>
        <v>NO</v>
      </c>
      <c r="B129" s="975">
        <f>IFERROR(__xludf.DUMMYFUNCTION("""COMPUTED_VALUE"""),45831.566537129635)</f>
        <v>45831.56654</v>
      </c>
      <c r="C129" s="768" t="str">
        <f>IFERROR(__xludf.DUMMYFUNCTION("""COMPUTED_VALUE"""),"Grayton Gross")</f>
        <v>Grayton Gross</v>
      </c>
      <c r="D129" s="768" t="str">
        <f>IFERROR(__xludf.DUMMYFUNCTION("""COMPUTED_VALUE"""),"graytongross@icloud.com")</f>
        <v>graytongross@icloud.com</v>
      </c>
      <c r="E129" s="768" t="str">
        <f>IFERROR(__xludf.DUMMYFUNCTION("""COMPUTED_VALUE"""),"6’1  205 lbs ")</f>
        <v>6’1  205 lbs </v>
      </c>
      <c r="F129" s="768" t="str">
        <f>IFERROR(__xludf.DUMMYFUNCTION("""COMPUTED_VALUE"""),"LHP")</f>
        <v>LHP</v>
      </c>
      <c r="G129" s="768" t="str">
        <f>IFERROR(__xludf.DUMMYFUNCTION("""COMPUTED_VALUE"""),"1.89 ERA, 60 Strikeouts, 16 BB, 40 IP ")</f>
        <v>1.89 ERA, 60 Strikeouts, 16 BB, 40 IP </v>
      </c>
      <c r="H129" s="768">
        <f>IFERROR(__xludf.DUMMYFUNCTION("""COMPUTED_VALUE"""),3.8)</f>
        <v>3.8</v>
      </c>
      <c r="I129" s="768">
        <f>IFERROR(__xludf.DUMMYFUNCTION("""COMPUTED_VALUE"""),20.0)</f>
        <v>20</v>
      </c>
      <c r="J129" s="768"/>
      <c r="K129" s="768"/>
      <c r="L129" s="768"/>
      <c r="M129" s="768"/>
      <c r="N129" s="768"/>
      <c r="O129" s="768"/>
      <c r="P129" s="768"/>
      <c r="Q129" s="768"/>
      <c r="R129" s="768"/>
      <c r="S129" s="768"/>
      <c r="T129" s="768"/>
      <c r="U129" s="768"/>
      <c r="V129" s="768"/>
      <c r="W129" s="768"/>
      <c r="X129" s="768"/>
      <c r="Y129" s="768"/>
      <c r="Z129" s="768"/>
      <c r="AA129" s="768"/>
    </row>
    <row r="130" ht="30.0" customHeight="1">
      <c r="A130" s="768" t="str">
        <f t="array" ref="A130">XLOOKUP(C130,'High School Players'!D:D,'High School Players'!K:K,"NO",0,1)</f>
        <v>NO</v>
      </c>
      <c r="B130" s="975">
        <f>IFERROR(__xludf.DUMMYFUNCTION("""COMPUTED_VALUE"""),45832.444525439816)</f>
        <v>45832.44453</v>
      </c>
      <c r="C130" s="768" t="str">
        <f>IFERROR(__xludf.DUMMYFUNCTION("""COMPUTED_VALUE"""),"Gordon Cozad")</f>
        <v>Gordon Cozad</v>
      </c>
      <c r="D130" s="768" t="str">
        <f>IFERROR(__xludf.DUMMYFUNCTION("""COMPUTED_VALUE"""),"gordoncozad@gmail.com")</f>
        <v>gordoncozad@gmail.com</v>
      </c>
      <c r="E130" s="768" t="str">
        <f>IFERROR(__xludf.DUMMYFUNCTION("""COMPUTED_VALUE"""),"6’0 175")</f>
        <v>6’0 175</v>
      </c>
      <c r="F130" s="768" t="str">
        <f>IFERROR(__xludf.DUMMYFUNCTION("""COMPUTED_VALUE"""),"Mif, 3b, OF")</f>
        <v>Mif, 3b, OF</v>
      </c>
      <c r="G130" s="768" t="str">
        <f>IFERROR(__xludf.DUMMYFUNCTION("""COMPUTED_VALUE"""),"High school: 25 games, 325 ba, 25 hits, 8 2b, 17 1b, 15 RBI’s, 27 runs scored, and 20 BB")</f>
        <v>High school: 25 games, 325 ba, 25 hits, 8 2b, 17 1b, 15 RBI’s, 27 runs scored, and 20 BB</v>
      </c>
      <c r="H130" s="768" t="str">
        <f>IFERROR(__xludf.DUMMYFUNCTION("""COMPUTED_VALUE"""),"My weighted 3.72 but my transcript doesn’t say my unweighted")</f>
        <v>My weighted 3.72 but my transcript doesn’t say my unweighted</v>
      </c>
      <c r="I130" s="768" t="str">
        <f>IFERROR(__xludf.DUMMYFUNCTION("""COMPUTED_VALUE"""),"Haven’t taken yet ")</f>
        <v>Haven’t taken yet </v>
      </c>
      <c r="J130" s="768" t="str">
        <f>IFERROR(__xludf.DUMMYFUNCTION("""COMPUTED_VALUE"""),"Fractured ankle in 4th grade. ")</f>
        <v>Fractured ankle in 4th grade. </v>
      </c>
      <c r="K130" s="768" t="str">
        <f>IFERROR(__xludf.DUMMYFUNCTION("""COMPUTED_VALUE"""),"None")</f>
        <v>None</v>
      </c>
      <c r="L130" s="768" t="str">
        <f>IFERROR(__xludf.DUMMYFUNCTION("""COMPUTED_VALUE"""),"Accutane")</f>
        <v>Accutane</v>
      </c>
      <c r="M130" s="768" t="str">
        <f>IFERROR(__xludf.DUMMYFUNCTION("""COMPUTED_VALUE"""),"None")</f>
        <v>None</v>
      </c>
      <c r="N130" s="768"/>
      <c r="O130" s="768"/>
      <c r="P130" s="768"/>
      <c r="Q130" s="768"/>
      <c r="R130" s="768"/>
      <c r="S130" s="768"/>
      <c r="T130" s="768"/>
      <c r="U130" s="768"/>
      <c r="V130" s="768"/>
      <c r="W130" s="768"/>
      <c r="X130" s="768"/>
      <c r="Y130" s="768"/>
      <c r="Z130" s="768"/>
      <c r="AA130" s="768"/>
    </row>
    <row r="131" ht="30.0" customHeight="1">
      <c r="A131" s="768" t="str">
        <f t="array" ref="A131">XLOOKUP(C131,'High School Players'!D:D,'High School Players'!K:K,"NO",0,1)</f>
        <v>NO</v>
      </c>
      <c r="B131" s="975">
        <f>IFERROR(__xludf.DUMMYFUNCTION("""COMPUTED_VALUE"""),45834.511721504634)</f>
        <v>45834.51172</v>
      </c>
      <c r="C131" s="768" t="str">
        <f>IFERROR(__xludf.DUMMYFUNCTION("""COMPUTED_VALUE"""),"Josh Horvath")</f>
        <v>Josh Horvath</v>
      </c>
      <c r="D131" s="768" t="str">
        <f>IFERROR(__xludf.DUMMYFUNCTION("""COMPUTED_VALUE"""),"josh.f.horvath@gmail.com")</f>
        <v>josh.f.horvath@gmail.com</v>
      </c>
      <c r="E131" s="768" t="str">
        <f>IFERROR(__xludf.DUMMYFUNCTION("""COMPUTED_VALUE"""),"6’3” 192 lbs ")</f>
        <v>6’3” 192 lbs </v>
      </c>
      <c r="F131" s="768" t="str">
        <f>IFERROR(__xludf.DUMMYFUNCTION("""COMPUTED_VALUE"""),"RHP/ OF")</f>
        <v>RHP/ OF</v>
      </c>
      <c r="G131" s="768" t="str">
        <f>IFERROR(__xludf.DUMMYFUNCTION("""COMPUTED_VALUE"""),"40.1 innings, 54 strikeouts, 37 walks, 2.35/ district 1.57, First team all district ")</f>
        <v>40.1 innings, 54 strikeouts, 37 walks, 2.35/ district 1.57, First team all district </v>
      </c>
      <c r="H131" s="768" t="str">
        <f>IFERROR(__xludf.DUMMYFUNCTION("""COMPUTED_VALUE"""),"3.8/ 4.7 ")</f>
        <v>3.8/ 4.7 </v>
      </c>
      <c r="I131" s="768" t="str">
        <f>IFERROR(__xludf.DUMMYFUNCTION("""COMPUTED_VALUE"""),"1030 SAT")</f>
        <v>1030 SAT</v>
      </c>
      <c r="J131" s="768" t="str">
        <f>IFERROR(__xludf.DUMMYFUNCTION("""COMPUTED_VALUE"""),"none ")</f>
        <v>none </v>
      </c>
      <c r="K131" s="768" t="str">
        <f>IFERROR(__xludf.DUMMYFUNCTION("""COMPUTED_VALUE"""),"None ")</f>
        <v>None </v>
      </c>
      <c r="L131" s="768" t="str">
        <f>IFERROR(__xludf.DUMMYFUNCTION("""COMPUTED_VALUE"""),"None ")</f>
        <v>None </v>
      </c>
      <c r="M131" s="768" t="str">
        <f>IFERROR(__xludf.DUMMYFUNCTION("""COMPUTED_VALUE"""),"None ")</f>
        <v>None </v>
      </c>
      <c r="N131" s="768"/>
      <c r="O131" s="768"/>
      <c r="P131" s="768"/>
      <c r="Q131" s="768"/>
      <c r="R131" s="768"/>
      <c r="S131" s="768"/>
      <c r="T131" s="768"/>
      <c r="U131" s="768"/>
      <c r="V131" s="768"/>
      <c r="W131" s="768"/>
      <c r="X131" s="768"/>
      <c r="Y131" s="768"/>
      <c r="Z131" s="768"/>
      <c r="AA131" s="768"/>
    </row>
    <row r="132" ht="30.0" customHeight="1">
      <c r="A132" s="768">
        <f t="array" ref="A132">XLOOKUP(C132,'High School Players'!D:D,'High School Players'!K:K,"NO",0,1)</f>
        <v>0.1</v>
      </c>
      <c r="B132" s="975">
        <f>IFERROR(__xludf.DUMMYFUNCTION("""COMPUTED_VALUE"""),45834.95024571759)</f>
        <v>45834.95025</v>
      </c>
      <c r="C132" s="768" t="str">
        <f>IFERROR(__xludf.DUMMYFUNCTION("""COMPUTED_VALUE"""),"Jacob Cesarz")</f>
        <v>Jacob Cesarz</v>
      </c>
      <c r="D132" s="768" t="str">
        <f>IFERROR(__xludf.DUMMYFUNCTION("""COMPUTED_VALUE"""),"jakecesarz027@gmail.com")</f>
        <v>jakecesarz027@gmail.com</v>
      </c>
      <c r="E132" s="768" t="str">
        <f>IFERROR(__xludf.DUMMYFUNCTION("""COMPUTED_VALUE"""),"5’10 165")</f>
        <v>5’10 165</v>
      </c>
      <c r="F132" s="768" t="str">
        <f>IFERROR(__xludf.DUMMYFUNCTION("""COMPUTED_VALUE"""),"MIF, OF")</f>
        <v>MIF, OF</v>
      </c>
      <c r="G132" s="768" t="str">
        <f>IFERROR(__xludf.DUMMYFUNCTION("""COMPUTED_VALUE"""),"Avg. 382 Obp. 590 26 hits 10 doubles 27 SB. Summer avg. 417 Obp. 542 15 hits 5 doubles 1 HR 12 SB")</f>
        <v>Avg. 382 Obp. 590 26 hits 10 doubles 27 SB. Summer avg. 417 Obp. 542 15 hits 5 doubles 1 HR 12 SB</v>
      </c>
      <c r="H132" s="768">
        <f>IFERROR(__xludf.DUMMYFUNCTION("""COMPUTED_VALUE"""),4.72)</f>
        <v>4.72</v>
      </c>
      <c r="I132" s="768">
        <f>IFERROR(__xludf.DUMMYFUNCTION("""COMPUTED_VALUE"""),1100.0)</f>
        <v>1100</v>
      </c>
      <c r="J132" s="768" t="str">
        <f>IFERROR(__xludf.DUMMYFUNCTION("""COMPUTED_VALUE"""),"Broken arm. Surgery 6 screws and a metal plate in my elbow")</f>
        <v>Broken arm. Surgery 6 screws and a metal plate in my elbow</v>
      </c>
      <c r="K132" s="768" t="str">
        <f>IFERROR(__xludf.DUMMYFUNCTION("""COMPUTED_VALUE"""),"No")</f>
        <v>No</v>
      </c>
      <c r="L132" s="768" t="str">
        <f>IFERROR(__xludf.DUMMYFUNCTION("""COMPUTED_VALUE"""),"Zyrtec ")</f>
        <v>Zyrtec </v>
      </c>
      <c r="M132" s="768" t="str">
        <f>IFERROR(__xludf.DUMMYFUNCTION("""COMPUTED_VALUE"""),"No")</f>
        <v>No</v>
      </c>
      <c r="N132" s="768"/>
      <c r="O132" s="768"/>
      <c r="P132" s="768"/>
      <c r="Q132" s="768"/>
      <c r="R132" s="768"/>
      <c r="S132" s="768"/>
      <c r="T132" s="768"/>
      <c r="U132" s="768"/>
      <c r="V132" s="768"/>
      <c r="W132" s="768"/>
      <c r="X132" s="768"/>
      <c r="Y132" s="768"/>
      <c r="Z132" s="768"/>
      <c r="AA132" s="768"/>
    </row>
    <row r="133" ht="30.0" customHeight="1">
      <c r="A133" s="768" t="str">
        <f t="array" ref="A133">XLOOKUP(C133,'High School Players'!D:D,'High School Players'!K:K,"NO",0,1)</f>
        <v>NO</v>
      </c>
      <c r="B133" s="975">
        <f>IFERROR(__xludf.DUMMYFUNCTION("""COMPUTED_VALUE"""),45835.525782488425)</f>
        <v>45835.52578</v>
      </c>
      <c r="C133" s="768" t="str">
        <f>IFERROR(__xludf.DUMMYFUNCTION("""COMPUTED_VALUE"""),"Callum Morrison")</f>
        <v>Callum Morrison</v>
      </c>
      <c r="D133" s="768" t="str">
        <f>IFERROR(__xludf.DUMMYFUNCTION("""COMPUTED_VALUE"""),"callummorrison77@gmail.com")</f>
        <v>callummorrison77@gmail.com</v>
      </c>
      <c r="E133" s="768" t="str">
        <f>IFERROR(__xludf.DUMMYFUNCTION("""COMPUTED_VALUE"""),"6,0/175")</f>
        <v>6,0/175</v>
      </c>
      <c r="F133" s="768" t="str">
        <f>IFERROR(__xludf.DUMMYFUNCTION("""COMPUTED_VALUE"""),"LHP/OF")</f>
        <v>LHP/OF</v>
      </c>
      <c r="G133" s="768" t="str">
        <f>IFERROR(__xludf.DUMMYFUNCTION("""COMPUTED_VALUE"""),"Unable to upload picture")</f>
        <v>Unable to upload picture</v>
      </c>
      <c r="H133" s="768" t="str">
        <f>IFERROR(__xludf.DUMMYFUNCTION("""COMPUTED_VALUE"""),"4.75/5 (weighted)")</f>
        <v>4.75/5 (weighted)</v>
      </c>
      <c r="I133" s="768" t="str">
        <f>IFERROR(__xludf.DUMMYFUNCTION("""COMPUTED_VALUE"""),"N/A")</f>
        <v>N/A</v>
      </c>
      <c r="J133" s="768" t="str">
        <f>IFERROR(__xludf.DUMMYFUNCTION("""COMPUTED_VALUE"""),"UCL strain no work done ")</f>
        <v>UCL strain no work done </v>
      </c>
      <c r="K133" s="768" t="str">
        <f>IFERROR(__xludf.DUMMYFUNCTION("""COMPUTED_VALUE"""),"No")</f>
        <v>No</v>
      </c>
      <c r="L133" s="768" t="str">
        <f>IFERROR(__xludf.DUMMYFUNCTION("""COMPUTED_VALUE"""),"No")</f>
        <v>No</v>
      </c>
      <c r="M133" s="768" t="str">
        <f>IFERROR(__xludf.DUMMYFUNCTION("""COMPUTED_VALUE"""),"No")</f>
        <v>No</v>
      </c>
      <c r="N133" s="768"/>
      <c r="O133" s="768"/>
      <c r="P133" s="768"/>
      <c r="Q133" s="768"/>
      <c r="R133" s="768"/>
      <c r="S133" s="768"/>
      <c r="T133" s="768"/>
      <c r="U133" s="768"/>
      <c r="V133" s="768"/>
      <c r="W133" s="768"/>
      <c r="X133" s="768"/>
      <c r="Y133" s="768"/>
      <c r="Z133" s="768"/>
      <c r="AA133" s="768"/>
    </row>
    <row r="134" ht="30.0" customHeight="1">
      <c r="A134" s="768" t="str">
        <f t="array" ref="A134">XLOOKUP(C134,'High School Players'!D:D,'High School Players'!K:K,"NO",0,1)</f>
        <v>NO</v>
      </c>
      <c r="B134" s="975">
        <f>IFERROR(__xludf.DUMMYFUNCTION("""COMPUTED_VALUE"""),45835.63947079861)</f>
        <v>45835.63947</v>
      </c>
      <c r="C134" s="768" t="str">
        <f>IFERROR(__xludf.DUMMYFUNCTION("""COMPUTED_VALUE"""),"Valentino Pupo")</f>
        <v>Valentino Pupo</v>
      </c>
      <c r="D134" s="768" t="str">
        <f>IFERROR(__xludf.DUMMYFUNCTION("""COMPUTED_VALUE"""),"valentinopupo2025@gmail.com")</f>
        <v>valentinopupo2025@gmail.com</v>
      </c>
      <c r="E134" s="768" t="str">
        <f>IFERROR(__xludf.DUMMYFUNCTION("""COMPUTED_VALUE"""),"5’10     175")</f>
        <v>5’10     175</v>
      </c>
      <c r="F134" s="768" t="str">
        <f>IFERROR(__xludf.DUMMYFUNCTION("""COMPUTED_VALUE"""),"SS, 2B, CF, ")</f>
        <v>SS, 2B, CF, </v>
      </c>
      <c r="G134" s="768" t="str">
        <f>IFERROR(__xludf.DUMMYFUNCTION("""COMPUTED_VALUE"""),"HS - .400 avg, PG, .500 avg, 1.350 OPS")</f>
        <v>HS - .400 avg, PG, .500 avg, 1.350 OPS</v>
      </c>
      <c r="H134" s="768">
        <f>IFERROR(__xludf.DUMMYFUNCTION("""COMPUTED_VALUE"""),4.0)</f>
        <v>4</v>
      </c>
      <c r="I134" s="768">
        <f>IFERROR(__xludf.DUMMYFUNCTION("""COMPUTED_VALUE"""),970.0)</f>
        <v>970</v>
      </c>
      <c r="J134" s="768"/>
      <c r="K134" s="768"/>
      <c r="L134" s="768"/>
      <c r="M134" s="768"/>
      <c r="N134" s="768"/>
      <c r="O134" s="768"/>
      <c r="P134" s="768"/>
      <c r="Q134" s="768"/>
      <c r="R134" s="768"/>
      <c r="S134" s="768"/>
      <c r="T134" s="768"/>
      <c r="U134" s="768"/>
      <c r="V134" s="768"/>
      <c r="W134" s="768"/>
      <c r="X134" s="768"/>
      <c r="Y134" s="768"/>
      <c r="Z134" s="768"/>
      <c r="AA134" s="768"/>
    </row>
    <row r="135" ht="30.0" customHeight="1">
      <c r="A135" s="768" t="str">
        <f t="array" ref="A135">XLOOKUP(C135,'High School Players'!D:D,'High School Players'!K:K,"NO",0,1)</f>
        <v>NO</v>
      </c>
      <c r="B135" s="975">
        <f>IFERROR(__xludf.DUMMYFUNCTION("""COMPUTED_VALUE"""),45835.68082471065)</f>
        <v>45835.68082</v>
      </c>
      <c r="C135" s="768" t="str">
        <f>IFERROR(__xludf.DUMMYFUNCTION("""COMPUTED_VALUE"""),"Rocco Pugliese ")</f>
        <v>Rocco Pugliese </v>
      </c>
      <c r="D135" s="768" t="str">
        <f>IFERROR(__xludf.DUMMYFUNCTION("""COMPUTED_VALUE"""),"pugliese.rocco26@gmail.com")</f>
        <v>pugliese.rocco26@gmail.com</v>
      </c>
      <c r="E135" s="768" t="str">
        <f>IFERROR(__xludf.DUMMYFUNCTION("""COMPUTED_VALUE"""),"6’0/185")</f>
        <v>6’0/185</v>
      </c>
      <c r="F135" s="768" t="str">
        <f>IFERROR(__xludf.DUMMYFUNCTION("""COMPUTED_VALUE"""),"3B/2B/SS (can also play outfield)")</f>
        <v>3B/2B/SS (can also play outfield)</v>
      </c>
      <c r="G135" s="768" t="str">
        <f>IFERROR(__xludf.DUMMYFUNCTION("""COMPUTED_VALUE"""),"(BA-0.294) (SLG- 0.494) (OPS- 0.869) (R-16) (H-25) (RBI-15) (2B-6) (3B-1) (HR-3)")</f>
        <v>(BA-0.294) (SLG- 0.494) (OPS- 0.869) (R-16) (H-25) (RBI-15) (2B-6) (3B-1) (HR-3)</v>
      </c>
      <c r="H135" s="768">
        <f>IFERROR(__xludf.DUMMYFUNCTION("""COMPUTED_VALUE"""),4.1111)</f>
        <v>4.1111</v>
      </c>
      <c r="I135" s="768" t="str">
        <f>IFERROR(__xludf.DUMMYFUNCTION("""COMPUTED_VALUE"""),"N/A (Taking ACT this upcoming year)")</f>
        <v>N/A (Taking ACT this upcoming year)</v>
      </c>
      <c r="J135" s="768" t="str">
        <f>IFERROR(__xludf.DUMMYFUNCTION("""COMPUTED_VALUE"""),"(minor fractures in fingers) (minor tear in left peck when 12 years old) ")</f>
        <v>(minor fractures in fingers) (minor tear in left peck when 12 years old) </v>
      </c>
      <c r="K135" s="768" t="str">
        <f>IFERROR(__xludf.DUMMYFUNCTION("""COMPUTED_VALUE"""),"None")</f>
        <v>None</v>
      </c>
      <c r="L135" s="768" t="str">
        <f>IFERROR(__xludf.DUMMYFUNCTION("""COMPUTED_VALUE"""),"None")</f>
        <v>None</v>
      </c>
      <c r="M135" s="768" t="str">
        <f>IFERROR(__xludf.DUMMYFUNCTION("""COMPUTED_VALUE"""),"None ")</f>
        <v>None </v>
      </c>
      <c r="N135" s="768"/>
      <c r="O135" s="768"/>
      <c r="P135" s="768"/>
      <c r="Q135" s="768"/>
      <c r="R135" s="768"/>
      <c r="S135" s="768"/>
      <c r="T135" s="768"/>
      <c r="U135" s="768"/>
      <c r="V135" s="768"/>
      <c r="W135" s="768"/>
      <c r="X135" s="768"/>
      <c r="Y135" s="768"/>
      <c r="Z135" s="768"/>
      <c r="AA135" s="768"/>
    </row>
    <row r="136" ht="30.0" customHeight="1">
      <c r="A136" s="768" t="str">
        <f t="array" ref="A136">XLOOKUP(C136,'High School Players'!D:D,'High School Players'!K:K,"NO",0,1)</f>
        <v>NO</v>
      </c>
      <c r="B136" s="975">
        <f>IFERROR(__xludf.DUMMYFUNCTION("""COMPUTED_VALUE"""),45836.88543247685)</f>
        <v>45836.88543</v>
      </c>
      <c r="C136" s="768" t="str">
        <f>IFERROR(__xludf.DUMMYFUNCTION("""COMPUTED_VALUE"""),"Maddux Bultema")</f>
        <v>Maddux Bultema</v>
      </c>
      <c r="D136" s="768" t="str">
        <f>IFERROR(__xludf.DUMMYFUNCTION("""COMPUTED_VALUE"""),"maddux.bultema@gmail.com")</f>
        <v>maddux.bultema@gmail.com</v>
      </c>
      <c r="E136" s="768" t="str">
        <f>IFERROR(__xludf.DUMMYFUNCTION("""COMPUTED_VALUE"""),"6’0/195")</f>
        <v>6’0/195</v>
      </c>
      <c r="F136" s="768" t="str">
        <f>IFERROR(__xludf.DUMMYFUNCTION("""COMPUTED_VALUE"""),"OF/RHP")</f>
        <v>OF/RHP</v>
      </c>
      <c r="G136" s="768" t="str">
        <f>IFERROR(__xludf.DUMMYFUNCTION("""COMPUTED_VALUE"""),"HS- BA:0.490(49 hits), OBP: 0.553, 14 XBH, 15 SB, All County, All District, All State, Broke single season school record for most hits.")</f>
        <v>HS- BA:0.490(49 hits), OBP: 0.553, 14 XBH, 15 SB, All County, All District, All State, Broke single season school record for most hits.</v>
      </c>
      <c r="H136" s="768" t="str">
        <f>IFERROR(__xludf.DUMMYFUNCTION("""COMPUTED_VALUE"""),"3.95/4.80")</f>
        <v>3.95/4.80</v>
      </c>
      <c r="I136" s="768" t="str">
        <f>IFERROR(__xludf.DUMMYFUNCTION("""COMPUTED_VALUE"""),"1070/20")</f>
        <v>1070/20</v>
      </c>
      <c r="J136" s="768" t="str">
        <f>IFERROR(__xludf.DUMMYFUNCTION("""COMPUTED_VALUE"""),"Torn ACL on right knee ")</f>
        <v>Torn ACL on right knee </v>
      </c>
      <c r="K136" s="768" t="str">
        <f>IFERROR(__xludf.DUMMYFUNCTION("""COMPUTED_VALUE"""),"No")</f>
        <v>No</v>
      </c>
      <c r="L136" s="768" t="str">
        <f>IFERROR(__xludf.DUMMYFUNCTION("""COMPUTED_VALUE"""),"No")</f>
        <v>No</v>
      </c>
      <c r="M136" s="768" t="str">
        <f>IFERROR(__xludf.DUMMYFUNCTION("""COMPUTED_VALUE"""),"No")</f>
        <v>No</v>
      </c>
      <c r="N136" s="768"/>
      <c r="O136" s="768"/>
      <c r="P136" s="768"/>
      <c r="Q136" s="768"/>
      <c r="R136" s="768"/>
      <c r="S136" s="768"/>
      <c r="T136" s="768"/>
      <c r="U136" s="768"/>
      <c r="V136" s="768"/>
      <c r="W136" s="768"/>
      <c r="X136" s="768"/>
      <c r="Y136" s="768"/>
      <c r="Z136" s="768"/>
      <c r="AA136" s="768"/>
    </row>
    <row r="137" ht="30.0" customHeight="1">
      <c r="A137" s="768" t="str">
        <f t="array" ref="A137">XLOOKUP(C137,'High School Players'!D:D,'High School Players'!K:K,"NO",0,1)</f>
        <v>XX</v>
      </c>
      <c r="B137" s="975">
        <f>IFERROR(__xludf.DUMMYFUNCTION("""COMPUTED_VALUE"""),45836.92904393519)</f>
        <v>45836.92904</v>
      </c>
      <c r="C137" s="768" t="str">
        <f>IFERROR(__xludf.DUMMYFUNCTION("""COMPUTED_VALUE"""),"Jackson Zylick")</f>
        <v>Jackson Zylick</v>
      </c>
      <c r="D137" s="768" t="str">
        <f>IFERROR(__xludf.DUMMYFUNCTION("""COMPUTED_VALUE"""),"jpzylick@icloud.com")</f>
        <v>jpzylick@icloud.com</v>
      </c>
      <c r="E137" s="768" t="str">
        <f>IFERROR(__xludf.DUMMYFUNCTION("""COMPUTED_VALUE"""),"5’10” / 178")</f>
        <v>5’10” / 178</v>
      </c>
      <c r="F137" s="768" t="str">
        <f>IFERROR(__xludf.DUMMYFUNCTION("""COMPUTED_VALUE"""),"CF RF")</f>
        <v>CF RF</v>
      </c>
      <c r="G137" s="768" t="str">
        <f>IFERROR(__xludf.DUMMYFUNCTION("""COMPUTED_VALUE"""),".410 AVG .1150 OPS 5 3B 2HR / 2x All Colonial Division")</f>
        <v>.410 AVG .1150 OPS 5 3B 2HR / 2x All Colonial Division</v>
      </c>
      <c r="H137" s="768" t="str">
        <f>IFERROR(__xludf.DUMMYFUNCTION("""COMPUTED_VALUE"""),"3.77 / 4.72")</f>
        <v>3.77 / 4.72</v>
      </c>
      <c r="I137" s="768" t="str">
        <f>IFERROR(__xludf.DUMMYFUNCTION("""COMPUTED_VALUE"""),"1460 SAT")</f>
        <v>1460 SAT</v>
      </c>
      <c r="J137" s="768"/>
      <c r="K137" s="768"/>
      <c r="L137" s="768"/>
      <c r="M137" s="768"/>
      <c r="N137" s="768"/>
      <c r="O137" s="768"/>
      <c r="P137" s="768"/>
      <c r="Q137" s="768"/>
      <c r="R137" s="768"/>
      <c r="S137" s="768"/>
      <c r="T137" s="768"/>
      <c r="U137" s="768"/>
      <c r="V137" s="768"/>
      <c r="W137" s="768"/>
      <c r="X137" s="768"/>
      <c r="Y137" s="768"/>
      <c r="Z137" s="768"/>
      <c r="AA137" s="768"/>
    </row>
    <row r="138" ht="30.0" customHeight="1">
      <c r="A138" s="768" t="str">
        <f t="array" ref="A138">XLOOKUP(C138,'High School Players'!D:D,'High School Players'!K:K,"NO",0,1)</f>
        <v>XX</v>
      </c>
      <c r="B138" s="975">
        <f>IFERROR(__xludf.DUMMYFUNCTION("""COMPUTED_VALUE"""),45837.59359736111)</f>
        <v>45837.5936</v>
      </c>
      <c r="C138" s="768" t="str">
        <f>IFERROR(__xludf.DUMMYFUNCTION("""COMPUTED_VALUE"""),"Gavin Maryott")</f>
        <v>Gavin Maryott</v>
      </c>
      <c r="D138" s="768" t="str">
        <f>IFERROR(__xludf.DUMMYFUNCTION("""COMPUTED_VALUE"""),"gmaryott@icloud.com")</f>
        <v>gmaryott@icloud.com</v>
      </c>
      <c r="E138" s="768" t="str">
        <f>IFERROR(__xludf.DUMMYFUNCTION("""COMPUTED_VALUE"""),"5’10/168")</f>
        <v>5’10/168</v>
      </c>
      <c r="F138" s="768" t="str">
        <f>IFERROR(__xludf.DUMMYFUNCTION("""COMPUTED_VALUE"""),"CF/SS/2B")</f>
        <v>CF/SS/2B</v>
      </c>
      <c r="G138" s="768" t="str">
        <f>IFERROR(__xludf.DUMMYFUNCTION("""COMPUTED_VALUE"""),".387/.562/.680/ 29 hits, 7 2B, 5 HR, 30 RBI.")</f>
        <v>.387/.562/.680/ 29 hits, 7 2B, 5 HR, 30 RBI.</v>
      </c>
      <c r="H138" s="768" t="str">
        <f>IFERROR(__xludf.DUMMYFUNCTION("""COMPUTED_VALUE"""),"3.8/4.1")</f>
        <v>3.8/4.1</v>
      </c>
      <c r="I138" s="768">
        <f>IFERROR(__xludf.DUMMYFUNCTION("""COMPUTED_VALUE"""),1250.0)</f>
        <v>1250</v>
      </c>
      <c r="J138" s="768" t="str">
        <f>IFERROR(__xludf.DUMMYFUNCTION("""COMPUTED_VALUE"""),"Sprained wrist")</f>
        <v>Sprained wrist</v>
      </c>
      <c r="K138" s="768"/>
      <c r="L138" s="768"/>
      <c r="M138" s="768"/>
      <c r="N138" s="768"/>
      <c r="O138" s="768"/>
      <c r="P138" s="768"/>
      <c r="Q138" s="768"/>
      <c r="R138" s="768"/>
      <c r="S138" s="768"/>
      <c r="T138" s="768"/>
      <c r="U138" s="768"/>
      <c r="V138" s="768"/>
      <c r="W138" s="768"/>
      <c r="X138" s="768"/>
      <c r="Y138" s="768"/>
      <c r="Z138" s="768"/>
      <c r="AA138" s="768"/>
    </row>
    <row r="139" ht="30.0" customHeight="1">
      <c r="A139" s="768" t="str">
        <f t="array" ref="A139">XLOOKUP(C139,'High School Players'!D:D,'High School Players'!K:K,"NO",0,1)</f>
        <v>NO</v>
      </c>
      <c r="B139" s="975">
        <f>IFERROR(__xludf.DUMMYFUNCTION("""COMPUTED_VALUE"""),45841.93018761574)</f>
        <v>45841.93019</v>
      </c>
      <c r="C139" s="768" t="str">
        <f>IFERROR(__xludf.DUMMYFUNCTION("""COMPUTED_VALUE"""),"Cameron Bergloff")</f>
        <v>Cameron Bergloff</v>
      </c>
      <c r="D139" s="768" t="str">
        <f>IFERROR(__xludf.DUMMYFUNCTION("""COMPUTED_VALUE"""),"Bballcam08@outlook.com")</f>
        <v>Bballcam08@outlook.com</v>
      </c>
      <c r="E139" s="768" t="str">
        <f>IFERROR(__xludf.DUMMYFUNCTION("""COMPUTED_VALUE"""),"6'3 205")</f>
        <v>6'3 205</v>
      </c>
      <c r="F139" s="768" t="str">
        <f>IFERROR(__xludf.DUMMYFUNCTION("""COMPUTED_VALUE"""),"LHP, OF")</f>
        <v>LHP, OF</v>
      </c>
      <c r="G139" s="768" t="str">
        <f>IFERROR(__xludf.DUMMYFUNCTION("""COMPUTED_VALUE"""),"Pitching 46.0 innings .609 ERA 71 ks Batting: .344 avg 1024 ops 4 hrs 10 doubles Accolades: 3a region dpoy, 3a all conference 1st team")</f>
        <v>Pitching 46.0 innings .609 ERA 71 ks Batting: .344 avg 1024 ops 4 hrs 10 doubles Accolades: 3a region dpoy, 3a all conference 1st team</v>
      </c>
      <c r="H139" s="768">
        <f>IFERROR(__xludf.DUMMYFUNCTION("""COMPUTED_VALUE"""),3.89)</f>
        <v>3.89</v>
      </c>
      <c r="I139" s="768" t="str">
        <f>IFERROR(__xludf.DUMMYFUNCTION("""COMPUTED_VALUE"""),"SAT: 1150")</f>
        <v>SAT: 1150</v>
      </c>
      <c r="J139" s="768" t="str">
        <f>IFERROR(__xludf.DUMMYFUNCTION("""COMPUTED_VALUE"""),"No")</f>
        <v>No</v>
      </c>
      <c r="K139" s="768" t="str">
        <f>IFERROR(__xludf.DUMMYFUNCTION("""COMPUTED_VALUE"""),"No")</f>
        <v>No</v>
      </c>
      <c r="L139" s="768" t="str">
        <f>IFERROR(__xludf.DUMMYFUNCTION("""COMPUTED_VALUE"""),"No")</f>
        <v>No</v>
      </c>
      <c r="M139" s="768" t="str">
        <f>IFERROR(__xludf.DUMMYFUNCTION("""COMPUTED_VALUE"""),"No")</f>
        <v>No</v>
      </c>
      <c r="N139" s="768"/>
      <c r="O139" s="768"/>
      <c r="P139" s="768"/>
      <c r="Q139" s="768"/>
      <c r="R139" s="768"/>
      <c r="S139" s="768"/>
      <c r="T139" s="768"/>
      <c r="U139" s="768"/>
      <c r="V139" s="768"/>
      <c r="W139" s="768"/>
      <c r="X139" s="768"/>
      <c r="Y139" s="768"/>
      <c r="Z139" s="768"/>
      <c r="AA139" s="768"/>
    </row>
    <row r="140" ht="30.0" customHeight="1">
      <c r="A140" s="768" t="str">
        <f t="array" ref="A140">XLOOKUP(C140,'High School Players'!D:D,'High School Players'!K:K,"NO",0,1)</f>
        <v>XX</v>
      </c>
      <c r="B140" s="975">
        <f>IFERROR(__xludf.DUMMYFUNCTION("""COMPUTED_VALUE"""),45842.74082090278)</f>
        <v>45842.74082</v>
      </c>
      <c r="C140" s="768" t="str">
        <f>IFERROR(__xludf.DUMMYFUNCTION("""COMPUTED_VALUE"""),"Jack Ryan")</f>
        <v>Jack Ryan</v>
      </c>
      <c r="D140" s="768" t="str">
        <f>IFERROR(__xludf.DUMMYFUNCTION("""COMPUTED_VALUE"""),"jackryan3919@gmail.com")</f>
        <v>jackryan3919@gmail.com</v>
      </c>
      <c r="E140" s="768" t="str">
        <f>IFERROR(__xludf.DUMMYFUNCTION("""COMPUTED_VALUE"""),"6’2 185")</f>
        <v>6’2 185</v>
      </c>
      <c r="F140" s="768" t="str">
        <f>IFERROR(__xludf.DUMMYFUNCTION("""COMPUTED_VALUE"""),"RHP, CIF/OF")</f>
        <v>RHP, CIF/OF</v>
      </c>
      <c r="G140" s="768" t="str">
        <f>IFERROR(__xludf.DUMMYFUNCTION("""COMPUTED_VALUE"""),"Sub 1 ERA in summer with 0 walks and 25 strikeouts. Conference player of year. All State and have been all city 3 straight years. Hit .380 in high school. Hitting .320 with 3 homers and 8 xbhs in summer. ")</f>
        <v>Sub 1 ERA in summer with 0 walks and 25 strikeouts. Conference player of year. All State and have been all city 3 straight years. Hit .380 in high school. Hitting .320 with 3 homers and 8 xbhs in summer. </v>
      </c>
      <c r="H140" s="768">
        <f>IFERROR(__xludf.DUMMYFUNCTION("""COMPUTED_VALUE"""),3.6)</f>
        <v>3.6</v>
      </c>
      <c r="I140" s="768" t="str">
        <f>IFERROR(__xludf.DUMMYFUNCTION("""COMPUTED_VALUE"""),"26 ACT")</f>
        <v>26 ACT</v>
      </c>
      <c r="J140" s="768" t="str">
        <f>IFERROR(__xludf.DUMMYFUNCTION("""COMPUTED_VALUE"""),"Have not missed games. ")</f>
        <v>Have not missed games. </v>
      </c>
      <c r="K140" s="768" t="str">
        <f>IFERROR(__xludf.DUMMYFUNCTION("""COMPUTED_VALUE"""),"No")</f>
        <v>No</v>
      </c>
      <c r="L140" s="768" t="str">
        <f>IFERROR(__xludf.DUMMYFUNCTION("""COMPUTED_VALUE"""),"No")</f>
        <v>No</v>
      </c>
      <c r="M140" s="768" t="str">
        <f>IFERROR(__xludf.DUMMYFUNCTION("""COMPUTED_VALUE"""),"No")</f>
        <v>No</v>
      </c>
      <c r="N140" s="768"/>
      <c r="O140" s="768"/>
      <c r="P140" s="768"/>
      <c r="Q140" s="768"/>
      <c r="R140" s="768"/>
      <c r="S140" s="768"/>
      <c r="T140" s="768"/>
      <c r="U140" s="768"/>
      <c r="V140" s="768"/>
      <c r="W140" s="768"/>
      <c r="X140" s="768"/>
      <c r="Y140" s="768"/>
      <c r="Z140" s="768"/>
      <c r="AA140" s="768"/>
    </row>
    <row r="141" ht="30.0" customHeight="1">
      <c r="A141" s="768" t="str">
        <f t="array" ref="A141">XLOOKUP(C141,'High School Players'!D:D,'High School Players'!K:K,"NO",0,1)</f>
        <v>NO</v>
      </c>
      <c r="B141" s="975">
        <f>IFERROR(__xludf.DUMMYFUNCTION("""COMPUTED_VALUE"""),45843.892364513886)</f>
        <v>45843.89236</v>
      </c>
      <c r="C141" s="768" t="str">
        <f>IFERROR(__xludf.DUMMYFUNCTION("""COMPUTED_VALUE"""),"Cameron Davidson")</f>
        <v>Cameron Davidson</v>
      </c>
      <c r="D141" s="768" t="str">
        <f>IFERROR(__xludf.DUMMYFUNCTION("""COMPUTED_VALUE"""),"camerondavidson26@gmail.com")</f>
        <v>camerondavidson26@gmail.com</v>
      </c>
      <c r="E141" s="768" t="str">
        <f>IFERROR(__xludf.DUMMYFUNCTION("""COMPUTED_VALUE"""),"6'2' 190 lbs")</f>
        <v>6'2' 190 lbs</v>
      </c>
      <c r="F141" s="768" t="str">
        <f>IFERROR(__xludf.DUMMYFUNCTION("""COMPUTED_VALUE"""),"SS, 2B")</f>
        <v>SS, 2B</v>
      </c>
      <c r="G141" s="768" t="str">
        <f>IFERROR(__xludf.DUMMYFUNCTION("""COMPUTED_VALUE""")," ‘25  Jr.  GP 25  AVG .426  AB 68  R 31 H 29 RBI 27  2B 2 3B 10 HR 2  OBP .552 SLG .838  OPS 1.390 ‘25 1st Team All District  ‘25 All District Player of the Year  ‘25 1st Team All Region  ‘25 2nd Team All Conference  ‘25 Varsity MVP  ‘25 Offensive Player "&amp;"of the Year")</f>
        <v> ‘25  Jr.  GP 25  AVG .426  AB 68  R 31 H 29 RBI 27  2B 2 3B 10 HR 2  OBP .552 SLG .838  OPS 1.390 ‘25 1st Team All District  ‘25 All District Player of the Year  ‘25 1st Team All Region  ‘25 2nd Team All Conference  ‘25 Varsity MVP  ‘25 Offensive Player of the Year</v>
      </c>
      <c r="H141" s="768" t="str">
        <f>IFERROR(__xludf.DUMMYFUNCTION("""COMPUTED_VALUE"""),"3.67 UW / 3.83 W ")</f>
        <v>3.67 UW / 3.83 W </v>
      </c>
      <c r="I141" s="768"/>
      <c r="J141" s="768" t="str">
        <f>IFERROR(__xludf.DUMMYFUNCTION("""COMPUTED_VALUE""")," Seperated AC Joint Shoulder October '24 Hamate Surgery February '25")</f>
        <v> Seperated AC Joint Shoulder October '24 Hamate Surgery February '25</v>
      </c>
      <c r="K141" s="768" t="str">
        <f>IFERROR(__xludf.DUMMYFUNCTION("""COMPUTED_VALUE"""),"Tree Nuts-but can have pistachios and almonds. Have not been retested for others")</f>
        <v>Tree Nuts-but can have pistachios and almonds. Have not been retested for others</v>
      </c>
      <c r="L141" s="768" t="str">
        <f>IFERROR(__xludf.DUMMYFUNCTION("""COMPUTED_VALUE"""),"No")</f>
        <v>No</v>
      </c>
      <c r="M141" s="768" t="str">
        <f>IFERROR(__xludf.DUMMYFUNCTION("""COMPUTED_VALUE"""),"No")</f>
        <v>No</v>
      </c>
      <c r="N141" s="768"/>
      <c r="O141" s="768"/>
      <c r="P141" s="768"/>
      <c r="Q141" s="768"/>
      <c r="R141" s="768"/>
      <c r="S141" s="768"/>
      <c r="T141" s="768"/>
      <c r="U141" s="768"/>
      <c r="V141" s="768"/>
      <c r="W141" s="768"/>
      <c r="X141" s="768"/>
      <c r="Y141" s="768"/>
      <c r="Z141" s="768"/>
      <c r="AA141" s="768"/>
    </row>
    <row r="142" ht="30.0" customHeight="1">
      <c r="A142" s="768" t="str">
        <f t="array" ref="A142">XLOOKUP(C142,'High School Players'!D:D,'High School Players'!K:K,"NO",0,1)</f>
        <v>XX</v>
      </c>
      <c r="B142" s="975">
        <f>IFERROR(__xludf.DUMMYFUNCTION("""COMPUTED_VALUE"""),45845.92400385417)</f>
        <v>45845.924</v>
      </c>
      <c r="C142" s="768" t="str">
        <f>IFERROR(__xludf.DUMMYFUNCTION("""COMPUTED_VALUE"""),"Ronin McCraw")</f>
        <v>Ronin McCraw</v>
      </c>
      <c r="D142" s="768" t="str">
        <f>IFERROR(__xludf.DUMMYFUNCTION("""COMPUTED_VALUE"""),"ronin.mccraw@gmail.com")</f>
        <v>ronin.mccraw@gmail.com</v>
      </c>
      <c r="E142" s="768" t="str">
        <f>IFERROR(__xludf.DUMMYFUNCTION("""COMPUTED_VALUE"""),"5’11/185")</f>
        <v>5’11/185</v>
      </c>
      <c r="F142" s="768" t="str">
        <f>IFERROR(__xludf.DUMMYFUNCTION("""COMPUTED_VALUE"""),"MIF, 3B")</f>
        <v>MIF, 3B</v>
      </c>
      <c r="G142" s="768" t="str">
        <f>IFERROR(__xludf.DUMMYFUNCTION("""COMPUTED_VALUE"""),".381 Avg summer, Second Team All-state, First team All District")</f>
        <v>.381 Avg summer, Second Team All-state, First team All District</v>
      </c>
      <c r="H142" s="768">
        <f>IFERROR(__xludf.DUMMYFUNCTION("""COMPUTED_VALUE"""),4.0)</f>
        <v>4</v>
      </c>
      <c r="I142" s="768" t="str">
        <f>IFERROR(__xludf.DUMMYFUNCTION("""COMPUTED_VALUE"""),"NA")</f>
        <v>NA</v>
      </c>
      <c r="J142" s="768" t="str">
        <f>IFERROR(__xludf.DUMMYFUNCTION("""COMPUTED_VALUE"""),"Hamate surgery")</f>
        <v>Hamate surgery</v>
      </c>
      <c r="K142" s="768" t="str">
        <f>IFERROR(__xludf.DUMMYFUNCTION("""COMPUTED_VALUE"""),"No")</f>
        <v>No</v>
      </c>
      <c r="L142" s="768" t="str">
        <f>IFERROR(__xludf.DUMMYFUNCTION("""COMPUTED_VALUE"""),"No")</f>
        <v>No</v>
      </c>
      <c r="M142" s="768" t="str">
        <f>IFERROR(__xludf.DUMMYFUNCTION("""COMPUTED_VALUE"""),"No")</f>
        <v>No</v>
      </c>
      <c r="N142" s="768"/>
      <c r="O142" s="768"/>
      <c r="P142" s="768"/>
      <c r="Q142" s="768"/>
      <c r="R142" s="768"/>
      <c r="S142" s="768"/>
      <c r="T142" s="768"/>
      <c r="U142" s="768"/>
      <c r="V142" s="768"/>
      <c r="W142" s="768"/>
      <c r="X142" s="768"/>
      <c r="Y142" s="768"/>
      <c r="Z142" s="768"/>
      <c r="AA142" s="768"/>
    </row>
    <row r="143" ht="30.0" customHeight="1">
      <c r="A143" s="768" t="str">
        <f t="array" ref="A143">XLOOKUP(C143,'High School Players'!D:D,'High School Players'!K:K,"NO",0,1)</f>
        <v>XX</v>
      </c>
      <c r="B143" s="975">
        <f>IFERROR(__xludf.DUMMYFUNCTION("""COMPUTED_VALUE"""),45846.56928309028)</f>
        <v>45846.56928</v>
      </c>
      <c r="C143" s="768" t="str">
        <f>IFERROR(__xludf.DUMMYFUNCTION("""COMPUTED_VALUE"""),"Hudson Meredith")</f>
        <v>Hudson Meredith</v>
      </c>
      <c r="D143" s="768" t="str">
        <f>IFERROR(__xludf.DUMMYFUNCTION("""COMPUTED_VALUE"""),"hudsonmeredith156@gmail.com")</f>
        <v>hudsonmeredith156@gmail.com</v>
      </c>
      <c r="E143" s="768" t="str">
        <f>IFERROR(__xludf.DUMMYFUNCTION("""COMPUTED_VALUE"""),"6'1 195 lbs")</f>
        <v>6'1 195 lbs</v>
      </c>
      <c r="F143" s="768" t="str">
        <f>IFERROR(__xludf.DUMMYFUNCTION("""COMPUTED_VALUE"""),"LHP/OF")</f>
        <v>LHP/OF</v>
      </c>
      <c r="G143" s="768" t="str">
        <f>IFERROR(__xludf.DUMMYFUNCTION("""COMPUTED_VALUE"""),"37.0 IP, 9-0, 1.13 ERA, .892 WHIP | Hitting: 60 AB, .417 BA, 1.239 OPS, 22 RBI")</f>
        <v>37.0 IP, 9-0, 1.13 ERA, .892 WHIP | Hitting: 60 AB, .417 BA, 1.239 OPS, 22 RBI</v>
      </c>
      <c r="H143" s="768" t="str">
        <f>IFERROR(__xludf.DUMMYFUNCTION("""COMPUTED_VALUE"""),"3.81 UW, 5.25 W")</f>
        <v>3.81 UW, 5.25 W</v>
      </c>
      <c r="I143" s="768" t="str">
        <f>IFERROR(__xludf.DUMMYFUNCTION("""COMPUTED_VALUE"""),"N/A")</f>
        <v>N/A</v>
      </c>
      <c r="J143" s="768" t="str">
        <f>IFERROR(__xludf.DUMMYFUNCTION("""COMPUTED_VALUE"""),"Torn left meniscus, arthroscopic surgery. ")</f>
        <v>Torn left meniscus, arthroscopic surgery. </v>
      </c>
      <c r="K143" s="768" t="str">
        <f>IFERROR(__xludf.DUMMYFUNCTION("""COMPUTED_VALUE"""),"No")</f>
        <v>No</v>
      </c>
      <c r="L143" s="768" t="str">
        <f>IFERROR(__xludf.DUMMYFUNCTION("""COMPUTED_VALUE"""),"No")</f>
        <v>No</v>
      </c>
      <c r="M143" s="768" t="str">
        <f>IFERROR(__xludf.DUMMYFUNCTION("""COMPUTED_VALUE"""),"No")</f>
        <v>No</v>
      </c>
      <c r="N143" s="768"/>
      <c r="O143" s="768"/>
      <c r="P143" s="768"/>
      <c r="Q143" s="768"/>
      <c r="R143" s="768"/>
      <c r="S143" s="768"/>
      <c r="T143" s="768"/>
      <c r="U143" s="768"/>
      <c r="V143" s="768"/>
      <c r="W143" s="768"/>
      <c r="X143" s="768"/>
      <c r="Y143" s="768"/>
      <c r="Z143" s="768"/>
      <c r="AA143" s="768"/>
    </row>
    <row r="144" ht="30.0" customHeight="1">
      <c r="A144" s="768">
        <f t="array" ref="A144">XLOOKUP(C144,'High School Players'!D:D,'High School Players'!K:K,"NO",0,1)</f>
        <v>4</v>
      </c>
      <c r="B144" s="975">
        <f>IFERROR(__xludf.DUMMYFUNCTION("""COMPUTED_VALUE"""),45846.6706244213)</f>
        <v>45846.67062</v>
      </c>
      <c r="C144" s="768" t="str">
        <f>IFERROR(__xludf.DUMMYFUNCTION("""COMPUTED_VALUE"""),"Kye Jacobs")</f>
        <v>Kye Jacobs</v>
      </c>
      <c r="D144" s="768" t="str">
        <f>IFERROR(__xludf.DUMMYFUNCTION("""COMPUTED_VALUE"""),"kyejacobs@gmail.com")</f>
        <v>kyejacobs@gmail.com</v>
      </c>
      <c r="E144" s="768" t="str">
        <f>IFERROR(__xludf.DUMMYFUNCTION("""COMPUTED_VALUE"""),"5’9/160")</f>
        <v>5’9/160</v>
      </c>
      <c r="F144" s="768" t="str">
        <f>IFERROR(__xludf.DUMMYFUNCTION("""COMPUTED_VALUE"""),"MIF, OF, RHP")</f>
        <v>MIF, OF, RHP</v>
      </c>
      <c r="G144" s="768" t="str">
        <f>IFERROR(__xludf.DUMMYFUNCTION("""COMPUTED_VALUE"""),"HS Junior Season- .551 Avg (43/78) 19XBH .620 OBP 28 RBI 16 BB .930 SLG .1530 OPS 26 SB  ")</f>
        <v>HS Junior Season- .551 Avg (43/78) 19XBH .620 OBP 28 RBI 16 BB .930 SLG .1530 OPS 26 SB  </v>
      </c>
      <c r="H144" s="768" t="str">
        <f>IFERROR(__xludf.DUMMYFUNCTION("""COMPUTED_VALUE"""),"4.097 weighted ")</f>
        <v>4.097 weighted </v>
      </c>
      <c r="I144" s="768" t="str">
        <f>IFERROR(__xludf.DUMMYFUNCTION("""COMPUTED_VALUE"""),"1230 SAT")</f>
        <v>1230 SAT</v>
      </c>
      <c r="J144" s="768" t="str">
        <f>IFERROR(__xludf.DUMMYFUNCTION("""COMPUTED_VALUE"""),"Closed reduction surgery on my right radius, broken left fibula (no surgery)")</f>
        <v>Closed reduction surgery on my right radius, broken left fibula (no surgery)</v>
      </c>
      <c r="K144" s="768" t="str">
        <f>IFERROR(__xludf.DUMMYFUNCTION("""COMPUTED_VALUE"""),"N/A")</f>
        <v>N/A</v>
      </c>
      <c r="L144" s="768" t="str">
        <f>IFERROR(__xludf.DUMMYFUNCTION("""COMPUTED_VALUE"""),"N/A")</f>
        <v>N/A</v>
      </c>
      <c r="M144" s="768" t="str">
        <f>IFERROR(__xludf.DUMMYFUNCTION("""COMPUTED_VALUE"""),"N/A")</f>
        <v>N/A</v>
      </c>
      <c r="N144" s="768"/>
      <c r="O144" s="768"/>
      <c r="P144" s="768"/>
      <c r="Q144" s="768"/>
      <c r="R144" s="768"/>
      <c r="S144" s="768"/>
      <c r="T144" s="768"/>
      <c r="U144" s="768"/>
      <c r="V144" s="768"/>
      <c r="W144" s="768"/>
      <c r="X144" s="768"/>
      <c r="Y144" s="768"/>
      <c r="Z144" s="768"/>
      <c r="AA144" s="768"/>
    </row>
    <row r="145" ht="30.0" customHeight="1">
      <c r="A145" s="768" t="str">
        <f t="array" ref="A145">XLOOKUP(C145,'High School Players'!D:D,'High School Players'!K:K,"NO",0,1)</f>
        <v>NO</v>
      </c>
      <c r="B145" s="975">
        <f>IFERROR(__xludf.DUMMYFUNCTION("""COMPUTED_VALUE"""),45847.76568174768)</f>
        <v>45847.76568</v>
      </c>
      <c r="C145" s="768" t="str">
        <f>IFERROR(__xludf.DUMMYFUNCTION("""COMPUTED_VALUE"""),"Braddock Raven ")</f>
        <v>Braddock Raven </v>
      </c>
      <c r="D145" s="768" t="str">
        <f>IFERROR(__xludf.DUMMYFUNCTION("""COMPUTED_VALUE"""),"braven.raven@icloud.com")</f>
        <v>braven.raven@icloud.com</v>
      </c>
      <c r="E145" s="768" t="str">
        <f>IFERROR(__xludf.DUMMYFUNCTION("""COMPUTED_VALUE"""),"5’11 160")</f>
        <v>5’11 160</v>
      </c>
      <c r="F145" s="768" t="str">
        <f>IFERROR(__xludf.DUMMYFUNCTION("""COMPUTED_VALUE"""),"Pitcher ")</f>
        <v>Pitcher </v>
      </c>
      <c r="G145" s="768" t="str">
        <f>IFERROR(__xludf.DUMMYFUNCTION("""COMPUTED_VALUE"""),"Highschool 1.67 ERA 5-2 37.2 in 41ks ")</f>
        <v>Highschool 1.67 ERA 5-2 37.2 in 41ks </v>
      </c>
      <c r="H145" s="768">
        <f>IFERROR(__xludf.DUMMYFUNCTION("""COMPUTED_VALUE"""),4.0)</f>
        <v>4</v>
      </c>
      <c r="I145" s="768" t="str">
        <f>IFERROR(__xludf.DUMMYFUNCTION("""COMPUTED_VALUE"""),"SAT 1100")</f>
        <v>SAT 1100</v>
      </c>
      <c r="J145" s="768" t="str">
        <f>IFERROR(__xludf.DUMMYFUNCTION("""COMPUTED_VALUE"""),"Gall bladder removal ")</f>
        <v>Gall bladder removal </v>
      </c>
      <c r="K145" s="768" t="str">
        <f>IFERROR(__xludf.DUMMYFUNCTION("""COMPUTED_VALUE"""),"No")</f>
        <v>No</v>
      </c>
      <c r="L145" s="768" t="str">
        <f>IFERROR(__xludf.DUMMYFUNCTION("""COMPUTED_VALUE"""),"No")</f>
        <v>No</v>
      </c>
      <c r="M145" s="768" t="str">
        <f>IFERROR(__xludf.DUMMYFUNCTION("""COMPUTED_VALUE"""),"No")</f>
        <v>No</v>
      </c>
      <c r="N145" s="768"/>
      <c r="O145" s="768"/>
      <c r="P145" s="768"/>
      <c r="Q145" s="768"/>
      <c r="R145" s="768"/>
      <c r="S145" s="768"/>
      <c r="T145" s="768"/>
      <c r="U145" s="768"/>
      <c r="V145" s="768"/>
      <c r="W145" s="768"/>
      <c r="X145" s="768"/>
      <c r="Y145" s="768"/>
      <c r="Z145" s="768"/>
      <c r="AA145" s="768"/>
    </row>
    <row r="146" ht="30.0" customHeight="1">
      <c r="A146" s="768" t="str">
        <f t="array" ref="A146">XLOOKUP(C146,'High School Players'!D:D,'High School Players'!K:K,"NO",0,1)</f>
        <v>XX</v>
      </c>
      <c r="B146" s="975">
        <f>IFERROR(__xludf.DUMMYFUNCTION("""COMPUTED_VALUE"""),45848.86931734954)</f>
        <v>45848.86932</v>
      </c>
      <c r="C146" s="768" t="str">
        <f>IFERROR(__xludf.DUMMYFUNCTION("""COMPUTED_VALUE"""),"Parker Hayes")</f>
        <v>Parker Hayes</v>
      </c>
      <c r="D146" s="768" t="str">
        <f>IFERROR(__xludf.DUMMYFUNCTION("""COMPUTED_VALUE"""),"parker.r.hayes@gmail.com")</f>
        <v>parker.r.hayes@gmail.com</v>
      </c>
      <c r="E146" s="768" t="str">
        <f>IFERROR(__xludf.DUMMYFUNCTION("""COMPUTED_VALUE"""),"6’ 7” 190Lb")</f>
        <v>6’ 7” 190Lb</v>
      </c>
      <c r="F146" s="768" t="str">
        <f>IFERROR(__xludf.DUMMYFUNCTION("""COMPUTED_VALUE"""),"LHP")</f>
        <v>LHP</v>
      </c>
      <c r="G146" s="768" t="str">
        <f>IFERROR(__xludf.DUMMYFUNCTION("""COMPUTED_VALUE"""),"0.168 BAA, 61 IP, 244 batters faced, 7-3 W-L, 37 hits, 8 ER, 17 BB, 89 K, 0.918 ERA, 0.885 WHIP")</f>
        <v>0.168 BAA, 61 IP, 244 batters faced, 7-3 W-L, 37 hits, 8 ER, 17 BB, 89 K, 0.918 ERA, 0.885 WHIP</v>
      </c>
      <c r="H146" s="768" t="str">
        <f>IFERROR(__xludf.DUMMYFUNCTION("""COMPUTED_VALUE"""),"Unweighted 3.72 Weighted 4.01")</f>
        <v>Unweighted 3.72 Weighted 4.01</v>
      </c>
      <c r="I146" s="768" t="str">
        <f>IFERROR(__xludf.DUMMYFUNCTION("""COMPUTED_VALUE"""),"27 ACT")</f>
        <v>27 ACT</v>
      </c>
      <c r="J146" s="768" t="str">
        <f>IFERROR(__xludf.DUMMYFUNCTION("""COMPUTED_VALUE"""),"Inflammation due to rapid growth spurt. Temporarily put in boot. Completely healed now.")</f>
        <v>Inflammation due to rapid growth spurt. Temporarily put in boot. Completely healed now.</v>
      </c>
      <c r="K146" s="768" t="str">
        <f>IFERROR(__xludf.DUMMYFUNCTION("""COMPUTED_VALUE"""),"None")</f>
        <v>None</v>
      </c>
      <c r="L146" s="768" t="str">
        <f>IFERROR(__xludf.DUMMYFUNCTION("""COMPUTED_VALUE"""),"None")</f>
        <v>None</v>
      </c>
      <c r="M146" s="768" t="str">
        <f>IFERROR(__xludf.DUMMYFUNCTION("""COMPUTED_VALUE"""),"None")</f>
        <v>None</v>
      </c>
      <c r="N146" s="768"/>
      <c r="O146" s="768"/>
      <c r="P146" s="768"/>
      <c r="Q146" s="768"/>
      <c r="R146" s="768"/>
      <c r="S146" s="768"/>
      <c r="T146" s="768"/>
      <c r="U146" s="768"/>
      <c r="V146" s="768"/>
      <c r="W146" s="768"/>
      <c r="X146" s="768"/>
      <c r="Y146" s="768"/>
      <c r="Z146" s="768"/>
      <c r="AA146" s="768"/>
    </row>
    <row r="147" ht="30.0" customHeight="1">
      <c r="A147" s="768" t="str">
        <f t="array" ref="A147">XLOOKUP(C147,'High School Players'!D:D,'High School Players'!K:K,"NO",0,1)</f>
        <v>NO</v>
      </c>
      <c r="B147" s="975">
        <f>IFERROR(__xludf.DUMMYFUNCTION("""COMPUTED_VALUE"""),45849.73673247686)</f>
        <v>45849.73673</v>
      </c>
      <c r="C147" s="768" t="str">
        <f>IFERROR(__xludf.DUMMYFUNCTION("""COMPUTED_VALUE"""),"Julian Diaz")</f>
        <v>Julian Diaz</v>
      </c>
      <c r="D147" s="768" t="str">
        <f>IFERROR(__xludf.DUMMYFUNCTION("""COMPUTED_VALUE"""),"julesdiaz9999@gmail.com")</f>
        <v>julesdiaz9999@gmail.com</v>
      </c>
      <c r="E147" s="768" t="str">
        <f>IFERROR(__xludf.DUMMYFUNCTION("""COMPUTED_VALUE"""),"5’11 / 160")</f>
        <v>5’11 / 160</v>
      </c>
      <c r="F147" s="768" t="str">
        <f>IFERROR(__xludf.DUMMYFUNCTION("""COMPUTED_VALUE"""),"RHP")</f>
        <v>RHP</v>
      </c>
      <c r="G147" s="768" t="str">
        <f>IFERROR(__xludf.DUMMYFUNCTION("""COMPUTED_VALUE"""),"St Thomas Aquinas HS - 2025 season, 50ip, 3.08 ERA, 9W 2L, 60k, 6A State Champion")</f>
        <v>St Thomas Aquinas HS - 2025 season, 50ip, 3.08 ERA, 9W 2L, 60k, 6A State Champion</v>
      </c>
      <c r="H147" s="768" t="str">
        <f>IFERROR(__xludf.DUMMYFUNCTION("""COMPUTED_VALUE"""),"3.4 W / 3.0 UW")</f>
        <v>3.4 W / 3.0 UW</v>
      </c>
      <c r="I147" s="768" t="str">
        <f>IFERROR(__xludf.DUMMYFUNCTION("""COMPUTED_VALUE"""),"1110 SAT , Scheduled for Aug / Sept / OCT : Nov")</f>
        <v>1110 SAT , Scheduled for Aug / Sept / OCT : Nov</v>
      </c>
      <c r="J147" s="768" t="str">
        <f>IFERROR(__xludf.DUMMYFUNCTION("""COMPUTED_VALUE"""),"none")</f>
        <v>none</v>
      </c>
      <c r="K147" s="768" t="str">
        <f>IFERROR(__xludf.DUMMYFUNCTION("""COMPUTED_VALUE"""),"none")</f>
        <v>none</v>
      </c>
      <c r="L147" s="768" t="str">
        <f>IFERROR(__xludf.DUMMYFUNCTION("""COMPUTED_VALUE"""),"none")</f>
        <v>none</v>
      </c>
      <c r="M147" s="768" t="str">
        <f>IFERROR(__xludf.DUMMYFUNCTION("""COMPUTED_VALUE"""),"none")</f>
        <v>none</v>
      </c>
      <c r="N147" s="768"/>
      <c r="O147" s="768"/>
      <c r="P147" s="768"/>
      <c r="Q147" s="768"/>
      <c r="R147" s="768"/>
      <c r="S147" s="768"/>
      <c r="T147" s="768"/>
      <c r="U147" s="768"/>
      <c r="V147" s="768"/>
      <c r="W147" s="768"/>
      <c r="X147" s="768"/>
      <c r="Y147" s="768"/>
      <c r="Z147" s="768"/>
      <c r="AA147" s="768"/>
    </row>
    <row r="148" ht="30.0" customHeight="1">
      <c r="A148" s="768">
        <f t="array" ref="A148">XLOOKUP(C148,'High School Players'!D:D,'High School Players'!K:K,"NO",0,1)</f>
        <v>3</v>
      </c>
      <c r="B148" s="975">
        <f>IFERROR(__xludf.DUMMYFUNCTION("""COMPUTED_VALUE"""),45849.76848783565)</f>
        <v>45849.76849</v>
      </c>
      <c r="C148" s="768" t="str">
        <f>IFERROR(__xludf.DUMMYFUNCTION("""COMPUTED_VALUE"""),"Cullen Crain")</f>
        <v>Cullen Crain</v>
      </c>
      <c r="D148" s="768" t="str">
        <f>IFERROR(__xludf.DUMMYFUNCTION("""COMPUTED_VALUE"""),"Cullencrain@icloud.com")</f>
        <v>Cullencrain@icloud.com</v>
      </c>
      <c r="E148" s="768" t="str">
        <f>IFERROR(__xludf.DUMMYFUNCTION("""COMPUTED_VALUE"""),"5’10/ 150")</f>
        <v>5’10/ 150</v>
      </c>
      <c r="F148" s="768" t="str">
        <f>IFERROR(__xludf.DUMMYFUNCTION("""COMPUTED_VALUE"""),"SS")</f>
        <v>SS</v>
      </c>
      <c r="G148" s="768" t="str">
        <f>IFERROR(__xludf.DUMMYFUNCTION("""COMPUTED_VALUE"""),".446 Avg, 41 hits, 7 2B, 23 RBI’s, 32 runs, 1st team all-state, 1st team all-region")</f>
        <v>.446 Avg, 41 hits, 7 2B, 23 RBI’s, 32 runs, 1st team all-state, 1st team all-region</v>
      </c>
      <c r="H148" s="768">
        <f>IFERROR(__xludf.DUMMYFUNCTION("""COMPUTED_VALUE"""),3.72)</f>
        <v>3.72</v>
      </c>
      <c r="I148" s="768" t="str">
        <f>IFERROR(__xludf.DUMMYFUNCTION("""COMPUTED_VALUE"""),"1280 SAT")</f>
        <v>1280 SAT</v>
      </c>
      <c r="J148" s="768" t="str">
        <f>IFERROR(__xludf.DUMMYFUNCTION("""COMPUTED_VALUE"""),"Wrist surgery (2021), groin (hockey), hip flexor ")</f>
        <v>Wrist surgery (2021), groin (hockey), hip flexor </v>
      </c>
      <c r="K148" s="768" t="str">
        <f>IFERROR(__xludf.DUMMYFUNCTION("""COMPUTED_VALUE"""),"No")</f>
        <v>No</v>
      </c>
      <c r="L148" s="768" t="str">
        <f>IFERROR(__xludf.DUMMYFUNCTION("""COMPUTED_VALUE"""),"No")</f>
        <v>No</v>
      </c>
      <c r="M148" s="768" t="str">
        <f>IFERROR(__xludf.DUMMYFUNCTION("""COMPUTED_VALUE"""),"No")</f>
        <v>No</v>
      </c>
      <c r="N148" s="768"/>
      <c r="O148" s="768"/>
      <c r="P148" s="768"/>
      <c r="Q148" s="768"/>
      <c r="R148" s="768"/>
      <c r="S148" s="768"/>
      <c r="T148" s="768"/>
      <c r="U148" s="768"/>
      <c r="V148" s="768"/>
      <c r="W148" s="768"/>
      <c r="X148" s="768"/>
      <c r="Y148" s="768"/>
      <c r="Z148" s="768"/>
      <c r="AA148" s="768"/>
    </row>
    <row r="149" ht="30.0" customHeight="1">
      <c r="A149" s="768">
        <f t="array" ref="A149">XLOOKUP(C149,'High School Players'!D:D,'High School Players'!K:K,"NO",0,1)</f>
        <v>0.1</v>
      </c>
      <c r="B149" s="975">
        <f>IFERROR(__xludf.DUMMYFUNCTION("""COMPUTED_VALUE"""),45850.43409775463)</f>
        <v>45850.4341</v>
      </c>
      <c r="C149" s="768" t="str">
        <f>IFERROR(__xludf.DUMMYFUNCTION("""COMPUTED_VALUE"""),"Ethan Wisler")</f>
        <v>Ethan Wisler</v>
      </c>
      <c r="D149" s="768" t="str">
        <f>IFERROR(__xludf.DUMMYFUNCTION("""COMPUTED_VALUE"""),"Ejwisler@gmail.com")</f>
        <v>Ejwisler@gmail.com</v>
      </c>
      <c r="E149" s="768" t="str">
        <f>IFERROR(__xludf.DUMMYFUNCTION("""COMPUTED_VALUE"""),"6’2”/175 lbs")</f>
        <v>6’2”/175 lbs</v>
      </c>
      <c r="F149" s="768" t="str">
        <f>IFERROR(__xludf.DUMMYFUNCTION("""COMPUTED_VALUE"""),"RHP/OF")</f>
        <v>RHP/OF</v>
      </c>
      <c r="G149" s="768" t="str">
        <f>IFERROR(__xludf.DUMMYFUNCTION("""COMPUTED_VALUE"""),"HS stats: IP: 45 Record: 4-1 ERA: 2.18 K: 48 BAA: .211 WHIP: 1.36 FB max velocity: 88 mph; BA: .359 (.450 in conference play) OBP: .488 SLG: .531 OPS: 1.019 H: 23 XBH: 7 HR: 1 RBI: 17. All conference and all region")</f>
        <v>HS stats: IP: 45 Record: 4-1 ERA: 2.18 K: 48 BAA: .211 WHIP: 1.36 FB max velocity: 88 mph; BA: .359 (.450 in conference play) OBP: .488 SLG: .531 OPS: 1.019 H: 23 XBH: 7 HR: 1 RBI: 17. All conference and all region</v>
      </c>
      <c r="H149" s="768" t="str">
        <f>IFERROR(__xludf.DUMMYFUNCTION("""COMPUTED_VALUE"""),"3.91/4.375")</f>
        <v>3.91/4.375</v>
      </c>
      <c r="I149" s="768" t="str">
        <f>IFERROR(__xludf.DUMMYFUNCTION("""COMPUTED_VALUE"""),"NA")</f>
        <v>NA</v>
      </c>
      <c r="J149" s="768" t="str">
        <f>IFERROR(__xludf.DUMMYFUNCTION("""COMPUTED_VALUE"""),"None")</f>
        <v>None</v>
      </c>
      <c r="K149" s="768" t="str">
        <f>IFERROR(__xludf.DUMMYFUNCTION("""COMPUTED_VALUE"""),"None")</f>
        <v>None</v>
      </c>
      <c r="L149" s="768" t="str">
        <f>IFERROR(__xludf.DUMMYFUNCTION("""COMPUTED_VALUE"""),"None")</f>
        <v>None</v>
      </c>
      <c r="M149" s="768" t="str">
        <f>IFERROR(__xludf.DUMMYFUNCTION("""COMPUTED_VALUE"""),"None")</f>
        <v>None</v>
      </c>
      <c r="N149" s="768">
        <f>IFERROR(__xludf.DUMMYFUNCTION("""COMPUTED_VALUE"""),2027.0)</f>
        <v>2027</v>
      </c>
      <c r="O149" s="768"/>
      <c r="P149" s="768"/>
      <c r="Q149" s="768"/>
      <c r="R149" s="768"/>
      <c r="S149" s="768"/>
      <c r="T149" s="768"/>
      <c r="U149" s="768"/>
      <c r="V149" s="768"/>
      <c r="W149" s="768"/>
      <c r="X149" s="768"/>
      <c r="Y149" s="768"/>
      <c r="Z149" s="768"/>
      <c r="AA149" s="768"/>
    </row>
    <row r="150" ht="30.0" customHeight="1">
      <c r="A150" s="768">
        <f t="array" ref="A150">XLOOKUP(C150,'High School Players'!D:D,'High School Players'!K:K,"NO",0,1)</f>
        <v>0.1</v>
      </c>
      <c r="B150" s="975">
        <f>IFERROR(__xludf.DUMMYFUNCTION("""COMPUTED_VALUE"""),45850.49983954861)</f>
        <v>45850.49984</v>
      </c>
      <c r="C150" s="768" t="str">
        <f>IFERROR(__xludf.DUMMYFUNCTION("""COMPUTED_VALUE"""),"Conor Secrist")</f>
        <v>Conor Secrist</v>
      </c>
      <c r="D150" s="768" t="str">
        <f>IFERROR(__xludf.DUMMYFUNCTION("""COMPUTED_VALUE"""),"cjsecrist@gmail.com")</f>
        <v>cjsecrist@gmail.com</v>
      </c>
      <c r="E150" s="768" t="str">
        <f>IFERROR(__xludf.DUMMYFUNCTION("""COMPUTED_VALUE"""),"6’3”/200 lbs")</f>
        <v>6’3”/200 lbs</v>
      </c>
      <c r="F150" s="768" t="str">
        <f>IFERROR(__xludf.DUMMYFUNCTION("""COMPUTED_VALUE"""),"SS, 3B, 2B")</f>
        <v>SS, 3B, 2B</v>
      </c>
      <c r="G150" s="768" t="str">
        <f>IFERROR(__xludf.DUMMYFUNCTION("""COMPUTED_VALUE"""),"I hit .411 with 30 hits, 23 RBIs, and 24 runs for Saint John’s High School.  Some of my accomplishments are Catholic Conference Champion, 2x Catholic Conference All-Star, 2x Massachusetts Baseball Coaches Association All-Star, 2x Worcester T&amp;G Superteam N"&amp;"ominee, Boston Herald All-Scholastic, NEBJ All-MIAA Team, and 3x MIAA Division 1 Final Four Appearances. ")</f>
        <v>I hit .411 with 30 hits, 23 RBIs, and 24 runs for Saint John’s High School.  Some of my accomplishments are Catholic Conference Champion, 2x Catholic Conference All-Star, 2x Massachusetts Baseball Coaches Association All-Star, 2x Worcester T&amp;G Superteam Nominee, Boston Herald All-Scholastic, NEBJ All-MIAA Team, and 3x MIAA Division 1 Final Four Appearances. </v>
      </c>
      <c r="H150" s="768" t="str">
        <f>IFERROR(__xludf.DUMMYFUNCTION("""COMPUTED_VALUE"""),"3.24/3.68")</f>
        <v>3.24/3.68</v>
      </c>
      <c r="I150" s="768" t="str">
        <f>IFERROR(__xludf.DUMMYFUNCTION("""COMPUTED_VALUE"""),"1300 SAT")</f>
        <v>1300 SAT</v>
      </c>
      <c r="J150" s="768" t="str">
        <f>IFERROR(__xludf.DUMMYFUNCTION("""COMPUTED_VALUE"""),"Labrum surgery in my left shoulder")</f>
        <v>Labrum surgery in my left shoulder</v>
      </c>
      <c r="K150" s="768"/>
      <c r="L150" s="768"/>
      <c r="M150" s="768"/>
      <c r="N150" s="768">
        <f>IFERROR(__xludf.DUMMYFUNCTION("""COMPUTED_VALUE"""),2026.0)</f>
        <v>2026</v>
      </c>
      <c r="O150" s="768"/>
      <c r="P150" s="768"/>
      <c r="Q150" s="768"/>
      <c r="R150" s="768"/>
      <c r="S150" s="768"/>
      <c r="T150" s="768"/>
      <c r="U150" s="768"/>
      <c r="V150" s="768"/>
      <c r="W150" s="768"/>
      <c r="X150" s="768"/>
      <c r="Y150" s="768"/>
      <c r="Z150" s="768"/>
      <c r="AA150" s="768"/>
    </row>
    <row r="151" ht="30.0" customHeight="1">
      <c r="A151" s="768" t="str">
        <f t="array" ref="A151">XLOOKUP(C151,'High School Players'!D:D,'High School Players'!K:K,"NO",0,1)</f>
        <v>XX</v>
      </c>
      <c r="B151" s="975">
        <f>IFERROR(__xludf.DUMMYFUNCTION("""COMPUTED_VALUE"""),45850.95245917824)</f>
        <v>45850.95246</v>
      </c>
      <c r="C151" s="768" t="str">
        <f>IFERROR(__xludf.DUMMYFUNCTION("""COMPUTED_VALUE"""),"Sebastien Walsh")</f>
        <v>Sebastien Walsh</v>
      </c>
      <c r="D151" s="768" t="str">
        <f>IFERROR(__xludf.DUMMYFUNCTION("""COMPUTED_VALUE"""),"sebasswalsh@gmail.com")</f>
        <v>sebasswalsh@gmail.com</v>
      </c>
      <c r="E151" s="768" t="str">
        <f>IFERROR(__xludf.DUMMYFUNCTION("""COMPUTED_VALUE"""),"6’4 200")</f>
        <v>6’4 200</v>
      </c>
      <c r="F151" s="768" t="str">
        <f>IFERROR(__xludf.DUMMYFUNCTION("""COMPUTED_VALUE"""),"LHP")</f>
        <v>LHP</v>
      </c>
      <c r="G151" s="768" t="str">
        <f>IFERROR(__xludf.DUMMYFUNCTION("""COMPUTED_VALUE"""),"45.1 inn 42h 19er 52 k 2.934 era")</f>
        <v>45.1 inn 42h 19er 52 k 2.934 era</v>
      </c>
      <c r="H151" s="768">
        <f>IFERROR(__xludf.DUMMYFUNCTION("""COMPUTED_VALUE"""),4.1)</f>
        <v>4.1</v>
      </c>
      <c r="I151" s="768">
        <f>IFERROR(__xludf.DUMMYFUNCTION("""COMPUTED_VALUE"""),34.0)</f>
        <v>34</v>
      </c>
      <c r="J151" s="768" t="str">
        <f>IFERROR(__xludf.DUMMYFUNCTION("""COMPUTED_VALUE"""),"None")</f>
        <v>None</v>
      </c>
      <c r="K151" s="768" t="str">
        <f>IFERROR(__xludf.DUMMYFUNCTION("""COMPUTED_VALUE"""),"No")</f>
        <v>No</v>
      </c>
      <c r="L151" s="768" t="str">
        <f>IFERROR(__xludf.DUMMYFUNCTION("""COMPUTED_VALUE"""),"No")</f>
        <v>No</v>
      </c>
      <c r="M151" s="768" t="str">
        <f>IFERROR(__xludf.DUMMYFUNCTION("""COMPUTED_VALUE"""),"No")</f>
        <v>No</v>
      </c>
      <c r="N151" s="768">
        <f>IFERROR(__xludf.DUMMYFUNCTION("""COMPUTED_VALUE"""),2026.0)</f>
        <v>2026</v>
      </c>
      <c r="O151" s="768"/>
      <c r="P151" s="768"/>
      <c r="Q151" s="768"/>
      <c r="R151" s="768"/>
      <c r="S151" s="768"/>
      <c r="T151" s="768"/>
      <c r="U151" s="768"/>
      <c r="V151" s="768"/>
      <c r="W151" s="768"/>
      <c r="X151" s="768"/>
      <c r="Y151" s="768"/>
      <c r="Z151" s="768"/>
      <c r="AA151" s="768"/>
    </row>
    <row r="152" ht="30.0" customHeight="1">
      <c r="A152" s="768" t="str">
        <f t="array" ref="A152">XLOOKUP(C152,'High School Players'!D:D,'High School Players'!K:K,"NO",0,1)</f>
        <v>NO</v>
      </c>
      <c r="B152" s="975">
        <f>IFERROR(__xludf.DUMMYFUNCTION("""COMPUTED_VALUE"""),45850.996667581014)</f>
        <v>45850.99667</v>
      </c>
      <c r="C152" s="768" t="str">
        <f>IFERROR(__xludf.DUMMYFUNCTION("""COMPUTED_VALUE"""),"Drew Payne ")</f>
        <v>Drew Payne </v>
      </c>
      <c r="D152" s="768" t="str">
        <f>IFERROR(__xludf.DUMMYFUNCTION("""COMPUTED_VALUE"""),"dtpayne05@gmail.com")</f>
        <v>dtpayne05@gmail.com</v>
      </c>
      <c r="E152" s="768" t="str">
        <f>IFERROR(__xludf.DUMMYFUNCTION("""COMPUTED_VALUE"""),"6ft 215")</f>
        <v>6ft 215</v>
      </c>
      <c r="F152" s="768" t="str">
        <f>IFERROR(__xludf.DUMMYFUNCTION("""COMPUTED_VALUE"""),"RHP")</f>
        <v>RHP</v>
      </c>
      <c r="G152" s="768" t="str">
        <f>IFERROR(__xludf.DUMMYFUNCTION("""COMPUTED_VALUE"""),"66.1 IP 1.68 ERA .92 WHIP 33H 16ER 103K 28BB 9-0 W/L 1 Save GHSA AA-8 Region Pitcher of the Year/ GHSA All State First Team 2025 ")</f>
        <v>66.1 IP 1.68 ERA .92 WHIP 33H 16ER 103K 28BB 9-0 W/L 1 Save GHSA AA-8 Region Pitcher of the Year/ GHSA All State First Team 2025 </v>
      </c>
      <c r="H152" s="768">
        <f>IFERROR(__xludf.DUMMYFUNCTION("""COMPUTED_VALUE"""),3.8)</f>
        <v>3.8</v>
      </c>
      <c r="I152" s="768" t="str">
        <f>IFERROR(__xludf.DUMMYFUNCTION("""COMPUTED_VALUE"""),"SAT-1080 ")</f>
        <v>SAT-1080 </v>
      </c>
      <c r="J152" s="768" t="str">
        <f>IFERROR(__xludf.DUMMYFUNCTION("""COMPUTED_VALUE"""),"None")</f>
        <v>None</v>
      </c>
      <c r="K152" s="768" t="str">
        <f>IFERROR(__xludf.DUMMYFUNCTION("""COMPUTED_VALUE"""),"None")</f>
        <v>None</v>
      </c>
      <c r="L152" s="768" t="str">
        <f>IFERROR(__xludf.DUMMYFUNCTION("""COMPUTED_VALUE"""),"None")</f>
        <v>None</v>
      </c>
      <c r="M152" s="768" t="str">
        <f>IFERROR(__xludf.DUMMYFUNCTION("""COMPUTED_VALUE"""),"None")</f>
        <v>None</v>
      </c>
      <c r="N152" s="768">
        <f>IFERROR(__xludf.DUMMYFUNCTION("""COMPUTED_VALUE"""),2026.0)</f>
        <v>2026</v>
      </c>
      <c r="O152" s="768"/>
      <c r="P152" s="768"/>
      <c r="Q152" s="768"/>
      <c r="R152" s="768"/>
      <c r="S152" s="768"/>
      <c r="T152" s="768"/>
      <c r="U152" s="768"/>
      <c r="V152" s="768"/>
      <c r="W152" s="768"/>
      <c r="X152" s="768"/>
      <c r="Y152" s="768"/>
      <c r="Z152" s="768"/>
      <c r="AA152" s="768"/>
    </row>
    <row r="153" ht="30.0" customHeight="1">
      <c r="A153" s="768" t="str">
        <f t="array" ref="A153">XLOOKUP(C153,'High School Players'!D:D,'High School Players'!K:K,"NO",0,1)</f>
        <v>NO</v>
      </c>
      <c r="B153" s="975">
        <f>IFERROR(__xludf.DUMMYFUNCTION("""COMPUTED_VALUE"""),45851.50045075231)</f>
        <v>45851.50045</v>
      </c>
      <c r="C153" s="768" t="str">
        <f>IFERROR(__xludf.DUMMYFUNCTION("""COMPUTED_VALUE"""),"Patrck Freeman")</f>
        <v>Patrck Freeman</v>
      </c>
      <c r="D153" s="768" t="str">
        <f>IFERROR(__xludf.DUMMYFUNCTION("""COMPUTED_VALUE"""),"ptfreeman7@gmail.com")</f>
        <v>ptfreeman7@gmail.com</v>
      </c>
      <c r="E153" s="768" t="str">
        <f>IFERROR(__xludf.DUMMYFUNCTION("""COMPUTED_VALUE"""),"6’1 170")</f>
        <v>6’1 170</v>
      </c>
      <c r="F153" s="768" t="str">
        <f>IFERROR(__xludf.DUMMYFUNCTION("""COMPUTED_VALUE"""),"RHP")</f>
        <v>RHP</v>
      </c>
      <c r="G153" s="768" t="str">
        <f>IFERROR(__xludf.DUMMYFUNCTION("""COMPUTED_VALUE"""),"51.1 IP 9 Games Pitched  9 Games Started  207 Batters Faced  828 Pitches Thrown 4-3 Record 25 Hits  19 Runs  10 Earned Runs  20 BB 93 Strikeouts 43 Strikeouts Looking  1.364 Earned Run Average (ERA) .877 WHIP .140 BAA.      Summer- 30 Innings  23 Hits 4 B"&amp;"B 9 ER 34 K")</f>
        <v>51.1 IP 9 Games Pitched  9 Games Started  207 Batters Faced  828 Pitches Thrown 4-3 Record 25 Hits  19 Runs  10 Earned Runs  20 BB 93 Strikeouts 43 Strikeouts Looking  1.364 Earned Run Average (ERA) .877 WHIP .140 BAA.      Summer- 30 Innings  23 Hits 4 BB 9 ER 34 K</v>
      </c>
      <c r="H153" s="768" t="str">
        <f>IFERROR(__xludf.DUMMYFUNCTION("""COMPUTED_VALUE"""),"Unweighted 3.8")</f>
        <v>Unweighted 3.8</v>
      </c>
      <c r="I153" s="768" t="str">
        <f>IFERROR(__xludf.DUMMYFUNCTION("""COMPUTED_VALUE"""),"ACT- 28")</f>
        <v>ACT- 28</v>
      </c>
      <c r="J153" s="768"/>
      <c r="K153" s="768"/>
      <c r="L153" s="768"/>
      <c r="M153" s="768" t="str">
        <f>IFERROR(__xludf.DUMMYFUNCTION("""COMPUTED_VALUE"""),"no")</f>
        <v>no</v>
      </c>
      <c r="N153" s="768">
        <f>IFERROR(__xludf.DUMMYFUNCTION("""COMPUTED_VALUE"""),2026.0)</f>
        <v>2026</v>
      </c>
      <c r="O153" s="768"/>
      <c r="P153" s="768"/>
      <c r="Q153" s="768"/>
      <c r="R153" s="768"/>
      <c r="S153" s="768"/>
      <c r="T153" s="768"/>
      <c r="U153" s="768"/>
      <c r="V153" s="768"/>
      <c r="W153" s="768"/>
      <c r="X153" s="768"/>
      <c r="Y153" s="768"/>
      <c r="Z153" s="768"/>
      <c r="AA153" s="768"/>
    </row>
    <row r="154" ht="30.0" customHeight="1">
      <c r="A154" s="768" t="str">
        <f t="array" ref="A154">XLOOKUP(C154,'High School Players'!D:D,'High School Players'!K:K,"NO",0,1)</f>
        <v>XX</v>
      </c>
      <c r="B154" s="975">
        <f>IFERROR(__xludf.DUMMYFUNCTION("""COMPUTED_VALUE"""),45852.044969826384)</f>
        <v>45852.04497</v>
      </c>
      <c r="C154" s="768" t="str">
        <f>IFERROR(__xludf.DUMMYFUNCTION("""COMPUTED_VALUE"""),"Hayden Yandell")</f>
        <v>Hayden Yandell</v>
      </c>
      <c r="D154" s="768" t="str">
        <f>IFERROR(__xludf.DUMMYFUNCTION("""COMPUTED_VALUE"""),"hyandell2026@gmail.com")</f>
        <v>hyandell2026@gmail.com</v>
      </c>
      <c r="E154" s="768" t="str">
        <f>IFERROR(__xludf.DUMMYFUNCTION("""COMPUTED_VALUE"""),"6’4” - 175 ")</f>
        <v>6’4” - 175 </v>
      </c>
      <c r="F154" s="768" t="str">
        <f>IFERROR(__xludf.DUMMYFUNCTION("""COMPUTED_VALUE"""),"RHP")</f>
        <v>RHP</v>
      </c>
      <c r="G154" s="768" t="str">
        <f>IFERROR(__xludf.DUMMYFUNCTION("""COMPUTED_VALUE"""),"High School: TSSAA DII–AA All-Region team and my pitching stats are as follows: IP 60, GP 13, GS 10, BF 262, #P 955, W 4, L 3, H 55, R 35, ER 17, BB 19, SO 53, K-L 23, HBP 6, ERA 1.983, WHIP 1.233, LOB 47, BK 1, PIK 0, CS 4, SB 7, SB% 63.64, WP 3, BAA 0.2"&amp;"39, and my top fastball velo is 88. ")</f>
        <v>High School: TSSAA DII–AA All-Region team and my pitching stats are as follows: IP 60, GP 13, GS 10, BF 262, #P 955, W 4, L 3, H 55, R 35, ER 17, BB 19, SO 53, K-L 23, HBP 6, ERA 1.983, WHIP 1.233, LOB 47, BK 1, PIK 0, CS 4, SB 7, SB% 63.64, WP 3, BAA 0.239, and my top fastball velo is 88. </v>
      </c>
      <c r="H154" s="768" t="str">
        <f>IFERROR(__xludf.DUMMYFUNCTION("""COMPUTED_VALUE"""),"3.8 GPA")</f>
        <v>3.8 GPA</v>
      </c>
      <c r="I154" s="768" t="str">
        <f>IFERROR(__xludf.DUMMYFUNCTION("""COMPUTED_VALUE"""),"Yet to take")</f>
        <v>Yet to take</v>
      </c>
      <c r="J154" s="768" t="str">
        <f>IFERROR(__xludf.DUMMYFUNCTION("""COMPUTED_VALUE"""),"None")</f>
        <v>None</v>
      </c>
      <c r="K154" s="768" t="str">
        <f>IFERROR(__xludf.DUMMYFUNCTION("""COMPUTED_VALUE"""),"No")</f>
        <v>No</v>
      </c>
      <c r="L154" s="768" t="str">
        <f>IFERROR(__xludf.DUMMYFUNCTION("""COMPUTED_VALUE"""),"No")</f>
        <v>No</v>
      </c>
      <c r="M154" s="768" t="str">
        <f>IFERROR(__xludf.DUMMYFUNCTION("""COMPUTED_VALUE"""),"No")</f>
        <v>No</v>
      </c>
      <c r="N154" s="768">
        <f>IFERROR(__xludf.DUMMYFUNCTION("""COMPUTED_VALUE"""),2026.0)</f>
        <v>2026</v>
      </c>
      <c r="O154" s="768"/>
      <c r="P154" s="768"/>
      <c r="Q154" s="768"/>
      <c r="R154" s="768"/>
      <c r="S154" s="768"/>
      <c r="T154" s="768"/>
      <c r="U154" s="768"/>
      <c r="V154" s="768"/>
      <c r="W154" s="768"/>
      <c r="X154" s="768"/>
      <c r="Y154" s="768"/>
      <c r="Z154" s="768"/>
      <c r="AA154" s="768"/>
    </row>
    <row r="155" ht="30.0" customHeight="1">
      <c r="A155" s="768" t="str">
        <f t="array" ref="A155">XLOOKUP(C155,'High School Players'!D:D,'High School Players'!K:K,"NO",0,1)</f>
        <v>XX</v>
      </c>
      <c r="B155" s="975">
        <f>IFERROR(__xludf.DUMMYFUNCTION("""COMPUTED_VALUE"""),45852.54009538195)</f>
        <v>45852.5401</v>
      </c>
      <c r="C155" s="768" t="str">
        <f>IFERROR(__xludf.DUMMYFUNCTION("""COMPUTED_VALUE"""),"Max mckenna")</f>
        <v>Max mckenna</v>
      </c>
      <c r="D155" s="768" t="str">
        <f>IFERROR(__xludf.DUMMYFUNCTION("""COMPUTED_VALUE"""),"mdubmckenna26@gmail.com")</f>
        <v>mdubmckenna26@gmail.com</v>
      </c>
      <c r="E155" s="768" t="str">
        <f>IFERROR(__xludf.DUMMYFUNCTION("""COMPUTED_VALUE"""),"6’3 190")</f>
        <v>6’3 190</v>
      </c>
      <c r="F155" s="768" t="str">
        <f>IFERROR(__xludf.DUMMYFUNCTION("""COMPUTED_VALUE"""),"RHP")</f>
        <v>RHP</v>
      </c>
      <c r="G155" s="768" t="str">
        <f>IFERROR(__xludf.DUMMYFUNCTION("""COMPUTED_VALUE"""),"FB 90-93 CB 73-75 CH 78-80 1.9 HS ERA")</f>
        <v>FB 90-93 CB 73-75 CH 78-80 1.9 HS ERA</v>
      </c>
      <c r="H155" s="768" t="str">
        <f>IFERROR(__xludf.DUMMYFUNCTION("""COMPUTED_VALUE"""),"3.7/3.9")</f>
        <v>3.7/3.9</v>
      </c>
      <c r="I155" s="768" t="str">
        <f>IFERROR(__xludf.DUMMYFUNCTION("""COMPUTED_VALUE"""),"None")</f>
        <v>None</v>
      </c>
      <c r="J155" s="768" t="str">
        <f>IFERROR(__xludf.DUMMYFUNCTION("""COMPUTED_VALUE"""),"None")</f>
        <v>None</v>
      </c>
      <c r="K155" s="768" t="str">
        <f>IFERROR(__xludf.DUMMYFUNCTION("""COMPUTED_VALUE"""),"None")</f>
        <v>None</v>
      </c>
      <c r="L155" s="768"/>
      <c r="M155" s="768"/>
      <c r="N155" s="768">
        <f>IFERROR(__xludf.DUMMYFUNCTION("""COMPUTED_VALUE"""),2026.0)</f>
        <v>2026</v>
      </c>
      <c r="O155" s="768"/>
      <c r="P155" s="768"/>
      <c r="Q155" s="768"/>
      <c r="R155" s="768"/>
      <c r="S155" s="768"/>
      <c r="T155" s="768"/>
      <c r="U155" s="768"/>
      <c r="V155" s="768"/>
      <c r="W155" s="768"/>
      <c r="X155" s="768"/>
      <c r="Y155" s="768"/>
      <c r="Z155" s="768"/>
      <c r="AA155" s="768"/>
    </row>
    <row r="156" ht="30.0" customHeight="1">
      <c r="A156" s="768" t="str">
        <f t="array" ref="A156">XLOOKUP(C156,'High School Players'!D:D,'High School Players'!K:K,"NO",0,1)</f>
        <v>XX</v>
      </c>
      <c r="B156" s="975">
        <f>IFERROR(__xludf.DUMMYFUNCTION("""COMPUTED_VALUE"""),45852.67568767361)</f>
        <v>45852.67569</v>
      </c>
      <c r="C156" s="768" t="str">
        <f>IFERROR(__xludf.DUMMYFUNCTION("""COMPUTED_VALUE"""),"Tanner Evans")</f>
        <v>Tanner Evans</v>
      </c>
      <c r="D156" s="768" t="str">
        <f>IFERROR(__xludf.DUMMYFUNCTION("""COMPUTED_VALUE"""),"tannerfevans2@gmail.com")</f>
        <v>tannerfevans2@gmail.com</v>
      </c>
      <c r="E156" s="768" t="str">
        <f>IFERROR(__xludf.DUMMYFUNCTION("""COMPUTED_VALUE"""),"5’11 170")</f>
        <v>5’11 170</v>
      </c>
      <c r="F156" s="768" t="str">
        <f>IFERROR(__xludf.DUMMYFUNCTION("""COMPUTED_VALUE"""),"SS/2B")</f>
        <v>SS/2B</v>
      </c>
      <c r="G156" s="768" t="str">
        <f>IFERROR(__xludf.DUMMYFUNCTION("""COMPUTED_VALUE"""),"Summer: .477 AVG 11SB 17R 21Hits/Ranked#5 in NE/PG National Showcase/Future Games/Preseason PG 1st Team All Central Region")</f>
        <v>Summer: .477 AVG 11SB 17R 21Hits/Ranked#5 in NE/PG National Showcase/Future Games/Preseason PG 1st Team All Central Region</v>
      </c>
      <c r="H156" s="768" t="str">
        <f>IFERROR(__xludf.DUMMYFUNCTION("""COMPUTED_VALUE"""),"4.0/4.02")</f>
        <v>4.0/4.02</v>
      </c>
      <c r="I156" s="768" t="str">
        <f>IFERROR(__xludf.DUMMYFUNCTION("""COMPUTED_VALUE"""),"24 ACT")</f>
        <v>24 ACT</v>
      </c>
      <c r="J156" s="768"/>
      <c r="K156" s="768" t="str">
        <f>IFERROR(__xludf.DUMMYFUNCTION("""COMPUTED_VALUE"""),"Penicillin")</f>
        <v>Penicillin</v>
      </c>
      <c r="L156" s="768"/>
      <c r="M156" s="768"/>
      <c r="N156" s="768">
        <f>IFERROR(__xludf.DUMMYFUNCTION("""COMPUTED_VALUE"""),2026.0)</f>
        <v>2026</v>
      </c>
      <c r="O156" s="768"/>
      <c r="P156" s="768"/>
      <c r="Q156" s="768"/>
      <c r="R156" s="768"/>
      <c r="S156" s="768"/>
      <c r="T156" s="768"/>
      <c r="U156" s="768"/>
      <c r="V156" s="768"/>
      <c r="W156" s="768"/>
      <c r="X156" s="768"/>
      <c r="Y156" s="768"/>
      <c r="Z156" s="768"/>
      <c r="AA156" s="768"/>
    </row>
    <row r="157" ht="30.0" customHeight="1">
      <c r="A157" s="768" t="str">
        <f t="array" ref="A157">XLOOKUP(C157,'High School Players'!D:D,'High School Players'!K:K,"NO",0,1)</f>
        <v>XX</v>
      </c>
      <c r="B157" s="975">
        <f>IFERROR(__xludf.DUMMYFUNCTION("""COMPUTED_VALUE"""),45852.797210034725)</f>
        <v>45852.79721</v>
      </c>
      <c r="C157" s="768" t="str">
        <f>IFERROR(__xludf.DUMMYFUNCTION("""COMPUTED_VALUE"""),"Jack Pritchett")</f>
        <v>Jack Pritchett</v>
      </c>
      <c r="D157" s="768" t="str">
        <f>IFERROR(__xludf.DUMMYFUNCTION("""COMPUTED_VALUE"""),"jack.pritchett@me.com")</f>
        <v>jack.pritchett@me.com</v>
      </c>
      <c r="E157" s="768" t="str">
        <f>IFERROR(__xludf.DUMMYFUNCTION("""COMPUTED_VALUE"""),"6'3 175lbs")</f>
        <v>6'3 175lbs</v>
      </c>
      <c r="F157" s="768" t="str">
        <f>IFERROR(__xludf.DUMMYFUNCTION("""COMPUTED_VALUE"""),"RHP")</f>
        <v>RHP</v>
      </c>
      <c r="G157" s="768" t="str">
        <f>IFERROR(__xludf.DUMMYFUNCTION("""COMPUTED_VALUE"""),"High School ERA-1.6 IP-26 SO-35   ")</f>
        <v>High School ERA-1.6 IP-26 SO-35   </v>
      </c>
      <c r="H157" s="768" t="str">
        <f>IFERROR(__xludf.DUMMYFUNCTION("""COMPUTED_VALUE"""),"4.0/4.4")</f>
        <v>4.0/4.4</v>
      </c>
      <c r="I157" s="768" t="str">
        <f>IFERROR(__xludf.DUMMYFUNCTION("""COMPUTED_VALUE"""),"Act-31")</f>
        <v>Act-31</v>
      </c>
      <c r="J157" s="768" t="str">
        <f>IFERROR(__xludf.DUMMYFUNCTION("""COMPUTED_VALUE"""),"Stress fracture in elbow at age 14")</f>
        <v>Stress fracture in elbow at age 14</v>
      </c>
      <c r="K157" s="768" t="str">
        <f>IFERROR(__xludf.DUMMYFUNCTION("""COMPUTED_VALUE"""),"None")</f>
        <v>None</v>
      </c>
      <c r="L157" s="768" t="str">
        <f>IFERROR(__xludf.DUMMYFUNCTION("""COMPUTED_VALUE"""),"None")</f>
        <v>None</v>
      </c>
      <c r="M157" s="768" t="str">
        <f>IFERROR(__xludf.DUMMYFUNCTION("""COMPUTED_VALUE"""),"None")</f>
        <v>None</v>
      </c>
      <c r="N157" s="768">
        <f>IFERROR(__xludf.DUMMYFUNCTION("""COMPUTED_VALUE"""),2026.0)</f>
        <v>2026</v>
      </c>
      <c r="O157" s="768"/>
      <c r="P157" s="768"/>
      <c r="Q157" s="768"/>
      <c r="R157" s="768"/>
      <c r="S157" s="768"/>
      <c r="T157" s="768"/>
      <c r="U157" s="768"/>
      <c r="V157" s="768"/>
      <c r="W157" s="768"/>
      <c r="X157" s="768"/>
      <c r="Y157" s="768"/>
      <c r="Z157" s="768"/>
      <c r="AA157" s="768"/>
    </row>
    <row r="158" ht="30.0" customHeight="1">
      <c r="A158" s="768" t="str">
        <f t="array" ref="A158">XLOOKUP(C158,'High School Players'!D:D,'High School Players'!K:K,"NO",0,1)</f>
        <v>NO</v>
      </c>
      <c r="B158" s="975">
        <f>IFERROR(__xludf.DUMMYFUNCTION("""COMPUTED_VALUE"""),45853.59336760417)</f>
        <v>45853.59337</v>
      </c>
      <c r="C158" s="768" t="str">
        <f>IFERROR(__xludf.DUMMYFUNCTION("""COMPUTED_VALUE"""),"Alexander Pavia")</f>
        <v>Alexander Pavia</v>
      </c>
      <c r="D158" s="768" t="str">
        <f>IFERROR(__xludf.DUMMYFUNCTION("""COMPUTED_VALUE"""),"apavia23@yahoo.com")</f>
        <v>apavia23@yahoo.com</v>
      </c>
      <c r="E158" s="768" t="str">
        <f>IFERROR(__xludf.DUMMYFUNCTION("""COMPUTED_VALUE"""),"5’7 165")</f>
        <v>5’7 165</v>
      </c>
      <c r="F158" s="768" t="str">
        <f>IFERROR(__xludf.DUMMYFUNCTION("""COMPUTED_VALUE"""),"SS/2B")</f>
        <v>SS/2B</v>
      </c>
      <c r="G158" s="768" t="str">
        <f>IFERROR(__xludf.DUMMYFUNCTION("""COMPUTED_VALUE"""),"Prosper High School Stats 2025: .344/.464/.918 | All District Infielder | 21st in Hits for Texas 6A | Academic All District")</f>
        <v>Prosper High School Stats 2025: .344/.464/.918 | All District Infielder | 21st in Hits for Texas 6A | Academic All District</v>
      </c>
      <c r="H158" s="768" t="str">
        <f>IFERROR(__xludf.DUMMYFUNCTION("""COMPUTED_VALUE"""),"4.0/5.110")</f>
        <v>4.0/5.110</v>
      </c>
      <c r="I158" s="768" t="str">
        <f>IFERROR(__xludf.DUMMYFUNCTION("""COMPUTED_VALUE"""),"SAT: 1270 (two more scheduled for the fall)")</f>
        <v>SAT: 1270 (two more scheduled for the fall)</v>
      </c>
      <c r="J158" s="768" t="str">
        <f>IFERROR(__xludf.DUMMYFUNCTION("""COMPUTED_VALUE"""),"N/A")</f>
        <v>N/A</v>
      </c>
      <c r="K158" s="768" t="str">
        <f>IFERROR(__xludf.DUMMYFUNCTION("""COMPUTED_VALUE"""),"N/A")</f>
        <v>N/A</v>
      </c>
      <c r="L158" s="768" t="str">
        <f>IFERROR(__xludf.DUMMYFUNCTION("""COMPUTED_VALUE"""),"N/A")</f>
        <v>N/A</v>
      </c>
      <c r="M158" s="768" t="str">
        <f>IFERROR(__xludf.DUMMYFUNCTION("""COMPUTED_VALUE"""),"N/A")</f>
        <v>N/A</v>
      </c>
      <c r="N158" s="768">
        <f>IFERROR(__xludf.DUMMYFUNCTION("""COMPUTED_VALUE"""),2026.0)</f>
        <v>2026</v>
      </c>
      <c r="O158" s="768"/>
      <c r="P158" s="768"/>
      <c r="Q158" s="768"/>
      <c r="R158" s="768"/>
      <c r="S158" s="768"/>
      <c r="T158" s="768"/>
      <c r="U158" s="768"/>
      <c r="V158" s="768"/>
      <c r="W158" s="768"/>
      <c r="X158" s="768"/>
      <c r="Y158" s="768"/>
      <c r="Z158" s="768"/>
      <c r="AA158" s="768"/>
    </row>
    <row r="159" ht="30.0" customHeight="1">
      <c r="A159" s="768" t="str">
        <f t="array" ref="A159">XLOOKUP(C159,'High School Players'!D:D,'High School Players'!K:K,"NO",0,1)</f>
        <v>NO</v>
      </c>
      <c r="B159" s="975">
        <f>IFERROR(__xludf.DUMMYFUNCTION("""COMPUTED_VALUE"""),45854.94307474537)</f>
        <v>45854.94307</v>
      </c>
      <c r="C159" s="768" t="str">
        <f>IFERROR(__xludf.DUMMYFUNCTION("""COMPUTED_VALUE"""),"Jax Racht ")</f>
        <v>Jax Racht </v>
      </c>
      <c r="D159" s="768" t="str">
        <f>IFERROR(__xludf.DUMMYFUNCTION("""COMPUTED_VALUE"""),"hawaiianice2014@gmail.com")</f>
        <v>hawaiianice2014@gmail.com</v>
      </c>
      <c r="E159" s="768" t="str">
        <f>IFERROR(__xludf.DUMMYFUNCTION("""COMPUTED_VALUE"""),"6’3” 205 lbs")</f>
        <v>6’3” 205 lbs</v>
      </c>
      <c r="F159" s="768" t="str">
        <f>IFERROR(__xludf.DUMMYFUNCTION("""COMPUTED_VALUE"""),"RHP")</f>
        <v>RHP</v>
      </c>
      <c r="G159" s="768" t="str">
        <f>IFERROR(__xludf.DUMMYFUNCTION("""COMPUTED_VALUE"""),"Jr year - IP: 55, K’s: 84, BB: 12, ERA: 1.2 (All-Conference, district and region &amp; Academic All-State)")</f>
        <v>Jr year - IP: 55, K’s: 84, BB: 12, ERA: 1.2 (All-Conference, district and region &amp; Academic All-State)</v>
      </c>
      <c r="H159" s="768">
        <f>IFERROR(__xludf.DUMMYFUNCTION("""COMPUTED_VALUE"""),4.0)</f>
        <v>4</v>
      </c>
      <c r="I159" s="768" t="str">
        <f>IFERROR(__xludf.DUMMYFUNCTION("""COMPUTED_VALUE"""),"SAT: 1010")</f>
        <v>SAT: 1010</v>
      </c>
      <c r="J159" s="768" t="str">
        <f>IFERROR(__xludf.DUMMYFUNCTION("""COMPUTED_VALUE"""),"None")</f>
        <v>None</v>
      </c>
      <c r="K159" s="768" t="str">
        <f>IFERROR(__xludf.DUMMYFUNCTION("""COMPUTED_VALUE"""),"None")</f>
        <v>None</v>
      </c>
      <c r="L159" s="768" t="str">
        <f>IFERROR(__xludf.DUMMYFUNCTION("""COMPUTED_VALUE"""),"None")</f>
        <v>None</v>
      </c>
      <c r="M159" s="768" t="str">
        <f>IFERROR(__xludf.DUMMYFUNCTION("""COMPUTED_VALUE"""),"None")</f>
        <v>None</v>
      </c>
      <c r="N159" s="768">
        <f>IFERROR(__xludf.DUMMYFUNCTION("""COMPUTED_VALUE"""),2026.0)</f>
        <v>2026</v>
      </c>
      <c r="O159" s="768"/>
      <c r="P159" s="768"/>
      <c r="Q159" s="768"/>
      <c r="R159" s="768"/>
      <c r="S159" s="768"/>
      <c r="T159" s="768"/>
      <c r="U159" s="768"/>
      <c r="V159" s="768"/>
      <c r="W159" s="768"/>
      <c r="X159" s="768"/>
      <c r="Y159" s="768"/>
      <c r="Z159" s="768"/>
      <c r="AA159" s="768"/>
    </row>
    <row r="160" ht="30.0" customHeight="1">
      <c r="A160" s="768" t="str">
        <f t="array" ref="A160">XLOOKUP(C160,'High School Players'!D:D,'High School Players'!K:K,"NO",0,1)</f>
        <v>NO</v>
      </c>
      <c r="B160" s="975">
        <f>IFERROR(__xludf.DUMMYFUNCTION("""COMPUTED_VALUE"""),45854.97356990741)</f>
        <v>45854.97357</v>
      </c>
      <c r="C160" s="768" t="str">
        <f>IFERROR(__xludf.DUMMYFUNCTION("""COMPUTED_VALUE"""),"Nate")</f>
        <v>Nate</v>
      </c>
      <c r="D160" s="768" t="str">
        <f>IFERROR(__xludf.DUMMYFUNCTION("""COMPUTED_VALUE"""),"nmillington33@gmail.com")</f>
        <v>nmillington33@gmail.com</v>
      </c>
      <c r="E160" s="768" t="str">
        <f>IFERROR(__xludf.DUMMYFUNCTION("""COMPUTED_VALUE"""),"6’3 180")</f>
        <v>6’3 180</v>
      </c>
      <c r="F160" s="768" t="str">
        <f>IFERROR(__xludf.DUMMYFUNCTION("""COMPUTED_VALUE"""),"Inf/of ")</f>
        <v>Inf/of </v>
      </c>
      <c r="G160" s="768" t="str">
        <f>IFERROR(__xludf.DUMMYFUNCTION("""COMPUTED_VALUE"""),"405 avg, 540 OBP 32 hits 19 SB 23 walks")</f>
        <v>405 avg, 540 OBP 32 hits 19 SB 23 walks</v>
      </c>
      <c r="H160" s="768" t="str">
        <f>IFERROR(__xludf.DUMMYFUNCTION("""COMPUTED_VALUE"""),"3.8 unweighted ")</f>
        <v>3.8 unweighted </v>
      </c>
      <c r="I160" s="768" t="str">
        <f>IFERROR(__xludf.DUMMYFUNCTION("""COMPUTED_VALUE"""),"Sat 1020")</f>
        <v>Sat 1020</v>
      </c>
      <c r="J160" s="768" t="str">
        <f>IFERROR(__xludf.DUMMYFUNCTION("""COMPUTED_VALUE"""),"Nuss procedure ")</f>
        <v>Nuss procedure </v>
      </c>
      <c r="K160" s="768" t="str">
        <f>IFERROR(__xludf.DUMMYFUNCTION("""COMPUTED_VALUE"""),"No")</f>
        <v>No</v>
      </c>
      <c r="L160" s="768" t="str">
        <f>IFERROR(__xludf.DUMMYFUNCTION("""COMPUTED_VALUE"""),"No")</f>
        <v>No</v>
      </c>
      <c r="M160" s="768" t="str">
        <f>IFERROR(__xludf.DUMMYFUNCTION("""COMPUTED_VALUE"""),"No")</f>
        <v>No</v>
      </c>
      <c r="N160" s="768">
        <f>IFERROR(__xludf.DUMMYFUNCTION("""COMPUTED_VALUE"""),20266.0)</f>
        <v>20266</v>
      </c>
      <c r="O160" s="768"/>
      <c r="P160" s="768"/>
      <c r="Q160" s="768"/>
      <c r="R160" s="768"/>
      <c r="S160" s="768"/>
      <c r="T160" s="768"/>
      <c r="U160" s="768"/>
      <c r="V160" s="768"/>
      <c r="W160" s="768"/>
      <c r="X160" s="768"/>
      <c r="Y160" s="768"/>
      <c r="Z160" s="768"/>
      <c r="AA160" s="768"/>
    </row>
    <row r="161" ht="30.0" customHeight="1">
      <c r="A161" s="768">
        <f t="array" ref="A161">XLOOKUP(C161,'High School Players'!D:D,'High School Players'!K:K,"NO",0,1)</f>
        <v>2</v>
      </c>
      <c r="B161" s="975">
        <f>IFERROR(__xludf.DUMMYFUNCTION("""COMPUTED_VALUE"""),45855.43212006944)</f>
        <v>45855.43212</v>
      </c>
      <c r="C161" s="768" t="str">
        <f>IFERROR(__xludf.DUMMYFUNCTION("""COMPUTED_VALUE"""),"Kayden Mansell")</f>
        <v>Kayden Mansell</v>
      </c>
      <c r="D161" s="768" t="str">
        <f>IFERROR(__xludf.DUMMYFUNCTION("""COMPUTED_VALUE"""),"km2026@kaydenmansell.com")</f>
        <v>km2026@kaydenmansell.com</v>
      </c>
      <c r="E161" s="768" t="str">
        <f>IFERROR(__xludf.DUMMYFUNCTION("""COMPUTED_VALUE"""),"6’0 198 ")</f>
        <v>6’0 198 </v>
      </c>
      <c r="F161" s="768" t="str">
        <f>IFERROR(__xludf.DUMMYFUNCTION("""COMPUTED_VALUE"""),"RHP")</f>
        <v>RHP</v>
      </c>
      <c r="G161" s="768" t="str">
        <f>IFERROR(__xludf.DUMMYFUNCTION("""COMPUTED_VALUE"""),"Spring- 28innings (started 7 games) 2W/2L 1save 19ER 28H 20bb  SUMMER- 11.2in 7H - 4ER - 11bb - 13K- 2.4 era ")</f>
        <v>Spring- 28innings (started 7 games) 2W/2L 1save 19ER 28H 20bb  SUMMER- 11.2in 7H - 4ER - 11bb - 13K- 2.4 era </v>
      </c>
      <c r="H161" s="768">
        <f>IFERROR(__xludf.DUMMYFUNCTION("""COMPUTED_VALUE"""),3.86)</f>
        <v>3.86</v>
      </c>
      <c r="I161" s="768" t="str">
        <f>IFERROR(__xludf.DUMMYFUNCTION("""COMPUTED_VALUE"""),"1000- SAT ")</f>
        <v>1000- SAT </v>
      </c>
      <c r="J161" s="768" t="str">
        <f>IFERROR(__xludf.DUMMYFUNCTION("""COMPUTED_VALUE"""),"None ")</f>
        <v>None </v>
      </c>
      <c r="K161" s="768" t="str">
        <f>IFERROR(__xludf.DUMMYFUNCTION("""COMPUTED_VALUE"""),"No ")</f>
        <v>No </v>
      </c>
      <c r="L161" s="768" t="str">
        <f>IFERROR(__xludf.DUMMYFUNCTION("""COMPUTED_VALUE"""),"No ")</f>
        <v>No </v>
      </c>
      <c r="M161" s="768" t="str">
        <f>IFERROR(__xludf.DUMMYFUNCTION("""COMPUTED_VALUE"""),"No ")</f>
        <v>No </v>
      </c>
      <c r="N161" s="768">
        <f>IFERROR(__xludf.DUMMYFUNCTION("""COMPUTED_VALUE"""),2026.0)</f>
        <v>2026</v>
      </c>
      <c r="O161" s="768"/>
      <c r="P161" s="768"/>
      <c r="Q161" s="768"/>
      <c r="R161" s="768"/>
      <c r="S161" s="768"/>
      <c r="T161" s="768"/>
      <c r="U161" s="768"/>
      <c r="V161" s="768"/>
      <c r="W161" s="768"/>
      <c r="X161" s="768"/>
      <c r="Y161" s="768"/>
      <c r="Z161" s="768"/>
      <c r="AA161" s="768"/>
    </row>
    <row r="162" ht="30.0" customHeight="1">
      <c r="A162" s="768">
        <f t="array" ref="A162">XLOOKUP(C162,'High School Players'!D:D,'High School Players'!K:K,"NO",0,1)</f>
        <v>2</v>
      </c>
      <c r="B162" s="975">
        <f>IFERROR(__xludf.DUMMYFUNCTION("""COMPUTED_VALUE"""),45855.569585405094)</f>
        <v>45855.56959</v>
      </c>
      <c r="C162" s="768" t="str">
        <f>IFERROR(__xludf.DUMMYFUNCTION("""COMPUTED_VALUE"""),"Blake Jay")</f>
        <v>Blake Jay</v>
      </c>
      <c r="D162" s="768" t="str">
        <f>IFERROR(__xludf.DUMMYFUNCTION("""COMPUTED_VALUE"""),"blakejay02@gmail.com")</f>
        <v>blakejay02@gmail.com</v>
      </c>
      <c r="E162" s="768" t="str">
        <f>IFERROR(__xludf.DUMMYFUNCTION("""COMPUTED_VALUE"""),"6’0")</f>
        <v>6’0</v>
      </c>
      <c r="F162" s="768" t="str">
        <f>IFERROR(__xludf.DUMMYFUNCTION("""COMPUTED_VALUE"""),"MIF/RHP")</f>
        <v>MIF/RHP</v>
      </c>
      <c r="G162" s="768" t="str">
        <f>IFERROR(__xludf.DUMMYFUNCTION("""COMPUTED_VALUE"""),"High School season - AVG .300, OPS .812, 20 hits, 17 singles, 1 double, 1 triple, 1 homerun, 14 stolen bases. Summer season so far - AVG .321, OPS .945, 17 hits, 10 singles, 5 doubles, 2 triples, 6 stolen bases.")</f>
        <v>High School season - AVG .300, OPS .812, 20 hits, 17 singles, 1 double, 1 triple, 1 homerun, 14 stolen bases. Summer season so far - AVG .321, OPS .945, 17 hits, 10 singles, 5 doubles, 2 triples, 6 stolen bases.</v>
      </c>
      <c r="H162" s="768">
        <f>IFERROR(__xludf.DUMMYFUNCTION("""COMPUTED_VALUE"""),3.6)</f>
        <v>3.6</v>
      </c>
      <c r="I162" s="768" t="str">
        <f>IFERROR(__xludf.DUMMYFUNCTION("""COMPUTED_VALUE"""),"20 ACT")</f>
        <v>20 ACT</v>
      </c>
      <c r="J162" s="768" t="str">
        <f>IFERROR(__xludf.DUMMYFUNCTION("""COMPUTED_VALUE"""),"Nothing ")</f>
        <v>Nothing </v>
      </c>
      <c r="K162" s="768" t="str">
        <f>IFERROR(__xludf.DUMMYFUNCTION("""COMPUTED_VALUE"""),"No")</f>
        <v>No</v>
      </c>
      <c r="L162" s="768" t="str">
        <f>IFERROR(__xludf.DUMMYFUNCTION("""COMPUTED_VALUE"""),"No")</f>
        <v>No</v>
      </c>
      <c r="M162" s="768" t="str">
        <f>IFERROR(__xludf.DUMMYFUNCTION("""COMPUTED_VALUE"""),"No")</f>
        <v>No</v>
      </c>
      <c r="N162" s="768">
        <f>IFERROR(__xludf.DUMMYFUNCTION("""COMPUTED_VALUE"""),2026.0)</f>
        <v>2026</v>
      </c>
      <c r="O162" s="768"/>
      <c r="P162" s="768"/>
      <c r="Q162" s="768"/>
      <c r="R162" s="768"/>
      <c r="S162" s="768"/>
      <c r="T162" s="768"/>
      <c r="U162" s="768"/>
      <c r="V162" s="768"/>
      <c r="W162" s="768"/>
      <c r="X162" s="768"/>
      <c r="Y162" s="768"/>
      <c r="Z162" s="768"/>
      <c r="AA162" s="768"/>
    </row>
    <row r="163" ht="30.0" customHeight="1">
      <c r="A163" s="768" t="str">
        <f t="array" ref="A163">XLOOKUP(C163,'High School Players'!D:D,'High School Players'!K:K,"NO",0,1)</f>
        <v>XX</v>
      </c>
      <c r="B163" s="975">
        <f>IFERROR(__xludf.DUMMYFUNCTION("""COMPUTED_VALUE"""),45855.579705833334)</f>
        <v>45855.57971</v>
      </c>
      <c r="C163" s="768" t="str">
        <f>IFERROR(__xludf.DUMMYFUNCTION("""COMPUTED_VALUE"""),"Dalton Kelley")</f>
        <v>Dalton Kelley</v>
      </c>
      <c r="D163" s="768" t="str">
        <f>IFERROR(__xludf.DUMMYFUNCTION("""COMPUTED_VALUE"""),"dkelley6666@gmail.com")</f>
        <v>dkelley6666@gmail.com</v>
      </c>
      <c r="E163" s="768" t="str">
        <f>IFERROR(__xludf.DUMMYFUNCTION("""COMPUTED_VALUE"""),"5’7 160")</f>
        <v>5’7 160</v>
      </c>
      <c r="F163" s="768" t="str">
        <f>IFERROR(__xludf.DUMMYFUNCTION("""COMPUTED_VALUE"""),"SS/2B OF")</f>
        <v>SS/2B OF</v>
      </c>
      <c r="G163" s="768" t="str">
        <f>IFERROR(__xludf.DUMMYFUNCTION("""COMPUTED_VALUE"""),"40 Hits and 1.075 OPS 5 HR All State First Team 1-3A Private Summer stats .440 AVG 12 XBH 1 HR .540 OBP")</f>
        <v>40 Hits and 1.075 OPS 5 HR All State First Team 1-3A Private Summer stats .440 AVG 12 XBH 1 HR .540 OBP</v>
      </c>
      <c r="H163" s="768">
        <f>IFERROR(__xludf.DUMMYFUNCTION("""COMPUTED_VALUE"""),3.7)</f>
        <v>3.7</v>
      </c>
      <c r="I163" s="768" t="str">
        <f>IFERROR(__xludf.DUMMYFUNCTION("""COMPUTED_VALUE"""),"940 SAT / 19 ACT")</f>
        <v>940 SAT / 19 ACT</v>
      </c>
      <c r="J163" s="768" t="str">
        <f>IFERROR(__xludf.DUMMYFUNCTION("""COMPUTED_VALUE"""),"None ")</f>
        <v>None </v>
      </c>
      <c r="K163" s="768" t="str">
        <f>IFERROR(__xludf.DUMMYFUNCTION("""COMPUTED_VALUE"""),"None")</f>
        <v>None</v>
      </c>
      <c r="L163" s="768" t="str">
        <f>IFERROR(__xludf.DUMMYFUNCTION("""COMPUTED_VALUE"""),"None")</f>
        <v>None</v>
      </c>
      <c r="M163" s="768" t="str">
        <f>IFERROR(__xludf.DUMMYFUNCTION("""COMPUTED_VALUE"""),"None")</f>
        <v>None</v>
      </c>
      <c r="N163" s="768">
        <f>IFERROR(__xludf.DUMMYFUNCTION("""COMPUTED_VALUE"""),2026.0)</f>
        <v>2026</v>
      </c>
      <c r="O163" s="768"/>
      <c r="P163" s="768"/>
      <c r="Q163" s="768"/>
      <c r="R163" s="768"/>
      <c r="S163" s="768"/>
      <c r="T163" s="768"/>
      <c r="U163" s="768"/>
      <c r="V163" s="768"/>
      <c r="W163" s="768"/>
      <c r="X163" s="768"/>
      <c r="Y163" s="768"/>
      <c r="Z163" s="768"/>
      <c r="AA163" s="768"/>
    </row>
    <row r="164" ht="30.0" customHeight="1">
      <c r="A164" s="768" t="str">
        <f t="array" ref="A164">XLOOKUP(C164,'High School Players'!D:D,'High School Players'!K:K,"NO",0,1)</f>
        <v>XX</v>
      </c>
      <c r="B164" s="975">
        <f>IFERROR(__xludf.DUMMYFUNCTION("""COMPUTED_VALUE"""),45855.61775002315)</f>
        <v>45855.61775</v>
      </c>
      <c r="C164" s="768" t="str">
        <f>IFERROR(__xludf.DUMMYFUNCTION("""COMPUTED_VALUE"""),"Brayden Schmittou")</f>
        <v>Brayden Schmittou</v>
      </c>
      <c r="D164" s="768" t="str">
        <f>IFERROR(__xludf.DUMMYFUNCTION("""COMPUTED_VALUE"""),"braydenschmittou27@gmail.com")</f>
        <v>braydenschmittou27@gmail.com</v>
      </c>
      <c r="E164" s="768" t="str">
        <f>IFERROR(__xludf.DUMMYFUNCTION("""COMPUTED_VALUE"""),"5’11’/172")</f>
        <v>5’11’/172</v>
      </c>
      <c r="F164" s="768" t="str">
        <f>IFERROR(__xludf.DUMMYFUNCTION("""COMPUTED_VALUE"""),"PRIMARY: SS/OF/UTL")</f>
        <v>PRIMARY: SS/OF/UTL</v>
      </c>
      <c r="G164" s="768" t="str">
        <f>IFERROR(__xludf.DUMMYFUNCTION("""COMPUTED_VALUE"""),"2022 Team MVP – PF Flyers Baseball Club 2023 1st Team All-Conference (SBAAC) – Freshman year 2023 Cincinnati Enquirer All-City (Division II) 2023 Southwest Ohio Baseball Coaches Association 2nd Team All-City 2023 Batavia High School Coaches Bulldog Award "&amp;"Sept 2023 – Ranked #73 in Ohio, #1 Utility by PBR Ohio Fall 2023 – Invited to PBR Ohio Fall State Games Jan 2024 – PF Flyers / Cincy Angels Scout Day standout April 2024 – Clermont Sun Athlete of the Week (pitched no-hitter vs. Goshen) Summer 2024 – USA B"&amp;"aseball NTIS Midwest All-Region Team; competed at Champions Cup (Cary, NC) Summer 2024 – Invited to PBR Ohio State Games 2024 season (Sophomore): .329 AVG, .459 OBP, 1.000 OPS, .974 FLD% June 2024 – PG Showcase: .500 AVG, 3 HR, 1.538 OPS in 12 AB Athletic"&amp;" metrics (2023–2024): 90.4 mph exit velo, 6.66 60-yard dash, 88 mph INF velo National Honor Society &amp; DECA Honor Society member")</f>
        <v>2022 Team MVP – PF Flyers Baseball Club 2023 1st Team All-Conference (SBAAC) – Freshman year 2023 Cincinnati Enquirer All-City (Division II) 2023 Southwest Ohio Baseball Coaches Association 2nd Team All-City 2023 Batavia High School Coaches Bulldog Award Sept 2023 – Ranked #73 in Ohio, #1 Utility by PBR Ohio Fall 2023 – Invited to PBR Ohio Fall State Games Jan 2024 – PF Flyers / Cincy Angels Scout Day standout April 2024 – Clermont Sun Athlete of the Week (pitched no-hitter vs. Goshen) Summer 2024 – USA Baseball NTIS Midwest All-Region Team; competed at Champions Cup (Cary, NC) Summer 2024 – Invited to PBR Ohio State Games 2024 season (Sophomore): .329 AVG, .459 OBP, 1.000 OPS, .974 FLD% June 2024 – PG Showcase: .500 AVG, 3 HR, 1.538 OPS in 12 AB Athletic metrics (2023–2024): 90.4 mph exit velo, 6.66 60-yard dash, 88 mph INF velo National Honor Society &amp; DECA Honor Society member</v>
      </c>
      <c r="H164" s="768" t="str">
        <f>IFERROR(__xludf.DUMMYFUNCTION("""COMPUTED_VALUE"""),"3.789/4.105")</f>
        <v>3.789/4.105</v>
      </c>
      <c r="I164" s="768" t="str">
        <f>IFERROR(__xludf.DUMMYFUNCTION("""COMPUTED_VALUE"""),"ACT 19 (one attempt)")</f>
        <v>ACT 19 (one attempt)</v>
      </c>
      <c r="J164" s="768" t="str">
        <f>IFERROR(__xludf.DUMMYFUNCTION("""COMPUTED_VALUE"""),"N/A")</f>
        <v>N/A</v>
      </c>
      <c r="K164" s="768" t="str">
        <f>IFERROR(__xludf.DUMMYFUNCTION("""COMPUTED_VALUE"""),"N/A")</f>
        <v>N/A</v>
      </c>
      <c r="L164" s="768" t="str">
        <f>IFERROR(__xludf.DUMMYFUNCTION("""COMPUTED_VALUE"""),"Creatine")</f>
        <v>Creatine</v>
      </c>
      <c r="M164" s="768" t="str">
        <f>IFERROR(__xludf.DUMMYFUNCTION("""COMPUTED_VALUE"""),"N/A")</f>
        <v>N/A</v>
      </c>
      <c r="N164" s="768">
        <f>IFERROR(__xludf.DUMMYFUNCTION("""COMPUTED_VALUE"""),2026.0)</f>
        <v>2026</v>
      </c>
      <c r="O164" s="768"/>
      <c r="P164" s="768"/>
      <c r="Q164" s="768"/>
      <c r="R164" s="768"/>
      <c r="S164" s="768"/>
      <c r="T164" s="768"/>
      <c r="U164" s="768"/>
      <c r="V164" s="768"/>
      <c r="W164" s="768"/>
      <c r="X164" s="768"/>
      <c r="Y164" s="768"/>
      <c r="Z164" s="768"/>
      <c r="AA164" s="768"/>
    </row>
    <row r="165" ht="30.0" customHeight="1">
      <c r="A165" s="768" t="str">
        <f t="array" ref="A165">XLOOKUP(C165,'High School Players'!D:D,'High School Players'!K:K,"NO",0,1)</f>
        <v>XX</v>
      </c>
      <c r="B165" s="975">
        <f>IFERROR(__xludf.DUMMYFUNCTION("""COMPUTED_VALUE"""),45855.64610751157)</f>
        <v>45855.64611</v>
      </c>
      <c r="C165" s="768" t="str">
        <f>IFERROR(__xludf.DUMMYFUNCTION("""COMPUTED_VALUE"""),"Cade Cox")</f>
        <v>Cade Cox</v>
      </c>
      <c r="D165" s="768" t="str">
        <f>IFERROR(__xludf.DUMMYFUNCTION("""COMPUTED_VALUE"""),"cadecox09@gmail.com")</f>
        <v>cadecox09@gmail.com</v>
      </c>
      <c r="E165" s="768" t="str">
        <f>IFERROR(__xludf.DUMMYFUNCTION("""COMPUTED_VALUE"""),"5’11 175")</f>
        <v>5’11 175</v>
      </c>
      <c r="F165" s="768" t="str">
        <f>IFERROR(__xludf.DUMMYFUNCTION("""COMPUTED_VALUE"""),"SS/MIF")</f>
        <v>SS/MIF</v>
      </c>
      <c r="G165" s="768" t="str">
        <f>IFERROR(__xludf.DUMMYFUNCTION("""COMPUTED_VALUE"""),"County Player of the year, Defensive player of the year, .370 BA, 20 SB’s")</f>
        <v>County Player of the year, Defensive player of the year, .370 BA, 20 SB’s</v>
      </c>
      <c r="H165" s="768">
        <f>IFERROR(__xludf.DUMMYFUNCTION("""COMPUTED_VALUE"""),3.8)</f>
        <v>3.8</v>
      </c>
      <c r="I165" s="768" t="str">
        <f>IFERROR(__xludf.DUMMYFUNCTION("""COMPUTED_VALUE"""),"Haven’t Taken")</f>
        <v>Haven’t Taken</v>
      </c>
      <c r="J165" s="768" t="str">
        <f>IFERROR(__xludf.DUMMYFUNCTION("""COMPUTED_VALUE"""),"None")</f>
        <v>None</v>
      </c>
      <c r="K165" s="768" t="str">
        <f>IFERROR(__xludf.DUMMYFUNCTION("""COMPUTED_VALUE"""),"None")</f>
        <v>None</v>
      </c>
      <c r="L165" s="768" t="str">
        <f>IFERROR(__xludf.DUMMYFUNCTION("""COMPUTED_VALUE"""),"None")</f>
        <v>None</v>
      </c>
      <c r="M165" s="768" t="str">
        <f>IFERROR(__xludf.DUMMYFUNCTION("""COMPUTED_VALUE"""),"None")</f>
        <v>None</v>
      </c>
      <c r="N165" s="768">
        <f>IFERROR(__xludf.DUMMYFUNCTION("""COMPUTED_VALUE"""),2026.0)</f>
        <v>2026</v>
      </c>
      <c r="O165" s="768"/>
      <c r="P165" s="768"/>
      <c r="Q165" s="768"/>
      <c r="R165" s="768"/>
      <c r="S165" s="768"/>
      <c r="T165" s="768"/>
      <c r="U165" s="768"/>
      <c r="V165" s="768"/>
      <c r="W165" s="768"/>
      <c r="X165" s="768"/>
      <c r="Y165" s="768"/>
      <c r="Z165" s="768"/>
      <c r="AA165" s="768"/>
    </row>
    <row r="166" ht="30.0" customHeight="1">
      <c r="A166" s="768" t="str">
        <f t="array" ref="A166">XLOOKUP(C166,'High School Players'!D:D,'High School Players'!K:K,"NO",0,1)</f>
        <v>NO</v>
      </c>
      <c r="B166" s="975">
        <f>IFERROR(__xludf.DUMMYFUNCTION("""COMPUTED_VALUE"""),45855.768872534725)</f>
        <v>45855.76887</v>
      </c>
      <c r="C166" s="768" t="str">
        <f>IFERROR(__xludf.DUMMYFUNCTION("""COMPUTED_VALUE"""),"Justin Iannetto")</f>
        <v>Justin Iannetto</v>
      </c>
      <c r="D166" s="768" t="str">
        <f>IFERROR(__xludf.DUMMYFUNCTION("""COMPUTED_VALUE"""),"iannettos@gmail.com")</f>
        <v>iannettos@gmail.com</v>
      </c>
      <c r="E166" s="768" t="str">
        <f>IFERROR(__xludf.DUMMYFUNCTION("""COMPUTED_VALUE"""),"6’0 175")</f>
        <v>6’0 175</v>
      </c>
      <c r="F166" s="768" t="str">
        <f>IFERROR(__xludf.DUMMYFUNCTION("""COMPUTED_VALUE"""),"SS/2b")</f>
        <v>SS/2b</v>
      </c>
      <c r="G166" s="768" t="str">
        <f>IFERROR(__xludf.DUMMYFUNCTION("""COMPUTED_VALUE""")," 63 games played only 10 errors 3 year starter 2x offensive MVP career batting average.408 obp .483 ops 1.038 78 hits 16 double 3 triples 2 hr 55 rbis 28 walks 34 sb")</f>
        <v> 63 games played only 10 errors 3 year starter 2x offensive MVP career batting average.408 obp .483 ops 1.038 78 hits 16 double 3 triples 2 hr 55 rbis 28 walks 34 sb</v>
      </c>
      <c r="H166" s="768" t="str">
        <f>IFERROR(__xludf.DUMMYFUNCTION("""COMPUTED_VALUE"""),"3.6 4.0")</f>
        <v>3.6 4.0</v>
      </c>
      <c r="I166" s="768" t="str">
        <f>IFERROR(__xludf.DUMMYFUNCTION("""COMPUTED_VALUE"""),"710 on Sat")</f>
        <v>710 on Sat</v>
      </c>
      <c r="J166" s="768" t="str">
        <f>IFERROR(__xludf.DUMMYFUNCTION("""COMPUTED_VALUE"""),"None ")</f>
        <v>None </v>
      </c>
      <c r="K166" s="768" t="str">
        <f>IFERROR(__xludf.DUMMYFUNCTION("""COMPUTED_VALUE"""),"None ")</f>
        <v>None </v>
      </c>
      <c r="L166" s="768" t="str">
        <f>IFERROR(__xludf.DUMMYFUNCTION("""COMPUTED_VALUE"""),"None ")</f>
        <v>None </v>
      </c>
      <c r="M166" s="768" t="str">
        <f>IFERROR(__xludf.DUMMYFUNCTION("""COMPUTED_VALUE"""),"Extra time on test ")</f>
        <v>Extra time on test </v>
      </c>
      <c r="N166" s="768">
        <f>IFERROR(__xludf.DUMMYFUNCTION("""COMPUTED_VALUE"""),2026.0)</f>
        <v>2026</v>
      </c>
      <c r="O166" s="768"/>
      <c r="P166" s="768"/>
      <c r="Q166" s="768"/>
      <c r="R166" s="768"/>
      <c r="S166" s="768"/>
      <c r="T166" s="768"/>
      <c r="U166" s="768"/>
      <c r="V166" s="768"/>
      <c r="W166" s="768"/>
      <c r="X166" s="768"/>
      <c r="Y166" s="768"/>
      <c r="Z166" s="768"/>
      <c r="AA166" s="768"/>
    </row>
    <row r="167" ht="30.0" customHeight="1">
      <c r="A167" s="768" t="str">
        <f t="array" ref="A167">XLOOKUP(C167,'High School Players'!D:D,'High School Players'!K:K,"NO",0,1)</f>
        <v>NO</v>
      </c>
      <c r="B167" s="975">
        <f>IFERROR(__xludf.DUMMYFUNCTION("""COMPUTED_VALUE"""),45856.49194201389)</f>
        <v>45856.49194</v>
      </c>
      <c r="C167" s="768" t="str">
        <f>IFERROR(__xludf.DUMMYFUNCTION("""COMPUTED_VALUE"""),"Evan")</f>
        <v>Evan</v>
      </c>
      <c r="D167" s="768" t="str">
        <f>IFERROR(__xludf.DUMMYFUNCTION("""COMPUTED_VALUE"""),"evanburroughs@icloud.com")</f>
        <v>evanburroughs@icloud.com</v>
      </c>
      <c r="E167" s="768" t="str">
        <f>IFERROR(__xludf.DUMMYFUNCTION("""COMPUTED_VALUE"""),"5”9 150")</f>
        <v>5”9 150</v>
      </c>
      <c r="F167" s="768" t="str">
        <f>IFERROR(__xludf.DUMMYFUNCTION("""COMPUTED_VALUE"""),"MIF CF")</f>
        <v>MIF CF</v>
      </c>
      <c r="G167" s="768"/>
      <c r="H167" s="768" t="str">
        <f>IFERROR(__xludf.DUMMYFUNCTION("""COMPUTED_VALUE"""),"4.4 weighted 3.962 unweighted ")</f>
        <v>4.4 weighted 3.962 unweighted </v>
      </c>
      <c r="I167" s="768" t="str">
        <f>IFERROR(__xludf.DUMMYFUNCTION("""COMPUTED_VALUE"""),"ACT 23")</f>
        <v>ACT 23</v>
      </c>
      <c r="J167" s="768" t="str">
        <f>IFERROR(__xludf.DUMMYFUNCTION("""COMPUTED_VALUE"""),"None")</f>
        <v>None</v>
      </c>
      <c r="K167" s="768" t="str">
        <f>IFERROR(__xludf.DUMMYFUNCTION("""COMPUTED_VALUE"""),"No")</f>
        <v>No</v>
      </c>
      <c r="L167" s="768" t="str">
        <f>IFERROR(__xludf.DUMMYFUNCTION("""COMPUTED_VALUE"""),"No maybe ibuprofen if that counts")</f>
        <v>No maybe ibuprofen if that counts</v>
      </c>
      <c r="M167" s="768" t="str">
        <f>IFERROR(__xludf.DUMMYFUNCTION("""COMPUTED_VALUE"""),"No")</f>
        <v>No</v>
      </c>
      <c r="N167" s="768">
        <f>IFERROR(__xludf.DUMMYFUNCTION("""COMPUTED_VALUE"""),2026.0)</f>
        <v>2026</v>
      </c>
      <c r="O167" s="768"/>
      <c r="P167" s="768"/>
      <c r="Q167" s="768"/>
      <c r="R167" s="768"/>
      <c r="S167" s="768"/>
      <c r="T167" s="768"/>
      <c r="U167" s="768"/>
      <c r="V167" s="768"/>
      <c r="W167" s="768"/>
      <c r="X167" s="768"/>
      <c r="Y167" s="768"/>
      <c r="Z167" s="768"/>
      <c r="AA167" s="768"/>
    </row>
    <row r="168" ht="30.0" customHeight="1">
      <c r="A168" s="768" t="str">
        <f t="array" ref="A168">XLOOKUP(C168,'High School Players'!D:D,'High School Players'!K:K,"NO",0,1)</f>
        <v>NO</v>
      </c>
      <c r="B168" s="975">
        <f>IFERROR(__xludf.DUMMYFUNCTION("""COMPUTED_VALUE"""),45856.50808528935)</f>
        <v>45856.50809</v>
      </c>
      <c r="C168" s="768"/>
      <c r="D168" s="768" t="str">
        <f>IFERROR(__xludf.DUMMYFUNCTION("""COMPUTED_VALUE"""),"tmerritt@combineacademics.org")</f>
        <v>tmerritt@combineacademics.org</v>
      </c>
      <c r="E168" s="768" t="str">
        <f>IFERROR(__xludf.DUMMYFUNCTION("""COMPUTED_VALUE"""),"6’2 205")</f>
        <v>6’2 205</v>
      </c>
      <c r="F168" s="768" t="str">
        <f>IFERROR(__xludf.DUMMYFUNCTION("""COMPUTED_VALUE"""),"Pitcher ")</f>
        <v>Pitcher </v>
      </c>
      <c r="G168" s="768" t="str">
        <f>IFERROR(__xludf.DUMMYFUNCTION("""COMPUTED_VALUE"""),"39 innings 60ks 2.75 ERA , Bayside All conference Sophomore year, Pbr underclassmen all state. ")</f>
        <v>39 innings 60ks 2.75 ERA , Bayside All conference Sophomore year, Pbr underclassmen all state. </v>
      </c>
      <c r="H168" s="768" t="str">
        <f>IFERROR(__xludf.DUMMYFUNCTION("""COMPUTED_VALUE"""),"3.89(4.13)")</f>
        <v>3.89(4.13)</v>
      </c>
      <c r="I168" s="768" t="str">
        <f>IFERROR(__xludf.DUMMYFUNCTION("""COMPUTED_VALUE"""),"990 SAT")</f>
        <v>990 SAT</v>
      </c>
      <c r="J168" s="768" t="str">
        <f>IFERROR(__xludf.DUMMYFUNCTION("""COMPUTED_VALUE"""),"Pronator Strain, Labrum surgery non throwing shoulder")</f>
        <v>Pronator Strain, Labrum surgery non throwing shoulder</v>
      </c>
      <c r="K168" s="768" t="str">
        <f>IFERROR(__xludf.DUMMYFUNCTION("""COMPUTED_VALUE"""),"No allergies")</f>
        <v>No allergies</v>
      </c>
      <c r="L168" s="768" t="str">
        <f>IFERROR(__xludf.DUMMYFUNCTION("""COMPUTED_VALUE"""),"No medications ")</f>
        <v>No medications </v>
      </c>
      <c r="M168" s="768"/>
      <c r="N168" s="768">
        <f>IFERROR(__xludf.DUMMYFUNCTION("""COMPUTED_VALUE"""),2026.0)</f>
        <v>2026</v>
      </c>
      <c r="O168" s="768"/>
      <c r="P168" s="768"/>
      <c r="Q168" s="768"/>
      <c r="R168" s="768"/>
      <c r="S168" s="768"/>
      <c r="T168" s="768"/>
      <c r="U168" s="768"/>
      <c r="V168" s="768"/>
      <c r="W168" s="768"/>
      <c r="X168" s="768"/>
      <c r="Y168" s="768"/>
      <c r="Z168" s="768"/>
      <c r="AA168" s="768"/>
    </row>
    <row r="169" ht="30.0" customHeight="1">
      <c r="A169" s="768">
        <f t="array" ref="A169">XLOOKUP(C169,'High School Players'!D:D,'High School Players'!K:K,"NO",0,1)</f>
        <v>4</v>
      </c>
      <c r="B169" s="975">
        <f>IFERROR(__xludf.DUMMYFUNCTION("""COMPUTED_VALUE"""),45856.567581006944)</f>
        <v>45856.56758</v>
      </c>
      <c r="C169" s="768" t="str">
        <f>IFERROR(__xludf.DUMMYFUNCTION("""COMPUTED_VALUE"""),"Jack Stefani")</f>
        <v>Jack Stefani</v>
      </c>
      <c r="D169" s="768" t="str">
        <f>IFERROR(__xludf.DUMMYFUNCTION("""COMPUTED_VALUE"""),"jack_stefani@icloud.com")</f>
        <v>jack_stefani@icloud.com</v>
      </c>
      <c r="E169" s="768" t="str">
        <f>IFERROR(__xludf.DUMMYFUNCTION("""COMPUTED_VALUE"""),"6’2”/190 lbs")</f>
        <v>6’2”/190 lbs</v>
      </c>
      <c r="F169" s="768" t="str">
        <f>IFERROR(__xludf.DUMMYFUNCTION("""COMPUTED_VALUE"""),"OF/RHP")</f>
        <v>OF/RHP</v>
      </c>
      <c r="G169" s="768"/>
      <c r="H169" s="768" t="str">
        <f>IFERROR(__xludf.DUMMYFUNCTION("""COMPUTED_VALUE"""),"4.1 Weighted")</f>
        <v>4.1 Weighted</v>
      </c>
      <c r="I169" s="768" t="str">
        <f>IFERROR(__xludf.DUMMYFUNCTION("""COMPUTED_VALUE"""),"1360 SAT, 30 ACT, retook ACT but don’t have results back yet. Also retaking SAT in August")</f>
        <v>1360 SAT, 30 ACT, retook ACT but don’t have results back yet. Also retaking SAT in August</v>
      </c>
      <c r="J169" s="768"/>
      <c r="K169" s="768" t="str">
        <f>IFERROR(__xludf.DUMMYFUNCTION("""COMPUTED_VALUE"""),"No")</f>
        <v>No</v>
      </c>
      <c r="L169" s="768" t="str">
        <f>IFERROR(__xludf.DUMMYFUNCTION("""COMPUTED_VALUE"""),"No")</f>
        <v>No</v>
      </c>
      <c r="M169" s="768" t="str">
        <f>IFERROR(__xludf.DUMMYFUNCTION("""COMPUTED_VALUE"""),"No")</f>
        <v>No</v>
      </c>
      <c r="N169" s="768">
        <f>IFERROR(__xludf.DUMMYFUNCTION("""COMPUTED_VALUE"""),2026.0)</f>
        <v>2026</v>
      </c>
      <c r="O169" s="768"/>
      <c r="P169" s="768"/>
      <c r="Q169" s="768"/>
      <c r="R169" s="768"/>
      <c r="S169" s="768"/>
      <c r="T169" s="768"/>
      <c r="U169" s="768"/>
      <c r="V169" s="768"/>
      <c r="W169" s="768"/>
      <c r="X169" s="768"/>
      <c r="Y169" s="768"/>
      <c r="Z169" s="768"/>
      <c r="AA169" s="768"/>
    </row>
    <row r="170" ht="30.0" customHeight="1">
      <c r="A170" s="768" t="str">
        <f t="array" ref="A170">XLOOKUP(C170,'High School Players'!D:D,'High School Players'!K:K,"NO",0,1)</f>
        <v>XX</v>
      </c>
      <c r="B170" s="975">
        <f>IFERROR(__xludf.DUMMYFUNCTION("""COMPUTED_VALUE"""),45856.57176131944)</f>
        <v>45856.57176</v>
      </c>
      <c r="C170" s="768" t="str">
        <f>IFERROR(__xludf.DUMMYFUNCTION("""COMPUTED_VALUE"""),"Aiden Moore")</f>
        <v>Aiden Moore</v>
      </c>
      <c r="D170" s="768" t="str">
        <f>IFERROR(__xludf.DUMMYFUNCTION("""COMPUTED_VALUE"""),"21ajmoore@gmail.com")</f>
        <v>21ajmoore@gmail.com</v>
      </c>
      <c r="E170" s="768" t="str">
        <f>IFERROR(__xludf.DUMMYFUNCTION("""COMPUTED_VALUE"""),"6ft/180lbs")</f>
        <v>6ft/180lbs</v>
      </c>
      <c r="F170" s="768" t="str">
        <f>IFERROR(__xludf.DUMMYFUNCTION("""COMPUTED_VALUE"""),"RHP")</f>
        <v>RHP</v>
      </c>
      <c r="G170" s="768" t="str">
        <f>IFERROR(__xludf.DUMMYFUNCTION("""COMPUTED_VALUE"""),"HS Stats: 47.2IP, 41H, 63K, 3.084 ERA, 29BB, First Team All-Region, All State Honorable Mention. Summer Stats: 26.1 IP, 13H, 37K, 1.063 ERA, 12BB")</f>
        <v>HS Stats: 47.2IP, 41H, 63K, 3.084 ERA, 29BB, First Team All-Region, All State Honorable Mention. Summer Stats: 26.1 IP, 13H, 37K, 1.063 ERA, 12BB</v>
      </c>
      <c r="H170" s="768" t="str">
        <f>IFERROR(__xludf.DUMMYFUNCTION("""COMPUTED_VALUE"""),"3.85/4.33")</f>
        <v>3.85/4.33</v>
      </c>
      <c r="I170" s="768" t="str">
        <f>IFERROR(__xludf.DUMMYFUNCTION("""COMPUTED_VALUE"""),"SAT- 1370 (1380 super score)")</f>
        <v>SAT- 1370 (1380 super score)</v>
      </c>
      <c r="J170" s="768" t="str">
        <f>IFERROR(__xludf.DUMMYFUNCTION("""COMPUTED_VALUE"""),"Elbow Fracture (Medial Epicondyle)- Got a screw in my elbow")</f>
        <v>Elbow Fracture (Medial Epicondyle)- Got a screw in my elbow</v>
      </c>
      <c r="K170" s="768" t="str">
        <f>IFERROR(__xludf.DUMMYFUNCTION("""COMPUTED_VALUE"""),"N/A")</f>
        <v>N/A</v>
      </c>
      <c r="L170" s="768" t="str">
        <f>IFERROR(__xludf.DUMMYFUNCTION("""COMPUTED_VALUE"""),"N/A")</f>
        <v>N/A</v>
      </c>
      <c r="M170" s="768" t="str">
        <f>IFERROR(__xludf.DUMMYFUNCTION("""COMPUTED_VALUE"""),"N/A")</f>
        <v>N/A</v>
      </c>
      <c r="N170" s="768">
        <f>IFERROR(__xludf.DUMMYFUNCTION("""COMPUTED_VALUE"""),2026.0)</f>
        <v>2026</v>
      </c>
      <c r="O170" s="768"/>
      <c r="P170" s="768"/>
      <c r="Q170" s="768"/>
      <c r="R170" s="768"/>
      <c r="S170" s="768"/>
      <c r="T170" s="768"/>
      <c r="U170" s="768"/>
      <c r="V170" s="768"/>
      <c r="W170" s="768"/>
      <c r="X170" s="768"/>
      <c r="Y170" s="768"/>
      <c r="Z170" s="768"/>
      <c r="AA170" s="768"/>
    </row>
    <row r="171" ht="30.0" customHeight="1">
      <c r="A171" s="768" t="str">
        <f t="array" ref="A171">XLOOKUP(C171,'High School Players'!D:D,'High School Players'!K:K,"NO",0,1)</f>
        <v>NO</v>
      </c>
      <c r="B171" s="975">
        <f>IFERROR(__xludf.DUMMYFUNCTION("""COMPUTED_VALUE"""),45856.6603249537)</f>
        <v>45856.66032</v>
      </c>
      <c r="C171" s="768" t="str">
        <f>IFERROR(__xludf.DUMMYFUNCTION("""COMPUTED_VALUE"""),"Spencer polsky ")</f>
        <v>Spencer polsky </v>
      </c>
      <c r="D171" s="768" t="str">
        <f>IFERROR(__xludf.DUMMYFUNCTION("""COMPUTED_VALUE"""),"Spencerpolsky1@gmail.com")</f>
        <v>Spencerpolsky1@gmail.com</v>
      </c>
      <c r="E171" s="768" t="str">
        <f>IFERROR(__xludf.DUMMYFUNCTION("""COMPUTED_VALUE"""),"5’11 175")</f>
        <v>5’11 175</v>
      </c>
      <c r="F171" s="768" t="str">
        <f>IFERROR(__xludf.DUMMYFUNCTION("""COMPUTED_VALUE"""),"RHP/MIF")</f>
        <v>RHP/MIF</v>
      </c>
      <c r="G171" s="768" t="str">
        <f>IFERROR(__xludf.DUMMYFUNCTION("""COMPUTED_VALUE"""),"2025 HS season stats .345 AVG 23 hits 11 doubles,  26 IP 3 wins 26 K. All league/all section hm( section 1) lohud/putnam valley all star honorable mention")</f>
        <v>2025 HS season stats .345 AVG 23 hits 11 doubles,  26 IP 3 wins 26 K. All league/all section hm( section 1) lohud/putnam valley all star honorable mention</v>
      </c>
      <c r="H171" s="768" t="str">
        <f>IFERROR(__xludf.DUMMYFUNCTION("""COMPUTED_VALUE"""),"85 UW/ 87 W")</f>
        <v>85 UW/ 87 W</v>
      </c>
      <c r="I171" s="768" t="str">
        <f>IFERROR(__xludf.DUMMYFUNCTION("""COMPUTED_VALUE"""),"Not applicable ")</f>
        <v>Not applicable </v>
      </c>
      <c r="J171" s="768"/>
      <c r="K171" s="768" t="str">
        <f>IFERROR(__xludf.DUMMYFUNCTION("""COMPUTED_VALUE"""),"Allergies to tree nuts- cashews, walnuts, pistachios, hazelnut")</f>
        <v>Allergies to tree nuts- cashews, walnuts, pistachios, hazelnut</v>
      </c>
      <c r="L171" s="768"/>
      <c r="M171" s="768"/>
      <c r="N171" s="768">
        <f>IFERROR(__xludf.DUMMYFUNCTION("""COMPUTED_VALUE"""),2027.0)</f>
        <v>2027</v>
      </c>
      <c r="O171" s="768"/>
      <c r="P171" s="768"/>
      <c r="Q171" s="768"/>
      <c r="R171" s="768"/>
      <c r="S171" s="768"/>
      <c r="T171" s="768"/>
      <c r="U171" s="768"/>
      <c r="V171" s="768"/>
      <c r="W171" s="768"/>
      <c r="X171" s="768"/>
      <c r="Y171" s="768"/>
      <c r="Z171" s="768"/>
      <c r="AA171" s="768"/>
    </row>
    <row r="172" ht="30.0" customHeight="1">
      <c r="A172" s="768" t="str">
        <f t="array" ref="A172">XLOOKUP(C172,'High School Players'!D:D,'High School Players'!K:K,"NO",0,1)</f>
        <v>NO</v>
      </c>
      <c r="B172" s="975">
        <f>IFERROR(__xludf.DUMMYFUNCTION("""COMPUTED_VALUE"""),45857.58818789352)</f>
        <v>45857.58819</v>
      </c>
      <c r="C172" s="768" t="str">
        <f>IFERROR(__xludf.DUMMYFUNCTION("""COMPUTED_VALUE"""),"Ben Lackey ")</f>
        <v>Ben Lackey </v>
      </c>
      <c r="D172" s="768" t="str">
        <f>IFERROR(__xludf.DUMMYFUNCTION("""COMPUTED_VALUE"""),"bklack23@gmail.com")</f>
        <v>bklack23@gmail.com</v>
      </c>
      <c r="E172" s="768" t="str">
        <f>IFERROR(__xludf.DUMMYFUNCTION("""COMPUTED_VALUE"""),"6’ 3 / 190")</f>
        <v>6’ 3 / 190</v>
      </c>
      <c r="F172" s="768" t="str">
        <f>IFERROR(__xludf.DUMMYFUNCTION("""COMPUTED_VALUE"""),"P")</f>
        <v>P</v>
      </c>
      <c r="G172" s="768" t="str">
        <f>IFERROR(__xludf.DUMMYFUNCTION("""COMPUTED_VALUE"""),"37.1 IP - 14 BB - 45 K - 0.18 ERA / 1st Team All Conference, 1st Team All District, 1st Team All Metro ")</f>
        <v>37.1 IP - 14 BB - 45 K - 0.18 ERA / 1st Team All Conference, 1st Team All District, 1st Team All Metro </v>
      </c>
      <c r="H172" s="768" t="str">
        <f>IFERROR(__xludf.DUMMYFUNCTION("""COMPUTED_VALUE"""),"3.714 / 4.024")</f>
        <v>3.714 / 4.024</v>
      </c>
      <c r="I172" s="768" t="str">
        <f>IFERROR(__xludf.DUMMYFUNCTION("""COMPUTED_VALUE"""),"ACT - 26")</f>
        <v>ACT - 26</v>
      </c>
      <c r="J172" s="768" t="str">
        <f>IFERROR(__xludf.DUMMYFUNCTION("""COMPUTED_VALUE"""),"None ")</f>
        <v>None </v>
      </c>
      <c r="K172" s="768" t="str">
        <f>IFERROR(__xludf.DUMMYFUNCTION("""COMPUTED_VALUE"""),"None ")</f>
        <v>None </v>
      </c>
      <c r="L172" s="768" t="str">
        <f>IFERROR(__xludf.DUMMYFUNCTION("""COMPUTED_VALUE"""),"None")</f>
        <v>None</v>
      </c>
      <c r="M172" s="768" t="str">
        <f>IFERROR(__xludf.DUMMYFUNCTION("""COMPUTED_VALUE"""),"None ")</f>
        <v>None </v>
      </c>
      <c r="N172" s="768">
        <f>IFERROR(__xludf.DUMMYFUNCTION("""COMPUTED_VALUE"""),2026.0)</f>
        <v>2026</v>
      </c>
      <c r="O172" s="768"/>
      <c r="P172" s="768"/>
      <c r="Q172" s="768"/>
      <c r="R172" s="768"/>
      <c r="S172" s="768"/>
      <c r="T172" s="768"/>
      <c r="U172" s="768"/>
      <c r="V172" s="768"/>
      <c r="W172" s="768"/>
      <c r="X172" s="768"/>
      <c r="Y172" s="768"/>
      <c r="Z172" s="768"/>
      <c r="AA172" s="768"/>
    </row>
    <row r="173" ht="30.0" customHeight="1">
      <c r="A173" s="768" t="str">
        <f t="array" ref="A173">XLOOKUP(C173,'High School Players'!D:D,'High School Players'!K:K,"NO",0,1)</f>
        <v>NO</v>
      </c>
      <c r="B173" s="975">
        <f>IFERROR(__xludf.DUMMYFUNCTION("""COMPUTED_VALUE"""),45857.75449060185)</f>
        <v>45857.75449</v>
      </c>
      <c r="C173" s="768" t="str">
        <f>IFERROR(__xludf.DUMMYFUNCTION("""COMPUTED_VALUE"""),"Grayden Seuferling ")</f>
        <v>Grayden Seuferling </v>
      </c>
      <c r="D173" s="768" t="str">
        <f>IFERROR(__xludf.DUMMYFUNCTION("""COMPUTED_VALUE"""),"Graydenseuferling@gmail.com")</f>
        <v>Graydenseuferling@gmail.com</v>
      </c>
      <c r="E173" s="768" t="str">
        <f>IFERROR(__xludf.DUMMYFUNCTION("""COMPUTED_VALUE"""),"6'1/187")</f>
        <v>6'1/187</v>
      </c>
      <c r="F173" s="768" t="str">
        <f>IFERROR(__xludf.DUMMYFUNCTION("""COMPUTED_VALUE"""),"RHP/OF")</f>
        <v>RHP/OF</v>
      </c>
      <c r="G173" s="768" t="str">
        <f>IFERROR(__xludf.DUMMYFUNCTION("""COMPUTED_VALUE"""),"Missouri class 6 state champions. 2.4 ERA. Summer 1.2 ERA, 17 IP so far, 20K, 3 ER. 9BB.")</f>
        <v>Missouri class 6 state champions. 2.4 ERA. Summer 1.2 ERA, 17 IP so far, 20K, 3 ER. 9BB.</v>
      </c>
      <c r="H173" s="768" t="str">
        <f>IFERROR(__xludf.DUMMYFUNCTION("""COMPUTED_VALUE"""),"4.2/3.97")</f>
        <v>4.2/3.97</v>
      </c>
      <c r="I173" s="768">
        <f>IFERROR(__xludf.DUMMYFUNCTION("""COMPUTED_VALUE"""),26.0)</f>
        <v>26</v>
      </c>
      <c r="J173" s="768" t="str">
        <f>IFERROR(__xludf.DUMMYFUNCTION("""COMPUTED_VALUE"""),"Growth Plate surgery in throwing elbow. ")</f>
        <v>Growth Plate surgery in throwing elbow. </v>
      </c>
      <c r="K173" s="768" t="str">
        <f>IFERROR(__xludf.DUMMYFUNCTION("""COMPUTED_VALUE"""),"No")</f>
        <v>No</v>
      </c>
      <c r="L173" s="768" t="str">
        <f>IFERROR(__xludf.DUMMYFUNCTION("""COMPUTED_VALUE"""),"No")</f>
        <v>No</v>
      </c>
      <c r="M173" s="768" t="str">
        <f>IFERROR(__xludf.DUMMYFUNCTION("""COMPUTED_VALUE"""),"No")</f>
        <v>No</v>
      </c>
      <c r="N173" s="768">
        <f>IFERROR(__xludf.DUMMYFUNCTION("""COMPUTED_VALUE"""),2026.0)</f>
        <v>2026</v>
      </c>
      <c r="O173" s="768"/>
      <c r="P173" s="768"/>
      <c r="Q173" s="768"/>
      <c r="R173" s="768"/>
      <c r="S173" s="768"/>
      <c r="T173" s="768"/>
      <c r="U173" s="768"/>
      <c r="V173" s="768"/>
      <c r="W173" s="768"/>
      <c r="X173" s="768"/>
      <c r="Y173" s="768"/>
      <c r="Z173" s="768"/>
      <c r="AA173" s="768"/>
    </row>
    <row r="174" ht="30.0" customHeight="1">
      <c r="A174" s="768">
        <f t="array" ref="A174">XLOOKUP(C174,'High School Players'!D:D,'High School Players'!K:K,"NO",0,1)</f>
        <v>0.1</v>
      </c>
      <c r="B174" s="975">
        <f>IFERROR(__xludf.DUMMYFUNCTION("""COMPUTED_VALUE"""),45857.9774043287)</f>
        <v>45857.9774</v>
      </c>
      <c r="C174" s="768" t="str">
        <f>IFERROR(__xludf.DUMMYFUNCTION("""COMPUTED_VALUE"""),"Hawk Stickney")</f>
        <v>Hawk Stickney</v>
      </c>
      <c r="D174" s="768" t="str">
        <f>IFERROR(__xludf.DUMMYFUNCTION("""COMPUTED_VALUE"""),"hawk.stickney@govsacademy.org")</f>
        <v>hawk.stickney@govsacademy.org</v>
      </c>
      <c r="E174" s="768" t="str">
        <f>IFERROR(__xludf.DUMMYFUNCTION("""COMPUTED_VALUE"""),"6’5” 200 ")</f>
        <v>6’5” 200 </v>
      </c>
      <c r="F174" s="768" t="str">
        <f>IFERROR(__xludf.DUMMYFUNCTION("""COMPUTED_VALUE"""),"RHP")</f>
        <v>RHP</v>
      </c>
      <c r="G174" s="768" t="str">
        <f>IFERROR(__xludf.DUMMYFUNCTION("""COMPUTED_VALUE"""),"High school: 24 ip 35ks 14bb 14h 2.4 era")</f>
        <v>High school: 24 ip 35ks 14bb 14h 2.4 era</v>
      </c>
      <c r="H174" s="768">
        <f>IFERROR(__xludf.DUMMYFUNCTION("""COMPUTED_VALUE"""),3.7)</f>
        <v>3.7</v>
      </c>
      <c r="I174" s="768" t="str">
        <f>IFERROR(__xludf.DUMMYFUNCTION("""COMPUTED_VALUE"""),"NA")</f>
        <v>NA</v>
      </c>
      <c r="J174" s="768" t="str">
        <f>IFERROR(__xludf.DUMMYFUNCTION("""COMPUTED_VALUE"""),"Pars Stress fracture in L5 from football. ")</f>
        <v>Pars Stress fracture in L5 from football. </v>
      </c>
      <c r="K174" s="768" t="str">
        <f>IFERROR(__xludf.DUMMYFUNCTION("""COMPUTED_VALUE"""),"NA")</f>
        <v>NA</v>
      </c>
      <c r="L174" s="768" t="str">
        <f>IFERROR(__xludf.DUMMYFUNCTION("""COMPUTED_VALUE"""),"NA")</f>
        <v>NA</v>
      </c>
      <c r="M174" s="768" t="str">
        <f>IFERROR(__xludf.DUMMYFUNCTION("""COMPUTED_VALUE"""),"No")</f>
        <v>No</v>
      </c>
      <c r="N174" s="768">
        <f>IFERROR(__xludf.DUMMYFUNCTION("""COMPUTED_VALUE"""),2026.0)</f>
        <v>2026</v>
      </c>
      <c r="O174" s="768"/>
      <c r="P174" s="768"/>
      <c r="Q174" s="768"/>
      <c r="R174" s="768"/>
      <c r="S174" s="768"/>
      <c r="T174" s="768"/>
      <c r="U174" s="768"/>
      <c r="V174" s="768"/>
      <c r="W174" s="768"/>
      <c r="X174" s="768"/>
      <c r="Y174" s="768"/>
      <c r="Z174" s="768"/>
      <c r="AA174" s="768"/>
    </row>
    <row r="175" ht="30.0" customHeight="1">
      <c r="A175" s="768" t="str">
        <f t="array" ref="A175">XLOOKUP(C175,'High School Players'!D:D,'High School Players'!K:K,"NO",0,1)</f>
        <v>XX</v>
      </c>
      <c r="B175" s="975">
        <f>IFERROR(__xludf.DUMMYFUNCTION("""COMPUTED_VALUE"""),45858.47988688658)</f>
        <v>45858.47989</v>
      </c>
      <c r="C175" s="768" t="str">
        <f>IFERROR(__xludf.DUMMYFUNCTION("""COMPUTED_VALUE"""),"Connor Couch")</f>
        <v>Connor Couch</v>
      </c>
      <c r="D175" s="768" t="str">
        <f>IFERROR(__xludf.DUMMYFUNCTION("""COMPUTED_VALUE"""),"connorcouch2026@gmail.com")</f>
        <v>connorcouch2026@gmail.com</v>
      </c>
      <c r="E175" s="768" t="str">
        <f>IFERROR(__xludf.DUMMYFUNCTION("""COMPUTED_VALUE"""),"6’3” 205 Lbs")</f>
        <v>6’3” 205 Lbs</v>
      </c>
      <c r="F175" s="768" t="str">
        <f>IFERROR(__xludf.DUMMYFUNCTION("""COMPUTED_VALUE"""),"3B/RHP")</f>
        <v>3B/RHP</v>
      </c>
      <c r="G175" s="768" t="str">
        <f>IFERROR(__xludf.DUMMYFUNCTION("""COMPUTED_VALUE"""),"42.2 IP 40 Ks 66% Strikes 2.46 ERA .292 Avg .393 OBP .893 OPS .500 SLG. Junior Year HS: Conference Indiana Champions, maintained top 25 rating through the year in 4A class, 2025 Senior Future Games Invitation")</f>
        <v>42.2 IP 40 Ks 66% Strikes 2.46 ERA .292 Avg .393 OBP .893 OPS .500 SLG. Junior Year HS: Conference Indiana Champions, maintained top 25 rating through the year in 4A class, 2025 Senior Future Games Invitation</v>
      </c>
      <c r="H175" s="768" t="str">
        <f>IFERROR(__xludf.DUMMYFUNCTION("""COMPUTED_VALUE"""),"3.8/4.4")</f>
        <v>3.8/4.4</v>
      </c>
      <c r="I175" s="768" t="str">
        <f>IFERROR(__xludf.DUMMYFUNCTION("""COMPUTED_VALUE"""),"1500 SAT")</f>
        <v>1500 SAT</v>
      </c>
      <c r="J175" s="768" t="str">
        <f>IFERROR(__xludf.DUMMYFUNCTION("""COMPUTED_VALUE"""),"Fracture on Tibial Plateau 2024")</f>
        <v>Fracture on Tibial Plateau 2024</v>
      </c>
      <c r="K175" s="768" t="str">
        <f>IFERROR(__xludf.DUMMYFUNCTION("""COMPUTED_VALUE"""),"NA")</f>
        <v>NA</v>
      </c>
      <c r="L175" s="768" t="str">
        <f>IFERROR(__xludf.DUMMYFUNCTION("""COMPUTED_VALUE"""),"NA")</f>
        <v>NA</v>
      </c>
      <c r="M175" s="768" t="str">
        <f>IFERROR(__xludf.DUMMYFUNCTION("""COMPUTED_VALUE"""),"NA")</f>
        <v>NA</v>
      </c>
      <c r="N175" s="768">
        <f>IFERROR(__xludf.DUMMYFUNCTION("""COMPUTED_VALUE"""),2026.0)</f>
        <v>2026</v>
      </c>
      <c r="O175" s="768"/>
      <c r="P175" s="768"/>
      <c r="Q175" s="768"/>
      <c r="R175" s="768"/>
      <c r="S175" s="768"/>
      <c r="T175" s="768"/>
      <c r="U175" s="768"/>
      <c r="V175" s="768"/>
      <c r="W175" s="768"/>
      <c r="X175" s="768"/>
      <c r="Y175" s="768"/>
      <c r="Z175" s="768"/>
      <c r="AA175" s="768"/>
    </row>
    <row r="176" ht="30.0" customHeight="1">
      <c r="A176" s="768" t="str">
        <f t="array" ref="A176">XLOOKUP(C176,'High School Players'!D:D,'High School Players'!K:K,"NO",0,1)</f>
        <v>XX</v>
      </c>
      <c r="B176" s="975">
        <f>IFERROR(__xludf.DUMMYFUNCTION("""COMPUTED_VALUE"""),45858.48680138889)</f>
        <v>45858.4868</v>
      </c>
      <c r="C176" s="768" t="str">
        <f>IFERROR(__xludf.DUMMYFUNCTION("""COMPUTED_VALUE"""),"Adam Goldberg")</f>
        <v>Adam Goldberg</v>
      </c>
      <c r="D176" s="768" t="str">
        <f>IFERROR(__xludf.DUMMYFUNCTION("""COMPUTED_VALUE"""),"adrego02@gmail.com")</f>
        <v>adrego02@gmail.com</v>
      </c>
      <c r="E176" s="768" t="str">
        <f>IFERROR(__xludf.DUMMYFUNCTION("""COMPUTED_VALUE"""),"6’2 175")</f>
        <v>6’2 175</v>
      </c>
      <c r="F176" s="768" t="str">
        <f>IFERROR(__xludf.DUMMYFUNCTION("""COMPUTED_VALUE"""),"RHP")</f>
        <v>RHP</v>
      </c>
      <c r="G176" s="768" t="str">
        <f>IFERROR(__xludf.DUMMYFUNCTION("""COMPUTED_VALUE"""),"HS: 57.2 IP 54H 22R 11ER 13BB 83K 5HBP 1.34 ERA 1st Team All County, 1st Team All conference 3rd Team All Group 4, Honorable Mention All-State    Summer: 27IP 14H 4R 4ER 11BB 40K 2HBP 1.04 ERA")</f>
        <v>HS: 57.2 IP 54H 22R 11ER 13BB 83K 5HBP 1.34 ERA 1st Team All County, 1st Team All conference 3rd Team All Group 4, Honorable Mention All-State    Summer: 27IP 14H 4R 4ER 11BB 40K 2HBP 1.04 ERA</v>
      </c>
      <c r="H176" s="768" t="str">
        <f>IFERROR(__xludf.DUMMYFUNCTION("""COMPUTED_VALUE"""),"3.55/3.65")</f>
        <v>3.55/3.65</v>
      </c>
      <c r="I176" s="768" t="str">
        <f>IFERROR(__xludf.DUMMYFUNCTION("""COMPUTED_VALUE"""),"1150 SAT")</f>
        <v>1150 SAT</v>
      </c>
      <c r="J176" s="768" t="str">
        <f>IFERROR(__xludf.DUMMYFUNCTION("""COMPUTED_VALUE"""),"Broken Growth Plate in Ankle")</f>
        <v>Broken Growth Plate in Ankle</v>
      </c>
      <c r="K176" s="768" t="str">
        <f>IFERROR(__xludf.DUMMYFUNCTION("""COMPUTED_VALUE"""),"no")</f>
        <v>no</v>
      </c>
      <c r="L176" s="768" t="str">
        <f>IFERROR(__xludf.DUMMYFUNCTION("""COMPUTED_VALUE"""),"no")</f>
        <v>no</v>
      </c>
      <c r="M176" s="768" t="str">
        <f>IFERROR(__xludf.DUMMYFUNCTION("""COMPUTED_VALUE"""),"no")</f>
        <v>no</v>
      </c>
      <c r="N176" s="768">
        <f>IFERROR(__xludf.DUMMYFUNCTION("""COMPUTED_VALUE"""),2026.0)</f>
        <v>2026</v>
      </c>
      <c r="O176" s="768"/>
      <c r="P176" s="768"/>
      <c r="Q176" s="768"/>
      <c r="R176" s="768"/>
      <c r="S176" s="768"/>
      <c r="T176" s="768"/>
      <c r="U176" s="768"/>
      <c r="V176" s="768"/>
      <c r="W176" s="768"/>
      <c r="X176" s="768"/>
      <c r="Y176" s="768"/>
      <c r="Z176" s="768"/>
      <c r="AA176" s="768"/>
    </row>
    <row r="177" ht="30.0" customHeight="1">
      <c r="A177" s="768">
        <f t="array" ref="A177">XLOOKUP(C177,'High School Players'!D:D,'High School Players'!K:K,"NO",0,1)</f>
        <v>0.1</v>
      </c>
      <c r="B177" s="975">
        <f>IFERROR(__xludf.DUMMYFUNCTION("""COMPUTED_VALUE"""),45859.47966359954)</f>
        <v>45859.47966</v>
      </c>
      <c r="C177" s="768" t="str">
        <f>IFERROR(__xludf.DUMMYFUNCTION("""COMPUTED_VALUE"""),"Caleb Flannery")</f>
        <v>Caleb Flannery</v>
      </c>
      <c r="D177" s="768" t="str">
        <f>IFERROR(__xludf.DUMMYFUNCTION("""COMPUTED_VALUE"""),"calebflannery2027@gmail.com")</f>
        <v>calebflannery2027@gmail.com</v>
      </c>
      <c r="E177" s="768" t="str">
        <f>IFERROR(__xludf.DUMMYFUNCTION("""COMPUTED_VALUE"""),"6’ and 170lbs")</f>
        <v>6’ and 170lbs</v>
      </c>
      <c r="F177" s="768" t="str">
        <f>IFERROR(__xludf.DUMMYFUNCTION("""COMPUTED_VALUE"""),"Catcher and first base ")</f>
        <v>Catcher and first base </v>
      </c>
      <c r="G177" s="768" t="str">
        <f>IFERROR(__xludf.DUMMYFUNCTION("""COMPUTED_VALUE"""),".385 avg for HS, won mvp of my team, .400 avg for the summer, 57% caught stealing ")</f>
        <v>.385 avg for HS, won mvp of my team, .400 avg for the summer, 57% caught stealing </v>
      </c>
      <c r="H177" s="768" t="str">
        <f>IFERROR(__xludf.DUMMYFUNCTION("""COMPUTED_VALUE"""),"3.82 weighted ")</f>
        <v>3.82 weighted </v>
      </c>
      <c r="I177" s="768" t="str">
        <f>IFERROR(__xludf.DUMMYFUNCTION("""COMPUTED_VALUE"""),"N/A")</f>
        <v>N/A</v>
      </c>
      <c r="J177" s="768" t="str">
        <f>IFERROR(__xludf.DUMMYFUNCTION("""COMPUTED_VALUE"""),"I had an avulsion fracture in my elbow and had to get a screw put in ")</f>
        <v>I had an avulsion fracture in my elbow and had to get a screw put in </v>
      </c>
      <c r="K177" s="768" t="str">
        <f>IFERROR(__xludf.DUMMYFUNCTION("""COMPUTED_VALUE"""),"No")</f>
        <v>No</v>
      </c>
      <c r="L177" s="768" t="str">
        <f>IFERROR(__xludf.DUMMYFUNCTION("""COMPUTED_VALUE"""),"No")</f>
        <v>No</v>
      </c>
      <c r="M177" s="768" t="str">
        <f>IFERROR(__xludf.DUMMYFUNCTION("""COMPUTED_VALUE"""),"No")</f>
        <v>No</v>
      </c>
      <c r="N177" s="768">
        <f>IFERROR(__xludf.DUMMYFUNCTION("""COMPUTED_VALUE"""),2027.0)</f>
        <v>2027</v>
      </c>
      <c r="O177" s="768"/>
      <c r="P177" s="768"/>
      <c r="Q177" s="768"/>
      <c r="R177" s="768"/>
      <c r="S177" s="768"/>
      <c r="T177" s="768"/>
      <c r="U177" s="768"/>
      <c r="V177" s="768"/>
      <c r="W177" s="768"/>
      <c r="X177" s="768"/>
      <c r="Y177" s="768"/>
      <c r="Z177" s="768"/>
      <c r="AA177" s="768"/>
    </row>
    <row r="178" ht="30.0" customHeight="1">
      <c r="A178" s="768" t="str">
        <f t="array" ref="A178">XLOOKUP(C178,'High School Players'!D:D,'High School Players'!K:K,"NO",0,1)</f>
        <v>NO</v>
      </c>
      <c r="B178" s="975">
        <f>IFERROR(__xludf.DUMMYFUNCTION("""COMPUTED_VALUE"""),45859.56506692129)</f>
        <v>45859.56507</v>
      </c>
      <c r="C178" s="768" t="str">
        <f>IFERROR(__xludf.DUMMYFUNCTION("""COMPUTED_VALUE"""),"Thomas Bagby")</f>
        <v>Thomas Bagby</v>
      </c>
      <c r="D178" s="768" t="str">
        <f>IFERROR(__xludf.DUMMYFUNCTION("""COMPUTED_VALUE"""),"thomas.bagby18@gmail.com")</f>
        <v>thomas.bagby18@gmail.com</v>
      </c>
      <c r="E178" s="768" t="str">
        <f>IFERROR(__xludf.DUMMYFUNCTION("""COMPUTED_VALUE"""),"6’0 185")</f>
        <v>6’0 185</v>
      </c>
      <c r="F178" s="768" t="str">
        <f>IFERROR(__xludf.DUMMYFUNCTION("""COMPUTED_VALUE"""),"LHP")</f>
        <v>LHP</v>
      </c>
      <c r="G178" s="768" t="str">
        <f>IFERROR(__xludf.DUMMYFUNCTION("""COMPUTED_VALUE"""),"46.2 IP 26H 25BB 67SO 2.00 era.     District 4 Player of year.   All-state nominee.    Junior All Star")</f>
        <v>46.2 IP 26H 25BB 67SO 2.00 era.     District 4 Player of year.   All-state nominee.    Junior All Star</v>
      </c>
      <c r="H178" s="768" t="str">
        <f>IFERROR(__xludf.DUMMYFUNCTION("""COMPUTED_VALUE"""),"4.13/4.00")</f>
        <v>4.13/4.00</v>
      </c>
      <c r="I178" s="768" t="str">
        <f>IFERROR(__xludf.DUMMYFUNCTION("""COMPUTED_VALUE"""),"22 ACT")</f>
        <v>22 ACT</v>
      </c>
      <c r="J178" s="768" t="str">
        <f>IFERROR(__xludf.DUMMYFUNCTION("""COMPUTED_VALUE"""),"Shoulder growth plate issue in 12u")</f>
        <v>Shoulder growth plate issue in 12u</v>
      </c>
      <c r="K178" s="768" t="str">
        <f>IFERROR(__xludf.DUMMYFUNCTION("""COMPUTED_VALUE"""),"No")</f>
        <v>No</v>
      </c>
      <c r="L178" s="768" t="str">
        <f>IFERROR(__xludf.DUMMYFUNCTION("""COMPUTED_VALUE"""),"No")</f>
        <v>No</v>
      </c>
      <c r="M178" s="768" t="str">
        <f>IFERROR(__xludf.DUMMYFUNCTION("""COMPUTED_VALUE"""),"No")</f>
        <v>No</v>
      </c>
      <c r="N178" s="768">
        <f>IFERROR(__xludf.DUMMYFUNCTION("""COMPUTED_VALUE"""),2026.0)</f>
        <v>2026</v>
      </c>
      <c r="O178" s="768"/>
      <c r="P178" s="768"/>
      <c r="Q178" s="768"/>
      <c r="R178" s="768"/>
      <c r="S178" s="768"/>
      <c r="T178" s="768"/>
      <c r="U178" s="768"/>
      <c r="V178" s="768"/>
      <c r="W178" s="768"/>
      <c r="X178" s="768"/>
      <c r="Y178" s="768"/>
      <c r="Z178" s="768"/>
      <c r="AA178" s="768"/>
    </row>
    <row r="179" ht="30.0" customHeight="1">
      <c r="A179" s="768" t="str">
        <f t="array" ref="A179">XLOOKUP(C179,'High School Players'!D:D,'High School Players'!K:K,"NO",0,1)</f>
        <v>NO</v>
      </c>
      <c r="B179" s="975">
        <f>IFERROR(__xludf.DUMMYFUNCTION("""COMPUTED_VALUE"""),45860.89022006944)</f>
        <v>45860.89022</v>
      </c>
      <c r="C179" s="768" t="str">
        <f>IFERROR(__xludf.DUMMYFUNCTION("""COMPUTED_VALUE"""),"Aaron Alston")</f>
        <v>Aaron Alston</v>
      </c>
      <c r="D179" s="768" t="str">
        <f>IFERROR(__xludf.DUMMYFUNCTION("""COMPUTED_VALUE"""),"aaronalston07@gmail.com")</f>
        <v>aaronalston07@gmail.com</v>
      </c>
      <c r="E179" s="768" t="str">
        <f>IFERROR(__xludf.DUMMYFUNCTION("""COMPUTED_VALUE"""),"6’2 200")</f>
        <v>6’2 200</v>
      </c>
      <c r="F179" s="768" t="str">
        <f>IFERROR(__xludf.DUMMYFUNCTION("""COMPUTED_VALUE"""),"Utility ")</f>
        <v>Utility </v>
      </c>
      <c r="G179" s="768"/>
      <c r="H179" s="768">
        <f>IFERROR(__xludf.DUMMYFUNCTION("""COMPUTED_VALUE"""),3.8)</f>
        <v>3.8</v>
      </c>
      <c r="I179" s="768">
        <f>IFERROR(__xludf.DUMMYFUNCTION("""COMPUTED_VALUE"""),19.0)</f>
        <v>19</v>
      </c>
      <c r="J179" s="768" t="str">
        <f>IFERROR(__xludf.DUMMYFUNCTION("""COMPUTED_VALUE"""),"Tommy John")</f>
        <v>Tommy John</v>
      </c>
      <c r="K179" s="768"/>
      <c r="L179" s="768"/>
      <c r="M179" s="768" t="str">
        <f>IFERROR(__xludf.DUMMYFUNCTION("""COMPUTED_VALUE"""),"Extra testing time ")</f>
        <v>Extra testing time </v>
      </c>
      <c r="N179" s="768">
        <f>IFERROR(__xludf.DUMMYFUNCTION("""COMPUTED_VALUE"""),2026.0)</f>
        <v>2026</v>
      </c>
      <c r="O179" s="768"/>
      <c r="P179" s="768"/>
      <c r="Q179" s="768"/>
      <c r="R179" s="768"/>
      <c r="S179" s="768"/>
      <c r="T179" s="768"/>
      <c r="U179" s="768"/>
      <c r="V179" s="768"/>
      <c r="W179" s="768"/>
      <c r="X179" s="768"/>
      <c r="Y179" s="768"/>
      <c r="Z179" s="768"/>
      <c r="AA179" s="768"/>
    </row>
    <row r="180" ht="30.0" customHeight="1">
      <c r="A180" s="768">
        <f t="array" ref="A180">XLOOKUP(C180,'High School Players'!D:D,'High School Players'!K:K,"NO",0,1)</f>
        <v>3</v>
      </c>
      <c r="B180" s="975">
        <f>IFERROR(__xludf.DUMMYFUNCTION("""COMPUTED_VALUE"""),45861.49945361111)</f>
        <v>45861.49945</v>
      </c>
      <c r="C180" s="768" t="str">
        <f>IFERROR(__xludf.DUMMYFUNCTION("""COMPUTED_VALUE"""),"Alex Boyd")</f>
        <v>Alex Boyd</v>
      </c>
      <c r="D180" s="768" t="str">
        <f>IFERROR(__xludf.DUMMYFUNCTION("""COMPUTED_VALUE"""),"alexboyd2026@gmail.com")</f>
        <v>alexboyd2026@gmail.com</v>
      </c>
      <c r="E180" s="768" t="str">
        <f>IFERROR(__xludf.DUMMYFUNCTION("""COMPUTED_VALUE"""),"5’10-160lbs")</f>
        <v>5’10-160lbs</v>
      </c>
      <c r="F180" s="768" t="str">
        <f>IFERROR(__xludf.DUMMYFUNCTION("""COMPUTED_VALUE"""),"MIF")</f>
        <v>MIF</v>
      </c>
      <c r="G180" s="768" t="str">
        <f>IFERROR(__xludf.DUMMYFUNCTION("""COMPUTED_VALUE"""),"(.330 BA) (.1000 FPCT)")</f>
        <v>(.330 BA) (.1000 FPCT)</v>
      </c>
      <c r="H180" s="768">
        <f>IFERROR(__xludf.DUMMYFUNCTION("""COMPUTED_VALUE"""),3.7)</f>
        <v>3.7</v>
      </c>
      <c r="I180" s="768" t="str">
        <f>IFERROR(__xludf.DUMMYFUNCTION("""COMPUTED_VALUE"""),"N/A")</f>
        <v>N/A</v>
      </c>
      <c r="J180" s="768" t="str">
        <f>IFERROR(__xludf.DUMMYFUNCTION("""COMPUTED_VALUE"""),"Left knee Torn ACL. ACL reconstruction surgery.")</f>
        <v>Left knee Torn ACL. ACL reconstruction surgery.</v>
      </c>
      <c r="K180" s="768" t="str">
        <f>IFERROR(__xludf.DUMMYFUNCTION("""COMPUTED_VALUE"""),"No")</f>
        <v>No</v>
      </c>
      <c r="L180" s="768" t="str">
        <f>IFERROR(__xludf.DUMMYFUNCTION("""COMPUTED_VALUE"""),"No")</f>
        <v>No</v>
      </c>
      <c r="M180" s="768" t="str">
        <f>IFERROR(__xludf.DUMMYFUNCTION("""COMPUTED_VALUE"""),"No")</f>
        <v>No</v>
      </c>
      <c r="N180" s="768">
        <f>IFERROR(__xludf.DUMMYFUNCTION("""COMPUTED_VALUE"""),2026.0)</f>
        <v>2026</v>
      </c>
      <c r="O180" s="768"/>
      <c r="P180" s="768"/>
      <c r="Q180" s="768"/>
      <c r="R180" s="768"/>
      <c r="S180" s="768"/>
      <c r="T180" s="768"/>
      <c r="U180" s="768"/>
      <c r="V180" s="768"/>
      <c r="W180" s="768"/>
      <c r="X180" s="768"/>
      <c r="Y180" s="768"/>
      <c r="Z180" s="768"/>
      <c r="AA180" s="768"/>
    </row>
    <row r="181" ht="30.0" customHeight="1">
      <c r="A181" s="768" t="str">
        <f t="array" ref="A181">XLOOKUP(C181,'High School Players'!D:D,'High School Players'!K:K,"NO",0,1)</f>
        <v>XX</v>
      </c>
      <c r="B181" s="975">
        <f>IFERROR(__xludf.DUMMYFUNCTION("""COMPUTED_VALUE"""),45861.61520532407)</f>
        <v>45861.61521</v>
      </c>
      <c r="C181" s="768" t="str">
        <f>IFERROR(__xludf.DUMMYFUNCTION("""COMPUTED_VALUE"""),"Jason Canady")</f>
        <v>Jason Canady</v>
      </c>
      <c r="D181" s="768" t="str">
        <f>IFERROR(__xludf.DUMMYFUNCTION("""COMPUTED_VALUE"""),"jcanady35@hotmail.com")</f>
        <v>jcanady35@hotmail.com</v>
      </c>
      <c r="E181" s="768" t="str">
        <f>IFERROR(__xludf.DUMMYFUNCTION("""COMPUTED_VALUE"""),"6’1” 180lbs")</f>
        <v>6’1” 180lbs</v>
      </c>
      <c r="F181" s="768" t="str">
        <f>IFERROR(__xludf.DUMMYFUNCTION("""COMPUTED_VALUE"""),"RHP")</f>
        <v>RHP</v>
      </c>
      <c r="G181" s="768" t="str">
        <f>IFERROR(__xludf.DUMMYFUNCTION("""COMPUTED_VALUE"""),"High School - 11.2 IP, 6 H, 4 ER, 6 BB, 9 SO, 2.4 ERA, 1.1 WHIP, .146 BAA | Summer - 13 IP, 7 H, 3 ER, 9 BB, 13 SO, 1.6 ERA, .163 BAA")</f>
        <v>High School - 11.2 IP, 6 H, 4 ER, 6 BB, 9 SO, 2.4 ERA, 1.1 WHIP, .146 BAA | Summer - 13 IP, 7 H, 3 ER, 9 BB, 13 SO, 1.6 ERA, .163 BAA</v>
      </c>
      <c r="H181" s="768" t="str">
        <f>IFERROR(__xludf.DUMMYFUNCTION("""COMPUTED_VALUE"""),"3.9 Cumulative")</f>
        <v>3.9 Cumulative</v>
      </c>
      <c r="I181" s="768" t="str">
        <f>IFERROR(__xludf.DUMMYFUNCTION("""COMPUTED_VALUE"""),"1120 SAT")</f>
        <v>1120 SAT</v>
      </c>
      <c r="J181" s="768" t="str">
        <f>IFERROR(__xludf.DUMMYFUNCTION("""COMPUTED_VALUE"""),"Olecranon Stress Reaction - Baseball - ")</f>
        <v>Olecranon Stress Reaction - Baseball - </v>
      </c>
      <c r="K181" s="768" t="str">
        <f>IFERROR(__xludf.DUMMYFUNCTION("""COMPUTED_VALUE"""),"No")</f>
        <v>No</v>
      </c>
      <c r="L181" s="768" t="str">
        <f>IFERROR(__xludf.DUMMYFUNCTION("""COMPUTED_VALUE"""),"No")</f>
        <v>No</v>
      </c>
      <c r="M181" s="768" t="str">
        <f>IFERROR(__xludf.DUMMYFUNCTION("""COMPUTED_VALUE"""),"No")</f>
        <v>No</v>
      </c>
      <c r="N181" s="768">
        <f>IFERROR(__xludf.DUMMYFUNCTION("""COMPUTED_VALUE"""),2026.0)</f>
        <v>2026</v>
      </c>
      <c r="O181" s="768"/>
      <c r="P181" s="768"/>
      <c r="Q181" s="768"/>
      <c r="R181" s="768"/>
      <c r="S181" s="768"/>
      <c r="T181" s="768"/>
      <c r="U181" s="768"/>
      <c r="V181" s="768"/>
      <c r="W181" s="768"/>
      <c r="X181" s="768"/>
      <c r="Y181" s="768"/>
      <c r="Z181" s="768"/>
      <c r="AA181" s="768"/>
    </row>
    <row r="182" ht="30.0" customHeight="1">
      <c r="A182" s="768" t="str">
        <f t="array" ref="A182">XLOOKUP(C182,'High School Players'!D:D,'High School Players'!K:K,"NO",0,1)</f>
        <v>NO</v>
      </c>
      <c r="B182" s="975">
        <f>IFERROR(__xludf.DUMMYFUNCTION("""COMPUTED_VALUE"""),45863.527057349536)</f>
        <v>45863.52706</v>
      </c>
      <c r="C182" s="768" t="str">
        <f>IFERROR(__xludf.DUMMYFUNCTION("""COMPUTED_VALUE"""),"Liam Hagland")</f>
        <v>Liam Hagland</v>
      </c>
      <c r="D182" s="768" t="str">
        <f>IFERROR(__xludf.DUMMYFUNCTION("""COMPUTED_VALUE"""),"liamhagland@gmail.com")</f>
        <v>liamhagland@gmail.com</v>
      </c>
      <c r="E182" s="768" t="str">
        <f>IFERROR(__xludf.DUMMYFUNCTION("""COMPUTED_VALUE"""),"6'1"" / 190 lbs")</f>
        <v>6'1" / 190 lbs</v>
      </c>
      <c r="F182" s="768" t="str">
        <f>IFERROR(__xludf.DUMMYFUNCTION("""COMPUTED_VALUE"""),"RHP, OF")</f>
        <v>RHP, OF</v>
      </c>
      <c r="G182" s="768" t="str">
        <f>IFERROR(__xludf.DUMMYFUNCTION("""COMPUTED_VALUE"""),"HS: Hitting - 22 AB, .318 AVG, 7 H + Pitching - 22.1 IP, 11 H, 3 R, 2 ER, 7 BB, 36 SO, .627 ERA, .806 WHIP, .145 BAA   Summer: Hitting - 45 AB, .356 AVG, .500 OBP, 1.144 OPS, 16 H + Pitching - 14.2 IP, 12 H, 6 R, 4 ER, 5 BB, 18 SO, 1.909 ERA, 1.159 WHIP, "&amp;".226 BAA")</f>
        <v>HS: Hitting - 22 AB, .318 AVG, 7 H + Pitching - 22.1 IP, 11 H, 3 R, 2 ER, 7 BB, 36 SO, .627 ERA, .806 WHIP, .145 BAA   Summer: Hitting - 45 AB, .356 AVG, .500 OBP, 1.144 OPS, 16 H + Pitching - 14.2 IP, 12 H, 6 R, 4 ER, 5 BB, 18 SO, 1.909 ERA, 1.159 WHIP, .226 BAA</v>
      </c>
      <c r="H182" s="768" t="str">
        <f>IFERROR(__xludf.DUMMYFUNCTION("""COMPUTED_VALUE"""),"3.899 Unweighted")</f>
        <v>3.899 Unweighted</v>
      </c>
      <c r="I182" s="768" t="str">
        <f>IFERROR(__xludf.DUMMYFUNCTION("""COMPUTED_VALUE"""),"ACT: 23")</f>
        <v>ACT: 23</v>
      </c>
      <c r="J182" s="768" t="str">
        <f>IFERROR(__xludf.DUMMYFUNCTION("""COMPUTED_VALUE"""),"None")</f>
        <v>None</v>
      </c>
      <c r="K182" s="768" t="str">
        <f>IFERROR(__xludf.DUMMYFUNCTION("""COMPUTED_VALUE"""),"Peanuts")</f>
        <v>Peanuts</v>
      </c>
      <c r="L182" s="768" t="str">
        <f>IFERROR(__xludf.DUMMYFUNCTION("""COMPUTED_VALUE"""),"None")</f>
        <v>None</v>
      </c>
      <c r="M182" s="768" t="str">
        <f>IFERROR(__xludf.DUMMYFUNCTION("""COMPUTED_VALUE"""),"None")</f>
        <v>None</v>
      </c>
      <c r="N182" s="768">
        <f>IFERROR(__xludf.DUMMYFUNCTION("""COMPUTED_VALUE"""),2026.0)</f>
        <v>2026</v>
      </c>
      <c r="O182" s="768"/>
      <c r="P182" s="768"/>
      <c r="Q182" s="768"/>
      <c r="R182" s="768"/>
      <c r="S182" s="768"/>
      <c r="T182" s="768"/>
      <c r="U182" s="768"/>
      <c r="V182" s="768"/>
      <c r="W182" s="768"/>
      <c r="X182" s="768"/>
      <c r="Y182" s="768"/>
      <c r="Z182" s="768"/>
      <c r="AA182" s="768"/>
    </row>
    <row r="183" ht="30.0" customHeight="1">
      <c r="A183" s="768" t="str">
        <f t="array" ref="A183">XLOOKUP(C183,'High School Players'!D:D,'High School Players'!K:K,"NO",0,1)</f>
        <v>XX</v>
      </c>
      <c r="B183" s="975">
        <f>IFERROR(__xludf.DUMMYFUNCTION("""COMPUTED_VALUE"""),45863.87464326389)</f>
        <v>45863.87464</v>
      </c>
      <c r="C183" s="768" t="str">
        <f>IFERROR(__xludf.DUMMYFUNCTION("""COMPUTED_VALUE"""),"Quinn Rooney")</f>
        <v>Quinn Rooney</v>
      </c>
      <c r="D183" s="768" t="str">
        <f>IFERROR(__xludf.DUMMYFUNCTION("""COMPUTED_VALUE"""),"qmrooney09@gmail.com")</f>
        <v>qmrooney09@gmail.com</v>
      </c>
      <c r="E183" s="768" t="str">
        <f>IFERROR(__xludf.DUMMYFUNCTION("""COMPUTED_VALUE"""),"6’5” 195 lb ")</f>
        <v>6’5” 195 lb </v>
      </c>
      <c r="F183" s="768" t="str">
        <f>IFERROR(__xludf.DUMMYFUNCTION("""COMPUTED_VALUE"""),"LHP/1B/OF")</f>
        <v>LHP/1B/OF</v>
      </c>
      <c r="G183" s="768" t="str">
        <f>IFERROR(__xludf.DUMMYFUNCTION("""COMPUTED_VALUE"""),"AVG: .400 / OBP: .471 / OPS : 1.129 / 34 H, 10 2B, 3 3B, 2 HR         10 IP, 25 SO, 1ER ,6 BB")</f>
        <v>AVG: .400 / OBP: .471 / OPS : 1.129 / 34 H, 10 2B, 3 3B, 2 HR         10 IP, 25 SO, 1ER ,6 BB</v>
      </c>
      <c r="H183" s="768" t="str">
        <f>IFERROR(__xludf.DUMMYFUNCTION("""COMPUTED_VALUE"""),"4.0 unweighted / 4.2 weighted")</f>
        <v>4.0 unweighted / 4.2 weighted</v>
      </c>
      <c r="I183" s="768" t="str">
        <f>IFERROR(__xludf.DUMMYFUNCTION("""COMPUTED_VALUE"""),"Haven’t taken yet ")</f>
        <v>Haven’t taken yet </v>
      </c>
      <c r="J183" s="768"/>
      <c r="K183" s="768"/>
      <c r="L183" s="768"/>
      <c r="M183" s="768" t="str">
        <f>IFERROR(__xludf.DUMMYFUNCTION("""COMPUTED_VALUE"""),"No")</f>
        <v>No</v>
      </c>
      <c r="N183" s="768">
        <f>IFERROR(__xludf.DUMMYFUNCTION("""COMPUTED_VALUE"""),2027.0)</f>
        <v>2027</v>
      </c>
      <c r="O183" s="768"/>
      <c r="P183" s="768"/>
      <c r="Q183" s="768"/>
      <c r="R183" s="768"/>
      <c r="S183" s="768"/>
      <c r="T183" s="768"/>
      <c r="U183" s="768"/>
      <c r="V183" s="768"/>
      <c r="W183" s="768"/>
      <c r="X183" s="768"/>
      <c r="Y183" s="768"/>
      <c r="Z183" s="768"/>
      <c r="AA183" s="768"/>
    </row>
    <row r="184" ht="30.0" customHeight="1">
      <c r="A184" s="768" t="str">
        <f t="array" ref="A184">XLOOKUP(C184,'High School Players'!D:D,'High School Players'!K:K,"NO",0,1)</f>
        <v>XX</v>
      </c>
      <c r="B184" s="975">
        <f>IFERROR(__xludf.DUMMYFUNCTION("""COMPUTED_VALUE"""),45865.772857407406)</f>
        <v>45865.77286</v>
      </c>
      <c r="C184" s="768" t="str">
        <f>IFERROR(__xludf.DUMMYFUNCTION("""COMPUTED_VALUE"""),"Isaiah Tillman")</f>
        <v>Isaiah Tillman</v>
      </c>
      <c r="D184" s="768" t="str">
        <f>IFERROR(__xludf.DUMMYFUNCTION("""COMPUTED_VALUE"""),"tillmanbaseball11@gmail.com")</f>
        <v>tillmanbaseball11@gmail.com</v>
      </c>
      <c r="E184" s="768" t="str">
        <f>IFERROR(__xludf.DUMMYFUNCTION("""COMPUTED_VALUE"""),"5’10/170")</f>
        <v>5’10/170</v>
      </c>
      <c r="F184" s="768" t="str">
        <f>IFERROR(__xludf.DUMMYFUNCTION("""COMPUTED_VALUE"""),"LHP/OF")</f>
        <v>LHP/OF</v>
      </c>
      <c r="G184" s="768" t="str">
        <f>IFERROR(__xludf.DUMMYFUNCTION("""COMPUTED_VALUE"""),"24.1INP/8 hits/2ER/39Ks/ .265 batting AVG/22hits/17RBIs/.361 OBP")</f>
        <v>24.1INP/8 hits/2ER/39Ks/ .265 batting AVG/22hits/17RBIs/.361 OBP</v>
      </c>
      <c r="H184" s="768" t="str">
        <f>IFERROR(__xludf.DUMMYFUNCTION("""COMPUTED_VALUE"""),"3.88/4.3")</f>
        <v>3.88/4.3</v>
      </c>
      <c r="I184" s="768"/>
      <c r="J184" s="768" t="str">
        <f>IFERROR(__xludf.DUMMYFUNCTION("""COMPUTED_VALUE"""),"Broken femur age of 5")</f>
        <v>Broken femur age of 5</v>
      </c>
      <c r="K184" s="768"/>
      <c r="L184" s="768"/>
      <c r="M184" s="768"/>
      <c r="N184" s="768">
        <f>IFERROR(__xludf.DUMMYFUNCTION("""COMPUTED_VALUE"""),2026.0)</f>
        <v>2026</v>
      </c>
      <c r="O184" s="768"/>
      <c r="P184" s="768"/>
      <c r="Q184" s="768"/>
      <c r="R184" s="768"/>
      <c r="S184" s="768"/>
      <c r="T184" s="768"/>
      <c r="U184" s="768"/>
      <c r="V184" s="768"/>
      <c r="W184" s="768"/>
      <c r="X184" s="768"/>
      <c r="Y184" s="768"/>
      <c r="Z184" s="768"/>
      <c r="AA184" s="768"/>
    </row>
    <row r="185" ht="30.0" customHeight="1">
      <c r="A185" s="977" t="str">
        <f t="array" ref="A185">XLOOKUP(C185,'High School Players'!D:D,'High School Players'!K:K,"NO",0,1)</f>
        <v>XX</v>
      </c>
      <c r="B185" s="978">
        <f>IFERROR(__xludf.DUMMYFUNCTION("""COMPUTED_VALUE"""),45867.44743240741)</f>
        <v>45867.44743</v>
      </c>
      <c r="C185" s="977" t="str">
        <f>IFERROR(__xludf.DUMMYFUNCTION("""COMPUTED_VALUE"""),"Carson Bruce")</f>
        <v>Carson Bruce</v>
      </c>
      <c r="D185" s="977" t="str">
        <f>IFERROR(__xludf.DUMMYFUNCTION("""COMPUTED_VALUE"""),"carsonmilesbruce@icloud.com")</f>
        <v>carsonmilesbruce@icloud.com</v>
      </c>
      <c r="E185" s="977" t="str">
        <f>IFERROR(__xludf.DUMMYFUNCTION("""COMPUTED_VALUE"""),"6’2 205")</f>
        <v>6’2 205</v>
      </c>
      <c r="F185" s="977" t="str">
        <f>IFERROR(__xludf.DUMMYFUNCTION("""COMPUTED_VALUE"""),"OF/LHP")</f>
        <v>OF/LHP</v>
      </c>
      <c r="G185" s="977" t="str">
        <f>IFERROR(__xludf.DUMMYFUNCTION("""COMPUTED_VALUE"""),"Maxpreps Freshman all american-. This summer I hit .404 with 3 HR through 90 PA. This HS szn I hit .390 with 3 Hr as well ")</f>
        <v>Maxpreps Freshman all american-. This summer I hit .404 with 3 HR through 90 PA. This HS szn I hit .390 with 3 Hr as well </v>
      </c>
      <c r="H185" s="977">
        <f>IFERROR(__xludf.DUMMYFUNCTION("""COMPUTED_VALUE"""),3.8)</f>
        <v>3.8</v>
      </c>
      <c r="I185" s="977" t="str">
        <f>IFERROR(__xludf.DUMMYFUNCTION("""COMPUTED_VALUE"""),"have not yet taken.")</f>
        <v>have not yet taken.</v>
      </c>
      <c r="J185" s="977" t="str">
        <f>IFERROR(__xludf.DUMMYFUNCTION("""COMPUTED_VALUE"""),"N/A")</f>
        <v>N/A</v>
      </c>
      <c r="K185" s="977" t="str">
        <f>IFERROR(__xludf.DUMMYFUNCTION("""COMPUTED_VALUE"""),"N/A")</f>
        <v>N/A</v>
      </c>
      <c r="L185" s="977" t="str">
        <f>IFERROR(__xludf.DUMMYFUNCTION("""COMPUTED_VALUE"""),"No ")</f>
        <v>No </v>
      </c>
      <c r="M185" s="977" t="str">
        <f>IFERROR(__xludf.DUMMYFUNCTION("""COMPUTED_VALUE"""),"Nope")</f>
        <v>Nope</v>
      </c>
      <c r="N185" s="977">
        <f>IFERROR(__xludf.DUMMYFUNCTION("""COMPUTED_VALUE"""),2027.0)</f>
        <v>2027</v>
      </c>
      <c r="O185" s="977"/>
      <c r="P185" s="977"/>
      <c r="Q185" s="977"/>
      <c r="R185" s="977"/>
      <c r="S185" s="977"/>
      <c r="T185" s="977"/>
      <c r="U185" s="977"/>
      <c r="V185" s="977"/>
      <c r="W185" s="977"/>
      <c r="X185" s="977"/>
      <c r="Y185" s="977"/>
      <c r="Z185" s="977"/>
      <c r="AA185" s="977"/>
    </row>
    <row r="186" ht="30.0" customHeight="1">
      <c r="A186" s="768" t="str">
        <f t="array" ref="A186">XLOOKUP(C186,'High School Players'!D:D,'High School Players'!K:K,"NO",0,1)</f>
        <v>NO</v>
      </c>
      <c r="B186" s="975">
        <f>IFERROR(__xludf.DUMMYFUNCTION("""COMPUTED_VALUE"""),45867.453375474535)</f>
        <v>45867.45338</v>
      </c>
      <c r="C186" s="768" t="str">
        <f>IFERROR(__xludf.DUMMYFUNCTION("""COMPUTED_VALUE"""),"Jackson Crawford ")</f>
        <v>Jackson Crawford </v>
      </c>
      <c r="D186" s="768" t="str">
        <f>IFERROR(__xludf.DUMMYFUNCTION("""COMPUTED_VALUE"""),"jacksoncrawford2027@gmail.com")</f>
        <v>jacksoncrawford2027@gmail.com</v>
      </c>
      <c r="E186" s="768" t="str">
        <f>IFERROR(__xludf.DUMMYFUNCTION("""COMPUTED_VALUE"""),"6’2 190")</f>
        <v>6’2 190</v>
      </c>
      <c r="F186" s="768" t="str">
        <f>IFERROR(__xludf.DUMMYFUNCTION("""COMPUTED_VALUE"""),"OF/ CF")</f>
        <v>OF/ CF</v>
      </c>
      <c r="G186" s="768" t="str">
        <f>IFERROR(__xludf.DUMMYFUNCTION("""COMPUTED_VALUE"""),"Sophomore HS stats: .350 AVG 9 2B 1 HR 22 Runs : Summer Season- .296 5 2B 1 HR 22 Runs 15 BB ")</f>
        <v>Sophomore HS stats: .350 AVG 9 2B 1 HR 22 Runs : Summer Season- .296 5 2B 1 HR 22 Runs 15 BB </v>
      </c>
      <c r="H186" s="768" t="str">
        <f>IFERROR(__xludf.DUMMYFUNCTION("""COMPUTED_VALUE"""),"3.8 unweighted 3.83 weighted")</f>
        <v>3.8 unweighted 3.83 weighted</v>
      </c>
      <c r="I186" s="768" t="str">
        <f>IFERROR(__xludf.DUMMYFUNCTION("""COMPUTED_VALUE"""),"PSAT 1140 Have not taken SAT or ACT")</f>
        <v>PSAT 1140 Have not taken SAT or ACT</v>
      </c>
      <c r="J186" s="768" t="str">
        <f>IFERROR(__xludf.DUMMYFUNCTION("""COMPUTED_VALUE"""),"Elbow Surgery(not Tommy John): Age 12- Knee Surgery Age 16")</f>
        <v>Elbow Surgery(not Tommy John): Age 12- Knee Surgery Age 16</v>
      </c>
      <c r="K186" s="768" t="str">
        <f>IFERROR(__xludf.DUMMYFUNCTION("""COMPUTED_VALUE"""),"No")</f>
        <v>No</v>
      </c>
      <c r="L186" s="768" t="str">
        <f>IFERROR(__xludf.DUMMYFUNCTION("""COMPUTED_VALUE"""),"No")</f>
        <v>No</v>
      </c>
      <c r="M186" s="768" t="str">
        <f>IFERROR(__xludf.DUMMYFUNCTION("""COMPUTED_VALUE"""),"No")</f>
        <v>No</v>
      </c>
      <c r="N186" s="768">
        <f>IFERROR(__xludf.DUMMYFUNCTION("""COMPUTED_VALUE"""),2027.0)</f>
        <v>2027</v>
      </c>
      <c r="O186" s="768"/>
      <c r="P186" s="768"/>
      <c r="Q186" s="768"/>
      <c r="R186" s="768"/>
      <c r="S186" s="768"/>
      <c r="T186" s="768"/>
      <c r="U186" s="768"/>
      <c r="V186" s="768"/>
      <c r="W186" s="768"/>
      <c r="X186" s="768"/>
      <c r="Y186" s="768"/>
      <c r="Z186" s="768"/>
      <c r="AA186" s="768"/>
    </row>
    <row r="187">
      <c r="A187" s="768" t="str">
        <f t="array" ref="A187">XLOOKUP(C187,'High School Players'!D:D,'High School Players'!K:K,"NO",0,1)</f>
        <v>XX</v>
      </c>
      <c r="B187" s="975">
        <f>IFERROR(__xludf.DUMMYFUNCTION("""COMPUTED_VALUE"""),45867.4598609838)</f>
        <v>45867.45986</v>
      </c>
      <c r="C187" s="768" t="str">
        <f>IFERROR(__xludf.DUMMYFUNCTION("""COMPUTED_VALUE"""),"Nixon warren")</f>
        <v>Nixon warren</v>
      </c>
      <c r="D187" s="768" t="str">
        <f>IFERROR(__xludf.DUMMYFUNCTION("""COMPUTED_VALUE"""),"Nixonwarren08@gmail.com")</f>
        <v>Nixonwarren08@gmail.com</v>
      </c>
      <c r="E187" s="768" t="str">
        <f>IFERROR(__xludf.DUMMYFUNCTION("""COMPUTED_VALUE"""),"6’ 0” 175")</f>
        <v>6’ 0” 175</v>
      </c>
      <c r="F187" s="768" t="str">
        <f>IFERROR(__xludf.DUMMYFUNCTION("""COMPUTED_VALUE"""),"CF, LHP")</f>
        <v>CF, LHP</v>
      </c>
      <c r="G187" s="768" t="str">
        <f>IFERROR(__xludf.DUMMYFUNCTION("""COMPUTED_VALUE"""),"Sophomore (2025) High School   .358 Batting Average 43 Hits 34 Runs Scored 18 RBIs 10 Doubles 6 Triples 23 Stolen Bases (23/23 attempts) .985 Fielding Percentage  Honors &amp; Awards: State Champs First Team All-State Utah Defensive MVP First Team All-Region "&amp;"First Team All-Valley, Freshman season in the books.    Selected First Team All Region Grades: 3.74 GPA  GP: 28  PA: 108 AB’s: 84 BA: .417 Hits: 35 -2B: 5 -3B: 1 RBI: 20 OBP: .519 OPS: 1.109 SLG: 500 Runs: 21 BB: 18 K: 7 (6.48%) SB: 17 on 18 attempts (94%"&amp;") 60 time: 6.6")</f>
        <v>Sophomore (2025) High School   .358 Batting Average 43 Hits 34 Runs Scored 18 RBIs 10 Doubles 6 Triples 23 Stolen Bases (23/23 attempts) .985 Fielding Percentage  Honors &amp; Awards: State Champs First Team All-State Utah Defensive MVP First Team All-Region First Team All-Valley, Freshman season in the books.    Selected First Team All Region Grades: 3.74 GPA  GP: 28  PA: 108 AB’s: 84 BA: .417 Hits: 35 -2B: 5 -3B: 1 RBI: 20 OBP: .519 OPS: 1.109 SLG: 500 Runs: 21 BB: 18 K: 7 (6.48%) SB: 17 on 18 attempts (94%) 60 time: 6.6</v>
      </c>
      <c r="H187" s="768" t="str">
        <f>IFERROR(__xludf.DUMMYFUNCTION("""COMPUTED_VALUE"""),"3.7 3.8")</f>
        <v>3.7 3.8</v>
      </c>
      <c r="I187" s="768" t="str">
        <f>IFERROR(__xludf.DUMMYFUNCTION("""COMPUTED_VALUE"""),"Haven’t taken yet.")</f>
        <v>Haven’t taken yet.</v>
      </c>
      <c r="J187" s="768" t="str">
        <f>IFERROR(__xludf.DUMMYFUNCTION("""COMPUTED_VALUE"""),"Broken collar bone from football, broken toe from weight room ")</f>
        <v>Broken collar bone from football, broken toe from weight room </v>
      </c>
      <c r="K187" s="768" t="str">
        <f>IFERROR(__xludf.DUMMYFUNCTION("""COMPUTED_VALUE"""),"No")</f>
        <v>No</v>
      </c>
      <c r="L187" s="768" t="str">
        <f>IFERROR(__xludf.DUMMYFUNCTION("""COMPUTED_VALUE"""),"No ")</f>
        <v>No </v>
      </c>
      <c r="M187" s="768" t="str">
        <f>IFERROR(__xludf.DUMMYFUNCTION("""COMPUTED_VALUE"""),"No")</f>
        <v>No</v>
      </c>
      <c r="N187" s="768">
        <f>IFERROR(__xludf.DUMMYFUNCTION("""COMPUTED_VALUE"""),2027.0)</f>
        <v>2027</v>
      </c>
      <c r="O187" s="768"/>
      <c r="P187" s="768"/>
      <c r="Q187" s="768"/>
      <c r="R187" s="768"/>
      <c r="S187" s="768"/>
      <c r="T187" s="768"/>
      <c r="U187" s="768"/>
      <c r="V187" s="768"/>
      <c r="W187" s="768"/>
      <c r="X187" s="768"/>
      <c r="Y187" s="768"/>
      <c r="Z187" s="768"/>
      <c r="AA187" s="768"/>
    </row>
    <row r="188" ht="30.0" customHeight="1">
      <c r="A188" s="768" t="str">
        <f t="array" ref="A188">XLOOKUP(C188,'High School Players'!D:D,'High School Players'!K:K,"NO",0,1)</f>
        <v>NO</v>
      </c>
      <c r="B188" s="975">
        <f>IFERROR(__xludf.DUMMYFUNCTION("""COMPUTED_VALUE"""),45867.46015954862)</f>
        <v>45867.46016</v>
      </c>
      <c r="C188" s="768" t="str">
        <f>IFERROR(__xludf.DUMMYFUNCTION("""COMPUTED_VALUE"""),"Steven Pannullo ")</f>
        <v>Steven Pannullo </v>
      </c>
      <c r="D188" s="768" t="str">
        <f>IFERROR(__xludf.DUMMYFUNCTION("""COMPUTED_VALUE"""),"spannullo11@gmail.com")</f>
        <v>spannullo11@gmail.com</v>
      </c>
      <c r="E188" s="768" t="str">
        <f>IFERROR(__xludf.DUMMYFUNCTION("""COMPUTED_VALUE"""),"6’2/210")</f>
        <v>6’2/210</v>
      </c>
      <c r="F188" s="768" t="str">
        <f>IFERROR(__xludf.DUMMYFUNCTION("""COMPUTED_VALUE"""),"RHP")</f>
        <v>RHP</v>
      </c>
      <c r="G188" s="768" t="str">
        <f>IFERROR(__xludf.DUMMYFUNCTION("""COMPUTED_VALUE"""),"HS: 21.1 IP, 0.66 ERA, 29 Ks, 4 hits")</f>
        <v>HS: 21.1 IP, 0.66 ERA, 29 Ks, 4 hits</v>
      </c>
      <c r="H188" s="768" t="str">
        <f>IFERROR(__xludf.DUMMYFUNCTION("""COMPUTED_VALUE"""),"3.38 Unweighted")</f>
        <v>3.38 Unweighted</v>
      </c>
      <c r="I188" s="768" t="str">
        <f>IFERROR(__xludf.DUMMYFUNCTION("""COMPUTED_VALUE"""),"X")</f>
        <v>X</v>
      </c>
      <c r="J188" s="768" t="str">
        <f>IFERROR(__xludf.DUMMYFUNCTION("""COMPUTED_VALUE"""),"Right hip surgery 2020")</f>
        <v>Right hip surgery 2020</v>
      </c>
      <c r="K188" s="768" t="str">
        <f>IFERROR(__xludf.DUMMYFUNCTION("""COMPUTED_VALUE"""),"Sesame allergy ")</f>
        <v>Sesame allergy </v>
      </c>
      <c r="L188" s="768" t="str">
        <f>IFERROR(__xludf.DUMMYFUNCTION("""COMPUTED_VALUE"""),"Ritalin")</f>
        <v>Ritalin</v>
      </c>
      <c r="M188" s="768" t="str">
        <f>IFERROR(__xludf.DUMMYFUNCTION("""COMPUTED_VALUE"""),"Yes")</f>
        <v>Yes</v>
      </c>
      <c r="N188" s="768">
        <f>IFERROR(__xludf.DUMMYFUNCTION("""COMPUTED_VALUE"""),2027.0)</f>
        <v>2027</v>
      </c>
      <c r="O188" s="768"/>
      <c r="P188" s="768"/>
      <c r="Q188" s="768"/>
      <c r="R188" s="768"/>
      <c r="S188" s="768"/>
      <c r="T188" s="768"/>
      <c r="U188" s="768"/>
      <c r="V188" s="768"/>
      <c r="W188" s="768"/>
      <c r="X188" s="768"/>
      <c r="Y188" s="768"/>
      <c r="Z188" s="768"/>
      <c r="AA188" s="768"/>
    </row>
    <row r="189" ht="30.0" customHeight="1">
      <c r="A189" s="768" t="str">
        <f t="array" ref="A189">XLOOKUP(C189,'High School Players'!D:D,'High School Players'!K:K,"NO",0,1)</f>
        <v>XX</v>
      </c>
      <c r="B189" s="975">
        <f>IFERROR(__xludf.DUMMYFUNCTION("""COMPUTED_VALUE"""),45867.46042502315)</f>
        <v>45867.46043</v>
      </c>
      <c r="C189" s="768" t="str">
        <f>IFERROR(__xludf.DUMMYFUNCTION("""COMPUTED_VALUE"""),"Jameson Moan")</f>
        <v>Jameson Moan</v>
      </c>
      <c r="D189" s="768" t="str">
        <f>IFERROR(__xludf.DUMMYFUNCTION("""COMPUTED_VALUE"""),"jamesonmoan2027@gmail.com")</f>
        <v>jamesonmoan2027@gmail.com</v>
      </c>
      <c r="E189" s="768" t="str">
        <f>IFERROR(__xludf.DUMMYFUNCTION("""COMPUTED_VALUE"""),"6’0 180")</f>
        <v>6’0 180</v>
      </c>
      <c r="F189" s="768" t="str">
        <f>IFERROR(__xludf.DUMMYFUNCTION("""COMPUTED_VALUE"""),"Catcher")</f>
        <v>Catcher</v>
      </c>
      <c r="G189" s="768" t="str">
        <f>IFERROR(__xludf.DUMMYFUNCTION("""COMPUTED_VALUE"""),".315 regular season BA (highschool), 1 HR, High school Outstanding season award, PBR Future Games selection, PG National Showcase, PG grade 9, 2x fireman award (heart and hustle), 1x MVP ")</f>
        <v>.315 regular season BA (highschool), 1 HR, High school Outstanding season award, PBR Future Games selection, PG National Showcase, PG grade 9, 2x fireman award (heart and hustle), 1x MVP </v>
      </c>
      <c r="H189" s="768">
        <f>IFERROR(__xludf.DUMMYFUNCTION("""COMPUTED_VALUE"""),3.8)</f>
        <v>3.8</v>
      </c>
      <c r="I189" s="768" t="str">
        <f>IFERROR(__xludf.DUMMYFUNCTION("""COMPUTED_VALUE"""),"Not taken ")</f>
        <v>Not taken </v>
      </c>
      <c r="J189" s="768" t="str">
        <f>IFERROR(__xludf.DUMMYFUNCTION("""COMPUTED_VALUE"""),"None")</f>
        <v>None</v>
      </c>
      <c r="K189" s="768"/>
      <c r="L189" s="768"/>
      <c r="M189" s="768"/>
      <c r="N189" s="768">
        <f>IFERROR(__xludf.DUMMYFUNCTION("""COMPUTED_VALUE"""),2027.0)</f>
        <v>2027</v>
      </c>
      <c r="O189" s="768"/>
      <c r="P189" s="768"/>
      <c r="Q189" s="768"/>
      <c r="R189" s="768"/>
      <c r="S189" s="768"/>
      <c r="T189" s="768"/>
      <c r="U189" s="768"/>
      <c r="V189" s="768"/>
      <c r="W189" s="768"/>
      <c r="X189" s="768"/>
      <c r="Y189" s="768"/>
      <c r="Z189" s="768"/>
      <c r="AA189" s="768"/>
    </row>
    <row r="190" ht="30.0" customHeight="1">
      <c r="A190" s="768" t="str">
        <f t="array" ref="A190">XLOOKUP(C190,'High School Players'!D:D,'High School Players'!K:K,"NO",0,1)</f>
        <v>XX</v>
      </c>
      <c r="B190" s="975">
        <f>IFERROR(__xludf.DUMMYFUNCTION("""COMPUTED_VALUE"""),45867.46408107639)</f>
        <v>45867.46408</v>
      </c>
      <c r="C190" s="768" t="str">
        <f>IFERROR(__xludf.DUMMYFUNCTION("""COMPUTED_VALUE"""),"Cooper Hillen")</f>
        <v>Cooper Hillen</v>
      </c>
      <c r="D190" s="768" t="str">
        <f>IFERROR(__xludf.DUMMYFUNCTION("""COMPUTED_VALUE"""),"cooperhillen9@gmail.com")</f>
        <v>cooperhillen9@gmail.com</v>
      </c>
      <c r="E190" s="768" t="str">
        <f>IFERROR(__xludf.DUMMYFUNCTION("""COMPUTED_VALUE"""),"5’10 170 lbs")</f>
        <v>5’10 170 lbs</v>
      </c>
      <c r="F190" s="768" t="str">
        <f>IFERROR(__xludf.DUMMYFUNCTION("""COMPUTED_VALUE"""),"SS MIF 3B")</f>
        <v>SS MIF 3B</v>
      </c>
      <c r="G190" s="768" t="str">
        <f>IFERROR(__xludf.DUMMYFUNCTION("""COMPUTED_VALUE"""),"High School Stats Sophomore Season (29 games): avg .321 obp .486 ops 1.079 SLG .593 hits 26 (14 extra base hits) rbi 27. 1st team all star")</f>
        <v>High School Stats Sophomore Season (29 games): avg .321 obp .486 ops 1.079 SLG .593 hits 26 (14 extra base hits) rbi 27. 1st team all star</v>
      </c>
      <c r="H190" s="768" t="str">
        <f>IFERROR(__xludf.DUMMYFUNCTION("""COMPUTED_VALUE"""),"unweighted 3.98 weighted 4.105")</f>
        <v>unweighted 3.98 weighted 4.105</v>
      </c>
      <c r="I190" s="768" t="str">
        <f>IFERROR(__xludf.DUMMYFUNCTION("""COMPUTED_VALUE"""),"not available ")</f>
        <v>not available </v>
      </c>
      <c r="J190" s="768" t="str">
        <f>IFERROR(__xludf.DUMMYFUNCTION("""COMPUTED_VALUE"""),"Separated both AC in my shoulder joints playing football")</f>
        <v>Separated both AC in my shoulder joints playing football</v>
      </c>
      <c r="K190" s="768" t="str">
        <f>IFERROR(__xludf.DUMMYFUNCTION("""COMPUTED_VALUE"""),"no")</f>
        <v>no</v>
      </c>
      <c r="L190" s="768" t="str">
        <f>IFERROR(__xludf.DUMMYFUNCTION("""COMPUTED_VALUE"""),"no")</f>
        <v>no</v>
      </c>
      <c r="M190" s="768" t="str">
        <f>IFERROR(__xludf.DUMMYFUNCTION("""COMPUTED_VALUE"""),"no")</f>
        <v>no</v>
      </c>
      <c r="N190" s="768">
        <f>IFERROR(__xludf.DUMMYFUNCTION("""COMPUTED_VALUE"""),2027.0)</f>
        <v>2027</v>
      </c>
      <c r="O190" s="768"/>
      <c r="P190" s="768"/>
      <c r="Q190" s="768"/>
      <c r="R190" s="768"/>
      <c r="S190" s="768"/>
      <c r="T190" s="768"/>
      <c r="U190" s="768"/>
      <c r="V190" s="768"/>
      <c r="W190" s="768"/>
      <c r="X190" s="768"/>
      <c r="Y190" s="768"/>
      <c r="Z190" s="768"/>
      <c r="AA190" s="768"/>
    </row>
    <row r="191" ht="30.0" customHeight="1">
      <c r="A191" s="768">
        <f t="array" ref="A191">XLOOKUP(C191,'High School Players'!D:D,'High School Players'!K:K,"NO",0,1)</f>
        <v>2</v>
      </c>
      <c r="B191" s="975">
        <f>IFERROR(__xludf.DUMMYFUNCTION("""COMPUTED_VALUE"""),45867.46857655093)</f>
        <v>45867.46858</v>
      </c>
      <c r="C191" s="768" t="str">
        <f>IFERROR(__xludf.DUMMYFUNCTION("""COMPUTED_VALUE"""),"Cameron Mares")</f>
        <v>Cameron Mares</v>
      </c>
      <c r="D191" s="768" t="str">
        <f>IFERROR(__xludf.DUMMYFUNCTION("""COMPUTED_VALUE"""),"camerondmares27@icloud.com")</f>
        <v>camerondmares27@icloud.com</v>
      </c>
      <c r="E191" s="768" t="str">
        <f>IFERROR(__xludf.DUMMYFUNCTION("""COMPUTED_VALUE"""),"6 foot 2 185 pounds")</f>
        <v>6 foot 2 185 pounds</v>
      </c>
      <c r="F191" s="768" t="str">
        <f>IFERROR(__xludf.DUMMYFUNCTION("""COMPUTED_VALUE"""),"C, OF, 1B, RHP")</f>
        <v>C, OF, 1B, RHP</v>
      </c>
      <c r="G191" s="768" t="str">
        <f>IFERROR(__xludf.DUMMYFUNCTION("""COMPUTED_VALUE"""),"HITTING: Plate Appearances (PA): 56 At-Bats (AB): 47 Batting Average (AVG): .340 On-Base Percentage (OBP): .400 On-base Plus Slugging (OPS): .783 PITCHING:ERA (Earned Run Average): 1.18 Wins (W): 4 Losses (L): 1 Win Percentage (W%): .800 Innings Pitched ("&amp;"IP): 35.2 Hits Allowed (H): 27")</f>
        <v>HITTING: Plate Appearances (PA): 56 At-Bats (AB): 47 Batting Average (AVG): .340 On-Base Percentage (OBP): .400 On-base Plus Slugging (OPS): .783 PITCHING:ERA (Earned Run Average): 1.18 Wins (W): 4 Losses (L): 1 Win Percentage (W%): .800 Innings Pitched (IP): 35.2 Hits Allowed (H): 27</v>
      </c>
      <c r="H191" s="768">
        <f>IFERROR(__xludf.DUMMYFUNCTION("""COMPUTED_VALUE"""),4.39)</f>
        <v>4.39</v>
      </c>
      <c r="I191" s="768" t="str">
        <f>IFERROR(__xludf.DUMMYFUNCTION("""COMPUTED_VALUE"""),"1070 on PSAT")</f>
        <v>1070 on PSAT</v>
      </c>
      <c r="J191" s="768" t="str">
        <f>IFERROR(__xludf.DUMMYFUNCTION("""COMPUTED_VALUE"""),"None")</f>
        <v>None</v>
      </c>
      <c r="K191" s="768" t="str">
        <f>IFERROR(__xludf.DUMMYFUNCTION("""COMPUTED_VALUE"""),"None")</f>
        <v>None</v>
      </c>
      <c r="L191" s="768" t="str">
        <f>IFERROR(__xludf.DUMMYFUNCTION("""COMPUTED_VALUE"""),"None")</f>
        <v>None</v>
      </c>
      <c r="M191" s="768" t="str">
        <f>IFERROR(__xludf.DUMMYFUNCTION("""COMPUTED_VALUE"""),"None")</f>
        <v>None</v>
      </c>
      <c r="N191" s="768">
        <f>IFERROR(__xludf.DUMMYFUNCTION("""COMPUTED_VALUE"""),2027.0)</f>
        <v>2027</v>
      </c>
      <c r="O191" s="768"/>
      <c r="P191" s="768"/>
      <c r="Q191" s="768"/>
      <c r="R191" s="768"/>
      <c r="S191" s="768"/>
      <c r="T191" s="768"/>
      <c r="U191" s="768"/>
      <c r="V191" s="768"/>
      <c r="W191" s="768"/>
      <c r="X191" s="768"/>
      <c r="Y191" s="768"/>
      <c r="Z191" s="768"/>
      <c r="AA191" s="768"/>
    </row>
    <row r="192" ht="30.0" customHeight="1">
      <c r="A192" s="768">
        <f t="array" ref="A192">XLOOKUP(C192,'High School Players'!D:D,'High School Players'!K:K,"NO",0,1)</f>
        <v>2</v>
      </c>
      <c r="B192" s="975">
        <f>IFERROR(__xludf.DUMMYFUNCTION("""COMPUTED_VALUE"""),45867.46910903935)</f>
        <v>45867.46911</v>
      </c>
      <c r="C192" s="768" t="str">
        <f>IFERROR(__xludf.DUMMYFUNCTION("""COMPUTED_VALUE"""),"Brennan Walters")</f>
        <v>Brennan Walters</v>
      </c>
      <c r="D192" s="768" t="str">
        <f>IFERROR(__xludf.DUMMYFUNCTION("""COMPUTED_VALUE"""),"waltersbren08@gmail.com")</f>
        <v>waltersbren08@gmail.com</v>
      </c>
      <c r="E192" s="768" t="str">
        <f>IFERROR(__xludf.DUMMYFUNCTION("""COMPUTED_VALUE"""),"6-2 190")</f>
        <v>6-2 190</v>
      </c>
      <c r="F192" s="768" t="str">
        <f>IFERROR(__xludf.DUMMYFUNCTION("""COMPUTED_VALUE"""),"3rd, 1st")</f>
        <v>3rd, 1st</v>
      </c>
      <c r="G192" s="768" t="str">
        <f>IFERROR(__xludf.DUMMYFUNCTION("""COMPUTED_VALUE"""),"High school: PA:140, AB:87, AVG:.349, OBP:577, HITS:30, RBI:27, RUNS:37, XBH:11, HR:3, BB:42(led state) HBP:10.              Travel ball stats: PA:77, AB:50, AVG:340, OBP:571, OPS:1.291, SLG:.720, H:17, HR:2, BB:15")</f>
        <v>High school: PA:140, AB:87, AVG:.349, OBP:577, HITS:30, RBI:27, RUNS:37, XBH:11, HR:3, BB:42(led state) HBP:10.              Travel ball stats: PA:77, AB:50, AVG:340, OBP:571, OPS:1.291, SLG:.720, H:17, HR:2, BB:15</v>
      </c>
      <c r="H192" s="768" t="str">
        <f>IFERROR(__xludf.DUMMYFUNCTION("""COMPUTED_VALUE"""),"3.9/4.0")</f>
        <v>3.9/4.0</v>
      </c>
      <c r="I192" s="768" t="str">
        <f>IFERROR(__xludf.DUMMYFUNCTION("""COMPUTED_VALUE"""),"N/A")</f>
        <v>N/A</v>
      </c>
      <c r="J192" s="768" t="str">
        <f>IFERROR(__xludf.DUMMYFUNCTION("""COMPUTED_VALUE"""),"N/A")</f>
        <v>N/A</v>
      </c>
      <c r="K192" s="768" t="str">
        <f>IFERROR(__xludf.DUMMYFUNCTION("""COMPUTED_VALUE"""),"N/A")</f>
        <v>N/A</v>
      </c>
      <c r="L192" s="768" t="str">
        <f>IFERROR(__xludf.DUMMYFUNCTION("""COMPUTED_VALUE"""),"N/A")</f>
        <v>N/A</v>
      </c>
      <c r="M192" s="768" t="str">
        <f>IFERROR(__xludf.DUMMYFUNCTION("""COMPUTED_VALUE"""),"N/A")</f>
        <v>N/A</v>
      </c>
      <c r="N192" s="768">
        <f>IFERROR(__xludf.DUMMYFUNCTION("""COMPUTED_VALUE"""),2027.0)</f>
        <v>2027</v>
      </c>
      <c r="O192" s="768"/>
      <c r="P192" s="768"/>
      <c r="Q192" s="768"/>
      <c r="R192" s="768"/>
      <c r="S192" s="768"/>
      <c r="T192" s="768"/>
      <c r="U192" s="768"/>
      <c r="V192" s="768"/>
      <c r="W192" s="768"/>
      <c r="X192" s="768"/>
      <c r="Y192" s="768"/>
      <c r="Z192" s="768"/>
      <c r="AA192" s="768"/>
    </row>
    <row r="193" ht="30.0" customHeight="1">
      <c r="A193" s="768" t="str">
        <f t="array" ref="A193">XLOOKUP(C193,'High School Players'!D:D,'High School Players'!K:K,"NO",0,1)</f>
        <v>XX</v>
      </c>
      <c r="B193" s="975">
        <f>IFERROR(__xludf.DUMMYFUNCTION("""COMPUTED_VALUE"""),45867.469180740736)</f>
        <v>45867.46918</v>
      </c>
      <c r="C193" s="768" t="str">
        <f>IFERROR(__xludf.DUMMYFUNCTION("""COMPUTED_VALUE"""),"Vaughn Howard")</f>
        <v>Vaughn Howard</v>
      </c>
      <c r="D193" s="768" t="str">
        <f>IFERROR(__xludf.DUMMYFUNCTION("""COMPUTED_VALUE"""),"vhow1025@gmail.com")</f>
        <v>vhow1025@gmail.com</v>
      </c>
      <c r="E193" s="768" t="str">
        <f>IFERROR(__xludf.DUMMYFUNCTION("""COMPUTED_VALUE"""),"6’0 185")</f>
        <v>6’0 185</v>
      </c>
      <c r="F193" s="768" t="str">
        <f>IFERROR(__xludf.DUMMYFUNCTION("""COMPUTED_VALUE"""),"SS/2B CF")</f>
        <v>SS/2B CF</v>
      </c>
      <c r="G193" s="768" t="str">
        <f>IFERROR(__xludf.DUMMYFUNCTION("""COMPUTED_VALUE"""),"I was hurt in the high school year but for summer my stats were OPS: 1.084 AVG: .397 OBP: .533 SLG: .552 23 Runs 23 Hits 5 doubles 2 triples 13RBI 9 stolen bases")</f>
        <v>I was hurt in the high school year but for summer my stats were OPS: 1.084 AVG: .397 OBP: .533 SLG: .552 23 Runs 23 Hits 5 doubles 2 triples 13RBI 9 stolen bases</v>
      </c>
      <c r="H193" s="768">
        <f>IFERROR(__xludf.DUMMYFUNCTION("""COMPUTED_VALUE"""),4.0)</f>
        <v>4</v>
      </c>
      <c r="I193" s="768" t="str">
        <f>IFERROR(__xludf.DUMMYFUNCTION("""COMPUTED_VALUE"""),"I have not took these yet")</f>
        <v>I have not took these yet</v>
      </c>
      <c r="J193" s="768" t="str">
        <f>IFERROR(__xludf.DUMMYFUNCTION("""COMPUTED_VALUE"""),"My lower back and my throwing shoulder ")</f>
        <v>My lower back and my throwing shoulder </v>
      </c>
      <c r="K193" s="768" t="str">
        <f>IFERROR(__xludf.DUMMYFUNCTION("""COMPUTED_VALUE"""),"No")</f>
        <v>No</v>
      </c>
      <c r="L193" s="768" t="str">
        <f>IFERROR(__xludf.DUMMYFUNCTION("""COMPUTED_VALUE"""),"No")</f>
        <v>No</v>
      </c>
      <c r="M193" s="768" t="str">
        <f>IFERROR(__xludf.DUMMYFUNCTION("""COMPUTED_VALUE"""),"Yes")</f>
        <v>Yes</v>
      </c>
      <c r="N193" s="768">
        <f>IFERROR(__xludf.DUMMYFUNCTION("""COMPUTED_VALUE"""),11.0)</f>
        <v>11</v>
      </c>
      <c r="O193" s="768"/>
      <c r="P193" s="768"/>
      <c r="Q193" s="768"/>
      <c r="R193" s="768"/>
      <c r="S193" s="768"/>
      <c r="T193" s="768"/>
      <c r="U193" s="768"/>
      <c r="V193" s="768"/>
      <c r="W193" s="768"/>
      <c r="X193" s="768"/>
      <c r="Y193" s="768"/>
      <c r="Z193" s="768"/>
      <c r="AA193" s="768"/>
    </row>
    <row r="194" ht="30.0" customHeight="1">
      <c r="A194" s="768">
        <f t="array" ref="A194">XLOOKUP(C194,'High School Players'!D:D,'High School Players'!K:K,"NO",0,1)</f>
        <v>2</v>
      </c>
      <c r="B194" s="975">
        <f>IFERROR(__xludf.DUMMYFUNCTION("""COMPUTED_VALUE"""),45867.47030592593)</f>
        <v>45867.47031</v>
      </c>
      <c r="C194" s="768" t="str">
        <f>IFERROR(__xludf.DUMMYFUNCTION("""COMPUTED_VALUE"""),"Landon Klein")</f>
        <v>Landon Klein</v>
      </c>
      <c r="D194" s="768" t="str">
        <f>IFERROR(__xludf.DUMMYFUNCTION("""COMPUTED_VALUE"""),"landonklein19@icloud.com")</f>
        <v>landonklein19@icloud.com</v>
      </c>
      <c r="E194" s="768" t="str">
        <f>IFERROR(__xludf.DUMMYFUNCTION("""COMPUTED_VALUE"""),"5’ 11” 160lbs")</f>
        <v>5’ 11” 160lbs</v>
      </c>
      <c r="F194" s="768" t="str">
        <f>IFERROR(__xludf.DUMMYFUNCTION("""COMPUTED_VALUE"""),"C/3B/MIF")</f>
        <v>C/3B/MIF</v>
      </c>
      <c r="G194" s="768" t="str">
        <f>IFERROR(__xludf.DUMMYFUNCTION("""COMPUTED_VALUE"""),"https://x.com/landon_klein19/status/1926681350775480504?s=46 First team all conference 2025, Second team all state 2025")</f>
        <v>https://x.com/landon_klein19/status/1926681350775480504?s=46 First team all conference 2025, Second team all state 2025</v>
      </c>
      <c r="H194" s="768" t="str">
        <f>IFERROR(__xludf.DUMMYFUNCTION("""COMPUTED_VALUE"""),"3.96/4.2")</f>
        <v>3.96/4.2</v>
      </c>
      <c r="I194" s="768" t="str">
        <f>IFERROR(__xludf.DUMMYFUNCTION("""COMPUTED_VALUE"""),"N/A")</f>
        <v>N/A</v>
      </c>
      <c r="J194" s="768" t="str">
        <f>IFERROR(__xludf.DUMMYFUNCTION("""COMPUTED_VALUE"""),"Little league elbow in 2023")</f>
        <v>Little league elbow in 2023</v>
      </c>
      <c r="K194" s="768" t="str">
        <f>IFERROR(__xludf.DUMMYFUNCTION("""COMPUTED_VALUE"""),"None")</f>
        <v>None</v>
      </c>
      <c r="L194" s="768" t="str">
        <f>IFERROR(__xludf.DUMMYFUNCTION("""COMPUTED_VALUE"""),"None")</f>
        <v>None</v>
      </c>
      <c r="M194" s="768" t="str">
        <f>IFERROR(__xludf.DUMMYFUNCTION("""COMPUTED_VALUE"""),"No")</f>
        <v>No</v>
      </c>
      <c r="N194" s="768">
        <f>IFERROR(__xludf.DUMMYFUNCTION("""COMPUTED_VALUE"""),2027.0)</f>
        <v>2027</v>
      </c>
      <c r="O194" s="768"/>
      <c r="P194" s="768"/>
      <c r="Q194" s="768"/>
      <c r="R194" s="768"/>
      <c r="S194" s="768"/>
      <c r="T194" s="768"/>
      <c r="U194" s="768"/>
      <c r="V194" s="768"/>
      <c r="W194" s="768"/>
      <c r="X194" s="768"/>
      <c r="Y194" s="768"/>
      <c r="Z194" s="768"/>
      <c r="AA194" s="768"/>
    </row>
    <row r="195" ht="30.0" customHeight="1">
      <c r="A195" s="768" t="str">
        <f t="array" ref="A195">XLOOKUP(C195,'High School Players'!D:D,'High School Players'!K:K,"NO",0,1)</f>
        <v>NO</v>
      </c>
      <c r="B195" s="975">
        <f>IFERROR(__xludf.DUMMYFUNCTION("""COMPUTED_VALUE"""),45867.47666990741)</f>
        <v>45867.47667</v>
      </c>
      <c r="C195" s="768" t="str">
        <f>IFERROR(__xludf.DUMMYFUNCTION("""COMPUTED_VALUE"""),"Lincoln ")</f>
        <v>Lincoln </v>
      </c>
      <c r="D195" s="768" t="str">
        <f>IFERROR(__xludf.DUMMYFUNCTION("""COMPUTED_VALUE"""),"Norris ")</f>
        <v>Norris </v>
      </c>
      <c r="E195" s="768" t="str">
        <f>IFERROR(__xludf.DUMMYFUNCTION("""COMPUTED_VALUE"""),"5-11 170")</f>
        <v>5-11 170</v>
      </c>
      <c r="F195" s="768" t="str">
        <f>IFERROR(__xludf.DUMMYFUNCTION("""COMPUTED_VALUE"""),"MIF")</f>
        <v>MIF</v>
      </c>
      <c r="G195" s="768" t="str">
        <f>IFERROR(__xludf.DUMMYFUNCTION("""COMPUTED_VALUE"""),".441 avg/ 49 hits/ 16 doubles/ 4 HR/ .504 OBP/ 0.712 SLG/ 1.216 OPS/11 SB/.952 FPCT/ 1st team all conference/ 1st team all district/ all state honors/ played at futures games for team Midwest. ")</f>
        <v>.441 avg/ 49 hits/ 16 doubles/ 4 HR/ .504 OBP/ 0.712 SLG/ 1.216 OPS/11 SB/.952 FPCT/ 1st team all conference/ 1st team all district/ all state honors/ played at futures games for team Midwest. </v>
      </c>
      <c r="H195" s="768">
        <f>IFERROR(__xludf.DUMMYFUNCTION("""COMPUTED_VALUE"""),3.9)</f>
        <v>3.9</v>
      </c>
      <c r="I195" s="768" t="str">
        <f>IFERROR(__xludf.DUMMYFUNCTION("""COMPUTED_VALUE"""),"NA")</f>
        <v>NA</v>
      </c>
      <c r="J195" s="768" t="str">
        <f>IFERROR(__xludf.DUMMYFUNCTION("""COMPUTED_VALUE"""),"Ankle problems from basketball.")</f>
        <v>Ankle problems from basketball.</v>
      </c>
      <c r="K195" s="768" t="str">
        <f>IFERROR(__xludf.DUMMYFUNCTION("""COMPUTED_VALUE"""),"No")</f>
        <v>No</v>
      </c>
      <c r="L195" s="768" t="str">
        <f>IFERROR(__xludf.DUMMYFUNCTION("""COMPUTED_VALUE"""),"No")</f>
        <v>No</v>
      </c>
      <c r="M195" s="768" t="str">
        <f>IFERROR(__xludf.DUMMYFUNCTION("""COMPUTED_VALUE"""),"No")</f>
        <v>No</v>
      </c>
      <c r="N195" s="768">
        <f>IFERROR(__xludf.DUMMYFUNCTION("""COMPUTED_VALUE"""),2027.0)</f>
        <v>2027</v>
      </c>
      <c r="O195" s="768"/>
      <c r="P195" s="768"/>
      <c r="Q195" s="768"/>
      <c r="R195" s="768"/>
      <c r="S195" s="768"/>
      <c r="T195" s="768"/>
      <c r="U195" s="768"/>
      <c r="V195" s="768"/>
      <c r="W195" s="768"/>
      <c r="X195" s="768"/>
      <c r="Y195" s="768"/>
      <c r="Z195" s="768"/>
      <c r="AA195" s="768"/>
    </row>
    <row r="196" ht="30.0" customHeight="1">
      <c r="A196" s="768" t="str">
        <f t="array" ref="A196">XLOOKUP(C196,'High School Players'!D:D,'High School Players'!K:K,"NO",0,1)</f>
        <v>XX</v>
      </c>
      <c r="B196" s="975">
        <f>IFERROR(__xludf.DUMMYFUNCTION("""COMPUTED_VALUE"""),45867.491256064815)</f>
        <v>45867.49126</v>
      </c>
      <c r="C196" s="768" t="str">
        <f>IFERROR(__xludf.DUMMYFUNCTION("""COMPUTED_VALUE"""),"Jack Munson")</f>
        <v>Jack Munson</v>
      </c>
      <c r="D196" s="768" t="str">
        <f>IFERROR(__xludf.DUMMYFUNCTION("""COMPUTED_VALUE"""),"jackmunson27@gmail.com")</f>
        <v>jackmunson27@gmail.com</v>
      </c>
      <c r="E196" s="768" t="str">
        <f>IFERROR(__xludf.DUMMYFUNCTION("""COMPUTED_VALUE"""),"5’10” 165 lbs")</f>
        <v>5’10” 165 lbs</v>
      </c>
      <c r="F196" s="768" t="str">
        <f>IFERROR(__xludf.DUMMYFUNCTION("""COMPUTED_VALUE"""),"OF")</f>
        <v>OF</v>
      </c>
      <c r="G196" s="768" t="str">
        <f>IFERROR(__xludf.DUMMYFUNCTION("""COMPUTED_VALUE"""),"PA: 105  AB: 89 AVG: .371 OBP: .419 OPS: .880 H: 33 2B: 8 RBI: 22 R: 16 BB: 11 2025 Future Games, 2025 6A 1st Team All-Region, 2024 USA Baseball Southwest NTIS, 2025 Gold Glove CCHS, 2024 Rookie of the Year CCHS")</f>
        <v>PA: 105  AB: 89 AVG: .371 OBP: .419 OPS: .880 H: 33 2B: 8 RBI: 22 R: 16 BB: 11 2025 Future Games, 2025 6A 1st Team All-Region, 2024 USA Baseball Southwest NTIS, 2025 Gold Glove CCHS, 2024 Rookie of the Year CCHS</v>
      </c>
      <c r="H196" s="768" t="str">
        <f>IFERROR(__xludf.DUMMYFUNCTION("""COMPUTED_VALUE"""),"Unweighted: 3.87 (No weighted)")</f>
        <v>Unweighted: 3.87 (No weighted)</v>
      </c>
      <c r="I196" s="768" t="str">
        <f>IFERROR(__xludf.DUMMYFUNCTION("""COMPUTED_VALUE"""),"ACT: 26")</f>
        <v>ACT: 26</v>
      </c>
      <c r="J196" s="768" t="str">
        <f>IFERROR(__xludf.DUMMYFUNCTION("""COMPUTED_VALUE"""),"None")</f>
        <v>None</v>
      </c>
      <c r="K196" s="768" t="str">
        <f>IFERROR(__xludf.DUMMYFUNCTION("""COMPUTED_VALUE"""),"No")</f>
        <v>No</v>
      </c>
      <c r="L196" s="768" t="str">
        <f>IFERROR(__xludf.DUMMYFUNCTION("""COMPUTED_VALUE"""),"Multivitamins ")</f>
        <v>Multivitamins </v>
      </c>
      <c r="M196" s="768" t="str">
        <f>IFERROR(__xludf.DUMMYFUNCTION("""COMPUTED_VALUE"""),"No")</f>
        <v>No</v>
      </c>
      <c r="N196" s="768">
        <f>IFERROR(__xludf.DUMMYFUNCTION("""COMPUTED_VALUE"""),2027.0)</f>
        <v>2027</v>
      </c>
      <c r="O196" s="768"/>
      <c r="P196" s="768"/>
      <c r="Q196" s="768"/>
      <c r="R196" s="768"/>
      <c r="S196" s="768"/>
      <c r="T196" s="768"/>
      <c r="U196" s="768"/>
      <c r="V196" s="768"/>
      <c r="W196" s="768"/>
      <c r="X196" s="768"/>
      <c r="Y196" s="768"/>
      <c r="Z196" s="768"/>
      <c r="AA196" s="768"/>
    </row>
    <row r="197" ht="30.0" customHeight="1">
      <c r="A197" s="768" t="str">
        <f t="array" ref="A197">XLOOKUP(C197,'High School Players'!D:D,'High School Players'!K:K,"NO",0,1)</f>
        <v>XX</v>
      </c>
      <c r="B197" s="975">
        <f>IFERROR(__xludf.DUMMYFUNCTION("""COMPUTED_VALUE"""),45867.49371300926)</f>
        <v>45867.49371</v>
      </c>
      <c r="C197" s="768" t="str">
        <f>IFERROR(__xludf.DUMMYFUNCTION("""COMPUTED_VALUE"""),"Luke Crawford")</f>
        <v>Luke Crawford</v>
      </c>
      <c r="D197" s="768" t="str">
        <f>IFERROR(__xludf.DUMMYFUNCTION("""COMPUTED_VALUE"""),"lukecraw28@gmail.com")</f>
        <v>lukecraw28@gmail.com</v>
      </c>
      <c r="E197" s="768" t="str">
        <f>IFERROR(__xludf.DUMMYFUNCTION("""COMPUTED_VALUE"""),"6’3”/195")</f>
        <v>6’3”/195</v>
      </c>
      <c r="F197" s="768" t="str">
        <f>IFERROR(__xludf.DUMMYFUNCTION("""COMPUTED_VALUE"""),"C/UTIL")</f>
        <v>C/UTIL</v>
      </c>
      <c r="G197" s="768" t="str">
        <f>IFERROR(__xludf.DUMMYFUNCTION("""COMPUTED_VALUE"""),"Summer stats: avg .417, OPS 1.110, 25 Hits, 4 2B, 1 3B, 2 HR")</f>
        <v>Summer stats: avg .417, OPS 1.110, 25 Hits, 4 2B, 1 3B, 2 HR</v>
      </c>
      <c r="H197" s="979">
        <f>IFERROR(__xludf.DUMMYFUNCTION("""COMPUTED_VALUE"""),0.94)</f>
        <v>0.94</v>
      </c>
      <c r="I197" s="768"/>
      <c r="J197" s="768" t="str">
        <f>IFERROR(__xludf.DUMMYFUNCTION("""COMPUTED_VALUE"""),"Fractured wrist sliding into second base at 12 yrs old")</f>
        <v>Fractured wrist sliding into second base at 12 yrs old</v>
      </c>
      <c r="K197" s="768"/>
      <c r="L197" s="768"/>
      <c r="M197" s="768"/>
      <c r="N197" s="768">
        <f>IFERROR(__xludf.DUMMYFUNCTION("""COMPUTED_VALUE"""),2027.0)</f>
        <v>2027</v>
      </c>
      <c r="O197" s="768"/>
      <c r="P197" s="768"/>
      <c r="Q197" s="768"/>
      <c r="R197" s="768"/>
      <c r="S197" s="768"/>
      <c r="T197" s="768"/>
      <c r="U197" s="768"/>
      <c r="V197" s="768"/>
      <c r="W197" s="768"/>
      <c r="X197" s="768"/>
      <c r="Y197" s="768"/>
      <c r="Z197" s="768"/>
      <c r="AA197" s="768"/>
    </row>
    <row r="198" ht="30.0" customHeight="1">
      <c r="A198" s="768" t="str">
        <f t="array" ref="A198">XLOOKUP(C198,'High School Players'!D:D,'High School Players'!K:K,"NO",0,1)</f>
        <v>XX</v>
      </c>
      <c r="B198" s="975">
        <f>IFERROR(__xludf.DUMMYFUNCTION("""COMPUTED_VALUE"""),45867.49837631945)</f>
        <v>45867.49838</v>
      </c>
      <c r="C198" s="768" t="str">
        <f>IFERROR(__xludf.DUMMYFUNCTION("""COMPUTED_VALUE"""),"Connor Greb")</f>
        <v>Connor Greb</v>
      </c>
      <c r="D198" s="768" t="str">
        <f>IFERROR(__xludf.DUMMYFUNCTION("""COMPUTED_VALUE"""),"connorgreb@gmail.com")</f>
        <v>connorgreb@gmail.com</v>
      </c>
      <c r="E198" s="768" t="str">
        <f>IFERROR(__xludf.DUMMYFUNCTION("""COMPUTED_VALUE"""),"6,1/190")</f>
        <v>6,1/190</v>
      </c>
      <c r="F198" s="768" t="str">
        <f>IFERROR(__xludf.DUMMYFUNCTION("""COMPUTED_VALUE"""),"3B/1B ")</f>
        <v>3B/1B </v>
      </c>
      <c r="G198" s="768" t="str">
        <f>IFERROR(__xludf.DUMMYFUNCTION("""COMPUTED_VALUE"""),"Perfect game profile  ")</f>
        <v>Perfect game profile  </v>
      </c>
      <c r="H198" s="768" t="str">
        <f>IFERROR(__xludf.DUMMYFUNCTION("""COMPUTED_VALUE"""),"3.85/4.00")</f>
        <v>3.85/4.00</v>
      </c>
      <c r="I198" s="768" t="str">
        <f>IFERROR(__xludf.DUMMYFUNCTION("""COMPUTED_VALUE"""),"Have yet too take ACT")</f>
        <v>Have yet too take ACT</v>
      </c>
      <c r="J198" s="768" t="str">
        <f>IFERROR(__xludf.DUMMYFUNCTION("""COMPUTED_VALUE"""),"Hand surgery broken wrist toe surgery broken collarbone")</f>
        <v>Hand surgery broken wrist toe surgery broken collarbone</v>
      </c>
      <c r="K198" s="768" t="str">
        <f>IFERROR(__xludf.DUMMYFUNCTION("""COMPUTED_VALUE"""),"None ")</f>
        <v>None </v>
      </c>
      <c r="L198" s="768" t="str">
        <f>IFERROR(__xludf.DUMMYFUNCTION("""COMPUTED_VALUE"""),"No ")</f>
        <v>No </v>
      </c>
      <c r="M198" s="768" t="str">
        <f>IFERROR(__xludf.DUMMYFUNCTION("""COMPUTED_VALUE"""),"No ")</f>
        <v>No </v>
      </c>
      <c r="N198" s="768">
        <f>IFERROR(__xludf.DUMMYFUNCTION("""COMPUTED_VALUE"""),2027.0)</f>
        <v>2027</v>
      </c>
      <c r="O198" s="768"/>
      <c r="P198" s="768"/>
      <c r="Q198" s="768"/>
      <c r="R198" s="768"/>
      <c r="S198" s="768"/>
      <c r="T198" s="768"/>
      <c r="U198" s="768"/>
      <c r="V198" s="768"/>
      <c r="W198" s="768"/>
      <c r="X198" s="768"/>
      <c r="Y198" s="768"/>
      <c r="Z198" s="768"/>
      <c r="AA198" s="768"/>
    </row>
    <row r="199" ht="30.0" customHeight="1">
      <c r="A199" s="768" t="str">
        <f t="array" ref="A199">XLOOKUP(C199,'High School Players'!D:D,'High School Players'!K:K,"NO",0,1)</f>
        <v>XX</v>
      </c>
      <c r="B199" s="975">
        <f>IFERROR(__xludf.DUMMYFUNCTION("""COMPUTED_VALUE"""),45867.507551030096)</f>
        <v>45867.50755</v>
      </c>
      <c r="C199" s="768" t="str">
        <f>IFERROR(__xludf.DUMMYFUNCTION("""COMPUTED_VALUE"""),"Nolan Rolloff")</f>
        <v>Nolan Rolloff</v>
      </c>
      <c r="D199" s="768" t="str">
        <f>IFERROR(__xludf.DUMMYFUNCTION("""COMPUTED_VALUE"""),"nolanrolloff0@gmail.com")</f>
        <v>nolanrolloff0@gmail.com</v>
      </c>
      <c r="E199" s="768" t="str">
        <f>IFERROR(__xludf.DUMMYFUNCTION("""COMPUTED_VALUE"""),"6FT/170LBS")</f>
        <v>6FT/170LBS</v>
      </c>
      <c r="F199" s="768" t="str">
        <f>IFERROR(__xludf.DUMMYFUNCTION("""COMPUTED_VALUE"""),"SS/2B")</f>
        <v>SS/2B</v>
      </c>
      <c r="G199" s="768" t="str">
        <f>IFERROR(__xludf.DUMMYFUNCTION("""COMPUTED_VALUE"""),".455BA - .571 OBP - 35 Hits - 20 RBI’s. All Conference, All Section, All State Nomination, Team MVP, Team Offensive Player of the Year, Future Games (Team MN).  ")</f>
        <v>.455BA - .571 OBP - 35 Hits - 20 RBI’s. All Conference, All Section, All State Nomination, Team MVP, Team Offensive Player of the Year, Future Games (Team MN).  </v>
      </c>
      <c r="H199" s="768" t="str">
        <f>IFERROR(__xludf.DUMMYFUNCTION("""COMPUTED_VALUE"""),"3.75 Unweighted")</f>
        <v>3.75 Unweighted</v>
      </c>
      <c r="I199" s="768" t="str">
        <f>IFERROR(__xludf.DUMMYFUNCTION("""COMPUTED_VALUE"""),"I have not taken the SAT or ACT yet. ")</f>
        <v>I have not taken the SAT or ACT yet. </v>
      </c>
      <c r="J199" s="768" t="str">
        <f>IFERROR(__xludf.DUMMYFUNCTION("""COMPUTED_VALUE"""),"None ")</f>
        <v>None </v>
      </c>
      <c r="K199" s="768" t="str">
        <f>IFERROR(__xludf.DUMMYFUNCTION("""COMPUTED_VALUE"""),"Amoxicillin ")</f>
        <v>Amoxicillin </v>
      </c>
      <c r="L199" s="768" t="str">
        <f>IFERROR(__xludf.DUMMYFUNCTION("""COMPUTED_VALUE"""),"None ")</f>
        <v>None </v>
      </c>
      <c r="M199" s="768" t="str">
        <f>IFERROR(__xludf.DUMMYFUNCTION("""COMPUTED_VALUE"""),"None ")</f>
        <v>None </v>
      </c>
      <c r="N199" s="768">
        <f>IFERROR(__xludf.DUMMYFUNCTION("""COMPUTED_VALUE"""),2027.0)</f>
        <v>2027</v>
      </c>
      <c r="O199" s="768"/>
      <c r="P199" s="768"/>
      <c r="Q199" s="768"/>
      <c r="R199" s="768"/>
      <c r="S199" s="768"/>
      <c r="T199" s="768"/>
      <c r="U199" s="768"/>
      <c r="V199" s="768"/>
      <c r="W199" s="768"/>
      <c r="X199" s="768"/>
      <c r="Y199" s="768"/>
      <c r="Z199" s="768"/>
      <c r="AA199" s="768"/>
    </row>
    <row r="200" ht="30.0" customHeight="1">
      <c r="A200" s="768" t="str">
        <f t="array" ref="A200">XLOOKUP(C200,'High School Players'!D:D,'High School Players'!K:K,"NO",0,1)</f>
        <v>XX</v>
      </c>
      <c r="B200" s="975">
        <f>IFERROR(__xludf.DUMMYFUNCTION("""COMPUTED_VALUE"""),45867.5086891088)</f>
        <v>45867.50869</v>
      </c>
      <c r="C200" s="768" t="str">
        <f>IFERROR(__xludf.DUMMYFUNCTION("""COMPUTED_VALUE"""),"Keith Mitchell")</f>
        <v>Keith Mitchell</v>
      </c>
      <c r="D200" s="768" t="str">
        <f>IFERROR(__xludf.DUMMYFUNCTION("""COMPUTED_VALUE"""),"keithrwmitchell@gmail.com")</f>
        <v>keithrwmitchell@gmail.com</v>
      </c>
      <c r="E200" s="768" t="str">
        <f>IFERROR(__xludf.DUMMYFUNCTION("""COMPUTED_VALUE"""),"6’ 195lbs")</f>
        <v>6’ 195lbs</v>
      </c>
      <c r="F200" s="768" t="str">
        <f>IFERROR(__xludf.DUMMYFUNCTION("""COMPUTED_VALUE"""),"OF")</f>
        <v>OF</v>
      </c>
      <c r="G200" s="768" t="str">
        <f>IFERROR(__xludf.DUMMYFUNCTION("""COMPUTED_VALUE"""),"Summer-.323 AVG  .497 OBP .485 SLG .982 OPS 5 XBH + 1 HR 9 RBI + 15 RS 15 BB / 9 K           School-.306 AVG .500 OBP .935 OPS 19H 5 XBH+1HR 22R 15BB")</f>
        <v>Summer-.323 AVG  .497 OBP .485 SLG .982 OPS 5 XBH + 1 HR 9 RBI + 15 RS 15 BB / 9 K           School-.306 AVG .500 OBP .935 OPS 19H 5 XBH+1HR 22R 15BB</v>
      </c>
      <c r="H200" s="768" t="str">
        <f>IFERROR(__xludf.DUMMYFUNCTION("""COMPUTED_VALUE"""),"Weighted 4.2 unweighted 3.8")</f>
        <v>Weighted 4.2 unweighted 3.8</v>
      </c>
      <c r="I200" s="768" t="str">
        <f>IFERROR(__xludf.DUMMYFUNCTION("""COMPUTED_VALUE"""),"24ACT practice test ")</f>
        <v>24ACT practice test </v>
      </c>
      <c r="J200" s="768" t="str">
        <f>IFERROR(__xludf.DUMMYFUNCTION("""COMPUTED_VALUE"""),"None")</f>
        <v>None</v>
      </c>
      <c r="K200" s="768" t="str">
        <f>IFERROR(__xludf.DUMMYFUNCTION("""COMPUTED_VALUE"""),"None")</f>
        <v>None</v>
      </c>
      <c r="L200" s="768" t="str">
        <f>IFERROR(__xludf.DUMMYFUNCTION("""COMPUTED_VALUE"""),"Montekalaust- allergy medicine ")</f>
        <v>Montekalaust- allergy medicine </v>
      </c>
      <c r="M200" s="768" t="str">
        <f>IFERROR(__xludf.DUMMYFUNCTION("""COMPUTED_VALUE"""),"No")</f>
        <v>No</v>
      </c>
      <c r="N200" s="768">
        <f>IFERROR(__xludf.DUMMYFUNCTION("""COMPUTED_VALUE"""),2027.0)</f>
        <v>2027</v>
      </c>
      <c r="O200" s="768"/>
      <c r="P200" s="768"/>
      <c r="Q200" s="768"/>
      <c r="R200" s="768"/>
      <c r="S200" s="768"/>
      <c r="T200" s="768"/>
      <c r="U200" s="768"/>
      <c r="V200" s="768"/>
      <c r="W200" s="768"/>
      <c r="X200" s="768"/>
      <c r="Y200" s="768"/>
      <c r="Z200" s="768"/>
      <c r="AA200" s="768"/>
    </row>
    <row r="201" ht="30.0" customHeight="1">
      <c r="A201" s="768" t="str">
        <f t="array" ref="A201">XLOOKUP(C201,'High School Players'!D:D,'High School Players'!K:K,"NO",0,1)</f>
        <v>XX</v>
      </c>
      <c r="B201" s="975">
        <f>IFERROR(__xludf.DUMMYFUNCTION("""COMPUTED_VALUE"""),45867.51234075231)</f>
        <v>45867.51234</v>
      </c>
      <c r="C201" s="768" t="str">
        <f>IFERROR(__xludf.DUMMYFUNCTION("""COMPUTED_VALUE"""),"Austin Winge")</f>
        <v>Austin Winge</v>
      </c>
      <c r="D201" s="768" t="str">
        <f>IFERROR(__xludf.DUMMYFUNCTION("""COMPUTED_VALUE"""),"awingebaseball31@gmail.com")</f>
        <v>awingebaseball31@gmail.com</v>
      </c>
      <c r="E201" s="768" t="str">
        <f>IFERROR(__xludf.DUMMYFUNCTION("""COMPUTED_VALUE"""),"5'10, 155")</f>
        <v>5'10, 155</v>
      </c>
      <c r="F201" s="768" t="str">
        <f>IFERROR(__xludf.DUMMYFUNCTION("""COMPUTED_VALUE"""),"RHP")</f>
        <v>RHP</v>
      </c>
      <c r="G201" s="768" t="str">
        <f>IFERROR(__xludf.DUMMYFUNCTION("""COMPUTED_VALUE"""),"All Conference, All Area, 0 era in conference, 5 saves")</f>
        <v>All Conference, All Area, 0 era in conference, 5 saves</v>
      </c>
      <c r="H201" s="768" t="str">
        <f>IFERROR(__xludf.DUMMYFUNCTION("""COMPUTED_VALUE"""),"3.769-4.308")</f>
        <v>3.769-4.308</v>
      </c>
      <c r="I201" s="768" t="str">
        <f>IFERROR(__xludf.DUMMYFUNCTION("""COMPUTED_VALUE"""),"N/A")</f>
        <v>N/A</v>
      </c>
      <c r="J201" s="768" t="str">
        <f>IFERROR(__xludf.DUMMYFUNCTION("""COMPUTED_VALUE"""),"Little league elbow- right arm")</f>
        <v>Little league elbow- right arm</v>
      </c>
      <c r="K201" s="768" t="str">
        <f>IFERROR(__xludf.DUMMYFUNCTION("""COMPUTED_VALUE"""),"Penicillin")</f>
        <v>Penicillin</v>
      </c>
      <c r="L201" s="768"/>
      <c r="M201" s="768"/>
      <c r="N201" s="768">
        <f>IFERROR(__xludf.DUMMYFUNCTION("""COMPUTED_VALUE"""),2027.0)</f>
        <v>2027</v>
      </c>
      <c r="O201" s="768"/>
      <c r="P201" s="768"/>
      <c r="Q201" s="768"/>
      <c r="R201" s="768"/>
      <c r="S201" s="768"/>
      <c r="T201" s="768"/>
      <c r="U201" s="768"/>
      <c r="V201" s="768"/>
      <c r="W201" s="768"/>
      <c r="X201" s="768"/>
      <c r="Y201" s="768"/>
      <c r="Z201" s="768"/>
      <c r="AA201" s="768"/>
    </row>
    <row r="202" ht="30.0" customHeight="1">
      <c r="A202" s="768" t="str">
        <f t="array" ref="A202">XLOOKUP(C202,'High School Players'!D:D,'High School Players'!K:K,"NO",0,1)</f>
        <v>XX</v>
      </c>
      <c r="B202" s="975">
        <f>IFERROR(__xludf.DUMMYFUNCTION("""COMPUTED_VALUE"""),45867.51456361111)</f>
        <v>45867.51456</v>
      </c>
      <c r="C202" s="768" t="str">
        <f>IFERROR(__xludf.DUMMYFUNCTION("""COMPUTED_VALUE"""),"Brandon Emig")</f>
        <v>Brandon Emig</v>
      </c>
      <c r="D202" s="768" t="str">
        <f>IFERROR(__xludf.DUMMYFUNCTION("""COMPUTED_VALUE"""),"brandon.emig@salesianum.org")</f>
        <v>brandon.emig@salesianum.org</v>
      </c>
      <c r="E202" s="768" t="str">
        <f>IFERROR(__xludf.DUMMYFUNCTION("""COMPUTED_VALUE"""),"6’1, 165")</f>
        <v>6’1, 165</v>
      </c>
      <c r="F202" s="768" t="str">
        <f>IFERROR(__xludf.DUMMYFUNCTION("""COMPUTED_VALUE"""),"RHP")</f>
        <v>RHP</v>
      </c>
      <c r="G202" s="768" t="str">
        <f>IFERROR(__xludf.DUMMYFUNCTION("""COMPUTED_VALUE"""),"0.75 era, 9.1 in, 3 hits, 2 bbs, 11ks, 0.100 OAVG, 0.54 whip(From WWBA and UBC East). 31 in - 5 w - 1 l - 27 h - 9 er 17 bb - 42 k - 2.03 era - 1.419 whip. (High School)")</f>
        <v>0.75 era, 9.1 in, 3 hits, 2 bbs, 11ks, 0.100 OAVG, 0.54 whip(From WWBA and UBC East). 31 in - 5 w - 1 l - 27 h - 9 er 17 bb - 42 k - 2.03 era - 1.419 whip. (High School)</v>
      </c>
      <c r="H202" s="768">
        <f>IFERROR(__xludf.DUMMYFUNCTION("""COMPUTED_VALUE"""),3.69)</f>
        <v>3.69</v>
      </c>
      <c r="I202" s="768" t="str">
        <f>IFERROR(__xludf.DUMMYFUNCTION("""COMPUTED_VALUE"""),"Haven’t taken them yet.")</f>
        <v>Haven’t taken them yet.</v>
      </c>
      <c r="J202" s="768" t="str">
        <f>IFERROR(__xludf.DUMMYFUNCTION("""COMPUTED_VALUE"""),"Bicep tendinitis, concussion.")</f>
        <v>Bicep tendinitis, concussion.</v>
      </c>
      <c r="K202" s="768" t="str">
        <f>IFERROR(__xludf.DUMMYFUNCTION("""COMPUTED_VALUE"""),"No")</f>
        <v>No</v>
      </c>
      <c r="L202" s="768" t="str">
        <f>IFERROR(__xludf.DUMMYFUNCTION("""COMPUTED_VALUE"""),"Ni")</f>
        <v>Ni</v>
      </c>
      <c r="M202" s="768" t="str">
        <f>IFERROR(__xludf.DUMMYFUNCTION("""COMPUTED_VALUE"""),"No")</f>
        <v>No</v>
      </c>
      <c r="N202" s="768">
        <f>IFERROR(__xludf.DUMMYFUNCTION("""COMPUTED_VALUE"""),2027.0)</f>
        <v>2027</v>
      </c>
      <c r="O202" s="768"/>
      <c r="P202" s="768"/>
      <c r="Q202" s="768"/>
      <c r="R202" s="768"/>
      <c r="S202" s="768"/>
      <c r="T202" s="768"/>
      <c r="U202" s="768"/>
      <c r="V202" s="768"/>
      <c r="W202" s="768"/>
      <c r="X202" s="768"/>
      <c r="Y202" s="768"/>
      <c r="Z202" s="768"/>
      <c r="AA202" s="768"/>
    </row>
    <row r="203" ht="30.0" customHeight="1">
      <c r="A203" s="768" t="str">
        <f t="array" ref="A203">XLOOKUP(C203,'High School Players'!D:D,'High School Players'!K:K,"NO",0,1)</f>
        <v>XX</v>
      </c>
      <c r="B203" s="975">
        <f>IFERROR(__xludf.DUMMYFUNCTION("""COMPUTED_VALUE"""),45867.52014127315)</f>
        <v>45867.52014</v>
      </c>
      <c r="C203" s="768" t="str">
        <f>IFERROR(__xludf.DUMMYFUNCTION("""COMPUTED_VALUE"""),"Deshaun White")</f>
        <v>Deshaun White</v>
      </c>
      <c r="D203" s="768" t="str">
        <f>IFERROR(__xludf.DUMMYFUNCTION("""COMPUTED_VALUE"""),"drizzybaseball23@yahoo.com")</f>
        <v>drizzybaseball23@yahoo.com</v>
      </c>
      <c r="E203" s="768" t="str">
        <f>IFERROR(__xludf.DUMMYFUNCTION("""COMPUTED_VALUE"""),"6’1/190")</f>
        <v>6’1/190</v>
      </c>
      <c r="F203" s="768" t="str">
        <f>IFERROR(__xludf.DUMMYFUNCTION("""COMPUTED_VALUE"""),"OF / MIF")</f>
        <v>OF / MIF</v>
      </c>
      <c r="G203" s="768" t="str">
        <f>IFERROR(__xludf.DUMMYFUNCTION("""COMPUTED_VALUE"""),"HS .370/.508 (OBP)/1.117 , 2 HRs , 20 RBIs , 2025 Impact Player of The Year , All District 1st Hitting / Defensive Team . Summer - .400/.571/1.371 4 HRs 35 RBI")</f>
        <v>HS .370/.508 (OBP)/1.117 , 2 HRs , 20 RBIs , 2025 Impact Player of The Year , All District 1st Hitting / Defensive Team . Summer - .400/.571/1.371 4 HRs 35 RBI</v>
      </c>
      <c r="H203" s="768">
        <f>IFERROR(__xludf.DUMMYFUNCTION("""COMPUTED_VALUE"""),3.5)</f>
        <v>3.5</v>
      </c>
      <c r="I203" s="768" t="str">
        <f>IFERROR(__xludf.DUMMYFUNCTION("""COMPUTED_VALUE"""),"N/A")</f>
        <v>N/A</v>
      </c>
      <c r="J203" s="768" t="str">
        <f>IFERROR(__xludf.DUMMYFUNCTION("""COMPUTED_VALUE"""),"Minor Labrum Tear 2022 (Fully Recovered)")</f>
        <v>Minor Labrum Tear 2022 (Fully Recovered)</v>
      </c>
      <c r="K203" s="768" t="str">
        <f>IFERROR(__xludf.DUMMYFUNCTION("""COMPUTED_VALUE"""),"no")</f>
        <v>no</v>
      </c>
      <c r="L203" s="768" t="str">
        <f>IFERROR(__xludf.DUMMYFUNCTION("""COMPUTED_VALUE"""),"Inhaler for asthma")</f>
        <v>Inhaler for asthma</v>
      </c>
      <c r="M203" s="768" t="str">
        <f>IFERROR(__xludf.DUMMYFUNCTION("""COMPUTED_VALUE"""),"no")</f>
        <v>no</v>
      </c>
      <c r="N203" s="768">
        <f>IFERROR(__xludf.DUMMYFUNCTION("""COMPUTED_VALUE"""),2027.0)</f>
        <v>2027</v>
      </c>
      <c r="O203" s="768"/>
      <c r="P203" s="768"/>
      <c r="Q203" s="768"/>
      <c r="R203" s="768"/>
      <c r="S203" s="768"/>
      <c r="T203" s="768"/>
      <c r="U203" s="768"/>
      <c r="V203" s="768"/>
      <c r="W203" s="768"/>
      <c r="X203" s="768"/>
      <c r="Y203" s="768"/>
      <c r="Z203" s="768"/>
      <c r="AA203" s="768"/>
    </row>
    <row r="204" ht="30.0" customHeight="1">
      <c r="A204" s="768">
        <f t="array" ref="A204">XLOOKUP(C204,'High School Players'!D:D,'High School Players'!K:K,"NO",0,1)</f>
        <v>2</v>
      </c>
      <c r="B204" s="975">
        <f>IFERROR(__xludf.DUMMYFUNCTION("""COMPUTED_VALUE"""),45867.5206944213)</f>
        <v>45867.52069</v>
      </c>
      <c r="C204" s="768" t="str">
        <f>IFERROR(__xludf.DUMMYFUNCTION("""COMPUTED_VALUE"""),"Maddux Hasty")</f>
        <v>Maddux Hasty</v>
      </c>
      <c r="D204" s="768" t="str">
        <f>IFERROR(__xludf.DUMMYFUNCTION("""COMPUTED_VALUE"""),"hastymaddux24@gmail.com")</f>
        <v>hastymaddux24@gmail.com</v>
      </c>
      <c r="E204" s="768" t="str">
        <f>IFERROR(__xludf.DUMMYFUNCTION("""COMPUTED_VALUE"""),"6,2 185")</f>
        <v>6,2 185</v>
      </c>
      <c r="F204" s="768" t="str">
        <f>IFERROR(__xludf.DUMMYFUNCTION("""COMPUTED_VALUE"""),"First base, LHP")</f>
        <v>First base, LHP</v>
      </c>
      <c r="G204" s="768" t="str">
        <f>IFERROR(__xludf.DUMMYFUNCTION("""COMPUTED_VALUE"""),"LHP- top 86 mph, 4 pitch mix in the zone, Hitting- High school hit .350 with two home runs, Summer ball- hit .500 with 20 plus doubles. ")</f>
        <v>LHP- top 86 mph, 4 pitch mix in the zone, Hitting- High school hit .350 with two home runs, Summer ball- hit .500 with 20 plus doubles. </v>
      </c>
      <c r="H204" s="768" t="str">
        <f>IFERROR(__xludf.DUMMYFUNCTION("""COMPUTED_VALUE"""),"Unweighted- 3.94, Weighted- 4.2")</f>
        <v>Unweighted- 3.94, Weighted- 4.2</v>
      </c>
      <c r="I204" s="768" t="str">
        <f>IFERROR(__xludf.DUMMYFUNCTION("""COMPUTED_VALUE"""),"Have not yet received scores back from ACT. ")</f>
        <v>Have not yet received scores back from ACT. </v>
      </c>
      <c r="J204" s="768" t="str">
        <f>IFERROR(__xludf.DUMMYFUNCTION("""COMPUTED_VALUE"""),"No injury’s. ")</f>
        <v>No injury’s. </v>
      </c>
      <c r="K204" s="768" t="str">
        <f>IFERROR(__xludf.DUMMYFUNCTION("""COMPUTED_VALUE"""),"Sulfa Drugs")</f>
        <v>Sulfa Drugs</v>
      </c>
      <c r="L204" s="768" t="str">
        <f>IFERROR(__xludf.DUMMYFUNCTION("""COMPUTED_VALUE"""),"Creatine monohydrate")</f>
        <v>Creatine monohydrate</v>
      </c>
      <c r="M204" s="768" t="str">
        <f>IFERROR(__xludf.DUMMYFUNCTION("""COMPUTED_VALUE"""),"No ")</f>
        <v>No </v>
      </c>
      <c r="N204" s="768">
        <f>IFERROR(__xludf.DUMMYFUNCTION("""COMPUTED_VALUE"""),2027.0)</f>
        <v>2027</v>
      </c>
      <c r="O204" s="768"/>
      <c r="P204" s="768"/>
      <c r="Q204" s="768"/>
      <c r="R204" s="768"/>
      <c r="S204" s="768"/>
      <c r="T204" s="768"/>
      <c r="U204" s="768"/>
      <c r="V204" s="768"/>
      <c r="W204" s="768"/>
      <c r="X204" s="768"/>
      <c r="Y204" s="768"/>
      <c r="Z204" s="768"/>
      <c r="AA204" s="768"/>
    </row>
    <row r="205" ht="30.0" customHeight="1">
      <c r="A205" s="768" t="str">
        <f t="array" ref="A205">XLOOKUP(C205,'High School Players'!D:D,'High School Players'!K:K,"NO",0,1)</f>
        <v>NO</v>
      </c>
      <c r="B205" s="975">
        <f>IFERROR(__xludf.DUMMYFUNCTION("""COMPUTED_VALUE"""),45867.52208248843)</f>
        <v>45867.52208</v>
      </c>
      <c r="C205" s="768" t="str">
        <f>IFERROR(__xludf.DUMMYFUNCTION("""COMPUTED_VALUE"""),"Jackson shepherd ")</f>
        <v>Jackson shepherd </v>
      </c>
      <c r="D205" s="768" t="str">
        <f>IFERROR(__xludf.DUMMYFUNCTION("""COMPUTED_VALUE"""),"Qb12.jshepherd@gmail.com")</f>
        <v>Qb12.jshepherd@gmail.com</v>
      </c>
      <c r="E205" s="768" t="str">
        <f>IFERROR(__xludf.DUMMYFUNCTION("""COMPUTED_VALUE"""),"6’0 185")</f>
        <v>6’0 185</v>
      </c>
      <c r="F205" s="768" t="str">
        <f>IFERROR(__xludf.DUMMYFUNCTION("""COMPUTED_VALUE"""),"3B/2B/1st base")</f>
        <v>3B/2B/1st base</v>
      </c>
      <c r="G205" s="768" t="str">
        <f>IFERROR(__xludf.DUMMYFUNCTION("""COMPUTED_VALUE"""),"Club is not finished yet more than happy to fill those out when I’m done Highschool Regular season stats 23 varsity games .439 BA /549/1.163/614 SLG/26 hits/7XBH/20RBI’s/15BB/13K")</f>
        <v>Club is not finished yet more than happy to fill those out when I’m done Highschool Regular season stats 23 varsity games .439 BA /549/1.163/614 SLG/26 hits/7XBH/20RBI’s/15BB/13K</v>
      </c>
      <c r="H205" s="768">
        <f>IFERROR(__xludf.DUMMYFUNCTION("""COMPUTED_VALUE"""),3.4)</f>
        <v>3.4</v>
      </c>
      <c r="I205" s="768" t="str">
        <f>IFERROR(__xludf.DUMMYFUNCTION("""COMPUTED_VALUE"""),"Not taken yet")</f>
        <v>Not taken yet</v>
      </c>
      <c r="J205" s="768" t="str">
        <f>IFERROR(__xludf.DUMMYFUNCTION("""COMPUTED_VALUE"""),"No injuries or surgery’s ")</f>
        <v>No injuries or surgery’s </v>
      </c>
      <c r="K205" s="768" t="str">
        <f>IFERROR(__xludf.DUMMYFUNCTION("""COMPUTED_VALUE"""),"Peanuts. No medication ")</f>
        <v>Peanuts. No medication </v>
      </c>
      <c r="L205" s="768" t="str">
        <f>IFERROR(__xludf.DUMMYFUNCTION("""COMPUTED_VALUE"""),"Nothing ")</f>
        <v>Nothing </v>
      </c>
      <c r="M205" s="768" t="str">
        <f>IFERROR(__xludf.DUMMYFUNCTION("""COMPUTED_VALUE"""),"None ")</f>
        <v>None </v>
      </c>
      <c r="N205" s="768">
        <f>IFERROR(__xludf.DUMMYFUNCTION("""COMPUTED_VALUE"""),2027.0)</f>
        <v>2027</v>
      </c>
      <c r="O205" s="768"/>
      <c r="P205" s="768"/>
      <c r="Q205" s="768"/>
      <c r="R205" s="768"/>
      <c r="S205" s="768"/>
      <c r="T205" s="768"/>
      <c r="U205" s="768"/>
      <c r="V205" s="768"/>
      <c r="W205" s="768"/>
      <c r="X205" s="768"/>
      <c r="Y205" s="768"/>
      <c r="Z205" s="768"/>
      <c r="AA205" s="768"/>
    </row>
    <row r="206" ht="30.0" customHeight="1">
      <c r="A206" s="768" t="str">
        <f t="array" ref="A206">XLOOKUP(C206,'High School Players'!D:D,'High School Players'!K:K,"NO",0,1)</f>
        <v>1</v>
      </c>
      <c r="B206" s="975">
        <f>IFERROR(__xludf.DUMMYFUNCTION("""COMPUTED_VALUE"""),45867.52298702546)</f>
        <v>45867.52299</v>
      </c>
      <c r="C206" s="768" t="str">
        <f>IFERROR(__xludf.DUMMYFUNCTION("""COMPUTED_VALUE"""),"Luke Bacon")</f>
        <v>Luke Bacon</v>
      </c>
      <c r="D206" s="768" t="str">
        <f>IFERROR(__xludf.DUMMYFUNCTION("""COMPUTED_VALUE"""),"lukerbacon9@gmail.com")</f>
        <v>lukerbacon9@gmail.com</v>
      </c>
      <c r="E206" s="768" t="str">
        <f>IFERROR(__xludf.DUMMYFUNCTION("""COMPUTED_VALUE"""),"5’11 170")</f>
        <v>5’11 170</v>
      </c>
      <c r="F206" s="768" t="str">
        <f>IFERROR(__xludf.DUMMYFUNCTION("""COMPUTED_VALUE"""),"Catcher, Outfield")</f>
        <v>Catcher, Outfield</v>
      </c>
      <c r="G206" s="768" t="str">
        <f>IFERROR(__xludf.DUMMYFUNCTION("""COMPUTED_VALUE"""),"High school season: I batted .370, and a OBP of .514. I was 1st-Team All League catcher, and Scholar Athlete.")</f>
        <v>High school season: I batted .370, and a OBP of .514. I was 1st-Team All League catcher, and Scholar Athlete.</v>
      </c>
      <c r="H206" s="768" t="str">
        <f>IFERROR(__xludf.DUMMYFUNCTION("""COMPUTED_VALUE"""),"3.96/4.23")</f>
        <v>3.96/4.23</v>
      </c>
      <c r="I206" s="768" t="str">
        <f>IFERROR(__xludf.DUMMYFUNCTION("""COMPUTED_VALUE"""),"N/A haven’t attempted yet")</f>
        <v>N/A haven’t attempted yet</v>
      </c>
      <c r="J206" s="768" t="str">
        <f>IFERROR(__xludf.DUMMYFUNCTION("""COMPUTED_VALUE"""),"None")</f>
        <v>None</v>
      </c>
      <c r="K206" s="768"/>
      <c r="L206" s="768"/>
      <c r="M206" s="768"/>
      <c r="N206" s="768">
        <f>IFERROR(__xludf.DUMMYFUNCTION("""COMPUTED_VALUE"""),2027.0)</f>
        <v>2027</v>
      </c>
      <c r="O206" s="768"/>
      <c r="P206" s="768"/>
      <c r="Q206" s="768"/>
      <c r="R206" s="768"/>
      <c r="S206" s="768"/>
      <c r="T206" s="768"/>
      <c r="U206" s="768"/>
      <c r="V206" s="768"/>
      <c r="W206" s="768"/>
      <c r="X206" s="768"/>
      <c r="Y206" s="768"/>
      <c r="Z206" s="768"/>
      <c r="AA206" s="768"/>
    </row>
    <row r="207" ht="30.0" customHeight="1">
      <c r="A207" s="768" t="str">
        <f t="array" ref="A207">XLOOKUP(C207,'High School Players'!D:D,'High School Players'!K:K,"NO",0,1)</f>
        <v>XX</v>
      </c>
      <c r="B207" s="975">
        <f>IFERROR(__xludf.DUMMYFUNCTION("""COMPUTED_VALUE"""),45867.52350215278)</f>
        <v>45867.5235</v>
      </c>
      <c r="C207" s="768" t="str">
        <f>IFERROR(__xludf.DUMMYFUNCTION("""COMPUTED_VALUE"""),"Colton Hadfield")</f>
        <v>Colton Hadfield</v>
      </c>
      <c r="D207" s="768" t="str">
        <f>IFERROR(__xludf.DUMMYFUNCTION("""COMPUTED_VALUE"""),"colton.hadfield@icloud.com")</f>
        <v>colton.hadfield@icloud.com</v>
      </c>
      <c r="E207" s="768" t="str">
        <f>IFERROR(__xludf.DUMMYFUNCTION("""COMPUTED_VALUE"""),"6’2 170")</f>
        <v>6’2 170</v>
      </c>
      <c r="F207" s="768" t="str">
        <f>IFERROR(__xludf.DUMMYFUNCTION("""COMPUTED_VALUE"""),"SS/RHP")</f>
        <v>SS/RHP</v>
      </c>
      <c r="G207" s="768" t="str">
        <f>IFERROR(__xludf.DUMMYFUNCTION("""COMPUTED_VALUE"""),"Summer/Trosky Milwaukee Brewers Scout - 9-20 2 2B, 3B, HR, 8 RBI")</f>
        <v>Summer/Trosky Milwaukee Brewers Scout - 9-20 2 2B, 3B, HR, 8 RBI</v>
      </c>
      <c r="H207" s="768">
        <f>IFERROR(__xludf.DUMMYFUNCTION("""COMPUTED_VALUE"""),4.17)</f>
        <v>4.17</v>
      </c>
      <c r="I207" s="768" t="str">
        <f>IFERROR(__xludf.DUMMYFUNCTION("""COMPUTED_VALUE"""),"n/a")</f>
        <v>n/a</v>
      </c>
      <c r="J207" s="768" t="str">
        <f>IFERROR(__xludf.DUMMYFUNCTION("""COMPUTED_VALUE"""),"No")</f>
        <v>No</v>
      </c>
      <c r="K207" s="768" t="str">
        <f>IFERROR(__xludf.DUMMYFUNCTION("""COMPUTED_VALUE"""),"No")</f>
        <v>No</v>
      </c>
      <c r="L207" s="768" t="str">
        <f>IFERROR(__xludf.DUMMYFUNCTION("""COMPUTED_VALUE"""),"No")</f>
        <v>No</v>
      </c>
      <c r="M207" s="768" t="str">
        <f>IFERROR(__xludf.DUMMYFUNCTION("""COMPUTED_VALUE"""),"No ")</f>
        <v>No </v>
      </c>
      <c r="N207" s="768">
        <f>IFERROR(__xludf.DUMMYFUNCTION("""COMPUTED_VALUE"""),2027.0)</f>
        <v>2027</v>
      </c>
      <c r="O207" s="768"/>
      <c r="P207" s="768"/>
      <c r="Q207" s="768"/>
      <c r="R207" s="768"/>
      <c r="S207" s="768"/>
      <c r="T207" s="768"/>
      <c r="U207" s="768"/>
      <c r="V207" s="768"/>
      <c r="W207" s="768"/>
      <c r="X207" s="768"/>
      <c r="Y207" s="768"/>
      <c r="Z207" s="768"/>
      <c r="AA207" s="768"/>
    </row>
    <row r="208" ht="30.0" customHeight="1">
      <c r="A208" s="768" t="str">
        <f t="array" ref="A208">XLOOKUP(C208,'High School Players'!D:D,'High School Players'!K:K,"NO",0,1)</f>
        <v>NO</v>
      </c>
      <c r="B208" s="975">
        <f>IFERROR(__xludf.DUMMYFUNCTION("""COMPUTED_VALUE"""),45867.53059096065)</f>
        <v>45867.53059</v>
      </c>
      <c r="C208" s="768" t="str">
        <f>IFERROR(__xludf.DUMMYFUNCTION("""COMPUTED_VALUE"""),"Kenson")</f>
        <v>Kenson</v>
      </c>
      <c r="D208" s="768" t="str">
        <f>IFERROR(__xludf.DUMMYFUNCTION("""COMPUTED_VALUE"""),"buthkenson@gmail.com")</f>
        <v>buthkenson@gmail.com</v>
      </c>
      <c r="E208" s="768" t="str">
        <f>IFERROR(__xludf.DUMMYFUNCTION("""COMPUTED_VALUE"""),"5’10/ 170")</f>
        <v>5’10/ 170</v>
      </c>
      <c r="F208" s="768" t="str">
        <f>IFERROR(__xludf.DUMMYFUNCTION("""COMPUTED_VALUE"""),"Shortstop/RHP")</f>
        <v>Shortstop/RHP</v>
      </c>
      <c r="G208" s="768" t="str">
        <f>IFERROR(__xludf.DUMMYFUNCTION("""COMPUTED_VALUE"""),"HS: BA 0.344, 2 hr, 44h, 11 2b.  ERA 1.7 66k 63.1 IP")</f>
        <v>HS: BA 0.344, 2 hr, 44h, 11 2b.  ERA 1.7 66k 63.1 IP</v>
      </c>
      <c r="H208" s="768" t="str">
        <f>IFERROR(__xludf.DUMMYFUNCTION("""COMPUTED_VALUE"""),"4.0/5.4 out of 6")</f>
        <v>4.0/5.4 out of 6</v>
      </c>
      <c r="I208" s="768" t="str">
        <f>IFERROR(__xludf.DUMMYFUNCTION("""COMPUTED_VALUE"""),"N/A")</f>
        <v>N/A</v>
      </c>
      <c r="J208" s="768" t="str">
        <f>IFERROR(__xludf.DUMMYFUNCTION("""COMPUTED_VALUE"""),"N/A")</f>
        <v>N/A</v>
      </c>
      <c r="K208" s="768" t="str">
        <f>IFERROR(__xludf.DUMMYFUNCTION("""COMPUTED_VALUE"""),"No")</f>
        <v>No</v>
      </c>
      <c r="L208" s="768" t="str">
        <f>IFERROR(__xludf.DUMMYFUNCTION("""COMPUTED_VALUE"""),"No")</f>
        <v>No</v>
      </c>
      <c r="M208" s="768" t="str">
        <f>IFERROR(__xludf.DUMMYFUNCTION("""COMPUTED_VALUE"""),"No")</f>
        <v>No</v>
      </c>
      <c r="N208" s="768">
        <f>IFERROR(__xludf.DUMMYFUNCTION("""COMPUTED_VALUE"""),2027.0)</f>
        <v>2027</v>
      </c>
      <c r="O208" s="768"/>
      <c r="P208" s="768"/>
      <c r="Q208" s="768"/>
      <c r="R208" s="768"/>
      <c r="S208" s="768"/>
      <c r="T208" s="768"/>
      <c r="U208" s="768"/>
      <c r="V208" s="768"/>
      <c r="W208" s="768"/>
      <c r="X208" s="768"/>
      <c r="Y208" s="768"/>
      <c r="Z208" s="768"/>
      <c r="AA208" s="768"/>
    </row>
    <row r="209" ht="30.0" customHeight="1">
      <c r="A209" s="768">
        <f t="array" ref="A209">XLOOKUP(C209,'High School Players'!D:D,'High School Players'!K:K,"NO",0,1)</f>
        <v>2</v>
      </c>
      <c r="B209" s="975">
        <f>IFERROR(__xludf.DUMMYFUNCTION("""COMPUTED_VALUE"""),45867.53086802083)</f>
        <v>45867.53087</v>
      </c>
      <c r="C209" s="768" t="str">
        <f>IFERROR(__xludf.DUMMYFUNCTION("""COMPUTED_VALUE"""),"Cameron Aguilar")</f>
        <v>Cameron Aguilar</v>
      </c>
      <c r="D209" s="768" t="str">
        <f>IFERROR(__xludf.DUMMYFUNCTION("""COMPUTED_VALUE"""),"cameron.aguilar04@gmail.com")</f>
        <v>cameron.aguilar04@gmail.com</v>
      </c>
      <c r="E209" s="768" t="str">
        <f>IFERROR(__xludf.DUMMYFUNCTION("""COMPUTED_VALUE"""),"5'10 160")</f>
        <v>5'10 160</v>
      </c>
      <c r="F209" s="768" t="str">
        <f>IFERROR(__xludf.DUMMYFUNCTION("""COMPUTED_VALUE"""),"Outfield")</f>
        <v>Outfield</v>
      </c>
      <c r="G209" s="768" t="str">
        <f>IFERROR(__xludf.DUMMYFUNCTION("""COMPUTED_VALUE"""),"HS: .300  batting average, .951 OPS, 12 RBI, 23 RS, Jr. year captain next year.  Summer: .340 current batting average, .938 OPS, 21 RS, 11 SB")</f>
        <v>HS: .300  batting average, .951 OPS, 12 RBI, 23 RS, Jr. year captain next year.  Summer: .340 current batting average, .938 OPS, 21 RS, 11 SB</v>
      </c>
      <c r="H209" s="768" t="str">
        <f>IFERROR(__xludf.DUMMYFUNCTION("""COMPUTED_VALUE"""),"3.95 Unweighted")</f>
        <v>3.95 Unweighted</v>
      </c>
      <c r="I209" s="768" t="str">
        <f>IFERROR(__xludf.DUMMYFUNCTION("""COMPUTED_VALUE"""),"Taking the SAT in the fall of Jr. year.")</f>
        <v>Taking the SAT in the fall of Jr. year.</v>
      </c>
      <c r="J209" s="768" t="str">
        <f>IFERROR(__xludf.DUMMYFUNCTION("""COMPUTED_VALUE"""),"Small fracture in my wrist, 2024. Fully healthy and healed.")</f>
        <v>Small fracture in my wrist, 2024. Fully healthy and healed.</v>
      </c>
      <c r="K209" s="768" t="str">
        <f>IFERROR(__xludf.DUMMYFUNCTION("""COMPUTED_VALUE"""),"No")</f>
        <v>No</v>
      </c>
      <c r="L209" s="768" t="str">
        <f>IFERROR(__xludf.DUMMYFUNCTION("""COMPUTED_VALUE"""),"No")</f>
        <v>No</v>
      </c>
      <c r="M209" s="768" t="str">
        <f>IFERROR(__xludf.DUMMYFUNCTION("""COMPUTED_VALUE"""),"No")</f>
        <v>No</v>
      </c>
      <c r="N209" s="768">
        <f>IFERROR(__xludf.DUMMYFUNCTION("""COMPUTED_VALUE"""),2027.0)</f>
        <v>2027</v>
      </c>
      <c r="O209" s="768"/>
      <c r="P209" s="768"/>
      <c r="Q209" s="768"/>
      <c r="R209" s="768"/>
      <c r="S209" s="768"/>
      <c r="T209" s="768"/>
      <c r="U209" s="768"/>
      <c r="V209" s="768"/>
      <c r="W209" s="768"/>
      <c r="X209" s="768"/>
      <c r="Y209" s="768"/>
      <c r="Z209" s="768"/>
      <c r="AA209" s="768"/>
    </row>
    <row r="210" ht="30.0" customHeight="1">
      <c r="A210" s="768" t="str">
        <f t="array" ref="A210">XLOOKUP(C210,'High School Players'!D:D,'High School Players'!K:K,"NO",0,1)</f>
        <v>NO</v>
      </c>
      <c r="B210" s="975">
        <f>IFERROR(__xludf.DUMMYFUNCTION("""COMPUTED_VALUE"""),45867.53319938657)</f>
        <v>45867.5332</v>
      </c>
      <c r="C210" s="768" t="str">
        <f>IFERROR(__xludf.DUMMYFUNCTION("""COMPUTED_VALUE"""),"Don Lucas Collure")</f>
        <v>Don Lucas Collure</v>
      </c>
      <c r="D210" s="768" t="str">
        <f>IFERROR(__xludf.DUMMYFUNCTION("""COMPUTED_VALUE"""),"Dlcollure@gmail.com")</f>
        <v>Dlcollure@gmail.com</v>
      </c>
      <c r="E210" s="768" t="str">
        <f>IFERROR(__xludf.DUMMYFUNCTION("""COMPUTED_VALUE"""),"5’9, 180")</f>
        <v>5’9, 180</v>
      </c>
      <c r="F210" s="768" t="str">
        <f>IFERROR(__xludf.DUMMYFUNCTION("""COMPUTED_VALUE"""),"Outfield")</f>
        <v>Outfield</v>
      </c>
      <c r="G210" s="768" t="str">
        <f>IFERROR(__xludf.DUMMYFUNCTION("""COMPUTED_VALUE"""),"Summer end stats: Games – 23 PA – 60 AB – 56  H – 21 2B – 9 HR – 1  AVG – .375 OBP – .471 SLG – .590 OPS – 1.001  ⸻  Metrics at Future Games EV – 99.2 in BP    99.6 in game 60 – 6.85 OF – 89 (up to 91 in March) Future games attendee")</f>
        <v>Summer end stats: Games – 23 PA – 60 AB – 56  H – 21 2B – 9 HR – 1  AVG – .375 OBP – .471 SLG – .590 OPS – 1.001  ⸻  Metrics at Future Games EV – 99.2 in BP    99.6 in game 60 – 6.85 OF – 89 (up to 91 in March) Future games attendee</v>
      </c>
      <c r="H210" s="768">
        <f>IFERROR(__xludf.DUMMYFUNCTION("""COMPUTED_VALUE"""),3.7)</f>
        <v>3.7</v>
      </c>
      <c r="I210" s="768" t="str">
        <f>IFERROR(__xludf.DUMMYFUNCTION("""COMPUTED_VALUE"""),"N/A")</f>
        <v>N/A</v>
      </c>
      <c r="J210" s="768" t="str">
        <f>IFERROR(__xludf.DUMMYFUNCTION("""COMPUTED_VALUE"""),"None")</f>
        <v>None</v>
      </c>
      <c r="K210" s="768" t="str">
        <f>IFERROR(__xludf.DUMMYFUNCTION("""COMPUTED_VALUE"""),"N/A")</f>
        <v>N/A</v>
      </c>
      <c r="L210" s="768" t="str">
        <f>IFERROR(__xludf.DUMMYFUNCTION("""COMPUTED_VALUE"""),"No")</f>
        <v>No</v>
      </c>
      <c r="M210" s="768" t="str">
        <f>IFERROR(__xludf.DUMMYFUNCTION("""COMPUTED_VALUE"""),"No")</f>
        <v>No</v>
      </c>
      <c r="N210" s="768">
        <f>IFERROR(__xludf.DUMMYFUNCTION("""COMPUTED_VALUE"""),2027.0)</f>
        <v>2027</v>
      </c>
      <c r="O210" s="768"/>
      <c r="P210" s="768"/>
      <c r="Q210" s="768"/>
      <c r="R210" s="768"/>
      <c r="S210" s="768"/>
      <c r="T210" s="768"/>
      <c r="U210" s="768"/>
      <c r="V210" s="768"/>
      <c r="W210" s="768"/>
      <c r="X210" s="768"/>
      <c r="Y210" s="768"/>
      <c r="Z210" s="768"/>
      <c r="AA210" s="768"/>
    </row>
    <row r="211" ht="30.0" customHeight="1">
      <c r="A211" s="768" t="str">
        <f t="array" ref="A211">XLOOKUP(C211,'High School Players'!D:D,'High School Players'!K:K,"NO",0,1)</f>
        <v>XX</v>
      </c>
      <c r="B211" s="975">
        <f>IFERROR(__xludf.DUMMYFUNCTION("""COMPUTED_VALUE"""),45867.535684710645)</f>
        <v>45867.53568</v>
      </c>
      <c r="C211" s="768" t="str">
        <f>IFERROR(__xludf.DUMMYFUNCTION("""COMPUTED_VALUE"""),"Ryan Harless")</f>
        <v>Ryan Harless</v>
      </c>
      <c r="D211" s="768" t="str">
        <f>IFERROR(__xludf.DUMMYFUNCTION("""COMPUTED_VALUE"""),"rharless0816@gmail.com")</f>
        <v>rharless0816@gmail.com</v>
      </c>
      <c r="E211" s="768" t="str">
        <f>IFERROR(__xludf.DUMMYFUNCTION("""COMPUTED_VALUE"""),"6’2 188")</f>
        <v>6’2 188</v>
      </c>
      <c r="F211" s="768" t="str">
        <f>IFERROR(__xludf.DUMMYFUNCTION("""COMPUTED_VALUE"""),"OF 1B P")</f>
        <v>OF 1B P</v>
      </c>
      <c r="G211" s="768" t="str">
        <f>IFERROR(__xludf.DUMMYFUNCTION("""COMPUTED_VALUE"""),"Ba.330 obp.512 rbi.16.  Era1.13 23ks only 1bb")</f>
        <v>Ba.330 obp.512 rbi.16.  Era1.13 23ks only 1bb</v>
      </c>
      <c r="H211" s="768">
        <f>IFERROR(__xludf.DUMMYFUNCTION("""COMPUTED_VALUE"""),3.5)</f>
        <v>3.5</v>
      </c>
      <c r="I211" s="768" t="str">
        <f>IFERROR(__xludf.DUMMYFUNCTION("""COMPUTED_VALUE"""),"Sat 1090")</f>
        <v>Sat 1090</v>
      </c>
      <c r="J211" s="768" t="str">
        <f>IFERROR(__xludf.DUMMYFUNCTION("""COMPUTED_VALUE"""),"Elbow ")</f>
        <v>Elbow </v>
      </c>
      <c r="K211" s="768" t="str">
        <f>IFERROR(__xludf.DUMMYFUNCTION("""COMPUTED_VALUE"""),"No")</f>
        <v>No</v>
      </c>
      <c r="L211" s="768" t="str">
        <f>IFERROR(__xludf.DUMMYFUNCTION("""COMPUTED_VALUE"""),"No")</f>
        <v>No</v>
      </c>
      <c r="M211" s="768" t="str">
        <f>IFERROR(__xludf.DUMMYFUNCTION("""COMPUTED_VALUE"""),"No")</f>
        <v>No</v>
      </c>
      <c r="N211" s="768">
        <f>IFERROR(__xludf.DUMMYFUNCTION("""COMPUTED_VALUE"""),2027.0)</f>
        <v>2027</v>
      </c>
      <c r="O211" s="768"/>
      <c r="P211" s="768"/>
      <c r="Q211" s="768"/>
      <c r="R211" s="768"/>
      <c r="S211" s="768"/>
      <c r="T211" s="768"/>
      <c r="U211" s="768"/>
      <c r="V211" s="768"/>
      <c r="W211" s="768"/>
      <c r="X211" s="768"/>
      <c r="Y211" s="768"/>
      <c r="Z211" s="768"/>
      <c r="AA211" s="768"/>
    </row>
    <row r="212" ht="30.0" customHeight="1">
      <c r="A212" s="768" t="str">
        <f t="array" ref="A212">XLOOKUP(C212,'High School Players'!D:D,'High School Players'!K:K,"NO",0,1)</f>
        <v>NO</v>
      </c>
      <c r="B212" s="975">
        <f>IFERROR(__xludf.DUMMYFUNCTION("""COMPUTED_VALUE"""),45867.53874609954)</f>
        <v>45867.53875</v>
      </c>
      <c r="C212" s="768" t="str">
        <f>IFERROR(__xludf.DUMMYFUNCTION("""COMPUTED_VALUE"""),"Jackson Fulginite")</f>
        <v>Jackson Fulginite</v>
      </c>
      <c r="D212" s="768" t="str">
        <f>IFERROR(__xludf.DUMMYFUNCTION("""COMPUTED_VALUE"""),"fulginitejw@icloud.com")</f>
        <v>fulginitejw@icloud.com</v>
      </c>
      <c r="E212" s="768" t="str">
        <f>IFERROR(__xludf.DUMMYFUNCTION("""COMPUTED_VALUE"""),"5’11 160")</f>
        <v>5’11 160</v>
      </c>
      <c r="F212" s="768" t="str">
        <f>IFERROR(__xludf.DUMMYFUNCTION("""COMPUTED_VALUE"""),"RHP")</f>
        <v>RHP</v>
      </c>
      <c r="G212" s="768"/>
      <c r="H212" s="768" t="str">
        <f>IFERROR(__xludf.DUMMYFUNCTION("""COMPUTED_VALUE"""),"93.33 weighted")</f>
        <v>93.33 weighted</v>
      </c>
      <c r="I212" s="768" t="str">
        <f>IFERROR(__xludf.DUMMYFUNCTION("""COMPUTED_VALUE"""),"Have not taken")</f>
        <v>Have not taken</v>
      </c>
      <c r="J212" s="768" t="str">
        <f>IFERROR(__xludf.DUMMYFUNCTION("""COMPUTED_VALUE"""),"ACL surgery from football")</f>
        <v>ACL surgery from football</v>
      </c>
      <c r="K212" s="768" t="str">
        <f>IFERROR(__xludf.DUMMYFUNCTION("""COMPUTED_VALUE"""),"No")</f>
        <v>No</v>
      </c>
      <c r="L212" s="768" t="str">
        <f>IFERROR(__xludf.DUMMYFUNCTION("""COMPUTED_VALUE"""),"No")</f>
        <v>No</v>
      </c>
      <c r="M212" s="768" t="str">
        <f>IFERROR(__xludf.DUMMYFUNCTION("""COMPUTED_VALUE"""),"No")</f>
        <v>No</v>
      </c>
      <c r="N212" s="768">
        <f>IFERROR(__xludf.DUMMYFUNCTION("""COMPUTED_VALUE"""),2027.0)</f>
        <v>2027</v>
      </c>
      <c r="O212" s="768"/>
      <c r="P212" s="768"/>
      <c r="Q212" s="768"/>
      <c r="R212" s="768"/>
      <c r="S212" s="768"/>
      <c r="T212" s="768"/>
      <c r="U212" s="768"/>
      <c r="V212" s="768"/>
      <c r="W212" s="768"/>
      <c r="X212" s="768"/>
      <c r="Y212" s="768"/>
      <c r="Z212" s="768"/>
      <c r="AA212" s="768"/>
    </row>
    <row r="213" ht="30.0" customHeight="1">
      <c r="A213" s="768">
        <f t="array" ref="A213">XLOOKUP(C213,'High School Players'!D:D,'High School Players'!K:K,"NO",0,1)</f>
        <v>3</v>
      </c>
      <c r="B213" s="975">
        <f>IFERROR(__xludf.DUMMYFUNCTION("""COMPUTED_VALUE"""),45867.55207480324)</f>
        <v>45867.55207</v>
      </c>
      <c r="C213" s="768" t="str">
        <f>IFERROR(__xludf.DUMMYFUNCTION("""COMPUTED_VALUE"""),"Brennan Jones")</f>
        <v>Brennan Jones</v>
      </c>
      <c r="D213" s="768" t="str">
        <f>IFERROR(__xludf.DUMMYFUNCTION("""COMPUTED_VALUE"""),"brennanjones2027@gmail.com")</f>
        <v>brennanjones2027@gmail.com</v>
      </c>
      <c r="E213" s="768" t="str">
        <f>IFERROR(__xludf.DUMMYFUNCTION("""COMPUTED_VALUE"""),"5,11/170")</f>
        <v>5,11/170</v>
      </c>
      <c r="F213" s="768" t="str">
        <f>IFERROR(__xludf.DUMMYFUNCTION("""COMPUTED_VALUE"""),"SS,2nd,3rd")</f>
        <v>SS,2nd,3rd</v>
      </c>
      <c r="G213" s="768" t="str">
        <f>IFERROR(__xludf.DUMMYFUNCTION("""COMPUTED_VALUE"""),"Freshman year: 33 hits .388avg, Sophomore year 32 hits .370avg, first team all area freshman and sophomore year, 407th player in nation according to perfect game, 2 year varsity starter.")</f>
        <v>Freshman year: 33 hits .388avg, Sophomore year 32 hits .370avg, first team all area freshman and sophomore year, 407th player in nation according to perfect game, 2 year varsity starter.</v>
      </c>
      <c r="H213" s="768" t="str">
        <f>IFERROR(__xludf.DUMMYFUNCTION("""COMPUTED_VALUE"""),"3.74/4.21")</f>
        <v>3.74/4.21</v>
      </c>
      <c r="I213" s="768" t="str">
        <f>IFERROR(__xludf.DUMMYFUNCTION("""COMPUTED_VALUE"""),"Planning to take them during fall")</f>
        <v>Planning to take them during fall</v>
      </c>
      <c r="J213" s="768" t="str">
        <f>IFERROR(__xludf.DUMMYFUNCTION("""COMPUTED_VALUE"""),"No injuries")</f>
        <v>No injuries</v>
      </c>
      <c r="K213" s="768"/>
      <c r="L213" s="768"/>
      <c r="M213" s="768" t="str">
        <f>IFERROR(__xludf.DUMMYFUNCTION("""COMPUTED_VALUE"""),"No")</f>
        <v>No</v>
      </c>
      <c r="N213" s="768">
        <f>IFERROR(__xludf.DUMMYFUNCTION("""COMPUTED_VALUE"""),2027.0)</f>
        <v>2027</v>
      </c>
      <c r="O213" s="768"/>
      <c r="P213" s="768"/>
      <c r="Q213" s="768"/>
      <c r="R213" s="768"/>
      <c r="S213" s="768"/>
      <c r="T213" s="768"/>
      <c r="U213" s="768"/>
      <c r="V213" s="768"/>
      <c r="W213" s="768"/>
      <c r="X213" s="768"/>
      <c r="Y213" s="768"/>
      <c r="Z213" s="768"/>
      <c r="AA213" s="768"/>
    </row>
    <row r="214" ht="30.0" customHeight="1">
      <c r="A214" s="768" t="str">
        <f t="array" ref="A214">XLOOKUP(C214,'High School Players'!D:D,'High School Players'!K:K,"NO",0,1)</f>
        <v>NO</v>
      </c>
      <c r="B214" s="975">
        <f>IFERROR(__xludf.DUMMYFUNCTION("""COMPUTED_VALUE"""),45867.55714795139)</f>
        <v>45867.55715</v>
      </c>
      <c r="C214" s="768" t="str">
        <f>IFERROR(__xludf.DUMMYFUNCTION("""COMPUTED_VALUE"""),"Jackie Bryant ")</f>
        <v>Jackie Bryant </v>
      </c>
      <c r="D214" s="768" t="str">
        <f>IFERROR(__xludf.DUMMYFUNCTION("""COMPUTED_VALUE"""),"jacksonmmb98@gmail.com")</f>
        <v>jacksonmmb98@gmail.com</v>
      </c>
      <c r="E214" s="768" t="str">
        <f>IFERROR(__xludf.DUMMYFUNCTION("""COMPUTED_VALUE"""),"5’9/ 175")</f>
        <v>5’9/ 175</v>
      </c>
      <c r="F214" s="768" t="str">
        <f>IFERROR(__xludf.DUMMYFUNCTION("""COMPUTED_VALUE"""),"OF")</f>
        <v>OF</v>
      </c>
      <c r="G214" s="768" t="str">
        <f>IFERROR(__xludf.DUMMYFUNCTION("""COMPUTED_VALUE"""),"Highschool: .375 avg. 1.175 ops 1st team all district 19-6A: Summer, Avg.404 Obp.522 Slugg.654 Ops.1176")</f>
        <v>Highschool: .375 avg. 1.175 ops 1st team all district 19-6A: Summer, Avg.404 Obp.522 Slugg.654 Ops.1176</v>
      </c>
      <c r="H214" s="768" t="str">
        <f>IFERROR(__xludf.DUMMYFUNCTION("""COMPUTED_VALUE"""),"3.77 weighted, 3.63 unweighted")</f>
        <v>3.77 weighted, 3.63 unweighted</v>
      </c>
      <c r="I214" s="768" t="str">
        <f>IFERROR(__xludf.DUMMYFUNCTION("""COMPUTED_VALUE"""),"None")</f>
        <v>None</v>
      </c>
      <c r="J214" s="768" t="str">
        <f>IFERROR(__xludf.DUMMYFUNCTION("""COMPUTED_VALUE"""),"None")</f>
        <v>None</v>
      </c>
      <c r="K214" s="768" t="str">
        <f>IFERROR(__xludf.DUMMYFUNCTION("""COMPUTED_VALUE"""),"None")</f>
        <v>None</v>
      </c>
      <c r="L214" s="768" t="str">
        <f>IFERROR(__xludf.DUMMYFUNCTION("""COMPUTED_VALUE"""),"None")</f>
        <v>None</v>
      </c>
      <c r="M214" s="768" t="str">
        <f>IFERROR(__xludf.DUMMYFUNCTION("""COMPUTED_VALUE"""),"None")</f>
        <v>None</v>
      </c>
      <c r="N214" s="768">
        <f>IFERROR(__xludf.DUMMYFUNCTION("""COMPUTED_VALUE"""),2027.0)</f>
        <v>2027</v>
      </c>
      <c r="O214" s="768"/>
      <c r="P214" s="768"/>
      <c r="Q214" s="768"/>
      <c r="R214" s="768"/>
      <c r="S214" s="768"/>
      <c r="T214" s="768"/>
      <c r="U214" s="768"/>
      <c r="V214" s="768"/>
      <c r="W214" s="768"/>
      <c r="X214" s="768"/>
      <c r="Y214" s="768"/>
      <c r="Z214" s="768"/>
      <c r="AA214" s="768"/>
    </row>
    <row r="215" ht="30.0" customHeight="1">
      <c r="A215" s="768">
        <f t="array" ref="A215">XLOOKUP(C215,'High School Players'!D:D,'High School Players'!K:K,"NO",0,1)</f>
        <v>2</v>
      </c>
      <c r="B215" s="975">
        <f>IFERROR(__xludf.DUMMYFUNCTION("""COMPUTED_VALUE"""),45867.55972666667)</f>
        <v>45867.55973</v>
      </c>
      <c r="C215" s="768" t="str">
        <f>IFERROR(__xludf.DUMMYFUNCTION("""COMPUTED_VALUE"""),"Chayce Kolbert")</f>
        <v>Chayce Kolbert</v>
      </c>
      <c r="D215" s="768" t="str">
        <f>IFERROR(__xludf.DUMMYFUNCTION("""COMPUTED_VALUE"""),"chaycekolbert@gmail.com")</f>
        <v>chaycekolbert@gmail.com</v>
      </c>
      <c r="E215" s="768" t="str">
        <f>IFERROR(__xludf.DUMMYFUNCTION("""COMPUTED_VALUE"""),"6’0 175")</f>
        <v>6’0 175</v>
      </c>
      <c r="F215" s="768" t="str">
        <f>IFERROR(__xludf.DUMMYFUNCTION("""COMPUTED_VALUE"""),"SS/RHP")</f>
        <v>SS/RHP</v>
      </c>
      <c r="G215" s="768" t="str">
        <f>IFERROR(__xludf.DUMMYFUNCTION("""COMPUTED_VALUE"""),"I hit 400 in high school and made all WNY first team.")</f>
        <v>I hit 400 in high school and made all WNY first team.</v>
      </c>
      <c r="H215" s="768" t="str">
        <f>IFERROR(__xludf.DUMMYFUNCTION("""COMPUTED_VALUE"""),"4.0, 4.3")</f>
        <v>4.0, 4.3</v>
      </c>
      <c r="I215" s="768" t="str">
        <f>IFERROR(__xludf.DUMMYFUNCTION("""COMPUTED_VALUE"""),"Haven’t taken them yet")</f>
        <v>Haven’t taken them yet</v>
      </c>
      <c r="J215" s="768" t="str">
        <f>IFERROR(__xludf.DUMMYFUNCTION("""COMPUTED_VALUE"""),"None")</f>
        <v>None</v>
      </c>
      <c r="K215" s="768" t="str">
        <f>IFERROR(__xludf.DUMMYFUNCTION("""COMPUTED_VALUE"""),"No")</f>
        <v>No</v>
      </c>
      <c r="L215" s="768" t="str">
        <f>IFERROR(__xludf.DUMMYFUNCTION("""COMPUTED_VALUE"""),"Doxycycline ")</f>
        <v>Doxycycline </v>
      </c>
      <c r="M215" s="768" t="str">
        <f>IFERROR(__xludf.DUMMYFUNCTION("""COMPUTED_VALUE"""),"No")</f>
        <v>No</v>
      </c>
      <c r="N215" s="768">
        <f>IFERROR(__xludf.DUMMYFUNCTION("""COMPUTED_VALUE"""),2027.0)</f>
        <v>2027</v>
      </c>
      <c r="O215" s="768"/>
      <c r="P215" s="768"/>
      <c r="Q215" s="768"/>
      <c r="R215" s="768"/>
      <c r="S215" s="768"/>
      <c r="T215" s="768"/>
      <c r="U215" s="768"/>
      <c r="V215" s="768"/>
      <c r="W215" s="768"/>
      <c r="X215" s="768"/>
      <c r="Y215" s="768"/>
      <c r="Z215" s="768"/>
      <c r="AA215" s="768"/>
    </row>
    <row r="216" ht="30.0" customHeight="1">
      <c r="A216" s="768">
        <f t="array" ref="A216">XLOOKUP(C216,'High School Players'!D:D,'High School Players'!K:K,"NO",0,1)</f>
        <v>2</v>
      </c>
      <c r="B216" s="975">
        <f>IFERROR(__xludf.DUMMYFUNCTION("""COMPUTED_VALUE"""),45867.57635798611)</f>
        <v>45867.57636</v>
      </c>
      <c r="C216" s="768" t="str">
        <f>IFERROR(__xludf.DUMMYFUNCTION("""COMPUTED_VALUE"""),"Cade Filleman")</f>
        <v>Cade Filleman</v>
      </c>
      <c r="D216" s="768" t="str">
        <f>IFERROR(__xludf.DUMMYFUNCTION("""COMPUTED_VALUE"""),"cadefilleman@gmail.com")</f>
        <v>cadefilleman@gmail.com</v>
      </c>
      <c r="E216" s="768" t="str">
        <f>IFERROR(__xludf.DUMMYFUNCTION("""COMPUTED_VALUE"""),"6’ 2” 190")</f>
        <v>6’ 2” 190</v>
      </c>
      <c r="F216" s="768" t="str">
        <f>IFERROR(__xludf.DUMMYFUNCTION("""COMPUTED_VALUE"""),"RHP/OF/3B")</f>
        <v>RHP/OF/3B</v>
      </c>
      <c r="G216" s="768" t="str">
        <f>IFERROR(__xludf.DUMMYFUNCTION("""COMPUTED_VALUE"""),"10.1 innings pitched, 2 Saves,")</f>
        <v>10.1 innings pitched, 2 Saves,</v>
      </c>
      <c r="H216" s="768">
        <f>IFERROR(__xludf.DUMMYFUNCTION("""COMPUTED_VALUE"""),3.9)</f>
        <v>3.9</v>
      </c>
      <c r="I216" s="768" t="str">
        <f>IFERROR(__xludf.DUMMYFUNCTION("""COMPUTED_VALUE"""),"None")</f>
        <v>None</v>
      </c>
      <c r="J216" s="768" t="str">
        <f>IFERROR(__xludf.DUMMYFUNCTION("""COMPUTED_VALUE"""),"Tonsillectomy, and sprained ankle")</f>
        <v>Tonsillectomy, and sprained ankle</v>
      </c>
      <c r="K216" s="768" t="str">
        <f>IFERROR(__xludf.DUMMYFUNCTION("""COMPUTED_VALUE"""),"None")</f>
        <v>None</v>
      </c>
      <c r="L216" s="768" t="str">
        <f>IFERROR(__xludf.DUMMYFUNCTION("""COMPUTED_VALUE"""),"None")</f>
        <v>None</v>
      </c>
      <c r="M216" s="768" t="str">
        <f>IFERROR(__xludf.DUMMYFUNCTION("""COMPUTED_VALUE"""),"None")</f>
        <v>None</v>
      </c>
      <c r="N216" s="768">
        <f>IFERROR(__xludf.DUMMYFUNCTION("""COMPUTED_VALUE"""),2027.0)</f>
        <v>2027</v>
      </c>
      <c r="O216" s="768"/>
      <c r="P216" s="768"/>
      <c r="Q216" s="768"/>
      <c r="R216" s="768"/>
      <c r="S216" s="768"/>
      <c r="T216" s="768"/>
      <c r="U216" s="768"/>
      <c r="V216" s="768"/>
      <c r="W216" s="768"/>
      <c r="X216" s="768"/>
      <c r="Y216" s="768"/>
      <c r="Z216" s="768"/>
      <c r="AA216" s="768"/>
    </row>
    <row r="217" ht="30.0" customHeight="1">
      <c r="A217" s="768" t="str">
        <f t="array" ref="A217">XLOOKUP(C217,'High School Players'!D:D,'High School Players'!K:K,"NO",0,1)</f>
        <v>XX</v>
      </c>
      <c r="B217" s="975">
        <f>IFERROR(__xludf.DUMMYFUNCTION("""COMPUTED_VALUE"""),45867.577314270835)</f>
        <v>45867.57731</v>
      </c>
      <c r="C217" s="768" t="str">
        <f>IFERROR(__xludf.DUMMYFUNCTION("""COMPUTED_VALUE"""),"JJ Mancuso")</f>
        <v>JJ Mancuso</v>
      </c>
      <c r="D217" s="768" t="str">
        <f>IFERROR(__xludf.DUMMYFUNCTION("""COMPUTED_VALUE"""),"jjmancuso12@gmail.com")</f>
        <v>jjmancuso12@gmail.com</v>
      </c>
      <c r="E217" s="768">
        <f>IFERROR(__xludf.DUMMYFUNCTION("""COMPUTED_VALUE"""),180.0)</f>
        <v>180</v>
      </c>
      <c r="F217" s="768" t="str">
        <f>IFERROR(__xludf.DUMMYFUNCTION("""COMPUTED_VALUE"""),"OF/CIF")</f>
        <v>OF/CIF</v>
      </c>
      <c r="G217" s="768" t="str">
        <f>IFERROR(__xludf.DUMMYFUNCTION("""COMPUTED_VALUE"""),"- Started as both a freshman and sophomore at the highest classification in Pennsylvania.  - Freshman year I was all conference second team, Sophomore year I was named to the first team.  - In the summer I play with Marruci spikes national where I bat lea"&amp;"doff and have 4 Ks in 20 games against high level competition around the country. - My OF velocity is 85 my 60 yd dash time 6.85 and my 30 yd dash time is 3.85")</f>
        <v>-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v>
      </c>
      <c r="H217" s="768" t="str">
        <f>IFERROR(__xludf.DUMMYFUNCTION("""COMPUTED_VALUE"""),"3.6/3.4")</f>
        <v>3.6/3.4</v>
      </c>
      <c r="I217" s="768" t="str">
        <f>IFERROR(__xludf.DUMMYFUNCTION("""COMPUTED_VALUE"""),"Haven’t taken test yet will be doing one of them junior year.")</f>
        <v>Haven’t taken test yet will be doing one of them junior year.</v>
      </c>
      <c r="J217" s="768" t="str">
        <f>IFERROR(__xludf.DUMMYFUNCTION("""COMPUTED_VALUE"""),"None")</f>
        <v>None</v>
      </c>
      <c r="K217" s="768" t="str">
        <f>IFERROR(__xludf.DUMMYFUNCTION("""COMPUTED_VALUE"""),"None")</f>
        <v>None</v>
      </c>
      <c r="L217" s="768" t="str">
        <f>IFERROR(__xludf.DUMMYFUNCTION("""COMPUTED_VALUE"""),"None")</f>
        <v>None</v>
      </c>
      <c r="M217" s="768" t="str">
        <f>IFERROR(__xludf.DUMMYFUNCTION("""COMPUTED_VALUE"""),"None")</f>
        <v>None</v>
      </c>
      <c r="N217" s="768">
        <f>IFERROR(__xludf.DUMMYFUNCTION("""COMPUTED_VALUE"""),2027.0)</f>
        <v>2027</v>
      </c>
      <c r="O217" s="768"/>
      <c r="P217" s="768"/>
      <c r="Q217" s="768"/>
      <c r="R217" s="768"/>
      <c r="S217" s="768"/>
      <c r="T217" s="768"/>
      <c r="U217" s="768"/>
      <c r="V217" s="768"/>
      <c r="W217" s="768"/>
      <c r="X217" s="768"/>
      <c r="Y217" s="768"/>
      <c r="Z217" s="768"/>
      <c r="AA217" s="768"/>
    </row>
    <row r="218" ht="30.0" customHeight="1">
      <c r="A218" s="768" t="str">
        <f t="array" ref="A218">XLOOKUP(C218,'High School Players'!D:D,'High School Players'!K:K,"NO",0,1)</f>
        <v>XX</v>
      </c>
      <c r="B218" s="975">
        <f>IFERROR(__xludf.DUMMYFUNCTION("""COMPUTED_VALUE"""),45867.5789941088)</f>
        <v>45867.57899</v>
      </c>
      <c r="C218" s="768" t="str">
        <f>IFERROR(__xludf.DUMMYFUNCTION("""COMPUTED_VALUE"""),"JJ Mancuso")</f>
        <v>JJ Mancuso</v>
      </c>
      <c r="D218" s="768" t="str">
        <f>IFERROR(__xludf.DUMMYFUNCTION("""COMPUTED_VALUE"""),"jjmancuso12@gmail.com")</f>
        <v>jjmancuso12@gmail.com</v>
      </c>
      <c r="E218" s="768" t="str">
        <f>IFERROR(__xludf.DUMMYFUNCTION("""COMPUTED_VALUE"""),"6’0/180")</f>
        <v>6’0/180</v>
      </c>
      <c r="F218" s="768" t="str">
        <f>IFERROR(__xludf.DUMMYFUNCTION("""COMPUTED_VALUE"""),"OF/CIF")</f>
        <v>OF/CIF</v>
      </c>
      <c r="G218" s="768" t="str">
        <f>IFERROR(__xludf.DUMMYFUNCTION("""COMPUTED_VALUE"""),"- Started as both a freshman and sophomore at the highest classification in Pennsylvania.  - Freshman year I was all conference second team, Sophomore year I was named to the first team.  - In the summer I play with Marruci spikes national where I bat lea"&amp;"doff and have 4 Ks in 20 games against high level competition around the country. - My OF velocity is 85 my 60 yd dash time 6.85 and my 30 yd dash time is 3.85")</f>
        <v>-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v>
      </c>
      <c r="H218" s="768" t="str">
        <f>IFERROR(__xludf.DUMMYFUNCTION("""COMPUTED_VALUE"""),"3.4/3.7")</f>
        <v>3.4/3.7</v>
      </c>
      <c r="I218" s="768" t="str">
        <f>IFERROR(__xludf.DUMMYFUNCTION("""COMPUTED_VALUE"""),"None taken but planning to take one of them junior year.")</f>
        <v>None taken but planning to take one of them junior year.</v>
      </c>
      <c r="J218" s="768" t="str">
        <f>IFERROR(__xludf.DUMMYFUNCTION("""COMPUTED_VALUE"""),"None")</f>
        <v>None</v>
      </c>
      <c r="K218" s="768" t="str">
        <f>IFERROR(__xludf.DUMMYFUNCTION("""COMPUTED_VALUE"""),"None")</f>
        <v>None</v>
      </c>
      <c r="L218" s="768" t="str">
        <f>IFERROR(__xludf.DUMMYFUNCTION("""COMPUTED_VALUE"""),"None")</f>
        <v>None</v>
      </c>
      <c r="M218" s="768" t="str">
        <f>IFERROR(__xludf.DUMMYFUNCTION("""COMPUTED_VALUE"""),"No")</f>
        <v>No</v>
      </c>
      <c r="N218" s="768">
        <f>IFERROR(__xludf.DUMMYFUNCTION("""COMPUTED_VALUE"""),2027.0)</f>
        <v>2027</v>
      </c>
      <c r="O218" s="768"/>
      <c r="P218" s="768"/>
      <c r="Q218" s="768"/>
      <c r="R218" s="768"/>
      <c r="S218" s="768"/>
      <c r="T218" s="768"/>
      <c r="U218" s="768"/>
      <c r="V218" s="768"/>
      <c r="W218" s="768"/>
      <c r="X218" s="768"/>
      <c r="Y218" s="768"/>
      <c r="Z218" s="768"/>
      <c r="AA218" s="768"/>
    </row>
    <row r="219" ht="30.0" customHeight="1">
      <c r="A219" s="768" t="str">
        <f t="array" ref="A219">XLOOKUP(C219,'High School Players'!D:D,'High School Players'!K:K,"NO",0,1)</f>
        <v>XX</v>
      </c>
      <c r="B219" s="975">
        <f>IFERROR(__xludf.DUMMYFUNCTION("""COMPUTED_VALUE"""),45867.59782922454)</f>
        <v>45867.59783</v>
      </c>
      <c r="C219" s="768" t="str">
        <f>IFERROR(__xludf.DUMMYFUNCTION("""COMPUTED_VALUE"""),"Riley Jackson")</f>
        <v>Riley Jackson</v>
      </c>
      <c r="D219" s="768" t="str">
        <f>IFERROR(__xludf.DUMMYFUNCTION("""COMPUTED_VALUE"""),"Riley27jackson@gmail.com")</f>
        <v>Riley27jackson@gmail.com</v>
      </c>
      <c r="E219" s="768" t="str">
        <f>IFERROR(__xludf.DUMMYFUNCTION("""COMPUTED_VALUE"""),"6’3 185 lbs")</f>
        <v>6’3 185 lbs</v>
      </c>
      <c r="F219" s="768" t="str">
        <f>IFERROR(__xludf.DUMMYFUNCTION("""COMPUTED_VALUE"""),"SS/3B")</f>
        <v>SS/3B</v>
      </c>
      <c r="G219" s="768" t="str">
        <f>IFERROR(__xludf.DUMMYFUNCTION("""COMPUTED_VALUE"""),"HS/Summer combined: 45 GP, 1.259 OPS, 44 hits, 44 runs, 39 RBI’s, 6 home runs, 15 SB, ")</f>
        <v>HS/Summer combined: 45 GP, 1.259 OPS, 44 hits, 44 runs, 39 RBI’s, 6 home runs, 15 SB, </v>
      </c>
      <c r="H219" s="768">
        <f>IFERROR(__xludf.DUMMYFUNCTION("""COMPUTED_VALUE"""),3.66)</f>
        <v>3.66</v>
      </c>
      <c r="I219" s="768" t="str">
        <f>IFERROR(__xludf.DUMMYFUNCTION("""COMPUTED_VALUE"""),"N/A")</f>
        <v>N/A</v>
      </c>
      <c r="J219" s="768" t="str">
        <f>IFERROR(__xludf.DUMMYFUNCTION("""COMPUTED_VALUE"""),"N/A")</f>
        <v>N/A</v>
      </c>
      <c r="K219" s="768" t="str">
        <f>IFERROR(__xludf.DUMMYFUNCTION("""COMPUTED_VALUE"""),"N/A")</f>
        <v>N/A</v>
      </c>
      <c r="L219" s="768" t="str">
        <f>IFERROR(__xludf.DUMMYFUNCTION("""COMPUTED_VALUE"""),"N/A")</f>
        <v>N/A</v>
      </c>
      <c r="M219" s="768" t="str">
        <f>IFERROR(__xludf.DUMMYFUNCTION("""COMPUTED_VALUE"""),"N/A")</f>
        <v>N/A</v>
      </c>
      <c r="N219" s="768">
        <f>IFERROR(__xludf.DUMMYFUNCTION("""COMPUTED_VALUE"""),2027.0)</f>
        <v>2027</v>
      </c>
      <c r="O219" s="768"/>
      <c r="P219" s="768"/>
      <c r="Q219" s="768"/>
      <c r="R219" s="768"/>
      <c r="S219" s="768"/>
      <c r="T219" s="768"/>
      <c r="U219" s="768"/>
      <c r="V219" s="768"/>
      <c r="W219" s="768"/>
      <c r="X219" s="768"/>
      <c r="Y219" s="768"/>
      <c r="Z219" s="768"/>
      <c r="AA219" s="768"/>
    </row>
    <row r="220" ht="30.0" customHeight="1">
      <c r="A220" s="768" t="str">
        <f t="array" ref="A220">XLOOKUP(C220,'High School Players'!D:D,'High School Players'!K:K,"NO",0,1)</f>
        <v>XX</v>
      </c>
      <c r="B220" s="975">
        <f>IFERROR(__xludf.DUMMYFUNCTION("""COMPUTED_VALUE"""),45867.59793537037)</f>
        <v>45867.59794</v>
      </c>
      <c r="C220" s="768" t="str">
        <f>IFERROR(__xludf.DUMMYFUNCTION("""COMPUTED_VALUE"""),"Luke McAtee")</f>
        <v>Luke McAtee</v>
      </c>
      <c r="D220" s="768" t="str">
        <f>IFERROR(__xludf.DUMMYFUNCTION("""COMPUTED_VALUE"""),"lpmcatee08@gmail.com")</f>
        <v>lpmcatee08@gmail.com</v>
      </c>
      <c r="E220" s="768" t="str">
        <f>IFERROR(__xludf.DUMMYFUNCTION("""COMPUTED_VALUE"""),"6’1 182 ")</f>
        <v>6’1 182 </v>
      </c>
      <c r="F220" s="768" t="str">
        <f>IFERROR(__xludf.DUMMYFUNCTION("""COMPUTED_VALUE"""),"C/OF/1B")</f>
        <v>C/OF/1B</v>
      </c>
      <c r="G220" s="768" t="str">
        <f>IFERROR(__xludf.DUMMYFUNCTION("""COMPUTED_VALUE"""),"HS .300/.380.700")</f>
        <v>HS .300/.380.700</v>
      </c>
      <c r="H220" s="768">
        <f>IFERROR(__xludf.DUMMYFUNCTION("""COMPUTED_VALUE"""),3.71)</f>
        <v>3.71</v>
      </c>
      <c r="I220" s="768" t="str">
        <f>IFERROR(__xludf.DUMMYFUNCTION("""COMPUTED_VALUE"""),"Not yet taken ")</f>
        <v>Not yet taken </v>
      </c>
      <c r="J220" s="768" t="str">
        <f>IFERROR(__xludf.DUMMYFUNCTION("""COMPUTED_VALUE"""),"6th Grade broken wrist/elbow 8th grade broken scapula ")</f>
        <v>6th Grade broken wrist/elbow 8th grade broken scapula </v>
      </c>
      <c r="K220" s="768" t="str">
        <f>IFERROR(__xludf.DUMMYFUNCTION("""COMPUTED_VALUE"""),"No")</f>
        <v>No</v>
      </c>
      <c r="L220" s="768" t="str">
        <f>IFERROR(__xludf.DUMMYFUNCTION("""COMPUTED_VALUE"""),"No")</f>
        <v>No</v>
      </c>
      <c r="M220" s="768" t="str">
        <f>IFERROR(__xludf.DUMMYFUNCTION("""COMPUTED_VALUE"""),"No")</f>
        <v>No</v>
      </c>
      <c r="N220" s="768">
        <f>IFERROR(__xludf.DUMMYFUNCTION("""COMPUTED_VALUE"""),2027.0)</f>
        <v>2027</v>
      </c>
      <c r="O220" s="768"/>
      <c r="P220" s="768"/>
      <c r="Q220" s="768"/>
      <c r="R220" s="768"/>
      <c r="S220" s="768"/>
      <c r="T220" s="768"/>
      <c r="U220" s="768"/>
      <c r="V220" s="768"/>
      <c r="W220" s="768"/>
      <c r="X220" s="768"/>
      <c r="Y220" s="768"/>
      <c r="Z220" s="768"/>
      <c r="AA220" s="768"/>
    </row>
    <row r="221" ht="30.0" customHeight="1">
      <c r="A221" s="768" t="str">
        <f t="array" ref="A221">XLOOKUP(C221,'High School Players'!D:D,'High School Players'!K:K,"NO",0,1)</f>
        <v>XX</v>
      </c>
      <c r="B221" s="975">
        <f>IFERROR(__xludf.DUMMYFUNCTION("""COMPUTED_VALUE"""),45867.62470407407)</f>
        <v>45867.6247</v>
      </c>
      <c r="C221" s="768" t="str">
        <f>IFERROR(__xludf.DUMMYFUNCTION("""COMPUTED_VALUE"""),"Nick Malinowski")</f>
        <v>Nick Malinowski</v>
      </c>
      <c r="D221" s="768" t="str">
        <f>IFERROR(__xludf.DUMMYFUNCTION("""COMPUTED_VALUE"""),"nickmalinowski2027@gmail.com")</f>
        <v>nickmalinowski2027@gmail.com</v>
      </c>
      <c r="E221" s="768" t="str">
        <f>IFERROR(__xludf.DUMMYFUNCTION("""COMPUTED_VALUE"""),"6’1 202 LBS")</f>
        <v>6’1 202 LBS</v>
      </c>
      <c r="F221" s="768" t="str">
        <f>IFERROR(__xludf.DUMMYFUNCTION("""COMPUTED_VALUE"""),"RHP")</f>
        <v>RHP</v>
      </c>
      <c r="G221" s="768" t="str">
        <f>IFERROR(__xludf.DUMMYFUNCTION("""COMPUTED_VALUE"""),"50.1 IP 8-1 Record (School record) 1.113 ERA 71Ks 1.013 Whip .169 BAA, C-South Division Pitcher of the Year, 3rd Team All shore, Varsity MVP ")</f>
        <v>50.1 IP 8-1 Record (School record) 1.113 ERA 71Ks 1.013 Whip .169 BAA, C-South Division Pitcher of the Year, 3rd Team All shore, Varsity MVP </v>
      </c>
      <c r="H221" s="768">
        <f>IFERROR(__xludf.DUMMYFUNCTION("""COMPUTED_VALUE"""),4.27)</f>
        <v>4.27</v>
      </c>
      <c r="I221" s="768" t="str">
        <f>IFERROR(__xludf.DUMMYFUNCTION("""COMPUTED_VALUE"""),"N/a")</f>
        <v>N/a</v>
      </c>
      <c r="J221" s="768" t="str">
        <f>IFERROR(__xludf.DUMMYFUNCTION("""COMPUTED_VALUE"""),"n/a")</f>
        <v>n/a</v>
      </c>
      <c r="K221" s="768" t="str">
        <f>IFERROR(__xludf.DUMMYFUNCTION("""COMPUTED_VALUE"""),"Walnuts")</f>
        <v>Walnuts</v>
      </c>
      <c r="L221" s="768" t="str">
        <f>IFERROR(__xludf.DUMMYFUNCTION("""COMPUTED_VALUE"""),"No")</f>
        <v>No</v>
      </c>
      <c r="M221" s="768" t="str">
        <f>IFERROR(__xludf.DUMMYFUNCTION("""COMPUTED_VALUE"""),"No")</f>
        <v>No</v>
      </c>
      <c r="N221" s="768">
        <f>IFERROR(__xludf.DUMMYFUNCTION("""COMPUTED_VALUE"""),2027.0)</f>
        <v>2027</v>
      </c>
      <c r="O221" s="768"/>
      <c r="P221" s="768"/>
      <c r="Q221" s="768"/>
      <c r="R221" s="768"/>
      <c r="S221" s="768"/>
      <c r="T221" s="768"/>
      <c r="U221" s="768"/>
      <c r="V221" s="768"/>
      <c r="W221" s="768"/>
      <c r="X221" s="768"/>
      <c r="Y221" s="768"/>
      <c r="Z221" s="768"/>
      <c r="AA221" s="768"/>
    </row>
    <row r="222" ht="30.0" customHeight="1">
      <c r="A222" s="768" t="str">
        <f t="array" ref="A222">XLOOKUP(C222,'High School Players'!D:D,'High School Players'!K:K,"NO",0,1)</f>
        <v>XX</v>
      </c>
      <c r="B222" s="975">
        <f>IFERROR(__xludf.DUMMYFUNCTION("""COMPUTED_VALUE"""),45867.65555996528)</f>
        <v>45867.65556</v>
      </c>
      <c r="C222" s="768" t="str">
        <f>IFERROR(__xludf.DUMMYFUNCTION("""COMPUTED_VALUE"""),"Lincoln Eure")</f>
        <v>Lincoln Eure</v>
      </c>
      <c r="D222" s="768" t="str">
        <f>IFERROR(__xludf.DUMMYFUNCTION("""COMPUTED_VALUE"""),"lincolneure1@gmail.com")</f>
        <v>lincolneure1@gmail.com</v>
      </c>
      <c r="E222" s="768" t="str">
        <f>IFERROR(__xludf.DUMMYFUNCTION("""COMPUTED_VALUE"""),"5’ 10”/170")</f>
        <v>5’ 10”/170</v>
      </c>
      <c r="F222" s="768" t="str">
        <f>IFERROR(__xludf.DUMMYFUNCTION("""COMPUTED_VALUE"""),"SS/RHP")</f>
        <v>SS/RHP</v>
      </c>
      <c r="G222" s="768" t="str">
        <f>IFERROR(__xludf.DUMMYFUNCTION("""COMPUTED_VALUE"""),"2nd team all region, wrestling state qualifier 2024-25, 2025 Future Game Participant")</f>
        <v>2nd team all region, wrestling state qualifier 2024-25, 2025 Future Game Participant</v>
      </c>
      <c r="H222" s="768" t="str">
        <f>IFERROR(__xludf.DUMMYFUNCTION("""COMPUTED_VALUE"""),"3.98 unweighted")</f>
        <v>3.98 unweighted</v>
      </c>
      <c r="I222" s="768"/>
      <c r="J222" s="768"/>
      <c r="K222" s="768" t="str">
        <f>IFERROR(__xludf.DUMMYFUNCTION("""COMPUTED_VALUE"""),"No")</f>
        <v>No</v>
      </c>
      <c r="L222" s="768" t="str">
        <f>IFERROR(__xludf.DUMMYFUNCTION("""COMPUTED_VALUE"""),"No")</f>
        <v>No</v>
      </c>
      <c r="M222" s="768" t="str">
        <f>IFERROR(__xludf.DUMMYFUNCTION("""COMPUTED_VALUE"""),"No")</f>
        <v>No</v>
      </c>
      <c r="N222" s="768">
        <f>IFERROR(__xludf.DUMMYFUNCTION("""COMPUTED_VALUE"""),2027.0)</f>
        <v>2027</v>
      </c>
      <c r="O222" s="768"/>
      <c r="P222" s="768"/>
      <c r="Q222" s="768"/>
      <c r="R222" s="768"/>
      <c r="S222" s="768"/>
      <c r="T222" s="768"/>
      <c r="U222" s="768"/>
      <c r="V222" s="768"/>
      <c r="W222" s="768"/>
      <c r="X222" s="768"/>
      <c r="Y222" s="768"/>
      <c r="Z222" s="768"/>
      <c r="AA222" s="768"/>
    </row>
    <row r="223" ht="30.0" customHeight="1">
      <c r="A223" s="768">
        <f t="array" ref="A223">XLOOKUP(C223,'High School Players'!D:D,'High School Players'!K:K,"NO",0,1)</f>
        <v>2</v>
      </c>
      <c r="B223" s="975">
        <f>IFERROR(__xludf.DUMMYFUNCTION("""COMPUTED_VALUE"""),45867.65713356482)</f>
        <v>45867.65713</v>
      </c>
      <c r="C223" s="768" t="str">
        <f>IFERROR(__xludf.DUMMYFUNCTION("""COMPUTED_VALUE"""),"Wesley Dewitt")</f>
        <v>Wesley Dewitt</v>
      </c>
      <c r="D223" s="768" t="str">
        <f>IFERROR(__xludf.DUMMYFUNCTION("""COMPUTED_VALUE"""),"wdpc23@yahoo.com")</f>
        <v>wdpc23@yahoo.com</v>
      </c>
      <c r="E223" s="768" t="str">
        <f>IFERROR(__xludf.DUMMYFUNCTION("""COMPUTED_VALUE"""),"6”2 / 170")</f>
        <v>6”2 / 170</v>
      </c>
      <c r="F223" s="768" t="str">
        <f>IFERROR(__xludf.DUMMYFUNCTION("""COMPUTED_VALUE"""),"MIF SS/2b")</f>
        <v>MIF SS/2b</v>
      </c>
      <c r="G223" s="768" t="str">
        <f>IFERROR(__xludf.DUMMYFUNCTION("""COMPUTED_VALUE"""),"HS: 340 avg, 484 OBP, 574 Slg, 4 Hr, 27 RB, 41 runs, 18bb. Summer, 400 Avg, 569 OBP, 800 Slg, 11 RBi, 16 run.")</f>
        <v>HS: 340 avg, 484 OBP, 574 Slg, 4 Hr, 27 RB, 41 runs, 18bb. Summer, 400 Avg, 569 OBP, 800 Slg, 11 RBi, 16 run.</v>
      </c>
      <c r="H223" s="768">
        <f>IFERROR(__xludf.DUMMYFUNCTION("""COMPUTED_VALUE"""),3.7)</f>
        <v>3.7</v>
      </c>
      <c r="I223" s="768" t="str">
        <f>IFERROR(__xludf.DUMMYFUNCTION("""COMPUTED_VALUE"""),"NA")</f>
        <v>NA</v>
      </c>
      <c r="J223" s="768" t="str">
        <f>IFERROR(__xludf.DUMMYFUNCTION("""COMPUTED_VALUE"""),"tore quad freshman year, Back stress fracture (skiing)")</f>
        <v>tore quad freshman year, Back stress fracture (skiing)</v>
      </c>
      <c r="K223" s="768" t="str">
        <f>IFERROR(__xludf.DUMMYFUNCTION("""COMPUTED_VALUE"""),"Dairy")</f>
        <v>Dairy</v>
      </c>
      <c r="L223" s="768" t="str">
        <f>IFERROR(__xludf.DUMMYFUNCTION("""COMPUTED_VALUE"""),"NA")</f>
        <v>NA</v>
      </c>
      <c r="M223" s="768" t="str">
        <f>IFERROR(__xludf.DUMMYFUNCTION("""COMPUTED_VALUE"""),"No")</f>
        <v>No</v>
      </c>
      <c r="N223" s="768">
        <f>IFERROR(__xludf.DUMMYFUNCTION("""COMPUTED_VALUE"""),2027.0)</f>
        <v>2027</v>
      </c>
      <c r="O223" s="768"/>
      <c r="P223" s="768"/>
      <c r="Q223" s="768"/>
      <c r="R223" s="768"/>
      <c r="S223" s="768"/>
      <c r="T223" s="768"/>
      <c r="U223" s="768"/>
      <c r="V223" s="768"/>
      <c r="W223" s="768"/>
      <c r="X223" s="768"/>
      <c r="Y223" s="768"/>
      <c r="Z223" s="768"/>
      <c r="AA223" s="768"/>
    </row>
    <row r="224" ht="30.0" customHeight="1">
      <c r="A224" s="768" t="str">
        <f t="array" ref="A224">XLOOKUP(C224,'High School Players'!D:D,'High School Players'!K:K,"NO",0,1)</f>
        <v>XX</v>
      </c>
      <c r="B224" s="975">
        <f>IFERROR(__xludf.DUMMYFUNCTION("""COMPUTED_VALUE"""),45867.71994019676)</f>
        <v>45867.71994</v>
      </c>
      <c r="C224" s="768" t="str">
        <f>IFERROR(__xludf.DUMMYFUNCTION("""COMPUTED_VALUE"""),"Jake Lopez")</f>
        <v>Jake Lopez</v>
      </c>
      <c r="D224" s="768" t="str">
        <f>IFERROR(__xludf.DUMMYFUNCTION("""COMPUTED_VALUE"""),"227jakelopez@gmail.com")</f>
        <v>227jakelopez@gmail.com</v>
      </c>
      <c r="E224" s="768" t="str">
        <f>IFERROR(__xludf.DUMMYFUNCTION("""COMPUTED_VALUE"""),"6”5 188")</f>
        <v>6”5 188</v>
      </c>
      <c r="F224" s="768" t="str">
        <f>IFERROR(__xludf.DUMMYFUNCTION("""COMPUTED_VALUE"""),"SS")</f>
        <v>SS</v>
      </c>
      <c r="G224" s="768" t="str">
        <f>IFERROR(__xludf.DUMMYFUNCTION("""COMPUTED_VALUE"""),"3:28 batting average, 41 hits, 31 stolen bases,429 OBP,820 OPS summer  Stats 400 batting average ,23 hits , 18 stolen bases ,951 fielding percentage ")</f>
        <v>3:28 batting average, 41 hits, 31 stolen bases,429 OBP,820 OPS summer  Stats 400 batting average ,23 hits , 18 stolen bases ,951 fielding percentage </v>
      </c>
      <c r="H224" s="768">
        <f>IFERROR(__xludf.DUMMYFUNCTION("""COMPUTED_VALUE"""),3.6)</f>
        <v>3.6</v>
      </c>
      <c r="I224" s="768"/>
      <c r="J224" s="768" t="str">
        <f>IFERROR(__xludf.DUMMYFUNCTION("""COMPUTED_VALUE"""),"Ankle ")</f>
        <v>Ankle </v>
      </c>
      <c r="K224" s="768" t="str">
        <f>IFERROR(__xludf.DUMMYFUNCTION("""COMPUTED_VALUE"""),"Peanuts ")</f>
        <v>Peanuts </v>
      </c>
      <c r="L224" s="768"/>
      <c r="M224" s="768" t="str">
        <f>IFERROR(__xludf.DUMMYFUNCTION("""COMPUTED_VALUE"""),"no")</f>
        <v>no</v>
      </c>
      <c r="N224" s="768">
        <f>IFERROR(__xludf.DUMMYFUNCTION("""COMPUTED_VALUE"""),2027.0)</f>
        <v>2027</v>
      </c>
      <c r="O224" s="768"/>
      <c r="P224" s="768"/>
      <c r="Q224" s="768"/>
      <c r="R224" s="768"/>
      <c r="S224" s="768"/>
      <c r="T224" s="768"/>
      <c r="U224" s="768"/>
      <c r="V224" s="768"/>
      <c r="W224" s="768"/>
      <c r="X224" s="768"/>
      <c r="Y224" s="768"/>
      <c r="Z224" s="768"/>
      <c r="AA224" s="768"/>
    </row>
    <row r="225" ht="30.0" customHeight="1">
      <c r="A225" s="768" t="str">
        <f t="array" ref="A225">XLOOKUP(C225,'High School Players'!D:D,'High School Players'!K:K,"NO",0,1)</f>
        <v>XX</v>
      </c>
      <c r="B225" s="975">
        <f>IFERROR(__xludf.DUMMYFUNCTION("""COMPUTED_VALUE"""),45867.73978471065)</f>
        <v>45867.73978</v>
      </c>
      <c r="C225" s="768" t="str">
        <f>IFERROR(__xludf.DUMMYFUNCTION("""COMPUTED_VALUE"""),"Connor McCool")</f>
        <v>Connor McCool</v>
      </c>
      <c r="D225" s="768" t="str">
        <f>IFERROR(__xludf.DUMMYFUNCTION("""COMPUTED_VALUE"""),"cmccool2008@gmail.com")</f>
        <v>cmccool2008@gmail.com</v>
      </c>
      <c r="E225" s="768" t="str">
        <f>IFERROR(__xludf.DUMMYFUNCTION("""COMPUTED_VALUE"""),"6’0 175lbs")</f>
        <v>6’0 175lbs</v>
      </c>
      <c r="F225" s="768" t="str">
        <f>IFERROR(__xludf.DUMMYFUNCTION("""COMPUTED_VALUE"""),"SS")</f>
        <v>SS</v>
      </c>
      <c r="G225" s="768" t="str">
        <f>IFERROR(__xludf.DUMMYFUNCTION("""COMPUTED_VALUE"""),"AB: 88 AVG: .300 OBP: .359 OPS: .813 SLG: .455 H: 29 RBI: 17 TC: 58 FPCT: 1.000 Accolades: 2025 Futures gamer, Honorable mention all Sunflower league")</f>
        <v>AB: 88 AVG: .300 OBP: .359 OPS: .813 SLG: .455 H: 29 RBI: 17 TC: 58 FPCT: 1.000 Accolades: 2025 Futures gamer, Honorable mention all Sunflower league</v>
      </c>
      <c r="H225" s="768" t="str">
        <f>IFERROR(__xludf.DUMMYFUNCTION("""COMPUTED_VALUE"""),"3.957/ 4.535")</f>
        <v>3.957/ 4.535</v>
      </c>
      <c r="I225" s="768" t="str">
        <f>IFERROR(__xludf.DUMMYFUNCTION("""COMPUTED_VALUE"""),"Act: 24")</f>
        <v>Act: 24</v>
      </c>
      <c r="J225" s="768" t="str">
        <f>IFERROR(__xludf.DUMMYFUNCTION("""COMPUTED_VALUE"""),"Meniscus repair, 8th grade.")</f>
        <v>Meniscus repair, 8th grade.</v>
      </c>
      <c r="K225" s="768" t="str">
        <f>IFERROR(__xludf.DUMMYFUNCTION("""COMPUTED_VALUE"""),"No")</f>
        <v>No</v>
      </c>
      <c r="L225" s="768" t="str">
        <f>IFERROR(__xludf.DUMMYFUNCTION("""COMPUTED_VALUE"""),"No")</f>
        <v>No</v>
      </c>
      <c r="M225" s="768" t="str">
        <f>IFERROR(__xludf.DUMMYFUNCTION("""COMPUTED_VALUE"""),"No")</f>
        <v>No</v>
      </c>
      <c r="N225" s="768">
        <f>IFERROR(__xludf.DUMMYFUNCTION("""COMPUTED_VALUE"""),2027.0)</f>
        <v>2027</v>
      </c>
      <c r="O225" s="768"/>
      <c r="P225" s="768"/>
      <c r="Q225" s="768"/>
      <c r="R225" s="768"/>
      <c r="S225" s="768"/>
      <c r="T225" s="768"/>
      <c r="U225" s="768"/>
      <c r="V225" s="768"/>
      <c r="W225" s="768"/>
      <c r="X225" s="768"/>
      <c r="Y225" s="768"/>
      <c r="Z225" s="768"/>
      <c r="AA225" s="768"/>
    </row>
    <row r="226" ht="30.0" customHeight="1">
      <c r="A226" s="768" t="str">
        <f t="array" ref="A226">XLOOKUP(C226,'High School Players'!D:D,'High School Players'!K:K,"NO",0,1)</f>
        <v>XX</v>
      </c>
      <c r="B226" s="975">
        <f>IFERROR(__xludf.DUMMYFUNCTION("""COMPUTED_VALUE"""),45867.77071442129)</f>
        <v>45867.77071</v>
      </c>
      <c r="C226" s="768" t="str">
        <f>IFERROR(__xludf.DUMMYFUNCTION("""COMPUTED_VALUE"""),"Jacob Budarz")</f>
        <v>Jacob Budarz</v>
      </c>
      <c r="D226" s="768" t="str">
        <f>IFERROR(__xludf.DUMMYFUNCTION("""COMPUTED_VALUE"""),"Jbudarz@internal.loomis.org")</f>
        <v>Jbudarz@internal.loomis.org</v>
      </c>
      <c r="E226" s="768" t="str">
        <f>IFERROR(__xludf.DUMMYFUNCTION("""COMPUTED_VALUE"""),"6’2/200")</f>
        <v>6’2/200</v>
      </c>
      <c r="F226" s="768" t="str">
        <f>IFERROR(__xludf.DUMMYFUNCTION("""COMPUTED_VALUE"""),"3B")</f>
        <v>3B</v>
      </c>
      <c r="G226" s="768" t="str">
        <f>IFERROR(__xludf.DUMMYFUNCTION("""COMPUTED_VALUE"""),"High School stats: 78 PA .409 AVG .487 OBP 1.184 OPS .679 SLG 27 Hits 13 1B 11 2B 1 3B 2 HR 9 RBIs 21 R 8 BB 9 SB  Honors: Founders League underclass player of the year, Founders League first team, All-Nepsac honorable mention")</f>
        <v>High School stats: 78 PA .409 AVG .487 OBP 1.184 OPS .679 SLG 27 Hits 13 1B 11 2B 1 3B 2 HR 9 RBIs 21 R 8 BB 9 SB  Honors: Founders League underclass player of the year, Founders League first team, All-Nepsac honorable mention</v>
      </c>
      <c r="H226" s="768">
        <f>IFERROR(__xludf.DUMMYFUNCTION("""COMPUTED_VALUE"""),3.7)</f>
        <v>3.7</v>
      </c>
      <c r="I226" s="768" t="str">
        <f>IFERROR(__xludf.DUMMYFUNCTION("""COMPUTED_VALUE"""),"N/A")</f>
        <v>N/A</v>
      </c>
      <c r="J226" s="768" t="str">
        <f>IFERROR(__xludf.DUMMYFUNCTION("""COMPUTED_VALUE"""),"N/A")</f>
        <v>N/A</v>
      </c>
      <c r="K226" s="768" t="str">
        <f>IFERROR(__xludf.DUMMYFUNCTION("""COMPUTED_VALUE"""),"N/A")</f>
        <v>N/A</v>
      </c>
      <c r="L226" s="768" t="str">
        <f>IFERROR(__xludf.DUMMYFUNCTION("""COMPUTED_VALUE"""),"N/A")</f>
        <v>N/A</v>
      </c>
      <c r="M226" s="768" t="str">
        <f>IFERROR(__xludf.DUMMYFUNCTION("""COMPUTED_VALUE"""),"N/A")</f>
        <v>N/A</v>
      </c>
      <c r="N226" s="768">
        <f>IFERROR(__xludf.DUMMYFUNCTION("""COMPUTED_VALUE"""),2027.0)</f>
        <v>2027</v>
      </c>
      <c r="O226" s="768"/>
      <c r="P226" s="768"/>
      <c r="Q226" s="768"/>
      <c r="R226" s="768"/>
      <c r="S226" s="768"/>
      <c r="T226" s="768"/>
      <c r="U226" s="768"/>
      <c r="V226" s="768"/>
      <c r="W226" s="768"/>
      <c r="X226" s="768"/>
      <c r="Y226" s="768"/>
      <c r="Z226" s="768"/>
      <c r="AA226" s="768"/>
    </row>
    <row r="227" ht="30.0" customHeight="1">
      <c r="A227" s="768">
        <f t="array" ref="A227">XLOOKUP(C227,'High School Players'!D:D,'High School Players'!K:K,"NO",0,1)</f>
        <v>1</v>
      </c>
      <c r="B227" s="975">
        <f>IFERROR(__xludf.DUMMYFUNCTION("""COMPUTED_VALUE"""),45867.77848528935)</f>
        <v>45867.77849</v>
      </c>
      <c r="C227" s="768" t="str">
        <f>IFERROR(__xludf.DUMMYFUNCTION("""COMPUTED_VALUE"""),"Win Hoots")</f>
        <v>Win Hoots</v>
      </c>
      <c r="D227" s="768" t="str">
        <f>IFERROR(__xludf.DUMMYFUNCTION("""COMPUTED_VALUE"""),"winhoots@icloud.com")</f>
        <v>winhoots@icloud.com</v>
      </c>
      <c r="E227" s="768" t="str">
        <f>IFERROR(__xludf.DUMMYFUNCTION("""COMPUTED_VALUE"""),"6’0 170")</f>
        <v>6’0 170</v>
      </c>
      <c r="F227" s="768" t="str">
        <f>IFERROR(__xludf.DUMMYFUNCTION("""COMPUTED_VALUE"""),"CF")</f>
        <v>CF</v>
      </c>
      <c r="G227" s="768" t="str">
        <f>IFERROR(__xludf.DUMMYFUNCTION("""COMPUTED_VALUE"""),"HS: .372 BA , .457 OBP, 35 Hits in 94 At bats")</f>
        <v>HS: .372 BA , .457 OBP, 35 Hits in 94 At bats</v>
      </c>
      <c r="H227" s="768" t="str">
        <f>IFERROR(__xludf.DUMMYFUNCTION("""COMPUTED_VALUE"""),"4.0 with a weighted 4.4")</f>
        <v>4.0 with a weighted 4.4</v>
      </c>
      <c r="I227" s="768" t="str">
        <f>IFERROR(__xludf.DUMMYFUNCTION("""COMPUTED_VALUE"""),"Only taken pre sat and act and got a 1200 on PSAT and 26 on PACT")</f>
        <v>Only taken pre sat and act and got a 1200 on PSAT and 26 on PACT</v>
      </c>
      <c r="J227" s="768" t="str">
        <f>IFERROR(__xludf.DUMMYFUNCTION("""COMPUTED_VALUE"""),"None")</f>
        <v>None</v>
      </c>
      <c r="K227" s="768" t="str">
        <f>IFERROR(__xludf.DUMMYFUNCTION("""COMPUTED_VALUE"""),"None")</f>
        <v>None</v>
      </c>
      <c r="L227" s="768" t="str">
        <f>IFERROR(__xludf.DUMMYFUNCTION("""COMPUTED_VALUE"""),"None")</f>
        <v>None</v>
      </c>
      <c r="M227" s="768" t="str">
        <f>IFERROR(__xludf.DUMMYFUNCTION("""COMPUTED_VALUE"""),"None")</f>
        <v>None</v>
      </c>
      <c r="N227" s="768">
        <f>IFERROR(__xludf.DUMMYFUNCTION("""COMPUTED_VALUE"""),2027.0)</f>
        <v>2027</v>
      </c>
      <c r="O227" s="768"/>
      <c r="P227" s="768"/>
      <c r="Q227" s="768"/>
      <c r="R227" s="768"/>
      <c r="S227" s="768"/>
      <c r="T227" s="768"/>
      <c r="U227" s="768"/>
      <c r="V227" s="768"/>
      <c r="W227" s="768"/>
      <c r="X227" s="768"/>
      <c r="Y227" s="768"/>
      <c r="Z227" s="768"/>
      <c r="AA227" s="768"/>
    </row>
    <row r="228" ht="30.0" customHeight="1">
      <c r="A228" s="768" t="str">
        <f t="array" ref="A228">XLOOKUP(C228,'High School Players'!D:D,'High School Players'!K:K,"NO",0,1)</f>
        <v>XX</v>
      </c>
      <c r="B228" s="975">
        <f>IFERROR(__xludf.DUMMYFUNCTION("""COMPUTED_VALUE"""),45867.78342092593)</f>
        <v>45867.78342</v>
      </c>
      <c r="C228" s="768" t="str">
        <f>IFERROR(__xludf.DUMMYFUNCTION("""COMPUTED_VALUE"""),"Lucas Sarno")</f>
        <v>Lucas Sarno</v>
      </c>
      <c r="D228" s="768" t="str">
        <f>IFERROR(__xludf.DUMMYFUNCTION("""COMPUTED_VALUE"""),"Lucas.sarno35@gmail.com")</f>
        <v>Lucas.sarno35@gmail.com</v>
      </c>
      <c r="E228" s="768" t="str">
        <f>IFERROR(__xludf.DUMMYFUNCTION("""COMPUTED_VALUE"""),"5’11 160")</f>
        <v>5’11 160</v>
      </c>
      <c r="F228" s="768" t="str">
        <f>IFERROR(__xludf.DUMMYFUNCTION("""COMPUTED_VALUE"""),"SS/3B/2B")</f>
        <v>SS/3B/2B</v>
      </c>
      <c r="G228" s="768" t="str">
        <f>IFERROR(__xludf.DUMMYFUNCTION("""COMPUTED_VALUE"""),"2025 HS season: .333 AVG, .445 OBP, 16 RBI, 23 R, 11 BB, 14 SB.")</f>
        <v>2025 HS season: .333 AVG, .445 OBP, 16 RBI, 23 R, 11 BB, 14 SB.</v>
      </c>
      <c r="H228" s="768" t="str">
        <f>IFERROR(__xludf.DUMMYFUNCTION("""COMPUTED_VALUE"""),"3.8/4.2")</f>
        <v>3.8/4.2</v>
      </c>
      <c r="I228" s="768" t="str">
        <f>IFERROR(__xludf.DUMMYFUNCTION("""COMPUTED_VALUE"""),"N/A")</f>
        <v>N/A</v>
      </c>
      <c r="J228" s="768" t="str">
        <f>IFERROR(__xludf.DUMMYFUNCTION("""COMPUTED_VALUE"""),"Bicep Tendonitis, broken foot")</f>
        <v>Bicep Tendonitis, broken foot</v>
      </c>
      <c r="K228" s="768" t="str">
        <f>IFERROR(__xludf.DUMMYFUNCTION("""COMPUTED_VALUE"""),"N/A")</f>
        <v>N/A</v>
      </c>
      <c r="L228" s="768" t="str">
        <f>IFERROR(__xludf.DUMMYFUNCTION("""COMPUTED_VALUE"""),"No")</f>
        <v>No</v>
      </c>
      <c r="M228" s="768" t="str">
        <f>IFERROR(__xludf.DUMMYFUNCTION("""COMPUTED_VALUE"""),"No")</f>
        <v>No</v>
      </c>
      <c r="N228" s="768">
        <f>IFERROR(__xludf.DUMMYFUNCTION("""COMPUTED_VALUE"""),2027.0)</f>
        <v>2027</v>
      </c>
      <c r="O228" s="768"/>
      <c r="P228" s="768"/>
      <c r="Q228" s="768"/>
      <c r="R228" s="768"/>
      <c r="S228" s="768"/>
      <c r="T228" s="768"/>
      <c r="U228" s="768"/>
      <c r="V228" s="768"/>
      <c r="W228" s="768"/>
      <c r="X228" s="768"/>
      <c r="Y228" s="768"/>
      <c r="Z228" s="768"/>
      <c r="AA228" s="768"/>
    </row>
    <row r="229" ht="30.0" customHeight="1">
      <c r="A229" s="768" t="str">
        <f t="array" ref="A229">XLOOKUP(C229,'High School Players'!D:D,'High School Players'!K:K,"NO",0,1)</f>
        <v>XX</v>
      </c>
      <c r="B229" s="975">
        <f>IFERROR(__xludf.DUMMYFUNCTION("""COMPUTED_VALUE"""),45867.827039895834)</f>
        <v>45867.82704</v>
      </c>
      <c r="C229" s="768" t="str">
        <f>IFERROR(__xludf.DUMMYFUNCTION("""COMPUTED_VALUE"""),"Jonathan Mauro")</f>
        <v>Jonathan Mauro</v>
      </c>
      <c r="D229" s="768" t="str">
        <f>IFERROR(__xludf.DUMMYFUNCTION("""COMPUTED_VALUE"""),"jmmvb14@gmail.com")</f>
        <v>jmmvb14@gmail.com</v>
      </c>
      <c r="E229" s="768" t="str">
        <f>IFERROR(__xludf.DUMMYFUNCTION("""COMPUTED_VALUE"""),"5’10 190")</f>
        <v>5’10 190</v>
      </c>
      <c r="F229" s="768" t="str">
        <f>IFERROR(__xludf.DUMMYFUNCTION("""COMPUTED_VALUE"""),"C 3b 1b")</f>
        <v>C 3b 1b</v>
      </c>
      <c r="G229" s="768" t="str">
        <f>IFERROR(__xludf.DUMMYFUNCTION("""COMPUTED_VALUE"""),"HS avg .296 obp .419 ops .912 3HR Herald Tribune Athlete of the week of the week/16u PG avg .405 obp .535 ops 1.143 2HR 11XBH PG 16u World Series tourney MVP")</f>
        <v>HS avg .296 obp .419 ops .912 3HR Herald Tribune Athlete of the week of the week/16u PG avg .405 obp .535 ops 1.143 2HR 11XBH PG 16u World Series tourney MVP</v>
      </c>
      <c r="H229" s="768" t="str">
        <f>IFERROR(__xludf.DUMMYFUNCTION("""COMPUTED_VALUE"""),"3.7 4.7")</f>
        <v>3.7 4.7</v>
      </c>
      <c r="I229" s="768"/>
      <c r="J229" s="768"/>
      <c r="K229" s="768"/>
      <c r="L229" s="768"/>
      <c r="M229" s="768"/>
      <c r="N229" s="768">
        <f>IFERROR(__xludf.DUMMYFUNCTION("""COMPUTED_VALUE"""),2027.0)</f>
        <v>2027</v>
      </c>
      <c r="O229" s="768"/>
      <c r="P229" s="768"/>
      <c r="Q229" s="768"/>
      <c r="R229" s="768"/>
      <c r="S229" s="768"/>
      <c r="T229" s="768"/>
      <c r="U229" s="768"/>
      <c r="V229" s="768"/>
      <c r="W229" s="768"/>
      <c r="X229" s="768"/>
      <c r="Y229" s="768"/>
      <c r="Z229" s="768"/>
      <c r="AA229" s="768"/>
    </row>
    <row r="230" ht="30.0" customHeight="1">
      <c r="A230" s="768" t="str">
        <f t="array" ref="A230">XLOOKUP(C230,'High School Players'!D:D,'High School Players'!K:K,"NO",0,1)</f>
        <v>NO</v>
      </c>
      <c r="B230" s="975">
        <f>IFERROR(__xludf.DUMMYFUNCTION("""COMPUTED_VALUE"""),45867.84088310185)</f>
        <v>45867.84088</v>
      </c>
      <c r="C230" s="768" t="str">
        <f>IFERROR(__xludf.DUMMYFUNCTION("""COMPUTED_VALUE"""),"Bryan Miller jr")</f>
        <v>Bryan Miller jr</v>
      </c>
      <c r="D230" s="768" t="str">
        <f>IFERROR(__xludf.DUMMYFUNCTION("""COMPUTED_VALUE"""),"B.miller2323@icloud.com")</f>
        <v>B.miller2323@icloud.com</v>
      </c>
      <c r="E230" s="768" t="str">
        <f>IFERROR(__xludf.DUMMYFUNCTION("""COMPUTED_VALUE"""),"5’10”/175")</f>
        <v>5’10”/175</v>
      </c>
      <c r="F230" s="768" t="str">
        <f>IFERROR(__xludf.DUMMYFUNCTION("""COMPUTED_VALUE"""),"C/RHP/OF")</f>
        <v>C/RHP/OF</v>
      </c>
      <c r="G230" s="768" t="str">
        <f>IFERROR(__xludf.DUMMYFUNCTION("""COMPUTED_VALUE"""),"HS  .384/.475/1.045/.570/33 H/ 2 HR, Pitching 9.2 IP/6 SV/17 K/ 0 era, PBR Newcomer of the Year .508 Avg/1.434 OPS, 2027 PG tournament All American, PG Underclass Preseason All American, 2025 2nd Team All state, 2x All District and Region")</f>
        <v>HS  .384/.475/1.045/.570/33 H/ 2 HR, Pitching 9.2 IP/6 SV/17 K/ 0 era, PBR Newcomer of the Year .508 Avg/1.434 OPS, 2027 PG tournament All American, PG Underclass Preseason All American, 2025 2nd Team All state, 2x All District and Region</v>
      </c>
      <c r="H230" s="768" t="str">
        <f>IFERROR(__xludf.DUMMYFUNCTION("""COMPUTED_VALUE"""),"3.76/3.97")</f>
        <v>3.76/3.97</v>
      </c>
      <c r="I230" s="768" t="str">
        <f>IFERROR(__xludf.DUMMYFUNCTION("""COMPUTED_VALUE"""),"NA")</f>
        <v>NA</v>
      </c>
      <c r="J230" s="768" t="str">
        <f>IFERROR(__xludf.DUMMYFUNCTION("""COMPUTED_VALUE"""),"Broken Ankle and Toe in football")</f>
        <v>Broken Ankle and Toe in football</v>
      </c>
      <c r="K230" s="768" t="str">
        <f>IFERROR(__xludf.DUMMYFUNCTION("""COMPUTED_VALUE"""),"Shellfish, Fish, Carrots, and almonds")</f>
        <v>Shellfish, Fish, Carrots, and almonds</v>
      </c>
      <c r="L230" s="768" t="str">
        <f>IFERROR(__xludf.DUMMYFUNCTION("""COMPUTED_VALUE"""),"Not currently taking medication")</f>
        <v>Not currently taking medication</v>
      </c>
      <c r="M230" s="768" t="str">
        <f>IFERROR(__xludf.DUMMYFUNCTION("""COMPUTED_VALUE"""),"No I do not")</f>
        <v>No I do not</v>
      </c>
      <c r="N230" s="768">
        <f>IFERROR(__xludf.DUMMYFUNCTION("""COMPUTED_VALUE"""),2027.0)</f>
        <v>2027</v>
      </c>
      <c r="O230" s="768"/>
      <c r="P230" s="768"/>
      <c r="Q230" s="768"/>
      <c r="R230" s="768"/>
      <c r="S230" s="768"/>
      <c r="T230" s="768"/>
      <c r="U230" s="768"/>
      <c r="V230" s="768"/>
      <c r="W230" s="768"/>
      <c r="X230" s="768"/>
      <c r="Y230" s="768"/>
      <c r="Z230" s="768"/>
      <c r="AA230" s="768"/>
    </row>
    <row r="231" ht="30.0" customHeight="1">
      <c r="A231" s="768" t="str">
        <f t="array" ref="A231">XLOOKUP(C231,'High School Players'!D:D,'High School Players'!K:K,"NO",0,1)</f>
        <v>XX</v>
      </c>
      <c r="B231" s="975">
        <f>IFERROR(__xludf.DUMMYFUNCTION("""COMPUTED_VALUE"""),45867.86480429398)</f>
        <v>45867.8648</v>
      </c>
      <c r="C231" s="768" t="str">
        <f>IFERROR(__xludf.DUMMYFUNCTION("""COMPUTED_VALUE"""),"Ryan Neumann")</f>
        <v>Ryan Neumann</v>
      </c>
      <c r="D231" s="768" t="str">
        <f>IFERROR(__xludf.DUMMYFUNCTION("""COMPUTED_VALUE"""),"ryanneumann14@icloud.com")</f>
        <v>ryanneumann14@icloud.com</v>
      </c>
      <c r="E231" s="768" t="str">
        <f>IFERROR(__xludf.DUMMYFUNCTION("""COMPUTED_VALUE"""),"6’5 210")</f>
        <v>6’5 210</v>
      </c>
      <c r="F231" s="768" t="str">
        <f>IFERROR(__xludf.DUMMYFUNCTION("""COMPUTED_VALUE"""),"RHP")</f>
        <v>RHP</v>
      </c>
      <c r="G231" s="768" t="str">
        <f>IFERROR(__xludf.DUMMYFUNCTION("""COMPUTED_VALUE"""),"SUMMER 15.2 ip 2.6 ERA 19ks 6hits SPRING 19ip 4.4ERA 23ks")</f>
        <v>SUMMER 15.2 ip 2.6 ERA 19ks 6hits SPRING 19ip 4.4ERA 23ks</v>
      </c>
      <c r="H231" s="768" t="str">
        <f>IFERROR(__xludf.DUMMYFUNCTION("""COMPUTED_VALUE"""),"3.83/3.9w")</f>
        <v>3.83/3.9w</v>
      </c>
      <c r="I231" s="768" t="str">
        <f>IFERROR(__xludf.DUMMYFUNCTION("""COMPUTED_VALUE"""),"N/A")</f>
        <v>N/A</v>
      </c>
      <c r="J231" s="768" t="str">
        <f>IFERROR(__xludf.DUMMYFUNCTION("""COMPUTED_VALUE"""),"Minor Injuries when younger, little league shoulder/elbow. No surgeries")</f>
        <v>Minor Injuries when younger, little league shoulder/elbow. No surgeries</v>
      </c>
      <c r="K231" s="768" t="str">
        <f>IFERROR(__xludf.DUMMYFUNCTION("""COMPUTED_VALUE"""),"N/A")</f>
        <v>N/A</v>
      </c>
      <c r="L231" s="768" t="str">
        <f>IFERROR(__xludf.DUMMYFUNCTION("""COMPUTED_VALUE"""),"N/A")</f>
        <v>N/A</v>
      </c>
      <c r="M231" s="768" t="str">
        <f>IFERROR(__xludf.DUMMYFUNCTION("""COMPUTED_VALUE"""),"N/A")</f>
        <v>N/A</v>
      </c>
      <c r="N231" s="768">
        <f>IFERROR(__xludf.DUMMYFUNCTION("""COMPUTED_VALUE"""),2027.0)</f>
        <v>2027</v>
      </c>
      <c r="O231" s="768"/>
      <c r="P231" s="768"/>
      <c r="Q231" s="768"/>
      <c r="R231" s="768"/>
      <c r="S231" s="768"/>
      <c r="T231" s="768"/>
      <c r="U231" s="768"/>
      <c r="V231" s="768"/>
      <c r="W231" s="768"/>
      <c r="X231" s="768"/>
      <c r="Y231" s="768"/>
      <c r="Z231" s="768"/>
      <c r="AA231" s="768"/>
    </row>
    <row r="232" ht="30.0" customHeight="1">
      <c r="A232" s="768" t="str">
        <f t="array" ref="A232">XLOOKUP(C232,'High School Players'!D:D,'High School Players'!K:K,"NO",0,1)</f>
        <v>XX</v>
      </c>
      <c r="B232" s="975">
        <f>IFERROR(__xludf.DUMMYFUNCTION("""COMPUTED_VALUE"""),45867.87469084491)</f>
        <v>45867.87469</v>
      </c>
      <c r="C232" s="768" t="str">
        <f>IFERROR(__xludf.DUMMYFUNCTION("""COMPUTED_VALUE"""),"Colin Zimbelman")</f>
        <v>Colin Zimbelman</v>
      </c>
      <c r="D232" s="768" t="str">
        <f>IFERROR(__xludf.DUMMYFUNCTION("""COMPUTED_VALUE"""),"colinazimbelman@gmail.com")</f>
        <v>colinazimbelman@gmail.com</v>
      </c>
      <c r="E232" s="768" t="str">
        <f>IFERROR(__xludf.DUMMYFUNCTION("""COMPUTED_VALUE"""),"5’10 165")</f>
        <v>5’10 165</v>
      </c>
      <c r="F232" s="768" t="str">
        <f>IFERROR(__xludf.DUMMYFUNCTION("""COMPUTED_VALUE"""),"Catcher and Corner Infield ")</f>
        <v>Catcher and Corner Infield </v>
      </c>
      <c r="G232" s="768" t="str">
        <f>IFERROR(__xludf.DUMMYFUNCTION("""COMPUTED_VALUE"""),"Summer- Avg .417, OBP .479, OPS 1.096, SLG .671, RBI 24, BB 8, SO 6, SB 7, QBA 67.61. High School - Avg .287, OBP .362, OPS .743, SLG .433, RBI 15, BB 17, SO 8, SB 23, QBA 52.51")</f>
        <v>Summer- Avg .417, OBP .479, OPS 1.096, SLG .671, RBI 24, BB 8, SO 6, SB 7, QBA 67.61. High School - Avg .287, OBP .362, OPS .743, SLG .433, RBI 15, BB 17, SO 8, SB 23, QBA 52.51</v>
      </c>
      <c r="H232" s="768">
        <f>IFERROR(__xludf.DUMMYFUNCTION("""COMPUTED_VALUE"""),4.0)</f>
        <v>4</v>
      </c>
      <c r="I232" s="768" t="str">
        <f>IFERROR(__xludf.DUMMYFUNCTION("""COMPUTED_VALUE"""),"Haven’t taken in yet ")</f>
        <v>Haven’t taken in yet </v>
      </c>
      <c r="J232" s="768" t="str">
        <f>IFERROR(__xludf.DUMMYFUNCTION("""COMPUTED_VALUE"""),"None")</f>
        <v>None</v>
      </c>
      <c r="K232" s="768" t="str">
        <f>IFERROR(__xludf.DUMMYFUNCTION("""COMPUTED_VALUE"""),"None")</f>
        <v>None</v>
      </c>
      <c r="L232" s="768" t="str">
        <f>IFERROR(__xludf.DUMMYFUNCTION("""COMPUTED_VALUE"""),"No")</f>
        <v>No</v>
      </c>
      <c r="M232" s="768" t="str">
        <f>IFERROR(__xludf.DUMMYFUNCTION("""COMPUTED_VALUE"""),"No")</f>
        <v>No</v>
      </c>
      <c r="N232" s="768">
        <f>IFERROR(__xludf.DUMMYFUNCTION("""COMPUTED_VALUE"""),2027.0)</f>
        <v>2027</v>
      </c>
      <c r="O232" s="768"/>
      <c r="P232" s="768"/>
      <c r="Q232" s="768"/>
      <c r="R232" s="768"/>
      <c r="S232" s="768"/>
      <c r="T232" s="768"/>
      <c r="U232" s="768"/>
      <c r="V232" s="768"/>
      <c r="W232" s="768"/>
      <c r="X232" s="768"/>
      <c r="Y232" s="768"/>
      <c r="Z232" s="768"/>
      <c r="AA232" s="768"/>
    </row>
    <row r="233" ht="30.0" customHeight="1">
      <c r="A233" s="768" t="str">
        <f t="array" ref="A233">XLOOKUP(C233,'High School Players'!D:D,'High School Players'!K:K,"NO",0,1)</f>
        <v>XX</v>
      </c>
      <c r="B233" s="975">
        <f>IFERROR(__xludf.DUMMYFUNCTION("""COMPUTED_VALUE"""),45867.88821991898)</f>
        <v>45867.88822</v>
      </c>
      <c r="C233" s="768" t="str">
        <f>IFERROR(__xludf.DUMMYFUNCTION("""COMPUTED_VALUE"""),"Zion Martinez")</f>
        <v>Zion Martinez</v>
      </c>
      <c r="D233" s="768" t="str">
        <f>IFERROR(__xludf.DUMMYFUNCTION("""COMPUTED_VALUE"""),"zionmicahjr24@gmail.com")</f>
        <v>zionmicahjr24@gmail.com</v>
      </c>
      <c r="E233" s="768" t="str">
        <f>IFERROR(__xludf.DUMMYFUNCTION("""COMPUTED_VALUE"""),"5’9/175")</f>
        <v>5’9/175</v>
      </c>
      <c r="F233" s="768" t="str">
        <f>IFERROR(__xludf.DUMMYFUNCTION("""COMPUTED_VALUE"""),"SS,2B,3B")</f>
        <v>SS,2B,3B</v>
      </c>
      <c r="G233" s="768" t="str">
        <f>IFERROR(__xludf.DUMMYFUNCTION("""COMPUTED_VALUE"""),".407 AVG .520 OBP .542 SLG 1.062 OPS /Big VIII All-League")</f>
        <v>.407 AVG .520 OBP .542 SLG 1.062 OPS /Big VIII All-League</v>
      </c>
      <c r="H233" s="768" t="str">
        <f>IFERROR(__xludf.DUMMYFUNCTION("""COMPUTED_VALUE"""),"4.0/4.3")</f>
        <v>4.0/4.3</v>
      </c>
      <c r="I233" s="768" t="str">
        <f>IFERROR(__xludf.DUMMYFUNCTION("""COMPUTED_VALUE"""),"N/A")</f>
        <v>N/A</v>
      </c>
      <c r="J233" s="768" t="str">
        <f>IFERROR(__xludf.DUMMYFUNCTION("""COMPUTED_VALUE"""),"N/A")</f>
        <v>N/A</v>
      </c>
      <c r="K233" s="768" t="str">
        <f>IFERROR(__xludf.DUMMYFUNCTION("""COMPUTED_VALUE"""),"No")</f>
        <v>No</v>
      </c>
      <c r="L233" s="768" t="str">
        <f>IFERROR(__xludf.DUMMYFUNCTION("""COMPUTED_VALUE"""),"No")</f>
        <v>No</v>
      </c>
      <c r="M233" s="768" t="str">
        <f>IFERROR(__xludf.DUMMYFUNCTION("""COMPUTED_VALUE"""),"No")</f>
        <v>No</v>
      </c>
      <c r="N233" s="768">
        <f>IFERROR(__xludf.DUMMYFUNCTION("""COMPUTED_VALUE"""),2027.0)</f>
        <v>2027</v>
      </c>
      <c r="O233" s="768"/>
      <c r="P233" s="768"/>
      <c r="Q233" s="768"/>
      <c r="R233" s="768"/>
      <c r="S233" s="768"/>
      <c r="T233" s="768"/>
      <c r="U233" s="768"/>
      <c r="V233" s="768"/>
      <c r="W233" s="768"/>
      <c r="X233" s="768"/>
      <c r="Y233" s="768"/>
      <c r="Z233" s="768"/>
      <c r="AA233" s="768"/>
    </row>
    <row r="234" ht="30.0" customHeight="1">
      <c r="A234" s="768" t="str">
        <f t="array" ref="A234">XLOOKUP(C234,'High School Players'!D:D,'High School Players'!K:K,"NO",0,1)</f>
        <v>XX</v>
      </c>
      <c r="B234" s="975">
        <f>IFERROR(__xludf.DUMMYFUNCTION("""COMPUTED_VALUE"""),45867.89288068287)</f>
        <v>45867.89288</v>
      </c>
      <c r="C234" s="768" t="str">
        <f>IFERROR(__xludf.DUMMYFUNCTION("""COMPUTED_VALUE"""),"Jack Swanson")</f>
        <v>Jack Swanson</v>
      </c>
      <c r="D234" s="768" t="str">
        <f>IFERROR(__xludf.DUMMYFUNCTION("""COMPUTED_VALUE"""),"jackhunter10689@gmail.com")</f>
        <v>jackhunter10689@gmail.com</v>
      </c>
      <c r="E234" s="768" t="str">
        <f>IFERROR(__xludf.DUMMYFUNCTION("""COMPUTED_VALUE"""),"5’10” 180lbs")</f>
        <v>5’10” 180lbs</v>
      </c>
      <c r="F234" s="768" t="str">
        <f>IFERROR(__xludf.DUMMYFUNCTION("""COMPUTED_VALUE"""),"Utility")</f>
        <v>Utility</v>
      </c>
      <c r="G234" s="768" t="str">
        <f>IFERROR(__xludf.DUMMYFUNCTION("""COMPUTED_VALUE"""),"High School: GP 25 BA .430 RBI 13 OBP .500 H 33R 29 BB 16 SO 6 FPC .924 E 7 TC 92 A 56 PO 29")</f>
        <v>High School: GP 25 BA .430 RBI 13 OBP .500 H 33R 29 BB 16 SO 6 FPC .924 E 7 TC 92 A 56 PO 29</v>
      </c>
      <c r="H234" s="768">
        <f>IFERROR(__xludf.DUMMYFUNCTION("""COMPUTED_VALUE"""),90.0)</f>
        <v>90</v>
      </c>
      <c r="I234" s="768"/>
      <c r="J234" s="768"/>
      <c r="K234" s="768"/>
      <c r="L234" s="768"/>
      <c r="M234" s="768"/>
      <c r="N234" s="768">
        <f>IFERROR(__xludf.DUMMYFUNCTION("""COMPUTED_VALUE"""),2027.0)</f>
        <v>2027</v>
      </c>
      <c r="O234" s="768"/>
      <c r="P234" s="768"/>
      <c r="Q234" s="768"/>
      <c r="R234" s="768"/>
      <c r="S234" s="768"/>
      <c r="T234" s="768"/>
      <c r="U234" s="768"/>
      <c r="V234" s="768"/>
      <c r="W234" s="768"/>
      <c r="X234" s="768"/>
      <c r="Y234" s="768"/>
      <c r="Z234" s="768"/>
      <c r="AA234" s="768"/>
    </row>
    <row r="235" ht="30.0" customHeight="1">
      <c r="A235" s="768" t="str">
        <f t="array" ref="A235">XLOOKUP(C235,'High School Players'!D:D,'High School Players'!K:K,"NO",0,1)</f>
        <v>NO</v>
      </c>
      <c r="B235" s="975">
        <f>IFERROR(__xludf.DUMMYFUNCTION("""COMPUTED_VALUE"""),45867.93153011574)</f>
        <v>45867.93153</v>
      </c>
      <c r="C235" s="768" t="str">
        <f>IFERROR(__xludf.DUMMYFUNCTION("""COMPUTED_VALUE"""),"Stephen Wellens ")</f>
        <v>Stephen Wellens </v>
      </c>
      <c r="D235" s="768" t="str">
        <f>IFERROR(__xludf.DUMMYFUNCTION("""COMPUTED_VALUE"""),"stevie@drwellens.com")</f>
        <v>stevie@drwellens.com</v>
      </c>
      <c r="E235" s="768" t="str">
        <f>IFERROR(__xludf.DUMMYFUNCTION("""COMPUTED_VALUE"""),"5'9""  170lbs")</f>
        <v>5'9"  170lbs</v>
      </c>
      <c r="F235" s="768" t="str">
        <f>IFERROR(__xludf.DUMMYFUNCTION("""COMPUTED_VALUE"""),"Shortstop / Utility ")</f>
        <v>Shortstop / Utility </v>
      </c>
      <c r="G235" s="768" t="str">
        <f>IFERROR(__xludf.DUMMYFUNCTION("""COMPUTED_VALUE"""),"2025 Defensive MVP, 2025 League Champions, 2025 .305 BA, .933 Fielding percentage, 2x Second Team All League, 2025 Prep Baseball Future Games .750 BA, 1.857 OPS, 100 Exit Velo, 6.83 60 yard . School 4x Honor Roll 4.0 GPA , Starting shortstop on Varsity - "&amp;"Freshman and Sophmore Year ")</f>
        <v>2025 Defensive MVP, 2025 League Champions, 2025 .305 BA, .933 Fielding percentage, 2x Second Team All League, 2025 Prep Baseball Future Games .750 BA, 1.857 OPS, 100 Exit Velo, 6.83 60 yard . School 4x Honor Roll 4.0 GPA , Starting shortstop on Varsity - Freshman and Sophmore Year </v>
      </c>
      <c r="H235" s="768">
        <f>IFERROR(__xludf.DUMMYFUNCTION("""COMPUTED_VALUE"""),4.0)</f>
        <v>4</v>
      </c>
      <c r="I235" s="768" t="str">
        <f>IFERROR(__xludf.DUMMYFUNCTION("""COMPUTED_VALUE"""),"NA")</f>
        <v>NA</v>
      </c>
      <c r="J235" s="768" t="str">
        <f>IFERROR(__xludf.DUMMYFUNCTION("""COMPUTED_VALUE"""),"NA")</f>
        <v>NA</v>
      </c>
      <c r="K235" s="768" t="str">
        <f>IFERROR(__xludf.DUMMYFUNCTION("""COMPUTED_VALUE"""),"NA")</f>
        <v>NA</v>
      </c>
      <c r="L235" s="768" t="str">
        <f>IFERROR(__xludf.DUMMYFUNCTION("""COMPUTED_VALUE"""),"NA")</f>
        <v>NA</v>
      </c>
      <c r="M235" s="768" t="str">
        <f>IFERROR(__xludf.DUMMYFUNCTION("""COMPUTED_VALUE"""),"NA")</f>
        <v>NA</v>
      </c>
      <c r="N235" s="768">
        <f>IFERROR(__xludf.DUMMYFUNCTION("""COMPUTED_VALUE"""),2027.0)</f>
        <v>2027</v>
      </c>
      <c r="O235" s="768"/>
      <c r="P235" s="768"/>
      <c r="Q235" s="768"/>
      <c r="R235" s="768"/>
      <c r="S235" s="768"/>
      <c r="T235" s="768"/>
      <c r="U235" s="768"/>
      <c r="V235" s="768"/>
      <c r="W235" s="768"/>
      <c r="X235" s="768"/>
      <c r="Y235" s="768"/>
      <c r="Z235" s="768"/>
      <c r="AA235" s="768"/>
    </row>
    <row r="236" ht="30.0" customHeight="1">
      <c r="A236" s="768" t="str">
        <f t="array" ref="A236">XLOOKUP(C236,'High School Players'!D:D,'High School Players'!K:K,"NO",0,1)</f>
        <v>NO</v>
      </c>
      <c r="B236" s="975">
        <f>IFERROR(__xludf.DUMMYFUNCTION("""COMPUTED_VALUE"""),45867.94410238426)</f>
        <v>45867.9441</v>
      </c>
      <c r="C236" s="768" t="str">
        <f>IFERROR(__xludf.DUMMYFUNCTION("""COMPUTED_VALUE"""),"Jackson Phillips ")</f>
        <v>Jackson Phillips </v>
      </c>
      <c r="D236" s="768" t="str">
        <f>IFERROR(__xludf.DUMMYFUNCTION("""COMPUTED_VALUE"""),"Jacksonrampage22@yahoo.com")</f>
        <v>Jacksonrampage22@yahoo.com</v>
      </c>
      <c r="E236" s="768" t="str">
        <f>IFERROR(__xludf.DUMMYFUNCTION("""COMPUTED_VALUE"""),"6'2"" / 165 lbs")</f>
        <v>6'2" / 165 lbs</v>
      </c>
      <c r="F236" s="768" t="str">
        <f>IFERROR(__xludf.DUMMYFUNCTION("""COMPUTED_VALUE"""),"P / OF")</f>
        <v>P / OF</v>
      </c>
      <c r="G236" s="768" t="str">
        <f>IFERROR(__xludf.DUMMYFUNCTION("""COMPUTED_VALUE"""),"2025 combined team stats- 34IP, 47Ks / PBR Future Games Team Colorado participant, Best in the US NEXT LEVEL ARM TO WATCH Award, PBR #22 overall in Colorado Ranking and #7 right- handed pitcher in Colorado  ")</f>
        <v>2025 combined team stats- 34IP, 47Ks / PBR Future Games Team Colorado participant, Best in the US NEXT LEVEL ARM TO WATCH Award, PBR #22 overall in Colorado Ranking and #7 right- handed pitcher in Colorado  </v>
      </c>
      <c r="H236" s="768" t="str">
        <f>IFERROR(__xludf.DUMMYFUNCTION("""COMPUTED_VALUE"""),"3.9 / NA")</f>
        <v>3.9 / NA</v>
      </c>
      <c r="I236" s="768" t="str">
        <f>IFERROR(__xludf.DUMMYFUNCTION("""COMPUTED_VALUE"""),"N/A")</f>
        <v>N/A</v>
      </c>
      <c r="J236" s="768" t="str">
        <f>IFERROR(__xludf.DUMMYFUNCTION("""COMPUTED_VALUE"""),"Growth plate injury - right shoulder (Fall 2023- fully recovered)")</f>
        <v>Growth plate injury - right shoulder (Fall 2023- fully recovered)</v>
      </c>
      <c r="K236" s="768" t="str">
        <f>IFERROR(__xludf.DUMMYFUNCTION("""COMPUTED_VALUE"""),"N/A")</f>
        <v>N/A</v>
      </c>
      <c r="L236" s="768" t="str">
        <f>IFERROR(__xludf.DUMMYFUNCTION("""COMPUTED_VALUE"""),"N/A")</f>
        <v>N/A</v>
      </c>
      <c r="M236" s="768" t="str">
        <f>IFERROR(__xludf.DUMMYFUNCTION("""COMPUTED_VALUE"""),"N/A")</f>
        <v>N/A</v>
      </c>
      <c r="N236" s="768">
        <f>IFERROR(__xludf.DUMMYFUNCTION("""COMPUTED_VALUE"""),2027.0)</f>
        <v>2027</v>
      </c>
      <c r="O236" s="768"/>
      <c r="P236" s="768"/>
      <c r="Q236" s="768"/>
      <c r="R236" s="768"/>
      <c r="S236" s="768"/>
      <c r="T236" s="768"/>
      <c r="U236" s="768"/>
      <c r="V236" s="768"/>
      <c r="W236" s="768"/>
      <c r="X236" s="768"/>
      <c r="Y236" s="768"/>
      <c r="Z236" s="768"/>
      <c r="AA236" s="768"/>
    </row>
    <row r="237" ht="30.0" customHeight="1">
      <c r="A237" s="768">
        <f t="array" ref="A237">XLOOKUP(C237,'High School Players'!D:D,'High School Players'!K:K,"NO",0,1)</f>
        <v>3</v>
      </c>
      <c r="B237" s="975">
        <f>IFERROR(__xludf.DUMMYFUNCTION("""COMPUTED_VALUE"""),45867.96840658565)</f>
        <v>45867.96841</v>
      </c>
      <c r="C237" s="768" t="str">
        <f>IFERROR(__xludf.DUMMYFUNCTION("""COMPUTED_VALUE"""),"Cody Branham")</f>
        <v>Cody Branham</v>
      </c>
      <c r="D237" s="768" t="str">
        <f>IFERROR(__xludf.DUMMYFUNCTION("""COMPUTED_VALUE"""),"codybranham1426@gmail.com")</f>
        <v>codybranham1426@gmail.com</v>
      </c>
      <c r="E237" s="768" t="str">
        <f>IFERROR(__xludf.DUMMYFUNCTION("""COMPUTED_VALUE"""),"5’10/195")</f>
        <v>5’10/195</v>
      </c>
      <c r="F237" s="768" t="str">
        <f>IFERROR(__xludf.DUMMYFUNCTION("""COMPUTED_VALUE"""),"C, CIF, RHP")</f>
        <v>C, CIF, RHP</v>
      </c>
      <c r="G237" s="768" t="str">
        <f>IFERROR(__xludf.DUMMYFUNCTION("""COMPUTED_VALUE"""),"100 PA 75 AB .360 BA (.424 Region BA) .520 OBP 1.187 OPS .667 SLG 14 1B 7 2B 3 3B 4 HR 17 BB (3 IBB) 8 HBP / 2A All State, 2A All Region ")</f>
        <v>100 PA 75 AB .360 BA (.424 Region BA) .520 OBP 1.187 OPS .667 SLG 14 1B 7 2B 3 3B 4 HR 17 BB (3 IBB) 8 HBP / 2A All State, 2A All Region </v>
      </c>
      <c r="H237" s="768" t="str">
        <f>IFERROR(__xludf.DUMMYFUNCTION("""COMPUTED_VALUE"""),"3.75/4.69")</f>
        <v>3.75/4.69</v>
      </c>
      <c r="I237" s="768" t="str">
        <f>IFERROR(__xludf.DUMMYFUNCTION("""COMPUTED_VALUE"""),"N/A")</f>
        <v>N/A</v>
      </c>
      <c r="J237" s="768" t="str">
        <f>IFERROR(__xludf.DUMMYFUNCTION("""COMPUTED_VALUE"""),"None")</f>
        <v>None</v>
      </c>
      <c r="K237" s="768" t="str">
        <f>IFERROR(__xludf.DUMMYFUNCTION("""COMPUTED_VALUE"""),"None")</f>
        <v>None</v>
      </c>
      <c r="L237" s="768" t="str">
        <f>IFERROR(__xludf.DUMMYFUNCTION("""COMPUTED_VALUE"""),"None")</f>
        <v>None</v>
      </c>
      <c r="M237" s="768" t="str">
        <f>IFERROR(__xludf.DUMMYFUNCTION("""COMPUTED_VALUE"""),"None")</f>
        <v>None</v>
      </c>
      <c r="N237" s="768">
        <f>IFERROR(__xludf.DUMMYFUNCTION("""COMPUTED_VALUE"""),2027.0)</f>
        <v>2027</v>
      </c>
      <c r="O237" s="768"/>
      <c r="P237" s="768"/>
      <c r="Q237" s="768"/>
      <c r="R237" s="768"/>
      <c r="S237" s="768"/>
      <c r="T237" s="768"/>
      <c r="U237" s="768"/>
      <c r="V237" s="768"/>
      <c r="W237" s="768"/>
      <c r="X237" s="768"/>
      <c r="Y237" s="768"/>
      <c r="Z237" s="768"/>
      <c r="AA237" s="768"/>
    </row>
    <row r="238" ht="30.0" customHeight="1">
      <c r="A238" s="768" t="str">
        <f t="array" ref="A238">XLOOKUP(C238,'High School Players'!D:D,'High School Players'!K:K,"NO",0,1)</f>
        <v>XX</v>
      </c>
      <c r="B238" s="975">
        <f>IFERROR(__xludf.DUMMYFUNCTION("""COMPUTED_VALUE"""),45867.99024138889)</f>
        <v>45867.99024</v>
      </c>
      <c r="C238" s="768" t="str">
        <f>IFERROR(__xludf.DUMMYFUNCTION("""COMPUTED_VALUE"""),"Rylan Sutton")</f>
        <v>Rylan Sutton</v>
      </c>
      <c r="D238" s="768" t="str">
        <f>IFERROR(__xludf.DUMMYFUNCTION("""COMPUTED_VALUE"""),"rylansutton2027@gmail.com")</f>
        <v>rylansutton2027@gmail.com</v>
      </c>
      <c r="E238" s="768" t="str">
        <f>IFERROR(__xludf.DUMMYFUNCTION("""COMPUTED_VALUE"""),"6’ 192LBS")</f>
        <v>6’ 192LBS</v>
      </c>
      <c r="F238" s="768" t="str">
        <f>IFERROR(__xludf.DUMMYFUNCTION("""COMPUTED_VALUE"""),"OF, 1B")</f>
        <v>OF, 1B</v>
      </c>
      <c r="G238" s="768" t="str">
        <f>IFERROR(__xludf.DUMMYFUNCTION("""COMPUTED_VALUE"""),"BA-386 OBP-471 SLG-649 OPS-1.120 21H 1B-12 2B-4 3B-3 HR-2 RBI-12 R-18 BB-10 SO-7")</f>
        <v>BA-386 OBP-471 SLG-649 OPS-1.120 21H 1B-12 2B-4 3B-3 HR-2 RBI-12 R-18 BB-10 SO-7</v>
      </c>
      <c r="H238" s="768" t="str">
        <f>IFERROR(__xludf.DUMMYFUNCTION("""COMPUTED_VALUE"""),"Unweighted-3.3 Weighted-3.5 ")</f>
        <v>Unweighted-3.3 Weighted-3.5 </v>
      </c>
      <c r="I238" s="768" t="str">
        <f>IFERROR(__xludf.DUMMYFUNCTION("""COMPUTED_VALUE"""),"Not taken ")</f>
        <v>Not taken </v>
      </c>
      <c r="J238" s="768" t="str">
        <f>IFERROR(__xludf.DUMMYFUNCTION("""COMPUTED_VALUE"""),"Fractured wrist")</f>
        <v>Fractured wrist</v>
      </c>
      <c r="K238" s="768" t="str">
        <f>IFERROR(__xludf.DUMMYFUNCTION("""COMPUTED_VALUE"""),"No")</f>
        <v>No</v>
      </c>
      <c r="L238" s="768" t="str">
        <f>IFERROR(__xludf.DUMMYFUNCTION("""COMPUTED_VALUE"""),"No")</f>
        <v>No</v>
      </c>
      <c r="M238" s="768" t="str">
        <f>IFERROR(__xludf.DUMMYFUNCTION("""COMPUTED_VALUE"""),"No")</f>
        <v>No</v>
      </c>
      <c r="N238" s="768">
        <f>IFERROR(__xludf.DUMMYFUNCTION("""COMPUTED_VALUE"""),2027.0)</f>
        <v>2027</v>
      </c>
      <c r="O238" s="768"/>
      <c r="P238" s="768"/>
      <c r="Q238" s="768"/>
      <c r="R238" s="768"/>
      <c r="S238" s="768"/>
      <c r="T238" s="768"/>
      <c r="U238" s="768"/>
      <c r="V238" s="768"/>
      <c r="W238" s="768"/>
      <c r="X238" s="768"/>
      <c r="Y238" s="768"/>
      <c r="Z238" s="768"/>
      <c r="AA238" s="768"/>
    </row>
    <row r="239" ht="30.0" customHeight="1">
      <c r="A239" s="768" t="str">
        <f t="array" ref="A239">XLOOKUP(C239,'High School Players'!D:D,'High School Players'!K:K,"NO",0,1)</f>
        <v>XX</v>
      </c>
      <c r="B239" s="975">
        <f>IFERROR(__xludf.DUMMYFUNCTION("""COMPUTED_VALUE"""),45868.505733067126)</f>
        <v>45868.50573</v>
      </c>
      <c r="C239" s="768" t="str">
        <f>IFERROR(__xludf.DUMMYFUNCTION("""COMPUTED_VALUE"""),"George Minjack")</f>
        <v>George Minjack</v>
      </c>
      <c r="D239" s="768" t="str">
        <f>IFERROR(__xludf.DUMMYFUNCTION("""COMPUTED_VALUE"""),"gminjcraft@gmail.com")</f>
        <v>gminjcraft@gmail.com</v>
      </c>
      <c r="E239" s="768" t="str">
        <f>IFERROR(__xludf.DUMMYFUNCTION("""COMPUTED_VALUE"""),"6'2""/200")</f>
        <v>6'2"/200</v>
      </c>
      <c r="F239" s="768" t="str">
        <f>IFERROR(__xludf.DUMMYFUNCTION("""COMPUTED_VALUE"""),"3B, MI, LF, RF, Pitcher")</f>
        <v>3B, MI, LF, RF, Pitcher</v>
      </c>
      <c r="G239" s="768" t="str">
        <f>IFERROR(__xludf.DUMMYFUNCTION("""COMPUTED_VALUE"""),"HS:.284 (29-102) .384 OBP/.894 OPS/ 16 1B/7 2B/2 3B/ 4 HR/ 25 RBI/ 22 R // ALL-CONFERENCE. Summer: .436 (34-78) /9 2B/2 3B/1 HR/14 RBI/ WWBA-ALL TOURNAMENT TEAM/ PLAYER OF THE GAME PBR FUTURES GAME.")</f>
        <v>HS:.284 (29-102) .384 OBP/.894 OPS/ 16 1B/7 2B/2 3B/ 4 HR/ 25 RBI/ 22 R // ALL-CONFERENCE. Summer: .436 (34-78) /9 2B/2 3B/1 HR/14 RBI/ WWBA-ALL TOURNAMENT TEAM/ PLAYER OF THE GAME PBR FUTURES GAME.</v>
      </c>
      <c r="H239" s="768">
        <f>IFERROR(__xludf.DUMMYFUNCTION("""COMPUTED_VALUE"""),3.6)</f>
        <v>3.6</v>
      </c>
      <c r="I239" s="768" t="str">
        <f>IFERROR(__xludf.DUMMYFUNCTION("""COMPUTED_VALUE"""),"None taken yet")</f>
        <v>None taken yet</v>
      </c>
      <c r="J239" s="768" t="str">
        <f>IFERROR(__xludf.DUMMYFUNCTION("""COMPUTED_VALUE"""),"None")</f>
        <v>None</v>
      </c>
      <c r="K239" s="768" t="str">
        <f>IFERROR(__xludf.DUMMYFUNCTION("""COMPUTED_VALUE"""),"No")</f>
        <v>No</v>
      </c>
      <c r="L239" s="768" t="str">
        <f>IFERROR(__xludf.DUMMYFUNCTION("""COMPUTED_VALUE"""),"No")</f>
        <v>No</v>
      </c>
      <c r="M239" s="768" t="str">
        <f>IFERROR(__xludf.DUMMYFUNCTION("""COMPUTED_VALUE"""),"No")</f>
        <v>No</v>
      </c>
      <c r="N239" s="768">
        <f>IFERROR(__xludf.DUMMYFUNCTION("""COMPUTED_VALUE"""),2027.0)</f>
        <v>2027</v>
      </c>
      <c r="O239" s="768"/>
      <c r="P239" s="768"/>
      <c r="Q239" s="768"/>
      <c r="R239" s="768"/>
      <c r="S239" s="768"/>
      <c r="T239" s="768"/>
      <c r="U239" s="768"/>
      <c r="V239" s="768"/>
      <c r="W239" s="768"/>
      <c r="X239" s="768"/>
      <c r="Y239" s="768"/>
      <c r="Z239" s="768"/>
      <c r="AA239" s="768"/>
    </row>
    <row r="240" ht="30.0" customHeight="1">
      <c r="A240" s="768" t="str">
        <f t="array" ref="A240">XLOOKUP(C240,'High School Players'!D:D,'High School Players'!K:K,"NO",0,1)</f>
        <v>XX</v>
      </c>
      <c r="B240" s="975">
        <f>IFERROR(__xludf.DUMMYFUNCTION("""COMPUTED_VALUE"""),45868.50943652778)</f>
        <v>45868.50944</v>
      </c>
      <c r="C240" s="768" t="str">
        <f>IFERROR(__xludf.DUMMYFUNCTION("""COMPUTED_VALUE"""),"Peter Nickson")</f>
        <v>Peter Nickson</v>
      </c>
      <c r="D240" s="768" t="str">
        <f>IFERROR(__xludf.DUMMYFUNCTION("""COMPUTED_VALUE"""),"peternicksonkc@gmail.com")</f>
        <v>peternicksonkc@gmail.com</v>
      </c>
      <c r="E240" s="768" t="str">
        <f>IFERROR(__xludf.DUMMYFUNCTION("""COMPUTED_VALUE"""),"6 foot 185 pounds ")</f>
        <v>6 foot 185 pounds </v>
      </c>
      <c r="F240" s="768" t="str">
        <f>IFERROR(__xludf.DUMMYFUNCTION("""COMPUTED_VALUE"""),"Middle infield")</f>
        <v>Middle infield</v>
      </c>
      <c r="G240" s="768" t="str">
        <f>IFERROR(__xludf.DUMMYFUNCTION("""COMPUTED_VALUE"""),"High school: BA: 330, OBP: 450, H:29. Summer stats: Avg: 417, OBP: 551, OPS:1.271, Slg: 720, H: 31, 2B: 9, HR: 4, BB: 20. Batted 2 hole for high school and 2 hole in summer. Can play all infield positions. Future games participant. 6.67-60. 89 inf velo. 1"&amp;"01 EV. Vert 36 in. I compete my tail off in everything. ")</f>
        <v>High school: BA: 330, OBP: 450, H:29. Summer stats: Avg: 417, OBP: 551, OPS:1.271, Slg: 720, H: 31, 2B: 9, HR: 4, BB: 20. Batted 2 hole for high school and 2 hole in summer. Can play all infield positions. Future games participant. 6.67-60. 89 inf velo. 101 EV. Vert 36 in. I compete my tail off in everything. </v>
      </c>
      <c r="H240" s="768">
        <f>IFERROR(__xludf.DUMMYFUNCTION("""COMPUTED_VALUE"""),4.09)</f>
        <v>4.09</v>
      </c>
      <c r="I240" s="768" t="str">
        <f>IFERROR(__xludf.DUMMYFUNCTION("""COMPUTED_VALUE"""),"N/A taking ACT this fall")</f>
        <v>N/A taking ACT this fall</v>
      </c>
      <c r="J240" s="768" t="str">
        <f>IFERROR(__xludf.DUMMYFUNCTION("""COMPUTED_VALUE"""),"Broken thumb, broken hand, sprained ankle.")</f>
        <v>Broken thumb, broken hand, sprained ankle.</v>
      </c>
      <c r="K240" s="768" t="str">
        <f>IFERROR(__xludf.DUMMYFUNCTION("""COMPUTED_VALUE"""),"N/A")</f>
        <v>N/A</v>
      </c>
      <c r="L240" s="768" t="str">
        <f>IFERROR(__xludf.DUMMYFUNCTION("""COMPUTED_VALUE"""),"N/A")</f>
        <v>N/A</v>
      </c>
      <c r="M240" s="768" t="str">
        <f>IFERROR(__xludf.DUMMYFUNCTION("""COMPUTED_VALUE"""),"N/A")</f>
        <v>N/A</v>
      </c>
      <c r="N240" s="768">
        <f>IFERROR(__xludf.DUMMYFUNCTION("""COMPUTED_VALUE"""),2027.0)</f>
        <v>2027</v>
      </c>
      <c r="O240" s="768"/>
      <c r="P240" s="768"/>
      <c r="Q240" s="768"/>
      <c r="R240" s="768"/>
      <c r="S240" s="768"/>
      <c r="T240" s="768"/>
      <c r="U240" s="768"/>
      <c r="V240" s="768"/>
      <c r="W240" s="768"/>
      <c r="X240" s="768"/>
      <c r="Y240" s="768"/>
      <c r="Z240" s="768"/>
      <c r="AA240" s="768"/>
    </row>
    <row r="241" ht="30.0" customHeight="1">
      <c r="A241" s="768" t="str">
        <f t="array" ref="A241">XLOOKUP(C241,'High School Players'!D:D,'High School Players'!K:K,"NO",0,1)</f>
        <v>XX</v>
      </c>
      <c r="B241" s="975">
        <f>IFERROR(__xludf.DUMMYFUNCTION("""COMPUTED_VALUE"""),45868.51728783565)</f>
        <v>45868.51729</v>
      </c>
      <c r="C241" s="768" t="str">
        <f>IFERROR(__xludf.DUMMYFUNCTION("""COMPUTED_VALUE"""),"Hunter Mishock")</f>
        <v>Hunter Mishock</v>
      </c>
      <c r="D241" s="768" t="str">
        <f>IFERROR(__xludf.DUMMYFUNCTION("""COMPUTED_VALUE"""),"huntermishock@gmail.com")</f>
        <v>huntermishock@gmail.com</v>
      </c>
      <c r="E241" s="768" t="str">
        <f>IFERROR(__xludf.DUMMYFUNCTION("""COMPUTED_VALUE"""),"6’1  185")</f>
        <v>6’1  185</v>
      </c>
      <c r="F241" s="768" t="str">
        <f>IFERROR(__xludf.DUMMYFUNCTION("""COMPUTED_VALUE"""),"OF")</f>
        <v>OF</v>
      </c>
      <c r="G241" s="768" t="str">
        <f>IFERROR(__xludf.DUMMYFUNCTION("""COMPUTED_VALUE"""),"HS: AB-63 AVG-333 OPS-823 SB 17")</f>
        <v>HS: AB-63 AVG-333 OPS-823 SB 17</v>
      </c>
      <c r="H241" s="768">
        <f>IFERROR(__xludf.DUMMYFUNCTION("""COMPUTED_VALUE"""),4.55)</f>
        <v>4.55</v>
      </c>
      <c r="I241" s="768" t="str">
        <f>IFERROR(__xludf.DUMMYFUNCTION("""COMPUTED_VALUE"""),"Na")</f>
        <v>Na</v>
      </c>
      <c r="J241" s="768" t="str">
        <f>IFERROR(__xludf.DUMMYFUNCTION("""COMPUTED_VALUE"""),"Na")</f>
        <v>Na</v>
      </c>
      <c r="K241" s="768" t="str">
        <f>IFERROR(__xludf.DUMMYFUNCTION("""COMPUTED_VALUE"""),"No")</f>
        <v>No</v>
      </c>
      <c r="L241" s="768" t="str">
        <f>IFERROR(__xludf.DUMMYFUNCTION("""COMPUTED_VALUE"""),"No")</f>
        <v>No</v>
      </c>
      <c r="M241" s="768" t="str">
        <f>IFERROR(__xludf.DUMMYFUNCTION("""COMPUTED_VALUE"""),"No")</f>
        <v>No</v>
      </c>
      <c r="N241" s="768">
        <f>IFERROR(__xludf.DUMMYFUNCTION("""COMPUTED_VALUE"""),2027.0)</f>
        <v>2027</v>
      </c>
      <c r="O241" s="768"/>
      <c r="P241" s="768"/>
      <c r="Q241" s="768"/>
      <c r="R241" s="768"/>
      <c r="S241" s="768"/>
      <c r="T241" s="768"/>
      <c r="U241" s="768"/>
      <c r="V241" s="768"/>
      <c r="W241" s="768"/>
      <c r="X241" s="768"/>
      <c r="Y241" s="768"/>
      <c r="Z241" s="768"/>
      <c r="AA241" s="768"/>
    </row>
    <row r="242" ht="30.0" customHeight="1">
      <c r="A242" s="768" t="str">
        <f t="array" ref="A242">XLOOKUP(C242,'High School Players'!D:D,'High School Players'!K:K,"NO",0,1)</f>
        <v>XX</v>
      </c>
      <c r="B242" s="975">
        <f>IFERROR(__xludf.DUMMYFUNCTION("""COMPUTED_VALUE"""),45868.52264674769)</f>
        <v>45868.52265</v>
      </c>
      <c r="C242" s="768" t="str">
        <f>IFERROR(__xludf.DUMMYFUNCTION("""COMPUTED_VALUE"""),"Jackson Fournier")</f>
        <v>Jackson Fournier</v>
      </c>
      <c r="D242" s="768" t="str">
        <f>IFERROR(__xludf.DUMMYFUNCTION("""COMPUTED_VALUE"""),"Jackson.fournier48@gmail.com")</f>
        <v>Jackson.fournier48@gmail.com</v>
      </c>
      <c r="E242" s="768" t="str">
        <f>IFERROR(__xludf.DUMMYFUNCTION("""COMPUTED_VALUE"""),"6’2/190lbs")</f>
        <v>6’2/190lbs</v>
      </c>
      <c r="F242" s="768" t="str">
        <f>IFERROR(__xludf.DUMMYFUNCTION("""COMPUTED_VALUE"""),"All OF positions ")</f>
        <v>All OF positions </v>
      </c>
      <c r="G242" s="768" t="str">
        <f>IFERROR(__xludf.DUMMYFUNCTION("""COMPUTED_VALUE"""),"Sophomore season with Saint John’s high school:   82 PA .303 Avg  .427 Obp 20 Hs  5 EBH  14 RBIs  14 Runs  10/10 Sb  Summer season with Evo 17u:  67 PA .373 Avg .522 Obp 19 H 11 EBH (2HR) 18 RB 19 R 16 BB 9/9 SB")</f>
        <v>Sophomore season with Saint John’s high school:   82 PA .303 Avg  .427 Obp 20 Hs  5 EBH  14 RBIs  14 Runs  10/10 Sb  Summer season with Evo 17u:  67 PA .373 Avg .522 Obp 19 H 11 EBH (2HR) 18 RB 19 R 16 BB 9/9 SB</v>
      </c>
      <c r="H242" s="768" t="str">
        <f>IFERROR(__xludf.DUMMYFUNCTION("""COMPUTED_VALUE"""),"3.26 unweighted/ 3.6 weighted ")</f>
        <v>3.26 unweighted/ 3.6 weighted </v>
      </c>
      <c r="I242" s="768" t="str">
        <f>IFERROR(__xludf.DUMMYFUNCTION("""COMPUTED_VALUE"""),"Have not taken them yet")</f>
        <v>Have not taken them yet</v>
      </c>
      <c r="J242" s="768" t="str">
        <f>IFERROR(__xludf.DUMMYFUNCTION("""COMPUTED_VALUE"""),"January 2025/ stress fracture left ankle (didn’t need surgery) ")</f>
        <v>January 2025/ stress fracture left ankle (didn’t need surgery) </v>
      </c>
      <c r="K242" s="768" t="str">
        <f>IFERROR(__xludf.DUMMYFUNCTION("""COMPUTED_VALUE"""),"No")</f>
        <v>No</v>
      </c>
      <c r="L242" s="768" t="str">
        <f>IFERROR(__xludf.DUMMYFUNCTION("""COMPUTED_VALUE"""),"No")</f>
        <v>No</v>
      </c>
      <c r="M242" s="768" t="str">
        <f>IFERROR(__xludf.DUMMYFUNCTION("""COMPUTED_VALUE"""),"No")</f>
        <v>No</v>
      </c>
      <c r="N242" s="768">
        <f>IFERROR(__xludf.DUMMYFUNCTION("""COMPUTED_VALUE"""),2027.0)</f>
        <v>2027</v>
      </c>
      <c r="O242" s="768"/>
      <c r="P242" s="768"/>
      <c r="Q242" s="768"/>
      <c r="R242" s="768"/>
      <c r="S242" s="768"/>
      <c r="T242" s="768"/>
      <c r="U242" s="768"/>
      <c r="V242" s="768"/>
      <c r="W242" s="768"/>
      <c r="X242" s="768"/>
      <c r="Y242" s="768"/>
      <c r="Z242" s="768"/>
      <c r="AA242" s="768"/>
    </row>
    <row r="243" ht="30.0" customHeight="1">
      <c r="A243" s="768">
        <f t="array" ref="A243">XLOOKUP(C243,'High School Players'!D:D,'High School Players'!K:K,"NO",0,1)</f>
        <v>1</v>
      </c>
      <c r="B243" s="975">
        <f>IFERROR(__xludf.DUMMYFUNCTION("""COMPUTED_VALUE"""),45868.54322046296)</f>
        <v>45868.54322</v>
      </c>
      <c r="C243" s="768" t="str">
        <f>IFERROR(__xludf.DUMMYFUNCTION("""COMPUTED_VALUE"""),"Parker Filipek")</f>
        <v>Parker Filipek</v>
      </c>
      <c r="D243" s="768" t="str">
        <f>IFERROR(__xludf.DUMMYFUNCTION("""COMPUTED_VALUE"""),"Parkerfili09@gmail.com")</f>
        <v>Parkerfili09@gmail.com</v>
      </c>
      <c r="E243" s="768" t="str">
        <f>IFERROR(__xludf.DUMMYFUNCTION("""COMPUTED_VALUE"""),"5”10/170")</f>
        <v>5”10/170</v>
      </c>
      <c r="F243" s="768" t="str">
        <f>IFERROR(__xludf.DUMMYFUNCTION("""COMPUTED_VALUE"""),"Catcher/ outfield/ infield")</f>
        <v>Catcher/ outfield/ infield</v>
      </c>
      <c r="G243" s="768" t="str">
        <f>IFERROR(__xludf.DUMMYFUNCTION("""COMPUTED_VALUE"""),"2025 HS stats: PA:108 AB:77 AVG:390 OBP:556 OPS: 1.036 SLG: 481 H:30 RBI:25 R:30 walks/hbp: 30 SO: 7 FPCT: 962")</f>
        <v>2025 HS stats: PA:108 AB:77 AVG:390 OBP:556 OPS: 1.036 SLG: 481 H:30 RBI:25 R:30 walks/hbp: 30 SO: 7 FPCT: 962</v>
      </c>
      <c r="H243" s="768" t="str">
        <f>IFERROR(__xludf.DUMMYFUNCTION("""COMPUTED_VALUE"""),"I don’t have access to my GPA right now through my school but it is around a 4, little higher or a little lower.")</f>
        <v>I don’t have access to my GPA right now through my school but it is around a 4, little higher or a little lower.</v>
      </c>
      <c r="I243" s="768" t="str">
        <f>IFERROR(__xludf.DUMMYFUNCTION("""COMPUTED_VALUE"""),"Haven’t taken them")</f>
        <v>Haven’t taken them</v>
      </c>
      <c r="J243" s="768" t="str">
        <f>IFERROR(__xludf.DUMMYFUNCTION("""COMPUTED_VALUE"""),"Low grade UCL injury. Treated with plasma injection and rest for 5 months.")</f>
        <v>Low grade UCL injury. Treated with plasma injection and rest for 5 months.</v>
      </c>
      <c r="K243" s="768" t="str">
        <f>IFERROR(__xludf.DUMMYFUNCTION("""COMPUTED_VALUE"""),"Penicillin ")</f>
        <v>Penicillin </v>
      </c>
      <c r="L243" s="768" t="str">
        <f>IFERROR(__xludf.DUMMYFUNCTION("""COMPUTED_VALUE"""),"No")</f>
        <v>No</v>
      </c>
      <c r="M243" s="768" t="str">
        <f>IFERROR(__xludf.DUMMYFUNCTION("""COMPUTED_VALUE"""),"No")</f>
        <v>No</v>
      </c>
      <c r="N243" s="768">
        <f>IFERROR(__xludf.DUMMYFUNCTION("""COMPUTED_VALUE"""),2027.0)</f>
        <v>2027</v>
      </c>
      <c r="O243" s="768"/>
      <c r="P243" s="768"/>
      <c r="Q243" s="768"/>
      <c r="R243" s="768"/>
      <c r="S243" s="768"/>
      <c r="T243" s="768"/>
      <c r="U243" s="768"/>
      <c r="V243" s="768"/>
      <c r="W243" s="768"/>
      <c r="X243" s="768"/>
      <c r="Y243" s="768"/>
      <c r="Z243" s="768"/>
      <c r="AA243" s="768"/>
    </row>
    <row r="244" ht="30.0" customHeight="1">
      <c r="A244" s="768">
        <f t="array" ref="A244">XLOOKUP(C244,'High School Players'!D:D,'High School Players'!K:K,"NO",0,1)</f>
        <v>2</v>
      </c>
      <c r="B244" s="975">
        <f>IFERROR(__xludf.DUMMYFUNCTION("""COMPUTED_VALUE"""),45868.544698564816)</f>
        <v>45868.5447</v>
      </c>
      <c r="C244" s="768" t="str">
        <f>IFERROR(__xludf.DUMMYFUNCTION("""COMPUTED_VALUE"""),"Nolan Plourde")</f>
        <v>Nolan Plourde</v>
      </c>
      <c r="D244" s="768" t="str">
        <f>IFERROR(__xludf.DUMMYFUNCTION("""COMPUTED_VALUE"""),"nolanplourde@gmail.com")</f>
        <v>nolanplourde@gmail.com</v>
      </c>
      <c r="E244" s="768" t="str">
        <f>IFERROR(__xludf.DUMMYFUNCTION("""COMPUTED_VALUE"""),"6’2/190")</f>
        <v>6’2/190</v>
      </c>
      <c r="F244" s="768" t="str">
        <f>IFERROR(__xludf.DUMMYFUNCTION("""COMPUTED_VALUE"""),"RHP")</f>
        <v>RHP</v>
      </c>
      <c r="G244" s="768"/>
      <c r="H244" s="768" t="str">
        <f>IFERROR(__xludf.DUMMYFUNCTION("""COMPUTED_VALUE"""),"3.8/4.118")</f>
        <v>3.8/4.118</v>
      </c>
      <c r="I244" s="768" t="str">
        <f>IFERROR(__xludf.DUMMYFUNCTION("""COMPUTED_VALUE"""),"na")</f>
        <v>na</v>
      </c>
      <c r="J244" s="768" t="str">
        <f>IFERROR(__xludf.DUMMYFUNCTION("""COMPUTED_VALUE"""),"non throwing shoulder-labrum repair")</f>
        <v>non throwing shoulder-labrum repair</v>
      </c>
      <c r="K244" s="768" t="str">
        <f>IFERROR(__xludf.DUMMYFUNCTION("""COMPUTED_VALUE"""),"no")</f>
        <v>no</v>
      </c>
      <c r="L244" s="768" t="str">
        <f>IFERROR(__xludf.DUMMYFUNCTION("""COMPUTED_VALUE"""),"no")</f>
        <v>no</v>
      </c>
      <c r="M244" s="768" t="str">
        <f>IFERROR(__xludf.DUMMYFUNCTION("""COMPUTED_VALUE"""),"no")</f>
        <v>no</v>
      </c>
      <c r="N244" s="768">
        <f>IFERROR(__xludf.DUMMYFUNCTION("""COMPUTED_VALUE"""),2026.0)</f>
        <v>2026</v>
      </c>
      <c r="O244" s="768"/>
      <c r="P244" s="768"/>
      <c r="Q244" s="768"/>
      <c r="R244" s="768"/>
      <c r="S244" s="768"/>
      <c r="T244" s="768"/>
      <c r="U244" s="768"/>
      <c r="V244" s="768"/>
      <c r="W244" s="768"/>
      <c r="X244" s="768"/>
      <c r="Y244" s="768"/>
      <c r="Z244" s="768"/>
      <c r="AA244" s="768"/>
    </row>
    <row r="245" ht="30.0" customHeight="1">
      <c r="A245" s="768" t="str">
        <f t="array" ref="A245">XLOOKUP(C245,'High School Players'!D:D,'High School Players'!K:K,"NO",0,1)</f>
        <v>XX</v>
      </c>
      <c r="B245" s="975">
        <f>IFERROR(__xludf.DUMMYFUNCTION("""COMPUTED_VALUE"""),45868.54774140046)</f>
        <v>45868.54774</v>
      </c>
      <c r="C245" s="768" t="str">
        <f>IFERROR(__xludf.DUMMYFUNCTION("""COMPUTED_VALUE"""),"Bode Schenewerk")</f>
        <v>Bode Schenewerk</v>
      </c>
      <c r="D245" s="768" t="str">
        <f>IFERROR(__xludf.DUMMYFUNCTION("""COMPUTED_VALUE"""),"Bode0703@icloud.com")</f>
        <v>Bode0703@icloud.com</v>
      </c>
      <c r="E245" s="768" t="str">
        <f>IFERROR(__xludf.DUMMYFUNCTION("""COMPUTED_VALUE"""),"5’11")</f>
        <v>5’11</v>
      </c>
      <c r="F245" s="768" t="str">
        <f>IFERROR(__xludf.DUMMYFUNCTION("""COMPUTED_VALUE"""),"Middle infield and pitcher")</f>
        <v>Middle infield and pitcher</v>
      </c>
      <c r="G245" s="768" t="str">
        <f>IFERROR(__xludf.DUMMYFUNCTION("""COMPUTED_VALUE"""),"Hs season average .330/summer average .356")</f>
        <v>Hs season average .330/summer average .356</v>
      </c>
      <c r="H245" s="768" t="str">
        <f>IFERROR(__xludf.DUMMYFUNCTION("""COMPUTED_VALUE"""),"Weighted gpa 3.560/unweighted gpa 3.548")</f>
        <v>Weighted gpa 3.560/unweighted gpa 3.548</v>
      </c>
      <c r="I245" s="768" t="str">
        <f>IFERROR(__xludf.DUMMYFUNCTION("""COMPUTED_VALUE"""),"None")</f>
        <v>None</v>
      </c>
      <c r="J245" s="768" t="str">
        <f>IFERROR(__xludf.DUMMYFUNCTION("""COMPUTED_VALUE"""),"None")</f>
        <v>None</v>
      </c>
      <c r="K245" s="768" t="str">
        <f>IFERROR(__xludf.DUMMYFUNCTION("""COMPUTED_VALUE"""),"None")</f>
        <v>None</v>
      </c>
      <c r="L245" s="768" t="str">
        <f>IFERROR(__xludf.DUMMYFUNCTION("""COMPUTED_VALUE"""),"None")</f>
        <v>None</v>
      </c>
      <c r="M245" s="768" t="str">
        <f>IFERROR(__xludf.DUMMYFUNCTION("""COMPUTED_VALUE"""),"No")</f>
        <v>No</v>
      </c>
      <c r="N245" s="768">
        <f>IFERROR(__xludf.DUMMYFUNCTION("""COMPUTED_VALUE"""),2027.0)</f>
        <v>2027</v>
      </c>
      <c r="O245" s="768"/>
      <c r="P245" s="768"/>
      <c r="Q245" s="768"/>
      <c r="R245" s="768"/>
      <c r="S245" s="768"/>
      <c r="T245" s="768"/>
      <c r="U245" s="768"/>
      <c r="V245" s="768"/>
      <c r="W245" s="768"/>
      <c r="X245" s="768"/>
      <c r="Y245" s="768"/>
      <c r="Z245" s="768"/>
      <c r="AA245" s="768"/>
    </row>
    <row r="246" ht="30.0" customHeight="1">
      <c r="A246" s="768" t="str">
        <f t="array" ref="A246">XLOOKUP(C246,'High School Players'!D:D,'High School Players'!K:K,"NO",0,1)</f>
        <v>NO</v>
      </c>
      <c r="B246" s="975">
        <f>IFERROR(__xludf.DUMMYFUNCTION("""COMPUTED_VALUE"""),45868.5524365625)</f>
        <v>45868.55244</v>
      </c>
      <c r="C246" s="768" t="str">
        <f>IFERROR(__xludf.DUMMYFUNCTION("""COMPUTED_VALUE"""),"Ike Crouser ")</f>
        <v>Ike Crouser </v>
      </c>
      <c r="D246" s="768" t="str">
        <f>IFERROR(__xludf.DUMMYFUNCTION("""COMPUTED_VALUE"""),"ikecrouser@icloud.com")</f>
        <v>ikecrouser@icloud.com</v>
      </c>
      <c r="E246" s="768" t="str">
        <f>IFERROR(__xludf.DUMMYFUNCTION("""COMPUTED_VALUE"""),"6’1”/ 185")</f>
        <v>6’1”/ 185</v>
      </c>
      <c r="F246" s="768" t="str">
        <f>IFERROR(__xludf.DUMMYFUNCTION("""COMPUTED_VALUE"""),"RHP/C")</f>
        <v>RHP/C</v>
      </c>
      <c r="G246" s="768" t="str">
        <f>IFERROR(__xludf.DUMMYFUNCTION("""COMPUTED_VALUE"""),"Varsity high school: IP- 30.1 ERA- 4.84 SO- 24 BAA- .260")</f>
        <v>Varsity high school: IP- 30.1 ERA- 4.84 SO- 24 BAA- .260</v>
      </c>
      <c r="H246" s="768" t="str">
        <f>IFERROR(__xludf.DUMMYFUNCTION("""COMPUTED_VALUE"""),"Weighted 3.97")</f>
        <v>Weighted 3.97</v>
      </c>
      <c r="I246" s="768" t="str">
        <f>IFERROR(__xludf.DUMMYFUNCTION("""COMPUTED_VALUE"""),"I have not taken either yet")</f>
        <v>I have not taken either yet</v>
      </c>
      <c r="J246" s="768" t="str">
        <f>IFERROR(__xludf.DUMMYFUNCTION("""COMPUTED_VALUE"""),"Sprained left thumb (spring 2025)")</f>
        <v>Sprained left thumb (spring 2025)</v>
      </c>
      <c r="K246" s="768" t="str">
        <f>IFERROR(__xludf.DUMMYFUNCTION("""COMPUTED_VALUE"""),"Pistachios, hazelnuts")</f>
        <v>Pistachios, hazelnuts</v>
      </c>
      <c r="L246" s="768" t="str">
        <f>IFERROR(__xludf.DUMMYFUNCTION("""COMPUTED_VALUE"""),"No")</f>
        <v>No</v>
      </c>
      <c r="M246" s="768" t="str">
        <f>IFERROR(__xludf.DUMMYFUNCTION("""COMPUTED_VALUE"""),"No")</f>
        <v>No</v>
      </c>
      <c r="N246" s="768">
        <f>IFERROR(__xludf.DUMMYFUNCTION("""COMPUTED_VALUE"""),2027.0)</f>
        <v>2027</v>
      </c>
      <c r="O246" s="768"/>
      <c r="P246" s="768"/>
      <c r="Q246" s="768"/>
      <c r="R246" s="768"/>
      <c r="S246" s="768"/>
      <c r="T246" s="768"/>
      <c r="U246" s="768"/>
      <c r="V246" s="768"/>
      <c r="W246" s="768"/>
      <c r="X246" s="768"/>
      <c r="Y246" s="768"/>
      <c r="Z246" s="768"/>
      <c r="AA246" s="768"/>
    </row>
    <row r="247" ht="30.0" customHeight="1">
      <c r="A247" s="768" t="str">
        <f t="array" ref="A247">XLOOKUP(C247,'High School Players'!D:D,'High School Players'!K:K,"NO",0,1)</f>
        <v>XX</v>
      </c>
      <c r="B247" s="975">
        <f>IFERROR(__xludf.DUMMYFUNCTION("""COMPUTED_VALUE"""),45868.6382366551)</f>
        <v>45868.63824</v>
      </c>
      <c r="C247" s="768" t="str">
        <f>IFERROR(__xludf.DUMMYFUNCTION("""COMPUTED_VALUE"""),"Grady Openden")</f>
        <v>Grady Openden</v>
      </c>
      <c r="D247" s="768" t="str">
        <f>IFERROR(__xludf.DUMMYFUNCTION("""COMPUTED_VALUE"""),"gropenden@icloud.com")</f>
        <v>gropenden@icloud.com</v>
      </c>
      <c r="E247" s="768" t="str">
        <f>IFERROR(__xludf.DUMMYFUNCTION("""COMPUTED_VALUE"""),"6’0 157")</f>
        <v>6’0 157</v>
      </c>
      <c r="F247" s="768" t="str">
        <f>IFERROR(__xludf.DUMMYFUNCTION("""COMPUTED_VALUE"""),"RHP")</f>
        <v>RHP</v>
      </c>
      <c r="G247" s="768" t="str">
        <f>IFERROR(__xludf.DUMMYFUNCTION("""COMPUTED_VALUE"""),"HS: 21 IP, 21 K, 9 BB, 4.6 ERA, .315 BAA. Summer: 24.1 IP, 21 K, 5 BB")</f>
        <v>HS: 21 IP, 21 K, 9 BB, 4.6 ERA, .315 BAA. Summer: 24.1 IP, 21 K, 5 BB</v>
      </c>
      <c r="H247" s="768" t="str">
        <f>IFERROR(__xludf.DUMMYFUNCTION("""COMPUTED_VALUE"""),"3.6 UW, 3.6 W")</f>
        <v>3.6 UW, 3.6 W</v>
      </c>
      <c r="I247" s="768" t="str">
        <f>IFERROR(__xludf.DUMMYFUNCTION("""COMPUTED_VALUE"""),"N/A")</f>
        <v>N/A</v>
      </c>
      <c r="J247" s="768" t="str">
        <f>IFERROR(__xludf.DUMMYFUNCTION("""COMPUTED_VALUE"""),"N/A")</f>
        <v>N/A</v>
      </c>
      <c r="K247" s="768" t="str">
        <f>IFERROR(__xludf.DUMMYFUNCTION("""COMPUTED_VALUE"""),"No")</f>
        <v>No</v>
      </c>
      <c r="L247" s="768" t="str">
        <f>IFERROR(__xludf.DUMMYFUNCTION("""COMPUTED_VALUE"""),"No")</f>
        <v>No</v>
      </c>
      <c r="M247" s="768" t="str">
        <f>IFERROR(__xludf.DUMMYFUNCTION("""COMPUTED_VALUE"""),"No")</f>
        <v>No</v>
      </c>
      <c r="N247" s="768">
        <f>IFERROR(__xludf.DUMMYFUNCTION("""COMPUTED_VALUE"""),2027.0)</f>
        <v>2027</v>
      </c>
      <c r="O247" s="768"/>
      <c r="P247" s="768"/>
      <c r="Q247" s="768"/>
      <c r="R247" s="768"/>
      <c r="S247" s="768"/>
      <c r="T247" s="768"/>
      <c r="U247" s="768"/>
      <c r="V247" s="768"/>
      <c r="W247" s="768"/>
      <c r="X247" s="768"/>
      <c r="Y247" s="768"/>
      <c r="Z247" s="768"/>
      <c r="AA247" s="768"/>
    </row>
    <row r="248" ht="30.0" customHeight="1">
      <c r="A248" s="768" t="str">
        <f t="array" ref="A248">XLOOKUP(C248,'High School Players'!D:D,'High School Players'!K:K,"NO",0,1)</f>
        <v>NO</v>
      </c>
      <c r="B248" s="975">
        <f>IFERROR(__xludf.DUMMYFUNCTION("""COMPUTED_VALUE"""),45868.638917812495)</f>
        <v>45868.63892</v>
      </c>
      <c r="C248" s="768" t="str">
        <f>IFERROR(__xludf.DUMMYFUNCTION("""COMPUTED_VALUE"""),"Patrick Bryan ")</f>
        <v>Patrick Bryan </v>
      </c>
      <c r="D248" s="768" t="str">
        <f>IFERROR(__xludf.DUMMYFUNCTION("""COMPUTED_VALUE"""),"patrickrbryan927@gmail.com")</f>
        <v>patrickrbryan927@gmail.com</v>
      </c>
      <c r="E248" s="768" t="str">
        <f>IFERROR(__xludf.DUMMYFUNCTION("""COMPUTED_VALUE"""),"6 feet 190 lbs ")</f>
        <v>6 feet 190 lbs </v>
      </c>
      <c r="F248" s="768" t="str">
        <f>IFERROR(__xludf.DUMMYFUNCTION("""COMPUTED_VALUE"""),"Catcher, 3B, and RHP ")</f>
        <v>Catcher, 3B, and RHP </v>
      </c>
      <c r="G248" s="768" t="str">
        <f>IFERROR(__xludf.DUMMYFUNCTION("""COMPUTED_VALUE"""),"Dexter Southfield - BA .353 OBP .477 OPS 1.026 Hits 18 doubles 7 HR 1 RBI 12 BB 11 SB 5 | summer ball - don’t have stats")</f>
        <v>Dexter Southfield - BA .353 OBP .477 OPS 1.026 Hits 18 doubles 7 HR 1 RBI 12 BB 11 SB 5 | summer ball - don’t have stats</v>
      </c>
      <c r="H248" s="768" t="str">
        <f>IFERROR(__xludf.DUMMYFUNCTION("""COMPUTED_VALUE"""),"3.32/3.46 ")</f>
        <v>3.32/3.46 </v>
      </c>
      <c r="I248" s="768" t="str">
        <f>IFERROR(__xludf.DUMMYFUNCTION("""COMPUTED_VALUE"""),"Not taken ")</f>
        <v>Not taken </v>
      </c>
      <c r="J248" s="768" t="str">
        <f>IFERROR(__xludf.DUMMYFUNCTION("""COMPUTED_VALUE"""),"Surgery on thumb September 2024( foul tip off my hand while catching) ")</f>
        <v>Surgery on thumb September 2024( foul tip off my hand while catching) </v>
      </c>
      <c r="K248" s="768" t="str">
        <f>IFERROR(__xludf.DUMMYFUNCTION("""COMPUTED_VALUE"""),"No ")</f>
        <v>No </v>
      </c>
      <c r="L248" s="768" t="str">
        <f>IFERROR(__xludf.DUMMYFUNCTION("""COMPUTED_VALUE"""),"No ")</f>
        <v>No </v>
      </c>
      <c r="M248" s="768" t="str">
        <f>IFERROR(__xludf.DUMMYFUNCTION("""COMPUTED_VALUE"""),"No ")</f>
        <v>No </v>
      </c>
      <c r="N248" s="768">
        <f>IFERROR(__xludf.DUMMYFUNCTION("""COMPUTED_VALUE"""),2027.0)</f>
        <v>2027</v>
      </c>
      <c r="O248" s="768"/>
      <c r="P248" s="768"/>
      <c r="Q248" s="768"/>
      <c r="R248" s="768"/>
      <c r="S248" s="768"/>
      <c r="T248" s="768"/>
      <c r="U248" s="768"/>
      <c r="V248" s="768"/>
      <c r="W248" s="768"/>
      <c r="X248" s="768"/>
      <c r="Y248" s="768"/>
      <c r="Z248" s="768"/>
      <c r="AA248" s="768"/>
    </row>
    <row r="249" ht="30.0" customHeight="1">
      <c r="A249" s="768" t="str">
        <f t="array" ref="A249">XLOOKUP(C249,'High School Players'!D:D,'High School Players'!K:K,"NO",0,1)</f>
        <v>XX</v>
      </c>
      <c r="B249" s="975">
        <f>IFERROR(__xludf.DUMMYFUNCTION("""COMPUTED_VALUE"""),45868.69747428241)</f>
        <v>45868.69747</v>
      </c>
      <c r="C249" s="768" t="str">
        <f>IFERROR(__xludf.DUMMYFUNCTION("""COMPUTED_VALUE"""),"Grant Stafford")</f>
        <v>Grant Stafford</v>
      </c>
      <c r="D249" s="768" t="str">
        <f>IFERROR(__xludf.DUMMYFUNCTION("""COMPUTED_VALUE"""),"grantstafford07@icloud.com")</f>
        <v>grantstafford07@icloud.com</v>
      </c>
      <c r="E249" s="768" t="str">
        <f>IFERROR(__xludf.DUMMYFUNCTION("""COMPUTED_VALUE"""),"5,11ft 176lbs")</f>
        <v>5,11ft 176lbs</v>
      </c>
      <c r="F249" s="768" t="str">
        <f>IFERROR(__xludf.DUMMYFUNCTION("""COMPUTED_VALUE"""),"Middle infield ")</f>
        <v>Middle infield </v>
      </c>
      <c r="G249" s="768"/>
      <c r="H249" s="768"/>
      <c r="I249" s="768"/>
      <c r="J249" s="768"/>
      <c r="K249" s="768"/>
      <c r="L249" s="768"/>
      <c r="M249" s="768" t="str">
        <f>IFERROR(__xludf.DUMMYFUNCTION("""COMPUTED_VALUE"""),"Yes dyslexia ")</f>
        <v>Yes dyslexia </v>
      </c>
      <c r="N249" s="768" t="str">
        <f>IFERROR(__xludf.DUMMYFUNCTION("""COMPUTED_VALUE"""),"11th")</f>
        <v>11th</v>
      </c>
      <c r="O249" s="768"/>
      <c r="P249" s="768"/>
      <c r="Q249" s="768"/>
      <c r="R249" s="768"/>
      <c r="S249" s="768"/>
      <c r="T249" s="768"/>
      <c r="U249" s="768"/>
      <c r="V249" s="768"/>
      <c r="W249" s="768"/>
      <c r="X249" s="768"/>
      <c r="Y249" s="768"/>
      <c r="Z249" s="768"/>
      <c r="AA249" s="768"/>
    </row>
    <row r="250" ht="30.0" customHeight="1">
      <c r="A250" s="768">
        <f t="array" ref="A250">XLOOKUP(C250,'High School Players'!D:D,'High School Players'!K:K,"NO",0,1)</f>
        <v>2</v>
      </c>
      <c r="B250" s="975">
        <f>IFERROR(__xludf.DUMMYFUNCTION("""COMPUTED_VALUE"""),45868.79892082176)</f>
        <v>45868.79892</v>
      </c>
      <c r="C250" s="768" t="str">
        <f>IFERROR(__xludf.DUMMYFUNCTION("""COMPUTED_VALUE"""),"Carson Glose")</f>
        <v>Carson Glose</v>
      </c>
      <c r="D250" s="768" t="str">
        <f>IFERROR(__xludf.DUMMYFUNCTION("""COMPUTED_VALUE"""),"cglose@outlook.com")</f>
        <v>cglose@outlook.com</v>
      </c>
      <c r="E250" s="768" t="str">
        <f>IFERROR(__xludf.DUMMYFUNCTION("""COMPUTED_VALUE"""),"6’2 210lbs")</f>
        <v>6’2 210lbs</v>
      </c>
      <c r="F250" s="768" t="str">
        <f>IFERROR(__xludf.DUMMYFUNCTION("""COMPUTED_VALUE"""),"3B/RHP/1B")</f>
        <v>3B/RHP/1B</v>
      </c>
      <c r="G250" s="768" t="str">
        <f>IFERROR(__xludf.DUMMYFUNCTION("""COMPUTED_VALUE"""),".400 AVG, .506 OBP, 1.136 OPS, 29 Hits, 4 2B, 2 3B, 3 HR, 19 RBI, 15 BB, 7 SB")</f>
        <v>.400 AVG, .506 OBP, 1.136 OPS, 29 Hits, 4 2B, 2 3B, 3 HR, 19 RBI, 15 BB, 7 SB</v>
      </c>
      <c r="H250" s="768" t="str">
        <f>IFERROR(__xludf.DUMMYFUNCTION("""COMPUTED_VALUE"""),"4.0/4.91")</f>
        <v>4.0/4.91</v>
      </c>
      <c r="I250" s="768" t="str">
        <f>IFERROR(__xludf.DUMMYFUNCTION("""COMPUTED_VALUE"""),"N/A")</f>
        <v>N/A</v>
      </c>
      <c r="J250" s="768" t="str">
        <f>IFERROR(__xludf.DUMMYFUNCTION("""COMPUTED_VALUE"""),"N/A")</f>
        <v>N/A</v>
      </c>
      <c r="K250" s="768" t="str">
        <f>IFERROR(__xludf.DUMMYFUNCTION("""COMPUTED_VALUE"""),"Penicillin ")</f>
        <v>Penicillin </v>
      </c>
      <c r="L250" s="768" t="str">
        <f>IFERROR(__xludf.DUMMYFUNCTION("""COMPUTED_VALUE"""),"No")</f>
        <v>No</v>
      </c>
      <c r="M250" s="768" t="str">
        <f>IFERROR(__xludf.DUMMYFUNCTION("""COMPUTED_VALUE"""),"No")</f>
        <v>No</v>
      </c>
      <c r="N250" s="768">
        <f>IFERROR(__xludf.DUMMYFUNCTION("""COMPUTED_VALUE"""),2027.0)</f>
        <v>2027</v>
      </c>
      <c r="O250" s="768"/>
      <c r="P250" s="768"/>
      <c r="Q250" s="768"/>
      <c r="R250" s="768"/>
      <c r="S250" s="768"/>
      <c r="T250" s="768"/>
      <c r="U250" s="768"/>
      <c r="V250" s="768"/>
      <c r="W250" s="768"/>
      <c r="X250" s="768"/>
      <c r="Y250" s="768"/>
      <c r="Z250" s="768"/>
      <c r="AA250" s="768"/>
    </row>
    <row r="251" ht="30.0" customHeight="1">
      <c r="A251" s="768" t="str">
        <f t="array" ref="A251">XLOOKUP(C251,'High School Players'!D:D,'High School Players'!K:K,"NO",0,1)</f>
        <v>XX</v>
      </c>
      <c r="B251" s="975">
        <f>IFERROR(__xludf.DUMMYFUNCTION("""COMPUTED_VALUE"""),45869.66781337963)</f>
        <v>45869.66781</v>
      </c>
      <c r="C251" s="768" t="str">
        <f>IFERROR(__xludf.DUMMYFUNCTION("""COMPUTED_VALUE"""),"Ryker Mahnke")</f>
        <v>Ryker Mahnke</v>
      </c>
      <c r="D251" s="768" t="str">
        <f>IFERROR(__xludf.DUMMYFUNCTION("""COMPUTED_VALUE"""),"mahnkehouse@gmail.com")</f>
        <v>mahnkehouse@gmail.com</v>
      </c>
      <c r="E251" s="768" t="str">
        <f>IFERROR(__xludf.DUMMYFUNCTION("""COMPUTED_VALUE"""),"5,9 / 160")</f>
        <v>5,9 / 160</v>
      </c>
      <c r="F251" s="768" t="str">
        <f>IFERROR(__xludf.DUMMYFUNCTION("""COMPUTED_VALUE"""),"RF-CF-LF")</f>
        <v>RF-CF-LF</v>
      </c>
      <c r="G251" s="768" t="str">
        <f>IFERROR(__xludf.DUMMYFUNCTION("""COMPUTED_VALUE"""),".426 AVG .508 OBP 1.063 OPS .554 SLG 43 H 21 RBI 42 R 13 BB 4 SO     1st team all conference - 1st team all state - 6A state champion")</f>
        <v>.426 AVG .508 OBP 1.063 OPS .554 SLG 43 H 21 RBI 42 R 13 BB 4 SO     1st team all conference - 1st team all state - 6A state champion</v>
      </c>
      <c r="H251" s="768">
        <f>IFERROR(__xludf.DUMMYFUNCTION("""COMPUTED_VALUE"""),3.8)</f>
        <v>3.8</v>
      </c>
      <c r="I251" s="768" t="str">
        <f>IFERROR(__xludf.DUMMYFUNCTION("""COMPUTED_VALUE"""),"NA")</f>
        <v>NA</v>
      </c>
      <c r="J251" s="768" t="str">
        <f>IFERROR(__xludf.DUMMYFUNCTION("""COMPUTED_VALUE"""),"None ")</f>
        <v>None </v>
      </c>
      <c r="K251" s="768" t="str">
        <f>IFERROR(__xludf.DUMMYFUNCTION("""COMPUTED_VALUE"""),"None ")</f>
        <v>None </v>
      </c>
      <c r="L251" s="768" t="str">
        <f>IFERROR(__xludf.DUMMYFUNCTION("""COMPUTED_VALUE"""),"None")</f>
        <v>None</v>
      </c>
      <c r="M251" s="768" t="str">
        <f>IFERROR(__xludf.DUMMYFUNCTION("""COMPUTED_VALUE"""),"No")</f>
        <v>No</v>
      </c>
      <c r="N251" s="768">
        <f>IFERROR(__xludf.DUMMYFUNCTION("""COMPUTED_VALUE"""),2027.0)</f>
        <v>2027</v>
      </c>
      <c r="O251" s="768"/>
      <c r="P251" s="768"/>
      <c r="Q251" s="768"/>
      <c r="R251" s="768"/>
      <c r="S251" s="768"/>
      <c r="T251" s="768"/>
      <c r="U251" s="768"/>
      <c r="V251" s="768"/>
      <c r="W251" s="768"/>
      <c r="X251" s="768"/>
      <c r="Y251" s="768"/>
      <c r="Z251" s="768"/>
      <c r="AA251" s="768"/>
    </row>
    <row r="252" ht="30.0" customHeight="1">
      <c r="A252" s="768" t="str">
        <f t="array" ref="A252">XLOOKUP(C252,'High School Players'!D:D,'High School Players'!K:K,"NO",0,1)</f>
        <v>XX</v>
      </c>
      <c r="B252" s="975">
        <f>IFERROR(__xludf.DUMMYFUNCTION("""COMPUTED_VALUE"""),45869.69877834491)</f>
        <v>45869.69878</v>
      </c>
      <c r="C252" s="768" t="str">
        <f>IFERROR(__xludf.DUMMYFUNCTION("""COMPUTED_VALUE"""),"Gavin Wainwright")</f>
        <v>Gavin Wainwright</v>
      </c>
      <c r="D252" s="768" t="str">
        <f>IFERROR(__xludf.DUMMYFUNCTION("""COMPUTED_VALUE"""),"gavinwainwright73@gmail.com")</f>
        <v>gavinwainwright73@gmail.com</v>
      </c>
      <c r="E252" s="768" t="str">
        <f>IFERROR(__xludf.DUMMYFUNCTION("""COMPUTED_VALUE"""),"6’0 / 185")</f>
        <v>6’0 / 185</v>
      </c>
      <c r="F252" s="768" t="str">
        <f>IFERROR(__xludf.DUMMYFUNCTION("""COMPUTED_VALUE"""),"SS/3B/RHP")</f>
        <v>SS/3B/RHP</v>
      </c>
      <c r="G252" s="768" t="str">
        <f>IFERROR(__xludf.DUMMYFUNCTION("""COMPUTED_VALUE"""),"ISL MVP / Stats: NA ")</f>
        <v>ISL MVP / Stats: NA </v>
      </c>
      <c r="H252" s="768">
        <f>IFERROR(__xludf.DUMMYFUNCTION("""COMPUTED_VALUE"""),3.7)</f>
        <v>3.7</v>
      </c>
      <c r="I252" s="768" t="str">
        <f>IFERROR(__xludf.DUMMYFUNCTION("""COMPUTED_VALUE"""),"NA")</f>
        <v>NA</v>
      </c>
      <c r="J252" s="768" t="str">
        <f>IFERROR(__xludf.DUMMYFUNCTION("""COMPUTED_VALUE"""),"None")</f>
        <v>None</v>
      </c>
      <c r="K252" s="768" t="str">
        <f>IFERROR(__xludf.DUMMYFUNCTION("""COMPUTED_VALUE"""),"Amoxicillin ")</f>
        <v>Amoxicillin </v>
      </c>
      <c r="L252" s="768" t="str">
        <f>IFERROR(__xludf.DUMMYFUNCTION("""COMPUTED_VALUE"""),"None")</f>
        <v>None</v>
      </c>
      <c r="M252" s="768" t="str">
        <f>IFERROR(__xludf.DUMMYFUNCTION("""COMPUTED_VALUE"""),"None")</f>
        <v>None</v>
      </c>
      <c r="N252" s="768">
        <f>IFERROR(__xludf.DUMMYFUNCTION("""COMPUTED_VALUE"""),2027.0)</f>
        <v>2027</v>
      </c>
      <c r="O252" s="768"/>
      <c r="P252" s="768"/>
      <c r="Q252" s="768"/>
      <c r="R252" s="768"/>
      <c r="S252" s="768"/>
      <c r="T252" s="768"/>
      <c r="U252" s="768"/>
      <c r="V252" s="768"/>
      <c r="W252" s="768"/>
      <c r="X252" s="768"/>
      <c r="Y252" s="768"/>
      <c r="Z252" s="768"/>
      <c r="AA252" s="768"/>
    </row>
    <row r="253" ht="30.0" customHeight="1">
      <c r="A253" s="768" t="str">
        <f t="array" ref="A253">XLOOKUP(C253,'High School Players'!D:D,'High School Players'!K:K,"NO",0,1)</f>
        <v>XX</v>
      </c>
      <c r="B253" s="975">
        <f>IFERROR(__xludf.DUMMYFUNCTION("""COMPUTED_VALUE"""),45869.74324599537)</f>
        <v>45869.74325</v>
      </c>
      <c r="C253" s="768" t="str">
        <f>IFERROR(__xludf.DUMMYFUNCTION("""COMPUTED_VALUE"""),"Colton Hyde")</f>
        <v>Colton Hyde</v>
      </c>
      <c r="D253" s="768" t="str">
        <f>IFERROR(__xludf.DUMMYFUNCTION("""COMPUTED_VALUE"""),"coltonhyde@icloud.com")</f>
        <v>coltonhyde@icloud.com</v>
      </c>
      <c r="E253" s="768" t="str">
        <f>IFERROR(__xludf.DUMMYFUNCTION("""COMPUTED_VALUE"""),"6’2 170 ")</f>
        <v>6’2 170 </v>
      </c>
      <c r="F253" s="768" t="str">
        <f>IFERROR(__xludf.DUMMYFUNCTION("""COMPUTED_VALUE"""),"Infield, catcher, and pitcher ")</f>
        <v>Infield, catcher, and pitcher </v>
      </c>
      <c r="G253" s="768" t="str">
        <f>IFERROR(__xludf.DUMMYFUNCTION("""COMPUTED_VALUE"""),"61.1 innings 1.26 era 50 k 179 baa")</f>
        <v>61.1 innings 1.26 era 50 k 179 baa</v>
      </c>
      <c r="H253" s="768">
        <f>IFERROR(__xludf.DUMMYFUNCTION("""COMPUTED_VALUE"""),3.6)</f>
        <v>3.6</v>
      </c>
      <c r="I253" s="768" t="str">
        <f>IFERROR(__xludf.DUMMYFUNCTION("""COMPUTED_VALUE"""),"Haven’t taken yet")</f>
        <v>Haven’t taken yet</v>
      </c>
      <c r="J253" s="768" t="str">
        <f>IFERROR(__xludf.DUMMYFUNCTION("""COMPUTED_VALUE"""),"None")</f>
        <v>None</v>
      </c>
      <c r="K253" s="768" t="str">
        <f>IFERROR(__xludf.DUMMYFUNCTION("""COMPUTED_VALUE"""),"None")</f>
        <v>None</v>
      </c>
      <c r="L253" s="768" t="str">
        <f>IFERROR(__xludf.DUMMYFUNCTION("""COMPUTED_VALUE"""),"None")</f>
        <v>None</v>
      </c>
      <c r="M253" s="768" t="str">
        <f>IFERROR(__xludf.DUMMYFUNCTION("""COMPUTED_VALUE"""),"None")</f>
        <v>None</v>
      </c>
      <c r="N253" s="768">
        <f>IFERROR(__xludf.DUMMYFUNCTION("""COMPUTED_VALUE"""),2027.0)</f>
        <v>2027</v>
      </c>
      <c r="O253" s="768"/>
      <c r="P253" s="768"/>
      <c r="Q253" s="768"/>
      <c r="R253" s="768"/>
      <c r="S253" s="768"/>
      <c r="T253" s="768"/>
      <c r="U253" s="768"/>
      <c r="V253" s="768"/>
      <c r="W253" s="768"/>
      <c r="X253" s="768"/>
      <c r="Y253" s="768"/>
      <c r="Z253" s="768"/>
      <c r="AA253" s="768"/>
    </row>
    <row r="254" ht="30.0" customHeight="1">
      <c r="A254" s="768" t="str">
        <f t="array" ref="A254">XLOOKUP(C254,'High School Players'!D:D,'High School Players'!K:K,"NO",0,1)</f>
        <v>XX</v>
      </c>
      <c r="B254" s="975">
        <f>IFERROR(__xludf.DUMMYFUNCTION("""COMPUTED_VALUE"""),45869.80244896991)</f>
        <v>45869.80245</v>
      </c>
      <c r="C254" s="768" t="str">
        <f>IFERROR(__xludf.DUMMYFUNCTION("""COMPUTED_VALUE"""),"Jacob Babcock")</f>
        <v>Jacob Babcock</v>
      </c>
      <c r="D254" s="768" t="str">
        <f>IFERROR(__xludf.DUMMYFUNCTION("""COMPUTED_VALUE"""),"jbabcock2027@gmail.com")</f>
        <v>jbabcock2027@gmail.com</v>
      </c>
      <c r="E254" s="768" t="str">
        <f>IFERROR(__xludf.DUMMYFUNCTION("""COMPUTED_VALUE"""),"5’11”")</f>
        <v>5’11”</v>
      </c>
      <c r="F254" s="768" t="str">
        <f>IFERROR(__xludf.DUMMYFUNCTION("""COMPUTED_VALUE"""),"SS/3B/P")</f>
        <v>SS/3B/P</v>
      </c>
      <c r="G254" s="768" t="str">
        <f>IFERROR(__xludf.DUMMYFUNCTION("""COMPUTED_VALUE"""),"Summer stats combined  BA-.471 (33 for 70) OBP- .500 SLG-.814 1.314 OPS 5 -2B 6 - 3B 3-HR  17.2 innings 67% FB strike 57% CB strike .981 WHIP BAA .215")</f>
        <v>Summer stats combined  BA-.471 (33 for 70) OBP- .500 SLG-.814 1.314 OPS 5 -2B 6 - 3B 3-HR  17.2 innings 67% FB strike 57% CB strike .981 WHIP BAA .215</v>
      </c>
      <c r="H254" s="768" t="str">
        <f>IFERROR(__xludf.DUMMYFUNCTION("""COMPUTED_VALUE"""),"3.6 Unweighted/4.0 weighted")</f>
        <v>3.6 Unweighted/4.0 weighted</v>
      </c>
      <c r="I254" s="768" t="str">
        <f>IFERROR(__xludf.DUMMYFUNCTION("""COMPUTED_VALUE"""),"N/A")</f>
        <v>N/A</v>
      </c>
      <c r="J254" s="768" t="str">
        <f>IFERROR(__xludf.DUMMYFUNCTION("""COMPUTED_VALUE"""),"November 2024 Concussion - Football")</f>
        <v>November 2024 Concussion - Football</v>
      </c>
      <c r="K254" s="768" t="str">
        <f>IFERROR(__xludf.DUMMYFUNCTION("""COMPUTED_VALUE"""),"N/A")</f>
        <v>N/A</v>
      </c>
      <c r="L254" s="768" t="str">
        <f>IFERROR(__xludf.DUMMYFUNCTION("""COMPUTED_VALUE"""),"N/A")</f>
        <v>N/A</v>
      </c>
      <c r="M254" s="768" t="str">
        <f>IFERROR(__xludf.DUMMYFUNCTION("""COMPUTED_VALUE"""),"N/A")</f>
        <v>N/A</v>
      </c>
      <c r="N254" s="768">
        <f>IFERROR(__xludf.DUMMYFUNCTION("""COMPUTED_VALUE"""),2027.0)</f>
        <v>2027</v>
      </c>
      <c r="O254" s="768"/>
      <c r="P254" s="768"/>
      <c r="Q254" s="768"/>
      <c r="R254" s="768"/>
      <c r="S254" s="768"/>
      <c r="T254" s="768"/>
      <c r="U254" s="768"/>
      <c r="V254" s="768"/>
      <c r="W254" s="768"/>
      <c r="X254" s="768"/>
      <c r="Y254" s="768"/>
      <c r="Z254" s="768"/>
      <c r="AA254" s="768"/>
    </row>
    <row r="255" ht="30.0" customHeight="1">
      <c r="A255" s="768" t="str">
        <f t="array" ref="A255">XLOOKUP(C255,'High School Players'!D:D,'High School Players'!K:K,"NO",0,1)</f>
        <v>XX</v>
      </c>
      <c r="B255" s="975">
        <f>IFERROR(__xludf.DUMMYFUNCTION("""COMPUTED_VALUE"""),45869.821684166665)</f>
        <v>45869.82168</v>
      </c>
      <c r="C255" s="768" t="str">
        <f>IFERROR(__xludf.DUMMYFUNCTION("""COMPUTED_VALUE"""),"Jacob Henderson")</f>
        <v>Jacob Henderson</v>
      </c>
      <c r="D255" s="768" t="str">
        <f>IFERROR(__xludf.DUMMYFUNCTION("""COMPUTED_VALUE"""),"jakehendy.27@icloud.com")</f>
        <v>jakehendy.27@icloud.com</v>
      </c>
      <c r="E255" s="768" t="str">
        <f>IFERROR(__xludf.DUMMYFUNCTION("""COMPUTED_VALUE"""),"5’9, 170 lbs")</f>
        <v>5’9, 170 lbs</v>
      </c>
      <c r="F255" s="768" t="str">
        <f>IFERROR(__xludf.DUMMYFUNCTION("""COMPUTED_VALUE"""),"SS, RHP, UT")</f>
        <v>SS, RHP, UT</v>
      </c>
      <c r="G255" s="768" t="str">
        <f>IFERROR(__xludf.DUMMYFUNCTION("""COMPUTED_VALUE"""),"‘25 Season according to Perfect Game - 62 AB, .339 AVG, .462 OBP, .881 OPS, 10 SB (91%), 15 IP, 17 SO, 0.87 WHIP, 3 BB, .192 OAVG, 1.000 FPCT, Preseason Underclass All American")</f>
        <v>‘25 Season according to Perfect Game - 62 AB, .339 AVG, .462 OBP, .881 OPS, 10 SB (91%), 15 IP, 17 SO, 0.87 WHIP, 3 BB, .192 OAVG, 1.000 FPCT, Preseason Underclass All American</v>
      </c>
      <c r="H255" s="768" t="str">
        <f>IFERROR(__xludf.DUMMYFUNCTION("""COMPUTED_VALUE"""),"4.0/4.58")</f>
        <v>4.0/4.58</v>
      </c>
      <c r="I255" s="768" t="str">
        <f>IFERROR(__xludf.DUMMYFUNCTION("""COMPUTED_VALUE"""),"1490 SAT, 31 ACT")</f>
        <v>1490 SAT, 31 ACT</v>
      </c>
      <c r="J255" s="768" t="str">
        <f>IFERROR(__xludf.DUMMYFUNCTION("""COMPUTED_VALUE"""),"Fractured right middle finger, fractured right thumb, fractured right wrist")</f>
        <v>Fractured right middle finger, fractured right thumb, fractured right wrist</v>
      </c>
      <c r="K255" s="768" t="str">
        <f>IFERROR(__xludf.DUMMYFUNCTION("""COMPUTED_VALUE"""),"None")</f>
        <v>None</v>
      </c>
      <c r="L255" s="768" t="str">
        <f>IFERROR(__xludf.DUMMYFUNCTION("""COMPUTED_VALUE"""),"None")</f>
        <v>None</v>
      </c>
      <c r="M255" s="768" t="str">
        <f>IFERROR(__xludf.DUMMYFUNCTION("""COMPUTED_VALUE"""),"No")</f>
        <v>No</v>
      </c>
      <c r="N255" s="768">
        <f>IFERROR(__xludf.DUMMYFUNCTION("""COMPUTED_VALUE"""),2027.0)</f>
        <v>2027</v>
      </c>
      <c r="O255" s="768"/>
      <c r="P255" s="768"/>
      <c r="Q255" s="768"/>
      <c r="R255" s="768"/>
      <c r="S255" s="768"/>
      <c r="T255" s="768"/>
      <c r="U255" s="768"/>
      <c r="V255" s="768"/>
      <c r="W255" s="768"/>
      <c r="X255" s="768"/>
      <c r="Y255" s="768"/>
      <c r="Z255" s="768"/>
      <c r="AA255" s="768"/>
    </row>
    <row r="256" ht="30.0" customHeight="1">
      <c r="A256" s="768" t="str">
        <f t="array" ref="A256">XLOOKUP(C256,'High School Players'!D:D,'High School Players'!K:K,"NO",0,1)</f>
        <v>XX</v>
      </c>
      <c r="B256" s="975">
        <f>IFERROR(__xludf.DUMMYFUNCTION("""COMPUTED_VALUE"""),45869.869626562504)</f>
        <v>45869.86963</v>
      </c>
      <c r="C256" s="768" t="str">
        <f>IFERROR(__xludf.DUMMYFUNCTION("""COMPUTED_VALUE"""),"Boston Brown")</f>
        <v>Boston Brown</v>
      </c>
      <c r="D256" s="768" t="str">
        <f>IFERROR(__xludf.DUMMYFUNCTION("""COMPUTED_VALUE"""),"brown.boston08@gmail.com")</f>
        <v>brown.boston08@gmail.com</v>
      </c>
      <c r="E256" s="768" t="str">
        <f>IFERROR(__xludf.DUMMYFUNCTION("""COMPUTED_VALUE"""),"6’4 210")</f>
        <v>6’4 210</v>
      </c>
      <c r="F256" s="768" t="str">
        <f>IFERROR(__xludf.DUMMYFUNCTION("""COMPUTED_VALUE"""),"RHP")</f>
        <v>RHP</v>
      </c>
      <c r="G256" s="768" t="str">
        <f>IFERROR(__xludf.DUMMYFUNCTION("""COMPUTED_VALUE"""),"summer stats 27IP, 45K, 16H, 4ER, 10BB: school stats 78 IP, .71 ERA, 136K, .134 OBA 38H, 8ER, 25BB")</f>
        <v>summer stats 27IP, 45K, 16H, 4ER, 10BB: school stats 78 IP, .71 ERA, 136K, .134 OBA 38H, 8ER, 25BB</v>
      </c>
      <c r="H256" s="768" t="str">
        <f>IFERROR(__xludf.DUMMYFUNCTION("""COMPUTED_VALUE"""),"4.2 weighted ")</f>
        <v>4.2 weighted </v>
      </c>
      <c r="I256" s="768" t="str">
        <f>IFERROR(__xludf.DUMMYFUNCTION("""COMPUTED_VALUE"""),"I haven’t taken it")</f>
        <v>I haven’t taken it</v>
      </c>
      <c r="J256" s="768" t="str">
        <f>IFERROR(__xludf.DUMMYFUNCTION("""COMPUTED_VALUE"""),"UCL sprain ")</f>
        <v>UCL sprain </v>
      </c>
      <c r="K256" s="768" t="str">
        <f>IFERROR(__xludf.DUMMYFUNCTION("""COMPUTED_VALUE"""),"no")</f>
        <v>no</v>
      </c>
      <c r="L256" s="768" t="str">
        <f>IFERROR(__xludf.DUMMYFUNCTION("""COMPUTED_VALUE"""),"mo")</f>
        <v>mo</v>
      </c>
      <c r="M256" s="768" t="str">
        <f>IFERROR(__xludf.DUMMYFUNCTION("""COMPUTED_VALUE"""),"no")</f>
        <v>no</v>
      </c>
      <c r="N256" s="768">
        <f>IFERROR(__xludf.DUMMYFUNCTION("""COMPUTED_VALUE"""),2027.0)</f>
        <v>2027</v>
      </c>
      <c r="O256" s="768"/>
      <c r="P256" s="768"/>
      <c r="Q256" s="768"/>
      <c r="R256" s="768"/>
      <c r="S256" s="768"/>
      <c r="T256" s="768"/>
      <c r="U256" s="768"/>
      <c r="V256" s="768"/>
      <c r="W256" s="768"/>
      <c r="X256" s="768"/>
      <c r="Y256" s="768"/>
      <c r="Z256" s="768"/>
      <c r="AA256" s="768"/>
    </row>
    <row r="257" ht="30.0" customHeight="1">
      <c r="A257" s="768" t="str">
        <f t="array" ref="A257">XLOOKUP(C257,'High School Players'!D:D,'High School Players'!K:K,"NO",0,1)</f>
        <v>XX</v>
      </c>
      <c r="B257" s="975">
        <f>IFERROR(__xludf.DUMMYFUNCTION("""COMPUTED_VALUE"""),45870.250395763884)</f>
        <v>45870.2504</v>
      </c>
      <c r="C257" s="768" t="str">
        <f>IFERROR(__xludf.DUMMYFUNCTION("""COMPUTED_VALUE"""),"Charlie Herr")</f>
        <v>Charlie Herr</v>
      </c>
      <c r="D257" s="768" t="str">
        <f>IFERROR(__xludf.DUMMYFUNCTION("""COMPUTED_VALUE"""),"charlesherr1@icloud.com")</f>
        <v>charlesherr1@icloud.com</v>
      </c>
      <c r="E257" s="768" t="str">
        <f>IFERROR(__xludf.DUMMYFUNCTION("""COMPUTED_VALUE"""),"6’4 180lb")</f>
        <v>6’4 180lb</v>
      </c>
      <c r="F257" s="768" t="str">
        <f>IFERROR(__xludf.DUMMYFUNCTION("""COMPUTED_VALUE"""),"RHP")</f>
        <v>RHP</v>
      </c>
      <c r="G257" s="768" t="str">
        <f>IFERROR(__xludf.DUMMYFUNCTION("""COMPUTED_VALUE"""),"1.2 innings, 0 era")</f>
        <v>1.2 innings, 0 era</v>
      </c>
      <c r="H257" s="768" t="str">
        <f>IFERROR(__xludf.DUMMYFUNCTION("""COMPUTED_VALUE"""),"4.0 Weighted")</f>
        <v>4.0 Weighted</v>
      </c>
      <c r="I257" s="768" t="str">
        <f>IFERROR(__xludf.DUMMYFUNCTION("""COMPUTED_VALUE"""),"None taken")</f>
        <v>None taken</v>
      </c>
      <c r="J257" s="768" t="str">
        <f>IFERROR(__xludf.DUMMYFUNCTION("""COMPUTED_VALUE"""),"None")</f>
        <v>None</v>
      </c>
      <c r="K257" s="768"/>
      <c r="L257" s="768"/>
      <c r="M257" s="768" t="str">
        <f>IFERROR(__xludf.DUMMYFUNCTION("""COMPUTED_VALUE"""),"None")</f>
        <v>None</v>
      </c>
      <c r="N257" s="768">
        <f>IFERROR(__xludf.DUMMYFUNCTION("""COMPUTED_VALUE"""),2027.0)</f>
        <v>2027</v>
      </c>
      <c r="O257" s="768"/>
      <c r="P257" s="768"/>
      <c r="Q257" s="768"/>
      <c r="R257" s="768"/>
      <c r="S257" s="768"/>
      <c r="T257" s="768"/>
      <c r="U257" s="768"/>
      <c r="V257" s="768"/>
      <c r="W257" s="768"/>
      <c r="X257" s="768"/>
      <c r="Y257" s="768"/>
      <c r="Z257" s="768"/>
      <c r="AA257" s="768"/>
    </row>
    <row r="258" ht="30.0" customHeight="1">
      <c r="A258" s="768" t="str">
        <f t="array" ref="A258">XLOOKUP(C258,'High School Players'!D:D,'High School Players'!K:K,"NO",0,1)</f>
        <v>XX</v>
      </c>
      <c r="B258" s="975">
        <f>IFERROR(__xludf.DUMMYFUNCTION("""COMPUTED_VALUE"""),45870.39995129629)</f>
        <v>45870.39995</v>
      </c>
      <c r="C258" s="768" t="str">
        <f>IFERROR(__xludf.DUMMYFUNCTION("""COMPUTED_VALUE"""),"Sam Pearson")</f>
        <v>Sam Pearson</v>
      </c>
      <c r="D258" s="768" t="str">
        <f>IFERROR(__xludf.DUMMYFUNCTION("""COMPUTED_VALUE"""),"Sampearson1303@gmail.com")</f>
        <v>Sampearson1303@gmail.com</v>
      </c>
      <c r="E258" s="768" t="str">
        <f>IFERROR(__xludf.DUMMYFUNCTION("""COMPUTED_VALUE"""),"6’1 175")</f>
        <v>6’1 175</v>
      </c>
      <c r="F258" s="768" t="str">
        <f>IFERROR(__xludf.DUMMYFUNCTION("""COMPUTED_VALUE"""),"Short stop, outfield ")</f>
        <v>Short stop, outfield </v>
      </c>
      <c r="G258" s="768" t="str">
        <f>IFERROR(__xludf.DUMMYFUNCTION("""COMPUTED_VALUE"""),"All City, 2024 and 2025, Team Kentucky - Super Sophomore and Future Games")</f>
        <v>All City, 2024 and 2025, Team Kentucky - Super Sophomore and Future Games</v>
      </c>
      <c r="H258" s="768">
        <f>IFERROR(__xludf.DUMMYFUNCTION("""COMPUTED_VALUE"""),4.0)</f>
        <v>4</v>
      </c>
      <c r="I258" s="768" t="str">
        <f>IFERROR(__xludf.DUMMYFUNCTION("""COMPUTED_VALUE"""),"Haven’t taken yet")</f>
        <v>Haven’t taken yet</v>
      </c>
      <c r="J258" s="768" t="str">
        <f>IFERROR(__xludf.DUMMYFUNCTION("""COMPUTED_VALUE"""),"No surgeries")</f>
        <v>No surgeries</v>
      </c>
      <c r="K258" s="768" t="str">
        <f>IFERROR(__xludf.DUMMYFUNCTION("""COMPUTED_VALUE"""),"None")</f>
        <v>None</v>
      </c>
      <c r="L258" s="768" t="str">
        <f>IFERROR(__xludf.DUMMYFUNCTION("""COMPUTED_VALUE"""),"None")</f>
        <v>None</v>
      </c>
      <c r="M258" s="768" t="str">
        <f>IFERROR(__xludf.DUMMYFUNCTION("""COMPUTED_VALUE"""),"No")</f>
        <v>No</v>
      </c>
      <c r="N258" s="768">
        <f>IFERROR(__xludf.DUMMYFUNCTION("""COMPUTED_VALUE"""),2027.0)</f>
        <v>2027</v>
      </c>
      <c r="O258" s="768"/>
      <c r="P258" s="768"/>
      <c r="Q258" s="768"/>
      <c r="R258" s="768"/>
      <c r="S258" s="768"/>
      <c r="T258" s="768"/>
      <c r="U258" s="768"/>
      <c r="V258" s="768"/>
      <c r="W258" s="768"/>
      <c r="X258" s="768"/>
      <c r="Y258" s="768"/>
      <c r="Z258" s="768"/>
      <c r="AA258" s="768"/>
    </row>
    <row r="259" ht="30.0" customHeight="1">
      <c r="A259" s="768" t="str">
        <f t="array" ref="A259">XLOOKUP(C259,'High School Players'!D:D,'High School Players'!K:K,"NO",0,1)</f>
        <v>XX</v>
      </c>
      <c r="B259" s="975">
        <f>IFERROR(__xludf.DUMMYFUNCTION("""COMPUTED_VALUE"""),45870.74743372685)</f>
        <v>45870.74743</v>
      </c>
      <c r="C259" s="768" t="str">
        <f>IFERROR(__xludf.DUMMYFUNCTION("""COMPUTED_VALUE"""),"Brady Bickham")</f>
        <v>Brady Bickham</v>
      </c>
      <c r="D259" s="768" t="str">
        <f>IFERROR(__xludf.DUMMYFUNCTION("""COMPUTED_VALUE"""),"bradybic@icloud.com")</f>
        <v>bradybic@icloud.com</v>
      </c>
      <c r="E259" s="768" t="str">
        <f>IFERROR(__xludf.DUMMYFUNCTION("""COMPUTED_VALUE"""),"6 foot 1 175 pounds")</f>
        <v>6 foot 1 175 pounds</v>
      </c>
      <c r="F259" s="768" t="str">
        <f>IFERROR(__xludf.DUMMYFUNCTION("""COMPUTED_VALUE"""),"middle infield, 3rd base and outfield")</f>
        <v>middle infield, 3rd base and outfield</v>
      </c>
      <c r="G259" s="768"/>
      <c r="H259" s="768">
        <f>IFERROR(__xludf.DUMMYFUNCTION("""COMPUTED_VALUE"""),4.1)</f>
        <v>4.1</v>
      </c>
      <c r="I259" s="768"/>
      <c r="J259" s="768" t="str">
        <f>IFERROR(__xludf.DUMMYFUNCTION("""COMPUTED_VALUE"""),"ACL surgery ")</f>
        <v>ACL surgery </v>
      </c>
      <c r="K259" s="768"/>
      <c r="L259" s="768"/>
      <c r="M259" s="768"/>
      <c r="N259" s="768">
        <f>IFERROR(__xludf.DUMMYFUNCTION("""COMPUTED_VALUE"""),2027.0)</f>
        <v>2027</v>
      </c>
      <c r="O259" s="768"/>
      <c r="P259" s="768"/>
      <c r="Q259" s="768"/>
      <c r="R259" s="768"/>
      <c r="S259" s="768"/>
      <c r="T259" s="768"/>
      <c r="U259" s="768"/>
      <c r="V259" s="768"/>
      <c r="W259" s="768"/>
      <c r="X259" s="768"/>
      <c r="Y259" s="768"/>
      <c r="Z259" s="768"/>
      <c r="AA259" s="768"/>
    </row>
    <row r="260" ht="30.0" customHeight="1">
      <c r="A260" s="768">
        <f t="array" ref="A260">XLOOKUP(C260,'High School Players'!D:D,'High School Players'!K:K,"NO",0,1)</f>
        <v>2</v>
      </c>
      <c r="B260" s="975">
        <f>IFERROR(__xludf.DUMMYFUNCTION("""COMPUTED_VALUE"""),45870.88630344908)</f>
        <v>45870.8863</v>
      </c>
      <c r="C260" s="768" t="str">
        <f>IFERROR(__xludf.DUMMYFUNCTION("""COMPUTED_VALUE"""),"Will Hayes")</f>
        <v>Will Hayes</v>
      </c>
      <c r="D260" s="768" t="str">
        <f>IFERROR(__xludf.DUMMYFUNCTION("""COMPUTED_VALUE"""),"whayes555@gmail.com")</f>
        <v>whayes555@gmail.com</v>
      </c>
      <c r="E260" s="768" t="str">
        <f>IFERROR(__xludf.DUMMYFUNCTION("""COMPUTED_VALUE"""),"6’4")</f>
        <v>6’4</v>
      </c>
      <c r="F260" s="768" t="str">
        <f>IFERROR(__xludf.DUMMYFUNCTION("""COMPUTED_VALUE"""),"RHP")</f>
        <v>RHP</v>
      </c>
      <c r="G260" s="768"/>
      <c r="H260" s="768" t="str">
        <f>IFERROR(__xludf.DUMMYFUNCTION("""COMPUTED_VALUE"""),"3.9/4.15")</f>
        <v>3.9/4.15</v>
      </c>
      <c r="I260" s="768"/>
      <c r="J260" s="768" t="str">
        <f>IFERROR(__xludf.DUMMYFUNCTION("""COMPUTED_VALUE"""),"Stress Fracture on elbow")</f>
        <v>Stress Fracture on elbow</v>
      </c>
      <c r="K260" s="768" t="str">
        <f>IFERROR(__xludf.DUMMYFUNCTION("""COMPUTED_VALUE"""),"Penicillin")</f>
        <v>Penicillin</v>
      </c>
      <c r="L260" s="768" t="str">
        <f>IFERROR(__xludf.DUMMYFUNCTION("""COMPUTED_VALUE"""),"No")</f>
        <v>No</v>
      </c>
      <c r="M260" s="768" t="str">
        <f>IFERROR(__xludf.DUMMYFUNCTION("""COMPUTED_VALUE"""),"No")</f>
        <v>No</v>
      </c>
      <c r="N260" s="768">
        <f>IFERROR(__xludf.DUMMYFUNCTION("""COMPUTED_VALUE"""),2027.0)</f>
        <v>2027</v>
      </c>
      <c r="O260" s="768"/>
      <c r="P260" s="768"/>
      <c r="Q260" s="768"/>
      <c r="R260" s="768"/>
      <c r="S260" s="768"/>
      <c r="T260" s="768"/>
      <c r="U260" s="768"/>
      <c r="V260" s="768"/>
      <c r="W260" s="768"/>
      <c r="X260" s="768"/>
      <c r="Y260" s="768"/>
      <c r="Z260" s="768"/>
      <c r="AA260" s="768"/>
    </row>
    <row r="261" ht="30.0" customHeight="1">
      <c r="A261" s="768" t="str">
        <f t="array" ref="A261">XLOOKUP(C261,'High School Players'!D:D,'High School Players'!K:K,"NO",0,1)</f>
        <v>XX</v>
      </c>
      <c r="B261" s="975">
        <f>IFERROR(__xludf.DUMMYFUNCTION("""COMPUTED_VALUE"""),45871.395648715275)</f>
        <v>45871.39565</v>
      </c>
      <c r="C261" s="768" t="str">
        <f>IFERROR(__xludf.DUMMYFUNCTION("""COMPUTED_VALUE"""),"Ricky Watt")</f>
        <v>Ricky Watt</v>
      </c>
      <c r="D261" s="768" t="str">
        <f>IFERROR(__xludf.DUMMYFUNCTION("""COMPUTED_VALUE"""),"rwatt@heavyhitters4.com")</f>
        <v>rwatt@heavyhitters4.com</v>
      </c>
      <c r="E261" s="768" t="str">
        <f>IFERROR(__xludf.DUMMYFUNCTION("""COMPUTED_VALUE"""),"5’11    175 ")</f>
        <v>5’11    175 </v>
      </c>
      <c r="F261" s="768" t="str">
        <f>IFERROR(__xludf.DUMMYFUNCTION("""COMPUTED_VALUE"""),"C/OF")</f>
        <v>C/OF</v>
      </c>
      <c r="G261" s="768" t="str">
        <f>IFERROR(__xludf.DUMMYFUNCTION("""COMPUTED_VALUE"""),"High school - 75ab, 25 runs, 29 hits, 18 singles, 7 doubles, 1 triple, 3 hr, 21 rbi, .387 ba.   Summer- 46 ab, .435 ba, 21 hits, 11 singles, 6 doubles, 3 triples, 1 hr, 6 rbi, 19 runs, 6 bb, 9 sb ")</f>
        <v>High school - 75ab, 25 runs, 29 hits, 18 singles, 7 doubles, 1 triple, 3 hr, 21 rbi, .387 ba.   Summer- 46 ab, .435 ba, 21 hits, 11 singles, 6 doubles, 3 triples, 1 hr, 6 rbi, 19 runs, 6 bb, 9 sb </v>
      </c>
      <c r="H261" s="768" t="str">
        <f>IFERROR(__xludf.DUMMYFUNCTION("""COMPUTED_VALUE"""),"3.0/3.25")</f>
        <v>3.0/3.25</v>
      </c>
      <c r="I261" s="768" t="str">
        <f>IFERROR(__xludf.DUMMYFUNCTION("""COMPUTED_VALUE"""),"I have not taken either. ")</f>
        <v>I have not taken either. </v>
      </c>
      <c r="J261" s="768" t="str">
        <f>IFERROR(__xludf.DUMMYFUNCTION("""COMPUTED_VALUE"""),"None")</f>
        <v>None</v>
      </c>
      <c r="K261" s="768" t="str">
        <f>IFERROR(__xludf.DUMMYFUNCTION("""COMPUTED_VALUE"""),"None")</f>
        <v>None</v>
      </c>
      <c r="L261" s="768" t="str">
        <f>IFERROR(__xludf.DUMMYFUNCTION("""COMPUTED_VALUE"""),"No")</f>
        <v>No</v>
      </c>
      <c r="M261" s="768" t="str">
        <f>IFERROR(__xludf.DUMMYFUNCTION("""COMPUTED_VALUE"""),"No")</f>
        <v>No</v>
      </c>
      <c r="N261" s="768">
        <f>IFERROR(__xludf.DUMMYFUNCTION("""COMPUTED_VALUE"""),2027.0)</f>
        <v>2027</v>
      </c>
      <c r="O261" s="768"/>
      <c r="P261" s="768"/>
      <c r="Q261" s="768"/>
      <c r="R261" s="768"/>
      <c r="S261" s="768"/>
      <c r="T261" s="768"/>
      <c r="U261" s="768"/>
      <c r="V261" s="768"/>
      <c r="W261" s="768"/>
      <c r="X261" s="768"/>
      <c r="Y261" s="768"/>
      <c r="Z261" s="768"/>
      <c r="AA261" s="768"/>
    </row>
    <row r="262" ht="30.0" customHeight="1">
      <c r="A262" s="768" t="str">
        <f t="array" ref="A262">XLOOKUP(C262,'High School Players'!D:D,'High School Players'!K:K,"NO",0,1)</f>
        <v>XX</v>
      </c>
      <c r="B262" s="975">
        <f>IFERROR(__xludf.DUMMYFUNCTION("""COMPUTED_VALUE"""),45871.55226423611)</f>
        <v>45871.55226</v>
      </c>
      <c r="C262" s="768" t="str">
        <f>IFERROR(__xludf.DUMMYFUNCTION("""COMPUTED_VALUE"""),"Tosh Whitworth")</f>
        <v>Tosh Whitworth</v>
      </c>
      <c r="D262" s="768" t="str">
        <f>IFERROR(__xludf.DUMMYFUNCTION("""COMPUTED_VALUE"""),"whitworthtosh@gmail.com")</f>
        <v>whitworthtosh@gmail.com</v>
      </c>
      <c r="E262" s="768" t="str">
        <f>IFERROR(__xludf.DUMMYFUNCTION("""COMPUTED_VALUE"""),"6’3 215")</f>
        <v>6’3 215</v>
      </c>
      <c r="F262" s="768" t="str">
        <f>IFERROR(__xludf.DUMMYFUNCTION("""COMPUTED_VALUE"""),"OF/RHP")</f>
        <v>OF/RHP</v>
      </c>
      <c r="G262" s="768" t="str">
        <f>IFERROR(__xludf.DUMMYFUNCTION("""COMPUTED_VALUE"""),"HS: avg .300, OBP .365, OPS .838. 41.2 innings pitched, 16 ER, 33 SO")</f>
        <v>HS: avg .300, OBP .365, OPS .838. 41.2 innings pitched, 16 ER, 33 SO</v>
      </c>
      <c r="H262" s="768" t="str">
        <f>IFERROR(__xludf.DUMMYFUNCTION("""COMPUTED_VALUE"""),"3.85 UW 4.3 W")</f>
        <v>3.85 UW 4.3 W</v>
      </c>
      <c r="I262" s="768" t="str">
        <f>IFERROR(__xludf.DUMMYFUNCTION("""COMPUTED_VALUE"""),"Have not taken either")</f>
        <v>Have not taken either</v>
      </c>
      <c r="J262" s="768" t="str">
        <f>IFERROR(__xludf.DUMMYFUNCTION("""COMPUTED_VALUE"""),"broken thumb left hand")</f>
        <v>broken thumb left hand</v>
      </c>
      <c r="K262" s="768" t="str">
        <f>IFERROR(__xludf.DUMMYFUNCTION("""COMPUTED_VALUE"""),"no allergies")</f>
        <v>no allergies</v>
      </c>
      <c r="L262" s="768" t="str">
        <f>IFERROR(__xludf.DUMMYFUNCTION("""COMPUTED_VALUE"""),"no")</f>
        <v>no</v>
      </c>
      <c r="M262" s="768" t="str">
        <f>IFERROR(__xludf.DUMMYFUNCTION("""COMPUTED_VALUE"""),"no")</f>
        <v>no</v>
      </c>
      <c r="N262" s="768">
        <f>IFERROR(__xludf.DUMMYFUNCTION("""COMPUTED_VALUE"""),2027.0)</f>
        <v>2027</v>
      </c>
      <c r="O262" s="768"/>
      <c r="P262" s="768"/>
      <c r="Q262" s="768"/>
      <c r="R262" s="768"/>
      <c r="S262" s="768"/>
      <c r="T262" s="768"/>
      <c r="U262" s="768"/>
      <c r="V262" s="768"/>
      <c r="W262" s="768"/>
      <c r="X262" s="768"/>
      <c r="Y262" s="768"/>
      <c r="Z262" s="768"/>
      <c r="AA262" s="768"/>
    </row>
    <row r="263" ht="30.0" customHeight="1">
      <c r="A263" s="768">
        <f t="array" ref="A263">XLOOKUP(C263,'High School Players'!D:D,'High School Players'!K:K,"NO",0,1)</f>
        <v>2</v>
      </c>
      <c r="B263" s="975">
        <f>IFERROR(__xludf.DUMMYFUNCTION("""COMPUTED_VALUE"""),45871.639583842596)</f>
        <v>45871.63958</v>
      </c>
      <c r="C263" s="768" t="str">
        <f>IFERROR(__xludf.DUMMYFUNCTION("""COMPUTED_VALUE"""),"Ryan Hawken")</f>
        <v>Ryan Hawken</v>
      </c>
      <c r="D263" s="768" t="str">
        <f>IFERROR(__xludf.DUMMYFUNCTION("""COMPUTED_VALUE"""),"Ryanhawken18@icloud.com")</f>
        <v>Ryanhawken18@icloud.com</v>
      </c>
      <c r="E263" s="768" t="str">
        <f>IFERROR(__xludf.DUMMYFUNCTION("""COMPUTED_VALUE"""),"6'1/185")</f>
        <v>6'1/185</v>
      </c>
      <c r="F263" s="768" t="str">
        <f>IFERROR(__xludf.DUMMYFUNCTION("""COMPUTED_VALUE"""),"OF")</f>
        <v>OF</v>
      </c>
      <c r="G263" s="768" t="str">
        <f>IFERROR(__xludf.DUMMYFUNCTION("""COMPUTED_VALUE"""),"AB-92 BA-.435 SLG.728  H-40 (tied for 7th in state) R-26  RBI-38 (6th in state) 1B-27  2B-5  3B-2  HR-6 (tied for 5th in state) SB-14   1st team all league 3rd team all county  ")</f>
        <v>AB-92 BA-.435 SLG.728  H-40 (tied for 7th in state) R-26  RBI-38 (6th in state) 1B-27  2B-5  3B-2  HR-6 (tied for 5th in state) SB-14   1st team all league 3rd team all county  </v>
      </c>
      <c r="H263" s="768" t="str">
        <f>IFERROR(__xludf.DUMMYFUNCTION("""COMPUTED_VALUE"""),"3.7 unweighted ")</f>
        <v>3.7 unweighted </v>
      </c>
      <c r="I263" s="768" t="str">
        <f>IFERROR(__xludf.DUMMYFUNCTION("""COMPUTED_VALUE"""),"N/A")</f>
        <v>N/A</v>
      </c>
      <c r="J263" s="768" t="str">
        <f>IFERROR(__xludf.DUMMYFUNCTION("""COMPUTED_VALUE"""),"Fractured left ankle ")</f>
        <v>Fractured left ankle </v>
      </c>
      <c r="K263" s="768" t="str">
        <f>IFERROR(__xludf.DUMMYFUNCTION("""COMPUTED_VALUE"""),"No")</f>
        <v>No</v>
      </c>
      <c r="L263" s="768" t="str">
        <f>IFERROR(__xludf.DUMMYFUNCTION("""COMPUTED_VALUE"""),"No")</f>
        <v>No</v>
      </c>
      <c r="M263" s="768" t="str">
        <f>IFERROR(__xludf.DUMMYFUNCTION("""COMPUTED_VALUE"""),"No")</f>
        <v>No</v>
      </c>
      <c r="N263" s="768">
        <f>IFERROR(__xludf.DUMMYFUNCTION("""COMPUTED_VALUE"""),2027.0)</f>
        <v>2027</v>
      </c>
      <c r="O263" s="768"/>
      <c r="P263" s="768"/>
      <c r="Q263" s="768"/>
      <c r="R263" s="768"/>
      <c r="S263" s="768"/>
      <c r="T263" s="768"/>
      <c r="U263" s="768"/>
      <c r="V263" s="768"/>
      <c r="W263" s="768"/>
      <c r="X263" s="768"/>
      <c r="Y263" s="768"/>
      <c r="Z263" s="768"/>
      <c r="AA263" s="768"/>
    </row>
    <row r="264" ht="30.0" customHeight="1">
      <c r="A264" s="768">
        <f t="array" ref="A264">XLOOKUP(C264,'High School Players'!D:D,'High School Players'!K:K,"NO",0,1)</f>
        <v>1</v>
      </c>
      <c r="B264" s="975">
        <f>IFERROR(__xludf.DUMMYFUNCTION("""COMPUTED_VALUE"""),45871.66620600694)</f>
        <v>45871.66621</v>
      </c>
      <c r="C264" s="768" t="str">
        <f>IFERROR(__xludf.DUMMYFUNCTION("""COMPUTED_VALUE"""),"Carter Taldo")</f>
        <v>Carter Taldo</v>
      </c>
      <c r="D264" s="768" t="str">
        <f>IFERROR(__xludf.DUMMYFUNCTION("""COMPUTED_VALUE"""),"cartertaldo15@gmail.com")</f>
        <v>cartertaldo15@gmail.com</v>
      </c>
      <c r="E264" s="768" t="str">
        <f>IFERROR(__xludf.DUMMYFUNCTION("""COMPUTED_VALUE"""),"6”2 180lbs")</f>
        <v>6”2 180lbs</v>
      </c>
      <c r="F264" s="768" t="str">
        <f>IFERROR(__xludf.DUMMYFUNCTION("""COMPUTED_VALUE"""),"OF")</f>
        <v>OF</v>
      </c>
      <c r="G264" s="768" t="str">
        <f>IFERROR(__xludf.DUMMYFUNCTION("""COMPUTED_VALUE"""),"Avg 372, Obp 441, Ops 1.041, RBI 43, Slg 600, Hits 38, HR 5")</f>
        <v>Avg 372, Obp 441, Ops 1.041, RBI 43, Slg 600, Hits 38, HR 5</v>
      </c>
      <c r="H264" s="768" t="str">
        <f>IFERROR(__xludf.DUMMYFUNCTION("""COMPUTED_VALUE"""),"3.9/4.4")</f>
        <v>3.9/4.4</v>
      </c>
      <c r="I264" s="768" t="str">
        <f>IFERROR(__xludf.DUMMYFUNCTION("""COMPUTED_VALUE"""),"Pre Act score 27")</f>
        <v>Pre Act score 27</v>
      </c>
      <c r="J264" s="768" t="str">
        <f>IFERROR(__xludf.DUMMYFUNCTION("""COMPUTED_VALUE"""),"None")</f>
        <v>None</v>
      </c>
      <c r="K264" s="768" t="str">
        <f>IFERROR(__xludf.DUMMYFUNCTION("""COMPUTED_VALUE"""),"No")</f>
        <v>No</v>
      </c>
      <c r="L264" s="768" t="str">
        <f>IFERROR(__xludf.DUMMYFUNCTION("""COMPUTED_VALUE"""),"No")</f>
        <v>No</v>
      </c>
      <c r="M264" s="768" t="str">
        <f>IFERROR(__xludf.DUMMYFUNCTION("""COMPUTED_VALUE"""),"No")</f>
        <v>No</v>
      </c>
      <c r="N264" s="768">
        <f>IFERROR(__xludf.DUMMYFUNCTION("""COMPUTED_VALUE"""),2027.0)</f>
        <v>2027</v>
      </c>
      <c r="O264" s="768"/>
      <c r="P264" s="768"/>
      <c r="Q264" s="768"/>
      <c r="R264" s="768"/>
      <c r="S264" s="768"/>
      <c r="T264" s="768"/>
      <c r="U264" s="768"/>
      <c r="V264" s="768"/>
      <c r="W264" s="768"/>
      <c r="X264" s="768"/>
      <c r="Y264" s="768"/>
      <c r="Z264" s="768"/>
      <c r="AA264" s="768"/>
    </row>
    <row r="265" ht="30.0" customHeight="1">
      <c r="A265" s="768" t="str">
        <f t="array" ref="A265">XLOOKUP(C265,'High School Players'!D:D,'High School Players'!K:K,"NO",0,1)</f>
        <v>NO</v>
      </c>
      <c r="B265" s="975">
        <f>IFERROR(__xludf.DUMMYFUNCTION("""COMPUTED_VALUE"""),45873.20078400463)</f>
        <v>45873.20078</v>
      </c>
      <c r="C265" s="768" t="str">
        <f>IFERROR(__xludf.DUMMYFUNCTION("""COMPUTED_VALUE"""),"Cody Alan Moseman")</f>
        <v>Cody Alan Moseman</v>
      </c>
      <c r="D265" s="768" t="str">
        <f>IFERROR(__xludf.DUMMYFUNCTION("""COMPUTED_VALUE"""),"codymoseman50@gmail.com")</f>
        <v>codymoseman50@gmail.com</v>
      </c>
      <c r="E265" s="768" t="str">
        <f>IFERROR(__xludf.DUMMYFUNCTION("""COMPUTED_VALUE"""),"5 feet 11 inches")</f>
        <v>5 feet 11 inches</v>
      </c>
      <c r="F265" s="768" t="str">
        <f>IFERROR(__xludf.DUMMYFUNCTION("""COMPUTED_VALUE"""),"SS, 3B, RHP")</f>
        <v>SS, 3B, RHP</v>
      </c>
      <c r="G265" s="768" t="str">
        <f>IFERROR(__xludf.DUMMYFUNCTION("""COMPUTED_VALUE"""),"T 90 FB (87 PG), 60 yd - 6.8, 85 INF ")</f>
        <v>T 90 FB (87 PG), 60 yd - 6.8, 85 INF </v>
      </c>
      <c r="H265" s="768" t="str">
        <f>IFERROR(__xludf.DUMMYFUNCTION("""COMPUTED_VALUE"""),"3.93 Weighted")</f>
        <v>3.93 Weighted</v>
      </c>
      <c r="I265" s="768" t="str">
        <f>IFERROR(__xludf.DUMMYFUNCTION("""COMPUTED_VALUE"""),"NA")</f>
        <v>NA</v>
      </c>
      <c r="J265" s="768" t="str">
        <f>IFERROR(__xludf.DUMMYFUNCTION("""COMPUTED_VALUE"""),"NA")</f>
        <v>NA</v>
      </c>
      <c r="K265" s="768" t="str">
        <f>IFERROR(__xludf.DUMMYFUNCTION("""COMPUTED_VALUE"""),"NA")</f>
        <v>NA</v>
      </c>
      <c r="L265" s="768" t="str">
        <f>IFERROR(__xludf.DUMMYFUNCTION("""COMPUTED_VALUE"""),"NA")</f>
        <v>NA</v>
      </c>
      <c r="M265" s="768" t="str">
        <f>IFERROR(__xludf.DUMMYFUNCTION("""COMPUTED_VALUE"""),"NA")</f>
        <v>NA</v>
      </c>
      <c r="N265" s="768">
        <f>IFERROR(__xludf.DUMMYFUNCTION("""COMPUTED_VALUE"""),2027.0)</f>
        <v>2027</v>
      </c>
      <c r="O265" s="768"/>
      <c r="P265" s="768"/>
      <c r="Q265" s="768"/>
      <c r="R265" s="768"/>
      <c r="S265" s="768"/>
      <c r="T265" s="768"/>
      <c r="U265" s="768"/>
      <c r="V265" s="768"/>
      <c r="W265" s="768"/>
      <c r="X265" s="768"/>
      <c r="Y265" s="768"/>
      <c r="Z265" s="768"/>
      <c r="AA265" s="768"/>
    </row>
    <row r="266" ht="30.0" customHeight="1">
      <c r="A266" s="768" t="str">
        <f t="array" ref="A266">XLOOKUP(C266,'High School Players'!D:D,'High School Players'!K:K,"NO",0,1)</f>
        <v>XX</v>
      </c>
      <c r="B266" s="975">
        <f>IFERROR(__xludf.DUMMYFUNCTION("""COMPUTED_VALUE"""),45874.50977146991)</f>
        <v>45874.50977</v>
      </c>
      <c r="C266" s="768" t="str">
        <f>IFERROR(__xludf.DUMMYFUNCTION("""COMPUTED_VALUE"""),"Colin DiRocco")</f>
        <v>Colin DiRocco</v>
      </c>
      <c r="D266" s="768" t="str">
        <f>IFERROR(__xludf.DUMMYFUNCTION("""COMPUTED_VALUE"""),"colindirocco@icloud.com")</f>
        <v>colindirocco@icloud.com</v>
      </c>
      <c r="E266" s="768" t="str">
        <f>IFERROR(__xludf.DUMMYFUNCTION("""COMPUTED_VALUE"""),"6’4 / 175")</f>
        <v>6’4 / 175</v>
      </c>
      <c r="F266" s="768" t="str">
        <f>IFERROR(__xludf.DUMMYFUNCTION("""COMPUTED_VALUE"""),"LHP")</f>
        <v>LHP</v>
      </c>
      <c r="G266" s="768" t="str">
        <f>IFERROR(__xludf.DUMMYFUNCTION("""COMPUTED_VALUE"""),"Summer Stats: 11.2 in, 14k, 6 hits, 5 runs")</f>
        <v>Summer Stats: 11.2 in, 14k, 6 hits, 5 runs</v>
      </c>
      <c r="H266" s="768" t="str">
        <f>IFERROR(__xludf.DUMMYFUNCTION("""COMPUTED_VALUE"""),"3.86/4.34")</f>
        <v>3.86/4.34</v>
      </c>
      <c r="I266" s="768"/>
      <c r="J266" s="768" t="str">
        <f>IFERROR(__xludf.DUMMYFUNCTION("""COMPUTED_VALUE"""),"Strained muscle in forearm ")</f>
        <v>Strained muscle in forearm </v>
      </c>
      <c r="K266" s="768" t="str">
        <f>IFERROR(__xludf.DUMMYFUNCTION("""COMPUTED_VALUE"""),"No")</f>
        <v>No</v>
      </c>
      <c r="L266" s="768" t="str">
        <f>IFERROR(__xludf.DUMMYFUNCTION("""COMPUTED_VALUE"""),"No")</f>
        <v>No</v>
      </c>
      <c r="M266" s="768" t="str">
        <f>IFERROR(__xludf.DUMMYFUNCTION("""COMPUTED_VALUE"""),"No")</f>
        <v>No</v>
      </c>
      <c r="N266" s="768">
        <f>IFERROR(__xludf.DUMMYFUNCTION("""COMPUTED_VALUE"""),2027.0)</f>
        <v>2027</v>
      </c>
      <c r="O266" s="768"/>
      <c r="P266" s="768"/>
      <c r="Q266" s="768"/>
      <c r="R266" s="768"/>
      <c r="S266" s="768"/>
      <c r="T266" s="768"/>
      <c r="U266" s="768"/>
      <c r="V266" s="768"/>
      <c r="W266" s="768"/>
      <c r="X266" s="768"/>
      <c r="Y266" s="768"/>
      <c r="Z266" s="768"/>
      <c r="AA266" s="768"/>
    </row>
    <row r="267" ht="30.0" customHeight="1">
      <c r="A267" s="768" t="str">
        <f t="array" ref="A267">XLOOKUP(C267,'High School Players'!D:D,'High School Players'!K:K,"NO",0,1)</f>
        <v>XX</v>
      </c>
      <c r="B267" s="975">
        <f>IFERROR(__xludf.DUMMYFUNCTION("""COMPUTED_VALUE"""),45876.506261689814)</f>
        <v>45876.50626</v>
      </c>
      <c r="C267" s="768" t="str">
        <f>IFERROR(__xludf.DUMMYFUNCTION("""COMPUTED_VALUE"""),"Rocco Szambelan")</f>
        <v>Rocco Szambelan</v>
      </c>
      <c r="D267" s="768" t="str">
        <f>IFERROR(__xludf.DUMMYFUNCTION("""COMPUTED_VALUE"""),"rszambelan17@gmail.com")</f>
        <v>rszambelan17@gmail.com</v>
      </c>
      <c r="E267" s="768" t="str">
        <f>IFERROR(__xludf.DUMMYFUNCTION("""COMPUTED_VALUE"""),"6’2 185")</f>
        <v>6’2 185</v>
      </c>
      <c r="F267" s="768" t="str">
        <f>IFERROR(__xludf.DUMMYFUNCTION("""COMPUTED_VALUE"""),"LHP")</f>
        <v>LHP</v>
      </c>
      <c r="G267" s="768" t="str">
        <f>IFERROR(__xludf.DUMMYFUNCTION("""COMPUTED_VALUE"""),"Summer Stats - 34.2 IP 55 Ks 2.2 ERA High School - 43.2 IP 46 Ks 3 ERA")</f>
        <v>Summer Stats - 34.2 IP 55 Ks 2.2 ERA High School - 43.2 IP 46 Ks 3 ERA</v>
      </c>
      <c r="H267" s="768" t="str">
        <f>IFERROR(__xludf.DUMMYFUNCTION("""COMPUTED_VALUE"""),"3.72/4.34")</f>
        <v>3.72/4.34</v>
      </c>
      <c r="I267" s="768" t="str">
        <f>IFERROR(__xludf.DUMMYFUNCTION("""COMPUTED_VALUE"""),"ACT 21")</f>
        <v>ACT 21</v>
      </c>
      <c r="J267" s="768" t="str">
        <f>IFERROR(__xludf.DUMMYFUNCTION("""COMPUTED_VALUE"""),"Small elbow growth plate fracture (Freshman Year) No surgery")</f>
        <v>Small elbow growth plate fracture (Freshman Year) No surgery</v>
      </c>
      <c r="K267" s="768" t="str">
        <f>IFERROR(__xludf.DUMMYFUNCTION("""COMPUTED_VALUE"""),"Penicillin")</f>
        <v>Penicillin</v>
      </c>
      <c r="L267" s="768" t="str">
        <f>IFERROR(__xludf.DUMMYFUNCTION("""COMPUTED_VALUE"""),"Daily Vitamins")</f>
        <v>Daily Vitamins</v>
      </c>
      <c r="M267" s="768" t="str">
        <f>IFERROR(__xludf.DUMMYFUNCTION("""COMPUTED_VALUE"""),"No")</f>
        <v>No</v>
      </c>
      <c r="N267" s="768">
        <f>IFERROR(__xludf.DUMMYFUNCTION("""COMPUTED_VALUE"""),2026.0)</f>
        <v>2026</v>
      </c>
      <c r="O267" s="768"/>
      <c r="P267" s="768"/>
      <c r="Q267" s="768"/>
      <c r="R267" s="768"/>
      <c r="S267" s="768"/>
      <c r="T267" s="768"/>
      <c r="U267" s="768"/>
      <c r="V267" s="768"/>
      <c r="W267" s="768"/>
      <c r="X267" s="768"/>
      <c r="Y267" s="768"/>
      <c r="Z267" s="768"/>
      <c r="AA267" s="768"/>
    </row>
    <row r="268" ht="30.0" customHeight="1">
      <c r="A268" s="768">
        <f t="array" ref="A268">XLOOKUP(C268,'High School Players'!D:D,'High School Players'!K:K,"NO",0,1)</f>
        <v>0.1</v>
      </c>
      <c r="B268" s="975">
        <f>IFERROR(__xludf.DUMMYFUNCTION("""COMPUTED_VALUE"""),45881.895162719906)</f>
        <v>45881.89516</v>
      </c>
      <c r="C268" s="768" t="str">
        <f>IFERROR(__xludf.DUMMYFUNCTION("""COMPUTED_VALUE"""),"Jude Davidson")</f>
        <v>Jude Davidson</v>
      </c>
      <c r="D268" s="768" t="str">
        <f>IFERROR(__xludf.DUMMYFUNCTION("""COMPUTED_VALUE"""),"judethedude78@icloud.com")</f>
        <v>judethedude78@icloud.com</v>
      </c>
      <c r="E268" s="768" t="str">
        <f>IFERROR(__xludf.DUMMYFUNCTION("""COMPUTED_VALUE"""),"6’2”")</f>
        <v>6’2”</v>
      </c>
      <c r="F268" s="768" t="str">
        <f>IFERROR(__xludf.DUMMYFUNCTION("""COMPUTED_VALUE"""),"RHP, 3B")</f>
        <v>RHP, 3B</v>
      </c>
      <c r="G268" s="768" t="str">
        <f>IFERROR(__xludf.DUMMYFUNCTION("""COMPUTED_VALUE"""),"8-0, 1.48 ERA in 6A HS ball, second team all metro as a sophomore. 2.54 ERA,  .428 BA in summer ball. Futures games participant")</f>
        <v>8-0, 1.48 ERA in 6A HS ball, second team all metro as a sophomore. 2.54 ERA,  .428 BA in summer ball. Futures games participant</v>
      </c>
      <c r="H268" s="768" t="str">
        <f>IFERROR(__xludf.DUMMYFUNCTION("""COMPUTED_VALUE"""),"4.0/4.6")</f>
        <v>4.0/4.6</v>
      </c>
      <c r="I268" s="768" t="str">
        <f>IFERROR(__xludf.DUMMYFUNCTION("""COMPUTED_VALUE"""),"34 ACT")</f>
        <v>34 ACT</v>
      </c>
      <c r="J268" s="768" t="str">
        <f>IFERROR(__xludf.DUMMYFUNCTION("""COMPUTED_VALUE"""),"Some growth plate issues in 7th grade, none serious or continuing")</f>
        <v>Some growth plate issues in 7th grade, none serious or continuing</v>
      </c>
      <c r="K268" s="768" t="str">
        <f>IFERROR(__xludf.DUMMYFUNCTION("""COMPUTED_VALUE"""),"No")</f>
        <v>No</v>
      </c>
      <c r="L268" s="768" t="str">
        <f>IFERROR(__xludf.DUMMYFUNCTION("""COMPUTED_VALUE"""),"No")</f>
        <v>No</v>
      </c>
      <c r="M268" s="768" t="str">
        <f>IFERROR(__xludf.DUMMYFUNCTION("""COMPUTED_VALUE"""),"No")</f>
        <v>No</v>
      </c>
      <c r="N268" s="768">
        <f>IFERROR(__xludf.DUMMYFUNCTION("""COMPUTED_VALUE"""),2027.0)</f>
        <v>2027</v>
      </c>
      <c r="O268" s="768"/>
      <c r="P268" s="768"/>
      <c r="Q268" s="768"/>
      <c r="R268" s="768"/>
      <c r="S268" s="768"/>
      <c r="T268" s="768"/>
      <c r="U268" s="768"/>
      <c r="V268" s="768"/>
      <c r="W268" s="768"/>
      <c r="X268" s="768"/>
      <c r="Y268" s="768"/>
      <c r="Z268" s="768"/>
      <c r="AA268" s="768"/>
    </row>
    <row r="269" ht="30.0" customHeight="1">
      <c r="A269" s="768">
        <f t="array" ref="A269">XLOOKUP(C269,'High School Players'!D:D,'High School Players'!K:K,"NO",0,1)</f>
        <v>0.1</v>
      </c>
      <c r="B269" s="975">
        <f>IFERROR(__xludf.DUMMYFUNCTION("""COMPUTED_VALUE"""),45889.87416799768)</f>
        <v>45889.87417</v>
      </c>
      <c r="C269" s="768" t="str">
        <f>IFERROR(__xludf.DUMMYFUNCTION("""COMPUTED_VALUE"""),"Tyler Reeder")</f>
        <v>Tyler Reeder</v>
      </c>
      <c r="D269" s="768" t="str">
        <f>IFERROR(__xludf.DUMMYFUNCTION("""COMPUTED_VALUE"""),"Tyreeder18@icloud.com")</f>
        <v>Tyreeder18@icloud.com</v>
      </c>
      <c r="E269" s="768" t="str">
        <f>IFERROR(__xludf.DUMMYFUNCTION("""COMPUTED_VALUE"""),"6’5”/215")</f>
        <v>6’5”/215</v>
      </c>
      <c r="F269" s="768" t="str">
        <f>IFERROR(__xludf.DUMMYFUNCTION("""COMPUTED_VALUE"""),"Pitcher")</f>
        <v>Pitcher</v>
      </c>
      <c r="G269" s="768" t="str">
        <f>IFERROR(__xludf.DUMMYFUNCTION("""COMPUTED_VALUE"""),"Junior year: 46.2 innings, 8-1, 1.35 ERA, 1.03 WHIP, class 3A State Semifinalists, selected to 1st Team Southwest Florida")</f>
        <v>Junior year: 46.2 innings, 8-1, 1.35 ERA, 1.03 WHIP, class 3A State Semifinalists, selected to 1st Team Southwest Florida</v>
      </c>
      <c r="H269" s="768" t="str">
        <f>IFERROR(__xludf.DUMMYFUNCTION("""COMPUTED_VALUE"""),"3.48/3.63")</f>
        <v>3.48/3.63</v>
      </c>
      <c r="I269" s="768" t="str">
        <f>IFERROR(__xludf.DUMMYFUNCTION("""COMPUTED_VALUE"""),"ACT 27")</f>
        <v>ACT 27</v>
      </c>
      <c r="J269" s="768" t="str">
        <f>IFERROR(__xludf.DUMMYFUNCTION("""COMPUTED_VALUE"""),"None")</f>
        <v>None</v>
      </c>
      <c r="K269" s="768" t="str">
        <f>IFERROR(__xludf.DUMMYFUNCTION("""COMPUTED_VALUE"""),"No")</f>
        <v>No</v>
      </c>
      <c r="L269" s="768" t="str">
        <f>IFERROR(__xludf.DUMMYFUNCTION("""COMPUTED_VALUE"""),"No")</f>
        <v>No</v>
      </c>
      <c r="M269" s="768" t="str">
        <f>IFERROR(__xludf.DUMMYFUNCTION("""COMPUTED_VALUE"""),"No")</f>
        <v>No</v>
      </c>
      <c r="N269" s="768">
        <f>IFERROR(__xludf.DUMMYFUNCTION("""COMPUTED_VALUE"""),2026.0)</f>
        <v>2026</v>
      </c>
      <c r="O269" s="768"/>
      <c r="P269" s="768"/>
      <c r="Q269" s="768"/>
      <c r="R269" s="768"/>
      <c r="S269" s="768"/>
      <c r="T269" s="768"/>
      <c r="U269" s="768"/>
      <c r="V269" s="768"/>
      <c r="W269" s="768"/>
      <c r="X269" s="768"/>
      <c r="Y269" s="768"/>
      <c r="Z269" s="768"/>
      <c r="AA269" s="768"/>
    </row>
    <row r="270" ht="30.0" customHeight="1">
      <c r="A270" s="768" t="str">
        <f t="array" ref="A270">XLOOKUP(C270,'High School Players'!D:D,'High School Players'!K:K,"NO",0,1)</f>
        <v>XX</v>
      </c>
      <c r="B270" s="975">
        <f>IFERROR(__xludf.DUMMYFUNCTION("""COMPUTED_VALUE"""),45916.49291744213)</f>
        <v>45916.49292</v>
      </c>
      <c r="C270" s="768" t="str">
        <f>IFERROR(__xludf.DUMMYFUNCTION("""COMPUTED_VALUE"""),"Liam Delp")</f>
        <v>Liam Delp</v>
      </c>
      <c r="D270" s="768" t="str">
        <f>IFERROR(__xludf.DUMMYFUNCTION("""COMPUTED_VALUE"""),"liamdelp@yahoo.com")</f>
        <v>liamdelp@yahoo.com</v>
      </c>
      <c r="E270" s="768" t="str">
        <f>IFERROR(__xludf.DUMMYFUNCTION("""COMPUTED_VALUE"""),"5’10 165LB")</f>
        <v>5’10 165LB</v>
      </c>
      <c r="F270" s="768" t="str">
        <f>IFERROR(__xludf.DUMMYFUNCTION("""COMPUTED_VALUE"""),"MIF, Utility")</f>
        <v>MIF, Utility</v>
      </c>
      <c r="G270" s="768" t="str">
        <f>IFERROR(__xludf.DUMMYFUNCTION("""COMPUTED_VALUE"""),"Center Grove High School, Honors Student")</f>
        <v>Center Grove High School, Honors Student</v>
      </c>
      <c r="H270" s="768" t="str">
        <f>IFERROR(__xludf.DUMMYFUNCTION("""COMPUTED_VALUE"""),"3.9 weighted 3.65 unweighted")</f>
        <v>3.9 weighted 3.65 unweighted</v>
      </c>
      <c r="I270" s="768" t="str">
        <f>IFERROR(__xludf.DUMMYFUNCTION("""COMPUTED_VALUE"""),"Haven’t taken yet")</f>
        <v>Haven’t taken yet</v>
      </c>
      <c r="J270" s="768" t="str">
        <f>IFERROR(__xludf.DUMMYFUNCTION("""COMPUTED_VALUE"""),"Shoulder ")</f>
        <v>Shoulder </v>
      </c>
      <c r="K270" s="768" t="str">
        <f>IFERROR(__xludf.DUMMYFUNCTION("""COMPUTED_VALUE"""),"no")</f>
        <v>no</v>
      </c>
      <c r="L270" s="768" t="str">
        <f>IFERROR(__xludf.DUMMYFUNCTION("""COMPUTED_VALUE"""),"no")</f>
        <v>no</v>
      </c>
      <c r="M270" s="768" t="str">
        <f>IFERROR(__xludf.DUMMYFUNCTION("""COMPUTED_VALUE"""),"no")</f>
        <v>no</v>
      </c>
      <c r="N270" s="768">
        <f>IFERROR(__xludf.DUMMYFUNCTION("""COMPUTED_VALUE"""),2027.0)</f>
        <v>2027</v>
      </c>
      <c r="O270" s="768"/>
      <c r="P270" s="768"/>
      <c r="Q270" s="768"/>
      <c r="R270" s="768"/>
      <c r="S270" s="768"/>
      <c r="T270" s="768"/>
      <c r="U270" s="768"/>
      <c r="V270" s="768"/>
      <c r="W270" s="768"/>
      <c r="X270" s="768"/>
      <c r="Y270" s="768"/>
      <c r="Z270" s="768"/>
      <c r="AA270" s="768"/>
    </row>
    <row r="271" ht="30.0" customHeight="1">
      <c r="A271" s="768" t="str">
        <f t="array" ref="A271">XLOOKUP(C271,'High School Players'!D:D,'High School Players'!K:K,"NO",0,1)</f>
        <v>XX</v>
      </c>
      <c r="B271" s="975">
        <f>IFERROR(__xludf.DUMMYFUNCTION("""COMPUTED_VALUE"""),45919.84836233796)</f>
        <v>45919.84836</v>
      </c>
      <c r="C271" s="768" t="str">
        <f>IFERROR(__xludf.DUMMYFUNCTION("""COMPUTED_VALUE"""),"Connor Brooks")</f>
        <v>Connor Brooks</v>
      </c>
      <c r="D271" s="768" t="str">
        <f>IFERROR(__xludf.DUMMYFUNCTION("""COMPUTED_VALUE"""),"tigercubcb5@gmail.com")</f>
        <v>tigercubcb5@gmail.com</v>
      </c>
      <c r="E271" s="768" t="str">
        <f>IFERROR(__xludf.DUMMYFUNCTION("""COMPUTED_VALUE"""),"5’10/130")</f>
        <v>5’10/130</v>
      </c>
      <c r="F271" s="768" t="str">
        <f>IFERROR(__xludf.DUMMYFUNCTION("""COMPUTED_VALUE"""),"Pitcher")</f>
        <v>Pitcher</v>
      </c>
      <c r="G271" s="768" t="str">
        <f>IFERROR(__xludf.DUMMYFUNCTION("""COMPUTED_VALUE"""),"Summer Stats - 19.1 Innings, 20 strikeouts, 7 hits, 1 walk, 0.00 ERA, .41 WHIP")</f>
        <v>Summer Stats - 19.1 Innings, 20 strikeouts, 7 hits, 1 walk, 0.00 ERA, .41 WHIP</v>
      </c>
      <c r="H271" s="768" t="str">
        <f>IFERROR(__xludf.DUMMYFUNCTION("""COMPUTED_VALUE"""),"Don’t know by unweighted GPA/ 4.171 weighted")</f>
        <v>Don’t know by unweighted GPA/ 4.171 weighted</v>
      </c>
      <c r="I271" s="768" t="str">
        <f>IFERROR(__xludf.DUMMYFUNCTION("""COMPUTED_VALUE"""),"Haven’t took either")</f>
        <v>Haven’t took either</v>
      </c>
      <c r="J271" s="768" t="str">
        <f>IFERROR(__xludf.DUMMYFUNCTION("""COMPUTED_VALUE"""),"Haven’t got hurt since 7th grade, Tendon Strain")</f>
        <v>Haven’t got hurt since 7th grade, Tendon Strain</v>
      </c>
      <c r="K271" s="768" t="str">
        <f>IFERROR(__xludf.DUMMYFUNCTION("""COMPUTED_VALUE"""),"No")</f>
        <v>No</v>
      </c>
      <c r="L271" s="768" t="str">
        <f>IFERROR(__xludf.DUMMYFUNCTION("""COMPUTED_VALUE"""),"No")</f>
        <v>No</v>
      </c>
      <c r="M271" s="768" t="str">
        <f>IFERROR(__xludf.DUMMYFUNCTION("""COMPUTED_VALUE"""),"No")</f>
        <v>No</v>
      </c>
      <c r="N271" s="768">
        <f>IFERROR(__xludf.DUMMYFUNCTION("""COMPUTED_VALUE"""),2027.0)</f>
        <v>2027</v>
      </c>
      <c r="O271" s="768"/>
      <c r="P271" s="768"/>
      <c r="Q271" s="768"/>
      <c r="R271" s="768"/>
      <c r="S271" s="768"/>
      <c r="T271" s="768"/>
      <c r="U271" s="768"/>
      <c r="V271" s="768"/>
      <c r="W271" s="768"/>
      <c r="X271" s="768"/>
      <c r="Y271" s="768"/>
      <c r="Z271" s="768"/>
      <c r="AA271" s="768"/>
    </row>
    <row r="272" ht="30.0" customHeight="1">
      <c r="A272" s="768" t="str">
        <f t="array" ref="A272">XLOOKUP(C272,'High School Players'!D:D,'High School Players'!K:K,"NO",0,1)</f>
        <v>XX</v>
      </c>
      <c r="B272" s="975">
        <f>IFERROR(__xludf.DUMMYFUNCTION("""COMPUTED_VALUE"""),45921.036741724536)</f>
        <v>45921.03674</v>
      </c>
      <c r="C272" s="768" t="str">
        <f>IFERROR(__xludf.DUMMYFUNCTION("""COMPUTED_VALUE"""),"Jake Watts")</f>
        <v>Jake Watts</v>
      </c>
      <c r="D272" s="768" t="str">
        <f>IFERROR(__xludf.DUMMYFUNCTION("""COMPUTED_VALUE"""),"jakewatts319@gmail.com")</f>
        <v>jakewatts319@gmail.com</v>
      </c>
      <c r="E272" s="768" t="str">
        <f>IFERROR(__xludf.DUMMYFUNCTION("""COMPUTED_VALUE"""),"6”1 165lbs")</f>
        <v>6”1 165lbs</v>
      </c>
      <c r="F272" s="768" t="str">
        <f>IFERROR(__xludf.DUMMYFUNCTION("""COMPUTED_VALUE"""),"Right Handed Pitcher")</f>
        <v>Right Handed Pitcher</v>
      </c>
      <c r="G272" s="768" t="str">
        <f>IFERROR(__xludf.DUMMYFUNCTION("""COMPUTED_VALUE"""),"High School Season: 4.67 Era in 30 IP 30 Hits 32 Runs 20 ER 18 BB 45 Ks Summer Season: 1.9 ERA 25 IP 13 Runs 7 ER 24 BB 30 Ks .169 BAA 1.5 WHIP")</f>
        <v>High School Season: 4.67 Era in 30 IP 30 Hits 32 Runs 20 ER 18 BB 45 Ks Summer Season: 1.9 ERA 25 IP 13 Runs 7 ER 24 BB 30 Ks .169 BAA 1.5 WHIP</v>
      </c>
      <c r="H272" s="768" t="str">
        <f>IFERROR(__xludf.DUMMYFUNCTION("""COMPUTED_VALUE"""),"3.4 UW/3.76 W")</f>
        <v>3.4 UW/3.76 W</v>
      </c>
      <c r="I272" s="768" t="str">
        <f>IFERROR(__xludf.DUMMYFUNCTION("""COMPUTED_VALUE"""),"N/A")</f>
        <v>N/A</v>
      </c>
      <c r="J272" s="768" t="str">
        <f>IFERROR(__xludf.DUMMYFUNCTION("""COMPUTED_VALUE"""),"When I was younger I hurt my arm 12u Year, nothing else.")</f>
        <v>When I was younger I hurt my arm 12u Year, nothing else.</v>
      </c>
      <c r="K272" s="768" t="str">
        <f>IFERROR(__xludf.DUMMYFUNCTION("""COMPUTED_VALUE"""),"N/A")</f>
        <v>N/A</v>
      </c>
      <c r="L272" s="768" t="str">
        <f>IFERROR(__xludf.DUMMYFUNCTION("""COMPUTED_VALUE"""),"N/A")</f>
        <v>N/A</v>
      </c>
      <c r="M272" s="768" t="str">
        <f>IFERROR(__xludf.DUMMYFUNCTION("""COMPUTED_VALUE"""),"I have a hearing loss, so I usually use extra time on in class assignments, nothing else.")</f>
        <v>I have a hearing loss, so I usually use extra time on in class assignments, nothing else.</v>
      </c>
      <c r="N272" s="768">
        <f>IFERROR(__xludf.DUMMYFUNCTION("""COMPUTED_VALUE"""),2027.0)</f>
        <v>2027</v>
      </c>
      <c r="O272" s="768"/>
      <c r="P272" s="768"/>
      <c r="Q272" s="768"/>
      <c r="R272" s="768"/>
      <c r="S272" s="768"/>
      <c r="T272" s="768"/>
      <c r="U272" s="768"/>
      <c r="V272" s="768"/>
      <c r="W272" s="768"/>
      <c r="X272" s="768"/>
      <c r="Y272" s="768"/>
      <c r="Z272" s="768"/>
      <c r="AA272" s="768"/>
    </row>
    <row r="273" ht="30.0" customHeight="1">
      <c r="A273" s="768" t="str">
        <f t="array" ref="A273">XLOOKUP(C273,'High School Players'!D:D,'High School Players'!K:K,"NO",0,1)</f>
        <v>NO</v>
      </c>
      <c r="B273" s="975">
        <f>IFERROR(__xludf.DUMMYFUNCTION("""COMPUTED_VALUE"""),45921.476378287036)</f>
        <v>45921.47638</v>
      </c>
      <c r="C273" s="768" t="str">
        <f>IFERROR(__xludf.DUMMYFUNCTION("""COMPUTED_VALUE"""),"Max McDougall ")</f>
        <v>Max McDougall </v>
      </c>
      <c r="D273" s="768" t="str">
        <f>IFERROR(__xludf.DUMMYFUNCTION("""COMPUTED_VALUE"""),"mcdougallm39@gmail.com")</f>
        <v>mcdougallm39@gmail.com</v>
      </c>
      <c r="E273" s="768" t="str">
        <f>IFERROR(__xludf.DUMMYFUNCTION("""COMPUTED_VALUE"""),"5'11/ 180")</f>
        <v>5'11/ 180</v>
      </c>
      <c r="F273" s="768" t="str">
        <f>IFERROR(__xludf.DUMMYFUNCTION("""COMPUTED_VALUE"""),"RHP/ UT")</f>
        <v>RHP/ UT</v>
      </c>
      <c r="G273" s="768" t="str">
        <f>IFERROR(__xludf.DUMMYFUNCTION("""COMPUTED_VALUE"""),"HS Pitching: 59.1 IP/ 62 K/ 42 H/ 21 ER/ 20 BB) Summer pitching: 17 IP/ 25 K/ 3 H/ 8 BB/ 0.00 era  ")</f>
        <v>HS Pitching: 59.1 IP/ 62 K/ 42 H/ 21 ER/ 20 BB) Summer pitching: 17 IP/ 25 K/ 3 H/ 8 BB/ 0.00 era  </v>
      </c>
      <c r="H273" s="768" t="str">
        <f>IFERROR(__xludf.DUMMYFUNCTION("""COMPUTED_VALUE"""),"3.5/4.3")</f>
        <v>3.5/4.3</v>
      </c>
      <c r="I273" s="768" t="str">
        <f>IFERROR(__xludf.DUMMYFUNCTION("""COMPUTED_VALUE"""),"1230 SAT")</f>
        <v>1230 SAT</v>
      </c>
      <c r="J273" s="768" t="str">
        <f>IFERROR(__xludf.DUMMYFUNCTION("""COMPUTED_VALUE"""),"UCL repair November 2022")</f>
        <v>UCL repair November 2022</v>
      </c>
      <c r="K273" s="768" t="str">
        <f>IFERROR(__xludf.DUMMYFUNCTION("""COMPUTED_VALUE"""),"N/A")</f>
        <v>N/A</v>
      </c>
      <c r="L273" s="768" t="str">
        <f>IFERROR(__xludf.DUMMYFUNCTION("""COMPUTED_VALUE"""),"N/A")</f>
        <v>N/A</v>
      </c>
      <c r="M273" s="768" t="str">
        <f>IFERROR(__xludf.DUMMYFUNCTION("""COMPUTED_VALUE"""),"N/A")</f>
        <v>N/A</v>
      </c>
      <c r="N273" s="768">
        <f>IFERROR(__xludf.DUMMYFUNCTION("""COMPUTED_VALUE"""),2026.0)</f>
        <v>2026</v>
      </c>
      <c r="O273" s="768"/>
      <c r="P273" s="768"/>
      <c r="Q273" s="768"/>
      <c r="R273" s="768"/>
      <c r="S273" s="768"/>
      <c r="T273" s="768"/>
      <c r="U273" s="768"/>
      <c r="V273" s="768"/>
      <c r="W273" s="768"/>
      <c r="X273" s="768"/>
      <c r="Y273" s="768"/>
      <c r="Z273" s="768"/>
      <c r="AA273" s="768"/>
    </row>
    <row r="274" ht="30.0" customHeight="1">
      <c r="A274" s="768" t="str">
        <f t="array" ref="A274">XLOOKUP(C274,'High School Players'!D:D,'High School Players'!K:K,"NO",0,1)</f>
        <v>NO</v>
      </c>
      <c r="B274" s="975">
        <f>IFERROR(__xludf.DUMMYFUNCTION("""COMPUTED_VALUE"""),45922.433785347224)</f>
        <v>45922.43379</v>
      </c>
      <c r="C274" s="768" t="str">
        <f>IFERROR(__xludf.DUMMYFUNCTION("""COMPUTED_VALUE"""),"Peter Ward")</f>
        <v>Peter Ward</v>
      </c>
      <c r="D274" s="768" t="str">
        <f>IFERROR(__xludf.DUMMYFUNCTION("""COMPUTED_VALUE"""),"petereward07@icloud.com")</f>
        <v>petereward07@icloud.com</v>
      </c>
      <c r="E274" s="768" t="str">
        <f>IFERROR(__xludf.DUMMYFUNCTION("""COMPUTED_VALUE"""),"6’3/193")</f>
        <v>6’3/193</v>
      </c>
      <c r="F274" s="768" t="str">
        <f>IFERROR(__xludf.DUMMYFUNCTION("""COMPUTED_VALUE"""),"RHP")</f>
        <v>RHP</v>
      </c>
      <c r="G274" s="768" t="str">
        <f>IFERROR(__xludf.DUMMYFUNCTION("""COMPUTED_VALUE"""),"Been injured, haven’t recorded full season stats")</f>
        <v>Been injured, haven’t recorded full season stats</v>
      </c>
      <c r="H274" s="768" t="str">
        <f>IFERROR(__xludf.DUMMYFUNCTION("""COMPUTED_VALUE"""),"3.67/3.8")</f>
        <v>3.67/3.8</v>
      </c>
      <c r="I274" s="768">
        <f>IFERROR(__xludf.DUMMYFUNCTION("""COMPUTED_VALUE"""),1060.0)</f>
        <v>1060</v>
      </c>
      <c r="J274" s="768" t="str">
        <f>IFERROR(__xludf.DUMMYFUNCTION("""COMPUTED_VALUE"""),"UCL sprain")</f>
        <v>UCL sprain</v>
      </c>
      <c r="K274" s="768" t="str">
        <f>IFERROR(__xludf.DUMMYFUNCTION("""COMPUTED_VALUE"""),"None")</f>
        <v>None</v>
      </c>
      <c r="L274" s="768" t="str">
        <f>IFERROR(__xludf.DUMMYFUNCTION("""COMPUTED_VALUE"""),"None")</f>
        <v>None</v>
      </c>
      <c r="M274" s="768" t="str">
        <f>IFERROR(__xludf.DUMMYFUNCTION("""COMPUTED_VALUE"""),"None")</f>
        <v>None</v>
      </c>
      <c r="N274" s="768">
        <f>IFERROR(__xludf.DUMMYFUNCTION("""COMPUTED_VALUE"""),2026.0)</f>
        <v>2026</v>
      </c>
      <c r="O274" s="768"/>
      <c r="P274" s="768"/>
      <c r="Q274" s="768"/>
      <c r="R274" s="768"/>
      <c r="S274" s="768"/>
      <c r="T274" s="768"/>
      <c r="U274" s="768"/>
      <c r="V274" s="768"/>
      <c r="W274" s="768"/>
      <c r="X274" s="768"/>
      <c r="Y274" s="768"/>
      <c r="Z274" s="768"/>
      <c r="AA274" s="768"/>
    </row>
    <row r="275" ht="30.0" customHeight="1">
      <c r="A275" s="768" t="str">
        <f t="array" ref="A275">XLOOKUP(C275,'High School Players'!D:D,'High School Players'!K:K,"NO",0,1)</f>
        <v>XX</v>
      </c>
      <c r="B275" s="975">
        <f>IFERROR(__xludf.DUMMYFUNCTION("""COMPUTED_VALUE"""),45924.83727697917)</f>
        <v>45924.83728</v>
      </c>
      <c r="C275" s="768" t="str">
        <f>IFERROR(__xludf.DUMMYFUNCTION("""COMPUTED_VALUE"""),"Brendan Winkler")</f>
        <v>Brendan Winkler</v>
      </c>
      <c r="D275" s="768" t="str">
        <f>IFERROR(__xludf.DUMMYFUNCTION("""COMPUTED_VALUE"""),"brendan.winkler.27@gmail.com")</f>
        <v>brendan.winkler.27@gmail.com</v>
      </c>
      <c r="E275" s="768" t="str">
        <f>IFERROR(__xludf.DUMMYFUNCTION("""COMPUTED_VALUE"""),"6’1/165")</f>
        <v>6’1/165</v>
      </c>
      <c r="F275" s="768" t="str">
        <f>IFERROR(__xludf.DUMMYFUNCTION("""COMPUTED_VALUE"""),"RHP/SS")</f>
        <v>RHP/SS</v>
      </c>
      <c r="G275" s="768" t="str">
        <f>IFERROR(__xludf.DUMMYFUNCTION("""COMPUTED_VALUE"""),"51 IP, 1.5 ERA, 64Ks, 26 BB, .187 BAA")</f>
        <v>51 IP, 1.5 ERA, 64Ks, 26 BB, .187 BAA</v>
      </c>
      <c r="H275" s="979">
        <f>IFERROR(__xludf.DUMMYFUNCTION("""COMPUTED_VALUE"""),0.92)</f>
        <v>0.92</v>
      </c>
      <c r="I275" s="768" t="str">
        <f>IFERROR(__xludf.DUMMYFUNCTION("""COMPUTED_VALUE"""),"1350 SAT/30 ACT")</f>
        <v>1350 SAT/30 ACT</v>
      </c>
      <c r="J275" s="768" t="str">
        <f>IFERROR(__xludf.DUMMYFUNCTION("""COMPUTED_VALUE"""),"right forearm pronator teres strain")</f>
        <v>right forearm pronator teres strain</v>
      </c>
      <c r="K275" s="768" t="str">
        <f>IFERROR(__xludf.DUMMYFUNCTION("""COMPUTED_VALUE"""),"penicillin ")</f>
        <v>penicillin </v>
      </c>
      <c r="L275" s="768" t="str">
        <f>IFERROR(__xludf.DUMMYFUNCTION("""COMPUTED_VALUE"""),"none")</f>
        <v>none</v>
      </c>
      <c r="M275" s="768" t="str">
        <f>IFERROR(__xludf.DUMMYFUNCTION("""COMPUTED_VALUE"""),"yes (extra time on tests)")</f>
        <v>yes (extra time on tests)</v>
      </c>
      <c r="N275" s="768">
        <f>IFERROR(__xludf.DUMMYFUNCTION("""COMPUTED_VALUE"""),2027.0)</f>
        <v>2027</v>
      </c>
      <c r="O275" s="768"/>
      <c r="P275" s="768"/>
      <c r="Q275" s="768"/>
      <c r="R275" s="768"/>
      <c r="S275" s="768"/>
      <c r="T275" s="768"/>
      <c r="U275" s="768"/>
      <c r="V275" s="768"/>
      <c r="W275" s="768"/>
      <c r="X275" s="768"/>
      <c r="Y275" s="768"/>
      <c r="Z275" s="768"/>
      <c r="AA275" s="768"/>
    </row>
    <row r="276" ht="30.0" customHeight="1">
      <c r="A276" s="768" t="str">
        <f t="array" ref="A276">XLOOKUP(C276,'High School Players'!D:D,'High School Players'!K:K,"NO",0,1)</f>
        <v>NO</v>
      </c>
      <c r="B276" s="975">
        <f>IFERROR(__xludf.DUMMYFUNCTION("""COMPUTED_VALUE"""),45925.55547569445)</f>
        <v>45925.55548</v>
      </c>
      <c r="C276" s="768" t="str">
        <f>IFERROR(__xludf.DUMMYFUNCTION("""COMPUTED_VALUE"""),"Jacob Horwitz")</f>
        <v>Jacob Horwitz</v>
      </c>
      <c r="D276" s="768" t="str">
        <f>IFERROR(__xludf.DUMMYFUNCTION("""COMPUTED_VALUE"""),"Horwitz11baseball@gmail.com")</f>
        <v>Horwitz11baseball@gmail.com</v>
      </c>
      <c r="E276" s="768" t="str">
        <f>IFERROR(__xludf.DUMMYFUNCTION("""COMPUTED_VALUE"""),"5'9 / 190")</f>
        <v>5'9 / 190</v>
      </c>
      <c r="F276" s="768" t="str">
        <f>IFERROR(__xludf.DUMMYFUNCTION("""COMPUTED_VALUE"""),"LHP")</f>
        <v>LHP</v>
      </c>
      <c r="G276" s="768" t="str">
        <f>IFERROR(__xludf.DUMMYFUNCTION("""COMPUTED_VALUE"""),"31 IP. / 50 K / 2.91 ERA. No. &amp; LHP in PA (PBR)")</f>
        <v>31 IP. / 50 K / 2.91 ERA. No. &amp; LHP in PA (PBR)</v>
      </c>
      <c r="H276" s="768" t="str">
        <f>IFERROR(__xludf.DUMMYFUNCTION("""COMPUTED_VALUE"""),"3.6 UW 3.65 W")</f>
        <v>3.6 UW 3.65 W</v>
      </c>
      <c r="I276" s="768" t="str">
        <f>IFERROR(__xludf.DUMMYFUNCTION("""COMPUTED_VALUE"""),"1330 SAT")</f>
        <v>1330 SAT</v>
      </c>
      <c r="J276" s="768" t="str">
        <f>IFERROR(__xludf.DUMMYFUNCTION("""COMPUTED_VALUE"""),"Internal brace Tommy John surgery (TJ3) in Jan. 2024")</f>
        <v>Internal brace Tommy John surgery (TJ3) in Jan. 2024</v>
      </c>
      <c r="K276" s="768"/>
      <c r="L276" s="768"/>
      <c r="M276" s="768"/>
      <c r="N276" s="768">
        <f>IFERROR(__xludf.DUMMYFUNCTION("""COMPUTED_VALUE"""),2026.0)</f>
        <v>2026</v>
      </c>
      <c r="O276" s="768"/>
      <c r="P276" s="768"/>
      <c r="Q276" s="768"/>
      <c r="R276" s="768"/>
      <c r="S276" s="768"/>
      <c r="T276" s="768"/>
      <c r="U276" s="768"/>
      <c r="V276" s="768"/>
      <c r="W276" s="768"/>
      <c r="X276" s="768"/>
      <c r="Y276" s="768"/>
      <c r="Z276" s="768"/>
      <c r="AA276" s="768"/>
    </row>
    <row r="277" ht="30.0" customHeight="1">
      <c r="A277" s="768" t="str">
        <f t="array" ref="A277">XLOOKUP(C277,'High School Players'!D:D,'High School Players'!K:K,"NO",0,1)</f>
        <v>NO</v>
      </c>
      <c r="B277" s="975">
        <f>IFERROR(__xludf.DUMMYFUNCTION("""COMPUTED_VALUE"""),45925.87090767361)</f>
        <v>45925.87091</v>
      </c>
      <c r="C277" s="768" t="str">
        <f>IFERROR(__xludf.DUMMYFUNCTION("""COMPUTED_VALUE"""),"Mason Fritz")</f>
        <v>Mason Fritz</v>
      </c>
      <c r="D277" s="768" t="str">
        <f>IFERROR(__xludf.DUMMYFUNCTION("""COMPUTED_VALUE"""),"masonafritz@gmail.com")</f>
        <v>masonafritz@gmail.com</v>
      </c>
      <c r="E277" s="768" t="str">
        <f>IFERROR(__xludf.DUMMYFUNCTION("""COMPUTED_VALUE"""),"6’3” 195lbs")</f>
        <v>6’3” 195lbs</v>
      </c>
      <c r="F277" s="768" t="str">
        <f>IFERROR(__xludf.DUMMYFUNCTION("""COMPUTED_VALUE"""),"SS, 3B, 1B, C")</f>
        <v>SS, 3B, 1B, C</v>
      </c>
      <c r="G277" s="768" t="str">
        <f>IFERROR(__xludf.DUMMYFUNCTION("""COMPUTED_VALUE"""),"AVG- .352 (.378 in district play) H- 38 2B- 13 3B- 1 HR-2 rbi-26 runs-23 sac fly-1 sb-3 f%-.971 E-3 District 2-6A co-newcomer of the year, Academic All District, All Tournament Team - Perfect Game World Series (National Bracket), Perfect Game Open @ DBU, "&amp;"Perfect Game National Elite Championship (invitational).")</f>
        <v>AVG- .352 (.378 in district play) H- 38 2B- 13 3B- 1 HR-2 rbi-26 runs-23 sac fly-1 sb-3 f%-.971 E-3 District 2-6A co-newcomer of the year, Academic All District, All Tournament Team - Perfect Game World Series (National Bracket), Perfect Game Open @ DBU, Perfect Game National Elite Championship (invitational).</v>
      </c>
      <c r="H277" s="768" t="str">
        <f>IFERROR(__xludf.DUMMYFUNCTION("""COMPUTED_VALUE"""),"4.0 unweighted")</f>
        <v>4.0 unweighted</v>
      </c>
      <c r="I277" s="768" t="str">
        <f>IFERROR(__xludf.DUMMYFUNCTION("""COMPUTED_VALUE"""),"Pending spring 2026, 2025 pre-sat- 1160")</f>
        <v>Pending spring 2026, 2025 pre-sat- 1160</v>
      </c>
      <c r="J277" s="768" t="str">
        <f>IFERROR(__xludf.DUMMYFUNCTION("""COMPUTED_VALUE"""),"N/A")</f>
        <v>N/A</v>
      </c>
      <c r="K277" s="768" t="str">
        <f>IFERROR(__xludf.DUMMYFUNCTION("""COMPUTED_VALUE"""),"None")</f>
        <v>None</v>
      </c>
      <c r="L277" s="768" t="str">
        <f>IFERROR(__xludf.DUMMYFUNCTION("""COMPUTED_VALUE"""),"No")</f>
        <v>No</v>
      </c>
      <c r="M277" s="768" t="str">
        <f>IFERROR(__xludf.DUMMYFUNCTION("""COMPUTED_VALUE"""),"No")</f>
        <v>No</v>
      </c>
      <c r="N277" s="768">
        <f>IFERROR(__xludf.DUMMYFUNCTION("""COMPUTED_VALUE"""),2027.0)</f>
        <v>2027</v>
      </c>
      <c r="O277" s="768"/>
      <c r="P277" s="768"/>
      <c r="Q277" s="768"/>
      <c r="R277" s="768"/>
      <c r="S277" s="768"/>
      <c r="T277" s="768"/>
      <c r="U277" s="768"/>
      <c r="V277" s="768"/>
      <c r="W277" s="768"/>
      <c r="X277" s="768"/>
      <c r="Y277" s="768"/>
      <c r="Z277" s="768"/>
      <c r="AA277" s="768"/>
    </row>
    <row r="278" ht="30.0" customHeight="1">
      <c r="A278" s="768" t="str">
        <f t="array" ref="A278">XLOOKUP(C278,'High School Players'!D:D,'High School Players'!K:K,"NO",0,1)</f>
        <v>XX</v>
      </c>
      <c r="B278" s="975">
        <f>IFERROR(__xludf.DUMMYFUNCTION("""COMPUTED_VALUE"""),45928.53742842593)</f>
        <v>45928.53743</v>
      </c>
      <c r="C278" s="768" t="str">
        <f>IFERROR(__xludf.DUMMYFUNCTION("""COMPUTED_VALUE"""),"David Feigner")</f>
        <v>David Feigner</v>
      </c>
      <c r="D278" s="768" t="str">
        <f>IFERROR(__xludf.DUMMYFUNCTION("""COMPUTED_VALUE"""),"david.f2007@yahoo.com")</f>
        <v>david.f2007@yahoo.com</v>
      </c>
      <c r="E278" s="768" t="str">
        <f>IFERROR(__xludf.DUMMYFUNCTION("""COMPUTED_VALUE"""),"5’10 / 180")</f>
        <v>5’10 / 180</v>
      </c>
      <c r="F278" s="768" t="str">
        <f>IFERROR(__xludf.DUMMYFUNCTION("""COMPUTED_VALUE"""),"Right Handed Pitcher ")</f>
        <v>Right Handed Pitcher </v>
      </c>
      <c r="G278" s="768" t="str">
        <f>IFERROR(__xludf.DUMMYFUNCTION("""COMPUTED_VALUE"""),"46 innings, 18 hits, 10 runs (5 earned), 18 walks, 88 strikeouts, .761 era, .110 opponent batting average. All-CIC First team pitcher (CIC=Cook Inlet Conference), CIC Pitcher of the Year, CIC Strikeout record holder. ")</f>
        <v>46 innings, 18 hits, 10 runs (5 earned), 18 walks, 88 strikeouts, .761 era, .110 opponent batting average. All-CIC First team pitcher (CIC=Cook Inlet Conference), CIC Pitcher of the Year, CIC Strikeout record holder. </v>
      </c>
      <c r="H278" s="768" t="str">
        <f>IFERROR(__xludf.DUMMYFUNCTION("""COMPUTED_VALUE"""),"3.83 / 3.97 ")</f>
        <v>3.83 / 3.97 </v>
      </c>
      <c r="I278" s="768" t="str">
        <f>IFERROR(__xludf.DUMMYFUNCTION("""COMPUTED_VALUE"""),"N/A")</f>
        <v>N/A</v>
      </c>
      <c r="J278" s="768" t="str">
        <f>IFERROR(__xludf.DUMMYFUNCTION("""COMPUTED_VALUE"""),"I had an overuse injury this summer. No surgery needed, just a few weeks off of throwing. This was the conclusion from the MRI: 1. Mild flexor origin tendinopathy and strain without tear or UCL tear. 2. Mild extensor origin tendinopathy without tear. 3. M"&amp;"ild triceps tendinopathy without tear. 4. Mild biceps tenosynovitis without tendinosis or tear. ")</f>
        <v>I had an overuse injury this summer. No surgery needed, just a few weeks off of throwing. This was the conclusion from the MRI: 1. Mild flexor origin tendinopathy and strain without tear or UCL tear. 2. Mild extensor origin tendinopathy without tear. 3. Mild triceps tendinopathy without tear. 4. Mild biceps tenosynovitis without tendinosis or tear. </v>
      </c>
      <c r="K278" s="768" t="str">
        <f>IFERROR(__xludf.DUMMYFUNCTION("""COMPUTED_VALUE"""),"No.")</f>
        <v>No.</v>
      </c>
      <c r="L278" s="768" t="str">
        <f>IFERROR(__xludf.DUMMYFUNCTION("""COMPUTED_VALUE"""),"No.")</f>
        <v>No.</v>
      </c>
      <c r="M278" s="768" t="str">
        <f>IFERROR(__xludf.DUMMYFUNCTION("""COMPUTED_VALUE"""),"No")</f>
        <v>No</v>
      </c>
      <c r="N278" s="768">
        <f>IFERROR(__xludf.DUMMYFUNCTION("""COMPUTED_VALUE"""),2026.0)</f>
        <v>2026</v>
      </c>
      <c r="O278" s="768"/>
      <c r="P278" s="768"/>
      <c r="Q278" s="768"/>
      <c r="R278" s="768"/>
      <c r="S278" s="768"/>
      <c r="T278" s="768"/>
      <c r="U278" s="768"/>
      <c r="V278" s="768"/>
      <c r="W278" s="768"/>
      <c r="X278" s="768"/>
      <c r="Y278" s="768"/>
      <c r="Z278" s="768"/>
      <c r="AA278" s="768"/>
    </row>
    <row r="279" ht="30.0" customHeight="1">
      <c r="A279" s="768">
        <f t="array" ref="A279">XLOOKUP(C279,'High School Players'!D:D,'High School Players'!K:K,"NO",0,1)</f>
        <v>2</v>
      </c>
      <c r="B279" s="975">
        <f>IFERROR(__xludf.DUMMYFUNCTION("""COMPUTED_VALUE"""),45928.77222815972)</f>
        <v>45928.77223</v>
      </c>
      <c r="C279" s="768" t="str">
        <f>IFERROR(__xludf.DUMMYFUNCTION("""COMPUTED_VALUE"""),"Connor Corlett")</f>
        <v>Connor Corlett</v>
      </c>
      <c r="D279" s="768" t="str">
        <f>IFERROR(__xludf.DUMMYFUNCTION("""COMPUTED_VALUE"""),"Corlettc@yahoo.com")</f>
        <v>Corlettc@yahoo.com</v>
      </c>
      <c r="E279" s="768" t="str">
        <f>IFERROR(__xludf.DUMMYFUNCTION("""COMPUTED_VALUE"""),"6’7, 210")</f>
        <v>6’7, 210</v>
      </c>
      <c r="F279" s="768" t="str">
        <f>IFERROR(__xludf.DUMMYFUNCTION("""COMPUTED_VALUE"""),"RHP/1B")</f>
        <v>RHP/1B</v>
      </c>
      <c r="G279" s="768" t="str">
        <f>IFERROR(__xludf.DUMMYFUNCTION("""COMPUTED_VALUE"""),"Batting:369 AVG, .924 OPS, 24H, 17RBI, 16R, 4 2B, 1 HR   Pitching: 25.2IP, 2.73 ERA, 21K, 8BB,      Fielding: 114 TC, 1.000 FP, 4DP")</f>
        <v>Batting:369 AVG, .924 OPS, 24H, 17RBI, 16R, 4 2B, 1 HR   Pitching: 25.2IP, 2.73 ERA, 21K, 8BB,      Fielding: 114 TC, 1.000 FP, 4DP</v>
      </c>
      <c r="H279" s="768" t="str">
        <f>IFERROR(__xludf.DUMMYFUNCTION("""COMPUTED_VALUE"""),"3.94/4.35")</f>
        <v>3.94/4.35</v>
      </c>
      <c r="I279" s="768" t="str">
        <f>IFERROR(__xludf.DUMMYFUNCTION("""COMPUTED_VALUE"""),"1280 SAT")</f>
        <v>1280 SAT</v>
      </c>
      <c r="J279" s="768" t="str">
        <f>IFERROR(__xludf.DUMMYFUNCTION("""COMPUTED_VALUE"""),"Broken left pinky.")</f>
        <v>Broken left pinky.</v>
      </c>
      <c r="K279" s="768" t="str">
        <f>IFERROR(__xludf.DUMMYFUNCTION("""COMPUTED_VALUE"""),"No")</f>
        <v>No</v>
      </c>
      <c r="L279" s="768" t="str">
        <f>IFERROR(__xludf.DUMMYFUNCTION("""COMPUTED_VALUE"""),"No")</f>
        <v>No</v>
      </c>
      <c r="M279" s="768" t="str">
        <f>IFERROR(__xludf.DUMMYFUNCTION("""COMPUTED_VALUE"""),"No")</f>
        <v>No</v>
      </c>
      <c r="N279" s="768">
        <f>IFERROR(__xludf.DUMMYFUNCTION("""COMPUTED_VALUE"""),2026.0)</f>
        <v>2026</v>
      </c>
      <c r="O279" s="768"/>
      <c r="P279" s="768"/>
      <c r="Q279" s="768"/>
      <c r="R279" s="768"/>
      <c r="S279" s="768"/>
      <c r="T279" s="768"/>
      <c r="U279" s="768"/>
      <c r="V279" s="768"/>
      <c r="W279" s="768"/>
      <c r="X279" s="768"/>
      <c r="Y279" s="768"/>
      <c r="Z279" s="768"/>
      <c r="AA279" s="768"/>
    </row>
    <row r="280" ht="30.0" customHeight="1">
      <c r="A280" s="768" t="str">
        <f t="array" ref="A280">XLOOKUP(C280,'High School Players'!D:D,'High School Players'!K:K,"NO",0,1)</f>
        <v>XX</v>
      </c>
      <c r="B280" s="975">
        <f>IFERROR(__xludf.DUMMYFUNCTION("""COMPUTED_VALUE"""),45928.832109270836)</f>
        <v>45928.83211</v>
      </c>
      <c r="C280" s="768" t="str">
        <f>IFERROR(__xludf.DUMMYFUNCTION("""COMPUTED_VALUE"""),"Bradley Mallette")</f>
        <v>Bradley Mallette</v>
      </c>
      <c r="D280" s="768" t="str">
        <f>IFERROR(__xludf.DUMMYFUNCTION("""COMPUTED_VALUE"""),"bradleymallette@icloud.com")</f>
        <v>bradleymallette@icloud.com</v>
      </c>
      <c r="E280" s="768" t="str">
        <f>IFERROR(__xludf.DUMMYFUNCTION("""COMPUTED_VALUE"""),"6’2” 210 LBS")</f>
        <v>6’2” 210 LBS</v>
      </c>
      <c r="F280" s="768" t="str">
        <f>IFERROR(__xludf.DUMMYFUNCTION("""COMPUTED_VALUE"""),"RHP/1B/3B")</f>
        <v>RHP/1B/3B</v>
      </c>
      <c r="G280" s="768" t="str">
        <f>IFERROR(__xludf.DUMMYFUNCTION("""COMPUTED_VALUE"""),"2x 5a Honorable mention all state- 2x First Team all Conferance, class of 2026 Colorado Top 50 Game, Sophomore year offensive stats- .419 BA, ,12 doubles, 2HR. Junior year offensive stats- .402 BA, 6 doubles, 7 HR, .450 OBP. Sophomore year pitching stats-"&amp;" 3.09 ERA, 32 IP, 30K, 6BB. Freshman Year Pitching- 8 Appearances, 13 IP, 14K, 6.46 ERA. ")</f>
        <v>2x 5a Honorable mention all state- 2x First Team all Conferance, class of 2026 Colorado Top 50 Game, Sophomore year offensive stats- .419 BA, ,12 doubles, 2HR. Junior year offensive stats- .402 BA, 6 doubles, 7 HR, .450 OBP. Sophomore year pitching stats- 3.09 ERA, 32 IP, 30K, 6BB. Freshman Year Pitching- 8 Appearances, 13 IP, 14K, 6.46 ERA. </v>
      </c>
      <c r="H280" s="768">
        <f>IFERROR(__xludf.DUMMYFUNCTION("""COMPUTED_VALUE"""),3.93)</f>
        <v>3.93</v>
      </c>
      <c r="I280" s="768" t="str">
        <f>IFERROR(__xludf.DUMMYFUNCTION("""COMPUTED_VALUE"""),"SAT- 1170 (am taking again this fall) ")</f>
        <v>SAT- 1170 (am taking again this fall) </v>
      </c>
      <c r="J280" s="768" t="str">
        <f>IFERROR(__xludf.DUMMYFUNCTION("""COMPUTED_VALUE"""),"Broken elbow 8th grade summer, broken Left Hand Freshamn year, Sprained ankle in football last year. ")</f>
        <v>Broken elbow 8th grade summer, broken Left Hand Freshamn year, Sprained ankle in football last year. </v>
      </c>
      <c r="K280" s="768" t="str">
        <f>IFERROR(__xludf.DUMMYFUNCTION("""COMPUTED_VALUE"""),"None ")</f>
        <v>None </v>
      </c>
      <c r="L280" s="768" t="str">
        <f>IFERROR(__xludf.DUMMYFUNCTION("""COMPUTED_VALUE"""),"None ")</f>
        <v>None </v>
      </c>
      <c r="M280" s="768" t="str">
        <f>IFERROR(__xludf.DUMMYFUNCTION("""COMPUTED_VALUE"""),"None ")</f>
        <v>None </v>
      </c>
      <c r="N280" s="768">
        <f>IFERROR(__xludf.DUMMYFUNCTION("""COMPUTED_VALUE"""),2026.0)</f>
        <v>2026</v>
      </c>
      <c r="O280" s="768"/>
      <c r="P280" s="768"/>
      <c r="Q280" s="768"/>
      <c r="R280" s="768"/>
      <c r="S280" s="768"/>
      <c r="T280" s="768"/>
      <c r="U280" s="768"/>
      <c r="V280" s="768"/>
      <c r="W280" s="768"/>
      <c r="X280" s="768"/>
      <c r="Y280" s="768"/>
      <c r="Z280" s="768"/>
      <c r="AA280" s="768"/>
    </row>
    <row r="281" ht="30.0" customHeight="1">
      <c r="A281" s="768" t="str">
        <f t="array" ref="A281">XLOOKUP(C281,'High School Players'!D:D,'High School Players'!K:K,"NO",0,1)</f>
        <v>XX</v>
      </c>
      <c r="B281" s="975">
        <f>IFERROR(__xludf.DUMMYFUNCTION("""COMPUTED_VALUE"""),45929.75865982639)</f>
        <v>45929.75866</v>
      </c>
      <c r="C281" s="768" t="str">
        <f>IFERROR(__xludf.DUMMYFUNCTION("""COMPUTED_VALUE"""),"Braedon MacKay")</f>
        <v>Braedon MacKay</v>
      </c>
      <c r="D281" s="768" t="str">
        <f>IFERROR(__xludf.DUMMYFUNCTION("""COMPUTED_VALUE"""),"braedonmackay@icloud.com")</f>
        <v>braedonmackay@icloud.com</v>
      </c>
      <c r="E281" s="768">
        <f>IFERROR(__xludf.DUMMYFUNCTION("""COMPUTED_VALUE"""),195.0)</f>
        <v>195</v>
      </c>
      <c r="F281" s="768" t="str">
        <f>IFERROR(__xludf.DUMMYFUNCTION("""COMPUTED_VALUE"""),"SS/3B")</f>
        <v>SS/3B</v>
      </c>
      <c r="G281" s="768" t="str">
        <f>IFERROR(__xludf.DUMMYFUNCTION("""COMPUTED_VALUE"""),"309 BA, 29 hits, 28 RBIs, 10 Doubles, 1 homerun")</f>
        <v>309 BA, 29 hits, 28 RBIs, 10 Doubles, 1 homerun</v>
      </c>
      <c r="H281" s="768" t="str">
        <f>IFERROR(__xludf.DUMMYFUNCTION("""COMPUTED_VALUE"""),"3.41 Unweighted and 4.27 Weighted")</f>
        <v>3.41 Unweighted and 4.27 Weighted</v>
      </c>
      <c r="I281" s="768" t="str">
        <f>IFERROR(__xludf.DUMMYFUNCTION("""COMPUTED_VALUE"""),"N/A")</f>
        <v>N/A</v>
      </c>
      <c r="J281" s="768" t="str">
        <f>IFERROR(__xludf.DUMMYFUNCTION("""COMPUTED_VALUE"""),"N/A")</f>
        <v>N/A</v>
      </c>
      <c r="K281" s="768"/>
      <c r="L281" s="768"/>
      <c r="M281" s="768"/>
      <c r="N281" s="768">
        <f>IFERROR(__xludf.DUMMYFUNCTION("""COMPUTED_VALUE"""),2027.0)</f>
        <v>2027</v>
      </c>
      <c r="O281" s="768"/>
      <c r="P281" s="768"/>
      <c r="Q281" s="768"/>
      <c r="R281" s="768"/>
      <c r="S281" s="768"/>
      <c r="T281" s="768"/>
      <c r="U281" s="768"/>
      <c r="V281" s="768"/>
      <c r="W281" s="768"/>
      <c r="X281" s="768"/>
      <c r="Y281" s="768"/>
      <c r="Z281" s="768"/>
      <c r="AA281" s="768"/>
    </row>
    <row r="282" ht="30.0" customHeight="1">
      <c r="A282" s="768" t="str">
        <f t="array" ref="A282">XLOOKUP(C282,'High School Players'!D:D,'High School Players'!K:K,"NO",0,1)</f>
        <v>XX</v>
      </c>
      <c r="B282" s="975">
        <f>IFERROR(__xludf.DUMMYFUNCTION("""COMPUTED_VALUE"""),45929.804828333334)</f>
        <v>45929.80483</v>
      </c>
      <c r="C282" s="768" t="str">
        <f>IFERROR(__xludf.DUMMYFUNCTION("""COMPUTED_VALUE"""),"Owen Shirey")</f>
        <v>Owen Shirey</v>
      </c>
      <c r="D282" s="768" t="str">
        <f>IFERROR(__xludf.DUMMYFUNCTION("""COMPUTED_VALUE"""),"owen.shirey@providenceday.org")</f>
        <v>owen.shirey@providenceday.org</v>
      </c>
      <c r="E282" s="768" t="str">
        <f>IFERROR(__xludf.DUMMYFUNCTION("""COMPUTED_VALUE"""),"6'1''/175lbs")</f>
        <v>6'1''/175lbs</v>
      </c>
      <c r="F282" s="768" t="str">
        <f>IFERROR(__xludf.DUMMYFUNCTION("""COMPUTED_VALUE"""),"SS/2nd/3rd/RHP")</f>
        <v>SS/2nd/3rd/RHP</v>
      </c>
      <c r="G282" s="768" t="str">
        <f>IFERROR(__xludf.DUMMYFUNCTION("""COMPUTED_VALUE"""),"Summer 2025 Perfect Game - 3.93 BA, .500 OBP I Soph YR HS, .378 OBP, 2,22 ERA over 28 innings I Fresh YR HS, .353 OBP, 4.04 ERA over 43 innings  ")</f>
        <v>Summer 2025 Perfect Game - 3.93 BA, .500 OBP I Soph YR HS, .378 OBP, 2,22 ERA over 28 innings I Fresh YR HS, .353 OBP, 4.04 ERA over 43 innings  </v>
      </c>
      <c r="H282" s="768" t="str">
        <f>IFERROR(__xludf.DUMMYFUNCTION("""COMPUTED_VALUE"""),"3.68/3.68")</f>
        <v>3.68/3.68</v>
      </c>
      <c r="I282" s="768" t="str">
        <f>IFERROR(__xludf.DUMMYFUNCTION("""COMPUTED_VALUE"""),"TBD")</f>
        <v>TBD</v>
      </c>
      <c r="J282" s="768" t="str">
        <f>IFERROR(__xludf.DUMMYFUNCTION("""COMPUTED_VALUE"""),"No Surgeries; Left Wrist Scaphoid Fracture - HS Basketball, January 2025, continued to play point guard, earned MVP honors, but missed first half of baseball season, wrist was in cast and splint for 6 weeks, but i could throw with right hand. ")</f>
        <v>No Surgeries; Left Wrist Scaphoid Fracture - HS Basketball, January 2025, continued to play point guard, earned MVP honors, but missed first half of baseball season, wrist was in cast and splint for 6 weeks, but i could throw with right hand. </v>
      </c>
      <c r="K282" s="768" t="str">
        <f>IFERROR(__xludf.DUMMYFUNCTION("""COMPUTED_VALUE"""),"No")</f>
        <v>No</v>
      </c>
      <c r="L282" s="768" t="str">
        <f>IFERROR(__xludf.DUMMYFUNCTION("""COMPUTED_VALUE"""),"Yes - Zyrtec for seasonal allergies")</f>
        <v>Yes - Zyrtec for seasonal allergies</v>
      </c>
      <c r="M282" s="768" t="str">
        <f>IFERROR(__xludf.DUMMYFUNCTION("""COMPUTED_VALUE"""),"No")</f>
        <v>No</v>
      </c>
      <c r="N282" s="768">
        <f>IFERROR(__xludf.DUMMYFUNCTION("""COMPUTED_VALUE"""),2027.0)</f>
        <v>2027</v>
      </c>
      <c r="O282" s="768"/>
      <c r="P282" s="768"/>
      <c r="Q282" s="768"/>
      <c r="R282" s="768"/>
      <c r="S282" s="768"/>
      <c r="T282" s="768"/>
      <c r="U282" s="768"/>
      <c r="V282" s="768"/>
      <c r="W282" s="768"/>
      <c r="X282" s="768"/>
      <c r="Y282" s="768"/>
      <c r="Z282" s="768"/>
      <c r="AA282" s="768"/>
    </row>
    <row r="283" ht="30.0" customHeight="1">
      <c r="A283" s="768">
        <f t="array" ref="A283">XLOOKUP(C283,'High School Players'!D:D,'High School Players'!K:K,"NO",0,1)</f>
        <v>2</v>
      </c>
      <c r="B283" s="975">
        <f>IFERROR(__xludf.DUMMYFUNCTION("""COMPUTED_VALUE"""),45929.83552861111)</f>
        <v>45929.83553</v>
      </c>
      <c r="C283" s="768" t="str">
        <f>IFERROR(__xludf.DUMMYFUNCTION("""COMPUTED_VALUE"""),"Joey Terhaar")</f>
        <v>Joey Terhaar</v>
      </c>
      <c r="D283" s="768" t="str">
        <f>IFERROR(__xludf.DUMMYFUNCTION("""COMPUTED_VALUE"""),"jaterha18@icloud.com")</f>
        <v>jaterha18@icloud.com</v>
      </c>
      <c r="E283" s="768" t="str">
        <f>IFERROR(__xludf.DUMMYFUNCTION("""COMPUTED_VALUE"""),"6'1 155")</f>
        <v>6'1 155</v>
      </c>
      <c r="F283" s="768" t="str">
        <f>IFERROR(__xludf.DUMMYFUNCTION("""COMPUTED_VALUE"""),"LHP and OF")</f>
        <v>LHP and OF</v>
      </c>
      <c r="G283" s="768" t="str">
        <f>IFERROR(__xludf.DUMMYFUNCTION("""COMPUTED_VALUE"""),"High School stats: 22 ab's, avg .227, obp .370, ops .643, 5 hits 4 singles and 1 double, pitching: 30.2 IP, 35 SO, 2.2 ERA, .231 BAA | Summer Stats: 40 AB, 14 hits 11 singles 1 double and 2 HR, avg .350, obp .519, ops 1.044, slg .525, Pitching 16 IP, 21 S"&amp;"O, 9 hits, 2.6 ERA, .158 BAA")</f>
        <v>High School stats: 22 ab's, avg .227, obp .370, ops .643, 5 hits 4 singles and 1 double, pitching: 30.2 IP, 35 SO, 2.2 ERA, .231 BAA | Summer Stats: 40 AB, 14 hits 11 singles 1 double and 2 HR, avg .350, obp .519, ops 1.044, slg .525, Pitching 16 IP, 21 SO, 9 hits, 2.6 ERA, .158 BAA</v>
      </c>
      <c r="H283" s="768" t="str">
        <f>IFERROR(__xludf.DUMMYFUNCTION("""COMPUTED_VALUE"""),"3.8 (not sure on waited)")</f>
        <v>3.8 (not sure on waited)</v>
      </c>
      <c r="I283" s="768" t="str">
        <f>IFERROR(__xludf.DUMMYFUNCTION("""COMPUTED_VALUE"""),"Have not taken yet")</f>
        <v>Have not taken yet</v>
      </c>
      <c r="J283" s="768" t="str">
        <f>IFERROR(__xludf.DUMMYFUNCTION("""COMPUTED_VALUE"""),"N/A")</f>
        <v>N/A</v>
      </c>
      <c r="K283" s="768" t="str">
        <f>IFERROR(__xludf.DUMMYFUNCTION("""COMPUTED_VALUE"""),"N/A")</f>
        <v>N/A</v>
      </c>
      <c r="L283" s="768" t="str">
        <f>IFERROR(__xludf.DUMMYFUNCTION("""COMPUTED_VALUE"""),"N/A")</f>
        <v>N/A</v>
      </c>
      <c r="M283" s="768" t="str">
        <f>IFERROR(__xludf.DUMMYFUNCTION("""COMPUTED_VALUE"""),"N/A")</f>
        <v>N/A</v>
      </c>
      <c r="N283" s="768">
        <f>IFERROR(__xludf.DUMMYFUNCTION("""COMPUTED_VALUE"""),2027.0)</f>
        <v>2027</v>
      </c>
      <c r="O283" s="768"/>
      <c r="P283" s="768"/>
      <c r="Q283" s="768"/>
      <c r="R283" s="768"/>
      <c r="S283" s="768"/>
      <c r="T283" s="768"/>
      <c r="U283" s="768"/>
      <c r="V283" s="768"/>
      <c r="W283" s="768"/>
      <c r="X283" s="768"/>
      <c r="Y283" s="768"/>
      <c r="Z283" s="768"/>
      <c r="AA283" s="768"/>
    </row>
    <row r="284" ht="30.0" customHeight="1">
      <c r="A284" s="768" t="str">
        <f t="array" ref="A284">XLOOKUP(C284,'High School Players'!D:D,'High School Players'!K:K,"NO",0,1)</f>
        <v>XX</v>
      </c>
      <c r="B284" s="975">
        <f>IFERROR(__xludf.DUMMYFUNCTION("""COMPUTED_VALUE"""),45929.83579561343)</f>
        <v>45929.8358</v>
      </c>
      <c r="C284" s="768" t="str">
        <f>IFERROR(__xludf.DUMMYFUNCTION("""COMPUTED_VALUE"""),"Eli Cash")</f>
        <v>Eli Cash</v>
      </c>
      <c r="D284" s="768" t="str">
        <f>IFERROR(__xludf.DUMMYFUNCTION("""COMPUTED_VALUE"""),"elicash08@gmail.com")</f>
        <v>elicash08@gmail.com</v>
      </c>
      <c r="E284" s="768" t="str">
        <f>IFERROR(__xludf.DUMMYFUNCTION("""COMPUTED_VALUE"""),"6'2"" / 165")</f>
        <v>6'2" / 165</v>
      </c>
      <c r="F284" s="768" t="str">
        <f>IFERROR(__xludf.DUMMYFUNCTION("""COMPUTED_VALUE"""),"RHP")</f>
        <v>RHP</v>
      </c>
      <c r="G284" s="768" t="str">
        <f>IFERROR(__xludf.DUMMYFUNCTION("""COMPUTED_VALUE"""),"Summer stats - 25.1 inn, 24 hits, 13ER, 32Ks, 11BB, ERA 3.592 ")</f>
        <v>Summer stats - 25.1 inn, 24 hits, 13ER, 32Ks, 11BB, ERA 3.592 </v>
      </c>
      <c r="H284" s="768" t="str">
        <f>IFERROR(__xludf.DUMMYFUNCTION("""COMPUTED_VALUE"""),"3.353/3.618")</f>
        <v>3.353/3.618</v>
      </c>
      <c r="I284" s="768" t="str">
        <f>IFERROR(__xludf.DUMMYFUNCTION("""COMPUTED_VALUE"""),"Have not taken yet")</f>
        <v>Have not taken yet</v>
      </c>
      <c r="J284" s="768" t="str">
        <f>IFERROR(__xludf.DUMMYFUNCTION("""COMPUTED_VALUE"""),"No Injuries")</f>
        <v>No Injuries</v>
      </c>
      <c r="K284" s="768" t="str">
        <f>IFERROR(__xludf.DUMMYFUNCTION("""COMPUTED_VALUE"""),"No allergies")</f>
        <v>No allergies</v>
      </c>
      <c r="L284" s="768" t="str">
        <f>IFERROR(__xludf.DUMMYFUNCTION("""COMPUTED_VALUE"""),"Minocycline 50mg for acne")</f>
        <v>Minocycline 50mg for acne</v>
      </c>
      <c r="M284" s="768" t="str">
        <f>IFERROR(__xludf.DUMMYFUNCTION("""COMPUTED_VALUE"""),"No")</f>
        <v>No</v>
      </c>
      <c r="N284" s="768">
        <f>IFERROR(__xludf.DUMMYFUNCTION("""COMPUTED_VALUE"""),2027.0)</f>
        <v>2027</v>
      </c>
      <c r="O284" s="768"/>
      <c r="P284" s="768"/>
      <c r="Q284" s="768"/>
      <c r="R284" s="768"/>
      <c r="S284" s="768"/>
      <c r="T284" s="768"/>
      <c r="U284" s="768"/>
      <c r="V284" s="768"/>
      <c r="W284" s="768"/>
      <c r="X284" s="768"/>
      <c r="Y284" s="768"/>
      <c r="Z284" s="768"/>
      <c r="AA284" s="768"/>
    </row>
    <row r="285" ht="30.0" customHeight="1">
      <c r="A285" s="768" t="str">
        <f t="array" ref="A285">XLOOKUP(C285,'High School Players'!D:D,'High School Players'!K:K,"NO",0,1)</f>
        <v>NO</v>
      </c>
      <c r="B285" s="975">
        <f>IFERROR(__xludf.DUMMYFUNCTION("""COMPUTED_VALUE"""),45929.99224465278)</f>
        <v>45929.99224</v>
      </c>
      <c r="C285" s="768" t="str">
        <f>IFERROR(__xludf.DUMMYFUNCTION("""COMPUTED_VALUE"""),"Andrew Metz")</f>
        <v>Andrew Metz</v>
      </c>
      <c r="D285" s="768" t="str">
        <f>IFERROR(__xludf.DUMMYFUNCTION("""COMPUTED_VALUE"""),"ametz27@damien-hs.edu")</f>
        <v>ametz27@damien-hs.edu</v>
      </c>
      <c r="E285" s="768" t="str">
        <f>IFERROR(__xludf.DUMMYFUNCTION("""COMPUTED_VALUE"""),"6'2"" 195lbs")</f>
        <v>6'2" 195lbs</v>
      </c>
      <c r="F285" s="768" t="str">
        <f>IFERROR(__xludf.DUMMYFUNCTION("""COMPUTED_VALUE"""),"Outfield")</f>
        <v>Outfield</v>
      </c>
      <c r="G285" s="768" t="str">
        <f>IFERROR(__xludf.DUMMYFUNCTION("""COMPUTED_VALUE"""),"I was injured during my only season of varsity baseball so far (ACL surgery).")</f>
        <v>I was injured during my only season of varsity baseball so far (ACL surgery).</v>
      </c>
      <c r="H285" s="768" t="str">
        <f>IFERROR(__xludf.DUMMYFUNCTION("""COMPUTED_VALUE"""),"4.0/4.6")</f>
        <v>4.0/4.6</v>
      </c>
      <c r="I285" s="768" t="str">
        <f>IFERROR(__xludf.DUMMYFUNCTION("""COMPUTED_VALUE"""),"SAT: 1590")</f>
        <v>SAT: 1590</v>
      </c>
      <c r="J285" s="768" t="str">
        <f>IFERROR(__xludf.DUMMYFUNCTION("""COMPUTED_VALUE"""),"ACL reconstruction surgery Sophomore year")</f>
        <v>ACL reconstruction surgery Sophomore year</v>
      </c>
      <c r="K285" s="768" t="str">
        <f>IFERROR(__xludf.DUMMYFUNCTION("""COMPUTED_VALUE"""),"NO")</f>
        <v>NO</v>
      </c>
      <c r="L285" s="768" t="str">
        <f>IFERROR(__xludf.DUMMYFUNCTION("""COMPUTED_VALUE"""),"NO")</f>
        <v>NO</v>
      </c>
      <c r="M285" s="768" t="str">
        <f>IFERROR(__xludf.DUMMYFUNCTION("""COMPUTED_VALUE"""),"NO")</f>
        <v>NO</v>
      </c>
      <c r="N285" s="768">
        <f>IFERROR(__xludf.DUMMYFUNCTION("""COMPUTED_VALUE"""),2027.0)</f>
        <v>2027</v>
      </c>
      <c r="O285" s="768"/>
      <c r="P285" s="768"/>
      <c r="Q285" s="768"/>
      <c r="R285" s="768"/>
      <c r="S285" s="768"/>
      <c r="T285" s="768"/>
      <c r="U285" s="768"/>
      <c r="V285" s="768"/>
      <c r="W285" s="768"/>
      <c r="X285" s="768"/>
      <c r="Y285" s="768"/>
      <c r="Z285" s="768"/>
      <c r="AA285" s="768"/>
    </row>
    <row r="286" ht="30.0" customHeight="1">
      <c r="A286" s="768" t="str">
        <f t="array" ref="A286">XLOOKUP(C286,'High School Players'!D:D,'High School Players'!K:K,"NO",0,1)</f>
        <v>XX</v>
      </c>
      <c r="B286" s="975">
        <f>IFERROR(__xludf.DUMMYFUNCTION("""COMPUTED_VALUE"""),45930.8931821875)</f>
        <v>45930.89318</v>
      </c>
      <c r="C286" s="768" t="str">
        <f>IFERROR(__xludf.DUMMYFUNCTION("""COMPUTED_VALUE"""),"Cam Arthur")</f>
        <v>Cam Arthur</v>
      </c>
      <c r="D286" s="768" t="str">
        <f>IFERROR(__xludf.DUMMYFUNCTION("""COMPUTED_VALUE"""),"csarthur003@gmail.com")</f>
        <v>csarthur003@gmail.com</v>
      </c>
      <c r="E286" s="768" t="str">
        <f>IFERROR(__xludf.DUMMYFUNCTION("""COMPUTED_VALUE"""),"6ft 156lbs")</f>
        <v>6ft 156lbs</v>
      </c>
      <c r="F286" s="768" t="str">
        <f>IFERROR(__xludf.DUMMYFUNCTION("""COMPUTED_VALUE"""),"MIF")</f>
        <v>MIF</v>
      </c>
      <c r="G286" s="768" t="str">
        <f>IFERROR(__xludf.DUMMYFUNCTION("""COMPUTED_VALUE"""),"Summer - 17 hits, 14 SB, 11 walks, 7 rbis")</f>
        <v>Summer - 17 hits, 14 SB, 11 walks, 7 rbis</v>
      </c>
      <c r="H286" s="768">
        <f>IFERROR(__xludf.DUMMYFUNCTION("""COMPUTED_VALUE"""),4.02)</f>
        <v>4.02</v>
      </c>
      <c r="I286" s="768" t="str">
        <f>IFERROR(__xludf.DUMMYFUNCTION("""COMPUTED_VALUE"""),"SAT - 1040")</f>
        <v>SAT - 1040</v>
      </c>
      <c r="J286" s="768" t="str">
        <f>IFERROR(__xludf.DUMMYFUNCTION("""COMPUTED_VALUE"""),"Elbow surgery")</f>
        <v>Elbow surgery</v>
      </c>
      <c r="K286" s="768" t="str">
        <f>IFERROR(__xludf.DUMMYFUNCTION("""COMPUTED_VALUE"""),"NSAIDs ")</f>
        <v>NSAIDs </v>
      </c>
      <c r="L286" s="768" t="str">
        <f>IFERROR(__xludf.DUMMYFUNCTION("""COMPUTED_VALUE"""),"None")</f>
        <v>None</v>
      </c>
      <c r="M286" s="768" t="str">
        <f>IFERROR(__xludf.DUMMYFUNCTION("""COMPUTED_VALUE"""),"No")</f>
        <v>No</v>
      </c>
      <c r="N286" s="768">
        <f>IFERROR(__xludf.DUMMYFUNCTION("""COMPUTED_VALUE"""),2027.0)</f>
        <v>2027</v>
      </c>
      <c r="O286" s="768"/>
      <c r="P286" s="768"/>
      <c r="Q286" s="768"/>
      <c r="R286" s="768"/>
      <c r="S286" s="768"/>
      <c r="T286" s="768"/>
      <c r="U286" s="768"/>
      <c r="V286" s="768"/>
      <c r="W286" s="768"/>
      <c r="X286" s="768"/>
      <c r="Y286" s="768"/>
      <c r="Z286" s="768"/>
      <c r="AA286" s="768"/>
    </row>
    <row r="287" ht="30.0" customHeight="1">
      <c r="A287" s="768">
        <f t="array" ref="A287">XLOOKUP(C287,'High School Players'!D:D,'High School Players'!K:K,"NO",0,1)</f>
        <v>2</v>
      </c>
      <c r="B287" s="975">
        <f>IFERROR(__xludf.DUMMYFUNCTION("""COMPUTED_VALUE"""),45931.436951180556)</f>
        <v>45931.43695</v>
      </c>
      <c r="C287" s="768" t="str">
        <f>IFERROR(__xludf.DUMMYFUNCTION("""COMPUTED_VALUE"""),"Palmer Gobble")</f>
        <v>Palmer Gobble</v>
      </c>
      <c r="D287" s="768" t="str">
        <f>IFERROR(__xludf.DUMMYFUNCTION("""COMPUTED_VALUE"""),"Palmergobble7@gmail.com")</f>
        <v>Palmergobble7@gmail.com</v>
      </c>
      <c r="E287" s="768" t="str">
        <f>IFERROR(__xludf.DUMMYFUNCTION("""COMPUTED_VALUE"""),"6’3 185")</f>
        <v>6’3 185</v>
      </c>
      <c r="F287" s="768" t="str">
        <f>IFERROR(__xludf.DUMMYFUNCTION("""COMPUTED_VALUE"""),"Pitcher ")</f>
        <v>Pitcher </v>
      </c>
      <c r="G287" s="768" t="str">
        <f>IFERROR(__xludf.DUMMYFUNCTION("""COMPUTED_VALUE"""),"41 innings 6-1 WL 24H 21R 17ER 41SO 20BB 3.73 ERA")</f>
        <v>41 innings 6-1 WL 24H 21R 17ER 41SO 20BB 3.73 ERA</v>
      </c>
      <c r="H287" s="768">
        <f>IFERROR(__xludf.DUMMYFUNCTION("""COMPUTED_VALUE"""),3.9)</f>
        <v>3.9</v>
      </c>
      <c r="I287" s="768" t="str">
        <f>IFERROR(__xludf.DUMMYFUNCTION("""COMPUTED_VALUE"""),"I haven’t taken them yet")</f>
        <v>I haven’t taken them yet</v>
      </c>
      <c r="J287" s="768" t="str">
        <f>IFERROR(__xludf.DUMMYFUNCTION("""COMPUTED_VALUE"""),"ACL and Lateral meniscus surgery ")</f>
        <v>ACL and Lateral meniscus surgery </v>
      </c>
      <c r="K287" s="768" t="str">
        <f>IFERROR(__xludf.DUMMYFUNCTION("""COMPUTED_VALUE"""),"No")</f>
        <v>No</v>
      </c>
      <c r="L287" s="768" t="str">
        <f>IFERROR(__xludf.DUMMYFUNCTION("""COMPUTED_VALUE"""),"No")</f>
        <v>No</v>
      </c>
      <c r="M287" s="768" t="str">
        <f>IFERROR(__xludf.DUMMYFUNCTION("""COMPUTED_VALUE"""),"No")</f>
        <v>No</v>
      </c>
      <c r="N287" s="768">
        <f>IFERROR(__xludf.DUMMYFUNCTION("""COMPUTED_VALUE"""),2027.0)</f>
        <v>2027</v>
      </c>
      <c r="O287" s="768"/>
      <c r="P287" s="768"/>
      <c r="Q287" s="768"/>
      <c r="R287" s="768"/>
      <c r="S287" s="768"/>
      <c r="T287" s="768"/>
      <c r="U287" s="768"/>
      <c r="V287" s="768"/>
      <c r="W287" s="768"/>
      <c r="X287" s="768"/>
      <c r="Y287" s="768"/>
      <c r="Z287" s="768"/>
      <c r="AA287" s="768"/>
    </row>
    <row r="288" ht="30.0" customHeight="1">
      <c r="A288" s="768" t="str">
        <f t="array" ref="A288">XLOOKUP(C288,'High School Players'!D:D,'High School Players'!K:K,"NO",0,1)</f>
        <v>NO</v>
      </c>
      <c r="B288" s="975">
        <f>IFERROR(__xludf.DUMMYFUNCTION("""COMPUTED_VALUE"""),45932.80137888889)</f>
        <v>45932.80138</v>
      </c>
      <c r="C288" s="768" t="str">
        <f>IFERROR(__xludf.DUMMYFUNCTION("""COMPUTED_VALUE"""),"Matthew")</f>
        <v>Matthew</v>
      </c>
      <c r="D288" s="768" t="str">
        <f>IFERROR(__xludf.DUMMYFUNCTION("""COMPUTED_VALUE"""),"gormanmatthew0@gmail.com")</f>
        <v>gormanmatthew0@gmail.com</v>
      </c>
      <c r="E288" s="768" t="str">
        <f>IFERROR(__xludf.DUMMYFUNCTION("""COMPUTED_VALUE"""),"6’2”/188")</f>
        <v>6’2”/188</v>
      </c>
      <c r="F288" s="768" t="str">
        <f>IFERROR(__xludf.DUMMYFUNCTION("""COMPUTED_VALUE"""),"OF/1B/LHP")</f>
        <v>OF/1B/LHP</v>
      </c>
      <c r="G288" s="768" t="str">
        <f>IFERROR(__xludf.DUMMYFUNCTION("""COMPUTED_VALUE"""),"High school: BA .338 SLG .569")</f>
        <v>High school: BA .338 SLG .569</v>
      </c>
      <c r="H288" s="768" t="str">
        <f>IFERROR(__xludf.DUMMYFUNCTION("""COMPUTED_VALUE"""),"3.7/3.9")</f>
        <v>3.7/3.9</v>
      </c>
      <c r="I288" s="768" t="str">
        <f>IFERROR(__xludf.DUMMYFUNCTION("""COMPUTED_VALUE"""),"Pre ACT 25")</f>
        <v>Pre ACT 25</v>
      </c>
      <c r="J288" s="768" t="str">
        <f>IFERROR(__xludf.DUMMYFUNCTION("""COMPUTED_VALUE"""),"None")</f>
        <v>None</v>
      </c>
      <c r="K288" s="768" t="str">
        <f>IFERROR(__xludf.DUMMYFUNCTION("""COMPUTED_VALUE"""),"None")</f>
        <v>None</v>
      </c>
      <c r="L288" s="768" t="str">
        <f>IFERROR(__xludf.DUMMYFUNCTION("""COMPUTED_VALUE"""),"None")</f>
        <v>None</v>
      </c>
      <c r="M288" s="768" t="str">
        <f>IFERROR(__xludf.DUMMYFUNCTION("""COMPUTED_VALUE"""),"None")</f>
        <v>None</v>
      </c>
      <c r="N288" s="768">
        <f>IFERROR(__xludf.DUMMYFUNCTION("""COMPUTED_VALUE"""),2027.0)</f>
        <v>2027</v>
      </c>
      <c r="O288" s="768"/>
      <c r="P288" s="768"/>
      <c r="Q288" s="768"/>
      <c r="R288" s="768"/>
      <c r="S288" s="768"/>
      <c r="T288" s="768"/>
      <c r="U288" s="768"/>
      <c r="V288" s="768"/>
      <c r="W288" s="768"/>
      <c r="X288" s="768"/>
      <c r="Y288" s="768"/>
      <c r="Z288" s="768"/>
      <c r="AA288" s="768"/>
    </row>
    <row r="289" ht="30.0" customHeight="1">
      <c r="A289" s="768" t="str">
        <f t="array" ref="A289">XLOOKUP(C289,'High School Players'!D:D,'High School Players'!K:K,"NO",0,1)</f>
        <v>NO</v>
      </c>
      <c r="B289" s="975">
        <f>IFERROR(__xludf.DUMMYFUNCTION("""COMPUTED_VALUE"""),45933.506104375)</f>
        <v>45933.5061</v>
      </c>
      <c r="C289" s="768" t="str">
        <f>IFERROR(__xludf.DUMMYFUNCTION("""COMPUTED_VALUE"""),"Everett ""Rett' Kincaid")</f>
        <v>Everett "Rett' Kincaid</v>
      </c>
      <c r="D289" s="768" t="str">
        <f>IFERROR(__xludf.DUMMYFUNCTION("""COMPUTED_VALUE"""),"rettkincaid@icloud.com")</f>
        <v>rettkincaid@icloud.com</v>
      </c>
      <c r="E289" s="768" t="str">
        <f>IFERROR(__xludf.DUMMYFUNCTION("""COMPUTED_VALUE"""),"6'1""/ 155")</f>
        <v>6'1"/ 155</v>
      </c>
      <c r="F289" s="768" t="str">
        <f>IFERROR(__xludf.DUMMYFUNCTION("""COMPUTED_VALUE"""),"SS/2B/3B")</f>
        <v>SS/2B/3B</v>
      </c>
      <c r="G289" s="768" t="str">
        <f>IFERROR(__xludf.DUMMYFUNCTION("""COMPUTED_VALUE"""),"Past Summer stats: AVG-.385, SLG- .451, H- 35, RBI- 23   Freshman Year- JV MVP")</f>
        <v>Past Summer stats: AVG-.385, SLG- .451, H- 35, RBI- 23   Freshman Year- JV MVP</v>
      </c>
      <c r="H289" s="768" t="str">
        <f>IFERROR(__xludf.DUMMYFUNCTION("""COMPUTED_VALUE"""),"3.5 Weighted")</f>
        <v>3.5 Weighted</v>
      </c>
      <c r="I289" s="768" t="str">
        <f>IFERROR(__xludf.DUMMYFUNCTION("""COMPUTED_VALUE"""),"Scheduling PSAT currently")</f>
        <v>Scheduling PSAT currently</v>
      </c>
      <c r="J289" s="768" t="str">
        <f>IFERROR(__xludf.DUMMYFUNCTION("""COMPUTED_VALUE"""),"broken nose/ surgey to repair")</f>
        <v>broken nose/ surgey to repair</v>
      </c>
      <c r="K289" s="768" t="str">
        <f>IFERROR(__xludf.DUMMYFUNCTION("""COMPUTED_VALUE"""),"tree nut allergy, penicillin ")</f>
        <v>tree nut allergy, penicillin </v>
      </c>
      <c r="L289" s="768" t="str">
        <f>IFERROR(__xludf.DUMMYFUNCTION("""COMPUTED_VALUE"""),"no")</f>
        <v>no</v>
      </c>
      <c r="M289" s="768" t="str">
        <f>IFERROR(__xludf.DUMMYFUNCTION("""COMPUTED_VALUE"""),"no")</f>
        <v>no</v>
      </c>
      <c r="N289" s="768">
        <f>IFERROR(__xludf.DUMMYFUNCTION("""COMPUTED_VALUE"""),2027.0)</f>
        <v>2027</v>
      </c>
      <c r="O289" s="768"/>
      <c r="P289" s="768"/>
      <c r="Q289" s="768"/>
      <c r="R289" s="768"/>
      <c r="S289" s="768"/>
      <c r="T289" s="768"/>
      <c r="U289" s="768"/>
      <c r="V289" s="768"/>
      <c r="W289" s="768"/>
      <c r="X289" s="768"/>
      <c r="Y289" s="768"/>
      <c r="Z289" s="768"/>
      <c r="AA289" s="768"/>
    </row>
    <row r="290" ht="30.0" customHeight="1">
      <c r="A290" s="768" t="str">
        <f t="array" ref="A290">XLOOKUP(C290,'High School Players'!D:D,'High School Players'!K:K,"NO",0,1)</f>
        <v>XX</v>
      </c>
      <c r="B290" s="975">
        <f>IFERROR(__xludf.DUMMYFUNCTION("""COMPUTED_VALUE"""),45933.650792789354)</f>
        <v>45933.65079</v>
      </c>
      <c r="C290" s="768" t="str">
        <f>IFERROR(__xludf.DUMMYFUNCTION("""COMPUTED_VALUE"""),"Jude Henn")</f>
        <v>Jude Henn</v>
      </c>
      <c r="D290" s="768" t="str">
        <f>IFERROR(__xludf.DUMMYFUNCTION("""COMPUTED_VALUE"""),"jhenn1202@gmail.com")</f>
        <v>jhenn1202@gmail.com</v>
      </c>
      <c r="E290" s="768" t="str">
        <f>IFERROR(__xludf.DUMMYFUNCTION("""COMPUTED_VALUE"""),"160/6’2")</f>
        <v>160/6’2</v>
      </c>
      <c r="F290" s="768" t="str">
        <f>IFERROR(__xludf.DUMMYFUNCTION("""COMPUTED_VALUE"""),"RHP")</f>
        <v>RHP</v>
      </c>
      <c r="G290" s="768" t="str">
        <f>IFERROR(__xludf.DUMMYFUNCTION("""COMPUTED_VALUE"""),"High school- 10 innings pitched, 1.40 ERA, 14 is, 1 walk, 3 runs, and 2 earned runs")</f>
        <v>High school- 10 innings pitched, 1.40 ERA, 14 is, 1 walk, 3 runs, and 2 earned runs</v>
      </c>
      <c r="H290" s="768" t="str">
        <f>IFERROR(__xludf.DUMMYFUNCTION("""COMPUTED_VALUE"""),"4.0 weighted ")</f>
        <v>4.0 weighted </v>
      </c>
      <c r="I290" s="768" t="str">
        <f>IFERROR(__xludf.DUMMYFUNCTION("""COMPUTED_VALUE"""),"N/A")</f>
        <v>N/A</v>
      </c>
      <c r="J290" s="768" t="str">
        <f>IFERROR(__xludf.DUMMYFUNCTION("""COMPUTED_VALUE"""),"None")</f>
        <v>None</v>
      </c>
      <c r="K290" s="768" t="str">
        <f>IFERROR(__xludf.DUMMYFUNCTION("""COMPUTED_VALUE"""),"No")</f>
        <v>No</v>
      </c>
      <c r="L290" s="768" t="str">
        <f>IFERROR(__xludf.DUMMYFUNCTION("""COMPUTED_VALUE"""),"Accutane")</f>
        <v>Accutane</v>
      </c>
      <c r="M290" s="768" t="str">
        <f>IFERROR(__xludf.DUMMYFUNCTION("""COMPUTED_VALUE"""),"No")</f>
        <v>No</v>
      </c>
      <c r="N290" s="768">
        <f>IFERROR(__xludf.DUMMYFUNCTION("""COMPUTED_VALUE"""),2027.0)</f>
        <v>2027</v>
      </c>
      <c r="O290" s="768"/>
      <c r="P290" s="768"/>
      <c r="Q290" s="768"/>
      <c r="R290" s="768"/>
      <c r="S290" s="768"/>
      <c r="T290" s="768"/>
      <c r="U290" s="768"/>
      <c r="V290" s="768"/>
      <c r="W290" s="768"/>
      <c r="X290" s="768"/>
      <c r="Y290" s="768"/>
      <c r="Z290" s="768"/>
      <c r="AA290" s="768"/>
    </row>
    <row r="291" ht="30.0" customHeight="1">
      <c r="A291" s="768" t="str">
        <f t="array" ref="A291">XLOOKUP(C291,'High School Players'!D:D,'High School Players'!K:K,"NO",0,1)</f>
        <v>NO</v>
      </c>
      <c r="B291" s="975">
        <f>IFERROR(__xludf.DUMMYFUNCTION("""COMPUTED_VALUE"""),45933.6689312963)</f>
        <v>45933.66893</v>
      </c>
      <c r="C291" s="768" t="str">
        <f>IFERROR(__xludf.DUMMYFUNCTION("""COMPUTED_VALUE"""),"Mikah")</f>
        <v>Mikah</v>
      </c>
      <c r="D291" s="768" t="str">
        <f>IFERROR(__xludf.DUMMYFUNCTION("""COMPUTED_VALUE"""),"mikahkrystofolski@gmail.com")</f>
        <v>mikahkrystofolski@gmail.com</v>
      </c>
      <c r="E291" s="768" t="str">
        <f>IFERROR(__xludf.DUMMYFUNCTION("""COMPUTED_VALUE"""),"6’2/170")</f>
        <v>6’2/170</v>
      </c>
      <c r="F291" s="768" t="str">
        <f>IFERROR(__xludf.DUMMYFUNCTION("""COMPUTED_VALUE"""),"RHP/infield")</f>
        <v>RHP/infield</v>
      </c>
      <c r="G291" s="768" t="str">
        <f>IFERROR(__xludf.DUMMYFUNCTION("""COMPUTED_VALUE"""),".400 High School Batting average. All NEP-SAC team. 3.00 ERA. FB: 85-87 T88. Slider: 75-80 Changeup: 74-77")</f>
        <v>.400 High School Batting average. All NEP-SAC team. 3.00 ERA. FB: 85-87 T88. Slider: 75-80 Changeup: 74-77</v>
      </c>
      <c r="H291" s="768">
        <f>IFERROR(__xludf.DUMMYFUNCTION("""COMPUTED_VALUE"""),3.9)</f>
        <v>3.9</v>
      </c>
      <c r="I291" s="768" t="str">
        <f>IFERROR(__xludf.DUMMYFUNCTION("""COMPUTED_VALUE"""),"Haven’t take it yet")</f>
        <v>Haven’t take it yet</v>
      </c>
      <c r="J291" s="768" t="str">
        <f>IFERROR(__xludf.DUMMYFUNCTION("""COMPUTED_VALUE"""),"none")</f>
        <v>none</v>
      </c>
      <c r="K291" s="768" t="str">
        <f>IFERROR(__xludf.DUMMYFUNCTION("""COMPUTED_VALUE"""),"no")</f>
        <v>no</v>
      </c>
      <c r="L291" s="768" t="str">
        <f>IFERROR(__xludf.DUMMYFUNCTION("""COMPUTED_VALUE"""),"no")</f>
        <v>no</v>
      </c>
      <c r="M291" s="768" t="str">
        <f>IFERROR(__xludf.DUMMYFUNCTION("""COMPUTED_VALUE"""),"no")</f>
        <v>no</v>
      </c>
      <c r="N291" s="768">
        <f>IFERROR(__xludf.DUMMYFUNCTION("""COMPUTED_VALUE"""),2027.0)</f>
        <v>2027</v>
      </c>
      <c r="O291" s="768"/>
      <c r="P291" s="768"/>
      <c r="Q291" s="768"/>
      <c r="R291" s="768"/>
      <c r="S291" s="768"/>
      <c r="T291" s="768"/>
      <c r="U291" s="768"/>
      <c r="V291" s="768"/>
      <c r="W291" s="768"/>
      <c r="X291" s="768"/>
      <c r="Y291" s="768"/>
      <c r="Z291" s="768"/>
      <c r="AA291" s="768"/>
    </row>
    <row r="292" ht="30.0" customHeight="1">
      <c r="A292" s="768" t="str">
        <f t="array" ref="A292">XLOOKUP(C292,'High School Players'!D:D,'High School Players'!K:K,"NO",0,1)</f>
        <v>XX</v>
      </c>
      <c r="B292" s="975">
        <f>IFERROR(__xludf.DUMMYFUNCTION("""COMPUTED_VALUE"""),45933.9414716551)</f>
        <v>45933.94147</v>
      </c>
      <c r="C292" s="768" t="str">
        <f>IFERROR(__xludf.DUMMYFUNCTION("""COMPUTED_VALUE"""),"Anthony Williams")</f>
        <v>Anthony Williams</v>
      </c>
      <c r="D292" s="768" t="str">
        <f>IFERROR(__xludf.DUMMYFUNCTION("""COMPUTED_VALUE"""),"anthony.williams200813@gmail.com")</f>
        <v>anthony.williams200813@gmail.com</v>
      </c>
      <c r="E292" s="768" t="str">
        <f>IFERROR(__xludf.DUMMYFUNCTION("""COMPUTED_VALUE"""),"6ft 195lbs")</f>
        <v>6ft 195lbs</v>
      </c>
      <c r="F292" s="768" t="str">
        <f>IFERROR(__xludf.DUMMYFUNCTION("""COMPUTED_VALUE"""),"SS/3B")</f>
        <v>SS/3B</v>
      </c>
      <c r="G292" s="768" t="str">
        <f>IFERROR(__xludf.DUMMYFUNCTION("""COMPUTED_VALUE"""),"HS stats unavailable, 2025 exposure all star")</f>
        <v>HS stats unavailable, 2025 exposure all star</v>
      </c>
      <c r="H292" s="768" t="str">
        <f>IFERROR(__xludf.DUMMYFUNCTION("""COMPUTED_VALUE"""),"97.56/101.48")</f>
        <v>97.56/101.48</v>
      </c>
      <c r="I292" s="768" t="str">
        <f>IFERROR(__xludf.DUMMYFUNCTION("""COMPUTED_VALUE"""),"N/A")</f>
        <v>N/A</v>
      </c>
      <c r="J292" s="768" t="str">
        <f>IFERROR(__xludf.DUMMYFUNCTION("""COMPUTED_VALUE"""),"Stress fracture right shoulder 2022, left inflammation in hip 2022")</f>
        <v>Stress fracture right shoulder 2022, left inflammation in hip 2022</v>
      </c>
      <c r="K292" s="768" t="str">
        <f>IFERROR(__xludf.DUMMYFUNCTION("""COMPUTED_VALUE"""),"No")</f>
        <v>No</v>
      </c>
      <c r="L292" s="768" t="str">
        <f>IFERROR(__xludf.DUMMYFUNCTION("""COMPUTED_VALUE"""),"No")</f>
        <v>No</v>
      </c>
      <c r="M292" s="768" t="str">
        <f>IFERROR(__xludf.DUMMYFUNCTION("""COMPUTED_VALUE"""),"No")</f>
        <v>No</v>
      </c>
      <c r="N292" s="768">
        <f>IFERROR(__xludf.DUMMYFUNCTION("""COMPUTED_VALUE"""),2027.0)</f>
        <v>2027</v>
      </c>
      <c r="O292" s="768"/>
      <c r="P292" s="768"/>
      <c r="Q292" s="768"/>
      <c r="R292" s="768"/>
      <c r="S292" s="768"/>
      <c r="T292" s="768"/>
      <c r="U292" s="768"/>
      <c r="V292" s="768"/>
      <c r="W292" s="768"/>
      <c r="X292" s="768"/>
      <c r="Y292" s="768"/>
      <c r="Z292" s="768"/>
      <c r="AA292" s="768"/>
    </row>
    <row r="293" ht="30.0" customHeight="1">
      <c r="A293" s="768" t="str">
        <f t="array" ref="A293">XLOOKUP(C293,'High School Players'!D:D,'High School Players'!K:K,"NO",0,1)</f>
        <v>NO</v>
      </c>
      <c r="B293" s="975">
        <f>IFERROR(__xludf.DUMMYFUNCTION("""COMPUTED_VALUE"""),45935.47435135416)</f>
        <v>45935.47435</v>
      </c>
      <c r="C293" s="768" t="str">
        <f>IFERROR(__xludf.DUMMYFUNCTION("""COMPUTED_VALUE"""),"Sullivan Townley")</f>
        <v>Sullivan Townley</v>
      </c>
      <c r="D293" s="768" t="str">
        <f>IFERROR(__xludf.DUMMYFUNCTION("""COMPUTED_VALUE"""),"SullyTownley2027@gmail.com")</f>
        <v>SullyTownley2027@gmail.com</v>
      </c>
      <c r="E293" s="768" t="str">
        <f>IFERROR(__xludf.DUMMYFUNCTION("""COMPUTED_VALUE"""),"6'2, 200")</f>
        <v>6'2, 200</v>
      </c>
      <c r="F293" s="768" t="str">
        <f>IFERROR(__xludf.DUMMYFUNCTION("""COMPUTED_VALUE"""),"RHP")</f>
        <v>RHP</v>
      </c>
      <c r="G293" s="768" t="str">
        <f>IFERROR(__xludf.DUMMYFUNCTION("""COMPUTED_VALUE"""),"Spring 2025 - 10th Grade (Varsity) - 31.2 IP , 137 BF,  18 hits, 16 walks, 14 runs,  7 earned runs, 36 Ks, 1.5 ERA,  26 Ks, 1.074 WHIP, SC Region 3 5A, .all conf, Diamond Prospects 1st Team All State | Palmetto Blacksmiths (Summer 25) -20.1 IP,  81 BF, 11"&amp;" hits 7 earned runs,  6 BB,  26 Ks, 2.4 ERA,  .836 WHIP, several all tourneys")</f>
        <v>Spring 2025 - 10th Grade (Varsity) - 31.2 IP , 137 BF,  18 hits, 16 walks, 14 runs,  7 earned runs, 36 Ks, 1.5 ERA,  26 Ks, 1.074 WHIP, SC Region 3 5A, .all conf, Diamond Prospects 1st Team All State | Palmetto Blacksmiths (Summer 25) -20.1 IP,  81 BF, 11 hits 7 earned runs,  6 BB,  26 Ks, 2.4 ERA,  .836 WHIP, several all tourneys</v>
      </c>
      <c r="H293" s="768" t="str">
        <f>IFERROR(__xludf.DUMMYFUNCTION("""COMPUTED_VALUE"""),"3.8 - all A's in fall 25 classes")</f>
        <v>3.8 - all A's in fall 25 classes</v>
      </c>
      <c r="I293" s="768" t="str">
        <f>IFERROR(__xludf.DUMMYFUNCTION("""COMPUTED_VALUE"""),"NA")</f>
        <v>NA</v>
      </c>
      <c r="J293" s="768" t="str">
        <f>IFERROR(__xludf.DUMMYFUNCTION("""COMPUTED_VALUE"""),"NA")</f>
        <v>NA</v>
      </c>
      <c r="K293" s="768" t="str">
        <f>IFERROR(__xludf.DUMMYFUNCTION("""COMPUTED_VALUE"""),"NA")</f>
        <v>NA</v>
      </c>
      <c r="L293" s="768" t="str">
        <f>IFERROR(__xludf.DUMMYFUNCTION("""COMPUTED_VALUE"""),"NA")</f>
        <v>NA</v>
      </c>
      <c r="M293" s="768" t="str">
        <f>IFERROR(__xludf.DUMMYFUNCTION("""COMPUTED_VALUE"""),"No")</f>
        <v>No</v>
      </c>
      <c r="N293" s="768">
        <f>IFERROR(__xludf.DUMMYFUNCTION("""COMPUTED_VALUE"""),2027.0)</f>
        <v>2027</v>
      </c>
      <c r="O293" s="768"/>
      <c r="P293" s="768"/>
      <c r="Q293" s="768"/>
      <c r="R293" s="768"/>
      <c r="S293" s="768"/>
      <c r="T293" s="768"/>
      <c r="U293" s="768"/>
      <c r="V293" s="768"/>
      <c r="W293" s="768"/>
      <c r="X293" s="768"/>
      <c r="Y293" s="768"/>
      <c r="Z293" s="768"/>
      <c r="AA293" s="768"/>
    </row>
    <row r="294" ht="30.0" customHeight="1">
      <c r="A294" s="768">
        <f t="array" ref="A294">XLOOKUP(C294,'High School Players'!D:D,'High School Players'!K:K,"NO",0,1)</f>
        <v>0.1</v>
      </c>
      <c r="B294" s="975">
        <f>IFERROR(__xludf.DUMMYFUNCTION("""COMPUTED_VALUE"""),45936.624559930555)</f>
        <v>45936.62456</v>
      </c>
      <c r="C294" s="768" t="str">
        <f>IFERROR(__xludf.DUMMYFUNCTION("""COMPUTED_VALUE"""),"Zach Madar")</f>
        <v>Zach Madar</v>
      </c>
      <c r="D294" s="768" t="str">
        <f>IFERROR(__xludf.DUMMYFUNCTION("""COMPUTED_VALUE"""),"zach.madar7@icloud.com")</f>
        <v>zach.madar7@icloud.com</v>
      </c>
      <c r="E294" s="768" t="str">
        <f>IFERROR(__xludf.DUMMYFUNCTION("""COMPUTED_VALUE"""),"6’2 165")</f>
        <v>6’2 165</v>
      </c>
      <c r="F294" s="768" t="str">
        <f>IFERROR(__xludf.DUMMYFUNCTION("""COMPUTED_VALUE"""),"SS/ MIF ")</f>
        <v>SS/ MIF </v>
      </c>
      <c r="G294" s="768" t="str">
        <f>IFERROR(__xludf.DUMMYFUNCTION("""COMPUTED_VALUE"""),"Starting SS for entire 2025 season as sophomore for district champions. 16u Summer Stats: AVG: 350 OBP: 460 24R, 15RBI 13SB .940 FPCT. 17U Fall Stats AVG:410 OBP:580 OPS: 1.141. ")</f>
        <v>Starting SS for entire 2025 season as sophomore for district champions. 16u Summer Stats: AVG: 350 OBP: 460 24R, 15RBI 13SB .940 FPCT. 17U Fall Stats AVG:410 OBP:580 OPS: 1.141. </v>
      </c>
      <c r="H294" s="768">
        <f>IFERROR(__xludf.DUMMYFUNCTION("""COMPUTED_VALUE"""),4.06)</f>
        <v>4.06</v>
      </c>
      <c r="I294" s="768" t="str">
        <f>IFERROR(__xludf.DUMMYFUNCTION("""COMPUTED_VALUE"""),"No test scores yet, scheduled to take in December.")</f>
        <v>No test scores yet, scheduled to take in December.</v>
      </c>
      <c r="J294" s="768" t="str">
        <f>IFERROR(__xludf.DUMMYFUNCTION("""COMPUTED_VALUE"""),"None")</f>
        <v>None</v>
      </c>
      <c r="K294" s="768" t="str">
        <f>IFERROR(__xludf.DUMMYFUNCTION("""COMPUTED_VALUE"""),"Seasonal allergies (very minor)")</f>
        <v>Seasonal allergies (very minor)</v>
      </c>
      <c r="L294" s="768" t="str">
        <f>IFERROR(__xludf.DUMMYFUNCTION("""COMPUTED_VALUE"""),"Allergy (Zyrtec)")</f>
        <v>Allergy (Zyrtec)</v>
      </c>
      <c r="M294" s="768" t="str">
        <f>IFERROR(__xludf.DUMMYFUNCTION("""COMPUTED_VALUE"""),"No")</f>
        <v>No</v>
      </c>
      <c r="N294" s="768">
        <f>IFERROR(__xludf.DUMMYFUNCTION("""COMPUTED_VALUE"""),2027.0)</f>
        <v>2027</v>
      </c>
      <c r="O294" s="768"/>
      <c r="P294" s="768"/>
      <c r="Q294" s="768"/>
      <c r="R294" s="768"/>
      <c r="S294" s="768"/>
      <c r="T294" s="768"/>
      <c r="U294" s="768"/>
      <c r="V294" s="768"/>
      <c r="W294" s="768"/>
      <c r="X294" s="768"/>
      <c r="Y294" s="768"/>
      <c r="Z294" s="768"/>
      <c r="AA294" s="768"/>
    </row>
    <row r="295" ht="30.0" customHeight="1">
      <c r="A295" s="768" t="str">
        <f t="array" ref="A295">XLOOKUP(C295,'High School Players'!D:D,'High School Players'!K:K,"NO",0,1)</f>
        <v>NO</v>
      </c>
      <c r="B295" s="975">
        <f>IFERROR(__xludf.DUMMYFUNCTION("""COMPUTED_VALUE"""),45937.439684537036)</f>
        <v>45937.43968</v>
      </c>
      <c r="C295" s="768" t="str">
        <f>IFERROR(__xludf.DUMMYFUNCTION("""COMPUTED_VALUE"""),"William Coates ")</f>
        <v>William Coates </v>
      </c>
      <c r="D295" s="768" t="str">
        <f>IFERROR(__xludf.DUMMYFUNCTION("""COMPUTED_VALUE"""),"coatesw316@gmail.com")</f>
        <v>coatesw316@gmail.com</v>
      </c>
      <c r="E295" s="768" t="str">
        <f>IFERROR(__xludf.DUMMYFUNCTION("""COMPUTED_VALUE"""),"6,2'- 190")</f>
        <v>6,2'- 190</v>
      </c>
      <c r="F295" s="768" t="str">
        <f>IFERROR(__xludf.DUMMYFUNCTION("""COMPUTED_VALUE"""),"Pitcher only ")</f>
        <v>Pitcher only </v>
      </c>
      <c r="G295" s="768" t="str">
        <f>IFERROR(__xludf.DUMMYFUNCTION("""COMPUTED_VALUE"""),"TFB 90, 28 Ip 39ks , 4.3 ERA. oppnent BA .175, Hits- 18 ")</f>
        <v>TFB 90, 28 Ip 39ks , 4.3 ERA. oppnent BA .175, Hits- 18 </v>
      </c>
      <c r="H295" s="768">
        <f>IFERROR(__xludf.DUMMYFUNCTION("""COMPUTED_VALUE"""),3.98)</f>
        <v>3.98</v>
      </c>
      <c r="I295" s="768" t="str">
        <f>IFERROR(__xludf.DUMMYFUNCTION("""COMPUTED_VALUE"""),"SAT 1260")</f>
        <v>SAT 1260</v>
      </c>
      <c r="J295" s="768" t="str">
        <f>IFERROR(__xludf.DUMMYFUNCTION("""COMPUTED_VALUE"""),"Strained hamstring R, Strained hamstring L")</f>
        <v>Strained hamstring R, Strained hamstring L</v>
      </c>
      <c r="K295" s="768" t="str">
        <f>IFERROR(__xludf.DUMMYFUNCTION("""COMPUTED_VALUE"""),"NA")</f>
        <v>NA</v>
      </c>
      <c r="L295" s="768" t="str">
        <f>IFERROR(__xludf.DUMMYFUNCTION("""COMPUTED_VALUE"""),"NA")</f>
        <v>NA</v>
      </c>
      <c r="M295" s="768" t="str">
        <f>IFERROR(__xludf.DUMMYFUNCTION("""COMPUTED_VALUE"""),"NA")</f>
        <v>NA</v>
      </c>
      <c r="N295" s="768">
        <f>IFERROR(__xludf.DUMMYFUNCTION("""COMPUTED_VALUE"""),2026.0)</f>
        <v>2026</v>
      </c>
      <c r="O295" s="768"/>
      <c r="P295" s="768"/>
      <c r="Q295" s="768"/>
      <c r="R295" s="768"/>
      <c r="S295" s="768"/>
      <c r="T295" s="768"/>
      <c r="U295" s="768"/>
      <c r="V295" s="768"/>
      <c r="W295" s="768"/>
      <c r="X295" s="768"/>
      <c r="Y295" s="768"/>
      <c r="Z295" s="768"/>
      <c r="AA295" s="768"/>
    </row>
    <row r="296" ht="30.0" customHeight="1">
      <c r="A296" s="768" t="str">
        <f t="array" ref="A296">XLOOKUP(C296,'High School Players'!D:D,'High School Players'!K:K,"NO",0,1)</f>
        <v>NO</v>
      </c>
      <c r="B296" s="975">
        <f>IFERROR(__xludf.DUMMYFUNCTION("""COMPUTED_VALUE"""),45937.467599791664)</f>
        <v>45937.4676</v>
      </c>
      <c r="C296" s="768" t="str">
        <f>IFERROR(__xludf.DUMMYFUNCTION("""COMPUTED_VALUE"""),"Colin Slep")</f>
        <v>Colin Slep</v>
      </c>
      <c r="D296" s="768" t="str">
        <f>IFERROR(__xludf.DUMMYFUNCTION("""COMPUTED_VALUE"""),"Colinslep@icloud.com")</f>
        <v>Colinslep@icloud.com</v>
      </c>
      <c r="E296" s="768" t="str">
        <f>IFERROR(__xludf.DUMMYFUNCTION("""COMPUTED_VALUE"""),"6’0 182")</f>
        <v>6’0 182</v>
      </c>
      <c r="F296" s="768" t="str">
        <f>IFERROR(__xludf.DUMMYFUNCTION("""COMPUTED_VALUE"""),"RHP")</f>
        <v>RHP</v>
      </c>
      <c r="G296" s="768" t="str">
        <f>IFERROR(__xludf.DUMMYFUNCTION("""COMPUTED_VALUE"""),"FB top 92 School stats: IP: 53.1 7W 1L BAA: .237 WHIP: 1.53 ERA: 2.88 over 249 BF  4PIK")</f>
        <v>FB top 92 School stats: IP: 53.1 7W 1L BAA: .237 WHIP: 1.53 ERA: 2.88 over 249 BF  4PIK</v>
      </c>
      <c r="H296" s="768" t="str">
        <f>IFERROR(__xludf.DUMMYFUNCTION("""COMPUTED_VALUE"""),"3.75 4.0")</f>
        <v>3.75 4.0</v>
      </c>
      <c r="I296" s="768" t="str">
        <f>IFERROR(__xludf.DUMMYFUNCTION("""COMPUTED_VALUE"""),"1090 21")</f>
        <v>1090 21</v>
      </c>
      <c r="J296" s="768" t="str">
        <f>IFERROR(__xludf.DUMMYFUNCTION("""COMPUTED_VALUE"""),"None")</f>
        <v>None</v>
      </c>
      <c r="K296" s="768" t="str">
        <f>IFERROR(__xludf.DUMMYFUNCTION("""COMPUTED_VALUE"""),"No")</f>
        <v>No</v>
      </c>
      <c r="L296" s="768" t="str">
        <f>IFERROR(__xludf.DUMMYFUNCTION("""COMPUTED_VALUE"""),"No")</f>
        <v>No</v>
      </c>
      <c r="M296" s="768" t="str">
        <f>IFERROR(__xludf.DUMMYFUNCTION("""COMPUTED_VALUE"""),"No")</f>
        <v>No</v>
      </c>
      <c r="N296" s="768">
        <f>IFERROR(__xludf.DUMMYFUNCTION("""COMPUTED_VALUE"""),2026.0)</f>
        <v>2026</v>
      </c>
      <c r="O296" s="768"/>
      <c r="P296" s="768"/>
      <c r="Q296" s="768"/>
      <c r="R296" s="768"/>
      <c r="S296" s="768"/>
      <c r="T296" s="768"/>
      <c r="U296" s="768"/>
      <c r="V296" s="768"/>
      <c r="W296" s="768"/>
      <c r="X296" s="768"/>
      <c r="Y296" s="768"/>
      <c r="Z296" s="768"/>
      <c r="AA296" s="768"/>
    </row>
    <row r="297" ht="30.0" customHeight="1">
      <c r="A297" s="768" t="str">
        <f t="array" ref="A297">XLOOKUP(C297,'High School Players'!D:D,'High School Players'!K:K,"NO",0,1)</f>
        <v>NO</v>
      </c>
      <c r="B297" s="975">
        <f>IFERROR(__xludf.DUMMYFUNCTION("""COMPUTED_VALUE"""),45937.822048125)</f>
        <v>45937.82205</v>
      </c>
      <c r="C297" s="768" t="str">
        <f>IFERROR(__xludf.DUMMYFUNCTION("""COMPUTED_VALUE"""),"Joseph Howard")</f>
        <v>Joseph Howard</v>
      </c>
      <c r="D297" s="768" t="str">
        <f>IFERROR(__xludf.DUMMYFUNCTION("""COMPUTED_VALUE"""),"Jbhoward103@gmail.com")</f>
        <v>Jbhoward103@gmail.com</v>
      </c>
      <c r="E297" s="768" t="str">
        <f>IFERROR(__xludf.DUMMYFUNCTION("""COMPUTED_VALUE"""),"6’5 187")</f>
        <v>6’5 187</v>
      </c>
      <c r="F297" s="768" t="str">
        <f>IFERROR(__xludf.DUMMYFUNCTION("""COMPUTED_VALUE"""),"RHP")</f>
        <v>RHP</v>
      </c>
      <c r="G297" s="768" t="str">
        <f>IFERROR(__xludf.DUMMYFUNCTION("""COMPUTED_VALUE"""),"Last year high school stats - 7 innings 15 ks  1 hit 0 era /summer took some time away from baseball /current fall season 6.2 4 hits 5ks 3 walks era 3.2  ")</f>
        <v>Last year high school stats - 7 innings 15 ks  1 hit 0 era /summer took some time away from baseball /current fall season 6.2 4 hits 5ks 3 walks era 3.2  </v>
      </c>
      <c r="H297" s="768" t="str">
        <f>IFERROR(__xludf.DUMMYFUNCTION("""COMPUTED_VALUE"""),"3.3 unweighted 3.7 unweighted ")</f>
        <v>3.3 unweighted 3.7 unweighted </v>
      </c>
      <c r="I297" s="768" t="str">
        <f>IFERROR(__xludf.DUMMYFUNCTION("""COMPUTED_VALUE"""),"21 Act/ will be taking sat soon")</f>
        <v>21 Act/ will be taking sat soon</v>
      </c>
      <c r="J297" s="768" t="str">
        <f>IFERROR(__xludf.DUMMYFUNCTION("""COMPUTED_VALUE"""),"None other than tendonitis last year ")</f>
        <v>None other than tendonitis last year </v>
      </c>
      <c r="K297" s="768" t="str">
        <f>IFERROR(__xludf.DUMMYFUNCTION("""COMPUTED_VALUE"""),"No")</f>
        <v>No</v>
      </c>
      <c r="L297" s="768" t="str">
        <f>IFERROR(__xludf.DUMMYFUNCTION("""COMPUTED_VALUE"""),"No")</f>
        <v>No</v>
      </c>
      <c r="M297" s="768" t="str">
        <f>IFERROR(__xludf.DUMMYFUNCTION("""COMPUTED_VALUE"""),"No")</f>
        <v>No</v>
      </c>
      <c r="N297" s="768">
        <f>IFERROR(__xludf.DUMMYFUNCTION("""COMPUTED_VALUE"""),2026.0)</f>
        <v>2026</v>
      </c>
      <c r="O297" s="768"/>
      <c r="P297" s="768"/>
      <c r="Q297" s="768"/>
      <c r="R297" s="768"/>
      <c r="S297" s="768"/>
      <c r="T297" s="768"/>
      <c r="U297" s="768"/>
      <c r="V297" s="768"/>
      <c r="W297" s="768"/>
      <c r="X297" s="768"/>
      <c r="Y297" s="768"/>
      <c r="Z297" s="768"/>
      <c r="AA297" s="768"/>
    </row>
    <row r="298" ht="30.0" customHeight="1">
      <c r="A298" s="768">
        <f t="array" ref="A298">XLOOKUP(C298,'High School Players'!D:D,'High School Players'!K:K,"NO",0,1)</f>
        <v>3</v>
      </c>
      <c r="B298" s="975">
        <f>IFERROR(__xludf.DUMMYFUNCTION("""COMPUTED_VALUE"""),45937.83773789352)</f>
        <v>45937.83774</v>
      </c>
      <c r="C298" s="768" t="str">
        <f>IFERROR(__xludf.DUMMYFUNCTION("""COMPUTED_VALUE"""),"Jake Gaerke")</f>
        <v>Jake Gaerke</v>
      </c>
      <c r="D298" s="768" t="str">
        <f>IFERROR(__xludf.DUMMYFUNCTION("""COMPUTED_VALUE"""),"jakegaerke@gmail.com")</f>
        <v>jakegaerke@gmail.com</v>
      </c>
      <c r="E298" s="768" t="str">
        <f>IFERROR(__xludf.DUMMYFUNCTION("""COMPUTED_VALUE"""),"6,6 225lb")</f>
        <v>6,6 225lb</v>
      </c>
      <c r="F298" s="768" t="str">
        <f>IFERROR(__xludf.DUMMYFUNCTION("""COMPUTED_VALUE"""),"RHP")</f>
        <v>RHP</v>
      </c>
      <c r="G298" s="768"/>
      <c r="H298" s="768" t="str">
        <f>IFERROR(__xludf.DUMMYFUNCTION("""COMPUTED_VALUE"""),"3.99 UW 4.5 W")</f>
        <v>3.99 UW 4.5 W</v>
      </c>
      <c r="I298" s="768" t="str">
        <f>IFERROR(__xludf.DUMMYFUNCTION("""COMPUTED_VALUE"""),"Act- 26")</f>
        <v>Act- 26</v>
      </c>
      <c r="J298" s="768" t="str">
        <f>IFERROR(__xludf.DUMMYFUNCTION("""COMPUTED_VALUE"""),"Elbow stress reaction, low back stress reaction")</f>
        <v>Elbow stress reaction, low back stress reaction</v>
      </c>
      <c r="K298" s="768"/>
      <c r="L298" s="768"/>
      <c r="M298" s="768"/>
      <c r="N298" s="768">
        <f>IFERROR(__xludf.DUMMYFUNCTION("""COMPUTED_VALUE"""),2026.0)</f>
        <v>2026</v>
      </c>
      <c r="O298" s="768"/>
      <c r="P298" s="768"/>
      <c r="Q298" s="768"/>
      <c r="R298" s="768"/>
      <c r="S298" s="768"/>
      <c r="T298" s="768"/>
      <c r="U298" s="768"/>
      <c r="V298" s="768"/>
      <c r="W298" s="768"/>
      <c r="X298" s="768"/>
      <c r="Y298" s="768"/>
      <c r="Z298" s="768"/>
      <c r="AA298" s="768"/>
    </row>
    <row r="299" ht="30.0" customHeight="1">
      <c r="A299" s="768" t="str">
        <f t="array" ref="A299">XLOOKUP(C299,'High School Players'!D:D,'High School Players'!K:K,"NO",0,1)</f>
        <v>NO</v>
      </c>
      <c r="B299" s="975">
        <f>IFERROR(__xludf.DUMMYFUNCTION("""COMPUTED_VALUE"""),45937.87560359953)</f>
        <v>45937.8756</v>
      </c>
      <c r="C299" s="768" t="str">
        <f>IFERROR(__xludf.DUMMYFUNCTION("""COMPUTED_VALUE"""),"Ben Wagnon")</f>
        <v>Ben Wagnon</v>
      </c>
      <c r="D299" s="768" t="str">
        <f>IFERROR(__xludf.DUMMYFUNCTION("""COMPUTED_VALUE"""),"benjaminwagnon@icloud.com")</f>
        <v>benjaminwagnon@icloud.com</v>
      </c>
      <c r="E299" s="768" t="str">
        <f>IFERROR(__xludf.DUMMYFUNCTION("""COMPUTED_VALUE"""),"6’4/210")</f>
        <v>6’4/210</v>
      </c>
      <c r="F299" s="768" t="str">
        <f>IFERROR(__xludf.DUMMYFUNCTION("""COMPUTED_VALUE"""),"Pitcher")</f>
        <v>Pitcher</v>
      </c>
      <c r="G299" s="768" t="str">
        <f>IFERROR(__xludf.DUMMYFUNCTION("""COMPUTED_VALUE"""),"32IP 22H 9ER 12BB 52K .198 Opponent BA ")</f>
        <v>32IP 22H 9ER 12BB 52K .198 Opponent BA </v>
      </c>
      <c r="H299" s="768" t="str">
        <f>IFERROR(__xludf.DUMMYFUNCTION("""COMPUTED_VALUE"""),"3.74/4.33")</f>
        <v>3.74/4.33</v>
      </c>
      <c r="I299" s="768">
        <f>IFERROR(__xludf.DUMMYFUNCTION("""COMPUTED_VALUE"""),1280.0)</f>
        <v>1280</v>
      </c>
      <c r="J299" s="768" t="str">
        <f>IFERROR(__xludf.DUMMYFUNCTION("""COMPUTED_VALUE"""),"Labrum Tear/No surgery")</f>
        <v>Labrum Tear/No surgery</v>
      </c>
      <c r="K299" s="768" t="str">
        <f>IFERROR(__xludf.DUMMYFUNCTION("""COMPUTED_VALUE"""),"No")</f>
        <v>No</v>
      </c>
      <c r="L299" s="768" t="str">
        <f>IFERROR(__xludf.DUMMYFUNCTION("""COMPUTED_VALUE"""),"No")</f>
        <v>No</v>
      </c>
      <c r="M299" s="768" t="str">
        <f>IFERROR(__xludf.DUMMYFUNCTION("""COMPUTED_VALUE"""),"No")</f>
        <v>No</v>
      </c>
      <c r="N299" s="768">
        <f>IFERROR(__xludf.DUMMYFUNCTION("""COMPUTED_VALUE"""),2026.0)</f>
        <v>2026</v>
      </c>
      <c r="O299" s="768"/>
      <c r="P299" s="768"/>
      <c r="Q299" s="768"/>
      <c r="R299" s="768"/>
      <c r="S299" s="768"/>
      <c r="T299" s="768"/>
      <c r="U299" s="768"/>
      <c r="V299" s="768"/>
      <c r="W299" s="768"/>
      <c r="X299" s="768"/>
      <c r="Y299" s="768"/>
      <c r="Z299" s="768"/>
      <c r="AA299" s="768"/>
    </row>
    <row r="300" ht="30.0" customHeight="1">
      <c r="A300" s="768" t="str">
        <f t="array" ref="A300">XLOOKUP(C300,'High School Players'!D:D,'High School Players'!K:K,"NO",0,1)</f>
        <v>NO</v>
      </c>
      <c r="B300" s="975">
        <f>IFERROR(__xludf.DUMMYFUNCTION("""COMPUTED_VALUE"""),45937.885988738424)</f>
        <v>45937.88599</v>
      </c>
      <c r="C300" s="768" t="str">
        <f>IFERROR(__xludf.DUMMYFUNCTION("""COMPUTED_VALUE"""),"Cole Krumpelman")</f>
        <v>Cole Krumpelman</v>
      </c>
      <c r="D300" s="768" t="str">
        <f>IFERROR(__xludf.DUMMYFUNCTION("""COMPUTED_VALUE"""),"ckrumps0@gmail.com")</f>
        <v>ckrumps0@gmail.com</v>
      </c>
      <c r="E300" s="768" t="str">
        <f>IFERROR(__xludf.DUMMYFUNCTION("""COMPUTED_VALUE"""),"6”2/195lbs")</f>
        <v>6”2/195lbs</v>
      </c>
      <c r="F300" s="768" t="str">
        <f>IFERROR(__xludf.DUMMYFUNCTION("""COMPUTED_VALUE"""),"RHP")</f>
        <v>RHP</v>
      </c>
      <c r="G300" s="768" t="str">
        <f>IFERROR(__xludf.DUMMYFUNCTION("""COMPUTED_VALUE"""),"Highschool: 28 innings, 1.48 ERA, 34 SO          ")</f>
        <v>Highschool: 28 innings, 1.48 ERA, 34 SO          </v>
      </c>
      <c r="H300" s="768" t="str">
        <f>IFERROR(__xludf.DUMMYFUNCTION("""COMPUTED_VALUE"""),"7.68/3.71")</f>
        <v>7.68/3.71</v>
      </c>
      <c r="I300" s="768" t="str">
        <f>IFERROR(__xludf.DUMMYFUNCTION("""COMPUTED_VALUE"""),"23 ACT")</f>
        <v>23 ACT</v>
      </c>
      <c r="J300" s="768" t="str">
        <f>IFERROR(__xludf.DUMMYFUNCTION("""COMPUTED_VALUE"""),"None ")</f>
        <v>None </v>
      </c>
      <c r="K300" s="768" t="str">
        <f>IFERROR(__xludf.DUMMYFUNCTION("""COMPUTED_VALUE"""),"None ")</f>
        <v>None </v>
      </c>
      <c r="L300" s="768" t="str">
        <f>IFERROR(__xludf.DUMMYFUNCTION("""COMPUTED_VALUE"""),"None")</f>
        <v>None</v>
      </c>
      <c r="M300" s="768" t="str">
        <f>IFERROR(__xludf.DUMMYFUNCTION("""COMPUTED_VALUE"""),"None")</f>
        <v>None</v>
      </c>
      <c r="N300" s="768">
        <f>IFERROR(__xludf.DUMMYFUNCTION("""COMPUTED_VALUE"""),2026.0)</f>
        <v>2026</v>
      </c>
      <c r="O300" s="768"/>
      <c r="P300" s="768"/>
      <c r="Q300" s="768"/>
      <c r="R300" s="768"/>
      <c r="S300" s="768"/>
      <c r="T300" s="768"/>
      <c r="U300" s="768"/>
      <c r="V300" s="768"/>
      <c r="W300" s="768"/>
      <c r="X300" s="768"/>
      <c r="Y300" s="768"/>
      <c r="Z300" s="768"/>
      <c r="AA300" s="768"/>
    </row>
    <row r="301" ht="30.0" customHeight="1">
      <c r="A301" s="768" t="str">
        <f t="array" ref="A301">XLOOKUP(C301,'High School Players'!D:D,'High School Players'!K:K,"NO",0,1)</f>
        <v>NO</v>
      </c>
      <c r="B301" s="975">
        <f>IFERROR(__xludf.DUMMYFUNCTION("""COMPUTED_VALUE"""),45937.95301885417)</f>
        <v>45937.95302</v>
      </c>
      <c r="C301" s="768" t="str">
        <f>IFERROR(__xludf.DUMMYFUNCTION("""COMPUTED_VALUE"""),"Kyle Flynn")</f>
        <v>Kyle Flynn</v>
      </c>
      <c r="D301" s="768" t="str">
        <f>IFERROR(__xludf.DUMMYFUNCTION("""COMPUTED_VALUE"""),"kylef6807@gmail.com")</f>
        <v>kylef6807@gmail.com</v>
      </c>
      <c r="E301" s="768" t="str">
        <f>IFERROR(__xludf.DUMMYFUNCTION("""COMPUTED_VALUE"""),"5’10, 165")</f>
        <v>5’10, 165</v>
      </c>
      <c r="F301" s="768" t="str">
        <f>IFERROR(__xludf.DUMMYFUNCTION("""COMPUTED_VALUE"""),"RHP")</f>
        <v>RHP</v>
      </c>
      <c r="G301" s="768" t="str">
        <f>IFERROR(__xludf.DUMMYFUNCTION("""COMPUTED_VALUE"""),"62.0 IP (7-3) | 2.145 ERA | 60 K’s | 1.226 WHIP | .216 BAA | All- District Tournament Team | All-Region Tournament Team | PG All-Tournament Team")</f>
        <v>62.0 IP (7-3) | 2.145 ERA | 60 K’s | 1.226 WHIP | .216 BAA | All- District Tournament Team | All-Region Tournament Team | PG All-Tournament Team</v>
      </c>
      <c r="H301" s="768" t="str">
        <f>IFERROR(__xludf.DUMMYFUNCTION("""COMPUTED_VALUE"""),"3.97/4.33")</f>
        <v>3.97/4.33</v>
      </c>
      <c r="I301" s="768" t="str">
        <f>IFERROR(__xludf.DUMMYFUNCTION("""COMPUTED_VALUE"""),"25 ACT")</f>
        <v>25 ACT</v>
      </c>
      <c r="J301" s="768" t="str">
        <f>IFERROR(__xludf.DUMMYFUNCTION("""COMPUTED_VALUE"""),"UCL Strain, Little League Shoulder. No surgeries.")</f>
        <v>UCL Strain, Little League Shoulder. No surgeries.</v>
      </c>
      <c r="K301" s="768" t="str">
        <f>IFERROR(__xludf.DUMMYFUNCTION("""COMPUTED_VALUE"""),"Amoxicillin ")</f>
        <v>Amoxicillin </v>
      </c>
      <c r="L301" s="768" t="str">
        <f>IFERROR(__xludf.DUMMYFUNCTION("""COMPUTED_VALUE"""),"No")</f>
        <v>No</v>
      </c>
      <c r="M301" s="768" t="str">
        <f>IFERROR(__xludf.DUMMYFUNCTION("""COMPUTED_VALUE"""),"No")</f>
        <v>No</v>
      </c>
      <c r="N301" s="768">
        <f>IFERROR(__xludf.DUMMYFUNCTION("""COMPUTED_VALUE"""),2026.0)</f>
        <v>2026</v>
      </c>
      <c r="O301" s="768"/>
      <c r="P301" s="768"/>
      <c r="Q301" s="768"/>
      <c r="R301" s="768"/>
      <c r="S301" s="768"/>
      <c r="T301" s="768"/>
      <c r="U301" s="768"/>
      <c r="V301" s="768"/>
      <c r="W301" s="768"/>
      <c r="X301" s="768"/>
      <c r="Y301" s="768"/>
      <c r="Z301" s="768"/>
      <c r="AA301" s="768"/>
    </row>
    <row r="302" ht="30.0" customHeight="1">
      <c r="A302" s="768" t="str">
        <f t="array" ref="A302">XLOOKUP(C302,'High School Players'!D:D,'High School Players'!K:K,"NO",0,1)</f>
        <v>XX</v>
      </c>
      <c r="B302" s="975">
        <f>IFERROR(__xludf.DUMMYFUNCTION("""COMPUTED_VALUE"""),45938.044132511575)</f>
        <v>45938.04413</v>
      </c>
      <c r="C302" s="768" t="str">
        <f>IFERROR(__xludf.DUMMYFUNCTION("""COMPUTED_VALUE"""),"Roman Martinez")</f>
        <v>Roman Martinez</v>
      </c>
      <c r="D302" s="768" t="str">
        <f>IFERROR(__xludf.DUMMYFUNCTION("""COMPUTED_VALUE"""),"roman.mtz2121@gmail.com")</f>
        <v>roman.mtz2121@gmail.com</v>
      </c>
      <c r="E302" s="768" t="str">
        <f>IFERROR(__xludf.DUMMYFUNCTION("""COMPUTED_VALUE"""),"5,11 195")</f>
        <v>5,11 195</v>
      </c>
      <c r="F302" s="768" t="str">
        <f>IFERROR(__xludf.DUMMYFUNCTION("""COMPUTED_VALUE"""),"Pitcher outfield ")</f>
        <v>Pitcher outfield </v>
      </c>
      <c r="G302" s="768" t="str">
        <f>IFERROR(__xludf.DUMMYFUNCTION("""COMPUTED_VALUE"""),"Junior Year - Batting AVG- .353 Pitching- ERA- 1.038 SO- 95 Fielding- FPCT- .941  Accolades- 1st team all district outfield, 1st team all district pitcher, pitcher of the year")</f>
        <v>Junior Year - Batting AVG- .353 Pitching- ERA- 1.038 SO- 95 Fielding- FPCT- .941  Accolades- 1st team all district outfield, 1st team all district pitcher, pitcher of the year</v>
      </c>
      <c r="H302" s="768">
        <f>IFERROR(__xludf.DUMMYFUNCTION("""COMPUTED_VALUE"""),4.0)</f>
        <v>4</v>
      </c>
      <c r="I302" s="768" t="str">
        <f>IFERROR(__xludf.DUMMYFUNCTION("""COMPUTED_VALUE"""),"Haven’t taken it")</f>
        <v>Haven’t taken it</v>
      </c>
      <c r="J302" s="768" t="str">
        <f>IFERROR(__xludf.DUMMYFUNCTION("""COMPUTED_VALUE"""),"No injuries")</f>
        <v>No injuries</v>
      </c>
      <c r="K302" s="768" t="str">
        <f>IFERROR(__xludf.DUMMYFUNCTION("""COMPUTED_VALUE"""),"None")</f>
        <v>None</v>
      </c>
      <c r="L302" s="768" t="str">
        <f>IFERROR(__xludf.DUMMYFUNCTION("""COMPUTED_VALUE"""),"No")</f>
        <v>No</v>
      </c>
      <c r="M302" s="768" t="str">
        <f>IFERROR(__xludf.DUMMYFUNCTION("""COMPUTED_VALUE"""),"No")</f>
        <v>No</v>
      </c>
      <c r="N302" s="768">
        <f>IFERROR(__xludf.DUMMYFUNCTION("""COMPUTED_VALUE"""),2026.0)</f>
        <v>2026</v>
      </c>
      <c r="O302" s="768"/>
      <c r="P302" s="768"/>
      <c r="Q302" s="768"/>
      <c r="R302" s="768"/>
      <c r="S302" s="768"/>
      <c r="T302" s="768"/>
      <c r="U302" s="768"/>
      <c r="V302" s="768"/>
      <c r="W302" s="768"/>
      <c r="X302" s="768"/>
      <c r="Y302" s="768"/>
      <c r="Z302" s="768"/>
      <c r="AA302" s="768"/>
    </row>
    <row r="303" ht="30.0" customHeight="1">
      <c r="A303" s="768">
        <f t="array" ref="A303">XLOOKUP(C303,'High School Players'!D:D,'High School Players'!K:K,"NO",0,1)</f>
        <v>4</v>
      </c>
      <c r="B303" s="975">
        <f>IFERROR(__xludf.DUMMYFUNCTION("""COMPUTED_VALUE"""),45938.49059476852)</f>
        <v>45938.49059</v>
      </c>
      <c r="C303" s="768" t="str">
        <f>IFERROR(__xludf.DUMMYFUNCTION("""COMPUTED_VALUE"""),"Ryan Rasmussen")</f>
        <v>Ryan Rasmussen</v>
      </c>
      <c r="D303" s="768" t="str">
        <f>IFERROR(__xludf.DUMMYFUNCTION("""COMPUTED_VALUE"""),"Ryan.rasmussen07@gmail.com")</f>
        <v>Ryan.rasmussen07@gmail.com</v>
      </c>
      <c r="E303" s="768" t="str">
        <f>IFERROR(__xludf.DUMMYFUNCTION("""COMPUTED_VALUE"""),"6’3 215lbs ")</f>
        <v>6’3 215lbs </v>
      </c>
      <c r="F303" s="768" t="str">
        <f>IFERROR(__xludf.DUMMYFUNCTION("""COMPUTED_VALUE"""),"Right handed Pitcher ")</f>
        <v>Right handed Pitcher </v>
      </c>
      <c r="G303" s="768" t="str">
        <f>IFERROR(__xludf.DUMMYFUNCTION("""COMPUTED_VALUE"""),"NA")</f>
        <v>NA</v>
      </c>
      <c r="H303" s="768">
        <f>IFERROR(__xludf.DUMMYFUNCTION("""COMPUTED_VALUE"""),3.08)</f>
        <v>3.08</v>
      </c>
      <c r="I303" s="768" t="str">
        <f>IFERROR(__xludf.DUMMYFUNCTION("""COMPUTED_VALUE"""),"ACT=19")</f>
        <v>ACT=19</v>
      </c>
      <c r="J303" s="768" t="str">
        <f>IFERROR(__xludf.DUMMYFUNCTION("""COMPUTED_VALUE"""),"None ")</f>
        <v>None </v>
      </c>
      <c r="K303" s="768" t="str">
        <f>IFERROR(__xludf.DUMMYFUNCTION("""COMPUTED_VALUE"""),"None")</f>
        <v>None</v>
      </c>
      <c r="L303" s="768" t="str">
        <f>IFERROR(__xludf.DUMMYFUNCTION("""COMPUTED_VALUE"""),"No")</f>
        <v>No</v>
      </c>
      <c r="M303" s="768" t="str">
        <f>IFERROR(__xludf.DUMMYFUNCTION("""COMPUTED_VALUE"""),"No")</f>
        <v>No</v>
      </c>
      <c r="N303" s="768">
        <f>IFERROR(__xludf.DUMMYFUNCTION("""COMPUTED_VALUE"""),2026.0)</f>
        <v>2026</v>
      </c>
      <c r="O303" s="768"/>
      <c r="P303" s="768"/>
      <c r="Q303" s="768"/>
      <c r="R303" s="768"/>
      <c r="S303" s="768"/>
      <c r="T303" s="768"/>
      <c r="U303" s="768"/>
      <c r="V303" s="768"/>
      <c r="W303" s="768"/>
      <c r="X303" s="768"/>
      <c r="Y303" s="768"/>
      <c r="Z303" s="768"/>
      <c r="AA303" s="768"/>
    </row>
    <row r="304" ht="30.0" customHeight="1">
      <c r="A304" s="768" t="str">
        <f t="array" ref="A304">XLOOKUP(C304,'High School Players'!D:D,'High School Players'!K:K,"NO",0,1)</f>
        <v>NO</v>
      </c>
      <c r="B304" s="975">
        <f>IFERROR(__xludf.DUMMYFUNCTION("""COMPUTED_VALUE"""),45938.824023043984)</f>
        <v>45938.82402</v>
      </c>
      <c r="C304" s="768" t="str">
        <f>IFERROR(__xludf.DUMMYFUNCTION("""COMPUTED_VALUE"""),"Ford Allen")</f>
        <v>Ford Allen</v>
      </c>
      <c r="D304" s="768" t="str">
        <f>IFERROR(__xludf.DUMMYFUNCTION("""COMPUTED_VALUE"""),"fordallen1218@gmail.com")</f>
        <v>fordallen1218@gmail.com</v>
      </c>
      <c r="E304" s="768" t="str">
        <f>IFERROR(__xludf.DUMMYFUNCTION("""COMPUTED_VALUE"""),"6’1 210")</f>
        <v>6’1 210</v>
      </c>
      <c r="F304" s="768" t="str">
        <f>IFERROR(__xludf.DUMMYFUNCTION("""COMPUTED_VALUE"""),"3B, MIF, OF, 1B")</f>
        <v>3B, MIF, OF, 1B</v>
      </c>
      <c r="G304" s="768" t="str">
        <f>IFERROR(__xludf.DUMMYFUNCTION("""COMPUTED_VALUE"""),"School Ball .372 average, .495 OBP, .995 OPS, 6 doubles 3 triples, 24 rbis, 19 walks, Summer ball- 16/36 .445 , .591 OBP, 15 rbis 4 doubles 2 triples 1 Homerun 5 walks")</f>
        <v>School Ball .372 average, .495 OBP, .995 OPS, 6 doubles 3 triples, 24 rbis, 19 walks, Summer ball- 16/36 .445 , .591 OBP, 15 rbis 4 doubles 2 triples 1 Homerun 5 walks</v>
      </c>
      <c r="H304" s="768" t="str">
        <f>IFERROR(__xludf.DUMMYFUNCTION("""COMPUTED_VALUE"""),"3.85 unweighted, 4.3 weighted")</f>
        <v>3.85 unweighted, 4.3 weighted</v>
      </c>
      <c r="I304" s="768" t="str">
        <f>IFERROR(__xludf.DUMMYFUNCTION("""COMPUTED_VALUE"""),"Haven’t taken them yet")</f>
        <v>Haven’t taken them yet</v>
      </c>
      <c r="J304" s="768" t="str">
        <f>IFERROR(__xludf.DUMMYFUNCTION("""COMPUTED_VALUE"""),"Avulsion fracture in hip in 8th grade, grade 1 pcl tear out for one month")</f>
        <v>Avulsion fracture in hip in 8th grade, grade 1 pcl tear out for one month</v>
      </c>
      <c r="K304" s="768" t="str">
        <f>IFERROR(__xludf.DUMMYFUNCTION("""COMPUTED_VALUE"""),"Mild allergy to nuts, due for retesting")</f>
        <v>Mild allergy to nuts, due for retesting</v>
      </c>
      <c r="L304" s="768" t="str">
        <f>IFERROR(__xludf.DUMMYFUNCTION("""COMPUTED_VALUE"""),"No")</f>
        <v>No</v>
      </c>
      <c r="M304" s="768" t="str">
        <f>IFERROR(__xludf.DUMMYFUNCTION("""COMPUTED_VALUE"""),"No")</f>
        <v>No</v>
      </c>
      <c r="N304" s="768" t="str">
        <f>IFERROR(__xludf.DUMMYFUNCTION("""COMPUTED_VALUE"""),"Houston")</f>
        <v>Houston</v>
      </c>
      <c r="O304" s="768"/>
      <c r="P304" s="768"/>
      <c r="Q304" s="768"/>
      <c r="R304" s="768"/>
      <c r="S304" s="768"/>
      <c r="T304" s="768"/>
      <c r="U304" s="768"/>
      <c r="V304" s="768"/>
      <c r="W304" s="768"/>
      <c r="X304" s="768"/>
      <c r="Y304" s="768"/>
      <c r="Z304" s="768"/>
      <c r="AA304" s="768"/>
    </row>
    <row r="305" ht="30.0" customHeight="1">
      <c r="A305" s="768" t="str">
        <f t="array" ref="A305">XLOOKUP(C305,'High School Players'!D:D,'High School Players'!K:K,"NO",0,1)</f>
        <v>XX</v>
      </c>
      <c r="B305" s="975">
        <f>IFERROR(__xludf.DUMMYFUNCTION("""COMPUTED_VALUE"""),45938.84420153935)</f>
        <v>45938.8442</v>
      </c>
      <c r="C305" s="768" t="str">
        <f>IFERROR(__xludf.DUMMYFUNCTION("""COMPUTED_VALUE"""),"Connor Gavigan")</f>
        <v>Connor Gavigan</v>
      </c>
      <c r="D305" s="768" t="str">
        <f>IFERROR(__xludf.DUMMYFUNCTION("""COMPUTED_VALUE"""),"connor.gav42@gmail.com")</f>
        <v>connor.gav42@gmail.com</v>
      </c>
      <c r="E305" s="768" t="str">
        <f>IFERROR(__xludf.DUMMYFUNCTION("""COMPUTED_VALUE"""),"6’1 195lbs")</f>
        <v>6’1 195lbs</v>
      </c>
      <c r="F305" s="768" t="str">
        <f>IFERROR(__xludf.DUMMYFUNCTION("""COMPUTED_VALUE"""),"2-way")</f>
        <v>2-way</v>
      </c>
      <c r="G305" s="768" t="str">
        <f>IFERROR(__xludf.DUMMYFUNCTION("""COMPUTED_VALUE"""),"HS season: 27 GP .393 AVG .475 OBP 1.094 OPS 84 AB 23 R 33 H 41 RBI 7D 4 HR 10 SB Summer ball: 29GP .333 AVG .413 OBP 1.055 OPS 81 AB 18 R 27 H 27 RBI 5 D 1T 6HR 6 SB")</f>
        <v>HS season: 27 GP .393 AVG .475 OBP 1.094 OPS 84 AB 23 R 33 H 41 RBI 7D 4 HR 10 SB Summer ball: 29GP .333 AVG .413 OBP 1.055 OPS 81 AB 18 R 27 H 27 RBI 5 D 1T 6HR 6 SB</v>
      </c>
      <c r="H305" s="768" t="str">
        <f>IFERROR(__xludf.DUMMYFUNCTION("""COMPUTED_VALUE"""),"UW: 3.5 W: 4? (not 100% sure, sorry)")</f>
        <v>UW: 3.5 W: 4? (not 100% sure, sorry)</v>
      </c>
      <c r="I305" s="768" t="str">
        <f>IFERROR(__xludf.DUMMYFUNCTION("""COMPUTED_VALUE"""),"n/a i can’t take them until after about 2nd semester ")</f>
        <v>n/a i can’t take them until after about 2nd semester </v>
      </c>
      <c r="J305" s="768" t="str">
        <f>IFERROR(__xludf.DUMMYFUNCTION("""COMPUTED_VALUE"""),"none")</f>
        <v>none</v>
      </c>
      <c r="K305" s="768" t="str">
        <f>IFERROR(__xludf.DUMMYFUNCTION("""COMPUTED_VALUE"""),"none")</f>
        <v>none</v>
      </c>
      <c r="L305" s="768" t="str">
        <f>IFERROR(__xludf.DUMMYFUNCTION("""COMPUTED_VALUE"""),"albuterol (getting cleared soon)")</f>
        <v>albuterol (getting cleared soon)</v>
      </c>
      <c r="M305" s="768" t="str">
        <f>IFERROR(__xludf.DUMMYFUNCTION("""COMPUTED_VALUE"""),"no")</f>
        <v>no</v>
      </c>
      <c r="N305" s="768" t="str">
        <f>IFERROR(__xludf.DUMMYFUNCTION("""COMPUTED_VALUE"""),"11th")</f>
        <v>11th</v>
      </c>
      <c r="O305" s="768"/>
      <c r="P305" s="768"/>
      <c r="Q305" s="768"/>
      <c r="R305" s="768"/>
      <c r="S305" s="768"/>
      <c r="T305" s="768"/>
      <c r="U305" s="768"/>
      <c r="V305" s="768"/>
      <c r="W305" s="768"/>
      <c r="X305" s="768"/>
      <c r="Y305" s="768"/>
      <c r="Z305" s="768"/>
      <c r="AA305" s="768"/>
    </row>
    <row r="306" ht="30.0" customHeight="1">
      <c r="A306" s="768" t="str">
        <f t="array" ref="A306">XLOOKUP(C306,'High School Players'!D:D,'High School Players'!K:K,"NO",0,1)</f>
        <v>NO</v>
      </c>
      <c r="B306" s="975">
        <f>IFERROR(__xludf.DUMMYFUNCTION("""COMPUTED_VALUE"""),45939.69200096065)</f>
        <v>45939.692</v>
      </c>
      <c r="C306" s="768" t="str">
        <f>IFERROR(__xludf.DUMMYFUNCTION("""COMPUTED_VALUE"""),"Noah McConnell ")</f>
        <v>Noah McConnell </v>
      </c>
      <c r="D306" s="768" t="str">
        <f>IFERROR(__xludf.DUMMYFUNCTION("""COMPUTED_VALUE"""),"noahmm1024@gmail.com")</f>
        <v>noahmm1024@gmail.com</v>
      </c>
      <c r="E306" s="768" t="str">
        <f>IFERROR(__xludf.DUMMYFUNCTION("""COMPUTED_VALUE"""),"6ft 215lbs")</f>
        <v>6ft 215lbs</v>
      </c>
      <c r="F306" s="768" t="str">
        <f>IFERROR(__xludf.DUMMYFUNCTION("""COMPUTED_VALUE"""),"right hand pitcher")</f>
        <v>right hand pitcher</v>
      </c>
      <c r="G306" s="768" t="str">
        <f>IFERROR(__xludf.DUMMYFUNCTION("""COMPUTED_VALUE"""),"Summer  20.1 IP .697 ERA 27 K 2 ER 7 BB 15 H HS Spring  40.1 IP 2.083 ERA 107 K 12 ER 44 BB 10 H")</f>
        <v>Summer  20.1 IP .697 ERA 27 K 2 ER 7 BB 15 H HS Spring  40.1 IP 2.083 ERA 107 K 12 ER 44 BB 10 H</v>
      </c>
      <c r="H306" s="768">
        <f>IFERROR(__xludf.DUMMYFUNCTION("""COMPUTED_VALUE"""),3.95)</f>
        <v>3.95</v>
      </c>
      <c r="I306" s="768" t="str">
        <f>IFERROR(__xludf.DUMMYFUNCTION("""COMPUTED_VALUE"""),"ACT: 23")</f>
        <v>ACT: 23</v>
      </c>
      <c r="J306" s="768" t="str">
        <f>IFERROR(__xludf.DUMMYFUNCTION("""COMPUTED_VALUE"""),"Knee surgery ")</f>
        <v>Knee surgery </v>
      </c>
      <c r="K306" s="768" t="str">
        <f>IFERROR(__xludf.DUMMYFUNCTION("""COMPUTED_VALUE"""),"No allergies")</f>
        <v>No allergies</v>
      </c>
      <c r="L306" s="768" t="str">
        <f>IFERROR(__xludf.DUMMYFUNCTION("""COMPUTED_VALUE"""),"No")</f>
        <v>No</v>
      </c>
      <c r="M306" s="768" t="str">
        <f>IFERROR(__xludf.DUMMYFUNCTION("""COMPUTED_VALUE"""),"No ")</f>
        <v>No </v>
      </c>
      <c r="N306" s="768">
        <f>IFERROR(__xludf.DUMMYFUNCTION("""COMPUTED_VALUE"""),2026.0)</f>
        <v>2026</v>
      </c>
      <c r="O306" s="768"/>
      <c r="P306" s="768"/>
      <c r="Q306" s="768"/>
      <c r="R306" s="768"/>
      <c r="S306" s="768"/>
      <c r="T306" s="768"/>
      <c r="U306" s="768"/>
      <c r="V306" s="768"/>
      <c r="W306" s="768"/>
      <c r="X306" s="768"/>
      <c r="Y306" s="768"/>
      <c r="Z306" s="768"/>
      <c r="AA306" s="768"/>
    </row>
    <row r="307" ht="30.0" customHeight="1">
      <c r="A307" s="768">
        <f t="array" ref="A307">XLOOKUP(C307,'High School Players'!D:D,'High School Players'!K:K,"NO",0,1)</f>
        <v>0.1</v>
      </c>
      <c r="B307" s="975">
        <f>IFERROR(__xludf.DUMMYFUNCTION("""COMPUTED_VALUE"""),45941.86242561342)</f>
        <v>45941.86243</v>
      </c>
      <c r="C307" s="768" t="str">
        <f>IFERROR(__xludf.DUMMYFUNCTION("""COMPUTED_VALUE"""),"Santiago Arismendi")</f>
        <v>Santiago Arismendi</v>
      </c>
      <c r="D307" s="768" t="str">
        <f>IFERROR(__xludf.DUMMYFUNCTION("""COMPUTED_VALUE"""),"sarismendir21@gmail.com")</f>
        <v>sarismendir21@gmail.com</v>
      </c>
      <c r="E307" s="768" t="str">
        <f>IFERROR(__xludf.DUMMYFUNCTION("""COMPUTED_VALUE"""),"6’2/180")</f>
        <v>6’2/180</v>
      </c>
      <c r="F307" s="768" t="str">
        <f>IFERROR(__xludf.DUMMYFUNCTION("""COMPUTED_VALUE"""),"RHP")</f>
        <v>RHP</v>
      </c>
      <c r="G307" s="768" t="str">
        <f>IFERROR(__xludf.DUMMYFUNCTION("""COMPUTED_VALUE"""),"39 IP - 28 H - 12 ER - 40 K")</f>
        <v>39 IP - 28 H - 12 ER - 40 K</v>
      </c>
      <c r="H307" s="768" t="str">
        <f>IFERROR(__xludf.DUMMYFUNCTION("""COMPUTED_VALUE"""),"3.5 UW / 4.0 W")</f>
        <v>3.5 UW / 4.0 W</v>
      </c>
      <c r="I307" s="768" t="str">
        <f>IFERROR(__xludf.DUMMYFUNCTION("""COMPUTED_VALUE"""),"N/A")</f>
        <v>N/A</v>
      </c>
      <c r="J307" s="768" t="str">
        <f>IFERROR(__xludf.DUMMYFUNCTION("""COMPUTED_VALUE"""),"N/A")</f>
        <v>N/A</v>
      </c>
      <c r="K307" s="768" t="str">
        <f>IFERROR(__xludf.DUMMYFUNCTION("""COMPUTED_VALUE"""),"N/A")</f>
        <v>N/A</v>
      </c>
      <c r="L307" s="768" t="str">
        <f>IFERROR(__xludf.DUMMYFUNCTION("""COMPUTED_VALUE"""),"N/A")</f>
        <v>N/A</v>
      </c>
      <c r="M307" s="768" t="str">
        <f>IFERROR(__xludf.DUMMYFUNCTION("""COMPUTED_VALUE"""),"No")</f>
        <v>No</v>
      </c>
      <c r="N307" s="768">
        <f>IFERROR(__xludf.DUMMYFUNCTION("""COMPUTED_VALUE"""),2026.0)</f>
        <v>2026</v>
      </c>
      <c r="O307" s="768"/>
      <c r="P307" s="768"/>
      <c r="Q307" s="768"/>
      <c r="R307" s="768"/>
      <c r="S307" s="768"/>
      <c r="T307" s="768"/>
      <c r="U307" s="768"/>
      <c r="V307" s="768"/>
      <c r="W307" s="768"/>
      <c r="X307" s="768"/>
      <c r="Y307" s="768"/>
      <c r="Z307" s="768"/>
      <c r="AA307" s="768"/>
    </row>
    <row r="308" ht="30.0" customHeight="1">
      <c r="A308" s="768" t="str">
        <f t="array" ref="A308">XLOOKUP(C308,'High School Players'!D:D,'High School Players'!K:K,"NO",0,1)</f>
        <v>XX</v>
      </c>
      <c r="B308" s="975">
        <f>IFERROR(__xludf.DUMMYFUNCTION("""COMPUTED_VALUE"""),45942.561298333334)</f>
        <v>45942.5613</v>
      </c>
      <c r="C308" s="768" t="str">
        <f>IFERROR(__xludf.DUMMYFUNCTION("""COMPUTED_VALUE"""),"Max Tello")</f>
        <v>Max Tello</v>
      </c>
      <c r="D308" s="768" t="str">
        <f>IFERROR(__xludf.DUMMYFUNCTION("""COMPUTED_VALUE"""),"maxtello2212@gmail.com")</f>
        <v>maxtello2212@gmail.com</v>
      </c>
      <c r="E308" s="768" t="str">
        <f>IFERROR(__xludf.DUMMYFUNCTION("""COMPUTED_VALUE"""),"6’2 192")</f>
        <v>6’2 192</v>
      </c>
      <c r="F308" s="768" t="str">
        <f>IFERROR(__xludf.DUMMYFUNCTION("""COMPUTED_VALUE"""),"RHP")</f>
        <v>RHP</v>
      </c>
      <c r="G308" s="768" t="str">
        <f>IFERROR(__xludf.DUMMYFUNCTION("""COMPUTED_VALUE"""),"High School: 44IP 2.23 ERA 59K")</f>
        <v>High School: 44IP 2.23 ERA 59K</v>
      </c>
      <c r="H308" s="768">
        <f>IFERROR(__xludf.DUMMYFUNCTION("""COMPUTED_VALUE"""),3.68)</f>
        <v>3.68</v>
      </c>
      <c r="I308" s="768" t="str">
        <f>IFERROR(__xludf.DUMMYFUNCTION("""COMPUTED_VALUE"""),"N/A")</f>
        <v>N/A</v>
      </c>
      <c r="J308" s="768" t="str">
        <f>IFERROR(__xludf.DUMMYFUNCTION("""COMPUTED_VALUE"""),"N/A")</f>
        <v>N/A</v>
      </c>
      <c r="K308" s="768" t="str">
        <f>IFERROR(__xludf.DUMMYFUNCTION("""COMPUTED_VALUE"""),"N/A")</f>
        <v>N/A</v>
      </c>
      <c r="L308" s="768" t="str">
        <f>IFERROR(__xludf.DUMMYFUNCTION("""COMPUTED_VALUE"""),"N/A")</f>
        <v>N/A</v>
      </c>
      <c r="M308" s="768" t="str">
        <f>IFERROR(__xludf.DUMMYFUNCTION("""COMPUTED_VALUE"""),"N/A")</f>
        <v>N/A</v>
      </c>
      <c r="N308" s="768">
        <f>IFERROR(__xludf.DUMMYFUNCTION("""COMPUTED_VALUE"""),2026.0)</f>
        <v>2026</v>
      </c>
      <c r="O308" s="768"/>
      <c r="P308" s="768"/>
      <c r="Q308" s="768"/>
      <c r="R308" s="768"/>
      <c r="S308" s="768"/>
      <c r="T308" s="768"/>
      <c r="U308" s="768"/>
      <c r="V308" s="768"/>
      <c r="W308" s="768"/>
      <c r="X308" s="768"/>
      <c r="Y308" s="768"/>
      <c r="Z308" s="768"/>
      <c r="AA308" s="768"/>
    </row>
    <row r="309" ht="30.0" customHeight="1">
      <c r="A309" s="768" t="str">
        <f t="array" ref="A309">XLOOKUP(C309,'High School Players'!D:D,'High School Players'!K:K,"NO",0,1)</f>
        <v>XX</v>
      </c>
      <c r="B309" s="975">
        <f>IFERROR(__xludf.DUMMYFUNCTION("""COMPUTED_VALUE"""),45942.76334863426)</f>
        <v>45942.76335</v>
      </c>
      <c r="C309" s="768" t="str">
        <f>IFERROR(__xludf.DUMMYFUNCTION("""COMPUTED_VALUE"""),"Gavin Cervantes")</f>
        <v>Gavin Cervantes</v>
      </c>
      <c r="D309" s="768" t="str">
        <f>IFERROR(__xludf.DUMMYFUNCTION("""COMPUTED_VALUE"""),"cervantesgavin377@gmail.com")</f>
        <v>cervantesgavin377@gmail.com</v>
      </c>
      <c r="E309" s="768" t="str">
        <f>IFERROR(__xludf.DUMMYFUNCTION("""COMPUTED_VALUE"""),"5’11 170lb")</f>
        <v>5’11 170lb</v>
      </c>
      <c r="F309" s="768" t="str">
        <f>IFERROR(__xludf.DUMMYFUNCTION("""COMPUTED_VALUE"""),"RHP PO")</f>
        <v>RHP PO</v>
      </c>
      <c r="G309" s="768" t="str">
        <f>IFERROR(__xludf.DUMMYFUNCTION("""COMPUTED_VALUE"""),"Hs Season : 58 innings, 8-0 record, 1.20 ERA")</f>
        <v>Hs Season : 58 innings, 8-0 record, 1.20 ERA</v>
      </c>
      <c r="H309" s="768" t="str">
        <f>IFERROR(__xludf.DUMMYFUNCTION("""COMPUTED_VALUE"""),"3.6-3.7 I do not take any Ap’s/ honors classes")</f>
        <v>3.6-3.7 I do not take any Ap’s/ honors classes</v>
      </c>
      <c r="I309" s="768" t="str">
        <f>IFERROR(__xludf.DUMMYFUNCTION("""COMPUTED_VALUE"""),"Dont have")</f>
        <v>Dont have</v>
      </c>
      <c r="J309" s="768" t="str">
        <f>IFERROR(__xludf.DUMMYFUNCTION("""COMPUTED_VALUE"""),"No surgeries, had a foot injury about 2 years ago, was down for 7 months, came back April 2024")</f>
        <v>No surgeries, had a foot injury about 2 years ago, was down for 7 months, came back April 2024</v>
      </c>
      <c r="K309" s="768" t="str">
        <f>IFERROR(__xludf.DUMMYFUNCTION("""COMPUTED_VALUE"""),"No")</f>
        <v>No</v>
      </c>
      <c r="L309" s="768" t="str">
        <f>IFERROR(__xludf.DUMMYFUNCTION("""COMPUTED_VALUE"""),"No")</f>
        <v>No</v>
      </c>
      <c r="M309" s="768" t="str">
        <f>IFERROR(__xludf.DUMMYFUNCTION("""COMPUTED_VALUE"""),"No")</f>
        <v>No</v>
      </c>
      <c r="N309" s="768">
        <f>IFERROR(__xludf.DUMMYFUNCTION("""COMPUTED_VALUE"""),2026.0)</f>
        <v>2026</v>
      </c>
      <c r="O309" s="768"/>
      <c r="P309" s="768"/>
      <c r="Q309" s="768"/>
      <c r="R309" s="768"/>
      <c r="S309" s="768"/>
      <c r="T309" s="768"/>
      <c r="U309" s="768"/>
      <c r="V309" s="768"/>
      <c r="W309" s="768"/>
      <c r="X309" s="768"/>
      <c r="Y309" s="768"/>
      <c r="Z309" s="768"/>
      <c r="AA309" s="768"/>
    </row>
    <row r="310" ht="30.0" customHeight="1">
      <c r="A310" s="768" t="str">
        <f t="array" ref="A310">XLOOKUP(C310,'High School Players'!D:D,'High School Players'!K:K,"NO",0,1)</f>
        <v>XX</v>
      </c>
      <c r="B310" s="975">
        <f>IFERROR(__xludf.DUMMYFUNCTION("""COMPUTED_VALUE"""),45943.60775664352)</f>
        <v>45943.60776</v>
      </c>
      <c r="C310" s="768" t="str">
        <f>IFERROR(__xludf.DUMMYFUNCTION("""COMPUTED_VALUE"""),"Luke winbush")</f>
        <v>Luke winbush</v>
      </c>
      <c r="D310" s="768" t="str">
        <f>IFERROR(__xludf.DUMMYFUNCTION("""COMPUTED_VALUE"""),"Lukewinbush@gmail.com")</f>
        <v>Lukewinbush@gmail.com</v>
      </c>
      <c r="E310" s="768" t="str">
        <f>IFERROR(__xludf.DUMMYFUNCTION("""COMPUTED_VALUE"""),"5’9”/170 ")</f>
        <v>5’9”/170 </v>
      </c>
      <c r="F310" s="768" t="str">
        <f>IFERROR(__xludf.DUMMYFUNCTION("""COMPUTED_VALUE"""),"Mif/3b ")</f>
        <v>Mif/3b </v>
      </c>
      <c r="G310" s="768" t="str">
        <f>IFERROR(__xludf.DUMMYFUNCTION("""COMPUTED_VALUE"""),"Hs - .300 avg, summer - .420 avg, fall - .442 avg ")</f>
        <v>Hs - .300 avg, summer - .420 avg, fall - .442 avg </v>
      </c>
      <c r="H310" s="768" t="str">
        <f>IFERROR(__xludf.DUMMYFUNCTION("""COMPUTED_VALUE"""),"3.967/ 4.467")</f>
        <v>3.967/ 4.467</v>
      </c>
      <c r="I310" s="768" t="str">
        <f>IFERROR(__xludf.DUMMYFUNCTION("""COMPUTED_VALUE"""),"N/a")</f>
        <v>N/a</v>
      </c>
      <c r="J310" s="768" t="str">
        <f>IFERROR(__xludf.DUMMYFUNCTION("""COMPUTED_VALUE"""),"No")</f>
        <v>No</v>
      </c>
      <c r="K310" s="768" t="str">
        <f>IFERROR(__xludf.DUMMYFUNCTION("""COMPUTED_VALUE"""),"No")</f>
        <v>No</v>
      </c>
      <c r="L310" s="768" t="str">
        <f>IFERROR(__xludf.DUMMYFUNCTION("""COMPUTED_VALUE"""),"No")</f>
        <v>No</v>
      </c>
      <c r="M310" s="768" t="str">
        <f>IFERROR(__xludf.DUMMYFUNCTION("""COMPUTED_VALUE"""),"No")</f>
        <v>No</v>
      </c>
      <c r="N310" s="768">
        <f>IFERROR(__xludf.DUMMYFUNCTION("""COMPUTED_VALUE"""),2027.0)</f>
        <v>2027</v>
      </c>
      <c r="O310" s="768"/>
      <c r="P310" s="768"/>
      <c r="Q310" s="768"/>
      <c r="R310" s="768"/>
      <c r="S310" s="768"/>
      <c r="T310" s="768"/>
      <c r="U310" s="768"/>
      <c r="V310" s="768"/>
      <c r="W310" s="768"/>
      <c r="X310" s="768"/>
      <c r="Y310" s="768"/>
      <c r="Z310" s="768"/>
      <c r="AA310" s="768"/>
    </row>
    <row r="311" ht="30.0" customHeight="1">
      <c r="A311" s="768" t="str">
        <f t="array" ref="A311">XLOOKUP(C311,'High School Players'!D:D,'High School Players'!K:K,"NO",0,1)</f>
        <v>XX</v>
      </c>
      <c r="B311" s="975">
        <f>IFERROR(__xludf.DUMMYFUNCTION("""COMPUTED_VALUE"""),45943.86638157407)</f>
        <v>45943.86638</v>
      </c>
      <c r="C311" s="768" t="str">
        <f>IFERROR(__xludf.DUMMYFUNCTION("""COMPUTED_VALUE"""),"Garrett Koshkin")</f>
        <v>Garrett Koshkin</v>
      </c>
      <c r="D311" s="768" t="str">
        <f>IFERROR(__xludf.DUMMYFUNCTION("""COMPUTED_VALUE"""),"gkoshkin3@gmail.com")</f>
        <v>gkoshkin3@gmail.com</v>
      </c>
      <c r="E311" s="768" t="str">
        <f>IFERROR(__xludf.DUMMYFUNCTION("""COMPUTED_VALUE"""),"6’1 / 195")</f>
        <v>6’1 / 195</v>
      </c>
      <c r="F311" s="768" t="str">
        <f>IFERROR(__xludf.DUMMYFUNCTION("""COMPUTED_VALUE"""),"RHP")</f>
        <v>RHP</v>
      </c>
      <c r="G311" s="768" t="str">
        <f>IFERROR(__xludf.DUMMYFUNCTION("""COMPUTED_VALUE"""),"41.1 innings, 2.7 ERA, 49K")</f>
        <v>41.1 innings, 2.7 ERA, 49K</v>
      </c>
      <c r="H311" s="768" t="str">
        <f>IFERROR(__xludf.DUMMYFUNCTION("""COMPUTED_VALUE"""),"3.944/5.386")</f>
        <v>3.944/5.386</v>
      </c>
      <c r="I311" s="768" t="str">
        <f>IFERROR(__xludf.DUMMYFUNCTION("""COMPUTED_VALUE"""),"ACT superscore: 35  Highest single sitting ACT score: 34")</f>
        <v>ACT superscore: 35  Highest single sitting ACT score: 34</v>
      </c>
      <c r="J311" s="768" t="str">
        <f>IFERROR(__xludf.DUMMYFUNCTION("""COMPUTED_VALUE"""),"None")</f>
        <v>None</v>
      </c>
      <c r="K311" s="768" t="str">
        <f>IFERROR(__xludf.DUMMYFUNCTION("""COMPUTED_VALUE"""),"None")</f>
        <v>None</v>
      </c>
      <c r="L311" s="768" t="str">
        <f>IFERROR(__xludf.DUMMYFUNCTION("""COMPUTED_VALUE"""),"None")</f>
        <v>None</v>
      </c>
      <c r="M311" s="768" t="str">
        <f>IFERROR(__xludf.DUMMYFUNCTION("""COMPUTED_VALUE"""),"None")</f>
        <v>None</v>
      </c>
      <c r="N311" s="768">
        <f>IFERROR(__xludf.DUMMYFUNCTION("""COMPUTED_VALUE"""),2026.0)</f>
        <v>2026</v>
      </c>
      <c r="O311" s="768"/>
      <c r="P311" s="768"/>
      <c r="Q311" s="768"/>
      <c r="R311" s="768"/>
      <c r="S311" s="768"/>
      <c r="T311" s="768"/>
      <c r="U311" s="768"/>
      <c r="V311" s="768"/>
      <c r="W311" s="768"/>
      <c r="X311" s="768"/>
      <c r="Y311" s="768"/>
      <c r="Z311" s="768"/>
      <c r="AA311" s="768"/>
    </row>
    <row r="312" ht="30.0" customHeight="1">
      <c r="A312" s="768" t="str">
        <f t="array" ref="A312">XLOOKUP(C312,'High School Players'!D:D,'High School Players'!K:K,"NO",0,1)</f>
        <v>NO</v>
      </c>
      <c r="B312" s="975">
        <f>IFERROR(__xludf.DUMMYFUNCTION("""COMPUTED_VALUE"""),45947.58039001157)</f>
        <v>45947.58039</v>
      </c>
      <c r="C312" s="768" t="str">
        <f>IFERROR(__xludf.DUMMYFUNCTION("""COMPUTED_VALUE"""),"Connor McGrew")</f>
        <v>Connor McGrew</v>
      </c>
      <c r="D312" s="768" t="str">
        <f>IFERROR(__xludf.DUMMYFUNCTION("""COMPUTED_VALUE"""),"conmcg18@gmail.com")</f>
        <v>conmcg18@gmail.com</v>
      </c>
      <c r="E312" s="768" t="str">
        <f>IFERROR(__xludf.DUMMYFUNCTION("""COMPUTED_VALUE"""),"6'1/175lbs")</f>
        <v>6'1/175lbs</v>
      </c>
      <c r="F312" s="768" t="str">
        <f>IFERROR(__xludf.DUMMYFUNCTION("""COMPUTED_VALUE"""),"RHP")</f>
        <v>RHP</v>
      </c>
      <c r="G312" s="768" t="str">
        <f>IFERROR(__xludf.DUMMYFUNCTION("""COMPUTED_VALUE"""),"Highschool stats: 27 IP 1.56 ERA 41 K's 9 BB 20 H .192 OBA .282 OBP")</f>
        <v>Highschool stats: 27 IP 1.56 ERA 41 K's 9 BB 20 H .192 OBA .282 OBP</v>
      </c>
      <c r="H312" s="768" t="str">
        <f>IFERROR(__xludf.DUMMYFUNCTION("""COMPUTED_VALUE"""),"2.5/2.7")</f>
        <v>2.5/2.7</v>
      </c>
      <c r="I312" s="768" t="str">
        <f>IFERROR(__xludf.DUMMYFUNCTION("""COMPUTED_VALUE"""),"Haven't taken either yet")</f>
        <v>Haven't taken either yet</v>
      </c>
      <c r="J312" s="768" t="str">
        <f>IFERROR(__xludf.DUMMYFUNCTION("""COMPUTED_VALUE"""),"Stress reaction in right shoulder. Minor flexor pronator strain")</f>
        <v>Stress reaction in right shoulder. Minor flexor pronator strain</v>
      </c>
      <c r="K312" s="768" t="str">
        <f>IFERROR(__xludf.DUMMYFUNCTION("""COMPUTED_VALUE"""),"No")</f>
        <v>No</v>
      </c>
      <c r="L312" s="768" t="str">
        <f>IFERROR(__xludf.DUMMYFUNCTION("""COMPUTED_VALUE"""),"No")</f>
        <v>No</v>
      </c>
      <c r="M312" s="768" t="str">
        <f>IFERROR(__xludf.DUMMYFUNCTION("""COMPUTED_VALUE"""),"No")</f>
        <v>No</v>
      </c>
      <c r="N312" s="768">
        <f>IFERROR(__xludf.DUMMYFUNCTION("""COMPUTED_VALUE"""),2027.0)</f>
        <v>2027</v>
      </c>
      <c r="O312" s="768"/>
      <c r="P312" s="768"/>
      <c r="Q312" s="768"/>
      <c r="R312" s="768"/>
      <c r="S312" s="768"/>
      <c r="T312" s="768"/>
      <c r="U312" s="768"/>
      <c r="V312" s="768"/>
      <c r="W312" s="768"/>
      <c r="X312" s="768"/>
      <c r="Y312" s="768"/>
      <c r="Z312" s="768"/>
      <c r="AA312" s="768"/>
    </row>
    <row r="313" ht="30.0" customHeight="1">
      <c r="A313" s="768"/>
      <c r="B313" s="975">
        <f>IFERROR(__xludf.DUMMYFUNCTION("""COMPUTED_VALUE"""),45950.77752510417)</f>
        <v>45950.77753</v>
      </c>
      <c r="C313" s="768" t="str">
        <f>IFERROR(__xludf.DUMMYFUNCTION("""COMPUTED_VALUE"""),"Walker Waggoner ")</f>
        <v>Walker Waggoner </v>
      </c>
      <c r="D313" s="768" t="str">
        <f>IFERROR(__xludf.DUMMYFUNCTION("""COMPUTED_VALUE"""),"walkwagg7@gmail.com")</f>
        <v>walkwagg7@gmail.com</v>
      </c>
      <c r="E313" s="768" t="str">
        <f>IFERROR(__xludf.DUMMYFUNCTION("""COMPUTED_VALUE"""),"6’0 175")</f>
        <v>6’0 175</v>
      </c>
      <c r="F313" s="768" t="str">
        <f>IFERROR(__xludf.DUMMYFUNCTION("""COMPUTED_VALUE"""),"OF, RHP")</f>
        <v>OF, RHP</v>
      </c>
      <c r="G313" s="768" t="str">
        <f>IFERROR(__xludf.DUMMYFUNCTION("""COMPUTED_VALUE"""),"High School: .327 avg., .951 OPS, 16 H, 2 HR, 14 RBI, 19 R, 11SB. All-Region Honorable Mention; Summer: .367 avg., .468 OBP, 1.057 OPS, 27 H, 13 2b, 2 3b, 1 HR, 20 RBI, 29 R, 10 SB")</f>
        <v>High School: .327 avg., .951 OPS, 16 H, 2 HR, 14 RBI, 19 R, 11SB. All-Region Honorable Mention; Summer: .367 avg., .468 OBP, 1.057 OPS, 27 H, 13 2b, 2 3b, 1 HR, 20 RBI, 29 R, 10 SB</v>
      </c>
      <c r="H313" s="768" t="str">
        <f>IFERROR(__xludf.DUMMYFUNCTION("""COMPUTED_VALUE"""),"Unweighted: NA; Weighted: 4.04 (last year)")</f>
        <v>Unweighted: NA; Weighted: 4.04 (last year)</v>
      </c>
      <c r="I313" s="768"/>
      <c r="J313" s="768" t="str">
        <f>IFERROR(__xludf.DUMMYFUNCTION("""COMPUTED_VALUE"""),"None")</f>
        <v>None</v>
      </c>
      <c r="K313" s="768" t="str">
        <f>IFERROR(__xludf.DUMMYFUNCTION("""COMPUTED_VALUE"""),"No")</f>
        <v>No</v>
      </c>
      <c r="L313" s="768" t="str">
        <f>IFERROR(__xludf.DUMMYFUNCTION("""COMPUTED_VALUE"""),"No")</f>
        <v>No</v>
      </c>
      <c r="M313" s="768" t="str">
        <f>IFERROR(__xludf.DUMMYFUNCTION("""COMPUTED_VALUE"""),"No")</f>
        <v>No</v>
      </c>
      <c r="N313" s="768">
        <f>IFERROR(__xludf.DUMMYFUNCTION("""COMPUTED_VALUE"""),2027.0)</f>
        <v>2027</v>
      </c>
      <c r="O313" s="768"/>
      <c r="P313" s="768"/>
      <c r="Q313" s="768"/>
      <c r="R313" s="768"/>
      <c r="S313" s="768"/>
      <c r="T313" s="768"/>
      <c r="U313" s="768"/>
      <c r="V313" s="768"/>
      <c r="W313" s="768"/>
      <c r="X313" s="768"/>
      <c r="Y313" s="768"/>
      <c r="Z313" s="768"/>
      <c r="AA313" s="768"/>
    </row>
    <row r="314" ht="30.0" customHeight="1">
      <c r="A314" s="768">
        <f t="array" ref="A314">XLOOKUP(C314,'High School Players'!D:D,'High School Players'!K:K,"NO",0,1)</f>
        <v>0.1</v>
      </c>
      <c r="B314" s="975">
        <f>IFERROR(__xludf.DUMMYFUNCTION("""COMPUTED_VALUE"""),45952.56722265046)</f>
        <v>45952.56722</v>
      </c>
      <c r="C314" s="768" t="str">
        <f>IFERROR(__xludf.DUMMYFUNCTION("""COMPUTED_VALUE"""),"Jack Van Gemert")</f>
        <v>Jack Van Gemert</v>
      </c>
      <c r="D314" s="768" t="str">
        <f>IFERROR(__xludf.DUMMYFUNCTION("""COMPUTED_VALUE"""),"jdvangem@gmail.com")</f>
        <v>jdvangem@gmail.com</v>
      </c>
      <c r="E314" s="768" t="str">
        <f>IFERROR(__xludf.DUMMYFUNCTION("""COMPUTED_VALUE"""),"6’3” 175lbs")</f>
        <v>6’3” 175lbs</v>
      </c>
      <c r="F314" s="768" t="str">
        <f>IFERROR(__xludf.DUMMYFUNCTION("""COMPUTED_VALUE"""),"RHP")</f>
        <v>RHP</v>
      </c>
      <c r="G314" s="768" t="str">
        <f>IFERROR(__xludf.DUMMYFUNCTION("""COMPUTED_VALUE"""),"Spring:   15.2 IP 3-0 record  2.6 ERA 11 K 6 BB .213 BAA   Summer: CDH Team 14.2 IP .95 ERA 25K 5 BB .125 BAA")</f>
        <v>Spring:   15.2 IP 3-0 record  2.6 ERA 11 K 6 BB .213 BAA   Summer: CDH Team 14.2 IP .95 ERA 25K 5 BB .125 BAA</v>
      </c>
      <c r="H314" s="768" t="str">
        <f>IFERROR(__xludf.DUMMYFUNCTION("""COMPUTED_VALUE"""),"3.78 unweighted 3.98 weighted")</f>
        <v>3.78 unweighted 3.98 weighted</v>
      </c>
      <c r="I314" s="768" t="str">
        <f>IFERROR(__xludf.DUMMYFUNCTION("""COMPUTED_VALUE"""),"Haven’t taken yet")</f>
        <v>Haven’t taken yet</v>
      </c>
      <c r="J314" s="768" t="str">
        <f>IFERROR(__xludf.DUMMYFUNCTION("""COMPUTED_VALUE"""),"Fractured wrist")</f>
        <v>Fractured wrist</v>
      </c>
      <c r="K314" s="768" t="str">
        <f>IFERROR(__xludf.DUMMYFUNCTION("""COMPUTED_VALUE"""),"penicillin ")</f>
        <v>penicillin </v>
      </c>
      <c r="L314" s="768" t="str">
        <f>IFERROR(__xludf.DUMMYFUNCTION("""COMPUTED_VALUE"""),"Doxycycline(acne medication)")</f>
        <v>Doxycycline(acne medication)</v>
      </c>
      <c r="M314" s="768" t="str">
        <f>IFERROR(__xludf.DUMMYFUNCTION("""COMPUTED_VALUE"""),"No")</f>
        <v>No</v>
      </c>
      <c r="N314" s="768">
        <f>IFERROR(__xludf.DUMMYFUNCTION("""COMPUTED_VALUE"""),2027.0)</f>
        <v>2027</v>
      </c>
      <c r="O314" s="768"/>
      <c r="P314" s="768"/>
      <c r="Q314" s="768"/>
      <c r="R314" s="768"/>
      <c r="S314" s="768"/>
      <c r="T314" s="768"/>
      <c r="U314" s="768"/>
      <c r="V314" s="768"/>
      <c r="W314" s="768"/>
      <c r="X314" s="768"/>
      <c r="Y314" s="768"/>
      <c r="Z314" s="768"/>
      <c r="AA314" s="768"/>
    </row>
    <row r="315" ht="30.0" customHeight="1">
      <c r="A315" s="768">
        <f t="array" ref="A315">XLOOKUP(C315,'High School Players'!D:D,'High School Players'!K:K,"NO",0,1)</f>
        <v>4</v>
      </c>
      <c r="B315" s="975">
        <f>IFERROR(__xludf.DUMMYFUNCTION("""COMPUTED_VALUE"""),45966.78090590278)</f>
        <v>45966.78091</v>
      </c>
      <c r="C315" s="768" t="str">
        <f>IFERROR(__xludf.DUMMYFUNCTION("""COMPUTED_VALUE"""),"Landon somers")</f>
        <v>Landon somers</v>
      </c>
      <c r="D315" s="768" t="str">
        <f>IFERROR(__xludf.DUMMYFUNCTION("""COMPUTED_VALUE"""),"Lsomers2027@yahoo.com")</f>
        <v>Lsomers2027@yahoo.com</v>
      </c>
      <c r="E315" s="768" t="str">
        <f>IFERROR(__xludf.DUMMYFUNCTION("""COMPUTED_VALUE"""),"6’6 215 pounds")</f>
        <v>6’6 215 pounds</v>
      </c>
      <c r="F315" s="768" t="str">
        <f>IFERROR(__xludf.DUMMYFUNCTION("""COMPUTED_VALUE"""),"pitcher ")</f>
        <v>pitcher </v>
      </c>
      <c r="G315" s="768" t="str">
        <f>IFERROR(__xludf.DUMMYFUNCTION("""COMPUTED_VALUE"""),"Fall stats 19IP 3R 24K FB:89 SL:82 CB:78 ")</f>
        <v>Fall stats 19IP 3R 24K FB:89 SL:82 CB:78 </v>
      </c>
      <c r="H315" s="768" t="str">
        <f>IFERROR(__xludf.DUMMYFUNCTION("""COMPUTED_VALUE"""),"3.3UW 3.6W")</f>
        <v>3.3UW 3.6W</v>
      </c>
      <c r="I315" s="768"/>
      <c r="J315" s="768" t="str">
        <f>IFERROR(__xludf.DUMMYFUNCTION("""COMPUTED_VALUE"""),"labrum bursitis and a small supraspinatus tear")</f>
        <v>labrum bursitis and a small supraspinatus tear</v>
      </c>
      <c r="K315" s="768"/>
      <c r="L315" s="768"/>
      <c r="M315" s="768"/>
      <c r="N315" s="768">
        <f>IFERROR(__xludf.DUMMYFUNCTION("""COMPUTED_VALUE"""),2027.0)</f>
        <v>2027</v>
      </c>
      <c r="O315" s="768"/>
      <c r="P315" s="768"/>
      <c r="Q315" s="768"/>
      <c r="R315" s="768"/>
      <c r="S315" s="768"/>
      <c r="T315" s="768"/>
      <c r="U315" s="768"/>
      <c r="V315" s="768"/>
      <c r="W315" s="768"/>
      <c r="X315" s="768"/>
      <c r="Y315" s="768"/>
      <c r="Z315" s="768"/>
      <c r="AA315" s="768"/>
    </row>
    <row r="316" ht="30.0" customHeight="1">
      <c r="A316" s="768" t="str">
        <f t="array" ref="A316">XLOOKUP(C316,'High School Players'!D:D,'High School Players'!K:K,"NO",0,1)</f>
        <v>XX</v>
      </c>
      <c r="B316" s="975">
        <f>IFERROR(__xludf.DUMMYFUNCTION("""COMPUTED_VALUE"""),45980.76431737268)</f>
        <v>45980.76432</v>
      </c>
      <c r="C316" s="768" t="str">
        <f>IFERROR(__xludf.DUMMYFUNCTION("""COMPUTED_VALUE"""),"Ty Arafet")</f>
        <v>Ty Arafet</v>
      </c>
      <c r="D316" s="768" t="str">
        <f>IFERROR(__xludf.DUMMYFUNCTION("""COMPUTED_VALUE"""),"J.arafet@arahull.com")</f>
        <v>J.arafet@arahull.com</v>
      </c>
      <c r="E316" s="768" t="str">
        <f>IFERROR(__xludf.DUMMYFUNCTION("""COMPUTED_VALUE"""),"6’7/ 215lbs")</f>
        <v>6’7/ 215lbs</v>
      </c>
      <c r="F316" s="768" t="str">
        <f>IFERROR(__xludf.DUMMYFUNCTION("""COMPUTED_VALUE"""),"RHP")</f>
        <v>RHP</v>
      </c>
      <c r="G316" s="768" t="str">
        <f>IFERROR(__xludf.DUMMYFUNCTION("""COMPUTED_VALUE"""),"Sophomore spring 1.27 era 27.2 IP, 24ks Junior spring 2.26 era 31 IP 39ks 2a FHSAA State Champs ")</f>
        <v>Sophomore spring 1.27 era 27.2 IP, 24ks Junior spring 2.26 era 31 IP 39ks 2a FHSAA State Champs </v>
      </c>
      <c r="H316" s="768" t="str">
        <f>IFERROR(__xludf.DUMMYFUNCTION("""COMPUTED_VALUE"""),"3.83/4.63")</f>
        <v>3.83/4.63</v>
      </c>
      <c r="I316" s="768" t="str">
        <f>IFERROR(__xludf.DUMMYFUNCTION("""COMPUTED_VALUE"""),"1250 SAT")</f>
        <v>1250 SAT</v>
      </c>
      <c r="J316" s="768" t="str">
        <f>IFERROR(__xludf.DUMMYFUNCTION("""COMPUTED_VALUE"""),"UCL repair and internal brace 7/9/25 surgery with Dr Keith Meister ")</f>
        <v>UCL repair and internal brace 7/9/25 surgery with Dr Keith Meister </v>
      </c>
      <c r="K316" s="768" t="str">
        <f>IFERROR(__xludf.DUMMYFUNCTION("""COMPUTED_VALUE"""),"No")</f>
        <v>No</v>
      </c>
      <c r="L316" s="768" t="str">
        <f>IFERROR(__xludf.DUMMYFUNCTION("""COMPUTED_VALUE"""),"No ")</f>
        <v>No </v>
      </c>
      <c r="M316" s="768" t="str">
        <f>IFERROR(__xludf.DUMMYFUNCTION("""COMPUTED_VALUE"""),"No")</f>
        <v>No</v>
      </c>
      <c r="N316" s="768">
        <f>IFERROR(__xludf.DUMMYFUNCTION("""COMPUTED_VALUE"""),2026.0)</f>
        <v>2026</v>
      </c>
      <c r="O316" s="768"/>
      <c r="P316" s="768"/>
      <c r="Q316" s="768"/>
      <c r="R316" s="768"/>
      <c r="S316" s="768"/>
      <c r="T316" s="768"/>
      <c r="U316" s="768"/>
      <c r="V316" s="768"/>
      <c r="W316" s="768"/>
      <c r="X316" s="768"/>
      <c r="Y316" s="768"/>
      <c r="Z316" s="768"/>
      <c r="AA316" s="768"/>
    </row>
    <row r="317" ht="30.0" customHeight="1">
      <c r="A317" s="768">
        <f t="array" ref="A317">XLOOKUP(C317,'High School Players'!D:D,'High School Players'!K:K,"NO",0,1)</f>
        <v>2</v>
      </c>
      <c r="B317" s="975">
        <f>IFERROR(__xludf.DUMMYFUNCTION("""COMPUTED_VALUE"""),46037.960423275465)</f>
        <v>46037.96042</v>
      </c>
      <c r="C317" s="768" t="str">
        <f>IFERROR(__xludf.DUMMYFUNCTION("""COMPUTED_VALUE"""),"Walker Waggoner")</f>
        <v>Walker Waggoner</v>
      </c>
      <c r="D317" s="768" t="str">
        <f>IFERROR(__xludf.DUMMYFUNCTION("""COMPUTED_VALUE"""),"walkwagg7@gmail.com")</f>
        <v>walkwagg7@gmail.com</v>
      </c>
      <c r="E317" s="768" t="str">
        <f>IFERROR(__xludf.DUMMYFUNCTION("""COMPUTED_VALUE"""),"6’0” / 175")</f>
        <v>6’0” / 175</v>
      </c>
      <c r="F317" s="768" t="str">
        <f>IFERROR(__xludf.DUMMYFUNCTION("""COMPUTED_VALUE"""),"CF; OF; RHP")</f>
        <v>CF; OF; RHP</v>
      </c>
      <c r="G317" s="768" t="str">
        <f>IFERROR(__xludf.DUMMYFUNCTION("""COMPUTED_VALUE"""),"HS: .327 AVG, .951 OPS, 16 H, 2 HR, 14 RBI, 19 R, 11 SB; Summer: .367 AVG, .468 OBP, 1.057 OPS, 27 hits, 13 doubles, 2 Triples, 1 HR, 20 RBI, 29 R, 10 SB")</f>
        <v>HS: .327 AVG, .951 OPS, 16 H, 2 HR, 14 RBI, 19 R, 11 SB; Summer: .367 AVG, .468 OBP, 1.057 OPS, 27 hits, 13 doubles, 2 Triples, 1 HR, 20 RBI, 29 R, 10 SB</v>
      </c>
      <c r="H317" s="768" t="str">
        <f>IFERROR(__xludf.DUMMYFUNCTION("""COMPUTED_VALUE"""),"Weighted: 4.13 ")</f>
        <v>Weighted: 4.13 </v>
      </c>
      <c r="I317" s="768" t="str">
        <f>IFERROR(__xludf.DUMMYFUNCTION("""COMPUTED_VALUE"""),"SAT: 1260")</f>
        <v>SAT: 1260</v>
      </c>
      <c r="J317" s="768"/>
      <c r="K317" s="768" t="str">
        <f>IFERROR(__xludf.DUMMYFUNCTION("""COMPUTED_VALUE"""),"No")</f>
        <v>No</v>
      </c>
      <c r="L317" s="768" t="str">
        <f>IFERROR(__xludf.DUMMYFUNCTION("""COMPUTED_VALUE"""),"No")</f>
        <v>No</v>
      </c>
      <c r="M317" s="768" t="str">
        <f>IFERROR(__xludf.DUMMYFUNCTION("""COMPUTED_VALUE"""),"No")</f>
        <v>No</v>
      </c>
      <c r="N317" s="768">
        <f>IFERROR(__xludf.DUMMYFUNCTION("""COMPUTED_VALUE"""),2027.0)</f>
        <v>2027</v>
      </c>
      <c r="O317" s="768"/>
      <c r="P317" s="768"/>
      <c r="Q317" s="768"/>
      <c r="R317" s="768"/>
      <c r="S317" s="768"/>
      <c r="T317" s="768"/>
      <c r="U317" s="768"/>
      <c r="V317" s="768"/>
      <c r="W317" s="768"/>
      <c r="X317" s="768"/>
      <c r="Y317" s="768"/>
      <c r="Z317" s="768"/>
      <c r="AA317" s="768"/>
    </row>
    <row r="318" ht="30.0" customHeight="1">
      <c r="A318" s="768">
        <f t="array" ref="A318">XLOOKUP(C318,'High School Players'!D:D,'High School Players'!K:K,"NO",0,1)</f>
        <v>4</v>
      </c>
      <c r="B318" s="975">
        <f>IFERROR(__xludf.DUMMYFUNCTION("""COMPUTED_VALUE"""),46163.41921247685)</f>
        <v>46163.41921</v>
      </c>
      <c r="C318" s="768" t="str">
        <f>IFERROR(__xludf.DUMMYFUNCTION("""COMPUTED_VALUE"""),"Barrett Adams")</f>
        <v>Barrett Adams</v>
      </c>
      <c r="D318" s="768" t="str">
        <f>IFERROR(__xludf.DUMMYFUNCTION("""COMPUTED_VALUE"""),"adamsbarrett08@gmail.com")</f>
        <v>adamsbarrett08@gmail.com</v>
      </c>
      <c r="E318" s="768" t="str">
        <f>IFERROR(__xludf.DUMMYFUNCTION("""COMPUTED_VALUE"""),"6ft 220lbs")</f>
        <v>6ft 220lbs</v>
      </c>
      <c r="F318" s="768" t="str">
        <f>IFERROR(__xludf.DUMMYFUNCTION("""COMPUTED_VALUE"""),"1B / DH")</f>
        <v>1B / DH</v>
      </c>
      <c r="G318" s="768" t="str">
        <f>IFERROR(__xludf.DUMMYFUNCTION("""COMPUTED_VALUE"""),"2025 season: .489AVG - .641OBP - .711SLG - 18RBI")</f>
        <v>2025 season: .489AVG - .641OBP - .711SLG - 18RBI</v>
      </c>
      <c r="H318" s="768">
        <f>IFERROR(__xludf.DUMMYFUNCTION("""COMPUTED_VALUE"""),3.7)</f>
        <v>3.7</v>
      </c>
      <c r="I318" s="768" t="str">
        <f>IFERROR(__xludf.DUMMYFUNCTION("""COMPUTED_VALUE"""),"1310 SAT")</f>
        <v>1310 SAT</v>
      </c>
      <c r="J318" s="768" t="str">
        <f>IFERROR(__xludf.DUMMYFUNCTION("""COMPUTED_VALUE"""),"Pulled Hamstring 2026 HS season.")</f>
        <v>Pulled Hamstring 2026 HS season.</v>
      </c>
      <c r="K318" s="768" t="str">
        <f>IFERROR(__xludf.DUMMYFUNCTION("""COMPUTED_VALUE"""),"No.")</f>
        <v>No.</v>
      </c>
      <c r="L318" s="768" t="str">
        <f>IFERROR(__xludf.DUMMYFUNCTION("""COMPUTED_VALUE"""),"No.")</f>
        <v>No.</v>
      </c>
      <c r="M318" s="768" t="str">
        <f>IFERROR(__xludf.DUMMYFUNCTION("""COMPUTED_VALUE"""),"No.")</f>
        <v>No.</v>
      </c>
      <c r="N318" s="768">
        <f>IFERROR(__xludf.DUMMYFUNCTION("""COMPUTED_VALUE"""),2027.0)</f>
        <v>2027</v>
      </c>
      <c r="O318" s="768" t="str">
        <f>IFERROR(__xludf.DUMMYFUNCTION("""COMPUTED_VALUE"""),"62 Strawberry Hill St Dover, MA 02030")</f>
        <v>62 Strawberry Hill St Dover, MA 02030</v>
      </c>
      <c r="P318" s="768"/>
      <c r="Q318" s="768"/>
      <c r="R318" s="768"/>
      <c r="S318" s="768"/>
      <c r="T318" s="768"/>
      <c r="U318" s="768"/>
      <c r="V318" s="768"/>
      <c r="W318" s="768"/>
      <c r="X318" s="768"/>
      <c r="Y318" s="768"/>
      <c r="Z318" s="768"/>
      <c r="AA318" s="768"/>
    </row>
    <row r="319" ht="30.0" customHeight="1">
      <c r="A319" s="768" t="str">
        <f t="array" ref="A319">XLOOKUP(C319,'High School Players'!D:D,'High School Players'!K:K,"NO",0,1)</f>
        <v>XX</v>
      </c>
      <c r="B319" s="975">
        <f>IFERROR(__xludf.DUMMYFUNCTION("""COMPUTED_VALUE"""),46163.43152244213)</f>
        <v>46163.43152</v>
      </c>
      <c r="C319" s="768" t="str">
        <f>IFERROR(__xludf.DUMMYFUNCTION("""COMPUTED_VALUE"""),"Jaxson Torres")</f>
        <v>Jaxson Torres</v>
      </c>
      <c r="D319" s="768" t="str">
        <f>IFERROR(__xludf.DUMMYFUNCTION("""COMPUTED_VALUE"""),"jaxson2torres@gmail.com")</f>
        <v>jaxson2torres@gmail.com</v>
      </c>
      <c r="E319" s="768" t="str">
        <f>IFERROR(__xludf.DUMMYFUNCTION("""COMPUTED_VALUE"""),"6’4” / 215 lbs")</f>
        <v>6’4” / 215 lbs</v>
      </c>
      <c r="F319" s="768" t="str">
        <f>IFERROR(__xludf.DUMMYFUNCTION("""COMPUTED_VALUE"""),"Pitcher")</f>
        <v>Pitcher</v>
      </c>
      <c r="G319" s="768" t="str">
        <f>IFERROR(__xludf.DUMMYFUNCTION("""COMPUTED_VALUE"""),"2026 Junior Season (Current): 8-0 record | 45.0 IP | 89 K | 1.089 ERA | 0.511 WHIP | .056 BAA | 8 H allowed | 33 consecutive innings without a walk | 24 innings of 13 pitches or fewer.  At the plate: .412 AVG | .529 OBP | 1.293 OPS | .765 SLG | 21 H | 6 2"&amp;"B | 4 HR | 23 RBI | 12 BB.  2025 Sophomore Season: 7-0 record | 41 IP | 64 K | 0.341 ERA | 0.561 WHIP | .088 BAA | .478 AVG | 1.308 OPS.  Accolades: All-County Selection, Conference MVP – Pitcher, Diamond Award Finalist, All-League as a Freshman on Varsit"&amp;"y. Broke two Plainedge High School records for Lowest Single-Season ERA (0.341) and Lowest Single-Season WHIP (0.561).  Showcase/Travel Recognition: Two-time Diamond Nation MVP, MVP Pitcher – 2022 Perfect Game 13U Northeast Select Championship, MVP Pitche"&amp;"r – 2024 Perfect Game 15U Northeast World Series. ")</f>
        <v>2026 Junior Season (Current): 8-0 record | 45.0 IP | 89 K | 1.089 ERA | 0.511 WHIP | .056 BAA | 8 H allowed | 33 consecutive innings without a walk | 24 innings of 13 pitches or fewer.  At the plate: .412 AVG | .529 OBP | 1.293 OPS | .765 SLG | 21 H | 6 2B | 4 HR | 23 RBI | 12 BB.  2025 Sophomore Season: 7-0 record | 41 IP | 64 K | 0.341 ERA | 0.561 WHIP | .088 BAA | .478 AVG | 1.308 OPS.  Accolades: All-County Selection, Conference MVP – Pitcher, Diamond Award Finalist, All-League as a Freshman on Varsity. Broke two Plainedge High School records for Lowest Single-Season ERA (0.341) and Lowest Single-Season WHIP (0.561).  Showcase/Travel Recognition: Two-time Diamond Nation MVP, MVP Pitcher – 2022 Perfect Game 13U Northeast Select Championship, MVP Pitcher – 2024 Perfect Game 15U Northeast World Series. </v>
      </c>
      <c r="H319" s="768">
        <f>IFERROR(__xludf.DUMMYFUNCTION("""COMPUTED_VALUE"""),2.7)</f>
        <v>2.7</v>
      </c>
      <c r="I319" s="768" t="str">
        <f>IFERROR(__xludf.DUMMYFUNCTION("""COMPUTED_VALUE"""),"N/A")</f>
        <v>N/A</v>
      </c>
      <c r="J319" s="768" t="str">
        <f>IFERROR(__xludf.DUMMYFUNCTION("""COMPUTED_VALUE"""),"Broken left wrist last football game in 2023")</f>
        <v>Broken left wrist last football game in 2023</v>
      </c>
      <c r="K319" s="768" t="str">
        <f>IFERROR(__xludf.DUMMYFUNCTION("""COMPUTED_VALUE""")," No")</f>
        <v> No</v>
      </c>
      <c r="L319" s="768" t="str">
        <f>IFERROR(__xludf.DUMMYFUNCTION("""COMPUTED_VALUE"""),"No")</f>
        <v>No</v>
      </c>
      <c r="M319" s="768" t="str">
        <f>IFERROR(__xludf.DUMMYFUNCTION("""COMPUTED_VALUE"""),"No")</f>
        <v>No</v>
      </c>
      <c r="N319" s="768">
        <f>IFERROR(__xludf.DUMMYFUNCTION("""COMPUTED_VALUE"""),2027.0)</f>
        <v>2027</v>
      </c>
      <c r="O319" s="768" t="str">
        <f>IFERROR(__xludf.DUMMYFUNCTION("""COMPUTED_VALUE"""),"245 N Hickory Street, Massapequa, NY 11758")</f>
        <v>245 N Hickory Street, Massapequa, NY 11758</v>
      </c>
      <c r="P319" s="768"/>
      <c r="Q319" s="768"/>
      <c r="R319" s="768"/>
      <c r="S319" s="768"/>
      <c r="T319" s="768"/>
      <c r="U319" s="768"/>
      <c r="V319" s="768"/>
      <c r="W319" s="768"/>
      <c r="X319" s="768"/>
      <c r="Y319" s="768"/>
      <c r="Z319" s="768"/>
      <c r="AA319" s="768"/>
    </row>
    <row r="320" ht="30.0" customHeight="1">
      <c r="A320" s="768">
        <f t="array" ref="A320">XLOOKUP(C320,'High School Players'!D:D,'High School Players'!K:K,"NO",0,1)</f>
        <v>4</v>
      </c>
      <c r="B320" s="975">
        <f>IFERROR(__xludf.DUMMYFUNCTION("""COMPUTED_VALUE"""),46163.562986550925)</f>
        <v>46163.56299</v>
      </c>
      <c r="C320" s="768" t="str">
        <f>IFERROR(__xludf.DUMMYFUNCTION("""COMPUTED_VALUE"""),"Shane Harrington")</f>
        <v>Shane Harrington</v>
      </c>
      <c r="D320" s="768" t="str">
        <f>IFERROR(__xludf.DUMMYFUNCTION("""COMPUTED_VALUE"""),"shaneharrington09@gmail.com")</f>
        <v>shaneharrington09@gmail.com</v>
      </c>
      <c r="E320" s="768" t="str">
        <f>IFERROR(__xludf.DUMMYFUNCTION("""COMPUTED_VALUE"""),"5’11 180 lbs")</f>
        <v>5’11 180 lbs</v>
      </c>
      <c r="F320" s="768" t="str">
        <f>IFERROR(__xludf.DUMMYFUNCTION("""COMPUTED_VALUE"""),"SS/2B")</f>
        <v>SS/2B</v>
      </c>
      <c r="G320" s="768" t="str">
        <f>IFERROR(__xludf.DUMMYFUNCTION("""COMPUTED_VALUE"""),"AVG. 468 3hrs, 21 rbis, 8 SB, team  Massachussetts selection ")</f>
        <v>AVG. 468 3hrs, 21 rbis, 8 SB, team  Massachussetts selection </v>
      </c>
      <c r="H320" s="768">
        <f>IFERROR(__xludf.DUMMYFUNCTION("""COMPUTED_VALUE"""),3.5)</f>
        <v>3.5</v>
      </c>
      <c r="I320" s="768" t="str">
        <f>IFERROR(__xludf.DUMMYFUNCTION("""COMPUTED_VALUE"""),"1270 SAT")</f>
        <v>1270 SAT</v>
      </c>
      <c r="J320" s="768" t="str">
        <f>IFERROR(__xludf.DUMMYFUNCTION("""COMPUTED_VALUE"""),"Partial labrum tear, mcl sprain, broken wrist, little leaguers elbow, only surgery I’ve had was for a broken nose ")</f>
        <v>Partial labrum tear, mcl sprain, broken wrist, little leaguers elbow, only surgery I’ve had was for a broken nose </v>
      </c>
      <c r="K320" s="768" t="str">
        <f>IFERROR(__xludf.DUMMYFUNCTION("""COMPUTED_VALUE"""),"No")</f>
        <v>No</v>
      </c>
      <c r="L320" s="768" t="str">
        <f>IFERROR(__xludf.DUMMYFUNCTION("""COMPUTED_VALUE"""),"No")</f>
        <v>No</v>
      </c>
      <c r="M320" s="768" t="str">
        <f>IFERROR(__xludf.DUMMYFUNCTION("""COMPUTED_VALUE"""),"No")</f>
        <v>No</v>
      </c>
      <c r="N320" s="768">
        <f>IFERROR(__xludf.DUMMYFUNCTION("""COMPUTED_VALUE"""),2027.0)</f>
        <v>2027</v>
      </c>
      <c r="O320" s="768" t="str">
        <f>IFERROR(__xludf.DUMMYFUNCTION("""COMPUTED_VALUE"""),"805 east street ")</f>
        <v>805 east street </v>
      </c>
      <c r="P320" s="768"/>
      <c r="Q320" s="768"/>
      <c r="R320" s="768"/>
      <c r="S320" s="768"/>
      <c r="T320" s="768"/>
      <c r="U320" s="768"/>
      <c r="V320" s="768"/>
      <c r="W320" s="768"/>
      <c r="X320" s="768"/>
      <c r="Y320" s="768"/>
      <c r="Z320" s="768"/>
      <c r="AA320" s="768"/>
    </row>
    <row r="321" ht="30.0" customHeight="1">
      <c r="A321" s="768">
        <f t="array" ref="A321">XLOOKUP(C321,'High School Players'!D:D,'High School Players'!K:K,"NO",0,1)</f>
        <v>1</v>
      </c>
      <c r="B321" s="975">
        <f>IFERROR(__xludf.DUMMYFUNCTION("""COMPUTED_VALUE"""),46166.6342356713)</f>
        <v>46166.63424</v>
      </c>
      <c r="C321" s="768" t="str">
        <f>IFERROR(__xludf.DUMMYFUNCTION("""COMPUTED_VALUE"""),"Ben Dahlstedt")</f>
        <v>Ben Dahlstedt</v>
      </c>
      <c r="D321" s="768" t="str">
        <f>IFERROR(__xludf.DUMMYFUNCTION("""COMPUTED_VALUE"""),"benjamindahlstedt@icloud.com")</f>
        <v>benjamindahlstedt@icloud.com</v>
      </c>
      <c r="E321" s="768" t="str">
        <f>IFERROR(__xludf.DUMMYFUNCTION("""COMPUTED_VALUE"""),"6'1 195")</f>
        <v>6'1 195</v>
      </c>
      <c r="F321" s="768" t="str">
        <f>IFERROR(__xludf.DUMMYFUNCTION("""COMPUTED_VALUE"""),"RHP")</f>
        <v>RHP</v>
      </c>
      <c r="G321" s="768" t="str">
        <f>IFERROR(__xludf.DUMMYFUNCTION("""COMPUTED_VALUE"""),"Soph Year at Govs: 46.0 IP, 4-1 W/L, .761 ERA, .717 WHIP, 5 ER, 6 BB, 58 SO, .160 BAA, ISL-Pitcher of the Year, All-NEPSAC, All-ISL, Team MVP, Junior Captain")</f>
        <v>Soph Year at Govs: 46.0 IP, 4-1 W/L, .761 ERA, .717 WHIP, 5 ER, 6 BB, 58 SO, .160 BAA, ISL-Pitcher of the Year, All-NEPSAC, All-ISL, Team MVP, Junior Captain</v>
      </c>
      <c r="H321" s="768">
        <f>IFERROR(__xludf.DUMMYFUNCTION("""COMPUTED_VALUE"""),3.87)</f>
        <v>3.87</v>
      </c>
      <c r="I321" s="768" t="str">
        <f>IFERROR(__xludf.DUMMYFUNCTION("""COMPUTED_VALUE"""),"1360 - SAT")</f>
        <v>1360 - SAT</v>
      </c>
      <c r="J321" s="768" t="str">
        <f>IFERROR(__xludf.DUMMYFUNCTION("""COMPUTED_VALUE"""),"Rotator Cuff Tendonitis - Missed Junior Spring")</f>
        <v>Rotator Cuff Tendonitis - Missed Junior Spring</v>
      </c>
      <c r="K321" s="768" t="str">
        <f>IFERROR(__xludf.DUMMYFUNCTION("""COMPUTED_VALUE"""),"Peanuts")</f>
        <v>Peanuts</v>
      </c>
      <c r="L321" s="768"/>
      <c r="M321" s="768" t="str">
        <f>IFERROR(__xludf.DUMMYFUNCTION("""COMPUTED_VALUE"""),"No")</f>
        <v>No</v>
      </c>
      <c r="N321" s="768">
        <f>IFERROR(__xludf.DUMMYFUNCTION("""COMPUTED_VALUE"""),2027.0)</f>
        <v>2027</v>
      </c>
      <c r="O321" s="768" t="str">
        <f>IFERROR(__xludf.DUMMYFUNCTION("""COMPUTED_VALUE"""),"42 Lincoln Avenue")</f>
        <v>42 Lincoln Avenue</v>
      </c>
      <c r="P321" s="768"/>
      <c r="Q321" s="768"/>
      <c r="R321" s="768"/>
      <c r="S321" s="768"/>
      <c r="T321" s="768"/>
      <c r="U321" s="768"/>
      <c r="V321" s="768"/>
      <c r="W321" s="768"/>
      <c r="X321" s="768"/>
      <c r="Y321" s="768"/>
      <c r="Z321" s="768"/>
      <c r="AA321" s="768"/>
    </row>
    <row r="322" ht="30.0" customHeight="1">
      <c r="A322" s="768">
        <f t="array" ref="A322">XLOOKUP(C322,'High School Players'!D:D,'High School Players'!K:K,"NO",0,1)</f>
        <v>4</v>
      </c>
      <c r="B322" s="975">
        <f>IFERROR(__xludf.DUMMYFUNCTION("""COMPUTED_VALUE"""),46167.59558040509)</f>
        <v>46167.59558</v>
      </c>
      <c r="C322" s="768" t="str">
        <f>IFERROR(__xludf.DUMMYFUNCTION("""COMPUTED_VALUE"""),"Kai Hernandez-Gambill")</f>
        <v>Kai Hernandez-Gambill</v>
      </c>
      <c r="D322" s="768" t="str">
        <f>IFERROR(__xludf.DUMMYFUNCTION("""COMPUTED_VALUE"""),"Kaihernandezgam17@gmail.com")</f>
        <v>Kaihernandezgam17@gmail.com</v>
      </c>
      <c r="E322" s="768" t="str">
        <f>IFERROR(__xludf.DUMMYFUNCTION("""COMPUTED_VALUE"""),"6’3   205 lbs")</f>
        <v>6’3   205 lbs</v>
      </c>
      <c r="F322" s="768" t="str">
        <f>IFERROR(__xludf.DUMMYFUNCTION("""COMPUTED_VALUE"""),"LHP, 1B")</f>
        <v>LHP, 1B</v>
      </c>
      <c r="G322" s="768" t="str">
        <f>IFERROR(__xludf.DUMMYFUNCTION("""COMPUTED_VALUE"""),"BA - .495 OPS - 1.456    OBP - .597    SLG - .859 HR - 8 RBI - 45 R - 38")</f>
        <v>BA - .495 OPS - 1.456    OBP - .597    SLG - .859 HR - 8 RBI - 45 R - 38</v>
      </c>
      <c r="H322" s="768" t="str">
        <f>IFERROR(__xludf.DUMMYFUNCTION("""COMPUTED_VALUE"""),"96.61 weighted GPA")</f>
        <v>96.61 weighted GPA</v>
      </c>
      <c r="I322" s="768" t="str">
        <f>IFERROR(__xludf.DUMMYFUNCTION("""COMPUTED_VALUE"""),"SAT: 1120")</f>
        <v>SAT: 1120</v>
      </c>
      <c r="J322" s="768" t="str">
        <f>IFERROR(__xludf.DUMMYFUNCTION("""COMPUTED_VALUE"""),"UCL repair 09/18/2023")</f>
        <v>UCL repair 09/18/2023</v>
      </c>
      <c r="K322" s="768" t="str">
        <f>IFERROR(__xludf.DUMMYFUNCTION("""COMPUTED_VALUE"""),"Zythromax")</f>
        <v>Zythromax</v>
      </c>
      <c r="L322" s="768" t="str">
        <f>IFERROR(__xludf.DUMMYFUNCTION("""COMPUTED_VALUE"""),"No")</f>
        <v>No</v>
      </c>
      <c r="M322" s="768" t="str">
        <f>IFERROR(__xludf.DUMMYFUNCTION("""COMPUTED_VALUE"""),"Yes, I have dyslexia and require extra on tests")</f>
        <v>Yes, I have dyslexia and require extra on tests</v>
      </c>
      <c r="N322" s="768">
        <f>IFERROR(__xludf.DUMMYFUNCTION("""COMPUTED_VALUE"""),2027.0)</f>
        <v>2027</v>
      </c>
      <c r="O322" s="768" t="str">
        <f>IFERROR(__xludf.DUMMYFUNCTION("""COMPUTED_VALUE"""),"512 Johnston St, Savannah, GA 31405")</f>
        <v>512 Johnston St, Savannah, GA 31405</v>
      </c>
      <c r="P322" s="768"/>
      <c r="Q322" s="768"/>
      <c r="R322" s="768"/>
      <c r="S322" s="768"/>
      <c r="T322" s="768"/>
      <c r="U322" s="768"/>
      <c r="V322" s="768"/>
      <c r="W322" s="768"/>
      <c r="X322" s="768"/>
      <c r="Y322" s="768"/>
      <c r="Z322" s="768"/>
      <c r="AA322" s="768"/>
    </row>
    <row r="323" ht="30.0" customHeight="1">
      <c r="A323" s="768">
        <f t="array" ref="A323">XLOOKUP(C323,'High School Players'!D:D,'High School Players'!K:K,"NO",0,1)</f>
        <v>2</v>
      </c>
      <c r="B323" s="975">
        <f>IFERROR(__xludf.DUMMYFUNCTION("""COMPUTED_VALUE"""),46168.64541489583)</f>
        <v>46168.64541</v>
      </c>
      <c r="C323" s="768" t="str">
        <f>IFERROR(__xludf.DUMMYFUNCTION("""COMPUTED_VALUE"""),"Philip Soltes")</f>
        <v>Philip Soltes</v>
      </c>
      <c r="D323" s="768" t="str">
        <f>IFERROR(__xludf.DUMMYFUNCTION("""COMPUTED_VALUE"""),"philipj.soltes31@gmail.com")</f>
        <v>philipj.soltes31@gmail.com</v>
      </c>
      <c r="E323" s="768" t="str">
        <f>IFERROR(__xludf.DUMMYFUNCTION("""COMPUTED_VALUE"""),"6’ / 180")</f>
        <v>6’ / 180</v>
      </c>
      <c r="F323" s="768" t="str">
        <f>IFERROR(__xludf.DUMMYFUNCTION("""COMPUTED_VALUE"""),"LHP")</f>
        <v>LHP</v>
      </c>
      <c r="G323" s="768"/>
      <c r="H323" s="768">
        <f>IFERROR(__xludf.DUMMYFUNCTION("""COMPUTED_VALUE"""),3.3)</f>
        <v>3.3</v>
      </c>
      <c r="I323" s="768"/>
      <c r="J323" s="768" t="str">
        <f>IFERROR(__xludf.DUMMYFUNCTION("""COMPUTED_VALUE"""),"N/A")</f>
        <v>N/A</v>
      </c>
      <c r="K323" s="768" t="str">
        <f>IFERROR(__xludf.DUMMYFUNCTION("""COMPUTED_VALUE"""),"No")</f>
        <v>No</v>
      </c>
      <c r="L323" s="768" t="str">
        <f>IFERROR(__xludf.DUMMYFUNCTION("""COMPUTED_VALUE"""),"No")</f>
        <v>No</v>
      </c>
      <c r="M323" s="768" t="str">
        <f>IFERROR(__xludf.DUMMYFUNCTION("""COMPUTED_VALUE"""),"No")</f>
        <v>No</v>
      </c>
      <c r="N323" s="768">
        <f>IFERROR(__xludf.DUMMYFUNCTION("""COMPUTED_VALUE"""),2027.0)</f>
        <v>2027</v>
      </c>
      <c r="O323" s="768" t="str">
        <f>IFERROR(__xludf.DUMMYFUNCTION("""COMPUTED_VALUE"""),"2 Trinity Pass, Stamford, CT 06903")</f>
        <v>2 Trinity Pass, Stamford, CT 06903</v>
      </c>
      <c r="P323" s="768"/>
      <c r="Q323" s="768"/>
      <c r="R323" s="768"/>
      <c r="S323" s="768"/>
      <c r="T323" s="768"/>
      <c r="U323" s="768"/>
      <c r="V323" s="768"/>
      <c r="W323" s="768"/>
      <c r="X323" s="768"/>
      <c r="Y323" s="768"/>
      <c r="Z323" s="768"/>
      <c r="AA323" s="768"/>
    </row>
    <row r="324" ht="30.0" customHeight="1">
      <c r="A324" s="768">
        <f t="array" ref="A324">XLOOKUP(C324,'High School Players'!D:D,'High School Players'!K:K,"NO",0,1)</f>
        <v>1</v>
      </c>
      <c r="B324" s="975">
        <f>IFERROR(__xludf.DUMMYFUNCTION("""COMPUTED_VALUE"""),46168.74510248842)</f>
        <v>46168.7451</v>
      </c>
      <c r="C324" s="768" t="str">
        <f>IFERROR(__xludf.DUMMYFUNCTION("""COMPUTED_VALUE"""),"Grant Bradley")</f>
        <v>Grant Bradley</v>
      </c>
      <c r="D324" s="768" t="str">
        <f>IFERROR(__xludf.DUMMYFUNCTION("""COMPUTED_VALUE"""),"grant1bradley@icloud.com")</f>
        <v>grant1bradley@icloud.com</v>
      </c>
      <c r="E324" s="768" t="str">
        <f>IFERROR(__xludf.DUMMYFUNCTION("""COMPUTED_VALUE"""),"6’0/194")</f>
        <v>6’0/194</v>
      </c>
      <c r="F324" s="768" t="str">
        <f>IFERROR(__xludf.DUMMYFUNCTION("""COMPUTED_VALUE"""),"CIF, OF")</f>
        <v>CIF, OF</v>
      </c>
      <c r="G324" s="768" t="str">
        <f>IFERROR(__xludf.DUMMYFUNCTION("""COMPUTED_VALUE"""),".358 AVG 11HR 48RBI .521 OBP 1.10 OPS 42 H")</f>
        <v>.358 AVG 11HR 48RBI .521 OBP 1.10 OPS 42 H</v>
      </c>
      <c r="H324" s="768" t="str">
        <f>IFERROR(__xludf.DUMMYFUNCTION("""COMPUTED_VALUE"""),"3.62/4.02")</f>
        <v>3.62/4.02</v>
      </c>
      <c r="I324" s="768" t="str">
        <f>IFERROR(__xludf.DUMMYFUNCTION("""COMPUTED_VALUE"""),"24 Act (taking a couple more)")</f>
        <v>24 Act (taking a couple more)</v>
      </c>
      <c r="J324" s="768" t="str">
        <f>IFERROR(__xludf.DUMMYFUNCTION("""COMPUTED_VALUE"""),"Popped left shoulder out")</f>
        <v>Popped left shoulder out</v>
      </c>
      <c r="K324" s="768" t="str">
        <f>IFERROR(__xludf.DUMMYFUNCTION("""COMPUTED_VALUE"""),"No")</f>
        <v>No</v>
      </c>
      <c r="L324" s="768" t="str">
        <f>IFERROR(__xludf.DUMMYFUNCTION("""COMPUTED_VALUE"""),"Vyvanse")</f>
        <v>Vyvanse</v>
      </c>
      <c r="M324" s="768" t="str">
        <f>IFERROR(__xludf.DUMMYFUNCTION("""COMPUTED_VALUE"""),"Yes 50% extended time")</f>
        <v>Yes 50% extended time</v>
      </c>
      <c r="N324" s="768">
        <f>IFERROR(__xludf.DUMMYFUNCTION("""COMPUTED_VALUE"""),2027.0)</f>
        <v>2027</v>
      </c>
      <c r="O324" s="768" t="str">
        <f>IFERROR(__xludf.DUMMYFUNCTION("""COMPUTED_VALUE"""),"75 Beverly road NE")</f>
        <v>75 Beverly road NE</v>
      </c>
      <c r="P324" s="768"/>
      <c r="Q324" s="768"/>
      <c r="R324" s="768"/>
      <c r="S324" s="768"/>
      <c r="T324" s="768"/>
      <c r="U324" s="768"/>
      <c r="V324" s="768"/>
      <c r="W324" s="768"/>
      <c r="X324" s="768"/>
      <c r="Y324" s="768"/>
      <c r="Z324" s="768"/>
      <c r="AA324" s="768"/>
    </row>
    <row r="325" ht="30.0" customHeight="1">
      <c r="A325" s="768">
        <f t="array" ref="A325">XLOOKUP(C325,'High School Players'!D:D,'High School Players'!K:K,"NO",0,1)</f>
        <v>1</v>
      </c>
      <c r="B325" s="975">
        <f>IFERROR(__xludf.DUMMYFUNCTION("""COMPUTED_VALUE"""),46169.60049158565)</f>
        <v>46169.60049</v>
      </c>
      <c r="C325" s="768" t="str">
        <f>IFERROR(__xludf.DUMMYFUNCTION("""COMPUTED_VALUE"""),"Jack Snakenberg")</f>
        <v>Jack Snakenberg</v>
      </c>
      <c r="D325" s="768" t="str">
        <f>IFERROR(__xludf.DUMMYFUNCTION("""COMPUTED_VALUE"""),"jack.snakenberg@gmail.com")</f>
        <v>jack.snakenberg@gmail.com</v>
      </c>
      <c r="E325" s="768" t="str">
        <f>IFERROR(__xludf.DUMMYFUNCTION("""COMPUTED_VALUE"""),"6’0 210 ")</f>
        <v>6’0 210 </v>
      </c>
      <c r="F325" s="768" t="str">
        <f>IFERROR(__xludf.DUMMYFUNCTION("""COMPUTED_VALUE"""),"Pitcher ")</f>
        <v>Pitcher </v>
      </c>
      <c r="G325" s="768" t="str">
        <f>IFERROR(__xludf.DUMMYFUNCTION("""COMPUTED_VALUE"""),"Current High School Stats: IP: 65.1 ERA: 1.5  SO: 86 ER: 14  BAA: .170 Current velo: 86-88 T90")</f>
        <v>Current High School Stats: IP: 65.1 ERA: 1.5  SO: 86 ER: 14  BAA: .170 Current velo: 86-88 T90</v>
      </c>
      <c r="H325" s="768">
        <f>IFERROR(__xludf.DUMMYFUNCTION("""COMPUTED_VALUE"""),4.0)</f>
        <v>4</v>
      </c>
      <c r="I325" s="768" t="str">
        <f>IFERROR(__xludf.DUMMYFUNCTION("""COMPUTED_VALUE"""),"SAT: 1080 (Taking again in August)")</f>
        <v>SAT: 1080 (Taking again in August)</v>
      </c>
      <c r="J325" s="768" t="str">
        <f>IFERROR(__xludf.DUMMYFUNCTION("""COMPUTED_VALUE"""),"Evulsion Fracture on Hip last year (No surgery) ")</f>
        <v>Evulsion Fracture on Hip last year (No surgery) </v>
      </c>
      <c r="K325" s="768" t="str">
        <f>IFERROR(__xludf.DUMMYFUNCTION("""COMPUTED_VALUE"""),"No")</f>
        <v>No</v>
      </c>
      <c r="L325" s="768" t="str">
        <f>IFERROR(__xludf.DUMMYFUNCTION("""COMPUTED_VALUE"""),"No")</f>
        <v>No</v>
      </c>
      <c r="M325" s="768" t="str">
        <f>IFERROR(__xludf.DUMMYFUNCTION("""COMPUTED_VALUE"""),"No")</f>
        <v>No</v>
      </c>
      <c r="N325" s="768">
        <f>IFERROR(__xludf.DUMMYFUNCTION("""COMPUTED_VALUE"""),2027.0)</f>
        <v>2027</v>
      </c>
      <c r="O325" s="768" t="str">
        <f>IFERROR(__xludf.DUMMYFUNCTION("""COMPUTED_VALUE"""),"4508 Donnoli Dr")</f>
        <v>4508 Donnoli Dr</v>
      </c>
      <c r="P325" s="768"/>
      <c r="Q325" s="768"/>
      <c r="R325" s="768"/>
      <c r="S325" s="768"/>
      <c r="T325" s="768"/>
      <c r="U325" s="768"/>
      <c r="V325" s="768"/>
      <c r="W325" s="768"/>
      <c r="X325" s="768"/>
      <c r="Y325" s="768"/>
      <c r="Z325" s="768"/>
      <c r="AA325" s="768"/>
    </row>
    <row r="326" ht="30.0" customHeight="1">
      <c r="A326" s="768">
        <f t="array" ref="A326">XLOOKUP(C326,'High School Players'!D:D,'High School Players'!K:K,"NO",0,1)</f>
        <v>4</v>
      </c>
      <c r="B326" s="975">
        <f>IFERROR(__xludf.DUMMYFUNCTION("""COMPUTED_VALUE"""),46177.62802121528)</f>
        <v>46177.62802</v>
      </c>
      <c r="C326" s="768" t="str">
        <f>IFERROR(__xludf.DUMMYFUNCTION("""COMPUTED_VALUE"""),"Jackson Barker")</f>
        <v>Jackson Barker</v>
      </c>
      <c r="D326" s="768" t="str">
        <f>IFERROR(__xludf.DUMMYFUNCTION("""COMPUTED_VALUE"""),"jackjackbarker13@gmail.com")</f>
        <v>jackjackbarker13@gmail.com</v>
      </c>
      <c r="E326" s="768" t="str">
        <f>IFERROR(__xludf.DUMMYFUNCTION("""COMPUTED_VALUE"""),"6’2/205")</f>
        <v>6’2/205</v>
      </c>
      <c r="F326" s="768" t="str">
        <f>IFERROR(__xludf.DUMMYFUNCTION("""COMPUTED_VALUE"""),"RHP")</f>
        <v>RHP</v>
      </c>
      <c r="G326" s="768" t="str">
        <f>IFERROR(__xludf.DUMMYFUNCTION("""COMPUTED_VALUE"""),"JR stats: 38  6ER 16BB 46ks SO stats: 47.2 12ER 14bb 58ks FR stats: 38.1 20ER 21bb 39ks")</f>
        <v>JR stats: 38  6ER 16BB 46ks SO stats: 47.2 12ER 14bb 58ks FR stats: 38.1 20ER 21bb 39ks</v>
      </c>
      <c r="H326" s="768" t="str">
        <f>IFERROR(__xludf.DUMMYFUNCTION("""COMPUTED_VALUE"""),"3.8 unweighted 4.02 weighted ")</f>
        <v>3.8 unweighted 4.02 weighted </v>
      </c>
      <c r="I326" s="768" t="str">
        <f>IFERROR(__xludf.DUMMYFUNCTION("""COMPUTED_VALUE"""),"19 ACT (retaking)")</f>
        <v>19 ACT (retaking)</v>
      </c>
      <c r="J326" s="768" t="str">
        <f>IFERROR(__xludf.DUMMYFUNCTION("""COMPUTED_VALUE"""),"Fractured growth plate in ankle 8th grade fall")</f>
        <v>Fractured growth plate in ankle 8th grade fall</v>
      </c>
      <c r="K326" s="768" t="str">
        <f>IFERROR(__xludf.DUMMYFUNCTION("""COMPUTED_VALUE"""),"No")</f>
        <v>No</v>
      </c>
      <c r="L326" s="768" t="str">
        <f>IFERROR(__xludf.DUMMYFUNCTION("""COMPUTED_VALUE"""),"No")</f>
        <v>No</v>
      </c>
      <c r="M326" s="768" t="str">
        <f>IFERROR(__xludf.DUMMYFUNCTION("""COMPUTED_VALUE"""),"No")</f>
        <v>No</v>
      </c>
      <c r="N326" s="768">
        <f>IFERROR(__xludf.DUMMYFUNCTION("""COMPUTED_VALUE"""),2027.0)</f>
        <v>2027</v>
      </c>
      <c r="O326" s="768" t="str">
        <f>IFERROR(__xludf.DUMMYFUNCTION("""COMPUTED_VALUE"""),"5611 W 98th Pl")</f>
        <v>5611 W 98th Pl</v>
      </c>
      <c r="P326" s="768"/>
      <c r="Q326" s="768"/>
      <c r="R326" s="768"/>
      <c r="S326" s="768"/>
      <c r="T326" s="768"/>
      <c r="U326" s="768"/>
      <c r="V326" s="768"/>
      <c r="W326" s="768"/>
      <c r="X326" s="768"/>
      <c r="Y326" s="768"/>
      <c r="Z326" s="768"/>
      <c r="AA326" s="768"/>
    </row>
    <row r="327" ht="30.0" customHeight="1">
      <c r="A327" s="768">
        <f t="array" ref="A327">XLOOKUP(C327,'High School Players'!D:D,'High School Players'!K:K,"NO",0,1)</f>
        <v>1</v>
      </c>
      <c r="B327" s="975">
        <f>IFERROR(__xludf.DUMMYFUNCTION("""COMPUTED_VALUE"""),46177.944661608795)</f>
        <v>46177.94466</v>
      </c>
      <c r="C327" s="768" t="str">
        <f>IFERROR(__xludf.DUMMYFUNCTION("""COMPUTED_VALUE"""),"Jackson Fleming")</f>
        <v>Jackson Fleming</v>
      </c>
      <c r="D327" s="768" t="str">
        <f>IFERROR(__xludf.DUMMYFUNCTION("""COMPUTED_VALUE"""),"JacksonFleming2027@gmail.com")</f>
        <v>JacksonFleming2027@gmail.com</v>
      </c>
      <c r="E327" s="768" t="str">
        <f>IFERROR(__xludf.DUMMYFUNCTION("""COMPUTED_VALUE"""),"5’11/170")</f>
        <v>5’11/170</v>
      </c>
      <c r="F327" s="768" t="str">
        <f>IFERROR(__xludf.DUMMYFUNCTION("""COMPUTED_VALUE"""),"Outfield")</f>
        <v>Outfield</v>
      </c>
      <c r="G327" s="768" t="str">
        <f>IFERROR(__xludf.DUMMYFUNCTION("""COMPUTED_VALUE"""),"AVG-.543 Hits-50 OPS-1.163 19 SB. FACA All State. All metro")</f>
        <v>AVG-.543 Hits-50 OPS-1.163 19 SB. FACA All State. All metro</v>
      </c>
      <c r="H327" s="768" t="str">
        <f>IFERROR(__xludf.DUMMYFUNCTION("""COMPUTED_VALUE"""),"3.96 UW 5.412 W")</f>
        <v>3.96 UW 5.412 W</v>
      </c>
      <c r="I327" s="768" t="str">
        <f>IFERROR(__xludf.DUMMYFUNCTION("""COMPUTED_VALUE"""),"34 ACT ")</f>
        <v>34 ACT </v>
      </c>
      <c r="J327" s="768" t="str">
        <f>IFERROR(__xludf.DUMMYFUNCTION("""COMPUTED_VALUE"""),"N/A")</f>
        <v>N/A</v>
      </c>
      <c r="K327" s="768" t="str">
        <f>IFERROR(__xludf.DUMMYFUNCTION("""COMPUTED_VALUE"""),"N/A")</f>
        <v>N/A</v>
      </c>
      <c r="L327" s="768" t="str">
        <f>IFERROR(__xludf.DUMMYFUNCTION("""COMPUTED_VALUE"""),"N/A")</f>
        <v>N/A</v>
      </c>
      <c r="M327" s="768" t="str">
        <f>IFERROR(__xludf.DUMMYFUNCTION("""COMPUTED_VALUE"""),"N/A")</f>
        <v>N/A</v>
      </c>
      <c r="N327" s="768">
        <f>IFERROR(__xludf.DUMMYFUNCTION("""COMPUTED_VALUE"""),2027.0)</f>
        <v>2027</v>
      </c>
      <c r="O327" s="768" t="str">
        <f>IFERROR(__xludf.DUMMYFUNCTION("""COMPUTED_VALUE"""),"2242 Smiley Avenue  Winter Park, FL 32792")</f>
        <v>2242 Smiley Avenue  Winter Park, FL 32792</v>
      </c>
      <c r="P327" s="768"/>
      <c r="Q327" s="768"/>
      <c r="R327" s="768"/>
      <c r="S327" s="768"/>
      <c r="T327" s="768"/>
      <c r="U327" s="768"/>
      <c r="V327" s="768"/>
      <c r="W327" s="768"/>
      <c r="X327" s="768"/>
      <c r="Y327" s="768"/>
      <c r="Z327" s="768"/>
      <c r="AA327" s="768"/>
    </row>
    <row r="328" ht="30.0" customHeight="1">
      <c r="A328" s="768" t="str">
        <f t="array" ref="A328">XLOOKUP(C328,'High School Players'!D:D,'High School Players'!K:K,"NO",0,1)</f>
        <v>NO</v>
      </c>
      <c r="B328" s="975">
        <f>IFERROR(__xludf.DUMMYFUNCTION("""COMPUTED_VALUE"""),46178.60259902778)</f>
        <v>46178.6026</v>
      </c>
      <c r="C328" s="768" t="str">
        <f>IFERROR(__xludf.DUMMYFUNCTION("""COMPUTED_VALUE"""),"Jackson Rexwinkle")</f>
        <v>Jackson Rexwinkle</v>
      </c>
      <c r="D328" s="768" t="str">
        <f>IFERROR(__xludf.DUMMYFUNCTION("""COMPUTED_VALUE"""),"jrrexwinkle@gmail.com")</f>
        <v>jrrexwinkle@gmail.com</v>
      </c>
      <c r="E328" s="768" t="str">
        <f>IFERROR(__xludf.DUMMYFUNCTION("""COMPUTED_VALUE"""),"6’1/190lbs")</f>
        <v>6’1/190lbs</v>
      </c>
      <c r="F328" s="768" t="str">
        <f>IFERROR(__xludf.DUMMYFUNCTION("""COMPUTED_VALUE"""),"RHP")</f>
        <v>RHP</v>
      </c>
      <c r="G328" s="768" t="str">
        <f>IFERROR(__xludf.DUMMYFUNCTION("""COMPUTED_VALUE"""),"20.2 innings pitched, 4-0, 20 hits, 14 ER, 14BB, 28 SO, 4.742 ERA ")</f>
        <v>20.2 innings pitched, 4-0, 20 hits, 14 ER, 14BB, 28 SO, 4.742 ERA </v>
      </c>
      <c r="H328" s="768" t="str">
        <f>IFERROR(__xludf.DUMMYFUNCTION("""COMPUTED_VALUE"""),"3.58/3.69")</f>
        <v>3.58/3.69</v>
      </c>
      <c r="I328" s="768">
        <f>IFERROR(__xludf.DUMMYFUNCTION("""COMPUTED_VALUE"""),1190.0)</f>
        <v>1190</v>
      </c>
      <c r="J328" s="768" t="str">
        <f>IFERROR(__xludf.DUMMYFUNCTION("""COMPUTED_VALUE"""),"None")</f>
        <v>None</v>
      </c>
      <c r="K328" s="768" t="str">
        <f>IFERROR(__xludf.DUMMYFUNCTION("""COMPUTED_VALUE"""),"None")</f>
        <v>None</v>
      </c>
      <c r="L328" s="768" t="str">
        <f>IFERROR(__xludf.DUMMYFUNCTION("""COMPUTED_VALUE"""),"None")</f>
        <v>None</v>
      </c>
      <c r="M328" s="768" t="str">
        <f>IFERROR(__xludf.DUMMYFUNCTION("""COMPUTED_VALUE"""),"None")</f>
        <v>None</v>
      </c>
      <c r="N328" s="768">
        <f>IFERROR(__xludf.DUMMYFUNCTION("""COMPUTED_VALUE"""),2027.0)</f>
        <v>2027</v>
      </c>
      <c r="O328" s="768" t="str">
        <f>IFERROR(__xludf.DUMMYFUNCTION("""COMPUTED_VALUE"""),"4406 Wilder Rd Naples, FL 34105")</f>
        <v>4406 Wilder Rd Naples, FL 34105</v>
      </c>
      <c r="P328" s="768"/>
      <c r="Q328" s="768"/>
      <c r="R328" s="768"/>
      <c r="S328" s="768"/>
      <c r="T328" s="768"/>
      <c r="U328" s="768"/>
      <c r="V328" s="768"/>
      <c r="W328" s="768"/>
      <c r="X328" s="768"/>
      <c r="Y328" s="768"/>
      <c r="Z328" s="768"/>
      <c r="AA328" s="768"/>
    </row>
    <row r="329" ht="30.0" customHeight="1">
      <c r="A329" s="768">
        <f t="array" ref="A329">XLOOKUP(C329,'High School Players'!D:D,'High School Players'!K:K,"NO",0,1)</f>
        <v>1</v>
      </c>
      <c r="B329" s="975">
        <f>IFERROR(__xludf.DUMMYFUNCTION("""COMPUTED_VALUE"""),46180.75908591435)</f>
        <v>46180.75909</v>
      </c>
      <c r="C329" s="768" t="str">
        <f>IFERROR(__xludf.DUMMYFUNCTION("""COMPUTED_VALUE"""),"Jameson Mayfield")</f>
        <v>Jameson Mayfield</v>
      </c>
      <c r="D329" s="768" t="str">
        <f>IFERROR(__xludf.DUMMYFUNCTION("""COMPUTED_VALUE"""),"Jcmayfield4@icloud.com")</f>
        <v>Jcmayfield4@icloud.com</v>
      </c>
      <c r="E329" s="768" t="str">
        <f>IFERROR(__xludf.DUMMYFUNCTION("""COMPUTED_VALUE"""),"6’0, 185")</f>
        <v>6’0, 185</v>
      </c>
      <c r="F329" s="768" t="str">
        <f>IFERROR(__xludf.DUMMYFUNCTION("""COMPUTED_VALUE"""),"Shortstop, third base , second base")</f>
        <v>Shortstop, third base , second base</v>
      </c>
      <c r="G329" s="768" t="str">
        <f>IFERROR(__xludf.DUMMYFUNCTION("""COMPUTED_VALUE"""),"Batting avg. 418, 25 RBI, 7 HR, area code tryouts, 1st team all district ")</f>
        <v>Batting avg. 418, 25 RBI, 7 HR, area code tryouts, 1st team all district </v>
      </c>
      <c r="H329" s="768">
        <f>IFERROR(__xludf.DUMMYFUNCTION("""COMPUTED_VALUE"""),4.0)</f>
        <v>4</v>
      </c>
      <c r="I329" s="768" t="str">
        <f>IFERROR(__xludf.DUMMYFUNCTION("""COMPUTED_VALUE"""),"N/A")</f>
        <v>N/A</v>
      </c>
      <c r="J329" s="768" t="str">
        <f>IFERROR(__xludf.DUMMYFUNCTION("""COMPUTED_VALUE"""),"None")</f>
        <v>None</v>
      </c>
      <c r="K329" s="768" t="str">
        <f>IFERROR(__xludf.DUMMYFUNCTION("""COMPUTED_VALUE"""),"None")</f>
        <v>None</v>
      </c>
      <c r="L329" s="768" t="str">
        <f>IFERROR(__xludf.DUMMYFUNCTION("""COMPUTED_VALUE"""),"No")</f>
        <v>No</v>
      </c>
      <c r="M329" s="768" t="str">
        <f>IFERROR(__xludf.DUMMYFUNCTION("""COMPUTED_VALUE"""),"No")</f>
        <v>No</v>
      </c>
      <c r="N329" s="768">
        <f>IFERROR(__xludf.DUMMYFUNCTION("""COMPUTED_VALUE"""),2027.0)</f>
        <v>2027</v>
      </c>
      <c r="O329" s="768" t="str">
        <f>IFERROR(__xludf.DUMMYFUNCTION("""COMPUTED_VALUE"""),"1904 Versailles Pl, Flower Mound Tx, 75022")</f>
        <v>1904 Versailles Pl, Flower Mound Tx, 75022</v>
      </c>
      <c r="P329" s="768"/>
      <c r="Q329" s="768"/>
      <c r="R329" s="768"/>
      <c r="S329" s="768"/>
      <c r="T329" s="768"/>
      <c r="U329" s="768"/>
      <c r="V329" s="768"/>
      <c r="W329" s="768"/>
      <c r="X329" s="768"/>
      <c r="Y329" s="768"/>
      <c r="Z329" s="768"/>
      <c r="AA329" s="768"/>
    </row>
    <row r="330" ht="30.0" customHeight="1">
      <c r="A330" s="768">
        <f t="array" ref="A330">XLOOKUP(C330,'High School Players'!D:D,'High School Players'!K:K,"NO",0,1)</f>
        <v>1</v>
      </c>
      <c r="B330" s="975">
        <f>IFERROR(__xludf.DUMMYFUNCTION("""COMPUTED_VALUE"""),46180.787809050926)</f>
        <v>46180.78781</v>
      </c>
      <c r="C330" s="768" t="str">
        <f>IFERROR(__xludf.DUMMYFUNCTION("""COMPUTED_VALUE"""),"Cole Schott")</f>
        <v>Cole Schott</v>
      </c>
      <c r="D330" s="768" t="str">
        <f>IFERROR(__xludf.DUMMYFUNCTION("""COMPUTED_VALUE"""),"Coleschott124@gmail.com")</f>
        <v>Coleschott124@gmail.com</v>
      </c>
      <c r="E330" s="768" t="str">
        <f>IFERROR(__xludf.DUMMYFUNCTION("""COMPUTED_VALUE"""),"6’0 190")</f>
        <v>6’0 190</v>
      </c>
      <c r="F330" s="768" t="str">
        <f>IFERROR(__xludf.DUMMYFUNCTION("""COMPUTED_VALUE"""),"3rd, 2nd, OF")</f>
        <v>3rd, 2nd, OF</v>
      </c>
      <c r="G330" s="768" t="str">
        <f>IFERROR(__xludf.DUMMYFUNCTION("""COMPUTED_VALUE"""),"2025 summer: AB: 70 AVG: .414 OBP: .558 H: 29 2B: 7 HR: 4  RBI: 24.         This year school season: AVG: .321 Hits: 17 Doubles: 4 Triples: 2  HR: 2 RBI: 12")</f>
        <v>2025 summer: AB: 70 AVG: .414 OBP: .558 H: 29 2B: 7 HR: 4  RBI: 24.         This year school season: AVG: .321 Hits: 17 Doubles: 4 Triples: 2  HR: 2 RBI: 12</v>
      </c>
      <c r="H330" s="768" t="str">
        <f>IFERROR(__xludf.DUMMYFUNCTION("""COMPUTED_VALUE"""),"Unweighted 3.97. Weighted 4.5")</f>
        <v>Unweighted 3.97. Weighted 4.5</v>
      </c>
      <c r="I330" s="768"/>
      <c r="J330" s="768" t="str">
        <f>IFERROR(__xludf.DUMMYFUNCTION("""COMPUTED_VALUE"""),"Grade 2 MCL tear (left)")</f>
        <v>Grade 2 MCL tear (left)</v>
      </c>
      <c r="K330" s="768"/>
      <c r="L330" s="768"/>
      <c r="M330" s="768"/>
      <c r="N330" s="768">
        <f>IFERROR(__xludf.DUMMYFUNCTION("""COMPUTED_VALUE"""),2027.0)</f>
        <v>2027</v>
      </c>
      <c r="O330" s="768" t="str">
        <f>IFERROR(__xludf.DUMMYFUNCTION("""COMPUTED_VALUE"""),"423 Post Oak Dr Highland Village, TX 75077")</f>
        <v>423 Post Oak Dr Highland Village, TX 75077</v>
      </c>
      <c r="P330" s="768"/>
      <c r="Q330" s="768"/>
      <c r="R330" s="768"/>
      <c r="S330" s="768"/>
      <c r="T330" s="768"/>
      <c r="U330" s="768"/>
      <c r="V330" s="768"/>
      <c r="W330" s="768"/>
      <c r="X330" s="768"/>
      <c r="Y330" s="768"/>
      <c r="Z330" s="768"/>
      <c r="AA330" s="768"/>
    </row>
    <row r="331" ht="30.0" customHeight="1">
      <c r="A331" s="768" t="str">
        <f t="array" ref="A331">XLOOKUP(C331,'High School Players'!D:D,'High School Players'!K:K,"NO",0,1)</f>
        <v>1</v>
      </c>
      <c r="B331" s="975">
        <f>IFERROR(__xludf.DUMMYFUNCTION("""COMPUTED_VALUE"""),46180.86491201389)</f>
        <v>46180.86491</v>
      </c>
      <c r="C331" s="768" t="str">
        <f>IFERROR(__xludf.DUMMYFUNCTION("""COMPUTED_VALUE"""),"Ayden Collier")</f>
        <v>Ayden Collier</v>
      </c>
      <c r="D331" s="768" t="str">
        <f>IFERROR(__xludf.DUMMYFUNCTION("""COMPUTED_VALUE"""),"aydencollier17@gmail.com")</f>
        <v>aydencollier17@gmail.com</v>
      </c>
      <c r="E331" s="768" t="str">
        <f>IFERROR(__xludf.DUMMYFUNCTION("""COMPUTED_VALUE"""),"5,10/170")</f>
        <v>5,10/170</v>
      </c>
      <c r="F331" s="768" t="str">
        <f>IFERROR(__xludf.DUMMYFUNCTION("""COMPUTED_VALUE"""),"OF(mainly center)")</f>
        <v>OF(mainly center)</v>
      </c>
      <c r="G331" s="768" t="str">
        <f>IFERROR(__xludf.DUMMYFUNCTION("""COMPUTED_VALUE"""),"2x first team all district, Sophomore year District 20-6A New Comer Of The Year")</f>
        <v>2x first team all district, Sophomore year District 20-6A New Comer Of The Year</v>
      </c>
      <c r="H331" s="768" t="str">
        <f>IFERROR(__xludf.DUMMYFUNCTION("""COMPUTED_VALUE"""),"3.8 weighted 3.5 unweighted ")</f>
        <v>3.8 weighted 3.5 unweighted </v>
      </c>
      <c r="I331" s="768" t="str">
        <f>IFERROR(__xludf.DUMMYFUNCTION("""COMPUTED_VALUE"""),"N/A")</f>
        <v>N/A</v>
      </c>
      <c r="J331" s="768" t="str">
        <f>IFERROR(__xludf.DUMMYFUNCTION("""COMPUTED_VALUE"""),"N/A")</f>
        <v>N/A</v>
      </c>
      <c r="K331" s="768" t="str">
        <f>IFERROR(__xludf.DUMMYFUNCTION("""COMPUTED_VALUE"""),"No")</f>
        <v>No</v>
      </c>
      <c r="L331" s="768" t="str">
        <f>IFERROR(__xludf.DUMMYFUNCTION("""COMPUTED_VALUE"""),"No")</f>
        <v>No</v>
      </c>
      <c r="M331" s="768" t="str">
        <f>IFERROR(__xludf.DUMMYFUNCTION("""COMPUTED_VALUE"""),"No")</f>
        <v>No</v>
      </c>
      <c r="N331" s="768">
        <f>IFERROR(__xludf.DUMMYFUNCTION("""COMPUTED_VALUE"""),2027.0)</f>
        <v>2027</v>
      </c>
      <c r="O331" s="768" t="str">
        <f>IFERROR(__xludf.DUMMYFUNCTION("""COMPUTED_VALUE"""),"9230 Turnbull Ln")</f>
        <v>9230 Turnbull Ln</v>
      </c>
      <c r="P331" s="768"/>
      <c r="Q331" s="768"/>
      <c r="R331" s="768"/>
      <c r="S331" s="768"/>
      <c r="T331" s="768"/>
      <c r="U331" s="768"/>
      <c r="V331" s="768"/>
      <c r="W331" s="768"/>
      <c r="X331" s="768"/>
      <c r="Y331" s="768"/>
      <c r="Z331" s="768"/>
      <c r="AA331" s="768"/>
    </row>
    <row r="332" ht="30.0" customHeight="1">
      <c r="A332" s="768">
        <f t="array" ref="A332">XLOOKUP(C332,'High School Players'!D:D,'High School Players'!K:K,"NO",0,1)</f>
        <v>1</v>
      </c>
      <c r="B332" s="975">
        <f>IFERROR(__xludf.DUMMYFUNCTION("""COMPUTED_VALUE"""),46180.8897866551)</f>
        <v>46180.88979</v>
      </c>
      <c r="C332" s="768" t="str">
        <f>IFERROR(__xludf.DUMMYFUNCTION("""COMPUTED_VALUE"""),"Chance Williams")</f>
        <v>Chance Williams</v>
      </c>
      <c r="D332" s="768" t="str">
        <f>IFERROR(__xludf.DUMMYFUNCTION("""COMPUTED_VALUE"""),"chancewilliams15@icloud.com")</f>
        <v>chancewilliams15@icloud.com</v>
      </c>
      <c r="E332" s="768" t="str">
        <f>IFERROR(__xludf.DUMMYFUNCTION("""COMPUTED_VALUE"""),"6’0/192")</f>
        <v>6’0/192</v>
      </c>
      <c r="F332" s="768" t="str">
        <f>IFERROR(__xludf.DUMMYFUNCTION("""COMPUTED_VALUE"""),"P")</f>
        <v>P</v>
      </c>
      <c r="G332" s="768" t="str">
        <f>IFERROR(__xludf.DUMMYFUNCTION("""COMPUTED_VALUE"""),"9-2/1.98/63innings/74k’s/ 2 no hitters/ 1st Team All-Region/ 400 Club All-Star/ North Paulding pitcher of year/")</f>
        <v>9-2/1.98/63innings/74k’s/ 2 no hitters/ 1st Team All-Region/ 400 Club All-Star/ North Paulding pitcher of year/</v>
      </c>
      <c r="H332" s="768" t="str">
        <f>IFERROR(__xludf.DUMMYFUNCTION("""COMPUTED_VALUE"""),"3.95/3.98")</f>
        <v>3.95/3.98</v>
      </c>
      <c r="I332" s="768" t="str">
        <f>IFERROR(__xludf.DUMMYFUNCTION("""COMPUTED_VALUE"""),"Taking after summer")</f>
        <v>Taking after summer</v>
      </c>
      <c r="J332" s="768" t="str">
        <f>IFERROR(__xludf.DUMMYFUNCTION("""COMPUTED_VALUE"""),"None")</f>
        <v>None</v>
      </c>
      <c r="K332" s="768" t="str">
        <f>IFERROR(__xludf.DUMMYFUNCTION("""COMPUTED_VALUE"""),"None")</f>
        <v>None</v>
      </c>
      <c r="L332" s="768" t="str">
        <f>IFERROR(__xludf.DUMMYFUNCTION("""COMPUTED_VALUE"""),"None")</f>
        <v>None</v>
      </c>
      <c r="M332" s="768" t="str">
        <f>IFERROR(__xludf.DUMMYFUNCTION("""COMPUTED_VALUE"""),"None")</f>
        <v>None</v>
      </c>
      <c r="N332" s="768">
        <f>IFERROR(__xludf.DUMMYFUNCTION("""COMPUTED_VALUE"""),2027.0)</f>
        <v>2027</v>
      </c>
      <c r="O332" s="768" t="str">
        <f>IFERROR(__xludf.DUMMYFUNCTION("""COMPUTED_VALUE"""),"168 Kingsford Crossing")</f>
        <v>168 Kingsford Crossing</v>
      </c>
      <c r="P332" s="768"/>
      <c r="Q332" s="768"/>
      <c r="R332" s="768"/>
      <c r="S332" s="768"/>
      <c r="T332" s="768"/>
      <c r="U332" s="768"/>
      <c r="V332" s="768"/>
      <c r="W332" s="768"/>
      <c r="X332" s="768"/>
      <c r="Y332" s="768"/>
      <c r="Z332" s="768"/>
      <c r="AA332" s="768"/>
    </row>
    <row r="333" ht="30.0" customHeight="1">
      <c r="A333" s="768">
        <f t="array" ref="A333">XLOOKUP(C333,'High School Players'!D:D,'High School Players'!K:K,"NO",0,1)</f>
        <v>2</v>
      </c>
      <c r="B333" s="975">
        <f>IFERROR(__xludf.DUMMYFUNCTION("""COMPUTED_VALUE"""),46181.31512366898)</f>
        <v>46181.31512</v>
      </c>
      <c r="C333" s="768" t="str">
        <f>IFERROR(__xludf.DUMMYFUNCTION("""COMPUTED_VALUE"""),"Koa Peters")</f>
        <v>Koa Peters</v>
      </c>
      <c r="D333" s="768" t="str">
        <f>IFERROR(__xludf.DUMMYFUNCTION("""COMPUTED_VALUE"""),"koapeters2027@gmail.com")</f>
        <v>koapeters2027@gmail.com</v>
      </c>
      <c r="E333" s="768" t="str">
        <f>IFERROR(__xludf.DUMMYFUNCTION("""COMPUTED_VALUE"""),"6’4 205 ")</f>
        <v>6’4 205 </v>
      </c>
      <c r="F333" s="768" t="str">
        <f>IFERROR(__xludf.DUMMYFUNCTION("""COMPUTED_VALUE"""),"1B/P/OF")</f>
        <v>1B/P/OF</v>
      </c>
      <c r="G333" s="768" t="str">
        <f>IFERROR(__xludf.DUMMYFUNCTION("""COMPUTED_VALUE"""),"I hit .300 (30-100) in HS with 7 Doubles a triple and 5 Homeruns, with 29 RBI’S.      During summer I’m hitting .583 (14-24) with 8 RBI’S ")</f>
        <v>I hit .300 (30-100) in HS with 7 Doubles a triple and 5 Homeruns, with 29 RBI’S.      During summer I’m hitting .583 (14-24) with 8 RBI’S </v>
      </c>
      <c r="H333" s="768">
        <f>IFERROR(__xludf.DUMMYFUNCTION("""COMPUTED_VALUE"""),3.4)</f>
        <v>3.4</v>
      </c>
      <c r="I333" s="768" t="str">
        <f>IFERROR(__xludf.DUMMYFUNCTION("""COMPUTED_VALUE"""),"Have not taken ")</f>
        <v>Have not taken </v>
      </c>
      <c r="J333" s="768" t="str">
        <f>IFERROR(__xludf.DUMMYFUNCTION("""COMPUTED_VALUE"""),"Broken thumb no surgery ")</f>
        <v>Broken thumb no surgery </v>
      </c>
      <c r="K333" s="768" t="str">
        <f>IFERROR(__xludf.DUMMYFUNCTION("""COMPUTED_VALUE"""),"No ")</f>
        <v>No </v>
      </c>
      <c r="L333" s="768" t="str">
        <f>IFERROR(__xludf.DUMMYFUNCTION("""COMPUTED_VALUE"""),"No ")</f>
        <v>No </v>
      </c>
      <c r="M333" s="768" t="str">
        <f>IFERROR(__xludf.DUMMYFUNCTION("""COMPUTED_VALUE"""),"No ")</f>
        <v>No </v>
      </c>
      <c r="N333" s="768">
        <f>IFERROR(__xludf.DUMMYFUNCTION("""COMPUTED_VALUE"""),2027.0)</f>
        <v>2027</v>
      </c>
      <c r="O333" s="768" t="str">
        <f>IFERROR(__xludf.DUMMYFUNCTION("""COMPUTED_VALUE"""),"3230 Evonvale Glen ")</f>
        <v>3230 Evonvale Glen </v>
      </c>
      <c r="P333" s="768"/>
      <c r="Q333" s="768"/>
      <c r="R333" s="768"/>
      <c r="S333" s="768"/>
      <c r="T333" s="768"/>
      <c r="U333" s="768"/>
      <c r="V333" s="768"/>
      <c r="W333" s="768"/>
      <c r="X333" s="768"/>
      <c r="Y333" s="768"/>
      <c r="Z333" s="768"/>
      <c r="AA333" s="768"/>
    </row>
    <row r="334" ht="30.0" customHeight="1">
      <c r="A334" s="768" t="str">
        <f t="array" ref="A334">XLOOKUP(C334,'High School Players'!D:D,'High School Players'!K:K,"NO",0,1)</f>
        <v>NO</v>
      </c>
      <c r="B334" s="975">
        <f>IFERROR(__xludf.DUMMYFUNCTION("""COMPUTED_VALUE"""),46181.648733587965)</f>
        <v>46181.64873</v>
      </c>
      <c r="C334" s="768" t="str">
        <f>IFERROR(__xludf.DUMMYFUNCTION("""COMPUTED_VALUE"""),"Jack Bailey")</f>
        <v>Jack Bailey</v>
      </c>
      <c r="D334" s="768" t="str">
        <f>IFERROR(__xludf.DUMMYFUNCTION("""COMPUTED_VALUE"""),"jackbailey1108@gmail.com")</f>
        <v>jackbailey1108@gmail.com</v>
      </c>
      <c r="E334" s="768" t="str">
        <f>IFERROR(__xludf.DUMMYFUNCTION("""COMPUTED_VALUE"""),"6'4/210")</f>
        <v>6'4/210</v>
      </c>
      <c r="F334" s="768" t="str">
        <f>IFERROR(__xludf.DUMMYFUNCTION("""COMPUTED_VALUE"""),"Outfield/First Base")</f>
        <v>Outfield/First Base</v>
      </c>
      <c r="G334" s="768" t="str">
        <f>IFERROR(__xludf.DUMMYFUNCTION("""COMPUTED_VALUE"""),"2026 Varsity HS stats: 108 PA 90 AB .344 AVG 1.126 OPS .700 SLG 28 RBI H- 31 2B- 4 3B- 2 HR- 8 R- 27 SB- 9 100% FPCT/ 40 TC")</f>
        <v>2026 Varsity HS stats: 108 PA 90 AB .344 AVG 1.126 OPS .700 SLG 28 RBI H- 31 2B- 4 3B- 2 HR- 8 R- 27 SB- 9 100% FPCT/ 40 TC</v>
      </c>
      <c r="H334" s="768">
        <f>IFERROR(__xludf.DUMMYFUNCTION("""COMPUTED_VALUE"""),4.1)</f>
        <v>4.1</v>
      </c>
      <c r="I334" s="768"/>
      <c r="J334" s="768"/>
      <c r="K334" s="768"/>
      <c r="L334" s="768"/>
      <c r="M334" s="768"/>
      <c r="N334" s="768">
        <f>IFERROR(__xludf.DUMMYFUNCTION("""COMPUTED_VALUE"""),2027.0)</f>
        <v>2027</v>
      </c>
      <c r="O334" s="768" t="str">
        <f>IFERROR(__xludf.DUMMYFUNCTION("""COMPUTED_VALUE"""),"255 amanda ct moore")</f>
        <v>255 amanda ct moore</v>
      </c>
      <c r="P334" s="768"/>
      <c r="Q334" s="768"/>
      <c r="R334" s="768"/>
      <c r="S334" s="768"/>
      <c r="T334" s="768"/>
      <c r="U334" s="768"/>
      <c r="V334" s="768"/>
      <c r="W334" s="768"/>
      <c r="X334" s="768"/>
      <c r="Y334" s="768"/>
      <c r="Z334" s="768"/>
      <c r="AA334" s="768"/>
    </row>
    <row r="335" ht="30.0" customHeight="1">
      <c r="A335" s="768" t="str">
        <f t="array" ref="A335">XLOOKUP(C335,'High School Players'!D:D,'High School Players'!K:K,"NO",0,1)</f>
        <v>NO</v>
      </c>
      <c r="B335" s="975">
        <f>IFERROR(__xludf.DUMMYFUNCTION("""COMPUTED_VALUE"""),46181.66020834491)</f>
        <v>46181.66021</v>
      </c>
      <c r="C335" s="768" t="str">
        <f>IFERROR(__xludf.DUMMYFUNCTION("""COMPUTED_VALUE"""),"Zach Huret")</f>
        <v>Zach Huret</v>
      </c>
      <c r="D335" s="768" t="str">
        <f>IFERROR(__xludf.DUMMYFUNCTION("""COMPUTED_VALUE"""),"zachhuret111@gmail.com")</f>
        <v>zachhuret111@gmail.com</v>
      </c>
      <c r="E335" s="768" t="str">
        <f>IFERROR(__xludf.DUMMYFUNCTION("""COMPUTED_VALUE"""),"6’3 210lbs")</f>
        <v>6’3 210lbs</v>
      </c>
      <c r="F335" s="768" t="str">
        <f>IFERROR(__xludf.DUMMYFUNCTION("""COMPUTED_VALUE"""),"RHP, 3B")</f>
        <v>RHP, 3B</v>
      </c>
      <c r="G335" s="768" t="str">
        <f>IFERROR(__xludf.DUMMYFUNCTION("""COMPUTED_VALUE""")," Pitching: 44ip 17H 16R 6ER 26BB 80K’s 0.282 OBP  Hitting: .312 avg 14 runs 20 hits 11rbis 4 2b 3 3b 3 HR’s 16 BB 14 k’s 7hpb .485 OBP .609 slg  1.095 ops")</f>
        <v> Pitching: 44ip 17H 16R 6ER 26BB 80K’s 0.282 OBP  Hitting: .312 avg 14 runs 20 hits 11rbis 4 2b 3 3b 3 HR’s 16 BB 14 k’s 7hpb .485 OBP .609 slg  1.095 ops</v>
      </c>
      <c r="H335" s="768" t="str">
        <f>IFERROR(__xludf.DUMMYFUNCTION("""COMPUTED_VALUE"""),"3.5/3.8")</f>
        <v>3.5/3.8</v>
      </c>
      <c r="I335" s="768" t="str">
        <f>IFERROR(__xludf.DUMMYFUNCTION("""COMPUTED_VALUE"""),"N/A")</f>
        <v>N/A</v>
      </c>
      <c r="J335" s="768" t="str">
        <f>IFERROR(__xludf.DUMMYFUNCTION("""COMPUTED_VALUE"""),"N/A")</f>
        <v>N/A</v>
      </c>
      <c r="K335" s="768" t="str">
        <f>IFERROR(__xludf.DUMMYFUNCTION("""COMPUTED_VALUE"""),"N/A")</f>
        <v>N/A</v>
      </c>
      <c r="L335" s="768" t="str">
        <f>IFERROR(__xludf.DUMMYFUNCTION("""COMPUTED_VALUE"""),"N/A")</f>
        <v>N/A</v>
      </c>
      <c r="M335" s="768" t="str">
        <f>IFERROR(__xludf.DUMMYFUNCTION("""COMPUTED_VALUE"""),"N/A")</f>
        <v>N/A</v>
      </c>
      <c r="N335" s="768">
        <f>IFERROR(__xludf.DUMMYFUNCTION("""COMPUTED_VALUE"""),2027.0)</f>
        <v>2027</v>
      </c>
      <c r="O335" s="768" t="str">
        <f>IFERROR(__xludf.DUMMYFUNCTION("""COMPUTED_VALUE"""),"215 ruffians way Sebring fl")</f>
        <v>215 ruffians way Sebring fl</v>
      </c>
      <c r="P335" s="768"/>
      <c r="Q335" s="768"/>
      <c r="R335" s="768"/>
      <c r="S335" s="768"/>
      <c r="T335" s="768"/>
      <c r="U335" s="768"/>
      <c r="V335" s="768"/>
      <c r="W335" s="768"/>
      <c r="X335" s="768"/>
      <c r="Y335" s="768"/>
      <c r="Z335" s="768"/>
      <c r="AA335" s="768"/>
    </row>
    <row r="336" ht="30.0" customHeight="1">
      <c r="A336" s="768" t="str">
        <f t="array" ref="A336">XLOOKUP(C336,'High School Players'!D:D,'High School Players'!K:K,"NO",0,1)</f>
        <v>NO</v>
      </c>
      <c r="B336" s="975">
        <f>IFERROR(__xludf.DUMMYFUNCTION("""COMPUTED_VALUE"""),46181.73774684028)</f>
        <v>46181.73775</v>
      </c>
      <c r="C336" s="768" t="str">
        <f>IFERROR(__xludf.DUMMYFUNCTION("""COMPUTED_VALUE"""),"Gabe Grubbs ")</f>
        <v>Gabe Grubbs </v>
      </c>
      <c r="D336" s="768" t="str">
        <f>IFERROR(__xludf.DUMMYFUNCTION("""COMPUTED_VALUE"""),"gabegrubbs.25@gmail.com")</f>
        <v>gabegrubbs.25@gmail.com</v>
      </c>
      <c r="E336" s="768" t="str">
        <f>IFERROR(__xludf.DUMMYFUNCTION("""COMPUTED_VALUE"""),"5,11 190")</f>
        <v>5,11 190</v>
      </c>
      <c r="F336" s="768" t="str">
        <f>IFERROR(__xludf.DUMMYFUNCTION("""COMPUTED_VALUE"""),"Second Shortstop Third")</f>
        <v>Second Shortstop Third</v>
      </c>
      <c r="G336" s="768" t="str">
        <f>IFERROR(__xludf.DUMMYFUNCTION("""COMPUTED_VALUE"""),"HS- .403-52 hits/ 31 singles/16 doubles/1 triple/ 4 home runs/ 38 rbi/ 38 runs scored— Pitching-41 innings/ 50 Strikeouts/ 19 walks/3.6 Era/3x all region infielder/3x all state infielder/ Travel- 3 hole for a top team in the country")</f>
        <v>HS- .403-52 hits/ 31 singles/16 doubles/1 triple/ 4 home runs/ 38 rbi/ 38 runs scored— Pitching-41 innings/ 50 Strikeouts/ 19 walks/3.6 Era/3x all region infielder/3x all state infielder/ Travel- 3 hole for a top team in the country</v>
      </c>
      <c r="H336" s="768" t="str">
        <f>IFERROR(__xludf.DUMMYFUNCTION("""COMPUTED_VALUE"""),"Weighted GPA-4.0")</f>
        <v>Weighted GPA-4.0</v>
      </c>
      <c r="I336" s="768" t="str">
        <f>IFERROR(__xludf.DUMMYFUNCTION("""COMPUTED_VALUE"""),"SAT 1010 (first try)")</f>
        <v>SAT 1010 (first try)</v>
      </c>
      <c r="J336" s="768" t="str">
        <f>IFERROR(__xludf.DUMMYFUNCTION("""COMPUTED_VALUE"""),"Pulled Hamstring Sophmore year ")</f>
        <v>Pulled Hamstring Sophmore year </v>
      </c>
      <c r="K336" s="768" t="str">
        <f>IFERROR(__xludf.DUMMYFUNCTION("""COMPUTED_VALUE"""),"No")</f>
        <v>No</v>
      </c>
      <c r="L336" s="768" t="str">
        <f>IFERROR(__xludf.DUMMYFUNCTION("""COMPUTED_VALUE"""),"No")</f>
        <v>No</v>
      </c>
      <c r="M336" s="768" t="str">
        <f>IFERROR(__xludf.DUMMYFUNCTION("""COMPUTED_VALUE"""),"No")</f>
        <v>No</v>
      </c>
      <c r="N336" s="768">
        <f>IFERROR(__xludf.DUMMYFUNCTION("""COMPUTED_VALUE"""),2027.0)</f>
        <v>2027</v>
      </c>
      <c r="O336" s="768" t="str">
        <f>IFERROR(__xludf.DUMMYFUNCTION("""COMPUTED_VALUE"""),"229 Burnside Rd")</f>
        <v>229 Burnside Rd</v>
      </c>
      <c r="P336" s="768"/>
      <c r="Q336" s="768"/>
      <c r="R336" s="768"/>
      <c r="S336" s="768"/>
      <c r="T336" s="768"/>
      <c r="U336" s="768"/>
      <c r="V336" s="768"/>
      <c r="W336" s="768"/>
      <c r="X336" s="768"/>
      <c r="Y336" s="768"/>
      <c r="Z336" s="768"/>
      <c r="AA336" s="768"/>
    </row>
    <row r="337" ht="30.0" customHeight="1">
      <c r="A337" s="768">
        <f t="array" ref="A337">XLOOKUP(C337,'High School Players'!D:D,'High School Players'!K:K,"NO",0,1)</f>
        <v>1</v>
      </c>
      <c r="B337" s="975">
        <f>IFERROR(__xludf.DUMMYFUNCTION("""COMPUTED_VALUE"""),46181.927982037036)</f>
        <v>46181.92798</v>
      </c>
      <c r="C337" s="768" t="str">
        <f>IFERROR(__xludf.DUMMYFUNCTION("""COMPUTED_VALUE"""),"Reid Williams")</f>
        <v>Reid Williams</v>
      </c>
      <c r="D337" s="768" t="str">
        <f>IFERROR(__xludf.DUMMYFUNCTION("""COMPUTED_VALUE"""),"reid.catcher04@gmail.com")</f>
        <v>reid.catcher04@gmail.com</v>
      </c>
      <c r="E337" s="768" t="str">
        <f>IFERROR(__xludf.DUMMYFUNCTION("""COMPUTED_VALUE"""),"5’11/190")</f>
        <v>5’11/190</v>
      </c>
      <c r="F337" s="768" t="str">
        <f>IFERROR(__xludf.DUMMYFUNCTION("""COMPUTED_VALUE"""),"OF/C")</f>
        <v>OF/C</v>
      </c>
      <c r="G337" s="768" t="str">
        <f>IFERROR(__xludf.DUMMYFUNCTION("""COMPUTED_VALUE"""),"Byron Nelson HS Stats - AVG: .312, OBP: .396, OPS: .805, H: 30, RBI: 20, R: 14, BB: 8, HBP: 5, SB: 12, District 4-6A 2nd Team All-District-Outfield, Byron Nelson High School Baseball Bobcat Scholar Award")</f>
        <v>Byron Nelson HS Stats - AVG: .312, OBP: .396, OPS: .805, H: 30, RBI: 20, R: 14, BB: 8, HBP: 5, SB: 12, District 4-6A 2nd Team All-District-Outfield, Byron Nelson High School Baseball Bobcat Scholar Award</v>
      </c>
      <c r="H337" s="768" t="str">
        <f>IFERROR(__xludf.DUMMYFUNCTION("""COMPUTED_VALUE"""),"3.97/5.65")</f>
        <v>3.97/5.65</v>
      </c>
      <c r="I337" s="768" t="str">
        <f>IFERROR(__xludf.DUMMYFUNCTION("""COMPUTED_VALUE"""),"N/A, scheduled to take them this summer")</f>
        <v>N/A, scheduled to take them this summer</v>
      </c>
      <c r="J337" s="768" t="str">
        <f>IFERROR(__xludf.DUMMYFUNCTION("""COMPUTED_VALUE"""),"Freshman Year Football - Pars fracture in L5, Junior Year Football - Hairline fracture in tibia/No surgeries")</f>
        <v>Freshman Year Football - Pars fracture in L5, Junior Year Football - Hairline fracture in tibia/No surgeries</v>
      </c>
      <c r="K337" s="768" t="str">
        <f>IFERROR(__xludf.DUMMYFUNCTION("""COMPUTED_VALUE"""),"N/A")</f>
        <v>N/A</v>
      </c>
      <c r="L337" s="768" t="str">
        <f>IFERROR(__xludf.DUMMYFUNCTION("""COMPUTED_VALUE"""),"N/A")</f>
        <v>N/A</v>
      </c>
      <c r="M337" s="768" t="str">
        <f>IFERROR(__xludf.DUMMYFUNCTION("""COMPUTED_VALUE"""),"N/A")</f>
        <v>N/A</v>
      </c>
      <c r="N337" s="768">
        <f>IFERROR(__xludf.DUMMYFUNCTION("""COMPUTED_VALUE"""),2027.0)</f>
        <v>2027</v>
      </c>
      <c r="O337" s="768" t="str">
        <f>IFERROR(__xludf.DUMMYFUNCTION("""COMPUTED_VALUE"""),"402 Abbot Lane, Trophy Club, Texas, 76262")</f>
        <v>402 Abbot Lane, Trophy Club, Texas, 76262</v>
      </c>
      <c r="P337" s="768"/>
      <c r="Q337" s="768"/>
      <c r="R337" s="768"/>
      <c r="S337" s="768"/>
      <c r="T337" s="768"/>
      <c r="U337" s="768"/>
      <c r="V337" s="768"/>
      <c r="W337" s="768"/>
      <c r="X337" s="768"/>
      <c r="Y337" s="768"/>
      <c r="Z337" s="768"/>
      <c r="AA337" s="768"/>
    </row>
    <row r="338" ht="30.0" customHeight="1">
      <c r="A338" s="768">
        <f t="array" ref="A338">XLOOKUP(C338,'High School Players'!D:D,'High School Players'!K:K,"NO",0,1)</f>
        <v>2</v>
      </c>
      <c r="B338" s="975">
        <f>IFERROR(__xludf.DUMMYFUNCTION("""COMPUTED_VALUE"""),46181.99404680556)</f>
        <v>46181.99405</v>
      </c>
      <c r="C338" s="768" t="str">
        <f>IFERROR(__xludf.DUMMYFUNCTION("""COMPUTED_VALUE"""),"Finn Torvik")</f>
        <v>Finn Torvik</v>
      </c>
      <c r="D338" s="768" t="str">
        <f>IFERROR(__xludf.DUMMYFUNCTION("""COMPUTED_VALUE"""),"finntorvikbaseball@gmail.com")</f>
        <v>finntorvikbaseball@gmail.com</v>
      </c>
      <c r="E338" s="768" t="str">
        <f>IFERROR(__xludf.DUMMYFUNCTION("""COMPUTED_VALUE"""),"6'2""/ 200lbs.")</f>
        <v>6'2"/ 200lbs.</v>
      </c>
      <c r="F338" s="768" t="str">
        <f>IFERROR(__xludf.DUMMYFUNCTION("""COMPUTED_VALUE"""),"3B, 1B")</f>
        <v>3B, 1B</v>
      </c>
      <c r="G338" s="768" t="str">
        <f>IFERROR(__xludf.DUMMYFUNCTION("""COMPUTED_VALUE"""),"First Team All Conference Junior year.  5A All State Honorable Mention Junior year.  2026 Varsity MVP Boulder High School Baseball Team.  CHSAA Academic All-State First-Team honors. High School Spring Stats: 392 AVG .554 OBP  1.298 OPS  .743 SLG  21BB 16X"&amp;"BH 5HR 8SB 34R")</f>
        <v>First Team All Conference Junior year.  5A All State Honorable Mention Junior year.  2026 Varsity MVP Boulder High School Baseball Team.  CHSAA Academic All-State First-Team honors. High School Spring Stats: 392 AVG .554 OBP  1.298 OPS  .743 SLG  21BB 16XBH 5HR 8SB 34R</v>
      </c>
      <c r="H338" s="768" t="str">
        <f>IFERROR(__xludf.DUMMYFUNCTION("""COMPUTED_VALUE"""),"3.66/ 4.03")</f>
        <v>3.66/ 4.03</v>
      </c>
      <c r="I338" s="768"/>
      <c r="J338" s="768" t="str">
        <f>IFERROR(__xludf.DUMMYFUNCTION("""COMPUTED_VALUE"""),"N/A")</f>
        <v>N/A</v>
      </c>
      <c r="K338" s="768" t="str">
        <f>IFERROR(__xludf.DUMMYFUNCTION("""COMPUTED_VALUE"""),"N/A")</f>
        <v>N/A</v>
      </c>
      <c r="L338" s="768" t="str">
        <f>IFERROR(__xludf.DUMMYFUNCTION("""COMPUTED_VALUE"""),"N/A")</f>
        <v>N/A</v>
      </c>
      <c r="M338" s="768" t="str">
        <f>IFERROR(__xludf.DUMMYFUNCTION("""COMPUTED_VALUE"""),"No")</f>
        <v>No</v>
      </c>
      <c r="N338" s="768">
        <f>IFERROR(__xludf.DUMMYFUNCTION("""COMPUTED_VALUE"""),2027.0)</f>
        <v>2027</v>
      </c>
      <c r="O338" s="768" t="str">
        <f>IFERROR(__xludf.DUMMYFUNCTION("""COMPUTED_VALUE"""),"834 Maxwell Ave. Boulder, CO. 80304")</f>
        <v>834 Maxwell Ave. Boulder, CO. 80304</v>
      </c>
      <c r="P338" s="768"/>
      <c r="Q338" s="768"/>
      <c r="R338" s="768"/>
      <c r="S338" s="768"/>
      <c r="T338" s="768"/>
      <c r="U338" s="768"/>
      <c r="V338" s="768"/>
      <c r="W338" s="768"/>
      <c r="X338" s="768"/>
      <c r="Y338" s="768"/>
      <c r="Z338" s="768"/>
      <c r="AA338" s="768"/>
    </row>
    <row r="339" ht="30.0" customHeight="1">
      <c r="A339" s="768" t="str">
        <f t="array" ref="A339">XLOOKUP(C339,'High School Players'!D:D,'High School Players'!K:K,"NO",0,1)</f>
        <v>NO</v>
      </c>
      <c r="B339" s="768"/>
      <c r="C339" s="768"/>
      <c r="D339" s="768"/>
      <c r="E339" s="768"/>
      <c r="F339" s="768"/>
      <c r="G339" s="768"/>
      <c r="H339" s="768"/>
      <c r="I339" s="768"/>
      <c r="J339" s="768"/>
      <c r="K339" s="768"/>
      <c r="L339" s="768"/>
      <c r="M339" s="768"/>
      <c r="N339" s="768"/>
      <c r="O339" s="768"/>
      <c r="P339" s="768"/>
      <c r="Q339" s="768"/>
      <c r="R339" s="768"/>
      <c r="S339" s="768"/>
      <c r="T339" s="768"/>
      <c r="U339" s="768"/>
      <c r="V339" s="768"/>
      <c r="W339" s="768"/>
      <c r="X339" s="768"/>
      <c r="Y339" s="768"/>
      <c r="Z339" s="768"/>
      <c r="AA339" s="768"/>
    </row>
    <row r="340" ht="30.0" customHeight="1">
      <c r="A340" s="768" t="str">
        <f t="array" ref="A340">XLOOKUP(C340,'High School Players'!D:D,'High School Players'!K:K,"NO",0,1)</f>
        <v>NO</v>
      </c>
      <c r="B340" s="768"/>
      <c r="C340" s="768"/>
      <c r="D340" s="768"/>
      <c r="E340" s="768"/>
      <c r="F340" s="768"/>
      <c r="G340" s="768"/>
      <c r="H340" s="768"/>
      <c r="I340" s="768"/>
      <c r="J340" s="768"/>
      <c r="K340" s="768"/>
      <c r="L340" s="768"/>
      <c r="M340" s="768"/>
      <c r="N340" s="768"/>
      <c r="O340" s="768"/>
      <c r="P340" s="768"/>
      <c r="Q340" s="768"/>
      <c r="R340" s="768"/>
      <c r="S340" s="768"/>
      <c r="T340" s="768"/>
      <c r="U340" s="768"/>
      <c r="V340" s="768"/>
      <c r="W340" s="768"/>
      <c r="X340" s="768"/>
      <c r="Y340" s="768"/>
      <c r="Z340" s="768"/>
      <c r="AA340" s="768"/>
    </row>
    <row r="341" ht="30.0" customHeight="1">
      <c r="A341" s="768" t="str">
        <f t="array" ref="A341">XLOOKUP(C341,'High School Players'!D:D,'High School Players'!K:K,"NO",0,1)</f>
        <v>NO</v>
      </c>
      <c r="B341" s="768"/>
      <c r="C341" s="768"/>
      <c r="D341" s="768"/>
      <c r="E341" s="768"/>
      <c r="F341" s="768"/>
      <c r="G341" s="768"/>
      <c r="H341" s="768"/>
      <c r="I341" s="768"/>
      <c r="J341" s="768"/>
      <c r="K341" s="768"/>
      <c r="L341" s="768"/>
      <c r="M341" s="768"/>
      <c r="N341" s="768"/>
      <c r="O341" s="768"/>
      <c r="P341" s="768"/>
      <c r="Q341" s="768"/>
      <c r="R341" s="768"/>
      <c r="S341" s="768"/>
      <c r="T341" s="768"/>
      <c r="U341" s="768"/>
      <c r="V341" s="768"/>
      <c r="W341" s="768"/>
      <c r="X341" s="768"/>
      <c r="Y341" s="768"/>
      <c r="Z341" s="768"/>
      <c r="AA341" s="768"/>
    </row>
    <row r="342" ht="30.0" customHeight="1">
      <c r="A342" s="768" t="str">
        <f t="array" ref="A342">XLOOKUP(C342,'High School Players'!D:D,'High School Players'!K:K,"NO",0,1)</f>
        <v>NO</v>
      </c>
      <c r="B342" s="768"/>
      <c r="C342" s="768"/>
      <c r="D342" s="768"/>
      <c r="E342" s="768"/>
      <c r="F342" s="768"/>
      <c r="G342" s="768"/>
      <c r="H342" s="768"/>
      <c r="I342" s="768"/>
      <c r="J342" s="768"/>
      <c r="K342" s="768"/>
      <c r="L342" s="768"/>
      <c r="M342" s="768"/>
      <c r="N342" s="768"/>
      <c r="O342" s="768"/>
      <c r="P342" s="768"/>
      <c r="Q342" s="768"/>
      <c r="R342" s="768"/>
      <c r="S342" s="768"/>
      <c r="T342" s="768"/>
      <c r="U342" s="768"/>
      <c r="V342" s="768"/>
      <c r="W342" s="768"/>
      <c r="X342" s="768"/>
      <c r="Y342" s="768"/>
      <c r="Z342" s="768"/>
      <c r="AA342" s="768"/>
    </row>
    <row r="343" ht="30.0" customHeight="1">
      <c r="A343" s="768" t="str">
        <f t="array" ref="A343">XLOOKUP(C343,'High School Players'!D:D,'High School Players'!K:K,"NO",0,1)</f>
        <v>NO</v>
      </c>
      <c r="B343" s="768"/>
      <c r="C343" s="768"/>
      <c r="D343" s="768"/>
      <c r="E343" s="768"/>
      <c r="F343" s="768"/>
      <c r="G343" s="768"/>
      <c r="H343" s="768"/>
      <c r="I343" s="768"/>
      <c r="J343" s="768"/>
      <c r="K343" s="768"/>
      <c r="L343" s="768"/>
      <c r="M343" s="768"/>
      <c r="N343" s="768"/>
      <c r="O343" s="768"/>
      <c r="P343" s="768"/>
      <c r="Q343" s="768"/>
      <c r="R343" s="768"/>
      <c r="S343" s="768"/>
      <c r="T343" s="768"/>
      <c r="U343" s="768"/>
      <c r="V343" s="768"/>
      <c r="W343" s="768"/>
      <c r="X343" s="768"/>
      <c r="Y343" s="768"/>
      <c r="Z343" s="768"/>
      <c r="AA343" s="768"/>
    </row>
    <row r="344" ht="30.0" customHeight="1">
      <c r="A344" s="768" t="str">
        <f t="array" ref="A344">XLOOKUP(C344,'High School Players'!D:D,'High School Players'!K:K,"NO",0,1)</f>
        <v>NO</v>
      </c>
      <c r="B344" s="768"/>
      <c r="C344" s="768"/>
      <c r="D344" s="768"/>
      <c r="E344" s="768"/>
      <c r="F344" s="768"/>
      <c r="G344" s="768"/>
      <c r="H344" s="768"/>
      <c r="I344" s="768"/>
      <c r="J344" s="768"/>
      <c r="K344" s="768"/>
      <c r="L344" s="768"/>
      <c r="M344" s="768"/>
      <c r="N344" s="768"/>
      <c r="O344" s="768"/>
      <c r="P344" s="768"/>
      <c r="Q344" s="768"/>
      <c r="R344" s="768"/>
      <c r="S344" s="768"/>
      <c r="T344" s="768"/>
      <c r="U344" s="768"/>
      <c r="V344" s="768"/>
      <c r="W344" s="768"/>
      <c r="X344" s="768"/>
      <c r="Y344" s="768"/>
      <c r="Z344" s="768"/>
      <c r="AA344" s="768"/>
    </row>
    <row r="345" ht="30.0" customHeight="1">
      <c r="A345" s="768" t="str">
        <f t="array" ref="A345">XLOOKUP(C345,'High School Players'!D:D,'High School Players'!K:K,"NO",0,1)</f>
        <v>NO</v>
      </c>
      <c r="B345" s="768"/>
      <c r="C345" s="768"/>
      <c r="D345" s="768"/>
      <c r="E345" s="768"/>
      <c r="F345" s="768"/>
      <c r="G345" s="768"/>
      <c r="H345" s="768"/>
      <c r="I345" s="768"/>
      <c r="J345" s="768"/>
      <c r="K345" s="768"/>
      <c r="L345" s="768"/>
      <c r="M345" s="768"/>
      <c r="N345" s="768"/>
      <c r="O345" s="768"/>
      <c r="P345" s="768"/>
      <c r="Q345" s="768"/>
      <c r="R345" s="768"/>
      <c r="S345" s="768"/>
      <c r="T345" s="768"/>
      <c r="U345" s="768"/>
      <c r="V345" s="768"/>
      <c r="W345" s="768"/>
      <c r="X345" s="768"/>
      <c r="Y345" s="768"/>
      <c r="Z345" s="768"/>
      <c r="AA345" s="768"/>
    </row>
    <row r="346" ht="30.0" customHeight="1">
      <c r="A346" s="768" t="str">
        <f t="array" ref="A346">XLOOKUP(C346,'High School Players'!D:D,'High School Players'!K:K,"NO",0,1)</f>
        <v>NO</v>
      </c>
      <c r="B346" s="768"/>
      <c r="C346" s="768"/>
      <c r="D346" s="768"/>
      <c r="E346" s="768"/>
      <c r="F346" s="768"/>
      <c r="G346" s="768"/>
      <c r="H346" s="768"/>
      <c r="I346" s="768"/>
      <c r="J346" s="768"/>
      <c r="K346" s="768"/>
      <c r="L346" s="768"/>
      <c r="M346" s="768"/>
      <c r="N346" s="768"/>
      <c r="O346" s="768"/>
      <c r="P346" s="768"/>
      <c r="Q346" s="768"/>
      <c r="R346" s="768"/>
      <c r="S346" s="768"/>
      <c r="T346" s="768"/>
      <c r="U346" s="768"/>
      <c r="V346" s="768"/>
      <c r="W346" s="768"/>
      <c r="X346" s="768"/>
      <c r="Y346" s="768"/>
      <c r="Z346" s="768"/>
      <c r="AA346" s="768"/>
    </row>
    <row r="347" ht="30.0" customHeight="1">
      <c r="A347" s="768" t="str">
        <f t="array" ref="A347">XLOOKUP(C347,'High School Players'!D:D,'High School Players'!K:K,"NO",0,1)</f>
        <v>NO</v>
      </c>
      <c r="B347" s="768"/>
      <c r="C347" s="768"/>
      <c r="D347" s="768"/>
      <c r="E347" s="768"/>
      <c r="F347" s="768"/>
      <c r="G347" s="768"/>
      <c r="H347" s="768"/>
      <c r="I347" s="768"/>
      <c r="J347" s="768"/>
      <c r="K347" s="768"/>
      <c r="L347" s="768"/>
      <c r="M347" s="768"/>
      <c r="N347" s="768"/>
      <c r="O347" s="768"/>
      <c r="P347" s="768"/>
      <c r="Q347" s="768"/>
      <c r="R347" s="768"/>
      <c r="S347" s="768"/>
      <c r="T347" s="768"/>
      <c r="U347" s="768"/>
      <c r="V347" s="768"/>
      <c r="W347" s="768"/>
      <c r="X347" s="768"/>
      <c r="Y347" s="768"/>
      <c r="Z347" s="768"/>
      <c r="AA347" s="768"/>
    </row>
    <row r="348" ht="30.0" customHeight="1">
      <c r="A348" s="768" t="str">
        <f t="array" ref="A348">XLOOKUP(C348,'High School Players'!D:D,'High School Players'!K:K,"NO",0,1)</f>
        <v>NO</v>
      </c>
      <c r="B348" s="768"/>
      <c r="C348" s="768"/>
      <c r="D348" s="768"/>
      <c r="E348" s="768"/>
      <c r="F348" s="768"/>
      <c r="G348" s="768"/>
      <c r="H348" s="768"/>
      <c r="I348" s="768"/>
      <c r="J348" s="768"/>
      <c r="K348" s="768"/>
      <c r="L348" s="768"/>
      <c r="M348" s="768"/>
      <c r="N348" s="768"/>
      <c r="O348" s="768"/>
      <c r="P348" s="768"/>
      <c r="Q348" s="768"/>
      <c r="R348" s="768"/>
      <c r="S348" s="768"/>
      <c r="T348" s="768"/>
      <c r="U348" s="768"/>
      <c r="V348" s="768"/>
      <c r="W348" s="768"/>
      <c r="X348" s="768"/>
      <c r="Y348" s="768"/>
      <c r="Z348" s="768"/>
      <c r="AA348" s="768"/>
    </row>
    <row r="349" ht="30.0" customHeight="1">
      <c r="A349" s="768" t="str">
        <f t="array" ref="A349">XLOOKUP(C349,'High School Players'!D:D,'High School Players'!K:K,"NO",0,1)</f>
        <v>NO</v>
      </c>
      <c r="B349" s="768"/>
      <c r="C349" s="768"/>
      <c r="D349" s="768"/>
      <c r="E349" s="768"/>
      <c r="F349" s="768"/>
      <c r="G349" s="768"/>
      <c r="H349" s="768"/>
      <c r="I349" s="768"/>
      <c r="J349" s="768"/>
      <c r="K349" s="768"/>
      <c r="L349" s="768"/>
      <c r="M349" s="768"/>
      <c r="N349" s="768"/>
      <c r="O349" s="768"/>
      <c r="P349" s="768"/>
      <c r="Q349" s="768"/>
      <c r="R349" s="768"/>
      <c r="S349" s="768"/>
      <c r="T349" s="768"/>
      <c r="U349" s="768"/>
      <c r="V349" s="768"/>
      <c r="W349" s="768"/>
      <c r="X349" s="768"/>
      <c r="Y349" s="768"/>
      <c r="Z349" s="768"/>
      <c r="AA349" s="768"/>
    </row>
    <row r="350" ht="30.0" customHeight="1">
      <c r="A350" s="768" t="str">
        <f t="array" ref="A350">XLOOKUP(C350,'High School Players'!D:D,'High School Players'!K:K,"NO",0,1)</f>
        <v>NO</v>
      </c>
      <c r="B350" s="768"/>
      <c r="C350" s="768"/>
      <c r="D350" s="768"/>
      <c r="E350" s="768"/>
      <c r="F350" s="768"/>
      <c r="G350" s="768"/>
      <c r="H350" s="768"/>
      <c r="I350" s="768"/>
      <c r="J350" s="768"/>
      <c r="K350" s="768"/>
      <c r="L350" s="768"/>
      <c r="M350" s="768"/>
      <c r="N350" s="768"/>
      <c r="O350" s="768"/>
      <c r="P350" s="768"/>
      <c r="Q350" s="768"/>
      <c r="R350" s="768"/>
      <c r="S350" s="768"/>
      <c r="T350" s="768"/>
      <c r="U350" s="768"/>
      <c r="V350" s="768"/>
      <c r="W350" s="768"/>
      <c r="X350" s="768"/>
      <c r="Y350" s="768"/>
      <c r="Z350" s="768"/>
      <c r="AA350" s="768"/>
    </row>
    <row r="351" ht="30.0" customHeight="1">
      <c r="A351" s="768" t="str">
        <f t="array" ref="A351">XLOOKUP(C351,'High School Players'!D:D,'High School Players'!K:K,"NO",0,1)</f>
        <v>NO</v>
      </c>
      <c r="B351" s="768"/>
      <c r="C351" s="768"/>
      <c r="D351" s="768"/>
      <c r="E351" s="768"/>
      <c r="F351" s="768"/>
      <c r="G351" s="768"/>
      <c r="H351" s="768"/>
      <c r="I351" s="768"/>
      <c r="J351" s="768"/>
      <c r="K351" s="768"/>
      <c r="L351" s="768"/>
      <c r="M351" s="768"/>
      <c r="N351" s="768"/>
      <c r="O351" s="768"/>
      <c r="P351" s="768"/>
      <c r="Q351" s="768"/>
      <c r="R351" s="768"/>
      <c r="S351" s="768"/>
      <c r="T351" s="768"/>
      <c r="U351" s="768"/>
      <c r="V351" s="768"/>
      <c r="W351" s="768"/>
      <c r="X351" s="768"/>
      <c r="Y351" s="768"/>
      <c r="Z351" s="768"/>
      <c r="AA351" s="768"/>
    </row>
    <row r="352" ht="30.0" customHeight="1">
      <c r="A352" s="768" t="str">
        <f t="array" ref="A352">XLOOKUP(C352,'High School Players'!D:D,'High School Players'!K:K,"NO",0,1)</f>
        <v>NO</v>
      </c>
      <c r="B352" s="768"/>
      <c r="C352" s="768"/>
      <c r="D352" s="768"/>
      <c r="E352" s="768"/>
      <c r="F352" s="768"/>
      <c r="G352" s="768"/>
      <c r="H352" s="768"/>
      <c r="I352" s="768"/>
      <c r="J352" s="768"/>
      <c r="K352" s="768"/>
      <c r="L352" s="768"/>
      <c r="M352" s="768"/>
      <c r="N352" s="768"/>
      <c r="O352" s="768"/>
      <c r="P352" s="768"/>
      <c r="Q352" s="768"/>
      <c r="R352" s="768"/>
      <c r="S352" s="768"/>
      <c r="T352" s="768"/>
      <c r="U352" s="768"/>
      <c r="V352" s="768"/>
      <c r="W352" s="768"/>
      <c r="X352" s="768"/>
      <c r="Y352" s="768"/>
      <c r="Z352" s="768"/>
      <c r="AA352" s="768"/>
    </row>
    <row r="353" ht="30.0" customHeight="1">
      <c r="A353" s="768" t="str">
        <f t="array" ref="A353">XLOOKUP(C353,'High School Players'!D:D,'High School Players'!K:K,"NO",0,1)</f>
        <v>NO</v>
      </c>
      <c r="B353" s="768"/>
      <c r="C353" s="768"/>
      <c r="D353" s="768"/>
      <c r="E353" s="768"/>
      <c r="F353" s="768"/>
      <c r="G353" s="768"/>
      <c r="H353" s="768"/>
      <c r="I353" s="768"/>
      <c r="J353" s="768"/>
      <c r="K353" s="768"/>
      <c r="L353" s="768"/>
      <c r="M353" s="768"/>
      <c r="N353" s="768"/>
      <c r="O353" s="768"/>
      <c r="P353" s="768"/>
      <c r="Q353" s="768"/>
      <c r="R353" s="768"/>
      <c r="S353" s="768"/>
      <c r="T353" s="768"/>
      <c r="U353" s="768"/>
      <c r="V353" s="768"/>
      <c r="W353" s="768"/>
      <c r="X353" s="768"/>
      <c r="Y353" s="768"/>
      <c r="Z353" s="768"/>
      <c r="AA353" s="768"/>
    </row>
    <row r="354" ht="30.0" customHeight="1">
      <c r="A354" s="768" t="str">
        <f t="array" ref="A354">XLOOKUP(C354,'High School Players'!D:D,'High School Players'!K:K,"NO",0,1)</f>
        <v>NO</v>
      </c>
      <c r="B354" s="768"/>
      <c r="C354" s="768"/>
      <c r="D354" s="768"/>
      <c r="E354" s="768"/>
      <c r="F354" s="768"/>
      <c r="G354" s="768"/>
      <c r="H354" s="768"/>
      <c r="I354" s="768"/>
      <c r="J354" s="768"/>
      <c r="K354" s="768"/>
      <c r="L354" s="768"/>
      <c r="M354" s="768"/>
      <c r="N354" s="768"/>
      <c r="O354" s="768"/>
      <c r="P354" s="768"/>
      <c r="Q354" s="768"/>
      <c r="R354" s="768"/>
      <c r="S354" s="768"/>
      <c r="T354" s="768"/>
      <c r="U354" s="768"/>
      <c r="V354" s="768"/>
      <c r="W354" s="768"/>
      <c r="X354" s="768"/>
      <c r="Y354" s="768"/>
      <c r="Z354" s="768"/>
      <c r="AA354" s="768"/>
    </row>
    <row r="355" ht="30.0" customHeight="1">
      <c r="A355" s="768" t="str">
        <f t="array" ref="A355">XLOOKUP(C355,'High School Players'!D:D,'High School Players'!K:K,"NO",0,1)</f>
        <v>NO</v>
      </c>
      <c r="B355" s="768"/>
      <c r="C355" s="768"/>
      <c r="D355" s="768"/>
      <c r="E355" s="768"/>
      <c r="F355" s="768"/>
      <c r="G355" s="768"/>
      <c r="H355" s="768"/>
      <c r="I355" s="768"/>
      <c r="J355" s="768"/>
      <c r="K355" s="768"/>
      <c r="L355" s="768"/>
      <c r="M355" s="768"/>
      <c r="N355" s="768"/>
      <c r="O355" s="768"/>
      <c r="P355" s="768"/>
      <c r="Q355" s="768"/>
      <c r="R355" s="768"/>
      <c r="S355" s="768"/>
      <c r="T355" s="768"/>
      <c r="U355" s="768"/>
      <c r="V355" s="768"/>
      <c r="W355" s="768"/>
      <c r="X355" s="768"/>
      <c r="Y355" s="768"/>
      <c r="Z355" s="768"/>
      <c r="AA355" s="768"/>
    </row>
    <row r="356" ht="30.0" customHeight="1">
      <c r="A356" s="768" t="str">
        <f t="array" ref="A356">XLOOKUP(C356,'High School Players'!D:D,'High School Players'!K:K,"NO",0,1)</f>
        <v>NO</v>
      </c>
      <c r="B356" s="768"/>
      <c r="C356" s="768"/>
      <c r="D356" s="768"/>
      <c r="E356" s="768"/>
      <c r="F356" s="768"/>
      <c r="G356" s="768"/>
      <c r="H356" s="768"/>
      <c r="I356" s="768"/>
      <c r="J356" s="768"/>
      <c r="K356" s="768"/>
      <c r="L356" s="768"/>
      <c r="M356" s="768"/>
      <c r="N356" s="768"/>
      <c r="O356" s="768"/>
      <c r="P356" s="768"/>
      <c r="Q356" s="768"/>
      <c r="R356" s="768"/>
      <c r="S356" s="768"/>
      <c r="T356" s="768"/>
      <c r="U356" s="768"/>
      <c r="V356" s="768"/>
      <c r="W356" s="768"/>
      <c r="X356" s="768"/>
      <c r="Y356" s="768"/>
      <c r="Z356" s="768"/>
      <c r="AA356" s="768"/>
    </row>
    <row r="357" ht="30.0" customHeight="1">
      <c r="A357" s="768" t="str">
        <f t="array" ref="A357">XLOOKUP(C357,'High School Players'!D:D,'High School Players'!K:K,"NO",0,1)</f>
        <v>NO</v>
      </c>
      <c r="B357" s="768"/>
      <c r="C357" s="768"/>
      <c r="D357" s="768"/>
      <c r="E357" s="768"/>
      <c r="F357" s="768"/>
      <c r="G357" s="768"/>
      <c r="H357" s="768"/>
      <c r="I357" s="768"/>
      <c r="J357" s="768"/>
      <c r="K357" s="768"/>
      <c r="L357" s="768"/>
      <c r="M357" s="768"/>
      <c r="N357" s="768"/>
      <c r="O357" s="768"/>
      <c r="P357" s="768"/>
      <c r="Q357" s="768"/>
      <c r="R357" s="768"/>
      <c r="S357" s="768"/>
      <c r="T357" s="768"/>
      <c r="U357" s="768"/>
      <c r="V357" s="768"/>
      <c r="W357" s="768"/>
      <c r="X357" s="768"/>
      <c r="Y357" s="768"/>
      <c r="Z357" s="768"/>
      <c r="AA357" s="768"/>
    </row>
    <row r="358" ht="30.0" customHeight="1">
      <c r="A358" s="768" t="str">
        <f t="array" ref="A358">XLOOKUP(C358,'High School Players'!D:D,'High School Players'!K:K,"NO",0,1)</f>
        <v>NO</v>
      </c>
      <c r="B358" s="768"/>
      <c r="C358" s="768"/>
      <c r="D358" s="768"/>
      <c r="E358" s="768"/>
      <c r="F358" s="768"/>
      <c r="G358" s="768"/>
      <c r="H358" s="768"/>
      <c r="I358" s="768"/>
      <c r="J358" s="768"/>
      <c r="K358" s="768"/>
      <c r="L358" s="768"/>
      <c r="M358" s="768"/>
      <c r="N358" s="768"/>
      <c r="O358" s="768"/>
      <c r="P358" s="768"/>
      <c r="Q358" s="768"/>
      <c r="R358" s="768"/>
      <c r="S358" s="768"/>
      <c r="T358" s="768"/>
      <c r="U358" s="768"/>
      <c r="V358" s="768"/>
      <c r="W358" s="768"/>
      <c r="X358" s="768"/>
      <c r="Y358" s="768"/>
      <c r="Z358" s="768"/>
      <c r="AA358" s="768"/>
    </row>
    <row r="359" ht="30.0" customHeight="1">
      <c r="A359" s="768" t="str">
        <f t="array" ref="A359">XLOOKUP(C359,'High School Players'!D:D,'High School Players'!K:K,"NO",0,1)</f>
        <v>NO</v>
      </c>
      <c r="B359" s="768"/>
      <c r="C359" s="768"/>
      <c r="D359" s="768"/>
      <c r="E359" s="768"/>
      <c r="F359" s="768"/>
      <c r="G359" s="768"/>
      <c r="H359" s="768"/>
      <c r="I359" s="768"/>
      <c r="J359" s="768"/>
      <c r="K359" s="768"/>
      <c r="L359" s="768"/>
      <c r="M359" s="768"/>
      <c r="N359" s="768"/>
      <c r="O359" s="768"/>
      <c r="P359" s="768"/>
      <c r="Q359" s="768"/>
      <c r="R359" s="768"/>
      <c r="S359" s="768"/>
      <c r="T359" s="768"/>
      <c r="U359" s="768"/>
      <c r="V359" s="768"/>
      <c r="W359" s="768"/>
      <c r="X359" s="768"/>
      <c r="Y359" s="768"/>
      <c r="Z359" s="768"/>
      <c r="AA359" s="768"/>
    </row>
    <row r="360" ht="30.0" customHeight="1">
      <c r="A360" s="768" t="str">
        <f t="array" ref="A360">XLOOKUP(C360,'High School Players'!D:D,'High School Players'!K:K,"NO",0,1)</f>
        <v>NO</v>
      </c>
      <c r="B360" s="768"/>
      <c r="C360" s="768"/>
      <c r="D360" s="768"/>
      <c r="E360" s="768"/>
      <c r="F360" s="768"/>
      <c r="G360" s="768"/>
      <c r="H360" s="768"/>
      <c r="I360" s="768"/>
      <c r="J360" s="768"/>
      <c r="K360" s="768"/>
      <c r="L360" s="768"/>
      <c r="M360" s="768"/>
      <c r="N360" s="768"/>
      <c r="O360" s="768"/>
      <c r="P360" s="768"/>
      <c r="Q360" s="768"/>
      <c r="R360" s="768"/>
      <c r="S360" s="768"/>
      <c r="T360" s="768"/>
      <c r="U360" s="768"/>
      <c r="V360" s="768"/>
      <c r="W360" s="768"/>
      <c r="X360" s="768"/>
      <c r="Y360" s="768"/>
      <c r="Z360" s="768"/>
      <c r="AA360" s="768"/>
    </row>
    <row r="361" ht="30.0" customHeight="1">
      <c r="A361" s="768" t="str">
        <f t="array" ref="A361">XLOOKUP(C361,'High School Players'!D:D,'High School Players'!K:K,"NO",0,1)</f>
        <v>NO</v>
      </c>
      <c r="B361" s="768"/>
      <c r="C361" s="768"/>
      <c r="D361" s="768"/>
      <c r="E361" s="768"/>
      <c r="F361" s="768"/>
      <c r="G361" s="768"/>
      <c r="H361" s="768"/>
      <c r="I361" s="768"/>
      <c r="J361" s="768"/>
      <c r="K361" s="768"/>
      <c r="L361" s="768"/>
      <c r="M361" s="768"/>
      <c r="N361" s="768"/>
      <c r="O361" s="768"/>
      <c r="P361" s="768"/>
      <c r="Q361" s="768"/>
      <c r="R361" s="768"/>
      <c r="S361" s="768"/>
      <c r="T361" s="768"/>
      <c r="U361" s="768"/>
      <c r="V361" s="768"/>
      <c r="W361" s="768"/>
      <c r="X361" s="768"/>
      <c r="Y361" s="768"/>
      <c r="Z361" s="768"/>
      <c r="AA361" s="768"/>
    </row>
    <row r="362" ht="30.0" customHeight="1">
      <c r="A362" s="768" t="str">
        <f t="array" ref="A362">XLOOKUP(C362,'High School Players'!D:D,'High School Players'!K:K,"NO",0,1)</f>
        <v>NO</v>
      </c>
      <c r="B362" s="768"/>
      <c r="C362" s="768"/>
      <c r="D362" s="768"/>
      <c r="E362" s="768"/>
      <c r="F362" s="768"/>
      <c r="G362" s="768"/>
      <c r="H362" s="768"/>
      <c r="I362" s="768"/>
      <c r="J362" s="768"/>
      <c r="K362" s="768"/>
      <c r="L362" s="768"/>
      <c r="M362" s="768"/>
      <c r="N362" s="768"/>
      <c r="O362" s="768"/>
      <c r="P362" s="768"/>
      <c r="Q362" s="768"/>
      <c r="R362" s="768"/>
      <c r="S362" s="768"/>
      <c r="T362" s="768"/>
      <c r="U362" s="768"/>
      <c r="V362" s="768"/>
      <c r="W362" s="768"/>
      <c r="X362" s="768"/>
      <c r="Y362" s="768"/>
      <c r="Z362" s="768"/>
      <c r="AA362" s="768"/>
    </row>
    <row r="363" ht="30.0" customHeight="1">
      <c r="A363" s="768" t="str">
        <f t="array" ref="A363">XLOOKUP(C363,'High School Players'!D:D,'High School Players'!K:K,"NO",0,1)</f>
        <v>NO</v>
      </c>
      <c r="B363" s="768"/>
      <c r="C363" s="768"/>
      <c r="D363" s="768"/>
      <c r="E363" s="768"/>
      <c r="F363" s="768"/>
      <c r="G363" s="768"/>
      <c r="H363" s="768"/>
      <c r="I363" s="768"/>
      <c r="J363" s="768"/>
      <c r="K363" s="768"/>
      <c r="L363" s="768"/>
      <c r="M363" s="768"/>
      <c r="N363" s="768"/>
      <c r="O363" s="768"/>
      <c r="P363" s="768"/>
      <c r="Q363" s="768"/>
      <c r="R363" s="768"/>
      <c r="S363" s="768"/>
      <c r="T363" s="768"/>
      <c r="U363" s="768"/>
      <c r="V363" s="768"/>
      <c r="W363" s="768"/>
      <c r="X363" s="768"/>
      <c r="Y363" s="768"/>
      <c r="Z363" s="768"/>
      <c r="AA363" s="768"/>
    </row>
    <row r="364" ht="30.0" customHeight="1">
      <c r="A364" s="768" t="str">
        <f t="array" ref="A364">XLOOKUP(C364,'High School Players'!D:D,'High School Players'!K:K,"NO",0,1)</f>
        <v>NO</v>
      </c>
      <c r="B364" s="768"/>
      <c r="C364" s="768"/>
      <c r="D364" s="768"/>
      <c r="E364" s="768"/>
      <c r="F364" s="768"/>
      <c r="G364" s="768"/>
      <c r="H364" s="768"/>
      <c r="I364" s="768"/>
      <c r="J364" s="768"/>
      <c r="K364" s="768"/>
      <c r="L364" s="768"/>
      <c r="M364" s="768"/>
      <c r="N364" s="768"/>
      <c r="O364" s="768"/>
      <c r="P364" s="768"/>
      <c r="Q364" s="768"/>
      <c r="R364" s="768"/>
      <c r="S364" s="768"/>
      <c r="T364" s="768"/>
      <c r="U364" s="768"/>
      <c r="V364" s="768"/>
      <c r="W364" s="768"/>
      <c r="X364" s="768"/>
      <c r="Y364" s="768"/>
      <c r="Z364" s="768"/>
      <c r="AA364" s="768"/>
    </row>
    <row r="365" ht="30.0" customHeight="1">
      <c r="A365" s="768" t="str">
        <f t="array" ref="A365">XLOOKUP(C365,'High School Players'!D:D,'High School Players'!K:K,"NO",0,1)</f>
        <v>NO</v>
      </c>
      <c r="B365" s="768"/>
      <c r="C365" s="768"/>
      <c r="D365" s="768"/>
      <c r="E365" s="768"/>
      <c r="F365" s="768"/>
      <c r="G365" s="768"/>
      <c r="H365" s="768"/>
      <c r="I365" s="768"/>
      <c r="J365" s="768"/>
      <c r="K365" s="768"/>
      <c r="L365" s="768"/>
      <c r="M365" s="768"/>
      <c r="N365" s="768"/>
      <c r="O365" s="768"/>
      <c r="P365" s="768"/>
      <c r="Q365" s="768"/>
      <c r="R365" s="768"/>
      <c r="S365" s="768"/>
      <c r="T365" s="768"/>
      <c r="U365" s="768"/>
      <c r="V365" s="768"/>
      <c r="W365" s="768"/>
      <c r="X365" s="768"/>
      <c r="Y365" s="768"/>
      <c r="Z365" s="768"/>
      <c r="AA365" s="768"/>
    </row>
    <row r="366" ht="30.0" customHeight="1">
      <c r="A366" s="768" t="str">
        <f t="array" ref="A366">XLOOKUP(C366,'High School Players'!D:D,'High School Players'!K:K,"NO",0,1)</f>
        <v>NO</v>
      </c>
      <c r="B366" s="768"/>
      <c r="C366" s="768"/>
      <c r="D366" s="768"/>
      <c r="E366" s="768"/>
      <c r="F366" s="768"/>
      <c r="G366" s="768"/>
      <c r="H366" s="768"/>
      <c r="I366" s="768"/>
      <c r="J366" s="768"/>
      <c r="K366" s="768"/>
      <c r="L366" s="768"/>
      <c r="M366" s="768"/>
      <c r="N366" s="768"/>
      <c r="O366" s="768"/>
      <c r="P366" s="768"/>
      <c r="Q366" s="768"/>
      <c r="R366" s="768"/>
      <c r="S366" s="768"/>
      <c r="T366" s="768"/>
      <c r="U366" s="768"/>
      <c r="V366" s="768"/>
      <c r="W366" s="768"/>
      <c r="X366" s="768"/>
      <c r="Y366" s="768"/>
      <c r="Z366" s="768"/>
      <c r="AA366" s="768"/>
    </row>
    <row r="367" ht="30.0" customHeight="1">
      <c r="A367" s="768" t="str">
        <f t="array" ref="A367">XLOOKUP(C367,'High School Players'!D:D,'High School Players'!K:K,"NO",0,1)</f>
        <v>NO</v>
      </c>
      <c r="B367" s="768"/>
      <c r="C367" s="768"/>
      <c r="D367" s="768"/>
      <c r="E367" s="768"/>
      <c r="F367" s="768"/>
      <c r="G367" s="768"/>
      <c r="H367" s="768"/>
      <c r="I367" s="768"/>
      <c r="J367" s="768"/>
      <c r="K367" s="768"/>
      <c r="L367" s="768"/>
      <c r="M367" s="768"/>
      <c r="N367" s="768"/>
      <c r="O367" s="768"/>
      <c r="P367" s="768"/>
      <c r="Q367" s="768"/>
      <c r="R367" s="768"/>
      <c r="S367" s="768"/>
      <c r="T367" s="768"/>
      <c r="U367" s="768"/>
      <c r="V367" s="768"/>
      <c r="W367" s="768"/>
      <c r="X367" s="768"/>
      <c r="Y367" s="768"/>
      <c r="Z367" s="768"/>
      <c r="AA367" s="768"/>
    </row>
    <row r="368" ht="30.0" customHeight="1">
      <c r="A368" s="768" t="str">
        <f t="array" ref="A368">XLOOKUP(C368,'High School Players'!D:D,'High School Players'!K:K,"NO",0,1)</f>
        <v>NO</v>
      </c>
      <c r="B368" s="768"/>
      <c r="C368" s="768"/>
      <c r="D368" s="768"/>
      <c r="E368" s="768"/>
      <c r="F368" s="768"/>
      <c r="G368" s="768"/>
      <c r="H368" s="768"/>
      <c r="I368" s="768"/>
      <c r="J368" s="768"/>
      <c r="K368" s="768"/>
      <c r="L368" s="768"/>
      <c r="M368" s="768"/>
      <c r="N368" s="768"/>
      <c r="O368" s="768"/>
      <c r="P368" s="768"/>
      <c r="Q368" s="768"/>
      <c r="R368" s="768"/>
      <c r="S368" s="768"/>
      <c r="T368" s="768"/>
      <c r="U368" s="768"/>
      <c r="V368" s="768"/>
      <c r="W368" s="768"/>
      <c r="X368" s="768"/>
      <c r="Y368" s="768"/>
      <c r="Z368" s="768"/>
      <c r="AA368" s="768"/>
    </row>
    <row r="369" ht="30.0" customHeight="1">
      <c r="A369" s="768" t="str">
        <f t="array" ref="A369">XLOOKUP(C369,'High School Players'!D:D,'High School Players'!K:K,"NO",0,1)</f>
        <v>NO</v>
      </c>
      <c r="B369" s="768"/>
      <c r="C369" s="768"/>
      <c r="D369" s="768"/>
      <c r="E369" s="768"/>
      <c r="F369" s="768"/>
      <c r="G369" s="768"/>
      <c r="H369" s="768"/>
      <c r="I369" s="768"/>
      <c r="J369" s="768"/>
      <c r="K369" s="768"/>
      <c r="L369" s="768"/>
      <c r="M369" s="768"/>
      <c r="N369" s="768"/>
      <c r="O369" s="768"/>
      <c r="P369" s="768"/>
      <c r="Q369" s="768"/>
      <c r="R369" s="768"/>
      <c r="S369" s="768"/>
      <c r="T369" s="768"/>
      <c r="U369" s="768"/>
      <c r="V369" s="768"/>
      <c r="W369" s="768"/>
      <c r="X369" s="768"/>
      <c r="Y369" s="768"/>
      <c r="Z369" s="768"/>
      <c r="AA369" s="768"/>
    </row>
    <row r="370" ht="30.0" customHeight="1">
      <c r="A370" s="768" t="str">
        <f t="array" ref="A370">XLOOKUP(C370,'High School Players'!D:D,'High School Players'!K:K,"NO",0,1)</f>
        <v>NO</v>
      </c>
      <c r="B370" s="768"/>
      <c r="C370" s="768"/>
      <c r="D370" s="768"/>
      <c r="E370" s="768"/>
      <c r="F370" s="768"/>
      <c r="G370" s="768"/>
      <c r="H370" s="768"/>
      <c r="I370" s="768"/>
      <c r="J370" s="768"/>
      <c r="K370" s="768"/>
      <c r="L370" s="768"/>
      <c r="M370" s="768"/>
      <c r="N370" s="768"/>
      <c r="O370" s="768"/>
      <c r="P370" s="768"/>
      <c r="Q370" s="768"/>
      <c r="R370" s="768"/>
      <c r="S370" s="768"/>
      <c r="T370" s="768"/>
      <c r="U370" s="768"/>
      <c r="V370" s="768"/>
      <c r="W370" s="768"/>
      <c r="X370" s="768"/>
      <c r="Y370" s="768"/>
      <c r="Z370" s="768"/>
      <c r="AA370" s="768"/>
    </row>
    <row r="371" ht="30.0" customHeight="1">
      <c r="A371" s="768" t="str">
        <f t="array" ref="A371">XLOOKUP(C371,'High School Players'!D:D,'High School Players'!K:K,"NO",0,1)</f>
        <v>NO</v>
      </c>
      <c r="B371" s="768"/>
      <c r="C371" s="768"/>
      <c r="D371" s="768"/>
      <c r="E371" s="768"/>
      <c r="F371" s="768"/>
      <c r="G371" s="768"/>
      <c r="H371" s="768"/>
      <c r="I371" s="768"/>
      <c r="J371" s="768"/>
      <c r="K371" s="768"/>
      <c r="L371" s="768"/>
      <c r="M371" s="768"/>
      <c r="N371" s="768"/>
      <c r="O371" s="768"/>
      <c r="P371" s="768"/>
      <c r="Q371" s="768"/>
      <c r="R371" s="768"/>
      <c r="S371" s="768"/>
      <c r="T371" s="768"/>
      <c r="U371" s="768"/>
      <c r="V371" s="768"/>
      <c r="W371" s="768"/>
      <c r="X371" s="768"/>
      <c r="Y371" s="768"/>
      <c r="Z371" s="768"/>
      <c r="AA371" s="768"/>
    </row>
    <row r="372" ht="30.0" customHeight="1">
      <c r="A372" s="768" t="str">
        <f t="array" ref="A372">XLOOKUP(C372,'High School Players'!D:D,'High School Players'!K:K,"NO",0,1)</f>
        <v>NO</v>
      </c>
      <c r="B372" s="768"/>
      <c r="C372" s="768"/>
      <c r="D372" s="768"/>
      <c r="E372" s="768"/>
      <c r="F372" s="768"/>
      <c r="G372" s="768"/>
      <c r="H372" s="768"/>
      <c r="I372" s="768"/>
      <c r="J372" s="768"/>
      <c r="K372" s="768"/>
      <c r="L372" s="768"/>
      <c r="M372" s="768"/>
      <c r="N372" s="768"/>
      <c r="O372" s="768"/>
      <c r="P372" s="768"/>
      <c r="Q372" s="768"/>
      <c r="R372" s="768"/>
      <c r="S372" s="768"/>
      <c r="T372" s="768"/>
      <c r="U372" s="768"/>
      <c r="V372" s="768"/>
      <c r="W372" s="768"/>
      <c r="X372" s="768"/>
      <c r="Y372" s="768"/>
      <c r="Z372" s="768"/>
      <c r="AA372" s="768"/>
    </row>
    <row r="373" ht="30.0" customHeight="1">
      <c r="A373" s="768" t="str">
        <f t="array" ref="A373">XLOOKUP(C373,'High School Players'!D:D,'High School Players'!K:K,"NO",0,1)</f>
        <v>NO</v>
      </c>
      <c r="B373" s="768"/>
      <c r="C373" s="768"/>
      <c r="D373" s="768"/>
      <c r="E373" s="768"/>
      <c r="F373" s="768"/>
      <c r="G373" s="768"/>
      <c r="H373" s="768"/>
      <c r="I373" s="768"/>
      <c r="J373" s="768"/>
      <c r="K373" s="768"/>
      <c r="L373" s="768"/>
      <c r="M373" s="768"/>
      <c r="N373" s="768"/>
      <c r="O373" s="768"/>
      <c r="P373" s="768"/>
      <c r="Q373" s="768"/>
      <c r="R373" s="768"/>
      <c r="S373" s="768"/>
      <c r="T373" s="768"/>
      <c r="U373" s="768"/>
      <c r="V373" s="768"/>
      <c r="W373" s="768"/>
      <c r="X373" s="768"/>
      <c r="Y373" s="768"/>
      <c r="Z373" s="768"/>
      <c r="AA373" s="768"/>
    </row>
    <row r="374" ht="30.0" customHeight="1">
      <c r="A374" s="768" t="str">
        <f t="array" ref="A374">XLOOKUP(C374,'High School Players'!D:D,'High School Players'!K:K,"NO",0,1)</f>
        <v>NO</v>
      </c>
      <c r="B374" s="768"/>
      <c r="C374" s="768"/>
      <c r="D374" s="768"/>
      <c r="E374" s="768"/>
      <c r="F374" s="768"/>
      <c r="G374" s="768"/>
      <c r="H374" s="768"/>
      <c r="I374" s="768"/>
      <c r="J374" s="768"/>
      <c r="K374" s="768"/>
      <c r="L374" s="768"/>
      <c r="M374" s="768"/>
      <c r="N374" s="768"/>
      <c r="O374" s="768"/>
      <c r="P374" s="768"/>
      <c r="Q374" s="768"/>
      <c r="R374" s="768"/>
      <c r="S374" s="768"/>
      <c r="T374" s="768"/>
      <c r="U374" s="768"/>
      <c r="V374" s="768"/>
      <c r="W374" s="768"/>
      <c r="X374" s="768"/>
      <c r="Y374" s="768"/>
      <c r="Z374" s="768"/>
      <c r="AA374" s="768"/>
    </row>
    <row r="375" ht="30.0" customHeight="1">
      <c r="A375" s="768" t="str">
        <f t="array" ref="A375">XLOOKUP(C375,'High School Players'!D:D,'High School Players'!K:K,"NO",0,1)</f>
        <v>NO</v>
      </c>
      <c r="B375" s="768"/>
      <c r="C375" s="768"/>
      <c r="D375" s="768"/>
      <c r="E375" s="768"/>
      <c r="F375" s="768"/>
      <c r="G375" s="768"/>
      <c r="H375" s="768"/>
      <c r="I375" s="768"/>
      <c r="J375" s="768"/>
      <c r="K375" s="768"/>
      <c r="L375" s="768"/>
      <c r="M375" s="768"/>
      <c r="N375" s="768"/>
      <c r="O375" s="768"/>
      <c r="P375" s="768"/>
      <c r="Q375" s="768"/>
      <c r="R375" s="768"/>
      <c r="S375" s="768"/>
      <c r="T375" s="768"/>
      <c r="U375" s="768"/>
      <c r="V375" s="768"/>
      <c r="W375" s="768"/>
      <c r="X375" s="768"/>
      <c r="Y375" s="768"/>
      <c r="Z375" s="768"/>
      <c r="AA375" s="768"/>
    </row>
    <row r="376" ht="30.0" customHeight="1">
      <c r="A376" s="768" t="str">
        <f t="array" ref="A376">XLOOKUP(C376,'High School Players'!D:D,'High School Players'!K:K,"NO",0,1)</f>
        <v>NO</v>
      </c>
      <c r="B376" s="768"/>
      <c r="C376" s="768"/>
      <c r="D376" s="768"/>
      <c r="E376" s="768"/>
      <c r="F376" s="768"/>
      <c r="G376" s="768"/>
      <c r="H376" s="768"/>
      <c r="I376" s="768"/>
      <c r="J376" s="768"/>
      <c r="K376" s="768"/>
      <c r="L376" s="768"/>
      <c r="M376" s="768"/>
      <c r="N376" s="768"/>
      <c r="O376" s="768"/>
      <c r="P376" s="768"/>
      <c r="Q376" s="768"/>
      <c r="R376" s="768"/>
      <c r="S376" s="768"/>
      <c r="T376" s="768"/>
      <c r="U376" s="768"/>
      <c r="V376" s="768"/>
      <c r="W376" s="768"/>
      <c r="X376" s="768"/>
      <c r="Y376" s="768"/>
      <c r="Z376" s="768"/>
      <c r="AA376" s="768"/>
    </row>
    <row r="377" ht="30.0" customHeight="1">
      <c r="A377" s="768" t="str">
        <f t="array" ref="A377">XLOOKUP(C377,'High School Players'!D:D,'High School Players'!K:K,"NO",0,1)</f>
        <v>NO</v>
      </c>
      <c r="B377" s="768"/>
      <c r="C377" s="768"/>
      <c r="D377" s="768"/>
      <c r="E377" s="768"/>
      <c r="F377" s="768"/>
      <c r="G377" s="768"/>
      <c r="H377" s="768"/>
      <c r="I377" s="768"/>
      <c r="J377" s="768"/>
      <c r="K377" s="768"/>
      <c r="L377" s="768"/>
      <c r="M377" s="768"/>
      <c r="N377" s="768"/>
      <c r="O377" s="768"/>
      <c r="P377" s="768"/>
      <c r="Q377" s="768"/>
      <c r="R377" s="768"/>
      <c r="S377" s="768"/>
      <c r="T377" s="768"/>
      <c r="U377" s="768"/>
      <c r="V377" s="768"/>
      <c r="W377" s="768"/>
      <c r="X377" s="768"/>
      <c r="Y377" s="768"/>
      <c r="Z377" s="768"/>
      <c r="AA377" s="768"/>
    </row>
    <row r="378" ht="30.0" customHeight="1">
      <c r="A378" s="768" t="str">
        <f t="array" ref="A378">XLOOKUP(C378,'High School Players'!D:D,'High School Players'!K:K,"NO",0,1)</f>
        <v>NO</v>
      </c>
      <c r="B378" s="768"/>
      <c r="C378" s="768"/>
      <c r="D378" s="768"/>
      <c r="E378" s="768"/>
      <c r="F378" s="768"/>
      <c r="G378" s="768"/>
      <c r="H378" s="768"/>
      <c r="I378" s="768"/>
      <c r="J378" s="768"/>
      <c r="K378" s="768"/>
      <c r="L378" s="768"/>
      <c r="M378" s="768"/>
      <c r="N378" s="768"/>
      <c r="O378" s="768"/>
      <c r="P378" s="768"/>
      <c r="Q378" s="768"/>
      <c r="R378" s="768"/>
      <c r="S378" s="768"/>
      <c r="T378" s="768"/>
      <c r="U378" s="768"/>
      <c r="V378" s="768"/>
      <c r="W378" s="768"/>
      <c r="X378" s="768"/>
      <c r="Y378" s="768"/>
      <c r="Z378" s="768"/>
      <c r="AA378" s="768"/>
    </row>
    <row r="379" ht="30.0" customHeight="1">
      <c r="A379" s="768" t="str">
        <f t="array" ref="A379">XLOOKUP(C379,'High School Players'!D:D,'High School Players'!K:K,"NO",0,1)</f>
        <v>NO</v>
      </c>
      <c r="B379" s="768"/>
      <c r="C379" s="768"/>
      <c r="D379" s="768"/>
      <c r="E379" s="768"/>
      <c r="F379" s="768"/>
      <c r="G379" s="768"/>
      <c r="H379" s="768"/>
      <c r="I379" s="768"/>
      <c r="J379" s="768"/>
      <c r="K379" s="768"/>
      <c r="L379" s="768"/>
      <c r="M379" s="768"/>
      <c r="N379" s="768"/>
      <c r="O379" s="768"/>
      <c r="P379" s="768"/>
      <c r="Q379" s="768"/>
      <c r="R379" s="768"/>
      <c r="S379" s="768"/>
      <c r="T379" s="768"/>
      <c r="U379" s="768"/>
      <c r="V379" s="768"/>
      <c r="W379" s="768"/>
      <c r="X379" s="768"/>
      <c r="Y379" s="768"/>
      <c r="Z379" s="768"/>
      <c r="AA379" s="768"/>
    </row>
    <row r="380" ht="30.0" customHeight="1">
      <c r="A380" s="768" t="str">
        <f t="array" ref="A380">XLOOKUP(C380,'High School Players'!D:D,'High School Players'!K:K,"NO",0,1)</f>
        <v>NO</v>
      </c>
      <c r="B380" s="768"/>
      <c r="C380" s="768"/>
      <c r="D380" s="768"/>
      <c r="E380" s="768"/>
      <c r="F380" s="768"/>
      <c r="G380" s="768"/>
      <c r="H380" s="768"/>
      <c r="I380" s="768"/>
      <c r="J380" s="768"/>
      <c r="K380" s="768"/>
      <c r="L380" s="768"/>
      <c r="M380" s="768"/>
      <c r="N380" s="768"/>
      <c r="O380" s="768"/>
      <c r="P380" s="768"/>
      <c r="Q380" s="768"/>
      <c r="R380" s="768"/>
      <c r="S380" s="768"/>
      <c r="T380" s="768"/>
      <c r="U380" s="768"/>
      <c r="V380" s="768"/>
      <c r="W380" s="768"/>
      <c r="X380" s="768"/>
      <c r="Y380" s="768"/>
      <c r="Z380" s="768"/>
      <c r="AA380" s="768"/>
    </row>
    <row r="381" ht="30.0" customHeight="1">
      <c r="A381" s="768" t="str">
        <f t="array" ref="A381">XLOOKUP(C381,'High School Players'!D:D,'High School Players'!K:K,"NO",0,1)</f>
        <v>NO</v>
      </c>
      <c r="B381" s="768"/>
      <c r="C381" s="768"/>
      <c r="D381" s="768"/>
      <c r="E381" s="768"/>
      <c r="F381" s="768"/>
      <c r="G381" s="768"/>
      <c r="H381" s="768"/>
      <c r="I381" s="768"/>
      <c r="J381" s="768"/>
      <c r="K381" s="768"/>
      <c r="L381" s="768"/>
      <c r="M381" s="768"/>
      <c r="N381" s="768"/>
      <c r="O381" s="768"/>
      <c r="P381" s="768"/>
      <c r="Q381" s="768"/>
      <c r="R381" s="768"/>
      <c r="S381" s="768"/>
      <c r="T381" s="768"/>
      <c r="U381" s="768"/>
      <c r="V381" s="768"/>
      <c r="W381" s="768"/>
      <c r="X381" s="768"/>
      <c r="Y381" s="768"/>
      <c r="Z381" s="768"/>
      <c r="AA381" s="768"/>
    </row>
    <row r="382" ht="30.0" customHeight="1">
      <c r="A382" s="768" t="str">
        <f t="array" ref="A382">XLOOKUP(C382,'High School Players'!D:D,'High School Players'!K:K,"NO",0,1)</f>
        <v>NO</v>
      </c>
      <c r="B382" s="768"/>
      <c r="C382" s="768"/>
      <c r="D382" s="768"/>
      <c r="E382" s="768"/>
      <c r="F382" s="768"/>
      <c r="G382" s="768"/>
      <c r="H382" s="768"/>
      <c r="I382" s="768"/>
      <c r="J382" s="768"/>
      <c r="K382" s="768"/>
      <c r="L382" s="768"/>
      <c r="M382" s="768"/>
      <c r="N382" s="768"/>
      <c r="O382" s="768"/>
      <c r="P382" s="768"/>
      <c r="Q382" s="768"/>
      <c r="R382" s="768"/>
      <c r="S382" s="768"/>
      <c r="T382" s="768"/>
      <c r="U382" s="768"/>
      <c r="V382" s="768"/>
      <c r="W382" s="768"/>
      <c r="X382" s="768"/>
      <c r="Y382" s="768"/>
      <c r="Z382" s="768"/>
      <c r="AA382" s="768"/>
    </row>
    <row r="383" ht="30.0" customHeight="1">
      <c r="A383" s="768" t="str">
        <f t="array" ref="A383">XLOOKUP(C383,'High School Players'!D:D,'High School Players'!K:K,"NO",0,1)</f>
        <v>NO</v>
      </c>
      <c r="B383" s="768"/>
      <c r="C383" s="768"/>
      <c r="D383" s="768"/>
      <c r="E383" s="768"/>
      <c r="F383" s="768"/>
      <c r="G383" s="768"/>
      <c r="H383" s="768"/>
      <c r="I383" s="768"/>
      <c r="J383" s="768"/>
      <c r="K383" s="768"/>
      <c r="L383" s="768"/>
      <c r="M383" s="768"/>
      <c r="N383" s="768"/>
      <c r="O383" s="768"/>
      <c r="P383" s="768"/>
      <c r="Q383" s="768"/>
      <c r="R383" s="768"/>
      <c r="S383" s="768"/>
      <c r="T383" s="768"/>
      <c r="U383" s="768"/>
      <c r="V383" s="768"/>
      <c r="W383" s="768"/>
      <c r="X383" s="768"/>
      <c r="Y383" s="768"/>
      <c r="Z383" s="768"/>
      <c r="AA383" s="768"/>
    </row>
    <row r="384" ht="30.0" customHeight="1">
      <c r="A384" s="768" t="str">
        <f t="array" ref="A384">XLOOKUP(C384,'High School Players'!D:D,'High School Players'!K:K,"NO",0,1)</f>
        <v>NO</v>
      </c>
      <c r="B384" s="768"/>
      <c r="C384" s="768"/>
      <c r="D384" s="768"/>
      <c r="E384" s="768"/>
      <c r="F384" s="768"/>
      <c r="G384" s="768"/>
      <c r="H384" s="768"/>
      <c r="I384" s="768"/>
      <c r="J384" s="768"/>
      <c r="K384" s="768"/>
      <c r="L384" s="768"/>
      <c r="M384" s="768"/>
      <c r="N384" s="768"/>
      <c r="O384" s="768"/>
      <c r="P384" s="768"/>
      <c r="Q384" s="768"/>
      <c r="R384" s="768"/>
      <c r="S384" s="768"/>
      <c r="T384" s="768"/>
      <c r="U384" s="768"/>
      <c r="V384" s="768"/>
      <c r="W384" s="768"/>
      <c r="X384" s="768"/>
      <c r="Y384" s="768"/>
      <c r="Z384" s="768"/>
      <c r="AA384" s="768"/>
    </row>
    <row r="385" ht="30.0" customHeight="1">
      <c r="A385" s="768" t="str">
        <f t="array" ref="A385">XLOOKUP(C385,'High School Players'!D:D,'High School Players'!K:K,"NO",0,1)</f>
        <v>NO</v>
      </c>
      <c r="B385" s="768"/>
      <c r="C385" s="768"/>
      <c r="D385" s="768"/>
      <c r="E385" s="768"/>
      <c r="F385" s="768"/>
      <c r="G385" s="768"/>
      <c r="H385" s="768"/>
      <c r="I385" s="768"/>
      <c r="J385" s="768"/>
      <c r="K385" s="768"/>
      <c r="L385" s="768"/>
      <c r="M385" s="768"/>
      <c r="N385" s="768"/>
      <c r="O385" s="768"/>
      <c r="P385" s="768"/>
      <c r="Q385" s="768"/>
      <c r="R385" s="768"/>
      <c r="S385" s="768"/>
      <c r="T385" s="768"/>
      <c r="U385" s="768"/>
      <c r="V385" s="768"/>
      <c r="W385" s="768"/>
      <c r="X385" s="768"/>
      <c r="Y385" s="768"/>
      <c r="Z385" s="768"/>
      <c r="AA385" s="768"/>
    </row>
    <row r="386" ht="30.0" customHeight="1">
      <c r="A386" s="768" t="str">
        <f t="array" ref="A386">XLOOKUP(C386,'High School Players'!D:D,'High School Players'!K:K,"NO",0,1)</f>
        <v>NO</v>
      </c>
      <c r="B386" s="768"/>
      <c r="C386" s="768"/>
      <c r="D386" s="768"/>
      <c r="E386" s="768"/>
      <c r="F386" s="768"/>
      <c r="G386" s="768"/>
      <c r="H386" s="768"/>
      <c r="I386" s="768"/>
      <c r="J386" s="768"/>
      <c r="K386" s="768"/>
      <c r="L386" s="768"/>
      <c r="M386" s="768"/>
      <c r="N386" s="768"/>
      <c r="O386" s="768"/>
      <c r="P386" s="768"/>
      <c r="Q386" s="768"/>
      <c r="R386" s="768"/>
      <c r="S386" s="768"/>
      <c r="T386" s="768"/>
      <c r="U386" s="768"/>
      <c r="V386" s="768"/>
      <c r="W386" s="768"/>
      <c r="X386" s="768"/>
      <c r="Y386" s="768"/>
      <c r="Z386" s="768"/>
      <c r="AA386" s="768"/>
    </row>
    <row r="387" ht="30.0" customHeight="1">
      <c r="A387" s="768" t="str">
        <f t="array" ref="A387">XLOOKUP(C387,'High School Players'!D:D,'High School Players'!K:K,"NO",0,1)</f>
        <v>NO</v>
      </c>
      <c r="B387" s="768"/>
      <c r="C387" s="768"/>
      <c r="D387" s="768"/>
      <c r="E387" s="768"/>
      <c r="F387" s="768"/>
      <c r="G387" s="768"/>
      <c r="H387" s="768"/>
      <c r="I387" s="768"/>
      <c r="J387" s="768"/>
      <c r="K387" s="768"/>
      <c r="L387" s="768"/>
      <c r="M387" s="768"/>
      <c r="N387" s="768"/>
      <c r="O387" s="768"/>
      <c r="P387" s="768"/>
      <c r="Q387" s="768"/>
      <c r="R387" s="768"/>
      <c r="S387" s="768"/>
      <c r="T387" s="768"/>
      <c r="U387" s="768"/>
      <c r="V387" s="768"/>
      <c r="W387" s="768"/>
      <c r="X387" s="768"/>
      <c r="Y387" s="768"/>
      <c r="Z387" s="768"/>
      <c r="AA387" s="768"/>
    </row>
    <row r="388" ht="30.0" customHeight="1">
      <c r="A388" s="768" t="str">
        <f t="array" ref="A388">XLOOKUP(C388,'High School Players'!D:D,'High School Players'!K:K,"NO",0,1)</f>
        <v>NO</v>
      </c>
      <c r="B388" s="768"/>
      <c r="C388" s="768"/>
      <c r="D388" s="768"/>
      <c r="E388" s="768"/>
      <c r="F388" s="768"/>
      <c r="G388" s="768"/>
      <c r="H388" s="768"/>
      <c r="I388" s="768"/>
      <c r="J388" s="768"/>
      <c r="K388" s="768"/>
      <c r="L388" s="768"/>
      <c r="M388" s="768"/>
      <c r="N388" s="768"/>
      <c r="O388" s="768"/>
      <c r="P388" s="768"/>
      <c r="Q388" s="768"/>
      <c r="R388" s="768"/>
      <c r="S388" s="768"/>
      <c r="T388" s="768"/>
      <c r="U388" s="768"/>
      <c r="V388" s="768"/>
      <c r="W388" s="768"/>
      <c r="X388" s="768"/>
      <c r="Y388" s="768"/>
      <c r="Z388" s="768"/>
      <c r="AA388" s="768"/>
    </row>
    <row r="389" ht="30.0" customHeight="1">
      <c r="A389" s="768" t="str">
        <f t="array" ref="A389">XLOOKUP(C389,'High School Players'!D:D,'High School Players'!K:K,"NO",0,1)</f>
        <v>NO</v>
      </c>
      <c r="B389" s="768"/>
      <c r="C389" s="768"/>
      <c r="D389" s="768"/>
      <c r="E389" s="768"/>
      <c r="F389" s="768"/>
      <c r="G389" s="768"/>
      <c r="H389" s="768"/>
      <c r="I389" s="768"/>
      <c r="J389" s="768"/>
      <c r="K389" s="768"/>
      <c r="L389" s="768"/>
      <c r="M389" s="768"/>
      <c r="N389" s="768"/>
      <c r="O389" s="768"/>
      <c r="P389" s="768"/>
      <c r="Q389" s="768"/>
      <c r="R389" s="768"/>
      <c r="S389" s="768"/>
      <c r="T389" s="768"/>
      <c r="U389" s="768"/>
      <c r="V389" s="768"/>
      <c r="W389" s="768"/>
      <c r="X389" s="768"/>
      <c r="Y389" s="768"/>
      <c r="Z389" s="768"/>
      <c r="AA389" s="768"/>
    </row>
    <row r="390" ht="30.0" customHeight="1">
      <c r="A390" s="768" t="str">
        <f t="array" ref="A390">XLOOKUP(C390,'High School Players'!D:D,'High School Players'!K:K,"NO",0,1)</f>
        <v>NO</v>
      </c>
      <c r="B390" s="768"/>
      <c r="C390" s="768"/>
      <c r="D390" s="768"/>
      <c r="E390" s="768"/>
      <c r="F390" s="768"/>
      <c r="G390" s="768"/>
      <c r="H390" s="768"/>
      <c r="I390" s="768"/>
      <c r="J390" s="768"/>
      <c r="K390" s="768"/>
      <c r="L390" s="768"/>
      <c r="M390" s="768"/>
      <c r="N390" s="768"/>
      <c r="O390" s="768"/>
      <c r="P390" s="768"/>
      <c r="Q390" s="768"/>
      <c r="R390" s="768"/>
      <c r="S390" s="768"/>
      <c r="T390" s="768"/>
      <c r="U390" s="768"/>
      <c r="V390" s="768"/>
      <c r="W390" s="768"/>
      <c r="X390" s="768"/>
      <c r="Y390" s="768"/>
      <c r="Z390" s="768"/>
      <c r="AA390" s="768"/>
    </row>
    <row r="391" ht="30.0" customHeight="1">
      <c r="A391" s="768" t="str">
        <f t="array" ref="A391">XLOOKUP(C391,'High School Players'!D:D,'High School Players'!K:K,"NO",0,1)</f>
        <v>NO</v>
      </c>
      <c r="B391" s="768"/>
      <c r="C391" s="768"/>
      <c r="D391" s="768"/>
      <c r="E391" s="768"/>
      <c r="F391" s="768"/>
      <c r="G391" s="768"/>
      <c r="H391" s="768"/>
      <c r="I391" s="768"/>
      <c r="J391" s="768"/>
      <c r="K391" s="768"/>
      <c r="L391" s="768"/>
      <c r="M391" s="768"/>
      <c r="N391" s="768"/>
      <c r="O391" s="768"/>
      <c r="P391" s="768"/>
      <c r="Q391" s="768"/>
      <c r="R391" s="768"/>
      <c r="S391" s="768"/>
      <c r="T391" s="768"/>
      <c r="U391" s="768"/>
      <c r="V391" s="768"/>
      <c r="W391" s="768"/>
      <c r="X391" s="768"/>
      <c r="Y391" s="768"/>
      <c r="Z391" s="768"/>
      <c r="AA391" s="768"/>
    </row>
    <row r="392" ht="30.0" customHeight="1">
      <c r="A392" s="768" t="str">
        <f t="array" ref="A392">XLOOKUP(C392,'High School Players'!D:D,'High School Players'!K:K,"NO",0,1)</f>
        <v>NO</v>
      </c>
      <c r="B392" s="768"/>
      <c r="C392" s="768"/>
      <c r="D392" s="768"/>
      <c r="E392" s="768"/>
      <c r="F392" s="768"/>
      <c r="G392" s="768"/>
      <c r="H392" s="768"/>
      <c r="I392" s="768"/>
      <c r="J392" s="768"/>
      <c r="K392" s="768"/>
      <c r="L392" s="768"/>
      <c r="M392" s="768"/>
      <c r="N392" s="768"/>
      <c r="O392" s="768"/>
      <c r="P392" s="768"/>
      <c r="Q392" s="768"/>
      <c r="R392" s="768"/>
      <c r="S392" s="768"/>
      <c r="T392" s="768"/>
      <c r="U392" s="768"/>
      <c r="V392" s="768"/>
      <c r="W392" s="768"/>
      <c r="X392" s="768"/>
      <c r="Y392" s="768"/>
      <c r="Z392" s="768"/>
      <c r="AA392" s="768"/>
    </row>
    <row r="393" ht="30.0" customHeight="1">
      <c r="A393" s="768" t="str">
        <f t="array" ref="A393">XLOOKUP(C393,'High School Players'!D:D,'High School Players'!K:K,"NO",0,1)</f>
        <v>NO</v>
      </c>
      <c r="B393" s="768"/>
      <c r="C393" s="768"/>
      <c r="D393" s="768"/>
      <c r="E393" s="768"/>
      <c r="F393" s="768"/>
      <c r="G393" s="768"/>
      <c r="H393" s="768"/>
      <c r="I393" s="768"/>
      <c r="J393" s="768"/>
      <c r="K393" s="768"/>
      <c r="L393" s="768"/>
      <c r="M393" s="768"/>
      <c r="N393" s="768"/>
      <c r="O393" s="768"/>
      <c r="P393" s="768"/>
      <c r="Q393" s="768"/>
      <c r="R393" s="768"/>
      <c r="S393" s="768"/>
      <c r="T393" s="768"/>
      <c r="U393" s="768"/>
      <c r="V393" s="768"/>
      <c r="W393" s="768"/>
      <c r="X393" s="768"/>
      <c r="Y393" s="768"/>
      <c r="Z393" s="768"/>
      <c r="AA393" s="768"/>
    </row>
    <row r="394" ht="30.0" customHeight="1">
      <c r="A394" s="768" t="str">
        <f t="array" ref="A394">XLOOKUP(C394,'High School Players'!D:D,'High School Players'!K:K,"NO",0,1)</f>
        <v>NO</v>
      </c>
      <c r="B394" s="768"/>
      <c r="C394" s="768"/>
      <c r="D394" s="768"/>
      <c r="E394" s="768"/>
      <c r="F394" s="768"/>
      <c r="G394" s="768"/>
      <c r="H394" s="768"/>
      <c r="I394" s="768"/>
      <c r="J394" s="768"/>
      <c r="K394" s="768"/>
      <c r="L394" s="768"/>
      <c r="M394" s="768"/>
      <c r="N394" s="768"/>
      <c r="O394" s="768"/>
      <c r="P394" s="768"/>
      <c r="Q394" s="768"/>
      <c r="R394" s="768"/>
      <c r="S394" s="768"/>
      <c r="T394" s="768"/>
      <c r="U394" s="768"/>
      <c r="V394" s="768"/>
      <c r="W394" s="768"/>
      <c r="X394" s="768"/>
      <c r="Y394" s="768"/>
      <c r="Z394" s="768"/>
      <c r="AA394" s="768"/>
    </row>
    <row r="395" ht="30.0" customHeight="1">
      <c r="A395" s="768" t="str">
        <f t="array" ref="A395">XLOOKUP(C395,'High School Players'!D:D,'High School Players'!K:K,"NO",0,1)</f>
        <v>NO</v>
      </c>
      <c r="B395" s="768"/>
      <c r="C395" s="768"/>
      <c r="D395" s="768"/>
      <c r="E395" s="768"/>
      <c r="F395" s="768"/>
      <c r="G395" s="768"/>
      <c r="H395" s="768"/>
      <c r="I395" s="768"/>
      <c r="J395" s="768"/>
      <c r="K395" s="768"/>
      <c r="L395" s="768"/>
      <c r="M395" s="768"/>
      <c r="N395" s="768"/>
      <c r="O395" s="768"/>
      <c r="P395" s="768"/>
      <c r="Q395" s="768"/>
      <c r="R395" s="768"/>
      <c r="S395" s="768"/>
      <c r="T395" s="768"/>
      <c r="U395" s="768"/>
      <c r="V395" s="768"/>
      <c r="W395" s="768"/>
      <c r="X395" s="768"/>
      <c r="Y395" s="768"/>
      <c r="Z395" s="768"/>
      <c r="AA395" s="768"/>
    </row>
    <row r="396" ht="30.0" customHeight="1">
      <c r="A396" s="768" t="str">
        <f t="array" ref="A396">XLOOKUP(C396,'High School Players'!D:D,'High School Players'!K:K,"NO",0,1)</f>
        <v>NO</v>
      </c>
      <c r="B396" s="768"/>
      <c r="C396" s="768"/>
      <c r="D396" s="768"/>
      <c r="E396" s="768"/>
      <c r="F396" s="768"/>
      <c r="G396" s="768"/>
      <c r="H396" s="768"/>
      <c r="I396" s="768"/>
      <c r="J396" s="768"/>
      <c r="K396" s="768"/>
      <c r="L396" s="768"/>
      <c r="M396" s="768"/>
      <c r="N396" s="768"/>
      <c r="O396" s="768"/>
      <c r="P396" s="768"/>
      <c r="Q396" s="768"/>
      <c r="R396" s="768"/>
      <c r="S396" s="768"/>
      <c r="T396" s="768"/>
      <c r="U396" s="768"/>
      <c r="V396" s="768"/>
      <c r="W396" s="768"/>
      <c r="X396" s="768"/>
      <c r="Y396" s="768"/>
      <c r="Z396" s="768"/>
      <c r="AA396" s="768"/>
    </row>
    <row r="397" ht="30.0" customHeight="1">
      <c r="A397" s="768" t="str">
        <f t="array" ref="A397">XLOOKUP(C397,'High School Players'!D:D,'High School Players'!K:K,"NO",0,1)</f>
        <v>NO</v>
      </c>
      <c r="B397" s="768"/>
      <c r="C397" s="768"/>
      <c r="D397" s="768"/>
      <c r="E397" s="768"/>
      <c r="F397" s="768"/>
      <c r="G397" s="768"/>
      <c r="H397" s="768"/>
      <c r="I397" s="768"/>
      <c r="J397" s="768"/>
      <c r="K397" s="768"/>
      <c r="L397" s="768"/>
      <c r="M397" s="768"/>
      <c r="N397" s="768"/>
      <c r="O397" s="768"/>
      <c r="P397" s="768"/>
      <c r="Q397" s="768"/>
      <c r="R397" s="768"/>
      <c r="S397" s="768"/>
      <c r="T397" s="768"/>
      <c r="U397" s="768"/>
      <c r="V397" s="768"/>
      <c r="W397" s="768"/>
      <c r="X397" s="768"/>
      <c r="Y397" s="768"/>
      <c r="Z397" s="768"/>
      <c r="AA397" s="768"/>
    </row>
    <row r="398" ht="30.0" customHeight="1">
      <c r="A398" s="768" t="str">
        <f t="array" ref="A398">XLOOKUP(C398,'High School Players'!D:D,'High School Players'!K:K,"NO",0,1)</f>
        <v>NO</v>
      </c>
      <c r="B398" s="768"/>
      <c r="C398" s="768"/>
      <c r="D398" s="768"/>
      <c r="E398" s="768"/>
      <c r="F398" s="768"/>
      <c r="G398" s="768"/>
      <c r="H398" s="768"/>
      <c r="I398" s="768"/>
      <c r="J398" s="768"/>
      <c r="K398" s="768"/>
      <c r="L398" s="768"/>
      <c r="M398" s="768"/>
      <c r="N398" s="768"/>
      <c r="O398" s="768"/>
      <c r="P398" s="768"/>
      <c r="Q398" s="768"/>
      <c r="R398" s="768"/>
      <c r="S398" s="768"/>
      <c r="T398" s="768"/>
      <c r="U398" s="768"/>
      <c r="V398" s="768"/>
      <c r="W398" s="768"/>
      <c r="X398" s="768"/>
      <c r="Y398" s="768"/>
      <c r="Z398" s="768"/>
      <c r="AA398" s="768"/>
    </row>
    <row r="399" ht="30.0" customHeight="1">
      <c r="A399" s="768" t="str">
        <f t="array" ref="A399">XLOOKUP(C399,'High School Players'!D:D,'High School Players'!K:K,"NO",0,1)</f>
        <v>NO</v>
      </c>
      <c r="B399" s="768"/>
      <c r="C399" s="768"/>
      <c r="D399" s="768"/>
      <c r="E399" s="768"/>
      <c r="F399" s="768"/>
      <c r="G399" s="768"/>
      <c r="H399" s="768"/>
      <c r="I399" s="768"/>
      <c r="J399" s="768"/>
      <c r="K399" s="768"/>
      <c r="L399" s="768"/>
      <c r="M399" s="768"/>
      <c r="N399" s="768"/>
      <c r="O399" s="768"/>
      <c r="P399" s="768"/>
      <c r="Q399" s="768"/>
      <c r="R399" s="768"/>
      <c r="S399" s="768"/>
      <c r="T399" s="768"/>
      <c r="U399" s="768"/>
      <c r="V399" s="768"/>
      <c r="W399" s="768"/>
      <c r="X399" s="768"/>
      <c r="Y399" s="768"/>
      <c r="Z399" s="768"/>
      <c r="AA399" s="768"/>
    </row>
    <row r="400" ht="30.0" customHeight="1">
      <c r="A400" s="768" t="str">
        <f t="array" ref="A400">XLOOKUP(C400,'High School Players'!D:D,'High School Players'!K:K,"NO",0,1)</f>
        <v>NO</v>
      </c>
      <c r="B400" s="768"/>
      <c r="C400" s="768"/>
      <c r="D400" s="768"/>
      <c r="E400" s="768"/>
      <c r="F400" s="768"/>
      <c r="G400" s="768"/>
      <c r="H400" s="768"/>
      <c r="I400" s="768"/>
      <c r="J400" s="768"/>
      <c r="K400" s="768"/>
      <c r="L400" s="768"/>
      <c r="M400" s="768"/>
      <c r="N400" s="768"/>
      <c r="O400" s="768"/>
      <c r="P400" s="768"/>
      <c r="Q400" s="768"/>
      <c r="R400" s="768"/>
      <c r="S400" s="768"/>
      <c r="T400" s="768"/>
      <c r="U400" s="768"/>
      <c r="V400" s="768"/>
      <c r="W400" s="768"/>
      <c r="X400" s="768"/>
      <c r="Y400" s="768"/>
      <c r="Z400" s="768"/>
      <c r="AA400" s="768"/>
    </row>
    <row r="401" ht="30.0" customHeight="1">
      <c r="A401" s="768" t="str">
        <f t="array" ref="A401">XLOOKUP(C401,'High School Players'!D:D,'High School Players'!K:K,"NO",0,1)</f>
        <v>NO</v>
      </c>
      <c r="B401" s="768"/>
      <c r="C401" s="768"/>
      <c r="D401" s="768"/>
      <c r="E401" s="768"/>
      <c r="F401" s="768"/>
      <c r="G401" s="768"/>
      <c r="H401" s="768"/>
      <c r="I401" s="768"/>
      <c r="J401" s="768"/>
      <c r="K401" s="768"/>
      <c r="L401" s="768"/>
      <c r="M401" s="768"/>
      <c r="N401" s="768"/>
      <c r="O401" s="768"/>
      <c r="P401" s="768"/>
      <c r="Q401" s="768"/>
      <c r="R401" s="768"/>
      <c r="S401" s="768"/>
      <c r="T401" s="768"/>
      <c r="U401" s="768"/>
      <c r="V401" s="768"/>
      <c r="W401" s="768"/>
      <c r="X401" s="768"/>
      <c r="Y401" s="768"/>
      <c r="Z401" s="768"/>
      <c r="AA401" s="768"/>
    </row>
    <row r="402" ht="30.0" customHeight="1">
      <c r="A402" s="768" t="str">
        <f t="array" ref="A402">XLOOKUP(C402,'High School Players'!D:D,'High School Players'!K:K,"NO",0,1)</f>
        <v>NO</v>
      </c>
      <c r="B402" s="768"/>
      <c r="C402" s="768"/>
      <c r="D402" s="768"/>
      <c r="E402" s="768"/>
      <c r="F402" s="768"/>
      <c r="G402" s="768"/>
      <c r="H402" s="768"/>
      <c r="I402" s="768"/>
      <c r="J402" s="768"/>
      <c r="K402" s="768"/>
      <c r="L402" s="768"/>
      <c r="M402" s="768"/>
      <c r="N402" s="768"/>
      <c r="O402" s="768"/>
      <c r="P402" s="768"/>
      <c r="Q402" s="768"/>
      <c r="R402" s="768"/>
      <c r="S402" s="768"/>
      <c r="T402" s="768"/>
      <c r="U402" s="768"/>
      <c r="V402" s="768"/>
      <c r="W402" s="768"/>
      <c r="X402" s="768"/>
      <c r="Y402" s="768"/>
      <c r="Z402" s="768"/>
      <c r="AA402" s="768"/>
    </row>
    <row r="403" ht="30.0" customHeight="1">
      <c r="A403" s="768" t="str">
        <f t="array" ref="A403">XLOOKUP(C403,'High School Players'!D:D,'High School Players'!K:K,"NO",0,1)</f>
        <v>NO</v>
      </c>
      <c r="B403" s="768"/>
      <c r="C403" s="768"/>
      <c r="D403" s="768"/>
      <c r="E403" s="768"/>
      <c r="F403" s="768"/>
      <c r="G403" s="768"/>
      <c r="H403" s="768"/>
      <c r="I403" s="768"/>
      <c r="J403" s="768"/>
      <c r="K403" s="768"/>
      <c r="L403" s="768"/>
      <c r="M403" s="768"/>
      <c r="N403" s="768"/>
      <c r="O403" s="768"/>
      <c r="P403" s="768"/>
      <c r="Q403" s="768"/>
      <c r="R403" s="768"/>
      <c r="S403" s="768"/>
      <c r="T403" s="768"/>
      <c r="U403" s="768"/>
      <c r="V403" s="768"/>
      <c r="W403" s="768"/>
      <c r="X403" s="768"/>
      <c r="Y403" s="768"/>
      <c r="Z403" s="768"/>
      <c r="AA403" s="768"/>
    </row>
    <row r="404" ht="30.0" customHeight="1">
      <c r="A404" s="768" t="str">
        <f t="array" ref="A404">XLOOKUP(C404,'High School Players'!D:D,'High School Players'!K:K,"NO",0,1)</f>
        <v>NO</v>
      </c>
      <c r="B404" s="768"/>
      <c r="C404" s="768"/>
      <c r="D404" s="768"/>
      <c r="E404" s="768"/>
      <c r="F404" s="768"/>
      <c r="G404" s="768"/>
      <c r="H404" s="768"/>
      <c r="I404" s="768"/>
      <c r="J404" s="768"/>
      <c r="K404" s="768"/>
      <c r="L404" s="768"/>
      <c r="M404" s="768"/>
      <c r="N404" s="768"/>
      <c r="O404" s="768"/>
      <c r="P404" s="768"/>
      <c r="Q404" s="768"/>
      <c r="R404" s="768"/>
      <c r="S404" s="768"/>
      <c r="T404" s="768"/>
      <c r="U404" s="768"/>
      <c r="V404" s="768"/>
      <c r="W404" s="768"/>
      <c r="X404" s="768"/>
      <c r="Y404" s="768"/>
      <c r="Z404" s="768"/>
      <c r="AA404" s="768"/>
    </row>
    <row r="405" ht="30.0" customHeight="1">
      <c r="A405" s="768" t="str">
        <f t="array" ref="A405">XLOOKUP(C405,'High School Players'!D:D,'High School Players'!K:K,"NO",0,1)</f>
        <v>NO</v>
      </c>
      <c r="B405" s="768"/>
      <c r="C405" s="768"/>
      <c r="D405" s="768"/>
      <c r="E405" s="768"/>
      <c r="F405" s="768"/>
      <c r="G405" s="768"/>
      <c r="H405" s="768"/>
      <c r="I405" s="768"/>
      <c r="J405" s="768"/>
      <c r="K405" s="768"/>
      <c r="L405" s="768"/>
      <c r="M405" s="768"/>
      <c r="N405" s="768"/>
      <c r="O405" s="768"/>
      <c r="P405" s="768"/>
      <c r="Q405" s="768"/>
      <c r="R405" s="768"/>
      <c r="S405" s="768"/>
      <c r="T405" s="768"/>
      <c r="U405" s="768"/>
      <c r="V405" s="768"/>
      <c r="W405" s="768"/>
      <c r="X405" s="768"/>
      <c r="Y405" s="768"/>
      <c r="Z405" s="768"/>
      <c r="AA405" s="768"/>
    </row>
    <row r="406" ht="30.0" customHeight="1">
      <c r="A406" s="768" t="str">
        <f t="array" ref="A406">XLOOKUP(C406,'High School Players'!D:D,'High School Players'!K:K,"NO",0,1)</f>
        <v>NO</v>
      </c>
      <c r="B406" s="768"/>
      <c r="C406" s="768"/>
      <c r="D406" s="768"/>
      <c r="E406" s="768"/>
      <c r="F406" s="768"/>
      <c r="G406" s="768"/>
      <c r="H406" s="768"/>
      <c r="I406" s="768"/>
      <c r="J406" s="768"/>
      <c r="K406" s="768"/>
      <c r="L406" s="768"/>
      <c r="M406" s="768"/>
      <c r="N406" s="768"/>
      <c r="O406" s="768"/>
      <c r="P406" s="768"/>
      <c r="Q406" s="768"/>
      <c r="R406" s="768"/>
      <c r="S406" s="768"/>
      <c r="T406" s="768"/>
      <c r="U406" s="768"/>
      <c r="V406" s="768"/>
      <c r="W406" s="768"/>
      <c r="X406" s="768"/>
      <c r="Y406" s="768"/>
      <c r="Z406" s="768"/>
      <c r="AA406" s="768"/>
    </row>
    <row r="407" ht="30.0" customHeight="1">
      <c r="A407" s="768" t="str">
        <f t="array" ref="A407">XLOOKUP(C407,'High School Players'!D:D,'High School Players'!K:K,"NO",0,1)</f>
        <v>NO</v>
      </c>
      <c r="B407" s="768"/>
      <c r="C407" s="768"/>
      <c r="D407" s="768"/>
      <c r="E407" s="768"/>
      <c r="F407" s="768"/>
      <c r="G407" s="768"/>
      <c r="H407" s="768"/>
      <c r="I407" s="768"/>
      <c r="J407" s="768"/>
      <c r="K407" s="768"/>
      <c r="L407" s="768"/>
      <c r="M407" s="768"/>
      <c r="N407" s="768"/>
      <c r="O407" s="768"/>
      <c r="P407" s="768"/>
      <c r="Q407" s="768"/>
      <c r="R407" s="768"/>
      <c r="S407" s="768"/>
      <c r="T407" s="768"/>
      <c r="U407" s="768"/>
      <c r="V407" s="768"/>
      <c r="W407" s="768"/>
      <c r="X407" s="768"/>
      <c r="Y407" s="768"/>
      <c r="Z407" s="768"/>
      <c r="AA407" s="768"/>
    </row>
    <row r="408" ht="30.0" customHeight="1">
      <c r="A408" s="768" t="str">
        <f t="array" ref="A408">XLOOKUP(C408,'High School Players'!D:D,'High School Players'!K:K,"NO",0,1)</f>
        <v>NO</v>
      </c>
      <c r="B408" s="768"/>
      <c r="C408" s="768"/>
      <c r="D408" s="768"/>
      <c r="E408" s="768"/>
      <c r="F408" s="768"/>
      <c r="G408" s="768"/>
      <c r="H408" s="768"/>
      <c r="I408" s="768"/>
      <c r="J408" s="768"/>
      <c r="K408" s="768"/>
      <c r="L408" s="768"/>
      <c r="M408" s="768"/>
      <c r="N408" s="768"/>
      <c r="O408" s="768"/>
      <c r="P408" s="768"/>
      <c r="Q408" s="768"/>
      <c r="R408" s="768"/>
      <c r="S408" s="768"/>
      <c r="T408" s="768"/>
      <c r="U408" s="768"/>
      <c r="V408" s="768"/>
      <c r="W408" s="768"/>
      <c r="X408" s="768"/>
      <c r="Y408" s="768"/>
      <c r="Z408" s="768"/>
      <c r="AA408" s="768"/>
    </row>
    <row r="409" ht="30.0" customHeight="1">
      <c r="A409" s="768" t="str">
        <f t="array" ref="A409">XLOOKUP(C409,'High School Players'!D:D,'High School Players'!K:K,"NO",0,1)</f>
        <v>NO</v>
      </c>
      <c r="B409" s="768"/>
      <c r="C409" s="768"/>
      <c r="D409" s="768"/>
      <c r="E409" s="768"/>
      <c r="F409" s="768"/>
      <c r="G409" s="768"/>
      <c r="H409" s="768"/>
      <c r="I409" s="768"/>
      <c r="J409" s="768"/>
      <c r="K409" s="768"/>
      <c r="L409" s="768"/>
      <c r="M409" s="768"/>
      <c r="N409" s="768"/>
      <c r="O409" s="768"/>
      <c r="P409" s="768"/>
      <c r="Q409" s="768"/>
      <c r="R409" s="768"/>
      <c r="S409" s="768"/>
      <c r="T409" s="768"/>
      <c r="U409" s="768"/>
      <c r="V409" s="768"/>
      <c r="W409" s="768"/>
      <c r="X409" s="768"/>
      <c r="Y409" s="768"/>
      <c r="Z409" s="768"/>
      <c r="AA409" s="768"/>
    </row>
    <row r="410" ht="30.0" customHeight="1">
      <c r="A410" s="768" t="str">
        <f t="array" ref="A410">XLOOKUP(C410,'High School Players'!D:D,'High School Players'!K:K,"NO",0,1)</f>
        <v>NO</v>
      </c>
      <c r="B410" s="768"/>
      <c r="C410" s="768"/>
      <c r="D410" s="768"/>
      <c r="E410" s="768"/>
      <c r="F410" s="768"/>
      <c r="G410" s="768"/>
      <c r="H410" s="768"/>
      <c r="I410" s="768"/>
      <c r="J410" s="768"/>
      <c r="K410" s="768"/>
      <c r="L410" s="768"/>
      <c r="M410" s="768"/>
      <c r="N410" s="768"/>
      <c r="O410" s="768"/>
      <c r="P410" s="768"/>
      <c r="Q410" s="768"/>
      <c r="R410" s="768"/>
      <c r="S410" s="768"/>
      <c r="T410" s="768"/>
      <c r="U410" s="768"/>
      <c r="V410" s="768"/>
      <c r="W410" s="768"/>
      <c r="X410" s="768"/>
      <c r="Y410" s="768"/>
      <c r="Z410" s="768"/>
      <c r="AA410" s="768"/>
    </row>
    <row r="411" ht="30.0" customHeight="1">
      <c r="A411" s="768" t="str">
        <f t="array" ref="A411">XLOOKUP(C411,'High School Players'!D:D,'High School Players'!K:K,"NO",0,1)</f>
        <v>NO</v>
      </c>
      <c r="B411" s="768"/>
      <c r="C411" s="768"/>
      <c r="D411" s="768"/>
      <c r="E411" s="768"/>
      <c r="F411" s="768"/>
      <c r="G411" s="768"/>
      <c r="H411" s="768"/>
      <c r="I411" s="768"/>
      <c r="J411" s="768"/>
      <c r="K411" s="768"/>
      <c r="L411" s="768"/>
      <c r="M411" s="768"/>
      <c r="N411" s="768"/>
      <c r="O411" s="768"/>
      <c r="P411" s="768"/>
      <c r="Q411" s="768"/>
      <c r="R411" s="768"/>
      <c r="S411" s="768"/>
      <c r="T411" s="768"/>
      <c r="U411" s="768"/>
      <c r="V411" s="768"/>
      <c r="W411" s="768"/>
      <c r="X411" s="768"/>
      <c r="Y411" s="768"/>
      <c r="Z411" s="768"/>
      <c r="AA411" s="768"/>
    </row>
    <row r="412" ht="30.0" customHeight="1">
      <c r="A412" s="768" t="str">
        <f t="array" ref="A412">XLOOKUP(C412,'High School Players'!D:D,'High School Players'!K:K,"NO",0,1)</f>
        <v>NO</v>
      </c>
      <c r="B412" s="768"/>
      <c r="C412" s="768"/>
      <c r="D412" s="768"/>
      <c r="E412" s="768"/>
      <c r="F412" s="768"/>
      <c r="G412" s="768"/>
      <c r="H412" s="768"/>
      <c r="I412" s="768"/>
      <c r="J412" s="768"/>
      <c r="K412" s="768"/>
      <c r="L412" s="768"/>
      <c r="M412" s="768"/>
      <c r="N412" s="768"/>
      <c r="O412" s="768"/>
      <c r="P412" s="768"/>
      <c r="Q412" s="768"/>
      <c r="R412" s="768"/>
      <c r="S412" s="768"/>
      <c r="T412" s="768"/>
      <c r="U412" s="768"/>
      <c r="V412" s="768"/>
      <c r="W412" s="768"/>
      <c r="X412" s="768"/>
      <c r="Y412" s="768"/>
      <c r="Z412" s="768"/>
      <c r="AA412" s="768"/>
    </row>
    <row r="413" ht="30.0" customHeight="1">
      <c r="A413" s="768" t="str">
        <f t="array" ref="A413">XLOOKUP(C413,'High School Players'!D:D,'High School Players'!K:K,"NO",0,1)</f>
        <v>NO</v>
      </c>
      <c r="B413" s="768"/>
      <c r="C413" s="768"/>
      <c r="D413" s="768"/>
      <c r="E413" s="768"/>
      <c r="F413" s="768"/>
      <c r="G413" s="768"/>
      <c r="H413" s="768"/>
      <c r="I413" s="768"/>
      <c r="J413" s="768"/>
      <c r="K413" s="768"/>
      <c r="L413" s="768"/>
      <c r="M413" s="768"/>
      <c r="N413" s="768"/>
      <c r="O413" s="768"/>
      <c r="P413" s="768"/>
      <c r="Q413" s="768"/>
      <c r="R413" s="768"/>
      <c r="S413" s="768"/>
      <c r="T413" s="768"/>
      <c r="U413" s="768"/>
      <c r="V413" s="768"/>
      <c r="W413" s="768"/>
      <c r="X413" s="768"/>
      <c r="Y413" s="768"/>
      <c r="Z413" s="768"/>
      <c r="AA413" s="768"/>
    </row>
    <row r="414" ht="30.0" customHeight="1">
      <c r="A414" s="768" t="str">
        <f t="array" ref="A414">XLOOKUP(C414,'High School Players'!D:D,'High School Players'!K:K,"NO",0,1)</f>
        <v>NO</v>
      </c>
      <c r="B414" s="768"/>
      <c r="C414" s="768"/>
      <c r="D414" s="768"/>
      <c r="E414" s="768"/>
      <c r="F414" s="768"/>
      <c r="G414" s="768"/>
      <c r="H414" s="768"/>
      <c r="I414" s="768"/>
      <c r="J414" s="768"/>
      <c r="K414" s="768"/>
      <c r="L414" s="768"/>
      <c r="M414" s="768"/>
      <c r="N414" s="768"/>
      <c r="O414" s="768"/>
      <c r="P414" s="768"/>
      <c r="Q414" s="768"/>
      <c r="R414" s="768"/>
      <c r="S414" s="768"/>
      <c r="T414" s="768"/>
      <c r="U414" s="768"/>
      <c r="V414" s="768"/>
      <c r="W414" s="768"/>
      <c r="X414" s="768"/>
      <c r="Y414" s="768"/>
      <c r="Z414" s="768"/>
      <c r="AA414" s="768"/>
    </row>
    <row r="415" ht="30.0" customHeight="1">
      <c r="A415" s="768" t="str">
        <f t="array" ref="A415">XLOOKUP(C415,'High School Players'!D:D,'High School Players'!K:K,"NO",0,1)</f>
        <v>NO</v>
      </c>
      <c r="B415" s="768"/>
      <c r="C415" s="768"/>
      <c r="D415" s="768"/>
      <c r="E415" s="768"/>
      <c r="F415" s="768"/>
      <c r="G415" s="768"/>
      <c r="H415" s="768"/>
      <c r="I415" s="768"/>
      <c r="J415" s="768"/>
      <c r="K415" s="768"/>
      <c r="L415" s="768"/>
      <c r="M415" s="768"/>
      <c r="N415" s="768"/>
      <c r="O415" s="768"/>
      <c r="P415" s="768"/>
      <c r="Q415" s="768"/>
      <c r="R415" s="768"/>
      <c r="S415" s="768"/>
      <c r="T415" s="768"/>
      <c r="U415" s="768"/>
      <c r="V415" s="768"/>
      <c r="W415" s="768"/>
      <c r="X415" s="768"/>
      <c r="Y415" s="768"/>
      <c r="Z415" s="768"/>
      <c r="AA415" s="768"/>
    </row>
    <row r="416" ht="30.0" customHeight="1">
      <c r="A416" s="768" t="str">
        <f t="array" ref="A416">XLOOKUP(C416,'High School Players'!D:D,'High School Players'!K:K,"NO",0,1)</f>
        <v>NO</v>
      </c>
      <c r="B416" s="768"/>
      <c r="C416" s="768"/>
      <c r="D416" s="768"/>
      <c r="E416" s="768"/>
      <c r="F416" s="768"/>
      <c r="G416" s="768"/>
      <c r="H416" s="768"/>
      <c r="I416" s="768"/>
      <c r="J416" s="768"/>
      <c r="K416" s="768"/>
      <c r="L416" s="768"/>
      <c r="M416" s="768"/>
      <c r="N416" s="768"/>
      <c r="O416" s="768"/>
      <c r="P416" s="768"/>
      <c r="Q416" s="768"/>
      <c r="R416" s="768"/>
      <c r="S416" s="768"/>
      <c r="T416" s="768"/>
      <c r="U416" s="768"/>
      <c r="V416" s="768"/>
      <c r="W416" s="768"/>
      <c r="X416" s="768"/>
      <c r="Y416" s="768"/>
      <c r="Z416" s="768"/>
      <c r="AA416" s="768"/>
    </row>
    <row r="417" ht="30.0" customHeight="1">
      <c r="A417" s="768" t="str">
        <f t="array" ref="A417">XLOOKUP(C417,'High School Players'!D:D,'High School Players'!K:K,"NO",0,1)</f>
        <v>NO</v>
      </c>
      <c r="B417" s="768"/>
      <c r="C417" s="768"/>
      <c r="D417" s="768"/>
      <c r="E417" s="768"/>
      <c r="F417" s="768"/>
      <c r="G417" s="768"/>
      <c r="H417" s="768"/>
      <c r="I417" s="768"/>
      <c r="J417" s="768"/>
      <c r="K417" s="768"/>
      <c r="L417" s="768"/>
      <c r="M417" s="768"/>
      <c r="N417" s="768"/>
      <c r="O417" s="768"/>
      <c r="P417" s="768"/>
      <c r="Q417" s="768"/>
      <c r="R417" s="768"/>
      <c r="S417" s="768"/>
      <c r="T417" s="768"/>
      <c r="U417" s="768"/>
      <c r="V417" s="768"/>
      <c r="W417" s="768"/>
      <c r="X417" s="768"/>
      <c r="Y417" s="768"/>
      <c r="Z417" s="768"/>
      <c r="AA417" s="768"/>
    </row>
    <row r="418" ht="30.0" customHeight="1">
      <c r="A418" s="768" t="str">
        <f t="array" ref="A418">XLOOKUP(C418,'High School Players'!D:D,'High School Players'!K:K,"NO",0,1)</f>
        <v>NO</v>
      </c>
      <c r="B418" s="768"/>
      <c r="C418" s="768"/>
      <c r="D418" s="768"/>
      <c r="E418" s="768"/>
      <c r="F418" s="768"/>
      <c r="G418" s="768"/>
      <c r="H418" s="768"/>
      <c r="I418" s="768"/>
      <c r="J418" s="768"/>
      <c r="K418" s="768"/>
      <c r="L418" s="768"/>
      <c r="M418" s="768"/>
      <c r="N418" s="768"/>
      <c r="O418" s="768"/>
      <c r="P418" s="768"/>
      <c r="Q418" s="768"/>
      <c r="R418" s="768"/>
      <c r="S418" s="768"/>
      <c r="T418" s="768"/>
      <c r="U418" s="768"/>
      <c r="V418" s="768"/>
      <c r="W418" s="768"/>
      <c r="X418" s="768"/>
      <c r="Y418" s="768"/>
      <c r="Z418" s="768"/>
      <c r="AA418" s="768"/>
    </row>
    <row r="419" ht="30.0" customHeight="1">
      <c r="A419" s="768" t="str">
        <f t="array" ref="A419">XLOOKUP(C419,'High School Players'!D:D,'High School Players'!K:K,"NO",0,1)</f>
        <v>NO</v>
      </c>
      <c r="B419" s="768"/>
      <c r="C419" s="768"/>
      <c r="D419" s="768"/>
      <c r="E419" s="768"/>
      <c r="F419" s="768"/>
      <c r="G419" s="768"/>
      <c r="H419" s="768"/>
      <c r="I419" s="768"/>
      <c r="J419" s="768"/>
      <c r="K419" s="768"/>
      <c r="L419" s="768"/>
      <c r="M419" s="768"/>
      <c r="N419" s="768"/>
      <c r="O419" s="768"/>
      <c r="P419" s="768"/>
      <c r="Q419" s="768"/>
      <c r="R419" s="768"/>
      <c r="S419" s="768"/>
      <c r="T419" s="768"/>
      <c r="U419" s="768"/>
      <c r="V419" s="768"/>
      <c r="W419" s="768"/>
      <c r="X419" s="768"/>
      <c r="Y419" s="768"/>
      <c r="Z419" s="768"/>
      <c r="AA419" s="768"/>
    </row>
    <row r="420" ht="30.0" customHeight="1">
      <c r="A420" s="768" t="str">
        <f t="array" ref="A420">XLOOKUP(C420,'High School Players'!D:D,'High School Players'!K:K,"NO",0,1)</f>
        <v>NO</v>
      </c>
      <c r="B420" s="768"/>
      <c r="C420" s="768"/>
      <c r="D420" s="768"/>
      <c r="E420" s="768"/>
      <c r="F420" s="768"/>
      <c r="G420" s="768"/>
      <c r="H420" s="768"/>
      <c r="I420" s="768"/>
      <c r="J420" s="768"/>
      <c r="K420" s="768"/>
      <c r="L420" s="768"/>
      <c r="M420" s="768"/>
      <c r="N420" s="768"/>
      <c r="O420" s="768"/>
      <c r="P420" s="768"/>
      <c r="Q420" s="768"/>
      <c r="R420" s="768"/>
      <c r="S420" s="768"/>
      <c r="T420" s="768"/>
      <c r="U420" s="768"/>
      <c r="V420" s="768"/>
      <c r="W420" s="768"/>
      <c r="X420" s="768"/>
      <c r="Y420" s="768"/>
      <c r="Z420" s="768"/>
      <c r="AA420" s="768"/>
    </row>
    <row r="421" ht="30.0" customHeight="1">
      <c r="A421" s="768" t="str">
        <f t="array" ref="A421">XLOOKUP(C421,'High School Players'!D:D,'High School Players'!K:K,"NO",0,1)</f>
        <v>NO</v>
      </c>
      <c r="B421" s="768"/>
      <c r="C421" s="768"/>
      <c r="D421" s="768"/>
      <c r="E421" s="768"/>
      <c r="F421" s="768"/>
      <c r="G421" s="768"/>
      <c r="H421" s="768"/>
      <c r="I421" s="768"/>
      <c r="J421" s="768"/>
      <c r="K421" s="768"/>
      <c r="L421" s="768"/>
      <c r="M421" s="768"/>
      <c r="N421" s="768"/>
      <c r="O421" s="768"/>
      <c r="P421" s="768"/>
      <c r="Q421" s="768"/>
      <c r="R421" s="768"/>
      <c r="S421" s="768"/>
      <c r="T421" s="768"/>
      <c r="U421" s="768"/>
      <c r="V421" s="768"/>
      <c r="W421" s="768"/>
      <c r="X421" s="768"/>
      <c r="Y421" s="768"/>
      <c r="Z421" s="768"/>
      <c r="AA421" s="768"/>
    </row>
    <row r="422" ht="30.0" customHeight="1">
      <c r="A422" s="768" t="str">
        <f t="array" ref="A422">XLOOKUP(C422,'High School Players'!D:D,'High School Players'!K:K,"NO",0,1)</f>
        <v>NO</v>
      </c>
      <c r="B422" s="768"/>
      <c r="C422" s="768"/>
      <c r="D422" s="768"/>
      <c r="E422" s="768"/>
      <c r="F422" s="768"/>
      <c r="G422" s="768"/>
      <c r="H422" s="768"/>
      <c r="I422" s="768"/>
      <c r="J422" s="768"/>
      <c r="K422" s="768"/>
      <c r="L422" s="768"/>
      <c r="M422" s="768"/>
      <c r="N422" s="768"/>
      <c r="O422" s="768"/>
      <c r="P422" s="768"/>
      <c r="Q422" s="768"/>
      <c r="R422" s="768"/>
      <c r="S422" s="768"/>
      <c r="T422" s="768"/>
      <c r="U422" s="768"/>
      <c r="V422" s="768"/>
      <c r="W422" s="768"/>
      <c r="X422" s="768"/>
      <c r="Y422" s="768"/>
      <c r="Z422" s="768"/>
      <c r="AA422" s="768"/>
    </row>
    <row r="423" ht="30.0" customHeight="1">
      <c r="A423" s="768" t="str">
        <f t="array" ref="A423">XLOOKUP(C423,'High School Players'!D:D,'High School Players'!K:K,"NO",0,1)</f>
        <v>NO</v>
      </c>
      <c r="B423" s="768"/>
      <c r="C423" s="768"/>
      <c r="D423" s="768"/>
      <c r="E423" s="768"/>
      <c r="F423" s="768"/>
      <c r="G423" s="768"/>
      <c r="H423" s="768"/>
      <c r="I423" s="768"/>
      <c r="J423" s="768"/>
      <c r="K423" s="768"/>
      <c r="L423" s="768"/>
      <c r="M423" s="768"/>
      <c r="N423" s="768"/>
      <c r="O423" s="768"/>
      <c r="P423" s="768"/>
      <c r="Q423" s="768"/>
      <c r="R423" s="768"/>
      <c r="S423" s="768"/>
      <c r="T423" s="768"/>
      <c r="U423" s="768"/>
      <c r="V423" s="768"/>
      <c r="W423" s="768"/>
      <c r="X423" s="768"/>
      <c r="Y423" s="768"/>
      <c r="Z423" s="768"/>
      <c r="AA423" s="768"/>
    </row>
    <row r="424" ht="30.0" customHeight="1">
      <c r="A424" s="768" t="str">
        <f t="array" ref="A424">XLOOKUP(C424,'High School Players'!D:D,'High School Players'!K:K,"NO",0,1)</f>
        <v>NO</v>
      </c>
      <c r="B424" s="768"/>
      <c r="C424" s="768"/>
      <c r="D424" s="768"/>
      <c r="E424" s="768"/>
      <c r="F424" s="768"/>
      <c r="G424" s="768"/>
      <c r="H424" s="768"/>
      <c r="I424" s="768"/>
      <c r="J424" s="768"/>
      <c r="K424" s="768"/>
      <c r="L424" s="768"/>
      <c r="M424" s="768"/>
      <c r="N424" s="768"/>
      <c r="O424" s="768"/>
      <c r="P424" s="768"/>
      <c r="Q424" s="768"/>
      <c r="R424" s="768"/>
      <c r="S424" s="768"/>
      <c r="T424" s="768"/>
      <c r="U424" s="768"/>
      <c r="V424" s="768"/>
      <c r="W424" s="768"/>
      <c r="X424" s="768"/>
      <c r="Y424" s="768"/>
      <c r="Z424" s="768"/>
      <c r="AA424" s="768"/>
    </row>
    <row r="425" ht="30.0" customHeight="1">
      <c r="A425" s="768" t="str">
        <f t="array" ref="A425">XLOOKUP(C425,'High School Players'!D:D,'High School Players'!K:K,"NO",0,1)</f>
        <v>NO</v>
      </c>
      <c r="B425" s="768"/>
      <c r="C425" s="768"/>
      <c r="D425" s="768"/>
      <c r="E425" s="768"/>
      <c r="F425" s="768"/>
      <c r="G425" s="768"/>
      <c r="H425" s="768"/>
      <c r="I425" s="768"/>
      <c r="J425" s="768"/>
      <c r="K425" s="768"/>
      <c r="L425" s="768"/>
      <c r="M425" s="768"/>
      <c r="N425" s="768"/>
      <c r="O425" s="768"/>
      <c r="P425" s="768"/>
      <c r="Q425" s="768"/>
      <c r="R425" s="768"/>
      <c r="S425" s="768"/>
      <c r="T425" s="768"/>
      <c r="U425" s="768"/>
      <c r="V425" s="768"/>
      <c r="W425" s="768"/>
      <c r="X425" s="768"/>
      <c r="Y425" s="768"/>
      <c r="Z425" s="768"/>
      <c r="AA425" s="768"/>
    </row>
    <row r="426" ht="30.0" customHeight="1">
      <c r="A426" s="768" t="str">
        <f t="array" ref="A426">XLOOKUP(C426,'High School Players'!D:D,'High School Players'!K:K,"NO",0,1)</f>
        <v>NO</v>
      </c>
      <c r="B426" s="768"/>
      <c r="C426" s="768"/>
      <c r="D426" s="768"/>
      <c r="E426" s="768"/>
      <c r="F426" s="768"/>
      <c r="G426" s="768"/>
      <c r="H426" s="768"/>
      <c r="I426" s="768"/>
      <c r="J426" s="768"/>
      <c r="K426" s="768"/>
      <c r="L426" s="768"/>
      <c r="M426" s="768"/>
      <c r="N426" s="768"/>
      <c r="O426" s="768"/>
      <c r="P426" s="768"/>
      <c r="Q426" s="768"/>
      <c r="R426" s="768"/>
      <c r="S426" s="768"/>
      <c r="T426" s="768"/>
      <c r="U426" s="768"/>
      <c r="V426" s="768"/>
      <c r="W426" s="768"/>
      <c r="X426" s="768"/>
      <c r="Y426" s="768"/>
      <c r="Z426" s="768"/>
      <c r="AA426" s="768"/>
    </row>
    <row r="427" ht="30.0" customHeight="1">
      <c r="A427" s="768" t="str">
        <f t="array" ref="A427">XLOOKUP(C427,'High School Players'!D:D,'High School Players'!K:K,"NO",0,1)</f>
        <v>NO</v>
      </c>
      <c r="B427" s="768"/>
      <c r="C427" s="768"/>
      <c r="D427" s="768"/>
      <c r="E427" s="768"/>
      <c r="F427" s="768"/>
      <c r="G427" s="768"/>
      <c r="H427" s="768"/>
      <c r="I427" s="768"/>
      <c r="J427" s="768"/>
      <c r="K427" s="768"/>
      <c r="L427" s="768"/>
      <c r="M427" s="768"/>
      <c r="N427" s="768"/>
      <c r="O427" s="768"/>
      <c r="P427" s="768"/>
      <c r="Q427" s="768"/>
      <c r="R427" s="768"/>
      <c r="S427" s="768"/>
      <c r="T427" s="768"/>
      <c r="U427" s="768"/>
      <c r="V427" s="768"/>
      <c r="W427" s="768"/>
      <c r="X427" s="768"/>
      <c r="Y427" s="768"/>
      <c r="Z427" s="768"/>
      <c r="AA427" s="768"/>
    </row>
    <row r="428" ht="30.0" customHeight="1">
      <c r="A428" s="768" t="str">
        <f t="array" ref="A428">XLOOKUP(C428,'High School Players'!D:D,'High School Players'!K:K,"NO",0,1)</f>
        <v>NO</v>
      </c>
      <c r="B428" s="768"/>
      <c r="C428" s="768"/>
      <c r="D428" s="768"/>
      <c r="E428" s="768"/>
      <c r="F428" s="768"/>
      <c r="G428" s="768"/>
      <c r="H428" s="768"/>
      <c r="I428" s="768"/>
      <c r="J428" s="768"/>
      <c r="K428" s="768"/>
      <c r="L428" s="768"/>
      <c r="M428" s="768"/>
      <c r="N428" s="768"/>
      <c r="O428" s="768"/>
      <c r="P428" s="768"/>
      <c r="Q428" s="768"/>
      <c r="R428" s="768"/>
      <c r="S428" s="768"/>
      <c r="T428" s="768"/>
      <c r="U428" s="768"/>
      <c r="V428" s="768"/>
      <c r="W428" s="768"/>
      <c r="X428" s="768"/>
      <c r="Y428" s="768"/>
      <c r="Z428" s="768"/>
      <c r="AA428" s="768"/>
    </row>
    <row r="429" ht="30.0" customHeight="1">
      <c r="A429" s="768" t="str">
        <f t="array" ref="A429">XLOOKUP(C429,'High School Players'!D:D,'High School Players'!K:K,"NO",0,1)</f>
        <v>NO</v>
      </c>
      <c r="B429" s="768"/>
      <c r="C429" s="768"/>
      <c r="D429" s="768"/>
      <c r="E429" s="768"/>
      <c r="F429" s="768"/>
      <c r="G429" s="768"/>
      <c r="H429" s="768"/>
      <c r="I429" s="768"/>
      <c r="J429" s="768"/>
      <c r="K429" s="768"/>
      <c r="L429" s="768"/>
      <c r="M429" s="768"/>
      <c r="N429" s="768"/>
      <c r="O429" s="768"/>
      <c r="P429" s="768"/>
      <c r="Q429" s="768"/>
      <c r="R429" s="768"/>
      <c r="S429" s="768"/>
      <c r="T429" s="768"/>
      <c r="U429" s="768"/>
      <c r="V429" s="768"/>
      <c r="W429" s="768"/>
      <c r="X429" s="768"/>
      <c r="Y429" s="768"/>
      <c r="Z429" s="768"/>
      <c r="AA429" s="768"/>
    </row>
    <row r="430" ht="30.0" customHeight="1">
      <c r="A430" s="768" t="str">
        <f t="array" ref="A430">XLOOKUP(C430,'High School Players'!D:D,'High School Players'!K:K,"NO",0,1)</f>
        <v>NO</v>
      </c>
      <c r="B430" s="768"/>
      <c r="C430" s="768"/>
      <c r="D430" s="768"/>
      <c r="E430" s="768"/>
      <c r="F430" s="768"/>
      <c r="G430" s="768"/>
      <c r="H430" s="768"/>
      <c r="I430" s="768"/>
      <c r="J430" s="768"/>
      <c r="K430" s="768"/>
      <c r="L430" s="768"/>
      <c r="M430" s="768"/>
      <c r="N430" s="768"/>
      <c r="O430" s="768"/>
      <c r="P430" s="768"/>
      <c r="Q430" s="768"/>
      <c r="R430" s="768"/>
      <c r="S430" s="768"/>
      <c r="T430" s="768"/>
      <c r="U430" s="768"/>
      <c r="V430" s="768"/>
      <c r="W430" s="768"/>
      <c r="X430" s="768"/>
      <c r="Y430" s="768"/>
      <c r="Z430" s="768"/>
      <c r="AA430" s="768"/>
    </row>
    <row r="431" ht="30.0" customHeight="1">
      <c r="A431" s="768" t="str">
        <f t="array" ref="A431">XLOOKUP(C431,'High School Players'!D:D,'High School Players'!K:K,"NO",0,1)</f>
        <v>NO</v>
      </c>
      <c r="B431" s="768"/>
      <c r="C431" s="768"/>
      <c r="D431" s="768"/>
      <c r="E431" s="768"/>
      <c r="F431" s="768"/>
      <c r="G431" s="768"/>
      <c r="H431" s="768"/>
      <c r="I431" s="768"/>
      <c r="J431" s="768"/>
      <c r="K431" s="768"/>
      <c r="L431" s="768"/>
      <c r="M431" s="768"/>
      <c r="N431" s="768"/>
      <c r="O431" s="768"/>
      <c r="P431" s="768"/>
      <c r="Q431" s="768"/>
      <c r="R431" s="768"/>
      <c r="S431" s="768"/>
      <c r="T431" s="768"/>
      <c r="U431" s="768"/>
      <c r="V431" s="768"/>
      <c r="W431" s="768"/>
      <c r="X431" s="768"/>
      <c r="Y431" s="768"/>
      <c r="Z431" s="768"/>
      <c r="AA431" s="768"/>
    </row>
    <row r="432" ht="30.0" customHeight="1">
      <c r="A432" s="768" t="str">
        <f t="array" ref="A432">XLOOKUP(C432,'High School Players'!D:D,'High School Players'!K:K,"NO",0,1)</f>
        <v>NO</v>
      </c>
      <c r="B432" s="768"/>
      <c r="C432" s="768"/>
      <c r="D432" s="768"/>
      <c r="E432" s="768"/>
      <c r="F432" s="768"/>
      <c r="G432" s="768"/>
      <c r="H432" s="768"/>
      <c r="I432" s="768"/>
      <c r="J432" s="768"/>
      <c r="K432" s="768"/>
      <c r="L432" s="768"/>
      <c r="M432" s="768"/>
      <c r="N432" s="768"/>
      <c r="O432" s="768"/>
      <c r="P432" s="768"/>
      <c r="Q432" s="768"/>
      <c r="R432" s="768"/>
      <c r="S432" s="768"/>
      <c r="T432" s="768"/>
      <c r="U432" s="768"/>
      <c r="V432" s="768"/>
      <c r="W432" s="768"/>
      <c r="X432" s="768"/>
      <c r="Y432" s="768"/>
      <c r="Z432" s="768"/>
      <c r="AA432" s="768"/>
    </row>
    <row r="433" ht="30.0" customHeight="1">
      <c r="A433" s="768" t="str">
        <f t="array" ref="A433">XLOOKUP(C433,'High School Players'!D:D,'High School Players'!K:K,"NO",0,1)</f>
        <v>NO</v>
      </c>
      <c r="B433" s="768"/>
      <c r="C433" s="768"/>
      <c r="D433" s="768"/>
      <c r="E433" s="768"/>
      <c r="F433" s="768"/>
      <c r="G433" s="768"/>
      <c r="H433" s="768"/>
      <c r="I433" s="768"/>
      <c r="J433" s="768"/>
      <c r="K433" s="768"/>
      <c r="L433" s="768"/>
      <c r="M433" s="768"/>
      <c r="N433" s="768"/>
      <c r="O433" s="768"/>
      <c r="P433" s="768"/>
      <c r="Q433" s="768"/>
      <c r="R433" s="768"/>
      <c r="S433" s="768"/>
      <c r="T433" s="768"/>
      <c r="U433" s="768"/>
      <c r="V433" s="768"/>
      <c r="W433" s="768"/>
      <c r="X433" s="768"/>
      <c r="Y433" s="768"/>
      <c r="Z433" s="768"/>
      <c r="AA433" s="768"/>
    </row>
    <row r="434" ht="30.0" customHeight="1">
      <c r="A434" s="768" t="str">
        <f t="array" ref="A434">XLOOKUP(C434,'High School Players'!D:D,'High School Players'!K:K,"NO",0,1)</f>
        <v>NO</v>
      </c>
      <c r="B434" s="768"/>
      <c r="C434" s="768"/>
      <c r="D434" s="768"/>
      <c r="E434" s="768"/>
      <c r="F434" s="768"/>
      <c r="G434" s="768"/>
      <c r="H434" s="768"/>
      <c r="I434" s="768"/>
      <c r="J434" s="768"/>
      <c r="K434" s="768"/>
      <c r="L434" s="768"/>
      <c r="M434" s="768"/>
      <c r="N434" s="768"/>
      <c r="O434" s="768"/>
      <c r="P434" s="768"/>
      <c r="Q434" s="768"/>
      <c r="R434" s="768"/>
      <c r="S434" s="768"/>
      <c r="T434" s="768"/>
      <c r="U434" s="768"/>
      <c r="V434" s="768"/>
      <c r="W434" s="768"/>
      <c r="X434" s="768"/>
      <c r="Y434" s="768"/>
      <c r="Z434" s="768"/>
      <c r="AA434" s="768"/>
    </row>
    <row r="435" ht="30.0" customHeight="1">
      <c r="A435" s="768" t="str">
        <f t="array" ref="A435">XLOOKUP(C435,'High School Players'!D:D,'High School Players'!K:K,"NO",0,1)</f>
        <v>NO</v>
      </c>
      <c r="B435" s="768"/>
      <c r="C435" s="768"/>
      <c r="D435" s="768"/>
      <c r="E435" s="768"/>
      <c r="F435" s="768"/>
      <c r="G435" s="768"/>
      <c r="H435" s="768"/>
      <c r="I435" s="768"/>
      <c r="J435" s="768"/>
      <c r="K435" s="768"/>
      <c r="L435" s="768"/>
      <c r="M435" s="768"/>
      <c r="N435" s="768"/>
      <c r="O435" s="768"/>
      <c r="P435" s="768"/>
      <c r="Q435" s="768"/>
      <c r="R435" s="768"/>
      <c r="S435" s="768"/>
      <c r="T435" s="768"/>
      <c r="U435" s="768"/>
      <c r="V435" s="768"/>
      <c r="W435" s="768"/>
      <c r="X435" s="768"/>
      <c r="Y435" s="768"/>
      <c r="Z435" s="768"/>
      <c r="AA435" s="768"/>
    </row>
    <row r="436" ht="30.0" customHeight="1">
      <c r="A436" s="768" t="str">
        <f t="array" ref="A436">XLOOKUP(C436,'High School Players'!D:D,'High School Players'!K:K,"NO",0,1)</f>
        <v>NO</v>
      </c>
      <c r="B436" s="768"/>
      <c r="C436" s="768"/>
      <c r="D436" s="768"/>
      <c r="E436" s="768"/>
      <c r="F436" s="768"/>
      <c r="G436" s="768"/>
      <c r="H436" s="768"/>
      <c r="I436" s="768"/>
      <c r="J436" s="768"/>
      <c r="K436" s="768"/>
      <c r="L436" s="768"/>
      <c r="M436" s="768"/>
      <c r="N436" s="768"/>
      <c r="O436" s="768"/>
      <c r="P436" s="768"/>
      <c r="Q436" s="768"/>
      <c r="R436" s="768"/>
      <c r="S436" s="768"/>
      <c r="T436" s="768"/>
      <c r="U436" s="768"/>
      <c r="V436" s="768"/>
      <c r="W436" s="768"/>
      <c r="X436" s="768"/>
      <c r="Y436" s="768"/>
      <c r="Z436" s="768"/>
      <c r="AA436" s="768"/>
    </row>
    <row r="437" ht="30.0" customHeight="1">
      <c r="A437" s="768" t="str">
        <f t="array" ref="A437">XLOOKUP(C437,'High School Players'!D:D,'High School Players'!K:K,"NO",0,1)</f>
        <v>NO</v>
      </c>
      <c r="B437" s="768"/>
      <c r="C437" s="768"/>
      <c r="D437" s="768"/>
      <c r="E437" s="768"/>
      <c r="F437" s="768"/>
      <c r="G437" s="768"/>
      <c r="H437" s="768"/>
      <c r="I437" s="768"/>
      <c r="J437" s="768"/>
      <c r="K437" s="768"/>
      <c r="L437" s="768"/>
      <c r="M437" s="768"/>
      <c r="N437" s="768"/>
      <c r="O437" s="768"/>
      <c r="P437" s="768"/>
      <c r="Q437" s="768"/>
      <c r="R437" s="768"/>
      <c r="S437" s="768"/>
      <c r="T437" s="768"/>
      <c r="U437" s="768"/>
      <c r="V437" s="768"/>
      <c r="W437" s="768"/>
      <c r="X437" s="768"/>
      <c r="Y437" s="768"/>
      <c r="Z437" s="768"/>
      <c r="AA437" s="768"/>
    </row>
    <row r="438" ht="30.0" customHeight="1">
      <c r="A438" s="768" t="str">
        <f t="array" ref="A438">XLOOKUP(C438,'High School Players'!D:D,'High School Players'!K:K,"NO",0,1)</f>
        <v>NO</v>
      </c>
      <c r="B438" s="768"/>
      <c r="C438" s="768"/>
      <c r="D438" s="768"/>
      <c r="E438" s="768"/>
      <c r="F438" s="768"/>
      <c r="G438" s="768"/>
      <c r="H438" s="768"/>
      <c r="I438" s="768"/>
      <c r="J438" s="768"/>
      <c r="K438" s="768"/>
      <c r="L438" s="768"/>
      <c r="M438" s="768"/>
      <c r="N438" s="768"/>
      <c r="O438" s="768"/>
      <c r="P438" s="768"/>
      <c r="Q438" s="768"/>
      <c r="R438" s="768"/>
      <c r="S438" s="768"/>
      <c r="T438" s="768"/>
      <c r="U438" s="768"/>
      <c r="V438" s="768"/>
      <c r="W438" s="768"/>
      <c r="X438" s="768"/>
      <c r="Y438" s="768"/>
      <c r="Z438" s="768"/>
      <c r="AA438" s="768"/>
    </row>
    <row r="439" ht="30.0" customHeight="1">
      <c r="A439" s="768" t="str">
        <f t="array" ref="A439">XLOOKUP(C439,'High School Players'!D:D,'High School Players'!K:K,"NO",0,1)</f>
        <v>NO</v>
      </c>
      <c r="B439" s="768"/>
      <c r="C439" s="768"/>
      <c r="D439" s="768"/>
      <c r="E439" s="768"/>
      <c r="F439" s="768"/>
      <c r="G439" s="768"/>
      <c r="H439" s="768"/>
      <c r="I439" s="768"/>
      <c r="J439" s="768"/>
      <c r="K439" s="768"/>
      <c r="L439" s="768"/>
      <c r="M439" s="768"/>
      <c r="N439" s="768"/>
      <c r="O439" s="768"/>
      <c r="P439" s="768"/>
      <c r="Q439" s="768"/>
      <c r="R439" s="768"/>
      <c r="S439" s="768"/>
      <c r="T439" s="768"/>
      <c r="U439" s="768"/>
      <c r="V439" s="768"/>
      <c r="W439" s="768"/>
      <c r="X439" s="768"/>
      <c r="Y439" s="768"/>
      <c r="Z439" s="768"/>
      <c r="AA439" s="768"/>
    </row>
    <row r="440" ht="30.0" customHeight="1">
      <c r="A440" s="768" t="str">
        <f t="array" ref="A440">XLOOKUP(C440,'High School Players'!D:D,'High School Players'!K:K,"NO",0,1)</f>
        <v>NO</v>
      </c>
      <c r="B440" s="768"/>
      <c r="C440" s="768"/>
      <c r="D440" s="768"/>
      <c r="E440" s="768"/>
      <c r="F440" s="768"/>
      <c r="G440" s="768"/>
      <c r="H440" s="768"/>
      <c r="I440" s="768"/>
      <c r="J440" s="768"/>
      <c r="K440" s="768"/>
      <c r="L440" s="768"/>
      <c r="M440" s="768"/>
      <c r="N440" s="768"/>
      <c r="O440" s="768"/>
      <c r="P440" s="768"/>
      <c r="Q440" s="768"/>
      <c r="R440" s="768"/>
      <c r="S440" s="768"/>
      <c r="T440" s="768"/>
      <c r="U440" s="768"/>
      <c r="V440" s="768"/>
      <c r="W440" s="768"/>
      <c r="X440" s="768"/>
      <c r="Y440" s="768"/>
      <c r="Z440" s="768"/>
      <c r="AA440" s="768"/>
    </row>
    <row r="441" ht="30.0" customHeight="1">
      <c r="A441" s="768" t="str">
        <f t="array" ref="A441">XLOOKUP(C441,'High School Players'!D:D,'High School Players'!K:K,"NO",0,1)</f>
        <v>NO</v>
      </c>
      <c r="B441" s="768"/>
      <c r="C441" s="768"/>
      <c r="D441" s="768"/>
      <c r="E441" s="768"/>
      <c r="F441" s="768"/>
      <c r="G441" s="768"/>
      <c r="H441" s="768"/>
      <c r="I441" s="768"/>
      <c r="J441" s="768"/>
      <c r="K441" s="768"/>
      <c r="L441" s="768"/>
      <c r="M441" s="768"/>
      <c r="N441" s="768"/>
      <c r="O441" s="768"/>
      <c r="P441" s="768"/>
      <c r="Q441" s="768"/>
      <c r="R441" s="768"/>
      <c r="S441" s="768"/>
      <c r="T441" s="768"/>
      <c r="U441" s="768"/>
      <c r="V441" s="768"/>
      <c r="W441" s="768"/>
      <c r="X441" s="768"/>
      <c r="Y441" s="768"/>
      <c r="Z441" s="768"/>
      <c r="AA441" s="768"/>
    </row>
    <row r="442" ht="30.0" customHeight="1">
      <c r="A442" s="768" t="str">
        <f t="array" ref="A442">XLOOKUP(C442,'High School Players'!D:D,'High School Players'!K:K,"NO",0,1)</f>
        <v>NO</v>
      </c>
      <c r="B442" s="768"/>
      <c r="C442" s="768"/>
      <c r="D442" s="768"/>
      <c r="E442" s="768"/>
      <c r="F442" s="768"/>
      <c r="G442" s="768"/>
      <c r="H442" s="768"/>
      <c r="I442" s="768"/>
      <c r="J442" s="768"/>
      <c r="K442" s="768"/>
      <c r="L442" s="768"/>
      <c r="M442" s="768"/>
      <c r="N442" s="768"/>
      <c r="O442" s="768"/>
      <c r="P442" s="768"/>
      <c r="Q442" s="768"/>
      <c r="R442" s="768"/>
      <c r="S442" s="768"/>
      <c r="T442" s="768"/>
      <c r="U442" s="768"/>
      <c r="V442" s="768"/>
      <c r="W442" s="768"/>
      <c r="X442" s="768"/>
      <c r="Y442" s="768"/>
      <c r="Z442" s="768"/>
      <c r="AA442" s="768"/>
    </row>
    <row r="443" ht="30.0" customHeight="1">
      <c r="A443" s="768" t="str">
        <f t="array" ref="A443">XLOOKUP(C443,'High School Players'!D:D,'High School Players'!K:K,"NO",0,1)</f>
        <v>NO</v>
      </c>
      <c r="B443" s="768"/>
      <c r="C443" s="768"/>
      <c r="D443" s="768"/>
      <c r="E443" s="768"/>
      <c r="F443" s="768"/>
      <c r="G443" s="768"/>
      <c r="H443" s="768"/>
      <c r="I443" s="768"/>
      <c r="J443" s="768"/>
      <c r="K443" s="768"/>
      <c r="L443" s="768"/>
      <c r="M443" s="768"/>
      <c r="N443" s="768"/>
      <c r="O443" s="768"/>
      <c r="P443" s="768"/>
      <c r="Q443" s="768"/>
      <c r="R443" s="768"/>
      <c r="S443" s="768"/>
      <c r="T443" s="768"/>
      <c r="U443" s="768"/>
      <c r="V443" s="768"/>
      <c r="W443" s="768"/>
      <c r="X443" s="768"/>
      <c r="Y443" s="768"/>
      <c r="Z443" s="768"/>
      <c r="AA443" s="768"/>
    </row>
    <row r="444" ht="30.0" customHeight="1">
      <c r="A444" s="768" t="str">
        <f t="array" ref="A444">XLOOKUP(C444,'High School Players'!D:D,'High School Players'!K:K,"NO",0,1)</f>
        <v>NO</v>
      </c>
      <c r="B444" s="768"/>
      <c r="C444" s="768"/>
      <c r="D444" s="768"/>
      <c r="E444" s="768"/>
      <c r="F444" s="768"/>
      <c r="G444" s="768"/>
      <c r="H444" s="768"/>
      <c r="I444" s="768"/>
      <c r="J444" s="768"/>
      <c r="K444" s="768"/>
      <c r="L444" s="768"/>
      <c r="M444" s="768"/>
      <c r="N444" s="768"/>
      <c r="O444" s="768"/>
      <c r="P444" s="768"/>
      <c r="Q444" s="768"/>
      <c r="R444" s="768"/>
      <c r="S444" s="768"/>
      <c r="T444" s="768"/>
      <c r="U444" s="768"/>
      <c r="V444" s="768"/>
      <c r="W444" s="768"/>
      <c r="X444" s="768"/>
      <c r="Y444" s="768"/>
      <c r="Z444" s="768"/>
      <c r="AA444" s="768"/>
    </row>
    <row r="445" ht="30.0" customHeight="1">
      <c r="A445" s="768" t="str">
        <f t="array" ref="A445">XLOOKUP(C445,'High School Players'!D:D,'High School Players'!K:K,"NO",0,1)</f>
        <v>NO</v>
      </c>
      <c r="B445" s="768"/>
      <c r="C445" s="768"/>
      <c r="D445" s="768"/>
      <c r="E445" s="768"/>
      <c r="F445" s="768"/>
      <c r="G445" s="768"/>
      <c r="H445" s="768"/>
      <c r="I445" s="768"/>
      <c r="J445" s="768"/>
      <c r="K445" s="768"/>
      <c r="L445" s="768"/>
      <c r="M445" s="768"/>
      <c r="N445" s="768"/>
      <c r="O445" s="768"/>
      <c r="P445" s="768"/>
      <c r="Q445" s="768"/>
      <c r="R445" s="768"/>
      <c r="S445" s="768"/>
      <c r="T445" s="768"/>
      <c r="U445" s="768"/>
      <c r="V445" s="768"/>
      <c r="W445" s="768"/>
      <c r="X445" s="768"/>
      <c r="Y445" s="768"/>
      <c r="Z445" s="768"/>
      <c r="AA445" s="768"/>
    </row>
    <row r="446" ht="30.0" customHeight="1">
      <c r="A446" s="768" t="str">
        <f t="array" ref="A446">XLOOKUP(C446,'High School Players'!D:D,'High School Players'!K:K,"NO",0,1)</f>
        <v>NO</v>
      </c>
      <c r="B446" s="768"/>
      <c r="C446" s="768"/>
      <c r="D446" s="768"/>
      <c r="E446" s="768"/>
      <c r="F446" s="768"/>
      <c r="G446" s="768"/>
      <c r="H446" s="768"/>
      <c r="I446" s="768"/>
      <c r="J446" s="768"/>
      <c r="K446" s="768"/>
      <c r="L446" s="768"/>
      <c r="M446" s="768"/>
      <c r="N446" s="768"/>
      <c r="O446" s="768"/>
      <c r="P446" s="768"/>
      <c r="Q446" s="768"/>
      <c r="R446" s="768"/>
      <c r="S446" s="768"/>
      <c r="T446" s="768"/>
      <c r="U446" s="768"/>
      <c r="V446" s="768"/>
      <c r="W446" s="768"/>
      <c r="X446" s="768"/>
      <c r="Y446" s="768"/>
      <c r="Z446" s="768"/>
      <c r="AA446" s="768"/>
    </row>
    <row r="447" ht="30.0" customHeight="1">
      <c r="A447" s="768" t="str">
        <f t="array" ref="A447">XLOOKUP(C447,'High School Players'!D:D,'High School Players'!K:K,"NO",0,1)</f>
        <v>NO</v>
      </c>
      <c r="B447" s="768"/>
      <c r="C447" s="768"/>
      <c r="D447" s="768"/>
      <c r="E447" s="768"/>
      <c r="F447" s="768"/>
      <c r="G447" s="768"/>
      <c r="H447" s="768"/>
      <c r="I447" s="768"/>
      <c r="J447" s="768"/>
      <c r="K447" s="768"/>
      <c r="L447" s="768"/>
      <c r="M447" s="768"/>
      <c r="N447" s="768"/>
      <c r="O447" s="768"/>
      <c r="P447" s="768"/>
      <c r="Q447" s="768"/>
      <c r="R447" s="768"/>
      <c r="S447" s="768"/>
      <c r="T447" s="768"/>
      <c r="U447" s="768"/>
      <c r="V447" s="768"/>
      <c r="W447" s="768"/>
      <c r="X447" s="768"/>
      <c r="Y447" s="768"/>
      <c r="Z447" s="768"/>
      <c r="AA447" s="768"/>
    </row>
    <row r="448" ht="30.0" customHeight="1">
      <c r="A448" s="768" t="str">
        <f t="array" ref="A448">XLOOKUP(C448,'High School Players'!D:D,'High School Players'!K:K,"NO",0,1)</f>
        <v>NO</v>
      </c>
      <c r="B448" s="768"/>
      <c r="C448" s="768"/>
      <c r="D448" s="768"/>
      <c r="E448" s="768"/>
      <c r="F448" s="768"/>
      <c r="G448" s="768"/>
      <c r="H448" s="768"/>
      <c r="I448" s="768"/>
      <c r="J448" s="768"/>
      <c r="K448" s="768"/>
      <c r="L448" s="768"/>
      <c r="M448" s="768"/>
      <c r="N448" s="768"/>
      <c r="O448" s="768"/>
      <c r="P448" s="768"/>
      <c r="Q448" s="768"/>
      <c r="R448" s="768"/>
      <c r="S448" s="768"/>
      <c r="T448" s="768"/>
      <c r="U448" s="768"/>
      <c r="V448" s="768"/>
      <c r="W448" s="768"/>
      <c r="X448" s="768"/>
      <c r="Y448" s="768"/>
      <c r="Z448" s="768"/>
      <c r="AA448" s="768"/>
    </row>
    <row r="449" ht="30.0" customHeight="1">
      <c r="A449" s="768" t="str">
        <f t="array" ref="A449">XLOOKUP(C449,'High School Players'!D:D,'High School Players'!K:K,"NO",0,1)</f>
        <v>NO</v>
      </c>
      <c r="B449" s="768"/>
      <c r="C449" s="768"/>
      <c r="D449" s="768"/>
      <c r="E449" s="768"/>
      <c r="F449" s="768"/>
      <c r="G449" s="768"/>
      <c r="H449" s="768"/>
      <c r="I449" s="768"/>
      <c r="J449" s="768"/>
      <c r="K449" s="768"/>
      <c r="L449" s="768"/>
      <c r="M449" s="768"/>
      <c r="N449" s="768"/>
      <c r="O449" s="768"/>
      <c r="P449" s="768"/>
      <c r="Q449" s="768"/>
      <c r="R449" s="768"/>
      <c r="S449" s="768"/>
      <c r="T449" s="768"/>
      <c r="U449" s="768"/>
      <c r="V449" s="768"/>
      <c r="W449" s="768"/>
      <c r="X449" s="768"/>
      <c r="Y449" s="768"/>
      <c r="Z449" s="768"/>
      <c r="AA449" s="768"/>
    </row>
    <row r="450" ht="30.0" customHeight="1">
      <c r="A450" s="768" t="str">
        <f t="array" ref="A450">XLOOKUP(C450,'High School Players'!D:D,'High School Players'!K:K,"NO",0,1)</f>
        <v>NO</v>
      </c>
      <c r="B450" s="768"/>
      <c r="C450" s="768"/>
      <c r="D450" s="768"/>
      <c r="E450" s="768"/>
      <c r="F450" s="768"/>
      <c r="G450" s="768"/>
      <c r="H450" s="768"/>
      <c r="I450" s="768"/>
      <c r="J450" s="768"/>
      <c r="K450" s="768"/>
      <c r="L450" s="768"/>
      <c r="M450" s="768"/>
      <c r="N450" s="768"/>
      <c r="O450" s="768"/>
      <c r="P450" s="768"/>
      <c r="Q450" s="768"/>
      <c r="R450" s="768"/>
      <c r="S450" s="768"/>
      <c r="T450" s="768"/>
      <c r="U450" s="768"/>
      <c r="V450" s="768"/>
      <c r="W450" s="768"/>
      <c r="X450" s="768"/>
      <c r="Y450" s="768"/>
      <c r="Z450" s="768"/>
      <c r="AA450" s="768"/>
    </row>
    <row r="451" ht="30.0" customHeight="1">
      <c r="A451" s="768" t="str">
        <f t="array" ref="A451">XLOOKUP(C451,'High School Players'!D:D,'High School Players'!K:K,"NO",0,1)</f>
        <v>NO</v>
      </c>
      <c r="B451" s="768"/>
      <c r="C451" s="768"/>
      <c r="D451" s="768"/>
      <c r="E451" s="768"/>
      <c r="F451" s="768"/>
      <c r="G451" s="768"/>
      <c r="H451" s="768"/>
      <c r="I451" s="768"/>
      <c r="J451" s="768"/>
      <c r="K451" s="768"/>
      <c r="L451" s="768"/>
      <c r="M451" s="768"/>
      <c r="N451" s="768"/>
      <c r="O451" s="768"/>
      <c r="P451" s="768"/>
      <c r="Q451" s="768"/>
      <c r="R451" s="768"/>
      <c r="S451" s="768"/>
      <c r="T451" s="768"/>
      <c r="U451" s="768"/>
      <c r="V451" s="768"/>
      <c r="W451" s="768"/>
      <c r="X451" s="768"/>
      <c r="Y451" s="768"/>
      <c r="Z451" s="768"/>
      <c r="AA451" s="768"/>
    </row>
    <row r="452" ht="30.0" customHeight="1">
      <c r="A452" s="768" t="str">
        <f t="array" ref="A452">XLOOKUP(C452,'High School Players'!D:D,'High School Players'!K:K,"NO",0,1)</f>
        <v>NO</v>
      </c>
      <c r="B452" s="768"/>
      <c r="C452" s="768"/>
      <c r="D452" s="768"/>
      <c r="E452" s="768"/>
      <c r="F452" s="768"/>
      <c r="G452" s="768"/>
      <c r="H452" s="768"/>
      <c r="I452" s="768"/>
      <c r="J452" s="768"/>
      <c r="K452" s="768"/>
      <c r="L452" s="768"/>
      <c r="M452" s="768"/>
      <c r="N452" s="768"/>
      <c r="O452" s="768"/>
      <c r="P452" s="768"/>
      <c r="Q452" s="768"/>
      <c r="R452" s="768"/>
      <c r="S452" s="768"/>
      <c r="T452" s="768"/>
      <c r="U452" s="768"/>
      <c r="V452" s="768"/>
      <c r="W452" s="768"/>
      <c r="X452" s="768"/>
      <c r="Y452" s="768"/>
      <c r="Z452" s="768"/>
      <c r="AA452" s="768"/>
    </row>
    <row r="453" ht="30.0" customHeight="1">
      <c r="A453" s="768" t="str">
        <f t="array" ref="A453">XLOOKUP(C453,'High School Players'!D:D,'High School Players'!K:K,"NO",0,1)</f>
        <v>NO</v>
      </c>
      <c r="B453" s="768"/>
      <c r="C453" s="768"/>
      <c r="D453" s="768"/>
      <c r="E453" s="768"/>
      <c r="F453" s="768"/>
      <c r="G453" s="768"/>
      <c r="H453" s="768"/>
      <c r="I453" s="768"/>
      <c r="J453" s="768"/>
      <c r="K453" s="768"/>
      <c r="L453" s="768"/>
      <c r="M453" s="768"/>
      <c r="N453" s="768"/>
      <c r="O453" s="768"/>
      <c r="P453" s="768"/>
      <c r="Q453" s="768"/>
      <c r="R453" s="768"/>
      <c r="S453" s="768"/>
      <c r="T453" s="768"/>
      <c r="U453" s="768"/>
      <c r="V453" s="768"/>
      <c r="W453" s="768"/>
      <c r="X453" s="768"/>
      <c r="Y453" s="768"/>
      <c r="Z453" s="768"/>
      <c r="AA453" s="768"/>
    </row>
    <row r="454" ht="30.0" customHeight="1">
      <c r="A454" s="768" t="str">
        <f t="array" ref="A454">XLOOKUP(C454,'High School Players'!D:D,'High School Players'!K:K,"NO",0,1)</f>
        <v>NO</v>
      </c>
      <c r="B454" s="768"/>
      <c r="C454" s="768"/>
      <c r="D454" s="768"/>
      <c r="E454" s="768"/>
      <c r="F454" s="768"/>
      <c r="G454" s="768"/>
      <c r="H454" s="768"/>
      <c r="I454" s="768"/>
      <c r="J454" s="768"/>
      <c r="K454" s="768"/>
      <c r="L454" s="768"/>
      <c r="M454" s="768"/>
      <c r="N454" s="768"/>
      <c r="O454" s="768"/>
      <c r="P454" s="768"/>
      <c r="Q454" s="768"/>
      <c r="R454" s="768"/>
      <c r="S454" s="768"/>
      <c r="T454" s="768"/>
      <c r="U454" s="768"/>
      <c r="V454" s="768"/>
      <c r="W454" s="768"/>
      <c r="X454" s="768"/>
      <c r="Y454" s="768"/>
      <c r="Z454" s="768"/>
      <c r="AA454" s="768"/>
    </row>
    <row r="455" ht="30.0" customHeight="1">
      <c r="A455" s="768" t="str">
        <f t="array" ref="A455">XLOOKUP(C455,'High School Players'!D:D,'High School Players'!K:K,"NO",0,1)</f>
        <v>NO</v>
      </c>
      <c r="B455" s="768"/>
      <c r="C455" s="768"/>
      <c r="D455" s="768"/>
      <c r="E455" s="768"/>
      <c r="F455" s="768"/>
      <c r="G455" s="768"/>
      <c r="H455" s="768"/>
      <c r="I455" s="768"/>
      <c r="J455" s="768"/>
      <c r="K455" s="768"/>
      <c r="L455" s="768"/>
      <c r="M455" s="768"/>
      <c r="N455" s="768"/>
      <c r="O455" s="768"/>
      <c r="P455" s="768"/>
      <c r="Q455" s="768"/>
      <c r="R455" s="768"/>
      <c r="S455" s="768"/>
      <c r="T455" s="768"/>
      <c r="U455" s="768"/>
      <c r="V455" s="768"/>
      <c r="W455" s="768"/>
      <c r="X455" s="768"/>
      <c r="Y455" s="768"/>
      <c r="Z455" s="768"/>
      <c r="AA455" s="768"/>
    </row>
    <row r="456" ht="30.0" customHeight="1">
      <c r="A456" s="768" t="str">
        <f t="array" ref="A456">XLOOKUP(C456,'High School Players'!D:D,'High School Players'!K:K,"NO",0,1)</f>
        <v>NO</v>
      </c>
      <c r="B456" s="768"/>
      <c r="C456" s="768"/>
      <c r="D456" s="768"/>
      <c r="E456" s="768"/>
      <c r="F456" s="768"/>
      <c r="G456" s="768"/>
      <c r="H456" s="768"/>
      <c r="I456" s="768"/>
      <c r="J456" s="768"/>
      <c r="K456" s="768"/>
      <c r="L456" s="768"/>
      <c r="M456" s="768"/>
      <c r="N456" s="768"/>
      <c r="O456" s="768"/>
      <c r="P456" s="768"/>
      <c r="Q456" s="768"/>
      <c r="R456" s="768"/>
      <c r="S456" s="768"/>
      <c r="T456" s="768"/>
      <c r="U456" s="768"/>
      <c r="V456" s="768"/>
      <c r="W456" s="768"/>
      <c r="X456" s="768"/>
      <c r="Y456" s="768"/>
      <c r="Z456" s="768"/>
      <c r="AA456" s="768"/>
    </row>
    <row r="457" ht="30.0" customHeight="1">
      <c r="A457" s="768" t="str">
        <f t="array" ref="A457">XLOOKUP(C457,'High School Players'!D:D,'High School Players'!K:K,"NO",0,1)</f>
        <v>NO</v>
      </c>
      <c r="B457" s="768"/>
      <c r="C457" s="768"/>
      <c r="D457" s="768"/>
      <c r="E457" s="768"/>
      <c r="F457" s="768"/>
      <c r="G457" s="768"/>
      <c r="H457" s="768"/>
      <c r="I457" s="768"/>
      <c r="J457" s="768"/>
      <c r="K457" s="768"/>
      <c r="L457" s="768"/>
      <c r="M457" s="768"/>
      <c r="N457" s="768"/>
      <c r="O457" s="768"/>
      <c r="P457" s="768"/>
      <c r="Q457" s="768"/>
      <c r="R457" s="768"/>
      <c r="S457" s="768"/>
      <c r="T457" s="768"/>
      <c r="U457" s="768"/>
      <c r="V457" s="768"/>
      <c r="W457" s="768"/>
      <c r="X457" s="768"/>
      <c r="Y457" s="768"/>
      <c r="Z457" s="768"/>
      <c r="AA457" s="768"/>
    </row>
    <row r="458" ht="30.0" customHeight="1">
      <c r="A458" s="768" t="str">
        <f t="array" ref="A458">XLOOKUP(C458,'High School Players'!D:D,'High School Players'!K:K,"NO",0,1)</f>
        <v>NO</v>
      </c>
      <c r="B458" s="768"/>
      <c r="C458" s="768"/>
      <c r="D458" s="768"/>
      <c r="E458" s="768"/>
      <c r="F458" s="768"/>
      <c r="G458" s="768"/>
      <c r="H458" s="768"/>
      <c r="I458" s="768"/>
      <c r="J458" s="768"/>
      <c r="K458" s="768"/>
      <c r="L458" s="768"/>
      <c r="M458" s="768"/>
      <c r="N458" s="768"/>
      <c r="O458" s="768"/>
      <c r="P458" s="768"/>
      <c r="Q458" s="768"/>
      <c r="R458" s="768"/>
      <c r="S458" s="768"/>
      <c r="T458" s="768"/>
      <c r="U458" s="768"/>
      <c r="V458" s="768"/>
      <c r="W458" s="768"/>
      <c r="X458" s="768"/>
      <c r="Y458" s="768"/>
      <c r="Z458" s="768"/>
      <c r="AA458" s="768"/>
    </row>
    <row r="459" ht="30.0" customHeight="1">
      <c r="A459" s="768" t="str">
        <f t="array" ref="A459">XLOOKUP(C459,'High School Players'!D:D,'High School Players'!K:K,"NO",0,1)</f>
        <v>NO</v>
      </c>
      <c r="B459" s="768"/>
      <c r="C459" s="768"/>
      <c r="D459" s="768"/>
      <c r="E459" s="768"/>
      <c r="F459" s="768"/>
      <c r="G459" s="768"/>
      <c r="H459" s="768"/>
      <c r="I459" s="768"/>
      <c r="J459" s="768"/>
      <c r="K459" s="768"/>
      <c r="L459" s="768"/>
      <c r="M459" s="768"/>
      <c r="N459" s="768"/>
      <c r="O459" s="768"/>
      <c r="P459" s="768"/>
      <c r="Q459" s="768"/>
      <c r="R459" s="768"/>
      <c r="S459" s="768"/>
      <c r="T459" s="768"/>
      <c r="U459" s="768"/>
      <c r="V459" s="768"/>
      <c r="W459" s="768"/>
      <c r="X459" s="768"/>
      <c r="Y459" s="768"/>
      <c r="Z459" s="768"/>
      <c r="AA459" s="768"/>
    </row>
    <row r="460" ht="30.0" customHeight="1">
      <c r="A460" s="768" t="str">
        <f t="array" ref="A460">XLOOKUP(C460,'High School Players'!D:D,'High School Players'!K:K,"NO",0,1)</f>
        <v>NO</v>
      </c>
      <c r="B460" s="768"/>
      <c r="C460" s="768"/>
      <c r="D460" s="768"/>
      <c r="E460" s="768"/>
      <c r="F460" s="768"/>
      <c r="G460" s="768"/>
      <c r="H460" s="768"/>
      <c r="I460" s="768"/>
      <c r="J460" s="768"/>
      <c r="K460" s="768"/>
      <c r="L460" s="768"/>
      <c r="M460" s="768"/>
      <c r="N460" s="768"/>
      <c r="O460" s="768"/>
      <c r="P460" s="768"/>
      <c r="Q460" s="768"/>
      <c r="R460" s="768"/>
      <c r="S460" s="768"/>
      <c r="T460" s="768"/>
      <c r="U460" s="768"/>
      <c r="V460" s="768"/>
      <c r="W460" s="768"/>
      <c r="X460" s="768"/>
      <c r="Y460" s="768"/>
      <c r="Z460" s="768"/>
      <c r="AA460" s="768"/>
    </row>
    <row r="461" ht="30.0" customHeight="1">
      <c r="A461" s="768" t="str">
        <f t="array" ref="A461">XLOOKUP(C461,'High School Players'!D:D,'High School Players'!K:K,"NO",0,1)</f>
        <v>NO</v>
      </c>
      <c r="B461" s="768"/>
      <c r="C461" s="768"/>
      <c r="D461" s="768"/>
      <c r="E461" s="768"/>
      <c r="F461" s="768"/>
      <c r="G461" s="768"/>
      <c r="H461" s="768"/>
      <c r="I461" s="768"/>
      <c r="J461" s="768"/>
      <c r="K461" s="768"/>
      <c r="L461" s="768"/>
      <c r="M461" s="768"/>
      <c r="N461" s="768"/>
      <c r="O461" s="768"/>
      <c r="P461" s="768"/>
      <c r="Q461" s="768"/>
      <c r="R461" s="768"/>
      <c r="S461" s="768"/>
      <c r="T461" s="768"/>
      <c r="U461" s="768"/>
      <c r="V461" s="768"/>
      <c r="W461" s="768"/>
      <c r="X461" s="768"/>
      <c r="Y461" s="768"/>
      <c r="Z461" s="768"/>
      <c r="AA461" s="768"/>
    </row>
    <row r="462" ht="30.0" customHeight="1">
      <c r="A462" s="768" t="str">
        <f t="array" ref="A462">XLOOKUP(C462,'High School Players'!D:D,'High School Players'!K:K,"NO",0,1)</f>
        <v>NO</v>
      </c>
      <c r="B462" s="768"/>
      <c r="C462" s="768"/>
      <c r="D462" s="768"/>
      <c r="E462" s="768"/>
      <c r="F462" s="768"/>
      <c r="G462" s="768"/>
      <c r="H462" s="768"/>
      <c r="I462" s="768"/>
      <c r="J462" s="768"/>
      <c r="K462" s="768"/>
      <c r="L462" s="768"/>
      <c r="M462" s="768"/>
      <c r="N462" s="768"/>
      <c r="O462" s="768"/>
      <c r="P462" s="768"/>
      <c r="Q462" s="768"/>
      <c r="R462" s="768"/>
      <c r="S462" s="768"/>
      <c r="T462" s="768"/>
      <c r="U462" s="768"/>
      <c r="V462" s="768"/>
      <c r="W462" s="768"/>
      <c r="X462" s="768"/>
      <c r="Y462" s="768"/>
      <c r="Z462" s="768"/>
      <c r="AA462" s="768"/>
    </row>
    <row r="463" ht="30.0" customHeight="1">
      <c r="A463" s="768" t="str">
        <f t="array" ref="A463">XLOOKUP(C463,'High School Players'!D:D,'High School Players'!K:K,"NO",0,1)</f>
        <v>NO</v>
      </c>
      <c r="B463" s="768"/>
      <c r="C463" s="768"/>
      <c r="D463" s="768"/>
      <c r="E463" s="768"/>
      <c r="F463" s="768"/>
      <c r="G463" s="768"/>
      <c r="H463" s="768"/>
      <c r="I463" s="768"/>
      <c r="J463" s="768"/>
      <c r="K463" s="768"/>
      <c r="L463" s="768"/>
      <c r="M463" s="768"/>
      <c r="N463" s="768"/>
      <c r="O463" s="768"/>
      <c r="P463" s="768"/>
      <c r="Q463" s="768"/>
      <c r="R463" s="768"/>
      <c r="S463" s="768"/>
      <c r="T463" s="768"/>
      <c r="U463" s="768"/>
      <c r="V463" s="768"/>
      <c r="W463" s="768"/>
      <c r="X463" s="768"/>
      <c r="Y463" s="768"/>
      <c r="Z463" s="768"/>
      <c r="AA463" s="768"/>
    </row>
    <row r="464" ht="30.0" customHeight="1">
      <c r="A464" s="768" t="str">
        <f t="array" ref="A464">XLOOKUP(C464,'High School Players'!D:D,'High School Players'!K:K,"NO",0,1)</f>
        <v>NO</v>
      </c>
      <c r="B464" s="768"/>
      <c r="C464" s="768"/>
      <c r="D464" s="768"/>
      <c r="E464" s="768"/>
      <c r="F464" s="768"/>
      <c r="G464" s="768"/>
      <c r="H464" s="768"/>
      <c r="I464" s="768"/>
      <c r="J464" s="768"/>
      <c r="K464" s="768"/>
      <c r="L464" s="768"/>
      <c r="M464" s="768"/>
      <c r="N464" s="768"/>
      <c r="O464" s="768"/>
      <c r="P464" s="768"/>
      <c r="Q464" s="768"/>
      <c r="R464" s="768"/>
      <c r="S464" s="768"/>
      <c r="T464" s="768"/>
      <c r="U464" s="768"/>
      <c r="V464" s="768"/>
      <c r="W464" s="768"/>
      <c r="X464" s="768"/>
      <c r="Y464" s="768"/>
      <c r="Z464" s="768"/>
      <c r="AA464" s="768"/>
    </row>
    <row r="465" ht="30.0" customHeight="1">
      <c r="A465" s="768" t="str">
        <f t="array" ref="A465">XLOOKUP(C465,'High School Players'!D:D,'High School Players'!K:K,"NO",0,1)</f>
        <v>NO</v>
      </c>
      <c r="B465" s="768"/>
      <c r="C465" s="768"/>
      <c r="D465" s="768"/>
      <c r="E465" s="768"/>
      <c r="F465" s="768"/>
      <c r="G465" s="768"/>
      <c r="H465" s="768"/>
      <c r="I465" s="768"/>
      <c r="J465" s="768"/>
      <c r="K465" s="768"/>
      <c r="L465" s="768"/>
      <c r="M465" s="768"/>
      <c r="N465" s="768"/>
      <c r="O465" s="768"/>
      <c r="P465" s="768"/>
      <c r="Q465" s="768"/>
      <c r="R465" s="768"/>
      <c r="S465" s="768"/>
      <c r="T465" s="768"/>
      <c r="U465" s="768"/>
      <c r="V465" s="768"/>
      <c r="W465" s="768"/>
      <c r="X465" s="768"/>
      <c r="Y465" s="768"/>
      <c r="Z465" s="768"/>
      <c r="AA465" s="768"/>
    </row>
    <row r="466" ht="30.0" customHeight="1">
      <c r="A466" s="768" t="str">
        <f t="array" ref="A466">XLOOKUP(C466,'High School Players'!D:D,'High School Players'!K:K,"NO",0,1)</f>
        <v>NO</v>
      </c>
      <c r="B466" s="768"/>
      <c r="C466" s="768"/>
      <c r="D466" s="768"/>
      <c r="E466" s="768"/>
      <c r="F466" s="768"/>
      <c r="G466" s="768"/>
      <c r="H466" s="768"/>
      <c r="I466" s="768"/>
      <c r="J466" s="768"/>
      <c r="K466" s="768"/>
      <c r="L466" s="768"/>
      <c r="M466" s="768"/>
      <c r="N466" s="768"/>
      <c r="O466" s="768"/>
      <c r="P466" s="768"/>
      <c r="Q466" s="768"/>
      <c r="R466" s="768"/>
      <c r="S466" s="768"/>
      <c r="T466" s="768"/>
      <c r="U466" s="768"/>
      <c r="V466" s="768"/>
      <c r="W466" s="768"/>
      <c r="X466" s="768"/>
      <c r="Y466" s="768"/>
      <c r="Z466" s="768"/>
      <c r="AA466" s="768"/>
    </row>
    <row r="467" ht="30.0" customHeight="1">
      <c r="A467" s="768" t="str">
        <f t="array" ref="A467">XLOOKUP(C467,'High School Players'!D:D,'High School Players'!K:K,"NO",0,1)</f>
        <v>NO</v>
      </c>
      <c r="B467" s="768"/>
      <c r="C467" s="768"/>
      <c r="D467" s="768"/>
      <c r="E467" s="768"/>
      <c r="F467" s="768"/>
      <c r="G467" s="768"/>
      <c r="H467" s="768"/>
      <c r="I467" s="768"/>
      <c r="J467" s="768"/>
      <c r="K467" s="768"/>
      <c r="L467" s="768"/>
      <c r="M467" s="768"/>
      <c r="N467" s="768"/>
      <c r="O467" s="768"/>
      <c r="P467" s="768"/>
      <c r="Q467" s="768"/>
      <c r="R467" s="768"/>
      <c r="S467" s="768"/>
      <c r="T467" s="768"/>
      <c r="U467" s="768"/>
      <c r="V467" s="768"/>
      <c r="W467" s="768"/>
      <c r="X467" s="768"/>
      <c r="Y467" s="768"/>
      <c r="Z467" s="768"/>
      <c r="AA467" s="768"/>
    </row>
    <row r="468" ht="30.0" customHeight="1">
      <c r="A468" s="768" t="str">
        <f t="array" ref="A468">XLOOKUP(C468,'High School Players'!D:D,'High School Players'!K:K,"NO",0,1)</f>
        <v>NO</v>
      </c>
      <c r="B468" s="768"/>
      <c r="C468" s="768"/>
      <c r="D468" s="768"/>
      <c r="E468" s="768"/>
      <c r="F468" s="768"/>
      <c r="G468" s="768"/>
      <c r="H468" s="768"/>
      <c r="I468" s="768"/>
      <c r="J468" s="768"/>
      <c r="K468" s="768"/>
      <c r="L468" s="768"/>
      <c r="M468" s="768"/>
      <c r="N468" s="768"/>
      <c r="O468" s="768"/>
      <c r="P468" s="768"/>
      <c r="Q468" s="768"/>
      <c r="R468" s="768"/>
      <c r="S468" s="768"/>
      <c r="T468" s="768"/>
      <c r="U468" s="768"/>
      <c r="V468" s="768"/>
      <c r="W468" s="768"/>
      <c r="X468" s="768"/>
      <c r="Y468" s="768"/>
      <c r="Z468" s="768"/>
      <c r="AA468" s="768"/>
    </row>
    <row r="469" ht="30.0" customHeight="1">
      <c r="A469" s="768" t="str">
        <f t="array" ref="A469">XLOOKUP(C469,'High School Players'!D:D,'High School Players'!K:K,"NO",0,1)</f>
        <v>NO</v>
      </c>
      <c r="B469" s="768"/>
      <c r="C469" s="768"/>
      <c r="D469" s="768"/>
      <c r="E469" s="768"/>
      <c r="F469" s="768"/>
      <c r="G469" s="768"/>
      <c r="H469" s="768"/>
      <c r="I469" s="768"/>
      <c r="J469" s="768"/>
      <c r="K469" s="768"/>
      <c r="L469" s="768"/>
      <c r="M469" s="768"/>
      <c r="N469" s="768"/>
      <c r="O469" s="768"/>
      <c r="P469" s="768"/>
      <c r="Q469" s="768"/>
      <c r="R469" s="768"/>
      <c r="S469" s="768"/>
      <c r="T469" s="768"/>
      <c r="U469" s="768"/>
      <c r="V469" s="768"/>
      <c r="W469" s="768"/>
      <c r="X469" s="768"/>
      <c r="Y469" s="768"/>
      <c r="Z469" s="768"/>
      <c r="AA469" s="768"/>
    </row>
    <row r="470" ht="30.0" customHeight="1">
      <c r="A470" s="768" t="str">
        <f t="array" ref="A470">XLOOKUP(C470,'High School Players'!D:D,'High School Players'!K:K,"NO",0,1)</f>
        <v>NO</v>
      </c>
      <c r="B470" s="768"/>
      <c r="C470" s="768"/>
      <c r="D470" s="768"/>
      <c r="E470" s="768"/>
      <c r="F470" s="768"/>
      <c r="G470" s="768"/>
      <c r="H470" s="768"/>
      <c r="I470" s="768"/>
      <c r="J470" s="768"/>
      <c r="K470" s="768"/>
      <c r="L470" s="768"/>
      <c r="M470" s="768"/>
      <c r="N470" s="768"/>
      <c r="O470" s="768"/>
      <c r="P470" s="768"/>
      <c r="Q470" s="768"/>
      <c r="R470" s="768"/>
      <c r="S470" s="768"/>
      <c r="T470" s="768"/>
      <c r="U470" s="768"/>
      <c r="V470" s="768"/>
      <c r="W470" s="768"/>
      <c r="X470" s="768"/>
      <c r="Y470" s="768"/>
      <c r="Z470" s="768"/>
      <c r="AA470" s="768"/>
    </row>
    <row r="471" ht="30.0" customHeight="1">
      <c r="A471" s="768" t="str">
        <f t="array" ref="A471">XLOOKUP(C471,'High School Players'!D:D,'High School Players'!K:K,"NO",0,1)</f>
        <v>NO</v>
      </c>
      <c r="B471" s="768"/>
      <c r="C471" s="768"/>
      <c r="D471" s="768"/>
      <c r="E471" s="768"/>
      <c r="F471" s="768"/>
      <c r="G471" s="768"/>
      <c r="H471" s="768"/>
      <c r="I471" s="768"/>
      <c r="J471" s="768"/>
      <c r="K471" s="768"/>
      <c r="L471" s="768"/>
      <c r="M471" s="768"/>
      <c r="N471" s="768"/>
      <c r="O471" s="768"/>
      <c r="P471" s="768"/>
      <c r="Q471" s="768"/>
      <c r="R471" s="768"/>
      <c r="S471" s="768"/>
      <c r="T471" s="768"/>
      <c r="U471" s="768"/>
      <c r="V471" s="768"/>
      <c r="W471" s="768"/>
      <c r="X471" s="768"/>
      <c r="Y471" s="768"/>
      <c r="Z471" s="768"/>
      <c r="AA471" s="768"/>
    </row>
    <row r="472" ht="30.0" customHeight="1">
      <c r="A472" s="768" t="str">
        <f t="array" ref="A472">XLOOKUP(C472,'High School Players'!D:D,'High School Players'!K:K,"NO",0,1)</f>
        <v>NO</v>
      </c>
      <c r="B472" s="768"/>
      <c r="C472" s="768"/>
      <c r="D472" s="768"/>
      <c r="E472" s="768"/>
      <c r="F472" s="768"/>
      <c r="G472" s="768"/>
      <c r="H472" s="768"/>
      <c r="I472" s="768"/>
      <c r="J472" s="768"/>
      <c r="K472" s="768"/>
      <c r="L472" s="768"/>
      <c r="M472" s="768"/>
      <c r="N472" s="768"/>
      <c r="O472" s="768"/>
      <c r="P472" s="768"/>
      <c r="Q472" s="768"/>
      <c r="R472" s="768"/>
      <c r="S472" s="768"/>
      <c r="T472" s="768"/>
      <c r="U472" s="768"/>
      <c r="V472" s="768"/>
      <c r="W472" s="768"/>
      <c r="X472" s="768"/>
      <c r="Y472" s="768"/>
      <c r="Z472" s="768"/>
      <c r="AA472" s="768"/>
    </row>
    <row r="473" ht="30.0" customHeight="1">
      <c r="A473" s="768" t="str">
        <f t="array" ref="A473">XLOOKUP(C473,'High School Players'!D:D,'High School Players'!K:K,"NO",0,1)</f>
        <v>NO</v>
      </c>
      <c r="B473" s="768"/>
      <c r="C473" s="768"/>
      <c r="D473" s="768"/>
      <c r="E473" s="768"/>
      <c r="F473" s="768"/>
      <c r="G473" s="768"/>
      <c r="H473" s="768"/>
      <c r="I473" s="768"/>
      <c r="J473" s="768"/>
      <c r="K473" s="768"/>
      <c r="L473" s="768"/>
      <c r="M473" s="768"/>
      <c r="N473" s="768"/>
      <c r="O473" s="768"/>
      <c r="P473" s="768"/>
      <c r="Q473" s="768"/>
      <c r="R473" s="768"/>
      <c r="S473" s="768"/>
      <c r="T473" s="768"/>
      <c r="U473" s="768"/>
      <c r="V473" s="768"/>
      <c r="W473" s="768"/>
      <c r="X473" s="768"/>
      <c r="Y473" s="768"/>
      <c r="Z473" s="768"/>
      <c r="AA473" s="768"/>
    </row>
    <row r="474" ht="30.0" customHeight="1">
      <c r="A474" s="768" t="str">
        <f t="array" ref="A474">XLOOKUP(C474,'High School Players'!D:D,'High School Players'!K:K,"NO",0,1)</f>
        <v>NO</v>
      </c>
      <c r="B474" s="768"/>
      <c r="C474" s="768"/>
      <c r="D474" s="768"/>
      <c r="E474" s="768"/>
      <c r="F474" s="768"/>
      <c r="G474" s="768"/>
      <c r="H474" s="768"/>
      <c r="I474" s="768"/>
      <c r="J474" s="768"/>
      <c r="K474" s="768"/>
      <c r="L474" s="768"/>
      <c r="M474" s="768"/>
      <c r="N474" s="768"/>
      <c r="O474" s="768"/>
      <c r="P474" s="768"/>
      <c r="Q474" s="768"/>
      <c r="R474" s="768"/>
      <c r="S474" s="768"/>
      <c r="T474" s="768"/>
      <c r="U474" s="768"/>
      <c r="V474" s="768"/>
      <c r="W474" s="768"/>
      <c r="X474" s="768"/>
      <c r="Y474" s="768"/>
      <c r="Z474" s="768"/>
      <c r="AA474" s="768"/>
    </row>
    <row r="475" ht="30.0" customHeight="1">
      <c r="A475" s="768" t="str">
        <f t="array" ref="A475">XLOOKUP(C475,'High School Players'!D:D,'High School Players'!K:K,"NO",0,1)</f>
        <v>NO</v>
      </c>
      <c r="B475" s="768"/>
      <c r="C475" s="768"/>
      <c r="D475" s="768"/>
      <c r="E475" s="768"/>
      <c r="F475" s="768"/>
      <c r="G475" s="768"/>
      <c r="H475" s="768"/>
      <c r="I475" s="768"/>
      <c r="J475" s="768"/>
      <c r="K475" s="768"/>
      <c r="L475" s="768"/>
      <c r="M475" s="768"/>
      <c r="N475" s="768"/>
      <c r="O475" s="768"/>
      <c r="P475" s="768"/>
      <c r="Q475" s="768"/>
      <c r="R475" s="768"/>
      <c r="S475" s="768"/>
      <c r="T475" s="768"/>
      <c r="U475" s="768"/>
      <c r="V475" s="768"/>
      <c r="W475" s="768"/>
      <c r="X475" s="768"/>
      <c r="Y475" s="768"/>
      <c r="Z475" s="768"/>
      <c r="AA475" s="768"/>
    </row>
    <row r="476" ht="30.0" customHeight="1">
      <c r="A476" s="768" t="str">
        <f t="array" ref="A476">XLOOKUP(C476,'High School Players'!D:D,'High School Players'!K:K,"NO",0,1)</f>
        <v>NO</v>
      </c>
      <c r="B476" s="768"/>
      <c r="C476" s="768"/>
      <c r="D476" s="768"/>
      <c r="E476" s="768"/>
      <c r="F476" s="768"/>
      <c r="G476" s="768"/>
      <c r="H476" s="768"/>
      <c r="I476" s="768"/>
      <c r="J476" s="768"/>
      <c r="K476" s="768"/>
      <c r="L476" s="768"/>
      <c r="M476" s="768"/>
      <c r="N476" s="768"/>
      <c r="O476" s="768"/>
      <c r="P476" s="768"/>
      <c r="Q476" s="768"/>
      <c r="R476" s="768"/>
      <c r="S476" s="768"/>
      <c r="T476" s="768"/>
      <c r="U476" s="768"/>
      <c r="V476" s="768"/>
      <c r="W476" s="768"/>
      <c r="X476" s="768"/>
      <c r="Y476" s="768"/>
      <c r="Z476" s="768"/>
      <c r="AA476" s="768"/>
    </row>
    <row r="477" ht="30.0" customHeight="1">
      <c r="A477" s="768" t="str">
        <f t="array" ref="A477">XLOOKUP(C477,'High School Players'!D:D,'High School Players'!K:K,"NO",0,1)</f>
        <v>NO</v>
      </c>
      <c r="B477" s="768"/>
      <c r="C477" s="768"/>
      <c r="D477" s="768"/>
      <c r="E477" s="768"/>
      <c r="F477" s="768"/>
      <c r="G477" s="768"/>
      <c r="H477" s="768"/>
      <c r="I477" s="768"/>
      <c r="J477" s="768"/>
      <c r="K477" s="768"/>
      <c r="L477" s="768"/>
      <c r="M477" s="768"/>
      <c r="N477" s="768"/>
      <c r="O477" s="768"/>
      <c r="P477" s="768"/>
      <c r="Q477" s="768"/>
      <c r="R477" s="768"/>
      <c r="S477" s="768"/>
      <c r="T477" s="768"/>
      <c r="U477" s="768"/>
      <c r="V477" s="768"/>
      <c r="W477" s="768"/>
      <c r="X477" s="768"/>
      <c r="Y477" s="768"/>
      <c r="Z477" s="768"/>
      <c r="AA477" s="768"/>
    </row>
    <row r="478" ht="30.0" customHeight="1">
      <c r="A478" s="768" t="str">
        <f t="array" ref="A478">XLOOKUP(C478,'High School Players'!D:D,'High School Players'!K:K,"NO",0,1)</f>
        <v>NO</v>
      </c>
      <c r="B478" s="768"/>
      <c r="C478" s="768"/>
      <c r="D478" s="768"/>
      <c r="E478" s="768"/>
      <c r="F478" s="768"/>
      <c r="G478" s="768"/>
      <c r="H478" s="768"/>
      <c r="I478" s="768"/>
      <c r="J478" s="768"/>
      <c r="K478" s="768"/>
      <c r="L478" s="768"/>
      <c r="M478" s="768"/>
      <c r="N478" s="768"/>
      <c r="O478" s="768"/>
      <c r="P478" s="768"/>
      <c r="Q478" s="768"/>
      <c r="R478" s="768"/>
      <c r="S478" s="768"/>
      <c r="T478" s="768"/>
      <c r="U478" s="768"/>
      <c r="V478" s="768"/>
      <c r="W478" s="768"/>
      <c r="X478" s="768"/>
      <c r="Y478" s="768"/>
      <c r="Z478" s="768"/>
      <c r="AA478" s="768"/>
    </row>
    <row r="479" ht="30.0" customHeight="1">
      <c r="A479" s="768" t="str">
        <f t="array" ref="A479">XLOOKUP(C479,'High School Players'!D:D,'High School Players'!K:K,"NO",0,1)</f>
        <v>NO</v>
      </c>
      <c r="B479" s="768"/>
      <c r="C479" s="768"/>
      <c r="D479" s="768"/>
      <c r="E479" s="768"/>
      <c r="F479" s="768"/>
      <c r="G479" s="768"/>
      <c r="H479" s="768"/>
      <c r="I479" s="768"/>
      <c r="J479" s="768"/>
      <c r="K479" s="768"/>
      <c r="L479" s="768"/>
      <c r="M479" s="768"/>
      <c r="N479" s="768"/>
      <c r="O479" s="768"/>
      <c r="P479" s="768"/>
      <c r="Q479" s="768"/>
      <c r="R479" s="768"/>
      <c r="S479" s="768"/>
      <c r="T479" s="768"/>
      <c r="U479" s="768"/>
      <c r="V479" s="768"/>
      <c r="W479" s="768"/>
      <c r="X479" s="768"/>
      <c r="Y479" s="768"/>
      <c r="Z479" s="768"/>
      <c r="AA479" s="768"/>
    </row>
    <row r="480" ht="30.0" customHeight="1">
      <c r="A480" s="768" t="str">
        <f t="array" ref="A480">XLOOKUP(C480,'High School Players'!D:D,'High School Players'!K:K,"NO",0,1)</f>
        <v>NO</v>
      </c>
      <c r="B480" s="768"/>
      <c r="C480" s="768"/>
      <c r="D480" s="768"/>
      <c r="E480" s="768"/>
      <c r="F480" s="768"/>
      <c r="G480" s="768"/>
      <c r="H480" s="768"/>
      <c r="I480" s="768"/>
      <c r="J480" s="768"/>
      <c r="K480" s="768"/>
      <c r="L480" s="768"/>
      <c r="M480" s="768"/>
      <c r="N480" s="768"/>
      <c r="O480" s="768"/>
      <c r="P480" s="768"/>
      <c r="Q480" s="768"/>
      <c r="R480" s="768"/>
      <c r="S480" s="768"/>
      <c r="T480" s="768"/>
      <c r="U480" s="768"/>
      <c r="V480" s="768"/>
      <c r="W480" s="768"/>
      <c r="X480" s="768"/>
      <c r="Y480" s="768"/>
      <c r="Z480" s="768"/>
      <c r="AA480" s="768"/>
    </row>
    <row r="481" ht="30.0" customHeight="1">
      <c r="A481" s="768" t="str">
        <f t="array" ref="A481">XLOOKUP(C481,'High School Players'!D:D,'High School Players'!K:K,"NO",0,1)</f>
        <v>NO</v>
      </c>
      <c r="B481" s="768"/>
      <c r="C481" s="768"/>
      <c r="D481" s="768"/>
      <c r="E481" s="768"/>
      <c r="F481" s="768"/>
      <c r="G481" s="768"/>
      <c r="H481" s="768"/>
      <c r="I481" s="768"/>
      <c r="J481" s="768"/>
      <c r="K481" s="768"/>
      <c r="L481" s="768"/>
      <c r="M481" s="768"/>
      <c r="N481" s="768"/>
      <c r="O481" s="768"/>
      <c r="P481" s="768"/>
      <c r="Q481" s="768"/>
      <c r="R481" s="768"/>
      <c r="S481" s="768"/>
      <c r="T481" s="768"/>
      <c r="U481" s="768"/>
      <c r="V481" s="768"/>
      <c r="W481" s="768"/>
      <c r="X481" s="768"/>
      <c r="Y481" s="768"/>
      <c r="Z481" s="768"/>
      <c r="AA481" s="768"/>
    </row>
    <row r="482" ht="30.0" customHeight="1">
      <c r="A482" s="768" t="str">
        <f t="array" ref="A482">XLOOKUP(C482,'High School Players'!D:D,'High School Players'!K:K,"NO",0,1)</f>
        <v>NO</v>
      </c>
      <c r="B482" s="768"/>
      <c r="C482" s="768"/>
      <c r="D482" s="768"/>
      <c r="E482" s="768"/>
      <c r="F482" s="768"/>
      <c r="G482" s="768"/>
      <c r="H482" s="768"/>
      <c r="I482" s="768"/>
      <c r="J482" s="768"/>
      <c r="K482" s="768"/>
      <c r="L482" s="768"/>
      <c r="M482" s="768"/>
      <c r="N482" s="768"/>
      <c r="O482" s="768"/>
      <c r="P482" s="768"/>
      <c r="Q482" s="768"/>
      <c r="R482" s="768"/>
      <c r="S482" s="768"/>
      <c r="T482" s="768"/>
      <c r="U482" s="768"/>
      <c r="V482" s="768"/>
      <c r="W482" s="768"/>
      <c r="X482" s="768"/>
      <c r="Y482" s="768"/>
      <c r="Z482" s="768"/>
      <c r="AA482" s="768"/>
    </row>
    <row r="483" ht="30.0" customHeight="1">
      <c r="A483" s="768" t="str">
        <f t="array" ref="A483">XLOOKUP(C483,'High School Players'!D:D,'High School Players'!K:K,"NO",0,1)</f>
        <v>NO</v>
      </c>
      <c r="B483" s="768"/>
      <c r="C483" s="768"/>
      <c r="D483" s="768"/>
      <c r="E483" s="768"/>
      <c r="F483" s="768"/>
      <c r="G483" s="768"/>
      <c r="H483" s="768"/>
      <c r="I483" s="768"/>
      <c r="J483" s="768"/>
      <c r="K483" s="768"/>
      <c r="L483" s="768"/>
      <c r="M483" s="768"/>
      <c r="N483" s="768"/>
      <c r="O483" s="768"/>
      <c r="P483" s="768"/>
      <c r="Q483" s="768"/>
      <c r="R483" s="768"/>
      <c r="S483" s="768"/>
      <c r="T483" s="768"/>
      <c r="U483" s="768"/>
      <c r="V483" s="768"/>
      <c r="W483" s="768"/>
      <c r="X483" s="768"/>
      <c r="Y483" s="768"/>
      <c r="Z483" s="768"/>
      <c r="AA483" s="768"/>
    </row>
    <row r="484" ht="30.0" customHeight="1">
      <c r="A484" s="768" t="str">
        <f t="array" ref="A484">XLOOKUP(C484,'High School Players'!D:D,'High School Players'!K:K,"NO",0,1)</f>
        <v>NO</v>
      </c>
      <c r="B484" s="768"/>
      <c r="C484" s="768"/>
      <c r="D484" s="768"/>
      <c r="E484" s="768"/>
      <c r="F484" s="768"/>
      <c r="G484" s="768"/>
      <c r="H484" s="768"/>
      <c r="I484" s="768"/>
      <c r="J484" s="768"/>
      <c r="K484" s="768"/>
      <c r="L484" s="768"/>
      <c r="M484" s="768"/>
      <c r="N484" s="768"/>
      <c r="O484" s="768"/>
      <c r="P484" s="768"/>
      <c r="Q484" s="768"/>
      <c r="R484" s="768"/>
      <c r="S484" s="768"/>
      <c r="T484" s="768"/>
      <c r="U484" s="768"/>
      <c r="V484" s="768"/>
      <c r="W484" s="768"/>
      <c r="X484" s="768"/>
      <c r="Y484" s="768"/>
      <c r="Z484" s="768"/>
      <c r="AA484" s="768"/>
    </row>
    <row r="485" ht="30.0" customHeight="1">
      <c r="A485" s="768" t="str">
        <f t="array" ref="A485">XLOOKUP(C485,'High School Players'!D:D,'High School Players'!K:K,"NO",0,1)</f>
        <v>NO</v>
      </c>
      <c r="B485" s="768"/>
      <c r="C485" s="768"/>
      <c r="D485" s="768"/>
      <c r="E485" s="768"/>
      <c r="F485" s="768"/>
      <c r="G485" s="768"/>
      <c r="H485" s="768"/>
      <c r="I485" s="768"/>
      <c r="J485" s="768"/>
      <c r="K485" s="768"/>
      <c r="L485" s="768"/>
      <c r="M485" s="768"/>
      <c r="N485" s="768"/>
      <c r="O485" s="768"/>
      <c r="P485" s="768"/>
      <c r="Q485" s="768"/>
      <c r="R485" s="768"/>
      <c r="S485" s="768"/>
      <c r="T485" s="768"/>
      <c r="U485" s="768"/>
      <c r="V485" s="768"/>
      <c r="W485" s="768"/>
      <c r="X485" s="768"/>
      <c r="Y485" s="768"/>
      <c r="Z485" s="768"/>
      <c r="AA485" s="768"/>
    </row>
    <row r="486" ht="30.0" customHeight="1">
      <c r="A486" s="768" t="str">
        <f t="array" ref="A486">XLOOKUP(C486,'High School Players'!D:D,'High School Players'!K:K,"NO",0,1)</f>
        <v>NO</v>
      </c>
      <c r="B486" s="768"/>
      <c r="C486" s="768"/>
      <c r="D486" s="768"/>
      <c r="E486" s="768"/>
      <c r="F486" s="768"/>
      <c r="G486" s="768"/>
      <c r="H486" s="768"/>
      <c r="I486" s="768"/>
      <c r="J486" s="768"/>
      <c r="K486" s="768"/>
      <c r="L486" s="768"/>
      <c r="M486" s="768"/>
      <c r="N486" s="768"/>
      <c r="O486" s="768"/>
      <c r="P486" s="768"/>
      <c r="Q486" s="768"/>
      <c r="R486" s="768"/>
      <c r="S486" s="768"/>
      <c r="T486" s="768"/>
      <c r="U486" s="768"/>
      <c r="V486" s="768"/>
      <c r="W486" s="768"/>
      <c r="X486" s="768"/>
      <c r="Y486" s="768"/>
      <c r="Z486" s="768"/>
      <c r="AA486" s="768"/>
    </row>
    <row r="487" ht="30.0" customHeight="1">
      <c r="A487" s="768" t="str">
        <f t="array" ref="A487">XLOOKUP(C487,'High School Players'!D:D,'High School Players'!K:K,"NO",0,1)</f>
        <v>NO</v>
      </c>
      <c r="B487" s="768"/>
      <c r="C487" s="768"/>
      <c r="D487" s="768"/>
      <c r="E487" s="768"/>
      <c r="F487" s="768"/>
      <c r="G487" s="768"/>
      <c r="H487" s="768"/>
      <c r="I487" s="768"/>
      <c r="J487" s="768"/>
      <c r="K487" s="768"/>
      <c r="L487" s="768"/>
      <c r="M487" s="768"/>
      <c r="N487" s="768"/>
      <c r="O487" s="768"/>
      <c r="P487" s="768"/>
      <c r="Q487" s="768"/>
      <c r="R487" s="768"/>
      <c r="S487" s="768"/>
      <c r="T487" s="768"/>
      <c r="U487" s="768"/>
      <c r="V487" s="768"/>
      <c r="W487" s="768"/>
      <c r="X487" s="768"/>
      <c r="Y487" s="768"/>
      <c r="Z487" s="768"/>
      <c r="AA487" s="768"/>
    </row>
    <row r="488" ht="30.0" customHeight="1">
      <c r="A488" s="768" t="str">
        <f t="array" ref="A488">XLOOKUP(C488,'High School Players'!D:D,'High School Players'!K:K,"NO",0,1)</f>
        <v>NO</v>
      </c>
      <c r="B488" s="768"/>
      <c r="C488" s="768"/>
      <c r="D488" s="768"/>
      <c r="E488" s="768"/>
      <c r="F488" s="768"/>
      <c r="G488" s="768"/>
      <c r="H488" s="768"/>
      <c r="I488" s="768"/>
      <c r="J488" s="768"/>
      <c r="K488" s="768"/>
      <c r="L488" s="768"/>
      <c r="M488" s="768"/>
      <c r="N488" s="768"/>
      <c r="O488" s="768"/>
      <c r="P488" s="768"/>
      <c r="Q488" s="768"/>
      <c r="R488" s="768"/>
      <c r="S488" s="768"/>
      <c r="T488" s="768"/>
      <c r="U488" s="768"/>
      <c r="V488" s="768"/>
      <c r="W488" s="768"/>
      <c r="X488" s="768"/>
      <c r="Y488" s="768"/>
      <c r="Z488" s="768"/>
      <c r="AA488" s="768"/>
    </row>
    <row r="489" ht="30.0" customHeight="1">
      <c r="A489" s="768" t="str">
        <f t="array" ref="A489">XLOOKUP(C489,'High School Players'!D:D,'High School Players'!K:K,"NO",0,1)</f>
        <v>NO</v>
      </c>
      <c r="B489" s="768"/>
      <c r="C489" s="768"/>
      <c r="D489" s="768"/>
      <c r="E489" s="768"/>
      <c r="F489" s="768"/>
      <c r="G489" s="768"/>
      <c r="H489" s="768"/>
      <c r="I489" s="768"/>
      <c r="J489" s="768"/>
      <c r="K489" s="768"/>
      <c r="L489" s="768"/>
      <c r="M489" s="768"/>
      <c r="N489" s="768"/>
      <c r="O489" s="768"/>
      <c r="P489" s="768"/>
      <c r="Q489" s="768"/>
      <c r="R489" s="768"/>
      <c r="S489" s="768"/>
      <c r="T489" s="768"/>
      <c r="U489" s="768"/>
      <c r="V489" s="768"/>
      <c r="W489" s="768"/>
      <c r="X489" s="768"/>
      <c r="Y489" s="768"/>
      <c r="Z489" s="768"/>
      <c r="AA489" s="768"/>
    </row>
    <row r="490" ht="30.0" customHeight="1">
      <c r="A490" s="768" t="str">
        <f t="array" ref="A490">XLOOKUP(C490,'High School Players'!D:D,'High School Players'!K:K,"NO",0,1)</f>
        <v>NO</v>
      </c>
      <c r="B490" s="768"/>
      <c r="C490" s="768"/>
      <c r="D490" s="768"/>
      <c r="E490" s="768"/>
      <c r="F490" s="768"/>
      <c r="G490" s="768"/>
      <c r="H490" s="768"/>
      <c r="I490" s="768"/>
      <c r="J490" s="768"/>
      <c r="K490" s="768"/>
      <c r="L490" s="768"/>
      <c r="M490" s="768"/>
      <c r="N490" s="768"/>
      <c r="O490" s="768"/>
      <c r="P490" s="768"/>
      <c r="Q490" s="768"/>
      <c r="R490" s="768"/>
      <c r="S490" s="768"/>
      <c r="T490" s="768"/>
      <c r="U490" s="768"/>
      <c r="V490" s="768"/>
      <c r="W490" s="768"/>
      <c r="X490" s="768"/>
      <c r="Y490" s="768"/>
      <c r="Z490" s="768"/>
      <c r="AA490" s="768"/>
    </row>
    <row r="491" ht="30.0" customHeight="1">
      <c r="A491" s="768" t="str">
        <f t="array" ref="A491">XLOOKUP(C491,'High School Players'!D:D,'High School Players'!K:K,"NO",0,1)</f>
        <v>NO</v>
      </c>
      <c r="B491" s="768"/>
      <c r="C491" s="768"/>
      <c r="D491" s="768"/>
      <c r="E491" s="768"/>
      <c r="F491" s="768"/>
      <c r="G491" s="768"/>
      <c r="H491" s="768"/>
      <c r="I491" s="768"/>
      <c r="J491" s="768"/>
      <c r="K491" s="768"/>
      <c r="L491" s="768"/>
      <c r="M491" s="768"/>
      <c r="N491" s="768"/>
      <c r="O491" s="768"/>
      <c r="P491" s="768"/>
      <c r="Q491" s="768"/>
      <c r="R491" s="768"/>
      <c r="S491" s="768"/>
      <c r="T491" s="768"/>
      <c r="U491" s="768"/>
      <c r="V491" s="768"/>
      <c r="W491" s="768"/>
      <c r="X491" s="768"/>
      <c r="Y491" s="768"/>
      <c r="Z491" s="768"/>
      <c r="AA491" s="768"/>
    </row>
    <row r="492" ht="30.0" customHeight="1">
      <c r="A492" s="768" t="str">
        <f t="array" ref="A492">XLOOKUP(C492,'High School Players'!D:D,'High School Players'!K:K,"NO",0,1)</f>
        <v>NO</v>
      </c>
      <c r="B492" s="768"/>
      <c r="C492" s="768"/>
      <c r="D492" s="768"/>
      <c r="E492" s="768"/>
      <c r="F492" s="768"/>
      <c r="G492" s="768"/>
      <c r="H492" s="768"/>
      <c r="I492" s="768"/>
      <c r="J492" s="768"/>
      <c r="K492" s="768"/>
      <c r="L492" s="768"/>
      <c r="M492" s="768"/>
      <c r="N492" s="768"/>
      <c r="O492" s="768"/>
      <c r="P492" s="768"/>
      <c r="Q492" s="768"/>
      <c r="R492" s="768"/>
      <c r="S492" s="768"/>
      <c r="T492" s="768"/>
      <c r="U492" s="768"/>
      <c r="V492" s="768"/>
      <c r="W492" s="768"/>
      <c r="X492" s="768"/>
      <c r="Y492" s="768"/>
      <c r="Z492" s="768"/>
      <c r="AA492" s="768"/>
    </row>
    <row r="493" ht="30.0" customHeight="1">
      <c r="A493" s="768" t="str">
        <f t="array" ref="A493">XLOOKUP(C493,'High School Players'!D:D,'High School Players'!K:K,"NO",0,1)</f>
        <v>NO</v>
      </c>
      <c r="B493" s="768"/>
      <c r="C493" s="768"/>
      <c r="D493" s="768"/>
      <c r="E493" s="768"/>
      <c r="F493" s="768"/>
      <c r="G493" s="768"/>
      <c r="H493" s="768"/>
      <c r="I493" s="768"/>
      <c r="J493" s="768"/>
      <c r="K493" s="768"/>
      <c r="L493" s="768"/>
      <c r="M493" s="768"/>
      <c r="N493" s="768"/>
      <c r="O493" s="768"/>
      <c r="P493" s="768"/>
      <c r="Q493" s="768"/>
      <c r="R493" s="768"/>
      <c r="S493" s="768"/>
      <c r="T493" s="768"/>
      <c r="U493" s="768"/>
      <c r="V493" s="768"/>
      <c r="W493" s="768"/>
      <c r="X493" s="768"/>
      <c r="Y493" s="768"/>
      <c r="Z493" s="768"/>
      <c r="AA493" s="768"/>
    </row>
    <row r="494" ht="30.0" customHeight="1">
      <c r="A494" s="768" t="str">
        <f t="array" ref="A494">XLOOKUP(C494,'High School Players'!D:D,'High School Players'!K:K,"NO",0,1)</f>
        <v>NO</v>
      </c>
      <c r="B494" s="768"/>
      <c r="C494" s="768"/>
      <c r="D494" s="768"/>
      <c r="E494" s="768"/>
      <c r="F494" s="768"/>
      <c r="G494" s="768"/>
      <c r="H494" s="768"/>
      <c r="I494" s="768"/>
      <c r="J494" s="768"/>
      <c r="K494" s="768"/>
      <c r="L494" s="768"/>
      <c r="M494" s="768"/>
      <c r="N494" s="768"/>
      <c r="O494" s="768"/>
      <c r="P494" s="768"/>
      <c r="Q494" s="768"/>
      <c r="R494" s="768"/>
      <c r="S494" s="768"/>
      <c r="T494" s="768"/>
      <c r="U494" s="768"/>
      <c r="V494" s="768"/>
      <c r="W494" s="768"/>
      <c r="X494" s="768"/>
      <c r="Y494" s="768"/>
      <c r="Z494" s="768"/>
      <c r="AA494" s="768"/>
    </row>
    <row r="495" ht="30.0" customHeight="1">
      <c r="A495" s="768" t="str">
        <f t="array" ref="A495">XLOOKUP(C495,'High School Players'!D:D,'High School Players'!K:K,"NO",0,1)</f>
        <v>NO</v>
      </c>
      <c r="B495" s="768"/>
      <c r="C495" s="768"/>
      <c r="D495" s="768"/>
      <c r="E495" s="768"/>
      <c r="F495" s="768"/>
      <c r="G495" s="768"/>
      <c r="H495" s="768"/>
      <c r="I495" s="768"/>
      <c r="J495" s="768"/>
      <c r="K495" s="768"/>
      <c r="L495" s="768"/>
      <c r="M495" s="768"/>
      <c r="N495" s="768"/>
      <c r="O495" s="768"/>
      <c r="P495" s="768"/>
      <c r="Q495" s="768"/>
      <c r="R495" s="768"/>
      <c r="S495" s="768"/>
      <c r="T495" s="768"/>
      <c r="U495" s="768"/>
      <c r="V495" s="768"/>
      <c r="W495" s="768"/>
      <c r="X495" s="768"/>
      <c r="Y495" s="768"/>
      <c r="Z495" s="768"/>
      <c r="AA495" s="768"/>
    </row>
    <row r="496" ht="30.0" customHeight="1">
      <c r="A496" s="768" t="str">
        <f t="array" ref="A496">XLOOKUP(C496,'High School Players'!D:D,'High School Players'!K:K,"NO",0,1)</f>
        <v>NO</v>
      </c>
      <c r="B496" s="768"/>
      <c r="C496" s="768"/>
      <c r="D496" s="768"/>
      <c r="E496" s="768"/>
      <c r="F496" s="768"/>
      <c r="G496" s="768"/>
      <c r="H496" s="768"/>
      <c r="I496" s="768"/>
      <c r="J496" s="768"/>
      <c r="K496" s="768"/>
      <c r="L496" s="768"/>
      <c r="M496" s="768"/>
      <c r="N496" s="768"/>
      <c r="O496" s="768"/>
      <c r="P496" s="768"/>
      <c r="Q496" s="768"/>
      <c r="R496" s="768"/>
      <c r="S496" s="768"/>
      <c r="T496" s="768"/>
      <c r="U496" s="768"/>
      <c r="V496" s="768"/>
      <c r="W496" s="768"/>
      <c r="X496" s="768"/>
      <c r="Y496" s="768"/>
      <c r="Z496" s="768"/>
      <c r="AA496" s="768"/>
    </row>
    <row r="497" ht="30.0" customHeight="1">
      <c r="A497" s="768" t="str">
        <f t="array" ref="A497">XLOOKUP(C497,'High School Players'!D:D,'High School Players'!K:K,"NO",0,1)</f>
        <v>NO</v>
      </c>
      <c r="B497" s="768"/>
      <c r="C497" s="768"/>
      <c r="D497" s="768"/>
      <c r="E497" s="768"/>
      <c r="F497" s="768"/>
      <c r="G497" s="768"/>
      <c r="H497" s="768"/>
      <c r="I497" s="768"/>
      <c r="J497" s="768"/>
      <c r="K497" s="768"/>
      <c r="L497" s="768"/>
      <c r="M497" s="768"/>
      <c r="N497" s="768"/>
      <c r="O497" s="768"/>
      <c r="P497" s="768"/>
      <c r="Q497" s="768"/>
      <c r="R497" s="768"/>
      <c r="S497" s="768"/>
      <c r="T497" s="768"/>
      <c r="U497" s="768"/>
      <c r="V497" s="768"/>
      <c r="W497" s="768"/>
      <c r="X497" s="768"/>
      <c r="Y497" s="768"/>
      <c r="Z497" s="768"/>
      <c r="AA497" s="768"/>
    </row>
    <row r="498" ht="30.0" customHeight="1">
      <c r="A498" s="768" t="str">
        <f t="array" ref="A498">XLOOKUP(C498,'High School Players'!D:D,'High School Players'!K:K,"NO",0,1)</f>
        <v>NO</v>
      </c>
      <c r="B498" s="768"/>
      <c r="C498" s="768"/>
      <c r="D498" s="768"/>
      <c r="E498" s="768"/>
      <c r="F498" s="768"/>
      <c r="G498" s="768"/>
      <c r="H498" s="768"/>
      <c r="I498" s="768"/>
      <c r="J498" s="768"/>
      <c r="K498" s="768"/>
      <c r="L498" s="768"/>
      <c r="M498" s="768"/>
      <c r="N498" s="768"/>
      <c r="O498" s="768"/>
      <c r="P498" s="768"/>
      <c r="Q498" s="768"/>
      <c r="R498" s="768"/>
      <c r="S498" s="768"/>
      <c r="T498" s="768"/>
      <c r="U498" s="768"/>
      <c r="V498" s="768"/>
      <c r="W498" s="768"/>
      <c r="X498" s="768"/>
      <c r="Y498" s="768"/>
      <c r="Z498" s="768"/>
      <c r="AA498" s="768"/>
    </row>
    <row r="499" ht="30.0" customHeight="1">
      <c r="A499" s="768" t="str">
        <f t="array" ref="A499">XLOOKUP(C499,'High School Players'!D:D,'High School Players'!K:K,"NO",0,1)</f>
        <v>NO</v>
      </c>
      <c r="B499" s="768"/>
      <c r="C499" s="768"/>
      <c r="D499" s="768"/>
      <c r="E499" s="768"/>
      <c r="F499" s="768"/>
      <c r="G499" s="768"/>
      <c r="H499" s="768"/>
      <c r="I499" s="768"/>
      <c r="J499" s="768"/>
      <c r="K499" s="768"/>
      <c r="L499" s="768"/>
      <c r="M499" s="768"/>
      <c r="N499" s="768"/>
      <c r="O499" s="768"/>
      <c r="P499" s="768"/>
      <c r="Q499" s="768"/>
      <c r="R499" s="768"/>
      <c r="S499" s="768"/>
      <c r="T499" s="768"/>
      <c r="U499" s="768"/>
      <c r="V499" s="768"/>
      <c r="W499" s="768"/>
      <c r="X499" s="768"/>
      <c r="Y499" s="768"/>
      <c r="Z499" s="768"/>
      <c r="AA499" s="768"/>
    </row>
    <row r="500" ht="30.0" customHeight="1">
      <c r="A500" s="768" t="str">
        <f t="array" ref="A500">XLOOKUP(C500,'High School Players'!D:D,'High School Players'!K:K,"NO",0,1)</f>
        <v>NO</v>
      </c>
      <c r="B500" s="768"/>
      <c r="C500" s="768"/>
      <c r="D500" s="768"/>
      <c r="E500" s="768"/>
      <c r="F500" s="768"/>
      <c r="G500" s="768"/>
      <c r="H500" s="768"/>
      <c r="I500" s="768"/>
      <c r="J500" s="768"/>
      <c r="K500" s="768"/>
      <c r="L500" s="768"/>
      <c r="M500" s="768"/>
      <c r="N500" s="768"/>
      <c r="O500" s="768"/>
      <c r="P500" s="768"/>
      <c r="Q500" s="768"/>
      <c r="R500" s="768"/>
      <c r="S500" s="768"/>
      <c r="T500" s="768"/>
      <c r="U500" s="768"/>
      <c r="V500" s="768"/>
      <c r="W500" s="768"/>
      <c r="X500" s="768"/>
      <c r="Y500" s="768"/>
      <c r="Z500" s="768"/>
      <c r="AA500" s="768"/>
    </row>
    <row r="501" ht="30.0" customHeight="1">
      <c r="A501" s="768" t="str">
        <f t="array" ref="A501">XLOOKUP(C501,'High School Players'!D:D,'High School Players'!K:K,"NO",0,1)</f>
        <v>NO</v>
      </c>
      <c r="B501" s="768"/>
      <c r="C501" s="768"/>
      <c r="D501" s="768"/>
      <c r="E501" s="768"/>
      <c r="F501" s="768"/>
      <c r="G501" s="768"/>
      <c r="H501" s="768"/>
      <c r="I501" s="768"/>
      <c r="J501" s="768"/>
      <c r="K501" s="768"/>
      <c r="L501" s="768"/>
      <c r="M501" s="768"/>
      <c r="N501" s="768"/>
      <c r="O501" s="768"/>
      <c r="P501" s="768"/>
      <c r="Q501" s="768"/>
      <c r="R501" s="768"/>
      <c r="S501" s="768"/>
      <c r="T501" s="768"/>
      <c r="U501" s="768"/>
      <c r="V501" s="768"/>
      <c r="W501" s="768"/>
      <c r="X501" s="768"/>
      <c r="Y501" s="768"/>
      <c r="Z501" s="768"/>
      <c r="AA501" s="768"/>
    </row>
    <row r="502" ht="30.0" customHeight="1">
      <c r="A502" s="768" t="str">
        <f t="array" ref="A502">XLOOKUP(C502,'High School Players'!D:D,'High School Players'!K:K,"NO",0,1)</f>
        <v>NO</v>
      </c>
      <c r="B502" s="768"/>
      <c r="C502" s="768"/>
      <c r="D502" s="768"/>
      <c r="E502" s="768"/>
      <c r="F502" s="768"/>
      <c r="G502" s="768"/>
      <c r="H502" s="768"/>
      <c r="I502" s="768"/>
      <c r="J502" s="768"/>
      <c r="K502" s="768"/>
      <c r="L502" s="768"/>
      <c r="M502" s="768"/>
      <c r="N502" s="768"/>
      <c r="O502" s="768"/>
      <c r="P502" s="768"/>
      <c r="Q502" s="768"/>
      <c r="R502" s="768"/>
      <c r="S502" s="768"/>
      <c r="T502" s="768"/>
      <c r="U502" s="768"/>
      <c r="V502" s="768"/>
      <c r="W502" s="768"/>
      <c r="X502" s="768"/>
      <c r="Y502" s="768"/>
      <c r="Z502" s="768"/>
      <c r="AA502" s="768"/>
    </row>
    <row r="503" ht="30.0" customHeight="1">
      <c r="A503" s="768" t="str">
        <f t="array" ref="A503">XLOOKUP(C503,'High School Players'!D:D,'High School Players'!K:K,"NO",0,1)</f>
        <v>NO</v>
      </c>
      <c r="B503" s="768"/>
      <c r="C503" s="768"/>
      <c r="D503" s="768"/>
      <c r="E503" s="768"/>
      <c r="F503" s="768"/>
      <c r="G503" s="768"/>
      <c r="H503" s="768"/>
      <c r="I503" s="768"/>
      <c r="J503" s="768"/>
      <c r="K503" s="768"/>
      <c r="L503" s="768"/>
      <c r="M503" s="768"/>
      <c r="N503" s="768"/>
      <c r="O503" s="768"/>
      <c r="P503" s="768"/>
      <c r="Q503" s="768"/>
      <c r="R503" s="768"/>
      <c r="S503" s="768"/>
      <c r="T503" s="768"/>
      <c r="U503" s="768"/>
      <c r="V503" s="768"/>
      <c r="W503" s="768"/>
      <c r="X503" s="768"/>
      <c r="Y503" s="768"/>
      <c r="Z503" s="768"/>
      <c r="AA503" s="768"/>
    </row>
    <row r="504" ht="30.0" customHeight="1">
      <c r="A504" s="768" t="str">
        <f t="array" ref="A504">XLOOKUP(C504,'High School Players'!D:D,'High School Players'!K:K,"NO",0,1)</f>
        <v>NO</v>
      </c>
      <c r="B504" s="768"/>
      <c r="C504" s="768"/>
      <c r="D504" s="768"/>
      <c r="E504" s="768"/>
      <c r="F504" s="768"/>
      <c r="G504" s="768"/>
      <c r="H504" s="768"/>
      <c r="I504" s="768"/>
      <c r="J504" s="768"/>
      <c r="K504" s="768"/>
      <c r="L504" s="768"/>
      <c r="M504" s="768"/>
      <c r="N504" s="768"/>
      <c r="O504" s="768"/>
      <c r="P504" s="768"/>
      <c r="Q504" s="768"/>
      <c r="R504" s="768"/>
      <c r="S504" s="768"/>
      <c r="T504" s="768"/>
      <c r="U504" s="768"/>
      <c r="V504" s="768"/>
      <c r="W504" s="768"/>
      <c r="X504" s="768"/>
      <c r="Y504" s="768"/>
      <c r="Z504" s="768"/>
      <c r="AA504" s="768"/>
    </row>
    <row r="505" ht="30.0" customHeight="1">
      <c r="A505" s="768" t="str">
        <f t="array" ref="A505">XLOOKUP(C505,'High School Players'!D:D,'High School Players'!K:K,"NO",0,1)</f>
        <v>NO</v>
      </c>
      <c r="B505" s="768"/>
      <c r="C505" s="768"/>
      <c r="D505" s="768"/>
      <c r="E505" s="768"/>
      <c r="F505" s="768"/>
      <c r="G505" s="768"/>
      <c r="H505" s="768"/>
      <c r="I505" s="768"/>
      <c r="J505" s="768"/>
      <c r="K505" s="768"/>
      <c r="L505" s="768"/>
      <c r="M505" s="768"/>
      <c r="N505" s="768"/>
      <c r="O505" s="768"/>
      <c r="P505" s="768"/>
      <c r="Q505" s="768"/>
      <c r="R505" s="768"/>
      <c r="S505" s="768"/>
      <c r="T505" s="768"/>
      <c r="U505" s="768"/>
      <c r="V505" s="768"/>
      <c r="W505" s="768"/>
      <c r="X505" s="768"/>
      <c r="Y505" s="768"/>
      <c r="Z505" s="768"/>
      <c r="AA505" s="768"/>
    </row>
    <row r="506" ht="30.0" customHeight="1">
      <c r="A506" s="768" t="str">
        <f t="array" ref="A506">XLOOKUP(C506,'High School Players'!D:D,'High School Players'!K:K,"NO",0,1)</f>
        <v>NO</v>
      </c>
      <c r="B506" s="768"/>
      <c r="C506" s="768"/>
      <c r="D506" s="768"/>
      <c r="E506" s="768"/>
      <c r="F506" s="768"/>
      <c r="G506" s="768"/>
      <c r="H506" s="768"/>
      <c r="I506" s="768"/>
      <c r="J506" s="768"/>
      <c r="K506" s="768"/>
      <c r="L506" s="768"/>
      <c r="M506" s="768"/>
      <c r="N506" s="768"/>
      <c r="O506" s="768"/>
      <c r="P506" s="768"/>
      <c r="Q506" s="768"/>
      <c r="R506" s="768"/>
      <c r="S506" s="768"/>
      <c r="T506" s="768"/>
      <c r="U506" s="768"/>
      <c r="V506" s="768"/>
      <c r="W506" s="768"/>
      <c r="X506" s="768"/>
      <c r="Y506" s="768"/>
      <c r="Z506" s="768"/>
      <c r="AA506" s="768"/>
    </row>
    <row r="507" ht="30.0" customHeight="1">
      <c r="A507" s="768" t="str">
        <f t="array" ref="A507">XLOOKUP(C507,'High School Players'!D:D,'High School Players'!K:K,"NO",0,1)</f>
        <v>NO</v>
      </c>
      <c r="B507" s="768"/>
      <c r="C507" s="768"/>
      <c r="D507" s="768"/>
      <c r="E507" s="768"/>
      <c r="F507" s="768"/>
      <c r="G507" s="768"/>
      <c r="H507" s="768"/>
      <c r="I507" s="768"/>
      <c r="J507" s="768"/>
      <c r="K507" s="768"/>
      <c r="L507" s="768"/>
      <c r="M507" s="768"/>
      <c r="N507" s="768"/>
      <c r="O507" s="768"/>
      <c r="P507" s="768"/>
      <c r="Q507" s="768"/>
      <c r="R507" s="768"/>
      <c r="S507" s="768"/>
      <c r="T507" s="768"/>
      <c r="U507" s="768"/>
      <c r="V507" s="768"/>
      <c r="W507" s="768"/>
      <c r="X507" s="768"/>
      <c r="Y507" s="768"/>
      <c r="Z507" s="768"/>
      <c r="AA507" s="768"/>
    </row>
    <row r="508" ht="30.0" customHeight="1">
      <c r="A508" s="768" t="str">
        <f t="array" ref="A508">XLOOKUP(C508,'High School Players'!D:D,'High School Players'!K:K,"NO",0,1)</f>
        <v>NO</v>
      </c>
      <c r="B508" s="768"/>
      <c r="C508" s="768"/>
      <c r="D508" s="768"/>
      <c r="E508" s="768"/>
      <c r="F508" s="768"/>
      <c r="G508" s="768"/>
      <c r="H508" s="768"/>
      <c r="I508" s="768"/>
      <c r="J508" s="768"/>
      <c r="K508" s="768"/>
      <c r="L508" s="768"/>
      <c r="M508" s="768"/>
      <c r="N508" s="768"/>
      <c r="O508" s="768"/>
      <c r="P508" s="768"/>
      <c r="Q508" s="768"/>
      <c r="R508" s="768"/>
      <c r="S508" s="768"/>
      <c r="T508" s="768"/>
      <c r="U508" s="768"/>
      <c r="V508" s="768"/>
      <c r="W508" s="768"/>
      <c r="X508" s="768"/>
      <c r="Y508" s="768"/>
      <c r="Z508" s="768"/>
      <c r="AA508" s="768"/>
    </row>
    <row r="509" ht="30.0" customHeight="1">
      <c r="A509" s="768" t="str">
        <f t="array" ref="A509">XLOOKUP(C509,'High School Players'!D:D,'High School Players'!K:K,"NO",0,1)</f>
        <v>NO</v>
      </c>
      <c r="B509" s="768"/>
      <c r="C509" s="768"/>
      <c r="D509" s="768"/>
      <c r="E509" s="768"/>
      <c r="F509" s="768"/>
      <c r="G509" s="768"/>
      <c r="H509" s="768"/>
      <c r="I509" s="768"/>
      <c r="J509" s="768"/>
      <c r="K509" s="768"/>
      <c r="L509" s="768"/>
      <c r="M509" s="768"/>
      <c r="N509" s="768"/>
      <c r="O509" s="768"/>
      <c r="P509" s="768"/>
      <c r="Q509" s="768"/>
      <c r="R509" s="768"/>
      <c r="S509" s="768"/>
      <c r="T509" s="768"/>
      <c r="U509" s="768"/>
      <c r="V509" s="768"/>
      <c r="W509" s="768"/>
      <c r="X509" s="768"/>
      <c r="Y509" s="768"/>
      <c r="Z509" s="768"/>
      <c r="AA509" s="768"/>
    </row>
    <row r="510" ht="30.0" customHeight="1">
      <c r="A510" s="768" t="str">
        <f t="array" ref="A510">XLOOKUP(C510,'High School Players'!D:D,'High School Players'!K:K,"NO",0,1)</f>
        <v>NO</v>
      </c>
      <c r="B510" s="768"/>
      <c r="C510" s="768"/>
      <c r="D510" s="768"/>
      <c r="E510" s="768"/>
      <c r="F510" s="768"/>
      <c r="G510" s="768"/>
      <c r="H510" s="768"/>
      <c r="I510" s="768"/>
      <c r="J510" s="768"/>
      <c r="K510" s="768"/>
      <c r="L510" s="768"/>
      <c r="M510" s="768"/>
      <c r="N510" s="768"/>
      <c r="O510" s="768"/>
      <c r="P510" s="768"/>
      <c r="Q510" s="768"/>
      <c r="R510" s="768"/>
      <c r="S510" s="768"/>
      <c r="T510" s="768"/>
      <c r="U510" s="768"/>
      <c r="V510" s="768"/>
      <c r="W510" s="768"/>
      <c r="X510" s="768"/>
      <c r="Y510" s="768"/>
      <c r="Z510" s="768"/>
      <c r="AA510" s="768"/>
    </row>
    <row r="511" ht="30.0" customHeight="1">
      <c r="A511" s="768" t="str">
        <f t="array" ref="A511">XLOOKUP(C511,'High School Players'!D:D,'High School Players'!K:K,"NO",0,1)</f>
        <v>NO</v>
      </c>
      <c r="B511" s="768"/>
      <c r="C511" s="768"/>
      <c r="D511" s="768"/>
      <c r="E511" s="768"/>
      <c r="F511" s="768"/>
      <c r="G511" s="768"/>
      <c r="H511" s="768"/>
      <c r="I511" s="768"/>
      <c r="J511" s="768"/>
      <c r="K511" s="768"/>
      <c r="L511" s="768"/>
      <c r="M511" s="768"/>
      <c r="N511" s="768"/>
      <c r="O511" s="768"/>
      <c r="P511" s="768"/>
      <c r="Q511" s="768"/>
      <c r="R511" s="768"/>
      <c r="S511" s="768"/>
      <c r="T511" s="768"/>
      <c r="U511" s="768"/>
      <c r="V511" s="768"/>
      <c r="W511" s="768"/>
      <c r="X511" s="768"/>
      <c r="Y511" s="768"/>
      <c r="Z511" s="768"/>
      <c r="AA511" s="768"/>
    </row>
    <row r="512" ht="30.0" customHeight="1">
      <c r="A512" s="768" t="str">
        <f t="array" ref="A512">XLOOKUP(C512,'High School Players'!D:D,'High School Players'!K:K,"NO",0,1)</f>
        <v>NO</v>
      </c>
      <c r="B512" s="768"/>
      <c r="C512" s="768"/>
      <c r="D512" s="768"/>
      <c r="E512" s="768"/>
      <c r="F512" s="768"/>
      <c r="G512" s="768"/>
      <c r="H512" s="768"/>
      <c r="I512" s="768"/>
      <c r="J512" s="768"/>
      <c r="K512" s="768"/>
      <c r="L512" s="768"/>
      <c r="M512" s="768"/>
      <c r="N512" s="768"/>
      <c r="O512" s="768"/>
      <c r="P512" s="768"/>
      <c r="Q512" s="768"/>
      <c r="R512" s="768"/>
      <c r="S512" s="768"/>
      <c r="T512" s="768"/>
      <c r="U512" s="768"/>
      <c r="V512" s="768"/>
      <c r="W512" s="768"/>
      <c r="X512" s="768"/>
      <c r="Y512" s="768"/>
      <c r="Z512" s="768"/>
      <c r="AA512" s="768"/>
    </row>
    <row r="513" ht="30.0" customHeight="1">
      <c r="A513" s="768" t="str">
        <f t="array" ref="A513">XLOOKUP(C513,'High School Players'!D:D,'High School Players'!K:K,"NO",0,1)</f>
        <v>NO</v>
      </c>
      <c r="B513" s="768"/>
      <c r="C513" s="768"/>
      <c r="D513" s="768"/>
      <c r="E513" s="768"/>
      <c r="F513" s="768"/>
      <c r="G513" s="768"/>
      <c r="H513" s="768"/>
      <c r="I513" s="768"/>
      <c r="J513" s="768"/>
      <c r="K513" s="768"/>
      <c r="L513" s="768"/>
      <c r="M513" s="768"/>
      <c r="N513" s="768"/>
      <c r="O513" s="768"/>
      <c r="P513" s="768"/>
      <c r="Q513" s="768"/>
      <c r="R513" s="768"/>
      <c r="S513" s="768"/>
      <c r="T513" s="768"/>
      <c r="U513" s="768"/>
      <c r="V513" s="768"/>
      <c r="W513" s="768"/>
      <c r="X513" s="768"/>
      <c r="Y513" s="768"/>
      <c r="Z513" s="768"/>
      <c r="AA513" s="768"/>
    </row>
    <row r="514" ht="30.0" customHeight="1">
      <c r="A514" s="768" t="str">
        <f t="array" ref="A514">XLOOKUP(C514,'High School Players'!D:D,'High School Players'!K:K,"NO",0,1)</f>
        <v>NO</v>
      </c>
      <c r="B514" s="768"/>
      <c r="C514" s="768"/>
      <c r="D514" s="768"/>
      <c r="E514" s="768"/>
      <c r="F514" s="768"/>
      <c r="G514" s="768"/>
      <c r="H514" s="768"/>
      <c r="I514" s="768"/>
      <c r="J514" s="768"/>
      <c r="K514" s="768"/>
      <c r="L514" s="768"/>
      <c r="M514" s="768"/>
      <c r="N514" s="768"/>
      <c r="O514" s="768"/>
      <c r="P514" s="768"/>
      <c r="Q514" s="768"/>
      <c r="R514" s="768"/>
      <c r="S514" s="768"/>
      <c r="T514" s="768"/>
      <c r="U514" s="768"/>
      <c r="V514" s="768"/>
      <c r="W514" s="768"/>
      <c r="X514" s="768"/>
      <c r="Y514" s="768"/>
      <c r="Z514" s="768"/>
      <c r="AA514" s="768"/>
    </row>
    <row r="515" ht="30.0" customHeight="1">
      <c r="A515" s="768" t="str">
        <f t="array" ref="A515">XLOOKUP(C515,'High School Players'!D:D,'High School Players'!K:K,"NO",0,1)</f>
        <v>NO</v>
      </c>
      <c r="B515" s="768"/>
      <c r="C515" s="768"/>
      <c r="D515" s="768"/>
      <c r="E515" s="768"/>
      <c r="F515" s="768"/>
      <c r="G515" s="768"/>
      <c r="H515" s="768"/>
      <c r="I515" s="768"/>
      <c r="J515" s="768"/>
      <c r="K515" s="768"/>
      <c r="L515" s="768"/>
      <c r="M515" s="768"/>
      <c r="N515" s="768"/>
      <c r="O515" s="768"/>
      <c r="P515" s="768"/>
      <c r="Q515" s="768"/>
      <c r="R515" s="768"/>
      <c r="S515" s="768"/>
      <c r="T515" s="768"/>
      <c r="U515" s="768"/>
      <c r="V515" s="768"/>
      <c r="W515" s="768"/>
      <c r="X515" s="768"/>
      <c r="Y515" s="768"/>
      <c r="Z515" s="768"/>
      <c r="AA515" s="768"/>
    </row>
    <row r="516" ht="30.0" customHeight="1">
      <c r="A516" s="768" t="str">
        <f t="array" ref="A516">XLOOKUP(C516,'High School Players'!D:D,'High School Players'!K:K,"NO",0,1)</f>
        <v>NO</v>
      </c>
      <c r="B516" s="768"/>
      <c r="C516" s="768"/>
      <c r="D516" s="768"/>
      <c r="E516" s="768"/>
      <c r="F516" s="768"/>
      <c r="G516" s="768"/>
      <c r="H516" s="768"/>
      <c r="I516" s="768"/>
      <c r="J516" s="768"/>
      <c r="K516" s="768"/>
      <c r="L516" s="768"/>
      <c r="M516" s="768"/>
      <c r="N516" s="768"/>
      <c r="O516" s="768"/>
      <c r="P516" s="768"/>
      <c r="Q516" s="768"/>
      <c r="R516" s="768"/>
      <c r="S516" s="768"/>
      <c r="T516" s="768"/>
      <c r="U516" s="768"/>
      <c r="V516" s="768"/>
      <c r="W516" s="768"/>
      <c r="X516" s="768"/>
      <c r="Y516" s="768"/>
      <c r="Z516" s="768"/>
      <c r="AA516" s="768"/>
    </row>
    <row r="517" ht="30.0" customHeight="1">
      <c r="A517" s="768" t="str">
        <f t="array" ref="A517">XLOOKUP(C517,'High School Players'!D:D,'High School Players'!K:K,"NO",0,1)</f>
        <v>NO</v>
      </c>
      <c r="B517" s="768"/>
      <c r="C517" s="768"/>
      <c r="D517" s="768"/>
      <c r="E517" s="768"/>
      <c r="F517" s="768"/>
      <c r="G517" s="768"/>
      <c r="H517" s="768"/>
      <c r="I517" s="768"/>
      <c r="J517" s="768"/>
      <c r="K517" s="768"/>
      <c r="L517" s="768"/>
      <c r="M517" s="768"/>
      <c r="N517" s="768"/>
      <c r="O517" s="768"/>
      <c r="P517" s="768"/>
      <c r="Q517" s="768"/>
      <c r="R517" s="768"/>
      <c r="S517" s="768"/>
      <c r="T517" s="768"/>
      <c r="U517" s="768"/>
      <c r="V517" s="768"/>
      <c r="W517" s="768"/>
      <c r="X517" s="768"/>
      <c r="Y517" s="768"/>
      <c r="Z517" s="768"/>
      <c r="AA517" s="768"/>
    </row>
    <row r="518" ht="30.0" customHeight="1">
      <c r="A518" s="768" t="str">
        <f t="array" ref="A518">XLOOKUP(C518,'High School Players'!D:D,'High School Players'!K:K,"NO",0,1)</f>
        <v>NO</v>
      </c>
      <c r="B518" s="768"/>
      <c r="C518" s="768"/>
      <c r="D518" s="768"/>
      <c r="E518" s="768"/>
      <c r="F518" s="768"/>
      <c r="G518" s="768"/>
      <c r="H518" s="768"/>
      <c r="I518" s="768"/>
      <c r="J518" s="768"/>
      <c r="K518" s="768"/>
      <c r="L518" s="768"/>
      <c r="M518" s="768"/>
      <c r="N518" s="768"/>
      <c r="O518" s="768"/>
      <c r="P518" s="768"/>
      <c r="Q518" s="768"/>
      <c r="R518" s="768"/>
      <c r="S518" s="768"/>
      <c r="T518" s="768"/>
      <c r="U518" s="768"/>
      <c r="V518" s="768"/>
      <c r="W518" s="768"/>
      <c r="X518" s="768"/>
      <c r="Y518" s="768"/>
      <c r="Z518" s="768"/>
      <c r="AA518" s="768"/>
    </row>
    <row r="519" ht="30.0" customHeight="1">
      <c r="A519" s="768" t="str">
        <f t="array" ref="A519">XLOOKUP(C519,'High School Players'!D:D,'High School Players'!K:K,"NO",0,1)</f>
        <v>NO</v>
      </c>
      <c r="B519" s="768"/>
      <c r="C519" s="768"/>
      <c r="D519" s="768"/>
      <c r="E519" s="768"/>
      <c r="F519" s="768"/>
      <c r="G519" s="768"/>
      <c r="H519" s="768"/>
      <c r="I519" s="768"/>
      <c r="J519" s="768"/>
      <c r="K519" s="768"/>
      <c r="L519" s="768"/>
      <c r="M519" s="768"/>
      <c r="N519" s="768"/>
      <c r="O519" s="768"/>
      <c r="P519" s="768"/>
      <c r="Q519" s="768"/>
      <c r="R519" s="768"/>
      <c r="S519" s="768"/>
      <c r="T519" s="768"/>
      <c r="U519" s="768"/>
      <c r="V519" s="768"/>
      <c r="W519" s="768"/>
      <c r="X519" s="768"/>
      <c r="Y519" s="768"/>
      <c r="Z519" s="768"/>
      <c r="AA519" s="768"/>
    </row>
    <row r="520" ht="30.0" customHeight="1">
      <c r="A520" s="768" t="str">
        <f t="array" ref="A520">XLOOKUP(C520,'High School Players'!D:D,'High School Players'!K:K,"NO",0,1)</f>
        <v>NO</v>
      </c>
      <c r="B520" s="768"/>
      <c r="C520" s="768"/>
      <c r="D520" s="768"/>
      <c r="E520" s="768"/>
      <c r="F520" s="768"/>
      <c r="G520" s="768"/>
      <c r="H520" s="768"/>
      <c r="I520" s="768"/>
      <c r="J520" s="768"/>
      <c r="K520" s="768"/>
      <c r="L520" s="768"/>
      <c r="M520" s="768"/>
      <c r="N520" s="768"/>
      <c r="O520" s="768"/>
      <c r="P520" s="768"/>
      <c r="Q520" s="768"/>
      <c r="R520" s="768"/>
      <c r="S520" s="768"/>
      <c r="T520" s="768"/>
      <c r="U520" s="768"/>
      <c r="V520" s="768"/>
      <c r="W520" s="768"/>
      <c r="X520" s="768"/>
      <c r="Y520" s="768"/>
      <c r="Z520" s="768"/>
      <c r="AA520" s="768"/>
    </row>
    <row r="521" ht="30.0" customHeight="1">
      <c r="A521" s="768" t="str">
        <f t="array" ref="A521">XLOOKUP(C521,'High School Players'!D:D,'High School Players'!K:K,"NO",0,1)</f>
        <v>NO</v>
      </c>
      <c r="B521" s="768"/>
      <c r="C521" s="768"/>
      <c r="D521" s="768"/>
      <c r="E521" s="768"/>
      <c r="F521" s="768"/>
      <c r="G521" s="768"/>
      <c r="H521" s="768"/>
      <c r="I521" s="768"/>
      <c r="J521" s="768"/>
      <c r="K521" s="768"/>
      <c r="L521" s="768"/>
      <c r="M521" s="768"/>
      <c r="N521" s="768"/>
      <c r="O521" s="768"/>
      <c r="P521" s="768"/>
      <c r="Q521" s="768"/>
      <c r="R521" s="768"/>
      <c r="S521" s="768"/>
      <c r="T521" s="768"/>
      <c r="U521" s="768"/>
      <c r="V521" s="768"/>
      <c r="W521" s="768"/>
      <c r="X521" s="768"/>
      <c r="Y521" s="768"/>
      <c r="Z521" s="768"/>
      <c r="AA521" s="768"/>
    </row>
    <row r="522" ht="30.0" customHeight="1">
      <c r="A522" s="768" t="str">
        <f t="array" ref="A522">XLOOKUP(C522,'High School Players'!D:D,'High School Players'!K:K,"NO",0,1)</f>
        <v>NO</v>
      </c>
      <c r="B522" s="768"/>
      <c r="C522" s="768"/>
      <c r="D522" s="768"/>
      <c r="E522" s="768"/>
      <c r="F522" s="768"/>
      <c r="G522" s="768"/>
      <c r="H522" s="768"/>
      <c r="I522" s="768"/>
      <c r="J522" s="768"/>
      <c r="K522" s="768"/>
      <c r="L522" s="768"/>
      <c r="M522" s="768"/>
      <c r="N522" s="768"/>
      <c r="O522" s="768"/>
      <c r="P522" s="768"/>
      <c r="Q522" s="768"/>
      <c r="R522" s="768"/>
      <c r="S522" s="768"/>
      <c r="T522" s="768"/>
      <c r="U522" s="768"/>
      <c r="V522" s="768"/>
      <c r="W522" s="768"/>
      <c r="X522" s="768"/>
      <c r="Y522" s="768"/>
      <c r="Z522" s="768"/>
      <c r="AA522" s="768"/>
    </row>
    <row r="523" ht="30.0" customHeight="1">
      <c r="A523" s="768" t="str">
        <f t="array" ref="A523">XLOOKUP(C523,'High School Players'!D:D,'High School Players'!K:K,"NO",0,1)</f>
        <v>NO</v>
      </c>
      <c r="B523" s="768"/>
      <c r="C523" s="768"/>
      <c r="D523" s="768"/>
      <c r="E523" s="768"/>
      <c r="F523" s="768"/>
      <c r="G523" s="768"/>
      <c r="H523" s="768"/>
      <c r="I523" s="768"/>
      <c r="J523" s="768"/>
      <c r="K523" s="768"/>
      <c r="L523" s="768"/>
      <c r="M523" s="768"/>
      <c r="N523" s="768"/>
      <c r="O523" s="768"/>
      <c r="P523" s="768"/>
      <c r="Q523" s="768"/>
      <c r="R523" s="768"/>
      <c r="S523" s="768"/>
      <c r="T523" s="768"/>
      <c r="U523" s="768"/>
      <c r="V523" s="768"/>
      <c r="W523" s="768"/>
      <c r="X523" s="768"/>
      <c r="Y523" s="768"/>
      <c r="Z523" s="768"/>
      <c r="AA523" s="768"/>
    </row>
    <row r="524" ht="30.0" customHeight="1">
      <c r="A524" s="768" t="str">
        <f t="array" ref="A524">XLOOKUP(C524,'High School Players'!D:D,'High School Players'!K:K,"NO",0,1)</f>
        <v>NO</v>
      </c>
      <c r="B524" s="768"/>
      <c r="C524" s="768"/>
      <c r="D524" s="768"/>
      <c r="E524" s="768"/>
      <c r="F524" s="768"/>
      <c r="G524" s="768"/>
      <c r="H524" s="768"/>
      <c r="I524" s="768"/>
      <c r="J524" s="768"/>
      <c r="K524" s="768"/>
      <c r="L524" s="768"/>
      <c r="M524" s="768"/>
      <c r="N524" s="768"/>
      <c r="O524" s="768"/>
      <c r="P524" s="768"/>
      <c r="Q524" s="768"/>
      <c r="R524" s="768"/>
      <c r="S524" s="768"/>
      <c r="T524" s="768"/>
      <c r="U524" s="768"/>
      <c r="V524" s="768"/>
      <c r="W524" s="768"/>
      <c r="X524" s="768"/>
      <c r="Y524" s="768"/>
      <c r="Z524" s="768"/>
      <c r="AA524" s="768"/>
    </row>
    <row r="525" ht="30.0" customHeight="1">
      <c r="A525" s="768" t="str">
        <f t="array" ref="A525">XLOOKUP(C525,'High School Players'!D:D,'High School Players'!K:K,"NO",0,1)</f>
        <v>NO</v>
      </c>
      <c r="B525" s="768"/>
      <c r="C525" s="768"/>
      <c r="D525" s="768"/>
      <c r="E525" s="768"/>
      <c r="F525" s="768"/>
      <c r="G525" s="768"/>
      <c r="H525" s="768"/>
      <c r="I525" s="768"/>
      <c r="J525" s="768"/>
      <c r="K525" s="768"/>
      <c r="L525" s="768"/>
      <c r="M525" s="768"/>
      <c r="N525" s="768"/>
      <c r="O525" s="768"/>
      <c r="P525" s="768"/>
      <c r="Q525" s="768"/>
      <c r="R525" s="768"/>
      <c r="S525" s="768"/>
      <c r="T525" s="768"/>
      <c r="U525" s="768"/>
      <c r="V525" s="768"/>
      <c r="W525" s="768"/>
      <c r="X525" s="768"/>
      <c r="Y525" s="768"/>
      <c r="Z525" s="768"/>
      <c r="AA525" s="768"/>
    </row>
    <row r="526" ht="30.0" customHeight="1">
      <c r="A526" s="768" t="str">
        <f t="array" ref="A526">XLOOKUP(C526,'High School Players'!D:D,'High School Players'!K:K,"NO",0,1)</f>
        <v>NO</v>
      </c>
      <c r="B526" s="768"/>
      <c r="C526" s="768"/>
      <c r="D526" s="768"/>
      <c r="E526" s="768"/>
      <c r="F526" s="768"/>
      <c r="G526" s="768"/>
      <c r="H526" s="768"/>
      <c r="I526" s="768"/>
      <c r="J526" s="768"/>
      <c r="K526" s="768"/>
      <c r="L526" s="768"/>
      <c r="M526" s="768"/>
      <c r="N526" s="768"/>
      <c r="O526" s="768"/>
      <c r="P526" s="768"/>
      <c r="Q526" s="768"/>
      <c r="R526" s="768"/>
      <c r="S526" s="768"/>
      <c r="T526" s="768"/>
      <c r="U526" s="768"/>
      <c r="V526" s="768"/>
      <c r="W526" s="768"/>
      <c r="X526" s="768"/>
      <c r="Y526" s="768"/>
      <c r="Z526" s="768"/>
      <c r="AA526" s="768"/>
    </row>
    <row r="527" ht="30.0" customHeight="1">
      <c r="A527" s="768" t="str">
        <f t="array" ref="A527">XLOOKUP(C527,'High School Players'!D:D,'High School Players'!K:K,"NO",0,1)</f>
        <v>NO</v>
      </c>
      <c r="B527" s="768"/>
      <c r="C527" s="768"/>
      <c r="D527" s="768"/>
      <c r="E527" s="768"/>
      <c r="F527" s="768"/>
      <c r="G527" s="768"/>
      <c r="H527" s="768"/>
      <c r="I527" s="768"/>
      <c r="J527" s="768"/>
      <c r="K527" s="768"/>
      <c r="L527" s="768"/>
      <c r="M527" s="768"/>
      <c r="N527" s="768"/>
      <c r="O527" s="768"/>
      <c r="P527" s="768"/>
      <c r="Q527" s="768"/>
      <c r="R527" s="768"/>
      <c r="S527" s="768"/>
      <c r="T527" s="768"/>
      <c r="U527" s="768"/>
      <c r="V527" s="768"/>
      <c r="W527" s="768"/>
      <c r="X527" s="768"/>
      <c r="Y527" s="768"/>
      <c r="Z527" s="768"/>
      <c r="AA527" s="768"/>
    </row>
    <row r="528" ht="30.0" customHeight="1">
      <c r="A528" s="768" t="str">
        <f t="array" ref="A528">XLOOKUP(C528,'High School Players'!D:D,'High School Players'!K:K,"NO",0,1)</f>
        <v>NO</v>
      </c>
      <c r="B528" s="768"/>
      <c r="C528" s="768"/>
      <c r="D528" s="768"/>
      <c r="E528" s="768"/>
      <c r="F528" s="768"/>
      <c r="G528" s="768"/>
      <c r="H528" s="768"/>
      <c r="I528" s="768"/>
      <c r="J528" s="768"/>
      <c r="K528" s="768"/>
      <c r="L528" s="768"/>
      <c r="M528" s="768"/>
      <c r="N528" s="768"/>
      <c r="O528" s="768"/>
      <c r="P528" s="768"/>
      <c r="Q528" s="768"/>
      <c r="R528" s="768"/>
      <c r="S528" s="768"/>
      <c r="T528" s="768"/>
      <c r="U528" s="768"/>
      <c r="V528" s="768"/>
      <c r="W528" s="768"/>
      <c r="X528" s="768"/>
      <c r="Y528" s="768"/>
      <c r="Z528" s="768"/>
      <c r="AA528" s="768"/>
    </row>
    <row r="529" ht="30.0" customHeight="1">
      <c r="A529" s="768" t="str">
        <f t="array" ref="A529">XLOOKUP(C529,'High School Players'!D:D,'High School Players'!K:K,"NO",0,1)</f>
        <v>NO</v>
      </c>
      <c r="B529" s="768"/>
      <c r="C529" s="768"/>
      <c r="D529" s="768"/>
      <c r="E529" s="768"/>
      <c r="F529" s="768"/>
      <c r="G529" s="768"/>
      <c r="H529" s="768"/>
      <c r="I529" s="768"/>
      <c r="J529" s="768"/>
      <c r="K529" s="768"/>
      <c r="L529" s="768"/>
      <c r="M529" s="768"/>
      <c r="N529" s="768"/>
      <c r="O529" s="768"/>
      <c r="P529" s="768"/>
      <c r="Q529" s="768"/>
      <c r="R529" s="768"/>
      <c r="S529" s="768"/>
      <c r="T529" s="768"/>
      <c r="U529" s="768"/>
      <c r="V529" s="768"/>
      <c r="W529" s="768"/>
      <c r="X529" s="768"/>
      <c r="Y529" s="768"/>
      <c r="Z529" s="768"/>
      <c r="AA529" s="768"/>
    </row>
    <row r="530" ht="30.0" customHeight="1">
      <c r="A530" s="768" t="str">
        <f t="array" ref="A530">XLOOKUP(C530,'High School Players'!D:D,'High School Players'!K:K,"NO",0,1)</f>
        <v>NO</v>
      </c>
      <c r="B530" s="768"/>
      <c r="C530" s="768"/>
      <c r="D530" s="768"/>
      <c r="E530" s="768"/>
      <c r="F530" s="768"/>
      <c r="G530" s="768"/>
      <c r="H530" s="768"/>
      <c r="I530" s="768"/>
      <c r="J530" s="768"/>
      <c r="K530" s="768"/>
      <c r="L530" s="768"/>
      <c r="M530" s="768"/>
      <c r="N530" s="768"/>
      <c r="O530" s="768"/>
      <c r="P530" s="768"/>
      <c r="Q530" s="768"/>
      <c r="R530" s="768"/>
      <c r="S530" s="768"/>
      <c r="T530" s="768"/>
      <c r="U530" s="768"/>
      <c r="V530" s="768"/>
      <c r="W530" s="768"/>
      <c r="X530" s="768"/>
      <c r="Y530" s="768"/>
      <c r="Z530" s="768"/>
      <c r="AA530" s="768"/>
    </row>
    <row r="531" ht="30.0" customHeight="1">
      <c r="A531" s="768" t="str">
        <f t="array" ref="A531">XLOOKUP(C531,'High School Players'!D:D,'High School Players'!K:K,"NO",0,1)</f>
        <v>NO</v>
      </c>
      <c r="B531" s="768"/>
      <c r="C531" s="768"/>
      <c r="D531" s="768"/>
      <c r="E531" s="768"/>
      <c r="F531" s="768"/>
      <c r="G531" s="768"/>
      <c r="H531" s="768"/>
      <c r="I531" s="768"/>
      <c r="J531" s="768"/>
      <c r="K531" s="768"/>
      <c r="L531" s="768"/>
      <c r="M531" s="768"/>
      <c r="N531" s="768"/>
      <c r="O531" s="768"/>
      <c r="P531" s="768"/>
      <c r="Q531" s="768"/>
      <c r="R531" s="768"/>
      <c r="S531" s="768"/>
      <c r="T531" s="768"/>
      <c r="U531" s="768"/>
      <c r="V531" s="768"/>
      <c r="W531" s="768"/>
      <c r="X531" s="768"/>
      <c r="Y531" s="768"/>
      <c r="Z531" s="768"/>
      <c r="AA531" s="768"/>
    </row>
    <row r="532" ht="30.0" customHeight="1">
      <c r="A532" s="768" t="str">
        <f t="array" ref="A532">XLOOKUP(C532,'High School Players'!D:D,'High School Players'!K:K,"NO",0,1)</f>
        <v>NO</v>
      </c>
      <c r="B532" s="768"/>
      <c r="C532" s="768"/>
      <c r="D532" s="768"/>
      <c r="E532" s="768"/>
      <c r="F532" s="768"/>
      <c r="G532" s="768"/>
      <c r="H532" s="768"/>
      <c r="I532" s="768"/>
      <c r="J532" s="768"/>
      <c r="K532" s="768"/>
      <c r="L532" s="768"/>
      <c r="M532" s="768"/>
      <c r="N532" s="768"/>
      <c r="O532" s="768"/>
      <c r="P532" s="768"/>
      <c r="Q532" s="768"/>
      <c r="R532" s="768"/>
      <c r="S532" s="768"/>
      <c r="T532" s="768"/>
      <c r="U532" s="768"/>
      <c r="V532" s="768"/>
      <c r="W532" s="768"/>
      <c r="X532" s="768"/>
      <c r="Y532" s="768"/>
      <c r="Z532" s="768"/>
      <c r="AA532" s="768"/>
    </row>
    <row r="533" ht="30.0" customHeight="1">
      <c r="A533" s="768" t="str">
        <f t="array" ref="A533">XLOOKUP(C533,'High School Players'!D:D,'High School Players'!K:K,"NO",0,1)</f>
        <v>NO</v>
      </c>
      <c r="B533" s="768"/>
      <c r="C533" s="768"/>
      <c r="D533" s="768"/>
      <c r="E533" s="768"/>
      <c r="F533" s="768"/>
      <c r="G533" s="768"/>
      <c r="H533" s="768"/>
      <c r="I533" s="768"/>
      <c r="J533" s="768"/>
      <c r="K533" s="768"/>
      <c r="L533" s="768"/>
      <c r="M533" s="768"/>
      <c r="N533" s="768"/>
      <c r="O533" s="768"/>
      <c r="P533" s="768"/>
      <c r="Q533" s="768"/>
      <c r="R533" s="768"/>
      <c r="S533" s="768"/>
      <c r="T533" s="768"/>
      <c r="U533" s="768"/>
      <c r="V533" s="768"/>
      <c r="W533" s="768"/>
      <c r="X533" s="768"/>
      <c r="Y533" s="768"/>
      <c r="Z533" s="768"/>
      <c r="AA533" s="768"/>
    </row>
    <row r="534" ht="30.0" customHeight="1">
      <c r="A534" s="768" t="str">
        <f t="array" ref="A534">XLOOKUP(C534,'High School Players'!D:D,'High School Players'!K:K,"NO",0,1)</f>
        <v>NO</v>
      </c>
      <c r="B534" s="768"/>
      <c r="C534" s="768"/>
      <c r="D534" s="768"/>
      <c r="E534" s="768"/>
      <c r="F534" s="768"/>
      <c r="G534" s="768"/>
      <c r="H534" s="768"/>
      <c r="I534" s="768"/>
      <c r="J534" s="768"/>
      <c r="K534" s="768"/>
      <c r="L534" s="768"/>
      <c r="M534" s="768"/>
      <c r="N534" s="768"/>
      <c r="O534" s="768"/>
      <c r="P534" s="768"/>
      <c r="Q534" s="768"/>
      <c r="R534" s="768"/>
      <c r="S534" s="768"/>
      <c r="T534" s="768"/>
      <c r="U534" s="768"/>
      <c r="V534" s="768"/>
      <c r="W534" s="768"/>
      <c r="X534" s="768"/>
      <c r="Y534" s="768"/>
      <c r="Z534" s="768"/>
      <c r="AA534" s="768"/>
    </row>
    <row r="535" ht="30.0" customHeight="1">
      <c r="A535" s="768" t="str">
        <f t="array" ref="A535">XLOOKUP(C535,'High School Players'!D:D,'High School Players'!K:K,"NO",0,1)</f>
        <v>NO</v>
      </c>
      <c r="B535" s="768"/>
      <c r="C535" s="768"/>
      <c r="D535" s="768"/>
      <c r="E535" s="768"/>
      <c r="F535" s="768"/>
      <c r="G535" s="768"/>
      <c r="H535" s="768"/>
      <c r="I535" s="768"/>
      <c r="J535" s="768"/>
      <c r="K535" s="768"/>
      <c r="L535" s="768"/>
      <c r="M535" s="768"/>
      <c r="N535" s="768"/>
      <c r="O535" s="768"/>
      <c r="P535" s="768"/>
      <c r="Q535" s="768"/>
      <c r="R535" s="768"/>
      <c r="S535" s="768"/>
      <c r="T535" s="768"/>
      <c r="U535" s="768"/>
      <c r="V535" s="768"/>
      <c r="W535" s="768"/>
      <c r="X535" s="768"/>
      <c r="Y535" s="768"/>
      <c r="Z535" s="768"/>
      <c r="AA535" s="768"/>
    </row>
    <row r="536" ht="30.0" customHeight="1">
      <c r="A536" s="768" t="str">
        <f t="array" ref="A536">XLOOKUP(C536,'High School Players'!D:D,'High School Players'!K:K,"NO",0,1)</f>
        <v>NO</v>
      </c>
      <c r="B536" s="768"/>
      <c r="C536" s="768"/>
      <c r="D536" s="768"/>
      <c r="E536" s="768"/>
      <c r="F536" s="768"/>
      <c r="G536" s="768"/>
      <c r="H536" s="768"/>
      <c r="I536" s="768"/>
      <c r="J536" s="768"/>
      <c r="K536" s="768"/>
      <c r="L536" s="768"/>
      <c r="M536" s="768"/>
      <c r="N536" s="768"/>
      <c r="O536" s="768"/>
      <c r="P536" s="768"/>
      <c r="Q536" s="768"/>
      <c r="R536" s="768"/>
      <c r="S536" s="768"/>
      <c r="T536" s="768"/>
      <c r="U536" s="768"/>
      <c r="V536" s="768"/>
      <c r="W536" s="768"/>
      <c r="X536" s="768"/>
      <c r="Y536" s="768"/>
      <c r="Z536" s="768"/>
      <c r="AA536" s="768"/>
    </row>
    <row r="537" ht="30.0" customHeight="1">
      <c r="A537" s="768" t="str">
        <f t="array" ref="A537">XLOOKUP(C537,'High School Players'!D:D,'High School Players'!K:K,"NO",0,1)</f>
        <v>NO</v>
      </c>
      <c r="B537" s="768"/>
      <c r="C537" s="768"/>
      <c r="D537" s="768"/>
      <c r="E537" s="768"/>
      <c r="F537" s="768"/>
      <c r="G537" s="768"/>
      <c r="H537" s="768"/>
      <c r="I537" s="768"/>
      <c r="J537" s="768"/>
      <c r="K537" s="768"/>
      <c r="L537" s="768"/>
      <c r="M537" s="768"/>
      <c r="N537" s="768"/>
      <c r="O537" s="768"/>
      <c r="P537" s="768"/>
      <c r="Q537" s="768"/>
      <c r="R537" s="768"/>
      <c r="S537" s="768"/>
      <c r="T537" s="768"/>
      <c r="U537" s="768"/>
      <c r="V537" s="768"/>
      <c r="W537" s="768"/>
      <c r="X537" s="768"/>
      <c r="Y537" s="768"/>
      <c r="Z537" s="768"/>
      <c r="AA537" s="768"/>
    </row>
    <row r="538" ht="30.0" customHeight="1">
      <c r="A538" s="768" t="str">
        <f t="array" ref="A538">XLOOKUP(C538,'High School Players'!D:D,'High School Players'!K:K,"NO",0,1)</f>
        <v>NO</v>
      </c>
      <c r="B538" s="768"/>
      <c r="C538" s="768"/>
      <c r="D538" s="768"/>
      <c r="E538" s="768"/>
      <c r="F538" s="768"/>
      <c r="G538" s="768"/>
      <c r="H538" s="768"/>
      <c r="I538" s="768"/>
      <c r="J538" s="768"/>
      <c r="K538" s="768"/>
      <c r="L538" s="768"/>
      <c r="M538" s="768"/>
      <c r="N538" s="768"/>
      <c r="O538" s="768"/>
      <c r="P538" s="768"/>
      <c r="Q538" s="768"/>
      <c r="R538" s="768"/>
      <c r="S538" s="768"/>
      <c r="T538" s="768"/>
      <c r="U538" s="768"/>
      <c r="V538" s="768"/>
      <c r="W538" s="768"/>
      <c r="X538" s="768"/>
      <c r="Y538" s="768"/>
      <c r="Z538" s="768"/>
      <c r="AA538" s="768"/>
    </row>
    <row r="539" ht="30.0" customHeight="1">
      <c r="A539" s="768" t="str">
        <f t="array" ref="A539">XLOOKUP(C539,'High School Players'!D:D,'High School Players'!K:K,"NO",0,1)</f>
        <v>NO</v>
      </c>
      <c r="B539" s="768"/>
      <c r="C539" s="768"/>
      <c r="D539" s="768"/>
      <c r="E539" s="768"/>
      <c r="F539" s="768"/>
      <c r="G539" s="768"/>
      <c r="H539" s="768"/>
      <c r="I539" s="768"/>
      <c r="J539" s="768"/>
      <c r="K539" s="768"/>
      <c r="L539" s="768"/>
      <c r="M539" s="768"/>
      <c r="N539" s="768"/>
      <c r="O539" s="768"/>
      <c r="P539" s="768"/>
      <c r="Q539" s="768"/>
      <c r="R539" s="768"/>
      <c r="S539" s="768"/>
      <c r="T539" s="768"/>
      <c r="U539" s="768"/>
      <c r="V539" s="768"/>
      <c r="W539" s="768"/>
      <c r="X539" s="768"/>
      <c r="Y539" s="768"/>
      <c r="Z539" s="768"/>
      <c r="AA539" s="768"/>
    </row>
    <row r="540" ht="30.0" customHeight="1">
      <c r="A540" s="768" t="str">
        <f t="array" ref="A540">XLOOKUP(C540,'High School Players'!D:D,'High School Players'!K:K,"NO",0,1)</f>
        <v>NO</v>
      </c>
      <c r="B540" s="768"/>
      <c r="C540" s="768"/>
      <c r="D540" s="768"/>
      <c r="E540" s="768"/>
      <c r="F540" s="768"/>
      <c r="G540" s="768"/>
      <c r="H540" s="768"/>
      <c r="I540" s="768"/>
      <c r="J540" s="768"/>
      <c r="K540" s="768"/>
      <c r="L540" s="768"/>
      <c r="M540" s="768"/>
      <c r="N540" s="768"/>
      <c r="O540" s="768"/>
      <c r="P540" s="768"/>
      <c r="Q540" s="768"/>
      <c r="R540" s="768"/>
      <c r="S540" s="768"/>
      <c r="T540" s="768"/>
      <c r="U540" s="768"/>
      <c r="V540" s="768"/>
      <c r="W540" s="768"/>
      <c r="X540" s="768"/>
      <c r="Y540" s="768"/>
      <c r="Z540" s="768"/>
      <c r="AA540" s="768"/>
    </row>
    <row r="541" ht="30.0" customHeight="1">
      <c r="A541" s="768" t="str">
        <f t="array" ref="A541">XLOOKUP(C541,'High School Players'!D:D,'High School Players'!K:K,"NO",0,1)</f>
        <v>NO</v>
      </c>
      <c r="B541" s="768"/>
      <c r="C541" s="768"/>
      <c r="D541" s="768"/>
      <c r="E541" s="768"/>
      <c r="F541" s="768"/>
      <c r="G541" s="768"/>
      <c r="H541" s="768"/>
      <c r="I541" s="768"/>
      <c r="J541" s="768"/>
      <c r="K541" s="768"/>
      <c r="L541" s="768"/>
      <c r="M541" s="768"/>
      <c r="N541" s="768"/>
      <c r="O541" s="768"/>
      <c r="P541" s="768"/>
      <c r="Q541" s="768"/>
      <c r="R541" s="768"/>
      <c r="S541" s="768"/>
      <c r="T541" s="768"/>
      <c r="U541" s="768"/>
      <c r="V541" s="768"/>
      <c r="W541" s="768"/>
      <c r="X541" s="768"/>
      <c r="Y541" s="768"/>
      <c r="Z541" s="768"/>
      <c r="AA541" s="768"/>
    </row>
    <row r="542" ht="30.0" customHeight="1">
      <c r="A542" s="768" t="str">
        <f t="array" ref="A542">XLOOKUP(C542,'High School Players'!D:D,'High School Players'!K:K,"NO",0,1)</f>
        <v>NO</v>
      </c>
      <c r="B542" s="768"/>
      <c r="C542" s="768"/>
      <c r="D542" s="768"/>
      <c r="E542" s="768"/>
      <c r="F542" s="768"/>
      <c r="G542" s="768"/>
      <c r="H542" s="768"/>
      <c r="I542" s="768"/>
      <c r="J542" s="768"/>
      <c r="K542" s="768"/>
      <c r="L542" s="768"/>
      <c r="M542" s="768"/>
      <c r="N542" s="768"/>
      <c r="O542" s="768"/>
      <c r="P542" s="768"/>
      <c r="Q542" s="768"/>
      <c r="R542" s="768"/>
      <c r="S542" s="768"/>
      <c r="T542" s="768"/>
      <c r="U542" s="768"/>
      <c r="V542" s="768"/>
      <c r="W542" s="768"/>
      <c r="X542" s="768"/>
      <c r="Y542" s="768"/>
      <c r="Z542" s="768"/>
      <c r="AA542" s="768"/>
    </row>
    <row r="543" ht="30.0" customHeight="1">
      <c r="A543" s="768" t="str">
        <f t="array" ref="A543">XLOOKUP(C543,'High School Players'!D:D,'High School Players'!K:K,"NO",0,1)</f>
        <v>NO</v>
      </c>
      <c r="B543" s="768"/>
      <c r="C543" s="768"/>
      <c r="D543" s="768"/>
      <c r="E543" s="768"/>
      <c r="F543" s="768"/>
      <c r="G543" s="768"/>
      <c r="H543" s="768"/>
      <c r="I543" s="768"/>
      <c r="J543" s="768"/>
      <c r="K543" s="768"/>
      <c r="L543" s="768"/>
      <c r="M543" s="768"/>
      <c r="N543" s="768"/>
      <c r="O543" s="768"/>
      <c r="P543" s="768"/>
      <c r="Q543" s="768"/>
      <c r="R543" s="768"/>
      <c r="S543" s="768"/>
      <c r="T543" s="768"/>
      <c r="U543" s="768"/>
      <c r="V543" s="768"/>
      <c r="W543" s="768"/>
      <c r="X543" s="768"/>
      <c r="Y543" s="768"/>
      <c r="Z543" s="768"/>
      <c r="AA543" s="768"/>
    </row>
    <row r="544" ht="30.0" customHeight="1">
      <c r="A544" s="768" t="str">
        <f t="array" ref="A544">XLOOKUP(C544,'High School Players'!D:D,'High School Players'!K:K,"NO",0,1)</f>
        <v>NO</v>
      </c>
      <c r="B544" s="768"/>
      <c r="C544" s="768"/>
      <c r="D544" s="768"/>
      <c r="E544" s="768"/>
      <c r="F544" s="768"/>
      <c r="G544" s="768"/>
      <c r="H544" s="768"/>
      <c r="I544" s="768"/>
      <c r="J544" s="768"/>
      <c r="K544" s="768"/>
      <c r="L544" s="768"/>
      <c r="M544" s="768"/>
      <c r="N544" s="768"/>
      <c r="O544" s="768"/>
      <c r="P544" s="768"/>
      <c r="Q544" s="768"/>
      <c r="R544" s="768"/>
      <c r="S544" s="768"/>
      <c r="T544" s="768"/>
      <c r="U544" s="768"/>
      <c r="V544" s="768"/>
      <c r="W544" s="768"/>
      <c r="X544" s="768"/>
      <c r="Y544" s="768"/>
      <c r="Z544" s="768"/>
      <c r="AA544" s="768"/>
    </row>
    <row r="545" ht="30.0" customHeight="1">
      <c r="A545" s="768" t="str">
        <f t="array" ref="A545">XLOOKUP(C545,'High School Players'!D:D,'High School Players'!K:K,"NO",0,1)</f>
        <v>NO</v>
      </c>
      <c r="B545" s="768"/>
      <c r="C545" s="768"/>
      <c r="D545" s="768"/>
      <c r="E545" s="768"/>
      <c r="F545" s="768"/>
      <c r="G545" s="768"/>
      <c r="H545" s="768"/>
      <c r="I545" s="768"/>
      <c r="J545" s="768"/>
      <c r="K545" s="768"/>
      <c r="L545" s="768"/>
      <c r="M545" s="768"/>
      <c r="N545" s="768"/>
      <c r="O545" s="768"/>
      <c r="P545" s="768"/>
      <c r="Q545" s="768"/>
      <c r="R545" s="768"/>
      <c r="S545" s="768"/>
      <c r="T545" s="768"/>
      <c r="U545" s="768"/>
      <c r="V545" s="768"/>
      <c r="W545" s="768"/>
      <c r="X545" s="768"/>
      <c r="Y545" s="768"/>
      <c r="Z545" s="768"/>
      <c r="AA545" s="768"/>
    </row>
    <row r="546" ht="30.0" customHeight="1">
      <c r="A546" s="768" t="str">
        <f t="array" ref="A546">XLOOKUP(C546,'High School Players'!D:D,'High School Players'!K:K,"NO",0,1)</f>
        <v>NO</v>
      </c>
      <c r="B546" s="768"/>
      <c r="C546" s="768"/>
      <c r="D546" s="768"/>
      <c r="E546" s="768"/>
      <c r="F546" s="768"/>
      <c r="G546" s="768"/>
      <c r="H546" s="768"/>
      <c r="I546" s="768"/>
      <c r="J546" s="768"/>
      <c r="K546" s="768"/>
      <c r="L546" s="768"/>
      <c r="M546" s="768"/>
      <c r="N546" s="768"/>
      <c r="O546" s="768"/>
      <c r="P546" s="768"/>
      <c r="Q546" s="768"/>
      <c r="R546" s="768"/>
      <c r="S546" s="768"/>
      <c r="T546" s="768"/>
      <c r="U546" s="768"/>
      <c r="V546" s="768"/>
      <c r="W546" s="768"/>
      <c r="X546" s="768"/>
      <c r="Y546" s="768"/>
      <c r="Z546" s="768"/>
      <c r="AA546" s="768"/>
    </row>
    <row r="547" ht="30.0" customHeight="1">
      <c r="A547" s="768" t="str">
        <f t="array" ref="A547">XLOOKUP(C547,'High School Players'!D:D,'High School Players'!K:K,"NO",0,1)</f>
        <v>NO</v>
      </c>
      <c r="B547" s="768"/>
      <c r="C547" s="768"/>
      <c r="D547" s="768"/>
      <c r="E547" s="768"/>
      <c r="F547" s="768"/>
      <c r="G547" s="768"/>
      <c r="H547" s="768"/>
      <c r="I547" s="768"/>
      <c r="J547" s="768"/>
      <c r="K547" s="768"/>
      <c r="L547" s="768"/>
      <c r="M547" s="768"/>
      <c r="N547" s="768"/>
      <c r="O547" s="768"/>
      <c r="P547" s="768"/>
      <c r="Q547" s="768"/>
      <c r="R547" s="768"/>
      <c r="S547" s="768"/>
      <c r="T547" s="768"/>
      <c r="U547" s="768"/>
      <c r="V547" s="768"/>
      <c r="W547" s="768"/>
      <c r="X547" s="768"/>
      <c r="Y547" s="768"/>
      <c r="Z547" s="768"/>
      <c r="AA547" s="768"/>
    </row>
    <row r="548" ht="30.0" customHeight="1">
      <c r="A548" s="768" t="str">
        <f t="array" ref="A548">XLOOKUP(C548,'High School Players'!D:D,'High School Players'!K:K,"NO",0,1)</f>
        <v>NO</v>
      </c>
      <c r="B548" s="768"/>
      <c r="C548" s="768"/>
      <c r="D548" s="768"/>
      <c r="E548" s="768"/>
      <c r="F548" s="768"/>
      <c r="G548" s="768"/>
      <c r="H548" s="768"/>
      <c r="I548" s="768"/>
      <c r="J548" s="768"/>
      <c r="K548" s="768"/>
      <c r="L548" s="768"/>
      <c r="M548" s="768"/>
      <c r="N548" s="768"/>
      <c r="O548" s="768"/>
      <c r="P548" s="768"/>
      <c r="Q548" s="768"/>
      <c r="R548" s="768"/>
      <c r="S548" s="768"/>
      <c r="T548" s="768"/>
      <c r="U548" s="768"/>
      <c r="V548" s="768"/>
      <c r="W548" s="768"/>
      <c r="X548" s="768"/>
      <c r="Y548" s="768"/>
      <c r="Z548" s="768"/>
      <c r="AA548" s="768"/>
    </row>
    <row r="549" ht="30.0" customHeight="1">
      <c r="A549" s="768" t="str">
        <f t="array" ref="A549">XLOOKUP(C549,'High School Players'!D:D,'High School Players'!K:K,"NO",0,1)</f>
        <v>NO</v>
      </c>
      <c r="B549" s="768"/>
      <c r="C549" s="768"/>
      <c r="D549" s="768"/>
      <c r="E549" s="768"/>
      <c r="F549" s="768"/>
      <c r="G549" s="768"/>
      <c r="H549" s="768"/>
      <c r="I549" s="768"/>
      <c r="J549" s="768"/>
      <c r="K549" s="768"/>
      <c r="L549" s="768"/>
      <c r="M549" s="768"/>
      <c r="N549" s="768"/>
      <c r="O549" s="768"/>
      <c r="P549" s="768"/>
      <c r="Q549" s="768"/>
      <c r="R549" s="768"/>
      <c r="S549" s="768"/>
      <c r="T549" s="768"/>
      <c r="U549" s="768"/>
      <c r="V549" s="768"/>
      <c r="W549" s="768"/>
      <c r="X549" s="768"/>
      <c r="Y549" s="768"/>
      <c r="Z549" s="768"/>
      <c r="AA549" s="768"/>
    </row>
    <row r="550" ht="30.0" customHeight="1">
      <c r="A550" s="768" t="str">
        <f t="array" ref="A550">XLOOKUP(C550,'High School Players'!D:D,'High School Players'!K:K,"NO",0,1)</f>
        <v>NO</v>
      </c>
      <c r="B550" s="768"/>
      <c r="C550" s="768"/>
      <c r="D550" s="768"/>
      <c r="E550" s="768"/>
      <c r="F550" s="768"/>
      <c r="G550" s="768"/>
      <c r="H550" s="768"/>
      <c r="I550" s="768"/>
      <c r="J550" s="768"/>
      <c r="K550" s="768"/>
      <c r="L550" s="768"/>
      <c r="M550" s="768"/>
      <c r="N550" s="768"/>
      <c r="O550" s="768"/>
      <c r="P550" s="768"/>
      <c r="Q550" s="768"/>
      <c r="R550" s="768"/>
      <c r="S550" s="768"/>
      <c r="T550" s="768"/>
      <c r="U550" s="768"/>
      <c r="V550" s="768"/>
      <c r="W550" s="768"/>
      <c r="X550" s="768"/>
      <c r="Y550" s="768"/>
      <c r="Z550" s="768"/>
      <c r="AA550" s="768"/>
    </row>
    <row r="551" ht="30.0" customHeight="1">
      <c r="A551" s="768" t="str">
        <f t="array" ref="A551">XLOOKUP(C551,'High School Players'!D:D,'High School Players'!K:K,"NO",0,1)</f>
        <v>NO</v>
      </c>
      <c r="B551" s="768"/>
      <c r="C551" s="768"/>
      <c r="D551" s="768"/>
      <c r="E551" s="768"/>
      <c r="F551" s="768"/>
      <c r="G551" s="768"/>
      <c r="H551" s="768"/>
      <c r="I551" s="768"/>
      <c r="J551" s="768"/>
      <c r="K551" s="768"/>
      <c r="L551" s="768"/>
      <c r="M551" s="768"/>
      <c r="N551" s="768"/>
      <c r="O551" s="768"/>
      <c r="P551" s="768"/>
      <c r="Q551" s="768"/>
      <c r="R551" s="768"/>
      <c r="S551" s="768"/>
      <c r="T551" s="768"/>
      <c r="U551" s="768"/>
      <c r="V551" s="768"/>
      <c r="W551" s="768"/>
      <c r="X551" s="768"/>
      <c r="Y551" s="768"/>
      <c r="Z551" s="768"/>
      <c r="AA551" s="768"/>
    </row>
    <row r="552" ht="30.0" customHeight="1">
      <c r="A552" s="768" t="str">
        <f t="array" ref="A552">XLOOKUP(C552,'High School Players'!D:D,'High School Players'!K:K,"NO",0,1)</f>
        <v>NO</v>
      </c>
      <c r="B552" s="768"/>
      <c r="C552" s="768"/>
      <c r="D552" s="768"/>
      <c r="E552" s="768"/>
      <c r="F552" s="768"/>
      <c r="G552" s="768"/>
      <c r="H552" s="768"/>
      <c r="I552" s="768"/>
      <c r="J552" s="768"/>
      <c r="K552" s="768"/>
      <c r="L552" s="768"/>
      <c r="M552" s="768"/>
      <c r="N552" s="768"/>
      <c r="O552" s="768"/>
      <c r="P552" s="768"/>
      <c r="Q552" s="768"/>
      <c r="R552" s="768"/>
      <c r="S552" s="768"/>
      <c r="T552" s="768"/>
      <c r="U552" s="768"/>
      <c r="V552" s="768"/>
      <c r="W552" s="768"/>
      <c r="X552" s="768"/>
      <c r="Y552" s="768"/>
      <c r="Z552" s="768"/>
      <c r="AA552" s="768"/>
    </row>
    <row r="553" ht="30.0" customHeight="1">
      <c r="A553" s="768" t="str">
        <f t="array" ref="A553">XLOOKUP(C553,'High School Players'!D:D,'High School Players'!K:K,"NO",0,1)</f>
        <v>NO</v>
      </c>
      <c r="B553" s="768"/>
      <c r="C553" s="768"/>
      <c r="D553" s="768"/>
      <c r="E553" s="768"/>
      <c r="F553" s="768"/>
      <c r="G553" s="768"/>
      <c r="H553" s="768"/>
      <c r="I553" s="768"/>
      <c r="J553" s="768"/>
      <c r="K553" s="768"/>
      <c r="L553" s="768"/>
      <c r="M553" s="768"/>
      <c r="N553" s="768"/>
      <c r="O553" s="768"/>
      <c r="P553" s="768"/>
      <c r="Q553" s="768"/>
      <c r="R553" s="768"/>
      <c r="S553" s="768"/>
      <c r="T553" s="768"/>
      <c r="U553" s="768"/>
      <c r="V553" s="768"/>
      <c r="W553" s="768"/>
      <c r="X553" s="768"/>
      <c r="Y553" s="768"/>
      <c r="Z553" s="768"/>
      <c r="AA553" s="768"/>
    </row>
    <row r="554" ht="30.0" customHeight="1">
      <c r="A554" s="768" t="str">
        <f t="array" ref="A554">XLOOKUP(C554,'High School Players'!D:D,'High School Players'!K:K,"NO",0,1)</f>
        <v>NO</v>
      </c>
      <c r="B554" s="768"/>
      <c r="C554" s="768"/>
      <c r="D554" s="768"/>
      <c r="E554" s="768"/>
      <c r="F554" s="768"/>
      <c r="G554" s="768"/>
      <c r="H554" s="768"/>
      <c r="I554" s="768"/>
      <c r="J554" s="768"/>
      <c r="K554" s="768"/>
      <c r="L554" s="768"/>
      <c r="M554" s="768"/>
      <c r="N554" s="768"/>
      <c r="O554" s="768"/>
      <c r="P554" s="768"/>
      <c r="Q554" s="768"/>
      <c r="R554" s="768"/>
      <c r="S554" s="768"/>
      <c r="T554" s="768"/>
      <c r="U554" s="768"/>
      <c r="V554" s="768"/>
      <c r="W554" s="768"/>
      <c r="X554" s="768"/>
      <c r="Y554" s="768"/>
      <c r="Z554" s="768"/>
      <c r="AA554" s="768"/>
    </row>
    <row r="555" ht="30.0" customHeight="1">
      <c r="A555" s="768" t="str">
        <f t="array" ref="A555">XLOOKUP(C555,'High School Players'!D:D,'High School Players'!K:K,"NO",0,1)</f>
        <v>NO</v>
      </c>
      <c r="B555" s="768"/>
      <c r="C555" s="768"/>
      <c r="D555" s="768"/>
      <c r="E555" s="768"/>
      <c r="F555" s="768"/>
      <c r="G555" s="768"/>
      <c r="H555" s="768"/>
      <c r="I555" s="768"/>
      <c r="J555" s="768"/>
      <c r="K555" s="768"/>
      <c r="L555" s="768"/>
      <c r="M555" s="768"/>
      <c r="N555" s="768"/>
      <c r="O555" s="768"/>
      <c r="P555" s="768"/>
      <c r="Q555" s="768"/>
      <c r="R555" s="768"/>
      <c r="S555" s="768"/>
      <c r="T555" s="768"/>
      <c r="U555" s="768"/>
      <c r="V555" s="768"/>
      <c r="W555" s="768"/>
      <c r="X555" s="768"/>
      <c r="Y555" s="768"/>
      <c r="Z555" s="768"/>
      <c r="AA555" s="768"/>
    </row>
    <row r="556" ht="30.0" customHeight="1">
      <c r="A556" s="768" t="str">
        <f t="array" ref="A556">XLOOKUP(C556,'High School Players'!D:D,'High School Players'!K:K,"NO",0,1)</f>
        <v>NO</v>
      </c>
      <c r="B556" s="768"/>
      <c r="C556" s="768"/>
      <c r="D556" s="768"/>
      <c r="E556" s="768"/>
      <c r="F556" s="768"/>
      <c r="G556" s="768"/>
      <c r="H556" s="768"/>
      <c r="I556" s="768"/>
      <c r="J556" s="768"/>
      <c r="K556" s="768"/>
      <c r="L556" s="768"/>
      <c r="M556" s="768"/>
      <c r="N556" s="768"/>
      <c r="O556" s="768"/>
      <c r="P556" s="768"/>
      <c r="Q556" s="768"/>
      <c r="R556" s="768"/>
      <c r="S556" s="768"/>
      <c r="T556" s="768"/>
      <c r="U556" s="768"/>
      <c r="V556" s="768"/>
      <c r="W556" s="768"/>
      <c r="X556" s="768"/>
      <c r="Y556" s="768"/>
      <c r="Z556" s="768"/>
      <c r="AA556" s="768"/>
    </row>
    <row r="557" ht="30.0" customHeight="1">
      <c r="A557" s="768" t="str">
        <f t="array" ref="A557">XLOOKUP(C557,'High School Players'!D:D,'High School Players'!K:K,"NO",0,1)</f>
        <v>NO</v>
      </c>
      <c r="B557" s="768"/>
      <c r="C557" s="768"/>
      <c r="D557" s="768"/>
      <c r="E557" s="768"/>
      <c r="F557" s="768"/>
      <c r="G557" s="768"/>
      <c r="H557" s="768"/>
      <c r="I557" s="768"/>
      <c r="J557" s="768"/>
      <c r="K557" s="768"/>
      <c r="L557" s="768"/>
      <c r="M557" s="768"/>
      <c r="N557" s="768"/>
      <c r="O557" s="768"/>
      <c r="P557" s="768"/>
      <c r="Q557" s="768"/>
      <c r="R557" s="768"/>
      <c r="S557" s="768"/>
      <c r="T557" s="768"/>
      <c r="U557" s="768"/>
      <c r="V557" s="768"/>
      <c r="W557" s="768"/>
      <c r="X557" s="768"/>
      <c r="Y557" s="768"/>
      <c r="Z557" s="768"/>
      <c r="AA557" s="768"/>
    </row>
    <row r="558" ht="30.0" customHeight="1">
      <c r="A558" s="768" t="str">
        <f t="array" ref="A558">XLOOKUP(C558,'High School Players'!D:D,'High School Players'!K:K,"NO",0,1)</f>
        <v>NO</v>
      </c>
      <c r="B558" s="768"/>
      <c r="C558" s="768"/>
      <c r="D558" s="768"/>
      <c r="E558" s="768"/>
      <c r="F558" s="768"/>
      <c r="G558" s="768"/>
      <c r="H558" s="768"/>
      <c r="I558" s="768"/>
      <c r="J558" s="768"/>
      <c r="K558" s="768"/>
      <c r="L558" s="768"/>
      <c r="M558" s="768"/>
      <c r="N558" s="768"/>
      <c r="O558" s="768"/>
      <c r="P558" s="768"/>
      <c r="Q558" s="768"/>
      <c r="R558" s="768"/>
      <c r="S558" s="768"/>
      <c r="T558" s="768"/>
      <c r="U558" s="768"/>
      <c r="V558" s="768"/>
      <c r="W558" s="768"/>
      <c r="X558" s="768"/>
      <c r="Y558" s="768"/>
      <c r="Z558" s="768"/>
      <c r="AA558" s="768"/>
    </row>
    <row r="559" ht="30.0" customHeight="1">
      <c r="A559" s="768" t="str">
        <f t="array" ref="A559">XLOOKUP(C559,'High School Players'!D:D,'High School Players'!K:K,"NO",0,1)</f>
        <v>NO</v>
      </c>
      <c r="B559" s="768"/>
      <c r="C559" s="768"/>
      <c r="D559" s="768"/>
      <c r="E559" s="768"/>
      <c r="F559" s="768"/>
      <c r="G559" s="768"/>
      <c r="H559" s="768"/>
      <c r="I559" s="768"/>
      <c r="J559" s="768"/>
      <c r="K559" s="768"/>
      <c r="L559" s="768"/>
      <c r="M559" s="768"/>
      <c r="N559" s="768"/>
      <c r="O559" s="768"/>
      <c r="P559" s="768"/>
      <c r="Q559" s="768"/>
      <c r="R559" s="768"/>
      <c r="S559" s="768"/>
      <c r="T559" s="768"/>
      <c r="U559" s="768"/>
      <c r="V559" s="768"/>
      <c r="W559" s="768"/>
      <c r="X559" s="768"/>
      <c r="Y559" s="768"/>
      <c r="Z559" s="768"/>
      <c r="AA559" s="768"/>
    </row>
    <row r="560" ht="30.0" customHeight="1">
      <c r="A560" s="768" t="str">
        <f t="array" ref="A560">XLOOKUP(C560,'High School Players'!D:D,'High School Players'!K:K,"NO",0,1)</f>
        <v>NO</v>
      </c>
      <c r="B560" s="768"/>
      <c r="C560" s="768"/>
      <c r="D560" s="768"/>
      <c r="E560" s="768"/>
      <c r="F560" s="768"/>
      <c r="G560" s="768"/>
      <c r="H560" s="768"/>
      <c r="I560" s="768"/>
      <c r="J560" s="768"/>
      <c r="K560" s="768"/>
      <c r="L560" s="768"/>
      <c r="M560" s="768"/>
      <c r="N560" s="768"/>
      <c r="O560" s="768"/>
      <c r="P560" s="768"/>
      <c r="Q560" s="768"/>
      <c r="R560" s="768"/>
      <c r="S560" s="768"/>
      <c r="T560" s="768"/>
      <c r="U560" s="768"/>
      <c r="V560" s="768"/>
      <c r="W560" s="768"/>
      <c r="X560" s="768"/>
      <c r="Y560" s="768"/>
      <c r="Z560" s="768"/>
      <c r="AA560" s="768"/>
    </row>
    <row r="561" ht="30.0" customHeight="1">
      <c r="A561" s="768" t="str">
        <f t="array" ref="A561">XLOOKUP(C561,'High School Players'!D:D,'High School Players'!K:K,"NO",0,1)</f>
        <v>NO</v>
      </c>
      <c r="B561" s="768"/>
      <c r="C561" s="768"/>
      <c r="D561" s="768"/>
      <c r="E561" s="768"/>
      <c r="F561" s="768"/>
      <c r="G561" s="768"/>
      <c r="H561" s="768"/>
      <c r="I561" s="768"/>
      <c r="J561" s="768"/>
      <c r="K561" s="768"/>
      <c r="L561" s="768"/>
      <c r="M561" s="768"/>
      <c r="N561" s="768"/>
      <c r="O561" s="768"/>
      <c r="P561" s="768"/>
      <c r="Q561" s="768"/>
      <c r="R561" s="768"/>
      <c r="S561" s="768"/>
      <c r="T561" s="768"/>
      <c r="U561" s="768"/>
      <c r="V561" s="768"/>
      <c r="W561" s="768"/>
      <c r="X561" s="768"/>
      <c r="Y561" s="768"/>
      <c r="Z561" s="768"/>
      <c r="AA561" s="768"/>
    </row>
    <row r="562" ht="30.0" customHeight="1">
      <c r="A562" s="768" t="str">
        <f t="array" ref="A562">XLOOKUP(C562,'High School Players'!D:D,'High School Players'!K:K,"NO",0,1)</f>
        <v>NO</v>
      </c>
      <c r="B562" s="768"/>
      <c r="C562" s="768"/>
      <c r="D562" s="768"/>
      <c r="E562" s="768"/>
      <c r="F562" s="768"/>
      <c r="G562" s="768"/>
      <c r="H562" s="768"/>
      <c r="I562" s="768"/>
      <c r="J562" s="768"/>
      <c r="K562" s="768"/>
      <c r="L562" s="768"/>
      <c r="M562" s="768"/>
      <c r="N562" s="768"/>
      <c r="O562" s="768"/>
      <c r="P562" s="768"/>
      <c r="Q562" s="768"/>
      <c r="R562" s="768"/>
      <c r="S562" s="768"/>
      <c r="T562" s="768"/>
      <c r="U562" s="768"/>
      <c r="V562" s="768"/>
      <c r="W562" s="768"/>
      <c r="X562" s="768"/>
      <c r="Y562" s="768"/>
      <c r="Z562" s="768"/>
      <c r="AA562" s="768"/>
    </row>
    <row r="563" ht="30.0" customHeight="1">
      <c r="A563" s="768" t="str">
        <f t="array" ref="A563">XLOOKUP(C563,'High School Players'!D:D,'High School Players'!K:K,"NO",0,1)</f>
        <v>NO</v>
      </c>
      <c r="B563" s="768"/>
      <c r="C563" s="768"/>
      <c r="D563" s="768"/>
      <c r="E563" s="768"/>
      <c r="F563" s="768"/>
      <c r="G563" s="768"/>
      <c r="H563" s="768"/>
      <c r="I563" s="768"/>
      <c r="J563" s="768"/>
      <c r="K563" s="768"/>
      <c r="L563" s="768"/>
      <c r="M563" s="768"/>
      <c r="N563" s="768"/>
      <c r="O563" s="768"/>
      <c r="P563" s="768"/>
      <c r="Q563" s="768"/>
      <c r="R563" s="768"/>
      <c r="S563" s="768"/>
      <c r="T563" s="768"/>
      <c r="U563" s="768"/>
      <c r="V563" s="768"/>
      <c r="W563" s="768"/>
      <c r="X563" s="768"/>
      <c r="Y563" s="768"/>
      <c r="Z563" s="768"/>
      <c r="AA563" s="768"/>
    </row>
    <row r="564" ht="30.0" customHeight="1">
      <c r="A564" s="768" t="str">
        <f t="array" ref="A564">XLOOKUP(C564,'High School Players'!D:D,'High School Players'!K:K,"NO",0,1)</f>
        <v>NO</v>
      </c>
      <c r="B564" s="768"/>
      <c r="C564" s="768"/>
      <c r="D564" s="768"/>
      <c r="E564" s="768"/>
      <c r="F564" s="768"/>
      <c r="G564" s="768"/>
      <c r="H564" s="768"/>
      <c r="I564" s="768"/>
      <c r="J564" s="768"/>
      <c r="K564" s="768"/>
      <c r="L564" s="768"/>
      <c r="M564" s="768"/>
      <c r="N564" s="768"/>
      <c r="O564" s="768"/>
      <c r="P564" s="768"/>
      <c r="Q564" s="768"/>
      <c r="R564" s="768"/>
      <c r="S564" s="768"/>
      <c r="T564" s="768"/>
      <c r="U564" s="768"/>
      <c r="V564" s="768"/>
      <c r="W564" s="768"/>
      <c r="X564" s="768"/>
      <c r="Y564" s="768"/>
      <c r="Z564" s="768"/>
      <c r="AA564" s="768"/>
    </row>
    <row r="565" ht="30.0" customHeight="1">
      <c r="A565" s="768" t="str">
        <f t="array" ref="A565">XLOOKUP(C565,'High School Players'!D:D,'High School Players'!K:K,"NO",0,1)</f>
        <v>NO</v>
      </c>
      <c r="B565" s="768"/>
      <c r="C565" s="768"/>
      <c r="D565" s="768"/>
      <c r="E565" s="768"/>
      <c r="F565" s="768"/>
      <c r="G565" s="768"/>
      <c r="H565" s="768"/>
      <c r="I565" s="768"/>
      <c r="J565" s="768"/>
      <c r="K565" s="768"/>
      <c r="L565" s="768"/>
      <c r="M565" s="768"/>
      <c r="N565" s="768"/>
      <c r="O565" s="768"/>
      <c r="P565" s="768"/>
      <c r="Q565" s="768"/>
      <c r="R565" s="768"/>
      <c r="S565" s="768"/>
      <c r="T565" s="768"/>
      <c r="U565" s="768"/>
      <c r="V565" s="768"/>
      <c r="W565" s="768"/>
      <c r="X565" s="768"/>
      <c r="Y565" s="768"/>
      <c r="Z565" s="768"/>
      <c r="AA565" s="768"/>
    </row>
    <row r="566" ht="30.0" customHeight="1">
      <c r="A566" s="768" t="str">
        <f t="array" ref="A566">XLOOKUP(C566,'High School Players'!D:D,'High School Players'!K:K,"NO",0,1)</f>
        <v>NO</v>
      </c>
      <c r="B566" s="768"/>
      <c r="C566" s="768"/>
      <c r="D566" s="768"/>
      <c r="E566" s="768"/>
      <c r="F566" s="768"/>
      <c r="G566" s="768"/>
      <c r="H566" s="768"/>
      <c r="I566" s="768"/>
      <c r="J566" s="768"/>
      <c r="K566" s="768"/>
      <c r="L566" s="768"/>
      <c r="M566" s="768"/>
      <c r="N566" s="768"/>
      <c r="O566" s="768"/>
      <c r="P566" s="768"/>
      <c r="Q566" s="768"/>
      <c r="R566" s="768"/>
      <c r="S566" s="768"/>
      <c r="T566" s="768"/>
      <c r="U566" s="768"/>
      <c r="V566" s="768"/>
      <c r="W566" s="768"/>
      <c r="X566" s="768"/>
      <c r="Y566" s="768"/>
      <c r="Z566" s="768"/>
      <c r="AA566" s="768"/>
    </row>
    <row r="567" ht="30.0" customHeight="1">
      <c r="A567" s="768" t="str">
        <f t="array" ref="A567">XLOOKUP(C567,'High School Players'!D:D,'High School Players'!K:K,"NO",0,1)</f>
        <v>NO</v>
      </c>
      <c r="B567" s="768"/>
      <c r="C567" s="768"/>
      <c r="D567" s="768"/>
      <c r="E567" s="768"/>
      <c r="F567" s="768"/>
      <c r="G567" s="768"/>
      <c r="H567" s="768"/>
      <c r="I567" s="768"/>
      <c r="J567" s="768"/>
      <c r="K567" s="768"/>
      <c r="L567" s="768"/>
      <c r="M567" s="768"/>
      <c r="N567" s="768"/>
      <c r="O567" s="768"/>
      <c r="P567" s="768"/>
      <c r="Q567" s="768"/>
      <c r="R567" s="768"/>
      <c r="S567" s="768"/>
      <c r="T567" s="768"/>
      <c r="U567" s="768"/>
      <c r="V567" s="768"/>
      <c r="W567" s="768"/>
      <c r="X567" s="768"/>
      <c r="Y567" s="768"/>
      <c r="Z567" s="768"/>
      <c r="AA567" s="768"/>
    </row>
    <row r="568" ht="30.0" customHeight="1">
      <c r="A568" s="768" t="str">
        <f t="array" ref="A568">XLOOKUP(C568,'High School Players'!D:D,'High School Players'!K:K,"NO",0,1)</f>
        <v>NO</v>
      </c>
      <c r="B568" s="768"/>
      <c r="C568" s="768"/>
      <c r="D568" s="768"/>
      <c r="E568" s="768"/>
      <c r="F568" s="768"/>
      <c r="G568" s="768"/>
      <c r="H568" s="768"/>
      <c r="I568" s="768"/>
      <c r="J568" s="768"/>
      <c r="K568" s="768"/>
      <c r="L568" s="768"/>
      <c r="M568" s="768"/>
      <c r="N568" s="768"/>
      <c r="O568" s="768"/>
      <c r="P568" s="768"/>
      <c r="Q568" s="768"/>
      <c r="R568" s="768"/>
      <c r="S568" s="768"/>
      <c r="T568" s="768"/>
      <c r="U568" s="768"/>
      <c r="V568" s="768"/>
      <c r="W568" s="768"/>
      <c r="X568" s="768"/>
      <c r="Y568" s="768"/>
      <c r="Z568" s="768"/>
      <c r="AA568" s="768"/>
    </row>
    <row r="569" ht="30.0" customHeight="1">
      <c r="A569" s="768" t="str">
        <f t="array" ref="A569">XLOOKUP(C569,'High School Players'!D:D,'High School Players'!K:K,"NO",0,1)</f>
        <v>NO</v>
      </c>
      <c r="B569" s="768"/>
      <c r="C569" s="768"/>
      <c r="D569" s="768"/>
      <c r="E569" s="768"/>
      <c r="F569" s="768"/>
      <c r="G569" s="768"/>
      <c r="H569" s="768"/>
      <c r="I569" s="768"/>
      <c r="J569" s="768"/>
      <c r="K569" s="768"/>
      <c r="L569" s="768"/>
      <c r="M569" s="768"/>
      <c r="N569" s="768"/>
      <c r="O569" s="768"/>
      <c r="P569" s="768"/>
      <c r="Q569" s="768"/>
      <c r="R569" s="768"/>
      <c r="S569" s="768"/>
      <c r="T569" s="768"/>
      <c r="U569" s="768"/>
      <c r="V569" s="768"/>
      <c r="W569" s="768"/>
      <c r="X569" s="768"/>
      <c r="Y569" s="768"/>
      <c r="Z569" s="768"/>
      <c r="AA569" s="768"/>
    </row>
    <row r="570" ht="30.0" customHeight="1">
      <c r="A570" s="768" t="str">
        <f t="array" ref="A570">XLOOKUP(C570,'High School Players'!D:D,'High School Players'!K:K,"NO",0,1)</f>
        <v>NO</v>
      </c>
      <c r="B570" s="768"/>
      <c r="C570" s="768"/>
      <c r="D570" s="768"/>
      <c r="E570" s="768"/>
      <c r="F570" s="768"/>
      <c r="G570" s="768"/>
      <c r="H570" s="768"/>
      <c r="I570" s="768"/>
      <c r="J570" s="768"/>
      <c r="K570" s="768"/>
      <c r="L570" s="768"/>
      <c r="M570" s="768"/>
      <c r="N570" s="768"/>
      <c r="O570" s="768"/>
      <c r="P570" s="768"/>
      <c r="Q570" s="768"/>
      <c r="R570" s="768"/>
      <c r="S570" s="768"/>
      <c r="T570" s="768"/>
      <c r="U570" s="768"/>
      <c r="V570" s="768"/>
      <c r="W570" s="768"/>
      <c r="X570" s="768"/>
      <c r="Y570" s="768"/>
      <c r="Z570" s="768"/>
      <c r="AA570" s="768"/>
    </row>
    <row r="571" ht="30.0" customHeight="1">
      <c r="A571" s="768" t="str">
        <f t="array" ref="A571">XLOOKUP(C571,'High School Players'!D:D,'High School Players'!K:K,"NO",0,1)</f>
        <v>NO</v>
      </c>
      <c r="B571" s="768"/>
      <c r="C571" s="768"/>
      <c r="D571" s="768"/>
      <c r="E571" s="768"/>
      <c r="F571" s="768"/>
      <c r="G571" s="768"/>
      <c r="H571" s="768"/>
      <c r="I571" s="768"/>
      <c r="J571" s="768"/>
      <c r="K571" s="768"/>
      <c r="L571" s="768"/>
      <c r="M571" s="768"/>
      <c r="N571" s="768"/>
      <c r="O571" s="768"/>
      <c r="P571" s="768"/>
      <c r="Q571" s="768"/>
      <c r="R571" s="768"/>
      <c r="S571" s="768"/>
      <c r="T571" s="768"/>
      <c r="U571" s="768"/>
      <c r="V571" s="768"/>
      <c r="W571" s="768"/>
      <c r="X571" s="768"/>
      <c r="Y571" s="768"/>
      <c r="Z571" s="768"/>
      <c r="AA571" s="768"/>
    </row>
    <row r="572" ht="30.0" customHeight="1">
      <c r="A572" s="768" t="str">
        <f t="array" ref="A572">XLOOKUP(C572,'High School Players'!D:D,'High School Players'!K:K,"NO",0,1)</f>
        <v>NO</v>
      </c>
      <c r="B572" s="768"/>
      <c r="C572" s="768"/>
      <c r="D572" s="768"/>
      <c r="E572" s="768"/>
      <c r="F572" s="768"/>
      <c r="G572" s="768"/>
      <c r="H572" s="768"/>
      <c r="I572" s="768"/>
      <c r="J572" s="768"/>
      <c r="K572" s="768"/>
      <c r="L572" s="768"/>
      <c r="M572" s="768"/>
      <c r="N572" s="768"/>
      <c r="O572" s="768"/>
      <c r="P572" s="768"/>
      <c r="Q572" s="768"/>
      <c r="R572" s="768"/>
      <c r="S572" s="768"/>
      <c r="T572" s="768"/>
      <c r="U572" s="768"/>
      <c r="V572" s="768"/>
      <c r="W572" s="768"/>
      <c r="X572" s="768"/>
      <c r="Y572" s="768"/>
      <c r="Z572" s="768"/>
      <c r="AA572" s="768"/>
    </row>
    <row r="573" ht="30.0" customHeight="1">
      <c r="A573" s="768" t="str">
        <f t="array" ref="A573">XLOOKUP(C573,'High School Players'!D:D,'High School Players'!K:K,"NO",0,1)</f>
        <v>NO</v>
      </c>
      <c r="B573" s="768"/>
      <c r="C573" s="768"/>
      <c r="D573" s="768"/>
      <c r="E573" s="768"/>
      <c r="F573" s="768"/>
      <c r="G573" s="768"/>
      <c r="H573" s="768"/>
      <c r="I573" s="768"/>
      <c r="J573" s="768"/>
      <c r="K573" s="768"/>
      <c r="L573" s="768"/>
      <c r="M573" s="768"/>
      <c r="N573" s="768"/>
      <c r="O573" s="768"/>
      <c r="P573" s="768"/>
      <c r="Q573" s="768"/>
      <c r="R573" s="768"/>
      <c r="S573" s="768"/>
      <c r="T573" s="768"/>
      <c r="U573" s="768"/>
      <c r="V573" s="768"/>
      <c r="W573" s="768"/>
      <c r="X573" s="768"/>
      <c r="Y573" s="768"/>
      <c r="Z573" s="768"/>
      <c r="AA573" s="768"/>
    </row>
    <row r="574" ht="30.0" customHeight="1">
      <c r="A574" s="768" t="str">
        <f t="array" ref="A574">XLOOKUP(C574,'High School Players'!D:D,'High School Players'!K:K,"NO",0,1)</f>
        <v>NO</v>
      </c>
      <c r="B574" s="768"/>
      <c r="C574" s="768"/>
      <c r="D574" s="768"/>
      <c r="E574" s="768"/>
      <c r="F574" s="768"/>
      <c r="G574" s="768"/>
      <c r="H574" s="768"/>
      <c r="I574" s="768"/>
      <c r="J574" s="768"/>
      <c r="K574" s="768"/>
      <c r="L574" s="768"/>
      <c r="M574" s="768"/>
      <c r="N574" s="768"/>
      <c r="O574" s="768"/>
      <c r="P574" s="768"/>
      <c r="Q574" s="768"/>
      <c r="R574" s="768"/>
      <c r="S574" s="768"/>
      <c r="T574" s="768"/>
      <c r="U574" s="768"/>
      <c r="V574" s="768"/>
      <c r="W574" s="768"/>
      <c r="X574" s="768"/>
      <c r="Y574" s="768"/>
      <c r="Z574" s="768"/>
      <c r="AA574" s="768"/>
    </row>
    <row r="575" ht="30.0" customHeight="1">
      <c r="A575" s="768" t="str">
        <f t="array" ref="A575">XLOOKUP(C575,'High School Players'!D:D,'High School Players'!K:K,"NO",0,1)</f>
        <v>NO</v>
      </c>
      <c r="B575" s="768"/>
      <c r="C575" s="768"/>
      <c r="D575" s="768"/>
      <c r="E575" s="768"/>
      <c r="F575" s="768"/>
      <c r="G575" s="768"/>
      <c r="H575" s="768"/>
      <c r="I575" s="768"/>
      <c r="J575" s="768"/>
      <c r="K575" s="768"/>
      <c r="L575" s="768"/>
      <c r="M575" s="768"/>
      <c r="N575" s="768"/>
      <c r="O575" s="768"/>
      <c r="P575" s="768"/>
      <c r="Q575" s="768"/>
      <c r="R575" s="768"/>
      <c r="S575" s="768"/>
      <c r="T575" s="768"/>
      <c r="U575" s="768"/>
      <c r="V575" s="768"/>
      <c r="W575" s="768"/>
      <c r="X575" s="768"/>
      <c r="Y575" s="768"/>
      <c r="Z575" s="768"/>
      <c r="AA575" s="768"/>
    </row>
    <row r="576" ht="30.0" customHeight="1">
      <c r="A576" s="768" t="str">
        <f t="array" ref="A576">XLOOKUP(C576,'High School Players'!D:D,'High School Players'!K:K,"NO",0,1)</f>
        <v>NO</v>
      </c>
      <c r="B576" s="768"/>
      <c r="C576" s="768"/>
      <c r="D576" s="768"/>
      <c r="E576" s="768"/>
      <c r="F576" s="768"/>
      <c r="G576" s="768"/>
      <c r="H576" s="768"/>
      <c r="I576" s="768"/>
      <c r="J576" s="768"/>
      <c r="K576" s="768"/>
      <c r="L576" s="768"/>
      <c r="M576" s="768"/>
      <c r="N576" s="768"/>
      <c r="O576" s="768"/>
      <c r="P576" s="768"/>
      <c r="Q576" s="768"/>
      <c r="R576" s="768"/>
      <c r="S576" s="768"/>
      <c r="T576" s="768"/>
      <c r="U576" s="768"/>
      <c r="V576" s="768"/>
      <c r="W576" s="768"/>
      <c r="X576" s="768"/>
      <c r="Y576" s="768"/>
      <c r="Z576" s="768"/>
      <c r="AA576" s="768"/>
    </row>
    <row r="577" ht="30.0" customHeight="1">
      <c r="A577" s="768" t="str">
        <f t="array" ref="A577">XLOOKUP(C577,'High School Players'!D:D,'High School Players'!K:K,"NO",0,1)</f>
        <v>NO</v>
      </c>
      <c r="B577" s="768"/>
      <c r="C577" s="768"/>
      <c r="D577" s="768"/>
      <c r="E577" s="768"/>
      <c r="F577" s="768"/>
      <c r="G577" s="768"/>
      <c r="H577" s="768"/>
      <c r="I577" s="768"/>
      <c r="J577" s="768"/>
      <c r="K577" s="768"/>
      <c r="L577" s="768"/>
      <c r="M577" s="768"/>
      <c r="N577" s="768"/>
      <c r="O577" s="768"/>
      <c r="P577" s="768"/>
      <c r="Q577" s="768"/>
      <c r="R577" s="768"/>
      <c r="S577" s="768"/>
      <c r="T577" s="768"/>
      <c r="U577" s="768"/>
      <c r="V577" s="768"/>
      <c r="W577" s="768"/>
      <c r="X577" s="768"/>
      <c r="Y577" s="768"/>
      <c r="Z577" s="768"/>
      <c r="AA577" s="768"/>
    </row>
    <row r="578" ht="30.0" customHeight="1">
      <c r="A578" s="768" t="str">
        <f t="array" ref="A578">XLOOKUP(C578,'High School Players'!D:D,'High School Players'!K:K,"NO",0,1)</f>
        <v>NO</v>
      </c>
      <c r="B578" s="768"/>
      <c r="C578" s="768"/>
      <c r="D578" s="768"/>
      <c r="E578" s="768"/>
      <c r="F578" s="768"/>
      <c r="G578" s="768"/>
      <c r="H578" s="768"/>
      <c r="I578" s="768"/>
      <c r="J578" s="768"/>
      <c r="K578" s="768"/>
      <c r="L578" s="768"/>
      <c r="M578" s="768"/>
      <c r="N578" s="768"/>
      <c r="O578" s="768"/>
      <c r="P578" s="768"/>
      <c r="Q578" s="768"/>
      <c r="R578" s="768"/>
      <c r="S578" s="768"/>
      <c r="T578" s="768"/>
      <c r="U578" s="768"/>
      <c r="V578" s="768"/>
      <c r="W578" s="768"/>
      <c r="X578" s="768"/>
      <c r="Y578" s="768"/>
      <c r="Z578" s="768"/>
      <c r="AA578" s="768"/>
    </row>
    <row r="579" ht="30.0" customHeight="1">
      <c r="A579" s="768" t="str">
        <f t="array" ref="A579">XLOOKUP(C579,'High School Players'!D:D,'High School Players'!K:K,"NO",0,1)</f>
        <v>NO</v>
      </c>
      <c r="B579" s="768"/>
      <c r="C579" s="768"/>
      <c r="D579" s="768"/>
      <c r="E579" s="768"/>
      <c r="F579" s="768"/>
      <c r="G579" s="768"/>
      <c r="H579" s="768"/>
      <c r="I579" s="768"/>
      <c r="J579" s="768"/>
      <c r="K579" s="768"/>
      <c r="L579" s="768"/>
      <c r="M579" s="768"/>
      <c r="N579" s="768"/>
      <c r="O579" s="768"/>
      <c r="P579" s="768"/>
      <c r="Q579" s="768"/>
      <c r="R579" s="768"/>
      <c r="S579" s="768"/>
      <c r="T579" s="768"/>
      <c r="U579" s="768"/>
      <c r="V579" s="768"/>
      <c r="W579" s="768"/>
      <c r="X579" s="768"/>
      <c r="Y579" s="768"/>
      <c r="Z579" s="768"/>
      <c r="AA579" s="768"/>
    </row>
    <row r="580" ht="30.0" customHeight="1">
      <c r="A580" s="768" t="str">
        <f t="array" ref="A580">XLOOKUP(C580,'High School Players'!D:D,'High School Players'!K:K,"NO",0,1)</f>
        <v>NO</v>
      </c>
      <c r="B580" s="768"/>
      <c r="C580" s="768"/>
      <c r="D580" s="768"/>
      <c r="E580" s="768"/>
      <c r="F580" s="768"/>
      <c r="G580" s="768"/>
      <c r="H580" s="768"/>
      <c r="I580" s="768"/>
      <c r="J580" s="768"/>
      <c r="K580" s="768"/>
      <c r="L580" s="768"/>
      <c r="M580" s="768"/>
      <c r="N580" s="768"/>
      <c r="O580" s="768"/>
      <c r="P580" s="768"/>
      <c r="Q580" s="768"/>
      <c r="R580" s="768"/>
      <c r="S580" s="768"/>
      <c r="T580" s="768"/>
      <c r="U580" s="768"/>
      <c r="V580" s="768"/>
      <c r="W580" s="768"/>
      <c r="X580" s="768"/>
      <c r="Y580" s="768"/>
      <c r="Z580" s="768"/>
      <c r="AA580" s="768"/>
    </row>
    <row r="581" ht="30.0" customHeight="1">
      <c r="A581" s="768" t="str">
        <f t="array" ref="A581">XLOOKUP(C581,'High School Players'!D:D,'High School Players'!K:K,"NO",0,1)</f>
        <v>NO</v>
      </c>
      <c r="B581" s="768"/>
      <c r="C581" s="768"/>
      <c r="D581" s="768"/>
      <c r="E581" s="768"/>
      <c r="F581" s="768"/>
      <c r="G581" s="768"/>
      <c r="H581" s="768"/>
      <c r="I581" s="768"/>
      <c r="J581" s="768"/>
      <c r="K581" s="768"/>
      <c r="L581" s="768"/>
      <c r="M581" s="768"/>
      <c r="N581" s="768"/>
      <c r="O581" s="768"/>
      <c r="P581" s="768"/>
      <c r="Q581" s="768"/>
      <c r="R581" s="768"/>
      <c r="S581" s="768"/>
      <c r="T581" s="768"/>
      <c r="U581" s="768"/>
      <c r="V581" s="768"/>
      <c r="W581" s="768"/>
      <c r="X581" s="768"/>
      <c r="Y581" s="768"/>
      <c r="Z581" s="768"/>
      <c r="AA581" s="768"/>
    </row>
    <row r="582" ht="30.0" customHeight="1">
      <c r="A582" s="768" t="str">
        <f t="array" ref="A582">XLOOKUP(C582,'High School Players'!D:D,'High School Players'!K:K,"NO",0,1)</f>
        <v>NO</v>
      </c>
      <c r="B582" s="768"/>
      <c r="C582" s="768"/>
      <c r="D582" s="768"/>
      <c r="E582" s="768"/>
      <c r="F582" s="768"/>
      <c r="G582" s="768"/>
      <c r="H582" s="768"/>
      <c r="I582" s="768"/>
      <c r="J582" s="768"/>
      <c r="K582" s="768"/>
      <c r="L582" s="768"/>
      <c r="M582" s="768"/>
      <c r="N582" s="768"/>
      <c r="O582" s="768"/>
      <c r="P582" s="768"/>
      <c r="Q582" s="768"/>
      <c r="R582" s="768"/>
      <c r="S582" s="768"/>
      <c r="T582" s="768"/>
      <c r="U582" s="768"/>
      <c r="V582" s="768"/>
      <c r="W582" s="768"/>
      <c r="X582" s="768"/>
      <c r="Y582" s="768"/>
      <c r="Z582" s="768"/>
      <c r="AA582" s="768"/>
    </row>
    <row r="583" ht="30.0" customHeight="1">
      <c r="A583" s="768" t="str">
        <f t="array" ref="A583">XLOOKUP(C583,'High School Players'!D:D,'High School Players'!K:K,"NO",0,1)</f>
        <v>NO</v>
      </c>
      <c r="B583" s="768"/>
      <c r="C583" s="768"/>
      <c r="D583" s="768"/>
      <c r="E583" s="768"/>
      <c r="F583" s="768"/>
      <c r="G583" s="768"/>
      <c r="H583" s="768"/>
      <c r="I583" s="768"/>
      <c r="J583" s="768"/>
      <c r="K583" s="768"/>
      <c r="L583" s="768"/>
      <c r="M583" s="768"/>
      <c r="N583" s="768"/>
      <c r="O583" s="768"/>
      <c r="P583" s="768"/>
      <c r="Q583" s="768"/>
      <c r="R583" s="768"/>
      <c r="S583" s="768"/>
      <c r="T583" s="768"/>
      <c r="U583" s="768"/>
      <c r="V583" s="768"/>
      <c r="W583" s="768"/>
      <c r="X583" s="768"/>
      <c r="Y583" s="768"/>
      <c r="Z583" s="768"/>
      <c r="AA583" s="768"/>
    </row>
    <row r="584" ht="30.0" customHeight="1">
      <c r="A584" s="768" t="str">
        <f t="array" ref="A584">XLOOKUP(C584,'High School Players'!D:D,'High School Players'!K:K,"NO",0,1)</f>
        <v>NO</v>
      </c>
      <c r="B584" s="768"/>
      <c r="C584" s="768"/>
      <c r="D584" s="768"/>
      <c r="E584" s="768"/>
      <c r="F584" s="768"/>
      <c r="G584" s="768"/>
      <c r="H584" s="768"/>
      <c r="I584" s="768"/>
      <c r="J584" s="768"/>
      <c r="K584" s="768"/>
      <c r="L584" s="768"/>
      <c r="M584" s="768"/>
      <c r="N584" s="768"/>
      <c r="O584" s="768"/>
      <c r="P584" s="768"/>
      <c r="Q584" s="768"/>
      <c r="R584" s="768"/>
      <c r="S584" s="768"/>
      <c r="T584" s="768"/>
      <c r="U584" s="768"/>
      <c r="V584" s="768"/>
      <c r="W584" s="768"/>
      <c r="X584" s="768"/>
      <c r="Y584" s="768"/>
      <c r="Z584" s="768"/>
      <c r="AA584" s="768"/>
    </row>
    <row r="585" ht="30.0" customHeight="1">
      <c r="A585" s="768" t="str">
        <f t="array" ref="A585">XLOOKUP(C585,'High School Players'!D:D,'High School Players'!K:K,"NO",0,1)</f>
        <v>NO</v>
      </c>
      <c r="B585" s="768"/>
      <c r="C585" s="768"/>
      <c r="D585" s="768"/>
      <c r="E585" s="768"/>
      <c r="F585" s="768"/>
      <c r="G585" s="768"/>
      <c r="H585" s="768"/>
      <c r="I585" s="768"/>
      <c r="J585" s="768"/>
      <c r="K585" s="768"/>
      <c r="L585" s="768"/>
      <c r="M585" s="768"/>
      <c r="N585" s="768"/>
      <c r="O585" s="768"/>
      <c r="P585" s="768"/>
      <c r="Q585" s="768"/>
      <c r="R585" s="768"/>
      <c r="S585" s="768"/>
      <c r="T585" s="768"/>
      <c r="U585" s="768"/>
      <c r="V585" s="768"/>
      <c r="W585" s="768"/>
      <c r="X585" s="768"/>
      <c r="Y585" s="768"/>
      <c r="Z585" s="768"/>
      <c r="AA585" s="768"/>
    </row>
    <row r="586" ht="30.0" customHeight="1">
      <c r="A586" s="768" t="str">
        <f t="array" ref="A586">XLOOKUP(C586,'High School Players'!D:D,'High School Players'!K:K,"NO",0,1)</f>
        <v>NO</v>
      </c>
      <c r="B586" s="768"/>
      <c r="C586" s="768"/>
      <c r="D586" s="768"/>
      <c r="E586" s="768"/>
      <c r="F586" s="768"/>
      <c r="G586" s="768"/>
      <c r="H586" s="768"/>
      <c r="I586" s="768"/>
      <c r="J586" s="768"/>
      <c r="K586" s="768"/>
      <c r="L586" s="768"/>
      <c r="M586" s="768"/>
      <c r="N586" s="768"/>
      <c r="O586" s="768"/>
      <c r="P586" s="768"/>
      <c r="Q586" s="768"/>
      <c r="R586" s="768"/>
      <c r="S586" s="768"/>
      <c r="T586" s="768"/>
      <c r="U586" s="768"/>
      <c r="V586" s="768"/>
      <c r="W586" s="768"/>
      <c r="X586" s="768"/>
      <c r="Y586" s="768"/>
      <c r="Z586" s="768"/>
      <c r="AA586" s="768"/>
    </row>
    <row r="587" ht="30.0" customHeight="1">
      <c r="A587" s="768" t="str">
        <f t="array" ref="A587">XLOOKUP(C587,'High School Players'!D:D,'High School Players'!K:K,"NO",0,1)</f>
        <v>NO</v>
      </c>
      <c r="B587" s="768"/>
      <c r="C587" s="768"/>
      <c r="D587" s="768"/>
      <c r="E587" s="768"/>
      <c r="F587" s="768"/>
      <c r="G587" s="768"/>
      <c r="H587" s="768"/>
      <c r="I587" s="768"/>
      <c r="J587" s="768"/>
      <c r="K587" s="768"/>
      <c r="L587" s="768"/>
      <c r="M587" s="768"/>
      <c r="N587" s="768"/>
      <c r="O587" s="768"/>
      <c r="P587" s="768"/>
      <c r="Q587" s="768"/>
      <c r="R587" s="768"/>
      <c r="S587" s="768"/>
      <c r="T587" s="768"/>
      <c r="U587" s="768"/>
      <c r="V587" s="768"/>
      <c r="W587" s="768"/>
      <c r="X587" s="768"/>
      <c r="Y587" s="768"/>
      <c r="Z587" s="768"/>
      <c r="AA587" s="768"/>
    </row>
    <row r="588" ht="30.0" customHeight="1">
      <c r="A588" s="768" t="str">
        <f t="array" ref="A588">XLOOKUP(C588,'High School Players'!D:D,'High School Players'!K:K,"NO",0,1)</f>
        <v>NO</v>
      </c>
      <c r="B588" s="768"/>
      <c r="C588" s="768"/>
      <c r="D588" s="768"/>
      <c r="E588" s="768"/>
      <c r="F588" s="768"/>
      <c r="G588" s="768"/>
      <c r="H588" s="768"/>
      <c r="I588" s="768"/>
      <c r="J588" s="768"/>
      <c r="K588" s="768"/>
      <c r="L588" s="768"/>
      <c r="M588" s="768"/>
      <c r="N588" s="768"/>
      <c r="O588" s="768"/>
      <c r="P588" s="768"/>
      <c r="Q588" s="768"/>
      <c r="R588" s="768"/>
      <c r="S588" s="768"/>
      <c r="T588" s="768"/>
      <c r="U588" s="768"/>
      <c r="V588" s="768"/>
      <c r="W588" s="768"/>
      <c r="X588" s="768"/>
      <c r="Y588" s="768"/>
      <c r="Z588" s="768"/>
      <c r="AA588" s="768"/>
    </row>
    <row r="589" ht="30.0" customHeight="1">
      <c r="A589" s="768" t="str">
        <f t="array" ref="A589">XLOOKUP(C589,'High School Players'!D:D,'High School Players'!K:K,"NO",0,1)</f>
        <v>NO</v>
      </c>
      <c r="B589" s="768"/>
      <c r="C589" s="768"/>
      <c r="D589" s="768"/>
      <c r="E589" s="768"/>
      <c r="F589" s="768"/>
      <c r="G589" s="768"/>
      <c r="H589" s="768"/>
      <c r="I589" s="768"/>
      <c r="J589" s="768"/>
      <c r="K589" s="768"/>
      <c r="L589" s="768"/>
      <c r="M589" s="768"/>
      <c r="N589" s="768"/>
      <c r="O589" s="768"/>
      <c r="P589" s="768"/>
      <c r="Q589" s="768"/>
      <c r="R589" s="768"/>
      <c r="S589" s="768"/>
      <c r="T589" s="768"/>
      <c r="U589" s="768"/>
      <c r="V589" s="768"/>
      <c r="W589" s="768"/>
      <c r="X589" s="768"/>
      <c r="Y589" s="768"/>
      <c r="Z589" s="768"/>
      <c r="AA589" s="768"/>
    </row>
    <row r="590" ht="30.0" customHeight="1">
      <c r="A590" s="768" t="str">
        <f t="array" ref="A590">XLOOKUP(C590,'High School Players'!D:D,'High School Players'!K:K,"NO",0,1)</f>
        <v>NO</v>
      </c>
      <c r="B590" s="768"/>
      <c r="C590" s="768"/>
      <c r="D590" s="768"/>
      <c r="E590" s="768"/>
      <c r="F590" s="768"/>
      <c r="G590" s="768"/>
      <c r="H590" s="768"/>
      <c r="I590" s="768"/>
      <c r="J590" s="768"/>
      <c r="K590" s="768"/>
      <c r="L590" s="768"/>
      <c r="M590" s="768"/>
      <c r="N590" s="768"/>
      <c r="O590" s="768"/>
      <c r="P590" s="768"/>
      <c r="Q590" s="768"/>
      <c r="R590" s="768"/>
      <c r="S590" s="768"/>
      <c r="T590" s="768"/>
      <c r="U590" s="768"/>
      <c r="V590" s="768"/>
      <c r="W590" s="768"/>
      <c r="X590" s="768"/>
      <c r="Y590" s="768"/>
      <c r="Z590" s="768"/>
      <c r="AA590" s="768"/>
    </row>
    <row r="591" ht="30.0" customHeight="1">
      <c r="A591" s="768" t="str">
        <f t="array" ref="A591">XLOOKUP(C591,'High School Players'!D:D,'High School Players'!K:K,"NO",0,1)</f>
        <v>NO</v>
      </c>
      <c r="B591" s="768"/>
      <c r="C591" s="768"/>
      <c r="D591" s="768"/>
      <c r="E591" s="768"/>
      <c r="F591" s="768"/>
      <c r="G591" s="768"/>
      <c r="H591" s="768"/>
      <c r="I591" s="768"/>
      <c r="J591" s="768"/>
      <c r="K591" s="768"/>
      <c r="L591" s="768"/>
      <c r="M591" s="768"/>
      <c r="N591" s="768"/>
      <c r="O591" s="768"/>
      <c r="P591" s="768"/>
      <c r="Q591" s="768"/>
      <c r="R591" s="768"/>
      <c r="S591" s="768"/>
      <c r="T591" s="768"/>
      <c r="U591" s="768"/>
      <c r="V591" s="768"/>
      <c r="W591" s="768"/>
      <c r="X591" s="768"/>
      <c r="Y591" s="768"/>
      <c r="Z591" s="768"/>
      <c r="AA591" s="768"/>
    </row>
    <row r="592" ht="30.0" customHeight="1">
      <c r="A592" s="768" t="str">
        <f t="array" ref="A592">XLOOKUP(C592,'High School Players'!D:D,'High School Players'!K:K,"NO",0,1)</f>
        <v>NO</v>
      </c>
      <c r="B592" s="768"/>
      <c r="C592" s="768"/>
      <c r="D592" s="768"/>
      <c r="E592" s="768"/>
      <c r="F592" s="768"/>
      <c r="G592" s="768"/>
      <c r="H592" s="768"/>
      <c r="I592" s="768"/>
      <c r="J592" s="768"/>
      <c r="K592" s="768"/>
      <c r="L592" s="768"/>
      <c r="M592" s="768"/>
      <c r="N592" s="768"/>
      <c r="O592" s="768"/>
      <c r="P592" s="768"/>
      <c r="Q592" s="768"/>
      <c r="R592" s="768"/>
      <c r="S592" s="768"/>
      <c r="T592" s="768"/>
      <c r="U592" s="768"/>
      <c r="V592" s="768"/>
      <c r="W592" s="768"/>
      <c r="X592" s="768"/>
      <c r="Y592" s="768"/>
      <c r="Z592" s="768"/>
      <c r="AA592" s="768"/>
    </row>
    <row r="593" ht="30.0" customHeight="1">
      <c r="A593" s="768" t="str">
        <f t="array" ref="A593">XLOOKUP(C593,'High School Players'!D:D,'High School Players'!K:K,"NO",0,1)</f>
        <v>NO</v>
      </c>
      <c r="B593" s="768"/>
      <c r="C593" s="768"/>
      <c r="D593" s="768"/>
      <c r="E593" s="768"/>
      <c r="F593" s="768"/>
      <c r="G593" s="768"/>
      <c r="H593" s="768"/>
      <c r="I593" s="768"/>
      <c r="J593" s="768"/>
      <c r="K593" s="768"/>
      <c r="L593" s="768"/>
      <c r="M593" s="768"/>
      <c r="N593" s="768"/>
      <c r="O593" s="768"/>
      <c r="P593" s="768"/>
      <c r="Q593" s="768"/>
      <c r="R593" s="768"/>
      <c r="S593" s="768"/>
      <c r="T593" s="768"/>
      <c r="U593" s="768"/>
      <c r="V593" s="768"/>
      <c r="W593" s="768"/>
      <c r="X593" s="768"/>
      <c r="Y593" s="768"/>
      <c r="Z593" s="768"/>
      <c r="AA593" s="768"/>
    </row>
    <row r="594" ht="30.0" customHeight="1">
      <c r="A594" s="768" t="str">
        <f t="array" ref="A594">XLOOKUP(C594,'High School Players'!D:D,'High School Players'!K:K,"NO",0,1)</f>
        <v>NO</v>
      </c>
      <c r="B594" s="768"/>
      <c r="C594" s="768"/>
      <c r="D594" s="768"/>
      <c r="E594" s="768"/>
      <c r="F594" s="768"/>
      <c r="G594" s="768"/>
      <c r="H594" s="768"/>
      <c r="I594" s="768"/>
      <c r="J594" s="768"/>
      <c r="K594" s="768"/>
      <c r="L594" s="768"/>
      <c r="M594" s="768"/>
      <c r="N594" s="768"/>
      <c r="O594" s="768"/>
      <c r="P594" s="768"/>
      <c r="Q594" s="768"/>
      <c r="R594" s="768"/>
      <c r="S594" s="768"/>
      <c r="T594" s="768"/>
      <c r="U594" s="768"/>
      <c r="V594" s="768"/>
      <c r="W594" s="768"/>
      <c r="X594" s="768"/>
      <c r="Y594" s="768"/>
      <c r="Z594" s="768"/>
      <c r="AA594" s="768"/>
    </row>
    <row r="595" ht="30.0" customHeight="1">
      <c r="A595" s="768" t="str">
        <f t="array" ref="A595">XLOOKUP(C595,'High School Players'!D:D,'High School Players'!K:K,"NO",0,1)</f>
        <v>NO</v>
      </c>
      <c r="B595" s="768"/>
      <c r="C595" s="768"/>
      <c r="D595" s="768"/>
      <c r="E595" s="768"/>
      <c r="F595" s="768"/>
      <c r="G595" s="768"/>
      <c r="H595" s="768"/>
      <c r="I595" s="768"/>
      <c r="J595" s="768"/>
      <c r="K595" s="768"/>
      <c r="L595" s="768"/>
      <c r="M595" s="768"/>
      <c r="N595" s="768"/>
      <c r="O595" s="768"/>
      <c r="P595" s="768"/>
      <c r="Q595" s="768"/>
      <c r="R595" s="768"/>
      <c r="S595" s="768"/>
      <c r="T595" s="768"/>
      <c r="U595" s="768"/>
      <c r="V595" s="768"/>
      <c r="W595" s="768"/>
      <c r="X595" s="768"/>
      <c r="Y595" s="768"/>
      <c r="Z595" s="768"/>
      <c r="AA595" s="768"/>
    </row>
    <row r="596" ht="30.0" customHeight="1">
      <c r="A596" s="768" t="str">
        <f t="array" ref="A596">XLOOKUP(C596,'High School Players'!D:D,'High School Players'!K:K,"NO",0,1)</f>
        <v>NO</v>
      </c>
      <c r="B596" s="768"/>
      <c r="C596" s="768"/>
      <c r="D596" s="768"/>
      <c r="E596" s="768"/>
      <c r="F596" s="768"/>
      <c r="G596" s="768"/>
      <c r="H596" s="768"/>
      <c r="I596" s="768"/>
      <c r="J596" s="768"/>
      <c r="K596" s="768"/>
      <c r="L596" s="768"/>
      <c r="M596" s="768"/>
      <c r="N596" s="768"/>
      <c r="O596" s="768"/>
      <c r="P596" s="768"/>
      <c r="Q596" s="768"/>
      <c r="R596" s="768"/>
      <c r="S596" s="768"/>
      <c r="T596" s="768"/>
      <c r="U596" s="768"/>
      <c r="V596" s="768"/>
      <c r="W596" s="768"/>
      <c r="X596" s="768"/>
      <c r="Y596" s="768"/>
      <c r="Z596" s="768"/>
      <c r="AA596" s="768"/>
    </row>
    <row r="597" ht="30.0" customHeight="1">
      <c r="A597" s="768" t="str">
        <f t="array" ref="A597">XLOOKUP(C597,'High School Players'!D:D,'High School Players'!K:K,"NO",0,1)</f>
        <v>NO</v>
      </c>
      <c r="B597" s="768"/>
      <c r="C597" s="768"/>
      <c r="D597" s="768"/>
      <c r="E597" s="768"/>
      <c r="F597" s="768"/>
      <c r="G597" s="768"/>
      <c r="H597" s="768"/>
      <c r="I597" s="768"/>
      <c r="J597" s="768"/>
      <c r="K597" s="768"/>
      <c r="L597" s="768"/>
      <c r="M597" s="768"/>
      <c r="N597" s="768"/>
      <c r="O597" s="768"/>
      <c r="P597" s="768"/>
      <c r="Q597" s="768"/>
      <c r="R597" s="768"/>
      <c r="S597" s="768"/>
      <c r="T597" s="768"/>
      <c r="U597" s="768"/>
      <c r="V597" s="768"/>
      <c r="W597" s="768"/>
      <c r="X597" s="768"/>
      <c r="Y597" s="768"/>
      <c r="Z597" s="768"/>
      <c r="AA597" s="768"/>
    </row>
    <row r="598" ht="30.0" customHeight="1">
      <c r="A598" s="768" t="str">
        <f t="array" ref="A598">XLOOKUP(C598,'High School Players'!D:D,'High School Players'!K:K,"NO",0,1)</f>
        <v>NO</v>
      </c>
      <c r="B598" s="768"/>
      <c r="C598" s="768"/>
      <c r="D598" s="768"/>
      <c r="E598" s="768"/>
      <c r="F598" s="768"/>
      <c r="G598" s="768"/>
      <c r="H598" s="768"/>
      <c r="I598" s="768"/>
      <c r="J598" s="768"/>
      <c r="K598" s="768"/>
      <c r="L598" s="768"/>
      <c r="M598" s="768"/>
      <c r="N598" s="768"/>
      <c r="O598" s="768"/>
      <c r="P598" s="768"/>
      <c r="Q598" s="768"/>
      <c r="R598" s="768"/>
      <c r="S598" s="768"/>
      <c r="T598" s="768"/>
      <c r="U598" s="768"/>
      <c r="V598" s="768"/>
      <c r="W598" s="768"/>
      <c r="X598" s="768"/>
      <c r="Y598" s="768"/>
      <c r="Z598" s="768"/>
      <c r="AA598" s="768"/>
    </row>
    <row r="599" ht="30.0" customHeight="1">
      <c r="A599" s="768" t="str">
        <f t="array" ref="A599">XLOOKUP(C599,'High School Players'!D:D,'High School Players'!K:K,"NO",0,1)</f>
        <v>NO</v>
      </c>
      <c r="B599" s="768"/>
      <c r="C599" s="768"/>
      <c r="D599" s="768"/>
      <c r="E599" s="768"/>
      <c r="F599" s="768"/>
      <c r="G599" s="768"/>
      <c r="H599" s="768"/>
      <c r="I599" s="768"/>
      <c r="J599" s="768"/>
      <c r="K599" s="768"/>
      <c r="L599" s="768"/>
      <c r="M599" s="768"/>
      <c r="N599" s="768"/>
      <c r="O599" s="768"/>
      <c r="P599" s="768"/>
      <c r="Q599" s="768"/>
      <c r="R599" s="768"/>
      <c r="S599" s="768"/>
      <c r="T599" s="768"/>
      <c r="U599" s="768"/>
      <c r="V599" s="768"/>
      <c r="W599" s="768"/>
      <c r="X599" s="768"/>
      <c r="Y599" s="768"/>
      <c r="Z599" s="768"/>
      <c r="AA599" s="768"/>
    </row>
    <row r="600" ht="30.0" customHeight="1">
      <c r="A600" s="768" t="str">
        <f t="array" ref="A600">XLOOKUP(C600,'High School Players'!D:D,'High School Players'!K:K,"NO",0,1)</f>
        <v>NO</v>
      </c>
      <c r="B600" s="768"/>
      <c r="C600" s="768"/>
      <c r="D600" s="768"/>
      <c r="E600" s="768"/>
      <c r="F600" s="768"/>
      <c r="G600" s="768"/>
      <c r="H600" s="768"/>
      <c r="I600" s="768"/>
      <c r="J600" s="768"/>
      <c r="K600" s="768"/>
      <c r="L600" s="768"/>
      <c r="M600" s="768"/>
      <c r="N600" s="768"/>
      <c r="O600" s="768"/>
      <c r="P600" s="768"/>
      <c r="Q600" s="768"/>
      <c r="R600" s="768"/>
      <c r="S600" s="768"/>
      <c r="T600" s="768"/>
      <c r="U600" s="768"/>
      <c r="V600" s="768"/>
      <c r="W600" s="768"/>
      <c r="X600" s="768"/>
      <c r="Y600" s="768"/>
      <c r="Z600" s="768"/>
      <c r="AA600" s="768"/>
    </row>
    <row r="601" ht="30.0" customHeight="1">
      <c r="A601" s="768" t="str">
        <f t="array" ref="A601">XLOOKUP(C601,'High School Players'!D:D,'High School Players'!K:K,"NO",0,1)</f>
        <v>NO</v>
      </c>
      <c r="B601" s="768"/>
      <c r="C601" s="768"/>
      <c r="D601" s="768"/>
      <c r="E601" s="768"/>
      <c r="F601" s="768"/>
      <c r="G601" s="768"/>
      <c r="H601" s="768"/>
      <c r="I601" s="768"/>
      <c r="J601" s="768"/>
      <c r="K601" s="768"/>
      <c r="L601" s="768"/>
      <c r="M601" s="768"/>
      <c r="N601" s="768"/>
      <c r="O601" s="768"/>
      <c r="P601" s="768"/>
      <c r="Q601" s="768"/>
      <c r="R601" s="768"/>
      <c r="S601" s="768"/>
      <c r="T601" s="768"/>
      <c r="U601" s="768"/>
      <c r="V601" s="768"/>
      <c r="W601" s="768"/>
      <c r="X601" s="768"/>
      <c r="Y601" s="768"/>
      <c r="Z601" s="768"/>
      <c r="AA601" s="768"/>
    </row>
    <row r="602" ht="30.0" customHeight="1">
      <c r="A602" s="768" t="str">
        <f t="array" ref="A602">XLOOKUP(C602,'High School Players'!D:D,'High School Players'!K:K,"NO",0,1)</f>
        <v>NO</v>
      </c>
      <c r="B602" s="768"/>
      <c r="C602" s="768"/>
      <c r="D602" s="768"/>
      <c r="E602" s="768"/>
      <c r="F602" s="768"/>
      <c r="G602" s="768"/>
      <c r="H602" s="768"/>
      <c r="I602" s="768"/>
      <c r="J602" s="768"/>
      <c r="K602" s="768"/>
      <c r="L602" s="768"/>
      <c r="M602" s="768"/>
      <c r="N602" s="768"/>
      <c r="O602" s="768"/>
      <c r="P602" s="768"/>
      <c r="Q602" s="768"/>
      <c r="R602" s="768"/>
      <c r="S602" s="768"/>
      <c r="T602" s="768"/>
      <c r="U602" s="768"/>
      <c r="V602" s="768"/>
      <c r="W602" s="768"/>
      <c r="X602" s="768"/>
      <c r="Y602" s="768"/>
      <c r="Z602" s="768"/>
      <c r="AA602" s="768"/>
    </row>
    <row r="603" ht="30.0" customHeight="1">
      <c r="A603" s="768" t="str">
        <f t="array" ref="A603">XLOOKUP(C603,'High School Players'!D:D,'High School Players'!K:K,"NO",0,1)</f>
        <v>NO</v>
      </c>
      <c r="B603" s="768"/>
      <c r="C603" s="768"/>
      <c r="D603" s="768"/>
      <c r="E603" s="768"/>
      <c r="F603" s="768"/>
      <c r="G603" s="768"/>
      <c r="H603" s="768"/>
      <c r="I603" s="768"/>
      <c r="J603" s="768"/>
      <c r="K603" s="768"/>
      <c r="L603" s="768"/>
      <c r="M603" s="768"/>
      <c r="N603" s="768"/>
      <c r="O603" s="768"/>
      <c r="P603" s="768"/>
      <c r="Q603" s="768"/>
      <c r="R603" s="768"/>
      <c r="S603" s="768"/>
      <c r="T603" s="768"/>
      <c r="U603" s="768"/>
      <c r="V603" s="768"/>
      <c r="W603" s="768"/>
      <c r="X603" s="768"/>
      <c r="Y603" s="768"/>
      <c r="Z603" s="768"/>
      <c r="AA603" s="768"/>
    </row>
    <row r="604" ht="30.0" customHeight="1">
      <c r="A604" s="768" t="str">
        <f t="array" ref="A604">XLOOKUP(C604,'High School Players'!D:D,'High School Players'!K:K,"NO",0,1)</f>
        <v>NO</v>
      </c>
      <c r="B604" s="768"/>
      <c r="C604" s="768"/>
      <c r="D604" s="768"/>
      <c r="E604" s="768"/>
      <c r="F604" s="768"/>
      <c r="G604" s="768"/>
      <c r="H604" s="768"/>
      <c r="I604" s="768"/>
      <c r="J604" s="768"/>
      <c r="K604" s="768"/>
      <c r="L604" s="768"/>
      <c r="M604" s="768"/>
      <c r="N604" s="768"/>
      <c r="O604" s="768"/>
      <c r="P604" s="768"/>
      <c r="Q604" s="768"/>
      <c r="R604" s="768"/>
      <c r="S604" s="768"/>
      <c r="T604" s="768"/>
      <c r="U604" s="768"/>
      <c r="V604" s="768"/>
      <c r="W604" s="768"/>
      <c r="X604" s="768"/>
      <c r="Y604" s="768"/>
      <c r="Z604" s="768"/>
      <c r="AA604" s="768"/>
    </row>
    <row r="605" ht="30.0" customHeight="1">
      <c r="A605" s="768" t="str">
        <f t="array" ref="A605">XLOOKUP(C605,'High School Players'!D:D,'High School Players'!K:K,"NO",0,1)</f>
        <v>NO</v>
      </c>
      <c r="B605" s="768"/>
      <c r="C605" s="768"/>
      <c r="D605" s="768"/>
      <c r="E605" s="768"/>
      <c r="F605" s="768"/>
      <c r="G605" s="768"/>
      <c r="H605" s="768"/>
      <c r="I605" s="768"/>
      <c r="J605" s="768"/>
      <c r="K605" s="768"/>
      <c r="L605" s="768"/>
      <c r="M605" s="768"/>
      <c r="N605" s="768"/>
      <c r="O605" s="768"/>
      <c r="P605" s="768"/>
      <c r="Q605" s="768"/>
      <c r="R605" s="768"/>
      <c r="S605" s="768"/>
      <c r="T605" s="768"/>
      <c r="U605" s="768"/>
      <c r="V605" s="768"/>
      <c r="W605" s="768"/>
      <c r="X605" s="768"/>
      <c r="Y605" s="768"/>
      <c r="Z605" s="768"/>
      <c r="AA605" s="768"/>
    </row>
    <row r="606" ht="30.0" customHeight="1">
      <c r="A606" s="768" t="str">
        <f t="array" ref="A606">XLOOKUP(C606,'High School Players'!D:D,'High School Players'!K:K,"NO",0,1)</f>
        <v>NO</v>
      </c>
      <c r="B606" s="768"/>
      <c r="C606" s="768"/>
      <c r="D606" s="768"/>
      <c r="E606" s="768"/>
      <c r="F606" s="768"/>
      <c r="G606" s="768"/>
      <c r="H606" s="768"/>
      <c r="I606" s="768"/>
      <c r="J606" s="768"/>
      <c r="K606" s="768"/>
      <c r="L606" s="768"/>
      <c r="M606" s="768"/>
      <c r="N606" s="768"/>
      <c r="O606" s="768"/>
      <c r="P606" s="768"/>
      <c r="Q606" s="768"/>
      <c r="R606" s="768"/>
      <c r="S606" s="768"/>
      <c r="T606" s="768"/>
      <c r="U606" s="768"/>
      <c r="V606" s="768"/>
      <c r="W606" s="768"/>
      <c r="X606" s="768"/>
      <c r="Y606" s="768"/>
      <c r="Z606" s="768"/>
      <c r="AA606" s="768"/>
    </row>
    <row r="607" ht="30.0" customHeight="1">
      <c r="A607" s="768" t="str">
        <f t="array" ref="A607">XLOOKUP(C607,'High School Players'!D:D,'High School Players'!K:K,"NO",0,1)</f>
        <v>NO</v>
      </c>
      <c r="B607" s="768"/>
      <c r="C607" s="768"/>
      <c r="D607" s="768"/>
      <c r="E607" s="768"/>
      <c r="F607" s="768"/>
      <c r="G607" s="768"/>
      <c r="H607" s="768"/>
      <c r="I607" s="768"/>
      <c r="J607" s="768"/>
      <c r="K607" s="768"/>
      <c r="L607" s="768"/>
      <c r="M607" s="768"/>
      <c r="N607" s="768"/>
      <c r="O607" s="768"/>
      <c r="P607" s="768"/>
      <c r="Q607" s="768"/>
      <c r="R607" s="768"/>
      <c r="S607" s="768"/>
      <c r="T607" s="768"/>
      <c r="U607" s="768"/>
      <c r="V607" s="768"/>
      <c r="W607" s="768"/>
      <c r="X607" s="768"/>
      <c r="Y607" s="768"/>
      <c r="Z607" s="768"/>
      <c r="AA607" s="768"/>
    </row>
    <row r="608" ht="30.0" customHeight="1">
      <c r="A608" s="768" t="str">
        <f t="array" ref="A608">XLOOKUP(C608,'High School Players'!D:D,'High School Players'!K:K,"NO",0,1)</f>
        <v>NO</v>
      </c>
      <c r="B608" s="768"/>
      <c r="C608" s="768"/>
      <c r="D608" s="768"/>
      <c r="E608" s="768"/>
      <c r="F608" s="768"/>
      <c r="G608" s="768"/>
      <c r="H608" s="768"/>
      <c r="I608" s="768"/>
      <c r="J608" s="768"/>
      <c r="K608" s="768"/>
      <c r="L608" s="768"/>
      <c r="M608" s="768"/>
      <c r="N608" s="768"/>
      <c r="O608" s="768"/>
      <c r="P608" s="768"/>
      <c r="Q608" s="768"/>
      <c r="R608" s="768"/>
      <c r="S608" s="768"/>
      <c r="T608" s="768"/>
      <c r="U608" s="768"/>
      <c r="V608" s="768"/>
      <c r="W608" s="768"/>
      <c r="X608" s="768"/>
      <c r="Y608" s="768"/>
      <c r="Z608" s="768"/>
      <c r="AA608" s="768"/>
    </row>
    <row r="609" ht="30.0" customHeight="1">
      <c r="A609" s="768" t="str">
        <f t="array" ref="A609">XLOOKUP(C609,'High School Players'!D:D,'High School Players'!K:K,"NO",0,1)</f>
        <v>NO</v>
      </c>
      <c r="B609" s="768"/>
      <c r="C609" s="768"/>
      <c r="D609" s="768"/>
      <c r="E609" s="768"/>
      <c r="F609" s="768"/>
      <c r="G609" s="768"/>
      <c r="H609" s="768"/>
      <c r="I609" s="768"/>
      <c r="J609" s="768"/>
      <c r="K609" s="768"/>
      <c r="L609" s="768"/>
      <c r="M609" s="768"/>
      <c r="N609" s="768"/>
      <c r="O609" s="768"/>
      <c r="P609" s="768"/>
      <c r="Q609" s="768"/>
      <c r="R609" s="768"/>
      <c r="S609" s="768"/>
      <c r="T609" s="768"/>
      <c r="U609" s="768"/>
      <c r="V609" s="768"/>
      <c r="W609" s="768"/>
      <c r="X609" s="768"/>
      <c r="Y609" s="768"/>
      <c r="Z609" s="768"/>
      <c r="AA609" s="768"/>
    </row>
    <row r="610" ht="30.0" customHeight="1">
      <c r="A610" s="768" t="str">
        <f t="array" ref="A610">XLOOKUP(C610,'High School Players'!D:D,'High School Players'!K:K,"NO",0,1)</f>
        <v>NO</v>
      </c>
      <c r="B610" s="768"/>
      <c r="C610" s="768"/>
      <c r="D610" s="768"/>
      <c r="E610" s="768"/>
      <c r="F610" s="768"/>
      <c r="G610" s="768"/>
      <c r="H610" s="768"/>
      <c r="I610" s="768"/>
      <c r="J610" s="768"/>
      <c r="K610" s="768"/>
      <c r="L610" s="768"/>
      <c r="M610" s="768"/>
      <c r="N610" s="768"/>
      <c r="O610" s="768"/>
      <c r="P610" s="768"/>
      <c r="Q610" s="768"/>
      <c r="R610" s="768"/>
      <c r="S610" s="768"/>
      <c r="T610" s="768"/>
      <c r="U610" s="768"/>
      <c r="V610" s="768"/>
      <c r="W610" s="768"/>
      <c r="X610" s="768"/>
      <c r="Y610" s="768"/>
      <c r="Z610" s="768"/>
      <c r="AA610" s="768"/>
    </row>
    <row r="611" ht="30.0" customHeight="1">
      <c r="A611" s="768" t="str">
        <f t="array" ref="A611">XLOOKUP(C611,'High School Players'!D:D,'High School Players'!K:K,"NO",0,1)</f>
        <v>NO</v>
      </c>
      <c r="B611" s="768"/>
      <c r="C611" s="768"/>
      <c r="D611" s="768"/>
      <c r="E611" s="768"/>
      <c r="F611" s="768"/>
      <c r="G611" s="768"/>
      <c r="H611" s="768"/>
      <c r="I611" s="768"/>
      <c r="J611" s="768"/>
      <c r="K611" s="768"/>
      <c r="L611" s="768"/>
      <c r="M611" s="768"/>
      <c r="N611" s="768"/>
      <c r="O611" s="768"/>
      <c r="P611" s="768"/>
      <c r="Q611" s="768"/>
      <c r="R611" s="768"/>
      <c r="S611" s="768"/>
      <c r="T611" s="768"/>
      <c r="U611" s="768"/>
      <c r="V611" s="768"/>
      <c r="W611" s="768"/>
      <c r="X611" s="768"/>
      <c r="Y611" s="768"/>
      <c r="Z611" s="768"/>
      <c r="AA611" s="768"/>
    </row>
    <row r="612" ht="30.0" customHeight="1">
      <c r="A612" s="768" t="str">
        <f t="array" ref="A612">XLOOKUP(C612,'High School Players'!D:D,'High School Players'!K:K,"NO",0,1)</f>
        <v>NO</v>
      </c>
      <c r="B612" s="768"/>
      <c r="C612" s="768"/>
      <c r="D612" s="768"/>
      <c r="E612" s="768"/>
      <c r="F612" s="768"/>
      <c r="G612" s="768"/>
      <c r="H612" s="768"/>
      <c r="I612" s="768"/>
      <c r="J612" s="768"/>
      <c r="K612" s="768"/>
      <c r="L612" s="768"/>
      <c r="M612" s="768"/>
      <c r="N612" s="768"/>
      <c r="O612" s="768"/>
      <c r="P612" s="768"/>
      <c r="Q612" s="768"/>
      <c r="R612" s="768"/>
      <c r="S612" s="768"/>
      <c r="T612" s="768"/>
      <c r="U612" s="768"/>
      <c r="V612" s="768"/>
      <c r="W612" s="768"/>
      <c r="X612" s="768"/>
      <c r="Y612" s="768"/>
      <c r="Z612" s="768"/>
      <c r="AA612" s="768"/>
    </row>
    <row r="613" ht="30.0" customHeight="1">
      <c r="A613" s="768" t="str">
        <f t="array" ref="A613">XLOOKUP(C613,'High School Players'!D:D,'High School Players'!K:K,"NO",0,1)</f>
        <v>NO</v>
      </c>
      <c r="B613" s="768"/>
      <c r="C613" s="768"/>
      <c r="D613" s="768"/>
      <c r="E613" s="768"/>
      <c r="F613" s="768"/>
      <c r="G613" s="768"/>
      <c r="H613" s="768"/>
      <c r="I613" s="768"/>
      <c r="J613" s="768"/>
      <c r="K613" s="768"/>
      <c r="L613" s="768"/>
      <c r="M613" s="768"/>
      <c r="N613" s="768"/>
      <c r="O613" s="768"/>
      <c r="P613" s="768"/>
      <c r="Q613" s="768"/>
      <c r="R613" s="768"/>
      <c r="S613" s="768"/>
      <c r="T613" s="768"/>
      <c r="U613" s="768"/>
      <c r="V613" s="768"/>
      <c r="W613" s="768"/>
      <c r="X613" s="768"/>
      <c r="Y613" s="768"/>
      <c r="Z613" s="768"/>
      <c r="AA613" s="768"/>
    </row>
    <row r="614" ht="30.0" customHeight="1">
      <c r="A614" s="768" t="str">
        <f t="array" ref="A614">XLOOKUP(C614,'High School Players'!D:D,'High School Players'!K:K,"NO",0,1)</f>
        <v>NO</v>
      </c>
      <c r="B614" s="768"/>
      <c r="C614" s="768"/>
      <c r="D614" s="768"/>
      <c r="E614" s="768"/>
      <c r="F614" s="768"/>
      <c r="G614" s="768"/>
      <c r="H614" s="768"/>
      <c r="I614" s="768"/>
      <c r="J614" s="768"/>
      <c r="K614" s="768"/>
      <c r="L614" s="768"/>
      <c r="M614" s="768"/>
      <c r="N614" s="768"/>
      <c r="O614" s="768"/>
      <c r="P614" s="768"/>
      <c r="Q614" s="768"/>
      <c r="R614" s="768"/>
      <c r="S614" s="768"/>
      <c r="T614" s="768"/>
      <c r="U614" s="768"/>
      <c r="V614" s="768"/>
      <c r="W614" s="768"/>
      <c r="X614" s="768"/>
      <c r="Y614" s="768"/>
      <c r="Z614" s="768"/>
      <c r="AA614" s="768"/>
    </row>
    <row r="615" ht="30.0" customHeight="1">
      <c r="A615" s="768" t="str">
        <f t="array" ref="A615">XLOOKUP(C615,'High School Players'!D:D,'High School Players'!K:K,"NO",0,1)</f>
        <v>NO</v>
      </c>
      <c r="B615" s="768"/>
      <c r="C615" s="768"/>
      <c r="D615" s="768"/>
      <c r="E615" s="768"/>
      <c r="F615" s="768"/>
      <c r="G615" s="768"/>
      <c r="H615" s="768"/>
      <c r="I615" s="768"/>
      <c r="J615" s="768"/>
      <c r="K615" s="768"/>
      <c r="L615" s="768"/>
      <c r="M615" s="768"/>
      <c r="N615" s="768"/>
      <c r="O615" s="768"/>
      <c r="P615" s="768"/>
      <c r="Q615" s="768"/>
      <c r="R615" s="768"/>
      <c r="S615" s="768"/>
      <c r="T615" s="768"/>
      <c r="U615" s="768"/>
      <c r="V615" s="768"/>
      <c r="W615" s="768"/>
      <c r="X615" s="768"/>
      <c r="Y615" s="768"/>
      <c r="Z615" s="768"/>
      <c r="AA615" s="768"/>
    </row>
    <row r="616" ht="30.0" customHeight="1">
      <c r="A616" s="768" t="str">
        <f t="array" ref="A616">XLOOKUP(C616,'High School Players'!D:D,'High School Players'!K:K,"NO",0,1)</f>
        <v>NO</v>
      </c>
      <c r="B616" s="768"/>
      <c r="C616" s="768"/>
      <c r="D616" s="768"/>
      <c r="E616" s="768"/>
      <c r="F616" s="768"/>
      <c r="G616" s="768"/>
      <c r="H616" s="768"/>
      <c r="I616" s="768"/>
      <c r="J616" s="768"/>
      <c r="K616" s="768"/>
      <c r="L616" s="768"/>
      <c r="M616" s="768"/>
      <c r="N616" s="768"/>
      <c r="O616" s="768"/>
      <c r="P616" s="768"/>
      <c r="Q616" s="768"/>
      <c r="R616" s="768"/>
      <c r="S616" s="768"/>
      <c r="T616" s="768"/>
      <c r="U616" s="768"/>
      <c r="V616" s="768"/>
      <c r="W616" s="768"/>
      <c r="X616" s="768"/>
      <c r="Y616" s="768"/>
      <c r="Z616" s="768"/>
      <c r="AA616" s="768"/>
    </row>
    <row r="617" ht="30.0" customHeight="1">
      <c r="A617" s="768" t="str">
        <f t="array" ref="A617">XLOOKUP(C617,'High School Players'!D:D,'High School Players'!K:K,"NO",0,1)</f>
        <v>NO</v>
      </c>
      <c r="B617" s="768"/>
      <c r="C617" s="768"/>
      <c r="D617" s="768"/>
      <c r="E617" s="768"/>
      <c r="F617" s="768"/>
      <c r="G617" s="768"/>
      <c r="H617" s="768"/>
      <c r="I617" s="768"/>
      <c r="J617" s="768"/>
      <c r="K617" s="768"/>
      <c r="L617" s="768"/>
      <c r="M617" s="768"/>
      <c r="N617" s="768"/>
      <c r="O617" s="768"/>
      <c r="P617" s="768"/>
      <c r="Q617" s="768"/>
      <c r="R617" s="768"/>
      <c r="S617" s="768"/>
      <c r="T617" s="768"/>
      <c r="U617" s="768"/>
      <c r="V617" s="768"/>
      <c r="W617" s="768"/>
      <c r="X617" s="768"/>
      <c r="Y617" s="768"/>
      <c r="Z617" s="768"/>
      <c r="AA617" s="768"/>
    </row>
    <row r="618" ht="30.0" customHeight="1">
      <c r="A618" s="768" t="str">
        <f t="array" ref="A618">XLOOKUP(C618,'High School Players'!D:D,'High School Players'!K:K,"NO",0,1)</f>
        <v>NO</v>
      </c>
      <c r="B618" s="768"/>
      <c r="C618" s="768"/>
      <c r="D618" s="768"/>
      <c r="E618" s="768"/>
      <c r="F618" s="768"/>
      <c r="G618" s="768"/>
      <c r="H618" s="768"/>
      <c r="I618" s="768"/>
      <c r="J618" s="768"/>
      <c r="K618" s="768"/>
      <c r="L618" s="768"/>
      <c r="M618" s="768"/>
      <c r="N618" s="768"/>
      <c r="O618" s="768"/>
      <c r="P618" s="768"/>
      <c r="Q618" s="768"/>
      <c r="R618" s="768"/>
      <c r="S618" s="768"/>
      <c r="T618" s="768"/>
      <c r="U618" s="768"/>
      <c r="V618" s="768"/>
      <c r="W618" s="768"/>
      <c r="X618" s="768"/>
      <c r="Y618" s="768"/>
      <c r="Z618" s="768"/>
      <c r="AA618" s="768"/>
    </row>
    <row r="619" ht="30.0" customHeight="1">
      <c r="A619" s="768" t="str">
        <f t="array" ref="A619">XLOOKUP(C619,'High School Players'!D:D,'High School Players'!K:K,"NO",0,1)</f>
        <v>NO</v>
      </c>
      <c r="B619" s="768"/>
      <c r="C619" s="768"/>
      <c r="D619" s="768"/>
      <c r="E619" s="768"/>
      <c r="F619" s="768"/>
      <c r="G619" s="768"/>
      <c r="H619" s="768"/>
      <c r="I619" s="768"/>
      <c r="J619" s="768"/>
      <c r="K619" s="768"/>
      <c r="L619" s="768"/>
      <c r="M619" s="768"/>
      <c r="N619" s="768"/>
      <c r="O619" s="768"/>
      <c r="P619" s="768"/>
      <c r="Q619" s="768"/>
      <c r="R619" s="768"/>
      <c r="S619" s="768"/>
      <c r="T619" s="768"/>
      <c r="U619" s="768"/>
      <c r="V619" s="768"/>
      <c r="W619" s="768"/>
      <c r="X619" s="768"/>
      <c r="Y619" s="768"/>
      <c r="Z619" s="768"/>
      <c r="AA619" s="768"/>
    </row>
    <row r="620" ht="30.0" customHeight="1">
      <c r="A620" s="768" t="str">
        <f t="array" ref="A620">XLOOKUP(C620,'High School Players'!D:D,'High School Players'!K:K,"NO",0,1)</f>
        <v>NO</v>
      </c>
      <c r="B620" s="768"/>
      <c r="C620" s="768"/>
      <c r="D620" s="768"/>
      <c r="E620" s="768"/>
      <c r="F620" s="768"/>
      <c r="G620" s="768"/>
      <c r="H620" s="768"/>
      <c r="I620" s="768"/>
      <c r="J620" s="768"/>
      <c r="K620" s="768"/>
      <c r="L620" s="768"/>
      <c r="M620" s="768"/>
      <c r="N620" s="768"/>
      <c r="O620" s="768"/>
      <c r="P620" s="768"/>
      <c r="Q620" s="768"/>
      <c r="R620" s="768"/>
      <c r="S620" s="768"/>
      <c r="T620" s="768"/>
      <c r="U620" s="768"/>
      <c r="V620" s="768"/>
      <c r="W620" s="768"/>
      <c r="X620" s="768"/>
      <c r="Y620" s="768"/>
      <c r="Z620" s="768"/>
      <c r="AA620" s="768"/>
    </row>
    <row r="621" ht="30.0" customHeight="1">
      <c r="A621" s="768" t="str">
        <f t="array" ref="A621">XLOOKUP(C621,'High School Players'!D:D,'High School Players'!K:K,"NO",0,1)</f>
        <v>NO</v>
      </c>
      <c r="B621" s="768"/>
      <c r="C621" s="768"/>
      <c r="D621" s="768"/>
      <c r="E621" s="768"/>
      <c r="F621" s="768"/>
      <c r="G621" s="768"/>
      <c r="H621" s="768"/>
      <c r="I621" s="768"/>
      <c r="J621" s="768"/>
      <c r="K621" s="768"/>
      <c r="L621" s="768"/>
      <c r="M621" s="768"/>
      <c r="N621" s="768"/>
      <c r="O621" s="768"/>
      <c r="P621" s="768"/>
      <c r="Q621" s="768"/>
      <c r="R621" s="768"/>
      <c r="S621" s="768"/>
      <c r="T621" s="768"/>
      <c r="U621" s="768"/>
      <c r="V621" s="768"/>
      <c r="W621" s="768"/>
      <c r="X621" s="768"/>
      <c r="Y621" s="768"/>
      <c r="Z621" s="768"/>
      <c r="AA621" s="768"/>
    </row>
    <row r="622" ht="30.0" customHeight="1">
      <c r="A622" s="768" t="str">
        <f t="array" ref="A622">XLOOKUP(C622,'High School Players'!D:D,'High School Players'!K:K,"NO",0,1)</f>
        <v>NO</v>
      </c>
      <c r="B622" s="768"/>
      <c r="C622" s="768"/>
      <c r="D622" s="768"/>
      <c r="E622" s="768"/>
      <c r="F622" s="768"/>
      <c r="G622" s="768"/>
      <c r="H622" s="768"/>
      <c r="I622" s="768"/>
      <c r="J622" s="768"/>
      <c r="K622" s="768"/>
      <c r="L622" s="768"/>
      <c r="M622" s="768"/>
      <c r="N622" s="768"/>
      <c r="O622" s="768"/>
      <c r="P622" s="768"/>
      <c r="Q622" s="768"/>
      <c r="R622" s="768"/>
      <c r="S622" s="768"/>
      <c r="T622" s="768"/>
      <c r="U622" s="768"/>
      <c r="V622" s="768"/>
      <c r="W622" s="768"/>
      <c r="X622" s="768"/>
      <c r="Y622" s="768"/>
      <c r="Z622" s="768"/>
      <c r="AA622" s="768"/>
    </row>
    <row r="623" ht="30.0" customHeight="1">
      <c r="A623" s="768" t="str">
        <f t="array" ref="A623">XLOOKUP(C623,'High School Players'!D:D,'High School Players'!K:K,"NO",0,1)</f>
        <v>NO</v>
      </c>
      <c r="B623" s="768"/>
      <c r="C623" s="768"/>
      <c r="D623" s="768"/>
      <c r="E623" s="768"/>
      <c r="F623" s="768"/>
      <c r="G623" s="768"/>
      <c r="H623" s="768"/>
      <c r="I623" s="768"/>
      <c r="J623" s="768"/>
      <c r="K623" s="768"/>
      <c r="L623" s="768"/>
      <c r="M623" s="768"/>
      <c r="N623" s="768"/>
      <c r="O623" s="768"/>
      <c r="P623" s="768"/>
      <c r="Q623" s="768"/>
      <c r="R623" s="768"/>
      <c r="S623" s="768"/>
      <c r="T623" s="768"/>
      <c r="U623" s="768"/>
      <c r="V623" s="768"/>
      <c r="W623" s="768"/>
      <c r="X623" s="768"/>
      <c r="Y623" s="768"/>
      <c r="Z623" s="768"/>
      <c r="AA623" s="768"/>
    </row>
    <row r="624" ht="30.0" customHeight="1">
      <c r="A624" s="768" t="str">
        <f t="array" ref="A624">XLOOKUP(C624,'High School Players'!D:D,'High School Players'!K:K,"NO",0,1)</f>
        <v>NO</v>
      </c>
      <c r="B624" s="768"/>
      <c r="C624" s="768"/>
      <c r="D624" s="768"/>
      <c r="E624" s="768"/>
      <c r="F624" s="768"/>
      <c r="G624" s="768"/>
      <c r="H624" s="768"/>
      <c r="I624" s="768"/>
      <c r="J624" s="768"/>
      <c r="K624" s="768"/>
      <c r="L624" s="768"/>
      <c r="M624" s="768"/>
      <c r="N624" s="768"/>
      <c r="O624" s="768"/>
      <c r="P624" s="768"/>
      <c r="Q624" s="768"/>
      <c r="R624" s="768"/>
      <c r="S624" s="768"/>
      <c r="T624" s="768"/>
      <c r="U624" s="768"/>
      <c r="V624" s="768"/>
      <c r="W624" s="768"/>
      <c r="X624" s="768"/>
      <c r="Y624" s="768"/>
      <c r="Z624" s="768"/>
      <c r="AA624" s="768"/>
    </row>
    <row r="625" ht="30.0" customHeight="1">
      <c r="A625" s="768" t="str">
        <f t="array" ref="A625">XLOOKUP(C625,'High School Players'!D:D,'High School Players'!K:K,"NO",0,1)</f>
        <v>NO</v>
      </c>
      <c r="B625" s="768"/>
      <c r="C625" s="768"/>
      <c r="D625" s="768"/>
      <c r="E625" s="768"/>
      <c r="F625" s="768"/>
      <c r="G625" s="768"/>
      <c r="H625" s="768"/>
      <c r="I625" s="768"/>
      <c r="J625" s="768"/>
      <c r="K625" s="768"/>
      <c r="L625" s="768"/>
      <c r="M625" s="768"/>
      <c r="N625" s="768"/>
      <c r="O625" s="768"/>
      <c r="P625" s="768"/>
      <c r="Q625" s="768"/>
      <c r="R625" s="768"/>
      <c r="S625" s="768"/>
      <c r="T625" s="768"/>
      <c r="U625" s="768"/>
      <c r="V625" s="768"/>
      <c r="W625" s="768"/>
      <c r="X625" s="768"/>
      <c r="Y625" s="768"/>
      <c r="Z625" s="768"/>
      <c r="AA625" s="768"/>
    </row>
    <row r="626" ht="30.0" customHeight="1">
      <c r="A626" s="768" t="str">
        <f t="array" ref="A626">XLOOKUP(C626,'High School Players'!D:D,'High School Players'!K:K,"NO",0,1)</f>
        <v>NO</v>
      </c>
      <c r="B626" s="768"/>
      <c r="C626" s="768"/>
      <c r="D626" s="768"/>
      <c r="E626" s="768"/>
      <c r="F626" s="768"/>
      <c r="G626" s="768"/>
      <c r="H626" s="768"/>
      <c r="I626" s="768"/>
      <c r="J626" s="768"/>
      <c r="K626" s="768"/>
      <c r="L626" s="768"/>
      <c r="M626" s="768"/>
      <c r="N626" s="768"/>
      <c r="O626" s="768"/>
      <c r="P626" s="768"/>
      <c r="Q626" s="768"/>
      <c r="R626" s="768"/>
      <c r="S626" s="768"/>
      <c r="T626" s="768"/>
      <c r="U626" s="768"/>
      <c r="V626" s="768"/>
      <c r="W626" s="768"/>
      <c r="X626" s="768"/>
      <c r="Y626" s="768"/>
      <c r="Z626" s="768"/>
      <c r="AA626" s="768"/>
    </row>
    <row r="627" ht="30.0" customHeight="1">
      <c r="A627" s="768" t="str">
        <f t="array" ref="A627">XLOOKUP(C627,'High School Players'!D:D,'High School Players'!K:K,"NO",0,1)</f>
        <v>NO</v>
      </c>
      <c r="B627" s="768"/>
      <c r="C627" s="768"/>
      <c r="D627" s="768"/>
      <c r="E627" s="768"/>
      <c r="F627" s="768"/>
      <c r="G627" s="768"/>
      <c r="H627" s="768"/>
      <c r="I627" s="768"/>
      <c r="J627" s="768"/>
      <c r="K627" s="768"/>
      <c r="L627" s="768"/>
      <c r="M627" s="768"/>
      <c r="N627" s="768"/>
      <c r="O627" s="768"/>
      <c r="P627" s="768"/>
      <c r="Q627" s="768"/>
      <c r="R627" s="768"/>
      <c r="S627" s="768"/>
      <c r="T627" s="768"/>
      <c r="U627" s="768"/>
      <c r="V627" s="768"/>
      <c r="W627" s="768"/>
      <c r="X627" s="768"/>
      <c r="Y627" s="768"/>
      <c r="Z627" s="768"/>
      <c r="AA627" s="768"/>
    </row>
    <row r="628" ht="30.0" customHeight="1">
      <c r="A628" s="768" t="str">
        <f t="array" ref="A628">XLOOKUP(C628,'High School Players'!D:D,'High School Players'!K:K,"NO",0,1)</f>
        <v>NO</v>
      </c>
      <c r="B628" s="768"/>
      <c r="C628" s="768"/>
      <c r="D628" s="768"/>
      <c r="E628" s="768"/>
      <c r="F628" s="768"/>
      <c r="G628" s="768"/>
      <c r="H628" s="768"/>
      <c r="I628" s="768"/>
      <c r="J628" s="768"/>
      <c r="K628" s="768"/>
      <c r="L628" s="768"/>
      <c r="M628" s="768"/>
      <c r="N628" s="768"/>
      <c r="O628" s="768"/>
      <c r="P628" s="768"/>
      <c r="Q628" s="768"/>
      <c r="R628" s="768"/>
      <c r="S628" s="768"/>
      <c r="T628" s="768"/>
      <c r="U628" s="768"/>
      <c r="V628" s="768"/>
      <c r="W628" s="768"/>
      <c r="X628" s="768"/>
      <c r="Y628" s="768"/>
      <c r="Z628" s="768"/>
      <c r="AA628" s="768"/>
    </row>
    <row r="629" ht="30.0" customHeight="1">
      <c r="A629" s="768" t="str">
        <f t="array" ref="A629">XLOOKUP(C629,'High School Players'!D:D,'High School Players'!K:K,"NO",0,1)</f>
        <v>NO</v>
      </c>
      <c r="B629" s="768"/>
      <c r="C629" s="768"/>
      <c r="D629" s="768"/>
      <c r="E629" s="768"/>
      <c r="F629" s="768"/>
      <c r="G629" s="768"/>
      <c r="H629" s="768"/>
      <c r="I629" s="768"/>
      <c r="J629" s="768"/>
      <c r="K629" s="768"/>
      <c r="L629" s="768"/>
      <c r="M629" s="768"/>
      <c r="N629" s="768"/>
      <c r="O629" s="768"/>
      <c r="P629" s="768"/>
      <c r="Q629" s="768"/>
      <c r="R629" s="768"/>
      <c r="S629" s="768"/>
      <c r="T629" s="768"/>
      <c r="U629" s="768"/>
      <c r="V629" s="768"/>
      <c r="W629" s="768"/>
      <c r="X629" s="768"/>
      <c r="Y629" s="768"/>
      <c r="Z629" s="768"/>
      <c r="AA629" s="768"/>
    </row>
    <row r="630" ht="30.0" customHeight="1">
      <c r="A630" s="768" t="str">
        <f t="array" ref="A630">XLOOKUP(C630,'High School Players'!D:D,'High School Players'!K:K,"NO",0,1)</f>
        <v>NO</v>
      </c>
      <c r="B630" s="768"/>
      <c r="C630" s="768"/>
      <c r="D630" s="768"/>
      <c r="E630" s="768"/>
      <c r="F630" s="768"/>
      <c r="G630" s="768"/>
      <c r="H630" s="768"/>
      <c r="I630" s="768"/>
      <c r="J630" s="768"/>
      <c r="K630" s="768"/>
      <c r="L630" s="768"/>
      <c r="M630" s="768"/>
      <c r="N630" s="768"/>
      <c r="O630" s="768"/>
      <c r="P630" s="768"/>
      <c r="Q630" s="768"/>
      <c r="R630" s="768"/>
      <c r="S630" s="768"/>
      <c r="T630" s="768"/>
      <c r="U630" s="768"/>
      <c r="V630" s="768"/>
      <c r="W630" s="768"/>
      <c r="X630" s="768"/>
      <c r="Y630" s="768"/>
      <c r="Z630" s="768"/>
      <c r="AA630" s="768"/>
    </row>
    <row r="631" ht="30.0" customHeight="1">
      <c r="A631" s="768" t="str">
        <f t="array" ref="A631">XLOOKUP(C631,'High School Players'!D:D,'High School Players'!K:K,"NO",0,1)</f>
        <v>NO</v>
      </c>
      <c r="B631" s="768"/>
      <c r="C631" s="768"/>
      <c r="D631" s="768"/>
      <c r="E631" s="768"/>
      <c r="F631" s="768"/>
      <c r="G631" s="768"/>
      <c r="H631" s="768"/>
      <c r="I631" s="768"/>
      <c r="J631" s="768"/>
      <c r="K631" s="768"/>
      <c r="L631" s="768"/>
      <c r="M631" s="768"/>
      <c r="N631" s="768"/>
      <c r="O631" s="768"/>
      <c r="P631" s="768"/>
      <c r="Q631" s="768"/>
      <c r="R631" s="768"/>
      <c r="S631" s="768"/>
      <c r="T631" s="768"/>
      <c r="U631" s="768"/>
      <c r="V631" s="768"/>
      <c r="W631" s="768"/>
      <c r="X631" s="768"/>
      <c r="Y631" s="768"/>
      <c r="Z631" s="768"/>
      <c r="AA631" s="768"/>
    </row>
    <row r="632" ht="30.0" customHeight="1">
      <c r="A632" s="768" t="str">
        <f t="array" ref="A632">XLOOKUP(C632,'High School Players'!D:D,'High School Players'!K:K,"NO",0,1)</f>
        <v>NO</v>
      </c>
      <c r="B632" s="768"/>
      <c r="C632" s="768"/>
      <c r="D632" s="768"/>
      <c r="E632" s="768"/>
      <c r="F632" s="768"/>
      <c r="G632" s="768"/>
      <c r="H632" s="768"/>
      <c r="I632" s="768"/>
      <c r="J632" s="768"/>
      <c r="K632" s="768"/>
      <c r="L632" s="768"/>
      <c r="M632" s="768"/>
      <c r="N632" s="768"/>
      <c r="O632" s="768"/>
      <c r="P632" s="768"/>
      <c r="Q632" s="768"/>
      <c r="R632" s="768"/>
      <c r="S632" s="768"/>
      <c r="T632" s="768"/>
      <c r="U632" s="768"/>
      <c r="V632" s="768"/>
      <c r="W632" s="768"/>
      <c r="X632" s="768"/>
      <c r="Y632" s="768"/>
      <c r="Z632" s="768"/>
      <c r="AA632" s="768"/>
    </row>
    <row r="633" ht="30.0" customHeight="1">
      <c r="A633" s="768" t="str">
        <f t="array" ref="A633">XLOOKUP(C633,'High School Players'!D:D,'High School Players'!K:K,"NO",0,1)</f>
        <v>NO</v>
      </c>
      <c r="B633" s="768"/>
      <c r="C633" s="768"/>
      <c r="D633" s="768"/>
      <c r="E633" s="768"/>
      <c r="F633" s="768"/>
      <c r="G633" s="768"/>
      <c r="H633" s="768"/>
      <c r="I633" s="768"/>
      <c r="J633" s="768"/>
      <c r="K633" s="768"/>
      <c r="L633" s="768"/>
      <c r="M633" s="768"/>
      <c r="N633" s="768"/>
      <c r="O633" s="768"/>
      <c r="P633" s="768"/>
      <c r="Q633" s="768"/>
      <c r="R633" s="768"/>
      <c r="S633" s="768"/>
      <c r="T633" s="768"/>
      <c r="U633" s="768"/>
      <c r="V633" s="768"/>
      <c r="W633" s="768"/>
      <c r="X633" s="768"/>
      <c r="Y633" s="768"/>
      <c r="Z633" s="768"/>
      <c r="AA633" s="768"/>
    </row>
    <row r="634" ht="30.0" customHeight="1">
      <c r="A634" s="768" t="str">
        <f t="array" ref="A634">XLOOKUP(C634,'High School Players'!D:D,'High School Players'!K:K,"NO",0,1)</f>
        <v>NO</v>
      </c>
      <c r="B634" s="768"/>
      <c r="C634" s="768"/>
      <c r="D634" s="768"/>
      <c r="E634" s="768"/>
      <c r="F634" s="768"/>
      <c r="G634" s="768"/>
      <c r="H634" s="768"/>
      <c r="I634" s="768"/>
      <c r="J634" s="768"/>
      <c r="K634" s="768"/>
      <c r="L634" s="768"/>
      <c r="M634" s="768"/>
      <c r="N634" s="768"/>
      <c r="O634" s="768"/>
      <c r="P634" s="768"/>
      <c r="Q634" s="768"/>
      <c r="R634" s="768"/>
      <c r="S634" s="768"/>
      <c r="T634" s="768"/>
      <c r="U634" s="768"/>
      <c r="V634" s="768"/>
      <c r="W634" s="768"/>
      <c r="X634" s="768"/>
      <c r="Y634" s="768"/>
      <c r="Z634" s="768"/>
      <c r="AA634" s="768"/>
    </row>
    <row r="635" ht="30.0" customHeight="1">
      <c r="A635" s="768" t="str">
        <f t="array" ref="A635">XLOOKUP(C635,'High School Players'!D:D,'High School Players'!K:K,"NO",0,1)</f>
        <v>NO</v>
      </c>
      <c r="B635" s="768"/>
      <c r="C635" s="768"/>
      <c r="D635" s="768"/>
      <c r="E635" s="768"/>
      <c r="F635" s="768"/>
      <c r="G635" s="768"/>
      <c r="H635" s="768"/>
      <c r="I635" s="768"/>
      <c r="J635" s="768"/>
      <c r="K635" s="768"/>
      <c r="L635" s="768"/>
      <c r="M635" s="768"/>
      <c r="N635" s="768"/>
      <c r="O635" s="768"/>
      <c r="P635" s="768"/>
      <c r="Q635" s="768"/>
      <c r="R635" s="768"/>
      <c r="S635" s="768"/>
      <c r="T635" s="768"/>
      <c r="U635" s="768"/>
      <c r="V635" s="768"/>
      <c r="W635" s="768"/>
      <c r="X635" s="768"/>
      <c r="Y635" s="768"/>
      <c r="Z635" s="768"/>
      <c r="AA635" s="768"/>
    </row>
    <row r="636" ht="30.0" customHeight="1">
      <c r="A636" s="768" t="str">
        <f t="array" ref="A636">XLOOKUP(C636,'High School Players'!D:D,'High School Players'!K:K,"NO",0,1)</f>
        <v>NO</v>
      </c>
      <c r="B636" s="768"/>
      <c r="C636" s="768"/>
      <c r="D636" s="768"/>
      <c r="E636" s="768"/>
      <c r="F636" s="768"/>
      <c r="G636" s="768"/>
      <c r="H636" s="768"/>
      <c r="I636" s="768"/>
      <c r="J636" s="768"/>
      <c r="K636" s="768"/>
      <c r="L636" s="768"/>
      <c r="M636" s="768"/>
      <c r="N636" s="768"/>
      <c r="O636" s="768"/>
      <c r="P636" s="768"/>
      <c r="Q636" s="768"/>
      <c r="R636" s="768"/>
      <c r="S636" s="768"/>
      <c r="T636" s="768"/>
      <c r="U636" s="768"/>
      <c r="V636" s="768"/>
      <c r="W636" s="768"/>
      <c r="X636" s="768"/>
      <c r="Y636" s="768"/>
      <c r="Z636" s="768"/>
      <c r="AA636" s="768"/>
    </row>
    <row r="637" ht="30.0" customHeight="1">
      <c r="A637" s="768" t="str">
        <f t="array" ref="A637">XLOOKUP(C637,'High School Players'!D:D,'High School Players'!K:K,"NO",0,1)</f>
        <v>NO</v>
      </c>
      <c r="B637" s="768"/>
      <c r="C637" s="768"/>
      <c r="D637" s="768"/>
      <c r="E637" s="768"/>
      <c r="F637" s="768"/>
      <c r="G637" s="768"/>
      <c r="H637" s="768"/>
      <c r="I637" s="768"/>
      <c r="J637" s="768"/>
      <c r="K637" s="768"/>
      <c r="L637" s="768"/>
      <c r="M637" s="768"/>
      <c r="N637" s="768"/>
      <c r="O637" s="768"/>
      <c r="P637" s="768"/>
      <c r="Q637" s="768"/>
      <c r="R637" s="768"/>
      <c r="S637" s="768"/>
      <c r="T637" s="768"/>
      <c r="U637" s="768"/>
      <c r="V637" s="768"/>
      <c r="W637" s="768"/>
      <c r="X637" s="768"/>
      <c r="Y637" s="768"/>
      <c r="Z637" s="768"/>
      <c r="AA637" s="768"/>
    </row>
    <row r="638" ht="30.0" customHeight="1">
      <c r="A638" s="768" t="str">
        <f t="array" ref="A638">XLOOKUP(C638,'High School Players'!D:D,'High School Players'!K:K,"NO",0,1)</f>
        <v>NO</v>
      </c>
      <c r="B638" s="768"/>
      <c r="C638" s="768"/>
      <c r="D638" s="768"/>
      <c r="E638" s="768"/>
      <c r="F638" s="768"/>
      <c r="G638" s="768"/>
      <c r="H638" s="768"/>
      <c r="I638" s="768"/>
      <c r="J638" s="768"/>
      <c r="K638" s="768"/>
      <c r="L638" s="768"/>
      <c r="M638" s="768"/>
      <c r="N638" s="768"/>
      <c r="O638" s="768"/>
      <c r="P638" s="768"/>
      <c r="Q638" s="768"/>
      <c r="R638" s="768"/>
      <c r="S638" s="768"/>
      <c r="T638" s="768"/>
      <c r="U638" s="768"/>
      <c r="V638" s="768"/>
      <c r="W638" s="768"/>
      <c r="X638" s="768"/>
      <c r="Y638" s="768"/>
      <c r="Z638" s="768"/>
      <c r="AA638" s="768"/>
    </row>
    <row r="639" ht="30.0" customHeight="1">
      <c r="A639" s="768" t="str">
        <f t="array" ref="A639">XLOOKUP(C639,'High School Players'!D:D,'High School Players'!K:K,"NO",0,1)</f>
        <v>NO</v>
      </c>
      <c r="B639" s="768"/>
      <c r="C639" s="768"/>
      <c r="D639" s="768"/>
      <c r="E639" s="768"/>
      <c r="F639" s="768"/>
      <c r="G639" s="768"/>
      <c r="H639" s="768"/>
      <c r="I639" s="768"/>
      <c r="J639" s="768"/>
      <c r="K639" s="768"/>
      <c r="L639" s="768"/>
      <c r="M639" s="768"/>
      <c r="N639" s="768"/>
      <c r="O639" s="768"/>
      <c r="P639" s="768"/>
      <c r="Q639" s="768"/>
      <c r="R639" s="768"/>
      <c r="S639" s="768"/>
      <c r="T639" s="768"/>
      <c r="U639" s="768"/>
      <c r="V639" s="768"/>
      <c r="W639" s="768"/>
      <c r="X639" s="768"/>
      <c r="Y639" s="768"/>
      <c r="Z639" s="768"/>
      <c r="AA639" s="768"/>
    </row>
    <row r="640" ht="30.0" customHeight="1">
      <c r="A640" s="768" t="str">
        <f t="array" ref="A640">XLOOKUP(C640,'High School Players'!D:D,'High School Players'!K:K,"NO",0,1)</f>
        <v>NO</v>
      </c>
      <c r="B640" s="768"/>
      <c r="C640" s="768"/>
      <c r="D640" s="768"/>
      <c r="E640" s="768"/>
      <c r="F640" s="768"/>
      <c r="G640" s="768"/>
      <c r="H640" s="768"/>
      <c r="I640" s="768"/>
      <c r="J640" s="768"/>
      <c r="K640" s="768"/>
      <c r="L640" s="768"/>
      <c r="M640" s="768"/>
      <c r="N640" s="768"/>
      <c r="O640" s="768"/>
      <c r="P640" s="768"/>
      <c r="Q640" s="768"/>
      <c r="R640" s="768"/>
      <c r="S640" s="768"/>
      <c r="T640" s="768"/>
      <c r="U640" s="768"/>
      <c r="V640" s="768"/>
      <c r="W640" s="768"/>
      <c r="X640" s="768"/>
      <c r="Y640" s="768"/>
      <c r="Z640" s="768"/>
      <c r="AA640" s="768"/>
    </row>
    <row r="641" ht="30.0" customHeight="1">
      <c r="A641" s="768" t="str">
        <f t="array" ref="A641">XLOOKUP(C641,'High School Players'!D:D,'High School Players'!K:K,"NO",0,1)</f>
        <v>NO</v>
      </c>
      <c r="B641" s="768"/>
      <c r="C641" s="768"/>
      <c r="D641" s="768"/>
      <c r="E641" s="768"/>
      <c r="F641" s="768"/>
      <c r="G641" s="768"/>
      <c r="H641" s="768"/>
      <c r="I641" s="768"/>
      <c r="J641" s="768"/>
      <c r="K641" s="768"/>
      <c r="L641" s="768"/>
      <c r="M641" s="768"/>
      <c r="N641" s="768"/>
      <c r="O641" s="768"/>
      <c r="P641" s="768"/>
      <c r="Q641" s="768"/>
      <c r="R641" s="768"/>
      <c r="S641" s="768"/>
      <c r="T641" s="768"/>
      <c r="U641" s="768"/>
      <c r="V641" s="768"/>
      <c r="W641" s="768"/>
      <c r="X641" s="768"/>
      <c r="Y641" s="768"/>
      <c r="Z641" s="768"/>
      <c r="AA641" s="768"/>
    </row>
    <row r="642" ht="30.0" customHeight="1">
      <c r="A642" s="768" t="str">
        <f t="array" ref="A642">XLOOKUP(C642,'High School Players'!D:D,'High School Players'!K:K,"NO",0,1)</f>
        <v>NO</v>
      </c>
      <c r="B642" s="768"/>
      <c r="C642" s="768"/>
      <c r="D642" s="768"/>
      <c r="E642" s="768"/>
      <c r="F642" s="768"/>
      <c r="G642" s="768"/>
      <c r="H642" s="768"/>
      <c r="I642" s="768"/>
      <c r="J642" s="768"/>
      <c r="K642" s="768"/>
      <c r="L642" s="768"/>
      <c r="M642" s="768"/>
      <c r="N642" s="768"/>
      <c r="O642" s="768"/>
      <c r="P642" s="768"/>
      <c r="Q642" s="768"/>
      <c r="R642" s="768"/>
      <c r="S642" s="768"/>
      <c r="T642" s="768"/>
      <c r="U642" s="768"/>
      <c r="V642" s="768"/>
      <c r="W642" s="768"/>
      <c r="X642" s="768"/>
      <c r="Y642" s="768"/>
      <c r="Z642" s="768"/>
      <c r="AA642" s="768"/>
    </row>
    <row r="643" ht="30.0" customHeight="1">
      <c r="A643" s="768" t="str">
        <f t="array" ref="A643">XLOOKUP(C643,'High School Players'!D:D,'High School Players'!K:K,"NO",0,1)</f>
        <v>NO</v>
      </c>
      <c r="B643" s="768"/>
      <c r="C643" s="768"/>
      <c r="D643" s="768"/>
      <c r="E643" s="768"/>
      <c r="F643" s="768"/>
      <c r="G643" s="768"/>
      <c r="H643" s="768"/>
      <c r="I643" s="768"/>
      <c r="J643" s="768"/>
      <c r="K643" s="768"/>
      <c r="L643" s="768"/>
      <c r="M643" s="768"/>
      <c r="N643" s="768"/>
      <c r="O643" s="768"/>
      <c r="P643" s="768"/>
      <c r="Q643" s="768"/>
      <c r="R643" s="768"/>
      <c r="S643" s="768"/>
      <c r="T643" s="768"/>
      <c r="U643" s="768"/>
      <c r="V643" s="768"/>
      <c r="W643" s="768"/>
      <c r="X643" s="768"/>
      <c r="Y643" s="768"/>
      <c r="Z643" s="768"/>
      <c r="AA643" s="768"/>
    </row>
    <row r="644" ht="30.0" customHeight="1">
      <c r="A644" s="768" t="str">
        <f t="array" ref="A644">XLOOKUP(C644,'High School Players'!D:D,'High School Players'!K:K,"NO",0,1)</f>
        <v>NO</v>
      </c>
      <c r="B644" s="768"/>
      <c r="C644" s="768"/>
      <c r="D644" s="768"/>
      <c r="E644" s="768"/>
      <c r="F644" s="768"/>
      <c r="G644" s="768"/>
      <c r="H644" s="768"/>
      <c r="I644" s="768"/>
      <c r="J644" s="768"/>
      <c r="K644" s="768"/>
      <c r="L644" s="768"/>
      <c r="M644" s="768"/>
      <c r="N644" s="768"/>
      <c r="O644" s="768"/>
      <c r="P644" s="768"/>
      <c r="Q644" s="768"/>
      <c r="R644" s="768"/>
      <c r="S644" s="768"/>
      <c r="T644" s="768"/>
      <c r="U644" s="768"/>
      <c r="V644" s="768"/>
      <c r="W644" s="768"/>
      <c r="X644" s="768"/>
      <c r="Y644" s="768"/>
      <c r="Z644" s="768"/>
      <c r="AA644" s="768"/>
    </row>
    <row r="645" ht="30.0" customHeight="1">
      <c r="A645" s="768" t="str">
        <f t="array" ref="A645">XLOOKUP(C645,'High School Players'!D:D,'High School Players'!K:K,"NO",0,1)</f>
        <v>NO</v>
      </c>
      <c r="B645" s="768"/>
      <c r="C645" s="768"/>
      <c r="D645" s="768"/>
      <c r="E645" s="768"/>
      <c r="F645" s="768"/>
      <c r="G645" s="768"/>
      <c r="H645" s="768"/>
      <c r="I645" s="768"/>
      <c r="J645" s="768"/>
      <c r="K645" s="768"/>
      <c r="L645" s="768"/>
      <c r="M645" s="768"/>
      <c r="N645" s="768"/>
      <c r="O645" s="768"/>
      <c r="P645" s="768"/>
      <c r="Q645" s="768"/>
      <c r="R645" s="768"/>
      <c r="S645" s="768"/>
      <c r="T645" s="768"/>
      <c r="U645" s="768"/>
      <c r="V645" s="768"/>
      <c r="W645" s="768"/>
      <c r="X645" s="768"/>
      <c r="Y645" s="768"/>
      <c r="Z645" s="768"/>
      <c r="AA645" s="768"/>
    </row>
    <row r="646" ht="30.0" customHeight="1">
      <c r="A646" s="768" t="str">
        <f t="array" ref="A646">XLOOKUP(C646,'High School Players'!D:D,'High School Players'!K:K,"NO",0,1)</f>
        <v>NO</v>
      </c>
      <c r="B646" s="768"/>
      <c r="C646" s="768"/>
      <c r="D646" s="768"/>
      <c r="E646" s="768"/>
      <c r="F646" s="768"/>
      <c r="G646" s="768"/>
      <c r="H646" s="768"/>
      <c r="I646" s="768"/>
      <c r="J646" s="768"/>
      <c r="K646" s="768"/>
      <c r="L646" s="768"/>
      <c r="M646" s="768"/>
      <c r="N646" s="768"/>
      <c r="O646" s="768"/>
      <c r="P646" s="768"/>
      <c r="Q646" s="768"/>
      <c r="R646" s="768"/>
      <c r="S646" s="768"/>
      <c r="T646" s="768"/>
      <c r="U646" s="768"/>
      <c r="V646" s="768"/>
      <c r="W646" s="768"/>
      <c r="X646" s="768"/>
      <c r="Y646" s="768"/>
      <c r="Z646" s="768"/>
      <c r="AA646" s="768"/>
    </row>
    <row r="647" ht="30.0" customHeight="1">
      <c r="A647" s="768" t="str">
        <f t="array" ref="A647">XLOOKUP(C647,'High School Players'!D:D,'High School Players'!K:K,"NO",0,1)</f>
        <v>NO</v>
      </c>
      <c r="B647" s="768"/>
      <c r="C647" s="768"/>
      <c r="D647" s="768"/>
      <c r="E647" s="768"/>
      <c r="F647" s="768"/>
      <c r="G647" s="768"/>
      <c r="H647" s="768"/>
      <c r="I647" s="768"/>
      <c r="J647" s="768"/>
      <c r="K647" s="768"/>
      <c r="L647" s="768"/>
      <c r="M647" s="768"/>
      <c r="N647" s="768"/>
      <c r="O647" s="768"/>
      <c r="P647" s="768"/>
      <c r="Q647" s="768"/>
      <c r="R647" s="768"/>
      <c r="S647" s="768"/>
      <c r="T647" s="768"/>
      <c r="U647" s="768"/>
      <c r="V647" s="768"/>
      <c r="W647" s="768"/>
      <c r="X647" s="768"/>
      <c r="Y647" s="768"/>
      <c r="Z647" s="768"/>
      <c r="AA647" s="768"/>
    </row>
    <row r="648" ht="30.0" customHeight="1">
      <c r="A648" s="768" t="str">
        <f t="array" ref="A648">XLOOKUP(C648,'High School Players'!D:D,'High School Players'!K:K,"NO",0,1)</f>
        <v>NO</v>
      </c>
      <c r="B648" s="768"/>
      <c r="C648" s="768"/>
      <c r="D648" s="768"/>
      <c r="E648" s="768"/>
      <c r="F648" s="768"/>
      <c r="G648" s="768"/>
      <c r="H648" s="768"/>
      <c r="I648" s="768"/>
      <c r="J648" s="768"/>
      <c r="K648" s="768"/>
      <c r="L648" s="768"/>
      <c r="M648" s="768"/>
      <c r="N648" s="768"/>
      <c r="O648" s="768"/>
      <c r="P648" s="768"/>
      <c r="Q648" s="768"/>
      <c r="R648" s="768"/>
      <c r="S648" s="768"/>
      <c r="T648" s="768"/>
      <c r="U648" s="768"/>
      <c r="V648" s="768"/>
      <c r="W648" s="768"/>
      <c r="X648" s="768"/>
      <c r="Y648" s="768"/>
      <c r="Z648" s="768"/>
      <c r="AA648" s="768"/>
    </row>
    <row r="649" ht="30.0" customHeight="1">
      <c r="A649" s="768" t="str">
        <f t="array" ref="A649">XLOOKUP(C649,'High School Players'!D:D,'High School Players'!K:K,"NO",0,1)</f>
        <v>NO</v>
      </c>
      <c r="B649" s="768"/>
      <c r="C649" s="768"/>
      <c r="D649" s="768"/>
      <c r="E649" s="768"/>
      <c r="F649" s="768"/>
      <c r="G649" s="768"/>
      <c r="H649" s="768"/>
      <c r="I649" s="768"/>
      <c r="J649" s="768"/>
      <c r="K649" s="768"/>
      <c r="L649" s="768"/>
      <c r="M649" s="768"/>
      <c r="N649" s="768"/>
      <c r="O649" s="768"/>
      <c r="P649" s="768"/>
      <c r="Q649" s="768"/>
      <c r="R649" s="768"/>
      <c r="S649" s="768"/>
      <c r="T649" s="768"/>
      <c r="U649" s="768"/>
      <c r="V649" s="768"/>
      <c r="W649" s="768"/>
      <c r="X649" s="768"/>
      <c r="Y649" s="768"/>
      <c r="Z649" s="768"/>
      <c r="AA649" s="768"/>
    </row>
    <row r="650" ht="30.0" customHeight="1">
      <c r="A650" s="768" t="str">
        <f t="array" ref="A650">XLOOKUP(C650,'High School Players'!D:D,'High School Players'!K:K,"NO",0,1)</f>
        <v>NO</v>
      </c>
      <c r="B650" s="768"/>
      <c r="C650" s="768"/>
      <c r="D650" s="768"/>
      <c r="E650" s="768"/>
      <c r="F650" s="768"/>
      <c r="G650" s="768"/>
      <c r="H650" s="768"/>
      <c r="I650" s="768"/>
      <c r="J650" s="768"/>
      <c r="K650" s="768"/>
      <c r="L650" s="768"/>
      <c r="M650" s="768"/>
      <c r="N650" s="768"/>
      <c r="O650" s="768"/>
      <c r="P650" s="768"/>
      <c r="Q650" s="768"/>
      <c r="R650" s="768"/>
      <c r="S650" s="768"/>
      <c r="T650" s="768"/>
      <c r="U650" s="768"/>
      <c r="V650" s="768"/>
      <c r="W650" s="768"/>
      <c r="X650" s="768"/>
      <c r="Y650" s="768"/>
      <c r="Z650" s="768"/>
      <c r="AA650" s="768"/>
    </row>
    <row r="651" ht="30.0" customHeight="1">
      <c r="A651" s="768" t="str">
        <f t="array" ref="A651">XLOOKUP(C651,'High School Players'!D:D,'High School Players'!K:K,"NO",0,1)</f>
        <v>NO</v>
      </c>
      <c r="B651" s="768"/>
      <c r="C651" s="768"/>
      <c r="D651" s="768"/>
      <c r="E651" s="768"/>
      <c r="F651" s="768"/>
      <c r="G651" s="768"/>
      <c r="H651" s="768"/>
      <c r="I651" s="768"/>
      <c r="J651" s="768"/>
      <c r="K651" s="768"/>
      <c r="L651" s="768"/>
      <c r="M651" s="768"/>
      <c r="N651" s="768"/>
      <c r="O651" s="768"/>
      <c r="P651" s="768"/>
      <c r="Q651" s="768"/>
      <c r="R651" s="768"/>
      <c r="S651" s="768"/>
      <c r="T651" s="768"/>
      <c r="U651" s="768"/>
      <c r="V651" s="768"/>
      <c r="W651" s="768"/>
      <c r="X651" s="768"/>
      <c r="Y651" s="768"/>
      <c r="Z651" s="768"/>
      <c r="AA651" s="768"/>
    </row>
    <row r="652" ht="30.0" customHeight="1">
      <c r="A652" s="768" t="str">
        <f t="array" ref="A652">XLOOKUP(C652,'High School Players'!D:D,'High School Players'!K:K,"NO",0,1)</f>
        <v>NO</v>
      </c>
      <c r="B652" s="768"/>
      <c r="C652" s="768"/>
      <c r="D652" s="768"/>
      <c r="E652" s="768"/>
      <c r="F652" s="768"/>
      <c r="G652" s="768"/>
      <c r="H652" s="768"/>
      <c r="I652" s="768"/>
      <c r="J652" s="768"/>
      <c r="K652" s="768"/>
      <c r="L652" s="768"/>
      <c r="M652" s="768"/>
      <c r="N652" s="768"/>
      <c r="O652" s="768"/>
      <c r="P652" s="768"/>
      <c r="Q652" s="768"/>
      <c r="R652" s="768"/>
      <c r="S652" s="768"/>
      <c r="T652" s="768"/>
      <c r="U652" s="768"/>
      <c r="V652" s="768"/>
      <c r="W652" s="768"/>
      <c r="X652" s="768"/>
      <c r="Y652" s="768"/>
      <c r="Z652" s="768"/>
      <c r="AA652" s="768"/>
    </row>
    <row r="653" ht="30.0" customHeight="1">
      <c r="A653" s="768" t="str">
        <f t="array" ref="A653">XLOOKUP(C653,'High School Players'!D:D,'High School Players'!K:K,"NO",0,1)</f>
        <v>NO</v>
      </c>
      <c r="B653" s="768"/>
      <c r="C653" s="768"/>
      <c r="D653" s="768"/>
      <c r="E653" s="768"/>
      <c r="F653" s="768"/>
      <c r="G653" s="768"/>
      <c r="H653" s="768"/>
      <c r="I653" s="768"/>
      <c r="J653" s="768"/>
      <c r="K653" s="768"/>
      <c r="L653" s="768"/>
      <c r="M653" s="768"/>
      <c r="N653" s="768"/>
      <c r="O653" s="768"/>
      <c r="P653" s="768"/>
      <c r="Q653" s="768"/>
      <c r="R653" s="768"/>
      <c r="S653" s="768"/>
      <c r="T653" s="768"/>
      <c r="U653" s="768"/>
      <c r="V653" s="768"/>
      <c r="W653" s="768"/>
      <c r="X653" s="768"/>
      <c r="Y653" s="768"/>
      <c r="Z653" s="768"/>
      <c r="AA653" s="768"/>
    </row>
    <row r="654" ht="30.0" customHeight="1">
      <c r="A654" s="768" t="str">
        <f t="array" ref="A654">XLOOKUP(C654,'High School Players'!D:D,'High School Players'!K:K,"NO",0,1)</f>
        <v>NO</v>
      </c>
      <c r="B654" s="768"/>
      <c r="C654" s="768"/>
      <c r="D654" s="768"/>
      <c r="E654" s="768"/>
      <c r="F654" s="768"/>
      <c r="G654" s="768"/>
      <c r="H654" s="768"/>
      <c r="I654" s="768"/>
      <c r="J654" s="768"/>
      <c r="K654" s="768"/>
      <c r="L654" s="768"/>
      <c r="M654" s="768"/>
      <c r="N654" s="768"/>
      <c r="O654" s="768"/>
      <c r="P654" s="768"/>
      <c r="Q654" s="768"/>
      <c r="R654" s="768"/>
      <c r="S654" s="768"/>
      <c r="T654" s="768"/>
      <c r="U654" s="768"/>
      <c r="V654" s="768"/>
      <c r="W654" s="768"/>
      <c r="X654" s="768"/>
      <c r="Y654" s="768"/>
      <c r="Z654" s="768"/>
      <c r="AA654" s="768"/>
    </row>
    <row r="655" ht="30.0" customHeight="1">
      <c r="A655" s="768" t="str">
        <f t="array" ref="A655">XLOOKUP(C655,'High School Players'!D:D,'High School Players'!K:K,"NO",0,1)</f>
        <v>NO</v>
      </c>
      <c r="B655" s="768"/>
      <c r="C655" s="768"/>
      <c r="D655" s="768"/>
      <c r="E655" s="768"/>
      <c r="F655" s="768"/>
      <c r="G655" s="768"/>
      <c r="H655" s="768"/>
      <c r="I655" s="768"/>
      <c r="J655" s="768"/>
      <c r="K655" s="768"/>
      <c r="L655" s="768"/>
      <c r="M655" s="768"/>
      <c r="N655" s="768"/>
      <c r="O655" s="768"/>
      <c r="P655" s="768"/>
      <c r="Q655" s="768"/>
      <c r="R655" s="768"/>
      <c r="S655" s="768"/>
      <c r="T655" s="768"/>
      <c r="U655" s="768"/>
      <c r="V655" s="768"/>
      <c r="W655" s="768"/>
      <c r="X655" s="768"/>
      <c r="Y655" s="768"/>
      <c r="Z655" s="768"/>
      <c r="AA655" s="768"/>
    </row>
    <row r="656" ht="30.0" customHeight="1">
      <c r="A656" s="768" t="str">
        <f t="array" ref="A656">XLOOKUP(C656,'High School Players'!D:D,'High School Players'!K:K,"NO",0,1)</f>
        <v>NO</v>
      </c>
      <c r="B656" s="768"/>
      <c r="C656" s="768"/>
      <c r="D656" s="768"/>
      <c r="E656" s="768"/>
      <c r="F656" s="768"/>
      <c r="G656" s="768"/>
      <c r="H656" s="768"/>
      <c r="I656" s="768"/>
      <c r="J656" s="768"/>
      <c r="K656" s="768"/>
      <c r="L656" s="768"/>
      <c r="M656" s="768"/>
      <c r="N656" s="768"/>
      <c r="O656" s="768"/>
      <c r="P656" s="768"/>
      <c r="Q656" s="768"/>
      <c r="R656" s="768"/>
      <c r="S656" s="768"/>
      <c r="T656" s="768"/>
      <c r="U656" s="768"/>
      <c r="V656" s="768"/>
      <c r="W656" s="768"/>
      <c r="X656" s="768"/>
      <c r="Y656" s="768"/>
      <c r="Z656" s="768"/>
      <c r="AA656" s="768"/>
    </row>
    <row r="657" ht="30.0" customHeight="1">
      <c r="A657" s="768" t="str">
        <f t="array" ref="A657">XLOOKUP(C657,'High School Players'!D:D,'High School Players'!K:K,"NO",0,1)</f>
        <v>NO</v>
      </c>
      <c r="B657" s="768"/>
      <c r="C657" s="768"/>
      <c r="D657" s="768"/>
      <c r="E657" s="768"/>
      <c r="F657" s="768"/>
      <c r="G657" s="768"/>
      <c r="H657" s="768"/>
      <c r="I657" s="768"/>
      <c r="J657" s="768"/>
      <c r="K657" s="768"/>
      <c r="L657" s="768"/>
      <c r="M657" s="768"/>
      <c r="N657" s="768"/>
      <c r="O657" s="768"/>
      <c r="P657" s="768"/>
      <c r="Q657" s="768"/>
      <c r="R657" s="768"/>
      <c r="S657" s="768"/>
      <c r="T657" s="768"/>
      <c r="U657" s="768"/>
      <c r="V657" s="768"/>
      <c r="W657" s="768"/>
      <c r="X657" s="768"/>
      <c r="Y657" s="768"/>
      <c r="Z657" s="768"/>
      <c r="AA657" s="768"/>
    </row>
    <row r="658" ht="30.0" customHeight="1">
      <c r="A658" s="768" t="str">
        <f t="array" ref="A658">XLOOKUP(C658,'High School Players'!D:D,'High School Players'!K:K,"NO",0,1)</f>
        <v>NO</v>
      </c>
      <c r="B658" s="768"/>
      <c r="C658" s="768"/>
      <c r="D658" s="768"/>
      <c r="E658" s="768"/>
      <c r="F658" s="768"/>
      <c r="G658" s="768"/>
      <c r="H658" s="768"/>
      <c r="I658" s="768"/>
      <c r="J658" s="768"/>
      <c r="K658" s="768"/>
      <c r="L658" s="768"/>
      <c r="M658" s="768"/>
      <c r="N658" s="768"/>
      <c r="O658" s="768"/>
      <c r="P658" s="768"/>
      <c r="Q658" s="768"/>
      <c r="R658" s="768"/>
      <c r="S658" s="768"/>
      <c r="T658" s="768"/>
      <c r="U658" s="768"/>
      <c r="V658" s="768"/>
      <c r="W658" s="768"/>
      <c r="X658" s="768"/>
      <c r="Y658" s="768"/>
      <c r="Z658" s="768"/>
      <c r="AA658" s="768"/>
    </row>
    <row r="659" ht="30.0" customHeight="1">
      <c r="A659" s="768" t="str">
        <f t="array" ref="A659">XLOOKUP(C659,'High School Players'!D:D,'High School Players'!K:K,"NO",0,1)</f>
        <v>NO</v>
      </c>
      <c r="B659" s="768"/>
      <c r="C659" s="768"/>
      <c r="D659" s="768"/>
      <c r="E659" s="768"/>
      <c r="F659" s="768"/>
      <c r="G659" s="768"/>
      <c r="H659" s="768"/>
      <c r="I659" s="768"/>
      <c r="J659" s="768"/>
      <c r="K659" s="768"/>
      <c r="L659" s="768"/>
      <c r="M659" s="768"/>
      <c r="N659" s="768"/>
      <c r="O659" s="768"/>
      <c r="P659" s="768"/>
      <c r="Q659" s="768"/>
      <c r="R659" s="768"/>
      <c r="S659" s="768"/>
      <c r="T659" s="768"/>
      <c r="U659" s="768"/>
      <c r="V659" s="768"/>
      <c r="W659" s="768"/>
      <c r="X659" s="768"/>
      <c r="Y659" s="768"/>
      <c r="Z659" s="768"/>
      <c r="AA659" s="768"/>
    </row>
    <row r="660" ht="30.0" customHeight="1">
      <c r="A660" s="768" t="str">
        <f t="array" ref="A660">XLOOKUP(C660,'High School Players'!D:D,'High School Players'!K:K,"NO",0,1)</f>
        <v>NO</v>
      </c>
      <c r="B660" s="768"/>
      <c r="C660" s="768"/>
      <c r="D660" s="768"/>
      <c r="E660" s="768"/>
      <c r="F660" s="768"/>
      <c r="G660" s="768"/>
      <c r="H660" s="768"/>
      <c r="I660" s="768"/>
      <c r="J660" s="768"/>
      <c r="K660" s="768"/>
      <c r="L660" s="768"/>
      <c r="M660" s="768"/>
      <c r="N660" s="768"/>
      <c r="O660" s="768"/>
      <c r="P660" s="768"/>
      <c r="Q660" s="768"/>
      <c r="R660" s="768"/>
      <c r="S660" s="768"/>
      <c r="T660" s="768"/>
      <c r="U660" s="768"/>
      <c r="V660" s="768"/>
      <c r="W660" s="768"/>
      <c r="X660" s="768"/>
      <c r="Y660" s="768"/>
      <c r="Z660" s="768"/>
      <c r="AA660" s="768"/>
    </row>
    <row r="661" ht="30.0" customHeight="1">
      <c r="A661" s="768" t="str">
        <f t="array" ref="A661">XLOOKUP(C661,'High School Players'!D:D,'High School Players'!K:K,"NO",0,1)</f>
        <v>NO</v>
      </c>
      <c r="B661" s="768"/>
      <c r="C661" s="768"/>
      <c r="D661" s="768"/>
      <c r="E661" s="768"/>
      <c r="F661" s="768"/>
      <c r="G661" s="768"/>
      <c r="H661" s="768"/>
      <c r="I661" s="768"/>
      <c r="J661" s="768"/>
      <c r="K661" s="768"/>
      <c r="L661" s="768"/>
      <c r="M661" s="768"/>
      <c r="N661" s="768"/>
      <c r="O661" s="768"/>
      <c r="P661" s="768"/>
      <c r="Q661" s="768"/>
      <c r="R661" s="768"/>
      <c r="S661" s="768"/>
      <c r="T661" s="768"/>
      <c r="U661" s="768"/>
      <c r="V661" s="768"/>
      <c r="W661" s="768"/>
      <c r="X661" s="768"/>
      <c r="Y661" s="768"/>
      <c r="Z661" s="768"/>
      <c r="AA661" s="768"/>
    </row>
    <row r="662" ht="30.0" customHeight="1">
      <c r="A662" s="768" t="str">
        <f t="array" ref="A662">XLOOKUP(C662,'High School Players'!D:D,'High School Players'!K:K,"NO",0,1)</f>
        <v>NO</v>
      </c>
      <c r="B662" s="768"/>
      <c r="C662" s="768"/>
      <c r="D662" s="768"/>
      <c r="E662" s="768"/>
      <c r="F662" s="768"/>
      <c r="G662" s="768"/>
      <c r="H662" s="768"/>
      <c r="I662" s="768"/>
      <c r="J662" s="768"/>
      <c r="K662" s="768"/>
      <c r="L662" s="768"/>
      <c r="M662" s="768"/>
      <c r="N662" s="768"/>
      <c r="O662" s="768"/>
      <c r="P662" s="768"/>
      <c r="Q662" s="768"/>
      <c r="R662" s="768"/>
      <c r="S662" s="768"/>
      <c r="T662" s="768"/>
      <c r="U662" s="768"/>
      <c r="V662" s="768"/>
      <c r="W662" s="768"/>
      <c r="X662" s="768"/>
      <c r="Y662" s="768"/>
      <c r="Z662" s="768"/>
      <c r="AA662" s="768"/>
    </row>
    <row r="663" ht="30.0" customHeight="1">
      <c r="A663" s="768" t="str">
        <f t="array" ref="A663">XLOOKUP(C663,'High School Players'!D:D,'High School Players'!K:K,"NO",0,1)</f>
        <v>NO</v>
      </c>
      <c r="B663" s="768"/>
      <c r="C663" s="768"/>
      <c r="D663" s="768"/>
      <c r="E663" s="768"/>
      <c r="F663" s="768"/>
      <c r="G663" s="768"/>
      <c r="H663" s="768"/>
      <c r="I663" s="768"/>
      <c r="J663" s="768"/>
      <c r="K663" s="768"/>
      <c r="L663" s="768"/>
      <c r="M663" s="768"/>
      <c r="N663" s="768"/>
      <c r="O663" s="768"/>
      <c r="P663" s="768"/>
      <c r="Q663" s="768"/>
      <c r="R663" s="768"/>
      <c r="S663" s="768"/>
      <c r="T663" s="768"/>
      <c r="U663" s="768"/>
      <c r="V663" s="768"/>
      <c r="W663" s="768"/>
      <c r="X663" s="768"/>
      <c r="Y663" s="768"/>
      <c r="Z663" s="768"/>
      <c r="AA663" s="768"/>
    </row>
    <row r="664" ht="30.0" customHeight="1">
      <c r="A664" s="768" t="str">
        <f t="array" ref="A664">XLOOKUP(C664,'High School Players'!D:D,'High School Players'!K:K,"NO",0,1)</f>
        <v>NO</v>
      </c>
      <c r="B664" s="768"/>
      <c r="C664" s="768"/>
      <c r="D664" s="768"/>
      <c r="E664" s="768"/>
      <c r="F664" s="768"/>
      <c r="G664" s="768"/>
      <c r="H664" s="768"/>
      <c r="I664" s="768"/>
      <c r="J664" s="768"/>
      <c r="K664" s="768"/>
      <c r="L664" s="768"/>
      <c r="M664" s="768"/>
      <c r="N664" s="768"/>
      <c r="O664" s="768"/>
      <c r="P664" s="768"/>
      <c r="Q664" s="768"/>
      <c r="R664" s="768"/>
      <c r="S664" s="768"/>
      <c r="T664" s="768"/>
      <c r="U664" s="768"/>
      <c r="V664" s="768"/>
      <c r="W664" s="768"/>
      <c r="X664" s="768"/>
      <c r="Y664" s="768"/>
      <c r="Z664" s="768"/>
      <c r="AA664" s="768"/>
    </row>
    <row r="665" ht="30.0" customHeight="1">
      <c r="A665" s="768" t="str">
        <f t="array" ref="A665">XLOOKUP(C665,'High School Players'!D:D,'High School Players'!K:K,"NO",0,1)</f>
        <v>NO</v>
      </c>
      <c r="B665" s="768"/>
      <c r="C665" s="768"/>
      <c r="D665" s="768"/>
      <c r="E665" s="768"/>
      <c r="F665" s="768"/>
      <c r="G665" s="768"/>
      <c r="H665" s="768"/>
      <c r="I665" s="768"/>
      <c r="J665" s="768"/>
      <c r="K665" s="768"/>
      <c r="L665" s="768"/>
      <c r="M665" s="768"/>
      <c r="N665" s="768"/>
      <c r="O665" s="768"/>
      <c r="P665" s="768"/>
      <c r="Q665" s="768"/>
      <c r="R665" s="768"/>
      <c r="S665" s="768"/>
      <c r="T665" s="768"/>
      <c r="U665" s="768"/>
      <c r="V665" s="768"/>
      <c r="W665" s="768"/>
      <c r="X665" s="768"/>
      <c r="Y665" s="768"/>
      <c r="Z665" s="768"/>
      <c r="AA665" s="768"/>
    </row>
    <row r="666" ht="30.0" customHeight="1">
      <c r="A666" s="768" t="str">
        <f t="array" ref="A666">XLOOKUP(C666,'High School Players'!D:D,'High School Players'!K:K,"NO",0,1)</f>
        <v>NO</v>
      </c>
      <c r="B666" s="768"/>
      <c r="C666" s="768"/>
      <c r="D666" s="768"/>
      <c r="E666" s="768"/>
      <c r="F666" s="768"/>
      <c r="G666" s="768"/>
      <c r="H666" s="768"/>
      <c r="I666" s="768"/>
      <c r="J666" s="768"/>
      <c r="K666" s="768"/>
      <c r="L666" s="768"/>
      <c r="M666" s="768"/>
      <c r="N666" s="768"/>
      <c r="O666" s="768"/>
      <c r="P666" s="768"/>
      <c r="Q666" s="768"/>
      <c r="R666" s="768"/>
      <c r="S666" s="768"/>
      <c r="T666" s="768"/>
      <c r="U666" s="768"/>
      <c r="V666" s="768"/>
      <c r="W666" s="768"/>
      <c r="X666" s="768"/>
      <c r="Y666" s="768"/>
      <c r="Z666" s="768"/>
      <c r="AA666" s="768"/>
    </row>
    <row r="667" ht="30.0" customHeight="1">
      <c r="A667" s="768" t="str">
        <f t="array" ref="A667">XLOOKUP(C667,'High School Players'!D:D,'High School Players'!K:K,"NO",0,1)</f>
        <v>NO</v>
      </c>
      <c r="B667" s="768"/>
      <c r="C667" s="768"/>
      <c r="D667" s="768"/>
      <c r="E667" s="768"/>
      <c r="F667" s="768"/>
      <c r="G667" s="768"/>
      <c r="H667" s="768"/>
      <c r="I667" s="768"/>
      <c r="J667" s="768"/>
      <c r="K667" s="768"/>
      <c r="L667" s="768"/>
      <c r="M667" s="768"/>
      <c r="N667" s="768"/>
      <c r="O667" s="768"/>
      <c r="P667" s="768"/>
      <c r="Q667" s="768"/>
      <c r="R667" s="768"/>
      <c r="S667" s="768"/>
      <c r="T667" s="768"/>
      <c r="U667" s="768"/>
      <c r="V667" s="768"/>
      <c r="W667" s="768"/>
      <c r="X667" s="768"/>
      <c r="Y667" s="768"/>
      <c r="Z667" s="768"/>
      <c r="AA667" s="768"/>
    </row>
    <row r="668" ht="30.0" customHeight="1">
      <c r="A668" s="768" t="str">
        <f t="array" ref="A668">XLOOKUP(C668,'High School Players'!D:D,'High School Players'!K:K,"NO",0,1)</f>
        <v>NO</v>
      </c>
      <c r="B668" s="768"/>
      <c r="C668" s="768"/>
      <c r="D668" s="768"/>
      <c r="E668" s="768"/>
      <c r="F668" s="768"/>
      <c r="G668" s="768"/>
      <c r="H668" s="768"/>
      <c r="I668" s="768"/>
      <c r="J668" s="768"/>
      <c r="K668" s="768"/>
      <c r="L668" s="768"/>
      <c r="M668" s="768"/>
      <c r="N668" s="768"/>
      <c r="O668" s="768"/>
      <c r="P668" s="768"/>
      <c r="Q668" s="768"/>
      <c r="R668" s="768"/>
      <c r="S668" s="768"/>
      <c r="T668" s="768"/>
      <c r="U668" s="768"/>
      <c r="V668" s="768"/>
      <c r="W668" s="768"/>
      <c r="X668" s="768"/>
      <c r="Y668" s="768"/>
      <c r="Z668" s="768"/>
      <c r="AA668" s="768"/>
    </row>
    <row r="669" ht="30.0" customHeight="1">
      <c r="A669" s="768" t="str">
        <f t="array" ref="A669">XLOOKUP(C669,'High School Players'!D:D,'High School Players'!K:K,"NO",0,1)</f>
        <v>NO</v>
      </c>
      <c r="B669" s="768"/>
      <c r="C669" s="768"/>
      <c r="D669" s="768"/>
      <c r="E669" s="768"/>
      <c r="F669" s="768"/>
      <c r="G669" s="768"/>
      <c r="H669" s="768"/>
      <c r="I669" s="768"/>
      <c r="J669" s="768"/>
      <c r="K669" s="768"/>
      <c r="L669" s="768"/>
      <c r="M669" s="768"/>
      <c r="N669" s="768"/>
      <c r="O669" s="768"/>
      <c r="P669" s="768"/>
      <c r="Q669" s="768"/>
      <c r="R669" s="768"/>
      <c r="S669" s="768"/>
      <c r="T669" s="768"/>
      <c r="U669" s="768"/>
      <c r="V669" s="768"/>
      <c r="W669" s="768"/>
      <c r="X669" s="768"/>
      <c r="Y669" s="768"/>
      <c r="Z669" s="768"/>
      <c r="AA669" s="768"/>
    </row>
    <row r="670" ht="30.0" customHeight="1">
      <c r="A670" s="768" t="str">
        <f t="array" ref="A670">XLOOKUP(C670,'High School Players'!D:D,'High School Players'!K:K,"NO",0,1)</f>
        <v>NO</v>
      </c>
      <c r="B670" s="768"/>
      <c r="C670" s="768"/>
      <c r="D670" s="768"/>
      <c r="E670" s="768"/>
      <c r="F670" s="768"/>
      <c r="G670" s="768"/>
      <c r="H670" s="768"/>
      <c r="I670" s="768"/>
      <c r="J670" s="768"/>
      <c r="K670" s="768"/>
      <c r="L670" s="768"/>
      <c r="M670" s="768"/>
      <c r="N670" s="768"/>
      <c r="O670" s="768"/>
      <c r="P670" s="768"/>
      <c r="Q670" s="768"/>
      <c r="R670" s="768"/>
      <c r="S670" s="768"/>
      <c r="T670" s="768"/>
      <c r="U670" s="768"/>
      <c r="V670" s="768"/>
      <c r="W670" s="768"/>
      <c r="X670" s="768"/>
      <c r="Y670" s="768"/>
      <c r="Z670" s="768"/>
      <c r="AA670" s="768"/>
    </row>
    <row r="671" ht="30.0" customHeight="1">
      <c r="A671" s="768" t="str">
        <f t="array" ref="A671">XLOOKUP(C671,'High School Players'!D:D,'High School Players'!K:K,"NO",0,1)</f>
        <v>NO</v>
      </c>
      <c r="B671" s="768"/>
      <c r="C671" s="768"/>
      <c r="D671" s="768"/>
      <c r="E671" s="768"/>
      <c r="F671" s="768"/>
      <c r="G671" s="768"/>
      <c r="H671" s="768"/>
      <c r="I671" s="768"/>
      <c r="J671" s="768"/>
      <c r="K671" s="768"/>
      <c r="L671" s="768"/>
      <c r="M671" s="768"/>
      <c r="N671" s="768"/>
      <c r="O671" s="768"/>
      <c r="P671" s="768"/>
      <c r="Q671" s="768"/>
      <c r="R671" s="768"/>
      <c r="S671" s="768"/>
      <c r="T671" s="768"/>
      <c r="U671" s="768"/>
      <c r="V671" s="768"/>
      <c r="W671" s="768"/>
      <c r="X671" s="768"/>
      <c r="Y671" s="768"/>
      <c r="Z671" s="768"/>
      <c r="AA671" s="768"/>
    </row>
    <row r="672" ht="30.0" customHeight="1">
      <c r="A672" s="768" t="str">
        <f t="array" ref="A672">XLOOKUP(C672,'High School Players'!D:D,'High School Players'!K:K,"NO",0,1)</f>
        <v>NO</v>
      </c>
      <c r="B672" s="768"/>
      <c r="C672" s="768"/>
      <c r="D672" s="768"/>
      <c r="E672" s="768"/>
      <c r="F672" s="768"/>
      <c r="G672" s="768"/>
      <c r="H672" s="768"/>
      <c r="I672" s="768"/>
      <c r="J672" s="768"/>
      <c r="K672" s="768"/>
      <c r="L672" s="768"/>
      <c r="M672" s="768"/>
      <c r="N672" s="768"/>
      <c r="O672" s="768"/>
      <c r="P672" s="768"/>
      <c r="Q672" s="768"/>
      <c r="R672" s="768"/>
      <c r="S672" s="768"/>
      <c r="T672" s="768"/>
      <c r="U672" s="768"/>
      <c r="V672" s="768"/>
      <c r="W672" s="768"/>
      <c r="X672" s="768"/>
      <c r="Y672" s="768"/>
      <c r="Z672" s="768"/>
      <c r="AA672" s="768"/>
    </row>
    <row r="673" ht="30.0" customHeight="1">
      <c r="A673" s="768" t="str">
        <f t="array" ref="A673">XLOOKUP(C673,'High School Players'!D:D,'High School Players'!K:K,"NO",0,1)</f>
        <v>NO</v>
      </c>
      <c r="B673" s="768"/>
      <c r="C673" s="768"/>
      <c r="D673" s="768"/>
      <c r="E673" s="768"/>
      <c r="F673" s="768"/>
      <c r="G673" s="768"/>
      <c r="H673" s="768"/>
      <c r="I673" s="768"/>
      <c r="J673" s="768"/>
      <c r="K673" s="768"/>
      <c r="L673" s="768"/>
      <c r="M673" s="768"/>
      <c r="N673" s="768"/>
      <c r="O673" s="768"/>
      <c r="P673" s="768"/>
      <c r="Q673" s="768"/>
      <c r="R673" s="768"/>
      <c r="S673" s="768"/>
      <c r="T673" s="768"/>
      <c r="U673" s="768"/>
      <c r="V673" s="768"/>
      <c r="W673" s="768"/>
      <c r="X673" s="768"/>
      <c r="Y673" s="768"/>
      <c r="Z673" s="768"/>
      <c r="AA673" s="768"/>
    </row>
    <row r="674" ht="30.0" customHeight="1">
      <c r="A674" s="768" t="str">
        <f t="array" ref="A674">XLOOKUP(C674,'High School Players'!D:D,'High School Players'!K:K,"NO",0,1)</f>
        <v>NO</v>
      </c>
      <c r="B674" s="768"/>
      <c r="C674" s="768"/>
      <c r="D674" s="768"/>
      <c r="E674" s="768"/>
      <c r="F674" s="768"/>
      <c r="G674" s="768"/>
      <c r="H674" s="768"/>
      <c r="I674" s="768"/>
      <c r="J674" s="768"/>
      <c r="K674" s="768"/>
      <c r="L674" s="768"/>
      <c r="M674" s="768"/>
      <c r="N674" s="768"/>
      <c r="O674" s="768"/>
      <c r="P674" s="768"/>
      <c r="Q674" s="768"/>
      <c r="R674" s="768"/>
      <c r="S674" s="768"/>
      <c r="T674" s="768"/>
      <c r="U674" s="768"/>
      <c r="V674" s="768"/>
      <c r="W674" s="768"/>
      <c r="X674" s="768"/>
      <c r="Y674" s="768"/>
      <c r="Z674" s="768"/>
      <c r="AA674" s="768"/>
    </row>
    <row r="675" ht="30.0" customHeight="1">
      <c r="A675" s="768" t="str">
        <f t="array" ref="A675">XLOOKUP(C675,'High School Players'!D:D,'High School Players'!K:K,"NO",0,1)</f>
        <v>NO</v>
      </c>
      <c r="B675" s="768"/>
      <c r="C675" s="768"/>
      <c r="D675" s="768"/>
      <c r="E675" s="768"/>
      <c r="F675" s="768"/>
      <c r="G675" s="768"/>
      <c r="H675" s="768"/>
      <c r="I675" s="768"/>
      <c r="J675" s="768"/>
      <c r="K675" s="768"/>
      <c r="L675" s="768"/>
      <c r="M675" s="768"/>
      <c r="N675" s="768"/>
      <c r="O675" s="768"/>
      <c r="P675" s="768"/>
      <c r="Q675" s="768"/>
      <c r="R675" s="768"/>
      <c r="S675" s="768"/>
      <c r="T675" s="768"/>
      <c r="U675" s="768"/>
      <c r="V675" s="768"/>
      <c r="W675" s="768"/>
      <c r="X675" s="768"/>
      <c r="Y675" s="768"/>
      <c r="Z675" s="768"/>
      <c r="AA675" s="768"/>
    </row>
    <row r="676" ht="30.0" customHeight="1">
      <c r="A676" s="768" t="str">
        <f t="array" ref="A676">XLOOKUP(C676,'High School Players'!D:D,'High School Players'!K:K,"NO",0,1)</f>
        <v>NO</v>
      </c>
      <c r="B676" s="768"/>
      <c r="C676" s="768"/>
      <c r="D676" s="768"/>
      <c r="E676" s="768"/>
      <c r="F676" s="768"/>
      <c r="G676" s="768"/>
      <c r="H676" s="768"/>
      <c r="I676" s="768"/>
      <c r="J676" s="768"/>
      <c r="K676" s="768"/>
      <c r="L676" s="768"/>
      <c r="M676" s="768"/>
      <c r="N676" s="768"/>
      <c r="O676" s="768"/>
      <c r="P676" s="768"/>
      <c r="Q676" s="768"/>
      <c r="R676" s="768"/>
      <c r="S676" s="768"/>
      <c r="T676" s="768"/>
      <c r="U676" s="768"/>
      <c r="V676" s="768"/>
      <c r="W676" s="768"/>
      <c r="X676" s="768"/>
      <c r="Y676" s="768"/>
      <c r="Z676" s="768"/>
      <c r="AA676" s="768"/>
    </row>
    <row r="677" ht="30.0" customHeight="1">
      <c r="A677" s="768" t="str">
        <f t="array" ref="A677">XLOOKUP(C677,'High School Players'!D:D,'High School Players'!K:K,"NO",0,1)</f>
        <v>NO</v>
      </c>
      <c r="B677" s="768"/>
      <c r="C677" s="768"/>
      <c r="D677" s="768"/>
      <c r="E677" s="768"/>
      <c r="F677" s="768"/>
      <c r="G677" s="768"/>
      <c r="H677" s="768"/>
      <c r="I677" s="768"/>
      <c r="J677" s="768"/>
      <c r="K677" s="768"/>
      <c r="L677" s="768"/>
      <c r="M677" s="768"/>
      <c r="N677" s="768"/>
      <c r="O677" s="768"/>
      <c r="P677" s="768"/>
      <c r="Q677" s="768"/>
      <c r="R677" s="768"/>
      <c r="S677" s="768"/>
      <c r="T677" s="768"/>
      <c r="U677" s="768"/>
      <c r="V677" s="768"/>
      <c r="W677" s="768"/>
      <c r="X677" s="768"/>
      <c r="Y677" s="768"/>
      <c r="Z677" s="768"/>
      <c r="AA677" s="768"/>
    </row>
    <row r="678" ht="30.0" customHeight="1">
      <c r="A678" s="768" t="str">
        <f t="array" ref="A678">XLOOKUP(C678,'High School Players'!D:D,'High School Players'!K:K,"NO",0,1)</f>
        <v>NO</v>
      </c>
      <c r="B678" s="768"/>
      <c r="C678" s="768"/>
      <c r="D678" s="768"/>
      <c r="E678" s="768"/>
      <c r="F678" s="768"/>
      <c r="G678" s="768"/>
      <c r="H678" s="768"/>
      <c r="I678" s="768"/>
      <c r="J678" s="768"/>
      <c r="K678" s="768"/>
      <c r="L678" s="768"/>
      <c r="M678" s="768"/>
      <c r="N678" s="768"/>
      <c r="O678" s="768"/>
      <c r="P678" s="768"/>
      <c r="Q678" s="768"/>
      <c r="R678" s="768"/>
      <c r="S678" s="768"/>
      <c r="T678" s="768"/>
      <c r="U678" s="768"/>
      <c r="V678" s="768"/>
      <c r="W678" s="768"/>
      <c r="X678" s="768"/>
      <c r="Y678" s="768"/>
      <c r="Z678" s="768"/>
      <c r="AA678" s="768"/>
    </row>
    <row r="679" ht="30.0" customHeight="1">
      <c r="A679" s="768" t="str">
        <f t="array" ref="A679">XLOOKUP(C679,'High School Players'!D:D,'High School Players'!K:K,"NO",0,1)</f>
        <v>NO</v>
      </c>
      <c r="B679" s="768"/>
      <c r="C679" s="768"/>
      <c r="D679" s="768"/>
      <c r="E679" s="768"/>
      <c r="F679" s="768"/>
      <c r="G679" s="768"/>
      <c r="H679" s="768"/>
      <c r="I679" s="768"/>
      <c r="J679" s="768"/>
      <c r="K679" s="768"/>
      <c r="L679" s="768"/>
      <c r="M679" s="768"/>
      <c r="N679" s="768"/>
      <c r="O679" s="768"/>
      <c r="P679" s="768"/>
      <c r="Q679" s="768"/>
      <c r="R679" s="768"/>
      <c r="S679" s="768"/>
      <c r="T679" s="768"/>
      <c r="U679" s="768"/>
      <c r="V679" s="768"/>
      <c r="W679" s="768"/>
      <c r="X679" s="768"/>
      <c r="Y679" s="768"/>
      <c r="Z679" s="768"/>
      <c r="AA679" s="768"/>
    </row>
    <row r="680" ht="30.0" customHeight="1">
      <c r="A680" s="768" t="str">
        <f t="array" ref="A680">XLOOKUP(C680,'High School Players'!D:D,'High School Players'!K:K,"NO",0,1)</f>
        <v>NO</v>
      </c>
      <c r="B680" s="768"/>
      <c r="C680" s="768"/>
      <c r="D680" s="768"/>
      <c r="E680" s="768"/>
      <c r="F680" s="768"/>
      <c r="G680" s="768"/>
      <c r="H680" s="768"/>
      <c r="I680" s="768"/>
      <c r="J680" s="768"/>
      <c r="K680" s="768"/>
      <c r="L680" s="768"/>
      <c r="M680" s="768"/>
      <c r="N680" s="768"/>
      <c r="O680" s="768"/>
      <c r="P680" s="768"/>
      <c r="Q680" s="768"/>
      <c r="R680" s="768"/>
      <c r="S680" s="768"/>
      <c r="T680" s="768"/>
      <c r="U680" s="768"/>
      <c r="V680" s="768"/>
      <c r="W680" s="768"/>
      <c r="X680" s="768"/>
      <c r="Y680" s="768"/>
      <c r="Z680" s="768"/>
      <c r="AA680" s="768"/>
    </row>
    <row r="681" ht="30.0" customHeight="1">
      <c r="A681" s="768" t="str">
        <f t="array" ref="A681">XLOOKUP(C681,'High School Players'!D:D,'High School Players'!K:K,"NO",0,1)</f>
        <v>NO</v>
      </c>
      <c r="B681" s="768"/>
      <c r="C681" s="768"/>
      <c r="D681" s="768"/>
      <c r="E681" s="768"/>
      <c r="F681" s="768"/>
      <c r="G681" s="768"/>
      <c r="H681" s="768"/>
      <c r="I681" s="768"/>
      <c r="J681" s="768"/>
      <c r="K681" s="768"/>
      <c r="L681" s="768"/>
      <c r="M681" s="768"/>
      <c r="N681" s="768"/>
      <c r="O681" s="768"/>
      <c r="P681" s="768"/>
      <c r="Q681" s="768"/>
      <c r="R681" s="768"/>
      <c r="S681" s="768"/>
      <c r="T681" s="768"/>
      <c r="U681" s="768"/>
      <c r="V681" s="768"/>
      <c r="W681" s="768"/>
      <c r="X681" s="768"/>
      <c r="Y681" s="768"/>
      <c r="Z681" s="768"/>
      <c r="AA681" s="768"/>
    </row>
    <row r="682" ht="30.0" customHeight="1">
      <c r="A682" s="768" t="str">
        <f t="array" ref="A682">XLOOKUP(C682,'High School Players'!D:D,'High School Players'!K:K,"NO",0,1)</f>
        <v>NO</v>
      </c>
      <c r="B682" s="768"/>
      <c r="C682" s="768"/>
      <c r="D682" s="768"/>
      <c r="E682" s="768"/>
      <c r="F682" s="768"/>
      <c r="G682" s="768"/>
      <c r="H682" s="768"/>
      <c r="I682" s="768"/>
      <c r="J682" s="768"/>
      <c r="K682" s="768"/>
      <c r="L682" s="768"/>
      <c r="M682" s="768"/>
      <c r="N682" s="768"/>
      <c r="O682" s="768"/>
      <c r="P682" s="768"/>
      <c r="Q682" s="768"/>
      <c r="R682" s="768"/>
      <c r="S682" s="768"/>
      <c r="T682" s="768"/>
      <c r="U682" s="768"/>
      <c r="V682" s="768"/>
      <c r="W682" s="768"/>
      <c r="X682" s="768"/>
      <c r="Y682" s="768"/>
      <c r="Z682" s="768"/>
      <c r="AA682" s="768"/>
    </row>
    <row r="683" ht="30.0" customHeight="1">
      <c r="A683" s="768" t="str">
        <f t="array" ref="A683">XLOOKUP(C683,'High School Players'!D:D,'High School Players'!K:K,"NO",0,1)</f>
        <v>NO</v>
      </c>
      <c r="B683" s="768"/>
      <c r="C683" s="768"/>
      <c r="D683" s="768"/>
      <c r="E683" s="768"/>
      <c r="F683" s="768"/>
      <c r="G683" s="768"/>
      <c r="H683" s="768"/>
      <c r="I683" s="768"/>
      <c r="J683" s="768"/>
      <c r="K683" s="768"/>
      <c r="L683" s="768"/>
      <c r="M683" s="768"/>
      <c r="N683" s="768"/>
      <c r="O683" s="768"/>
      <c r="P683" s="768"/>
      <c r="Q683" s="768"/>
      <c r="R683" s="768"/>
      <c r="S683" s="768"/>
      <c r="T683" s="768"/>
      <c r="U683" s="768"/>
      <c r="V683" s="768"/>
      <c r="W683" s="768"/>
      <c r="X683" s="768"/>
      <c r="Y683" s="768"/>
      <c r="Z683" s="768"/>
      <c r="AA683" s="768"/>
    </row>
    <row r="684" ht="30.0" customHeight="1">
      <c r="A684" s="768" t="str">
        <f t="array" ref="A684">XLOOKUP(C684,'High School Players'!D:D,'High School Players'!K:K,"NO",0,1)</f>
        <v>NO</v>
      </c>
      <c r="B684" s="768"/>
      <c r="C684" s="768"/>
      <c r="D684" s="768"/>
      <c r="E684" s="768"/>
      <c r="F684" s="768"/>
      <c r="G684" s="768"/>
      <c r="H684" s="768"/>
      <c r="I684" s="768"/>
      <c r="J684" s="768"/>
      <c r="K684" s="768"/>
      <c r="L684" s="768"/>
      <c r="M684" s="768"/>
      <c r="N684" s="768"/>
      <c r="O684" s="768"/>
      <c r="P684" s="768"/>
      <c r="Q684" s="768"/>
      <c r="R684" s="768"/>
      <c r="S684" s="768"/>
      <c r="T684" s="768"/>
      <c r="U684" s="768"/>
      <c r="V684" s="768"/>
      <c r="W684" s="768"/>
      <c r="X684" s="768"/>
      <c r="Y684" s="768"/>
      <c r="Z684" s="768"/>
      <c r="AA684" s="768"/>
    </row>
    <row r="685" ht="30.0" customHeight="1">
      <c r="A685" s="768" t="str">
        <f t="array" ref="A685">XLOOKUP(C685,'High School Players'!D:D,'High School Players'!K:K,"NO",0,1)</f>
        <v>NO</v>
      </c>
      <c r="B685" s="768"/>
      <c r="C685" s="768"/>
      <c r="D685" s="768"/>
      <c r="E685" s="768"/>
      <c r="F685" s="768"/>
      <c r="G685" s="768"/>
      <c r="H685" s="768"/>
      <c r="I685" s="768"/>
      <c r="J685" s="768"/>
      <c r="K685" s="768"/>
      <c r="L685" s="768"/>
      <c r="M685" s="768"/>
      <c r="N685" s="768"/>
      <c r="O685" s="768"/>
      <c r="P685" s="768"/>
      <c r="Q685" s="768"/>
      <c r="R685" s="768"/>
      <c r="S685" s="768"/>
      <c r="T685" s="768"/>
      <c r="U685" s="768"/>
      <c r="V685" s="768"/>
      <c r="W685" s="768"/>
      <c r="X685" s="768"/>
      <c r="Y685" s="768"/>
      <c r="Z685" s="768"/>
      <c r="AA685" s="768"/>
    </row>
    <row r="686" ht="30.0" customHeight="1">
      <c r="A686" s="768" t="str">
        <f t="array" ref="A686">XLOOKUP(C686,'High School Players'!D:D,'High School Players'!K:K,"NO",0,1)</f>
        <v>NO</v>
      </c>
      <c r="B686" s="768"/>
      <c r="C686" s="768"/>
      <c r="D686" s="768"/>
      <c r="E686" s="768"/>
      <c r="F686" s="768"/>
      <c r="G686" s="768"/>
      <c r="H686" s="768"/>
      <c r="I686" s="768"/>
      <c r="J686" s="768"/>
      <c r="K686" s="768"/>
      <c r="L686" s="768"/>
      <c r="M686" s="768"/>
      <c r="N686" s="768"/>
      <c r="O686" s="768"/>
      <c r="P686" s="768"/>
      <c r="Q686" s="768"/>
      <c r="R686" s="768"/>
      <c r="S686" s="768"/>
      <c r="T686" s="768"/>
      <c r="U686" s="768"/>
      <c r="V686" s="768"/>
      <c r="W686" s="768"/>
      <c r="X686" s="768"/>
      <c r="Y686" s="768"/>
      <c r="Z686" s="768"/>
      <c r="AA686" s="768"/>
    </row>
    <row r="687" ht="30.0" customHeight="1">
      <c r="A687" s="768" t="str">
        <f t="array" ref="A687">XLOOKUP(C687,'High School Players'!D:D,'High School Players'!K:K,"NO",0,1)</f>
        <v>NO</v>
      </c>
      <c r="B687" s="768"/>
      <c r="C687" s="768"/>
      <c r="D687" s="768"/>
      <c r="E687" s="768"/>
      <c r="F687" s="768"/>
      <c r="G687" s="768"/>
      <c r="H687" s="768"/>
      <c r="I687" s="768"/>
      <c r="J687" s="768"/>
      <c r="K687" s="768"/>
      <c r="L687" s="768"/>
      <c r="M687" s="768"/>
      <c r="N687" s="768"/>
      <c r="O687" s="768"/>
      <c r="P687" s="768"/>
      <c r="Q687" s="768"/>
      <c r="R687" s="768"/>
      <c r="S687" s="768"/>
      <c r="T687" s="768"/>
      <c r="U687" s="768"/>
      <c r="V687" s="768"/>
      <c r="W687" s="768"/>
      <c r="X687" s="768"/>
      <c r="Y687" s="768"/>
      <c r="Z687" s="768"/>
      <c r="AA687" s="768"/>
    </row>
    <row r="688" ht="30.0" customHeight="1">
      <c r="A688" s="768" t="str">
        <f t="array" ref="A688">XLOOKUP(C688,'High School Players'!D:D,'High School Players'!K:K,"NO",0,1)</f>
        <v>NO</v>
      </c>
      <c r="B688" s="768"/>
      <c r="C688" s="768"/>
      <c r="D688" s="768"/>
      <c r="E688" s="768"/>
      <c r="F688" s="768"/>
      <c r="G688" s="768"/>
      <c r="H688" s="768"/>
      <c r="I688" s="768"/>
      <c r="J688" s="768"/>
      <c r="K688" s="768"/>
      <c r="L688" s="768"/>
      <c r="M688" s="768"/>
      <c r="N688" s="768"/>
      <c r="O688" s="768"/>
      <c r="P688" s="768"/>
      <c r="Q688" s="768"/>
      <c r="R688" s="768"/>
      <c r="S688" s="768"/>
      <c r="T688" s="768"/>
      <c r="U688" s="768"/>
      <c r="V688" s="768"/>
      <c r="W688" s="768"/>
      <c r="X688" s="768"/>
      <c r="Y688" s="768"/>
      <c r="Z688" s="768"/>
      <c r="AA688" s="768"/>
    </row>
    <row r="689" ht="30.0" customHeight="1">
      <c r="A689" s="768" t="str">
        <f t="array" ref="A689">XLOOKUP(C689,'High School Players'!D:D,'High School Players'!K:K,"NO",0,1)</f>
        <v>NO</v>
      </c>
      <c r="B689" s="768"/>
      <c r="C689" s="768"/>
      <c r="D689" s="768"/>
      <c r="E689" s="768"/>
      <c r="F689" s="768"/>
      <c r="G689" s="768"/>
      <c r="H689" s="768"/>
      <c r="I689" s="768"/>
      <c r="J689" s="768"/>
      <c r="K689" s="768"/>
      <c r="L689" s="768"/>
      <c r="M689" s="768"/>
      <c r="N689" s="768"/>
      <c r="O689" s="768"/>
      <c r="P689" s="768"/>
      <c r="Q689" s="768"/>
      <c r="R689" s="768"/>
      <c r="S689" s="768"/>
      <c r="T689" s="768"/>
      <c r="U689" s="768"/>
      <c r="V689" s="768"/>
      <c r="W689" s="768"/>
      <c r="X689" s="768"/>
      <c r="Y689" s="768"/>
      <c r="Z689" s="768"/>
      <c r="AA689" s="768"/>
    </row>
    <row r="690" ht="30.0" customHeight="1">
      <c r="A690" s="768" t="str">
        <f t="array" ref="A690">XLOOKUP(C690,'High School Players'!D:D,'High School Players'!K:K,"NO",0,1)</f>
        <v>NO</v>
      </c>
      <c r="B690" s="768"/>
      <c r="C690" s="768"/>
      <c r="D690" s="768"/>
      <c r="E690" s="768"/>
      <c r="F690" s="768"/>
      <c r="G690" s="768"/>
      <c r="H690" s="768"/>
      <c r="I690" s="768"/>
      <c r="J690" s="768"/>
      <c r="K690" s="768"/>
      <c r="L690" s="768"/>
      <c r="M690" s="768"/>
      <c r="N690" s="768"/>
      <c r="O690" s="768"/>
      <c r="P690" s="768"/>
      <c r="Q690" s="768"/>
      <c r="R690" s="768"/>
      <c r="S690" s="768"/>
      <c r="T690" s="768"/>
      <c r="U690" s="768"/>
      <c r="V690" s="768"/>
      <c r="W690" s="768"/>
      <c r="X690" s="768"/>
      <c r="Y690" s="768"/>
      <c r="Z690" s="768"/>
      <c r="AA690" s="768"/>
    </row>
    <row r="691" ht="30.0" customHeight="1">
      <c r="A691" s="768" t="str">
        <f t="array" ref="A691">XLOOKUP(C691,'High School Players'!D:D,'High School Players'!K:K,"NO",0,1)</f>
        <v>NO</v>
      </c>
      <c r="B691" s="768"/>
      <c r="C691" s="768"/>
      <c r="D691" s="768"/>
      <c r="E691" s="768"/>
      <c r="F691" s="768"/>
      <c r="G691" s="768"/>
      <c r="H691" s="768"/>
      <c r="I691" s="768"/>
      <c r="J691" s="768"/>
      <c r="K691" s="768"/>
      <c r="L691" s="768"/>
      <c r="M691" s="768"/>
      <c r="N691" s="768"/>
      <c r="O691" s="768"/>
      <c r="P691" s="768"/>
      <c r="Q691" s="768"/>
      <c r="R691" s="768"/>
      <c r="S691" s="768"/>
      <c r="T691" s="768"/>
      <c r="U691" s="768"/>
      <c r="V691" s="768"/>
      <c r="W691" s="768"/>
      <c r="X691" s="768"/>
      <c r="Y691" s="768"/>
      <c r="Z691" s="768"/>
      <c r="AA691" s="768"/>
    </row>
    <row r="692" ht="30.0" customHeight="1">
      <c r="A692" s="768" t="str">
        <f t="array" ref="A692">XLOOKUP(C692,'High School Players'!D:D,'High School Players'!K:K,"NO",0,1)</f>
        <v>NO</v>
      </c>
      <c r="B692" s="768"/>
      <c r="C692" s="768"/>
      <c r="D692" s="768"/>
      <c r="E692" s="768"/>
      <c r="F692" s="768"/>
      <c r="G692" s="768"/>
      <c r="H692" s="768"/>
      <c r="I692" s="768"/>
      <c r="J692" s="768"/>
      <c r="K692" s="768"/>
      <c r="L692" s="768"/>
      <c r="M692" s="768"/>
      <c r="N692" s="768"/>
      <c r="O692" s="768"/>
      <c r="P692" s="768"/>
      <c r="Q692" s="768"/>
      <c r="R692" s="768"/>
      <c r="S692" s="768"/>
      <c r="T692" s="768"/>
      <c r="U692" s="768"/>
      <c r="V692" s="768"/>
      <c r="W692" s="768"/>
      <c r="X692" s="768"/>
      <c r="Y692" s="768"/>
      <c r="Z692" s="768"/>
      <c r="AA692" s="768"/>
    </row>
    <row r="693" ht="30.0" customHeight="1">
      <c r="A693" s="768" t="str">
        <f t="array" ref="A693">XLOOKUP(C693,'High School Players'!D:D,'High School Players'!K:K,"NO",0,1)</f>
        <v>NO</v>
      </c>
      <c r="B693" s="768"/>
      <c r="C693" s="768"/>
      <c r="D693" s="768"/>
      <c r="E693" s="768"/>
      <c r="F693" s="768"/>
      <c r="G693" s="768"/>
      <c r="H693" s="768"/>
      <c r="I693" s="768"/>
      <c r="J693" s="768"/>
      <c r="K693" s="768"/>
      <c r="L693" s="768"/>
      <c r="M693" s="768"/>
      <c r="N693" s="768"/>
      <c r="O693" s="768"/>
      <c r="P693" s="768"/>
      <c r="Q693" s="768"/>
      <c r="R693" s="768"/>
      <c r="S693" s="768"/>
      <c r="T693" s="768"/>
      <c r="U693" s="768"/>
      <c r="V693" s="768"/>
      <c r="W693" s="768"/>
      <c r="X693" s="768"/>
      <c r="Y693" s="768"/>
      <c r="Z693" s="768"/>
      <c r="AA693" s="768"/>
    </row>
    <row r="694" ht="30.0" customHeight="1">
      <c r="A694" s="768" t="str">
        <f t="array" ref="A694">XLOOKUP(C694,'High School Players'!D:D,'High School Players'!K:K,"NO",0,1)</f>
        <v>NO</v>
      </c>
      <c r="B694" s="768"/>
      <c r="C694" s="768"/>
      <c r="D694" s="768"/>
      <c r="E694" s="768"/>
      <c r="F694" s="768"/>
      <c r="G694" s="768"/>
      <c r="H694" s="768"/>
      <c r="I694" s="768"/>
      <c r="J694" s="768"/>
      <c r="K694" s="768"/>
      <c r="L694" s="768"/>
      <c r="M694" s="768"/>
      <c r="N694" s="768"/>
      <c r="O694" s="768"/>
      <c r="P694" s="768"/>
      <c r="Q694" s="768"/>
      <c r="R694" s="768"/>
      <c r="S694" s="768"/>
      <c r="T694" s="768"/>
      <c r="U694" s="768"/>
      <c r="V694" s="768"/>
      <c r="W694" s="768"/>
      <c r="X694" s="768"/>
      <c r="Y694" s="768"/>
      <c r="Z694" s="768"/>
      <c r="AA694" s="768"/>
    </row>
    <row r="695" ht="30.0" customHeight="1">
      <c r="A695" s="768" t="str">
        <f t="array" ref="A695">XLOOKUP(C695,'High School Players'!D:D,'High School Players'!K:K,"NO",0,1)</f>
        <v>NO</v>
      </c>
      <c r="B695" s="768"/>
      <c r="C695" s="768"/>
      <c r="D695" s="768"/>
      <c r="E695" s="768"/>
      <c r="F695" s="768"/>
      <c r="G695" s="768"/>
      <c r="H695" s="768"/>
      <c r="I695" s="768"/>
      <c r="J695" s="768"/>
      <c r="K695" s="768"/>
      <c r="L695" s="768"/>
      <c r="M695" s="768"/>
      <c r="N695" s="768"/>
      <c r="O695" s="768"/>
      <c r="P695" s="768"/>
      <c r="Q695" s="768"/>
      <c r="R695" s="768"/>
      <c r="S695" s="768"/>
      <c r="T695" s="768"/>
      <c r="U695" s="768"/>
      <c r="V695" s="768"/>
      <c r="W695" s="768"/>
      <c r="X695" s="768"/>
      <c r="Y695" s="768"/>
      <c r="Z695" s="768"/>
      <c r="AA695" s="768"/>
    </row>
    <row r="696" ht="30.0" customHeight="1">
      <c r="A696" s="768" t="str">
        <f t="array" ref="A696">XLOOKUP(C696,'High School Players'!D:D,'High School Players'!K:K,"NO",0,1)</f>
        <v>NO</v>
      </c>
      <c r="B696" s="768"/>
      <c r="C696" s="768"/>
      <c r="D696" s="768"/>
      <c r="E696" s="768"/>
      <c r="F696" s="768"/>
      <c r="G696" s="768"/>
      <c r="H696" s="768"/>
      <c r="I696" s="768"/>
      <c r="J696" s="768"/>
      <c r="K696" s="768"/>
      <c r="L696" s="768"/>
      <c r="M696" s="768"/>
      <c r="N696" s="768"/>
      <c r="O696" s="768"/>
      <c r="P696" s="768"/>
      <c r="Q696" s="768"/>
      <c r="R696" s="768"/>
      <c r="S696" s="768"/>
      <c r="T696" s="768"/>
      <c r="U696" s="768"/>
      <c r="V696" s="768"/>
      <c r="W696" s="768"/>
      <c r="X696" s="768"/>
      <c r="Y696" s="768"/>
      <c r="Z696" s="768"/>
      <c r="AA696" s="768"/>
    </row>
    <row r="697" ht="30.0" customHeight="1">
      <c r="A697" s="768" t="str">
        <f t="array" ref="A697">XLOOKUP(C697,'High School Players'!D:D,'High School Players'!K:K,"NO",0,1)</f>
        <v>NO</v>
      </c>
      <c r="B697" s="768"/>
      <c r="C697" s="768"/>
      <c r="D697" s="768"/>
      <c r="E697" s="768"/>
      <c r="F697" s="768"/>
      <c r="G697" s="768"/>
      <c r="H697" s="768"/>
      <c r="I697" s="768"/>
      <c r="J697" s="768"/>
      <c r="K697" s="768"/>
      <c r="L697" s="768"/>
      <c r="M697" s="768"/>
      <c r="N697" s="768"/>
      <c r="O697" s="768"/>
      <c r="P697" s="768"/>
      <c r="Q697" s="768"/>
      <c r="R697" s="768"/>
      <c r="S697" s="768"/>
      <c r="T697" s="768"/>
      <c r="U697" s="768"/>
      <c r="V697" s="768"/>
      <c r="W697" s="768"/>
      <c r="X697" s="768"/>
      <c r="Y697" s="768"/>
      <c r="Z697" s="768"/>
      <c r="AA697" s="768"/>
    </row>
    <row r="698" ht="30.0" customHeight="1">
      <c r="A698" s="768" t="str">
        <f t="array" ref="A698">XLOOKUP(C698,'High School Players'!D:D,'High School Players'!K:K,"NO",0,1)</f>
        <v>NO</v>
      </c>
      <c r="B698" s="768"/>
      <c r="C698" s="768"/>
      <c r="D698" s="768"/>
      <c r="E698" s="768"/>
      <c r="F698" s="768"/>
      <c r="G698" s="768"/>
      <c r="H698" s="768"/>
      <c r="I698" s="768"/>
      <c r="J698" s="768"/>
      <c r="K698" s="768"/>
      <c r="L698" s="768"/>
      <c r="M698" s="768"/>
      <c r="N698" s="768"/>
      <c r="O698" s="768"/>
      <c r="P698" s="768"/>
      <c r="Q698" s="768"/>
      <c r="R698" s="768"/>
      <c r="S698" s="768"/>
      <c r="T698" s="768"/>
      <c r="U698" s="768"/>
      <c r="V698" s="768"/>
      <c r="W698" s="768"/>
      <c r="X698" s="768"/>
      <c r="Y698" s="768"/>
      <c r="Z698" s="768"/>
      <c r="AA698" s="768"/>
    </row>
    <row r="699" ht="30.0" customHeight="1">
      <c r="A699" s="768" t="str">
        <f t="array" ref="A699">XLOOKUP(C699,'High School Players'!D:D,'High School Players'!K:K,"NO",0,1)</f>
        <v>NO</v>
      </c>
      <c r="B699" s="768"/>
      <c r="C699" s="768"/>
      <c r="D699" s="768"/>
      <c r="E699" s="768"/>
      <c r="F699" s="768"/>
      <c r="G699" s="768"/>
      <c r="H699" s="768"/>
      <c r="I699" s="768"/>
      <c r="J699" s="768"/>
      <c r="K699" s="768"/>
      <c r="L699" s="768"/>
      <c r="M699" s="768"/>
      <c r="N699" s="768"/>
      <c r="O699" s="768"/>
      <c r="P699" s="768"/>
      <c r="Q699" s="768"/>
      <c r="R699" s="768"/>
      <c r="S699" s="768"/>
      <c r="T699" s="768"/>
      <c r="U699" s="768"/>
      <c r="V699" s="768"/>
      <c r="W699" s="768"/>
      <c r="X699" s="768"/>
      <c r="Y699" s="768"/>
      <c r="Z699" s="768"/>
      <c r="AA699" s="768"/>
    </row>
    <row r="700" ht="30.0" customHeight="1">
      <c r="A700" s="768" t="str">
        <f t="array" ref="A700">XLOOKUP(C700,'High School Players'!D:D,'High School Players'!K:K,"NO",0,1)</f>
        <v>NO</v>
      </c>
      <c r="B700" s="768"/>
      <c r="C700" s="768"/>
      <c r="D700" s="768"/>
      <c r="E700" s="768"/>
      <c r="F700" s="768"/>
      <c r="G700" s="768"/>
      <c r="H700" s="768"/>
      <c r="I700" s="768"/>
      <c r="J700" s="768"/>
      <c r="K700" s="768"/>
      <c r="L700" s="768"/>
      <c r="M700" s="768"/>
      <c r="N700" s="768"/>
      <c r="O700" s="768"/>
      <c r="P700" s="768"/>
      <c r="Q700" s="768"/>
      <c r="R700" s="768"/>
      <c r="S700" s="768"/>
      <c r="T700" s="768"/>
      <c r="U700" s="768"/>
      <c r="V700" s="768"/>
      <c r="W700" s="768"/>
      <c r="X700" s="768"/>
      <c r="Y700" s="768"/>
      <c r="Z700" s="768"/>
      <c r="AA700" s="768"/>
    </row>
    <row r="701" ht="30.0" customHeight="1">
      <c r="A701" s="768" t="str">
        <f t="array" ref="A701">XLOOKUP(C701,'High School Players'!D:D,'High School Players'!K:K,"NO",0,1)</f>
        <v>NO</v>
      </c>
      <c r="B701" s="768"/>
      <c r="C701" s="768"/>
      <c r="D701" s="768"/>
      <c r="E701" s="768"/>
      <c r="F701" s="768"/>
      <c r="G701" s="768"/>
      <c r="H701" s="768"/>
      <c r="I701" s="768"/>
      <c r="J701" s="768"/>
      <c r="K701" s="768"/>
      <c r="L701" s="768"/>
      <c r="M701" s="768"/>
      <c r="N701" s="768"/>
      <c r="O701" s="768"/>
      <c r="P701" s="768"/>
      <c r="Q701" s="768"/>
      <c r="R701" s="768"/>
      <c r="S701" s="768"/>
      <c r="T701" s="768"/>
      <c r="U701" s="768"/>
      <c r="V701" s="768"/>
      <c r="W701" s="768"/>
      <c r="X701" s="768"/>
      <c r="Y701" s="768"/>
      <c r="Z701" s="768"/>
      <c r="AA701" s="768"/>
    </row>
    <row r="702" ht="30.0" customHeight="1">
      <c r="A702" s="768" t="str">
        <f t="array" ref="A702">XLOOKUP(C702,'High School Players'!D:D,'High School Players'!K:K,"NO",0,1)</f>
        <v>NO</v>
      </c>
      <c r="B702" s="768"/>
      <c r="C702" s="768"/>
      <c r="D702" s="768"/>
      <c r="E702" s="768"/>
      <c r="F702" s="768"/>
      <c r="G702" s="768"/>
      <c r="H702" s="768"/>
      <c r="I702" s="768"/>
      <c r="J702" s="768"/>
      <c r="K702" s="768"/>
      <c r="L702" s="768"/>
      <c r="M702" s="768"/>
      <c r="N702" s="768"/>
      <c r="O702" s="768"/>
      <c r="P702" s="768"/>
      <c r="Q702" s="768"/>
      <c r="R702" s="768"/>
      <c r="S702" s="768"/>
      <c r="T702" s="768"/>
      <c r="U702" s="768"/>
      <c r="V702" s="768"/>
      <c r="W702" s="768"/>
      <c r="X702" s="768"/>
      <c r="Y702" s="768"/>
      <c r="Z702" s="768"/>
      <c r="AA702" s="768"/>
    </row>
    <row r="703" ht="30.0" customHeight="1">
      <c r="A703" s="768" t="str">
        <f t="array" ref="A703">XLOOKUP(C703,'High School Players'!D:D,'High School Players'!K:K,"NO",0,1)</f>
        <v>NO</v>
      </c>
      <c r="B703" s="768"/>
      <c r="C703" s="768"/>
      <c r="D703" s="768"/>
      <c r="E703" s="768"/>
      <c r="F703" s="768"/>
      <c r="G703" s="768"/>
      <c r="H703" s="768"/>
      <c r="I703" s="768"/>
      <c r="J703" s="768"/>
      <c r="K703" s="768"/>
      <c r="L703" s="768"/>
      <c r="M703" s="768"/>
      <c r="N703" s="768"/>
      <c r="O703" s="768"/>
      <c r="P703" s="768"/>
      <c r="Q703" s="768"/>
      <c r="R703" s="768"/>
      <c r="S703" s="768"/>
      <c r="T703" s="768"/>
      <c r="U703" s="768"/>
      <c r="V703" s="768"/>
      <c r="W703" s="768"/>
      <c r="X703" s="768"/>
      <c r="Y703" s="768"/>
      <c r="Z703" s="768"/>
      <c r="AA703" s="768"/>
    </row>
    <row r="704" ht="30.0" customHeight="1">
      <c r="A704" s="768" t="str">
        <f t="array" ref="A704">XLOOKUP(C704,'High School Players'!D:D,'High School Players'!K:K,"NO",0,1)</f>
        <v>NO</v>
      </c>
      <c r="B704" s="768"/>
      <c r="C704" s="768"/>
      <c r="D704" s="768"/>
      <c r="E704" s="768"/>
      <c r="F704" s="768"/>
      <c r="G704" s="768"/>
      <c r="H704" s="768"/>
      <c r="I704" s="768"/>
      <c r="J704" s="768"/>
      <c r="K704" s="768"/>
      <c r="L704" s="768"/>
      <c r="M704" s="768"/>
      <c r="N704" s="768"/>
      <c r="O704" s="768"/>
      <c r="P704" s="768"/>
      <c r="Q704" s="768"/>
      <c r="R704" s="768"/>
      <c r="S704" s="768"/>
      <c r="T704" s="768"/>
      <c r="U704" s="768"/>
      <c r="V704" s="768"/>
      <c r="W704" s="768"/>
      <c r="X704" s="768"/>
      <c r="Y704" s="768"/>
      <c r="Z704" s="768"/>
      <c r="AA704" s="768"/>
    </row>
    <row r="705" ht="30.0" customHeight="1">
      <c r="A705" s="768" t="str">
        <f t="array" ref="A705">XLOOKUP(C705,'High School Players'!D:D,'High School Players'!K:K,"NO",0,1)</f>
        <v>NO</v>
      </c>
      <c r="B705" s="768"/>
      <c r="C705" s="768"/>
      <c r="D705" s="768"/>
      <c r="E705" s="768"/>
      <c r="F705" s="768"/>
      <c r="G705" s="768"/>
      <c r="H705" s="768"/>
      <c r="I705" s="768"/>
      <c r="J705" s="768"/>
      <c r="K705" s="768"/>
      <c r="L705" s="768"/>
      <c r="M705" s="768"/>
      <c r="N705" s="768"/>
      <c r="O705" s="768"/>
      <c r="P705" s="768"/>
      <c r="Q705" s="768"/>
      <c r="R705" s="768"/>
      <c r="S705" s="768"/>
      <c r="T705" s="768"/>
      <c r="U705" s="768"/>
      <c r="V705" s="768"/>
      <c r="W705" s="768"/>
      <c r="X705" s="768"/>
      <c r="Y705" s="768"/>
      <c r="Z705" s="768"/>
      <c r="AA705" s="768"/>
    </row>
    <row r="706" ht="30.0" customHeight="1">
      <c r="A706" s="768" t="str">
        <f t="array" ref="A706">XLOOKUP(C706,'High School Players'!D:D,'High School Players'!K:K,"NO",0,1)</f>
        <v>NO</v>
      </c>
      <c r="B706" s="768"/>
      <c r="C706" s="768"/>
      <c r="D706" s="768"/>
      <c r="E706" s="768"/>
      <c r="F706" s="768"/>
      <c r="G706" s="768"/>
      <c r="H706" s="768"/>
      <c r="I706" s="768"/>
      <c r="J706" s="768"/>
      <c r="K706" s="768"/>
      <c r="L706" s="768"/>
      <c r="M706" s="768"/>
      <c r="N706" s="768"/>
      <c r="O706" s="768"/>
      <c r="P706" s="768"/>
      <c r="Q706" s="768"/>
      <c r="R706" s="768"/>
      <c r="S706" s="768"/>
      <c r="T706" s="768"/>
      <c r="U706" s="768"/>
      <c r="V706" s="768"/>
      <c r="W706" s="768"/>
      <c r="X706" s="768"/>
      <c r="Y706" s="768"/>
      <c r="Z706" s="768"/>
      <c r="AA706" s="768"/>
    </row>
    <row r="707" ht="30.0" customHeight="1">
      <c r="A707" s="768" t="str">
        <f t="array" ref="A707">XLOOKUP(C707,'High School Players'!D:D,'High School Players'!K:K,"NO",0,1)</f>
        <v>NO</v>
      </c>
      <c r="B707" s="768"/>
      <c r="C707" s="768"/>
      <c r="D707" s="768"/>
      <c r="E707" s="768"/>
      <c r="F707" s="768"/>
      <c r="G707" s="768"/>
      <c r="H707" s="768"/>
      <c r="I707" s="768"/>
      <c r="J707" s="768"/>
      <c r="K707" s="768"/>
      <c r="L707" s="768"/>
      <c r="M707" s="768"/>
      <c r="N707" s="768"/>
      <c r="O707" s="768"/>
      <c r="P707" s="768"/>
      <c r="Q707" s="768"/>
      <c r="R707" s="768"/>
      <c r="S707" s="768"/>
      <c r="T707" s="768"/>
      <c r="U707" s="768"/>
      <c r="V707" s="768"/>
      <c r="W707" s="768"/>
      <c r="X707" s="768"/>
      <c r="Y707" s="768"/>
      <c r="Z707" s="768"/>
      <c r="AA707" s="768"/>
    </row>
    <row r="708" ht="30.0" customHeight="1">
      <c r="A708" s="768" t="str">
        <f t="array" ref="A708">XLOOKUP(C708,'High School Players'!D:D,'High School Players'!K:K,"NO",0,1)</f>
        <v>NO</v>
      </c>
      <c r="B708" s="768"/>
      <c r="C708" s="768"/>
      <c r="D708" s="768"/>
      <c r="E708" s="768"/>
      <c r="F708" s="768"/>
      <c r="G708" s="768"/>
      <c r="H708" s="768"/>
      <c r="I708" s="768"/>
      <c r="J708" s="768"/>
      <c r="K708" s="768"/>
      <c r="L708" s="768"/>
      <c r="M708" s="768"/>
      <c r="N708" s="768"/>
      <c r="O708" s="768"/>
      <c r="P708" s="768"/>
      <c r="Q708" s="768"/>
      <c r="R708" s="768"/>
      <c r="S708" s="768"/>
      <c r="T708" s="768"/>
      <c r="U708" s="768"/>
      <c r="V708" s="768"/>
      <c r="W708" s="768"/>
      <c r="X708" s="768"/>
      <c r="Y708" s="768"/>
      <c r="Z708" s="768"/>
      <c r="AA708" s="768"/>
    </row>
    <row r="709" ht="30.0" customHeight="1">
      <c r="A709" s="768" t="str">
        <f t="array" ref="A709">XLOOKUP(C709,'High School Players'!D:D,'High School Players'!K:K,"NO",0,1)</f>
        <v>NO</v>
      </c>
      <c r="B709" s="768"/>
      <c r="C709" s="768"/>
      <c r="D709" s="768"/>
      <c r="E709" s="768"/>
      <c r="F709" s="768"/>
      <c r="G709" s="768"/>
      <c r="H709" s="768"/>
      <c r="I709" s="768"/>
      <c r="J709" s="768"/>
      <c r="K709" s="768"/>
      <c r="L709" s="768"/>
      <c r="M709" s="768"/>
      <c r="N709" s="768"/>
      <c r="O709" s="768"/>
      <c r="P709" s="768"/>
      <c r="Q709" s="768"/>
      <c r="R709" s="768"/>
      <c r="S709" s="768"/>
      <c r="T709" s="768"/>
      <c r="U709" s="768"/>
      <c r="V709" s="768"/>
      <c r="W709" s="768"/>
      <c r="X709" s="768"/>
      <c r="Y709" s="768"/>
      <c r="Z709" s="768"/>
      <c r="AA709" s="768"/>
    </row>
    <row r="710" ht="30.0" customHeight="1">
      <c r="A710" s="768" t="str">
        <f t="array" ref="A710">XLOOKUP(C710,'High School Players'!D:D,'High School Players'!K:K,"NO",0,1)</f>
        <v>NO</v>
      </c>
      <c r="B710" s="768"/>
      <c r="C710" s="768"/>
      <c r="D710" s="768"/>
      <c r="E710" s="768"/>
      <c r="F710" s="768"/>
      <c r="G710" s="768"/>
      <c r="H710" s="768"/>
      <c r="I710" s="768"/>
      <c r="J710" s="768"/>
      <c r="K710" s="768"/>
      <c r="L710" s="768"/>
      <c r="M710" s="768"/>
      <c r="N710" s="768"/>
      <c r="O710" s="768"/>
      <c r="P710" s="768"/>
      <c r="Q710" s="768"/>
      <c r="R710" s="768"/>
      <c r="S710" s="768"/>
      <c r="T710" s="768"/>
      <c r="U710" s="768"/>
      <c r="V710" s="768"/>
      <c r="W710" s="768"/>
      <c r="X710" s="768"/>
      <c r="Y710" s="768"/>
      <c r="Z710" s="768"/>
      <c r="AA710" s="768"/>
    </row>
    <row r="711" ht="30.0" customHeight="1">
      <c r="A711" s="768" t="str">
        <f t="array" ref="A711">XLOOKUP(C711,'High School Players'!D:D,'High School Players'!K:K,"NO",0,1)</f>
        <v>NO</v>
      </c>
      <c r="B711" s="768"/>
      <c r="C711" s="768"/>
      <c r="D711" s="768"/>
      <c r="E711" s="768"/>
      <c r="F711" s="768"/>
      <c r="G711" s="768"/>
      <c r="H711" s="768"/>
      <c r="I711" s="768"/>
      <c r="J711" s="768"/>
      <c r="K711" s="768"/>
      <c r="L711" s="768"/>
      <c r="M711" s="768"/>
      <c r="N711" s="768"/>
      <c r="O711" s="768"/>
      <c r="P711" s="768"/>
      <c r="Q711" s="768"/>
      <c r="R711" s="768"/>
      <c r="S711" s="768"/>
      <c r="T711" s="768"/>
      <c r="U711" s="768"/>
      <c r="V711" s="768"/>
      <c r="W711" s="768"/>
      <c r="X711" s="768"/>
      <c r="Y711" s="768"/>
      <c r="Z711" s="768"/>
      <c r="AA711" s="768"/>
    </row>
    <row r="712" ht="30.0" customHeight="1">
      <c r="A712" s="768" t="str">
        <f t="array" ref="A712">XLOOKUP(C712,'High School Players'!D:D,'High School Players'!K:K,"NO",0,1)</f>
        <v>NO</v>
      </c>
      <c r="B712" s="768"/>
      <c r="C712" s="768"/>
      <c r="D712" s="768"/>
      <c r="E712" s="768"/>
      <c r="F712" s="768"/>
      <c r="G712" s="768"/>
      <c r="H712" s="768"/>
      <c r="I712" s="768"/>
      <c r="J712" s="768"/>
      <c r="K712" s="768"/>
      <c r="L712" s="768"/>
      <c r="M712" s="768"/>
      <c r="N712" s="768"/>
      <c r="O712" s="768"/>
      <c r="P712" s="768"/>
      <c r="Q712" s="768"/>
      <c r="R712" s="768"/>
      <c r="S712" s="768"/>
      <c r="T712" s="768"/>
      <c r="U712" s="768"/>
      <c r="V712" s="768"/>
      <c r="W712" s="768"/>
      <c r="X712" s="768"/>
      <c r="Y712" s="768"/>
      <c r="Z712" s="768"/>
      <c r="AA712" s="768"/>
    </row>
    <row r="713" ht="30.0" customHeight="1">
      <c r="A713" s="768" t="str">
        <f t="array" ref="A713">XLOOKUP(C713,'High School Players'!D:D,'High School Players'!K:K,"NO",0,1)</f>
        <v>NO</v>
      </c>
      <c r="B713" s="768"/>
      <c r="C713" s="768"/>
      <c r="D713" s="768"/>
      <c r="E713" s="768"/>
      <c r="F713" s="768"/>
      <c r="G713" s="768"/>
      <c r="H713" s="768"/>
      <c r="I713" s="768"/>
      <c r="J713" s="768"/>
      <c r="K713" s="768"/>
      <c r="L713" s="768"/>
      <c r="M713" s="768"/>
      <c r="N713" s="768"/>
      <c r="O713" s="768"/>
      <c r="P713" s="768"/>
      <c r="Q713" s="768"/>
      <c r="R713" s="768"/>
      <c r="S713" s="768"/>
      <c r="T713" s="768"/>
      <c r="U713" s="768"/>
      <c r="V713" s="768"/>
      <c r="W713" s="768"/>
      <c r="X713" s="768"/>
      <c r="Y713" s="768"/>
      <c r="Z713" s="768"/>
      <c r="AA713" s="768"/>
    </row>
    <row r="714" ht="30.0" customHeight="1">
      <c r="A714" s="768" t="str">
        <f t="array" ref="A714">XLOOKUP(C714,'High School Players'!D:D,'High School Players'!K:K,"NO",0,1)</f>
        <v>NO</v>
      </c>
      <c r="B714" s="768"/>
      <c r="C714" s="768"/>
      <c r="D714" s="768"/>
      <c r="E714" s="768"/>
      <c r="F714" s="768"/>
      <c r="G714" s="768"/>
      <c r="H714" s="768"/>
      <c r="I714" s="768"/>
      <c r="J714" s="768"/>
      <c r="K714" s="768"/>
      <c r="L714" s="768"/>
      <c r="M714" s="768"/>
      <c r="N714" s="768"/>
      <c r="O714" s="768"/>
      <c r="P714" s="768"/>
      <c r="Q714" s="768"/>
      <c r="R714" s="768"/>
      <c r="S714" s="768"/>
      <c r="T714" s="768"/>
      <c r="U714" s="768"/>
      <c r="V714" s="768"/>
      <c r="W714" s="768"/>
      <c r="X714" s="768"/>
      <c r="Y714" s="768"/>
      <c r="Z714" s="768"/>
      <c r="AA714" s="768"/>
    </row>
    <row r="715" ht="30.0" customHeight="1">
      <c r="A715" s="768" t="str">
        <f t="array" ref="A715">XLOOKUP(C715,'High School Players'!D:D,'High School Players'!K:K,"NO",0,1)</f>
        <v>NO</v>
      </c>
      <c r="B715" s="768"/>
      <c r="C715" s="768"/>
      <c r="D715" s="768"/>
      <c r="E715" s="768"/>
      <c r="F715" s="768"/>
      <c r="G715" s="768"/>
      <c r="H715" s="768"/>
      <c r="I715" s="768"/>
      <c r="J715" s="768"/>
      <c r="K715" s="768"/>
      <c r="L715" s="768"/>
      <c r="M715" s="768"/>
      <c r="N715" s="768"/>
      <c r="O715" s="768"/>
      <c r="P715" s="768"/>
      <c r="Q715" s="768"/>
      <c r="R715" s="768"/>
      <c r="S715" s="768"/>
      <c r="T715" s="768"/>
      <c r="U715" s="768"/>
      <c r="V715" s="768"/>
      <c r="W715" s="768"/>
      <c r="X715" s="768"/>
      <c r="Y715" s="768"/>
      <c r="Z715" s="768"/>
      <c r="AA715" s="768"/>
    </row>
    <row r="716" ht="30.0" customHeight="1">
      <c r="A716" s="768" t="str">
        <f t="array" ref="A716">XLOOKUP(C716,'High School Players'!D:D,'High School Players'!K:K,"NO",0,1)</f>
        <v>NO</v>
      </c>
      <c r="B716" s="768"/>
      <c r="C716" s="768"/>
      <c r="D716" s="768"/>
      <c r="E716" s="768"/>
      <c r="F716" s="768"/>
      <c r="G716" s="768"/>
      <c r="H716" s="768"/>
      <c r="I716" s="768"/>
      <c r="J716" s="768"/>
      <c r="K716" s="768"/>
      <c r="L716" s="768"/>
      <c r="M716" s="768"/>
      <c r="N716" s="768"/>
      <c r="O716" s="768"/>
      <c r="P716" s="768"/>
      <c r="Q716" s="768"/>
      <c r="R716" s="768"/>
      <c r="S716" s="768"/>
      <c r="T716" s="768"/>
      <c r="U716" s="768"/>
      <c r="V716" s="768"/>
      <c r="W716" s="768"/>
      <c r="X716" s="768"/>
      <c r="Y716" s="768"/>
      <c r="Z716" s="768"/>
      <c r="AA716" s="768"/>
    </row>
    <row r="717" ht="30.0" customHeight="1">
      <c r="A717" s="768" t="str">
        <f t="array" ref="A717">XLOOKUP(C717,'High School Players'!D:D,'High School Players'!K:K,"NO",0,1)</f>
        <v>NO</v>
      </c>
      <c r="B717" s="768"/>
      <c r="C717" s="768"/>
      <c r="D717" s="768"/>
      <c r="E717" s="768"/>
      <c r="F717" s="768"/>
      <c r="G717" s="768"/>
      <c r="H717" s="768"/>
      <c r="I717" s="768"/>
      <c r="J717" s="768"/>
      <c r="K717" s="768"/>
      <c r="L717" s="768"/>
      <c r="M717" s="768"/>
      <c r="N717" s="768"/>
      <c r="O717" s="768"/>
      <c r="P717" s="768"/>
      <c r="Q717" s="768"/>
      <c r="R717" s="768"/>
      <c r="S717" s="768"/>
      <c r="T717" s="768"/>
      <c r="U717" s="768"/>
      <c r="V717" s="768"/>
      <c r="W717" s="768"/>
      <c r="X717" s="768"/>
      <c r="Y717" s="768"/>
      <c r="Z717" s="768"/>
      <c r="AA717" s="768"/>
    </row>
    <row r="718" ht="30.0" customHeight="1">
      <c r="A718" s="768" t="str">
        <f t="array" ref="A718">XLOOKUP(C718,'High School Players'!D:D,'High School Players'!K:K,"NO",0,1)</f>
        <v>NO</v>
      </c>
      <c r="B718" s="768"/>
      <c r="C718" s="768"/>
      <c r="D718" s="768"/>
      <c r="E718" s="768"/>
      <c r="F718" s="768"/>
      <c r="G718" s="768"/>
      <c r="H718" s="768"/>
      <c r="I718" s="768"/>
      <c r="J718" s="768"/>
      <c r="K718" s="768"/>
      <c r="L718" s="768"/>
      <c r="M718" s="768"/>
      <c r="N718" s="768"/>
      <c r="O718" s="768"/>
      <c r="P718" s="768"/>
      <c r="Q718" s="768"/>
      <c r="R718" s="768"/>
      <c r="S718" s="768"/>
      <c r="T718" s="768"/>
      <c r="U718" s="768"/>
      <c r="V718" s="768"/>
      <c r="W718" s="768"/>
      <c r="X718" s="768"/>
      <c r="Y718" s="768"/>
      <c r="Z718" s="768"/>
      <c r="AA718" s="768"/>
    </row>
    <row r="719" ht="30.0" customHeight="1">
      <c r="A719" s="768" t="str">
        <f t="array" ref="A719">XLOOKUP(C719,'High School Players'!D:D,'High School Players'!K:K,"NO",0,1)</f>
        <v>NO</v>
      </c>
      <c r="B719" s="768"/>
      <c r="C719" s="768"/>
      <c r="D719" s="768"/>
      <c r="E719" s="768"/>
      <c r="F719" s="768"/>
      <c r="G719" s="768"/>
      <c r="H719" s="768"/>
      <c r="I719" s="768"/>
      <c r="J719" s="768"/>
      <c r="K719" s="768"/>
      <c r="L719" s="768"/>
      <c r="M719" s="768"/>
      <c r="N719" s="768"/>
      <c r="O719" s="768"/>
      <c r="P719" s="768"/>
      <c r="Q719" s="768"/>
      <c r="R719" s="768"/>
      <c r="S719" s="768"/>
      <c r="T719" s="768"/>
      <c r="U719" s="768"/>
      <c r="V719" s="768"/>
      <c r="W719" s="768"/>
      <c r="X719" s="768"/>
      <c r="Y719" s="768"/>
      <c r="Z719" s="768"/>
      <c r="AA719" s="768"/>
    </row>
    <row r="720" ht="30.0" customHeight="1">
      <c r="A720" s="768" t="str">
        <f t="array" ref="A720">XLOOKUP(C720,'High School Players'!D:D,'High School Players'!K:K,"NO",0,1)</f>
        <v>NO</v>
      </c>
      <c r="B720" s="768"/>
      <c r="C720" s="768"/>
      <c r="D720" s="768"/>
      <c r="E720" s="768"/>
      <c r="F720" s="768"/>
      <c r="G720" s="768"/>
      <c r="H720" s="768"/>
      <c r="I720" s="768"/>
      <c r="J720" s="768"/>
      <c r="K720" s="768"/>
      <c r="L720" s="768"/>
      <c r="M720" s="768"/>
      <c r="N720" s="768"/>
      <c r="O720" s="768"/>
      <c r="P720" s="768"/>
      <c r="Q720" s="768"/>
      <c r="R720" s="768"/>
      <c r="S720" s="768"/>
      <c r="T720" s="768"/>
      <c r="U720" s="768"/>
      <c r="V720" s="768"/>
      <c r="W720" s="768"/>
      <c r="X720" s="768"/>
      <c r="Y720" s="768"/>
      <c r="Z720" s="768"/>
      <c r="AA720" s="768"/>
    </row>
    <row r="721" ht="30.0" customHeight="1">
      <c r="A721" s="768" t="str">
        <f t="array" ref="A721">XLOOKUP(C721,'High School Players'!D:D,'High School Players'!K:K,"NO",0,1)</f>
        <v>NO</v>
      </c>
      <c r="B721" s="768"/>
      <c r="C721" s="768"/>
      <c r="D721" s="768"/>
      <c r="E721" s="768"/>
      <c r="F721" s="768"/>
      <c r="G721" s="768"/>
      <c r="H721" s="768"/>
      <c r="I721" s="768"/>
      <c r="J721" s="768"/>
      <c r="K721" s="768"/>
      <c r="L721" s="768"/>
      <c r="M721" s="768"/>
      <c r="N721" s="768"/>
      <c r="O721" s="768"/>
      <c r="P721" s="768"/>
      <c r="Q721" s="768"/>
      <c r="R721" s="768"/>
      <c r="S721" s="768"/>
      <c r="T721" s="768"/>
      <c r="U721" s="768"/>
      <c r="V721" s="768"/>
      <c r="W721" s="768"/>
      <c r="X721" s="768"/>
      <c r="Y721" s="768"/>
      <c r="Z721" s="768"/>
      <c r="AA721" s="768"/>
    </row>
    <row r="722" ht="30.0" customHeight="1">
      <c r="A722" s="768" t="str">
        <f t="array" ref="A722">XLOOKUP(C722,'High School Players'!D:D,'High School Players'!K:K,"NO",0,1)</f>
        <v>NO</v>
      </c>
      <c r="B722" s="768"/>
      <c r="C722" s="768"/>
      <c r="D722" s="768"/>
      <c r="E722" s="768"/>
      <c r="F722" s="768"/>
      <c r="G722" s="768"/>
      <c r="H722" s="768"/>
      <c r="I722" s="768"/>
      <c r="J722" s="768"/>
      <c r="K722" s="768"/>
      <c r="L722" s="768"/>
      <c r="M722" s="768"/>
      <c r="N722" s="768"/>
      <c r="O722" s="768"/>
      <c r="P722" s="768"/>
      <c r="Q722" s="768"/>
      <c r="R722" s="768"/>
      <c r="S722" s="768"/>
      <c r="T722" s="768"/>
      <c r="U722" s="768"/>
      <c r="V722" s="768"/>
      <c r="W722" s="768"/>
      <c r="X722" s="768"/>
      <c r="Y722" s="768"/>
      <c r="Z722" s="768"/>
      <c r="AA722" s="768"/>
    </row>
    <row r="723" ht="30.0" customHeight="1">
      <c r="A723" s="768" t="str">
        <f t="array" ref="A723">XLOOKUP(C723,'High School Players'!D:D,'High School Players'!K:K,"NO",0,1)</f>
        <v>NO</v>
      </c>
      <c r="B723" s="768"/>
      <c r="C723" s="768"/>
      <c r="D723" s="768"/>
      <c r="E723" s="768"/>
      <c r="F723" s="768"/>
      <c r="G723" s="768"/>
      <c r="H723" s="768"/>
      <c r="I723" s="768"/>
      <c r="J723" s="768"/>
      <c r="K723" s="768"/>
      <c r="L723" s="768"/>
      <c r="M723" s="768"/>
      <c r="N723" s="768"/>
      <c r="O723" s="768"/>
      <c r="P723" s="768"/>
      <c r="Q723" s="768"/>
      <c r="R723" s="768"/>
      <c r="S723" s="768"/>
      <c r="T723" s="768"/>
      <c r="U723" s="768"/>
      <c r="V723" s="768"/>
      <c r="W723" s="768"/>
      <c r="X723" s="768"/>
      <c r="Y723" s="768"/>
      <c r="Z723" s="768"/>
      <c r="AA723" s="768"/>
    </row>
    <row r="724" ht="30.0" customHeight="1">
      <c r="A724" s="768" t="str">
        <f t="array" ref="A724">XLOOKUP(C724,'High School Players'!D:D,'High School Players'!K:K,"NO",0,1)</f>
        <v>NO</v>
      </c>
      <c r="B724" s="768"/>
      <c r="C724" s="768"/>
      <c r="D724" s="768"/>
      <c r="E724" s="768"/>
      <c r="F724" s="768"/>
      <c r="G724" s="768"/>
      <c r="H724" s="768"/>
      <c r="I724" s="768"/>
      <c r="J724" s="768"/>
      <c r="K724" s="768"/>
      <c r="L724" s="768"/>
      <c r="M724" s="768"/>
      <c r="N724" s="768"/>
      <c r="O724" s="768"/>
      <c r="P724" s="768"/>
      <c r="Q724" s="768"/>
      <c r="R724" s="768"/>
      <c r="S724" s="768"/>
      <c r="T724" s="768"/>
      <c r="U724" s="768"/>
      <c r="V724" s="768"/>
      <c r="W724" s="768"/>
      <c r="X724" s="768"/>
      <c r="Y724" s="768"/>
      <c r="Z724" s="768"/>
      <c r="AA724" s="768"/>
    </row>
    <row r="725" ht="30.0" customHeight="1">
      <c r="A725" s="768" t="str">
        <f t="array" ref="A725">XLOOKUP(C725,'High School Players'!D:D,'High School Players'!K:K,"NO",0,1)</f>
        <v>NO</v>
      </c>
      <c r="B725" s="768"/>
      <c r="C725" s="768"/>
      <c r="D725" s="768"/>
      <c r="E725" s="768"/>
      <c r="F725" s="768"/>
      <c r="G725" s="768"/>
      <c r="H725" s="768"/>
      <c r="I725" s="768"/>
      <c r="J725" s="768"/>
      <c r="K725" s="768"/>
      <c r="L725" s="768"/>
      <c r="M725" s="768"/>
      <c r="N725" s="768"/>
      <c r="O725" s="768"/>
      <c r="P725" s="768"/>
      <c r="Q725" s="768"/>
      <c r="R725" s="768"/>
      <c r="S725" s="768"/>
      <c r="T725" s="768"/>
      <c r="U725" s="768"/>
      <c r="V725" s="768"/>
      <c r="W725" s="768"/>
      <c r="X725" s="768"/>
      <c r="Y725" s="768"/>
      <c r="Z725" s="768"/>
      <c r="AA725" s="768"/>
    </row>
    <row r="726" ht="30.0" customHeight="1">
      <c r="A726" s="768" t="str">
        <f t="array" ref="A726">XLOOKUP(C726,'High School Players'!D:D,'High School Players'!K:K,"NO",0,1)</f>
        <v>NO</v>
      </c>
      <c r="B726" s="768"/>
      <c r="C726" s="768"/>
      <c r="D726" s="768"/>
      <c r="E726" s="768"/>
      <c r="F726" s="768"/>
      <c r="G726" s="768"/>
      <c r="H726" s="768"/>
      <c r="I726" s="768"/>
      <c r="J726" s="768"/>
      <c r="K726" s="768"/>
      <c r="L726" s="768"/>
      <c r="M726" s="768"/>
      <c r="N726" s="768"/>
      <c r="O726" s="768"/>
      <c r="P726" s="768"/>
      <c r="Q726" s="768"/>
      <c r="R726" s="768"/>
      <c r="S726" s="768"/>
      <c r="T726" s="768"/>
      <c r="U726" s="768"/>
      <c r="V726" s="768"/>
      <c r="W726" s="768"/>
      <c r="X726" s="768"/>
      <c r="Y726" s="768"/>
      <c r="Z726" s="768"/>
      <c r="AA726" s="768"/>
    </row>
    <row r="727" ht="30.0" customHeight="1">
      <c r="A727" s="768" t="str">
        <f t="array" ref="A727">XLOOKUP(C727,'High School Players'!D:D,'High School Players'!K:K,"NO",0,1)</f>
        <v>NO</v>
      </c>
      <c r="B727" s="768"/>
      <c r="C727" s="768"/>
      <c r="D727" s="768"/>
      <c r="E727" s="768"/>
      <c r="F727" s="768"/>
      <c r="G727" s="768"/>
      <c r="H727" s="768"/>
      <c r="I727" s="768"/>
      <c r="J727" s="768"/>
      <c r="K727" s="768"/>
      <c r="L727" s="768"/>
      <c r="M727" s="768"/>
      <c r="N727" s="768"/>
      <c r="O727" s="768"/>
      <c r="P727" s="768"/>
      <c r="Q727" s="768"/>
      <c r="R727" s="768"/>
      <c r="S727" s="768"/>
      <c r="T727" s="768"/>
      <c r="U727" s="768"/>
      <c r="V727" s="768"/>
      <c r="W727" s="768"/>
      <c r="X727" s="768"/>
      <c r="Y727" s="768"/>
      <c r="Z727" s="768"/>
      <c r="AA727" s="768"/>
    </row>
    <row r="728" ht="30.0" customHeight="1">
      <c r="A728" s="768" t="str">
        <f t="array" ref="A728">XLOOKUP(C728,'High School Players'!D:D,'High School Players'!K:K,"NO",0,1)</f>
        <v>NO</v>
      </c>
      <c r="B728" s="768"/>
      <c r="C728" s="768"/>
      <c r="D728" s="768"/>
      <c r="E728" s="768"/>
      <c r="F728" s="768"/>
      <c r="G728" s="768"/>
      <c r="H728" s="768"/>
      <c r="I728" s="768"/>
      <c r="J728" s="768"/>
      <c r="K728" s="768"/>
      <c r="L728" s="768"/>
      <c r="M728" s="768"/>
      <c r="N728" s="768"/>
      <c r="O728" s="768"/>
      <c r="P728" s="768"/>
      <c r="Q728" s="768"/>
      <c r="R728" s="768"/>
      <c r="S728" s="768"/>
      <c r="T728" s="768"/>
      <c r="U728" s="768"/>
      <c r="V728" s="768"/>
      <c r="W728" s="768"/>
      <c r="X728" s="768"/>
      <c r="Y728" s="768"/>
      <c r="Z728" s="768"/>
      <c r="AA728" s="768"/>
    </row>
    <row r="729" ht="30.0" customHeight="1">
      <c r="A729" s="768" t="str">
        <f t="array" ref="A729">XLOOKUP(C729,'High School Players'!D:D,'High School Players'!K:K,"NO",0,1)</f>
        <v>NO</v>
      </c>
      <c r="B729" s="768"/>
      <c r="C729" s="768"/>
      <c r="D729" s="768"/>
      <c r="E729" s="768"/>
      <c r="F729" s="768"/>
      <c r="G729" s="768"/>
      <c r="H729" s="768"/>
      <c r="I729" s="768"/>
      <c r="J729" s="768"/>
      <c r="K729" s="768"/>
      <c r="L729" s="768"/>
      <c r="M729" s="768"/>
      <c r="N729" s="768"/>
      <c r="O729" s="768"/>
      <c r="P729" s="768"/>
      <c r="Q729" s="768"/>
      <c r="R729" s="768"/>
      <c r="S729" s="768"/>
      <c r="T729" s="768"/>
      <c r="U729" s="768"/>
      <c r="V729" s="768"/>
      <c r="W729" s="768"/>
      <c r="X729" s="768"/>
      <c r="Y729" s="768"/>
      <c r="Z729" s="768"/>
      <c r="AA729" s="768"/>
    </row>
    <row r="730" ht="30.0" customHeight="1">
      <c r="A730" s="768" t="str">
        <f t="array" ref="A730">XLOOKUP(C730,'High School Players'!D:D,'High School Players'!K:K,"NO",0,1)</f>
        <v>NO</v>
      </c>
      <c r="B730" s="768"/>
      <c r="C730" s="768"/>
      <c r="D730" s="768"/>
      <c r="E730" s="768"/>
      <c r="F730" s="768"/>
      <c r="G730" s="768"/>
      <c r="H730" s="768"/>
      <c r="I730" s="768"/>
      <c r="J730" s="768"/>
      <c r="K730" s="768"/>
      <c r="L730" s="768"/>
      <c r="M730" s="768"/>
      <c r="N730" s="768"/>
      <c r="O730" s="768"/>
      <c r="P730" s="768"/>
      <c r="Q730" s="768"/>
      <c r="R730" s="768"/>
      <c r="S730" s="768"/>
      <c r="T730" s="768"/>
      <c r="U730" s="768"/>
      <c r="V730" s="768"/>
      <c r="W730" s="768"/>
      <c r="X730" s="768"/>
      <c r="Y730" s="768"/>
      <c r="Z730" s="768"/>
      <c r="AA730" s="768"/>
    </row>
    <row r="731" ht="30.0" customHeight="1">
      <c r="A731" s="768" t="str">
        <f t="array" ref="A731">XLOOKUP(C731,'High School Players'!D:D,'High School Players'!K:K,"NO",0,1)</f>
        <v>NO</v>
      </c>
      <c r="B731" s="768"/>
      <c r="C731" s="768"/>
      <c r="D731" s="768"/>
      <c r="E731" s="768"/>
      <c r="F731" s="768"/>
      <c r="G731" s="768"/>
      <c r="H731" s="768"/>
      <c r="I731" s="768"/>
      <c r="J731" s="768"/>
      <c r="K731" s="768"/>
      <c r="L731" s="768"/>
      <c r="M731" s="768"/>
      <c r="N731" s="768"/>
      <c r="O731" s="768"/>
      <c r="P731" s="768"/>
      <c r="Q731" s="768"/>
      <c r="R731" s="768"/>
      <c r="S731" s="768"/>
      <c r="T731" s="768"/>
      <c r="U731" s="768"/>
      <c r="V731" s="768"/>
      <c r="W731" s="768"/>
      <c r="X731" s="768"/>
      <c r="Y731" s="768"/>
      <c r="Z731" s="768"/>
      <c r="AA731" s="768"/>
    </row>
    <row r="732" ht="30.0" customHeight="1">
      <c r="A732" s="768" t="str">
        <f t="array" ref="A732">XLOOKUP(C732,'High School Players'!D:D,'High School Players'!K:K,"NO",0,1)</f>
        <v>NO</v>
      </c>
      <c r="B732" s="768"/>
      <c r="C732" s="768"/>
      <c r="D732" s="768"/>
      <c r="E732" s="768"/>
      <c r="F732" s="768"/>
      <c r="G732" s="768"/>
      <c r="H732" s="768"/>
      <c r="I732" s="768"/>
      <c r="J732" s="768"/>
      <c r="K732" s="768"/>
      <c r="L732" s="768"/>
      <c r="M732" s="768"/>
      <c r="N732" s="768"/>
      <c r="O732" s="768"/>
      <c r="P732" s="768"/>
      <c r="Q732" s="768"/>
      <c r="R732" s="768"/>
      <c r="S732" s="768"/>
      <c r="T732" s="768"/>
      <c r="U732" s="768"/>
      <c r="V732" s="768"/>
      <c r="W732" s="768"/>
      <c r="X732" s="768"/>
      <c r="Y732" s="768"/>
      <c r="Z732" s="768"/>
      <c r="AA732" s="768"/>
    </row>
    <row r="733" ht="30.0" customHeight="1">
      <c r="A733" s="768" t="str">
        <f t="array" ref="A733">XLOOKUP(C733,'High School Players'!D:D,'High School Players'!K:K,"NO",0,1)</f>
        <v>NO</v>
      </c>
      <c r="B733" s="768"/>
      <c r="C733" s="768"/>
      <c r="D733" s="768"/>
      <c r="E733" s="768"/>
      <c r="F733" s="768"/>
      <c r="G733" s="768"/>
      <c r="H733" s="768"/>
      <c r="I733" s="768"/>
      <c r="J733" s="768"/>
      <c r="K733" s="768"/>
      <c r="L733" s="768"/>
      <c r="M733" s="768"/>
      <c r="N733" s="768"/>
      <c r="O733" s="768"/>
      <c r="P733" s="768"/>
      <c r="Q733" s="768"/>
      <c r="R733" s="768"/>
      <c r="S733" s="768"/>
      <c r="T733" s="768"/>
      <c r="U733" s="768"/>
      <c r="V733" s="768"/>
      <c r="W733" s="768"/>
      <c r="X733" s="768"/>
      <c r="Y733" s="768"/>
      <c r="Z733" s="768"/>
      <c r="AA733" s="768"/>
    </row>
    <row r="734" ht="30.0" customHeight="1">
      <c r="A734" s="768" t="str">
        <f t="array" ref="A734">XLOOKUP(C734,'High School Players'!D:D,'High School Players'!K:K,"NO",0,1)</f>
        <v>NO</v>
      </c>
      <c r="B734" s="768"/>
      <c r="C734" s="768"/>
      <c r="D734" s="768"/>
      <c r="E734" s="768"/>
      <c r="F734" s="768"/>
      <c r="G734" s="768"/>
      <c r="H734" s="768"/>
      <c r="I734" s="768"/>
      <c r="J734" s="768"/>
      <c r="K734" s="768"/>
      <c r="L734" s="768"/>
      <c r="M734" s="768"/>
      <c r="N734" s="768"/>
      <c r="O734" s="768"/>
      <c r="P734" s="768"/>
      <c r="Q734" s="768"/>
      <c r="R734" s="768"/>
      <c r="S734" s="768"/>
      <c r="T734" s="768"/>
      <c r="U734" s="768"/>
      <c r="V734" s="768"/>
      <c r="W734" s="768"/>
      <c r="X734" s="768"/>
      <c r="Y734" s="768"/>
      <c r="Z734" s="768"/>
      <c r="AA734" s="768"/>
    </row>
    <row r="735" ht="30.0" customHeight="1">
      <c r="A735" s="768" t="str">
        <f t="array" ref="A735">XLOOKUP(C735,'High School Players'!D:D,'High School Players'!K:K,"NO",0,1)</f>
        <v>NO</v>
      </c>
      <c r="B735" s="768"/>
      <c r="C735" s="768"/>
      <c r="D735" s="768"/>
      <c r="E735" s="768"/>
      <c r="F735" s="768"/>
      <c r="G735" s="768"/>
      <c r="H735" s="768"/>
      <c r="I735" s="768"/>
      <c r="J735" s="768"/>
      <c r="K735" s="768"/>
      <c r="L735" s="768"/>
      <c r="M735" s="768"/>
      <c r="N735" s="768"/>
      <c r="O735" s="768"/>
      <c r="P735" s="768"/>
      <c r="Q735" s="768"/>
      <c r="R735" s="768"/>
      <c r="S735" s="768"/>
      <c r="T735" s="768"/>
      <c r="U735" s="768"/>
      <c r="V735" s="768"/>
      <c r="W735" s="768"/>
      <c r="X735" s="768"/>
      <c r="Y735" s="768"/>
      <c r="Z735" s="768"/>
      <c r="AA735" s="768"/>
    </row>
    <row r="736" ht="30.0" customHeight="1">
      <c r="A736" s="768" t="str">
        <f t="array" ref="A736">XLOOKUP(C736,'High School Players'!D:D,'High School Players'!K:K,"NO",0,1)</f>
        <v>NO</v>
      </c>
      <c r="B736" s="768"/>
      <c r="C736" s="768"/>
      <c r="D736" s="768"/>
      <c r="E736" s="768"/>
      <c r="F736" s="768"/>
      <c r="G736" s="768"/>
      <c r="H736" s="768"/>
      <c r="I736" s="768"/>
      <c r="J736" s="768"/>
      <c r="K736" s="768"/>
      <c r="L736" s="768"/>
      <c r="M736" s="768"/>
      <c r="N736" s="768"/>
      <c r="O736" s="768"/>
      <c r="P736" s="768"/>
      <c r="Q736" s="768"/>
      <c r="R736" s="768"/>
      <c r="S736" s="768"/>
      <c r="T736" s="768"/>
      <c r="U736" s="768"/>
      <c r="V736" s="768"/>
      <c r="W736" s="768"/>
      <c r="X736" s="768"/>
      <c r="Y736" s="768"/>
      <c r="Z736" s="768"/>
      <c r="AA736" s="768"/>
    </row>
    <row r="737" ht="30.0" customHeight="1">
      <c r="A737" s="768" t="str">
        <f t="array" ref="A737">XLOOKUP(C737,'High School Players'!D:D,'High School Players'!K:K,"NO",0,1)</f>
        <v>NO</v>
      </c>
      <c r="B737" s="768"/>
      <c r="C737" s="768"/>
      <c r="D737" s="768"/>
      <c r="E737" s="768"/>
      <c r="F737" s="768"/>
      <c r="G737" s="768"/>
      <c r="H737" s="768"/>
      <c r="I737" s="768"/>
      <c r="J737" s="768"/>
      <c r="K737" s="768"/>
      <c r="L737" s="768"/>
      <c r="M737" s="768"/>
      <c r="N737" s="768"/>
      <c r="O737" s="768"/>
      <c r="P737" s="768"/>
      <c r="Q737" s="768"/>
      <c r="R737" s="768"/>
      <c r="S737" s="768"/>
      <c r="T737" s="768"/>
      <c r="U737" s="768"/>
      <c r="V737" s="768"/>
      <c r="W737" s="768"/>
      <c r="X737" s="768"/>
      <c r="Y737" s="768"/>
      <c r="Z737" s="768"/>
      <c r="AA737" s="768"/>
    </row>
    <row r="738" ht="30.0" customHeight="1">
      <c r="A738" s="768" t="str">
        <f t="array" ref="A738">XLOOKUP(C738,'High School Players'!D:D,'High School Players'!K:K,"NO",0,1)</f>
        <v>NO</v>
      </c>
      <c r="B738" s="768"/>
      <c r="C738" s="768"/>
      <c r="D738" s="768"/>
      <c r="E738" s="768"/>
      <c r="F738" s="768"/>
      <c r="G738" s="768"/>
      <c r="H738" s="768"/>
      <c r="I738" s="768"/>
      <c r="J738" s="768"/>
      <c r="K738" s="768"/>
      <c r="L738" s="768"/>
      <c r="M738" s="768"/>
      <c r="N738" s="768"/>
      <c r="O738" s="768"/>
      <c r="P738" s="768"/>
      <c r="Q738" s="768"/>
      <c r="R738" s="768"/>
      <c r="S738" s="768"/>
      <c r="T738" s="768"/>
      <c r="U738" s="768"/>
      <c r="V738" s="768"/>
      <c r="W738" s="768"/>
      <c r="X738" s="768"/>
      <c r="Y738" s="768"/>
      <c r="Z738" s="768"/>
      <c r="AA738" s="768"/>
    </row>
    <row r="739" ht="30.0" customHeight="1">
      <c r="A739" s="768" t="str">
        <f t="array" ref="A739">XLOOKUP(C739,'High School Players'!D:D,'High School Players'!K:K,"NO",0,1)</f>
        <v>NO</v>
      </c>
      <c r="B739" s="768"/>
      <c r="C739" s="768"/>
      <c r="D739" s="768"/>
      <c r="E739" s="768"/>
      <c r="F739" s="768"/>
      <c r="G739" s="768"/>
      <c r="H739" s="768"/>
      <c r="I739" s="768"/>
      <c r="J739" s="768"/>
      <c r="K739" s="768"/>
      <c r="L739" s="768"/>
      <c r="M739" s="768"/>
      <c r="N739" s="768"/>
      <c r="O739" s="768"/>
      <c r="P739" s="768"/>
      <c r="Q739" s="768"/>
      <c r="R739" s="768"/>
      <c r="S739" s="768"/>
      <c r="T739" s="768"/>
      <c r="U739" s="768"/>
      <c r="V739" s="768"/>
      <c r="W739" s="768"/>
      <c r="X739" s="768"/>
      <c r="Y739" s="768"/>
      <c r="Z739" s="768"/>
      <c r="AA739" s="768"/>
    </row>
    <row r="740" ht="30.0" customHeight="1">
      <c r="A740" s="768" t="str">
        <f t="array" ref="A740">XLOOKUP(C740,'High School Players'!D:D,'High School Players'!K:K,"NO",0,1)</f>
        <v>NO</v>
      </c>
      <c r="B740" s="768"/>
      <c r="C740" s="768"/>
      <c r="D740" s="768"/>
      <c r="E740" s="768"/>
      <c r="F740" s="768"/>
      <c r="G740" s="768"/>
      <c r="H740" s="768"/>
      <c r="I740" s="768"/>
      <c r="J740" s="768"/>
      <c r="K740" s="768"/>
      <c r="L740" s="768"/>
      <c r="M740" s="768"/>
      <c r="N740" s="768"/>
      <c r="O740" s="768"/>
      <c r="P740" s="768"/>
      <c r="Q740" s="768"/>
      <c r="R740" s="768"/>
      <c r="S740" s="768"/>
      <c r="T740" s="768"/>
      <c r="U740" s="768"/>
      <c r="V740" s="768"/>
      <c r="W740" s="768"/>
      <c r="X740" s="768"/>
      <c r="Y740" s="768"/>
      <c r="Z740" s="768"/>
      <c r="AA740" s="768"/>
    </row>
    <row r="741" ht="30.0" customHeight="1">
      <c r="A741" s="768" t="str">
        <f t="array" ref="A741">XLOOKUP(C741,'High School Players'!D:D,'High School Players'!K:K,"NO",0,1)</f>
        <v>NO</v>
      </c>
      <c r="B741" s="768"/>
      <c r="C741" s="768"/>
      <c r="D741" s="768"/>
      <c r="E741" s="768"/>
      <c r="F741" s="768"/>
      <c r="G741" s="768"/>
      <c r="H741" s="768"/>
      <c r="I741" s="768"/>
      <c r="J741" s="768"/>
      <c r="K741" s="768"/>
      <c r="L741" s="768"/>
      <c r="M741" s="768"/>
      <c r="N741" s="768"/>
      <c r="O741" s="768"/>
      <c r="P741" s="768"/>
      <c r="Q741" s="768"/>
      <c r="R741" s="768"/>
      <c r="S741" s="768"/>
      <c r="T741" s="768"/>
      <c r="U741" s="768"/>
      <c r="V741" s="768"/>
      <c r="W741" s="768"/>
      <c r="X741" s="768"/>
      <c r="Y741" s="768"/>
      <c r="Z741" s="768"/>
      <c r="AA741" s="768"/>
    </row>
    <row r="742" ht="30.0" customHeight="1">
      <c r="A742" s="768" t="str">
        <f t="array" ref="A742">XLOOKUP(C742,'High School Players'!D:D,'High School Players'!K:K,"NO",0,1)</f>
        <v>NO</v>
      </c>
      <c r="B742" s="768"/>
      <c r="C742" s="768"/>
      <c r="D742" s="768"/>
      <c r="E742" s="768"/>
      <c r="F742" s="768"/>
      <c r="G742" s="768"/>
      <c r="H742" s="768"/>
      <c r="I742" s="768"/>
      <c r="J742" s="768"/>
      <c r="K742" s="768"/>
      <c r="L742" s="768"/>
      <c r="M742" s="768"/>
      <c r="N742" s="768"/>
      <c r="O742" s="768"/>
      <c r="P742" s="768"/>
      <c r="Q742" s="768"/>
      <c r="R742" s="768"/>
      <c r="S742" s="768"/>
      <c r="T742" s="768"/>
      <c r="U742" s="768"/>
      <c r="V742" s="768"/>
      <c r="W742" s="768"/>
      <c r="X742" s="768"/>
      <c r="Y742" s="768"/>
      <c r="Z742" s="768"/>
      <c r="AA742" s="768"/>
    </row>
    <row r="743" ht="30.0" customHeight="1">
      <c r="A743" s="768" t="str">
        <f t="array" ref="A743">XLOOKUP(C743,'High School Players'!D:D,'High School Players'!K:K,"NO",0,1)</f>
        <v>NO</v>
      </c>
      <c r="B743" s="768"/>
      <c r="C743" s="768"/>
      <c r="D743" s="768"/>
      <c r="E743" s="768"/>
      <c r="F743" s="768"/>
      <c r="G743" s="768"/>
      <c r="H743" s="768"/>
      <c r="I743" s="768"/>
      <c r="J743" s="768"/>
      <c r="K743" s="768"/>
      <c r="L743" s="768"/>
      <c r="M743" s="768"/>
      <c r="N743" s="768"/>
      <c r="O743" s="768"/>
      <c r="P743" s="768"/>
      <c r="Q743" s="768"/>
      <c r="R743" s="768"/>
      <c r="S743" s="768"/>
      <c r="T743" s="768"/>
      <c r="U743" s="768"/>
      <c r="V743" s="768"/>
      <c r="W743" s="768"/>
      <c r="X743" s="768"/>
      <c r="Y743" s="768"/>
      <c r="Z743" s="768"/>
      <c r="AA743" s="768"/>
    </row>
    <row r="744" ht="30.0" customHeight="1">
      <c r="A744" s="768" t="str">
        <f t="array" ref="A744">XLOOKUP(C744,'High School Players'!D:D,'High School Players'!K:K,"NO",0,1)</f>
        <v>NO</v>
      </c>
      <c r="B744" s="768"/>
      <c r="C744" s="768"/>
      <c r="D744" s="768"/>
      <c r="E744" s="768"/>
      <c r="F744" s="768"/>
      <c r="G744" s="768"/>
      <c r="H744" s="768"/>
      <c r="I744" s="768"/>
      <c r="J744" s="768"/>
      <c r="K744" s="768"/>
      <c r="L744" s="768"/>
      <c r="M744" s="768"/>
      <c r="N744" s="768"/>
      <c r="O744" s="768"/>
      <c r="P744" s="768"/>
      <c r="Q744" s="768"/>
      <c r="R744" s="768"/>
      <c r="S744" s="768"/>
      <c r="T744" s="768"/>
      <c r="U744" s="768"/>
      <c r="V744" s="768"/>
      <c r="W744" s="768"/>
      <c r="X744" s="768"/>
      <c r="Y744" s="768"/>
      <c r="Z744" s="768"/>
      <c r="AA744" s="768"/>
    </row>
    <row r="745" ht="30.0" customHeight="1">
      <c r="A745" s="768" t="str">
        <f t="array" ref="A745">XLOOKUP(C745,'High School Players'!D:D,'High School Players'!K:K,"NO",0,1)</f>
        <v>NO</v>
      </c>
      <c r="B745" s="768"/>
      <c r="C745" s="768"/>
      <c r="D745" s="768"/>
      <c r="E745" s="768"/>
      <c r="F745" s="768"/>
      <c r="G745" s="768"/>
      <c r="H745" s="768"/>
      <c r="I745" s="768"/>
      <c r="J745" s="768"/>
      <c r="K745" s="768"/>
      <c r="L745" s="768"/>
      <c r="M745" s="768"/>
      <c r="N745" s="768"/>
      <c r="O745" s="768"/>
      <c r="P745" s="768"/>
      <c r="Q745" s="768"/>
      <c r="R745" s="768"/>
      <c r="S745" s="768"/>
      <c r="T745" s="768"/>
      <c r="U745" s="768"/>
      <c r="V745" s="768"/>
      <c r="W745" s="768"/>
      <c r="X745" s="768"/>
      <c r="Y745" s="768"/>
      <c r="Z745" s="768"/>
      <c r="AA745" s="768"/>
    </row>
    <row r="746" ht="30.0" customHeight="1">
      <c r="A746" s="768" t="str">
        <f t="array" ref="A746">XLOOKUP(C746,'High School Players'!D:D,'High School Players'!K:K,"NO",0,1)</f>
        <v>NO</v>
      </c>
      <c r="B746" s="768"/>
      <c r="C746" s="768"/>
      <c r="D746" s="768"/>
      <c r="E746" s="768"/>
      <c r="F746" s="768"/>
      <c r="G746" s="768"/>
      <c r="H746" s="768"/>
      <c r="I746" s="768"/>
      <c r="J746" s="768"/>
      <c r="K746" s="768"/>
      <c r="L746" s="768"/>
      <c r="M746" s="768"/>
      <c r="N746" s="768"/>
      <c r="O746" s="768"/>
      <c r="P746" s="768"/>
      <c r="Q746" s="768"/>
      <c r="R746" s="768"/>
      <c r="S746" s="768"/>
      <c r="T746" s="768"/>
      <c r="U746" s="768"/>
      <c r="V746" s="768"/>
      <c r="W746" s="768"/>
      <c r="X746" s="768"/>
      <c r="Y746" s="768"/>
      <c r="Z746" s="768"/>
      <c r="AA746" s="768"/>
    </row>
    <row r="747" ht="30.0" customHeight="1">
      <c r="A747" s="768" t="str">
        <f t="array" ref="A747">XLOOKUP(C747,'High School Players'!D:D,'High School Players'!K:K,"NO",0,1)</f>
        <v>NO</v>
      </c>
      <c r="B747" s="768"/>
      <c r="C747" s="768"/>
      <c r="D747" s="768"/>
      <c r="E747" s="768"/>
      <c r="F747" s="768"/>
      <c r="G747" s="768"/>
      <c r="H747" s="768"/>
      <c r="I747" s="768"/>
      <c r="J747" s="768"/>
      <c r="K747" s="768"/>
      <c r="L747" s="768"/>
      <c r="M747" s="768"/>
      <c r="N747" s="768"/>
      <c r="O747" s="768"/>
      <c r="P747" s="768"/>
      <c r="Q747" s="768"/>
      <c r="R747" s="768"/>
      <c r="S747" s="768"/>
      <c r="T747" s="768"/>
      <c r="U747" s="768"/>
      <c r="V747" s="768"/>
      <c r="W747" s="768"/>
      <c r="X747" s="768"/>
      <c r="Y747" s="768"/>
      <c r="Z747" s="768"/>
      <c r="AA747" s="768"/>
    </row>
    <row r="748" ht="30.0" customHeight="1">
      <c r="A748" s="768" t="str">
        <f t="array" ref="A748">XLOOKUP(C748,'High School Players'!D:D,'High School Players'!K:K,"NO",0,1)</f>
        <v>NO</v>
      </c>
      <c r="B748" s="768"/>
      <c r="C748" s="768"/>
      <c r="D748" s="768"/>
      <c r="E748" s="768"/>
      <c r="F748" s="768"/>
      <c r="G748" s="768"/>
      <c r="H748" s="768"/>
      <c r="I748" s="768"/>
      <c r="J748" s="768"/>
      <c r="K748" s="768"/>
      <c r="L748" s="768"/>
      <c r="M748" s="768"/>
      <c r="N748" s="768"/>
      <c r="O748" s="768"/>
      <c r="P748" s="768"/>
      <c r="Q748" s="768"/>
      <c r="R748" s="768"/>
      <c r="S748" s="768"/>
      <c r="T748" s="768"/>
      <c r="U748" s="768"/>
      <c r="V748" s="768"/>
      <c r="W748" s="768"/>
      <c r="X748" s="768"/>
      <c r="Y748" s="768"/>
      <c r="Z748" s="768"/>
      <c r="AA748" s="768"/>
    </row>
    <row r="749" ht="30.0" customHeight="1">
      <c r="A749" s="768" t="str">
        <f t="array" ref="A749">XLOOKUP(C749,'High School Players'!D:D,'High School Players'!K:K,"NO",0,1)</f>
        <v>NO</v>
      </c>
      <c r="B749" s="768"/>
      <c r="C749" s="768"/>
      <c r="D749" s="768"/>
      <c r="E749" s="768"/>
      <c r="F749" s="768"/>
      <c r="G749" s="768"/>
      <c r="H749" s="768"/>
      <c r="I749" s="768"/>
      <c r="J749" s="768"/>
      <c r="K749" s="768"/>
      <c r="L749" s="768"/>
      <c r="M749" s="768"/>
      <c r="N749" s="768"/>
      <c r="O749" s="768"/>
      <c r="P749" s="768"/>
      <c r="Q749" s="768"/>
      <c r="R749" s="768"/>
      <c r="S749" s="768"/>
      <c r="T749" s="768"/>
      <c r="U749" s="768"/>
      <c r="V749" s="768"/>
      <c r="W749" s="768"/>
      <c r="X749" s="768"/>
      <c r="Y749" s="768"/>
      <c r="Z749" s="768"/>
      <c r="AA749" s="768"/>
    </row>
    <row r="750" ht="30.0" customHeight="1">
      <c r="A750" s="768" t="str">
        <f t="array" ref="A750">XLOOKUP(C750,'High School Players'!D:D,'High School Players'!K:K,"NO",0,1)</f>
        <v>NO</v>
      </c>
      <c r="B750" s="768"/>
      <c r="C750" s="768"/>
      <c r="D750" s="768"/>
      <c r="E750" s="768"/>
      <c r="F750" s="768"/>
      <c r="G750" s="768"/>
      <c r="H750" s="768"/>
      <c r="I750" s="768"/>
      <c r="J750" s="768"/>
      <c r="K750" s="768"/>
      <c r="L750" s="768"/>
      <c r="M750" s="768"/>
      <c r="N750" s="768"/>
      <c r="O750" s="768"/>
      <c r="P750" s="768"/>
      <c r="Q750" s="768"/>
      <c r="R750" s="768"/>
      <c r="S750" s="768"/>
      <c r="T750" s="768"/>
      <c r="U750" s="768"/>
      <c r="V750" s="768"/>
      <c r="W750" s="768"/>
      <c r="X750" s="768"/>
      <c r="Y750" s="768"/>
      <c r="Z750" s="768"/>
      <c r="AA750" s="768"/>
    </row>
    <row r="751" ht="30.0" customHeight="1">
      <c r="A751" s="768" t="str">
        <f t="array" ref="A751">XLOOKUP(C751,'High School Players'!D:D,'High School Players'!K:K,"NO",0,1)</f>
        <v>NO</v>
      </c>
      <c r="B751" s="768"/>
      <c r="C751" s="768"/>
      <c r="D751" s="768"/>
      <c r="E751" s="768"/>
      <c r="F751" s="768"/>
      <c r="G751" s="768"/>
      <c r="H751" s="768"/>
      <c r="I751" s="768"/>
      <c r="J751" s="768"/>
      <c r="K751" s="768"/>
      <c r="L751" s="768"/>
      <c r="M751" s="768"/>
      <c r="N751" s="768"/>
      <c r="O751" s="768"/>
      <c r="P751" s="768"/>
      <c r="Q751" s="768"/>
      <c r="R751" s="768"/>
      <c r="S751" s="768"/>
      <c r="T751" s="768"/>
      <c r="U751" s="768"/>
      <c r="V751" s="768"/>
      <c r="W751" s="768"/>
      <c r="X751" s="768"/>
      <c r="Y751" s="768"/>
      <c r="Z751" s="768"/>
      <c r="AA751" s="768"/>
    </row>
    <row r="752" ht="30.0" customHeight="1">
      <c r="A752" s="768" t="str">
        <f t="array" ref="A752">XLOOKUP(C752,'High School Players'!D:D,'High School Players'!K:K,"NO",0,1)</f>
        <v>NO</v>
      </c>
      <c r="B752" s="768"/>
      <c r="C752" s="768"/>
      <c r="D752" s="768"/>
      <c r="E752" s="768"/>
      <c r="F752" s="768"/>
      <c r="G752" s="768"/>
      <c r="H752" s="768"/>
      <c r="I752" s="768"/>
      <c r="J752" s="768"/>
      <c r="K752" s="768"/>
      <c r="L752" s="768"/>
      <c r="M752" s="768"/>
      <c r="N752" s="768"/>
      <c r="O752" s="768"/>
      <c r="P752" s="768"/>
      <c r="Q752" s="768"/>
      <c r="R752" s="768"/>
      <c r="S752" s="768"/>
      <c r="T752" s="768"/>
      <c r="U752" s="768"/>
      <c r="V752" s="768"/>
      <c r="W752" s="768"/>
      <c r="X752" s="768"/>
      <c r="Y752" s="768"/>
      <c r="Z752" s="768"/>
      <c r="AA752" s="768"/>
    </row>
    <row r="753" ht="30.0" customHeight="1">
      <c r="A753" s="768" t="str">
        <f t="array" ref="A753">XLOOKUP(C753,'High School Players'!D:D,'High School Players'!K:K,"NO",0,1)</f>
        <v>NO</v>
      </c>
      <c r="B753" s="768"/>
      <c r="C753" s="768"/>
      <c r="D753" s="768"/>
      <c r="E753" s="768"/>
      <c r="F753" s="768"/>
      <c r="G753" s="768"/>
      <c r="H753" s="768"/>
      <c r="I753" s="768"/>
      <c r="J753" s="768"/>
      <c r="K753" s="768"/>
      <c r="L753" s="768"/>
      <c r="M753" s="768"/>
      <c r="N753" s="768"/>
      <c r="O753" s="768"/>
      <c r="P753" s="768"/>
      <c r="Q753" s="768"/>
      <c r="R753" s="768"/>
      <c r="S753" s="768"/>
      <c r="T753" s="768"/>
      <c r="U753" s="768"/>
      <c r="V753" s="768"/>
      <c r="W753" s="768"/>
      <c r="X753" s="768"/>
      <c r="Y753" s="768"/>
      <c r="Z753" s="768"/>
      <c r="AA753" s="768"/>
    </row>
    <row r="754" ht="30.0" customHeight="1">
      <c r="A754" s="768" t="str">
        <f t="array" ref="A754">XLOOKUP(C754,'High School Players'!D:D,'High School Players'!K:K,"NO",0,1)</f>
        <v>NO</v>
      </c>
      <c r="B754" s="768"/>
      <c r="C754" s="768"/>
      <c r="D754" s="768"/>
      <c r="E754" s="768"/>
      <c r="F754" s="768"/>
      <c r="G754" s="768"/>
      <c r="H754" s="768"/>
      <c r="I754" s="768"/>
      <c r="J754" s="768"/>
      <c r="K754" s="768"/>
      <c r="L754" s="768"/>
      <c r="M754" s="768"/>
      <c r="N754" s="768"/>
      <c r="O754" s="768"/>
      <c r="P754" s="768"/>
      <c r="Q754" s="768"/>
      <c r="R754" s="768"/>
      <c r="S754" s="768"/>
      <c r="T754" s="768"/>
      <c r="U754" s="768"/>
      <c r="V754" s="768"/>
      <c r="W754" s="768"/>
      <c r="X754" s="768"/>
      <c r="Y754" s="768"/>
      <c r="Z754" s="768"/>
      <c r="AA754" s="768"/>
    </row>
    <row r="755" ht="30.0" customHeight="1">
      <c r="A755" s="768" t="str">
        <f t="array" ref="A755">XLOOKUP(C755,'High School Players'!D:D,'High School Players'!K:K,"NO",0,1)</f>
        <v>NO</v>
      </c>
      <c r="B755" s="768"/>
      <c r="C755" s="768"/>
      <c r="D755" s="768"/>
      <c r="E755" s="768"/>
      <c r="F755" s="768"/>
      <c r="G755" s="768"/>
      <c r="H755" s="768"/>
      <c r="I755" s="768"/>
      <c r="J755" s="768"/>
      <c r="K755" s="768"/>
      <c r="L755" s="768"/>
      <c r="M755" s="768"/>
      <c r="N755" s="768"/>
      <c r="O755" s="768"/>
      <c r="P755" s="768"/>
      <c r="Q755" s="768"/>
      <c r="R755" s="768"/>
      <c r="S755" s="768"/>
      <c r="T755" s="768"/>
      <c r="U755" s="768"/>
      <c r="V755" s="768"/>
      <c r="W755" s="768"/>
      <c r="X755" s="768"/>
      <c r="Y755" s="768"/>
      <c r="Z755" s="768"/>
      <c r="AA755" s="768"/>
    </row>
    <row r="756" ht="30.0" customHeight="1">
      <c r="A756" s="768" t="str">
        <f t="array" ref="A756">XLOOKUP(C756,'High School Players'!D:D,'High School Players'!K:K,"NO",0,1)</f>
        <v>NO</v>
      </c>
      <c r="B756" s="768"/>
      <c r="C756" s="768"/>
      <c r="D756" s="768"/>
      <c r="E756" s="768"/>
      <c r="F756" s="768"/>
      <c r="G756" s="768"/>
      <c r="H756" s="768"/>
      <c r="I756" s="768"/>
      <c r="J756" s="768"/>
      <c r="K756" s="768"/>
      <c r="L756" s="768"/>
      <c r="M756" s="768"/>
      <c r="N756" s="768"/>
      <c r="O756" s="768"/>
      <c r="P756" s="768"/>
      <c r="Q756" s="768"/>
      <c r="R756" s="768"/>
      <c r="S756" s="768"/>
      <c r="T756" s="768"/>
      <c r="U756" s="768"/>
      <c r="V756" s="768"/>
      <c r="W756" s="768"/>
      <c r="X756" s="768"/>
      <c r="Y756" s="768"/>
      <c r="Z756" s="768"/>
      <c r="AA756" s="768"/>
    </row>
    <row r="757" ht="30.0" customHeight="1">
      <c r="A757" s="768" t="str">
        <f t="array" ref="A757">XLOOKUP(C757,'High School Players'!D:D,'High School Players'!K:K,"NO",0,1)</f>
        <v>NO</v>
      </c>
      <c r="B757" s="768"/>
      <c r="C757" s="768"/>
      <c r="D757" s="768"/>
      <c r="E757" s="768"/>
      <c r="F757" s="768"/>
      <c r="G757" s="768"/>
      <c r="H757" s="768"/>
      <c r="I757" s="768"/>
      <c r="J757" s="768"/>
      <c r="K757" s="768"/>
      <c r="L757" s="768"/>
      <c r="M757" s="768"/>
      <c r="N757" s="768"/>
      <c r="O757" s="768"/>
      <c r="P757" s="768"/>
      <c r="Q757" s="768"/>
      <c r="R757" s="768"/>
      <c r="S757" s="768"/>
      <c r="T757" s="768"/>
      <c r="U757" s="768"/>
      <c r="V757" s="768"/>
      <c r="W757" s="768"/>
      <c r="X757" s="768"/>
      <c r="Y757" s="768"/>
      <c r="Z757" s="768"/>
      <c r="AA757" s="768"/>
    </row>
    <row r="758" ht="30.0" customHeight="1">
      <c r="A758" s="768" t="str">
        <f t="array" ref="A758">XLOOKUP(C758,'High School Players'!D:D,'High School Players'!K:K,"NO",0,1)</f>
        <v>NO</v>
      </c>
      <c r="B758" s="768"/>
      <c r="C758" s="768"/>
      <c r="D758" s="768"/>
      <c r="E758" s="768"/>
      <c r="F758" s="768"/>
      <c r="G758" s="768"/>
      <c r="H758" s="768"/>
      <c r="I758" s="768"/>
      <c r="J758" s="768"/>
      <c r="K758" s="768"/>
      <c r="L758" s="768"/>
      <c r="M758" s="768"/>
      <c r="N758" s="768"/>
      <c r="O758" s="768"/>
      <c r="P758" s="768"/>
      <c r="Q758" s="768"/>
      <c r="R758" s="768"/>
      <c r="S758" s="768"/>
      <c r="T758" s="768"/>
      <c r="U758" s="768"/>
      <c r="V758" s="768"/>
      <c r="W758" s="768"/>
      <c r="X758" s="768"/>
      <c r="Y758" s="768"/>
      <c r="Z758" s="768"/>
      <c r="AA758" s="768"/>
    </row>
    <row r="759" ht="30.0" customHeight="1">
      <c r="A759" s="768" t="str">
        <f t="array" ref="A759">XLOOKUP(C759,'High School Players'!D:D,'High School Players'!K:K,"NO",0,1)</f>
        <v>NO</v>
      </c>
      <c r="B759" s="768"/>
      <c r="C759" s="768"/>
      <c r="D759" s="768"/>
      <c r="E759" s="768"/>
      <c r="F759" s="768"/>
      <c r="G759" s="768"/>
      <c r="H759" s="768"/>
      <c r="I759" s="768"/>
      <c r="J759" s="768"/>
      <c r="K759" s="768"/>
      <c r="L759" s="768"/>
      <c r="M759" s="768"/>
      <c r="N759" s="768"/>
      <c r="O759" s="768"/>
      <c r="P759" s="768"/>
      <c r="Q759" s="768"/>
      <c r="R759" s="768"/>
      <c r="S759" s="768"/>
      <c r="T759" s="768"/>
      <c r="U759" s="768"/>
      <c r="V759" s="768"/>
      <c r="W759" s="768"/>
      <c r="X759" s="768"/>
      <c r="Y759" s="768"/>
      <c r="Z759" s="768"/>
      <c r="AA759" s="768"/>
    </row>
    <row r="760" ht="30.0" customHeight="1">
      <c r="A760" s="768" t="str">
        <f t="array" ref="A760">XLOOKUP(C760,'High School Players'!D:D,'High School Players'!K:K,"NO",0,1)</f>
        <v>NO</v>
      </c>
      <c r="B760" s="768"/>
      <c r="C760" s="768"/>
      <c r="D760" s="768"/>
      <c r="E760" s="768"/>
      <c r="F760" s="768"/>
      <c r="G760" s="768"/>
      <c r="H760" s="768"/>
      <c r="I760" s="768"/>
      <c r="J760" s="768"/>
      <c r="K760" s="768"/>
      <c r="L760" s="768"/>
      <c r="M760" s="768"/>
      <c r="N760" s="768"/>
      <c r="O760" s="768"/>
      <c r="P760" s="768"/>
      <c r="Q760" s="768"/>
      <c r="R760" s="768"/>
      <c r="S760" s="768"/>
      <c r="T760" s="768"/>
      <c r="U760" s="768"/>
      <c r="V760" s="768"/>
      <c r="W760" s="768"/>
      <c r="X760" s="768"/>
      <c r="Y760" s="768"/>
      <c r="Z760" s="768"/>
      <c r="AA760" s="768"/>
    </row>
    <row r="761" ht="30.0" customHeight="1">
      <c r="A761" s="768" t="str">
        <f t="array" ref="A761">XLOOKUP(C761,'High School Players'!D:D,'High School Players'!K:K,"NO",0,1)</f>
        <v>NO</v>
      </c>
      <c r="B761" s="768"/>
      <c r="C761" s="768"/>
      <c r="D761" s="768"/>
      <c r="E761" s="768"/>
      <c r="F761" s="768"/>
      <c r="G761" s="768"/>
      <c r="H761" s="768"/>
      <c r="I761" s="768"/>
      <c r="J761" s="768"/>
      <c r="K761" s="768"/>
      <c r="L761" s="768"/>
      <c r="M761" s="768"/>
      <c r="N761" s="768"/>
      <c r="O761" s="768"/>
      <c r="P761" s="768"/>
      <c r="Q761" s="768"/>
      <c r="R761" s="768"/>
      <c r="S761" s="768"/>
      <c r="T761" s="768"/>
      <c r="U761" s="768"/>
      <c r="V761" s="768"/>
      <c r="W761" s="768"/>
      <c r="X761" s="768"/>
      <c r="Y761" s="768"/>
      <c r="Z761" s="768"/>
      <c r="AA761" s="768"/>
    </row>
    <row r="762" ht="30.0" customHeight="1">
      <c r="A762" s="768" t="str">
        <f t="array" ref="A762">XLOOKUP(C762,'High School Players'!D:D,'High School Players'!K:K,"NO",0,1)</f>
        <v>NO</v>
      </c>
      <c r="B762" s="768"/>
      <c r="C762" s="768"/>
      <c r="D762" s="768"/>
      <c r="E762" s="768"/>
      <c r="F762" s="768"/>
      <c r="G762" s="768"/>
      <c r="H762" s="768"/>
      <c r="I762" s="768"/>
      <c r="J762" s="768"/>
      <c r="K762" s="768"/>
      <c r="L762" s="768"/>
      <c r="M762" s="768"/>
      <c r="N762" s="768"/>
      <c r="O762" s="768"/>
      <c r="P762" s="768"/>
      <c r="Q762" s="768"/>
      <c r="R762" s="768"/>
      <c r="S762" s="768"/>
      <c r="T762" s="768"/>
      <c r="U762" s="768"/>
      <c r="V762" s="768"/>
      <c r="W762" s="768"/>
      <c r="X762" s="768"/>
      <c r="Y762" s="768"/>
      <c r="Z762" s="768"/>
      <c r="AA762" s="768"/>
    </row>
    <row r="763" ht="30.0" customHeight="1">
      <c r="A763" s="768" t="str">
        <f t="array" ref="A763">XLOOKUP(C763,'High School Players'!D:D,'High School Players'!K:K,"NO",0,1)</f>
        <v>NO</v>
      </c>
      <c r="B763" s="768"/>
      <c r="C763" s="768"/>
      <c r="D763" s="768"/>
      <c r="E763" s="768"/>
      <c r="F763" s="768"/>
      <c r="G763" s="768"/>
      <c r="H763" s="768"/>
      <c r="I763" s="768"/>
      <c r="J763" s="768"/>
      <c r="K763" s="768"/>
      <c r="L763" s="768"/>
      <c r="M763" s="768"/>
      <c r="N763" s="768"/>
      <c r="O763" s="768"/>
      <c r="P763" s="768"/>
      <c r="Q763" s="768"/>
      <c r="R763" s="768"/>
      <c r="S763" s="768"/>
      <c r="T763" s="768"/>
      <c r="U763" s="768"/>
      <c r="V763" s="768"/>
      <c r="W763" s="768"/>
      <c r="X763" s="768"/>
      <c r="Y763" s="768"/>
      <c r="Z763" s="768"/>
      <c r="AA763" s="768"/>
    </row>
    <row r="764" ht="30.0" customHeight="1">
      <c r="A764" s="768" t="str">
        <f t="array" ref="A764">XLOOKUP(C764,'High School Players'!D:D,'High School Players'!K:K,"NO",0,1)</f>
        <v>NO</v>
      </c>
      <c r="B764" s="768"/>
      <c r="C764" s="768"/>
      <c r="D764" s="768"/>
      <c r="E764" s="768"/>
      <c r="F764" s="768"/>
      <c r="G764" s="768"/>
      <c r="H764" s="768"/>
      <c r="I764" s="768"/>
      <c r="J764" s="768"/>
      <c r="K764" s="768"/>
      <c r="L764" s="768"/>
      <c r="M764" s="768"/>
      <c r="N764" s="768"/>
      <c r="O764" s="768"/>
      <c r="P764" s="768"/>
      <c r="Q764" s="768"/>
      <c r="R764" s="768"/>
      <c r="S764" s="768"/>
      <c r="T764" s="768"/>
      <c r="U764" s="768"/>
      <c r="V764" s="768"/>
      <c r="W764" s="768"/>
      <c r="X764" s="768"/>
      <c r="Y764" s="768"/>
      <c r="Z764" s="768"/>
      <c r="AA764" s="768"/>
    </row>
    <row r="765" ht="30.0" customHeight="1">
      <c r="A765" s="768" t="str">
        <f t="array" ref="A765">XLOOKUP(C765,'High School Players'!D:D,'High School Players'!K:K,"NO",0,1)</f>
        <v>NO</v>
      </c>
      <c r="B765" s="768"/>
      <c r="C765" s="768"/>
      <c r="D765" s="768"/>
      <c r="E765" s="768"/>
      <c r="F765" s="768"/>
      <c r="G765" s="768"/>
      <c r="H765" s="768"/>
      <c r="I765" s="768"/>
      <c r="J765" s="768"/>
      <c r="K765" s="768"/>
      <c r="L765" s="768"/>
      <c r="M765" s="768"/>
      <c r="N765" s="768"/>
      <c r="O765" s="768"/>
      <c r="P765" s="768"/>
      <c r="Q765" s="768"/>
      <c r="R765" s="768"/>
      <c r="S765" s="768"/>
      <c r="T765" s="768"/>
      <c r="U765" s="768"/>
      <c r="V765" s="768"/>
      <c r="W765" s="768"/>
      <c r="X765" s="768"/>
      <c r="Y765" s="768"/>
      <c r="Z765" s="768"/>
      <c r="AA765" s="768"/>
    </row>
    <row r="766" ht="30.0" customHeight="1">
      <c r="A766" s="768" t="str">
        <f t="array" ref="A766">XLOOKUP(C766,'High School Players'!D:D,'High School Players'!K:K,"NO",0,1)</f>
        <v>NO</v>
      </c>
      <c r="B766" s="768"/>
      <c r="C766" s="768"/>
      <c r="D766" s="768"/>
      <c r="E766" s="768"/>
      <c r="F766" s="768"/>
      <c r="G766" s="768"/>
      <c r="H766" s="768"/>
      <c r="I766" s="768"/>
      <c r="J766" s="768"/>
      <c r="K766" s="768"/>
      <c r="L766" s="768"/>
      <c r="M766" s="768"/>
      <c r="N766" s="768"/>
      <c r="O766" s="768"/>
      <c r="P766" s="768"/>
      <c r="Q766" s="768"/>
      <c r="R766" s="768"/>
      <c r="S766" s="768"/>
      <c r="T766" s="768"/>
      <c r="U766" s="768"/>
      <c r="V766" s="768"/>
      <c r="W766" s="768"/>
      <c r="X766" s="768"/>
      <c r="Y766" s="768"/>
      <c r="Z766" s="768"/>
      <c r="AA766" s="768"/>
    </row>
    <row r="767" ht="30.0" customHeight="1">
      <c r="A767" s="768" t="str">
        <f t="array" ref="A767">XLOOKUP(C767,'High School Players'!D:D,'High School Players'!K:K,"NO",0,1)</f>
        <v>NO</v>
      </c>
      <c r="B767" s="768"/>
      <c r="C767" s="768"/>
      <c r="D767" s="768"/>
      <c r="E767" s="768"/>
      <c r="F767" s="768"/>
      <c r="G767" s="768"/>
      <c r="H767" s="768"/>
      <c r="I767" s="768"/>
      <c r="J767" s="768"/>
      <c r="K767" s="768"/>
      <c r="L767" s="768"/>
      <c r="M767" s="768"/>
      <c r="N767" s="768"/>
      <c r="O767" s="768"/>
      <c r="P767" s="768"/>
      <c r="Q767" s="768"/>
      <c r="R767" s="768"/>
      <c r="S767" s="768"/>
      <c r="T767" s="768"/>
      <c r="U767" s="768"/>
      <c r="V767" s="768"/>
      <c r="W767" s="768"/>
      <c r="X767" s="768"/>
      <c r="Y767" s="768"/>
      <c r="Z767" s="768"/>
      <c r="AA767" s="768"/>
    </row>
    <row r="768" ht="30.0" customHeight="1">
      <c r="A768" s="768" t="str">
        <f t="array" ref="A768">XLOOKUP(C768,'High School Players'!D:D,'High School Players'!K:K,"NO",0,1)</f>
        <v>NO</v>
      </c>
      <c r="B768" s="768"/>
      <c r="C768" s="768"/>
      <c r="D768" s="768"/>
      <c r="E768" s="768"/>
      <c r="F768" s="768"/>
      <c r="G768" s="768"/>
      <c r="H768" s="768"/>
      <c r="I768" s="768"/>
      <c r="J768" s="768"/>
      <c r="K768" s="768"/>
      <c r="L768" s="768"/>
      <c r="M768" s="768"/>
      <c r="N768" s="768"/>
      <c r="O768" s="768"/>
      <c r="P768" s="768"/>
      <c r="Q768" s="768"/>
      <c r="R768" s="768"/>
      <c r="S768" s="768"/>
      <c r="T768" s="768"/>
      <c r="U768" s="768"/>
      <c r="V768" s="768"/>
      <c r="W768" s="768"/>
      <c r="X768" s="768"/>
      <c r="Y768" s="768"/>
      <c r="Z768" s="768"/>
      <c r="AA768" s="768"/>
    </row>
    <row r="769" ht="30.0" customHeight="1">
      <c r="A769" s="768" t="str">
        <f t="array" ref="A769">XLOOKUP(C769,'High School Players'!D:D,'High School Players'!K:K,"NO",0,1)</f>
        <v>NO</v>
      </c>
      <c r="B769" s="768"/>
      <c r="C769" s="768"/>
      <c r="D769" s="768"/>
      <c r="E769" s="768"/>
      <c r="F769" s="768"/>
      <c r="G769" s="768"/>
      <c r="H769" s="768"/>
      <c r="I769" s="768"/>
      <c r="J769" s="768"/>
      <c r="K769" s="768"/>
      <c r="L769" s="768"/>
      <c r="M769" s="768"/>
      <c r="N769" s="768"/>
      <c r="O769" s="768"/>
      <c r="P769" s="768"/>
      <c r="Q769" s="768"/>
      <c r="R769" s="768"/>
      <c r="S769" s="768"/>
      <c r="T769" s="768"/>
      <c r="U769" s="768"/>
      <c r="V769" s="768"/>
      <c r="W769" s="768"/>
      <c r="X769" s="768"/>
      <c r="Y769" s="768"/>
      <c r="Z769" s="768"/>
      <c r="AA769" s="768"/>
    </row>
    <row r="770" ht="30.0" customHeight="1">
      <c r="A770" s="768" t="str">
        <f t="array" ref="A770">XLOOKUP(C770,'High School Players'!D:D,'High School Players'!K:K,"NO",0,1)</f>
        <v>NO</v>
      </c>
      <c r="B770" s="768"/>
      <c r="C770" s="768"/>
      <c r="D770" s="768"/>
      <c r="E770" s="768"/>
      <c r="F770" s="768"/>
      <c r="G770" s="768"/>
      <c r="H770" s="768"/>
      <c r="I770" s="768"/>
      <c r="J770" s="768"/>
      <c r="K770" s="768"/>
      <c r="L770" s="768"/>
      <c r="M770" s="768"/>
      <c r="N770" s="768"/>
      <c r="O770" s="768"/>
      <c r="P770" s="768"/>
      <c r="Q770" s="768"/>
      <c r="R770" s="768"/>
      <c r="S770" s="768"/>
      <c r="T770" s="768"/>
      <c r="U770" s="768"/>
      <c r="V770" s="768"/>
      <c r="W770" s="768"/>
      <c r="X770" s="768"/>
      <c r="Y770" s="768"/>
      <c r="Z770" s="768"/>
      <c r="AA770" s="768"/>
    </row>
    <row r="771" ht="30.0" customHeight="1">
      <c r="A771" s="768" t="str">
        <f t="array" ref="A771">XLOOKUP(C771,'High School Players'!D:D,'High School Players'!K:K,"NO",0,1)</f>
        <v>NO</v>
      </c>
      <c r="B771" s="768"/>
      <c r="C771" s="768"/>
      <c r="D771" s="768"/>
      <c r="E771" s="768"/>
      <c r="F771" s="768"/>
      <c r="G771" s="768"/>
      <c r="H771" s="768"/>
      <c r="I771" s="768"/>
      <c r="J771" s="768"/>
      <c r="K771" s="768"/>
      <c r="L771" s="768"/>
      <c r="M771" s="768"/>
      <c r="N771" s="768"/>
      <c r="O771" s="768"/>
      <c r="P771" s="768"/>
      <c r="Q771" s="768"/>
      <c r="R771" s="768"/>
      <c r="S771" s="768"/>
      <c r="T771" s="768"/>
      <c r="U771" s="768"/>
      <c r="V771" s="768"/>
      <c r="W771" s="768"/>
      <c r="X771" s="768"/>
      <c r="Y771" s="768"/>
      <c r="Z771" s="768"/>
      <c r="AA771" s="768"/>
    </row>
    <row r="772" ht="30.0" customHeight="1">
      <c r="A772" s="768" t="str">
        <f t="array" ref="A772">XLOOKUP(C772,'High School Players'!D:D,'High School Players'!K:K,"NO",0,1)</f>
        <v>NO</v>
      </c>
      <c r="B772" s="768"/>
      <c r="C772" s="768"/>
      <c r="D772" s="768"/>
      <c r="E772" s="768"/>
      <c r="F772" s="768"/>
      <c r="G772" s="768"/>
      <c r="H772" s="768"/>
      <c r="I772" s="768"/>
      <c r="J772" s="768"/>
      <c r="K772" s="768"/>
      <c r="L772" s="768"/>
      <c r="M772" s="768"/>
      <c r="N772" s="768"/>
      <c r="O772" s="768"/>
      <c r="P772" s="768"/>
      <c r="Q772" s="768"/>
      <c r="R772" s="768"/>
      <c r="S772" s="768"/>
      <c r="T772" s="768"/>
      <c r="U772" s="768"/>
      <c r="V772" s="768"/>
      <c r="W772" s="768"/>
      <c r="X772" s="768"/>
      <c r="Y772" s="768"/>
      <c r="Z772" s="768"/>
      <c r="AA772" s="768"/>
    </row>
    <row r="773" ht="30.0" customHeight="1">
      <c r="A773" s="768" t="str">
        <f t="array" ref="A773">XLOOKUP(C773,'High School Players'!D:D,'High School Players'!K:K,"NO",0,1)</f>
        <v>NO</v>
      </c>
      <c r="B773" s="768"/>
      <c r="C773" s="768"/>
      <c r="D773" s="768"/>
      <c r="E773" s="768"/>
      <c r="F773" s="768"/>
      <c r="G773" s="768"/>
      <c r="H773" s="768"/>
      <c r="I773" s="768"/>
      <c r="J773" s="768"/>
      <c r="K773" s="768"/>
      <c r="L773" s="768"/>
      <c r="M773" s="768"/>
      <c r="N773" s="768"/>
      <c r="O773" s="768"/>
      <c r="P773" s="768"/>
      <c r="Q773" s="768"/>
      <c r="R773" s="768"/>
      <c r="S773" s="768"/>
      <c r="T773" s="768"/>
      <c r="U773" s="768"/>
      <c r="V773" s="768"/>
      <c r="W773" s="768"/>
      <c r="X773" s="768"/>
      <c r="Y773" s="768"/>
      <c r="Z773" s="768"/>
      <c r="AA773" s="768"/>
    </row>
    <row r="774" ht="30.0" customHeight="1">
      <c r="A774" s="768" t="str">
        <f t="array" ref="A774">XLOOKUP(C774,'High School Players'!D:D,'High School Players'!K:K,"NO",0,1)</f>
        <v>NO</v>
      </c>
      <c r="B774" s="768"/>
      <c r="C774" s="768"/>
      <c r="D774" s="768"/>
      <c r="E774" s="768"/>
      <c r="F774" s="768"/>
      <c r="G774" s="768"/>
      <c r="H774" s="768"/>
      <c r="I774" s="768"/>
      <c r="J774" s="768"/>
      <c r="K774" s="768"/>
      <c r="L774" s="768"/>
      <c r="M774" s="768"/>
      <c r="N774" s="768"/>
      <c r="O774" s="768"/>
      <c r="P774" s="768"/>
      <c r="Q774" s="768"/>
      <c r="R774" s="768"/>
      <c r="S774" s="768"/>
      <c r="T774" s="768"/>
      <c r="U774" s="768"/>
      <c r="V774" s="768"/>
      <c r="W774" s="768"/>
      <c r="X774" s="768"/>
      <c r="Y774" s="768"/>
      <c r="Z774" s="768"/>
      <c r="AA774" s="768"/>
    </row>
    <row r="775" ht="30.0" customHeight="1">
      <c r="A775" s="768" t="str">
        <f t="array" ref="A775">XLOOKUP(C775,'High School Players'!D:D,'High School Players'!K:K,"NO",0,1)</f>
        <v>NO</v>
      </c>
      <c r="B775" s="768"/>
      <c r="C775" s="768"/>
      <c r="D775" s="768"/>
      <c r="E775" s="768"/>
      <c r="F775" s="768"/>
      <c r="G775" s="768"/>
      <c r="H775" s="768"/>
      <c r="I775" s="768"/>
      <c r="J775" s="768"/>
      <c r="K775" s="768"/>
      <c r="L775" s="768"/>
      <c r="M775" s="768"/>
      <c r="N775" s="768"/>
      <c r="O775" s="768"/>
      <c r="P775" s="768"/>
      <c r="Q775" s="768"/>
      <c r="R775" s="768"/>
      <c r="S775" s="768"/>
      <c r="T775" s="768"/>
      <c r="U775" s="768"/>
      <c r="V775" s="768"/>
      <c r="W775" s="768"/>
      <c r="X775" s="768"/>
      <c r="Y775" s="768"/>
      <c r="Z775" s="768"/>
      <c r="AA775" s="768"/>
    </row>
    <row r="776" ht="30.0" customHeight="1">
      <c r="A776" s="768" t="str">
        <f t="array" ref="A776">XLOOKUP(C776,'High School Players'!D:D,'High School Players'!K:K,"NO",0,1)</f>
        <v>NO</v>
      </c>
      <c r="B776" s="768"/>
      <c r="C776" s="768"/>
      <c r="D776" s="768"/>
      <c r="E776" s="768"/>
      <c r="F776" s="768"/>
      <c r="G776" s="768"/>
      <c r="H776" s="768"/>
      <c r="I776" s="768"/>
      <c r="J776" s="768"/>
      <c r="K776" s="768"/>
      <c r="L776" s="768"/>
      <c r="M776" s="768"/>
      <c r="N776" s="768"/>
      <c r="O776" s="768"/>
      <c r="P776" s="768"/>
      <c r="Q776" s="768"/>
      <c r="R776" s="768"/>
      <c r="S776" s="768"/>
      <c r="T776" s="768"/>
      <c r="U776" s="768"/>
      <c r="V776" s="768"/>
      <c r="W776" s="768"/>
      <c r="X776" s="768"/>
      <c r="Y776" s="768"/>
      <c r="Z776" s="768"/>
      <c r="AA776" s="768"/>
    </row>
    <row r="777" ht="30.0" customHeight="1">
      <c r="A777" s="768" t="str">
        <f t="array" ref="A777">XLOOKUP(C777,'High School Players'!D:D,'High School Players'!K:K,"NO",0,1)</f>
        <v>NO</v>
      </c>
      <c r="B777" s="768"/>
      <c r="C777" s="768"/>
      <c r="D777" s="768"/>
      <c r="E777" s="768"/>
      <c r="F777" s="768"/>
      <c r="G777" s="768"/>
      <c r="H777" s="768"/>
      <c r="I777" s="768"/>
      <c r="J777" s="768"/>
      <c r="K777" s="768"/>
      <c r="L777" s="768"/>
      <c r="M777" s="768"/>
      <c r="N777" s="768"/>
      <c r="O777" s="768"/>
      <c r="P777" s="768"/>
      <c r="Q777" s="768"/>
      <c r="R777" s="768"/>
      <c r="S777" s="768"/>
      <c r="T777" s="768"/>
      <c r="U777" s="768"/>
      <c r="V777" s="768"/>
      <c r="W777" s="768"/>
      <c r="X777" s="768"/>
      <c r="Y777" s="768"/>
      <c r="Z777" s="768"/>
      <c r="AA777" s="768"/>
    </row>
    <row r="778" ht="30.0" customHeight="1">
      <c r="A778" s="768" t="str">
        <f t="array" ref="A778">XLOOKUP(C778,'High School Players'!D:D,'High School Players'!K:K,"NO",0,1)</f>
        <v>NO</v>
      </c>
      <c r="B778" s="768"/>
      <c r="C778" s="768"/>
      <c r="D778" s="768"/>
      <c r="E778" s="768"/>
      <c r="F778" s="768"/>
      <c r="G778" s="768"/>
      <c r="H778" s="768"/>
      <c r="I778" s="768"/>
      <c r="J778" s="768"/>
      <c r="K778" s="768"/>
      <c r="L778" s="768"/>
      <c r="M778" s="768"/>
      <c r="N778" s="768"/>
      <c r="O778" s="768"/>
      <c r="P778" s="768"/>
      <c r="Q778" s="768"/>
      <c r="R778" s="768"/>
      <c r="S778" s="768"/>
      <c r="T778" s="768"/>
      <c r="U778" s="768"/>
      <c r="V778" s="768"/>
      <c r="W778" s="768"/>
      <c r="X778" s="768"/>
      <c r="Y778" s="768"/>
      <c r="Z778" s="768"/>
      <c r="AA778" s="768"/>
    </row>
    <row r="779" ht="30.0" customHeight="1">
      <c r="A779" s="768" t="str">
        <f t="array" ref="A779">XLOOKUP(C779,'High School Players'!D:D,'High School Players'!K:K,"NO",0,1)</f>
        <v>NO</v>
      </c>
      <c r="B779" s="768"/>
      <c r="C779" s="768"/>
      <c r="D779" s="768"/>
      <c r="E779" s="768"/>
      <c r="F779" s="768"/>
      <c r="G779" s="768"/>
      <c r="H779" s="768"/>
      <c r="I779" s="768"/>
      <c r="J779" s="768"/>
      <c r="K779" s="768"/>
      <c r="L779" s="768"/>
      <c r="M779" s="768"/>
      <c r="N779" s="768"/>
      <c r="O779" s="768"/>
      <c r="P779" s="768"/>
      <c r="Q779" s="768"/>
      <c r="R779" s="768"/>
      <c r="S779" s="768"/>
      <c r="T779" s="768"/>
      <c r="U779" s="768"/>
      <c r="V779" s="768"/>
      <c r="W779" s="768"/>
      <c r="X779" s="768"/>
      <c r="Y779" s="768"/>
      <c r="Z779" s="768"/>
      <c r="AA779" s="768"/>
    </row>
    <row r="780" ht="30.0" customHeight="1">
      <c r="A780" s="768" t="str">
        <f t="array" ref="A780">XLOOKUP(C780,'High School Players'!D:D,'High School Players'!K:K,"NO",0,1)</f>
        <v>NO</v>
      </c>
      <c r="B780" s="768"/>
      <c r="C780" s="768"/>
      <c r="D780" s="768"/>
      <c r="E780" s="768"/>
      <c r="F780" s="768"/>
      <c r="G780" s="768"/>
      <c r="H780" s="768"/>
      <c r="I780" s="768"/>
      <c r="J780" s="768"/>
      <c r="K780" s="768"/>
      <c r="L780" s="768"/>
      <c r="M780" s="768"/>
      <c r="N780" s="768"/>
      <c r="O780" s="768"/>
      <c r="P780" s="768"/>
      <c r="Q780" s="768"/>
      <c r="R780" s="768"/>
      <c r="S780" s="768"/>
      <c r="T780" s="768"/>
      <c r="U780" s="768"/>
      <c r="V780" s="768"/>
      <c r="W780" s="768"/>
      <c r="X780" s="768"/>
      <c r="Y780" s="768"/>
      <c r="Z780" s="768"/>
      <c r="AA780" s="768"/>
    </row>
    <row r="781" ht="30.0" customHeight="1">
      <c r="A781" s="768" t="str">
        <f t="array" ref="A781">XLOOKUP(C781,'High School Players'!D:D,'High School Players'!K:K,"NO",0,1)</f>
        <v>NO</v>
      </c>
      <c r="B781" s="768"/>
      <c r="C781" s="768"/>
      <c r="D781" s="768"/>
      <c r="E781" s="768"/>
      <c r="F781" s="768"/>
      <c r="G781" s="768"/>
      <c r="H781" s="768"/>
      <c r="I781" s="768"/>
      <c r="J781" s="768"/>
      <c r="K781" s="768"/>
      <c r="L781" s="768"/>
      <c r="M781" s="768"/>
      <c r="N781" s="768"/>
      <c r="O781" s="768"/>
      <c r="P781" s="768"/>
      <c r="Q781" s="768"/>
      <c r="R781" s="768"/>
      <c r="S781" s="768"/>
      <c r="T781" s="768"/>
      <c r="U781" s="768"/>
      <c r="V781" s="768"/>
      <c r="W781" s="768"/>
      <c r="X781" s="768"/>
      <c r="Y781" s="768"/>
      <c r="Z781" s="768"/>
      <c r="AA781" s="768"/>
    </row>
    <row r="782" ht="30.0" customHeight="1">
      <c r="A782" s="768" t="str">
        <f t="array" ref="A782">XLOOKUP(C782,'High School Players'!D:D,'High School Players'!K:K,"NO",0,1)</f>
        <v>NO</v>
      </c>
      <c r="B782" s="768"/>
      <c r="C782" s="768"/>
      <c r="D782" s="768"/>
      <c r="E782" s="768"/>
      <c r="F782" s="768"/>
      <c r="G782" s="768"/>
      <c r="H782" s="768"/>
      <c r="I782" s="768"/>
      <c r="J782" s="768"/>
      <c r="K782" s="768"/>
      <c r="L782" s="768"/>
      <c r="M782" s="768"/>
      <c r="N782" s="768"/>
      <c r="O782" s="768"/>
      <c r="P782" s="768"/>
      <c r="Q782" s="768"/>
      <c r="R782" s="768"/>
      <c r="S782" s="768"/>
      <c r="T782" s="768"/>
      <c r="U782" s="768"/>
      <c r="V782" s="768"/>
      <c r="W782" s="768"/>
      <c r="X782" s="768"/>
      <c r="Y782" s="768"/>
      <c r="Z782" s="768"/>
      <c r="AA782" s="768"/>
    </row>
    <row r="783" ht="30.0" customHeight="1">
      <c r="A783" s="768" t="str">
        <f t="array" ref="A783">XLOOKUP(C783,'High School Players'!D:D,'High School Players'!K:K,"NO",0,1)</f>
        <v>NO</v>
      </c>
      <c r="B783" s="768"/>
      <c r="C783" s="768"/>
      <c r="D783" s="768"/>
      <c r="E783" s="768"/>
      <c r="F783" s="768"/>
      <c r="G783" s="768"/>
      <c r="H783" s="768"/>
      <c r="I783" s="768"/>
      <c r="J783" s="768"/>
      <c r="K783" s="768"/>
      <c r="L783" s="768"/>
      <c r="M783" s="768"/>
      <c r="N783" s="768"/>
      <c r="O783" s="768"/>
      <c r="P783" s="768"/>
      <c r="Q783" s="768"/>
      <c r="R783" s="768"/>
      <c r="S783" s="768"/>
      <c r="T783" s="768"/>
      <c r="U783" s="768"/>
      <c r="V783" s="768"/>
      <c r="W783" s="768"/>
      <c r="X783" s="768"/>
      <c r="Y783" s="768"/>
      <c r="Z783" s="768"/>
      <c r="AA783" s="768"/>
    </row>
    <row r="784" ht="30.0" customHeight="1">
      <c r="A784" s="768" t="str">
        <f t="array" ref="A784">XLOOKUP(C784,'High School Players'!D:D,'High School Players'!K:K,"NO",0,1)</f>
        <v>NO</v>
      </c>
      <c r="B784" s="768"/>
      <c r="C784" s="768"/>
      <c r="D784" s="768"/>
      <c r="E784" s="768"/>
      <c r="F784" s="768"/>
      <c r="G784" s="768"/>
      <c r="H784" s="768"/>
      <c r="I784" s="768"/>
      <c r="J784" s="768"/>
      <c r="K784" s="768"/>
      <c r="L784" s="768"/>
      <c r="M784" s="768"/>
      <c r="N784" s="768"/>
      <c r="O784" s="768"/>
      <c r="P784" s="768"/>
      <c r="Q784" s="768"/>
      <c r="R784" s="768"/>
      <c r="S784" s="768"/>
      <c r="T784" s="768"/>
      <c r="U784" s="768"/>
      <c r="V784" s="768"/>
      <c r="W784" s="768"/>
      <c r="X784" s="768"/>
      <c r="Y784" s="768"/>
      <c r="Z784" s="768"/>
      <c r="AA784" s="768"/>
    </row>
    <row r="785" ht="30.0" customHeight="1">
      <c r="A785" s="768" t="str">
        <f t="array" ref="A785">XLOOKUP(C785,'High School Players'!D:D,'High School Players'!K:K,"NO",0,1)</f>
        <v>NO</v>
      </c>
      <c r="B785" s="768"/>
      <c r="C785" s="768"/>
      <c r="D785" s="768"/>
      <c r="E785" s="768"/>
      <c r="F785" s="768"/>
      <c r="G785" s="768"/>
      <c r="H785" s="768"/>
      <c r="I785" s="768"/>
      <c r="J785" s="768"/>
      <c r="K785" s="768"/>
      <c r="L785" s="768"/>
      <c r="M785" s="768"/>
      <c r="N785" s="768"/>
      <c r="O785" s="768"/>
      <c r="P785" s="768"/>
      <c r="Q785" s="768"/>
      <c r="R785" s="768"/>
      <c r="S785" s="768"/>
      <c r="T785" s="768"/>
      <c r="U785" s="768"/>
      <c r="V785" s="768"/>
      <c r="W785" s="768"/>
      <c r="X785" s="768"/>
      <c r="Y785" s="768"/>
      <c r="Z785" s="768"/>
      <c r="AA785" s="768"/>
    </row>
    <row r="786" ht="30.0" customHeight="1">
      <c r="A786" s="768" t="str">
        <f t="array" ref="A786">XLOOKUP(C786,'High School Players'!D:D,'High School Players'!K:K,"NO",0,1)</f>
        <v>NO</v>
      </c>
      <c r="B786" s="768"/>
      <c r="C786" s="768"/>
      <c r="D786" s="768"/>
      <c r="E786" s="768"/>
      <c r="F786" s="768"/>
      <c r="G786" s="768"/>
      <c r="H786" s="768"/>
      <c r="I786" s="768"/>
      <c r="J786" s="768"/>
      <c r="K786" s="768"/>
      <c r="L786" s="768"/>
      <c r="M786" s="768"/>
      <c r="N786" s="768"/>
      <c r="O786" s="768"/>
      <c r="P786" s="768"/>
      <c r="Q786" s="768"/>
      <c r="R786" s="768"/>
      <c r="S786" s="768"/>
      <c r="T786" s="768"/>
      <c r="U786" s="768"/>
      <c r="V786" s="768"/>
      <c r="W786" s="768"/>
      <c r="X786" s="768"/>
      <c r="Y786" s="768"/>
      <c r="Z786" s="768"/>
      <c r="AA786" s="768"/>
    </row>
    <row r="787" ht="30.0" customHeight="1">
      <c r="A787" s="768" t="str">
        <f t="array" ref="A787">XLOOKUP(C787,'High School Players'!D:D,'High School Players'!K:K,"NO",0,1)</f>
        <v>NO</v>
      </c>
      <c r="B787" s="768"/>
      <c r="C787" s="768"/>
      <c r="D787" s="768"/>
      <c r="E787" s="768"/>
      <c r="F787" s="768"/>
      <c r="G787" s="768"/>
      <c r="H787" s="768"/>
      <c r="I787" s="768"/>
      <c r="J787" s="768"/>
      <c r="K787" s="768"/>
      <c r="L787" s="768"/>
      <c r="M787" s="768"/>
      <c r="N787" s="768"/>
      <c r="O787" s="768"/>
      <c r="P787" s="768"/>
      <c r="Q787" s="768"/>
      <c r="R787" s="768"/>
      <c r="S787" s="768"/>
      <c r="T787" s="768"/>
      <c r="U787" s="768"/>
      <c r="V787" s="768"/>
      <c r="W787" s="768"/>
      <c r="X787" s="768"/>
      <c r="Y787" s="768"/>
      <c r="Z787" s="768"/>
      <c r="AA787" s="768"/>
    </row>
    <row r="788" ht="30.0" customHeight="1">
      <c r="A788" s="768" t="str">
        <f t="array" ref="A788">XLOOKUP(C788,'High School Players'!D:D,'High School Players'!K:K,"NO",0,1)</f>
        <v>NO</v>
      </c>
      <c r="B788" s="768"/>
      <c r="C788" s="768"/>
      <c r="D788" s="768"/>
      <c r="E788" s="768"/>
      <c r="F788" s="768"/>
      <c r="G788" s="768"/>
      <c r="H788" s="768"/>
      <c r="I788" s="768"/>
      <c r="J788" s="768"/>
      <c r="K788" s="768"/>
      <c r="L788" s="768"/>
      <c r="M788" s="768"/>
      <c r="N788" s="768"/>
      <c r="O788" s="768"/>
      <c r="P788" s="768"/>
      <c r="Q788" s="768"/>
      <c r="R788" s="768"/>
      <c r="S788" s="768"/>
      <c r="T788" s="768"/>
      <c r="U788" s="768"/>
      <c r="V788" s="768"/>
      <c r="W788" s="768"/>
      <c r="X788" s="768"/>
      <c r="Y788" s="768"/>
      <c r="Z788" s="768"/>
      <c r="AA788" s="768"/>
    </row>
    <row r="789" ht="30.0" customHeight="1">
      <c r="A789" s="768" t="str">
        <f t="array" ref="A789">XLOOKUP(C789,'High School Players'!D:D,'High School Players'!K:K,"NO",0,1)</f>
        <v>NO</v>
      </c>
      <c r="B789" s="768"/>
      <c r="C789" s="768"/>
      <c r="D789" s="768"/>
      <c r="E789" s="768"/>
      <c r="F789" s="768"/>
      <c r="G789" s="768"/>
      <c r="H789" s="768"/>
      <c r="I789" s="768"/>
      <c r="J789" s="768"/>
      <c r="K789" s="768"/>
      <c r="L789" s="768"/>
      <c r="M789" s="768"/>
      <c r="N789" s="768"/>
      <c r="O789" s="768"/>
      <c r="P789" s="768"/>
      <c r="Q789" s="768"/>
      <c r="R789" s="768"/>
      <c r="S789" s="768"/>
      <c r="T789" s="768"/>
      <c r="U789" s="768"/>
      <c r="V789" s="768"/>
      <c r="W789" s="768"/>
      <c r="X789" s="768"/>
      <c r="Y789" s="768"/>
      <c r="Z789" s="768"/>
      <c r="AA789" s="768"/>
    </row>
    <row r="790" ht="30.0" customHeight="1">
      <c r="A790" s="768" t="str">
        <f t="array" ref="A790">XLOOKUP(C790,'High School Players'!D:D,'High School Players'!K:K,"NO",0,1)</f>
        <v>NO</v>
      </c>
      <c r="B790" s="768"/>
      <c r="C790" s="768"/>
      <c r="D790" s="768"/>
      <c r="E790" s="768"/>
      <c r="F790" s="768"/>
      <c r="G790" s="768"/>
      <c r="H790" s="768"/>
      <c r="I790" s="768"/>
      <c r="J790" s="768"/>
      <c r="K790" s="768"/>
      <c r="L790" s="768"/>
      <c r="M790" s="768"/>
      <c r="N790" s="768"/>
      <c r="O790" s="768"/>
      <c r="P790" s="768"/>
      <c r="Q790" s="768"/>
      <c r="R790" s="768"/>
      <c r="S790" s="768"/>
      <c r="T790" s="768"/>
      <c r="U790" s="768"/>
      <c r="V790" s="768"/>
      <c r="W790" s="768"/>
      <c r="X790" s="768"/>
      <c r="Y790" s="768"/>
      <c r="Z790" s="768"/>
      <c r="AA790" s="768"/>
    </row>
    <row r="791" ht="30.0" customHeight="1">
      <c r="A791" s="768" t="str">
        <f t="array" ref="A791">XLOOKUP(C791,'High School Players'!D:D,'High School Players'!K:K,"NO",0,1)</f>
        <v>NO</v>
      </c>
      <c r="B791" s="768"/>
      <c r="C791" s="768"/>
      <c r="D791" s="768"/>
      <c r="E791" s="768"/>
      <c r="F791" s="768"/>
      <c r="G791" s="768"/>
      <c r="H791" s="768"/>
      <c r="I791" s="768"/>
      <c r="J791" s="768"/>
      <c r="K791" s="768"/>
      <c r="L791" s="768"/>
      <c r="M791" s="768"/>
      <c r="N791" s="768"/>
      <c r="O791" s="768"/>
      <c r="P791" s="768"/>
      <c r="Q791" s="768"/>
      <c r="R791" s="768"/>
      <c r="S791" s="768"/>
      <c r="T791" s="768"/>
      <c r="U791" s="768"/>
      <c r="V791" s="768"/>
      <c r="W791" s="768"/>
      <c r="X791" s="768"/>
      <c r="Y791" s="768"/>
      <c r="Z791" s="768"/>
      <c r="AA791" s="768"/>
    </row>
    <row r="792" ht="30.0" customHeight="1">
      <c r="A792" s="768" t="str">
        <f t="array" ref="A792">XLOOKUP(C792,'High School Players'!D:D,'High School Players'!K:K,"NO",0,1)</f>
        <v>NO</v>
      </c>
      <c r="B792" s="768"/>
      <c r="C792" s="768"/>
      <c r="D792" s="768"/>
      <c r="E792" s="768"/>
      <c r="F792" s="768"/>
      <c r="G792" s="768"/>
      <c r="H792" s="768"/>
      <c r="I792" s="768"/>
      <c r="J792" s="768"/>
      <c r="K792" s="768"/>
      <c r="L792" s="768"/>
      <c r="M792" s="768"/>
      <c r="N792" s="768"/>
      <c r="O792" s="768"/>
      <c r="P792" s="768"/>
      <c r="Q792" s="768"/>
      <c r="R792" s="768"/>
      <c r="S792" s="768"/>
      <c r="T792" s="768"/>
      <c r="U792" s="768"/>
      <c r="V792" s="768"/>
      <c r="W792" s="768"/>
      <c r="X792" s="768"/>
      <c r="Y792" s="768"/>
      <c r="Z792" s="768"/>
      <c r="AA792" s="768"/>
    </row>
    <row r="793" ht="30.0" customHeight="1">
      <c r="A793" s="768" t="str">
        <f t="array" ref="A793">XLOOKUP(C793,'High School Players'!D:D,'High School Players'!K:K,"NO",0,1)</f>
        <v>NO</v>
      </c>
      <c r="B793" s="768"/>
      <c r="C793" s="768"/>
      <c r="D793" s="768"/>
      <c r="E793" s="768"/>
      <c r="F793" s="768"/>
      <c r="G793" s="768"/>
      <c r="H793" s="768"/>
      <c r="I793" s="768"/>
      <c r="J793" s="768"/>
      <c r="K793" s="768"/>
      <c r="L793" s="768"/>
      <c r="M793" s="768"/>
      <c r="N793" s="768"/>
      <c r="O793" s="768"/>
      <c r="P793" s="768"/>
      <c r="Q793" s="768"/>
      <c r="R793" s="768"/>
      <c r="S793" s="768"/>
      <c r="T793" s="768"/>
      <c r="U793" s="768"/>
      <c r="V793" s="768"/>
      <c r="W793" s="768"/>
      <c r="X793" s="768"/>
      <c r="Y793" s="768"/>
      <c r="Z793" s="768"/>
      <c r="AA793" s="768"/>
    </row>
    <row r="794" ht="30.0" customHeight="1">
      <c r="A794" s="768" t="str">
        <f t="array" ref="A794">XLOOKUP(C794,'High School Players'!D:D,'High School Players'!K:K,"NO",0,1)</f>
        <v>NO</v>
      </c>
      <c r="B794" s="768"/>
      <c r="C794" s="768"/>
      <c r="D794" s="768"/>
      <c r="E794" s="768"/>
      <c r="F794" s="768"/>
      <c r="G794" s="768"/>
      <c r="H794" s="768"/>
      <c r="I794" s="768"/>
      <c r="J794" s="768"/>
      <c r="K794" s="768"/>
      <c r="L794" s="768"/>
      <c r="M794" s="768"/>
      <c r="N794" s="768"/>
      <c r="O794" s="768"/>
      <c r="P794" s="768"/>
      <c r="Q794" s="768"/>
      <c r="R794" s="768"/>
      <c r="S794" s="768"/>
      <c r="T794" s="768"/>
      <c r="U794" s="768"/>
      <c r="V794" s="768"/>
      <c r="W794" s="768"/>
      <c r="X794" s="768"/>
      <c r="Y794" s="768"/>
      <c r="Z794" s="768"/>
      <c r="AA794" s="768"/>
    </row>
    <row r="795" ht="30.0" customHeight="1">
      <c r="A795" s="768" t="str">
        <f t="array" ref="A795">XLOOKUP(C795,'High School Players'!D:D,'High School Players'!K:K,"NO",0,1)</f>
        <v>NO</v>
      </c>
      <c r="B795" s="768"/>
      <c r="C795" s="768"/>
      <c r="D795" s="768"/>
      <c r="E795" s="768"/>
      <c r="F795" s="768"/>
      <c r="G795" s="768"/>
      <c r="H795" s="768"/>
      <c r="I795" s="768"/>
      <c r="J795" s="768"/>
      <c r="K795" s="768"/>
      <c r="L795" s="768"/>
      <c r="M795" s="768"/>
      <c r="N795" s="768"/>
      <c r="O795" s="768"/>
      <c r="P795" s="768"/>
      <c r="Q795" s="768"/>
      <c r="R795" s="768"/>
      <c r="S795" s="768"/>
      <c r="T795" s="768"/>
      <c r="U795" s="768"/>
      <c r="V795" s="768"/>
      <c r="W795" s="768"/>
      <c r="X795" s="768"/>
      <c r="Y795" s="768"/>
      <c r="Z795" s="768"/>
      <c r="AA795" s="768"/>
    </row>
    <row r="796" ht="30.0" customHeight="1">
      <c r="A796" s="768" t="str">
        <f t="array" ref="A796">XLOOKUP(C796,'High School Players'!D:D,'High School Players'!K:K,"NO",0,1)</f>
        <v>NO</v>
      </c>
      <c r="B796" s="768"/>
      <c r="C796" s="768"/>
      <c r="D796" s="768"/>
      <c r="E796" s="768"/>
      <c r="F796" s="768"/>
      <c r="G796" s="768"/>
      <c r="H796" s="768"/>
      <c r="I796" s="768"/>
      <c r="J796" s="768"/>
      <c r="K796" s="768"/>
      <c r="L796" s="768"/>
      <c r="M796" s="768"/>
      <c r="N796" s="768"/>
      <c r="O796" s="768"/>
      <c r="P796" s="768"/>
      <c r="Q796" s="768"/>
      <c r="R796" s="768"/>
      <c r="S796" s="768"/>
      <c r="T796" s="768"/>
      <c r="U796" s="768"/>
      <c r="V796" s="768"/>
      <c r="W796" s="768"/>
      <c r="X796" s="768"/>
      <c r="Y796" s="768"/>
      <c r="Z796" s="768"/>
      <c r="AA796" s="768"/>
    </row>
    <row r="797" ht="30.0" customHeight="1">
      <c r="A797" s="768" t="str">
        <f t="array" ref="A797">XLOOKUP(C797,'High School Players'!D:D,'High School Players'!K:K,"NO",0,1)</f>
        <v>NO</v>
      </c>
      <c r="B797" s="768"/>
      <c r="C797" s="768"/>
      <c r="D797" s="768"/>
      <c r="E797" s="768"/>
      <c r="F797" s="768"/>
      <c r="G797" s="768"/>
      <c r="H797" s="768"/>
      <c r="I797" s="768"/>
      <c r="J797" s="768"/>
      <c r="K797" s="768"/>
      <c r="L797" s="768"/>
      <c r="M797" s="768"/>
      <c r="N797" s="768"/>
      <c r="O797" s="768"/>
      <c r="P797" s="768"/>
      <c r="Q797" s="768"/>
      <c r="R797" s="768"/>
      <c r="S797" s="768"/>
      <c r="T797" s="768"/>
      <c r="U797" s="768"/>
      <c r="V797" s="768"/>
      <c r="W797" s="768"/>
      <c r="X797" s="768"/>
      <c r="Y797" s="768"/>
      <c r="Z797" s="768"/>
      <c r="AA797" s="768"/>
    </row>
    <row r="798" ht="30.0" customHeight="1">
      <c r="A798" s="768" t="str">
        <f t="array" ref="A798">XLOOKUP(C798,'High School Players'!D:D,'High School Players'!K:K,"NO",0,1)</f>
        <v>NO</v>
      </c>
      <c r="B798" s="768"/>
      <c r="C798" s="768"/>
      <c r="D798" s="768"/>
      <c r="E798" s="768"/>
      <c r="F798" s="768"/>
      <c r="G798" s="768"/>
      <c r="H798" s="768"/>
      <c r="I798" s="768"/>
      <c r="J798" s="768"/>
      <c r="K798" s="768"/>
      <c r="L798" s="768"/>
      <c r="M798" s="768"/>
      <c r="N798" s="768"/>
      <c r="O798" s="768"/>
      <c r="P798" s="768"/>
      <c r="Q798" s="768"/>
      <c r="R798" s="768"/>
      <c r="S798" s="768"/>
      <c r="T798" s="768"/>
      <c r="U798" s="768"/>
      <c r="V798" s="768"/>
      <c r="W798" s="768"/>
      <c r="X798" s="768"/>
      <c r="Y798" s="768"/>
      <c r="Z798" s="768"/>
      <c r="AA798" s="768"/>
    </row>
    <row r="799" ht="30.0" customHeight="1">
      <c r="A799" s="768" t="str">
        <f t="array" ref="A799">XLOOKUP(C799,'High School Players'!D:D,'High School Players'!K:K,"NO",0,1)</f>
        <v>NO</v>
      </c>
      <c r="B799" s="768"/>
      <c r="C799" s="768"/>
      <c r="D799" s="768"/>
      <c r="E799" s="768"/>
      <c r="F799" s="768"/>
      <c r="G799" s="768"/>
      <c r="H799" s="768"/>
      <c r="I799" s="768"/>
      <c r="J799" s="768"/>
      <c r="K799" s="768"/>
      <c r="L799" s="768"/>
      <c r="M799" s="768"/>
      <c r="N799" s="768"/>
      <c r="O799" s="768"/>
      <c r="P799" s="768"/>
      <c r="Q799" s="768"/>
      <c r="R799" s="768"/>
      <c r="S799" s="768"/>
      <c r="T799" s="768"/>
      <c r="U799" s="768"/>
      <c r="V799" s="768"/>
      <c r="W799" s="768"/>
      <c r="X799" s="768"/>
      <c r="Y799" s="768"/>
      <c r="Z799" s="768"/>
      <c r="AA799" s="768"/>
    </row>
    <row r="800" ht="30.0" customHeight="1">
      <c r="A800" s="768" t="str">
        <f t="array" ref="A800">XLOOKUP(C800,'High School Players'!D:D,'High School Players'!K:K,"NO",0,1)</f>
        <v>NO</v>
      </c>
      <c r="B800" s="768"/>
      <c r="C800" s="768"/>
      <c r="D800" s="768"/>
      <c r="E800" s="768"/>
      <c r="F800" s="768"/>
      <c r="G800" s="768"/>
      <c r="H800" s="768"/>
      <c r="I800" s="768"/>
      <c r="J800" s="768"/>
      <c r="K800" s="768"/>
      <c r="L800" s="768"/>
      <c r="M800" s="768"/>
      <c r="N800" s="768"/>
      <c r="O800" s="768"/>
      <c r="P800" s="768"/>
      <c r="Q800" s="768"/>
      <c r="R800" s="768"/>
      <c r="S800" s="768"/>
      <c r="T800" s="768"/>
      <c r="U800" s="768"/>
      <c r="V800" s="768"/>
      <c r="W800" s="768"/>
      <c r="X800" s="768"/>
      <c r="Y800" s="768"/>
      <c r="Z800" s="768"/>
      <c r="AA800" s="768"/>
    </row>
    <row r="801" ht="30.0" customHeight="1">
      <c r="A801" s="768" t="str">
        <f t="array" ref="A801">XLOOKUP(C801,'High School Players'!D:D,'High School Players'!K:K,"NO",0,1)</f>
        <v>NO</v>
      </c>
      <c r="B801" s="768"/>
      <c r="C801" s="768"/>
      <c r="D801" s="768"/>
      <c r="E801" s="768"/>
      <c r="F801" s="768"/>
      <c r="G801" s="768"/>
      <c r="H801" s="768"/>
      <c r="I801" s="768"/>
      <c r="J801" s="768"/>
      <c r="K801" s="768"/>
      <c r="L801" s="768"/>
      <c r="M801" s="768"/>
      <c r="N801" s="768"/>
      <c r="O801" s="768"/>
      <c r="P801" s="768"/>
      <c r="Q801" s="768"/>
      <c r="R801" s="768"/>
      <c r="S801" s="768"/>
      <c r="T801" s="768"/>
      <c r="U801" s="768"/>
      <c r="V801" s="768"/>
      <c r="W801" s="768"/>
      <c r="X801" s="768"/>
      <c r="Y801" s="768"/>
      <c r="Z801" s="768"/>
      <c r="AA801" s="768"/>
    </row>
    <row r="802" ht="30.0" customHeight="1">
      <c r="A802" s="768" t="str">
        <f t="array" ref="A802">XLOOKUP(C802,'High School Players'!D:D,'High School Players'!K:K,"NO",0,1)</f>
        <v>NO</v>
      </c>
      <c r="B802" s="768"/>
      <c r="C802" s="768"/>
      <c r="D802" s="768"/>
      <c r="E802" s="768"/>
      <c r="F802" s="768"/>
      <c r="G802" s="768"/>
      <c r="H802" s="768"/>
      <c r="I802" s="768"/>
      <c r="J802" s="768"/>
      <c r="K802" s="768"/>
      <c r="L802" s="768"/>
      <c r="M802" s="768"/>
      <c r="N802" s="768"/>
      <c r="O802" s="768"/>
      <c r="P802" s="768"/>
      <c r="Q802" s="768"/>
      <c r="R802" s="768"/>
      <c r="S802" s="768"/>
      <c r="T802" s="768"/>
      <c r="U802" s="768"/>
      <c r="V802" s="768"/>
      <c r="W802" s="768"/>
      <c r="X802" s="768"/>
      <c r="Y802" s="768"/>
      <c r="Z802" s="768"/>
      <c r="AA802" s="768"/>
    </row>
    <row r="803" ht="30.0" customHeight="1">
      <c r="A803" s="768" t="str">
        <f t="array" ref="A803">XLOOKUP(C803,'High School Players'!D:D,'High School Players'!K:K,"NO",0,1)</f>
        <v>NO</v>
      </c>
      <c r="B803" s="768"/>
      <c r="C803" s="768"/>
      <c r="D803" s="768"/>
      <c r="E803" s="768"/>
      <c r="F803" s="768"/>
      <c r="G803" s="768"/>
      <c r="H803" s="768"/>
      <c r="I803" s="768"/>
      <c r="J803" s="768"/>
      <c r="K803" s="768"/>
      <c r="L803" s="768"/>
      <c r="M803" s="768"/>
      <c r="N803" s="768"/>
      <c r="O803" s="768"/>
      <c r="P803" s="768"/>
      <c r="Q803" s="768"/>
      <c r="R803" s="768"/>
      <c r="S803" s="768"/>
      <c r="T803" s="768"/>
      <c r="U803" s="768"/>
      <c r="V803" s="768"/>
      <c r="W803" s="768"/>
      <c r="X803" s="768"/>
      <c r="Y803" s="768"/>
      <c r="Z803" s="768"/>
      <c r="AA803" s="768"/>
    </row>
    <row r="804" ht="30.0" customHeight="1">
      <c r="A804" s="768" t="str">
        <f t="array" ref="A804">XLOOKUP(C804,'High School Players'!D:D,'High School Players'!K:K,"NO",0,1)</f>
        <v>NO</v>
      </c>
      <c r="B804" s="768"/>
      <c r="C804" s="768"/>
      <c r="D804" s="768"/>
      <c r="E804" s="768"/>
      <c r="F804" s="768"/>
      <c r="G804" s="768"/>
      <c r="H804" s="768"/>
      <c r="I804" s="768"/>
      <c r="J804" s="768"/>
      <c r="K804" s="768"/>
      <c r="L804" s="768"/>
      <c r="M804" s="768"/>
      <c r="N804" s="768"/>
      <c r="O804" s="768"/>
      <c r="P804" s="768"/>
      <c r="Q804" s="768"/>
      <c r="R804" s="768"/>
      <c r="S804" s="768"/>
      <c r="T804" s="768"/>
      <c r="U804" s="768"/>
      <c r="V804" s="768"/>
      <c r="W804" s="768"/>
      <c r="X804" s="768"/>
      <c r="Y804" s="768"/>
      <c r="Z804" s="768"/>
      <c r="AA804" s="768"/>
    </row>
    <row r="805" ht="30.0" customHeight="1">
      <c r="A805" s="768" t="str">
        <f t="array" ref="A805">XLOOKUP(C805,'High School Players'!D:D,'High School Players'!K:K,"NO",0,1)</f>
        <v>NO</v>
      </c>
      <c r="B805" s="768"/>
      <c r="C805" s="768"/>
      <c r="D805" s="768"/>
      <c r="E805" s="768"/>
      <c r="F805" s="768"/>
      <c r="G805" s="768"/>
      <c r="H805" s="768"/>
      <c r="I805" s="768"/>
      <c r="J805" s="768"/>
      <c r="K805" s="768"/>
      <c r="L805" s="768"/>
      <c r="M805" s="768"/>
      <c r="N805" s="768"/>
      <c r="O805" s="768"/>
      <c r="P805" s="768"/>
      <c r="Q805" s="768"/>
      <c r="R805" s="768"/>
      <c r="S805" s="768"/>
      <c r="T805" s="768"/>
      <c r="U805" s="768"/>
      <c r="V805" s="768"/>
      <c r="W805" s="768"/>
      <c r="X805" s="768"/>
      <c r="Y805" s="768"/>
      <c r="Z805" s="768"/>
      <c r="AA805" s="768"/>
    </row>
    <row r="806" ht="30.0" customHeight="1">
      <c r="A806" s="768" t="str">
        <f t="array" ref="A806">XLOOKUP(C806,'High School Players'!D:D,'High School Players'!K:K,"NO",0,1)</f>
        <v>NO</v>
      </c>
      <c r="B806" s="768"/>
      <c r="C806" s="768"/>
      <c r="D806" s="768"/>
      <c r="E806" s="768"/>
      <c r="F806" s="768"/>
      <c r="G806" s="768"/>
      <c r="H806" s="768"/>
      <c r="I806" s="768"/>
      <c r="J806" s="768"/>
      <c r="K806" s="768"/>
      <c r="L806" s="768"/>
      <c r="M806" s="768"/>
      <c r="N806" s="768"/>
      <c r="O806" s="768"/>
      <c r="P806" s="768"/>
      <c r="Q806" s="768"/>
      <c r="R806" s="768"/>
      <c r="S806" s="768"/>
      <c r="T806" s="768"/>
      <c r="U806" s="768"/>
      <c r="V806" s="768"/>
      <c r="W806" s="768"/>
      <c r="X806" s="768"/>
      <c r="Y806" s="768"/>
      <c r="Z806" s="768"/>
      <c r="AA806" s="768"/>
    </row>
    <row r="807" ht="30.0" customHeight="1">
      <c r="A807" s="768" t="str">
        <f t="array" ref="A807">XLOOKUP(C807,'High School Players'!D:D,'High School Players'!K:K,"NO",0,1)</f>
        <v>NO</v>
      </c>
      <c r="B807" s="768"/>
      <c r="C807" s="768"/>
      <c r="D807" s="768"/>
      <c r="E807" s="768"/>
      <c r="F807" s="768"/>
      <c r="G807" s="768"/>
      <c r="H807" s="768"/>
      <c r="I807" s="768"/>
      <c r="J807" s="768"/>
      <c r="K807" s="768"/>
      <c r="L807" s="768"/>
      <c r="M807" s="768"/>
      <c r="N807" s="768"/>
      <c r="O807" s="768"/>
      <c r="P807" s="768"/>
      <c r="Q807" s="768"/>
      <c r="R807" s="768"/>
      <c r="S807" s="768"/>
      <c r="T807" s="768"/>
      <c r="U807" s="768"/>
      <c r="V807" s="768"/>
      <c r="W807" s="768"/>
      <c r="X807" s="768"/>
      <c r="Y807" s="768"/>
      <c r="Z807" s="768"/>
      <c r="AA807" s="768"/>
    </row>
    <row r="808" ht="30.0" customHeight="1">
      <c r="A808" s="768" t="str">
        <f t="array" ref="A808">XLOOKUP(C808,'High School Players'!D:D,'High School Players'!K:K,"NO",0,1)</f>
        <v>NO</v>
      </c>
      <c r="B808" s="768"/>
      <c r="C808" s="768"/>
      <c r="D808" s="768"/>
      <c r="E808" s="768"/>
      <c r="F808" s="768"/>
      <c r="G808" s="768"/>
      <c r="H808" s="768"/>
      <c r="I808" s="768"/>
      <c r="J808" s="768"/>
      <c r="K808" s="768"/>
      <c r="L808" s="768"/>
      <c r="M808" s="768"/>
      <c r="N808" s="768"/>
      <c r="O808" s="768"/>
      <c r="P808" s="768"/>
      <c r="Q808" s="768"/>
      <c r="R808" s="768"/>
      <c r="S808" s="768"/>
      <c r="T808" s="768"/>
      <c r="U808" s="768"/>
      <c r="V808" s="768"/>
      <c r="W808" s="768"/>
      <c r="X808" s="768"/>
      <c r="Y808" s="768"/>
      <c r="Z808" s="768"/>
      <c r="AA808" s="768"/>
    </row>
    <row r="809" ht="30.0" customHeight="1">
      <c r="A809" s="768" t="str">
        <f t="array" ref="A809">XLOOKUP(C809,'High School Players'!D:D,'High School Players'!K:K,"NO",0,1)</f>
        <v>NO</v>
      </c>
      <c r="B809" s="768"/>
      <c r="C809" s="768"/>
      <c r="D809" s="768"/>
      <c r="E809" s="768"/>
      <c r="F809" s="768"/>
      <c r="G809" s="768"/>
      <c r="H809" s="768"/>
      <c r="I809" s="768"/>
      <c r="J809" s="768"/>
      <c r="K809" s="768"/>
      <c r="L809" s="768"/>
      <c r="M809" s="768"/>
      <c r="N809" s="768"/>
      <c r="O809" s="768"/>
      <c r="P809" s="768"/>
      <c r="Q809" s="768"/>
      <c r="R809" s="768"/>
      <c r="S809" s="768"/>
      <c r="T809" s="768"/>
      <c r="U809" s="768"/>
      <c r="V809" s="768"/>
      <c r="W809" s="768"/>
      <c r="X809" s="768"/>
      <c r="Y809" s="768"/>
      <c r="Z809" s="768"/>
      <c r="AA809" s="768"/>
    </row>
    <row r="810" ht="30.0" customHeight="1">
      <c r="A810" s="768" t="str">
        <f t="array" ref="A810">XLOOKUP(C810,'High School Players'!D:D,'High School Players'!K:K,"NO",0,1)</f>
        <v>NO</v>
      </c>
      <c r="B810" s="768"/>
      <c r="C810" s="768"/>
      <c r="D810" s="768"/>
      <c r="E810" s="768"/>
      <c r="F810" s="768"/>
      <c r="G810" s="768"/>
      <c r="H810" s="768"/>
      <c r="I810" s="768"/>
      <c r="J810" s="768"/>
      <c r="K810" s="768"/>
      <c r="L810" s="768"/>
      <c r="M810" s="768"/>
      <c r="N810" s="768"/>
      <c r="O810" s="768"/>
      <c r="P810" s="768"/>
      <c r="Q810" s="768"/>
      <c r="R810" s="768"/>
      <c r="S810" s="768"/>
      <c r="T810" s="768"/>
      <c r="U810" s="768"/>
      <c r="V810" s="768"/>
      <c r="W810" s="768"/>
      <c r="X810" s="768"/>
      <c r="Y810" s="768"/>
      <c r="Z810" s="768"/>
      <c r="AA810" s="768"/>
    </row>
    <row r="811" ht="30.0" customHeight="1">
      <c r="A811" s="768" t="str">
        <f t="array" ref="A811">XLOOKUP(C811,'High School Players'!D:D,'High School Players'!K:K,"NO",0,1)</f>
        <v>NO</v>
      </c>
      <c r="B811" s="768"/>
      <c r="C811" s="768"/>
      <c r="D811" s="768"/>
      <c r="E811" s="768"/>
      <c r="F811" s="768"/>
      <c r="G811" s="768"/>
      <c r="H811" s="768"/>
      <c r="I811" s="768"/>
      <c r="J811" s="768"/>
      <c r="K811" s="768"/>
      <c r="L811" s="768"/>
      <c r="M811" s="768"/>
      <c r="N811" s="768"/>
      <c r="O811" s="768"/>
      <c r="P811" s="768"/>
      <c r="Q811" s="768"/>
      <c r="R811" s="768"/>
      <c r="S811" s="768"/>
      <c r="T811" s="768"/>
      <c r="U811" s="768"/>
      <c r="V811" s="768"/>
      <c r="W811" s="768"/>
      <c r="X811" s="768"/>
      <c r="Y811" s="768"/>
      <c r="Z811" s="768"/>
      <c r="AA811" s="768"/>
    </row>
    <row r="812" ht="30.0" customHeight="1">
      <c r="A812" s="768" t="str">
        <f t="array" ref="A812">XLOOKUP(C812,'High School Players'!D:D,'High School Players'!K:K,"NO",0,1)</f>
        <v>NO</v>
      </c>
      <c r="B812" s="768"/>
      <c r="C812" s="768"/>
      <c r="D812" s="768"/>
      <c r="E812" s="768"/>
      <c r="F812" s="768"/>
      <c r="G812" s="768"/>
      <c r="H812" s="768"/>
      <c r="I812" s="768"/>
      <c r="J812" s="768"/>
      <c r="K812" s="768"/>
      <c r="L812" s="768"/>
      <c r="M812" s="768"/>
      <c r="N812" s="768"/>
      <c r="O812" s="768"/>
      <c r="P812" s="768"/>
      <c r="Q812" s="768"/>
      <c r="R812" s="768"/>
      <c r="S812" s="768"/>
      <c r="T812" s="768"/>
      <c r="U812" s="768"/>
      <c r="V812" s="768"/>
      <c r="W812" s="768"/>
      <c r="X812" s="768"/>
      <c r="Y812" s="768"/>
      <c r="Z812" s="768"/>
      <c r="AA812" s="768"/>
    </row>
    <row r="813" ht="30.0" customHeight="1">
      <c r="A813" s="768" t="str">
        <f t="array" ref="A813">XLOOKUP(C813,'High School Players'!D:D,'High School Players'!K:K,"NO",0,1)</f>
        <v>NO</v>
      </c>
      <c r="B813" s="768"/>
      <c r="C813" s="768"/>
      <c r="D813" s="768"/>
      <c r="E813" s="768"/>
      <c r="F813" s="768"/>
      <c r="G813" s="768"/>
      <c r="H813" s="768"/>
      <c r="I813" s="768"/>
      <c r="J813" s="768"/>
      <c r="K813" s="768"/>
      <c r="L813" s="768"/>
      <c r="M813" s="768"/>
      <c r="N813" s="768"/>
      <c r="O813" s="768"/>
      <c r="P813" s="768"/>
      <c r="Q813" s="768"/>
      <c r="R813" s="768"/>
      <c r="S813" s="768"/>
      <c r="T813" s="768"/>
      <c r="U813" s="768"/>
      <c r="V813" s="768"/>
      <c r="W813" s="768"/>
      <c r="X813" s="768"/>
      <c r="Y813" s="768"/>
      <c r="Z813" s="768"/>
      <c r="AA813" s="768"/>
    </row>
    <row r="814" ht="30.0" customHeight="1">
      <c r="A814" s="768" t="str">
        <f t="array" ref="A814">XLOOKUP(C814,'High School Players'!D:D,'High School Players'!K:K,"NO",0,1)</f>
        <v>NO</v>
      </c>
      <c r="B814" s="768"/>
      <c r="C814" s="768"/>
      <c r="D814" s="768"/>
      <c r="E814" s="768"/>
      <c r="F814" s="768"/>
      <c r="G814" s="768"/>
      <c r="H814" s="768"/>
      <c r="I814" s="768"/>
      <c r="J814" s="768"/>
      <c r="K814" s="768"/>
      <c r="L814" s="768"/>
      <c r="M814" s="768"/>
      <c r="N814" s="768"/>
      <c r="O814" s="768"/>
      <c r="P814" s="768"/>
      <c r="Q814" s="768"/>
      <c r="R814" s="768"/>
      <c r="S814" s="768"/>
      <c r="T814" s="768"/>
      <c r="U814" s="768"/>
      <c r="V814" s="768"/>
      <c r="W814" s="768"/>
      <c r="X814" s="768"/>
      <c r="Y814" s="768"/>
      <c r="Z814" s="768"/>
      <c r="AA814" s="768"/>
    </row>
    <row r="815" ht="30.0" customHeight="1">
      <c r="A815" s="768" t="str">
        <f t="array" ref="A815">XLOOKUP(C815,'High School Players'!D:D,'High School Players'!K:K,"NO",0,1)</f>
        <v>NO</v>
      </c>
      <c r="B815" s="768"/>
      <c r="C815" s="768"/>
      <c r="D815" s="768"/>
      <c r="E815" s="768"/>
      <c r="F815" s="768"/>
      <c r="G815" s="768"/>
      <c r="H815" s="768"/>
      <c r="I815" s="768"/>
      <c r="J815" s="768"/>
      <c r="K815" s="768"/>
      <c r="L815" s="768"/>
      <c r="M815" s="768"/>
      <c r="N815" s="768"/>
      <c r="O815" s="768"/>
      <c r="P815" s="768"/>
      <c r="Q815" s="768"/>
      <c r="R815" s="768"/>
      <c r="S815" s="768"/>
      <c r="T815" s="768"/>
      <c r="U815" s="768"/>
      <c r="V815" s="768"/>
      <c r="W815" s="768"/>
      <c r="X815" s="768"/>
      <c r="Y815" s="768"/>
      <c r="Z815" s="768"/>
      <c r="AA815" s="768"/>
    </row>
    <row r="816" ht="30.0" customHeight="1">
      <c r="A816" s="768" t="str">
        <f t="array" ref="A816">XLOOKUP(C816,'High School Players'!D:D,'High School Players'!K:K,"NO",0,1)</f>
        <v>NO</v>
      </c>
      <c r="B816" s="768"/>
      <c r="C816" s="768"/>
      <c r="D816" s="768"/>
      <c r="E816" s="768"/>
      <c r="F816" s="768"/>
      <c r="G816" s="768"/>
      <c r="H816" s="768"/>
      <c r="I816" s="768"/>
      <c r="J816" s="768"/>
      <c r="K816" s="768"/>
      <c r="L816" s="768"/>
      <c r="M816" s="768"/>
      <c r="N816" s="768"/>
      <c r="O816" s="768"/>
      <c r="P816" s="768"/>
      <c r="Q816" s="768"/>
      <c r="R816" s="768"/>
      <c r="S816" s="768"/>
      <c r="T816" s="768"/>
      <c r="U816" s="768"/>
      <c r="V816" s="768"/>
      <c r="W816" s="768"/>
      <c r="X816" s="768"/>
      <c r="Y816" s="768"/>
      <c r="Z816" s="768"/>
      <c r="AA816" s="768"/>
    </row>
    <row r="817" ht="30.0" customHeight="1">
      <c r="A817" s="768" t="str">
        <f t="array" ref="A817">XLOOKUP(C817,'High School Players'!D:D,'High School Players'!K:K,"NO",0,1)</f>
        <v>NO</v>
      </c>
      <c r="B817" s="768"/>
      <c r="C817" s="768"/>
      <c r="D817" s="768"/>
      <c r="E817" s="768"/>
      <c r="F817" s="768"/>
      <c r="G817" s="768"/>
      <c r="H817" s="768"/>
      <c r="I817" s="768"/>
      <c r="J817" s="768"/>
      <c r="K817" s="768"/>
      <c r="L817" s="768"/>
      <c r="M817" s="768"/>
      <c r="N817" s="768"/>
      <c r="O817" s="768"/>
      <c r="P817" s="768"/>
      <c r="Q817" s="768"/>
      <c r="R817" s="768"/>
      <c r="S817" s="768"/>
      <c r="T817" s="768"/>
      <c r="U817" s="768"/>
      <c r="V817" s="768"/>
      <c r="W817" s="768"/>
      <c r="X817" s="768"/>
      <c r="Y817" s="768"/>
      <c r="Z817" s="768"/>
      <c r="AA817" s="768"/>
    </row>
    <row r="818" ht="30.0" customHeight="1">
      <c r="A818" s="768" t="str">
        <f t="array" ref="A818">XLOOKUP(C818,'High School Players'!D:D,'High School Players'!K:K,"NO",0,1)</f>
        <v>NO</v>
      </c>
      <c r="B818" s="768"/>
      <c r="C818" s="768"/>
      <c r="D818" s="768"/>
      <c r="E818" s="768"/>
      <c r="F818" s="768"/>
      <c r="G818" s="768"/>
      <c r="H818" s="768"/>
      <c r="I818" s="768"/>
      <c r="J818" s="768"/>
      <c r="K818" s="768"/>
      <c r="L818" s="768"/>
      <c r="M818" s="768"/>
      <c r="N818" s="768"/>
      <c r="O818" s="768"/>
      <c r="P818" s="768"/>
      <c r="Q818" s="768"/>
      <c r="R818" s="768"/>
      <c r="S818" s="768"/>
      <c r="T818" s="768"/>
      <c r="U818" s="768"/>
      <c r="V818" s="768"/>
      <c r="W818" s="768"/>
      <c r="X818" s="768"/>
      <c r="Y818" s="768"/>
      <c r="Z818" s="768"/>
      <c r="AA818" s="768"/>
    </row>
    <row r="819" ht="30.0" customHeight="1">
      <c r="A819" s="768" t="str">
        <f t="array" ref="A819">XLOOKUP(C819,'High School Players'!D:D,'High School Players'!K:K,"NO",0,1)</f>
        <v>NO</v>
      </c>
      <c r="B819" s="768"/>
      <c r="C819" s="768"/>
      <c r="D819" s="768"/>
      <c r="E819" s="768"/>
      <c r="F819" s="768"/>
      <c r="G819" s="768"/>
      <c r="H819" s="768"/>
      <c r="I819" s="768"/>
      <c r="J819" s="768"/>
      <c r="K819" s="768"/>
      <c r="L819" s="768"/>
      <c r="M819" s="768"/>
      <c r="N819" s="768"/>
      <c r="O819" s="768"/>
      <c r="P819" s="768"/>
      <c r="Q819" s="768"/>
      <c r="R819" s="768"/>
      <c r="S819" s="768"/>
      <c r="T819" s="768"/>
      <c r="U819" s="768"/>
      <c r="V819" s="768"/>
      <c r="W819" s="768"/>
      <c r="X819" s="768"/>
      <c r="Y819" s="768"/>
      <c r="Z819" s="768"/>
      <c r="AA819" s="768"/>
    </row>
    <row r="820" ht="30.0" customHeight="1">
      <c r="A820" s="768" t="str">
        <f t="array" ref="A820">XLOOKUP(C820,'High School Players'!D:D,'High School Players'!K:K,"NO",0,1)</f>
        <v>NO</v>
      </c>
      <c r="B820" s="768"/>
      <c r="C820" s="768"/>
      <c r="D820" s="768"/>
      <c r="E820" s="768"/>
      <c r="F820" s="768"/>
      <c r="G820" s="768"/>
      <c r="H820" s="768"/>
      <c r="I820" s="768"/>
      <c r="J820" s="768"/>
      <c r="K820" s="768"/>
      <c r="L820" s="768"/>
      <c r="M820" s="768"/>
      <c r="N820" s="768"/>
      <c r="O820" s="768"/>
      <c r="P820" s="768"/>
      <c r="Q820" s="768"/>
      <c r="R820" s="768"/>
      <c r="S820" s="768"/>
      <c r="T820" s="768"/>
      <c r="U820" s="768"/>
      <c r="V820" s="768"/>
      <c r="W820" s="768"/>
      <c r="X820" s="768"/>
      <c r="Y820" s="768"/>
      <c r="Z820" s="768"/>
      <c r="AA820" s="768"/>
    </row>
    <row r="821" ht="30.0" customHeight="1">
      <c r="A821" s="768" t="str">
        <f t="array" ref="A821">XLOOKUP(C821,'High School Players'!D:D,'High School Players'!K:K,"NO",0,1)</f>
        <v>NO</v>
      </c>
      <c r="B821" s="768"/>
      <c r="C821" s="768"/>
      <c r="D821" s="768"/>
      <c r="E821" s="768"/>
      <c r="F821" s="768"/>
      <c r="G821" s="768"/>
      <c r="H821" s="768"/>
      <c r="I821" s="768"/>
      <c r="J821" s="768"/>
      <c r="K821" s="768"/>
      <c r="L821" s="768"/>
      <c r="M821" s="768"/>
      <c r="N821" s="768"/>
      <c r="O821" s="768"/>
      <c r="P821" s="768"/>
      <c r="Q821" s="768"/>
      <c r="R821" s="768"/>
      <c r="S821" s="768"/>
      <c r="T821" s="768"/>
      <c r="U821" s="768"/>
      <c r="V821" s="768"/>
      <c r="W821" s="768"/>
      <c r="X821" s="768"/>
      <c r="Y821" s="768"/>
      <c r="Z821" s="768"/>
      <c r="AA821" s="768"/>
    </row>
    <row r="822" ht="30.0" customHeight="1">
      <c r="A822" s="768" t="str">
        <f t="array" ref="A822">XLOOKUP(C822,'High School Players'!D:D,'High School Players'!K:K,"NO",0,1)</f>
        <v>NO</v>
      </c>
      <c r="B822" s="768"/>
      <c r="C822" s="768"/>
      <c r="D822" s="768"/>
      <c r="E822" s="768"/>
      <c r="F822" s="768"/>
      <c r="G822" s="768"/>
      <c r="H822" s="768"/>
      <c r="I822" s="768"/>
      <c r="J822" s="768"/>
      <c r="K822" s="768"/>
      <c r="L822" s="768"/>
      <c r="M822" s="768"/>
      <c r="N822" s="768"/>
      <c r="O822" s="768"/>
      <c r="P822" s="768"/>
      <c r="Q822" s="768"/>
      <c r="R822" s="768"/>
      <c r="S822" s="768"/>
      <c r="T822" s="768"/>
      <c r="U822" s="768"/>
      <c r="V822" s="768"/>
      <c r="W822" s="768"/>
      <c r="X822" s="768"/>
      <c r="Y822" s="768"/>
      <c r="Z822" s="768"/>
      <c r="AA822" s="768"/>
    </row>
    <row r="823" ht="30.0" customHeight="1">
      <c r="A823" s="768" t="str">
        <f t="array" ref="A823">XLOOKUP(C823,'High School Players'!D:D,'High School Players'!K:K,"NO",0,1)</f>
        <v>NO</v>
      </c>
      <c r="B823" s="768"/>
      <c r="C823" s="768"/>
      <c r="D823" s="768"/>
      <c r="E823" s="768"/>
      <c r="F823" s="768"/>
      <c r="G823" s="768"/>
      <c r="H823" s="768"/>
      <c r="I823" s="768"/>
      <c r="J823" s="768"/>
      <c r="K823" s="768"/>
      <c r="L823" s="768"/>
      <c r="M823" s="768"/>
      <c r="N823" s="768"/>
      <c r="O823" s="768"/>
      <c r="P823" s="768"/>
      <c r="Q823" s="768"/>
      <c r="R823" s="768"/>
      <c r="S823" s="768"/>
      <c r="T823" s="768"/>
      <c r="U823" s="768"/>
      <c r="V823" s="768"/>
      <c r="W823" s="768"/>
      <c r="X823" s="768"/>
      <c r="Y823" s="768"/>
      <c r="Z823" s="768"/>
      <c r="AA823" s="768"/>
    </row>
    <row r="824" ht="30.0" customHeight="1">
      <c r="A824" s="768" t="str">
        <f t="array" ref="A824">XLOOKUP(C824,'High School Players'!D:D,'High School Players'!K:K,"NO",0,1)</f>
        <v>NO</v>
      </c>
      <c r="B824" s="768"/>
      <c r="C824" s="768"/>
      <c r="D824" s="768"/>
      <c r="E824" s="768"/>
      <c r="F824" s="768"/>
      <c r="G824" s="768"/>
      <c r="H824" s="768"/>
      <c r="I824" s="768"/>
      <c r="J824" s="768"/>
      <c r="K824" s="768"/>
      <c r="L824" s="768"/>
      <c r="M824" s="768"/>
      <c r="N824" s="768"/>
      <c r="O824" s="768"/>
      <c r="P824" s="768"/>
      <c r="Q824" s="768"/>
      <c r="R824" s="768"/>
      <c r="S824" s="768"/>
      <c r="T824" s="768"/>
      <c r="U824" s="768"/>
      <c r="V824" s="768"/>
      <c r="W824" s="768"/>
      <c r="X824" s="768"/>
      <c r="Y824" s="768"/>
      <c r="Z824" s="768"/>
      <c r="AA824" s="768"/>
    </row>
    <row r="825" ht="30.0" customHeight="1">
      <c r="A825" s="768" t="str">
        <f t="array" ref="A825">XLOOKUP(C825,'High School Players'!D:D,'High School Players'!K:K,"NO",0,1)</f>
        <v>NO</v>
      </c>
      <c r="B825" s="768"/>
      <c r="C825" s="768"/>
      <c r="D825" s="768"/>
      <c r="E825" s="768"/>
      <c r="F825" s="768"/>
      <c r="G825" s="768"/>
      <c r="H825" s="768"/>
      <c r="I825" s="768"/>
      <c r="J825" s="768"/>
      <c r="K825" s="768"/>
      <c r="L825" s="768"/>
      <c r="M825" s="768"/>
      <c r="N825" s="768"/>
      <c r="O825" s="768"/>
      <c r="P825" s="768"/>
      <c r="Q825" s="768"/>
      <c r="R825" s="768"/>
      <c r="S825" s="768"/>
      <c r="T825" s="768"/>
      <c r="U825" s="768"/>
      <c r="V825" s="768"/>
      <c r="W825" s="768"/>
      <c r="X825" s="768"/>
      <c r="Y825" s="768"/>
      <c r="Z825" s="768"/>
      <c r="AA825" s="768"/>
    </row>
    <row r="826" ht="30.0" customHeight="1">
      <c r="A826" s="768" t="str">
        <f t="array" ref="A826">XLOOKUP(C826,'High School Players'!D:D,'High School Players'!K:K,"NO",0,1)</f>
        <v>NO</v>
      </c>
      <c r="B826" s="768"/>
      <c r="C826" s="768"/>
      <c r="D826" s="768"/>
      <c r="E826" s="768"/>
      <c r="F826" s="768"/>
      <c r="G826" s="768"/>
      <c r="H826" s="768"/>
      <c r="I826" s="768"/>
      <c r="J826" s="768"/>
      <c r="K826" s="768"/>
      <c r="L826" s="768"/>
      <c r="M826" s="768"/>
      <c r="N826" s="768"/>
      <c r="O826" s="768"/>
      <c r="P826" s="768"/>
      <c r="Q826" s="768"/>
      <c r="R826" s="768"/>
      <c r="S826" s="768"/>
      <c r="T826" s="768"/>
      <c r="U826" s="768"/>
      <c r="V826" s="768"/>
      <c r="W826" s="768"/>
      <c r="X826" s="768"/>
      <c r="Y826" s="768"/>
      <c r="Z826" s="768"/>
      <c r="AA826" s="768"/>
    </row>
    <row r="827" ht="30.0" customHeight="1">
      <c r="A827" s="768" t="str">
        <f t="array" ref="A827">XLOOKUP(C827,'High School Players'!D:D,'High School Players'!K:K,"NO",0,1)</f>
        <v>NO</v>
      </c>
      <c r="B827" s="768"/>
      <c r="C827" s="768"/>
      <c r="D827" s="768"/>
      <c r="E827" s="768"/>
      <c r="F827" s="768"/>
      <c r="G827" s="768"/>
      <c r="H827" s="768"/>
      <c r="I827" s="768"/>
      <c r="J827" s="768"/>
      <c r="K827" s="768"/>
      <c r="L827" s="768"/>
      <c r="M827" s="768"/>
      <c r="N827" s="768"/>
      <c r="O827" s="768"/>
      <c r="P827" s="768"/>
      <c r="Q827" s="768"/>
      <c r="R827" s="768"/>
      <c r="S827" s="768"/>
      <c r="T827" s="768"/>
      <c r="U827" s="768"/>
      <c r="V827" s="768"/>
      <c r="W827" s="768"/>
      <c r="X827" s="768"/>
      <c r="Y827" s="768"/>
      <c r="Z827" s="768"/>
      <c r="AA827" s="768"/>
    </row>
    <row r="828" ht="30.0" customHeight="1">
      <c r="A828" s="768" t="str">
        <f t="array" ref="A828">XLOOKUP(C828,'High School Players'!D:D,'High School Players'!K:K,"NO",0,1)</f>
        <v>NO</v>
      </c>
      <c r="B828" s="768"/>
      <c r="C828" s="768"/>
      <c r="D828" s="768"/>
      <c r="E828" s="768"/>
      <c r="F828" s="768"/>
      <c r="G828" s="768"/>
      <c r="H828" s="768"/>
      <c r="I828" s="768"/>
      <c r="J828" s="768"/>
      <c r="K828" s="768"/>
      <c r="L828" s="768"/>
      <c r="M828" s="768"/>
      <c r="N828" s="768"/>
      <c r="O828" s="768"/>
      <c r="P828" s="768"/>
      <c r="Q828" s="768"/>
      <c r="R828" s="768"/>
      <c r="S828" s="768"/>
      <c r="T828" s="768"/>
      <c r="U828" s="768"/>
      <c r="V828" s="768"/>
      <c r="W828" s="768"/>
      <c r="X828" s="768"/>
      <c r="Y828" s="768"/>
      <c r="Z828" s="768"/>
      <c r="AA828" s="768"/>
    </row>
    <row r="829" ht="30.0" customHeight="1">
      <c r="A829" s="768" t="str">
        <f t="array" ref="A829">XLOOKUP(C829,'High School Players'!D:D,'High School Players'!K:K,"NO",0,1)</f>
        <v>NO</v>
      </c>
      <c r="B829" s="768"/>
      <c r="C829" s="768"/>
      <c r="D829" s="768"/>
      <c r="E829" s="768"/>
      <c r="F829" s="768"/>
      <c r="G829" s="768"/>
      <c r="H829" s="768"/>
      <c r="I829" s="768"/>
      <c r="J829" s="768"/>
      <c r="K829" s="768"/>
      <c r="L829" s="768"/>
      <c r="M829" s="768"/>
      <c r="N829" s="768"/>
      <c r="O829" s="768"/>
      <c r="P829" s="768"/>
      <c r="Q829" s="768"/>
      <c r="R829" s="768"/>
      <c r="S829" s="768"/>
      <c r="T829" s="768"/>
      <c r="U829" s="768"/>
      <c r="V829" s="768"/>
      <c r="W829" s="768"/>
      <c r="X829" s="768"/>
      <c r="Y829" s="768"/>
      <c r="Z829" s="768"/>
      <c r="AA829" s="768"/>
    </row>
    <row r="830" ht="30.0" customHeight="1">
      <c r="A830" s="768" t="str">
        <f t="array" ref="A830">XLOOKUP(C830,'High School Players'!D:D,'High School Players'!K:K,"NO",0,1)</f>
        <v>NO</v>
      </c>
      <c r="B830" s="768"/>
      <c r="C830" s="768"/>
      <c r="D830" s="768"/>
      <c r="E830" s="768"/>
      <c r="F830" s="768"/>
      <c r="G830" s="768"/>
      <c r="H830" s="768"/>
      <c r="I830" s="768"/>
      <c r="J830" s="768"/>
      <c r="K830" s="768"/>
      <c r="L830" s="768"/>
      <c r="M830" s="768"/>
      <c r="N830" s="768"/>
      <c r="O830" s="768"/>
      <c r="P830" s="768"/>
      <c r="Q830" s="768"/>
      <c r="R830" s="768"/>
      <c r="S830" s="768"/>
      <c r="T830" s="768"/>
      <c r="U830" s="768"/>
      <c r="V830" s="768"/>
      <c r="W830" s="768"/>
      <c r="X830" s="768"/>
      <c r="Y830" s="768"/>
      <c r="Z830" s="768"/>
      <c r="AA830" s="768"/>
    </row>
    <row r="831" ht="30.0" customHeight="1">
      <c r="A831" s="768" t="str">
        <f t="array" ref="A831">XLOOKUP(C831,'High School Players'!D:D,'High School Players'!K:K,"NO",0,1)</f>
        <v>NO</v>
      </c>
      <c r="B831" s="768"/>
      <c r="C831" s="768"/>
      <c r="D831" s="768"/>
      <c r="E831" s="768"/>
      <c r="F831" s="768"/>
      <c r="G831" s="768"/>
      <c r="H831" s="768"/>
      <c r="I831" s="768"/>
      <c r="J831" s="768"/>
      <c r="K831" s="768"/>
      <c r="L831" s="768"/>
      <c r="M831" s="768"/>
      <c r="N831" s="768"/>
      <c r="O831" s="768"/>
      <c r="P831" s="768"/>
      <c r="Q831" s="768"/>
      <c r="R831" s="768"/>
      <c r="S831" s="768"/>
      <c r="T831" s="768"/>
      <c r="U831" s="768"/>
      <c r="V831" s="768"/>
      <c r="W831" s="768"/>
      <c r="X831" s="768"/>
      <c r="Y831" s="768"/>
      <c r="Z831" s="768"/>
      <c r="AA831" s="768"/>
    </row>
    <row r="832" ht="30.0" customHeight="1">
      <c r="A832" s="768" t="str">
        <f t="array" ref="A832">XLOOKUP(C832,'High School Players'!D:D,'High School Players'!K:K,"NO",0,1)</f>
        <v>NO</v>
      </c>
      <c r="B832" s="768"/>
      <c r="C832" s="768"/>
      <c r="D832" s="768"/>
      <c r="E832" s="768"/>
      <c r="F832" s="768"/>
      <c r="G832" s="768"/>
      <c r="H832" s="768"/>
      <c r="I832" s="768"/>
      <c r="J832" s="768"/>
      <c r="K832" s="768"/>
      <c r="L832" s="768"/>
      <c r="M832" s="768"/>
      <c r="N832" s="768"/>
      <c r="O832" s="768"/>
      <c r="P832" s="768"/>
      <c r="Q832" s="768"/>
      <c r="R832" s="768"/>
      <c r="S832" s="768"/>
      <c r="T832" s="768"/>
      <c r="U832" s="768"/>
      <c r="V832" s="768"/>
      <c r="W832" s="768"/>
      <c r="X832" s="768"/>
      <c r="Y832" s="768"/>
      <c r="Z832" s="768"/>
      <c r="AA832" s="768"/>
    </row>
    <row r="833" ht="30.0" customHeight="1">
      <c r="A833" s="768" t="str">
        <f t="array" ref="A833">XLOOKUP(C833,'High School Players'!D:D,'High School Players'!K:K,"NO",0,1)</f>
        <v>NO</v>
      </c>
      <c r="B833" s="768"/>
      <c r="C833" s="768"/>
      <c r="D833" s="768"/>
      <c r="E833" s="768"/>
      <c r="F833" s="768"/>
      <c r="G833" s="768"/>
      <c r="H833" s="768"/>
      <c r="I833" s="768"/>
      <c r="J833" s="768"/>
      <c r="K833" s="768"/>
      <c r="L833" s="768"/>
      <c r="M833" s="768"/>
      <c r="N833" s="768"/>
      <c r="O833" s="768"/>
      <c r="P833" s="768"/>
      <c r="Q833" s="768"/>
      <c r="R833" s="768"/>
      <c r="S833" s="768"/>
      <c r="T833" s="768"/>
      <c r="U833" s="768"/>
      <c r="V833" s="768"/>
      <c r="W833" s="768"/>
      <c r="X833" s="768"/>
      <c r="Y833" s="768"/>
      <c r="Z833" s="768"/>
      <c r="AA833" s="768"/>
    </row>
    <row r="834" ht="30.0" customHeight="1">
      <c r="A834" s="768" t="str">
        <f t="array" ref="A834">XLOOKUP(C834,'High School Players'!D:D,'High School Players'!K:K,"NO",0,1)</f>
        <v>NO</v>
      </c>
      <c r="B834" s="768"/>
      <c r="C834" s="768"/>
      <c r="D834" s="768"/>
      <c r="E834" s="768"/>
      <c r="F834" s="768"/>
      <c r="G834" s="768"/>
      <c r="H834" s="768"/>
      <c r="I834" s="768"/>
      <c r="J834" s="768"/>
      <c r="K834" s="768"/>
      <c r="L834" s="768"/>
      <c r="M834" s="768"/>
      <c r="N834" s="768"/>
      <c r="O834" s="768"/>
      <c r="P834" s="768"/>
      <c r="Q834" s="768"/>
      <c r="R834" s="768"/>
      <c r="S834" s="768"/>
      <c r="T834" s="768"/>
      <c r="U834" s="768"/>
      <c r="V834" s="768"/>
      <c r="W834" s="768"/>
      <c r="X834" s="768"/>
      <c r="Y834" s="768"/>
      <c r="Z834" s="768"/>
      <c r="AA834" s="768"/>
    </row>
    <row r="835" ht="30.0" customHeight="1">
      <c r="A835" s="768" t="str">
        <f t="array" ref="A835">XLOOKUP(C835,'High School Players'!D:D,'High School Players'!K:K,"NO",0,1)</f>
        <v>NO</v>
      </c>
      <c r="B835" s="768"/>
      <c r="C835" s="768"/>
      <c r="D835" s="768"/>
      <c r="E835" s="768"/>
      <c r="F835" s="768"/>
      <c r="G835" s="768"/>
      <c r="H835" s="768"/>
      <c r="I835" s="768"/>
      <c r="J835" s="768"/>
      <c r="K835" s="768"/>
      <c r="L835" s="768"/>
      <c r="M835" s="768"/>
      <c r="N835" s="768"/>
      <c r="O835" s="768"/>
      <c r="P835" s="768"/>
      <c r="Q835" s="768"/>
      <c r="R835" s="768"/>
      <c r="S835" s="768"/>
      <c r="T835" s="768"/>
      <c r="U835" s="768"/>
      <c r="V835" s="768"/>
      <c r="W835" s="768"/>
      <c r="X835" s="768"/>
      <c r="Y835" s="768"/>
      <c r="Z835" s="768"/>
      <c r="AA835" s="768"/>
    </row>
    <row r="836" ht="30.0" customHeight="1">
      <c r="A836" s="768" t="str">
        <f t="array" ref="A836">XLOOKUP(C836,'High School Players'!D:D,'High School Players'!K:K,"NO",0,1)</f>
        <v>NO</v>
      </c>
      <c r="B836" s="768"/>
      <c r="C836" s="768"/>
      <c r="D836" s="768"/>
      <c r="E836" s="768"/>
      <c r="F836" s="768"/>
      <c r="G836" s="768"/>
      <c r="H836" s="768"/>
      <c r="I836" s="768"/>
      <c r="J836" s="768"/>
      <c r="K836" s="768"/>
      <c r="L836" s="768"/>
      <c r="M836" s="768"/>
      <c r="N836" s="768"/>
      <c r="O836" s="768"/>
      <c r="P836" s="768"/>
      <c r="Q836" s="768"/>
      <c r="R836" s="768"/>
      <c r="S836" s="768"/>
      <c r="T836" s="768"/>
      <c r="U836" s="768"/>
      <c r="V836" s="768"/>
      <c r="W836" s="768"/>
      <c r="X836" s="768"/>
      <c r="Y836" s="768"/>
      <c r="Z836" s="768"/>
      <c r="AA836" s="768"/>
    </row>
    <row r="837" ht="30.0" customHeight="1">
      <c r="A837" s="768" t="str">
        <f t="array" ref="A837">XLOOKUP(C837,'High School Players'!D:D,'High School Players'!K:K,"NO",0,1)</f>
        <v>NO</v>
      </c>
      <c r="B837" s="768"/>
      <c r="C837" s="768"/>
      <c r="D837" s="768"/>
      <c r="E837" s="768"/>
      <c r="F837" s="768"/>
      <c r="G837" s="768"/>
      <c r="H837" s="768"/>
      <c r="I837" s="768"/>
      <c r="J837" s="768"/>
      <c r="K837" s="768"/>
      <c r="L837" s="768"/>
      <c r="M837" s="768"/>
      <c r="N837" s="768"/>
      <c r="O837" s="768"/>
      <c r="P837" s="768"/>
      <c r="Q837" s="768"/>
      <c r="R837" s="768"/>
      <c r="S837" s="768"/>
      <c r="T837" s="768"/>
      <c r="U837" s="768"/>
      <c r="V837" s="768"/>
      <c r="W837" s="768"/>
      <c r="X837" s="768"/>
      <c r="Y837" s="768"/>
      <c r="Z837" s="768"/>
      <c r="AA837" s="768"/>
    </row>
    <row r="838" ht="30.0" customHeight="1">
      <c r="A838" s="768" t="str">
        <f t="array" ref="A838">XLOOKUP(C838,'High School Players'!D:D,'High School Players'!K:K,"NO",0,1)</f>
        <v>NO</v>
      </c>
      <c r="B838" s="768"/>
      <c r="C838" s="768"/>
      <c r="D838" s="768"/>
      <c r="E838" s="768"/>
      <c r="F838" s="768"/>
      <c r="G838" s="768"/>
      <c r="H838" s="768"/>
      <c r="I838" s="768"/>
      <c r="J838" s="768"/>
      <c r="K838" s="768"/>
      <c r="L838" s="768"/>
      <c r="M838" s="768"/>
      <c r="N838" s="768"/>
      <c r="O838" s="768"/>
      <c r="P838" s="768"/>
      <c r="Q838" s="768"/>
      <c r="R838" s="768"/>
      <c r="S838" s="768"/>
      <c r="T838" s="768"/>
      <c r="U838" s="768"/>
      <c r="V838" s="768"/>
      <c r="W838" s="768"/>
      <c r="X838" s="768"/>
      <c r="Y838" s="768"/>
      <c r="Z838" s="768"/>
      <c r="AA838" s="768"/>
    </row>
    <row r="839" ht="30.0" customHeight="1">
      <c r="A839" s="768" t="str">
        <f t="array" ref="A839">XLOOKUP(C839,'High School Players'!D:D,'High School Players'!K:K,"NO",0,1)</f>
        <v>NO</v>
      </c>
      <c r="B839" s="768"/>
      <c r="C839" s="768"/>
      <c r="D839" s="768"/>
      <c r="E839" s="768"/>
      <c r="F839" s="768"/>
      <c r="G839" s="768"/>
      <c r="H839" s="768"/>
      <c r="I839" s="768"/>
      <c r="J839" s="768"/>
      <c r="K839" s="768"/>
      <c r="L839" s="768"/>
      <c r="M839" s="768"/>
      <c r="N839" s="768"/>
      <c r="O839" s="768"/>
      <c r="P839" s="768"/>
      <c r="Q839" s="768"/>
      <c r="R839" s="768"/>
      <c r="S839" s="768"/>
      <c r="T839" s="768"/>
      <c r="U839" s="768"/>
      <c r="V839" s="768"/>
      <c r="W839" s="768"/>
      <c r="X839" s="768"/>
      <c r="Y839" s="768"/>
      <c r="Z839" s="768"/>
      <c r="AA839" s="768"/>
    </row>
    <row r="840" ht="30.0" customHeight="1">
      <c r="A840" s="768" t="str">
        <f t="array" ref="A840">XLOOKUP(C840,'High School Players'!D:D,'High School Players'!K:K,"NO",0,1)</f>
        <v>NO</v>
      </c>
      <c r="B840" s="768"/>
      <c r="C840" s="768"/>
      <c r="D840" s="768"/>
      <c r="E840" s="768"/>
      <c r="F840" s="768"/>
      <c r="G840" s="768"/>
      <c r="H840" s="768"/>
      <c r="I840" s="768"/>
      <c r="J840" s="768"/>
      <c r="K840" s="768"/>
      <c r="L840" s="768"/>
      <c r="M840" s="768"/>
      <c r="N840" s="768"/>
      <c r="O840" s="768"/>
      <c r="P840" s="768"/>
      <c r="Q840" s="768"/>
      <c r="R840" s="768"/>
      <c r="S840" s="768"/>
      <c r="T840" s="768"/>
      <c r="U840" s="768"/>
      <c r="V840" s="768"/>
      <c r="W840" s="768"/>
      <c r="X840" s="768"/>
      <c r="Y840" s="768"/>
      <c r="Z840" s="768"/>
      <c r="AA840" s="768"/>
    </row>
    <row r="841" ht="30.0" customHeight="1">
      <c r="A841" s="768" t="str">
        <f t="array" ref="A841">XLOOKUP(C841,'High School Players'!D:D,'High School Players'!K:K,"NO",0,1)</f>
        <v>NO</v>
      </c>
      <c r="B841" s="768"/>
      <c r="C841" s="768"/>
      <c r="D841" s="768"/>
      <c r="E841" s="768"/>
      <c r="F841" s="768"/>
      <c r="G841" s="768"/>
      <c r="H841" s="768"/>
      <c r="I841" s="768"/>
      <c r="J841" s="768"/>
      <c r="K841" s="768"/>
      <c r="L841" s="768"/>
      <c r="M841" s="768"/>
      <c r="N841" s="768"/>
      <c r="O841" s="768"/>
      <c r="P841" s="768"/>
      <c r="Q841" s="768"/>
      <c r="R841" s="768"/>
      <c r="S841" s="768"/>
      <c r="T841" s="768"/>
      <c r="U841" s="768"/>
      <c r="V841" s="768"/>
      <c r="W841" s="768"/>
      <c r="X841" s="768"/>
      <c r="Y841" s="768"/>
      <c r="Z841" s="768"/>
      <c r="AA841" s="768"/>
    </row>
    <row r="842" ht="30.0" customHeight="1">
      <c r="A842" s="768" t="str">
        <f t="array" ref="A842">XLOOKUP(C842,'High School Players'!D:D,'High School Players'!K:K,"NO",0,1)</f>
        <v>NO</v>
      </c>
      <c r="B842" s="768"/>
      <c r="C842" s="768"/>
      <c r="D842" s="768"/>
      <c r="E842" s="768"/>
      <c r="F842" s="768"/>
      <c r="G842" s="768"/>
      <c r="H842" s="768"/>
      <c r="I842" s="768"/>
      <c r="J842" s="768"/>
      <c r="K842" s="768"/>
      <c r="L842" s="768"/>
      <c r="M842" s="768"/>
      <c r="N842" s="768"/>
      <c r="O842" s="768"/>
      <c r="P842" s="768"/>
      <c r="Q842" s="768"/>
      <c r="R842" s="768"/>
      <c r="S842" s="768"/>
      <c r="T842" s="768"/>
      <c r="U842" s="768"/>
      <c r="V842" s="768"/>
      <c r="W842" s="768"/>
      <c r="X842" s="768"/>
      <c r="Y842" s="768"/>
      <c r="Z842" s="768"/>
      <c r="AA842" s="768"/>
    </row>
    <row r="843" ht="30.0" customHeight="1">
      <c r="A843" s="768" t="str">
        <f t="array" ref="A843">XLOOKUP(C843,'High School Players'!D:D,'High School Players'!K:K,"NO",0,1)</f>
        <v>NO</v>
      </c>
      <c r="B843" s="768"/>
      <c r="C843" s="768"/>
      <c r="D843" s="768"/>
      <c r="E843" s="768"/>
      <c r="F843" s="768"/>
      <c r="G843" s="768"/>
      <c r="H843" s="768"/>
      <c r="I843" s="768"/>
      <c r="J843" s="768"/>
      <c r="K843" s="768"/>
      <c r="L843" s="768"/>
      <c r="M843" s="768"/>
      <c r="N843" s="768"/>
      <c r="O843" s="768"/>
      <c r="P843" s="768"/>
      <c r="Q843" s="768"/>
      <c r="R843" s="768"/>
      <c r="S843" s="768"/>
      <c r="T843" s="768"/>
      <c r="U843" s="768"/>
      <c r="V843" s="768"/>
      <c r="W843" s="768"/>
      <c r="X843" s="768"/>
      <c r="Y843" s="768"/>
      <c r="Z843" s="768"/>
      <c r="AA843" s="768"/>
    </row>
    <row r="844" ht="30.0" customHeight="1">
      <c r="A844" s="768" t="str">
        <f t="array" ref="A844">XLOOKUP(C844,'High School Players'!D:D,'High School Players'!K:K,"NO",0,1)</f>
        <v>NO</v>
      </c>
      <c r="B844" s="768"/>
      <c r="C844" s="768"/>
      <c r="D844" s="768"/>
      <c r="E844" s="768"/>
      <c r="F844" s="768"/>
      <c r="G844" s="768"/>
      <c r="H844" s="768"/>
      <c r="I844" s="768"/>
      <c r="J844" s="768"/>
      <c r="K844" s="768"/>
      <c r="L844" s="768"/>
      <c r="M844" s="768"/>
      <c r="N844" s="768"/>
      <c r="O844" s="768"/>
      <c r="P844" s="768"/>
      <c r="Q844" s="768"/>
      <c r="R844" s="768"/>
      <c r="S844" s="768"/>
      <c r="T844" s="768"/>
      <c r="U844" s="768"/>
      <c r="V844" s="768"/>
      <c r="W844" s="768"/>
      <c r="X844" s="768"/>
      <c r="Y844" s="768"/>
      <c r="Z844" s="768"/>
      <c r="AA844" s="768"/>
    </row>
    <row r="845" ht="30.0" customHeight="1">
      <c r="A845" s="768" t="str">
        <f t="array" ref="A845">XLOOKUP(C845,'High School Players'!D:D,'High School Players'!K:K,"NO",0,1)</f>
        <v>NO</v>
      </c>
      <c r="B845" s="768"/>
      <c r="C845" s="768"/>
      <c r="D845" s="768"/>
      <c r="E845" s="768"/>
      <c r="F845" s="768"/>
      <c r="G845" s="768"/>
      <c r="H845" s="768"/>
      <c r="I845" s="768"/>
      <c r="J845" s="768"/>
      <c r="K845" s="768"/>
      <c r="L845" s="768"/>
      <c r="M845" s="768"/>
      <c r="N845" s="768"/>
      <c r="O845" s="768"/>
      <c r="P845" s="768"/>
      <c r="Q845" s="768"/>
      <c r="R845" s="768"/>
      <c r="S845" s="768"/>
      <c r="T845" s="768"/>
      <c r="U845" s="768"/>
      <c r="V845" s="768"/>
      <c r="W845" s="768"/>
      <c r="X845" s="768"/>
      <c r="Y845" s="768"/>
      <c r="Z845" s="768"/>
      <c r="AA845" s="768"/>
    </row>
    <row r="846" ht="30.0" customHeight="1">
      <c r="A846" s="768" t="str">
        <f t="array" ref="A846">XLOOKUP(C846,'High School Players'!D:D,'High School Players'!K:K,"NO",0,1)</f>
        <v>NO</v>
      </c>
      <c r="B846" s="768"/>
      <c r="C846" s="768"/>
      <c r="D846" s="768"/>
      <c r="E846" s="768"/>
      <c r="F846" s="768"/>
      <c r="G846" s="768"/>
      <c r="H846" s="768"/>
      <c r="I846" s="768"/>
      <c r="J846" s="768"/>
      <c r="K846" s="768"/>
      <c r="L846" s="768"/>
      <c r="M846" s="768"/>
      <c r="N846" s="768"/>
      <c r="O846" s="768"/>
      <c r="P846" s="768"/>
      <c r="Q846" s="768"/>
      <c r="R846" s="768"/>
      <c r="S846" s="768"/>
      <c r="T846" s="768"/>
      <c r="U846" s="768"/>
      <c r="V846" s="768"/>
      <c r="W846" s="768"/>
      <c r="X846" s="768"/>
      <c r="Y846" s="768"/>
      <c r="Z846" s="768"/>
      <c r="AA846" s="768"/>
    </row>
    <row r="847" ht="30.0" customHeight="1">
      <c r="A847" s="768" t="str">
        <f t="array" ref="A847">XLOOKUP(C847,'High School Players'!D:D,'High School Players'!K:K,"NO",0,1)</f>
        <v>NO</v>
      </c>
      <c r="B847" s="768"/>
      <c r="C847" s="768"/>
      <c r="D847" s="768"/>
      <c r="E847" s="768"/>
      <c r="F847" s="768"/>
      <c r="G847" s="768"/>
      <c r="H847" s="768"/>
      <c r="I847" s="768"/>
      <c r="J847" s="768"/>
      <c r="K847" s="768"/>
      <c r="L847" s="768"/>
      <c r="M847" s="768"/>
      <c r="N847" s="768"/>
      <c r="O847" s="768"/>
      <c r="P847" s="768"/>
      <c r="Q847" s="768"/>
      <c r="R847" s="768"/>
      <c r="S847" s="768"/>
      <c r="T847" s="768"/>
      <c r="U847" s="768"/>
      <c r="V847" s="768"/>
      <c r="W847" s="768"/>
      <c r="X847" s="768"/>
      <c r="Y847" s="768"/>
      <c r="Z847" s="768"/>
      <c r="AA847" s="768"/>
    </row>
    <row r="848" ht="30.0" customHeight="1">
      <c r="A848" s="768" t="str">
        <f t="array" ref="A848">XLOOKUP(C848,'High School Players'!D:D,'High School Players'!K:K,"NO",0,1)</f>
        <v>NO</v>
      </c>
      <c r="B848" s="768"/>
      <c r="C848" s="768"/>
      <c r="D848" s="768"/>
      <c r="E848" s="768"/>
      <c r="F848" s="768"/>
      <c r="G848" s="768"/>
      <c r="H848" s="768"/>
      <c r="I848" s="768"/>
      <c r="J848" s="768"/>
      <c r="K848" s="768"/>
      <c r="L848" s="768"/>
      <c r="M848" s="768"/>
      <c r="N848" s="768"/>
      <c r="O848" s="768"/>
      <c r="P848" s="768"/>
      <c r="Q848" s="768"/>
      <c r="R848" s="768"/>
      <c r="S848" s="768"/>
      <c r="T848" s="768"/>
      <c r="U848" s="768"/>
      <c r="V848" s="768"/>
      <c r="W848" s="768"/>
      <c r="X848" s="768"/>
      <c r="Y848" s="768"/>
      <c r="Z848" s="768"/>
      <c r="AA848" s="768"/>
    </row>
    <row r="849" ht="30.0" customHeight="1">
      <c r="A849" s="768" t="str">
        <f t="array" ref="A849">XLOOKUP(C849,'High School Players'!D:D,'High School Players'!K:K,"NO",0,1)</f>
        <v>NO</v>
      </c>
      <c r="B849" s="768"/>
      <c r="C849" s="768"/>
      <c r="D849" s="768"/>
      <c r="E849" s="768"/>
      <c r="F849" s="768"/>
      <c r="G849" s="768"/>
      <c r="H849" s="768"/>
      <c r="I849" s="768"/>
      <c r="J849" s="768"/>
      <c r="K849" s="768"/>
      <c r="L849" s="768"/>
      <c r="M849" s="768"/>
      <c r="N849" s="768"/>
      <c r="O849" s="768"/>
      <c r="P849" s="768"/>
      <c r="Q849" s="768"/>
      <c r="R849" s="768"/>
      <c r="S849" s="768"/>
      <c r="T849" s="768"/>
      <c r="U849" s="768"/>
      <c r="V849" s="768"/>
      <c r="W849" s="768"/>
      <c r="X849" s="768"/>
      <c r="Y849" s="768"/>
      <c r="Z849" s="768"/>
      <c r="AA849" s="768"/>
    </row>
    <row r="850" ht="30.0" customHeight="1">
      <c r="A850" s="768" t="str">
        <f t="array" ref="A850">XLOOKUP(C850,'High School Players'!D:D,'High School Players'!K:K,"NO",0,1)</f>
        <v>NO</v>
      </c>
      <c r="B850" s="768"/>
      <c r="C850" s="768"/>
      <c r="D850" s="768"/>
      <c r="E850" s="768"/>
      <c r="F850" s="768"/>
      <c r="G850" s="768"/>
      <c r="H850" s="768"/>
      <c r="I850" s="768"/>
      <c r="J850" s="768"/>
      <c r="K850" s="768"/>
      <c r="L850" s="768"/>
      <c r="M850" s="768"/>
      <c r="N850" s="768"/>
      <c r="O850" s="768"/>
      <c r="P850" s="768"/>
      <c r="Q850" s="768"/>
      <c r="R850" s="768"/>
      <c r="S850" s="768"/>
      <c r="T850" s="768"/>
      <c r="U850" s="768"/>
      <c r="V850" s="768"/>
      <c r="W850" s="768"/>
      <c r="X850" s="768"/>
      <c r="Y850" s="768"/>
      <c r="Z850" s="768"/>
      <c r="AA850" s="768"/>
    </row>
    <row r="851" ht="30.0" customHeight="1">
      <c r="A851" s="768" t="str">
        <f t="array" ref="A851">XLOOKUP(C851,'High School Players'!D:D,'High School Players'!K:K,"NO",0,1)</f>
        <v>NO</v>
      </c>
      <c r="B851" s="768"/>
      <c r="C851" s="768"/>
      <c r="D851" s="768"/>
      <c r="E851" s="768"/>
      <c r="F851" s="768"/>
      <c r="G851" s="768"/>
      <c r="H851" s="768"/>
      <c r="I851" s="768"/>
      <c r="J851" s="768"/>
      <c r="K851" s="768"/>
      <c r="L851" s="768"/>
      <c r="M851" s="768"/>
      <c r="N851" s="768"/>
      <c r="O851" s="768"/>
      <c r="P851" s="768"/>
      <c r="Q851" s="768"/>
      <c r="R851" s="768"/>
      <c r="S851" s="768"/>
      <c r="T851" s="768"/>
      <c r="U851" s="768"/>
      <c r="V851" s="768"/>
      <c r="W851" s="768"/>
      <c r="X851" s="768"/>
      <c r="Y851" s="768"/>
      <c r="Z851" s="768"/>
      <c r="AA851" s="768"/>
    </row>
    <row r="852" ht="30.0" customHeight="1">
      <c r="A852" s="768" t="str">
        <f t="array" ref="A852">XLOOKUP(C852,'High School Players'!D:D,'High School Players'!K:K,"NO",0,1)</f>
        <v>NO</v>
      </c>
      <c r="B852" s="768"/>
      <c r="C852" s="768"/>
      <c r="D852" s="768"/>
      <c r="E852" s="768"/>
      <c r="F852" s="768"/>
      <c r="G852" s="768"/>
      <c r="H852" s="768"/>
      <c r="I852" s="768"/>
      <c r="J852" s="768"/>
      <c r="K852" s="768"/>
      <c r="L852" s="768"/>
      <c r="M852" s="768"/>
      <c r="N852" s="768"/>
      <c r="O852" s="768"/>
      <c r="P852" s="768"/>
      <c r="Q852" s="768"/>
      <c r="R852" s="768"/>
      <c r="S852" s="768"/>
      <c r="T852" s="768"/>
      <c r="U852" s="768"/>
      <c r="V852" s="768"/>
      <c r="W852" s="768"/>
      <c r="X852" s="768"/>
      <c r="Y852" s="768"/>
      <c r="Z852" s="768"/>
      <c r="AA852" s="768"/>
    </row>
    <row r="853" ht="30.0" customHeight="1">
      <c r="A853" s="768" t="str">
        <f t="array" ref="A853">XLOOKUP(C853,'High School Players'!D:D,'High School Players'!K:K,"NO",0,1)</f>
        <v>NO</v>
      </c>
      <c r="B853" s="768"/>
      <c r="C853" s="768"/>
      <c r="D853" s="768"/>
      <c r="E853" s="768"/>
      <c r="F853" s="768"/>
      <c r="G853" s="768"/>
      <c r="H853" s="768"/>
      <c r="I853" s="768"/>
      <c r="J853" s="768"/>
      <c r="K853" s="768"/>
      <c r="L853" s="768"/>
      <c r="M853" s="768"/>
      <c r="N853" s="768"/>
      <c r="O853" s="768"/>
      <c r="P853" s="768"/>
      <c r="Q853" s="768"/>
      <c r="R853" s="768"/>
      <c r="S853" s="768"/>
      <c r="T853" s="768"/>
      <c r="U853" s="768"/>
      <c r="V853" s="768"/>
      <c r="W853" s="768"/>
      <c r="X853" s="768"/>
      <c r="Y853" s="768"/>
      <c r="Z853" s="768"/>
      <c r="AA853" s="768"/>
    </row>
    <row r="854" ht="30.0" customHeight="1">
      <c r="A854" s="768" t="str">
        <f t="array" ref="A854">XLOOKUP(C854,'High School Players'!D:D,'High School Players'!K:K,"NO",0,1)</f>
        <v>NO</v>
      </c>
      <c r="B854" s="768"/>
      <c r="C854" s="768"/>
      <c r="D854" s="768"/>
      <c r="E854" s="768"/>
      <c r="F854" s="768"/>
      <c r="G854" s="768"/>
      <c r="H854" s="768"/>
      <c r="I854" s="768"/>
      <c r="J854" s="768"/>
      <c r="K854" s="768"/>
      <c r="L854" s="768"/>
      <c r="M854" s="768"/>
      <c r="N854" s="768"/>
      <c r="O854" s="768"/>
      <c r="P854" s="768"/>
      <c r="Q854" s="768"/>
      <c r="R854" s="768"/>
      <c r="S854" s="768"/>
      <c r="T854" s="768"/>
      <c r="U854" s="768"/>
      <c r="V854" s="768"/>
      <c r="W854" s="768"/>
      <c r="X854" s="768"/>
      <c r="Y854" s="768"/>
      <c r="Z854" s="768"/>
      <c r="AA854" s="768"/>
    </row>
    <row r="855" ht="30.0" customHeight="1">
      <c r="A855" s="768" t="str">
        <f t="array" ref="A855">XLOOKUP(C855,'High School Players'!D:D,'High School Players'!K:K,"NO",0,1)</f>
        <v>NO</v>
      </c>
      <c r="B855" s="768"/>
      <c r="C855" s="768"/>
      <c r="D855" s="768"/>
      <c r="E855" s="768"/>
      <c r="F855" s="768"/>
      <c r="G855" s="768"/>
      <c r="H855" s="768"/>
      <c r="I855" s="768"/>
      <c r="J855" s="768"/>
      <c r="K855" s="768"/>
      <c r="L855" s="768"/>
      <c r="M855" s="768"/>
      <c r="N855" s="768"/>
      <c r="O855" s="768"/>
      <c r="P855" s="768"/>
      <c r="Q855" s="768"/>
      <c r="R855" s="768"/>
      <c r="S855" s="768"/>
      <c r="T855" s="768"/>
      <c r="U855" s="768"/>
      <c r="V855" s="768"/>
      <c r="W855" s="768"/>
      <c r="X855" s="768"/>
      <c r="Y855" s="768"/>
      <c r="Z855" s="768"/>
      <c r="AA855" s="768"/>
    </row>
    <row r="856" ht="30.0" customHeight="1">
      <c r="A856" s="768" t="str">
        <f t="array" ref="A856">XLOOKUP(C856,'High School Players'!D:D,'High School Players'!K:K,"NO",0,1)</f>
        <v>NO</v>
      </c>
      <c r="B856" s="768"/>
      <c r="C856" s="768"/>
      <c r="D856" s="768"/>
      <c r="E856" s="768"/>
      <c r="F856" s="768"/>
      <c r="G856" s="768"/>
      <c r="H856" s="768"/>
      <c r="I856" s="768"/>
      <c r="J856" s="768"/>
      <c r="K856" s="768"/>
      <c r="L856" s="768"/>
      <c r="M856" s="768"/>
      <c r="N856" s="768"/>
      <c r="O856" s="768"/>
      <c r="P856" s="768"/>
      <c r="Q856" s="768"/>
      <c r="R856" s="768"/>
      <c r="S856" s="768"/>
      <c r="T856" s="768"/>
      <c r="U856" s="768"/>
      <c r="V856" s="768"/>
      <c r="W856" s="768"/>
      <c r="X856" s="768"/>
      <c r="Y856" s="768"/>
      <c r="Z856" s="768"/>
      <c r="AA856" s="768"/>
    </row>
    <row r="857" ht="30.0" customHeight="1">
      <c r="A857" s="768" t="str">
        <f t="array" ref="A857">XLOOKUP(C857,'High School Players'!D:D,'High School Players'!K:K,"NO",0,1)</f>
        <v>NO</v>
      </c>
      <c r="B857" s="768"/>
      <c r="C857" s="768"/>
      <c r="D857" s="768"/>
      <c r="E857" s="768"/>
      <c r="F857" s="768"/>
      <c r="G857" s="768"/>
      <c r="H857" s="768"/>
      <c r="I857" s="768"/>
      <c r="J857" s="768"/>
      <c r="K857" s="768"/>
      <c r="L857" s="768"/>
      <c r="M857" s="768"/>
      <c r="N857" s="768"/>
      <c r="O857" s="768"/>
      <c r="P857" s="768"/>
      <c r="Q857" s="768"/>
      <c r="R857" s="768"/>
      <c r="S857" s="768"/>
      <c r="T857" s="768"/>
      <c r="U857" s="768"/>
      <c r="V857" s="768"/>
      <c r="W857" s="768"/>
      <c r="X857" s="768"/>
      <c r="Y857" s="768"/>
      <c r="Z857" s="768"/>
      <c r="AA857" s="768"/>
    </row>
    <row r="858" ht="30.0" customHeight="1">
      <c r="A858" s="768" t="str">
        <f t="array" ref="A858">XLOOKUP(C858,'High School Players'!D:D,'High School Players'!K:K,"NO",0,1)</f>
        <v>NO</v>
      </c>
      <c r="B858" s="768"/>
      <c r="C858" s="768"/>
      <c r="D858" s="768"/>
      <c r="E858" s="768"/>
      <c r="F858" s="768"/>
      <c r="G858" s="768"/>
      <c r="H858" s="768"/>
      <c r="I858" s="768"/>
      <c r="J858" s="768"/>
      <c r="K858" s="768"/>
      <c r="L858" s="768"/>
      <c r="M858" s="768"/>
      <c r="N858" s="768"/>
      <c r="O858" s="768"/>
      <c r="P858" s="768"/>
      <c r="Q858" s="768"/>
      <c r="R858" s="768"/>
      <c r="S858" s="768"/>
      <c r="T858" s="768"/>
      <c r="U858" s="768"/>
      <c r="V858" s="768"/>
      <c r="W858" s="768"/>
      <c r="X858" s="768"/>
      <c r="Y858" s="768"/>
      <c r="Z858" s="768"/>
      <c r="AA858" s="768"/>
    </row>
    <row r="859" ht="30.0" customHeight="1">
      <c r="A859" s="768" t="str">
        <f t="array" ref="A859">XLOOKUP(C859,'High School Players'!D:D,'High School Players'!K:K,"NO",0,1)</f>
        <v>NO</v>
      </c>
      <c r="B859" s="768"/>
      <c r="C859" s="768"/>
      <c r="D859" s="768"/>
      <c r="E859" s="768"/>
      <c r="F859" s="768"/>
      <c r="G859" s="768"/>
      <c r="H859" s="768"/>
      <c r="I859" s="768"/>
      <c r="J859" s="768"/>
      <c r="K859" s="768"/>
      <c r="L859" s="768"/>
      <c r="M859" s="768"/>
      <c r="N859" s="768"/>
      <c r="O859" s="768"/>
      <c r="P859" s="768"/>
      <c r="Q859" s="768"/>
      <c r="R859" s="768"/>
      <c r="S859" s="768"/>
      <c r="T859" s="768"/>
      <c r="U859" s="768"/>
      <c r="V859" s="768"/>
      <c r="W859" s="768"/>
      <c r="X859" s="768"/>
      <c r="Y859" s="768"/>
      <c r="Z859" s="768"/>
      <c r="AA859" s="768"/>
    </row>
    <row r="860" ht="30.0" customHeight="1">
      <c r="A860" s="768" t="str">
        <f t="array" ref="A860">XLOOKUP(C860,'High School Players'!D:D,'High School Players'!K:K,"NO",0,1)</f>
        <v>NO</v>
      </c>
      <c r="B860" s="768"/>
      <c r="C860" s="768"/>
      <c r="D860" s="768"/>
      <c r="E860" s="768"/>
      <c r="F860" s="768"/>
      <c r="G860" s="768"/>
      <c r="H860" s="768"/>
      <c r="I860" s="768"/>
      <c r="J860" s="768"/>
      <c r="K860" s="768"/>
      <c r="L860" s="768"/>
      <c r="M860" s="768"/>
      <c r="N860" s="768"/>
      <c r="O860" s="768"/>
      <c r="P860" s="768"/>
      <c r="Q860" s="768"/>
      <c r="R860" s="768"/>
      <c r="S860" s="768"/>
      <c r="T860" s="768"/>
      <c r="U860" s="768"/>
      <c r="V860" s="768"/>
      <c r="W860" s="768"/>
      <c r="X860" s="768"/>
      <c r="Y860" s="768"/>
      <c r="Z860" s="768"/>
      <c r="AA860" s="768"/>
    </row>
    <row r="861" ht="30.0" customHeight="1">
      <c r="A861" s="768" t="str">
        <f t="array" ref="A861">XLOOKUP(C861,'High School Players'!D:D,'High School Players'!K:K,"NO",0,1)</f>
        <v>NO</v>
      </c>
      <c r="B861" s="768"/>
      <c r="C861" s="768"/>
      <c r="D861" s="768"/>
      <c r="E861" s="768"/>
      <c r="F861" s="768"/>
      <c r="G861" s="768"/>
      <c r="H861" s="768"/>
      <c r="I861" s="768"/>
      <c r="J861" s="768"/>
      <c r="K861" s="768"/>
      <c r="L861" s="768"/>
      <c r="M861" s="768"/>
      <c r="N861" s="768"/>
      <c r="O861" s="768"/>
      <c r="P861" s="768"/>
      <c r="Q861" s="768"/>
      <c r="R861" s="768"/>
      <c r="S861" s="768"/>
      <c r="T861" s="768"/>
      <c r="U861" s="768"/>
      <c r="V861" s="768"/>
      <c r="W861" s="768"/>
      <c r="X861" s="768"/>
      <c r="Y861" s="768"/>
      <c r="Z861" s="768"/>
      <c r="AA861" s="768"/>
    </row>
    <row r="862" ht="30.0" customHeight="1">
      <c r="A862" s="768" t="str">
        <f t="array" ref="A862">XLOOKUP(C862,'High School Players'!D:D,'High School Players'!K:K,"NO",0,1)</f>
        <v>NO</v>
      </c>
      <c r="B862" s="768"/>
      <c r="C862" s="768"/>
      <c r="D862" s="768"/>
      <c r="E862" s="768"/>
      <c r="F862" s="768"/>
      <c r="G862" s="768"/>
      <c r="H862" s="768"/>
      <c r="I862" s="768"/>
      <c r="J862" s="768"/>
      <c r="K862" s="768"/>
      <c r="L862" s="768"/>
      <c r="M862" s="768"/>
      <c r="N862" s="768"/>
      <c r="O862" s="768"/>
      <c r="P862" s="768"/>
      <c r="Q862" s="768"/>
      <c r="R862" s="768"/>
      <c r="S862" s="768"/>
      <c r="T862" s="768"/>
      <c r="U862" s="768"/>
      <c r="V862" s="768"/>
      <c r="W862" s="768"/>
      <c r="X862" s="768"/>
      <c r="Y862" s="768"/>
      <c r="Z862" s="768"/>
      <c r="AA862" s="768"/>
    </row>
    <row r="863" ht="30.0" customHeight="1">
      <c r="A863" s="768" t="str">
        <f t="array" ref="A863">XLOOKUP(C863,'High School Players'!D:D,'High School Players'!K:K,"NO",0,1)</f>
        <v>NO</v>
      </c>
      <c r="B863" s="768"/>
      <c r="C863" s="768"/>
      <c r="D863" s="768"/>
      <c r="E863" s="768"/>
      <c r="F863" s="768"/>
      <c r="G863" s="768"/>
      <c r="H863" s="768"/>
      <c r="I863" s="768"/>
      <c r="J863" s="768"/>
      <c r="K863" s="768"/>
      <c r="L863" s="768"/>
      <c r="M863" s="768"/>
      <c r="N863" s="768"/>
      <c r="O863" s="768"/>
      <c r="P863" s="768"/>
      <c r="Q863" s="768"/>
      <c r="R863" s="768"/>
      <c r="S863" s="768"/>
      <c r="T863" s="768"/>
      <c r="U863" s="768"/>
      <c r="V863" s="768"/>
      <c r="W863" s="768"/>
      <c r="X863" s="768"/>
      <c r="Y863" s="768"/>
      <c r="Z863" s="768"/>
      <c r="AA863" s="768"/>
    </row>
    <row r="864" ht="30.0" customHeight="1">
      <c r="A864" s="768" t="str">
        <f t="array" ref="A864">XLOOKUP(C864,'High School Players'!D:D,'High School Players'!K:K,"NO",0,1)</f>
        <v>NO</v>
      </c>
      <c r="B864" s="768"/>
      <c r="C864" s="768"/>
      <c r="D864" s="768"/>
      <c r="E864" s="768"/>
      <c r="F864" s="768"/>
      <c r="G864" s="768"/>
      <c r="H864" s="768"/>
      <c r="I864" s="768"/>
      <c r="J864" s="768"/>
      <c r="K864" s="768"/>
      <c r="L864" s="768"/>
      <c r="M864" s="768"/>
      <c r="N864" s="768"/>
      <c r="O864" s="768"/>
      <c r="P864" s="768"/>
      <c r="Q864" s="768"/>
      <c r="R864" s="768"/>
      <c r="S864" s="768"/>
      <c r="T864" s="768"/>
      <c r="U864" s="768"/>
      <c r="V864" s="768"/>
      <c r="W864" s="768"/>
      <c r="X864" s="768"/>
      <c r="Y864" s="768"/>
      <c r="Z864" s="768"/>
      <c r="AA864" s="768"/>
    </row>
    <row r="865" ht="30.0" customHeight="1">
      <c r="A865" s="768" t="str">
        <f t="array" ref="A865">XLOOKUP(C865,'High School Players'!D:D,'High School Players'!K:K,"NO",0,1)</f>
        <v>NO</v>
      </c>
      <c r="B865" s="768"/>
      <c r="C865" s="768"/>
      <c r="D865" s="768"/>
      <c r="E865" s="768"/>
      <c r="F865" s="768"/>
      <c r="G865" s="768"/>
      <c r="H865" s="768"/>
      <c r="I865" s="768"/>
      <c r="J865" s="768"/>
      <c r="K865" s="768"/>
      <c r="L865" s="768"/>
      <c r="M865" s="768"/>
      <c r="N865" s="768"/>
      <c r="O865" s="768"/>
      <c r="P865" s="768"/>
      <c r="Q865" s="768"/>
      <c r="R865" s="768"/>
      <c r="S865" s="768"/>
      <c r="T865" s="768"/>
      <c r="U865" s="768"/>
      <c r="V865" s="768"/>
      <c r="W865" s="768"/>
      <c r="X865" s="768"/>
      <c r="Y865" s="768"/>
      <c r="Z865" s="768"/>
      <c r="AA865" s="768"/>
    </row>
    <row r="866" ht="30.0" customHeight="1">
      <c r="A866" s="768" t="str">
        <f t="array" ref="A866">XLOOKUP(C866,'High School Players'!D:D,'High School Players'!K:K,"NO",0,1)</f>
        <v>NO</v>
      </c>
      <c r="B866" s="768"/>
      <c r="C866" s="768"/>
      <c r="D866" s="768"/>
      <c r="E866" s="768"/>
      <c r="F866" s="768"/>
      <c r="G866" s="768"/>
      <c r="H866" s="768"/>
      <c r="I866" s="768"/>
      <c r="J866" s="768"/>
      <c r="K866" s="768"/>
      <c r="L866" s="768"/>
      <c r="M866" s="768"/>
      <c r="N866" s="768"/>
      <c r="O866" s="768"/>
      <c r="P866" s="768"/>
      <c r="Q866" s="768"/>
      <c r="R866" s="768"/>
      <c r="S866" s="768"/>
      <c r="T866" s="768"/>
      <c r="U866" s="768"/>
      <c r="V866" s="768"/>
      <c r="W866" s="768"/>
      <c r="X866" s="768"/>
      <c r="Y866" s="768"/>
      <c r="Z866" s="768"/>
      <c r="AA866" s="768"/>
    </row>
    <row r="867" ht="30.0" customHeight="1">
      <c r="A867" s="768" t="str">
        <f t="array" ref="A867">XLOOKUP(C867,'High School Players'!D:D,'High School Players'!K:K,"NO",0,1)</f>
        <v>NO</v>
      </c>
      <c r="B867" s="768"/>
      <c r="C867" s="768"/>
      <c r="D867" s="768"/>
      <c r="E867" s="768"/>
      <c r="F867" s="768"/>
      <c r="G867" s="768"/>
      <c r="H867" s="768"/>
      <c r="I867" s="768"/>
      <c r="J867" s="768"/>
      <c r="K867" s="768"/>
      <c r="L867" s="768"/>
      <c r="M867" s="768"/>
      <c r="N867" s="768"/>
      <c r="O867" s="768"/>
      <c r="P867" s="768"/>
      <c r="Q867" s="768"/>
      <c r="R867" s="768"/>
      <c r="S867" s="768"/>
      <c r="T867" s="768"/>
      <c r="U867" s="768"/>
      <c r="V867" s="768"/>
      <c r="W867" s="768"/>
      <c r="X867" s="768"/>
      <c r="Y867" s="768"/>
      <c r="Z867" s="768"/>
      <c r="AA867" s="768"/>
    </row>
    <row r="868" ht="30.0" customHeight="1">
      <c r="A868" s="768" t="str">
        <f t="array" ref="A868">XLOOKUP(C868,'High School Players'!D:D,'High School Players'!K:K,"NO",0,1)</f>
        <v>NO</v>
      </c>
      <c r="B868" s="768"/>
      <c r="C868" s="768"/>
      <c r="D868" s="768"/>
      <c r="E868" s="768"/>
      <c r="F868" s="768"/>
      <c r="G868" s="768"/>
      <c r="H868" s="768"/>
      <c r="I868" s="768"/>
      <c r="J868" s="768"/>
      <c r="K868" s="768"/>
      <c r="L868" s="768"/>
      <c r="M868" s="768"/>
      <c r="N868" s="768"/>
      <c r="O868" s="768"/>
      <c r="P868" s="768"/>
      <c r="Q868" s="768"/>
      <c r="R868" s="768"/>
      <c r="S868" s="768"/>
      <c r="T868" s="768"/>
      <c r="U868" s="768"/>
      <c r="V868" s="768"/>
      <c r="W868" s="768"/>
      <c r="X868" s="768"/>
      <c r="Y868" s="768"/>
      <c r="Z868" s="768"/>
      <c r="AA868" s="768"/>
    </row>
    <row r="869" ht="30.0" customHeight="1">
      <c r="A869" s="768" t="str">
        <f t="array" ref="A869">XLOOKUP(C869,'High School Players'!D:D,'High School Players'!K:K,"NO",0,1)</f>
        <v>NO</v>
      </c>
      <c r="B869" s="768"/>
      <c r="C869" s="768"/>
      <c r="D869" s="768"/>
      <c r="E869" s="768"/>
      <c r="F869" s="768"/>
      <c r="G869" s="768"/>
      <c r="H869" s="768"/>
      <c r="I869" s="768"/>
      <c r="J869" s="768"/>
      <c r="K869" s="768"/>
      <c r="L869" s="768"/>
      <c r="M869" s="768"/>
      <c r="N869" s="768"/>
      <c r="O869" s="768"/>
      <c r="P869" s="768"/>
      <c r="Q869" s="768"/>
      <c r="R869" s="768"/>
      <c r="S869" s="768"/>
      <c r="T869" s="768"/>
      <c r="U869" s="768"/>
      <c r="V869" s="768"/>
      <c r="W869" s="768"/>
      <c r="X869" s="768"/>
      <c r="Y869" s="768"/>
      <c r="Z869" s="768"/>
      <c r="AA869" s="768"/>
    </row>
    <row r="870" ht="30.0" customHeight="1">
      <c r="A870" s="768" t="str">
        <f t="array" ref="A870">XLOOKUP(C870,'High School Players'!D:D,'High School Players'!K:K,"NO",0,1)</f>
        <v>NO</v>
      </c>
      <c r="B870" s="768"/>
      <c r="C870" s="768"/>
      <c r="D870" s="768"/>
      <c r="E870" s="768"/>
      <c r="F870" s="768"/>
      <c r="G870" s="768"/>
      <c r="H870" s="768"/>
      <c r="I870" s="768"/>
      <c r="J870" s="768"/>
      <c r="K870" s="768"/>
      <c r="L870" s="768"/>
      <c r="M870" s="768"/>
      <c r="N870" s="768"/>
      <c r="O870" s="768"/>
      <c r="P870" s="768"/>
      <c r="Q870" s="768"/>
      <c r="R870" s="768"/>
      <c r="S870" s="768"/>
      <c r="T870" s="768"/>
      <c r="U870" s="768"/>
      <c r="V870" s="768"/>
      <c r="W870" s="768"/>
      <c r="X870" s="768"/>
      <c r="Y870" s="768"/>
      <c r="Z870" s="768"/>
      <c r="AA870" s="768"/>
    </row>
    <row r="871" ht="30.0" customHeight="1">
      <c r="A871" s="768" t="str">
        <f t="array" ref="A871">XLOOKUP(C871,'High School Players'!D:D,'High School Players'!K:K,"NO",0,1)</f>
        <v>NO</v>
      </c>
      <c r="B871" s="768"/>
      <c r="C871" s="768"/>
      <c r="D871" s="768"/>
      <c r="E871" s="768"/>
      <c r="F871" s="768"/>
      <c r="G871" s="768"/>
      <c r="H871" s="768"/>
      <c r="I871" s="768"/>
      <c r="J871" s="768"/>
      <c r="K871" s="768"/>
      <c r="L871" s="768"/>
      <c r="M871" s="768"/>
      <c r="N871" s="768"/>
      <c r="O871" s="768"/>
      <c r="P871" s="768"/>
      <c r="Q871" s="768"/>
      <c r="R871" s="768"/>
      <c r="S871" s="768"/>
      <c r="T871" s="768"/>
      <c r="U871" s="768"/>
      <c r="V871" s="768"/>
      <c r="W871" s="768"/>
      <c r="X871" s="768"/>
      <c r="Y871" s="768"/>
      <c r="Z871" s="768"/>
      <c r="AA871" s="768"/>
    </row>
    <row r="872" ht="30.0" customHeight="1">
      <c r="A872" s="768" t="str">
        <f t="array" ref="A872">XLOOKUP(C872,'High School Players'!D:D,'High School Players'!K:K,"NO",0,1)</f>
        <v>NO</v>
      </c>
      <c r="B872" s="768"/>
      <c r="C872" s="768"/>
      <c r="D872" s="768"/>
      <c r="E872" s="768"/>
      <c r="F872" s="768"/>
      <c r="G872" s="768"/>
      <c r="H872" s="768"/>
      <c r="I872" s="768"/>
      <c r="J872" s="768"/>
      <c r="K872" s="768"/>
      <c r="L872" s="768"/>
      <c r="M872" s="768"/>
      <c r="N872" s="768"/>
      <c r="O872" s="768"/>
      <c r="P872" s="768"/>
      <c r="Q872" s="768"/>
      <c r="R872" s="768"/>
      <c r="S872" s="768"/>
      <c r="T872" s="768"/>
      <c r="U872" s="768"/>
      <c r="V872" s="768"/>
      <c r="W872" s="768"/>
      <c r="X872" s="768"/>
      <c r="Y872" s="768"/>
      <c r="Z872" s="768"/>
      <c r="AA872" s="768"/>
    </row>
    <row r="873" ht="30.0" customHeight="1">
      <c r="A873" s="768" t="str">
        <f t="array" ref="A873">XLOOKUP(C873,'High School Players'!D:D,'High School Players'!K:K,"NO",0,1)</f>
        <v>NO</v>
      </c>
      <c r="B873" s="768"/>
      <c r="C873" s="768"/>
      <c r="D873" s="768"/>
      <c r="E873" s="768"/>
      <c r="F873" s="768"/>
      <c r="G873" s="768"/>
      <c r="H873" s="768"/>
      <c r="I873" s="768"/>
      <c r="J873" s="768"/>
      <c r="K873" s="768"/>
      <c r="L873" s="768"/>
      <c r="M873" s="768"/>
      <c r="N873" s="768"/>
      <c r="O873" s="768"/>
      <c r="P873" s="768"/>
      <c r="Q873" s="768"/>
      <c r="R873" s="768"/>
      <c r="S873" s="768"/>
      <c r="T873" s="768"/>
      <c r="U873" s="768"/>
      <c r="V873" s="768"/>
      <c r="W873" s="768"/>
      <c r="X873" s="768"/>
      <c r="Y873" s="768"/>
      <c r="Z873" s="768"/>
      <c r="AA873" s="768"/>
    </row>
    <row r="874" ht="30.0" customHeight="1">
      <c r="A874" s="768" t="str">
        <f t="array" ref="A874">XLOOKUP(C874,'High School Players'!D:D,'High School Players'!K:K,"NO",0,1)</f>
        <v>NO</v>
      </c>
      <c r="B874" s="768"/>
      <c r="C874" s="768"/>
      <c r="D874" s="768"/>
      <c r="E874" s="768"/>
      <c r="F874" s="768"/>
      <c r="G874" s="768"/>
      <c r="H874" s="768"/>
      <c r="I874" s="768"/>
      <c r="J874" s="768"/>
      <c r="K874" s="768"/>
      <c r="L874" s="768"/>
      <c r="M874" s="768"/>
      <c r="N874" s="768"/>
      <c r="O874" s="768"/>
      <c r="P874" s="768"/>
      <c r="Q874" s="768"/>
      <c r="R874" s="768"/>
      <c r="S874" s="768"/>
      <c r="T874" s="768"/>
      <c r="U874" s="768"/>
      <c r="V874" s="768"/>
      <c r="W874" s="768"/>
      <c r="X874" s="768"/>
      <c r="Y874" s="768"/>
      <c r="Z874" s="768"/>
      <c r="AA874" s="768"/>
    </row>
    <row r="875" ht="30.0" customHeight="1">
      <c r="A875" s="768" t="str">
        <f t="array" ref="A875">XLOOKUP(C875,'High School Players'!D:D,'High School Players'!K:K,"NO",0,1)</f>
        <v>NO</v>
      </c>
      <c r="B875" s="768"/>
      <c r="C875" s="768"/>
      <c r="D875" s="768"/>
      <c r="E875" s="768"/>
      <c r="F875" s="768"/>
      <c r="G875" s="768"/>
      <c r="H875" s="768"/>
      <c r="I875" s="768"/>
      <c r="J875" s="768"/>
      <c r="K875" s="768"/>
      <c r="L875" s="768"/>
      <c r="M875" s="768"/>
      <c r="N875" s="768"/>
      <c r="O875" s="768"/>
      <c r="P875" s="768"/>
      <c r="Q875" s="768"/>
      <c r="R875" s="768"/>
      <c r="S875" s="768"/>
      <c r="T875" s="768"/>
      <c r="U875" s="768"/>
      <c r="V875" s="768"/>
      <c r="W875" s="768"/>
      <c r="X875" s="768"/>
      <c r="Y875" s="768"/>
      <c r="Z875" s="768"/>
      <c r="AA875" s="768"/>
    </row>
    <row r="876" ht="30.0" customHeight="1">
      <c r="A876" s="768" t="str">
        <f t="array" ref="A876">XLOOKUP(C876,'High School Players'!D:D,'High School Players'!K:K,"NO",0,1)</f>
        <v>NO</v>
      </c>
      <c r="B876" s="768"/>
      <c r="C876" s="768"/>
      <c r="D876" s="768"/>
      <c r="E876" s="768"/>
      <c r="F876" s="768"/>
      <c r="G876" s="768"/>
      <c r="H876" s="768"/>
      <c r="I876" s="768"/>
      <c r="J876" s="768"/>
      <c r="K876" s="768"/>
      <c r="L876" s="768"/>
      <c r="M876" s="768"/>
      <c r="N876" s="768"/>
      <c r="O876" s="768"/>
      <c r="P876" s="768"/>
      <c r="Q876" s="768"/>
      <c r="R876" s="768"/>
      <c r="S876" s="768"/>
      <c r="T876" s="768"/>
      <c r="U876" s="768"/>
      <c r="V876" s="768"/>
      <c r="W876" s="768"/>
      <c r="X876" s="768"/>
      <c r="Y876" s="768"/>
      <c r="Z876" s="768"/>
      <c r="AA876" s="768"/>
    </row>
    <row r="877" ht="30.0" customHeight="1">
      <c r="A877" s="768" t="str">
        <f t="array" ref="A877">XLOOKUP(C877,'High School Players'!D:D,'High School Players'!K:K,"NO",0,1)</f>
        <v>NO</v>
      </c>
      <c r="B877" s="768"/>
      <c r="C877" s="768"/>
      <c r="D877" s="768"/>
      <c r="E877" s="768"/>
      <c r="F877" s="768"/>
      <c r="G877" s="768"/>
      <c r="H877" s="768"/>
      <c r="I877" s="768"/>
      <c r="J877" s="768"/>
      <c r="K877" s="768"/>
      <c r="L877" s="768"/>
      <c r="M877" s="768"/>
      <c r="N877" s="768"/>
      <c r="O877" s="768"/>
      <c r="P877" s="768"/>
      <c r="Q877" s="768"/>
      <c r="R877" s="768"/>
      <c r="S877" s="768"/>
      <c r="T877" s="768"/>
      <c r="U877" s="768"/>
      <c r="V877" s="768"/>
      <c r="W877" s="768"/>
      <c r="X877" s="768"/>
      <c r="Y877" s="768"/>
      <c r="Z877" s="768"/>
      <c r="AA877" s="768"/>
    </row>
    <row r="878" ht="30.0" customHeight="1">
      <c r="A878" s="768" t="str">
        <f t="array" ref="A878">XLOOKUP(C878,'High School Players'!D:D,'High School Players'!K:K,"NO",0,1)</f>
        <v>NO</v>
      </c>
      <c r="B878" s="768"/>
      <c r="C878" s="768"/>
      <c r="D878" s="768"/>
      <c r="E878" s="768"/>
      <c r="F878" s="768"/>
      <c r="G878" s="768"/>
      <c r="H878" s="768"/>
      <c r="I878" s="768"/>
      <c r="J878" s="768"/>
      <c r="K878" s="768"/>
      <c r="L878" s="768"/>
      <c r="M878" s="768"/>
      <c r="N878" s="768"/>
      <c r="O878" s="768"/>
      <c r="P878" s="768"/>
      <c r="Q878" s="768"/>
      <c r="R878" s="768"/>
      <c r="S878" s="768"/>
      <c r="T878" s="768"/>
      <c r="U878" s="768"/>
      <c r="V878" s="768"/>
      <c r="W878" s="768"/>
      <c r="X878" s="768"/>
      <c r="Y878" s="768"/>
      <c r="Z878" s="768"/>
      <c r="AA878" s="768"/>
    </row>
    <row r="879" ht="30.0" customHeight="1">
      <c r="A879" s="768" t="str">
        <f t="array" ref="A879">XLOOKUP(C879,'High School Players'!D:D,'High School Players'!K:K,"NO",0,1)</f>
        <v>NO</v>
      </c>
      <c r="B879" s="768"/>
      <c r="C879" s="768"/>
      <c r="D879" s="768"/>
      <c r="E879" s="768"/>
      <c r="F879" s="768"/>
      <c r="G879" s="768"/>
      <c r="H879" s="768"/>
      <c r="I879" s="768"/>
      <c r="J879" s="768"/>
      <c r="K879" s="768"/>
      <c r="L879" s="768"/>
      <c r="M879" s="768"/>
      <c r="N879" s="768"/>
      <c r="O879" s="768"/>
      <c r="P879" s="768"/>
      <c r="Q879" s="768"/>
      <c r="R879" s="768"/>
      <c r="S879" s="768"/>
      <c r="T879" s="768"/>
      <c r="U879" s="768"/>
      <c r="V879" s="768"/>
      <c r="W879" s="768"/>
      <c r="X879" s="768"/>
      <c r="Y879" s="768"/>
      <c r="Z879" s="768"/>
      <c r="AA879" s="768"/>
    </row>
    <row r="880" ht="30.0" customHeight="1">
      <c r="A880" s="768" t="str">
        <f t="array" ref="A880">XLOOKUP(C880,'High School Players'!D:D,'High School Players'!K:K,"NO",0,1)</f>
        <v>NO</v>
      </c>
      <c r="B880" s="768"/>
      <c r="C880" s="768"/>
      <c r="D880" s="768"/>
      <c r="E880" s="768"/>
      <c r="F880" s="768"/>
      <c r="G880" s="768"/>
      <c r="H880" s="768"/>
      <c r="I880" s="768"/>
      <c r="J880" s="768"/>
      <c r="K880" s="768"/>
      <c r="L880" s="768"/>
      <c r="M880" s="768"/>
      <c r="N880" s="768"/>
      <c r="O880" s="768"/>
      <c r="P880" s="768"/>
      <c r="Q880" s="768"/>
      <c r="R880" s="768"/>
      <c r="S880" s="768"/>
      <c r="T880" s="768"/>
      <c r="U880" s="768"/>
      <c r="V880" s="768"/>
      <c r="W880" s="768"/>
      <c r="X880" s="768"/>
      <c r="Y880" s="768"/>
      <c r="Z880" s="768"/>
      <c r="AA880" s="768"/>
    </row>
    <row r="881" ht="30.0" customHeight="1">
      <c r="A881" s="768" t="str">
        <f t="array" ref="A881">XLOOKUP(C881,'High School Players'!D:D,'High School Players'!K:K,"NO",0,1)</f>
        <v>NO</v>
      </c>
      <c r="B881" s="768"/>
      <c r="C881" s="768"/>
      <c r="D881" s="768"/>
      <c r="E881" s="768"/>
      <c r="F881" s="768"/>
      <c r="G881" s="768"/>
      <c r="H881" s="768"/>
      <c r="I881" s="768"/>
      <c r="J881" s="768"/>
      <c r="K881" s="768"/>
      <c r="L881" s="768"/>
      <c r="M881" s="768"/>
      <c r="N881" s="768"/>
      <c r="O881" s="768"/>
      <c r="P881" s="768"/>
      <c r="Q881" s="768"/>
      <c r="R881" s="768"/>
      <c r="S881" s="768"/>
      <c r="T881" s="768"/>
      <c r="U881" s="768"/>
      <c r="V881" s="768"/>
      <c r="W881" s="768"/>
      <c r="X881" s="768"/>
      <c r="Y881" s="768"/>
      <c r="Z881" s="768"/>
      <c r="AA881" s="768"/>
    </row>
    <row r="882" ht="30.0" customHeight="1">
      <c r="A882" s="768" t="str">
        <f t="array" ref="A882">XLOOKUP(C882,'High School Players'!D:D,'High School Players'!K:K,"NO",0,1)</f>
        <v>NO</v>
      </c>
      <c r="B882" s="768"/>
      <c r="C882" s="768"/>
      <c r="D882" s="768"/>
      <c r="E882" s="768"/>
      <c r="F882" s="768"/>
      <c r="G882" s="768"/>
      <c r="H882" s="768"/>
      <c r="I882" s="768"/>
      <c r="J882" s="768"/>
      <c r="K882" s="768"/>
      <c r="L882" s="768"/>
      <c r="M882" s="768"/>
      <c r="N882" s="768"/>
      <c r="O882" s="768"/>
      <c r="P882" s="768"/>
      <c r="Q882" s="768"/>
      <c r="R882" s="768"/>
      <c r="S882" s="768"/>
      <c r="T882" s="768"/>
      <c r="U882" s="768"/>
      <c r="V882" s="768"/>
      <c r="W882" s="768"/>
      <c r="X882" s="768"/>
      <c r="Y882" s="768"/>
      <c r="Z882" s="768"/>
      <c r="AA882" s="768"/>
    </row>
    <row r="883" ht="30.0" customHeight="1">
      <c r="A883" s="768" t="str">
        <f t="array" ref="A883">XLOOKUP(C883,'High School Players'!D:D,'High School Players'!K:K,"NO",0,1)</f>
        <v>NO</v>
      </c>
      <c r="B883" s="768"/>
      <c r="C883" s="768"/>
      <c r="D883" s="768"/>
      <c r="E883" s="768"/>
      <c r="F883" s="768"/>
      <c r="G883" s="768"/>
      <c r="H883" s="768"/>
      <c r="I883" s="768"/>
      <c r="J883" s="768"/>
      <c r="K883" s="768"/>
      <c r="L883" s="768"/>
      <c r="M883" s="768"/>
      <c r="N883" s="768"/>
      <c r="O883" s="768"/>
      <c r="P883" s="768"/>
      <c r="Q883" s="768"/>
      <c r="R883" s="768"/>
      <c r="S883" s="768"/>
      <c r="T883" s="768"/>
      <c r="U883" s="768"/>
      <c r="V883" s="768"/>
      <c r="W883" s="768"/>
      <c r="X883" s="768"/>
      <c r="Y883" s="768"/>
      <c r="Z883" s="768"/>
      <c r="AA883" s="768"/>
    </row>
    <row r="884" ht="30.0" customHeight="1">
      <c r="A884" s="768" t="str">
        <f t="array" ref="A884">XLOOKUP(C884,'High School Players'!D:D,'High School Players'!K:K,"NO",0,1)</f>
        <v>NO</v>
      </c>
      <c r="B884" s="768"/>
      <c r="C884" s="768"/>
      <c r="D884" s="768"/>
      <c r="E884" s="768"/>
      <c r="F884" s="768"/>
      <c r="G884" s="768"/>
      <c r="H884" s="768"/>
      <c r="I884" s="768"/>
      <c r="J884" s="768"/>
      <c r="K884" s="768"/>
      <c r="L884" s="768"/>
      <c r="M884" s="768"/>
      <c r="N884" s="768"/>
      <c r="O884" s="768"/>
      <c r="P884" s="768"/>
      <c r="Q884" s="768"/>
      <c r="R884" s="768"/>
      <c r="S884" s="768"/>
      <c r="T884" s="768"/>
      <c r="U884" s="768"/>
      <c r="V884" s="768"/>
      <c r="W884" s="768"/>
      <c r="X884" s="768"/>
      <c r="Y884" s="768"/>
      <c r="Z884" s="768"/>
      <c r="AA884" s="768"/>
    </row>
    <row r="885" ht="30.0" customHeight="1">
      <c r="A885" s="768" t="str">
        <f t="array" ref="A885">XLOOKUP(C885,'High School Players'!D:D,'High School Players'!K:K,"NO",0,1)</f>
        <v>NO</v>
      </c>
      <c r="B885" s="768"/>
      <c r="C885" s="768"/>
      <c r="D885" s="768"/>
      <c r="E885" s="768"/>
      <c r="F885" s="768"/>
      <c r="G885" s="768"/>
      <c r="H885" s="768"/>
      <c r="I885" s="768"/>
      <c r="J885" s="768"/>
      <c r="K885" s="768"/>
      <c r="L885" s="768"/>
      <c r="M885" s="768"/>
      <c r="N885" s="768"/>
      <c r="O885" s="768"/>
      <c r="P885" s="768"/>
      <c r="Q885" s="768"/>
      <c r="R885" s="768"/>
      <c r="S885" s="768"/>
      <c r="T885" s="768"/>
      <c r="U885" s="768"/>
      <c r="V885" s="768"/>
      <c r="W885" s="768"/>
      <c r="X885" s="768"/>
      <c r="Y885" s="768"/>
      <c r="Z885" s="768"/>
      <c r="AA885" s="768"/>
    </row>
    <row r="886" ht="30.0" customHeight="1">
      <c r="A886" s="768" t="str">
        <f t="array" ref="A886">XLOOKUP(C886,'High School Players'!D:D,'High School Players'!K:K,"NO",0,1)</f>
        <v>NO</v>
      </c>
      <c r="B886" s="768"/>
      <c r="C886" s="768"/>
      <c r="D886" s="768"/>
      <c r="E886" s="768"/>
      <c r="F886" s="768"/>
      <c r="G886" s="768"/>
      <c r="H886" s="768"/>
      <c r="I886" s="768"/>
      <c r="J886" s="768"/>
      <c r="K886" s="768"/>
      <c r="L886" s="768"/>
      <c r="M886" s="768"/>
      <c r="N886" s="768"/>
      <c r="O886" s="768"/>
      <c r="P886" s="768"/>
      <c r="Q886" s="768"/>
      <c r="R886" s="768"/>
      <c r="S886" s="768"/>
      <c r="T886" s="768"/>
      <c r="U886" s="768"/>
      <c r="V886" s="768"/>
      <c r="W886" s="768"/>
      <c r="X886" s="768"/>
      <c r="Y886" s="768"/>
      <c r="Z886" s="768"/>
      <c r="AA886" s="768"/>
    </row>
    <row r="887" ht="30.0" customHeight="1">
      <c r="A887" s="768" t="str">
        <f t="array" ref="A887">XLOOKUP(C887,'High School Players'!D:D,'High School Players'!K:K,"NO",0,1)</f>
        <v>NO</v>
      </c>
      <c r="B887" s="768"/>
      <c r="C887" s="768"/>
      <c r="D887" s="768"/>
      <c r="E887" s="768"/>
      <c r="F887" s="768"/>
      <c r="G887" s="768"/>
      <c r="H887" s="768"/>
      <c r="I887" s="768"/>
      <c r="J887" s="768"/>
      <c r="K887" s="768"/>
      <c r="L887" s="768"/>
      <c r="M887" s="768"/>
      <c r="N887" s="768"/>
      <c r="O887" s="768"/>
      <c r="P887" s="768"/>
      <c r="Q887" s="768"/>
      <c r="R887" s="768"/>
      <c r="S887" s="768"/>
      <c r="T887" s="768"/>
      <c r="U887" s="768"/>
      <c r="V887" s="768"/>
      <c r="W887" s="768"/>
      <c r="X887" s="768"/>
      <c r="Y887" s="768"/>
      <c r="Z887" s="768"/>
      <c r="AA887" s="768"/>
    </row>
    <row r="888" ht="30.0" customHeight="1">
      <c r="A888" s="768" t="str">
        <f t="array" ref="A888">XLOOKUP(C888,'High School Players'!D:D,'High School Players'!K:K,"NO",0,1)</f>
        <v>NO</v>
      </c>
      <c r="B888" s="768"/>
      <c r="C888" s="768"/>
      <c r="D888" s="768"/>
      <c r="E888" s="768"/>
      <c r="F888" s="768"/>
      <c r="G888" s="768"/>
      <c r="H888" s="768"/>
      <c r="I888" s="768"/>
      <c r="J888" s="768"/>
      <c r="K888" s="768"/>
      <c r="L888" s="768"/>
      <c r="M888" s="768"/>
      <c r="N888" s="768"/>
      <c r="O888" s="768"/>
      <c r="P888" s="768"/>
      <c r="Q888" s="768"/>
      <c r="R888" s="768"/>
      <c r="S888" s="768"/>
      <c r="T888" s="768"/>
      <c r="U888" s="768"/>
      <c r="V888" s="768"/>
      <c r="W888" s="768"/>
      <c r="X888" s="768"/>
      <c r="Y888" s="768"/>
      <c r="Z888" s="768"/>
      <c r="AA888" s="768"/>
    </row>
    <row r="889" ht="30.0" customHeight="1">
      <c r="A889" s="768" t="str">
        <f t="array" ref="A889">XLOOKUP(C889,'High School Players'!D:D,'High School Players'!K:K,"NO",0,1)</f>
        <v>NO</v>
      </c>
      <c r="B889" s="768"/>
      <c r="C889" s="768"/>
      <c r="D889" s="768"/>
      <c r="E889" s="768"/>
      <c r="F889" s="768"/>
      <c r="G889" s="768"/>
      <c r="H889" s="768"/>
      <c r="I889" s="768"/>
      <c r="J889" s="768"/>
      <c r="K889" s="768"/>
      <c r="L889" s="768"/>
      <c r="M889" s="768"/>
      <c r="N889" s="768"/>
      <c r="O889" s="768"/>
      <c r="P889" s="768"/>
      <c r="Q889" s="768"/>
      <c r="R889" s="768"/>
      <c r="S889" s="768"/>
      <c r="T889" s="768"/>
      <c r="U889" s="768"/>
      <c r="V889" s="768"/>
      <c r="W889" s="768"/>
      <c r="X889" s="768"/>
      <c r="Y889" s="768"/>
      <c r="Z889" s="768"/>
      <c r="AA889" s="768"/>
    </row>
    <row r="890" ht="30.0" customHeight="1">
      <c r="A890" s="768" t="str">
        <f t="array" ref="A890">XLOOKUP(C890,'High School Players'!D:D,'High School Players'!K:K,"NO",0,1)</f>
        <v>NO</v>
      </c>
      <c r="B890" s="768"/>
      <c r="C890" s="768"/>
      <c r="D890" s="768"/>
      <c r="E890" s="768"/>
      <c r="F890" s="768"/>
      <c r="G890" s="768"/>
      <c r="H890" s="768"/>
      <c r="I890" s="768"/>
      <c r="J890" s="768"/>
      <c r="K890" s="768"/>
      <c r="L890" s="768"/>
      <c r="M890" s="768"/>
      <c r="N890" s="768"/>
      <c r="O890" s="768"/>
      <c r="P890" s="768"/>
      <c r="Q890" s="768"/>
      <c r="R890" s="768"/>
      <c r="S890" s="768"/>
      <c r="T890" s="768"/>
      <c r="U890" s="768"/>
      <c r="V890" s="768"/>
      <c r="W890" s="768"/>
      <c r="X890" s="768"/>
      <c r="Y890" s="768"/>
      <c r="Z890" s="768"/>
      <c r="AA890" s="768"/>
    </row>
    <row r="891" ht="30.0" customHeight="1">
      <c r="A891" s="768" t="str">
        <f t="array" ref="A891">XLOOKUP(C891,'High School Players'!D:D,'High School Players'!K:K,"NO",0,1)</f>
        <v>NO</v>
      </c>
      <c r="B891" s="768"/>
      <c r="C891" s="768"/>
      <c r="D891" s="768"/>
      <c r="E891" s="768"/>
      <c r="F891" s="768"/>
      <c r="G891" s="768"/>
      <c r="H891" s="768"/>
      <c r="I891" s="768"/>
      <c r="J891" s="768"/>
      <c r="K891" s="768"/>
      <c r="L891" s="768"/>
      <c r="M891" s="768"/>
      <c r="N891" s="768"/>
      <c r="O891" s="768"/>
      <c r="P891" s="768"/>
      <c r="Q891" s="768"/>
      <c r="R891" s="768"/>
      <c r="S891" s="768"/>
      <c r="T891" s="768"/>
      <c r="U891" s="768"/>
      <c r="V891" s="768"/>
      <c r="W891" s="768"/>
      <c r="X891" s="768"/>
      <c r="Y891" s="768"/>
      <c r="Z891" s="768"/>
      <c r="AA891" s="768"/>
    </row>
    <row r="892" ht="30.0" customHeight="1">
      <c r="A892" s="768" t="str">
        <f t="array" ref="A892">XLOOKUP(C892,'High School Players'!D:D,'High School Players'!K:K,"NO",0,1)</f>
        <v>NO</v>
      </c>
      <c r="B892" s="768"/>
      <c r="C892" s="768"/>
      <c r="D892" s="768"/>
      <c r="E892" s="768"/>
      <c r="F892" s="768"/>
      <c r="G892" s="768"/>
      <c r="H892" s="768"/>
      <c r="I892" s="768"/>
      <c r="J892" s="768"/>
      <c r="K892" s="768"/>
      <c r="L892" s="768"/>
      <c r="M892" s="768"/>
      <c r="N892" s="768"/>
      <c r="O892" s="768"/>
      <c r="P892" s="768"/>
      <c r="Q892" s="768"/>
      <c r="R892" s="768"/>
      <c r="S892" s="768"/>
      <c r="T892" s="768"/>
      <c r="U892" s="768"/>
      <c r="V892" s="768"/>
      <c r="W892" s="768"/>
      <c r="X892" s="768"/>
      <c r="Y892" s="768"/>
      <c r="Z892" s="768"/>
      <c r="AA892" s="768"/>
    </row>
    <row r="893" ht="30.0" customHeight="1">
      <c r="A893" s="768" t="str">
        <f t="array" ref="A893">XLOOKUP(C893,'High School Players'!D:D,'High School Players'!K:K,"NO",0,1)</f>
        <v>NO</v>
      </c>
      <c r="B893" s="768"/>
      <c r="C893" s="768"/>
      <c r="D893" s="768"/>
      <c r="E893" s="768"/>
      <c r="F893" s="768"/>
      <c r="G893" s="768"/>
      <c r="H893" s="768"/>
      <c r="I893" s="768"/>
      <c r="J893" s="768"/>
      <c r="K893" s="768"/>
      <c r="L893" s="768"/>
      <c r="M893" s="768"/>
      <c r="N893" s="768"/>
      <c r="O893" s="768"/>
      <c r="P893" s="768"/>
      <c r="Q893" s="768"/>
      <c r="R893" s="768"/>
      <c r="S893" s="768"/>
      <c r="T893" s="768"/>
      <c r="U893" s="768"/>
      <c r="V893" s="768"/>
      <c r="W893" s="768"/>
      <c r="X893" s="768"/>
      <c r="Y893" s="768"/>
      <c r="Z893" s="768"/>
      <c r="AA893" s="768"/>
    </row>
    <row r="894" ht="30.0" customHeight="1">
      <c r="A894" s="768" t="str">
        <f t="array" ref="A894">XLOOKUP(C894,'High School Players'!D:D,'High School Players'!K:K,"NO",0,1)</f>
        <v>NO</v>
      </c>
      <c r="B894" s="768"/>
      <c r="C894" s="768"/>
      <c r="D894" s="768"/>
      <c r="E894" s="768"/>
      <c r="F894" s="768"/>
      <c r="G894" s="768"/>
      <c r="H894" s="768"/>
      <c r="I894" s="768"/>
      <c r="J894" s="768"/>
      <c r="K894" s="768"/>
      <c r="L894" s="768"/>
      <c r="M894" s="768"/>
      <c r="N894" s="768"/>
      <c r="O894" s="768"/>
      <c r="P894" s="768"/>
      <c r="Q894" s="768"/>
      <c r="R894" s="768"/>
      <c r="S894" s="768"/>
      <c r="T894" s="768"/>
      <c r="U894" s="768"/>
      <c r="V894" s="768"/>
      <c r="W894" s="768"/>
      <c r="X894" s="768"/>
      <c r="Y894" s="768"/>
      <c r="Z894" s="768"/>
      <c r="AA894" s="768"/>
    </row>
    <row r="895" ht="30.0" customHeight="1">
      <c r="A895" s="768" t="str">
        <f t="array" ref="A895">XLOOKUP(C895,'High School Players'!D:D,'High School Players'!K:K,"NO",0,1)</f>
        <v>NO</v>
      </c>
      <c r="B895" s="768"/>
      <c r="C895" s="768"/>
      <c r="D895" s="768"/>
      <c r="E895" s="768"/>
      <c r="F895" s="768"/>
      <c r="G895" s="768"/>
      <c r="H895" s="768"/>
      <c r="I895" s="768"/>
      <c r="J895" s="768"/>
      <c r="K895" s="768"/>
      <c r="L895" s="768"/>
      <c r="M895" s="768"/>
      <c r="N895" s="768"/>
      <c r="O895" s="768"/>
      <c r="P895" s="768"/>
      <c r="Q895" s="768"/>
      <c r="R895" s="768"/>
      <c r="S895" s="768"/>
      <c r="T895" s="768"/>
      <c r="U895" s="768"/>
      <c r="V895" s="768"/>
      <c r="W895" s="768"/>
      <c r="X895" s="768"/>
      <c r="Y895" s="768"/>
      <c r="Z895" s="768"/>
      <c r="AA895" s="768"/>
    </row>
    <row r="896" ht="30.0" customHeight="1">
      <c r="A896" s="768" t="str">
        <f t="array" ref="A896">XLOOKUP(C896,'High School Players'!D:D,'High School Players'!K:K,"NO",0,1)</f>
        <v>NO</v>
      </c>
      <c r="B896" s="768"/>
      <c r="C896" s="768"/>
      <c r="D896" s="768"/>
      <c r="E896" s="768"/>
      <c r="F896" s="768"/>
      <c r="G896" s="768"/>
      <c r="H896" s="768"/>
      <c r="I896" s="768"/>
      <c r="J896" s="768"/>
      <c r="K896" s="768"/>
      <c r="L896" s="768"/>
      <c r="M896" s="768"/>
      <c r="N896" s="768"/>
      <c r="O896" s="768"/>
      <c r="P896" s="768"/>
      <c r="Q896" s="768"/>
      <c r="R896" s="768"/>
      <c r="S896" s="768"/>
      <c r="T896" s="768"/>
      <c r="U896" s="768"/>
      <c r="V896" s="768"/>
      <c r="W896" s="768"/>
      <c r="X896" s="768"/>
      <c r="Y896" s="768"/>
      <c r="Z896" s="768"/>
      <c r="AA896" s="768"/>
    </row>
    <row r="897" ht="30.0" customHeight="1">
      <c r="A897" s="768" t="str">
        <f t="array" ref="A897">XLOOKUP(C897,'High School Players'!D:D,'High School Players'!K:K,"NO",0,1)</f>
        <v>NO</v>
      </c>
      <c r="B897" s="768"/>
      <c r="C897" s="768"/>
      <c r="D897" s="768"/>
      <c r="E897" s="768"/>
      <c r="F897" s="768"/>
      <c r="G897" s="768"/>
      <c r="H897" s="768"/>
      <c r="I897" s="768"/>
      <c r="J897" s="768"/>
      <c r="K897" s="768"/>
      <c r="L897" s="768"/>
      <c r="M897" s="768"/>
      <c r="N897" s="768"/>
      <c r="O897" s="768"/>
      <c r="P897" s="768"/>
      <c r="Q897" s="768"/>
      <c r="R897" s="768"/>
      <c r="S897" s="768"/>
      <c r="T897" s="768"/>
      <c r="U897" s="768"/>
      <c r="V897" s="768"/>
      <c r="W897" s="768"/>
      <c r="X897" s="768"/>
      <c r="Y897" s="768"/>
      <c r="Z897" s="768"/>
      <c r="AA897" s="768"/>
    </row>
    <row r="898" ht="30.0" customHeight="1">
      <c r="A898" s="768" t="str">
        <f t="array" ref="A898">XLOOKUP(C898,'High School Players'!D:D,'High School Players'!K:K,"NO",0,1)</f>
        <v>NO</v>
      </c>
      <c r="B898" s="768"/>
      <c r="C898" s="768"/>
      <c r="D898" s="768"/>
      <c r="E898" s="768"/>
      <c r="F898" s="768"/>
      <c r="G898" s="768"/>
      <c r="H898" s="768"/>
      <c r="I898" s="768"/>
      <c r="J898" s="768"/>
      <c r="K898" s="768"/>
      <c r="L898" s="768"/>
      <c r="M898" s="768"/>
      <c r="N898" s="768"/>
      <c r="O898" s="768"/>
      <c r="P898" s="768"/>
      <c r="Q898" s="768"/>
      <c r="R898" s="768"/>
      <c r="S898" s="768"/>
      <c r="T898" s="768"/>
      <c r="U898" s="768"/>
      <c r="V898" s="768"/>
      <c r="W898" s="768"/>
      <c r="X898" s="768"/>
      <c r="Y898" s="768"/>
      <c r="Z898" s="768"/>
      <c r="AA898" s="768"/>
    </row>
    <row r="899" ht="30.0" customHeight="1">
      <c r="A899" s="768" t="str">
        <f t="array" ref="A899">XLOOKUP(C899,'High School Players'!D:D,'High School Players'!K:K,"NO",0,1)</f>
        <v>NO</v>
      </c>
      <c r="B899" s="768"/>
      <c r="C899" s="768"/>
      <c r="D899" s="768"/>
      <c r="E899" s="768"/>
      <c r="F899" s="768"/>
      <c r="G899" s="768"/>
      <c r="H899" s="768"/>
      <c r="I899" s="768"/>
      <c r="J899" s="768"/>
      <c r="K899" s="768"/>
      <c r="L899" s="768"/>
      <c r="M899" s="768"/>
      <c r="N899" s="768"/>
      <c r="O899" s="768"/>
      <c r="P899" s="768"/>
      <c r="Q899" s="768"/>
      <c r="R899" s="768"/>
      <c r="S899" s="768"/>
      <c r="T899" s="768"/>
      <c r="U899" s="768"/>
      <c r="V899" s="768"/>
      <c r="W899" s="768"/>
      <c r="X899" s="768"/>
      <c r="Y899" s="768"/>
      <c r="Z899" s="768"/>
      <c r="AA899" s="768"/>
    </row>
    <row r="900" ht="30.0" customHeight="1">
      <c r="A900" s="768" t="str">
        <f t="array" ref="A900">XLOOKUP(C900,'High School Players'!D:D,'High School Players'!K:K,"NO",0,1)</f>
        <v>NO</v>
      </c>
      <c r="B900" s="768"/>
      <c r="C900" s="768"/>
      <c r="D900" s="768"/>
      <c r="E900" s="768"/>
      <c r="F900" s="768"/>
      <c r="G900" s="768"/>
      <c r="H900" s="768"/>
      <c r="I900" s="768"/>
      <c r="J900" s="768"/>
      <c r="K900" s="768"/>
      <c r="L900" s="768"/>
      <c r="M900" s="768"/>
      <c r="N900" s="768"/>
      <c r="O900" s="768"/>
      <c r="P900" s="768"/>
      <c r="Q900" s="768"/>
      <c r="R900" s="768"/>
      <c r="S900" s="768"/>
      <c r="T900" s="768"/>
      <c r="U900" s="768"/>
      <c r="V900" s="768"/>
      <c r="W900" s="768"/>
      <c r="X900" s="768"/>
      <c r="Y900" s="768"/>
      <c r="Z900" s="768"/>
      <c r="AA900" s="768"/>
    </row>
    <row r="901" ht="30.0" customHeight="1">
      <c r="A901" s="768" t="str">
        <f t="array" ref="A901">XLOOKUP(C901,'High School Players'!D:D,'High School Players'!K:K,"NO",0,1)</f>
        <v>NO</v>
      </c>
      <c r="B901" s="768"/>
      <c r="C901" s="768"/>
      <c r="D901" s="768"/>
      <c r="E901" s="768"/>
      <c r="F901" s="768"/>
      <c r="G901" s="768"/>
      <c r="H901" s="768"/>
      <c r="I901" s="768"/>
      <c r="J901" s="768"/>
      <c r="K901" s="768"/>
      <c r="L901" s="768"/>
      <c r="M901" s="768"/>
      <c r="N901" s="768"/>
      <c r="O901" s="768"/>
      <c r="P901" s="768"/>
      <c r="Q901" s="768"/>
      <c r="R901" s="768"/>
      <c r="S901" s="768"/>
      <c r="T901" s="768"/>
      <c r="U901" s="768"/>
      <c r="V901" s="768"/>
      <c r="W901" s="768"/>
      <c r="X901" s="768"/>
      <c r="Y901" s="768"/>
      <c r="Z901" s="768"/>
      <c r="AA901" s="768"/>
    </row>
    <row r="902" ht="30.0" customHeight="1">
      <c r="A902" s="768" t="str">
        <f t="array" ref="A902">XLOOKUP(C902,'High School Players'!D:D,'High School Players'!K:K,"NO",0,1)</f>
        <v>NO</v>
      </c>
      <c r="B902" s="768"/>
      <c r="C902" s="768"/>
      <c r="D902" s="768"/>
      <c r="E902" s="768"/>
      <c r="F902" s="768"/>
      <c r="G902" s="768"/>
      <c r="H902" s="768"/>
      <c r="I902" s="768"/>
      <c r="J902" s="768"/>
      <c r="K902" s="768"/>
      <c r="L902" s="768"/>
      <c r="M902" s="768"/>
      <c r="N902" s="768"/>
      <c r="O902" s="768"/>
      <c r="P902" s="768"/>
      <c r="Q902" s="768"/>
      <c r="R902" s="768"/>
      <c r="S902" s="768"/>
      <c r="T902" s="768"/>
      <c r="U902" s="768"/>
      <c r="V902" s="768"/>
      <c r="W902" s="768"/>
      <c r="X902" s="768"/>
      <c r="Y902" s="768"/>
      <c r="Z902" s="768"/>
      <c r="AA902" s="768"/>
    </row>
    <row r="903" ht="30.0" customHeight="1">
      <c r="A903" s="768" t="str">
        <f t="array" ref="A903">XLOOKUP(C903,'High School Players'!D:D,'High School Players'!K:K,"NO",0,1)</f>
        <v>NO</v>
      </c>
      <c r="B903" s="768"/>
      <c r="C903" s="768"/>
      <c r="D903" s="768"/>
      <c r="E903" s="768"/>
      <c r="F903" s="768"/>
      <c r="G903" s="768"/>
      <c r="H903" s="768"/>
      <c r="I903" s="768"/>
      <c r="J903" s="768"/>
      <c r="K903" s="768"/>
      <c r="L903" s="768"/>
      <c r="M903" s="768"/>
      <c r="N903" s="768"/>
      <c r="O903" s="768"/>
      <c r="P903" s="768"/>
      <c r="Q903" s="768"/>
      <c r="R903" s="768"/>
      <c r="S903" s="768"/>
      <c r="T903" s="768"/>
      <c r="U903" s="768"/>
      <c r="V903" s="768"/>
      <c r="W903" s="768"/>
      <c r="X903" s="768"/>
      <c r="Y903" s="768"/>
      <c r="Z903" s="768"/>
      <c r="AA903" s="768"/>
    </row>
    <row r="904" ht="30.0" customHeight="1">
      <c r="A904" s="768" t="str">
        <f t="array" ref="A904">XLOOKUP(C904,'High School Players'!D:D,'High School Players'!K:K,"NO",0,1)</f>
        <v>NO</v>
      </c>
      <c r="B904" s="768"/>
      <c r="C904" s="768"/>
      <c r="D904" s="768"/>
      <c r="E904" s="768"/>
      <c r="F904" s="768"/>
      <c r="G904" s="768"/>
      <c r="H904" s="768"/>
      <c r="I904" s="768"/>
      <c r="J904" s="768"/>
      <c r="K904" s="768"/>
      <c r="L904" s="768"/>
      <c r="M904" s="768"/>
      <c r="N904" s="768"/>
      <c r="O904" s="768"/>
      <c r="P904" s="768"/>
      <c r="Q904" s="768"/>
      <c r="R904" s="768"/>
      <c r="S904" s="768"/>
      <c r="T904" s="768"/>
      <c r="U904" s="768"/>
      <c r="V904" s="768"/>
      <c r="W904" s="768"/>
      <c r="X904" s="768"/>
      <c r="Y904" s="768"/>
      <c r="Z904" s="768"/>
      <c r="AA904" s="768"/>
    </row>
    <row r="905" ht="30.0" customHeight="1">
      <c r="A905" s="768" t="str">
        <f t="array" ref="A905">XLOOKUP(C905,'High School Players'!D:D,'High School Players'!K:K,"NO",0,1)</f>
        <v>NO</v>
      </c>
      <c r="B905" s="768"/>
      <c r="C905" s="768"/>
      <c r="D905" s="768"/>
      <c r="E905" s="768"/>
      <c r="F905" s="768"/>
      <c r="G905" s="768"/>
      <c r="H905" s="768"/>
      <c r="I905" s="768"/>
      <c r="J905" s="768"/>
      <c r="K905" s="768"/>
      <c r="L905" s="768"/>
      <c r="M905" s="768"/>
      <c r="N905" s="768"/>
      <c r="O905" s="768"/>
      <c r="P905" s="768"/>
      <c r="Q905" s="768"/>
      <c r="R905" s="768"/>
      <c r="S905" s="768"/>
      <c r="T905" s="768"/>
      <c r="U905" s="768"/>
      <c r="V905" s="768"/>
      <c r="W905" s="768"/>
      <c r="X905" s="768"/>
      <c r="Y905" s="768"/>
      <c r="Z905" s="768"/>
      <c r="AA905" s="768"/>
    </row>
    <row r="906" ht="30.0" customHeight="1">
      <c r="A906" s="768" t="str">
        <f t="array" ref="A906">XLOOKUP(C906,'High School Players'!D:D,'High School Players'!K:K,"NO",0,1)</f>
        <v>NO</v>
      </c>
      <c r="B906" s="768"/>
      <c r="C906" s="768"/>
      <c r="D906" s="768"/>
      <c r="E906" s="768"/>
      <c r="F906" s="768"/>
      <c r="G906" s="768"/>
      <c r="H906" s="768"/>
      <c r="I906" s="768"/>
      <c r="J906" s="768"/>
      <c r="K906" s="768"/>
      <c r="L906" s="768"/>
      <c r="M906" s="768"/>
      <c r="N906" s="768"/>
      <c r="O906" s="768"/>
      <c r="P906" s="768"/>
      <c r="Q906" s="768"/>
      <c r="R906" s="768"/>
      <c r="S906" s="768"/>
      <c r="T906" s="768"/>
      <c r="U906" s="768"/>
      <c r="V906" s="768"/>
      <c r="W906" s="768"/>
      <c r="X906" s="768"/>
      <c r="Y906" s="768"/>
      <c r="Z906" s="768"/>
      <c r="AA906" s="768"/>
    </row>
    <row r="907" ht="30.0" customHeight="1">
      <c r="A907" s="768" t="str">
        <f t="array" ref="A907">XLOOKUP(C907,'High School Players'!D:D,'High School Players'!K:K,"NO",0,1)</f>
        <v>NO</v>
      </c>
      <c r="B907" s="768"/>
      <c r="C907" s="768"/>
      <c r="D907" s="768"/>
      <c r="E907" s="768"/>
      <c r="F907" s="768"/>
      <c r="G907" s="768"/>
      <c r="H907" s="768"/>
      <c r="I907" s="768"/>
      <c r="J907" s="768"/>
      <c r="K907" s="768"/>
      <c r="L907" s="768"/>
      <c r="M907" s="768"/>
      <c r="N907" s="768"/>
      <c r="O907" s="768"/>
      <c r="P907" s="768"/>
      <c r="Q907" s="768"/>
      <c r="R907" s="768"/>
      <c r="S907" s="768"/>
      <c r="T907" s="768"/>
      <c r="U907" s="768"/>
      <c r="V907" s="768"/>
      <c r="W907" s="768"/>
      <c r="X907" s="768"/>
      <c r="Y907" s="768"/>
      <c r="Z907" s="768"/>
      <c r="AA907" s="768"/>
    </row>
    <row r="908" ht="30.0" customHeight="1">
      <c r="A908" s="768" t="str">
        <f t="array" ref="A908">XLOOKUP(C908,'High School Players'!D:D,'High School Players'!K:K,"NO",0,1)</f>
        <v>NO</v>
      </c>
      <c r="B908" s="768"/>
      <c r="C908" s="768"/>
      <c r="D908" s="768"/>
      <c r="E908" s="768"/>
      <c r="F908" s="768"/>
      <c r="G908" s="768"/>
      <c r="H908" s="768"/>
      <c r="I908" s="768"/>
      <c r="J908" s="768"/>
      <c r="K908" s="768"/>
      <c r="L908" s="768"/>
      <c r="M908" s="768"/>
      <c r="N908" s="768"/>
      <c r="O908" s="768"/>
      <c r="P908" s="768"/>
      <c r="Q908" s="768"/>
      <c r="R908" s="768"/>
      <c r="S908" s="768"/>
      <c r="T908" s="768"/>
      <c r="U908" s="768"/>
      <c r="V908" s="768"/>
      <c r="W908" s="768"/>
      <c r="X908" s="768"/>
      <c r="Y908" s="768"/>
      <c r="Z908" s="768"/>
      <c r="AA908" s="768"/>
    </row>
    <row r="909" ht="30.0" customHeight="1">
      <c r="A909" s="768" t="str">
        <f t="array" ref="A909">XLOOKUP(C909,'High School Players'!D:D,'High School Players'!K:K,"NO",0,1)</f>
        <v>NO</v>
      </c>
      <c r="B909" s="768"/>
      <c r="C909" s="768"/>
      <c r="D909" s="768"/>
      <c r="E909" s="768"/>
      <c r="F909" s="768"/>
      <c r="G909" s="768"/>
      <c r="H909" s="768"/>
      <c r="I909" s="768"/>
      <c r="J909" s="768"/>
      <c r="K909" s="768"/>
      <c r="L909" s="768"/>
      <c r="M909" s="768"/>
      <c r="N909" s="768"/>
      <c r="O909" s="768"/>
      <c r="P909" s="768"/>
      <c r="Q909" s="768"/>
      <c r="R909" s="768"/>
      <c r="S909" s="768"/>
      <c r="T909" s="768"/>
      <c r="U909" s="768"/>
      <c r="V909" s="768"/>
      <c r="W909" s="768"/>
      <c r="X909" s="768"/>
      <c r="Y909" s="768"/>
      <c r="Z909" s="768"/>
      <c r="AA909" s="768"/>
    </row>
    <row r="910" ht="30.0" customHeight="1">
      <c r="A910" s="768" t="str">
        <f t="array" ref="A910">XLOOKUP(C910,'High School Players'!D:D,'High School Players'!K:K,"NO",0,1)</f>
        <v>NO</v>
      </c>
      <c r="B910" s="768"/>
      <c r="C910" s="768"/>
      <c r="D910" s="768"/>
      <c r="E910" s="768"/>
      <c r="F910" s="768"/>
      <c r="G910" s="768"/>
      <c r="H910" s="768"/>
      <c r="I910" s="768"/>
      <c r="J910" s="768"/>
      <c r="K910" s="768"/>
      <c r="L910" s="768"/>
      <c r="M910" s="768"/>
      <c r="N910" s="768"/>
      <c r="O910" s="768"/>
      <c r="P910" s="768"/>
      <c r="Q910" s="768"/>
      <c r="R910" s="768"/>
      <c r="S910" s="768"/>
      <c r="T910" s="768"/>
      <c r="U910" s="768"/>
      <c r="V910" s="768"/>
      <c r="W910" s="768"/>
      <c r="X910" s="768"/>
      <c r="Y910" s="768"/>
      <c r="Z910" s="768"/>
      <c r="AA910" s="768"/>
    </row>
    <row r="911" ht="30.0" customHeight="1">
      <c r="A911" s="768" t="str">
        <f t="array" ref="A911">XLOOKUP(C911,'High School Players'!D:D,'High School Players'!K:K,"NO",0,1)</f>
        <v>NO</v>
      </c>
      <c r="B911" s="768"/>
      <c r="C911" s="768"/>
      <c r="D911" s="768"/>
      <c r="E911" s="768"/>
      <c r="F911" s="768"/>
      <c r="G911" s="768"/>
      <c r="H911" s="768"/>
      <c r="I911" s="768"/>
      <c r="J911" s="768"/>
      <c r="K911" s="768"/>
      <c r="L911" s="768"/>
      <c r="M911" s="768"/>
      <c r="N911" s="768"/>
      <c r="O911" s="768"/>
      <c r="P911" s="768"/>
      <c r="Q911" s="768"/>
      <c r="R911" s="768"/>
      <c r="S911" s="768"/>
      <c r="T911" s="768"/>
      <c r="U911" s="768"/>
      <c r="V911" s="768"/>
      <c r="W911" s="768"/>
      <c r="X911" s="768"/>
      <c r="Y911" s="768"/>
      <c r="Z911" s="768"/>
      <c r="AA911" s="768"/>
    </row>
    <row r="912" ht="30.0" customHeight="1">
      <c r="A912" s="768" t="str">
        <f t="array" ref="A912">XLOOKUP(C912,'High School Players'!D:D,'High School Players'!K:K,"NO",0,1)</f>
        <v>NO</v>
      </c>
      <c r="B912" s="768"/>
      <c r="C912" s="768"/>
      <c r="D912" s="768"/>
      <c r="E912" s="768"/>
      <c r="F912" s="768"/>
      <c r="G912" s="768"/>
      <c r="H912" s="768"/>
      <c r="I912" s="768"/>
      <c r="J912" s="768"/>
      <c r="K912" s="768"/>
      <c r="L912" s="768"/>
      <c r="M912" s="768"/>
      <c r="N912" s="768"/>
      <c r="O912" s="768"/>
      <c r="P912" s="768"/>
      <c r="Q912" s="768"/>
      <c r="R912" s="768"/>
      <c r="S912" s="768"/>
      <c r="T912" s="768"/>
      <c r="U912" s="768"/>
      <c r="V912" s="768"/>
      <c r="W912" s="768"/>
      <c r="X912" s="768"/>
      <c r="Y912" s="768"/>
      <c r="Z912" s="768"/>
      <c r="AA912" s="768"/>
    </row>
    <row r="913" ht="30.0" customHeight="1">
      <c r="A913" s="768" t="str">
        <f t="array" ref="A913">XLOOKUP(C913,'High School Players'!D:D,'High School Players'!K:K,"NO",0,1)</f>
        <v>NO</v>
      </c>
      <c r="B913" s="768"/>
      <c r="C913" s="768"/>
      <c r="D913" s="768"/>
      <c r="E913" s="768"/>
      <c r="F913" s="768"/>
      <c r="G913" s="768"/>
      <c r="H913" s="768"/>
      <c r="I913" s="768"/>
      <c r="J913" s="768"/>
      <c r="K913" s="768"/>
      <c r="L913" s="768"/>
      <c r="M913" s="768"/>
      <c r="N913" s="768"/>
      <c r="O913" s="768"/>
      <c r="P913" s="768"/>
      <c r="Q913" s="768"/>
      <c r="R913" s="768"/>
      <c r="S913" s="768"/>
      <c r="T913" s="768"/>
      <c r="U913" s="768"/>
      <c r="V913" s="768"/>
      <c r="W913" s="768"/>
      <c r="X913" s="768"/>
      <c r="Y913" s="768"/>
      <c r="Z913" s="768"/>
      <c r="AA913" s="768"/>
    </row>
    <row r="914" ht="30.0" customHeight="1">
      <c r="A914" s="768" t="str">
        <f t="array" ref="A914">XLOOKUP(C914,'High School Players'!D:D,'High School Players'!K:K,"NO",0,1)</f>
        <v>NO</v>
      </c>
      <c r="B914" s="768"/>
      <c r="C914" s="768"/>
      <c r="D914" s="768"/>
      <c r="E914" s="768"/>
      <c r="F914" s="768"/>
      <c r="G914" s="768"/>
      <c r="H914" s="768"/>
      <c r="I914" s="768"/>
      <c r="J914" s="768"/>
      <c r="K914" s="768"/>
      <c r="L914" s="768"/>
      <c r="M914" s="768"/>
      <c r="N914" s="768"/>
      <c r="O914" s="768"/>
      <c r="P914" s="768"/>
      <c r="Q914" s="768"/>
      <c r="R914" s="768"/>
      <c r="S914" s="768"/>
      <c r="T914" s="768"/>
      <c r="U914" s="768"/>
      <c r="V914" s="768"/>
      <c r="W914" s="768"/>
      <c r="X914" s="768"/>
      <c r="Y914" s="768"/>
      <c r="Z914" s="768"/>
      <c r="AA914" s="768"/>
    </row>
    <row r="915" ht="30.0" customHeight="1">
      <c r="A915" s="768" t="str">
        <f t="array" ref="A915">XLOOKUP(C915,'High School Players'!D:D,'High School Players'!K:K,"NO",0,1)</f>
        <v>NO</v>
      </c>
      <c r="B915" s="768"/>
      <c r="C915" s="768"/>
      <c r="D915" s="768"/>
      <c r="E915" s="768"/>
      <c r="F915" s="768"/>
      <c r="G915" s="768"/>
      <c r="H915" s="768"/>
      <c r="I915" s="768"/>
      <c r="J915" s="768"/>
      <c r="K915" s="768"/>
      <c r="L915" s="768"/>
      <c r="M915" s="768"/>
      <c r="N915" s="768"/>
      <c r="O915" s="768"/>
      <c r="P915" s="768"/>
      <c r="Q915" s="768"/>
      <c r="R915" s="768"/>
      <c r="S915" s="768"/>
      <c r="T915" s="768"/>
      <c r="U915" s="768"/>
      <c r="V915" s="768"/>
      <c r="W915" s="768"/>
      <c r="X915" s="768"/>
      <c r="Y915" s="768"/>
      <c r="Z915" s="768"/>
      <c r="AA915" s="768"/>
    </row>
    <row r="916" ht="30.0" customHeight="1">
      <c r="A916" s="768" t="str">
        <f t="array" ref="A916">XLOOKUP(C916,'High School Players'!D:D,'High School Players'!K:K,"NO",0,1)</f>
        <v>NO</v>
      </c>
      <c r="B916" s="768"/>
      <c r="C916" s="768"/>
      <c r="D916" s="768"/>
      <c r="E916" s="768"/>
      <c r="F916" s="768"/>
      <c r="G916" s="768"/>
      <c r="H916" s="768"/>
      <c r="I916" s="768"/>
      <c r="J916" s="768"/>
      <c r="K916" s="768"/>
      <c r="L916" s="768"/>
      <c r="M916" s="768"/>
      <c r="N916" s="768"/>
      <c r="O916" s="768"/>
      <c r="P916" s="768"/>
      <c r="Q916" s="768"/>
      <c r="R916" s="768"/>
      <c r="S916" s="768"/>
      <c r="T916" s="768"/>
      <c r="U916" s="768"/>
      <c r="V916" s="768"/>
      <c r="W916" s="768"/>
      <c r="X916" s="768"/>
      <c r="Y916" s="768"/>
      <c r="Z916" s="768"/>
      <c r="AA916" s="768"/>
    </row>
    <row r="917" ht="30.0" customHeight="1">
      <c r="A917" s="768" t="str">
        <f t="array" ref="A917">XLOOKUP(C917,'High School Players'!D:D,'High School Players'!K:K,"NO",0,1)</f>
        <v>NO</v>
      </c>
      <c r="B917" s="768"/>
      <c r="C917" s="768"/>
      <c r="D917" s="768"/>
      <c r="E917" s="768"/>
      <c r="F917" s="768"/>
      <c r="G917" s="768"/>
      <c r="H917" s="768"/>
      <c r="I917" s="768"/>
      <c r="J917" s="768"/>
      <c r="K917" s="768"/>
      <c r="L917" s="768"/>
      <c r="M917" s="768"/>
      <c r="N917" s="768"/>
      <c r="O917" s="768"/>
      <c r="P917" s="768"/>
      <c r="Q917" s="768"/>
      <c r="R917" s="768"/>
      <c r="S917" s="768"/>
      <c r="T917" s="768"/>
      <c r="U917" s="768"/>
      <c r="V917" s="768"/>
      <c r="W917" s="768"/>
      <c r="X917" s="768"/>
      <c r="Y917" s="768"/>
      <c r="Z917" s="768"/>
      <c r="AA917" s="768"/>
    </row>
    <row r="918" ht="30.0" customHeight="1">
      <c r="A918" s="768" t="str">
        <f t="array" ref="A918">XLOOKUP(C918,'High School Players'!D:D,'High School Players'!K:K,"NO",0,1)</f>
        <v>NO</v>
      </c>
      <c r="B918" s="768"/>
      <c r="C918" s="768"/>
      <c r="D918" s="768"/>
      <c r="E918" s="768"/>
      <c r="F918" s="768"/>
      <c r="G918" s="768"/>
      <c r="H918" s="768"/>
      <c r="I918" s="768"/>
      <c r="J918" s="768"/>
      <c r="K918" s="768"/>
      <c r="L918" s="768"/>
      <c r="M918" s="768"/>
      <c r="N918" s="768"/>
      <c r="O918" s="768"/>
      <c r="P918" s="768"/>
      <c r="Q918" s="768"/>
      <c r="R918" s="768"/>
      <c r="S918" s="768"/>
      <c r="T918" s="768"/>
      <c r="U918" s="768"/>
      <c r="V918" s="768"/>
      <c r="W918" s="768"/>
      <c r="X918" s="768"/>
      <c r="Y918" s="768"/>
      <c r="Z918" s="768"/>
      <c r="AA918" s="768"/>
    </row>
    <row r="919" ht="30.0" customHeight="1">
      <c r="A919" s="768" t="str">
        <f t="array" ref="A919">XLOOKUP(C919,'High School Players'!D:D,'High School Players'!K:K,"NO",0,1)</f>
        <v>NO</v>
      </c>
      <c r="B919" s="768"/>
      <c r="C919" s="768"/>
      <c r="D919" s="768"/>
      <c r="E919" s="768"/>
      <c r="F919" s="768"/>
      <c r="G919" s="768"/>
      <c r="H919" s="768"/>
      <c r="I919" s="768"/>
      <c r="J919" s="768"/>
      <c r="K919" s="768"/>
      <c r="L919" s="768"/>
      <c r="M919" s="768"/>
      <c r="N919" s="768"/>
      <c r="O919" s="768"/>
      <c r="P919" s="768"/>
      <c r="Q919" s="768"/>
      <c r="R919" s="768"/>
      <c r="S919" s="768"/>
      <c r="T919" s="768"/>
      <c r="U919" s="768"/>
      <c r="V919" s="768"/>
      <c r="W919" s="768"/>
      <c r="X919" s="768"/>
      <c r="Y919" s="768"/>
      <c r="Z919" s="768"/>
      <c r="AA919" s="768"/>
    </row>
    <row r="920" ht="30.0" customHeight="1">
      <c r="A920" s="768" t="str">
        <f t="array" ref="A920">XLOOKUP(C920,'High School Players'!D:D,'High School Players'!K:K,"NO",0,1)</f>
        <v>NO</v>
      </c>
      <c r="B920" s="768"/>
      <c r="C920" s="768"/>
      <c r="D920" s="768"/>
      <c r="E920" s="768"/>
      <c r="F920" s="768"/>
      <c r="G920" s="768"/>
      <c r="H920" s="768"/>
      <c r="I920" s="768"/>
      <c r="J920" s="768"/>
      <c r="K920" s="768"/>
      <c r="L920" s="768"/>
      <c r="M920" s="768"/>
      <c r="N920" s="768"/>
      <c r="O920" s="768"/>
      <c r="P920" s="768"/>
      <c r="Q920" s="768"/>
      <c r="R920" s="768"/>
      <c r="S920" s="768"/>
      <c r="T920" s="768"/>
      <c r="U920" s="768"/>
      <c r="V920" s="768"/>
      <c r="W920" s="768"/>
      <c r="X920" s="768"/>
      <c r="Y920" s="768"/>
      <c r="Z920" s="768"/>
      <c r="AA920" s="768"/>
    </row>
    <row r="921" ht="30.0" customHeight="1">
      <c r="A921" s="768" t="str">
        <f t="array" ref="A921">XLOOKUP(C921,'High School Players'!D:D,'High School Players'!K:K,"NO",0,1)</f>
        <v>NO</v>
      </c>
      <c r="B921" s="768"/>
      <c r="C921" s="768"/>
      <c r="D921" s="768"/>
      <c r="E921" s="768"/>
      <c r="F921" s="768"/>
      <c r="G921" s="768"/>
      <c r="H921" s="768"/>
      <c r="I921" s="768"/>
      <c r="J921" s="768"/>
      <c r="K921" s="768"/>
      <c r="L921" s="768"/>
      <c r="M921" s="768"/>
      <c r="N921" s="768"/>
      <c r="O921" s="768"/>
      <c r="P921" s="768"/>
      <c r="Q921" s="768"/>
      <c r="R921" s="768"/>
      <c r="S921" s="768"/>
      <c r="T921" s="768"/>
      <c r="U921" s="768"/>
      <c r="V921" s="768"/>
      <c r="W921" s="768"/>
      <c r="X921" s="768"/>
      <c r="Y921" s="768"/>
      <c r="Z921" s="768"/>
      <c r="AA921" s="768"/>
    </row>
    <row r="922" ht="30.0" customHeight="1">
      <c r="A922" s="768" t="str">
        <f t="array" ref="A922">XLOOKUP(C922,'High School Players'!D:D,'High School Players'!K:K,"NO",0,1)</f>
        <v>NO</v>
      </c>
      <c r="B922" s="768"/>
      <c r="C922" s="768"/>
      <c r="D922" s="768"/>
      <c r="E922" s="768"/>
      <c r="F922" s="768"/>
      <c r="G922" s="768"/>
      <c r="H922" s="768"/>
      <c r="I922" s="768"/>
      <c r="J922" s="768"/>
      <c r="K922" s="768"/>
      <c r="L922" s="768"/>
      <c r="M922" s="768"/>
      <c r="N922" s="768"/>
      <c r="O922" s="768"/>
      <c r="P922" s="768"/>
      <c r="Q922" s="768"/>
      <c r="R922" s="768"/>
      <c r="S922" s="768"/>
      <c r="T922" s="768"/>
      <c r="U922" s="768"/>
      <c r="V922" s="768"/>
      <c r="W922" s="768"/>
      <c r="X922" s="768"/>
      <c r="Y922" s="768"/>
      <c r="Z922" s="768"/>
      <c r="AA922" s="768"/>
    </row>
    <row r="923" ht="30.0" customHeight="1">
      <c r="A923" s="768" t="str">
        <f t="array" ref="A923">XLOOKUP(C923,'High School Players'!D:D,'High School Players'!K:K,"NO",0,1)</f>
        <v>NO</v>
      </c>
      <c r="B923" s="768"/>
      <c r="C923" s="768"/>
      <c r="D923" s="768"/>
      <c r="E923" s="768"/>
      <c r="F923" s="768"/>
      <c r="G923" s="768"/>
      <c r="H923" s="768"/>
      <c r="I923" s="768"/>
      <c r="J923" s="768"/>
      <c r="K923" s="768"/>
      <c r="L923" s="768"/>
      <c r="M923" s="768"/>
      <c r="N923" s="768"/>
      <c r="O923" s="768"/>
      <c r="P923" s="768"/>
      <c r="Q923" s="768"/>
      <c r="R923" s="768"/>
      <c r="S923" s="768"/>
      <c r="T923" s="768"/>
      <c r="U923" s="768"/>
      <c r="V923" s="768"/>
      <c r="W923" s="768"/>
      <c r="X923" s="768"/>
      <c r="Y923" s="768"/>
      <c r="Z923" s="768"/>
      <c r="AA923" s="768"/>
    </row>
    <row r="924" ht="30.0" customHeight="1">
      <c r="A924" s="768" t="str">
        <f t="array" ref="A924">XLOOKUP(C924,'High School Players'!D:D,'High School Players'!K:K,"NO",0,1)</f>
        <v>NO</v>
      </c>
      <c r="B924" s="768"/>
      <c r="C924" s="768"/>
      <c r="D924" s="768"/>
      <c r="E924" s="768"/>
      <c r="F924" s="768"/>
      <c r="G924" s="768"/>
      <c r="H924" s="768"/>
      <c r="I924" s="768"/>
      <c r="J924" s="768"/>
      <c r="K924" s="768"/>
      <c r="L924" s="768"/>
      <c r="M924" s="768"/>
      <c r="N924" s="768"/>
      <c r="O924" s="768"/>
      <c r="P924" s="768"/>
      <c r="Q924" s="768"/>
      <c r="R924" s="768"/>
      <c r="S924" s="768"/>
      <c r="T924" s="768"/>
      <c r="U924" s="768"/>
      <c r="V924" s="768"/>
      <c r="W924" s="768"/>
      <c r="X924" s="768"/>
      <c r="Y924" s="768"/>
      <c r="Z924" s="768"/>
      <c r="AA924" s="768"/>
    </row>
    <row r="925" ht="30.0" customHeight="1">
      <c r="A925" s="768" t="str">
        <f t="array" ref="A925">XLOOKUP(C925,'High School Players'!D:D,'High School Players'!K:K,"NO",0,1)</f>
        <v>NO</v>
      </c>
      <c r="B925" s="768"/>
      <c r="C925" s="768"/>
      <c r="D925" s="768"/>
      <c r="E925" s="768"/>
      <c r="F925" s="768"/>
      <c r="G925" s="768"/>
      <c r="H925" s="768"/>
      <c r="I925" s="768"/>
      <c r="J925" s="768"/>
      <c r="K925" s="768"/>
      <c r="L925" s="768"/>
      <c r="M925" s="768"/>
      <c r="N925" s="768"/>
      <c r="O925" s="768"/>
      <c r="P925" s="768"/>
      <c r="Q925" s="768"/>
      <c r="R925" s="768"/>
      <c r="S925" s="768"/>
      <c r="T925" s="768"/>
      <c r="U925" s="768"/>
      <c r="V925" s="768"/>
      <c r="W925" s="768"/>
      <c r="X925" s="768"/>
      <c r="Y925" s="768"/>
      <c r="Z925" s="768"/>
      <c r="AA925" s="768"/>
    </row>
    <row r="926" ht="30.0" customHeight="1">
      <c r="A926" s="768" t="str">
        <f t="array" ref="A926">XLOOKUP(C926,'High School Players'!D:D,'High School Players'!K:K,"NO",0,1)</f>
        <v>NO</v>
      </c>
      <c r="B926" s="768"/>
      <c r="C926" s="768"/>
      <c r="D926" s="768"/>
      <c r="E926" s="768"/>
      <c r="F926" s="768"/>
      <c r="G926" s="768"/>
      <c r="H926" s="768"/>
      <c r="I926" s="768"/>
      <c r="J926" s="768"/>
      <c r="K926" s="768"/>
      <c r="L926" s="768"/>
      <c r="M926" s="768"/>
      <c r="N926" s="768"/>
      <c r="O926" s="768"/>
      <c r="P926" s="768"/>
      <c r="Q926" s="768"/>
      <c r="R926" s="768"/>
      <c r="S926" s="768"/>
      <c r="T926" s="768"/>
      <c r="U926" s="768"/>
      <c r="V926" s="768"/>
      <c r="W926" s="768"/>
      <c r="X926" s="768"/>
      <c r="Y926" s="768"/>
      <c r="Z926" s="768"/>
      <c r="AA926" s="768"/>
    </row>
    <row r="927" ht="30.0" customHeight="1">
      <c r="A927" s="768" t="str">
        <f t="array" ref="A927">XLOOKUP(C927,'High School Players'!D:D,'High School Players'!K:K,"NO",0,1)</f>
        <v>NO</v>
      </c>
      <c r="B927" s="768"/>
      <c r="C927" s="768"/>
      <c r="D927" s="768"/>
      <c r="E927" s="768"/>
      <c r="F927" s="768"/>
      <c r="G927" s="768"/>
      <c r="H927" s="768"/>
      <c r="I927" s="768"/>
      <c r="J927" s="768"/>
      <c r="K927" s="768"/>
      <c r="L927" s="768"/>
      <c r="M927" s="768"/>
      <c r="N927" s="768"/>
      <c r="O927" s="768"/>
      <c r="P927" s="768"/>
      <c r="Q927" s="768"/>
      <c r="R927" s="768"/>
      <c r="S927" s="768"/>
      <c r="T927" s="768"/>
      <c r="U927" s="768"/>
      <c r="V927" s="768"/>
      <c r="W927" s="768"/>
      <c r="X927" s="768"/>
      <c r="Y927" s="768"/>
      <c r="Z927" s="768"/>
      <c r="AA927" s="768"/>
    </row>
    <row r="928" ht="30.0" customHeight="1">
      <c r="A928" s="768" t="str">
        <f t="array" ref="A928">XLOOKUP(C928,'High School Players'!D:D,'High School Players'!K:K,"NO",0,1)</f>
        <v>NO</v>
      </c>
      <c r="B928" s="768"/>
      <c r="C928" s="768"/>
      <c r="D928" s="768"/>
      <c r="E928" s="768"/>
      <c r="F928" s="768"/>
      <c r="G928" s="768"/>
      <c r="H928" s="768"/>
      <c r="I928" s="768"/>
      <c r="J928" s="768"/>
      <c r="K928" s="768"/>
      <c r="L928" s="768"/>
      <c r="M928" s="768"/>
      <c r="N928" s="768"/>
      <c r="O928" s="768"/>
      <c r="P928" s="768"/>
      <c r="Q928" s="768"/>
      <c r="R928" s="768"/>
      <c r="S928" s="768"/>
      <c r="T928" s="768"/>
      <c r="U928" s="768"/>
      <c r="V928" s="768"/>
      <c r="W928" s="768"/>
      <c r="X928" s="768"/>
      <c r="Y928" s="768"/>
      <c r="Z928" s="768"/>
      <c r="AA928" s="768"/>
    </row>
    <row r="929" ht="30.0" customHeight="1">
      <c r="A929" s="768" t="str">
        <f t="array" ref="A929">XLOOKUP(C929,'High School Players'!D:D,'High School Players'!K:K,"NO",0,1)</f>
        <v>NO</v>
      </c>
      <c r="B929" s="768"/>
      <c r="C929" s="768"/>
      <c r="D929" s="768"/>
      <c r="E929" s="768"/>
      <c r="F929" s="768"/>
      <c r="G929" s="768"/>
      <c r="H929" s="768"/>
      <c r="I929" s="768"/>
      <c r="J929" s="768"/>
      <c r="K929" s="768"/>
      <c r="L929" s="768"/>
      <c r="M929" s="768"/>
      <c r="N929" s="768"/>
      <c r="O929" s="768"/>
      <c r="P929" s="768"/>
      <c r="Q929" s="768"/>
      <c r="R929" s="768"/>
      <c r="S929" s="768"/>
      <c r="T929" s="768"/>
      <c r="U929" s="768"/>
      <c r="V929" s="768"/>
      <c r="W929" s="768"/>
      <c r="X929" s="768"/>
      <c r="Y929" s="768"/>
      <c r="Z929" s="768"/>
      <c r="AA929" s="768"/>
    </row>
    <row r="930" ht="30.0" customHeight="1">
      <c r="A930" s="768" t="str">
        <f t="array" ref="A930">XLOOKUP(C930,'High School Players'!D:D,'High School Players'!K:K,"NO",0,1)</f>
        <v>NO</v>
      </c>
      <c r="B930" s="768"/>
      <c r="C930" s="768"/>
      <c r="D930" s="768"/>
      <c r="E930" s="768"/>
      <c r="F930" s="768"/>
      <c r="G930" s="768"/>
      <c r="H930" s="768"/>
      <c r="I930" s="768"/>
      <c r="J930" s="768"/>
      <c r="K930" s="768"/>
      <c r="L930" s="768"/>
      <c r="M930" s="768"/>
      <c r="N930" s="768"/>
      <c r="O930" s="768"/>
      <c r="P930" s="768"/>
      <c r="Q930" s="768"/>
      <c r="R930" s="768"/>
      <c r="S930" s="768"/>
      <c r="T930" s="768"/>
      <c r="U930" s="768"/>
      <c r="V930" s="768"/>
      <c r="W930" s="768"/>
      <c r="X930" s="768"/>
      <c r="Y930" s="768"/>
      <c r="Z930" s="768"/>
      <c r="AA930" s="768"/>
    </row>
    <row r="931" ht="30.0" customHeight="1">
      <c r="A931" s="768" t="str">
        <f t="array" ref="A931">XLOOKUP(C931,'High School Players'!D:D,'High School Players'!K:K,"NO",0,1)</f>
        <v>NO</v>
      </c>
      <c r="B931" s="768"/>
      <c r="C931" s="768"/>
      <c r="D931" s="768"/>
      <c r="E931" s="768"/>
      <c r="F931" s="768"/>
      <c r="G931" s="768"/>
      <c r="H931" s="768"/>
      <c r="I931" s="768"/>
      <c r="J931" s="768"/>
      <c r="K931" s="768"/>
      <c r="L931" s="768"/>
      <c r="M931" s="768"/>
      <c r="N931" s="768"/>
      <c r="O931" s="768"/>
      <c r="P931" s="768"/>
      <c r="Q931" s="768"/>
      <c r="R931" s="768"/>
      <c r="S931" s="768"/>
      <c r="T931" s="768"/>
      <c r="U931" s="768"/>
      <c r="V931" s="768"/>
      <c r="W931" s="768"/>
      <c r="X931" s="768"/>
      <c r="Y931" s="768"/>
      <c r="Z931" s="768"/>
      <c r="AA931" s="768"/>
    </row>
    <row r="932" ht="30.0" customHeight="1">
      <c r="A932" s="768" t="str">
        <f t="array" ref="A932">XLOOKUP(C932,'High School Players'!D:D,'High School Players'!K:K,"NO",0,1)</f>
        <v>NO</v>
      </c>
      <c r="B932" s="768"/>
      <c r="C932" s="768"/>
      <c r="D932" s="768"/>
      <c r="E932" s="768"/>
      <c r="F932" s="768"/>
      <c r="G932" s="768"/>
      <c r="H932" s="768"/>
      <c r="I932" s="768"/>
      <c r="J932" s="768"/>
      <c r="K932" s="768"/>
      <c r="L932" s="768"/>
      <c r="M932" s="768"/>
      <c r="N932" s="768"/>
      <c r="O932" s="768"/>
      <c r="P932" s="768"/>
      <c r="Q932" s="768"/>
      <c r="R932" s="768"/>
      <c r="S932" s="768"/>
      <c r="T932" s="768"/>
      <c r="U932" s="768"/>
      <c r="V932" s="768"/>
      <c r="W932" s="768"/>
      <c r="X932" s="768"/>
      <c r="Y932" s="768"/>
      <c r="Z932" s="768"/>
      <c r="AA932" s="768"/>
    </row>
    <row r="933" ht="30.0" customHeight="1">
      <c r="A933" s="768" t="str">
        <f t="array" ref="A933">XLOOKUP(C933,'High School Players'!D:D,'High School Players'!K:K,"NO",0,1)</f>
        <v>NO</v>
      </c>
      <c r="B933" s="768"/>
      <c r="C933" s="768"/>
      <c r="D933" s="768"/>
      <c r="E933" s="768"/>
      <c r="F933" s="768"/>
      <c r="G933" s="768"/>
      <c r="H933" s="768"/>
      <c r="I933" s="768"/>
      <c r="J933" s="768"/>
      <c r="K933" s="768"/>
      <c r="L933" s="768"/>
      <c r="M933" s="768"/>
      <c r="N933" s="768"/>
      <c r="O933" s="768"/>
      <c r="P933" s="768"/>
      <c r="Q933" s="768"/>
      <c r="R933" s="768"/>
      <c r="S933" s="768"/>
      <c r="T933" s="768"/>
      <c r="U933" s="768"/>
      <c r="V933" s="768"/>
      <c r="W933" s="768"/>
      <c r="X933" s="768"/>
      <c r="Y933" s="768"/>
      <c r="Z933" s="768"/>
      <c r="AA933" s="768"/>
    </row>
    <row r="934" ht="30.0" customHeight="1">
      <c r="A934" s="768" t="str">
        <f t="array" ref="A934">XLOOKUP(C934,'High School Players'!D:D,'High School Players'!K:K,"NO",0,1)</f>
        <v>NO</v>
      </c>
      <c r="B934" s="768"/>
      <c r="C934" s="768"/>
      <c r="D934" s="768"/>
      <c r="E934" s="768"/>
      <c r="F934" s="768"/>
      <c r="G934" s="768"/>
      <c r="H934" s="768"/>
      <c r="I934" s="768"/>
      <c r="J934" s="768"/>
      <c r="K934" s="768"/>
      <c r="L934" s="768"/>
      <c r="M934" s="768"/>
      <c r="N934" s="768"/>
      <c r="O934" s="768"/>
      <c r="P934" s="768"/>
      <c r="Q934" s="768"/>
      <c r="R934" s="768"/>
      <c r="S934" s="768"/>
      <c r="T934" s="768"/>
      <c r="U934" s="768"/>
      <c r="V934" s="768"/>
      <c r="W934" s="768"/>
      <c r="X934" s="768"/>
      <c r="Y934" s="768"/>
      <c r="Z934" s="768"/>
      <c r="AA934" s="768"/>
    </row>
    <row r="935" ht="30.0" customHeight="1">
      <c r="A935" s="768" t="str">
        <f t="array" ref="A935">XLOOKUP(C935,'High School Players'!D:D,'High School Players'!K:K,"NO",0,1)</f>
        <v>NO</v>
      </c>
      <c r="B935" s="768"/>
      <c r="C935" s="768"/>
      <c r="D935" s="768"/>
      <c r="E935" s="768"/>
      <c r="F935" s="768"/>
      <c r="G935" s="768"/>
      <c r="H935" s="768"/>
      <c r="I935" s="768"/>
      <c r="J935" s="768"/>
      <c r="K935" s="768"/>
      <c r="L935" s="768"/>
      <c r="M935" s="768"/>
      <c r="N935" s="768"/>
      <c r="O935" s="768"/>
      <c r="P935" s="768"/>
      <c r="Q935" s="768"/>
      <c r="R935" s="768"/>
      <c r="S935" s="768"/>
      <c r="T935" s="768"/>
      <c r="U935" s="768"/>
      <c r="V935" s="768"/>
      <c r="W935" s="768"/>
      <c r="X935" s="768"/>
      <c r="Y935" s="768"/>
      <c r="Z935" s="768"/>
      <c r="AA935" s="768"/>
    </row>
    <row r="936" ht="30.0" customHeight="1">
      <c r="A936" s="768" t="str">
        <f t="array" ref="A936">XLOOKUP(C936,'High School Players'!D:D,'High School Players'!K:K,"NO",0,1)</f>
        <v>NO</v>
      </c>
      <c r="B936" s="768"/>
      <c r="C936" s="768"/>
      <c r="D936" s="768"/>
      <c r="E936" s="768"/>
      <c r="F936" s="768"/>
      <c r="G936" s="768"/>
      <c r="H936" s="768"/>
      <c r="I936" s="768"/>
      <c r="J936" s="768"/>
      <c r="K936" s="768"/>
      <c r="L936" s="768"/>
      <c r="M936" s="768"/>
      <c r="N936" s="768"/>
      <c r="O936" s="768"/>
      <c r="P936" s="768"/>
      <c r="Q936" s="768"/>
      <c r="R936" s="768"/>
      <c r="S936" s="768"/>
      <c r="T936" s="768"/>
      <c r="U936" s="768"/>
      <c r="V936" s="768"/>
      <c r="W936" s="768"/>
      <c r="X936" s="768"/>
      <c r="Y936" s="768"/>
      <c r="Z936" s="768"/>
      <c r="AA936" s="768"/>
    </row>
    <row r="937" ht="30.0" customHeight="1">
      <c r="A937" s="768" t="str">
        <f t="array" ref="A937">XLOOKUP(C937,'High School Players'!D:D,'High School Players'!K:K,"NO",0,1)</f>
        <v>NO</v>
      </c>
      <c r="B937" s="768"/>
      <c r="C937" s="768"/>
      <c r="D937" s="768"/>
      <c r="E937" s="768"/>
      <c r="F937" s="768"/>
      <c r="G937" s="768"/>
      <c r="H937" s="768"/>
      <c r="I937" s="768"/>
      <c r="J937" s="768"/>
      <c r="K937" s="768"/>
      <c r="L937" s="768"/>
      <c r="M937" s="768"/>
      <c r="N937" s="768"/>
      <c r="O937" s="768"/>
      <c r="P937" s="768"/>
      <c r="Q937" s="768"/>
      <c r="R937" s="768"/>
      <c r="S937" s="768"/>
      <c r="T937" s="768"/>
      <c r="U937" s="768"/>
      <c r="V937" s="768"/>
      <c r="W937" s="768"/>
      <c r="X937" s="768"/>
      <c r="Y937" s="768"/>
      <c r="Z937" s="768"/>
      <c r="AA937" s="768"/>
    </row>
    <row r="938" ht="30.0" customHeight="1">
      <c r="A938" s="768" t="str">
        <f t="array" ref="A938">XLOOKUP(C938,'High School Players'!D:D,'High School Players'!K:K,"NO",0,1)</f>
        <v>NO</v>
      </c>
      <c r="B938" s="768"/>
      <c r="C938" s="768"/>
      <c r="D938" s="768"/>
      <c r="E938" s="768"/>
      <c r="F938" s="768"/>
      <c r="G938" s="768"/>
      <c r="H938" s="768"/>
      <c r="I938" s="768"/>
      <c r="J938" s="768"/>
      <c r="K938" s="768"/>
      <c r="L938" s="768"/>
      <c r="M938" s="768"/>
      <c r="N938" s="768"/>
      <c r="O938" s="768"/>
      <c r="P938" s="768"/>
      <c r="Q938" s="768"/>
      <c r="R938" s="768"/>
      <c r="S938" s="768"/>
      <c r="T938" s="768"/>
      <c r="U938" s="768"/>
      <c r="V938" s="768"/>
      <c r="W938" s="768"/>
      <c r="X938" s="768"/>
      <c r="Y938" s="768"/>
      <c r="Z938" s="768"/>
      <c r="AA938" s="768"/>
    </row>
    <row r="939" ht="30.0" customHeight="1">
      <c r="A939" s="768" t="str">
        <f t="array" ref="A939">XLOOKUP(C939,'High School Players'!D:D,'High School Players'!K:K,"NO",0,1)</f>
        <v>NO</v>
      </c>
      <c r="B939" s="768"/>
      <c r="C939" s="768"/>
      <c r="D939" s="768"/>
      <c r="E939" s="768"/>
      <c r="F939" s="768"/>
      <c r="G939" s="768"/>
      <c r="H939" s="768"/>
      <c r="I939" s="768"/>
      <c r="J939" s="768"/>
      <c r="K939" s="768"/>
      <c r="L939" s="768"/>
      <c r="M939" s="768"/>
      <c r="N939" s="768"/>
      <c r="O939" s="768"/>
      <c r="P939" s="768"/>
      <c r="Q939" s="768"/>
      <c r="R939" s="768"/>
      <c r="S939" s="768"/>
      <c r="T939" s="768"/>
      <c r="U939" s="768"/>
      <c r="V939" s="768"/>
      <c r="W939" s="768"/>
      <c r="X939" s="768"/>
      <c r="Y939" s="768"/>
      <c r="Z939" s="768"/>
      <c r="AA939" s="768"/>
    </row>
    <row r="940" ht="30.0" customHeight="1">
      <c r="A940" s="768" t="str">
        <f t="array" ref="A940">XLOOKUP(C940,'High School Players'!D:D,'High School Players'!K:K,"NO",0,1)</f>
        <v>NO</v>
      </c>
      <c r="B940" s="768"/>
      <c r="C940" s="768"/>
      <c r="D940" s="768"/>
      <c r="E940" s="768"/>
      <c r="F940" s="768"/>
      <c r="G940" s="768"/>
      <c r="H940" s="768"/>
      <c r="I940" s="768"/>
      <c r="J940" s="768"/>
      <c r="K940" s="768"/>
      <c r="L940" s="768"/>
      <c r="M940" s="768"/>
      <c r="N940" s="768"/>
      <c r="O940" s="768"/>
      <c r="P940" s="768"/>
      <c r="Q940" s="768"/>
      <c r="R940" s="768"/>
      <c r="S940" s="768"/>
      <c r="T940" s="768"/>
      <c r="U940" s="768"/>
      <c r="V940" s="768"/>
      <c r="W940" s="768"/>
      <c r="X940" s="768"/>
      <c r="Y940" s="768"/>
      <c r="Z940" s="768"/>
      <c r="AA940" s="768"/>
    </row>
    <row r="941" ht="30.0" customHeight="1">
      <c r="A941" s="768" t="str">
        <f t="array" ref="A941">XLOOKUP(C941,'High School Players'!D:D,'High School Players'!K:K,"NO",0,1)</f>
        <v>NO</v>
      </c>
      <c r="B941" s="768"/>
      <c r="C941" s="768"/>
      <c r="D941" s="768"/>
      <c r="E941" s="768"/>
      <c r="F941" s="768"/>
      <c r="G941" s="768"/>
      <c r="H941" s="768"/>
      <c r="I941" s="768"/>
      <c r="J941" s="768"/>
      <c r="K941" s="768"/>
      <c r="L941" s="768"/>
      <c r="M941" s="768"/>
      <c r="N941" s="768"/>
      <c r="O941" s="768"/>
      <c r="P941" s="768"/>
      <c r="Q941" s="768"/>
      <c r="R941" s="768"/>
      <c r="S941" s="768"/>
      <c r="T941" s="768"/>
      <c r="U941" s="768"/>
      <c r="V941" s="768"/>
      <c r="W941" s="768"/>
      <c r="X941" s="768"/>
      <c r="Y941" s="768"/>
      <c r="Z941" s="768"/>
      <c r="AA941" s="768"/>
    </row>
    <row r="942" ht="30.0" customHeight="1">
      <c r="A942" s="768" t="str">
        <f t="array" ref="A942">XLOOKUP(C942,'High School Players'!D:D,'High School Players'!K:K,"NO",0,1)</f>
        <v>NO</v>
      </c>
      <c r="B942" s="768"/>
      <c r="C942" s="768"/>
      <c r="D942" s="768"/>
      <c r="E942" s="768"/>
      <c r="F942" s="768"/>
      <c r="G942" s="768"/>
      <c r="H942" s="768"/>
      <c r="I942" s="768"/>
      <c r="J942" s="768"/>
      <c r="K942" s="768"/>
      <c r="L942" s="768"/>
      <c r="M942" s="768"/>
      <c r="N942" s="768"/>
      <c r="O942" s="768"/>
      <c r="P942" s="768"/>
      <c r="Q942" s="768"/>
      <c r="R942" s="768"/>
      <c r="S942" s="768"/>
      <c r="T942" s="768"/>
      <c r="U942" s="768"/>
      <c r="V942" s="768"/>
      <c r="W942" s="768"/>
      <c r="X942" s="768"/>
      <c r="Y942" s="768"/>
      <c r="Z942" s="768"/>
      <c r="AA942" s="768"/>
    </row>
    <row r="943" ht="30.0" customHeight="1">
      <c r="A943" s="768" t="str">
        <f t="array" ref="A943">XLOOKUP(C943,'High School Players'!D:D,'High School Players'!K:K,"NO",0,1)</f>
        <v>NO</v>
      </c>
      <c r="B943" s="768"/>
      <c r="C943" s="768"/>
      <c r="D943" s="768"/>
      <c r="E943" s="768"/>
      <c r="F943" s="768"/>
      <c r="G943" s="768"/>
      <c r="H943" s="768"/>
      <c r="I943" s="768"/>
      <c r="J943" s="768"/>
      <c r="K943" s="768"/>
      <c r="L943" s="768"/>
      <c r="M943" s="768"/>
      <c r="N943" s="768"/>
      <c r="O943" s="768"/>
      <c r="P943" s="768"/>
      <c r="Q943" s="768"/>
      <c r="R943" s="768"/>
      <c r="S943" s="768"/>
      <c r="T943" s="768"/>
      <c r="U943" s="768"/>
      <c r="V943" s="768"/>
      <c r="W943" s="768"/>
      <c r="X943" s="768"/>
      <c r="Y943" s="768"/>
      <c r="Z943" s="768"/>
      <c r="AA943" s="768"/>
    </row>
    <row r="944" ht="30.0" customHeight="1">
      <c r="A944" s="768" t="str">
        <f t="array" ref="A944">XLOOKUP(C944,'High School Players'!D:D,'High School Players'!K:K,"NO",0,1)</f>
        <v>NO</v>
      </c>
      <c r="B944" s="768"/>
      <c r="C944" s="768"/>
      <c r="D944" s="768"/>
      <c r="E944" s="768"/>
      <c r="F944" s="768"/>
      <c r="G944" s="768"/>
      <c r="H944" s="768"/>
      <c r="I944" s="768"/>
      <c r="J944" s="768"/>
      <c r="K944" s="768"/>
      <c r="L944" s="768"/>
      <c r="M944" s="768"/>
      <c r="N944" s="768"/>
      <c r="O944" s="768"/>
      <c r="P944" s="768"/>
      <c r="Q944" s="768"/>
      <c r="R944" s="768"/>
      <c r="S944" s="768"/>
      <c r="T944" s="768"/>
      <c r="U944" s="768"/>
      <c r="V944" s="768"/>
      <c r="W944" s="768"/>
      <c r="X944" s="768"/>
      <c r="Y944" s="768"/>
      <c r="Z944" s="768"/>
      <c r="AA944" s="768"/>
    </row>
    <row r="945" ht="30.0" customHeight="1">
      <c r="A945" s="768" t="str">
        <f t="array" ref="A945">XLOOKUP(C945,'High School Players'!D:D,'High School Players'!K:K,"NO",0,1)</f>
        <v>NO</v>
      </c>
      <c r="B945" s="768"/>
      <c r="C945" s="768"/>
      <c r="D945" s="768"/>
      <c r="E945" s="768"/>
      <c r="F945" s="768"/>
      <c r="G945" s="768"/>
      <c r="H945" s="768"/>
      <c r="I945" s="768"/>
      <c r="J945" s="768"/>
      <c r="K945" s="768"/>
      <c r="L945" s="768"/>
      <c r="M945" s="768"/>
      <c r="N945" s="768"/>
      <c r="O945" s="768"/>
      <c r="P945" s="768"/>
      <c r="Q945" s="768"/>
      <c r="R945" s="768"/>
      <c r="S945" s="768"/>
      <c r="T945" s="768"/>
      <c r="U945" s="768"/>
      <c r="V945" s="768"/>
      <c r="W945" s="768"/>
      <c r="X945" s="768"/>
      <c r="Y945" s="768"/>
      <c r="Z945" s="768"/>
      <c r="AA945" s="768"/>
    </row>
    <row r="946" ht="30.0" customHeight="1">
      <c r="A946" s="768" t="str">
        <f t="array" ref="A946">XLOOKUP(C946,'High School Players'!D:D,'High School Players'!K:K,"NO",0,1)</f>
        <v>NO</v>
      </c>
      <c r="B946" s="768"/>
      <c r="C946" s="768"/>
      <c r="D946" s="768"/>
      <c r="E946" s="768"/>
      <c r="F946" s="768"/>
      <c r="G946" s="768"/>
      <c r="H946" s="768"/>
      <c r="I946" s="768"/>
      <c r="J946" s="768"/>
      <c r="K946" s="768"/>
      <c r="L946" s="768"/>
      <c r="M946" s="768"/>
      <c r="N946" s="768"/>
      <c r="O946" s="768"/>
      <c r="P946" s="768"/>
      <c r="Q946" s="768"/>
      <c r="R946" s="768"/>
      <c r="S946" s="768"/>
      <c r="T946" s="768"/>
      <c r="U946" s="768"/>
      <c r="V946" s="768"/>
      <c r="W946" s="768"/>
      <c r="X946" s="768"/>
      <c r="Y946" s="768"/>
      <c r="Z946" s="768"/>
      <c r="AA946" s="768"/>
    </row>
    <row r="947" ht="30.0" customHeight="1">
      <c r="A947" s="768" t="str">
        <f t="array" ref="A947">XLOOKUP(C947,'High School Players'!D:D,'High School Players'!K:K,"NO",0,1)</f>
        <v>NO</v>
      </c>
      <c r="B947" s="768"/>
      <c r="C947" s="768"/>
      <c r="D947" s="768"/>
      <c r="E947" s="768"/>
      <c r="F947" s="768"/>
      <c r="G947" s="768"/>
      <c r="H947" s="768"/>
      <c r="I947" s="768"/>
      <c r="J947" s="768"/>
      <c r="K947" s="768"/>
      <c r="L947" s="768"/>
      <c r="M947" s="768"/>
      <c r="N947" s="768"/>
      <c r="O947" s="768"/>
      <c r="P947" s="768"/>
      <c r="Q947" s="768"/>
      <c r="R947" s="768"/>
      <c r="S947" s="768"/>
      <c r="T947" s="768"/>
      <c r="U947" s="768"/>
      <c r="V947" s="768"/>
      <c r="W947" s="768"/>
      <c r="X947" s="768"/>
      <c r="Y947" s="768"/>
      <c r="Z947" s="768"/>
      <c r="AA947" s="768"/>
    </row>
    <row r="948" ht="30.0" customHeight="1">
      <c r="A948" s="768" t="str">
        <f t="array" ref="A948">XLOOKUP(C948,'High School Players'!D:D,'High School Players'!K:K,"NO",0,1)</f>
        <v>NO</v>
      </c>
      <c r="B948" s="768"/>
      <c r="C948" s="768"/>
      <c r="D948" s="768"/>
      <c r="E948" s="768"/>
      <c r="F948" s="768"/>
      <c r="G948" s="768"/>
      <c r="H948" s="768"/>
      <c r="I948" s="768"/>
      <c r="J948" s="768"/>
      <c r="K948" s="768"/>
      <c r="L948" s="768"/>
      <c r="M948" s="768"/>
      <c r="N948" s="768"/>
      <c r="O948" s="768"/>
      <c r="P948" s="768"/>
      <c r="Q948" s="768"/>
      <c r="R948" s="768"/>
      <c r="S948" s="768"/>
      <c r="T948" s="768"/>
      <c r="U948" s="768"/>
      <c r="V948" s="768"/>
      <c r="W948" s="768"/>
      <c r="X948" s="768"/>
      <c r="Y948" s="768"/>
      <c r="Z948" s="768"/>
      <c r="AA948" s="768"/>
    </row>
    <row r="949" ht="30.0" customHeight="1">
      <c r="A949" s="768" t="str">
        <f t="array" ref="A949">XLOOKUP(C949,'High School Players'!D:D,'High School Players'!K:K,"NO",0,1)</f>
        <v>NO</v>
      </c>
      <c r="B949" s="768"/>
      <c r="C949" s="768"/>
      <c r="D949" s="768"/>
      <c r="E949" s="768"/>
      <c r="F949" s="768"/>
      <c r="G949" s="768"/>
      <c r="H949" s="768"/>
      <c r="I949" s="768"/>
      <c r="J949" s="768"/>
      <c r="K949" s="768"/>
      <c r="L949" s="768"/>
      <c r="M949" s="768"/>
      <c r="N949" s="768"/>
      <c r="O949" s="768"/>
      <c r="P949" s="768"/>
      <c r="Q949" s="768"/>
      <c r="R949" s="768"/>
      <c r="S949" s="768"/>
      <c r="T949" s="768"/>
      <c r="U949" s="768"/>
      <c r="V949" s="768"/>
      <c r="W949" s="768"/>
      <c r="X949" s="768"/>
      <c r="Y949" s="768"/>
      <c r="Z949" s="768"/>
      <c r="AA949" s="768"/>
    </row>
    <row r="950" ht="30.0" customHeight="1">
      <c r="A950" s="768" t="str">
        <f t="array" ref="A950">XLOOKUP(C950,'High School Players'!D:D,'High School Players'!K:K,"NO",0,1)</f>
        <v>NO</v>
      </c>
      <c r="B950" s="768"/>
      <c r="C950" s="768"/>
      <c r="D950" s="768"/>
      <c r="E950" s="768"/>
      <c r="F950" s="768"/>
      <c r="G950" s="768"/>
      <c r="H950" s="768"/>
      <c r="I950" s="768"/>
      <c r="J950" s="768"/>
      <c r="K950" s="768"/>
      <c r="L950" s="768"/>
      <c r="M950" s="768"/>
      <c r="N950" s="768"/>
      <c r="O950" s="768"/>
      <c r="P950" s="768"/>
      <c r="Q950" s="768"/>
      <c r="R950" s="768"/>
      <c r="S950" s="768"/>
      <c r="T950" s="768"/>
      <c r="U950" s="768"/>
      <c r="V950" s="768"/>
      <c r="W950" s="768"/>
      <c r="X950" s="768"/>
      <c r="Y950" s="768"/>
      <c r="Z950" s="768"/>
      <c r="AA950" s="768"/>
    </row>
    <row r="951" ht="30.0" customHeight="1">
      <c r="A951" s="768" t="str">
        <f t="array" ref="A951">XLOOKUP(C951,'High School Players'!D:D,'High School Players'!K:K,"NO",0,1)</f>
        <v>NO</v>
      </c>
      <c r="B951" s="768"/>
      <c r="C951" s="768"/>
      <c r="D951" s="768"/>
      <c r="E951" s="768"/>
      <c r="F951" s="768"/>
      <c r="G951" s="768"/>
      <c r="H951" s="768"/>
      <c r="I951" s="768"/>
      <c r="J951" s="768"/>
      <c r="K951" s="768"/>
      <c r="L951" s="768"/>
      <c r="M951" s="768"/>
      <c r="N951" s="768"/>
      <c r="O951" s="768"/>
      <c r="P951" s="768"/>
      <c r="Q951" s="768"/>
      <c r="R951" s="768"/>
      <c r="S951" s="768"/>
      <c r="T951" s="768"/>
      <c r="U951" s="768"/>
      <c r="V951" s="768"/>
      <c r="W951" s="768"/>
      <c r="X951" s="768"/>
      <c r="Y951" s="768"/>
      <c r="Z951" s="768"/>
      <c r="AA951" s="768"/>
    </row>
    <row r="952" ht="30.0" customHeight="1">
      <c r="A952" s="768" t="str">
        <f t="array" ref="A952">XLOOKUP(C952,'High School Players'!D:D,'High School Players'!K:K,"NO",0,1)</f>
        <v>NO</v>
      </c>
      <c r="B952" s="768"/>
      <c r="C952" s="768"/>
      <c r="D952" s="768"/>
      <c r="E952" s="768"/>
      <c r="F952" s="768"/>
      <c r="G952" s="768"/>
      <c r="H952" s="768"/>
      <c r="I952" s="768"/>
      <c r="J952" s="768"/>
      <c r="K952" s="768"/>
      <c r="L952" s="768"/>
      <c r="M952" s="768"/>
      <c r="N952" s="768"/>
      <c r="O952" s="768"/>
      <c r="P952" s="768"/>
      <c r="Q952" s="768"/>
      <c r="R952" s="768"/>
      <c r="S952" s="768"/>
      <c r="T952" s="768"/>
      <c r="U952" s="768"/>
      <c r="V952" s="768"/>
      <c r="W952" s="768"/>
      <c r="X952" s="768"/>
      <c r="Y952" s="768"/>
      <c r="Z952" s="768"/>
      <c r="AA952" s="768"/>
    </row>
    <row r="953" ht="30.0" customHeight="1">
      <c r="A953" s="768" t="str">
        <f t="array" ref="A953">XLOOKUP(C953,'High School Players'!D:D,'High School Players'!K:K,"NO",0,1)</f>
        <v>NO</v>
      </c>
      <c r="B953" s="768"/>
      <c r="C953" s="768"/>
      <c r="D953" s="768"/>
      <c r="E953" s="768"/>
      <c r="F953" s="768"/>
      <c r="G953" s="768"/>
      <c r="H953" s="768"/>
      <c r="I953" s="768"/>
      <c r="J953" s="768"/>
      <c r="K953" s="768"/>
      <c r="L953" s="768"/>
      <c r="M953" s="768"/>
      <c r="N953" s="768"/>
      <c r="O953" s="768"/>
      <c r="P953" s="768"/>
      <c r="Q953" s="768"/>
      <c r="R953" s="768"/>
      <c r="S953" s="768"/>
      <c r="T953" s="768"/>
      <c r="U953" s="768"/>
      <c r="V953" s="768"/>
      <c r="W953" s="768"/>
      <c r="X953" s="768"/>
      <c r="Y953" s="768"/>
      <c r="Z953" s="768"/>
      <c r="AA953" s="768"/>
    </row>
    <row r="954" ht="30.0" customHeight="1">
      <c r="A954" s="768" t="str">
        <f t="array" ref="A954">XLOOKUP(C954,'High School Players'!D:D,'High School Players'!K:K,"NO",0,1)</f>
        <v>NO</v>
      </c>
      <c r="B954" s="768"/>
      <c r="C954" s="768"/>
      <c r="D954" s="768"/>
      <c r="E954" s="768"/>
      <c r="F954" s="768"/>
      <c r="G954" s="768"/>
      <c r="H954" s="768"/>
      <c r="I954" s="768"/>
      <c r="J954" s="768"/>
      <c r="K954" s="768"/>
      <c r="L954" s="768"/>
      <c r="M954" s="768"/>
      <c r="N954" s="768"/>
      <c r="O954" s="768"/>
      <c r="P954" s="768"/>
      <c r="Q954" s="768"/>
      <c r="R954" s="768"/>
      <c r="S954" s="768"/>
      <c r="T954" s="768"/>
      <c r="U954" s="768"/>
      <c r="V954" s="768"/>
      <c r="W954" s="768"/>
      <c r="X954" s="768"/>
      <c r="Y954" s="768"/>
      <c r="Z954" s="768"/>
      <c r="AA954" s="768"/>
    </row>
    <row r="955" ht="30.0" customHeight="1">
      <c r="A955" s="768" t="str">
        <f t="array" ref="A955">XLOOKUP(C955,'High School Players'!D:D,'High School Players'!K:K,"NO",0,1)</f>
        <v>NO</v>
      </c>
      <c r="B955" s="768"/>
      <c r="C955" s="768"/>
      <c r="D955" s="768"/>
      <c r="E955" s="768"/>
      <c r="F955" s="768"/>
      <c r="G955" s="768"/>
      <c r="H955" s="768"/>
      <c r="I955" s="768"/>
      <c r="J955" s="768"/>
      <c r="K955" s="768"/>
      <c r="L955" s="768"/>
      <c r="M955" s="768"/>
      <c r="N955" s="768"/>
      <c r="O955" s="768"/>
      <c r="P955" s="768"/>
      <c r="Q955" s="768"/>
      <c r="R955" s="768"/>
      <c r="S955" s="768"/>
      <c r="T955" s="768"/>
      <c r="U955" s="768"/>
      <c r="V955" s="768"/>
      <c r="W955" s="768"/>
      <c r="X955" s="768"/>
      <c r="Y955" s="768"/>
      <c r="Z955" s="768"/>
      <c r="AA955" s="768"/>
    </row>
    <row r="956" ht="30.0" customHeight="1">
      <c r="A956" s="768" t="str">
        <f t="array" ref="A956">XLOOKUP(C956,'High School Players'!D:D,'High School Players'!K:K,"NO",0,1)</f>
        <v>NO</v>
      </c>
      <c r="B956" s="768"/>
      <c r="C956" s="768"/>
      <c r="D956" s="768"/>
      <c r="E956" s="768"/>
      <c r="F956" s="768"/>
      <c r="G956" s="768"/>
      <c r="H956" s="768"/>
      <c r="I956" s="768"/>
      <c r="J956" s="768"/>
      <c r="K956" s="768"/>
      <c r="L956" s="768"/>
      <c r="M956" s="768"/>
      <c r="N956" s="768"/>
      <c r="O956" s="768"/>
      <c r="P956" s="768"/>
      <c r="Q956" s="768"/>
      <c r="R956" s="768"/>
      <c r="S956" s="768"/>
      <c r="T956" s="768"/>
      <c r="U956" s="768"/>
      <c r="V956" s="768"/>
      <c r="W956" s="768"/>
      <c r="X956" s="768"/>
      <c r="Y956" s="768"/>
      <c r="Z956" s="768"/>
      <c r="AA956" s="768"/>
    </row>
    <row r="957" ht="30.0" customHeight="1">
      <c r="A957" s="768" t="str">
        <f t="array" ref="A957">XLOOKUP(C957,'High School Players'!D:D,'High School Players'!K:K,"NO",0,1)</f>
        <v>NO</v>
      </c>
      <c r="B957" s="768"/>
      <c r="C957" s="768"/>
      <c r="D957" s="768"/>
      <c r="E957" s="768"/>
      <c r="F957" s="768"/>
      <c r="G957" s="768"/>
      <c r="H957" s="768"/>
      <c r="I957" s="768"/>
      <c r="J957" s="768"/>
      <c r="K957" s="768"/>
      <c r="L957" s="768"/>
      <c r="M957" s="768"/>
      <c r="N957" s="768"/>
      <c r="O957" s="768"/>
      <c r="P957" s="768"/>
      <c r="Q957" s="768"/>
      <c r="R957" s="768"/>
      <c r="S957" s="768"/>
      <c r="T957" s="768"/>
      <c r="U957" s="768"/>
      <c r="V957" s="768"/>
      <c r="W957" s="768"/>
      <c r="X957" s="768"/>
      <c r="Y957" s="768"/>
      <c r="Z957" s="768"/>
      <c r="AA957" s="768"/>
    </row>
    <row r="958" ht="30.0" customHeight="1">
      <c r="A958" s="768" t="str">
        <f t="array" ref="A958">XLOOKUP(C958,'High School Players'!D:D,'High School Players'!K:K,"NO",0,1)</f>
        <v>NO</v>
      </c>
      <c r="B958" s="768"/>
      <c r="C958" s="768"/>
      <c r="D958" s="768"/>
      <c r="E958" s="768"/>
      <c r="F958" s="768"/>
      <c r="G958" s="768"/>
      <c r="H958" s="768"/>
      <c r="I958" s="768"/>
      <c r="J958" s="768"/>
      <c r="K958" s="768"/>
      <c r="L958" s="768"/>
      <c r="M958" s="768"/>
      <c r="N958" s="768"/>
      <c r="O958" s="768"/>
      <c r="P958" s="768"/>
      <c r="Q958" s="768"/>
      <c r="R958" s="768"/>
      <c r="S958" s="768"/>
      <c r="T958" s="768"/>
      <c r="U958" s="768"/>
      <c r="V958" s="768"/>
      <c r="W958" s="768"/>
      <c r="X958" s="768"/>
      <c r="Y958" s="768"/>
      <c r="Z958" s="768"/>
      <c r="AA958" s="768"/>
    </row>
    <row r="959" ht="30.0" customHeight="1">
      <c r="A959" s="768" t="str">
        <f t="array" ref="A959">XLOOKUP(C959,'High School Players'!D:D,'High School Players'!K:K,"NO",0,1)</f>
        <v>NO</v>
      </c>
      <c r="B959" s="768"/>
      <c r="C959" s="768"/>
      <c r="D959" s="768"/>
      <c r="E959" s="768"/>
      <c r="F959" s="768"/>
      <c r="G959" s="768"/>
      <c r="H959" s="768"/>
      <c r="I959" s="768"/>
      <c r="J959" s="768"/>
      <c r="K959" s="768"/>
      <c r="L959" s="768"/>
      <c r="M959" s="768"/>
      <c r="N959" s="768"/>
      <c r="O959" s="768"/>
      <c r="P959" s="768"/>
      <c r="Q959" s="768"/>
      <c r="R959" s="768"/>
      <c r="S959" s="768"/>
      <c r="T959" s="768"/>
      <c r="U959" s="768"/>
      <c r="V959" s="768"/>
      <c r="W959" s="768"/>
      <c r="X959" s="768"/>
      <c r="Y959" s="768"/>
      <c r="Z959" s="768"/>
      <c r="AA959" s="768"/>
    </row>
    <row r="960" ht="30.0" customHeight="1">
      <c r="A960" s="768" t="str">
        <f t="array" ref="A960">XLOOKUP(C960,'High School Players'!D:D,'High School Players'!K:K,"NO",0,1)</f>
        <v>NO</v>
      </c>
      <c r="B960" s="768"/>
      <c r="C960" s="768"/>
      <c r="D960" s="768"/>
      <c r="E960" s="768"/>
      <c r="F960" s="768"/>
      <c r="G960" s="768"/>
      <c r="H960" s="768"/>
      <c r="I960" s="768"/>
      <c r="J960" s="768"/>
      <c r="K960" s="768"/>
      <c r="L960" s="768"/>
      <c r="M960" s="768"/>
      <c r="N960" s="768"/>
      <c r="O960" s="768"/>
      <c r="P960" s="768"/>
      <c r="Q960" s="768"/>
      <c r="R960" s="768"/>
      <c r="S960" s="768"/>
      <c r="T960" s="768"/>
      <c r="U960" s="768"/>
      <c r="V960" s="768"/>
      <c r="W960" s="768"/>
      <c r="X960" s="768"/>
      <c r="Y960" s="768"/>
      <c r="Z960" s="768"/>
      <c r="AA960" s="768"/>
    </row>
    <row r="961" ht="30.0" customHeight="1">
      <c r="A961" s="768" t="str">
        <f t="array" ref="A961">XLOOKUP(C961,'High School Players'!D:D,'High School Players'!K:K,"NO",0,1)</f>
        <v>NO</v>
      </c>
      <c r="B961" s="768"/>
      <c r="C961" s="768"/>
      <c r="D961" s="768"/>
      <c r="E961" s="768"/>
      <c r="F961" s="768"/>
      <c r="G961" s="768"/>
      <c r="H961" s="768"/>
      <c r="I961" s="768"/>
      <c r="J961" s="768"/>
      <c r="K961" s="768"/>
      <c r="L961" s="768"/>
      <c r="M961" s="768"/>
      <c r="N961" s="768"/>
      <c r="O961" s="768"/>
      <c r="P961" s="768"/>
      <c r="Q961" s="768"/>
      <c r="R961" s="768"/>
      <c r="S961" s="768"/>
      <c r="T961" s="768"/>
      <c r="U961" s="768"/>
      <c r="V961" s="768"/>
      <c r="W961" s="768"/>
      <c r="X961" s="768"/>
      <c r="Y961" s="768"/>
      <c r="Z961" s="768"/>
      <c r="AA961" s="768"/>
    </row>
    <row r="962" ht="30.0" customHeight="1">
      <c r="A962" s="768" t="str">
        <f t="array" ref="A962">XLOOKUP(C962,'High School Players'!D:D,'High School Players'!K:K,"NO",0,1)</f>
        <v>NO</v>
      </c>
      <c r="B962" s="768"/>
      <c r="C962" s="768"/>
      <c r="D962" s="768"/>
      <c r="E962" s="768"/>
      <c r="F962" s="768"/>
      <c r="G962" s="768"/>
      <c r="H962" s="768"/>
      <c r="I962" s="768"/>
      <c r="J962" s="768"/>
      <c r="K962" s="768"/>
      <c r="L962" s="768"/>
      <c r="M962" s="768"/>
      <c r="N962" s="768"/>
      <c r="O962" s="768"/>
      <c r="P962" s="768"/>
      <c r="Q962" s="768"/>
      <c r="R962" s="768"/>
      <c r="S962" s="768"/>
      <c r="T962" s="768"/>
      <c r="U962" s="768"/>
      <c r="V962" s="768"/>
      <c r="W962" s="768"/>
      <c r="X962" s="768"/>
      <c r="Y962" s="768"/>
      <c r="Z962" s="768"/>
      <c r="AA962" s="768"/>
    </row>
    <row r="963" ht="30.0" customHeight="1">
      <c r="A963" s="768" t="str">
        <f t="array" ref="A963">XLOOKUP(C963,'High School Players'!D:D,'High School Players'!K:K,"NO",0,1)</f>
        <v>NO</v>
      </c>
      <c r="B963" s="768"/>
      <c r="C963" s="768"/>
      <c r="D963" s="768"/>
      <c r="E963" s="768"/>
      <c r="F963" s="768"/>
      <c r="G963" s="768"/>
      <c r="H963" s="768"/>
      <c r="I963" s="768"/>
      <c r="J963" s="768"/>
      <c r="K963" s="768"/>
      <c r="L963" s="768"/>
      <c r="M963" s="768"/>
      <c r="N963" s="768"/>
      <c r="O963" s="768"/>
      <c r="P963" s="768"/>
      <c r="Q963" s="768"/>
      <c r="R963" s="768"/>
      <c r="S963" s="768"/>
      <c r="T963" s="768"/>
      <c r="U963" s="768"/>
      <c r="V963" s="768"/>
      <c r="W963" s="768"/>
      <c r="X963" s="768"/>
      <c r="Y963" s="768"/>
      <c r="Z963" s="768"/>
      <c r="AA963" s="768"/>
    </row>
    <row r="964" ht="30.0" customHeight="1">
      <c r="A964" s="768" t="str">
        <f t="array" ref="A964">XLOOKUP(C964,'High School Players'!D:D,'High School Players'!K:K,"NO",0,1)</f>
        <v>NO</v>
      </c>
      <c r="B964" s="768"/>
      <c r="C964" s="768"/>
      <c r="D964" s="768"/>
      <c r="E964" s="768"/>
      <c r="F964" s="768"/>
      <c r="G964" s="768"/>
      <c r="H964" s="768"/>
      <c r="I964" s="768"/>
      <c r="J964" s="768"/>
      <c r="K964" s="768"/>
      <c r="L964" s="768"/>
      <c r="M964" s="768"/>
      <c r="N964" s="768"/>
      <c r="O964" s="768"/>
      <c r="P964" s="768"/>
      <c r="Q964" s="768"/>
      <c r="R964" s="768"/>
      <c r="S964" s="768"/>
      <c r="T964" s="768"/>
      <c r="U964" s="768"/>
      <c r="V964" s="768"/>
      <c r="W964" s="768"/>
      <c r="X964" s="768"/>
      <c r="Y964" s="768"/>
      <c r="Z964" s="768"/>
      <c r="AA964" s="768"/>
    </row>
    <row r="965" ht="30.0" customHeight="1">
      <c r="A965" s="768" t="str">
        <f t="array" ref="A965">XLOOKUP(C965,'High School Players'!D:D,'High School Players'!K:K,"NO",0,1)</f>
        <v>NO</v>
      </c>
      <c r="B965" s="768"/>
      <c r="C965" s="768"/>
      <c r="D965" s="768"/>
      <c r="E965" s="768"/>
      <c r="F965" s="768"/>
      <c r="G965" s="768"/>
      <c r="H965" s="768"/>
      <c r="I965" s="768"/>
      <c r="J965" s="768"/>
      <c r="K965" s="768"/>
      <c r="L965" s="768"/>
      <c r="M965" s="768"/>
      <c r="N965" s="768"/>
      <c r="O965" s="768"/>
      <c r="P965" s="768"/>
      <c r="Q965" s="768"/>
      <c r="R965" s="768"/>
      <c r="S965" s="768"/>
      <c r="T965" s="768"/>
      <c r="U965" s="768"/>
      <c r="V965" s="768"/>
      <c r="W965" s="768"/>
      <c r="X965" s="768"/>
      <c r="Y965" s="768"/>
      <c r="Z965" s="768"/>
      <c r="AA965" s="768"/>
    </row>
    <row r="966" ht="30.0" customHeight="1">
      <c r="A966" s="768" t="str">
        <f t="array" ref="A966">XLOOKUP(C966,'High School Players'!D:D,'High School Players'!K:K,"NO",0,1)</f>
        <v>NO</v>
      </c>
      <c r="B966" s="768"/>
      <c r="C966" s="768"/>
      <c r="D966" s="768"/>
      <c r="E966" s="768"/>
      <c r="F966" s="768"/>
      <c r="G966" s="768"/>
      <c r="H966" s="768"/>
      <c r="I966" s="768"/>
      <c r="J966" s="768"/>
      <c r="K966" s="768"/>
      <c r="L966" s="768"/>
      <c r="M966" s="768"/>
      <c r="N966" s="768"/>
      <c r="O966" s="768"/>
      <c r="P966" s="768"/>
      <c r="Q966" s="768"/>
      <c r="R966" s="768"/>
      <c r="S966" s="768"/>
      <c r="T966" s="768"/>
      <c r="U966" s="768"/>
      <c r="V966" s="768"/>
      <c r="W966" s="768"/>
      <c r="X966" s="768"/>
      <c r="Y966" s="768"/>
      <c r="Z966" s="768"/>
      <c r="AA966" s="768"/>
    </row>
    <row r="967" ht="30.0" customHeight="1">
      <c r="A967" s="768" t="str">
        <f t="array" ref="A967">XLOOKUP(C967,'High School Players'!D:D,'High School Players'!K:K,"NO",0,1)</f>
        <v>NO</v>
      </c>
      <c r="B967" s="768"/>
      <c r="C967" s="768"/>
      <c r="D967" s="768"/>
      <c r="E967" s="768"/>
      <c r="F967" s="768"/>
      <c r="G967" s="768"/>
      <c r="H967" s="768"/>
      <c r="I967" s="768"/>
      <c r="J967" s="768"/>
      <c r="K967" s="768"/>
      <c r="L967" s="768"/>
      <c r="M967" s="768"/>
      <c r="N967" s="768"/>
      <c r="O967" s="768"/>
      <c r="P967" s="768"/>
      <c r="Q967" s="768"/>
      <c r="R967" s="768"/>
      <c r="S967" s="768"/>
      <c r="T967" s="768"/>
      <c r="U967" s="768"/>
      <c r="V967" s="768"/>
      <c r="W967" s="768"/>
      <c r="X967" s="768"/>
      <c r="Y967" s="768"/>
      <c r="Z967" s="768"/>
      <c r="AA967" s="768"/>
    </row>
    <row r="968" ht="30.0" customHeight="1">
      <c r="A968" s="768" t="str">
        <f t="array" ref="A968">XLOOKUP(C968,'High School Players'!D:D,'High School Players'!K:K,"NO",0,1)</f>
        <v>NO</v>
      </c>
      <c r="B968" s="768"/>
      <c r="C968" s="768"/>
      <c r="D968" s="768"/>
      <c r="E968" s="768"/>
      <c r="F968" s="768"/>
      <c r="G968" s="768"/>
      <c r="H968" s="768"/>
      <c r="I968" s="768"/>
      <c r="J968" s="768"/>
      <c r="K968" s="768"/>
      <c r="L968" s="768"/>
      <c r="M968" s="768"/>
      <c r="N968" s="768"/>
      <c r="O968" s="768"/>
      <c r="P968" s="768"/>
      <c r="Q968" s="768"/>
      <c r="R968" s="768"/>
      <c r="S968" s="768"/>
      <c r="T968" s="768"/>
      <c r="U968" s="768"/>
      <c r="V968" s="768"/>
      <c r="W968" s="768"/>
      <c r="X968" s="768"/>
      <c r="Y968" s="768"/>
      <c r="Z968" s="768"/>
      <c r="AA968" s="768"/>
    </row>
    <row r="969" ht="30.0" customHeight="1">
      <c r="A969" s="768" t="str">
        <f t="array" ref="A969">XLOOKUP(C969,'High School Players'!D:D,'High School Players'!K:K,"NO",0,1)</f>
        <v>NO</v>
      </c>
      <c r="B969" s="768"/>
      <c r="C969" s="768"/>
      <c r="D969" s="768"/>
      <c r="E969" s="768"/>
      <c r="F969" s="768"/>
      <c r="G969" s="768"/>
      <c r="H969" s="768"/>
      <c r="I969" s="768"/>
      <c r="J969" s="768"/>
      <c r="K969" s="768"/>
      <c r="L969" s="768"/>
      <c r="M969" s="768"/>
      <c r="N969" s="768"/>
      <c r="O969" s="768"/>
      <c r="P969" s="768"/>
      <c r="Q969" s="768"/>
      <c r="R969" s="768"/>
      <c r="S969" s="768"/>
      <c r="T969" s="768"/>
      <c r="U969" s="768"/>
      <c r="V969" s="768"/>
      <c r="W969" s="768"/>
      <c r="X969" s="768"/>
      <c r="Y969" s="768"/>
      <c r="Z969" s="768"/>
      <c r="AA969" s="768"/>
    </row>
    <row r="970" ht="30.0" customHeight="1">
      <c r="A970" s="768" t="str">
        <f t="array" ref="A970">XLOOKUP(C970,'High School Players'!D:D,'High School Players'!K:K,"NO",0,1)</f>
        <v>NO</v>
      </c>
      <c r="B970" s="768"/>
      <c r="C970" s="768"/>
      <c r="D970" s="768"/>
      <c r="E970" s="768"/>
      <c r="F970" s="768"/>
      <c r="G970" s="768"/>
      <c r="H970" s="768"/>
      <c r="I970" s="768"/>
      <c r="J970" s="768"/>
      <c r="K970" s="768"/>
      <c r="L970" s="768"/>
      <c r="M970" s="768"/>
      <c r="N970" s="768"/>
      <c r="O970" s="768"/>
      <c r="P970" s="768"/>
      <c r="Q970" s="768"/>
      <c r="R970" s="768"/>
      <c r="S970" s="768"/>
      <c r="T970" s="768"/>
      <c r="U970" s="768"/>
      <c r="V970" s="768"/>
      <c r="W970" s="768"/>
      <c r="X970" s="768"/>
      <c r="Y970" s="768"/>
      <c r="Z970" s="768"/>
      <c r="AA970" s="768"/>
    </row>
    <row r="971" ht="30.0" customHeight="1">
      <c r="A971" s="768" t="str">
        <f t="array" ref="A971">XLOOKUP(C971,'High School Players'!D:D,'High School Players'!K:K,"NO",0,1)</f>
        <v>NO</v>
      </c>
      <c r="B971" s="768"/>
      <c r="C971" s="768"/>
      <c r="D971" s="768"/>
      <c r="E971" s="768"/>
      <c r="F971" s="768"/>
      <c r="G971" s="768"/>
      <c r="H971" s="768"/>
      <c r="I971" s="768"/>
      <c r="J971" s="768"/>
      <c r="K971" s="768"/>
      <c r="L971" s="768"/>
      <c r="M971" s="768"/>
      <c r="N971" s="768"/>
      <c r="O971" s="768"/>
      <c r="P971" s="768"/>
      <c r="Q971" s="768"/>
      <c r="R971" s="768"/>
      <c r="S971" s="768"/>
      <c r="T971" s="768"/>
      <c r="U971" s="768"/>
      <c r="V971" s="768"/>
      <c r="W971" s="768"/>
      <c r="X971" s="768"/>
      <c r="Y971" s="768"/>
      <c r="Z971" s="768"/>
      <c r="AA971" s="768"/>
    </row>
    <row r="972" ht="30.0" customHeight="1">
      <c r="A972" s="768" t="str">
        <f t="array" ref="A972">XLOOKUP(C972,'High School Players'!D:D,'High School Players'!K:K,"NO",0,1)</f>
        <v>NO</v>
      </c>
      <c r="B972" s="768"/>
      <c r="C972" s="768"/>
      <c r="D972" s="768"/>
      <c r="E972" s="768"/>
      <c r="F972" s="768"/>
      <c r="G972" s="768"/>
      <c r="H972" s="768"/>
      <c r="I972" s="768"/>
      <c r="J972" s="768"/>
      <c r="K972" s="768"/>
      <c r="L972" s="768"/>
      <c r="M972" s="768"/>
      <c r="N972" s="768"/>
      <c r="O972" s="768"/>
      <c r="P972" s="768"/>
      <c r="Q972" s="768"/>
      <c r="R972" s="768"/>
      <c r="S972" s="768"/>
      <c r="T972" s="768"/>
      <c r="U972" s="768"/>
      <c r="V972" s="768"/>
      <c r="W972" s="768"/>
      <c r="X972" s="768"/>
      <c r="Y972" s="768"/>
      <c r="Z972" s="768"/>
      <c r="AA972" s="768"/>
    </row>
    <row r="973" ht="30.0" customHeight="1">
      <c r="A973" s="768" t="str">
        <f t="array" ref="A973">XLOOKUP(C973,'High School Players'!D:D,'High School Players'!K:K,"NO",0,1)</f>
        <v>NO</v>
      </c>
      <c r="B973" s="768"/>
      <c r="C973" s="768"/>
      <c r="D973" s="768"/>
      <c r="E973" s="768"/>
      <c r="F973" s="768"/>
      <c r="G973" s="768"/>
      <c r="H973" s="768"/>
      <c r="I973" s="768"/>
      <c r="J973" s="768"/>
      <c r="K973" s="768"/>
      <c r="L973" s="768"/>
      <c r="M973" s="768"/>
      <c r="N973" s="768"/>
      <c r="O973" s="768"/>
      <c r="P973" s="768"/>
      <c r="Q973" s="768"/>
      <c r="R973" s="768"/>
      <c r="S973" s="768"/>
      <c r="T973" s="768"/>
      <c r="U973" s="768"/>
      <c r="V973" s="768"/>
      <c r="W973" s="768"/>
      <c r="X973" s="768"/>
      <c r="Y973" s="768"/>
      <c r="Z973" s="768"/>
      <c r="AA973" s="768"/>
    </row>
    <row r="974" ht="30.0" customHeight="1">
      <c r="A974" s="768" t="str">
        <f t="array" ref="A974">XLOOKUP(C974,'High School Players'!D:D,'High School Players'!K:K,"NO",0,1)</f>
        <v>NO</v>
      </c>
      <c r="B974" s="768"/>
      <c r="C974" s="768"/>
      <c r="D974" s="768"/>
      <c r="E974" s="768"/>
      <c r="F974" s="768"/>
      <c r="G974" s="768"/>
      <c r="H974" s="768"/>
      <c r="I974" s="768"/>
      <c r="J974" s="768"/>
      <c r="K974" s="768"/>
      <c r="L974" s="768"/>
      <c r="M974" s="768"/>
      <c r="N974" s="768"/>
      <c r="O974" s="768"/>
      <c r="P974" s="768"/>
      <c r="Q974" s="768"/>
      <c r="R974" s="768"/>
      <c r="S974" s="768"/>
      <c r="T974" s="768"/>
      <c r="U974" s="768"/>
      <c r="V974" s="768"/>
      <c r="W974" s="768"/>
      <c r="X974" s="768"/>
      <c r="Y974" s="768"/>
      <c r="Z974" s="768"/>
      <c r="AA974" s="768"/>
    </row>
    <row r="975" ht="30.0" customHeight="1">
      <c r="A975" s="768" t="str">
        <f t="array" ref="A975">XLOOKUP(C975,'High School Players'!D:D,'High School Players'!K:K,"NO",0,1)</f>
        <v>NO</v>
      </c>
      <c r="B975" s="768"/>
      <c r="C975" s="768"/>
      <c r="D975" s="768"/>
      <c r="E975" s="768"/>
      <c r="F975" s="768"/>
      <c r="G975" s="768"/>
      <c r="H975" s="768"/>
      <c r="I975" s="768"/>
      <c r="J975" s="768"/>
      <c r="K975" s="768"/>
      <c r="L975" s="768"/>
      <c r="M975" s="768"/>
      <c r="N975" s="768"/>
      <c r="O975" s="768"/>
      <c r="P975" s="768"/>
      <c r="Q975" s="768"/>
      <c r="R975" s="768"/>
      <c r="S975" s="768"/>
      <c r="T975" s="768"/>
      <c r="U975" s="768"/>
      <c r="V975" s="768"/>
      <c r="W975" s="768"/>
      <c r="X975" s="768"/>
      <c r="Y975" s="768"/>
      <c r="Z975" s="768"/>
      <c r="AA975" s="768"/>
    </row>
    <row r="976" ht="30.0" customHeight="1">
      <c r="A976" s="768" t="str">
        <f t="array" ref="A976">XLOOKUP(C976,'High School Players'!D:D,'High School Players'!K:K,"NO",0,1)</f>
        <v>NO</v>
      </c>
      <c r="B976" s="768"/>
      <c r="C976" s="768"/>
      <c r="D976" s="768"/>
      <c r="E976" s="768"/>
      <c r="F976" s="768"/>
      <c r="G976" s="768"/>
      <c r="H976" s="768"/>
      <c r="I976" s="768"/>
      <c r="J976" s="768"/>
      <c r="K976" s="768"/>
      <c r="L976" s="768"/>
      <c r="M976" s="768"/>
      <c r="N976" s="768"/>
      <c r="O976" s="768"/>
      <c r="P976" s="768"/>
      <c r="Q976" s="768"/>
      <c r="R976" s="768"/>
      <c r="S976" s="768"/>
      <c r="T976" s="768"/>
      <c r="U976" s="768"/>
      <c r="V976" s="768"/>
      <c r="W976" s="768"/>
      <c r="X976" s="768"/>
      <c r="Y976" s="768"/>
      <c r="Z976" s="768"/>
      <c r="AA976" s="768"/>
    </row>
    <row r="977" ht="30.0" customHeight="1">
      <c r="A977" s="768" t="str">
        <f t="array" ref="A977">XLOOKUP(C977,'High School Players'!D:D,'High School Players'!K:K,"NO",0,1)</f>
        <v>NO</v>
      </c>
      <c r="B977" s="768"/>
      <c r="C977" s="768"/>
      <c r="D977" s="768"/>
      <c r="E977" s="768"/>
      <c r="F977" s="768"/>
      <c r="G977" s="768"/>
      <c r="H977" s="768"/>
      <c r="I977" s="768"/>
      <c r="J977" s="768"/>
      <c r="K977" s="768"/>
      <c r="L977" s="768"/>
      <c r="M977" s="768"/>
      <c r="N977" s="768"/>
      <c r="O977" s="768"/>
      <c r="P977" s="768"/>
      <c r="Q977" s="768"/>
      <c r="R977" s="768"/>
      <c r="S977" s="768"/>
      <c r="T977" s="768"/>
      <c r="U977" s="768"/>
      <c r="V977" s="768"/>
      <c r="W977" s="768"/>
      <c r="X977" s="768"/>
      <c r="Y977" s="768"/>
      <c r="Z977" s="768"/>
      <c r="AA977" s="768"/>
    </row>
    <row r="978" ht="30.0" customHeight="1">
      <c r="A978" s="768" t="str">
        <f t="array" ref="A978">XLOOKUP(C978,'High School Players'!D:D,'High School Players'!K:K,"NO",0,1)</f>
        <v>NO</v>
      </c>
      <c r="B978" s="768"/>
      <c r="C978" s="768"/>
      <c r="D978" s="768"/>
      <c r="E978" s="768"/>
      <c r="F978" s="768"/>
      <c r="G978" s="768"/>
      <c r="H978" s="768"/>
      <c r="I978" s="768"/>
      <c r="J978" s="768"/>
      <c r="K978" s="768"/>
      <c r="L978" s="768"/>
      <c r="M978" s="768"/>
      <c r="N978" s="768"/>
      <c r="O978" s="768"/>
      <c r="P978" s="768"/>
      <c r="Q978" s="768"/>
      <c r="R978" s="768"/>
      <c r="S978" s="768"/>
      <c r="T978" s="768"/>
      <c r="U978" s="768"/>
      <c r="V978" s="768"/>
      <c r="W978" s="768"/>
      <c r="X978" s="768"/>
      <c r="Y978" s="768"/>
      <c r="Z978" s="768"/>
      <c r="AA978" s="768"/>
    </row>
    <row r="979" ht="30.0" customHeight="1">
      <c r="A979" s="768" t="str">
        <f t="array" ref="A979">XLOOKUP(C979,'High School Players'!D:D,'High School Players'!K:K,"NO",0,1)</f>
        <v>NO</v>
      </c>
      <c r="B979" s="768"/>
      <c r="C979" s="768"/>
      <c r="D979" s="768"/>
      <c r="E979" s="768"/>
      <c r="F979" s="768"/>
      <c r="G979" s="768"/>
      <c r="H979" s="768"/>
      <c r="I979" s="768"/>
      <c r="J979" s="768"/>
      <c r="K979" s="768"/>
      <c r="L979" s="768"/>
      <c r="M979" s="768"/>
      <c r="N979" s="768"/>
      <c r="O979" s="768"/>
      <c r="P979" s="768"/>
      <c r="Q979" s="768"/>
      <c r="R979" s="768"/>
      <c r="S979" s="768"/>
      <c r="T979" s="768"/>
      <c r="U979" s="768"/>
      <c r="V979" s="768"/>
      <c r="W979" s="768"/>
      <c r="X979" s="768"/>
      <c r="Y979" s="768"/>
      <c r="Z979" s="768"/>
      <c r="AA979" s="768"/>
    </row>
    <row r="980" ht="30.0" customHeight="1">
      <c r="A980" s="768" t="str">
        <f t="array" ref="A980">XLOOKUP(C980,'High School Players'!D:D,'High School Players'!K:K,"NO",0,1)</f>
        <v>NO</v>
      </c>
      <c r="B980" s="768"/>
      <c r="C980" s="768"/>
      <c r="D980" s="768"/>
      <c r="E980" s="768"/>
      <c r="F980" s="768"/>
      <c r="G980" s="768"/>
      <c r="H980" s="768"/>
      <c r="I980" s="768"/>
      <c r="J980" s="768"/>
      <c r="K980" s="768"/>
      <c r="L980" s="768"/>
      <c r="M980" s="768"/>
      <c r="N980" s="768"/>
      <c r="O980" s="768"/>
      <c r="P980" s="768"/>
      <c r="Q980" s="768"/>
      <c r="R980" s="768"/>
      <c r="S980" s="768"/>
      <c r="T980" s="768"/>
      <c r="U980" s="768"/>
      <c r="V980" s="768"/>
      <c r="W980" s="768"/>
      <c r="X980" s="768"/>
      <c r="Y980" s="768"/>
      <c r="Z980" s="768"/>
      <c r="AA980" s="768"/>
    </row>
    <row r="981" ht="30.0" customHeight="1">
      <c r="A981" s="768" t="str">
        <f t="array" ref="A981">XLOOKUP(C981,'High School Players'!D:D,'High School Players'!K:K,"NO",0,1)</f>
        <v>NO</v>
      </c>
      <c r="B981" s="768"/>
      <c r="C981" s="768"/>
      <c r="D981" s="768"/>
      <c r="E981" s="768"/>
      <c r="F981" s="768"/>
      <c r="G981" s="768"/>
      <c r="H981" s="768"/>
      <c r="I981" s="768"/>
      <c r="J981" s="768"/>
      <c r="K981" s="768"/>
      <c r="L981" s="768"/>
      <c r="M981" s="768"/>
      <c r="N981" s="768"/>
      <c r="O981" s="768"/>
      <c r="P981" s="768"/>
      <c r="Q981" s="768"/>
      <c r="R981" s="768"/>
      <c r="S981" s="768"/>
      <c r="T981" s="768"/>
      <c r="U981" s="768"/>
      <c r="V981" s="768"/>
      <c r="W981" s="768"/>
      <c r="X981" s="768"/>
      <c r="Y981" s="768"/>
      <c r="Z981" s="768"/>
      <c r="AA981" s="768"/>
    </row>
    <row r="982" ht="30.0" customHeight="1">
      <c r="A982" s="768" t="str">
        <f t="array" ref="A982">XLOOKUP(C982,'High School Players'!D:D,'High School Players'!K:K,"NO",0,1)</f>
        <v>NO</v>
      </c>
      <c r="B982" s="768"/>
      <c r="C982" s="768"/>
      <c r="D982" s="768"/>
      <c r="E982" s="768"/>
      <c r="F982" s="768"/>
      <c r="G982" s="768"/>
      <c r="H982" s="768"/>
      <c r="I982" s="768"/>
      <c r="J982" s="768"/>
      <c r="K982" s="768"/>
      <c r="L982" s="768"/>
      <c r="M982" s="768"/>
      <c r="N982" s="768"/>
      <c r="O982" s="768"/>
      <c r="P982" s="768"/>
      <c r="Q982" s="768"/>
      <c r="R982" s="768"/>
      <c r="S982" s="768"/>
      <c r="T982" s="768"/>
      <c r="U982" s="768"/>
      <c r="V982" s="768"/>
      <c r="W982" s="768"/>
      <c r="X982" s="768"/>
      <c r="Y982" s="768"/>
      <c r="Z982" s="768"/>
      <c r="AA982" s="768"/>
    </row>
    <row r="983" ht="30.0" customHeight="1">
      <c r="A983" s="768" t="str">
        <f t="array" ref="A983">XLOOKUP(C983,'High School Players'!D:D,'High School Players'!K:K,"NO",0,1)</f>
        <v>NO</v>
      </c>
      <c r="B983" s="768"/>
      <c r="C983" s="768"/>
      <c r="D983" s="768"/>
      <c r="E983" s="768"/>
      <c r="F983" s="768"/>
      <c r="G983" s="768"/>
      <c r="H983" s="768"/>
      <c r="I983" s="768"/>
      <c r="J983" s="768"/>
      <c r="K983" s="768"/>
      <c r="L983" s="768"/>
      <c r="M983" s="768"/>
      <c r="N983" s="768"/>
      <c r="O983" s="768"/>
      <c r="P983" s="768"/>
      <c r="Q983" s="768"/>
      <c r="R983" s="768"/>
      <c r="S983" s="768"/>
      <c r="T983" s="768"/>
      <c r="U983" s="768"/>
      <c r="V983" s="768"/>
      <c r="W983" s="768"/>
      <c r="X983" s="768"/>
      <c r="Y983" s="768"/>
      <c r="Z983" s="768"/>
      <c r="AA983" s="768"/>
    </row>
    <row r="984" ht="30.0" customHeight="1">
      <c r="A984" s="768" t="str">
        <f t="array" ref="A984">XLOOKUP(C984,'High School Players'!D:D,'High School Players'!K:K,"NO",0,1)</f>
        <v>NO</v>
      </c>
      <c r="B984" s="768"/>
      <c r="C984" s="768"/>
      <c r="D984" s="768"/>
      <c r="E984" s="768"/>
      <c r="F984" s="768"/>
      <c r="G984" s="768"/>
      <c r="H984" s="768"/>
      <c r="I984" s="768"/>
      <c r="J984" s="768"/>
      <c r="K984" s="768"/>
      <c r="L984" s="768"/>
      <c r="M984" s="768"/>
      <c r="N984" s="768"/>
      <c r="O984" s="768"/>
      <c r="P984" s="768"/>
      <c r="Q984" s="768"/>
      <c r="R984" s="768"/>
      <c r="S984" s="768"/>
      <c r="T984" s="768"/>
      <c r="U984" s="768"/>
      <c r="V984" s="768"/>
      <c r="W984" s="768"/>
      <c r="X984" s="768"/>
      <c r="Y984" s="768"/>
      <c r="Z984" s="768"/>
      <c r="AA984" s="768"/>
    </row>
    <row r="985" ht="30.0" customHeight="1">
      <c r="A985" s="768" t="str">
        <f t="array" ref="A985">XLOOKUP(C985,'High School Players'!D:D,'High School Players'!K:K,"NO",0,1)</f>
        <v>NO</v>
      </c>
      <c r="B985" s="768"/>
      <c r="C985" s="768"/>
      <c r="D985" s="768"/>
      <c r="E985" s="768"/>
      <c r="F985" s="768"/>
      <c r="G985" s="768"/>
      <c r="H985" s="768"/>
      <c r="I985" s="768"/>
      <c r="J985" s="768"/>
      <c r="K985" s="768"/>
      <c r="L985" s="768"/>
      <c r="M985" s="768"/>
      <c r="N985" s="768"/>
      <c r="O985" s="768"/>
      <c r="P985" s="768"/>
      <c r="Q985" s="768"/>
      <c r="R985" s="768"/>
      <c r="S985" s="768"/>
      <c r="T985" s="768"/>
      <c r="U985" s="768"/>
      <c r="V985" s="768"/>
      <c r="W985" s="768"/>
      <c r="X985" s="768"/>
      <c r="Y985" s="768"/>
      <c r="Z985" s="768"/>
      <c r="AA985" s="768"/>
    </row>
    <row r="986" ht="30.0" customHeight="1">
      <c r="A986" s="768" t="str">
        <f t="array" ref="A986">XLOOKUP(C986,'High School Players'!D:D,'High School Players'!K:K,"NO",0,1)</f>
        <v>NO</v>
      </c>
      <c r="B986" s="768"/>
      <c r="C986" s="768"/>
      <c r="D986" s="768"/>
      <c r="E986" s="768"/>
      <c r="F986" s="768"/>
      <c r="G986" s="768"/>
      <c r="H986" s="768"/>
      <c r="I986" s="768"/>
      <c r="J986" s="768"/>
      <c r="K986" s="768"/>
      <c r="L986" s="768"/>
      <c r="M986" s="768"/>
      <c r="N986" s="768"/>
      <c r="O986" s="768"/>
      <c r="P986" s="768"/>
      <c r="Q986" s="768"/>
      <c r="R986" s="768"/>
      <c r="S986" s="768"/>
      <c r="T986" s="768"/>
      <c r="U986" s="768"/>
      <c r="V986" s="768"/>
      <c r="W986" s="768"/>
      <c r="X986" s="768"/>
      <c r="Y986" s="768"/>
      <c r="Z986" s="768"/>
      <c r="AA986" s="768"/>
    </row>
    <row r="987" ht="30.0" customHeight="1">
      <c r="A987" s="768" t="str">
        <f t="array" ref="A987">XLOOKUP(C987,'High School Players'!D:D,'High School Players'!K:K,"NO",0,1)</f>
        <v>NO</v>
      </c>
      <c r="B987" s="768"/>
      <c r="C987" s="768"/>
      <c r="D987" s="768"/>
      <c r="E987" s="768"/>
      <c r="F987" s="768"/>
      <c r="G987" s="768"/>
      <c r="H987" s="768"/>
      <c r="I987" s="768"/>
      <c r="J987" s="768"/>
      <c r="K987" s="768"/>
      <c r="L987" s="768"/>
      <c r="M987" s="768"/>
      <c r="N987" s="768"/>
      <c r="O987" s="768"/>
      <c r="P987" s="768"/>
      <c r="Q987" s="768"/>
      <c r="R987" s="768"/>
      <c r="S987" s="768"/>
      <c r="T987" s="768"/>
      <c r="U987" s="768"/>
      <c r="V987" s="768"/>
      <c r="W987" s="768"/>
      <c r="X987" s="768"/>
      <c r="Y987" s="768"/>
      <c r="Z987" s="768"/>
      <c r="AA987" s="768"/>
    </row>
    <row r="988" ht="30.0" customHeight="1">
      <c r="A988" s="768" t="str">
        <f t="array" ref="A988">XLOOKUP(C988,'High School Players'!D:D,'High School Players'!K:K,"NO",0,1)</f>
        <v>NO</v>
      </c>
      <c r="B988" s="768"/>
      <c r="C988" s="768"/>
      <c r="D988" s="768"/>
      <c r="E988" s="768"/>
      <c r="F988" s="768"/>
      <c r="G988" s="768"/>
      <c r="H988" s="768"/>
      <c r="I988" s="768"/>
      <c r="J988" s="768"/>
      <c r="K988" s="768"/>
      <c r="L988" s="768"/>
      <c r="M988" s="768"/>
      <c r="N988" s="768"/>
      <c r="O988" s="768"/>
      <c r="P988" s="768"/>
      <c r="Q988" s="768"/>
      <c r="R988" s="768"/>
      <c r="S988" s="768"/>
      <c r="T988" s="768"/>
      <c r="U988" s="768"/>
      <c r="V988" s="768"/>
      <c r="W988" s="768"/>
      <c r="X988" s="768"/>
      <c r="Y988" s="768"/>
      <c r="Z988" s="768"/>
      <c r="AA988" s="768"/>
    </row>
    <row r="989" ht="30.0" customHeight="1">
      <c r="A989" s="768" t="str">
        <f t="array" ref="A989">XLOOKUP(C989,'High School Players'!D:D,'High School Players'!K:K,"NO",0,1)</f>
        <v>NO</v>
      </c>
      <c r="B989" s="768"/>
      <c r="C989" s="768"/>
      <c r="D989" s="768"/>
      <c r="E989" s="768"/>
      <c r="F989" s="768"/>
      <c r="G989" s="768"/>
      <c r="H989" s="768"/>
      <c r="I989" s="768"/>
      <c r="J989" s="768"/>
      <c r="K989" s="768"/>
      <c r="L989" s="768"/>
      <c r="M989" s="768"/>
      <c r="N989" s="768"/>
      <c r="O989" s="768"/>
      <c r="P989" s="768"/>
      <c r="Q989" s="768"/>
      <c r="R989" s="768"/>
      <c r="S989" s="768"/>
      <c r="T989" s="768"/>
      <c r="U989" s="768"/>
      <c r="V989" s="768"/>
      <c r="W989" s="768"/>
      <c r="X989" s="768"/>
      <c r="Y989" s="768"/>
      <c r="Z989" s="768"/>
      <c r="AA989" s="768"/>
    </row>
    <row r="990" ht="30.0" customHeight="1">
      <c r="A990" s="768" t="str">
        <f t="array" ref="A990">XLOOKUP(C990,'High School Players'!D:D,'High School Players'!K:K,"NO",0,1)</f>
        <v>NO</v>
      </c>
      <c r="B990" s="768"/>
      <c r="C990" s="768"/>
      <c r="D990" s="768"/>
      <c r="E990" s="768"/>
      <c r="F990" s="768"/>
      <c r="G990" s="768"/>
      <c r="H990" s="768"/>
      <c r="I990" s="768"/>
      <c r="J990" s="768"/>
      <c r="K990" s="768"/>
      <c r="L990" s="768"/>
      <c r="M990" s="768"/>
      <c r="N990" s="768"/>
      <c r="O990" s="768"/>
      <c r="P990" s="768"/>
      <c r="Q990" s="768"/>
      <c r="R990" s="768"/>
      <c r="S990" s="768"/>
      <c r="T990" s="768"/>
      <c r="U990" s="768"/>
      <c r="V990" s="768"/>
      <c r="W990" s="768"/>
      <c r="X990" s="768"/>
      <c r="Y990" s="768"/>
      <c r="Z990" s="768"/>
      <c r="AA990" s="768"/>
    </row>
    <row r="991" ht="30.0" customHeight="1">
      <c r="A991" s="768" t="str">
        <f t="array" ref="A991">XLOOKUP(C991,'High School Players'!D:D,'High School Players'!K:K,"NO",0,1)</f>
        <v>NO</v>
      </c>
      <c r="B991" s="768"/>
      <c r="C991" s="768"/>
      <c r="D991" s="768"/>
      <c r="E991" s="768"/>
      <c r="F991" s="768"/>
      <c r="G991" s="768"/>
      <c r="H991" s="768"/>
      <c r="I991" s="768"/>
      <c r="J991" s="768"/>
      <c r="K991" s="768"/>
      <c r="L991" s="768"/>
      <c r="M991" s="768"/>
      <c r="N991" s="768"/>
      <c r="O991" s="768"/>
      <c r="P991" s="768"/>
      <c r="Q991" s="768"/>
      <c r="R991" s="768"/>
      <c r="S991" s="768"/>
      <c r="T991" s="768"/>
      <c r="U991" s="768"/>
      <c r="V991" s="768"/>
      <c r="W991" s="768"/>
      <c r="X991" s="768"/>
      <c r="Y991" s="768"/>
      <c r="Z991" s="768"/>
      <c r="AA991" s="768"/>
    </row>
    <row r="992" ht="30.0" customHeight="1">
      <c r="A992" s="768" t="str">
        <f t="array" ref="A992">XLOOKUP(C992,'High School Players'!D:D,'High School Players'!K:K,"NO",0,1)</f>
        <v>NO</v>
      </c>
      <c r="B992" s="768"/>
      <c r="C992" s="768"/>
      <c r="D992" s="768"/>
      <c r="E992" s="768"/>
      <c r="F992" s="768"/>
      <c r="G992" s="768"/>
      <c r="H992" s="768"/>
      <c r="I992" s="768"/>
      <c r="J992" s="768"/>
      <c r="K992" s="768"/>
      <c r="L992" s="768"/>
      <c r="M992" s="768"/>
      <c r="N992" s="768"/>
      <c r="O992" s="768"/>
      <c r="P992" s="768"/>
      <c r="Q992" s="768"/>
      <c r="R992" s="768"/>
      <c r="S992" s="768"/>
      <c r="T992" s="768"/>
      <c r="U992" s="768"/>
      <c r="V992" s="768"/>
      <c r="W992" s="768"/>
      <c r="X992" s="768"/>
      <c r="Y992" s="768"/>
      <c r="Z992" s="768"/>
      <c r="AA992" s="768"/>
    </row>
    <row r="993" ht="30.0" customHeight="1">
      <c r="A993" s="768" t="str">
        <f t="array" ref="A993">XLOOKUP(C993,'High School Players'!D:D,'High School Players'!K:K,"NO",0,1)</f>
        <v>NO</v>
      </c>
      <c r="B993" s="768"/>
      <c r="C993" s="768"/>
      <c r="D993" s="768"/>
      <c r="E993" s="768"/>
      <c r="F993" s="768"/>
      <c r="G993" s="768"/>
      <c r="H993" s="768"/>
      <c r="I993" s="768"/>
      <c r="J993" s="768"/>
      <c r="K993" s="768"/>
      <c r="L993" s="768"/>
      <c r="M993" s="768"/>
      <c r="N993" s="768"/>
      <c r="O993" s="768"/>
      <c r="P993" s="768"/>
      <c r="Q993" s="768"/>
      <c r="R993" s="768"/>
      <c r="S993" s="768"/>
      <c r="T993" s="768"/>
      <c r="U993" s="768"/>
      <c r="V993" s="768"/>
      <c r="W993" s="768"/>
      <c r="X993" s="768"/>
      <c r="Y993" s="768"/>
      <c r="Z993" s="768"/>
      <c r="AA993" s="768"/>
    </row>
    <row r="994" ht="30.0" customHeight="1">
      <c r="A994" s="768" t="str">
        <f t="array" ref="A994">XLOOKUP(C994,'High School Players'!D:D,'High School Players'!K:K,"NO",0,1)</f>
        <v>NO</v>
      </c>
      <c r="B994" s="768"/>
      <c r="C994" s="768"/>
      <c r="D994" s="768"/>
      <c r="E994" s="768"/>
      <c r="F994" s="768"/>
      <c r="G994" s="768"/>
      <c r="H994" s="768"/>
      <c r="I994" s="768"/>
      <c r="J994" s="768"/>
      <c r="K994" s="768"/>
      <c r="L994" s="768"/>
      <c r="M994" s="768"/>
      <c r="N994" s="768"/>
      <c r="O994" s="768"/>
      <c r="P994" s="768"/>
      <c r="Q994" s="768"/>
      <c r="R994" s="768"/>
      <c r="S994" s="768"/>
      <c r="T994" s="768"/>
      <c r="U994" s="768"/>
      <c r="V994" s="768"/>
      <c r="W994" s="768"/>
      <c r="X994" s="768"/>
      <c r="Y994" s="768"/>
      <c r="Z994" s="768"/>
      <c r="AA994" s="768"/>
    </row>
    <row r="995" ht="30.0" customHeight="1">
      <c r="A995" s="768" t="str">
        <f t="array" ref="A995">XLOOKUP(C995,'High School Players'!D:D,'High School Players'!K:K,"NO",0,1)</f>
        <v>NO</v>
      </c>
      <c r="B995" s="768"/>
      <c r="C995" s="768"/>
      <c r="D995" s="768"/>
      <c r="E995" s="768"/>
      <c r="F995" s="768"/>
      <c r="G995" s="768"/>
      <c r="H995" s="768"/>
      <c r="I995" s="768"/>
      <c r="J995" s="768"/>
      <c r="K995" s="768"/>
      <c r="L995" s="768"/>
      <c r="M995" s="768"/>
      <c r="N995" s="768"/>
      <c r="O995" s="768"/>
      <c r="P995" s="768"/>
      <c r="Q995" s="768"/>
      <c r="R995" s="768"/>
      <c r="S995" s="768"/>
      <c r="T995" s="768"/>
      <c r="U995" s="768"/>
      <c r="V995" s="768"/>
      <c r="W995" s="768"/>
      <c r="X995" s="768"/>
      <c r="Y995" s="768"/>
      <c r="Z995" s="768"/>
      <c r="AA995" s="768"/>
    </row>
    <row r="996" ht="30.0" customHeight="1">
      <c r="A996" s="768" t="str">
        <f t="array" ref="A996">XLOOKUP(C996,'High School Players'!D:D,'High School Players'!K:K,"NO",0,1)</f>
        <v>NO</v>
      </c>
      <c r="B996" s="768"/>
      <c r="C996" s="768"/>
      <c r="D996" s="768"/>
      <c r="E996" s="768"/>
      <c r="F996" s="768"/>
      <c r="G996" s="768"/>
      <c r="H996" s="768"/>
      <c r="I996" s="768"/>
      <c r="J996" s="768"/>
      <c r="K996" s="768"/>
      <c r="L996" s="768"/>
      <c r="M996" s="768"/>
      <c r="N996" s="768"/>
      <c r="O996" s="768"/>
      <c r="P996" s="768"/>
      <c r="Q996" s="768"/>
      <c r="R996" s="768"/>
      <c r="S996" s="768"/>
      <c r="T996" s="768"/>
      <c r="U996" s="768"/>
      <c r="V996" s="768"/>
      <c r="W996" s="768"/>
      <c r="X996" s="768"/>
      <c r="Y996" s="768"/>
      <c r="Z996" s="768"/>
      <c r="AA996" s="768"/>
    </row>
    <row r="997" ht="30.0" customHeight="1">
      <c r="A997" s="768" t="str">
        <f t="array" ref="A997">XLOOKUP(C997,'High School Players'!D:D,'High School Players'!K:K,"NO",0,1)</f>
        <v>NO</v>
      </c>
      <c r="B997" s="768"/>
      <c r="C997" s="768"/>
      <c r="D997" s="768"/>
      <c r="E997" s="768"/>
      <c r="F997" s="768"/>
      <c r="G997" s="768"/>
      <c r="H997" s="768"/>
      <c r="I997" s="768"/>
      <c r="J997" s="768"/>
      <c r="K997" s="768"/>
      <c r="L997" s="768"/>
      <c r="M997" s="768"/>
      <c r="N997" s="768"/>
      <c r="O997" s="768"/>
      <c r="P997" s="768"/>
      <c r="Q997" s="768"/>
      <c r="R997" s="768"/>
      <c r="S997" s="768"/>
      <c r="T997" s="768"/>
      <c r="U997" s="768"/>
      <c r="V997" s="768"/>
      <c r="W997" s="768"/>
      <c r="X997" s="768"/>
      <c r="Y997" s="768"/>
      <c r="Z997" s="768"/>
      <c r="AA997" s="768"/>
    </row>
    <row r="998" ht="30.0" customHeight="1">
      <c r="A998" s="768" t="str">
        <f t="array" ref="A998">XLOOKUP(C998,'High School Players'!D:D,'High School Players'!K:K,"NO",0,1)</f>
        <v>NO</v>
      </c>
      <c r="B998" s="768"/>
      <c r="C998" s="768"/>
      <c r="D998" s="768"/>
      <c r="E998" s="768"/>
      <c r="F998" s="768"/>
      <c r="G998" s="768"/>
      <c r="H998" s="768"/>
      <c r="I998" s="768"/>
      <c r="J998" s="768"/>
      <c r="K998" s="768"/>
      <c r="L998" s="768"/>
      <c r="M998" s="768"/>
      <c r="N998" s="768"/>
      <c r="O998" s="768"/>
      <c r="P998" s="768"/>
      <c r="Q998" s="768"/>
      <c r="R998" s="768"/>
      <c r="S998" s="768"/>
      <c r="T998" s="768"/>
      <c r="U998" s="768"/>
      <c r="V998" s="768"/>
      <c r="W998" s="768"/>
      <c r="X998" s="768"/>
      <c r="Y998" s="768"/>
      <c r="Z998" s="768"/>
      <c r="AA998" s="768"/>
    </row>
    <row r="999" ht="30.0" customHeight="1">
      <c r="A999" s="768" t="str">
        <f t="array" ref="A999">XLOOKUP(C999,'High School Players'!D:D,'High School Players'!K:K,"NO",0,1)</f>
        <v>NO</v>
      </c>
      <c r="B999" s="768"/>
      <c r="C999" s="768"/>
      <c r="D999" s="768"/>
      <c r="E999" s="768"/>
      <c r="F999" s="768"/>
      <c r="G999" s="768"/>
      <c r="H999" s="768"/>
      <c r="I999" s="768"/>
      <c r="J999" s="768"/>
      <c r="K999" s="768"/>
      <c r="L999" s="768"/>
      <c r="M999" s="768"/>
      <c r="N999" s="768"/>
      <c r="O999" s="768"/>
      <c r="P999" s="768"/>
      <c r="Q999" s="768"/>
      <c r="R999" s="768"/>
      <c r="S999" s="768"/>
      <c r="T999" s="768"/>
      <c r="U999" s="768"/>
      <c r="V999" s="768"/>
      <c r="W999" s="768"/>
      <c r="X999" s="768"/>
      <c r="Y999" s="768"/>
      <c r="Z999" s="768"/>
      <c r="AA999" s="768"/>
    </row>
  </sheetData>
  <autoFilter ref="$A$1:$N$999"/>
  <conditionalFormatting sqref="A1:A999">
    <cfRule type="cellIs" dxfId="20" priority="1" operator="equal">
      <formula>"NO"</formula>
    </cfRule>
  </conditionalFormatting>
  <hyperlinks>
    <hyperlink r:id="rId1" ref="G24"/>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3" max="4" width="10.63"/>
    <col customWidth="1" min="5" max="5" width="57.25"/>
  </cols>
  <sheetData>
    <row r="1">
      <c r="A1" s="980" t="s">
        <v>9061</v>
      </c>
      <c r="B1" s="249"/>
      <c r="C1" s="249"/>
      <c r="D1" s="250"/>
      <c r="E1" s="981" t="s">
        <v>9062</v>
      </c>
    </row>
    <row r="2" ht="39.0" customHeight="1">
      <c r="A2" s="982">
        <v>1.0</v>
      </c>
      <c r="B2" s="983" t="s">
        <v>9063</v>
      </c>
      <c r="C2" s="983" t="s">
        <v>1470</v>
      </c>
      <c r="D2" s="983" t="s">
        <v>1395</v>
      </c>
      <c r="E2" s="984" t="s">
        <v>9064</v>
      </c>
      <c r="H2" s="300" t="s">
        <v>61</v>
      </c>
    </row>
    <row r="3" ht="39.0" customHeight="1">
      <c r="A3" s="982">
        <v>2.0</v>
      </c>
      <c r="B3" s="983" t="s">
        <v>5410</v>
      </c>
      <c r="C3" s="983" t="s">
        <v>1430</v>
      </c>
      <c r="D3" s="983" t="s">
        <v>7422</v>
      </c>
      <c r="E3" s="984" t="s">
        <v>9065</v>
      </c>
      <c r="H3" s="300" t="s">
        <v>61</v>
      </c>
    </row>
    <row r="4" ht="39.0" customHeight="1">
      <c r="A4" s="982">
        <v>3.0</v>
      </c>
      <c r="B4" s="983" t="s">
        <v>4751</v>
      </c>
      <c r="C4" s="983" t="s">
        <v>1395</v>
      </c>
      <c r="D4" s="983" t="s">
        <v>1430</v>
      </c>
      <c r="E4" s="984" t="s">
        <v>9066</v>
      </c>
      <c r="H4" s="300" t="s">
        <v>61</v>
      </c>
    </row>
    <row r="5" ht="39.0" customHeight="1">
      <c r="A5" s="982">
        <v>4.0</v>
      </c>
      <c r="B5" s="983" t="s">
        <v>9067</v>
      </c>
      <c r="C5" s="983" t="s">
        <v>1470</v>
      </c>
      <c r="D5" s="983" t="s">
        <v>1395</v>
      </c>
      <c r="E5" s="984" t="s">
        <v>9068</v>
      </c>
      <c r="H5" s="300" t="s">
        <v>61</v>
      </c>
    </row>
    <row r="6" ht="39.0" customHeight="1">
      <c r="A6" s="982">
        <v>5.0</v>
      </c>
      <c r="B6" s="983" t="s">
        <v>9069</v>
      </c>
      <c r="C6" s="983" t="s">
        <v>1430</v>
      </c>
      <c r="D6" s="983" t="s">
        <v>7422</v>
      </c>
      <c r="E6" s="984" t="s">
        <v>9070</v>
      </c>
      <c r="H6" s="300" t="s">
        <v>61</v>
      </c>
    </row>
    <row r="7" ht="39.0" customHeight="1">
      <c r="A7" s="982">
        <v>6.0</v>
      </c>
      <c r="B7" s="983" t="s">
        <v>9071</v>
      </c>
      <c r="C7" s="983" t="s">
        <v>1395</v>
      </c>
      <c r="D7" s="983" t="s">
        <v>7422</v>
      </c>
      <c r="E7" s="984" t="s">
        <v>9072</v>
      </c>
      <c r="H7" s="300" t="s">
        <v>61</v>
      </c>
    </row>
    <row r="8" ht="39.0" customHeight="1">
      <c r="A8" s="983">
        <v>7.0</v>
      </c>
      <c r="B8" s="983" t="s">
        <v>9073</v>
      </c>
      <c r="C8" s="983" t="s">
        <v>1470</v>
      </c>
      <c r="D8" s="983" t="s">
        <v>7422</v>
      </c>
      <c r="E8" s="984" t="s">
        <v>9074</v>
      </c>
      <c r="H8" s="300" t="s">
        <v>61</v>
      </c>
    </row>
    <row r="9" ht="39.0" customHeight="1">
      <c r="A9" s="983">
        <v>8.0</v>
      </c>
      <c r="B9" s="983" t="s">
        <v>9075</v>
      </c>
      <c r="C9" s="983" t="s">
        <v>7422</v>
      </c>
      <c r="D9" s="983" t="s">
        <v>7422</v>
      </c>
      <c r="E9" s="984"/>
      <c r="H9" s="300" t="s">
        <v>61</v>
      </c>
    </row>
    <row r="10" ht="39.0" customHeight="1">
      <c r="A10" s="983"/>
      <c r="B10" s="983" t="s">
        <v>9076</v>
      </c>
      <c r="C10" s="983"/>
      <c r="D10" s="983"/>
      <c r="E10" s="984" t="s">
        <v>9077</v>
      </c>
    </row>
    <row r="11">
      <c r="H11" s="300"/>
    </row>
    <row r="12">
      <c r="H12" s="300"/>
    </row>
    <row r="13">
      <c r="H13" s="300"/>
    </row>
    <row r="14">
      <c r="H14" s="300"/>
    </row>
    <row r="15">
      <c r="H15" s="300"/>
    </row>
    <row r="16">
      <c r="H16" s="300" t="s">
        <v>61</v>
      </c>
    </row>
    <row r="17">
      <c r="H17" s="300" t="s">
        <v>61</v>
      </c>
    </row>
    <row r="18">
      <c r="H18" s="300" t="s">
        <v>61</v>
      </c>
    </row>
    <row r="19">
      <c r="H19" s="300" t="s">
        <v>61</v>
      </c>
    </row>
    <row r="20">
      <c r="H20" s="300" t="s">
        <v>61</v>
      </c>
    </row>
    <row r="21">
      <c r="H21" s="300" t="s">
        <v>61</v>
      </c>
    </row>
    <row r="22">
      <c r="H22" s="300" t="s">
        <v>61</v>
      </c>
    </row>
    <row r="23">
      <c r="H23" s="300" t="s">
        <v>61</v>
      </c>
    </row>
    <row r="24">
      <c r="H24" s="300" t="s">
        <v>61</v>
      </c>
    </row>
    <row r="25">
      <c r="H25" s="300" t="s">
        <v>61</v>
      </c>
    </row>
    <row r="26">
      <c r="H26" s="300" t="s">
        <v>61</v>
      </c>
    </row>
    <row r="27">
      <c r="H27" s="300" t="s">
        <v>61</v>
      </c>
    </row>
    <row r="28">
      <c r="H28" s="300" t="s">
        <v>61</v>
      </c>
    </row>
    <row r="29">
      <c r="H29" s="300"/>
    </row>
    <row r="30">
      <c r="H30" s="300" t="s">
        <v>61</v>
      </c>
    </row>
    <row r="31">
      <c r="H31" s="300" t="s">
        <v>61</v>
      </c>
    </row>
    <row r="32">
      <c r="H32" s="300"/>
    </row>
    <row r="33">
      <c r="H33" s="300" t="s">
        <v>61</v>
      </c>
    </row>
    <row r="34">
      <c r="H34" s="300" t="s">
        <v>61</v>
      </c>
    </row>
    <row r="35">
      <c r="H35" s="300" t="s">
        <v>61</v>
      </c>
    </row>
    <row r="36">
      <c r="H36" s="300"/>
    </row>
    <row r="37">
      <c r="H37" s="300" t="s">
        <v>61</v>
      </c>
    </row>
    <row r="38">
      <c r="H38" s="300" t="s">
        <v>61</v>
      </c>
    </row>
    <row r="39">
      <c r="H39" s="300" t="s">
        <v>61</v>
      </c>
    </row>
    <row r="40">
      <c r="H40" s="300" t="s">
        <v>61</v>
      </c>
    </row>
    <row r="41">
      <c r="H41" s="300" t="s">
        <v>61</v>
      </c>
    </row>
    <row r="42">
      <c r="H42" s="300"/>
    </row>
    <row r="43">
      <c r="H43" s="300" t="s">
        <v>61</v>
      </c>
    </row>
    <row r="44">
      <c r="H44" s="300"/>
    </row>
    <row r="45">
      <c r="H45" s="985"/>
    </row>
    <row r="46">
      <c r="H46" s="985"/>
    </row>
    <row r="47">
      <c r="H47" s="300" t="s">
        <v>9078</v>
      </c>
      <c r="I47" s="300" t="s">
        <v>9079</v>
      </c>
      <c r="J47" s="300" t="s">
        <v>9078</v>
      </c>
      <c r="K47" s="300" t="s">
        <v>9074</v>
      </c>
      <c r="L47" s="300" t="s">
        <v>9080</v>
      </c>
    </row>
    <row r="48">
      <c r="H48" s="300" t="s">
        <v>9081</v>
      </c>
      <c r="I48" s="300" t="s">
        <v>9082</v>
      </c>
      <c r="J48" s="300" t="s">
        <v>9081</v>
      </c>
      <c r="L48" s="300" t="s">
        <v>9083</v>
      </c>
    </row>
    <row r="49">
      <c r="H49" s="300" t="s">
        <v>9084</v>
      </c>
      <c r="I49" s="300" t="s">
        <v>9085</v>
      </c>
      <c r="J49" s="300" t="s">
        <v>9086</v>
      </c>
      <c r="L49" s="300" t="s">
        <v>8923</v>
      </c>
    </row>
    <row r="50">
      <c r="H50" s="300" t="s">
        <v>9086</v>
      </c>
      <c r="I50" s="300" t="s">
        <v>9074</v>
      </c>
      <c r="L50" s="300" t="s">
        <v>5405</v>
      </c>
    </row>
    <row r="51">
      <c r="H51" s="300" t="s">
        <v>8098</v>
      </c>
      <c r="L51" s="300" t="s">
        <v>9087</v>
      </c>
    </row>
    <row r="52">
      <c r="H52" s="300" t="s">
        <v>9088</v>
      </c>
      <c r="L52" s="300" t="s">
        <v>8987</v>
      </c>
    </row>
    <row r="53">
      <c r="H53" s="300" t="s">
        <v>9089</v>
      </c>
    </row>
    <row r="54">
      <c r="H54" s="300" t="s">
        <v>9090</v>
      </c>
    </row>
    <row r="55">
      <c r="H55" s="300" t="s">
        <v>9091</v>
      </c>
    </row>
    <row r="56">
      <c r="H56" s="985"/>
    </row>
    <row r="57">
      <c r="H57" s="985"/>
    </row>
    <row r="58">
      <c r="H58" s="985"/>
    </row>
    <row r="59">
      <c r="H59" s="985"/>
    </row>
    <row r="60">
      <c r="H60" s="985"/>
    </row>
    <row r="61">
      <c r="H61" s="985"/>
    </row>
    <row r="62">
      <c r="H62" s="985"/>
    </row>
    <row r="63">
      <c r="H63" s="985"/>
    </row>
    <row r="64">
      <c r="H64" s="985"/>
    </row>
    <row r="65">
      <c r="H65" s="985"/>
    </row>
    <row r="66">
      <c r="H66" s="985"/>
    </row>
    <row r="67">
      <c r="H67" s="985"/>
    </row>
    <row r="68">
      <c r="H68" s="985"/>
    </row>
    <row r="69">
      <c r="H69" s="985"/>
    </row>
    <row r="70">
      <c r="H70" s="985"/>
    </row>
    <row r="71">
      <c r="H71" s="985"/>
    </row>
    <row r="72">
      <c r="H72" s="985"/>
    </row>
    <row r="73">
      <c r="H73" s="985"/>
    </row>
    <row r="74">
      <c r="H74" s="985"/>
    </row>
    <row r="75">
      <c r="H75" s="985"/>
    </row>
    <row r="76">
      <c r="H76" s="985"/>
    </row>
    <row r="77">
      <c r="H77" s="985"/>
    </row>
    <row r="78">
      <c r="H78" s="985"/>
    </row>
    <row r="79">
      <c r="H79" s="985"/>
    </row>
    <row r="116">
      <c r="H116" s="300"/>
    </row>
    <row r="124">
      <c r="H124" s="300"/>
    </row>
    <row r="125">
      <c r="H125" s="300"/>
    </row>
    <row r="126">
      <c r="H126" s="300"/>
    </row>
    <row r="127">
      <c r="H127" s="300"/>
    </row>
    <row r="128">
      <c r="H128" s="300"/>
    </row>
    <row r="129">
      <c r="H129" s="300"/>
    </row>
    <row r="130">
      <c r="H130" s="300"/>
    </row>
    <row r="131">
      <c r="H131" s="300"/>
    </row>
    <row r="132">
      <c r="H132" s="300"/>
    </row>
    <row r="133">
      <c r="H133" s="300"/>
    </row>
    <row r="134">
      <c r="H134" s="300"/>
    </row>
    <row r="143">
      <c r="H143" s="300"/>
    </row>
    <row r="144">
      <c r="H144" s="300"/>
    </row>
    <row r="282">
      <c r="H282" s="300"/>
    </row>
  </sheetData>
  <mergeCells count="1">
    <mergeCell ref="A1:D1"/>
  </mergeCells>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8.88"/>
    <col customWidth="1" hidden="1" min="4" max="5" width="18.88"/>
    <col customWidth="1" min="6" max="6" width="11.63"/>
    <col customWidth="1" min="8" max="8" width="5.63"/>
    <col customWidth="1" hidden="1" min="11" max="17" width="18.0"/>
    <col hidden="1" min="18" max="19" width="12.63"/>
  </cols>
  <sheetData>
    <row r="1">
      <c r="A1" s="986" t="s">
        <v>9092</v>
      </c>
      <c r="I1" s="987"/>
      <c r="J1" s="987"/>
      <c r="K1" s="988"/>
      <c r="L1" s="988"/>
      <c r="M1" s="988"/>
      <c r="N1" s="988"/>
      <c r="O1" s="988"/>
      <c r="P1" s="988"/>
      <c r="Q1" s="988"/>
      <c r="R1" s="989"/>
      <c r="S1" s="989"/>
      <c r="T1" s="989"/>
      <c r="U1" s="989"/>
      <c r="V1" s="989"/>
      <c r="W1" s="989"/>
      <c r="X1" s="989"/>
      <c r="Y1" s="989"/>
      <c r="Z1" s="989"/>
      <c r="AA1" s="989"/>
      <c r="AB1" s="989"/>
      <c r="AC1" s="989"/>
      <c r="AD1" s="989"/>
      <c r="AE1" s="989"/>
    </row>
    <row r="2">
      <c r="A2" s="990" t="s">
        <v>9093</v>
      </c>
      <c r="B2" s="990" t="s">
        <v>9094</v>
      </c>
      <c r="C2" s="990" t="s">
        <v>7</v>
      </c>
      <c r="D2" s="990"/>
      <c r="E2" s="990"/>
      <c r="F2" s="990" t="s">
        <v>9095</v>
      </c>
      <c r="G2" s="990" t="s">
        <v>13</v>
      </c>
      <c r="H2" s="990" t="s">
        <v>9096</v>
      </c>
      <c r="I2" s="987"/>
      <c r="J2" s="987"/>
      <c r="K2" s="991">
        <v>2026.0</v>
      </c>
      <c r="R2" s="989"/>
      <c r="S2" s="989"/>
      <c r="T2" s="989"/>
      <c r="U2" s="989"/>
      <c r="V2" s="989"/>
      <c r="W2" s="989"/>
      <c r="X2" s="989"/>
      <c r="Y2" s="989"/>
      <c r="Z2" s="989"/>
      <c r="AA2" s="989"/>
      <c r="AB2" s="989"/>
      <c r="AC2" s="989"/>
      <c r="AD2" s="989"/>
      <c r="AE2" s="989"/>
    </row>
    <row r="3">
      <c r="A3" s="987">
        <v>2026.0</v>
      </c>
      <c r="B3" s="987" t="s">
        <v>63</v>
      </c>
      <c r="C3" s="987" t="s">
        <v>8215</v>
      </c>
      <c r="D3" s="987" t="str">
        <f>IFERROR(__xludf.DUMMYFUNCTION("SPLIT(C3,"" "")"),"Aydn")</f>
        <v>Aydn</v>
      </c>
      <c r="E3" s="987" t="str">
        <f>IFERROR(__xludf.DUMMYFUNCTION("""COMPUTED_VALUE"""),"Lucero")</f>
        <v>Lucero</v>
      </c>
      <c r="F3" s="987" t="str">
        <f t="array" ref="F3">XLOOKUP(C3,$N$96:$N$179,$O$96:$O$179,"",0,1)</f>
        <v/>
      </c>
      <c r="G3" s="987" t="s">
        <v>8193</v>
      </c>
      <c r="H3" s="992">
        <f t="shared" ref="H3:H80" si="1">XLOOKUP(G3,R:R,S:S,"",0,1)</f>
        <v>4</v>
      </c>
      <c r="I3" s="987"/>
      <c r="J3" s="987"/>
      <c r="K3" s="993" t="s">
        <v>63</v>
      </c>
      <c r="L3" s="993" t="s">
        <v>122</v>
      </c>
      <c r="M3" s="994" t="s">
        <v>807</v>
      </c>
      <c r="N3" s="993" t="s">
        <v>109</v>
      </c>
      <c r="O3" s="995" t="s">
        <v>51</v>
      </c>
      <c r="P3" s="993" t="s">
        <v>72</v>
      </c>
      <c r="Q3" s="993" t="s">
        <v>103</v>
      </c>
      <c r="R3" s="987" t="s">
        <v>8193</v>
      </c>
      <c r="S3" s="987">
        <v>4.0</v>
      </c>
      <c r="T3" s="989"/>
      <c r="U3" s="989"/>
      <c r="V3" s="989"/>
      <c r="W3" s="989"/>
      <c r="X3" s="989"/>
      <c r="Y3" s="989"/>
      <c r="Z3" s="989"/>
      <c r="AA3" s="989"/>
      <c r="AB3" s="989"/>
      <c r="AC3" s="989"/>
      <c r="AD3" s="989"/>
      <c r="AE3" s="989"/>
    </row>
    <row r="4">
      <c r="A4" s="987">
        <v>2026.0</v>
      </c>
      <c r="B4" s="987" t="s">
        <v>51</v>
      </c>
      <c r="C4" s="987" t="s">
        <v>8212</v>
      </c>
      <c r="D4" s="987" t="str">
        <f>IFERROR(__xludf.DUMMYFUNCTION("SPLIT(C4,"" "")"),"Henry")</f>
        <v>Henry</v>
      </c>
      <c r="E4" s="987" t="str">
        <f>IFERROR(__xludf.DUMMYFUNCTION("""COMPUTED_VALUE"""),"Mitchell")</f>
        <v>Mitchell</v>
      </c>
      <c r="F4" s="987" t="s">
        <v>2324</v>
      </c>
      <c r="G4" s="987" t="s">
        <v>8193</v>
      </c>
      <c r="H4" s="992">
        <f t="shared" si="1"/>
        <v>4</v>
      </c>
      <c r="I4" s="987"/>
      <c r="J4" s="987"/>
      <c r="K4" s="996" t="s">
        <v>8209</v>
      </c>
      <c r="L4" s="997" t="s">
        <v>8210</v>
      </c>
      <c r="M4" s="998"/>
      <c r="N4" s="996" t="s">
        <v>8211</v>
      </c>
      <c r="O4" s="996" t="s">
        <v>8212</v>
      </c>
      <c r="P4" s="996" t="s">
        <v>8213</v>
      </c>
      <c r="Q4" s="997" t="s">
        <v>8214</v>
      </c>
      <c r="R4" s="987" t="s">
        <v>8194</v>
      </c>
      <c r="S4" s="987">
        <v>3.0</v>
      </c>
      <c r="T4" s="989"/>
      <c r="U4" s="989"/>
      <c r="V4" s="989"/>
      <c r="W4" s="989"/>
      <c r="X4" s="989"/>
      <c r="Y4" s="989"/>
      <c r="Z4" s="989"/>
      <c r="AA4" s="989"/>
      <c r="AB4" s="989"/>
      <c r="AC4" s="989"/>
      <c r="AD4" s="989"/>
      <c r="AE4" s="989"/>
    </row>
    <row r="5">
      <c r="A5" s="987">
        <v>2026.0</v>
      </c>
      <c r="B5" s="987" t="s">
        <v>63</v>
      </c>
      <c r="C5" s="987" t="s">
        <v>8209</v>
      </c>
      <c r="D5" s="987" t="str">
        <f>IFERROR(__xludf.DUMMYFUNCTION("SPLIT(C5,"" "")"),"Jackson")</f>
        <v>Jackson</v>
      </c>
      <c r="E5" s="987" t="str">
        <f>IFERROR(__xludf.DUMMYFUNCTION("""COMPUTED_VALUE"""),"Beattie")</f>
        <v>Beattie</v>
      </c>
      <c r="F5" s="987" t="str">
        <f t="array" ref="F5">XLOOKUP(C5,$N$96:$N$179,$O$96:$O$179,"",0,1)</f>
        <v/>
      </c>
      <c r="G5" s="987" t="s">
        <v>8193</v>
      </c>
      <c r="H5" s="992">
        <f t="shared" si="1"/>
        <v>4</v>
      </c>
      <c r="I5" s="987"/>
      <c r="J5" s="987"/>
      <c r="K5" s="996" t="s">
        <v>8215</v>
      </c>
      <c r="L5" s="999" t="s">
        <v>8216</v>
      </c>
      <c r="M5" s="1000"/>
      <c r="N5" s="997" t="s">
        <v>8217</v>
      </c>
      <c r="O5" s="1001" t="s">
        <v>8218</v>
      </c>
      <c r="P5" s="997" t="s">
        <v>8219</v>
      </c>
      <c r="Q5" s="997" t="s">
        <v>8220</v>
      </c>
      <c r="R5" s="987" t="s">
        <v>8196</v>
      </c>
      <c r="S5" s="987">
        <v>2.0</v>
      </c>
      <c r="T5" s="989"/>
      <c r="U5" s="989"/>
      <c r="V5" s="989"/>
      <c r="W5" s="989"/>
      <c r="X5" s="989"/>
      <c r="Y5" s="989"/>
      <c r="Z5" s="989"/>
      <c r="AA5" s="989"/>
      <c r="AB5" s="989"/>
      <c r="AC5" s="989"/>
      <c r="AD5" s="989"/>
      <c r="AE5" s="989"/>
    </row>
    <row r="6">
      <c r="A6" s="987">
        <v>2026.0</v>
      </c>
      <c r="B6" s="987" t="s">
        <v>109</v>
      </c>
      <c r="C6" s="987" t="s">
        <v>8211</v>
      </c>
      <c r="D6" s="987" t="str">
        <f>IFERROR(__xludf.DUMMYFUNCTION("SPLIT(C6,"" "")"),"Mac")</f>
        <v>Mac</v>
      </c>
      <c r="E6" s="987" t="str">
        <f>IFERROR(__xludf.DUMMYFUNCTION("""COMPUTED_VALUE"""),"McCommons")</f>
        <v>McCommons</v>
      </c>
      <c r="F6" s="987" t="s">
        <v>1550</v>
      </c>
      <c r="G6" s="987" t="s">
        <v>8193</v>
      </c>
      <c r="H6" s="992">
        <f t="shared" si="1"/>
        <v>4</v>
      </c>
      <c r="I6" s="987"/>
      <c r="J6" s="987"/>
      <c r="K6" s="996" t="s">
        <v>8221</v>
      </c>
      <c r="L6" s="999" t="s">
        <v>8222</v>
      </c>
      <c r="M6" s="1000"/>
      <c r="N6" s="997" t="s">
        <v>8223</v>
      </c>
      <c r="O6" s="1002" t="s">
        <v>8224</v>
      </c>
      <c r="P6" s="1003" t="s">
        <v>69</v>
      </c>
      <c r="Q6" s="999" t="s">
        <v>8225</v>
      </c>
      <c r="R6" s="987" t="s">
        <v>8198</v>
      </c>
      <c r="S6" s="987">
        <v>1.0</v>
      </c>
      <c r="T6" s="989"/>
      <c r="U6" s="989"/>
      <c r="V6" s="989"/>
      <c r="W6" s="989"/>
      <c r="X6" s="989"/>
      <c r="Y6" s="989"/>
      <c r="Z6" s="989"/>
      <c r="AA6" s="989"/>
      <c r="AB6" s="989"/>
      <c r="AC6" s="989"/>
      <c r="AD6" s="989"/>
      <c r="AE6" s="989"/>
    </row>
    <row r="7">
      <c r="A7" s="987">
        <v>2026.0</v>
      </c>
      <c r="B7" s="987" t="s">
        <v>63</v>
      </c>
      <c r="C7" s="987" t="s">
        <v>8226</v>
      </c>
      <c r="D7" s="987" t="str">
        <f>IFERROR(__xludf.DUMMYFUNCTION("SPLIT(C7,"" "")"),"Tyler")</f>
        <v>Tyler</v>
      </c>
      <c r="E7" s="987" t="str">
        <f>IFERROR(__xludf.DUMMYFUNCTION("""COMPUTED_VALUE"""),"Grenn")</f>
        <v>Grenn</v>
      </c>
      <c r="F7" s="987" t="str">
        <f t="array" ref="F7">XLOOKUP(C7,$N$96:$N$179,$O$96:$O$179,"",0,1)</f>
        <v/>
      </c>
      <c r="G7" s="987" t="s">
        <v>8193</v>
      </c>
      <c r="H7" s="992">
        <f t="shared" si="1"/>
        <v>4</v>
      </c>
      <c r="I7" s="987"/>
      <c r="J7" s="987"/>
      <c r="K7" s="996" t="s">
        <v>8226</v>
      </c>
      <c r="L7" s="999" t="s">
        <v>8227</v>
      </c>
      <c r="M7" s="1000"/>
      <c r="N7" s="999" t="s">
        <v>8228</v>
      </c>
      <c r="O7" s="1003" t="s">
        <v>102</v>
      </c>
      <c r="P7" s="1004" t="s">
        <v>8230</v>
      </c>
      <c r="Q7" s="999" t="s">
        <v>8231</v>
      </c>
      <c r="R7" s="989"/>
      <c r="S7" s="989"/>
      <c r="T7" s="989"/>
      <c r="U7" s="989"/>
      <c r="V7" s="989"/>
      <c r="W7" s="989"/>
      <c r="X7" s="989"/>
      <c r="Y7" s="989"/>
      <c r="Z7" s="989"/>
      <c r="AA7" s="989"/>
      <c r="AB7" s="989"/>
      <c r="AC7" s="989"/>
      <c r="AD7" s="989"/>
      <c r="AE7" s="989"/>
    </row>
    <row r="8">
      <c r="A8" s="987">
        <v>2026.0</v>
      </c>
      <c r="B8" s="987" t="s">
        <v>72</v>
      </c>
      <c r="C8" s="987" t="s">
        <v>8213</v>
      </c>
      <c r="D8" s="987" t="str">
        <f>IFERROR(__xludf.DUMMYFUNCTION("SPLIT(C8,"" "")"),"Victor")</f>
        <v>Victor</v>
      </c>
      <c r="E8" s="987" t="str">
        <f>IFERROR(__xludf.DUMMYFUNCTION("""COMPUTED_VALUE"""),"Izquierdo")</f>
        <v>Izquierdo</v>
      </c>
      <c r="F8" s="987" t="s">
        <v>1550</v>
      </c>
      <c r="G8" s="987" t="s">
        <v>8193</v>
      </c>
      <c r="H8" s="992">
        <f t="shared" si="1"/>
        <v>4</v>
      </c>
      <c r="I8" s="987"/>
      <c r="J8" s="987"/>
      <c r="K8" s="997" t="s">
        <v>8232</v>
      </c>
      <c r="L8" s="999" t="s">
        <v>621</v>
      </c>
      <c r="M8" s="1005"/>
      <c r="N8" s="1003" t="s">
        <v>8233</v>
      </c>
      <c r="O8" s="1006"/>
      <c r="P8" s="1007"/>
      <c r="Q8" s="1002" t="s">
        <v>8234</v>
      </c>
      <c r="R8" s="989"/>
      <c r="S8" s="989"/>
      <c r="T8" s="989"/>
      <c r="U8" s="989"/>
      <c r="V8" s="989"/>
      <c r="W8" s="989"/>
      <c r="X8" s="989"/>
      <c r="Y8" s="989"/>
      <c r="Z8" s="989"/>
      <c r="AA8" s="989"/>
      <c r="AB8" s="989"/>
      <c r="AC8" s="989"/>
      <c r="AD8" s="989"/>
      <c r="AE8" s="989"/>
    </row>
    <row r="9">
      <c r="A9" s="987">
        <v>2026.0</v>
      </c>
      <c r="B9" s="987" t="s">
        <v>63</v>
      </c>
      <c r="C9" s="987" t="s">
        <v>8232</v>
      </c>
      <c r="D9" s="987" t="str">
        <f>IFERROR(__xludf.DUMMYFUNCTION("SPLIT(C9,"" "")"),"Aiden")</f>
        <v>Aiden</v>
      </c>
      <c r="E9" s="987" t="str">
        <f>IFERROR(__xludf.DUMMYFUNCTION("""COMPUTED_VALUE"""),"Healy")</f>
        <v>Healy</v>
      </c>
      <c r="F9" s="987" t="str">
        <f t="array" ref="F9">XLOOKUP(C9,$N$96:$N$179,$O$96:$O$179,"",0,1)</f>
        <v/>
      </c>
      <c r="G9" s="987" t="s">
        <v>8194</v>
      </c>
      <c r="H9" s="992">
        <f t="shared" si="1"/>
        <v>3</v>
      </c>
      <c r="I9" s="987"/>
      <c r="J9" s="987"/>
      <c r="K9" s="997" t="s">
        <v>8236</v>
      </c>
      <c r="L9" s="999" t="s">
        <v>8237</v>
      </c>
      <c r="M9" s="1005"/>
      <c r="N9" s="1008"/>
      <c r="O9" s="1006"/>
      <c r="P9" s="1009"/>
      <c r="Q9" s="1002" t="s">
        <v>8238</v>
      </c>
      <c r="R9" s="989"/>
      <c r="S9" s="989"/>
      <c r="T9" s="989"/>
      <c r="U9" s="989"/>
      <c r="V9" s="989"/>
      <c r="W9" s="989"/>
      <c r="X9" s="989"/>
      <c r="Y9" s="989"/>
      <c r="Z9" s="989"/>
      <c r="AA9" s="989"/>
      <c r="AB9" s="989"/>
      <c r="AC9" s="989"/>
      <c r="AD9" s="989"/>
      <c r="AE9" s="989"/>
    </row>
    <row r="10">
      <c r="A10" s="987">
        <v>2026.0</v>
      </c>
      <c r="B10" s="987" t="s">
        <v>103</v>
      </c>
      <c r="C10" s="987" t="s">
        <v>8220</v>
      </c>
      <c r="D10" s="987" t="str">
        <f>IFERROR(__xludf.DUMMYFUNCTION("SPLIT(C10,"" "")"),"Andrew")</f>
        <v>Andrew</v>
      </c>
      <c r="E10" s="987" t="str">
        <f>IFERROR(__xludf.DUMMYFUNCTION("""COMPUTED_VALUE"""),"Manning")</f>
        <v>Manning</v>
      </c>
      <c r="F10" s="987" t="s">
        <v>1989</v>
      </c>
      <c r="G10" s="987" t="s">
        <v>8194</v>
      </c>
      <c r="H10" s="992">
        <f t="shared" si="1"/>
        <v>3</v>
      </c>
      <c r="I10" s="987"/>
      <c r="J10" s="987"/>
      <c r="K10" s="997" t="s">
        <v>8240</v>
      </c>
      <c r="L10" s="1008"/>
      <c r="M10" s="1005"/>
      <c r="N10" s="1008"/>
      <c r="O10" s="1006"/>
      <c r="P10" s="1009"/>
      <c r="Q10" s="1003" t="s">
        <v>7288</v>
      </c>
      <c r="R10" s="989"/>
      <c r="S10" s="989"/>
      <c r="T10" s="989"/>
      <c r="U10" s="989"/>
      <c r="V10" s="989"/>
      <c r="W10" s="989"/>
      <c r="X10" s="989"/>
      <c r="Y10" s="989"/>
      <c r="Z10" s="989"/>
      <c r="AA10" s="989"/>
      <c r="AB10" s="989"/>
      <c r="AC10" s="989"/>
      <c r="AD10" s="989"/>
      <c r="AE10" s="989"/>
    </row>
    <row r="11">
      <c r="A11" s="987">
        <v>2026.0</v>
      </c>
      <c r="B11" s="987" t="s">
        <v>63</v>
      </c>
      <c r="C11" s="987" t="s">
        <v>8240</v>
      </c>
      <c r="D11" s="987" t="str">
        <f>IFERROR(__xludf.DUMMYFUNCTION("SPLIT(C11,"" "")"),"Brady")</f>
        <v>Brady</v>
      </c>
      <c r="E11" s="987" t="str">
        <f>IFERROR(__xludf.DUMMYFUNCTION("""COMPUTED_VALUE"""),"Bendik")</f>
        <v>Bendik</v>
      </c>
      <c r="F11" s="987" t="str">
        <f t="array" ref="F11">XLOOKUP(C11,$N$96:$N$179,$O$96:$O$179,"",0,1)</f>
        <v/>
      </c>
      <c r="G11" s="987" t="s">
        <v>8194</v>
      </c>
      <c r="H11" s="992">
        <f t="shared" si="1"/>
        <v>3</v>
      </c>
      <c r="I11" s="987"/>
      <c r="J11" s="987"/>
      <c r="K11" s="997" t="s">
        <v>8242</v>
      </c>
      <c r="L11" s="1008"/>
      <c r="M11" s="1005"/>
      <c r="N11" s="1008"/>
      <c r="O11" s="1006"/>
      <c r="P11" s="1009"/>
      <c r="Q11" s="1003" t="s">
        <v>135</v>
      </c>
      <c r="R11" s="989"/>
      <c r="S11" s="989"/>
      <c r="T11" s="989"/>
      <c r="U11" s="989"/>
      <c r="V11" s="989"/>
      <c r="W11" s="989"/>
      <c r="X11" s="989"/>
      <c r="Y11" s="989"/>
      <c r="Z11" s="989"/>
      <c r="AA11" s="989"/>
      <c r="AB11" s="989"/>
      <c r="AC11" s="989"/>
      <c r="AD11" s="989"/>
      <c r="AE11" s="989"/>
    </row>
    <row r="12">
      <c r="A12" s="987">
        <v>2026.0</v>
      </c>
      <c r="B12" s="987" t="s">
        <v>72</v>
      </c>
      <c r="C12" s="987" t="s">
        <v>8218</v>
      </c>
      <c r="D12" s="987" t="str">
        <f>IFERROR(__xludf.DUMMYFUNCTION("SPLIT(C12,"" "")"),"Evan")</f>
        <v>Evan</v>
      </c>
      <c r="E12" s="987" t="str">
        <f>IFERROR(__xludf.DUMMYFUNCTION("""COMPUTED_VALUE"""),"Brown")</f>
        <v>Brown</v>
      </c>
      <c r="F12" s="987" t="s">
        <v>1550</v>
      </c>
      <c r="G12" s="987" t="s">
        <v>8194</v>
      </c>
      <c r="H12" s="992">
        <f t="shared" si="1"/>
        <v>3</v>
      </c>
      <c r="I12" s="987"/>
      <c r="J12" s="987"/>
      <c r="K12" s="997" t="s">
        <v>8244</v>
      </c>
      <c r="L12" s="1008"/>
      <c r="M12" s="1005"/>
      <c r="N12" s="1008"/>
      <c r="O12" s="1006"/>
      <c r="P12" s="1009"/>
      <c r="Q12" s="1009"/>
      <c r="R12" s="989"/>
      <c r="S12" s="989"/>
      <c r="T12" s="989"/>
      <c r="U12" s="989"/>
      <c r="V12" s="989"/>
      <c r="W12" s="989"/>
      <c r="X12" s="989"/>
      <c r="Y12" s="989"/>
      <c r="Z12" s="989"/>
      <c r="AA12" s="989"/>
      <c r="AB12" s="989"/>
      <c r="AC12" s="989"/>
      <c r="AD12" s="989"/>
      <c r="AE12" s="989"/>
    </row>
    <row r="13">
      <c r="A13" s="987">
        <v>2026.0</v>
      </c>
      <c r="B13" s="987" t="s">
        <v>109</v>
      </c>
      <c r="C13" s="987" t="s">
        <v>8217</v>
      </c>
      <c r="D13" s="987" t="str">
        <f>IFERROR(__xludf.DUMMYFUNCTION("SPLIT(C13,"" "")"),"Jack")</f>
        <v>Jack</v>
      </c>
      <c r="E13" s="987" t="str">
        <f>IFERROR(__xludf.DUMMYFUNCTION("""COMPUTED_VALUE"""),"Killelea")</f>
        <v>Killelea</v>
      </c>
      <c r="F13" s="987" t="s">
        <v>1550</v>
      </c>
      <c r="G13" s="987" t="s">
        <v>8194</v>
      </c>
      <c r="H13" s="992">
        <f t="shared" si="1"/>
        <v>3</v>
      </c>
      <c r="I13" s="987"/>
      <c r="J13" s="987"/>
      <c r="K13" s="997" t="s">
        <v>8245</v>
      </c>
      <c r="L13" s="1008"/>
      <c r="M13" s="1005"/>
      <c r="N13" s="1008"/>
      <c r="O13" s="1010"/>
      <c r="P13" s="1009"/>
      <c r="Q13" s="1009"/>
      <c r="R13" s="989"/>
      <c r="S13" s="989"/>
      <c r="T13" s="989"/>
      <c r="U13" s="989"/>
      <c r="V13" s="989"/>
      <c r="W13" s="989"/>
      <c r="X13" s="989"/>
      <c r="Y13" s="989"/>
      <c r="Z13" s="989"/>
      <c r="AA13" s="989"/>
      <c r="AB13" s="989"/>
      <c r="AC13" s="989"/>
      <c r="AD13" s="989"/>
      <c r="AE13" s="989"/>
    </row>
    <row r="14">
      <c r="A14" s="987">
        <v>2026.0</v>
      </c>
      <c r="B14" s="987" t="s">
        <v>72</v>
      </c>
      <c r="C14" s="987" t="s">
        <v>8219</v>
      </c>
      <c r="D14" s="987" t="str">
        <f>IFERROR(__xludf.DUMMYFUNCTION("SPLIT(C14,"" "")"),"Leo")</f>
        <v>Leo</v>
      </c>
      <c r="E14" s="987" t="str">
        <f>IFERROR(__xludf.DUMMYFUNCTION("""COMPUTED_VALUE"""),"Mangiamele")</f>
        <v>Mangiamele</v>
      </c>
      <c r="F14" s="987" t="s">
        <v>1550</v>
      </c>
      <c r="G14" s="987" t="s">
        <v>8194</v>
      </c>
      <c r="H14" s="992">
        <f t="shared" si="1"/>
        <v>3</v>
      </c>
      <c r="I14" s="987"/>
      <c r="J14" s="987"/>
      <c r="K14" s="1003" t="s">
        <v>8246</v>
      </c>
      <c r="L14" s="1008"/>
      <c r="M14" s="1005"/>
      <c r="N14" s="1008"/>
      <c r="O14" s="1010"/>
      <c r="P14" s="1009"/>
      <c r="Q14" s="1009"/>
      <c r="R14" s="989"/>
      <c r="S14" s="989"/>
      <c r="T14" s="989"/>
      <c r="U14" s="989"/>
      <c r="V14" s="989"/>
      <c r="W14" s="989"/>
      <c r="X14" s="989"/>
      <c r="Y14" s="989"/>
      <c r="Z14" s="989"/>
      <c r="AA14" s="989"/>
      <c r="AB14" s="989"/>
      <c r="AC14" s="989"/>
      <c r="AD14" s="989"/>
      <c r="AE14" s="989"/>
    </row>
    <row r="15">
      <c r="A15" s="987">
        <v>2026.0</v>
      </c>
      <c r="B15" s="987" t="s">
        <v>63</v>
      </c>
      <c r="C15" s="987" t="s">
        <v>8236</v>
      </c>
      <c r="D15" s="987" t="str">
        <f>IFERROR(__xludf.DUMMYFUNCTION("SPLIT(C15,"" "")"),"Matt")</f>
        <v>Matt</v>
      </c>
      <c r="E15" s="987" t="str">
        <f>IFERROR(__xludf.DUMMYFUNCTION("""COMPUTED_VALUE"""),"Archibald")</f>
        <v>Archibald</v>
      </c>
      <c r="F15" s="987" t="str">
        <f t="shared" ref="F15:F18" si="2">XLOOKUP(C15,$N$96:$N$179,$O$96:$O$179,"",0,1)</f>
        <v/>
      </c>
      <c r="G15" s="987" t="s">
        <v>8194</v>
      </c>
      <c r="H15" s="992">
        <f t="shared" si="1"/>
        <v>3</v>
      </c>
      <c r="I15" s="987"/>
      <c r="J15" s="987"/>
      <c r="K15" s="1003" t="s">
        <v>96</v>
      </c>
      <c r="L15" s="1008"/>
      <c r="M15" s="1005"/>
      <c r="N15" s="1008"/>
      <c r="O15" s="1010"/>
      <c r="P15" s="1009"/>
      <c r="Q15" s="1009"/>
      <c r="R15" s="989"/>
      <c r="S15" s="989"/>
      <c r="T15" s="989"/>
      <c r="U15" s="989"/>
      <c r="V15" s="989"/>
      <c r="W15" s="989"/>
      <c r="X15" s="989"/>
      <c r="Y15" s="989"/>
      <c r="Z15" s="989"/>
      <c r="AA15" s="989"/>
      <c r="AB15" s="989"/>
      <c r="AC15" s="989"/>
      <c r="AD15" s="989"/>
      <c r="AE15" s="989"/>
    </row>
    <row r="16">
      <c r="A16" s="987">
        <v>2026.0</v>
      </c>
      <c r="B16" s="987" t="s">
        <v>63</v>
      </c>
      <c r="C16" s="987" t="s">
        <v>8242</v>
      </c>
      <c r="D16" s="987" t="str">
        <f>IFERROR(__xludf.DUMMYFUNCTION("SPLIT(C16,"" "")"),"Owen")</f>
        <v>Owen</v>
      </c>
      <c r="E16" s="987" t="str">
        <f>IFERROR(__xludf.DUMMYFUNCTION("""COMPUTED_VALUE"""),"Geiger")</f>
        <v>Geiger</v>
      </c>
      <c r="F16" s="987" t="str">
        <f t="shared" si="2"/>
        <v/>
      </c>
      <c r="G16" s="987" t="s">
        <v>8194</v>
      </c>
      <c r="H16" s="992">
        <f t="shared" si="1"/>
        <v>3</v>
      </c>
      <c r="I16" s="987"/>
      <c r="J16" s="987"/>
      <c r="K16" s="1003" t="s">
        <v>82</v>
      </c>
      <c r="L16" s="1011"/>
      <c r="M16" s="1012"/>
      <c r="N16" s="1013" t="s">
        <v>8195</v>
      </c>
      <c r="O16" s="1014"/>
      <c r="P16" s="1011"/>
      <c r="Q16" s="1011"/>
      <c r="R16" s="989"/>
      <c r="S16" s="989"/>
      <c r="T16" s="989"/>
      <c r="U16" s="989"/>
      <c r="V16" s="989"/>
      <c r="W16" s="989"/>
      <c r="X16" s="989"/>
      <c r="Y16" s="989"/>
      <c r="Z16" s="989"/>
      <c r="AA16" s="989"/>
      <c r="AB16" s="989"/>
      <c r="AC16" s="989"/>
      <c r="AD16" s="989"/>
      <c r="AE16" s="989"/>
    </row>
    <row r="17">
      <c r="A17" s="987">
        <v>2026.0</v>
      </c>
      <c r="B17" s="987" t="s">
        <v>63</v>
      </c>
      <c r="C17" s="987" t="s">
        <v>8244</v>
      </c>
      <c r="D17" s="987" t="str">
        <f>IFERROR(__xludf.DUMMYFUNCTION("SPLIT(C17,"" "")"),"Ryan")</f>
        <v>Ryan</v>
      </c>
      <c r="E17" s="987" t="str">
        <f>IFERROR(__xludf.DUMMYFUNCTION("""COMPUTED_VALUE"""),"Bibb")</f>
        <v>Bibb</v>
      </c>
      <c r="F17" s="987" t="str">
        <f t="shared" si="2"/>
        <v/>
      </c>
      <c r="G17" s="987" t="s">
        <v>8194</v>
      </c>
      <c r="H17" s="992">
        <f t="shared" si="1"/>
        <v>3</v>
      </c>
      <c r="I17" s="987"/>
      <c r="J17" s="987"/>
      <c r="K17" s="1003" t="s">
        <v>62</v>
      </c>
      <c r="L17" s="1011"/>
      <c r="M17" s="1012"/>
      <c r="N17" s="1015" t="s">
        <v>8197</v>
      </c>
      <c r="O17" s="1014"/>
      <c r="P17" s="1011"/>
      <c r="Q17" s="1011"/>
      <c r="R17" s="989"/>
      <c r="S17" s="989"/>
      <c r="T17" s="989"/>
      <c r="U17" s="989"/>
      <c r="V17" s="989"/>
      <c r="W17" s="989"/>
      <c r="X17" s="989"/>
      <c r="Y17" s="989"/>
      <c r="Z17" s="989"/>
      <c r="AA17" s="989"/>
      <c r="AB17" s="989"/>
      <c r="AC17" s="989"/>
      <c r="AD17" s="989"/>
      <c r="AE17" s="989"/>
    </row>
    <row r="18">
      <c r="A18" s="987">
        <v>2026.0</v>
      </c>
      <c r="B18" s="987" t="s">
        <v>122</v>
      </c>
      <c r="C18" s="987" t="s">
        <v>8210</v>
      </c>
      <c r="D18" s="987" t="str">
        <f>IFERROR(__xludf.DUMMYFUNCTION("SPLIT(C18,"" "")"),"Timmy")</f>
        <v>Timmy</v>
      </c>
      <c r="E18" s="987" t="str">
        <f>IFERROR(__xludf.DUMMYFUNCTION("""COMPUTED_VALUE"""),"Virtudes")</f>
        <v>Virtudes</v>
      </c>
      <c r="F18" s="987" t="str">
        <f t="shared" si="2"/>
        <v/>
      </c>
      <c r="G18" s="987" t="s">
        <v>8194</v>
      </c>
      <c r="H18" s="992">
        <f t="shared" si="1"/>
        <v>3</v>
      </c>
      <c r="I18" s="987"/>
      <c r="J18" s="987"/>
      <c r="K18" s="1003" t="s">
        <v>8247</v>
      </c>
      <c r="L18" s="1011"/>
      <c r="M18" s="1012"/>
      <c r="N18" s="1016" t="s">
        <v>8199</v>
      </c>
      <c r="O18" s="1014"/>
      <c r="P18" s="1011"/>
      <c r="Q18" s="1011"/>
      <c r="R18" s="989"/>
      <c r="S18" s="989"/>
      <c r="T18" s="989"/>
      <c r="U18" s="989"/>
      <c r="V18" s="989"/>
      <c r="W18" s="989"/>
      <c r="X18" s="989"/>
      <c r="Y18" s="989"/>
      <c r="Z18" s="989"/>
      <c r="AA18" s="989"/>
      <c r="AB18" s="989"/>
      <c r="AC18" s="989"/>
      <c r="AD18" s="989"/>
      <c r="AE18" s="989"/>
    </row>
    <row r="19">
      <c r="A19" s="987">
        <v>2026.0</v>
      </c>
      <c r="B19" s="987" t="s">
        <v>103</v>
      </c>
      <c r="C19" s="987" t="s">
        <v>8214</v>
      </c>
      <c r="D19" s="987" t="str">
        <f>IFERROR(__xludf.DUMMYFUNCTION("SPLIT(C19,"" "")"),"Tyler")</f>
        <v>Tyler</v>
      </c>
      <c r="E19" s="987" t="str">
        <f>IFERROR(__xludf.DUMMYFUNCTION("""COMPUTED_VALUE"""),"Bouchard")</f>
        <v>Bouchard</v>
      </c>
      <c r="F19" s="987" t="s">
        <v>1989</v>
      </c>
      <c r="G19" s="987" t="s">
        <v>8194</v>
      </c>
      <c r="H19" s="992">
        <f t="shared" si="1"/>
        <v>3</v>
      </c>
      <c r="I19" s="987"/>
      <c r="J19" s="987"/>
      <c r="K19" s="1011"/>
      <c r="L19" s="1011"/>
      <c r="M19" s="1012"/>
      <c r="N19" s="1017" t="s">
        <v>8200</v>
      </c>
      <c r="O19" s="1014"/>
      <c r="P19" s="1011"/>
      <c r="Q19" s="1011"/>
      <c r="R19" s="989"/>
      <c r="S19" s="989"/>
      <c r="T19" s="989"/>
      <c r="U19" s="989"/>
      <c r="V19" s="989"/>
      <c r="W19" s="989"/>
      <c r="X19" s="989"/>
      <c r="Y19" s="989"/>
      <c r="Z19" s="989"/>
      <c r="AA19" s="989"/>
      <c r="AB19" s="989"/>
      <c r="AC19" s="989"/>
      <c r="AD19" s="989"/>
      <c r="AE19" s="989"/>
    </row>
    <row r="20">
      <c r="A20" s="987">
        <v>2026.0</v>
      </c>
      <c r="B20" s="987" t="s">
        <v>103</v>
      </c>
      <c r="C20" s="987" t="s">
        <v>8225</v>
      </c>
      <c r="D20" s="987" t="str">
        <f>IFERROR(__xludf.DUMMYFUNCTION("SPLIT(C20,"" "")"),"Chris")</f>
        <v>Chris</v>
      </c>
      <c r="E20" s="987" t="str">
        <f>IFERROR(__xludf.DUMMYFUNCTION("""COMPUTED_VALUE"""),"Klug")</f>
        <v>Klug</v>
      </c>
      <c r="F20" s="987" t="s">
        <v>1550</v>
      </c>
      <c r="G20" s="987" t="s">
        <v>8196</v>
      </c>
      <c r="H20" s="992">
        <f t="shared" si="1"/>
        <v>2</v>
      </c>
      <c r="I20" s="987"/>
      <c r="J20" s="987"/>
      <c r="K20" s="1011"/>
      <c r="L20" s="1011"/>
      <c r="M20" s="1012"/>
      <c r="N20" s="1011"/>
      <c r="O20" s="1014"/>
      <c r="P20" s="1011"/>
      <c r="Q20" s="1011"/>
      <c r="R20" s="989"/>
      <c r="S20" s="989"/>
      <c r="T20" s="989"/>
      <c r="U20" s="989"/>
      <c r="V20" s="989"/>
      <c r="W20" s="989"/>
      <c r="X20" s="989"/>
      <c r="Y20" s="989"/>
      <c r="Z20" s="989"/>
      <c r="AA20" s="989"/>
      <c r="AB20" s="989"/>
      <c r="AC20" s="989"/>
      <c r="AD20" s="989"/>
      <c r="AE20" s="989"/>
    </row>
    <row r="21">
      <c r="A21" s="987">
        <v>2026.0</v>
      </c>
      <c r="B21" s="987" t="s">
        <v>122</v>
      </c>
      <c r="C21" s="987" t="s">
        <v>8222</v>
      </c>
      <c r="D21" s="987" t="str">
        <f>IFERROR(__xludf.DUMMYFUNCTION("SPLIT(C21,"" "")"),"Ian")</f>
        <v>Ian</v>
      </c>
      <c r="E21" s="987" t="str">
        <f>IFERROR(__xludf.DUMMYFUNCTION("""COMPUTED_VALUE"""),"Brown")</f>
        <v>Brown</v>
      </c>
      <c r="F21" s="987" t="str">
        <f t="shared" ref="F21:F23" si="3">XLOOKUP(C21,$N$96:$N$179,$O$96:$O$179,"",0,1)</f>
        <v/>
      </c>
      <c r="G21" s="987" t="s">
        <v>8196</v>
      </c>
      <c r="H21" s="992">
        <f t="shared" si="1"/>
        <v>2</v>
      </c>
      <c r="I21" s="987"/>
      <c r="J21" s="987"/>
      <c r="K21" s="989"/>
      <c r="L21" s="989"/>
      <c r="M21" s="989"/>
      <c r="N21" s="989"/>
      <c r="O21" s="989"/>
      <c r="P21" s="989"/>
      <c r="Q21" s="989"/>
      <c r="R21" s="989"/>
      <c r="S21" s="989"/>
      <c r="T21" s="989"/>
      <c r="U21" s="989"/>
      <c r="V21" s="989"/>
      <c r="W21" s="989"/>
      <c r="X21" s="989"/>
      <c r="Y21" s="989"/>
      <c r="Z21" s="989"/>
      <c r="AA21" s="989"/>
      <c r="AB21" s="989"/>
      <c r="AC21" s="989"/>
      <c r="AD21" s="989"/>
      <c r="AE21" s="989"/>
    </row>
    <row r="22">
      <c r="A22" s="987">
        <v>2026.0</v>
      </c>
      <c r="B22" s="987" t="s">
        <v>122</v>
      </c>
      <c r="C22" s="987" t="s">
        <v>621</v>
      </c>
      <c r="D22" s="987" t="str">
        <f>IFERROR(__xludf.DUMMYFUNCTION("SPLIT(C22,"" "")"),"John")</f>
        <v>John</v>
      </c>
      <c r="E22" s="987" t="str">
        <f>IFERROR(__xludf.DUMMYFUNCTION("""COMPUTED_VALUE"""),"Carroll")</f>
        <v>Carroll</v>
      </c>
      <c r="F22" s="987" t="str">
        <f t="shared" si="3"/>
        <v/>
      </c>
      <c r="G22" s="987" t="s">
        <v>8196</v>
      </c>
      <c r="H22" s="992">
        <f t="shared" si="1"/>
        <v>2</v>
      </c>
      <c r="I22" s="987"/>
      <c r="J22" s="987"/>
      <c r="K22" s="991">
        <v>2027.0</v>
      </c>
      <c r="R22" s="989"/>
      <c r="S22" s="989"/>
      <c r="T22" s="989"/>
      <c r="U22" s="989"/>
      <c r="V22" s="989"/>
      <c r="W22" s="989"/>
      <c r="X22" s="989"/>
      <c r="Y22" s="989"/>
      <c r="Z22" s="989"/>
      <c r="AA22" s="989"/>
      <c r="AB22" s="989"/>
      <c r="AC22" s="989"/>
      <c r="AD22" s="989"/>
      <c r="AE22" s="989"/>
    </row>
    <row r="23">
      <c r="A23" s="987">
        <v>2026.0</v>
      </c>
      <c r="B23" s="987" t="s">
        <v>122</v>
      </c>
      <c r="C23" s="987" t="s">
        <v>8227</v>
      </c>
      <c r="D23" s="987" t="str">
        <f>IFERROR(__xludf.DUMMYFUNCTION("SPLIT(C23,"" "")"),"Kevin")</f>
        <v>Kevin</v>
      </c>
      <c r="E23" s="987" t="str">
        <f>IFERROR(__xludf.DUMMYFUNCTION("""COMPUTED_VALUE"""),"Maurer")</f>
        <v>Maurer</v>
      </c>
      <c r="F23" s="987" t="str">
        <f t="shared" si="3"/>
        <v/>
      </c>
      <c r="G23" s="987" t="s">
        <v>8196</v>
      </c>
      <c r="H23" s="992">
        <f t="shared" si="1"/>
        <v>2</v>
      </c>
      <c r="I23" s="987"/>
      <c r="J23" s="987"/>
      <c r="K23" s="993" t="s">
        <v>63</v>
      </c>
      <c r="L23" s="993" t="s">
        <v>122</v>
      </c>
      <c r="M23" s="994" t="s">
        <v>807</v>
      </c>
      <c r="N23" s="993" t="s">
        <v>109</v>
      </c>
      <c r="O23" s="995" t="s">
        <v>51</v>
      </c>
      <c r="P23" s="993" t="s">
        <v>72</v>
      </c>
      <c r="Q23" s="993" t="s">
        <v>103</v>
      </c>
      <c r="R23" s="989"/>
      <c r="S23" s="989"/>
      <c r="T23" s="989"/>
      <c r="U23" s="989"/>
      <c r="V23" s="989"/>
      <c r="W23" s="989"/>
      <c r="X23" s="989"/>
      <c r="Y23" s="989"/>
      <c r="Z23" s="989"/>
      <c r="AA23" s="989"/>
      <c r="AB23" s="989"/>
      <c r="AC23" s="989"/>
      <c r="AD23" s="989"/>
      <c r="AE23" s="989"/>
    </row>
    <row r="24">
      <c r="A24" s="987">
        <v>2026.0</v>
      </c>
      <c r="B24" s="987" t="s">
        <v>103</v>
      </c>
      <c r="C24" s="987" t="s">
        <v>8231</v>
      </c>
      <c r="D24" s="987" t="str">
        <f>IFERROR(__xludf.DUMMYFUNCTION("SPLIT(C24,"" "")"),"Mason")</f>
        <v>Mason</v>
      </c>
      <c r="E24" s="987" t="str">
        <f>IFERROR(__xludf.DUMMYFUNCTION("""COMPUTED_VALUE"""),"Ceccarelli")</f>
        <v>Ceccarelli</v>
      </c>
      <c r="F24" s="987" t="s">
        <v>1989</v>
      </c>
      <c r="G24" s="987" t="s">
        <v>8196</v>
      </c>
      <c r="H24" s="992">
        <f t="shared" si="1"/>
        <v>2</v>
      </c>
      <c r="I24" s="987"/>
      <c r="J24" s="987"/>
      <c r="K24" s="993"/>
      <c r="L24" s="993"/>
      <c r="M24" s="994"/>
      <c r="N24" s="993"/>
      <c r="O24" s="995"/>
      <c r="P24" s="993"/>
      <c r="Q24" s="993"/>
      <c r="R24" s="989"/>
      <c r="S24" s="989"/>
      <c r="T24" s="989"/>
      <c r="U24" s="989"/>
      <c r="V24" s="989"/>
      <c r="W24" s="989"/>
      <c r="X24" s="989"/>
      <c r="Y24" s="989"/>
      <c r="Z24" s="989"/>
      <c r="AA24" s="989"/>
      <c r="AB24" s="989"/>
      <c r="AC24" s="989"/>
      <c r="AD24" s="989"/>
      <c r="AE24" s="989"/>
    </row>
    <row r="25">
      <c r="A25" s="987">
        <v>2026.0</v>
      </c>
      <c r="B25" s="987" t="s">
        <v>122</v>
      </c>
      <c r="C25" s="987" t="s">
        <v>8216</v>
      </c>
      <c r="D25" s="987" t="str">
        <f>IFERROR(__xludf.DUMMYFUNCTION("SPLIT(C25,"" "")"),"Mike")</f>
        <v>Mike</v>
      </c>
      <c r="E25" s="987" t="str">
        <f>IFERROR(__xludf.DUMMYFUNCTION("""COMPUTED_VALUE"""),"Plummer")</f>
        <v>Plummer</v>
      </c>
      <c r="F25" s="987" t="str">
        <f t="array" ref="F25">XLOOKUP(C25,$N$96:$N$179,$O$96:$O$179,"",0,1)</f>
        <v/>
      </c>
      <c r="G25" s="987" t="s">
        <v>8196</v>
      </c>
      <c r="H25" s="992">
        <f t="shared" si="1"/>
        <v>2</v>
      </c>
      <c r="I25" s="987"/>
      <c r="J25" s="987"/>
      <c r="K25" s="996" t="s">
        <v>8232</v>
      </c>
      <c r="L25" s="996" t="s">
        <v>8210</v>
      </c>
      <c r="M25" s="1007"/>
      <c r="N25" s="1018" t="s">
        <v>8217</v>
      </c>
      <c r="O25" s="997" t="s">
        <v>8224</v>
      </c>
      <c r="P25" s="996" t="s">
        <v>8218</v>
      </c>
      <c r="Q25" s="996" t="s">
        <v>8214</v>
      </c>
      <c r="R25" s="989"/>
      <c r="S25" s="989"/>
      <c r="T25" s="989"/>
      <c r="U25" s="989"/>
      <c r="V25" s="989"/>
      <c r="W25" s="989"/>
      <c r="X25" s="989"/>
      <c r="Y25" s="989"/>
      <c r="Z25" s="989"/>
      <c r="AA25" s="989"/>
      <c r="AB25" s="989"/>
      <c r="AC25" s="989"/>
      <c r="AD25" s="989"/>
      <c r="AE25" s="989"/>
    </row>
    <row r="26">
      <c r="A26" s="987">
        <v>2026.0</v>
      </c>
      <c r="B26" s="987" t="s">
        <v>51</v>
      </c>
      <c r="C26" s="987" t="s">
        <v>8238</v>
      </c>
      <c r="D26" s="987" t="str">
        <f>IFERROR(__xludf.DUMMYFUNCTION("SPLIT(C26,"" "")"),"Noah")</f>
        <v>Noah</v>
      </c>
      <c r="E26" s="987" t="str">
        <f>IFERROR(__xludf.DUMMYFUNCTION("""COMPUTED_VALUE"""),"Ditas")</f>
        <v>Ditas</v>
      </c>
      <c r="F26" s="987" t="s">
        <v>1550</v>
      </c>
      <c r="G26" s="987" t="s">
        <v>8196</v>
      </c>
      <c r="H26" s="992">
        <f t="shared" si="1"/>
        <v>2</v>
      </c>
      <c r="I26" s="987"/>
      <c r="J26" s="987"/>
      <c r="K26" s="996" t="s">
        <v>8236</v>
      </c>
      <c r="L26" s="997" t="s">
        <v>8216</v>
      </c>
      <c r="M26" s="989"/>
      <c r="N26" s="1018" t="s">
        <v>8223</v>
      </c>
      <c r="O26" s="999"/>
      <c r="P26" s="996" t="s">
        <v>8219</v>
      </c>
      <c r="Q26" s="996" t="s">
        <v>8220</v>
      </c>
      <c r="R26" s="989"/>
      <c r="S26" s="989"/>
      <c r="T26" s="989"/>
      <c r="U26" s="989"/>
      <c r="V26" s="989"/>
      <c r="W26" s="989"/>
      <c r="X26" s="989"/>
      <c r="Y26" s="989"/>
      <c r="Z26" s="989"/>
      <c r="AA26" s="989"/>
      <c r="AB26" s="989"/>
      <c r="AC26" s="989"/>
      <c r="AD26" s="989"/>
      <c r="AE26" s="989"/>
    </row>
    <row r="27">
      <c r="A27" s="987">
        <v>2026.0</v>
      </c>
      <c r="B27" s="987" t="s">
        <v>103</v>
      </c>
      <c r="C27" s="987" t="s">
        <v>8234</v>
      </c>
      <c r="D27" s="987" t="str">
        <f>IFERROR(__xludf.DUMMYFUNCTION("SPLIT(C27,"" "")"),"Owen")</f>
        <v>Owen</v>
      </c>
      <c r="E27" s="987" t="str">
        <f>IFERROR(__xludf.DUMMYFUNCTION("""COMPUTED_VALUE"""),"Peterson")</f>
        <v>Peterson</v>
      </c>
      <c r="F27" s="987" t="s">
        <v>1989</v>
      </c>
      <c r="G27" s="987" t="s">
        <v>8196</v>
      </c>
      <c r="H27" s="992">
        <f t="shared" si="1"/>
        <v>2</v>
      </c>
      <c r="I27" s="987"/>
      <c r="J27" s="987"/>
      <c r="K27" s="996" t="s">
        <v>8240</v>
      </c>
      <c r="L27" s="997" t="s">
        <v>8222</v>
      </c>
      <c r="M27" s="1019"/>
      <c r="N27" s="1020" t="s">
        <v>8228</v>
      </c>
      <c r="O27" s="1003" t="s">
        <v>1390</v>
      </c>
      <c r="P27" s="999" t="s">
        <v>69</v>
      </c>
      <c r="Q27" s="997" t="s">
        <v>8225</v>
      </c>
      <c r="R27" s="989"/>
      <c r="S27" s="989"/>
      <c r="T27" s="989"/>
      <c r="U27" s="989"/>
      <c r="V27" s="989"/>
      <c r="W27" s="989"/>
      <c r="X27" s="989"/>
      <c r="Y27" s="989"/>
      <c r="Z27" s="989"/>
      <c r="AA27" s="989"/>
      <c r="AB27" s="989"/>
      <c r="AC27" s="989"/>
      <c r="AD27" s="989"/>
      <c r="AE27" s="989"/>
    </row>
    <row r="28">
      <c r="A28" s="987">
        <v>2026.0</v>
      </c>
      <c r="B28" s="987" t="s">
        <v>122</v>
      </c>
      <c r="C28" s="987" t="s">
        <v>8237</v>
      </c>
      <c r="D28" s="987" t="str">
        <f>IFERROR(__xludf.DUMMYFUNCTION("SPLIT(C28,"" "")"),"Spencer")</f>
        <v>Spencer</v>
      </c>
      <c r="E28" s="987" t="str">
        <f>IFERROR(__xludf.DUMMYFUNCTION("""COMPUTED_VALUE"""),"Stephens")</f>
        <v>Stephens</v>
      </c>
      <c r="F28" s="987" t="str">
        <f t="array" ref="F28">XLOOKUP(C28,$N$96:$N$179,$O$96:$O$179,"",0,1)</f>
        <v/>
      </c>
      <c r="G28" s="987" t="s">
        <v>8196</v>
      </c>
      <c r="H28" s="992">
        <f t="shared" si="1"/>
        <v>2</v>
      </c>
      <c r="I28" s="987"/>
      <c r="J28" s="987"/>
      <c r="K28" s="996" t="s">
        <v>8242</v>
      </c>
      <c r="L28" s="997" t="s">
        <v>8227</v>
      </c>
      <c r="M28" s="1019"/>
      <c r="N28" s="1021" t="s">
        <v>108</v>
      </c>
      <c r="O28" s="1003" t="s">
        <v>6885</v>
      </c>
      <c r="P28" s="999" t="s">
        <v>8230</v>
      </c>
      <c r="Q28" s="997" t="s">
        <v>8231</v>
      </c>
      <c r="R28" s="989"/>
      <c r="S28" s="989"/>
      <c r="T28" s="989"/>
      <c r="U28" s="989"/>
      <c r="V28" s="989"/>
      <c r="W28" s="989"/>
      <c r="X28" s="989"/>
      <c r="Y28" s="989"/>
      <c r="Z28" s="989"/>
      <c r="AA28" s="989"/>
      <c r="AB28" s="989"/>
      <c r="AC28" s="989"/>
      <c r="AD28" s="989"/>
      <c r="AE28" s="989"/>
    </row>
    <row r="29">
      <c r="A29" s="987">
        <v>2026.0</v>
      </c>
      <c r="B29" s="987" t="s">
        <v>109</v>
      </c>
      <c r="C29" s="987" t="s">
        <v>8228</v>
      </c>
      <c r="D29" s="987" t="str">
        <f>IFERROR(__xludf.DUMMYFUNCTION("SPLIT(C29,"" "")"),"Ty")</f>
        <v>Ty</v>
      </c>
      <c r="E29" s="987" t="str">
        <f>IFERROR(__xludf.DUMMYFUNCTION("""COMPUTED_VALUE"""),"Deperno")</f>
        <v>Deperno</v>
      </c>
      <c r="F29" s="987" t="s">
        <v>1550</v>
      </c>
      <c r="G29" s="987" t="s">
        <v>8196</v>
      </c>
      <c r="H29" s="992">
        <f t="shared" si="1"/>
        <v>2</v>
      </c>
      <c r="I29" s="987"/>
      <c r="J29" s="987"/>
      <c r="K29" s="996" t="s">
        <v>8244</v>
      </c>
      <c r="L29" s="997" t="s">
        <v>621</v>
      </c>
      <c r="M29" s="1008"/>
      <c r="N29" s="1003" t="s">
        <v>1440</v>
      </c>
      <c r="O29" s="1003" t="s">
        <v>2266</v>
      </c>
      <c r="P29" s="1009"/>
      <c r="Q29" s="997" t="s">
        <v>8234</v>
      </c>
      <c r="R29" s="989"/>
      <c r="S29" s="989"/>
      <c r="T29" s="989"/>
      <c r="U29" s="989"/>
      <c r="V29" s="989"/>
      <c r="W29" s="989"/>
      <c r="X29" s="989"/>
      <c r="Y29" s="989"/>
      <c r="Z29" s="989"/>
      <c r="AA29" s="989"/>
      <c r="AB29" s="989"/>
      <c r="AC29" s="989"/>
      <c r="AD29" s="989"/>
      <c r="AE29" s="989"/>
    </row>
    <row r="30">
      <c r="A30" s="987">
        <v>2026.0</v>
      </c>
      <c r="B30" s="987" t="s">
        <v>63</v>
      </c>
      <c r="C30" s="987" t="s">
        <v>8246</v>
      </c>
      <c r="D30" s="987" t="str">
        <f>IFERROR(__xludf.DUMMYFUNCTION("SPLIT(C30,"" "")"),"David")</f>
        <v>David</v>
      </c>
      <c r="E30" s="987" t="str">
        <f>IFERROR(__xludf.DUMMYFUNCTION("""COMPUTED_VALUE"""),"Posey")</f>
        <v>Posey</v>
      </c>
      <c r="F30" s="987" t="str">
        <f t="shared" ref="F30:F31" si="4">XLOOKUP(C30,$N$96:$N$179,$O$96:$O$179,"",0,1)</f>
        <v/>
      </c>
      <c r="G30" s="987" t="s">
        <v>8198</v>
      </c>
      <c r="H30" s="992">
        <f t="shared" si="1"/>
        <v>1</v>
      </c>
      <c r="I30" s="987"/>
      <c r="J30" s="987"/>
      <c r="K30" s="999" t="s">
        <v>8625</v>
      </c>
      <c r="L30" s="1003" t="s">
        <v>1454</v>
      </c>
      <c r="M30" s="1022"/>
      <c r="N30" s="1023"/>
      <c r="O30" s="1024"/>
      <c r="P30" s="1011"/>
      <c r="Q30" s="999" t="s">
        <v>135</v>
      </c>
      <c r="R30" s="989"/>
      <c r="S30" s="989"/>
      <c r="T30" s="989"/>
      <c r="U30" s="989"/>
      <c r="V30" s="989"/>
      <c r="W30" s="989"/>
      <c r="X30" s="989"/>
      <c r="Y30" s="989"/>
      <c r="Z30" s="989"/>
      <c r="AA30" s="989"/>
      <c r="AB30" s="989"/>
      <c r="AC30" s="989"/>
      <c r="AD30" s="989"/>
      <c r="AE30" s="989"/>
    </row>
    <row r="31">
      <c r="A31" s="987">
        <v>2026.0</v>
      </c>
      <c r="B31" s="987" t="s">
        <v>63</v>
      </c>
      <c r="C31" s="987" t="s">
        <v>8247</v>
      </c>
      <c r="D31" s="987" t="str">
        <f>IFERROR(__xludf.DUMMYFUNCTION("SPLIT(C31,"" "")"),"Jackson")</f>
        <v>Jackson</v>
      </c>
      <c r="E31" s="987" t="str">
        <f>IFERROR(__xludf.DUMMYFUNCTION("""COMPUTED_VALUE"""),"Clark")</f>
        <v>Clark</v>
      </c>
      <c r="F31" s="987" t="str">
        <f t="shared" si="4"/>
        <v/>
      </c>
      <c r="G31" s="987" t="s">
        <v>8198</v>
      </c>
      <c r="H31" s="992">
        <f t="shared" si="1"/>
        <v>1</v>
      </c>
      <c r="I31" s="987"/>
      <c r="J31" s="987"/>
      <c r="K31" s="999" t="s">
        <v>62</v>
      </c>
      <c r="L31" s="1003" t="s">
        <v>1446</v>
      </c>
      <c r="M31" s="1022"/>
      <c r="N31" s="1023"/>
      <c r="O31" s="1024"/>
      <c r="P31" s="1011"/>
      <c r="Q31" s="999" t="s">
        <v>102</v>
      </c>
      <c r="R31" s="989"/>
      <c r="S31" s="989"/>
      <c r="T31" s="989"/>
      <c r="U31" s="989"/>
      <c r="V31" s="989"/>
      <c r="W31" s="989"/>
      <c r="X31" s="989"/>
      <c r="Y31" s="989"/>
      <c r="Z31" s="989"/>
      <c r="AA31" s="989"/>
      <c r="AB31" s="989"/>
      <c r="AC31" s="989"/>
      <c r="AD31" s="989"/>
      <c r="AE31" s="989"/>
    </row>
    <row r="32">
      <c r="A32" s="987">
        <v>2026.0</v>
      </c>
      <c r="B32" s="987" t="s">
        <v>103</v>
      </c>
      <c r="C32" s="987" t="s">
        <v>135</v>
      </c>
      <c r="D32" s="987" t="str">
        <f>IFERROR(__xludf.DUMMYFUNCTION("SPLIT(C32,"" "")"),"Jake")</f>
        <v>Jake</v>
      </c>
      <c r="E32" s="987" t="str">
        <f>IFERROR(__xludf.DUMMYFUNCTION("""COMPUTED_VALUE"""),"Hooten")</f>
        <v>Hooten</v>
      </c>
      <c r="F32" s="987" t="s">
        <v>1550</v>
      </c>
      <c r="G32" s="987" t="s">
        <v>8198</v>
      </c>
      <c r="H32" s="992">
        <f t="shared" si="1"/>
        <v>1</v>
      </c>
      <c r="I32" s="987"/>
      <c r="J32" s="987"/>
      <c r="K32" s="999" t="s">
        <v>8247</v>
      </c>
      <c r="L32" s="989"/>
      <c r="M32" s="1022"/>
      <c r="N32" s="1023"/>
      <c r="O32" s="1011"/>
      <c r="P32" s="1011"/>
      <c r="Q32" s="1004" t="s">
        <v>1372</v>
      </c>
      <c r="R32" s="989"/>
      <c r="S32" s="989"/>
      <c r="T32" s="989"/>
      <c r="U32" s="989"/>
      <c r="V32" s="989"/>
      <c r="W32" s="989"/>
      <c r="X32" s="989"/>
      <c r="Y32" s="989"/>
      <c r="Z32" s="989"/>
      <c r="AA32" s="989"/>
      <c r="AB32" s="989"/>
      <c r="AC32" s="989"/>
      <c r="AD32" s="989"/>
      <c r="AE32" s="989"/>
    </row>
    <row r="33">
      <c r="A33" s="987">
        <v>2026.0</v>
      </c>
      <c r="B33" s="987" t="s">
        <v>103</v>
      </c>
      <c r="C33" s="987" t="s">
        <v>7288</v>
      </c>
      <c r="D33" s="987" t="str">
        <f>IFERROR(__xludf.DUMMYFUNCTION("SPLIT(C33,"" "")"),"John")</f>
        <v>John</v>
      </c>
      <c r="E33" s="987" t="str">
        <f>IFERROR(__xludf.DUMMYFUNCTION("""COMPUTED_VALUE"""),"Loudon")</f>
        <v>Loudon</v>
      </c>
      <c r="F33" s="987" t="s">
        <v>1550</v>
      </c>
      <c r="G33" s="987" t="s">
        <v>8198</v>
      </c>
      <c r="H33" s="992">
        <f t="shared" si="1"/>
        <v>1</v>
      </c>
      <c r="I33" s="987"/>
      <c r="J33" s="987"/>
      <c r="K33" s="1003" t="s">
        <v>1382</v>
      </c>
      <c r="L33" s="1022"/>
      <c r="M33" s="1022"/>
      <c r="N33" s="1023"/>
      <c r="O33" s="1011"/>
      <c r="P33" s="1011"/>
      <c r="Q33" s="1011"/>
      <c r="R33" s="989"/>
      <c r="S33" s="989"/>
      <c r="T33" s="989"/>
      <c r="U33" s="989"/>
      <c r="V33" s="989"/>
      <c r="W33" s="989"/>
      <c r="X33" s="989"/>
      <c r="Y33" s="989"/>
      <c r="Z33" s="989"/>
      <c r="AA33" s="989"/>
      <c r="AB33" s="989"/>
      <c r="AC33" s="989"/>
      <c r="AD33" s="989"/>
      <c r="AE33" s="989"/>
    </row>
    <row r="34">
      <c r="A34" s="987">
        <v>2026.0</v>
      </c>
      <c r="B34" s="987" t="s">
        <v>72</v>
      </c>
      <c r="C34" s="987" t="s">
        <v>8230</v>
      </c>
      <c r="D34" s="987" t="str">
        <f>IFERROR(__xludf.DUMMYFUNCTION("SPLIT(C34,"" "")"),"Julian")</f>
        <v>Julian</v>
      </c>
      <c r="E34" s="987" t="str">
        <f>IFERROR(__xludf.DUMMYFUNCTION("""COMPUTED_VALUE"""),"Friedman")</f>
        <v>Friedman</v>
      </c>
      <c r="F34" s="987" t="s">
        <v>1550</v>
      </c>
      <c r="G34" s="987" t="s">
        <v>8198</v>
      </c>
      <c r="H34" s="992">
        <f t="shared" si="1"/>
        <v>1</v>
      </c>
      <c r="I34" s="987"/>
      <c r="J34" s="987"/>
      <c r="K34" s="1024"/>
      <c r="L34" s="1022"/>
      <c r="M34" s="1022"/>
      <c r="N34" s="1023"/>
      <c r="O34" s="1011"/>
      <c r="P34" s="1011"/>
      <c r="Q34" s="1011"/>
      <c r="R34" s="989"/>
      <c r="S34" s="989"/>
      <c r="T34" s="989"/>
      <c r="U34" s="989"/>
      <c r="V34" s="989"/>
      <c r="W34" s="989"/>
      <c r="X34" s="989"/>
      <c r="Y34" s="989"/>
      <c r="Z34" s="989"/>
      <c r="AA34" s="989"/>
      <c r="AB34" s="989"/>
      <c r="AC34" s="989"/>
      <c r="AD34" s="989"/>
      <c r="AE34" s="989"/>
    </row>
    <row r="35">
      <c r="A35" s="987">
        <v>2026.0</v>
      </c>
      <c r="B35" s="987" t="s">
        <v>51</v>
      </c>
      <c r="C35" s="987" t="s">
        <v>8229</v>
      </c>
      <c r="D35" s="987" t="str">
        <f>IFERROR(__xludf.DUMMYFUNCTION("SPLIT(C35,"" "")"),"Noah")</f>
        <v>Noah</v>
      </c>
      <c r="E35" s="987" t="str">
        <f>IFERROR(__xludf.DUMMYFUNCTION("""COMPUTED_VALUE"""),"Stead")</f>
        <v>Stead</v>
      </c>
      <c r="F35" s="987" t="s">
        <v>1550</v>
      </c>
      <c r="G35" s="987" t="s">
        <v>8198</v>
      </c>
      <c r="H35" s="992">
        <f t="shared" si="1"/>
        <v>1</v>
      </c>
      <c r="I35" s="987"/>
      <c r="J35" s="987"/>
      <c r="K35" s="1024"/>
      <c r="L35" s="1011"/>
      <c r="M35" s="1011"/>
      <c r="N35" s="1012"/>
      <c r="O35" s="1011"/>
      <c r="P35" s="1011"/>
      <c r="Q35" s="1011"/>
      <c r="R35" s="989"/>
      <c r="S35" s="989"/>
      <c r="T35" s="989"/>
      <c r="U35" s="989"/>
      <c r="V35" s="989"/>
      <c r="W35" s="989"/>
      <c r="X35" s="989"/>
      <c r="Y35" s="989"/>
      <c r="Z35" s="989"/>
      <c r="AA35" s="989"/>
      <c r="AB35" s="989"/>
      <c r="AC35" s="989"/>
      <c r="AD35" s="989"/>
      <c r="AE35" s="989"/>
    </row>
    <row r="36">
      <c r="A36" s="987">
        <v>2026.0</v>
      </c>
      <c r="B36" s="987" t="s">
        <v>63</v>
      </c>
      <c r="C36" s="987" t="s">
        <v>62</v>
      </c>
      <c r="D36" s="987" t="str">
        <f>IFERROR(__xludf.DUMMYFUNCTION("SPLIT(C36,"" "")"),"Owen")</f>
        <v>Owen</v>
      </c>
      <c r="E36" s="987" t="str">
        <f>IFERROR(__xludf.DUMMYFUNCTION("""COMPUTED_VALUE"""),"Phypers")</f>
        <v>Phypers</v>
      </c>
      <c r="F36" s="987" t="str">
        <f t="array" ref="F36">XLOOKUP(C36,$N$96:$N$179,$O$96:$O$179,"",0,1)</f>
        <v/>
      </c>
      <c r="G36" s="987" t="s">
        <v>8198</v>
      </c>
      <c r="H36" s="992">
        <f t="shared" si="1"/>
        <v>1</v>
      </c>
      <c r="I36" s="987"/>
      <c r="J36" s="987"/>
      <c r="K36" s="1024"/>
      <c r="L36" s="1011"/>
      <c r="M36" s="1011"/>
      <c r="N36" s="1012"/>
      <c r="O36" s="1011"/>
      <c r="P36" s="1011"/>
      <c r="Q36" s="1011"/>
      <c r="R36" s="989"/>
      <c r="S36" s="989"/>
      <c r="T36" s="989"/>
      <c r="U36" s="989"/>
      <c r="V36" s="989"/>
      <c r="W36" s="989"/>
      <c r="X36" s="989"/>
      <c r="Y36" s="989"/>
      <c r="Z36" s="989"/>
      <c r="AA36" s="989"/>
      <c r="AB36" s="989"/>
      <c r="AC36" s="989"/>
      <c r="AD36" s="989"/>
      <c r="AE36" s="989"/>
    </row>
    <row r="37">
      <c r="A37" s="987">
        <v>2026.0</v>
      </c>
      <c r="B37" s="987" t="s">
        <v>72</v>
      </c>
      <c r="C37" s="987" t="s">
        <v>69</v>
      </c>
      <c r="D37" s="987" t="str">
        <f>IFERROR(__xludf.DUMMYFUNCTION("SPLIT(C37,"" "")"),"Patrick")</f>
        <v>Patrick</v>
      </c>
      <c r="E37" s="987" t="str">
        <f>IFERROR(__xludf.DUMMYFUNCTION("""COMPUTED_VALUE"""),"Walsh")</f>
        <v>Walsh</v>
      </c>
      <c r="F37" s="987" t="s">
        <v>1989</v>
      </c>
      <c r="G37" s="987" t="s">
        <v>8198</v>
      </c>
      <c r="H37" s="992">
        <f t="shared" si="1"/>
        <v>1</v>
      </c>
      <c r="I37" s="987"/>
      <c r="J37" s="987"/>
      <c r="K37" s="1024"/>
      <c r="L37" s="1011"/>
      <c r="M37" s="1011"/>
      <c r="N37" s="1012"/>
      <c r="O37" s="1011"/>
      <c r="P37" s="1011"/>
      <c r="Q37" s="1011"/>
      <c r="R37" s="989"/>
      <c r="S37" s="989"/>
      <c r="T37" s="989"/>
      <c r="U37" s="989"/>
      <c r="V37" s="989"/>
      <c r="W37" s="989"/>
      <c r="X37" s="989"/>
      <c r="Y37" s="989"/>
      <c r="Z37" s="989"/>
      <c r="AA37" s="989"/>
      <c r="AB37" s="989"/>
      <c r="AC37" s="989"/>
      <c r="AD37" s="989"/>
      <c r="AE37" s="989"/>
    </row>
    <row r="38">
      <c r="A38" s="987">
        <v>2026.0</v>
      </c>
      <c r="B38" s="987" t="s">
        <v>63</v>
      </c>
      <c r="C38" s="987" t="s">
        <v>82</v>
      </c>
      <c r="D38" s="987" t="str">
        <f>IFERROR(__xludf.DUMMYFUNCTION("SPLIT(C38,"" "")"),"Sachin")</f>
        <v>Sachin</v>
      </c>
      <c r="E38" s="987" t="str">
        <f>IFERROR(__xludf.DUMMYFUNCTION("""COMPUTED_VALUE"""),"Gopal")</f>
        <v>Gopal</v>
      </c>
      <c r="F38" s="987" t="str">
        <f t="array" ref="F38">XLOOKUP(C38,$N$96:$N$179,$O$96:$O$179,"",0,1)</f>
        <v/>
      </c>
      <c r="G38" s="987" t="s">
        <v>8198</v>
      </c>
      <c r="H38" s="992">
        <f t="shared" si="1"/>
        <v>1</v>
      </c>
      <c r="I38" s="987"/>
      <c r="J38" s="987"/>
      <c r="K38" s="1024"/>
      <c r="L38" s="1011"/>
      <c r="M38" s="1011"/>
      <c r="N38" s="1012"/>
      <c r="O38" s="1011"/>
      <c r="P38" s="1011"/>
      <c r="Q38" s="1011"/>
      <c r="R38" s="989"/>
      <c r="S38" s="989"/>
      <c r="T38" s="989"/>
      <c r="U38" s="989"/>
      <c r="V38" s="989"/>
      <c r="W38" s="989"/>
      <c r="X38" s="989"/>
      <c r="Y38" s="989"/>
      <c r="Z38" s="989"/>
      <c r="AA38" s="989"/>
      <c r="AB38" s="989"/>
      <c r="AC38" s="989"/>
      <c r="AD38" s="989"/>
      <c r="AE38" s="989"/>
    </row>
    <row r="39">
      <c r="A39" s="987">
        <v>2026.0</v>
      </c>
      <c r="B39" s="987" t="s">
        <v>51</v>
      </c>
      <c r="C39" s="987" t="s">
        <v>102</v>
      </c>
      <c r="D39" s="987" t="str">
        <f>IFERROR(__xludf.DUMMYFUNCTION("SPLIT(C39,"" "")"),"Tyler")</f>
        <v>Tyler</v>
      </c>
      <c r="E39" s="987" t="str">
        <f>IFERROR(__xludf.DUMMYFUNCTION("""COMPUTED_VALUE"""),"Cripe")</f>
        <v>Cripe</v>
      </c>
      <c r="F39" s="987" t="s">
        <v>2324</v>
      </c>
      <c r="G39" s="987" t="s">
        <v>8198</v>
      </c>
      <c r="H39" s="992">
        <f t="shared" si="1"/>
        <v>1</v>
      </c>
      <c r="I39" s="987"/>
      <c r="J39" s="987"/>
      <c r="K39" s="1011"/>
      <c r="L39" s="1011"/>
      <c r="M39" s="1011"/>
      <c r="N39" s="1012"/>
      <c r="O39" s="1011"/>
      <c r="P39" s="1011"/>
      <c r="Q39" s="1011"/>
      <c r="R39" s="989"/>
      <c r="S39" s="989"/>
      <c r="T39" s="989"/>
      <c r="U39" s="989"/>
      <c r="V39" s="989"/>
      <c r="W39" s="989"/>
      <c r="X39" s="989"/>
      <c r="Y39" s="989"/>
      <c r="Z39" s="989"/>
      <c r="AA39" s="989"/>
      <c r="AB39" s="989"/>
      <c r="AC39" s="989"/>
      <c r="AD39" s="989"/>
      <c r="AE39" s="989"/>
    </row>
    <row r="40">
      <c r="A40" s="987">
        <v>2026.0</v>
      </c>
      <c r="B40" s="987" t="s">
        <v>109</v>
      </c>
      <c r="C40" s="987" t="s">
        <v>8233</v>
      </c>
      <c r="D40" s="987" t="str">
        <f>IFERROR(__xludf.DUMMYFUNCTION("SPLIT(C40,"" "")"),"Will")</f>
        <v>Will</v>
      </c>
      <c r="E40" s="987" t="str">
        <f>IFERROR(__xludf.DUMMYFUNCTION("""COMPUTED_VALUE"""),"Howard")</f>
        <v>Howard</v>
      </c>
      <c r="F40" s="987" t="s">
        <v>1550</v>
      </c>
      <c r="G40" s="987" t="s">
        <v>8198</v>
      </c>
      <c r="H40" s="992">
        <f t="shared" si="1"/>
        <v>1</v>
      </c>
      <c r="I40" s="987"/>
      <c r="J40" s="987"/>
      <c r="K40" s="989"/>
      <c r="L40" s="989"/>
      <c r="M40" s="989"/>
      <c r="N40" s="989"/>
      <c r="O40" s="989"/>
      <c r="P40" s="989"/>
      <c r="Q40" s="989"/>
      <c r="R40" s="989"/>
      <c r="S40" s="989"/>
      <c r="T40" s="989"/>
      <c r="U40" s="989"/>
      <c r="V40" s="989"/>
      <c r="W40" s="989"/>
      <c r="X40" s="989"/>
      <c r="Y40" s="989"/>
      <c r="Z40" s="989"/>
      <c r="AA40" s="989"/>
      <c r="AB40" s="989"/>
      <c r="AC40" s="989"/>
      <c r="AD40" s="989"/>
      <c r="AE40" s="989"/>
    </row>
    <row r="41">
      <c r="A41" s="987">
        <v>2027.0</v>
      </c>
      <c r="B41" s="987" t="s">
        <v>63</v>
      </c>
      <c r="C41" s="987" t="s">
        <v>8232</v>
      </c>
      <c r="D41" s="987" t="str">
        <f>IFERROR(__xludf.DUMMYFUNCTION("SPLIT(C41,"" "")"),"Aiden")</f>
        <v>Aiden</v>
      </c>
      <c r="E41" s="987" t="str">
        <f>IFERROR(__xludf.DUMMYFUNCTION("""COMPUTED_VALUE"""),"Healy")</f>
        <v>Healy</v>
      </c>
      <c r="F41" s="987" t="str">
        <f t="array" ref="F41">XLOOKUP(C41,$N$96:$N$179,$O$96:$O$179,"",0,1)</f>
        <v/>
      </c>
      <c r="G41" s="987" t="s">
        <v>8193</v>
      </c>
      <c r="H41" s="992">
        <f t="shared" si="1"/>
        <v>4</v>
      </c>
      <c r="I41" s="987"/>
      <c r="J41" s="987"/>
      <c r="K41" s="991">
        <v>2028.0</v>
      </c>
      <c r="R41" s="989"/>
      <c r="S41" s="989"/>
      <c r="T41" s="989"/>
      <c r="U41" s="989"/>
      <c r="V41" s="989"/>
      <c r="W41" s="989"/>
      <c r="X41" s="989"/>
      <c r="Y41" s="989"/>
      <c r="Z41" s="989"/>
      <c r="AA41" s="989"/>
      <c r="AB41" s="989"/>
      <c r="AC41" s="989"/>
      <c r="AD41" s="989"/>
      <c r="AE41" s="989"/>
    </row>
    <row r="42">
      <c r="A42" s="987">
        <v>2027.0</v>
      </c>
      <c r="B42" s="987" t="s">
        <v>103</v>
      </c>
      <c r="C42" s="987" t="s">
        <v>8220</v>
      </c>
      <c r="D42" s="987" t="str">
        <f>IFERROR(__xludf.DUMMYFUNCTION("SPLIT(C42,"" "")"),"Andrew")</f>
        <v>Andrew</v>
      </c>
      <c r="E42" s="987" t="str">
        <f>IFERROR(__xludf.DUMMYFUNCTION("""COMPUTED_VALUE"""),"Manning")</f>
        <v>Manning</v>
      </c>
      <c r="F42" s="987" t="s">
        <v>1989</v>
      </c>
      <c r="G42" s="987" t="s">
        <v>8193</v>
      </c>
      <c r="H42" s="992">
        <f t="shared" si="1"/>
        <v>4</v>
      </c>
      <c r="I42" s="987"/>
      <c r="J42" s="987"/>
      <c r="K42" s="993" t="s">
        <v>63</v>
      </c>
      <c r="L42" s="993" t="s">
        <v>122</v>
      </c>
      <c r="M42" s="994" t="s">
        <v>807</v>
      </c>
      <c r="N42" s="993" t="s">
        <v>109</v>
      </c>
      <c r="O42" s="995" t="s">
        <v>51</v>
      </c>
      <c r="P42" s="993" t="s">
        <v>72</v>
      </c>
      <c r="Q42" s="993" t="s">
        <v>103</v>
      </c>
      <c r="R42" s="989"/>
      <c r="S42" s="989"/>
      <c r="T42" s="989"/>
      <c r="U42" s="989"/>
      <c r="V42" s="989"/>
      <c r="W42" s="989"/>
      <c r="X42" s="989"/>
      <c r="Y42" s="989"/>
      <c r="Z42" s="989"/>
      <c r="AA42" s="989"/>
      <c r="AB42" s="989"/>
      <c r="AC42" s="989"/>
      <c r="AD42" s="989"/>
      <c r="AE42" s="989"/>
    </row>
    <row r="43">
      <c r="A43" s="987">
        <v>2027.0</v>
      </c>
      <c r="B43" s="987" t="s">
        <v>63</v>
      </c>
      <c r="C43" s="987" t="s">
        <v>8240</v>
      </c>
      <c r="D43" s="987" t="str">
        <f>IFERROR(__xludf.DUMMYFUNCTION("SPLIT(C43,"" "")"),"Brady")</f>
        <v>Brady</v>
      </c>
      <c r="E43" s="987" t="str">
        <f>IFERROR(__xludf.DUMMYFUNCTION("""COMPUTED_VALUE"""),"Bendik")</f>
        <v>Bendik</v>
      </c>
      <c r="F43" s="987" t="str">
        <f t="array" ref="F43">XLOOKUP(C43,$N$96:$N$179,$O$96:$O$179,"",0,1)</f>
        <v/>
      </c>
      <c r="G43" s="987" t="s">
        <v>8193</v>
      </c>
      <c r="H43" s="992">
        <f t="shared" si="1"/>
        <v>4</v>
      </c>
      <c r="I43" s="987"/>
      <c r="J43" s="987"/>
      <c r="K43" s="1020" t="s">
        <v>8246</v>
      </c>
      <c r="L43" s="1018" t="s">
        <v>8216</v>
      </c>
      <c r="M43" s="1007"/>
      <c r="N43" s="1018" t="s">
        <v>8228</v>
      </c>
      <c r="O43" s="1020"/>
      <c r="P43" s="1020" t="s">
        <v>69</v>
      </c>
      <c r="Q43" s="1018" t="s">
        <v>8225</v>
      </c>
      <c r="R43" s="989"/>
      <c r="S43" s="989"/>
      <c r="T43" s="989"/>
      <c r="U43" s="989"/>
      <c r="V43" s="989"/>
      <c r="W43" s="989"/>
      <c r="X43" s="989"/>
      <c r="Y43" s="989"/>
      <c r="Z43" s="989"/>
      <c r="AA43" s="989"/>
      <c r="AB43" s="989"/>
      <c r="AC43" s="989"/>
      <c r="AD43" s="989"/>
      <c r="AE43" s="989"/>
    </row>
    <row r="44">
      <c r="A44" s="987">
        <v>2027.0</v>
      </c>
      <c r="B44" s="987" t="s">
        <v>72</v>
      </c>
      <c r="C44" s="987" t="s">
        <v>8218</v>
      </c>
      <c r="D44" s="987" t="str">
        <f>IFERROR(__xludf.DUMMYFUNCTION("SPLIT(C44,"" "")"),"Evan")</f>
        <v>Evan</v>
      </c>
      <c r="E44" s="987" t="str">
        <f>IFERROR(__xludf.DUMMYFUNCTION("""COMPUTED_VALUE"""),"Brown")</f>
        <v>Brown</v>
      </c>
      <c r="F44" s="987" t="s">
        <v>1550</v>
      </c>
      <c r="G44" s="987" t="s">
        <v>8193</v>
      </c>
      <c r="H44" s="992">
        <f t="shared" si="1"/>
        <v>4</v>
      </c>
      <c r="I44" s="987"/>
      <c r="J44" s="987"/>
      <c r="K44" s="1020" t="s">
        <v>96</v>
      </c>
      <c r="L44" s="1018" t="s">
        <v>8222</v>
      </c>
      <c r="M44" s="989"/>
      <c r="N44" s="1020" t="s">
        <v>108</v>
      </c>
      <c r="O44" s="1021" t="s">
        <v>1390</v>
      </c>
      <c r="P44" s="1020" t="s">
        <v>8230</v>
      </c>
      <c r="Q44" s="1018" t="s">
        <v>8231</v>
      </c>
      <c r="R44" s="989"/>
      <c r="S44" s="989"/>
      <c r="T44" s="989"/>
      <c r="U44" s="989"/>
      <c r="V44" s="989"/>
      <c r="W44" s="989"/>
      <c r="X44" s="989"/>
      <c r="Y44" s="989"/>
      <c r="Z44" s="989"/>
      <c r="AA44" s="989"/>
      <c r="AB44" s="989"/>
      <c r="AC44" s="989"/>
      <c r="AD44" s="989"/>
      <c r="AE44" s="989"/>
    </row>
    <row r="45">
      <c r="A45" s="987">
        <v>2027.0</v>
      </c>
      <c r="B45" s="987" t="s">
        <v>72</v>
      </c>
      <c r="C45" s="987" t="s">
        <v>8217</v>
      </c>
      <c r="D45" s="987" t="str">
        <f>IFERROR(__xludf.DUMMYFUNCTION("SPLIT(C45,"" "")"),"Jack")</f>
        <v>Jack</v>
      </c>
      <c r="E45" s="987" t="str">
        <f>IFERROR(__xludf.DUMMYFUNCTION("""COMPUTED_VALUE"""),"Killelea")</f>
        <v>Killelea</v>
      </c>
      <c r="F45" s="987" t="s">
        <v>1550</v>
      </c>
      <c r="G45" s="987" t="s">
        <v>8193</v>
      </c>
      <c r="H45" s="992">
        <f t="shared" si="1"/>
        <v>4</v>
      </c>
      <c r="I45" s="987"/>
      <c r="J45" s="987"/>
      <c r="K45" s="1020" t="s">
        <v>8625</v>
      </c>
      <c r="L45" s="1018" t="s">
        <v>8227</v>
      </c>
      <c r="M45" s="1019"/>
      <c r="N45" s="1021" t="s">
        <v>1440</v>
      </c>
      <c r="O45" s="1021" t="s">
        <v>6885</v>
      </c>
      <c r="P45" s="1009"/>
      <c r="Q45" s="1018" t="s">
        <v>8234</v>
      </c>
      <c r="R45" s="989"/>
      <c r="S45" s="989"/>
      <c r="T45" s="989"/>
      <c r="U45" s="989"/>
      <c r="V45" s="989"/>
      <c r="W45" s="989"/>
      <c r="X45" s="989"/>
      <c r="Y45" s="989"/>
      <c r="Z45" s="989"/>
      <c r="AA45" s="989"/>
      <c r="AB45" s="989"/>
      <c r="AC45" s="989"/>
      <c r="AD45" s="989"/>
      <c r="AE45" s="989"/>
    </row>
    <row r="46">
      <c r="A46" s="987">
        <v>2027.0</v>
      </c>
      <c r="B46" s="987" t="s">
        <v>72</v>
      </c>
      <c r="C46" s="987" t="s">
        <v>8219</v>
      </c>
      <c r="D46" s="987" t="str">
        <f>IFERROR(__xludf.DUMMYFUNCTION("SPLIT(C46,"" "")"),"Leo")</f>
        <v>Leo</v>
      </c>
      <c r="E46" s="987" t="str">
        <f>IFERROR(__xludf.DUMMYFUNCTION("""COMPUTED_VALUE"""),"Mangiamele")</f>
        <v>Mangiamele</v>
      </c>
      <c r="F46" s="987" t="s">
        <v>1550</v>
      </c>
      <c r="G46" s="987" t="s">
        <v>8193</v>
      </c>
      <c r="H46" s="992">
        <f t="shared" si="1"/>
        <v>4</v>
      </c>
      <c r="I46" s="987"/>
      <c r="J46" s="987"/>
      <c r="K46" s="1020" t="s">
        <v>8247</v>
      </c>
      <c r="L46" s="1018" t="s">
        <v>8237</v>
      </c>
      <c r="M46" s="1008"/>
      <c r="N46" s="1023"/>
      <c r="O46" s="1021" t="s">
        <v>8676</v>
      </c>
      <c r="P46" s="1009"/>
      <c r="Q46" s="1020" t="s">
        <v>7288</v>
      </c>
      <c r="R46" s="989"/>
      <c r="S46" s="989"/>
      <c r="T46" s="989"/>
      <c r="U46" s="989"/>
      <c r="V46" s="989"/>
      <c r="W46" s="989"/>
      <c r="X46" s="989"/>
      <c r="Y46" s="989"/>
      <c r="Z46" s="989"/>
      <c r="AA46" s="989"/>
      <c r="AB46" s="989"/>
      <c r="AC46" s="989"/>
      <c r="AD46" s="989"/>
      <c r="AE46" s="989"/>
    </row>
    <row r="47">
      <c r="A47" s="987">
        <v>2027.0</v>
      </c>
      <c r="B47" s="987" t="s">
        <v>63</v>
      </c>
      <c r="C47" s="987" t="s">
        <v>8236</v>
      </c>
      <c r="D47" s="987" t="str">
        <f>IFERROR(__xludf.DUMMYFUNCTION("SPLIT(C47,"" "")"),"Matt")</f>
        <v>Matt</v>
      </c>
      <c r="E47" s="987" t="str">
        <f>IFERROR(__xludf.DUMMYFUNCTION("""COMPUTED_VALUE"""),"Archibald")</f>
        <v>Archibald</v>
      </c>
      <c r="F47" s="987" t="str">
        <f t="shared" ref="F47:F50" si="5">XLOOKUP(C47,$N$96:$N$179,$O$96:$O$179,"",0,1)</f>
        <v/>
      </c>
      <c r="G47" s="987" t="s">
        <v>8193</v>
      </c>
      <c r="H47" s="992">
        <f t="shared" si="1"/>
        <v>4</v>
      </c>
      <c r="I47" s="987"/>
      <c r="J47" s="987"/>
      <c r="K47" s="1021" t="s">
        <v>1382</v>
      </c>
      <c r="L47" s="1021" t="s">
        <v>1416</v>
      </c>
      <c r="M47" s="1022"/>
      <c r="N47" s="1023"/>
      <c r="O47" s="1021" t="s">
        <v>9097</v>
      </c>
      <c r="P47" s="1011"/>
      <c r="Q47" s="1020" t="s">
        <v>135</v>
      </c>
      <c r="R47" s="989"/>
      <c r="S47" s="989"/>
      <c r="T47" s="989"/>
      <c r="U47" s="989"/>
      <c r="V47" s="989"/>
      <c r="W47" s="989"/>
      <c r="X47" s="989"/>
      <c r="Y47" s="989"/>
      <c r="Z47" s="989"/>
      <c r="AA47" s="989"/>
      <c r="AB47" s="989"/>
      <c r="AC47" s="989"/>
      <c r="AD47" s="989"/>
      <c r="AE47" s="989"/>
    </row>
    <row r="48">
      <c r="A48" s="987">
        <v>2027.0</v>
      </c>
      <c r="B48" s="987" t="s">
        <v>63</v>
      </c>
      <c r="C48" s="987" t="s">
        <v>8242</v>
      </c>
      <c r="D48" s="987" t="str">
        <f>IFERROR(__xludf.DUMMYFUNCTION("SPLIT(C48,"" "")"),"Owen")</f>
        <v>Owen</v>
      </c>
      <c r="E48" s="987" t="str">
        <f>IFERROR(__xludf.DUMMYFUNCTION("""COMPUTED_VALUE"""),"Geiger")</f>
        <v>Geiger</v>
      </c>
      <c r="F48" s="987" t="str">
        <f t="shared" si="5"/>
        <v/>
      </c>
      <c r="G48" s="987" t="s">
        <v>8193</v>
      </c>
      <c r="H48" s="992">
        <f t="shared" si="1"/>
        <v>4</v>
      </c>
      <c r="I48" s="987"/>
      <c r="J48" s="987"/>
      <c r="K48" s="1024"/>
      <c r="L48" s="1021" t="s">
        <v>1454</v>
      </c>
      <c r="M48" s="1022"/>
      <c r="N48" s="1023"/>
      <c r="O48" s="989"/>
      <c r="P48" s="1011"/>
      <c r="Q48" s="1020" t="s">
        <v>102</v>
      </c>
      <c r="R48" s="989"/>
      <c r="S48" s="989"/>
      <c r="T48" s="989"/>
      <c r="U48" s="989"/>
      <c r="V48" s="989"/>
      <c r="W48" s="989"/>
      <c r="X48" s="989"/>
      <c r="Y48" s="989"/>
      <c r="Z48" s="989"/>
      <c r="AA48" s="989"/>
      <c r="AB48" s="989"/>
      <c r="AC48" s="989"/>
      <c r="AD48" s="989"/>
      <c r="AE48" s="989"/>
    </row>
    <row r="49">
      <c r="A49" s="987">
        <v>2027.0</v>
      </c>
      <c r="B49" s="987" t="s">
        <v>63</v>
      </c>
      <c r="C49" s="987" t="s">
        <v>8244</v>
      </c>
      <c r="D49" s="987" t="str">
        <f>IFERROR(__xludf.DUMMYFUNCTION("SPLIT(C49,"" "")"),"Ryan")</f>
        <v>Ryan</v>
      </c>
      <c r="E49" s="987" t="str">
        <f>IFERROR(__xludf.DUMMYFUNCTION("""COMPUTED_VALUE"""),"Bibb")</f>
        <v>Bibb</v>
      </c>
      <c r="F49" s="987" t="str">
        <f t="shared" si="5"/>
        <v/>
      </c>
      <c r="G49" s="987" t="s">
        <v>8193</v>
      </c>
      <c r="H49" s="992">
        <f t="shared" si="1"/>
        <v>4</v>
      </c>
      <c r="I49" s="987"/>
      <c r="J49" s="987"/>
      <c r="K49" s="1024"/>
      <c r="L49" s="1021" t="s">
        <v>1446</v>
      </c>
      <c r="M49" s="1022"/>
      <c r="N49" s="1023"/>
      <c r="O49" s="1024"/>
      <c r="P49" s="1011"/>
      <c r="Q49" s="1021" t="s">
        <v>1372</v>
      </c>
      <c r="R49" s="989"/>
      <c r="S49" s="989"/>
      <c r="T49" s="989"/>
      <c r="U49" s="989"/>
      <c r="V49" s="989"/>
      <c r="W49" s="989"/>
      <c r="X49" s="989"/>
      <c r="Y49" s="989"/>
      <c r="Z49" s="989"/>
      <c r="AA49" s="989"/>
      <c r="AB49" s="989"/>
      <c r="AC49" s="989"/>
      <c r="AD49" s="989"/>
      <c r="AE49" s="989"/>
    </row>
    <row r="50">
      <c r="A50" s="987">
        <v>2027.0</v>
      </c>
      <c r="B50" s="987" t="s">
        <v>122</v>
      </c>
      <c r="C50" s="987" t="s">
        <v>8210</v>
      </c>
      <c r="D50" s="987" t="str">
        <f>IFERROR(__xludf.DUMMYFUNCTION("SPLIT(C50,"" "")"),"Timmy")</f>
        <v>Timmy</v>
      </c>
      <c r="E50" s="987" t="str">
        <f>IFERROR(__xludf.DUMMYFUNCTION("""COMPUTED_VALUE"""),"Virtudes")</f>
        <v>Virtudes</v>
      </c>
      <c r="F50" s="987" t="str">
        <f t="shared" si="5"/>
        <v/>
      </c>
      <c r="G50" s="987" t="s">
        <v>8193</v>
      </c>
      <c r="H50" s="992">
        <f t="shared" si="1"/>
        <v>4</v>
      </c>
      <c r="I50" s="987"/>
      <c r="J50" s="987"/>
      <c r="K50" s="1024"/>
      <c r="L50" s="989"/>
      <c r="M50" s="1022"/>
      <c r="N50" s="1023"/>
      <c r="O50" s="1024"/>
      <c r="P50" s="1011"/>
      <c r="Q50" s="1011"/>
      <c r="R50" s="989"/>
      <c r="S50" s="989"/>
      <c r="T50" s="989"/>
      <c r="U50" s="989"/>
      <c r="V50" s="989"/>
      <c r="W50" s="989"/>
      <c r="X50" s="989"/>
      <c r="Y50" s="989"/>
      <c r="Z50" s="989"/>
      <c r="AA50" s="989"/>
      <c r="AB50" s="989"/>
      <c r="AC50" s="989"/>
      <c r="AD50" s="989"/>
      <c r="AE50" s="989"/>
    </row>
    <row r="51">
      <c r="A51" s="987">
        <v>2027.0</v>
      </c>
      <c r="B51" s="987" t="s">
        <v>103</v>
      </c>
      <c r="C51" s="987" t="s">
        <v>8214</v>
      </c>
      <c r="D51" s="987" t="str">
        <f>IFERROR(__xludf.DUMMYFUNCTION("SPLIT(C51,"" "")"),"Tyler")</f>
        <v>Tyler</v>
      </c>
      <c r="E51" s="987" t="str">
        <f>IFERROR(__xludf.DUMMYFUNCTION("""COMPUTED_VALUE"""),"Bouchard")</f>
        <v>Bouchard</v>
      </c>
      <c r="F51" s="987" t="s">
        <v>1989</v>
      </c>
      <c r="G51" s="987" t="s">
        <v>8193</v>
      </c>
      <c r="H51" s="992">
        <f t="shared" si="1"/>
        <v>4</v>
      </c>
      <c r="I51" s="987"/>
      <c r="J51" s="987"/>
      <c r="K51" s="1024"/>
      <c r="L51" s="1022"/>
      <c r="M51" s="1022"/>
      <c r="N51" s="1023"/>
      <c r="O51" s="1011"/>
      <c r="P51" s="1011"/>
      <c r="Q51" s="1011"/>
      <c r="R51" s="989"/>
      <c r="S51" s="989"/>
      <c r="T51" s="989"/>
      <c r="U51" s="989"/>
      <c r="V51" s="989"/>
      <c r="W51" s="989"/>
      <c r="X51" s="989"/>
      <c r="Y51" s="989"/>
      <c r="Z51" s="989"/>
      <c r="AA51" s="989"/>
      <c r="AB51" s="989"/>
      <c r="AC51" s="989"/>
      <c r="AD51" s="989"/>
      <c r="AE51" s="989"/>
    </row>
    <row r="52">
      <c r="A52" s="987">
        <v>2027.0</v>
      </c>
      <c r="B52" s="987" t="s">
        <v>103</v>
      </c>
      <c r="C52" s="987" t="s">
        <v>8225</v>
      </c>
      <c r="D52" s="987" t="str">
        <f>IFERROR(__xludf.DUMMYFUNCTION("SPLIT(C52,"" "")"),"Chris")</f>
        <v>Chris</v>
      </c>
      <c r="E52" s="987" t="str">
        <f>IFERROR(__xludf.DUMMYFUNCTION("""COMPUTED_VALUE"""),"Klug")</f>
        <v>Klug</v>
      </c>
      <c r="F52" s="987" t="s">
        <v>1550</v>
      </c>
      <c r="G52" s="987" t="s">
        <v>8194</v>
      </c>
      <c r="H52" s="992">
        <f t="shared" si="1"/>
        <v>3</v>
      </c>
      <c r="I52" s="987"/>
      <c r="J52" s="987"/>
      <c r="K52" s="1024"/>
      <c r="L52" s="1022"/>
      <c r="M52" s="1022"/>
      <c r="N52" s="1023"/>
      <c r="O52" s="1011"/>
      <c r="P52" s="1011"/>
      <c r="Q52" s="1011"/>
      <c r="R52" s="989"/>
      <c r="S52" s="989"/>
      <c r="T52" s="989"/>
      <c r="U52" s="989"/>
      <c r="V52" s="989"/>
      <c r="W52" s="989"/>
      <c r="X52" s="989"/>
      <c r="Y52" s="989"/>
      <c r="Z52" s="989"/>
      <c r="AA52" s="989"/>
      <c r="AB52" s="989"/>
      <c r="AC52" s="989"/>
      <c r="AD52" s="989"/>
      <c r="AE52" s="989"/>
    </row>
    <row r="53">
      <c r="A53" s="987">
        <v>2027.0</v>
      </c>
      <c r="B53" s="987" t="s">
        <v>122</v>
      </c>
      <c r="C53" s="987" t="s">
        <v>8222</v>
      </c>
      <c r="D53" s="987" t="str">
        <f>IFERROR(__xludf.DUMMYFUNCTION("SPLIT(C53,"" "")"),"Ian")</f>
        <v>Ian</v>
      </c>
      <c r="E53" s="987" t="str">
        <f>IFERROR(__xludf.DUMMYFUNCTION("""COMPUTED_VALUE"""),"Brown")</f>
        <v>Brown</v>
      </c>
      <c r="F53" s="987" t="str">
        <f t="shared" ref="F53:F55" si="6">XLOOKUP(C53,$N$96:$N$179,$O$96:$O$179,"",0,1)</f>
        <v/>
      </c>
      <c r="G53" s="987" t="s">
        <v>8194</v>
      </c>
      <c r="H53" s="992">
        <f t="shared" si="1"/>
        <v>3</v>
      </c>
      <c r="I53" s="987"/>
      <c r="J53" s="987"/>
      <c r="K53" s="1024"/>
      <c r="L53" s="1022"/>
      <c r="M53" s="1022"/>
      <c r="N53" s="1023"/>
      <c r="O53" s="1011"/>
      <c r="P53" s="1011"/>
      <c r="Q53" s="1011"/>
      <c r="R53" s="989"/>
      <c r="S53" s="989"/>
      <c r="T53" s="989"/>
      <c r="U53" s="989"/>
      <c r="V53" s="989"/>
      <c r="W53" s="989"/>
      <c r="X53" s="989"/>
      <c r="Y53" s="989"/>
      <c r="Z53" s="989"/>
      <c r="AA53" s="989"/>
      <c r="AB53" s="989"/>
      <c r="AC53" s="989"/>
      <c r="AD53" s="989"/>
      <c r="AE53" s="989"/>
    </row>
    <row r="54">
      <c r="A54" s="987">
        <v>2027.0</v>
      </c>
      <c r="B54" s="987" t="s">
        <v>122</v>
      </c>
      <c r="C54" s="987" t="s">
        <v>621</v>
      </c>
      <c r="D54" s="987" t="str">
        <f>IFERROR(__xludf.DUMMYFUNCTION("SPLIT(C54,"" "")"),"John")</f>
        <v>John</v>
      </c>
      <c r="E54" s="987" t="str">
        <f>IFERROR(__xludf.DUMMYFUNCTION("""COMPUTED_VALUE"""),"Carroll")</f>
        <v>Carroll</v>
      </c>
      <c r="F54" s="987" t="str">
        <f t="shared" si="6"/>
        <v/>
      </c>
      <c r="G54" s="987" t="s">
        <v>8194</v>
      </c>
      <c r="H54" s="992">
        <f t="shared" si="1"/>
        <v>3</v>
      </c>
      <c r="I54" s="987"/>
      <c r="J54" s="987"/>
      <c r="K54" s="1024"/>
      <c r="L54" s="1011"/>
      <c r="M54" s="1011"/>
      <c r="N54" s="1023"/>
      <c r="O54" s="1011"/>
      <c r="P54" s="1011"/>
      <c r="Q54" s="1011"/>
      <c r="R54" s="989"/>
      <c r="S54" s="989"/>
      <c r="T54" s="989"/>
      <c r="U54" s="989"/>
      <c r="V54" s="989"/>
      <c r="W54" s="989"/>
      <c r="X54" s="989"/>
      <c r="Y54" s="989"/>
      <c r="Z54" s="989"/>
      <c r="AA54" s="989"/>
      <c r="AB54" s="989"/>
      <c r="AC54" s="989"/>
      <c r="AD54" s="989"/>
      <c r="AE54" s="989"/>
    </row>
    <row r="55">
      <c r="A55" s="987">
        <v>2027.0</v>
      </c>
      <c r="B55" s="987" t="s">
        <v>122</v>
      </c>
      <c r="C55" s="987" t="s">
        <v>8227</v>
      </c>
      <c r="D55" s="987" t="str">
        <f>IFERROR(__xludf.DUMMYFUNCTION("SPLIT(C55,"" "")"),"Kevin")</f>
        <v>Kevin</v>
      </c>
      <c r="E55" s="987" t="str">
        <f>IFERROR(__xludf.DUMMYFUNCTION("""COMPUTED_VALUE"""),"Maurer")</f>
        <v>Maurer</v>
      </c>
      <c r="F55" s="987" t="str">
        <f t="shared" si="6"/>
        <v/>
      </c>
      <c r="G55" s="987" t="s">
        <v>8194</v>
      </c>
      <c r="H55" s="992">
        <f t="shared" si="1"/>
        <v>3</v>
      </c>
      <c r="I55" s="987"/>
      <c r="J55" s="987"/>
      <c r="K55" s="1024"/>
      <c r="L55" s="1011"/>
      <c r="M55" s="1011"/>
      <c r="N55" s="1023"/>
      <c r="O55" s="1011"/>
      <c r="P55" s="1011"/>
      <c r="Q55" s="1011"/>
      <c r="R55" s="989"/>
      <c r="S55" s="989"/>
      <c r="T55" s="989"/>
      <c r="U55" s="989"/>
      <c r="V55" s="989"/>
      <c r="W55" s="989"/>
      <c r="X55" s="989"/>
      <c r="Y55" s="989"/>
      <c r="Z55" s="989"/>
      <c r="AA55" s="989"/>
      <c r="AB55" s="989"/>
      <c r="AC55" s="989"/>
      <c r="AD55" s="989"/>
      <c r="AE55" s="989"/>
    </row>
    <row r="56">
      <c r="A56" s="987">
        <v>2027.0</v>
      </c>
      <c r="B56" s="987" t="s">
        <v>103</v>
      </c>
      <c r="C56" s="987" t="s">
        <v>8231</v>
      </c>
      <c r="D56" s="987" t="str">
        <f>IFERROR(__xludf.DUMMYFUNCTION("SPLIT(C56,"" "")"),"Mason")</f>
        <v>Mason</v>
      </c>
      <c r="E56" s="987" t="str">
        <f>IFERROR(__xludf.DUMMYFUNCTION("""COMPUTED_VALUE"""),"Ceccarelli")</f>
        <v>Ceccarelli</v>
      </c>
      <c r="F56" s="987" t="s">
        <v>1989</v>
      </c>
      <c r="G56" s="987" t="s">
        <v>8194</v>
      </c>
      <c r="H56" s="992">
        <f t="shared" si="1"/>
        <v>3</v>
      </c>
      <c r="I56" s="987"/>
      <c r="J56" s="987"/>
      <c r="K56" s="1024"/>
      <c r="L56" s="1011"/>
      <c r="M56" s="1011"/>
      <c r="N56" s="1023"/>
      <c r="O56" s="1011"/>
      <c r="P56" s="1011"/>
      <c r="Q56" s="1011"/>
      <c r="R56" s="989"/>
      <c r="S56" s="989"/>
      <c r="T56" s="989"/>
      <c r="U56" s="989"/>
      <c r="V56" s="989"/>
      <c r="W56" s="989"/>
      <c r="X56" s="989"/>
      <c r="Y56" s="989"/>
      <c r="Z56" s="989"/>
      <c r="AA56" s="989"/>
      <c r="AB56" s="989"/>
      <c r="AC56" s="989"/>
      <c r="AD56" s="989"/>
      <c r="AE56" s="989"/>
    </row>
    <row r="57">
      <c r="A57" s="987">
        <v>2027.0</v>
      </c>
      <c r="B57" s="987" t="s">
        <v>122</v>
      </c>
      <c r="C57" s="987" t="s">
        <v>8216</v>
      </c>
      <c r="D57" s="987" t="str">
        <f>IFERROR(__xludf.DUMMYFUNCTION("SPLIT(C57,"" "")"),"Mike")</f>
        <v>Mike</v>
      </c>
      <c r="E57" s="987" t="str">
        <f>IFERROR(__xludf.DUMMYFUNCTION("""COMPUTED_VALUE"""),"Plummer")</f>
        <v>Plummer</v>
      </c>
      <c r="F57" s="987" t="str">
        <f t="array" ref="F57">XLOOKUP(C57,$N$96:$N$179,$O$96:$O$179,"",0,1)</f>
        <v/>
      </c>
      <c r="G57" s="987" t="s">
        <v>8194</v>
      </c>
      <c r="H57" s="992">
        <f t="shared" si="1"/>
        <v>3</v>
      </c>
      <c r="I57" s="987"/>
      <c r="J57" s="987"/>
      <c r="K57" s="1024"/>
      <c r="L57" s="1011"/>
      <c r="M57" s="1011"/>
      <c r="N57" s="1023"/>
      <c r="O57" s="1011"/>
      <c r="P57" s="1011"/>
      <c r="Q57" s="1011"/>
      <c r="R57" s="989"/>
      <c r="S57" s="989"/>
      <c r="T57" s="989"/>
      <c r="U57" s="989"/>
      <c r="V57" s="989"/>
      <c r="W57" s="989"/>
      <c r="X57" s="989"/>
      <c r="Y57" s="989"/>
      <c r="Z57" s="989"/>
      <c r="AA57" s="989"/>
      <c r="AB57" s="989"/>
      <c r="AC57" s="989"/>
      <c r="AD57" s="989"/>
      <c r="AE57" s="989"/>
    </row>
    <row r="58">
      <c r="A58" s="987">
        <v>2027.0</v>
      </c>
      <c r="B58" s="987" t="s">
        <v>51</v>
      </c>
      <c r="C58" s="987" t="s">
        <v>8238</v>
      </c>
      <c r="D58" s="987" t="str">
        <f>IFERROR(__xludf.DUMMYFUNCTION("SPLIT(C58,"" "")"),"Noah")</f>
        <v>Noah</v>
      </c>
      <c r="E58" s="987" t="str">
        <f>IFERROR(__xludf.DUMMYFUNCTION("""COMPUTED_VALUE"""),"Ditas")</f>
        <v>Ditas</v>
      </c>
      <c r="F58" s="987" t="s">
        <v>1550</v>
      </c>
      <c r="G58" s="987" t="s">
        <v>8194</v>
      </c>
      <c r="H58" s="992">
        <f t="shared" si="1"/>
        <v>3</v>
      </c>
      <c r="I58" s="987"/>
      <c r="J58" s="987"/>
      <c r="K58" s="1011"/>
      <c r="L58" s="1011"/>
      <c r="M58" s="1011"/>
      <c r="N58" s="1023"/>
      <c r="O58" s="1011"/>
      <c r="P58" s="1011"/>
      <c r="Q58" s="1011"/>
      <c r="R58" s="989"/>
      <c r="S58" s="989"/>
      <c r="T58" s="989"/>
      <c r="U58" s="989"/>
      <c r="V58" s="989"/>
      <c r="W58" s="989"/>
      <c r="X58" s="989"/>
      <c r="Y58" s="989"/>
      <c r="Z58" s="989"/>
      <c r="AA58" s="989"/>
      <c r="AB58" s="989"/>
      <c r="AC58" s="989"/>
      <c r="AD58" s="989"/>
      <c r="AE58" s="989"/>
    </row>
    <row r="59">
      <c r="A59" s="987">
        <v>2027.0</v>
      </c>
      <c r="B59" s="987" t="s">
        <v>103</v>
      </c>
      <c r="C59" s="987" t="s">
        <v>8234</v>
      </c>
      <c r="D59" s="987" t="str">
        <f>IFERROR(__xludf.DUMMYFUNCTION("SPLIT(C59,"" "")"),"Owen")</f>
        <v>Owen</v>
      </c>
      <c r="E59" s="987" t="str">
        <f>IFERROR(__xludf.DUMMYFUNCTION("""COMPUTED_VALUE"""),"Peterson")</f>
        <v>Peterson</v>
      </c>
      <c r="F59" s="987" t="s">
        <v>1989</v>
      </c>
      <c r="G59" s="987" t="s">
        <v>8194</v>
      </c>
      <c r="H59" s="992">
        <f t="shared" si="1"/>
        <v>3</v>
      </c>
      <c r="I59" s="987"/>
      <c r="J59" s="987"/>
      <c r="K59" s="1011"/>
      <c r="L59" s="1011"/>
      <c r="M59" s="1011"/>
      <c r="N59" s="1023"/>
      <c r="O59" s="1011"/>
      <c r="P59" s="1011"/>
      <c r="Q59" s="1011"/>
      <c r="R59" s="989"/>
      <c r="S59" s="989"/>
      <c r="T59" s="989"/>
      <c r="U59" s="989"/>
      <c r="V59" s="989"/>
      <c r="W59" s="989"/>
      <c r="X59" s="989"/>
      <c r="Y59" s="989"/>
      <c r="Z59" s="989"/>
      <c r="AA59" s="989"/>
      <c r="AB59" s="989"/>
      <c r="AC59" s="989"/>
      <c r="AD59" s="989"/>
      <c r="AE59" s="989"/>
    </row>
    <row r="60">
      <c r="A60" s="987">
        <v>2027.0</v>
      </c>
      <c r="B60" s="987" t="s">
        <v>122</v>
      </c>
      <c r="C60" s="987" t="s">
        <v>8237</v>
      </c>
      <c r="D60" s="987" t="str">
        <f>IFERROR(__xludf.DUMMYFUNCTION("SPLIT(C60,"" "")"),"Spencer")</f>
        <v>Spencer</v>
      </c>
      <c r="E60" s="987" t="str">
        <f>IFERROR(__xludf.DUMMYFUNCTION("""COMPUTED_VALUE"""),"Stephens")</f>
        <v>Stephens</v>
      </c>
      <c r="F60" s="987" t="str">
        <f t="array" ref="F60">XLOOKUP(C60,$N$96:$N$179,$O$96:$O$179,"",0,1)</f>
        <v/>
      </c>
      <c r="G60" s="987" t="s">
        <v>8194</v>
      </c>
      <c r="H60" s="992">
        <f t="shared" si="1"/>
        <v>3</v>
      </c>
      <c r="I60" s="987"/>
      <c r="J60" s="987"/>
      <c r="K60" s="989"/>
      <c r="L60" s="989"/>
      <c r="M60" s="989"/>
      <c r="N60" s="989"/>
      <c r="O60" s="989"/>
      <c r="P60" s="989"/>
      <c r="Q60" s="989"/>
      <c r="R60" s="989"/>
      <c r="S60" s="989"/>
      <c r="T60" s="989"/>
      <c r="U60" s="989"/>
      <c r="V60" s="989"/>
      <c r="W60" s="989"/>
      <c r="X60" s="989"/>
      <c r="Y60" s="989"/>
      <c r="Z60" s="989"/>
      <c r="AA60" s="989"/>
      <c r="AB60" s="989"/>
      <c r="AC60" s="989"/>
      <c r="AD60" s="989"/>
      <c r="AE60" s="989"/>
    </row>
    <row r="61">
      <c r="A61" s="987">
        <v>2027.0</v>
      </c>
      <c r="B61" s="987" t="s">
        <v>109</v>
      </c>
      <c r="C61" s="987" t="s">
        <v>8228</v>
      </c>
      <c r="D61" s="987" t="str">
        <f>IFERROR(__xludf.DUMMYFUNCTION("SPLIT(C61,"" "")"),"Ty")</f>
        <v>Ty</v>
      </c>
      <c r="E61" s="987" t="str">
        <f>IFERROR(__xludf.DUMMYFUNCTION("""COMPUTED_VALUE"""),"Deperno")</f>
        <v>Deperno</v>
      </c>
      <c r="F61" s="987" t="s">
        <v>1550</v>
      </c>
      <c r="G61" s="987" t="s">
        <v>8194</v>
      </c>
      <c r="H61" s="992">
        <f t="shared" si="1"/>
        <v>3</v>
      </c>
      <c r="I61" s="987"/>
      <c r="J61" s="987"/>
      <c r="K61" s="989"/>
      <c r="L61" s="989"/>
      <c r="M61" s="989"/>
      <c r="N61" s="989"/>
      <c r="O61" s="989"/>
      <c r="P61" s="989"/>
      <c r="Q61" s="989"/>
      <c r="R61" s="989"/>
      <c r="S61" s="989"/>
      <c r="T61" s="989"/>
      <c r="U61" s="989"/>
      <c r="V61" s="989"/>
      <c r="W61" s="989"/>
      <c r="X61" s="989"/>
      <c r="Y61" s="989"/>
      <c r="Z61" s="989"/>
      <c r="AA61" s="989"/>
      <c r="AB61" s="989"/>
      <c r="AC61" s="989"/>
      <c r="AD61" s="989"/>
      <c r="AE61" s="989"/>
    </row>
    <row r="62">
      <c r="A62" s="987">
        <v>2027.0</v>
      </c>
      <c r="B62" s="987" t="s">
        <v>63</v>
      </c>
      <c r="C62" s="987" t="s">
        <v>8246</v>
      </c>
      <c r="D62" s="987" t="str">
        <f>IFERROR(__xludf.DUMMYFUNCTION("SPLIT(C62,"" "")"),"David")</f>
        <v>David</v>
      </c>
      <c r="E62" s="987" t="str">
        <f>IFERROR(__xludf.DUMMYFUNCTION("""COMPUTED_VALUE"""),"Posey")</f>
        <v>Posey</v>
      </c>
      <c r="F62" s="987" t="str">
        <f t="shared" ref="F62:F63" si="7">XLOOKUP(C62,$N$96:$N$179,$O$96:$O$179,"",0,1)</f>
        <v/>
      </c>
      <c r="G62" s="987" t="s">
        <v>8196</v>
      </c>
      <c r="H62" s="992">
        <f t="shared" si="1"/>
        <v>2</v>
      </c>
      <c r="I62" s="987"/>
      <c r="J62" s="987"/>
      <c r="K62" s="989"/>
      <c r="L62" s="989"/>
      <c r="M62" s="989"/>
      <c r="N62" s="989"/>
      <c r="O62" s="989"/>
      <c r="P62" s="989"/>
      <c r="Q62" s="989"/>
      <c r="R62" s="989"/>
      <c r="S62" s="989"/>
      <c r="T62" s="989"/>
      <c r="U62" s="989"/>
      <c r="V62" s="989"/>
      <c r="W62" s="989"/>
      <c r="X62" s="989"/>
      <c r="Y62" s="989"/>
      <c r="Z62" s="989"/>
      <c r="AA62" s="989"/>
      <c r="AB62" s="989"/>
      <c r="AC62" s="989"/>
      <c r="AD62" s="989"/>
      <c r="AE62" s="989"/>
    </row>
    <row r="63">
      <c r="A63" s="987">
        <v>2027.0</v>
      </c>
      <c r="B63" s="987" t="s">
        <v>63</v>
      </c>
      <c r="C63" s="987" t="s">
        <v>8247</v>
      </c>
      <c r="D63" s="987" t="str">
        <f>IFERROR(__xludf.DUMMYFUNCTION("SPLIT(C63,"" "")"),"Jackson")</f>
        <v>Jackson</v>
      </c>
      <c r="E63" s="987" t="str">
        <f>IFERROR(__xludf.DUMMYFUNCTION("""COMPUTED_VALUE"""),"Clark")</f>
        <v>Clark</v>
      </c>
      <c r="F63" s="987" t="str">
        <f t="shared" si="7"/>
        <v/>
      </c>
      <c r="G63" s="987" t="s">
        <v>8196</v>
      </c>
      <c r="H63" s="992">
        <f t="shared" si="1"/>
        <v>2</v>
      </c>
      <c r="I63" s="987"/>
      <c r="J63" s="987"/>
      <c r="K63" s="989"/>
      <c r="L63" s="989"/>
      <c r="M63" s="989"/>
      <c r="N63" s="989"/>
      <c r="O63" s="989"/>
      <c r="P63" s="989"/>
      <c r="Q63" s="989"/>
      <c r="R63" s="989"/>
      <c r="S63" s="989"/>
      <c r="T63" s="989"/>
      <c r="U63" s="989"/>
      <c r="V63" s="989"/>
      <c r="W63" s="989"/>
      <c r="X63" s="989"/>
      <c r="Y63" s="989"/>
      <c r="Z63" s="989"/>
      <c r="AA63" s="989"/>
      <c r="AB63" s="989"/>
      <c r="AC63" s="989"/>
      <c r="AD63" s="989"/>
      <c r="AE63" s="989"/>
    </row>
    <row r="64">
      <c r="A64" s="987">
        <v>2027.0</v>
      </c>
      <c r="B64" s="987" t="s">
        <v>103</v>
      </c>
      <c r="C64" s="987" t="s">
        <v>135</v>
      </c>
      <c r="D64" s="987" t="str">
        <f>IFERROR(__xludf.DUMMYFUNCTION("SPLIT(C64,"" "")"),"Jake")</f>
        <v>Jake</v>
      </c>
      <c r="E64" s="987" t="str">
        <f>IFERROR(__xludf.DUMMYFUNCTION("""COMPUTED_VALUE"""),"Hooten")</f>
        <v>Hooten</v>
      </c>
      <c r="F64" s="987" t="s">
        <v>1550</v>
      </c>
      <c r="G64" s="987" t="s">
        <v>8196</v>
      </c>
      <c r="H64" s="992">
        <f t="shared" si="1"/>
        <v>2</v>
      </c>
      <c r="I64" s="987"/>
      <c r="J64" s="987"/>
      <c r="K64" s="989"/>
      <c r="L64" s="989"/>
      <c r="M64" s="989"/>
      <c r="N64" s="989"/>
      <c r="O64" s="989"/>
      <c r="P64" s="989"/>
      <c r="Q64" s="989"/>
      <c r="R64" s="989"/>
      <c r="S64" s="989"/>
      <c r="T64" s="989"/>
      <c r="U64" s="989"/>
      <c r="V64" s="989"/>
      <c r="W64" s="989"/>
      <c r="X64" s="989"/>
      <c r="Y64" s="989"/>
      <c r="Z64" s="989"/>
      <c r="AA64" s="989"/>
      <c r="AB64" s="989"/>
      <c r="AC64" s="989"/>
      <c r="AD64" s="989"/>
      <c r="AE64" s="989"/>
    </row>
    <row r="65">
      <c r="A65" s="987">
        <v>2027.0</v>
      </c>
      <c r="B65" s="987" t="s">
        <v>103</v>
      </c>
      <c r="C65" s="987" t="s">
        <v>7288</v>
      </c>
      <c r="D65" s="987" t="str">
        <f>IFERROR(__xludf.DUMMYFUNCTION("SPLIT(C65,"" "")"),"John")</f>
        <v>John</v>
      </c>
      <c r="E65" s="987" t="str">
        <f>IFERROR(__xludf.DUMMYFUNCTION("""COMPUTED_VALUE"""),"Loudon")</f>
        <v>Loudon</v>
      </c>
      <c r="F65" s="987" t="s">
        <v>1550</v>
      </c>
      <c r="G65" s="987" t="s">
        <v>8196</v>
      </c>
      <c r="H65" s="992">
        <f t="shared" si="1"/>
        <v>2</v>
      </c>
      <c r="I65" s="987"/>
      <c r="J65" s="987"/>
      <c r="K65" s="989"/>
      <c r="L65" s="989"/>
      <c r="M65" s="989"/>
      <c r="N65" s="989"/>
      <c r="O65" s="989"/>
      <c r="P65" s="989"/>
      <c r="Q65" s="989"/>
      <c r="R65" s="989"/>
      <c r="S65" s="989"/>
      <c r="T65" s="989"/>
      <c r="U65" s="989"/>
      <c r="V65" s="989"/>
      <c r="W65" s="989"/>
      <c r="X65" s="989"/>
      <c r="Y65" s="989"/>
      <c r="Z65" s="989"/>
      <c r="AA65" s="989"/>
      <c r="AB65" s="989"/>
      <c r="AC65" s="989"/>
      <c r="AD65" s="989"/>
      <c r="AE65" s="989"/>
    </row>
    <row r="66">
      <c r="A66" s="987">
        <v>2027.0</v>
      </c>
      <c r="B66" s="987" t="s">
        <v>72</v>
      </c>
      <c r="C66" s="987" t="s">
        <v>8230</v>
      </c>
      <c r="D66" s="987" t="str">
        <f>IFERROR(__xludf.DUMMYFUNCTION("SPLIT(C66,"" "")"),"Julian")</f>
        <v>Julian</v>
      </c>
      <c r="E66" s="987" t="str">
        <f>IFERROR(__xludf.DUMMYFUNCTION("""COMPUTED_VALUE"""),"Friedman")</f>
        <v>Friedman</v>
      </c>
      <c r="F66" s="987" t="s">
        <v>1550</v>
      </c>
      <c r="G66" s="987" t="s">
        <v>8196</v>
      </c>
      <c r="H66" s="992">
        <f t="shared" si="1"/>
        <v>2</v>
      </c>
      <c r="I66" s="987"/>
      <c r="J66" s="987"/>
      <c r="K66" s="989"/>
      <c r="L66" s="989"/>
      <c r="M66" s="989"/>
      <c r="N66" s="989"/>
      <c r="O66" s="989"/>
      <c r="P66" s="989"/>
      <c r="Q66" s="989"/>
      <c r="R66" s="989"/>
      <c r="S66" s="989"/>
      <c r="T66" s="989"/>
      <c r="U66" s="989"/>
      <c r="V66" s="989"/>
      <c r="W66" s="989"/>
      <c r="X66" s="989"/>
      <c r="Y66" s="989"/>
      <c r="Z66" s="989"/>
      <c r="AA66" s="989"/>
      <c r="AB66" s="989"/>
      <c r="AC66" s="989"/>
      <c r="AD66" s="989"/>
      <c r="AE66" s="989"/>
    </row>
    <row r="67">
      <c r="A67" s="987">
        <v>2027.0</v>
      </c>
      <c r="B67" s="987" t="s">
        <v>51</v>
      </c>
      <c r="C67" s="987" t="s">
        <v>47</v>
      </c>
      <c r="D67" s="987" t="str">
        <f>IFERROR(__xludf.DUMMYFUNCTION("SPLIT(C67,"" "")"),"Noah")</f>
        <v>Noah</v>
      </c>
      <c r="E67" s="987" t="str">
        <f>IFERROR(__xludf.DUMMYFUNCTION("""COMPUTED_VALUE"""),"Stead")</f>
        <v>Stead</v>
      </c>
      <c r="F67" s="987" t="s">
        <v>1550</v>
      </c>
      <c r="G67" s="987" t="s">
        <v>8196</v>
      </c>
      <c r="H67" s="992">
        <f t="shared" si="1"/>
        <v>2</v>
      </c>
      <c r="I67" s="987"/>
      <c r="J67" s="987"/>
      <c r="K67" s="989"/>
      <c r="L67" s="989"/>
      <c r="M67" s="989"/>
      <c r="N67" s="989"/>
      <c r="O67" s="989"/>
      <c r="P67" s="989"/>
      <c r="Q67" s="989"/>
      <c r="R67" s="989"/>
      <c r="S67" s="989"/>
      <c r="T67" s="989"/>
      <c r="U67" s="989"/>
      <c r="V67" s="989"/>
      <c r="W67" s="989"/>
      <c r="X67" s="989"/>
      <c r="Y67" s="989"/>
      <c r="Z67" s="989"/>
      <c r="AA67" s="989"/>
      <c r="AB67" s="989"/>
      <c r="AC67" s="989"/>
      <c r="AD67" s="989"/>
      <c r="AE67" s="989"/>
    </row>
    <row r="68">
      <c r="A68" s="987">
        <v>2027.0</v>
      </c>
      <c r="B68" s="987" t="s">
        <v>63</v>
      </c>
      <c r="C68" s="987" t="s">
        <v>62</v>
      </c>
      <c r="D68" s="987" t="str">
        <f>IFERROR(__xludf.DUMMYFUNCTION("SPLIT(C68,"" "")"),"Owen")</f>
        <v>Owen</v>
      </c>
      <c r="E68" s="987" t="str">
        <f>IFERROR(__xludf.DUMMYFUNCTION("""COMPUTED_VALUE"""),"Phypers")</f>
        <v>Phypers</v>
      </c>
      <c r="F68" s="987" t="str">
        <f t="array" ref="F68">XLOOKUP(C68,$N$96:$N$179,$O$96:$O$179,"",0,1)</f>
        <v/>
      </c>
      <c r="G68" s="987" t="s">
        <v>8196</v>
      </c>
      <c r="H68" s="992">
        <f t="shared" si="1"/>
        <v>2</v>
      </c>
      <c r="I68" s="987"/>
      <c r="J68" s="987"/>
      <c r="K68" s="989"/>
      <c r="L68" s="989"/>
      <c r="M68" s="989"/>
      <c r="N68" s="989"/>
      <c r="O68" s="989"/>
      <c r="P68" s="989"/>
      <c r="Q68" s="989"/>
      <c r="R68" s="989"/>
      <c r="S68" s="989"/>
      <c r="T68" s="989"/>
      <c r="U68" s="989"/>
      <c r="V68" s="989"/>
      <c r="W68" s="989"/>
      <c r="X68" s="989"/>
      <c r="Y68" s="989"/>
      <c r="Z68" s="989"/>
      <c r="AA68" s="989"/>
      <c r="AB68" s="989"/>
      <c r="AC68" s="989"/>
      <c r="AD68" s="989"/>
      <c r="AE68" s="989"/>
    </row>
    <row r="69">
      <c r="A69" s="987">
        <v>2027.0</v>
      </c>
      <c r="B69" s="987" t="s">
        <v>72</v>
      </c>
      <c r="C69" s="987" t="s">
        <v>69</v>
      </c>
      <c r="D69" s="987" t="str">
        <f>IFERROR(__xludf.DUMMYFUNCTION("SPLIT(C69,"" "")"),"Patrick")</f>
        <v>Patrick</v>
      </c>
      <c r="E69" s="987" t="str">
        <f>IFERROR(__xludf.DUMMYFUNCTION("""COMPUTED_VALUE"""),"Walsh")</f>
        <v>Walsh</v>
      </c>
      <c r="F69" s="987" t="s">
        <v>1989</v>
      </c>
      <c r="G69" s="987" t="s">
        <v>8196</v>
      </c>
      <c r="H69" s="992">
        <f t="shared" si="1"/>
        <v>2</v>
      </c>
      <c r="I69" s="987"/>
      <c r="J69" s="987"/>
      <c r="K69" s="989"/>
      <c r="L69" s="989"/>
      <c r="M69" s="989"/>
      <c r="N69" s="989"/>
      <c r="O69" s="989"/>
      <c r="P69" s="989"/>
      <c r="Q69" s="989"/>
      <c r="R69" s="989"/>
      <c r="S69" s="989"/>
      <c r="T69" s="989"/>
      <c r="U69" s="989"/>
      <c r="V69" s="989"/>
      <c r="W69" s="989"/>
      <c r="X69" s="989"/>
      <c r="Y69" s="989"/>
      <c r="Z69" s="989"/>
      <c r="AA69" s="989"/>
      <c r="AB69" s="989"/>
      <c r="AC69" s="989"/>
      <c r="AD69" s="989"/>
      <c r="AE69" s="989"/>
    </row>
    <row r="70">
      <c r="A70" s="987">
        <v>2027.0</v>
      </c>
      <c r="B70" s="987" t="s">
        <v>63</v>
      </c>
      <c r="C70" s="987" t="s">
        <v>8625</v>
      </c>
      <c r="D70" s="987" t="str">
        <f>IFERROR(__xludf.DUMMYFUNCTION("SPLIT(C70,"" "")"),"Sachin")</f>
        <v>Sachin</v>
      </c>
      <c r="E70" s="987" t="str">
        <f>IFERROR(__xludf.DUMMYFUNCTION("""COMPUTED_VALUE"""),"Gopel")</f>
        <v>Gopel</v>
      </c>
      <c r="F70" s="987" t="str">
        <f t="array" ref="F70">XLOOKUP(C70,$N$96:$N$179,$O$96:$O$179,"",0,1)</f>
        <v/>
      </c>
      <c r="G70" s="987" t="s">
        <v>8196</v>
      </c>
      <c r="H70" s="992">
        <f t="shared" si="1"/>
        <v>2</v>
      </c>
      <c r="I70" s="987"/>
      <c r="J70" s="987"/>
      <c r="K70" s="989"/>
      <c r="L70" s="989"/>
      <c r="M70" s="989"/>
      <c r="N70" s="989"/>
      <c r="O70" s="989"/>
      <c r="P70" s="989"/>
      <c r="Q70" s="989"/>
      <c r="R70" s="989"/>
      <c r="S70" s="989"/>
      <c r="T70" s="989"/>
      <c r="U70" s="989"/>
      <c r="V70" s="989"/>
      <c r="W70" s="989"/>
      <c r="X70" s="989"/>
      <c r="Y70" s="989"/>
      <c r="Z70" s="989"/>
      <c r="AA70" s="989"/>
      <c r="AB70" s="989"/>
      <c r="AC70" s="989"/>
      <c r="AD70" s="989"/>
      <c r="AE70" s="989"/>
    </row>
    <row r="71">
      <c r="A71" s="987">
        <v>2027.0</v>
      </c>
      <c r="B71" s="987" t="s">
        <v>109</v>
      </c>
      <c r="C71" s="987" t="s">
        <v>108</v>
      </c>
      <c r="D71" s="987" t="str">
        <f>IFERROR(__xludf.DUMMYFUNCTION("SPLIT(C71,"" "")"),"Will")</f>
        <v>Will</v>
      </c>
      <c r="E71" s="987" t="str">
        <f>IFERROR(__xludf.DUMMYFUNCTION("""COMPUTED_VALUE"""),"Howard")</f>
        <v>Howard</v>
      </c>
      <c r="F71" s="987" t="s">
        <v>1550</v>
      </c>
      <c r="G71" s="987" t="s">
        <v>8196</v>
      </c>
      <c r="H71" s="992">
        <f t="shared" si="1"/>
        <v>2</v>
      </c>
      <c r="I71" s="987"/>
      <c r="J71" s="987"/>
      <c r="K71" s="989"/>
      <c r="L71" s="989"/>
      <c r="M71" s="989"/>
      <c r="N71" s="989"/>
      <c r="O71" s="989"/>
      <c r="P71" s="989"/>
      <c r="Q71" s="989"/>
      <c r="R71" s="989"/>
      <c r="S71" s="989"/>
      <c r="T71" s="989"/>
      <c r="U71" s="989"/>
      <c r="V71" s="989"/>
      <c r="W71" s="989"/>
      <c r="X71" s="989"/>
      <c r="Y71" s="989"/>
      <c r="Z71" s="989"/>
      <c r="AA71" s="989"/>
      <c r="AB71" s="989"/>
      <c r="AC71" s="989"/>
      <c r="AD71" s="989"/>
      <c r="AE71" s="989"/>
    </row>
    <row r="72">
      <c r="A72" s="987">
        <v>2027.0</v>
      </c>
      <c r="B72" s="987" t="s">
        <v>103</v>
      </c>
      <c r="C72" s="987" t="s">
        <v>1372</v>
      </c>
      <c r="D72" s="987" t="str">
        <f>IFERROR(__xludf.DUMMYFUNCTION("SPLIT(C72,"" "")"),"Ace")</f>
        <v>Ace</v>
      </c>
      <c r="E72" s="987" t="str">
        <f>IFERROR(__xludf.DUMMYFUNCTION("""COMPUTED_VALUE"""),"Tarango")</f>
        <v>Tarango</v>
      </c>
      <c r="F72" s="987" t="s">
        <v>1550</v>
      </c>
      <c r="G72" s="987" t="s">
        <v>8198</v>
      </c>
      <c r="H72" s="992">
        <f t="shared" si="1"/>
        <v>1</v>
      </c>
      <c r="I72" s="987"/>
      <c r="J72" s="987"/>
      <c r="K72" s="989"/>
      <c r="L72" s="989"/>
      <c r="M72" s="989"/>
      <c r="N72" s="989"/>
      <c r="O72" s="989"/>
      <c r="P72" s="989"/>
      <c r="Q72" s="989"/>
      <c r="R72" s="989"/>
      <c r="S72" s="989"/>
      <c r="T72" s="989"/>
      <c r="U72" s="989"/>
      <c r="V72" s="989"/>
      <c r="W72" s="989"/>
      <c r="X72" s="989"/>
      <c r="Y72" s="989"/>
      <c r="Z72" s="989"/>
      <c r="AA72" s="989"/>
      <c r="AB72" s="989"/>
      <c r="AC72" s="989"/>
      <c r="AD72" s="989"/>
      <c r="AE72" s="989"/>
    </row>
    <row r="73">
      <c r="A73" s="987">
        <v>2027.0</v>
      </c>
      <c r="B73" s="987" t="s">
        <v>63</v>
      </c>
      <c r="C73" s="987" t="s">
        <v>1382</v>
      </c>
      <c r="D73" s="987" t="str">
        <f>IFERROR(__xludf.DUMMYFUNCTION("SPLIT(C73,"" "")"),"Brian")</f>
        <v>Brian</v>
      </c>
      <c r="E73" s="987" t="str">
        <f>IFERROR(__xludf.DUMMYFUNCTION("""COMPUTED_VALUE"""),"Mancinelli")</f>
        <v>Mancinelli</v>
      </c>
      <c r="F73" s="987" t="str">
        <f t="array" ref="F73">XLOOKUP(C73,$N$96:$N$179,$O$96:$O$179,"",0,1)</f>
        <v/>
      </c>
      <c r="G73" s="987" t="s">
        <v>8198</v>
      </c>
      <c r="H73" s="992">
        <f t="shared" si="1"/>
        <v>1</v>
      </c>
      <c r="I73" s="987"/>
      <c r="J73" s="987"/>
      <c r="K73" s="989"/>
      <c r="L73" s="989"/>
      <c r="M73" s="989"/>
      <c r="N73" s="989"/>
      <c r="O73" s="989"/>
      <c r="P73" s="989"/>
      <c r="Q73" s="989"/>
      <c r="R73" s="989"/>
      <c r="S73" s="989"/>
      <c r="T73" s="989"/>
      <c r="U73" s="989"/>
      <c r="V73" s="989"/>
      <c r="W73" s="989"/>
      <c r="X73" s="989"/>
      <c r="Y73" s="989"/>
      <c r="Z73" s="989"/>
      <c r="AA73" s="989"/>
      <c r="AB73" s="989"/>
      <c r="AC73" s="989"/>
      <c r="AD73" s="989"/>
      <c r="AE73" s="989"/>
    </row>
    <row r="74">
      <c r="A74" s="987">
        <v>2027.0</v>
      </c>
      <c r="B74" s="987" t="s">
        <v>51</v>
      </c>
      <c r="C74" s="987" t="s">
        <v>1390</v>
      </c>
      <c r="D74" s="987" t="str">
        <f>IFERROR(__xludf.DUMMYFUNCTION("SPLIT(C74,"" "")"),"Brooks")</f>
        <v>Brooks</v>
      </c>
      <c r="E74" s="987" t="str">
        <f>IFERROR(__xludf.DUMMYFUNCTION("""COMPUTED_VALUE"""),"Franklin")</f>
        <v>Franklin</v>
      </c>
      <c r="F74" s="987" t="s">
        <v>1989</v>
      </c>
      <c r="G74" s="987" t="s">
        <v>8198</v>
      </c>
      <c r="H74" s="992">
        <f t="shared" si="1"/>
        <v>1</v>
      </c>
      <c r="I74" s="987"/>
      <c r="J74" s="987"/>
      <c r="K74" s="989"/>
      <c r="L74" s="989"/>
      <c r="M74" s="989"/>
      <c r="N74" s="989"/>
      <c r="O74" s="989"/>
      <c r="P74" s="989"/>
      <c r="Q74" s="989"/>
      <c r="R74" s="989"/>
      <c r="S74" s="989"/>
      <c r="T74" s="989"/>
      <c r="U74" s="989"/>
      <c r="V74" s="989"/>
      <c r="W74" s="989"/>
      <c r="X74" s="989"/>
      <c r="Y74" s="989"/>
      <c r="Z74" s="989"/>
      <c r="AA74" s="989"/>
      <c r="AB74" s="989"/>
      <c r="AC74" s="989"/>
      <c r="AD74" s="989"/>
      <c r="AE74" s="989"/>
    </row>
    <row r="75">
      <c r="A75" s="987">
        <v>2027.0</v>
      </c>
      <c r="B75" s="987" t="s">
        <v>51</v>
      </c>
      <c r="C75" s="388" t="s">
        <v>9098</v>
      </c>
      <c r="D75" s="987" t="str">
        <f>IFERROR(__xludf.DUMMYFUNCTION("SPLIT(C75,"" "")"),"Connor")</f>
        <v>Connor</v>
      </c>
      <c r="E75" s="987" t="str">
        <f>IFERROR(__xludf.DUMMYFUNCTION("""COMPUTED_VALUE"""),"Seacrist")</f>
        <v>Seacrist</v>
      </c>
      <c r="F75" s="987" t="s">
        <v>1550</v>
      </c>
      <c r="G75" s="987" t="s">
        <v>8198</v>
      </c>
      <c r="H75" s="992">
        <f t="shared" si="1"/>
        <v>1</v>
      </c>
      <c r="I75" s="987"/>
      <c r="J75" s="987"/>
      <c r="K75" s="989"/>
      <c r="L75" s="989"/>
      <c r="M75" s="989"/>
      <c r="N75" s="989"/>
      <c r="O75" s="989"/>
      <c r="P75" s="989"/>
      <c r="Q75" s="989"/>
      <c r="R75" s="989"/>
      <c r="S75" s="989"/>
      <c r="T75" s="989"/>
      <c r="U75" s="989"/>
      <c r="V75" s="989"/>
      <c r="W75" s="989"/>
      <c r="X75" s="989"/>
      <c r="Y75" s="989"/>
      <c r="Z75" s="989"/>
      <c r="AA75" s="989"/>
      <c r="AB75" s="989"/>
      <c r="AC75" s="989"/>
      <c r="AD75" s="989"/>
      <c r="AE75" s="989"/>
    </row>
    <row r="76">
      <c r="A76" s="987">
        <v>2027.0</v>
      </c>
      <c r="B76" s="987" t="s">
        <v>51</v>
      </c>
      <c r="C76" s="987" t="s">
        <v>6885</v>
      </c>
      <c r="D76" s="987" t="str">
        <f>IFERROR(__xludf.DUMMYFUNCTION("SPLIT(C76,"" "")"),"Cory")</f>
        <v>Cory</v>
      </c>
      <c r="E76" s="987" t="str">
        <f>IFERROR(__xludf.DUMMYFUNCTION("""COMPUTED_VALUE"""),"Carver")</f>
        <v>Carver</v>
      </c>
      <c r="F76" s="987" t="s">
        <v>1550</v>
      </c>
      <c r="G76" s="987" t="s">
        <v>8198</v>
      </c>
      <c r="H76" s="992">
        <f t="shared" si="1"/>
        <v>1</v>
      </c>
      <c r="I76" s="987"/>
      <c r="J76" s="987"/>
      <c r="K76" s="989"/>
      <c r="L76" s="989"/>
      <c r="M76" s="989"/>
      <c r="N76" s="989"/>
      <c r="O76" s="989"/>
      <c r="P76" s="989"/>
      <c r="Q76" s="989"/>
      <c r="R76" s="989"/>
      <c r="S76" s="989"/>
      <c r="T76" s="989"/>
      <c r="U76" s="989"/>
      <c r="V76" s="989"/>
      <c r="W76" s="989"/>
      <c r="X76" s="989"/>
      <c r="Y76" s="989"/>
      <c r="Z76" s="989"/>
      <c r="AA76" s="989"/>
      <c r="AB76" s="989"/>
      <c r="AC76" s="989"/>
      <c r="AD76" s="989"/>
      <c r="AE76" s="989"/>
    </row>
    <row r="77">
      <c r="A77" s="987">
        <v>2027.0</v>
      </c>
      <c r="B77" s="987" t="s">
        <v>122</v>
      </c>
      <c r="C77" s="987" t="s">
        <v>1416</v>
      </c>
      <c r="D77" s="987" t="str">
        <f>IFERROR(__xludf.DUMMYFUNCTION("SPLIT(C77,"" "")"),"Garrison")</f>
        <v>Garrison</v>
      </c>
      <c r="E77" s="987" t="str">
        <f>IFERROR(__xludf.DUMMYFUNCTION("""COMPUTED_VALUE"""),"Wade")</f>
        <v>Wade</v>
      </c>
      <c r="F77" s="987" t="str">
        <f t="array" ref="F77">XLOOKUP(C77,$N$96:$N$179,$O$96:$O$179,"",0,1)</f>
        <v/>
      </c>
      <c r="G77" s="987" t="s">
        <v>8198</v>
      </c>
      <c r="H77" s="992">
        <f t="shared" si="1"/>
        <v>1</v>
      </c>
      <c r="I77" s="987"/>
      <c r="J77" s="987"/>
      <c r="K77" s="989"/>
      <c r="L77" s="989"/>
      <c r="M77" s="989"/>
      <c r="N77" s="989"/>
      <c r="O77" s="989"/>
      <c r="P77" s="989"/>
      <c r="Q77" s="989"/>
      <c r="R77" s="989"/>
      <c r="S77" s="989"/>
      <c r="T77" s="989"/>
      <c r="U77" s="989"/>
      <c r="V77" s="989"/>
      <c r="W77" s="989"/>
      <c r="X77" s="989"/>
      <c r="Y77" s="989"/>
      <c r="Z77" s="989"/>
      <c r="AA77" s="989"/>
      <c r="AB77" s="989"/>
      <c r="AC77" s="989"/>
      <c r="AD77" s="989"/>
      <c r="AE77" s="989"/>
    </row>
    <row r="78">
      <c r="A78" s="575">
        <v>2027.0</v>
      </c>
      <c r="B78" s="575" t="s">
        <v>63</v>
      </c>
      <c r="C78" s="575" t="s">
        <v>1421</v>
      </c>
      <c r="D78" s="987" t="str">
        <f>IFERROR(__xludf.DUMMYFUNCTION("SPLIT(C78,"" "")"),"Hawk")</f>
        <v>Hawk</v>
      </c>
      <c r="E78" s="987" t="str">
        <f>IFERROR(__xludf.DUMMYFUNCTION("""COMPUTED_VALUE"""),"Stickney")</f>
        <v>Stickney</v>
      </c>
      <c r="F78" s="290"/>
      <c r="G78" s="575" t="s">
        <v>8198</v>
      </c>
      <c r="H78" s="992">
        <f t="shared" si="1"/>
        <v>1</v>
      </c>
      <c r="I78" s="987"/>
      <c r="J78" s="987"/>
      <c r="K78" s="989"/>
      <c r="L78" s="989"/>
      <c r="M78" s="989"/>
      <c r="N78" s="989"/>
      <c r="O78" s="989"/>
      <c r="P78" s="989"/>
      <c r="Q78" s="989"/>
      <c r="R78" s="989"/>
      <c r="S78" s="989"/>
      <c r="T78" s="989"/>
      <c r="U78" s="989"/>
      <c r="V78" s="989"/>
      <c r="W78" s="989"/>
      <c r="X78" s="989"/>
      <c r="Y78" s="989"/>
      <c r="Z78" s="989"/>
      <c r="AA78" s="989"/>
      <c r="AB78" s="989"/>
      <c r="AC78" s="989"/>
      <c r="AD78" s="989"/>
      <c r="AE78" s="989"/>
    </row>
    <row r="79">
      <c r="A79" s="575">
        <v>2027.0</v>
      </c>
      <c r="B79" s="575" t="s">
        <v>51</v>
      </c>
      <c r="C79" s="575" t="s">
        <v>8676</v>
      </c>
      <c r="D79" s="987" t="str">
        <f>IFERROR(__xludf.DUMMYFUNCTION("SPLIT(C79,"" "")"),"Jake")</f>
        <v>Jake</v>
      </c>
      <c r="E79" s="987" t="str">
        <f>IFERROR(__xludf.DUMMYFUNCTION("""COMPUTED_VALUE"""),"Cesarz")</f>
        <v>Cesarz</v>
      </c>
      <c r="F79" s="575" t="s">
        <v>1550</v>
      </c>
      <c r="G79" s="575" t="s">
        <v>8198</v>
      </c>
      <c r="H79" s="992">
        <f t="shared" si="1"/>
        <v>1</v>
      </c>
      <c r="I79" s="987"/>
      <c r="J79" s="987"/>
      <c r="K79" s="989"/>
      <c r="L79" s="989"/>
      <c r="M79" s="989"/>
      <c r="N79" s="989"/>
      <c r="O79" s="989"/>
      <c r="P79" s="989"/>
      <c r="Q79" s="989"/>
      <c r="R79" s="989"/>
      <c r="S79" s="989"/>
      <c r="T79" s="989"/>
      <c r="U79" s="989"/>
      <c r="V79" s="989"/>
      <c r="W79" s="989"/>
      <c r="X79" s="989"/>
      <c r="Y79" s="989"/>
      <c r="Z79" s="989"/>
      <c r="AA79" s="989"/>
      <c r="AB79" s="989"/>
      <c r="AC79" s="989"/>
      <c r="AD79" s="989"/>
      <c r="AE79" s="989"/>
    </row>
    <row r="80">
      <c r="A80" s="987">
        <v>2027.0</v>
      </c>
      <c r="B80" s="987" t="s">
        <v>109</v>
      </c>
      <c r="C80" s="987" t="s">
        <v>1440</v>
      </c>
      <c r="D80" s="987" t="str">
        <f>IFERROR(__xludf.DUMMYFUNCTION("SPLIT(C80,"" "")"),"Keaton")</f>
        <v>Keaton</v>
      </c>
      <c r="E80" s="987" t="str">
        <f>IFERROR(__xludf.DUMMYFUNCTION("""COMPUTED_VALUE"""),"Bowers")</f>
        <v>Bowers</v>
      </c>
      <c r="F80" s="987" t="s">
        <v>1989</v>
      </c>
      <c r="G80" s="987" t="s">
        <v>8198</v>
      </c>
      <c r="H80" s="992">
        <f t="shared" si="1"/>
        <v>1</v>
      </c>
      <c r="I80" s="987"/>
      <c r="J80" s="987"/>
      <c r="K80" s="989"/>
      <c r="L80" s="989"/>
      <c r="M80" s="989"/>
      <c r="N80" s="989"/>
      <c r="O80" s="989"/>
      <c r="P80" s="989"/>
      <c r="Q80" s="989"/>
      <c r="R80" s="989"/>
      <c r="S80" s="989"/>
      <c r="T80" s="989"/>
      <c r="U80" s="989"/>
      <c r="V80" s="989"/>
      <c r="W80" s="989"/>
      <c r="X80" s="989"/>
      <c r="Y80" s="989"/>
      <c r="Z80" s="989"/>
      <c r="AA80" s="989"/>
      <c r="AB80" s="989"/>
      <c r="AC80" s="989"/>
      <c r="AD80" s="989"/>
      <c r="AE80" s="989"/>
    </row>
    <row r="81">
      <c r="A81" s="987"/>
      <c r="B81" s="987"/>
      <c r="C81" s="987"/>
      <c r="D81" s="987"/>
      <c r="E81" s="987"/>
      <c r="F81" s="987"/>
      <c r="G81" s="987"/>
      <c r="H81" s="992"/>
      <c r="I81" s="987"/>
      <c r="J81" s="987"/>
      <c r="K81" s="989"/>
      <c r="L81" s="989"/>
      <c r="M81" s="989"/>
      <c r="N81" s="989"/>
      <c r="O81" s="989"/>
      <c r="P81" s="989"/>
      <c r="Q81" s="989"/>
      <c r="R81" s="989"/>
      <c r="S81" s="989"/>
      <c r="T81" s="989"/>
      <c r="U81" s="989"/>
      <c r="V81" s="989"/>
      <c r="W81" s="989"/>
      <c r="X81" s="989"/>
      <c r="Y81" s="989"/>
      <c r="Z81" s="989"/>
      <c r="AA81" s="989"/>
      <c r="AB81" s="989"/>
      <c r="AC81" s="989"/>
      <c r="AD81" s="989"/>
      <c r="AE81" s="989"/>
    </row>
    <row r="82">
      <c r="A82" s="987">
        <v>2027.0</v>
      </c>
      <c r="B82" s="987" t="s">
        <v>122</v>
      </c>
      <c r="C82" s="987" t="s">
        <v>1454</v>
      </c>
      <c r="D82" s="987" t="str">
        <f>IFERROR(__xludf.DUMMYFUNCTION("SPLIT(C82,"" "")"),"Noah")</f>
        <v>Noah</v>
      </c>
      <c r="E82" s="987" t="str">
        <f>IFERROR(__xludf.DUMMYFUNCTION("""COMPUTED_VALUE"""),"Hummel")</f>
        <v>Hummel</v>
      </c>
      <c r="F82" s="987" t="str">
        <f t="array" ref="F82">XLOOKUP(C82,$N$96:$N$179,$O$96:$O$179,"",0,1)</f>
        <v/>
      </c>
      <c r="G82" s="987" t="s">
        <v>8198</v>
      </c>
      <c r="H82" s="992">
        <f t="shared" ref="H82:H84" si="8">XLOOKUP(G82,R:R,S:S,"",0,1)</f>
        <v>1</v>
      </c>
      <c r="I82" s="987"/>
      <c r="J82" s="987"/>
      <c r="K82" s="989"/>
      <c r="L82" s="989"/>
      <c r="M82" s="989"/>
      <c r="N82" s="989"/>
      <c r="O82" s="989"/>
      <c r="P82" s="989"/>
      <c r="Q82" s="989"/>
      <c r="R82" s="989"/>
      <c r="S82" s="989"/>
      <c r="T82" s="989"/>
      <c r="U82" s="989"/>
      <c r="V82" s="989"/>
      <c r="W82" s="989"/>
      <c r="X82" s="989"/>
      <c r="Y82" s="989"/>
      <c r="Z82" s="989"/>
      <c r="AA82" s="989"/>
      <c r="AB82" s="989"/>
      <c r="AC82" s="989"/>
      <c r="AD82" s="989"/>
      <c r="AE82" s="989"/>
    </row>
    <row r="83">
      <c r="A83" s="987">
        <v>2027.0</v>
      </c>
      <c r="B83" s="987" t="s">
        <v>63</v>
      </c>
      <c r="C83" s="987" t="s">
        <v>1469</v>
      </c>
      <c r="D83" s="987" t="str">
        <f>IFERROR(__xludf.DUMMYFUNCTION("SPLIT(C83,"" "")"),"Santiago")</f>
        <v>Santiago</v>
      </c>
      <c r="E83" s="987" t="str">
        <f>IFERROR(__xludf.DUMMYFUNCTION("""COMPUTED_VALUE"""),"Arismendi")</f>
        <v>Arismendi</v>
      </c>
      <c r="F83" s="987"/>
      <c r="G83" s="987" t="s">
        <v>8198</v>
      </c>
      <c r="H83" s="992">
        <f t="shared" si="8"/>
        <v>1</v>
      </c>
      <c r="I83" s="987"/>
      <c r="J83" s="987"/>
      <c r="K83" s="989"/>
      <c r="L83" s="989"/>
      <c r="M83" s="989"/>
      <c r="N83" s="989"/>
      <c r="O83" s="989"/>
      <c r="P83" s="989"/>
      <c r="Q83" s="989"/>
      <c r="R83" s="989"/>
      <c r="S83" s="989"/>
      <c r="T83" s="989"/>
      <c r="U83" s="989"/>
      <c r="V83" s="989"/>
      <c r="W83" s="989"/>
      <c r="X83" s="989"/>
      <c r="Y83" s="989"/>
      <c r="Z83" s="989"/>
      <c r="AA83" s="989"/>
      <c r="AB83" s="989"/>
      <c r="AC83" s="989"/>
      <c r="AD83" s="989"/>
      <c r="AE83" s="989"/>
    </row>
    <row r="84">
      <c r="A84" s="575">
        <v>2027.0</v>
      </c>
      <c r="B84" s="575" t="s">
        <v>63</v>
      </c>
      <c r="C84" s="575" t="s">
        <v>1459</v>
      </c>
      <c r="D84" s="987" t="str">
        <f>IFERROR(__xludf.DUMMYFUNCTION("SPLIT(C84,"" "")"),"Tyler")</f>
        <v>Tyler</v>
      </c>
      <c r="E84" s="987" t="str">
        <f>IFERROR(__xludf.DUMMYFUNCTION("""COMPUTED_VALUE"""),"Reeder")</f>
        <v>Reeder</v>
      </c>
      <c r="F84" s="290"/>
      <c r="G84" s="575" t="s">
        <v>8198</v>
      </c>
      <c r="H84" s="992">
        <f t="shared" si="8"/>
        <v>1</v>
      </c>
      <c r="I84" s="987"/>
      <c r="J84" s="987"/>
      <c r="K84" s="989"/>
      <c r="L84" s="989"/>
      <c r="M84" s="989"/>
      <c r="N84" s="989"/>
      <c r="O84" s="989"/>
      <c r="P84" s="989"/>
      <c r="Q84" s="989"/>
      <c r="R84" s="989"/>
      <c r="S84" s="989"/>
      <c r="T84" s="989"/>
      <c r="U84" s="989"/>
      <c r="V84" s="989"/>
      <c r="W84" s="989"/>
      <c r="X84" s="989"/>
      <c r="Y84" s="989"/>
      <c r="Z84" s="989"/>
      <c r="AA84" s="989"/>
      <c r="AB84" s="989"/>
      <c r="AC84" s="989"/>
      <c r="AD84" s="989"/>
      <c r="AE84" s="989"/>
    </row>
    <row r="85">
      <c r="A85" s="575"/>
      <c r="B85" s="575"/>
      <c r="C85" s="575"/>
      <c r="D85" s="987"/>
      <c r="E85" s="987"/>
      <c r="F85" s="575"/>
      <c r="G85" s="575"/>
      <c r="H85" s="992"/>
      <c r="I85" s="987"/>
      <c r="J85" s="987"/>
      <c r="K85" s="989"/>
      <c r="L85" s="989"/>
      <c r="M85" s="989"/>
      <c r="N85" s="989"/>
      <c r="O85" s="989"/>
      <c r="P85" s="989"/>
      <c r="Q85" s="989"/>
      <c r="R85" s="989"/>
      <c r="S85" s="989"/>
      <c r="T85" s="989"/>
      <c r="U85" s="989"/>
      <c r="V85" s="989"/>
      <c r="W85" s="989"/>
      <c r="X85" s="989"/>
      <c r="Y85" s="989"/>
      <c r="Z85" s="989"/>
      <c r="AA85" s="989"/>
      <c r="AB85" s="989"/>
      <c r="AC85" s="989"/>
      <c r="AD85" s="989"/>
      <c r="AE85" s="989"/>
    </row>
    <row r="86">
      <c r="A86" s="575"/>
      <c r="B86" s="575"/>
      <c r="C86" s="575"/>
      <c r="D86" s="987"/>
      <c r="E86" s="987"/>
      <c r="F86" s="290"/>
      <c r="G86" s="575"/>
      <c r="H86" s="992"/>
      <c r="I86" s="987"/>
      <c r="J86" s="987"/>
      <c r="K86" s="989"/>
      <c r="L86" s="989"/>
      <c r="M86" s="989"/>
      <c r="N86" s="989"/>
      <c r="O86" s="989"/>
      <c r="P86" s="989"/>
      <c r="Q86" s="989"/>
      <c r="R86" s="989"/>
      <c r="S86" s="989"/>
      <c r="T86" s="989"/>
      <c r="U86" s="989"/>
      <c r="V86" s="989"/>
      <c r="W86" s="989"/>
      <c r="X86" s="989"/>
      <c r="Y86" s="989"/>
      <c r="Z86" s="989"/>
      <c r="AA86" s="989"/>
      <c r="AB86" s="989"/>
      <c r="AC86" s="989"/>
      <c r="AD86" s="989"/>
      <c r="AE86" s="989"/>
    </row>
    <row r="87">
      <c r="A87" s="987">
        <v>2028.0</v>
      </c>
      <c r="B87" s="987" t="s">
        <v>103</v>
      </c>
      <c r="C87" s="987" t="s">
        <v>8225</v>
      </c>
      <c r="D87" s="987" t="str">
        <f>IFERROR(__xludf.DUMMYFUNCTION("SPLIT(C87,"" "")"),"Chris")</f>
        <v>Chris</v>
      </c>
      <c r="E87" s="987" t="str">
        <f>IFERROR(__xludf.DUMMYFUNCTION("""COMPUTED_VALUE"""),"Klug")</f>
        <v>Klug</v>
      </c>
      <c r="F87" s="987" t="s">
        <v>1550</v>
      </c>
      <c r="G87" s="987" t="s">
        <v>8193</v>
      </c>
      <c r="H87" s="992">
        <f t="shared" ref="H87:H115" si="9">XLOOKUP(G87,R:R,S:S,"",0,1)</f>
        <v>4</v>
      </c>
      <c r="I87" s="987"/>
      <c r="J87" s="987"/>
      <c r="K87" s="989"/>
      <c r="L87" s="989"/>
      <c r="M87" s="989"/>
      <c r="N87" s="989"/>
      <c r="O87" s="989"/>
      <c r="P87" s="989"/>
      <c r="Q87" s="989"/>
      <c r="R87" s="989"/>
      <c r="S87" s="989"/>
      <c r="T87" s="989"/>
      <c r="U87" s="989"/>
      <c r="V87" s="989"/>
      <c r="W87" s="989"/>
      <c r="X87" s="989"/>
      <c r="Y87" s="989"/>
      <c r="Z87" s="989"/>
      <c r="AA87" s="989"/>
      <c r="AB87" s="989"/>
      <c r="AC87" s="989"/>
      <c r="AD87" s="989"/>
      <c r="AE87" s="989"/>
    </row>
    <row r="88">
      <c r="A88" s="987">
        <v>2028.0</v>
      </c>
      <c r="B88" s="987" t="s">
        <v>122</v>
      </c>
      <c r="C88" s="987" t="s">
        <v>8222</v>
      </c>
      <c r="D88" s="987" t="str">
        <f>IFERROR(__xludf.DUMMYFUNCTION("SPLIT(C88,"" "")"),"Ian")</f>
        <v>Ian</v>
      </c>
      <c r="E88" s="987" t="str">
        <f>IFERROR(__xludf.DUMMYFUNCTION("""COMPUTED_VALUE"""),"Brown")</f>
        <v>Brown</v>
      </c>
      <c r="F88" s="987" t="str">
        <f t="shared" ref="F88:F90" si="10">XLOOKUP(C88,$N$96:$N$179,$O$96:$O$179,"",0,1)</f>
        <v/>
      </c>
      <c r="G88" s="987" t="s">
        <v>8193</v>
      </c>
      <c r="H88" s="992">
        <f t="shared" si="9"/>
        <v>4</v>
      </c>
      <c r="I88" s="987"/>
      <c r="J88" s="987"/>
      <c r="K88" s="989"/>
      <c r="L88" s="989"/>
      <c r="M88" s="989"/>
      <c r="N88" s="989"/>
      <c r="O88" s="989"/>
      <c r="P88" s="989"/>
      <c r="Q88" s="989"/>
      <c r="R88" s="989"/>
      <c r="S88" s="989"/>
      <c r="T88" s="989"/>
      <c r="U88" s="989"/>
      <c r="V88" s="989"/>
      <c r="W88" s="989"/>
      <c r="X88" s="989"/>
      <c r="Y88" s="989"/>
      <c r="Z88" s="989"/>
      <c r="AA88" s="989"/>
      <c r="AB88" s="989"/>
      <c r="AC88" s="989"/>
      <c r="AD88" s="989"/>
      <c r="AE88" s="989"/>
    </row>
    <row r="89">
      <c r="A89" s="987">
        <v>2028.0</v>
      </c>
      <c r="B89" s="987" t="s">
        <v>122</v>
      </c>
      <c r="C89" s="987" t="s">
        <v>621</v>
      </c>
      <c r="D89" s="987" t="str">
        <f>IFERROR(__xludf.DUMMYFUNCTION("SPLIT(C89,"" "")"),"John")</f>
        <v>John</v>
      </c>
      <c r="E89" s="987" t="str">
        <f>IFERROR(__xludf.DUMMYFUNCTION("""COMPUTED_VALUE"""),"Carroll")</f>
        <v>Carroll</v>
      </c>
      <c r="F89" s="987" t="str">
        <f t="shared" si="10"/>
        <v/>
      </c>
      <c r="G89" s="987" t="s">
        <v>8193</v>
      </c>
      <c r="H89" s="992">
        <f t="shared" si="9"/>
        <v>4</v>
      </c>
      <c r="I89" s="987"/>
      <c r="J89" s="987"/>
      <c r="K89" s="989"/>
      <c r="L89" s="989"/>
      <c r="M89" s="989"/>
      <c r="N89" s="989"/>
      <c r="O89" s="989"/>
      <c r="P89" s="989"/>
      <c r="Q89" s="989"/>
      <c r="R89" s="989"/>
      <c r="S89" s="989"/>
      <c r="T89" s="989"/>
      <c r="U89" s="989"/>
      <c r="V89" s="989"/>
      <c r="W89" s="989"/>
      <c r="X89" s="989"/>
      <c r="Y89" s="989"/>
      <c r="Z89" s="989"/>
      <c r="AA89" s="989"/>
      <c r="AB89" s="989"/>
      <c r="AC89" s="989"/>
      <c r="AD89" s="989"/>
      <c r="AE89" s="989"/>
    </row>
    <row r="90">
      <c r="A90" s="987">
        <v>2028.0</v>
      </c>
      <c r="B90" s="987" t="s">
        <v>122</v>
      </c>
      <c r="C90" s="987" t="s">
        <v>8227</v>
      </c>
      <c r="D90" s="987" t="str">
        <f>IFERROR(__xludf.DUMMYFUNCTION("SPLIT(C90,"" "")"),"Kevin")</f>
        <v>Kevin</v>
      </c>
      <c r="E90" s="987" t="str">
        <f>IFERROR(__xludf.DUMMYFUNCTION("""COMPUTED_VALUE"""),"Maurer")</f>
        <v>Maurer</v>
      </c>
      <c r="F90" s="987" t="str">
        <f t="shared" si="10"/>
        <v/>
      </c>
      <c r="G90" s="987" t="s">
        <v>8193</v>
      </c>
      <c r="H90" s="992">
        <f t="shared" si="9"/>
        <v>4</v>
      </c>
      <c r="I90" s="987"/>
      <c r="J90" s="987"/>
      <c r="K90" s="989"/>
      <c r="L90" s="989"/>
      <c r="M90" s="989"/>
      <c r="N90" s="989"/>
      <c r="O90" s="989"/>
      <c r="P90" s="989"/>
      <c r="Q90" s="989"/>
      <c r="R90" s="989"/>
      <c r="S90" s="989"/>
      <c r="T90" s="989"/>
      <c r="U90" s="989"/>
      <c r="V90" s="989"/>
      <c r="W90" s="989"/>
      <c r="X90" s="989"/>
      <c r="Y90" s="989"/>
      <c r="Z90" s="989"/>
      <c r="AA90" s="989"/>
      <c r="AB90" s="989"/>
      <c r="AC90" s="989"/>
      <c r="AD90" s="989"/>
      <c r="AE90" s="989"/>
    </row>
    <row r="91">
      <c r="A91" s="987">
        <v>2028.0</v>
      </c>
      <c r="B91" s="987" t="s">
        <v>103</v>
      </c>
      <c r="C91" s="987" t="s">
        <v>8231</v>
      </c>
      <c r="D91" s="987" t="str">
        <f>IFERROR(__xludf.DUMMYFUNCTION("SPLIT(C91,"" "")"),"Mason")</f>
        <v>Mason</v>
      </c>
      <c r="E91" s="987" t="str">
        <f>IFERROR(__xludf.DUMMYFUNCTION("""COMPUTED_VALUE"""),"Ceccarelli")</f>
        <v>Ceccarelli</v>
      </c>
      <c r="F91" s="987" t="s">
        <v>1989</v>
      </c>
      <c r="G91" s="987" t="s">
        <v>8193</v>
      </c>
      <c r="H91" s="992">
        <f t="shared" si="9"/>
        <v>4</v>
      </c>
      <c r="I91" s="987"/>
      <c r="J91" s="987"/>
      <c r="K91" s="989"/>
      <c r="L91" s="989"/>
      <c r="M91" s="989"/>
      <c r="N91" s="989"/>
      <c r="O91" s="989"/>
      <c r="P91" s="989"/>
      <c r="Q91" s="989"/>
      <c r="R91" s="989"/>
      <c r="S91" s="989"/>
      <c r="T91" s="989"/>
      <c r="U91" s="989"/>
      <c r="V91" s="989"/>
      <c r="W91" s="989"/>
      <c r="X91" s="989"/>
      <c r="Y91" s="989"/>
      <c r="Z91" s="989"/>
      <c r="AA91" s="989"/>
      <c r="AB91" s="989"/>
      <c r="AC91" s="989"/>
      <c r="AD91" s="989"/>
      <c r="AE91" s="989"/>
    </row>
    <row r="92">
      <c r="A92" s="987">
        <v>2028.0</v>
      </c>
      <c r="B92" s="987" t="s">
        <v>122</v>
      </c>
      <c r="C92" s="987" t="s">
        <v>8216</v>
      </c>
      <c r="D92" s="987" t="str">
        <f>IFERROR(__xludf.DUMMYFUNCTION("SPLIT(C92,"" "")"),"Mike")</f>
        <v>Mike</v>
      </c>
      <c r="E92" s="987" t="str">
        <f>IFERROR(__xludf.DUMMYFUNCTION("""COMPUTED_VALUE"""),"Plummer")</f>
        <v>Plummer</v>
      </c>
      <c r="F92" s="987" t="str">
        <f t="array" ref="F92">XLOOKUP(C92,$N$96:$N$179,$O$96:$O$179,"",0,1)</f>
        <v/>
      </c>
      <c r="G92" s="987" t="s">
        <v>8193</v>
      </c>
      <c r="H92" s="992">
        <f t="shared" si="9"/>
        <v>4</v>
      </c>
      <c r="I92" s="987"/>
      <c r="J92" s="987"/>
      <c r="K92" s="989"/>
      <c r="L92" s="989"/>
      <c r="M92" s="989"/>
      <c r="N92" s="989"/>
      <c r="O92" s="989"/>
      <c r="P92" s="989"/>
      <c r="Q92" s="989"/>
      <c r="R92" s="989"/>
      <c r="S92" s="989"/>
      <c r="T92" s="989"/>
      <c r="U92" s="989"/>
      <c r="V92" s="989"/>
      <c r="W92" s="989"/>
      <c r="X92" s="989"/>
      <c r="Y92" s="989"/>
      <c r="Z92" s="989"/>
      <c r="AA92" s="989"/>
      <c r="AB92" s="989"/>
      <c r="AC92" s="989"/>
      <c r="AD92" s="989"/>
      <c r="AE92" s="989"/>
    </row>
    <row r="93">
      <c r="A93" s="987">
        <v>2028.0</v>
      </c>
      <c r="B93" s="987" t="s">
        <v>51</v>
      </c>
      <c r="C93" s="987" t="s">
        <v>8238</v>
      </c>
      <c r="D93" s="987" t="str">
        <f>IFERROR(__xludf.DUMMYFUNCTION("SPLIT(C93,"" "")"),"Noah")</f>
        <v>Noah</v>
      </c>
      <c r="E93" s="987" t="str">
        <f>IFERROR(__xludf.DUMMYFUNCTION("""COMPUTED_VALUE"""),"Ditas")</f>
        <v>Ditas</v>
      </c>
      <c r="F93" s="987" t="s">
        <v>1550</v>
      </c>
      <c r="G93" s="987" t="s">
        <v>8193</v>
      </c>
      <c r="H93" s="992">
        <f t="shared" si="9"/>
        <v>4</v>
      </c>
      <c r="I93" s="987"/>
      <c r="J93" s="987"/>
      <c r="K93" s="989"/>
      <c r="L93" s="989"/>
      <c r="M93" s="989"/>
      <c r="N93" s="989"/>
      <c r="O93" s="989"/>
      <c r="P93" s="989"/>
      <c r="Q93" s="989"/>
      <c r="R93" s="989"/>
      <c r="S93" s="989"/>
      <c r="T93" s="989"/>
      <c r="U93" s="989"/>
      <c r="V93" s="989"/>
      <c r="W93" s="989"/>
      <c r="X93" s="989"/>
      <c r="Y93" s="989"/>
      <c r="Z93" s="989"/>
      <c r="AA93" s="989"/>
      <c r="AB93" s="989"/>
      <c r="AC93" s="989"/>
      <c r="AD93" s="989"/>
      <c r="AE93" s="989"/>
    </row>
    <row r="94">
      <c r="A94" s="987">
        <v>2028.0</v>
      </c>
      <c r="B94" s="987" t="s">
        <v>103</v>
      </c>
      <c r="C94" s="987" t="s">
        <v>8234</v>
      </c>
      <c r="D94" s="987" t="str">
        <f>IFERROR(__xludf.DUMMYFUNCTION("SPLIT(C94,"" "")"),"Owen")</f>
        <v>Owen</v>
      </c>
      <c r="E94" s="987" t="str">
        <f>IFERROR(__xludf.DUMMYFUNCTION("""COMPUTED_VALUE"""),"Peterson")</f>
        <v>Peterson</v>
      </c>
      <c r="F94" s="987" t="s">
        <v>1989</v>
      </c>
      <c r="G94" s="987" t="s">
        <v>8193</v>
      </c>
      <c r="H94" s="992">
        <f t="shared" si="9"/>
        <v>4</v>
      </c>
      <c r="I94" s="987"/>
      <c r="J94" s="987"/>
      <c r="K94" s="989"/>
      <c r="L94" s="989"/>
      <c r="M94" s="989"/>
      <c r="N94" s="989"/>
      <c r="O94" s="989"/>
      <c r="P94" s="989"/>
      <c r="Q94" s="989"/>
      <c r="R94" s="989"/>
      <c r="S94" s="989"/>
      <c r="T94" s="989"/>
      <c r="U94" s="989"/>
      <c r="V94" s="989"/>
      <c r="W94" s="989"/>
      <c r="X94" s="989"/>
      <c r="Y94" s="989"/>
      <c r="Z94" s="989"/>
      <c r="AA94" s="989"/>
      <c r="AB94" s="989"/>
      <c r="AC94" s="989"/>
      <c r="AD94" s="989"/>
      <c r="AE94" s="989"/>
    </row>
    <row r="95">
      <c r="A95" s="987">
        <v>2028.0</v>
      </c>
      <c r="B95" s="987" t="s">
        <v>122</v>
      </c>
      <c r="C95" s="987" t="s">
        <v>8237</v>
      </c>
      <c r="D95" s="987" t="str">
        <f>IFERROR(__xludf.DUMMYFUNCTION("SPLIT(C95,"" "")"),"Spencer")</f>
        <v>Spencer</v>
      </c>
      <c r="E95" s="987" t="str">
        <f>IFERROR(__xludf.DUMMYFUNCTION("""COMPUTED_VALUE"""),"Stephens")</f>
        <v>Stephens</v>
      </c>
      <c r="F95" s="987" t="str">
        <f t="array" ref="F95">XLOOKUP(C95,$N$96:$N$179,$O$96:$O$179,"",0,1)</f>
        <v/>
      </c>
      <c r="G95" s="987" t="s">
        <v>8193</v>
      </c>
      <c r="H95" s="992">
        <f t="shared" si="9"/>
        <v>4</v>
      </c>
      <c r="I95" s="987"/>
      <c r="J95" s="987"/>
      <c r="K95" s="989"/>
      <c r="L95" s="989"/>
      <c r="M95" s="989"/>
      <c r="N95" s="989"/>
      <c r="O95" s="989"/>
      <c r="P95" s="989"/>
      <c r="Q95" s="989"/>
      <c r="R95" s="989"/>
      <c r="S95" s="989"/>
      <c r="T95" s="989"/>
      <c r="U95" s="989"/>
      <c r="V95" s="989"/>
      <c r="W95" s="989"/>
      <c r="X95" s="989"/>
      <c r="Y95" s="989"/>
      <c r="Z95" s="989"/>
      <c r="AA95" s="989"/>
      <c r="AB95" s="989"/>
      <c r="AC95" s="989"/>
      <c r="AD95" s="989"/>
      <c r="AE95" s="989"/>
    </row>
    <row r="96">
      <c r="A96" s="987">
        <v>2028.0</v>
      </c>
      <c r="B96" s="987" t="s">
        <v>109</v>
      </c>
      <c r="C96" s="987" t="s">
        <v>8228</v>
      </c>
      <c r="D96" s="987" t="str">
        <f>IFERROR(__xludf.DUMMYFUNCTION("SPLIT(C96,"" "")"),"Ty")</f>
        <v>Ty</v>
      </c>
      <c r="E96" s="987" t="str">
        <f>IFERROR(__xludf.DUMMYFUNCTION("""COMPUTED_VALUE"""),"Deperno")</f>
        <v>Deperno</v>
      </c>
      <c r="F96" s="987" t="s">
        <v>1550</v>
      </c>
      <c r="G96" s="987" t="s">
        <v>8193</v>
      </c>
      <c r="H96" s="992">
        <f t="shared" si="9"/>
        <v>4</v>
      </c>
      <c r="I96" s="987"/>
      <c r="J96" s="987"/>
      <c r="K96" s="989"/>
      <c r="L96" s="989"/>
      <c r="M96" s="987"/>
      <c r="N96" s="989" t="s">
        <v>8211</v>
      </c>
      <c r="O96" s="987" t="s">
        <v>1550</v>
      </c>
      <c r="P96" s="989"/>
      <c r="Q96" s="989"/>
      <c r="R96" s="989"/>
      <c r="S96" s="989"/>
      <c r="T96" s="989"/>
      <c r="U96" s="989"/>
      <c r="V96" s="989"/>
      <c r="W96" s="989"/>
      <c r="X96" s="989"/>
      <c r="Y96" s="989"/>
      <c r="Z96" s="989"/>
      <c r="AA96" s="989"/>
      <c r="AB96" s="989"/>
      <c r="AC96" s="989"/>
      <c r="AD96" s="989"/>
      <c r="AE96" s="989"/>
    </row>
    <row r="97">
      <c r="A97" s="987">
        <v>2028.0</v>
      </c>
      <c r="B97" s="987" t="s">
        <v>63</v>
      </c>
      <c r="C97" s="987" t="s">
        <v>8246</v>
      </c>
      <c r="D97" s="987" t="str">
        <f>IFERROR(__xludf.DUMMYFUNCTION("SPLIT(C97,"" "")"),"David")</f>
        <v>David</v>
      </c>
      <c r="E97" s="987" t="str">
        <f>IFERROR(__xludf.DUMMYFUNCTION("""COMPUTED_VALUE"""),"Posey")</f>
        <v>Posey</v>
      </c>
      <c r="F97" s="987" t="str">
        <f t="shared" ref="F97:F98" si="11">XLOOKUP(C97,$N$96:$N$179,$O$96:$O$179,"",0,1)</f>
        <v/>
      </c>
      <c r="G97" s="987" t="s">
        <v>8194</v>
      </c>
      <c r="H97" s="992">
        <f t="shared" si="9"/>
        <v>3</v>
      </c>
      <c r="I97" s="987"/>
      <c r="J97" s="987"/>
      <c r="K97" s="989"/>
      <c r="L97" s="989"/>
      <c r="M97" s="989"/>
      <c r="N97" s="989"/>
      <c r="O97" s="989"/>
      <c r="P97" s="989"/>
      <c r="Q97" s="989"/>
      <c r="R97" s="989"/>
      <c r="S97" s="989"/>
      <c r="T97" s="989"/>
      <c r="U97" s="989"/>
      <c r="V97" s="989"/>
      <c r="W97" s="989"/>
      <c r="X97" s="989"/>
      <c r="Y97" s="989"/>
      <c r="Z97" s="989"/>
      <c r="AA97" s="989"/>
      <c r="AB97" s="989"/>
      <c r="AC97" s="989"/>
      <c r="AD97" s="989"/>
      <c r="AE97" s="989"/>
    </row>
    <row r="98">
      <c r="A98" s="987">
        <v>2028.0</v>
      </c>
      <c r="B98" s="987" t="s">
        <v>63</v>
      </c>
      <c r="C98" s="987" t="s">
        <v>8247</v>
      </c>
      <c r="D98" s="987" t="str">
        <f>IFERROR(__xludf.DUMMYFUNCTION("SPLIT(C98,"" "")"),"Jackson")</f>
        <v>Jackson</v>
      </c>
      <c r="E98" s="987" t="str">
        <f>IFERROR(__xludf.DUMMYFUNCTION("""COMPUTED_VALUE"""),"Clark")</f>
        <v>Clark</v>
      </c>
      <c r="F98" s="987" t="str">
        <f t="shared" si="11"/>
        <v/>
      </c>
      <c r="G98" s="987" t="s">
        <v>8194</v>
      </c>
      <c r="H98" s="992">
        <f t="shared" si="9"/>
        <v>3</v>
      </c>
      <c r="I98" s="987"/>
      <c r="J98" s="987"/>
      <c r="K98" s="989"/>
      <c r="L98" s="989"/>
      <c r="M98" s="989"/>
      <c r="N98" s="989"/>
      <c r="O98" s="989"/>
      <c r="P98" s="989"/>
      <c r="Q98" s="989"/>
      <c r="R98" s="989"/>
      <c r="S98" s="989"/>
      <c r="T98" s="989"/>
      <c r="U98" s="989"/>
      <c r="V98" s="989"/>
      <c r="W98" s="989"/>
      <c r="X98" s="989"/>
      <c r="Y98" s="989"/>
      <c r="Z98" s="989"/>
      <c r="AA98" s="989"/>
      <c r="AB98" s="989"/>
      <c r="AC98" s="989"/>
      <c r="AD98" s="989"/>
      <c r="AE98" s="989"/>
    </row>
    <row r="99">
      <c r="A99" s="987">
        <v>2028.0</v>
      </c>
      <c r="B99" s="987" t="s">
        <v>103</v>
      </c>
      <c r="C99" s="987" t="s">
        <v>135</v>
      </c>
      <c r="D99" s="987" t="str">
        <f>IFERROR(__xludf.DUMMYFUNCTION("SPLIT(C99,"" "")"),"Jake")</f>
        <v>Jake</v>
      </c>
      <c r="E99" s="987" t="str">
        <f>IFERROR(__xludf.DUMMYFUNCTION("""COMPUTED_VALUE"""),"Hooten")</f>
        <v>Hooten</v>
      </c>
      <c r="F99" s="987" t="s">
        <v>1550</v>
      </c>
      <c r="G99" s="987" t="s">
        <v>8194</v>
      </c>
      <c r="H99" s="992">
        <f t="shared" si="9"/>
        <v>3</v>
      </c>
      <c r="I99" s="987"/>
      <c r="J99" s="987"/>
      <c r="K99" s="989"/>
      <c r="L99" s="989"/>
      <c r="M99" s="989"/>
      <c r="N99" s="989"/>
      <c r="O99" s="989"/>
      <c r="P99" s="989"/>
      <c r="Q99" s="989"/>
      <c r="R99" s="989"/>
      <c r="S99" s="989"/>
      <c r="T99" s="989"/>
      <c r="U99" s="989"/>
      <c r="V99" s="989"/>
      <c r="W99" s="989"/>
      <c r="X99" s="989"/>
      <c r="Y99" s="989"/>
      <c r="Z99" s="989"/>
      <c r="AA99" s="989"/>
      <c r="AB99" s="989"/>
      <c r="AC99" s="989"/>
      <c r="AD99" s="989"/>
      <c r="AE99" s="989"/>
    </row>
    <row r="100">
      <c r="A100" s="987">
        <v>2028.0</v>
      </c>
      <c r="B100" s="987" t="s">
        <v>103</v>
      </c>
      <c r="C100" s="987" t="s">
        <v>7288</v>
      </c>
      <c r="D100" s="987" t="str">
        <f>IFERROR(__xludf.DUMMYFUNCTION("SPLIT(C100,"" "")"),"John")</f>
        <v>John</v>
      </c>
      <c r="E100" s="987" t="str">
        <f>IFERROR(__xludf.DUMMYFUNCTION("""COMPUTED_VALUE"""),"Loudon")</f>
        <v>Loudon</v>
      </c>
      <c r="F100" s="987" t="s">
        <v>1550</v>
      </c>
      <c r="G100" s="987" t="s">
        <v>8194</v>
      </c>
      <c r="H100" s="992">
        <f t="shared" si="9"/>
        <v>3</v>
      </c>
      <c r="I100" s="987"/>
      <c r="J100" s="987"/>
      <c r="K100" s="989"/>
      <c r="L100" s="989"/>
      <c r="M100" s="989"/>
      <c r="N100" s="989"/>
      <c r="O100" s="989"/>
      <c r="P100" s="989"/>
      <c r="Q100" s="989"/>
      <c r="R100" s="989"/>
      <c r="S100" s="989"/>
      <c r="T100" s="989"/>
      <c r="U100" s="989"/>
      <c r="V100" s="989"/>
      <c r="W100" s="989"/>
      <c r="X100" s="989"/>
      <c r="Y100" s="989"/>
      <c r="Z100" s="989"/>
      <c r="AA100" s="989"/>
      <c r="AB100" s="989"/>
      <c r="AC100" s="989"/>
      <c r="AD100" s="989"/>
      <c r="AE100" s="989"/>
    </row>
    <row r="101">
      <c r="A101" s="987">
        <v>2028.0</v>
      </c>
      <c r="B101" s="987" t="s">
        <v>72</v>
      </c>
      <c r="C101" s="987" t="s">
        <v>8230</v>
      </c>
      <c r="D101" s="987" t="str">
        <f>IFERROR(__xludf.DUMMYFUNCTION("SPLIT(C101,"" "")"),"Julian")</f>
        <v>Julian</v>
      </c>
      <c r="E101" s="987" t="str">
        <f>IFERROR(__xludf.DUMMYFUNCTION("""COMPUTED_VALUE"""),"Friedman")</f>
        <v>Friedman</v>
      </c>
      <c r="F101" s="987" t="s">
        <v>1550</v>
      </c>
      <c r="G101" s="987" t="s">
        <v>8194</v>
      </c>
      <c r="H101" s="992">
        <f t="shared" si="9"/>
        <v>3</v>
      </c>
      <c r="I101" s="987"/>
      <c r="J101" s="987"/>
      <c r="K101" s="989"/>
      <c r="L101" s="989"/>
      <c r="M101" s="989"/>
      <c r="N101" s="989"/>
      <c r="O101" s="989"/>
      <c r="P101" s="989"/>
      <c r="Q101" s="989"/>
      <c r="R101" s="989"/>
      <c r="S101" s="989"/>
      <c r="T101" s="989"/>
      <c r="U101" s="989"/>
      <c r="V101" s="989"/>
      <c r="W101" s="989"/>
      <c r="X101" s="989"/>
      <c r="Y101" s="989"/>
      <c r="Z101" s="989"/>
      <c r="AA101" s="989"/>
      <c r="AB101" s="989"/>
      <c r="AC101" s="989"/>
      <c r="AD101" s="989"/>
      <c r="AE101" s="989"/>
    </row>
    <row r="102">
      <c r="A102" s="987">
        <v>2028.0</v>
      </c>
      <c r="B102" s="987" t="s">
        <v>51</v>
      </c>
      <c r="C102" s="987" t="s">
        <v>47</v>
      </c>
      <c r="D102" s="987" t="str">
        <f>IFERROR(__xludf.DUMMYFUNCTION("SPLIT(C102,"" "")"),"Noah")</f>
        <v>Noah</v>
      </c>
      <c r="E102" s="987" t="str">
        <f>IFERROR(__xludf.DUMMYFUNCTION("""COMPUTED_VALUE"""),"Stead")</f>
        <v>Stead</v>
      </c>
      <c r="F102" s="987" t="s">
        <v>1550</v>
      </c>
      <c r="G102" s="987" t="s">
        <v>8194</v>
      </c>
      <c r="H102" s="992">
        <f t="shared" si="9"/>
        <v>3</v>
      </c>
      <c r="I102" s="987"/>
      <c r="J102" s="987"/>
      <c r="K102" s="989"/>
      <c r="L102" s="989"/>
      <c r="M102" s="987"/>
      <c r="N102" s="989" t="s">
        <v>8218</v>
      </c>
      <c r="O102" s="987" t="s">
        <v>1550</v>
      </c>
      <c r="P102" s="989"/>
      <c r="Q102" s="989"/>
      <c r="R102" s="989"/>
      <c r="S102" s="989"/>
      <c r="T102" s="989"/>
      <c r="U102" s="989"/>
      <c r="V102" s="989"/>
      <c r="W102" s="989"/>
      <c r="X102" s="989"/>
      <c r="Y102" s="989"/>
      <c r="Z102" s="989"/>
      <c r="AA102" s="989"/>
      <c r="AB102" s="989"/>
      <c r="AC102" s="989"/>
      <c r="AD102" s="989"/>
      <c r="AE102" s="989"/>
    </row>
    <row r="103">
      <c r="A103" s="987">
        <v>2028.0</v>
      </c>
      <c r="B103" s="987" t="s">
        <v>63</v>
      </c>
      <c r="C103" s="987" t="s">
        <v>62</v>
      </c>
      <c r="D103" s="987" t="str">
        <f>IFERROR(__xludf.DUMMYFUNCTION("SPLIT(C103,"" "")"),"Owen")</f>
        <v>Owen</v>
      </c>
      <c r="E103" s="987" t="str">
        <f>IFERROR(__xludf.DUMMYFUNCTION("""COMPUTED_VALUE"""),"Phypers")</f>
        <v>Phypers</v>
      </c>
      <c r="F103" s="987" t="str">
        <f t="array" ref="F103">XLOOKUP(C103,$N$96:$N$179,$O$96:$O$179,"",0,1)</f>
        <v/>
      </c>
      <c r="G103" s="987" t="s">
        <v>8194</v>
      </c>
      <c r="H103" s="992">
        <f t="shared" si="9"/>
        <v>3</v>
      </c>
      <c r="I103" s="987"/>
      <c r="J103" s="987"/>
      <c r="K103" s="989"/>
      <c r="L103" s="989"/>
      <c r="M103" s="987"/>
      <c r="N103" s="989" t="s">
        <v>8219</v>
      </c>
      <c r="O103" s="987" t="s">
        <v>1550</v>
      </c>
      <c r="P103" s="989"/>
      <c r="Q103" s="989"/>
      <c r="R103" s="989"/>
      <c r="S103" s="989"/>
      <c r="T103" s="989"/>
      <c r="U103" s="989"/>
      <c r="V103" s="989"/>
      <c r="W103" s="989"/>
      <c r="X103" s="989"/>
      <c r="Y103" s="989"/>
      <c r="Z103" s="989"/>
      <c r="AA103" s="989"/>
      <c r="AB103" s="989"/>
      <c r="AC103" s="989"/>
      <c r="AD103" s="989"/>
      <c r="AE103" s="989"/>
    </row>
    <row r="104">
      <c r="A104" s="987">
        <v>2028.0</v>
      </c>
      <c r="B104" s="987" t="s">
        <v>72</v>
      </c>
      <c r="C104" s="987" t="s">
        <v>69</v>
      </c>
      <c r="D104" s="987" t="str">
        <f>IFERROR(__xludf.DUMMYFUNCTION("SPLIT(C104,"" "")"),"Patrick")</f>
        <v>Patrick</v>
      </c>
      <c r="E104" s="987" t="str">
        <f>IFERROR(__xludf.DUMMYFUNCTION("""COMPUTED_VALUE"""),"Walsh")</f>
        <v>Walsh</v>
      </c>
      <c r="F104" s="987" t="s">
        <v>1989</v>
      </c>
      <c r="G104" s="987" t="s">
        <v>8194</v>
      </c>
      <c r="H104" s="992">
        <f t="shared" si="9"/>
        <v>3</v>
      </c>
      <c r="I104" s="987"/>
      <c r="J104" s="987"/>
      <c r="K104" s="989"/>
      <c r="L104" s="989"/>
      <c r="M104" s="987"/>
      <c r="N104" s="989" t="s">
        <v>8214</v>
      </c>
      <c r="O104" s="987" t="s">
        <v>1989</v>
      </c>
      <c r="P104" s="989"/>
      <c r="Q104" s="989"/>
      <c r="R104" s="989"/>
      <c r="S104" s="989"/>
      <c r="T104" s="989"/>
      <c r="U104" s="989"/>
      <c r="V104" s="989"/>
      <c r="W104" s="989"/>
      <c r="X104" s="989"/>
      <c r="Y104" s="989"/>
      <c r="Z104" s="989"/>
      <c r="AA104" s="989"/>
      <c r="AB104" s="989"/>
      <c r="AC104" s="989"/>
      <c r="AD104" s="989"/>
      <c r="AE104" s="989"/>
    </row>
    <row r="105">
      <c r="A105" s="987">
        <v>2028.0</v>
      </c>
      <c r="B105" s="987" t="s">
        <v>63</v>
      </c>
      <c r="C105" s="987" t="s">
        <v>8625</v>
      </c>
      <c r="D105" s="987" t="str">
        <f>IFERROR(__xludf.DUMMYFUNCTION("SPLIT(C105,"" "")"),"Sachin")</f>
        <v>Sachin</v>
      </c>
      <c r="E105" s="987" t="str">
        <f>IFERROR(__xludf.DUMMYFUNCTION("""COMPUTED_VALUE"""),"Gopel")</f>
        <v>Gopel</v>
      </c>
      <c r="F105" s="987" t="str">
        <f t="array" ref="F105">XLOOKUP(C105,$N$96:$N$179,$O$96:$O$179,"",0,1)</f>
        <v/>
      </c>
      <c r="G105" s="987" t="s">
        <v>8194</v>
      </c>
      <c r="H105" s="992">
        <f t="shared" si="9"/>
        <v>3</v>
      </c>
      <c r="I105" s="987"/>
      <c r="J105" s="987"/>
      <c r="K105" s="989"/>
      <c r="L105" s="989"/>
      <c r="M105" s="987"/>
      <c r="N105" s="989" t="s">
        <v>8220</v>
      </c>
      <c r="O105" s="987" t="s">
        <v>1989</v>
      </c>
      <c r="P105" s="989"/>
      <c r="Q105" s="989"/>
      <c r="R105" s="989"/>
      <c r="S105" s="989"/>
      <c r="T105" s="989"/>
      <c r="U105" s="989"/>
      <c r="V105" s="989"/>
      <c r="W105" s="989"/>
      <c r="X105" s="989"/>
      <c r="Y105" s="989"/>
      <c r="Z105" s="989"/>
      <c r="AA105" s="989"/>
      <c r="AB105" s="989"/>
      <c r="AC105" s="989"/>
      <c r="AD105" s="989"/>
      <c r="AE105" s="989"/>
    </row>
    <row r="106">
      <c r="A106" s="987">
        <v>2028.0</v>
      </c>
      <c r="B106" s="987" t="s">
        <v>109</v>
      </c>
      <c r="C106" s="987" t="s">
        <v>108</v>
      </c>
      <c r="D106" s="987" t="str">
        <f>IFERROR(__xludf.DUMMYFUNCTION("SPLIT(C106,"" "")"),"Will")</f>
        <v>Will</v>
      </c>
      <c r="E106" s="987" t="str">
        <f>IFERROR(__xludf.DUMMYFUNCTION("""COMPUTED_VALUE"""),"Howard")</f>
        <v>Howard</v>
      </c>
      <c r="F106" s="987" t="s">
        <v>1550</v>
      </c>
      <c r="G106" s="987" t="s">
        <v>8194</v>
      </c>
      <c r="H106" s="992">
        <f t="shared" si="9"/>
        <v>3</v>
      </c>
      <c r="I106" s="987"/>
      <c r="J106" s="987"/>
      <c r="K106" s="989"/>
      <c r="L106" s="989"/>
      <c r="M106" s="987"/>
      <c r="N106" s="989" t="s">
        <v>8225</v>
      </c>
      <c r="O106" s="987" t="s">
        <v>1550</v>
      </c>
      <c r="P106" s="989"/>
      <c r="Q106" s="989"/>
      <c r="R106" s="989"/>
      <c r="S106" s="989"/>
      <c r="T106" s="989"/>
      <c r="U106" s="989"/>
      <c r="V106" s="989"/>
      <c r="W106" s="989"/>
      <c r="X106" s="989"/>
      <c r="Y106" s="989"/>
      <c r="Z106" s="989"/>
      <c r="AA106" s="989"/>
      <c r="AB106" s="989"/>
      <c r="AC106" s="989"/>
      <c r="AD106" s="989"/>
      <c r="AE106" s="989"/>
    </row>
    <row r="107">
      <c r="A107" s="987">
        <v>2028.0</v>
      </c>
      <c r="B107" s="987" t="s">
        <v>103</v>
      </c>
      <c r="C107" s="987" t="s">
        <v>1372</v>
      </c>
      <c r="D107" s="987" t="str">
        <f>IFERROR(__xludf.DUMMYFUNCTION("SPLIT(C107,"" "")"),"Ace")</f>
        <v>Ace</v>
      </c>
      <c r="E107" s="987" t="str">
        <f>IFERROR(__xludf.DUMMYFUNCTION("""COMPUTED_VALUE"""),"Tarango")</f>
        <v>Tarango</v>
      </c>
      <c r="F107" s="987" t="s">
        <v>1550</v>
      </c>
      <c r="G107" s="987" t="s">
        <v>8196</v>
      </c>
      <c r="H107" s="992">
        <f t="shared" si="9"/>
        <v>2</v>
      </c>
      <c r="I107" s="987"/>
      <c r="J107" s="987"/>
      <c r="K107" s="989"/>
      <c r="L107" s="989"/>
      <c r="M107" s="989"/>
      <c r="N107" s="989"/>
      <c r="O107" s="989"/>
      <c r="P107" s="989"/>
      <c r="Q107" s="989"/>
      <c r="R107" s="989"/>
      <c r="S107" s="989"/>
      <c r="T107" s="989"/>
      <c r="U107" s="989"/>
      <c r="V107" s="989"/>
      <c r="W107" s="989"/>
      <c r="X107" s="989"/>
      <c r="Y107" s="989"/>
      <c r="Z107" s="989"/>
      <c r="AA107" s="989"/>
      <c r="AB107" s="989"/>
      <c r="AC107" s="989"/>
      <c r="AD107" s="989"/>
      <c r="AE107" s="989"/>
    </row>
    <row r="108">
      <c r="A108" s="987">
        <v>2028.0</v>
      </c>
      <c r="B108" s="987" t="s">
        <v>63</v>
      </c>
      <c r="C108" s="987" t="s">
        <v>1382</v>
      </c>
      <c r="D108" s="987" t="str">
        <f>IFERROR(__xludf.DUMMYFUNCTION("SPLIT(C108,"" "")"),"Brian")</f>
        <v>Brian</v>
      </c>
      <c r="E108" s="987" t="str">
        <f>IFERROR(__xludf.DUMMYFUNCTION("""COMPUTED_VALUE"""),"Mancinelli")</f>
        <v>Mancinelli</v>
      </c>
      <c r="F108" s="987" t="str">
        <f t="array" ref="F108">XLOOKUP(C108,$N$96:$N$179,$O$96:$O$179,"",0,1)</f>
        <v/>
      </c>
      <c r="G108" s="987" t="s">
        <v>8196</v>
      </c>
      <c r="H108" s="992">
        <f t="shared" si="9"/>
        <v>2</v>
      </c>
      <c r="I108" s="987"/>
      <c r="J108" s="987"/>
      <c r="K108" s="989"/>
      <c r="L108" s="989"/>
      <c r="M108" s="989"/>
      <c r="N108" s="989"/>
      <c r="O108" s="989"/>
      <c r="P108" s="989"/>
      <c r="Q108" s="989"/>
      <c r="R108" s="989"/>
      <c r="S108" s="989"/>
      <c r="T108" s="989"/>
      <c r="U108" s="989"/>
      <c r="V108" s="989"/>
      <c r="W108" s="989"/>
      <c r="X108" s="989"/>
      <c r="Y108" s="989"/>
      <c r="Z108" s="989"/>
      <c r="AA108" s="989"/>
      <c r="AB108" s="989"/>
      <c r="AC108" s="989"/>
      <c r="AD108" s="989"/>
      <c r="AE108" s="989"/>
    </row>
    <row r="109">
      <c r="A109" s="987">
        <v>2028.0</v>
      </c>
      <c r="B109" s="987" t="s">
        <v>51</v>
      </c>
      <c r="C109" s="987" t="s">
        <v>1390</v>
      </c>
      <c r="D109" s="987" t="str">
        <f>IFERROR(__xludf.DUMMYFUNCTION("SPLIT(C109,"" "")"),"Brooks")</f>
        <v>Brooks</v>
      </c>
      <c r="E109" s="987" t="str">
        <f>IFERROR(__xludf.DUMMYFUNCTION("""COMPUTED_VALUE"""),"Franklin")</f>
        <v>Franklin</v>
      </c>
      <c r="F109" s="987" t="s">
        <v>1989</v>
      </c>
      <c r="G109" s="987" t="s">
        <v>8196</v>
      </c>
      <c r="H109" s="992">
        <f t="shared" si="9"/>
        <v>2</v>
      </c>
      <c r="I109" s="987"/>
      <c r="J109" s="987"/>
      <c r="K109" s="989"/>
      <c r="L109" s="989"/>
      <c r="M109" s="989"/>
      <c r="N109" s="989"/>
      <c r="O109" s="989"/>
      <c r="P109" s="989"/>
      <c r="Q109" s="989"/>
      <c r="R109" s="989"/>
      <c r="S109" s="989"/>
      <c r="T109" s="989"/>
      <c r="U109" s="989"/>
      <c r="V109" s="989"/>
      <c r="W109" s="989"/>
      <c r="X109" s="989"/>
      <c r="Y109" s="989"/>
      <c r="Z109" s="989"/>
      <c r="AA109" s="989"/>
      <c r="AB109" s="989"/>
      <c r="AC109" s="989"/>
      <c r="AD109" s="989"/>
      <c r="AE109" s="989"/>
    </row>
    <row r="110">
      <c r="A110" s="987">
        <v>2028.0</v>
      </c>
      <c r="B110" s="987" t="s">
        <v>51</v>
      </c>
      <c r="C110" s="388" t="s">
        <v>9098</v>
      </c>
      <c r="D110" s="391"/>
      <c r="E110" s="391"/>
      <c r="F110" s="987" t="s">
        <v>1550</v>
      </c>
      <c r="G110" s="987" t="s">
        <v>8196</v>
      </c>
      <c r="H110" s="992">
        <f t="shared" si="9"/>
        <v>2</v>
      </c>
      <c r="I110" s="987"/>
      <c r="J110" s="987"/>
      <c r="K110" s="989"/>
      <c r="L110" s="989"/>
      <c r="M110" s="989"/>
      <c r="N110" s="989"/>
      <c r="O110" s="989"/>
      <c r="P110" s="989"/>
      <c r="Q110" s="989"/>
      <c r="R110" s="989"/>
      <c r="S110" s="989"/>
      <c r="T110" s="989"/>
      <c r="U110" s="989"/>
      <c r="V110" s="989"/>
      <c r="W110" s="989"/>
      <c r="X110" s="989"/>
      <c r="Y110" s="989"/>
      <c r="Z110" s="989"/>
      <c r="AA110" s="989"/>
      <c r="AB110" s="989"/>
      <c r="AC110" s="989"/>
      <c r="AD110" s="989"/>
      <c r="AE110" s="989"/>
    </row>
    <row r="111">
      <c r="A111" s="987">
        <v>2028.0</v>
      </c>
      <c r="B111" s="987" t="s">
        <v>51</v>
      </c>
      <c r="C111" s="987" t="s">
        <v>6885</v>
      </c>
      <c r="D111" s="987" t="str">
        <f>IFERROR(__xludf.DUMMYFUNCTION("SPLIT(C111,"" "")"),"Cory")</f>
        <v>Cory</v>
      </c>
      <c r="E111" s="987" t="str">
        <f>IFERROR(__xludf.DUMMYFUNCTION("""COMPUTED_VALUE"""),"Carver")</f>
        <v>Carver</v>
      </c>
      <c r="F111" s="987" t="s">
        <v>1550</v>
      </c>
      <c r="G111" s="987" t="s">
        <v>8196</v>
      </c>
      <c r="H111" s="992">
        <f t="shared" si="9"/>
        <v>2</v>
      </c>
      <c r="I111" s="987"/>
      <c r="J111" s="987"/>
      <c r="K111" s="989"/>
      <c r="L111" s="989"/>
      <c r="M111" s="989"/>
      <c r="N111" s="989"/>
      <c r="O111" s="989"/>
      <c r="P111" s="989"/>
      <c r="Q111" s="989"/>
      <c r="R111" s="989"/>
      <c r="S111" s="989"/>
      <c r="T111" s="989"/>
      <c r="U111" s="989"/>
      <c r="V111" s="989"/>
      <c r="W111" s="989"/>
      <c r="X111" s="989"/>
      <c r="Y111" s="989"/>
      <c r="Z111" s="989"/>
      <c r="AA111" s="989"/>
      <c r="AB111" s="989"/>
      <c r="AC111" s="989"/>
      <c r="AD111" s="989"/>
      <c r="AE111" s="989"/>
    </row>
    <row r="112">
      <c r="A112" s="987">
        <v>2028.0</v>
      </c>
      <c r="B112" s="987" t="s">
        <v>122</v>
      </c>
      <c r="C112" s="987" t="s">
        <v>1416</v>
      </c>
      <c r="D112" s="987" t="str">
        <f>IFERROR(__xludf.DUMMYFUNCTION("SPLIT(C112,"" "")"),"Garrison")</f>
        <v>Garrison</v>
      </c>
      <c r="E112" s="987" t="str">
        <f>IFERROR(__xludf.DUMMYFUNCTION("""COMPUTED_VALUE"""),"Wade")</f>
        <v>Wade</v>
      </c>
      <c r="F112" s="987" t="str">
        <f t="array" ref="F112">XLOOKUP(C112,$N$96:$N$179,$O$96:$O$179,"",0,1)</f>
        <v/>
      </c>
      <c r="G112" s="987" t="s">
        <v>8196</v>
      </c>
      <c r="H112" s="992">
        <f t="shared" si="9"/>
        <v>2</v>
      </c>
      <c r="I112" s="987"/>
      <c r="J112" s="987"/>
      <c r="K112" s="989"/>
      <c r="L112" s="989"/>
      <c r="M112" s="987"/>
      <c r="N112" s="989" t="s">
        <v>69</v>
      </c>
      <c r="O112" s="987" t="s">
        <v>1989</v>
      </c>
      <c r="P112" s="989"/>
      <c r="Q112" s="989"/>
      <c r="R112" s="989"/>
      <c r="S112" s="989"/>
      <c r="T112" s="989"/>
      <c r="U112" s="989"/>
      <c r="V112" s="989"/>
      <c r="W112" s="989"/>
      <c r="X112" s="989"/>
      <c r="Y112" s="989"/>
      <c r="Z112" s="989"/>
      <c r="AA112" s="989"/>
      <c r="AB112" s="989"/>
      <c r="AC112" s="989"/>
      <c r="AD112" s="989"/>
      <c r="AE112" s="989"/>
    </row>
    <row r="113">
      <c r="A113" s="575">
        <v>2028.0</v>
      </c>
      <c r="B113" s="575" t="s">
        <v>63</v>
      </c>
      <c r="C113" s="575" t="s">
        <v>1421</v>
      </c>
      <c r="D113" s="987" t="str">
        <f>IFERROR(__xludf.DUMMYFUNCTION("SPLIT(C113,"" "")"),"Hawk")</f>
        <v>Hawk</v>
      </c>
      <c r="E113" s="987" t="str">
        <f>IFERROR(__xludf.DUMMYFUNCTION("""COMPUTED_VALUE"""),"Stickney")</f>
        <v>Stickney</v>
      </c>
      <c r="F113" s="290"/>
      <c r="G113" s="575" t="s">
        <v>8196</v>
      </c>
      <c r="H113" s="992">
        <f t="shared" si="9"/>
        <v>2</v>
      </c>
      <c r="I113" s="987"/>
      <c r="J113" s="987"/>
      <c r="K113" s="989"/>
      <c r="L113" s="989"/>
      <c r="M113" s="987"/>
      <c r="N113" s="989" t="s">
        <v>8230</v>
      </c>
      <c r="O113" s="987" t="s">
        <v>1550</v>
      </c>
      <c r="P113" s="989"/>
      <c r="Q113" s="989"/>
      <c r="R113" s="989"/>
      <c r="S113" s="989"/>
      <c r="T113" s="989"/>
      <c r="U113" s="989"/>
      <c r="V113" s="989"/>
      <c r="W113" s="989"/>
      <c r="X113" s="989"/>
      <c r="Y113" s="989"/>
      <c r="Z113" s="989"/>
      <c r="AA113" s="989"/>
      <c r="AB113" s="989"/>
      <c r="AC113" s="989"/>
      <c r="AD113" s="989"/>
      <c r="AE113" s="989"/>
    </row>
    <row r="114">
      <c r="A114" s="575">
        <v>2028.0</v>
      </c>
      <c r="B114" s="575" t="s">
        <v>51</v>
      </c>
      <c r="C114" s="575" t="s">
        <v>8676</v>
      </c>
      <c r="D114" s="987" t="str">
        <f>IFERROR(__xludf.DUMMYFUNCTION("SPLIT(C114,"" "")"),"Jake")</f>
        <v>Jake</v>
      </c>
      <c r="E114" s="987" t="str">
        <f>IFERROR(__xludf.DUMMYFUNCTION("""COMPUTED_VALUE"""),"Cesarz")</f>
        <v>Cesarz</v>
      </c>
      <c r="F114" s="575" t="s">
        <v>1550</v>
      </c>
      <c r="G114" s="575" t="s">
        <v>8196</v>
      </c>
      <c r="H114" s="992">
        <f t="shared" si="9"/>
        <v>2</v>
      </c>
      <c r="I114" s="987"/>
      <c r="J114" s="987"/>
      <c r="K114" s="989"/>
      <c r="L114" s="989"/>
      <c r="M114" s="987"/>
      <c r="N114" s="989" t="s">
        <v>7288</v>
      </c>
      <c r="O114" s="987" t="s">
        <v>1550</v>
      </c>
      <c r="P114" s="989"/>
      <c r="Q114" s="989"/>
      <c r="R114" s="989"/>
      <c r="S114" s="989"/>
      <c r="T114" s="989"/>
      <c r="U114" s="989"/>
      <c r="V114" s="989"/>
      <c r="W114" s="989"/>
      <c r="X114" s="989"/>
      <c r="Y114" s="989"/>
      <c r="Z114" s="989"/>
      <c r="AA114" s="989"/>
      <c r="AB114" s="989"/>
      <c r="AC114" s="989"/>
      <c r="AD114" s="989"/>
      <c r="AE114" s="989"/>
    </row>
    <row r="115">
      <c r="A115" s="987">
        <v>2028.0</v>
      </c>
      <c r="B115" s="987" t="s">
        <v>109</v>
      </c>
      <c r="C115" s="987" t="s">
        <v>1440</v>
      </c>
      <c r="D115" s="987" t="str">
        <f>IFERROR(__xludf.DUMMYFUNCTION("SPLIT(C115,"" "")"),"Keaton")</f>
        <v>Keaton</v>
      </c>
      <c r="E115" s="987" t="str">
        <f>IFERROR(__xludf.DUMMYFUNCTION("""COMPUTED_VALUE"""),"Bowers")</f>
        <v>Bowers</v>
      </c>
      <c r="F115" s="987" t="s">
        <v>1989</v>
      </c>
      <c r="G115" s="987" t="s">
        <v>8196</v>
      </c>
      <c r="H115" s="992">
        <f t="shared" si="9"/>
        <v>2</v>
      </c>
      <c r="I115" s="987"/>
      <c r="J115" s="987"/>
      <c r="K115" s="989"/>
      <c r="L115" s="989"/>
      <c r="M115" s="987"/>
      <c r="N115" s="989" t="s">
        <v>135</v>
      </c>
      <c r="O115" s="987" t="s">
        <v>1550</v>
      </c>
      <c r="P115" s="989"/>
      <c r="Q115" s="989"/>
      <c r="R115" s="989"/>
      <c r="S115" s="989"/>
      <c r="T115" s="989"/>
      <c r="U115" s="989"/>
      <c r="V115" s="989"/>
      <c r="W115" s="989"/>
      <c r="X115" s="989"/>
      <c r="Y115" s="989"/>
      <c r="Z115" s="989"/>
      <c r="AA115" s="989"/>
      <c r="AB115" s="989"/>
      <c r="AC115" s="989"/>
      <c r="AD115" s="989"/>
      <c r="AE115" s="989"/>
    </row>
    <row r="116">
      <c r="A116" s="987"/>
      <c r="B116" s="987"/>
      <c r="C116" s="987"/>
      <c r="D116" s="987"/>
      <c r="E116" s="987"/>
      <c r="F116" s="987"/>
      <c r="G116" s="987"/>
      <c r="H116" s="992"/>
      <c r="I116" s="987"/>
      <c r="J116" s="987"/>
      <c r="K116" s="989"/>
      <c r="L116" s="989"/>
      <c r="M116" s="987"/>
      <c r="N116" s="989" t="s">
        <v>102</v>
      </c>
      <c r="O116" s="987" t="s">
        <v>2324</v>
      </c>
      <c r="P116" s="989"/>
      <c r="Q116" s="989"/>
      <c r="R116" s="989"/>
      <c r="S116" s="989"/>
      <c r="T116" s="989"/>
      <c r="U116" s="989"/>
      <c r="V116" s="989"/>
      <c r="W116" s="989"/>
      <c r="X116" s="989"/>
      <c r="Y116" s="989"/>
      <c r="Z116" s="989"/>
      <c r="AA116" s="989"/>
      <c r="AB116" s="989"/>
      <c r="AC116" s="989"/>
      <c r="AD116" s="989"/>
      <c r="AE116" s="989"/>
    </row>
    <row r="117">
      <c r="A117" s="987">
        <v>2028.0</v>
      </c>
      <c r="B117" s="987" t="s">
        <v>122</v>
      </c>
      <c r="C117" s="987" t="s">
        <v>1454</v>
      </c>
      <c r="D117" s="987" t="str">
        <f>IFERROR(__xludf.DUMMYFUNCTION("SPLIT(C117,"" "")"),"Noah")</f>
        <v>Noah</v>
      </c>
      <c r="E117" s="987" t="str">
        <f>IFERROR(__xludf.DUMMYFUNCTION("""COMPUTED_VALUE"""),"Hummel")</f>
        <v>Hummel</v>
      </c>
      <c r="F117" s="987" t="str">
        <f t="array" ref="F117">XLOOKUP(C117,$N$96:$N$179,$O$96:$O$179,"",0,1)</f>
        <v/>
      </c>
      <c r="G117" s="987" t="s">
        <v>8196</v>
      </c>
      <c r="H117" s="992">
        <f t="shared" ref="H117:H126" si="12">XLOOKUP(G117,R:R,S:S,"",0,1)</f>
        <v>2</v>
      </c>
      <c r="I117" s="987"/>
      <c r="J117" s="987"/>
      <c r="K117" s="989"/>
      <c r="L117" s="989"/>
      <c r="M117" s="987"/>
      <c r="N117" s="989" t="s">
        <v>108</v>
      </c>
      <c r="O117" s="987" t="s">
        <v>1550</v>
      </c>
      <c r="P117" s="989"/>
      <c r="Q117" s="989"/>
      <c r="R117" s="989"/>
      <c r="S117" s="989"/>
      <c r="T117" s="989"/>
      <c r="U117" s="989"/>
      <c r="V117" s="989"/>
      <c r="W117" s="989"/>
      <c r="X117" s="989"/>
      <c r="Y117" s="989"/>
      <c r="Z117" s="989"/>
      <c r="AA117" s="989"/>
      <c r="AB117" s="989"/>
      <c r="AC117" s="989"/>
      <c r="AD117" s="989"/>
      <c r="AE117" s="989"/>
    </row>
    <row r="118">
      <c r="A118" s="987">
        <v>2028.0</v>
      </c>
      <c r="B118" s="987" t="s">
        <v>63</v>
      </c>
      <c r="C118" s="987" t="s">
        <v>1469</v>
      </c>
      <c r="D118" s="987" t="str">
        <f>IFERROR(__xludf.DUMMYFUNCTION("SPLIT(C118,"" "")"),"Santiago")</f>
        <v>Santiago</v>
      </c>
      <c r="E118" s="987" t="str">
        <f>IFERROR(__xludf.DUMMYFUNCTION("""COMPUTED_VALUE"""),"Arismendi")</f>
        <v>Arismendi</v>
      </c>
      <c r="F118" s="987"/>
      <c r="G118" s="987" t="s">
        <v>8196</v>
      </c>
      <c r="H118" s="992">
        <f t="shared" si="12"/>
        <v>2</v>
      </c>
      <c r="I118" s="989"/>
      <c r="J118" s="989"/>
      <c r="K118" s="989"/>
      <c r="L118" s="989"/>
      <c r="M118" s="987"/>
      <c r="N118" s="989" t="s">
        <v>47</v>
      </c>
      <c r="O118" s="987" t="s">
        <v>1550</v>
      </c>
      <c r="P118" s="989"/>
      <c r="Q118" s="989"/>
      <c r="R118" s="989"/>
      <c r="S118" s="989"/>
      <c r="T118" s="989"/>
      <c r="U118" s="989"/>
      <c r="V118" s="989"/>
      <c r="W118" s="989"/>
      <c r="X118" s="989"/>
      <c r="Y118" s="989"/>
      <c r="Z118" s="989"/>
      <c r="AA118" s="989"/>
      <c r="AB118" s="989"/>
      <c r="AC118" s="989"/>
      <c r="AD118" s="989"/>
      <c r="AE118" s="989"/>
    </row>
    <row r="119">
      <c r="A119" s="575">
        <v>2028.0</v>
      </c>
      <c r="B119" s="575" t="s">
        <v>63</v>
      </c>
      <c r="C119" s="575" t="s">
        <v>1459</v>
      </c>
      <c r="D119" s="987" t="str">
        <f>IFERROR(__xludf.DUMMYFUNCTION("SPLIT(C119,"" "")"),"Tyler")</f>
        <v>Tyler</v>
      </c>
      <c r="E119" s="987" t="str">
        <f>IFERROR(__xludf.DUMMYFUNCTION("""COMPUTED_VALUE"""),"Reeder")</f>
        <v>Reeder</v>
      </c>
      <c r="F119" s="290"/>
      <c r="G119" s="575" t="s">
        <v>8196</v>
      </c>
      <c r="H119" s="992">
        <f t="shared" si="12"/>
        <v>2</v>
      </c>
      <c r="I119" s="989"/>
      <c r="J119" s="989"/>
      <c r="K119" s="989"/>
      <c r="L119" s="989"/>
      <c r="M119" s="987"/>
      <c r="N119" s="989" t="s">
        <v>1440</v>
      </c>
      <c r="O119" s="987" t="s">
        <v>1989</v>
      </c>
      <c r="P119" s="989"/>
      <c r="Q119" s="989"/>
      <c r="R119" s="989"/>
      <c r="S119" s="989"/>
      <c r="T119" s="989"/>
      <c r="U119" s="989"/>
      <c r="V119" s="989"/>
      <c r="W119" s="989"/>
      <c r="X119" s="989"/>
      <c r="Y119" s="989"/>
      <c r="Z119" s="989"/>
      <c r="AA119" s="989"/>
      <c r="AB119" s="989"/>
      <c r="AC119" s="989"/>
      <c r="AD119" s="989"/>
      <c r="AE119" s="989"/>
    </row>
    <row r="120">
      <c r="A120" s="575">
        <v>2028.0</v>
      </c>
      <c r="B120" s="575" t="s">
        <v>109</v>
      </c>
      <c r="C120" s="575" t="s">
        <v>2827</v>
      </c>
      <c r="D120" s="987" t="str">
        <f>IFERROR(__xludf.DUMMYFUNCTION("SPLIT(C120,"" "")"),"Caleb")</f>
        <v>Caleb</v>
      </c>
      <c r="E120" s="987" t="str">
        <f>IFERROR(__xludf.DUMMYFUNCTION("""COMPUTED_VALUE"""),"Flannery")</f>
        <v>Flannery</v>
      </c>
      <c r="F120" s="575" t="s">
        <v>1550</v>
      </c>
      <c r="G120" s="575" t="s">
        <v>8198</v>
      </c>
      <c r="H120" s="992">
        <f t="shared" si="12"/>
        <v>1</v>
      </c>
      <c r="I120" s="989"/>
      <c r="J120" s="989"/>
      <c r="K120" s="989"/>
      <c r="L120" s="989"/>
      <c r="M120" s="987"/>
      <c r="N120" s="989" t="s">
        <v>1390</v>
      </c>
      <c r="O120" s="987" t="s">
        <v>1989</v>
      </c>
      <c r="P120" s="989"/>
      <c r="Q120" s="989"/>
      <c r="R120" s="989"/>
      <c r="S120" s="989"/>
      <c r="T120" s="989"/>
      <c r="U120" s="989"/>
      <c r="V120" s="989"/>
      <c r="W120" s="989"/>
      <c r="X120" s="989"/>
      <c r="Y120" s="989"/>
      <c r="Z120" s="989"/>
      <c r="AA120" s="989"/>
      <c r="AB120" s="989"/>
      <c r="AC120" s="989"/>
      <c r="AD120" s="989"/>
      <c r="AE120" s="989"/>
    </row>
    <row r="121">
      <c r="A121" s="987">
        <v>2028.0</v>
      </c>
      <c r="B121" s="987" t="s">
        <v>63</v>
      </c>
      <c r="C121" s="987" t="s">
        <v>2863</v>
      </c>
      <c r="D121" s="987" t="str">
        <f>IFERROR(__xludf.DUMMYFUNCTION("SPLIT(C121,"" "")"),"Ethan")</f>
        <v>Ethan</v>
      </c>
      <c r="E121" s="987" t="str">
        <f>IFERROR(__xludf.DUMMYFUNCTION("""COMPUTED_VALUE"""),"Wisler")</f>
        <v>Wisler</v>
      </c>
      <c r="F121" s="987"/>
      <c r="G121" s="987" t="s">
        <v>8198</v>
      </c>
      <c r="H121" s="992">
        <f t="shared" si="12"/>
        <v>1</v>
      </c>
      <c r="I121" s="989"/>
      <c r="J121" s="989"/>
      <c r="K121" s="989"/>
      <c r="L121" s="989"/>
      <c r="M121" s="987"/>
      <c r="N121" s="989" t="s">
        <v>2827</v>
      </c>
      <c r="O121" s="987" t="s">
        <v>1550</v>
      </c>
      <c r="P121" s="989"/>
      <c r="Q121" s="989"/>
      <c r="R121" s="989"/>
      <c r="S121" s="989"/>
      <c r="T121" s="989"/>
      <c r="U121" s="989"/>
      <c r="V121" s="989"/>
      <c r="W121" s="989"/>
      <c r="X121" s="989"/>
      <c r="Y121" s="989"/>
      <c r="Z121" s="989"/>
      <c r="AA121" s="989"/>
      <c r="AB121" s="989"/>
      <c r="AC121" s="989"/>
      <c r="AD121" s="989"/>
      <c r="AE121" s="989"/>
    </row>
    <row r="122">
      <c r="A122" s="987">
        <v>2028.0</v>
      </c>
      <c r="B122" s="987" t="s">
        <v>51</v>
      </c>
      <c r="C122" s="987" t="s">
        <v>2856</v>
      </c>
      <c r="D122" s="987" t="str">
        <f>IFERROR(__xludf.DUMMYFUNCTION("SPLIT(C122,"" "")"),"Stevie")</f>
        <v>Stevie</v>
      </c>
      <c r="E122" s="987" t="str">
        <f>IFERROR(__xludf.DUMMYFUNCTION("""COMPUTED_VALUE"""),"Wellens")</f>
        <v>Wellens</v>
      </c>
      <c r="F122" s="987" t="s">
        <v>1550</v>
      </c>
      <c r="G122" s="987" t="s">
        <v>8198</v>
      </c>
      <c r="H122" s="992">
        <f t="shared" si="12"/>
        <v>1</v>
      </c>
      <c r="I122" s="989"/>
      <c r="J122" s="989"/>
      <c r="K122" s="989"/>
      <c r="L122" s="989"/>
      <c r="M122" s="987"/>
      <c r="N122" s="989"/>
      <c r="O122" s="989"/>
      <c r="P122" s="989"/>
      <c r="Q122" s="989"/>
      <c r="R122" s="989"/>
      <c r="S122" s="989"/>
      <c r="T122" s="989"/>
      <c r="U122" s="989"/>
      <c r="V122" s="989"/>
      <c r="W122" s="989"/>
      <c r="X122" s="989"/>
      <c r="Y122" s="989"/>
      <c r="Z122" s="989"/>
      <c r="AA122" s="989"/>
      <c r="AB122" s="989"/>
      <c r="AC122" s="989"/>
      <c r="AD122" s="989"/>
      <c r="AE122" s="989"/>
    </row>
    <row r="123">
      <c r="A123" s="575">
        <v>2028.0</v>
      </c>
      <c r="B123" s="575" t="s">
        <v>51</v>
      </c>
      <c r="C123" s="575" t="s">
        <v>2836</v>
      </c>
      <c r="D123" s="987" t="str">
        <f>IFERROR(__xludf.DUMMYFUNCTION("SPLIT(C123,"" "")"),"Zach")</f>
        <v>Zach</v>
      </c>
      <c r="E123" s="987" t="str">
        <f>IFERROR(__xludf.DUMMYFUNCTION("""COMPUTED_VALUE"""),"Madar")</f>
        <v>Madar</v>
      </c>
      <c r="F123" s="575" t="s">
        <v>1550</v>
      </c>
      <c r="G123" s="575" t="s">
        <v>8198</v>
      </c>
      <c r="H123" s="992">
        <f t="shared" si="12"/>
        <v>1</v>
      </c>
      <c r="I123" s="989"/>
      <c r="J123" s="989"/>
      <c r="K123" s="989"/>
      <c r="L123" s="989"/>
      <c r="M123" s="987"/>
      <c r="N123" s="989"/>
      <c r="O123" s="989"/>
      <c r="P123" s="989"/>
      <c r="Q123" s="989"/>
      <c r="R123" s="989"/>
      <c r="S123" s="989"/>
      <c r="T123" s="989"/>
      <c r="U123" s="989"/>
      <c r="V123" s="989"/>
      <c r="W123" s="989"/>
      <c r="X123" s="989"/>
      <c r="Y123" s="989"/>
      <c r="Z123" s="989"/>
      <c r="AA123" s="989"/>
      <c r="AB123" s="989"/>
      <c r="AC123" s="989"/>
      <c r="AD123" s="989"/>
      <c r="AE123" s="989"/>
    </row>
    <row r="124">
      <c r="A124" s="575">
        <v>2028.0</v>
      </c>
      <c r="B124" s="575" t="s">
        <v>63</v>
      </c>
      <c r="C124" s="575" t="s">
        <v>9099</v>
      </c>
      <c r="D124" s="987" t="str">
        <f>IFERROR(__xludf.DUMMYFUNCTION("SPLIT(C124,"" "")"),"Jack")</f>
        <v>Jack</v>
      </c>
      <c r="E124" s="987" t="str">
        <f>IFERROR(__xludf.DUMMYFUNCTION("""COMPUTED_VALUE"""),"VanGemert")</f>
        <v>VanGemert</v>
      </c>
      <c r="F124" s="290"/>
      <c r="G124" s="575" t="s">
        <v>8198</v>
      </c>
      <c r="H124" s="992">
        <f t="shared" si="12"/>
        <v>1</v>
      </c>
      <c r="I124" s="989"/>
      <c r="J124" s="989"/>
      <c r="K124" s="989"/>
      <c r="L124" s="989"/>
      <c r="M124" s="987"/>
      <c r="N124" s="989"/>
      <c r="O124" s="989"/>
      <c r="P124" s="989"/>
      <c r="Q124" s="989"/>
      <c r="R124" s="989"/>
      <c r="S124" s="989"/>
      <c r="T124" s="989"/>
      <c r="U124" s="989"/>
      <c r="V124" s="989"/>
      <c r="W124" s="989"/>
      <c r="X124" s="989"/>
      <c r="Y124" s="989"/>
      <c r="Z124" s="989"/>
      <c r="AA124" s="989"/>
      <c r="AB124" s="989"/>
      <c r="AC124" s="989"/>
      <c r="AD124" s="989"/>
      <c r="AE124" s="989"/>
    </row>
    <row r="125">
      <c r="A125" s="575">
        <v>2028.0</v>
      </c>
      <c r="B125" s="575" t="s">
        <v>63</v>
      </c>
      <c r="C125" s="575" t="s">
        <v>2818</v>
      </c>
      <c r="D125" s="987" t="str">
        <f>IFERROR(__xludf.DUMMYFUNCTION("SPLIT(C125,"" "")"),"Jude")</f>
        <v>Jude</v>
      </c>
      <c r="E125" s="987" t="str">
        <f>IFERROR(__xludf.DUMMYFUNCTION("""COMPUTED_VALUE"""),"Davidson")</f>
        <v>Davidson</v>
      </c>
      <c r="F125" s="290"/>
      <c r="G125" s="575" t="s">
        <v>8198</v>
      </c>
      <c r="H125" s="992">
        <f t="shared" si="12"/>
        <v>1</v>
      </c>
      <c r="I125" s="989"/>
      <c r="J125" s="989"/>
      <c r="K125" s="989"/>
      <c r="L125" s="989"/>
      <c r="M125" s="987"/>
      <c r="N125" s="989"/>
      <c r="O125" s="989"/>
      <c r="P125" s="989"/>
      <c r="Q125" s="989"/>
      <c r="R125" s="989"/>
      <c r="S125" s="989"/>
      <c r="T125" s="989"/>
      <c r="U125" s="989"/>
      <c r="V125" s="989"/>
      <c r="W125" s="989"/>
      <c r="X125" s="989"/>
      <c r="Y125" s="989"/>
      <c r="Z125" s="989"/>
      <c r="AA125" s="989"/>
      <c r="AB125" s="989"/>
      <c r="AC125" s="989"/>
      <c r="AD125" s="989"/>
      <c r="AE125" s="989"/>
    </row>
    <row r="126">
      <c r="A126" s="575">
        <v>2028.0</v>
      </c>
      <c r="B126" s="575" t="s">
        <v>63</v>
      </c>
      <c r="C126" s="575" t="s">
        <v>2812</v>
      </c>
      <c r="D126" s="987" t="str">
        <f>IFERROR(__xludf.DUMMYFUNCTION("SPLIT(C126,"" "")"),"Kolby")</f>
        <v>Kolby</v>
      </c>
      <c r="E126" s="987" t="str">
        <f>IFERROR(__xludf.DUMMYFUNCTION("""COMPUTED_VALUE"""),"Crosby")</f>
        <v>Crosby</v>
      </c>
      <c r="F126" s="290"/>
      <c r="G126" s="575" t="s">
        <v>8198</v>
      </c>
      <c r="H126" s="992">
        <f t="shared" si="12"/>
        <v>1</v>
      </c>
      <c r="I126" s="989"/>
      <c r="J126" s="989"/>
      <c r="K126" s="989"/>
      <c r="L126" s="989"/>
      <c r="M126" s="987"/>
      <c r="N126" s="987" t="s">
        <v>8212</v>
      </c>
      <c r="O126" s="987" t="s">
        <v>2324</v>
      </c>
      <c r="P126" s="989"/>
      <c r="Q126" s="989"/>
      <c r="R126" s="989"/>
      <c r="S126" s="989"/>
      <c r="T126" s="989"/>
      <c r="U126" s="989"/>
      <c r="V126" s="989"/>
      <c r="W126" s="989"/>
      <c r="X126" s="989"/>
      <c r="Y126" s="989"/>
      <c r="Z126" s="989"/>
      <c r="AA126" s="989"/>
      <c r="AB126" s="989"/>
      <c r="AC126" s="989"/>
      <c r="AD126" s="989"/>
      <c r="AE126" s="989"/>
    </row>
    <row r="127">
      <c r="A127" s="987"/>
      <c r="B127" s="987"/>
      <c r="C127" s="987"/>
      <c r="D127" s="987"/>
      <c r="E127" s="987"/>
      <c r="F127" s="987"/>
      <c r="G127" s="987"/>
      <c r="H127" s="992"/>
      <c r="I127" s="989"/>
      <c r="J127" s="989"/>
      <c r="K127" s="989"/>
      <c r="L127" s="989"/>
      <c r="M127" s="987"/>
      <c r="N127" s="987" t="s">
        <v>8213</v>
      </c>
      <c r="O127" s="987" t="s">
        <v>1550</v>
      </c>
      <c r="P127" s="989"/>
      <c r="Q127" s="989"/>
      <c r="R127" s="989"/>
      <c r="S127" s="989"/>
      <c r="T127" s="989"/>
      <c r="U127" s="989"/>
      <c r="V127" s="989"/>
      <c r="W127" s="989"/>
      <c r="X127" s="989"/>
      <c r="Y127" s="989"/>
      <c r="Z127" s="989"/>
      <c r="AA127" s="989"/>
      <c r="AB127" s="989"/>
      <c r="AC127" s="989"/>
      <c r="AD127" s="989"/>
      <c r="AE127" s="989"/>
    </row>
    <row r="128">
      <c r="A128" s="987"/>
      <c r="B128" s="987"/>
      <c r="C128" s="987"/>
      <c r="D128" s="987"/>
      <c r="E128" s="987"/>
      <c r="F128" s="987"/>
      <c r="G128" s="987"/>
      <c r="H128" s="992"/>
      <c r="I128" s="989"/>
      <c r="J128" s="989"/>
      <c r="K128" s="989"/>
      <c r="L128" s="989"/>
      <c r="M128" s="987"/>
      <c r="N128" s="987" t="s">
        <v>8217</v>
      </c>
      <c r="O128" s="987" t="s">
        <v>1550</v>
      </c>
      <c r="P128" s="989"/>
      <c r="Q128" s="989"/>
      <c r="R128" s="989"/>
      <c r="S128" s="989"/>
      <c r="T128" s="989"/>
      <c r="U128" s="989"/>
      <c r="V128" s="989"/>
      <c r="W128" s="989"/>
      <c r="X128" s="989"/>
      <c r="Y128" s="989"/>
      <c r="Z128" s="989"/>
      <c r="AA128" s="989"/>
      <c r="AB128" s="989"/>
      <c r="AC128" s="989"/>
      <c r="AD128" s="989"/>
      <c r="AE128" s="989"/>
    </row>
    <row r="129">
      <c r="A129" s="987"/>
      <c r="B129" s="987"/>
      <c r="C129" s="987"/>
      <c r="D129" s="987"/>
      <c r="E129" s="987"/>
      <c r="F129" s="987"/>
      <c r="G129" s="987"/>
      <c r="H129" s="992"/>
      <c r="I129" s="989"/>
      <c r="J129" s="989"/>
      <c r="K129" s="989"/>
      <c r="L129" s="989"/>
      <c r="M129" s="987"/>
      <c r="N129" s="987" t="s">
        <v>8223</v>
      </c>
      <c r="O129" s="987" t="s">
        <v>1550</v>
      </c>
      <c r="P129" s="989"/>
      <c r="Q129" s="989"/>
      <c r="R129" s="989"/>
      <c r="S129" s="989"/>
      <c r="T129" s="989"/>
      <c r="U129" s="989"/>
      <c r="V129" s="989"/>
      <c r="W129" s="989"/>
      <c r="X129" s="989"/>
      <c r="Y129" s="989"/>
      <c r="Z129" s="989"/>
      <c r="AA129" s="989"/>
      <c r="AB129" s="989"/>
      <c r="AC129" s="989"/>
      <c r="AD129" s="989"/>
      <c r="AE129" s="989"/>
    </row>
    <row r="130">
      <c r="A130" s="987"/>
      <c r="B130" s="987"/>
      <c r="C130" s="987"/>
      <c r="D130" s="987"/>
      <c r="E130" s="987"/>
      <c r="F130" s="987"/>
      <c r="G130" s="987"/>
      <c r="H130" s="992"/>
      <c r="I130" s="989"/>
      <c r="J130" s="989"/>
      <c r="K130" s="989"/>
      <c r="L130" s="989"/>
      <c r="M130" s="987"/>
      <c r="N130" s="987" t="s">
        <v>8231</v>
      </c>
      <c r="O130" s="987" t="s">
        <v>1989</v>
      </c>
      <c r="P130" s="989"/>
      <c r="Q130" s="989"/>
      <c r="R130" s="989"/>
      <c r="S130" s="989"/>
      <c r="T130" s="989"/>
      <c r="U130" s="989"/>
      <c r="V130" s="989"/>
      <c r="W130" s="989"/>
      <c r="X130" s="989"/>
      <c r="Y130" s="989"/>
      <c r="Z130" s="989"/>
      <c r="AA130" s="989"/>
      <c r="AB130" s="989"/>
      <c r="AC130" s="989"/>
      <c r="AD130" s="989"/>
      <c r="AE130" s="989"/>
    </row>
    <row r="131">
      <c r="A131" s="987"/>
      <c r="B131" s="987"/>
      <c r="C131" s="987"/>
      <c r="D131" s="987"/>
      <c r="E131" s="987"/>
      <c r="F131" s="987"/>
      <c r="G131" s="987"/>
      <c r="H131" s="992"/>
      <c r="I131" s="989"/>
      <c r="J131" s="989"/>
      <c r="K131" s="989"/>
      <c r="L131" s="989"/>
      <c r="M131" s="987"/>
      <c r="N131" s="987" t="s">
        <v>8234</v>
      </c>
      <c r="O131" s="987" t="s">
        <v>1989</v>
      </c>
      <c r="P131" s="989"/>
      <c r="Q131" s="989"/>
      <c r="R131" s="989"/>
      <c r="S131" s="989"/>
      <c r="T131" s="989"/>
      <c r="U131" s="989"/>
      <c r="V131" s="989"/>
      <c r="W131" s="989"/>
      <c r="X131" s="989"/>
      <c r="Y131" s="989"/>
      <c r="Z131" s="989"/>
      <c r="AA131" s="989"/>
      <c r="AB131" s="989"/>
      <c r="AC131" s="989"/>
      <c r="AD131" s="989"/>
      <c r="AE131" s="989"/>
    </row>
    <row r="132">
      <c r="A132" s="987"/>
      <c r="B132" s="987"/>
      <c r="C132" s="987"/>
      <c r="D132" s="987"/>
      <c r="E132" s="987"/>
      <c r="F132" s="987"/>
      <c r="G132" s="987"/>
      <c r="H132" s="992"/>
      <c r="I132" s="989"/>
      <c r="J132" s="989"/>
      <c r="K132" s="989"/>
      <c r="L132" s="989"/>
      <c r="M132" s="987"/>
      <c r="N132" s="987" t="s">
        <v>8238</v>
      </c>
      <c r="O132" s="987" t="s">
        <v>1550</v>
      </c>
      <c r="P132" s="989"/>
      <c r="Q132" s="989"/>
      <c r="R132" s="989"/>
      <c r="S132" s="989"/>
      <c r="T132" s="989"/>
      <c r="U132" s="989"/>
      <c r="V132" s="989"/>
      <c r="W132" s="989"/>
      <c r="X132" s="989"/>
      <c r="Y132" s="989"/>
      <c r="Z132" s="989"/>
      <c r="AA132" s="989"/>
      <c r="AB132" s="989"/>
      <c r="AC132" s="989"/>
      <c r="AD132" s="989"/>
      <c r="AE132" s="989"/>
    </row>
    <row r="133">
      <c r="A133" s="987"/>
      <c r="B133" s="987"/>
      <c r="C133" s="987"/>
      <c r="D133" s="987"/>
      <c r="E133" s="987"/>
      <c r="F133" s="987"/>
      <c r="G133" s="987"/>
      <c r="H133" s="992"/>
      <c r="I133" s="989"/>
      <c r="J133" s="989"/>
      <c r="K133" s="989"/>
      <c r="L133" s="989"/>
      <c r="M133" s="987"/>
      <c r="N133" s="987" t="s">
        <v>8233</v>
      </c>
      <c r="O133" s="987" t="s">
        <v>1550</v>
      </c>
      <c r="P133" s="989"/>
      <c r="Q133" s="989"/>
      <c r="R133" s="989"/>
      <c r="S133" s="989"/>
      <c r="T133" s="989"/>
      <c r="U133" s="989"/>
      <c r="V133" s="989"/>
      <c r="W133" s="989"/>
      <c r="X133" s="989"/>
      <c r="Y133" s="989"/>
      <c r="Z133" s="989"/>
      <c r="AA133" s="989"/>
      <c r="AB133" s="989"/>
      <c r="AC133" s="989"/>
      <c r="AD133" s="989"/>
      <c r="AE133" s="989"/>
    </row>
    <row r="134">
      <c r="A134" s="987"/>
      <c r="B134" s="987"/>
      <c r="C134" s="987"/>
      <c r="D134" s="987"/>
      <c r="E134" s="987"/>
      <c r="F134" s="987"/>
      <c r="G134" s="987"/>
      <c r="H134" s="992"/>
      <c r="I134" s="989"/>
      <c r="J134" s="989"/>
      <c r="K134" s="989"/>
      <c r="L134" s="989"/>
      <c r="M134" s="987"/>
      <c r="N134" s="987" t="s">
        <v>8229</v>
      </c>
      <c r="O134" s="987" t="s">
        <v>1550</v>
      </c>
      <c r="P134" s="989"/>
      <c r="Q134" s="989"/>
      <c r="R134" s="989"/>
      <c r="S134" s="989"/>
      <c r="T134" s="989"/>
      <c r="U134" s="989"/>
      <c r="V134" s="989"/>
      <c r="W134" s="989"/>
      <c r="X134" s="989"/>
      <c r="Y134" s="989"/>
      <c r="Z134" s="989"/>
      <c r="AA134" s="989"/>
      <c r="AB134" s="989"/>
      <c r="AC134" s="989"/>
      <c r="AD134" s="989"/>
      <c r="AE134" s="989"/>
    </row>
    <row r="135">
      <c r="A135" s="987"/>
      <c r="B135" s="987"/>
      <c r="C135" s="987"/>
      <c r="D135" s="987"/>
      <c r="E135" s="987"/>
      <c r="F135" s="987"/>
      <c r="G135" s="987"/>
      <c r="H135" s="992"/>
      <c r="I135" s="989"/>
      <c r="J135" s="989"/>
      <c r="K135" s="989"/>
      <c r="L135" s="989"/>
      <c r="M135" s="987"/>
      <c r="N135" s="987" t="s">
        <v>8217</v>
      </c>
      <c r="O135" s="989"/>
      <c r="P135" s="989"/>
      <c r="Q135" s="989"/>
      <c r="R135" s="989"/>
      <c r="S135" s="989"/>
      <c r="T135" s="989"/>
      <c r="U135" s="989"/>
      <c r="V135" s="989"/>
      <c r="W135" s="989"/>
      <c r="X135" s="989"/>
      <c r="Y135" s="989"/>
      <c r="Z135" s="989"/>
      <c r="AA135" s="989"/>
      <c r="AB135" s="989"/>
      <c r="AC135" s="989"/>
      <c r="AD135" s="989"/>
      <c r="AE135" s="989"/>
    </row>
    <row r="136">
      <c r="A136" s="987"/>
      <c r="B136" s="987"/>
      <c r="C136" s="987"/>
      <c r="D136" s="987"/>
      <c r="E136" s="987"/>
      <c r="F136" s="987"/>
      <c r="G136" s="987"/>
      <c r="H136" s="992"/>
      <c r="I136" s="989"/>
      <c r="J136" s="989"/>
      <c r="K136" s="989"/>
      <c r="L136" s="989"/>
      <c r="M136" s="987"/>
      <c r="N136" s="987" t="s">
        <v>8223</v>
      </c>
      <c r="O136" s="989"/>
      <c r="P136" s="989"/>
      <c r="Q136" s="989"/>
      <c r="R136" s="989"/>
      <c r="S136" s="989"/>
      <c r="T136" s="989"/>
      <c r="U136" s="989"/>
      <c r="V136" s="989"/>
      <c r="W136" s="989"/>
      <c r="X136" s="989"/>
      <c r="Y136" s="989"/>
      <c r="Z136" s="989"/>
      <c r="AA136" s="989"/>
      <c r="AB136" s="989"/>
      <c r="AC136" s="989"/>
      <c r="AD136" s="989"/>
      <c r="AE136" s="989"/>
    </row>
    <row r="137">
      <c r="A137" s="987">
        <v>2029.0</v>
      </c>
      <c r="B137" s="987" t="s">
        <v>63</v>
      </c>
      <c r="C137" s="987" t="s">
        <v>8246</v>
      </c>
      <c r="D137" s="987" t="str">
        <f>IFERROR(__xludf.DUMMYFUNCTION("SPLIT(C137,"" "")"),"David")</f>
        <v>David</v>
      </c>
      <c r="E137" s="987" t="str">
        <f>IFERROR(__xludf.DUMMYFUNCTION("""COMPUTED_VALUE"""),"Posey")</f>
        <v>Posey</v>
      </c>
      <c r="F137" s="987" t="str">
        <f t="shared" ref="F137:F138" si="13">XLOOKUP(C137,$N$96:$N$179,$O$96:$O$179,"",0,1)</f>
        <v/>
      </c>
      <c r="G137" s="987" t="s">
        <v>8193</v>
      </c>
      <c r="H137" s="992">
        <f t="shared" ref="H137:H155" si="14">XLOOKUP(G137,R:R,S:S,"",0,1)</f>
        <v>4</v>
      </c>
      <c r="I137" s="989"/>
      <c r="J137" s="989"/>
      <c r="K137" s="989"/>
      <c r="L137" s="989"/>
      <c r="M137" s="987"/>
      <c r="N137" s="987" t="s">
        <v>8231</v>
      </c>
      <c r="O137" s="989"/>
      <c r="P137" s="989"/>
      <c r="Q137" s="989"/>
      <c r="R137" s="989"/>
      <c r="S137" s="989"/>
      <c r="T137" s="989"/>
      <c r="U137" s="989"/>
      <c r="V137" s="989"/>
      <c r="W137" s="989"/>
      <c r="X137" s="989"/>
      <c r="Y137" s="989"/>
      <c r="Z137" s="989"/>
      <c r="AA137" s="989"/>
      <c r="AB137" s="989"/>
      <c r="AC137" s="989"/>
      <c r="AD137" s="989"/>
      <c r="AE137" s="989"/>
    </row>
    <row r="138">
      <c r="A138" s="987">
        <v>2029.0</v>
      </c>
      <c r="B138" s="987" t="s">
        <v>63</v>
      </c>
      <c r="C138" s="987" t="s">
        <v>8247</v>
      </c>
      <c r="D138" s="987" t="str">
        <f>IFERROR(__xludf.DUMMYFUNCTION("SPLIT(C138,"" "")"),"Jackson")</f>
        <v>Jackson</v>
      </c>
      <c r="E138" s="987" t="str">
        <f>IFERROR(__xludf.DUMMYFUNCTION("""COMPUTED_VALUE"""),"Clark")</f>
        <v>Clark</v>
      </c>
      <c r="F138" s="987" t="str">
        <f t="shared" si="13"/>
        <v/>
      </c>
      <c r="G138" s="987" t="s">
        <v>8193</v>
      </c>
      <c r="H138" s="992">
        <f t="shared" si="14"/>
        <v>4</v>
      </c>
      <c r="I138" s="989"/>
      <c r="J138" s="989"/>
      <c r="K138" s="989"/>
      <c r="L138" s="989"/>
      <c r="M138" s="987"/>
      <c r="N138" s="987" t="s">
        <v>8234</v>
      </c>
      <c r="O138" s="989"/>
      <c r="P138" s="989"/>
      <c r="Q138" s="989"/>
      <c r="R138" s="989"/>
      <c r="S138" s="989"/>
      <c r="T138" s="989"/>
      <c r="U138" s="989"/>
      <c r="V138" s="989"/>
      <c r="W138" s="989"/>
      <c r="X138" s="989"/>
      <c r="Y138" s="989"/>
      <c r="Z138" s="989"/>
      <c r="AA138" s="989"/>
      <c r="AB138" s="989"/>
      <c r="AC138" s="989"/>
      <c r="AD138" s="989"/>
      <c r="AE138" s="989"/>
    </row>
    <row r="139">
      <c r="A139" s="987">
        <v>2029.0</v>
      </c>
      <c r="B139" s="987" t="s">
        <v>103</v>
      </c>
      <c r="C139" s="987" t="s">
        <v>135</v>
      </c>
      <c r="D139" s="987" t="str">
        <f>IFERROR(__xludf.DUMMYFUNCTION("SPLIT(C139,"" "")"),"Jake")</f>
        <v>Jake</v>
      </c>
      <c r="E139" s="987" t="str">
        <f>IFERROR(__xludf.DUMMYFUNCTION("""COMPUTED_VALUE"""),"Hooten")</f>
        <v>Hooten</v>
      </c>
      <c r="F139" s="987" t="s">
        <v>1550</v>
      </c>
      <c r="G139" s="987" t="s">
        <v>8193</v>
      </c>
      <c r="H139" s="992">
        <f t="shared" si="14"/>
        <v>4</v>
      </c>
      <c r="I139" s="989"/>
      <c r="J139" s="989"/>
      <c r="K139" s="989"/>
      <c r="L139" s="989"/>
      <c r="M139" s="987"/>
      <c r="N139" s="987" t="s">
        <v>8238</v>
      </c>
      <c r="O139" s="989"/>
      <c r="P139" s="989"/>
      <c r="Q139" s="989"/>
      <c r="R139" s="989"/>
      <c r="S139" s="989"/>
      <c r="T139" s="989"/>
      <c r="U139" s="989"/>
      <c r="V139" s="989"/>
      <c r="W139" s="989"/>
      <c r="X139" s="989"/>
      <c r="Y139" s="989"/>
      <c r="Z139" s="989"/>
      <c r="AA139" s="989"/>
      <c r="AB139" s="989"/>
      <c r="AC139" s="989"/>
      <c r="AD139" s="989"/>
      <c r="AE139" s="989"/>
    </row>
    <row r="140">
      <c r="A140" s="987">
        <v>2029.0</v>
      </c>
      <c r="B140" s="987" t="s">
        <v>103</v>
      </c>
      <c r="C140" s="987" t="s">
        <v>7288</v>
      </c>
      <c r="D140" s="987" t="str">
        <f>IFERROR(__xludf.DUMMYFUNCTION("SPLIT(C140,"" "")"),"John")</f>
        <v>John</v>
      </c>
      <c r="E140" s="987" t="str">
        <f>IFERROR(__xludf.DUMMYFUNCTION("""COMPUTED_VALUE"""),"Loudon")</f>
        <v>Loudon</v>
      </c>
      <c r="F140" s="987" t="s">
        <v>1550</v>
      </c>
      <c r="G140" s="987" t="s">
        <v>8193</v>
      </c>
      <c r="H140" s="992">
        <f t="shared" si="14"/>
        <v>4</v>
      </c>
      <c r="I140" s="989"/>
      <c r="J140" s="989"/>
      <c r="K140" s="989"/>
      <c r="L140" s="989"/>
      <c r="M140" s="987"/>
      <c r="N140" s="987" t="s">
        <v>8231</v>
      </c>
      <c r="O140" s="989"/>
      <c r="P140" s="989"/>
      <c r="Q140" s="989"/>
      <c r="R140" s="989"/>
      <c r="S140" s="989"/>
      <c r="T140" s="989"/>
      <c r="U140" s="989"/>
      <c r="V140" s="989"/>
      <c r="W140" s="989"/>
      <c r="X140" s="989"/>
      <c r="Y140" s="989"/>
      <c r="Z140" s="989"/>
      <c r="AA140" s="989"/>
      <c r="AB140" s="989"/>
      <c r="AC140" s="989"/>
      <c r="AD140" s="989"/>
      <c r="AE140" s="989"/>
    </row>
    <row r="141">
      <c r="A141" s="987">
        <v>2029.0</v>
      </c>
      <c r="B141" s="987" t="s">
        <v>72</v>
      </c>
      <c r="C141" s="987" t="s">
        <v>8230</v>
      </c>
      <c r="D141" s="987" t="str">
        <f>IFERROR(__xludf.DUMMYFUNCTION("SPLIT(C141,"" "")"),"Julian")</f>
        <v>Julian</v>
      </c>
      <c r="E141" s="987" t="str">
        <f>IFERROR(__xludf.DUMMYFUNCTION("""COMPUTED_VALUE"""),"Friedman")</f>
        <v>Friedman</v>
      </c>
      <c r="F141" s="987" t="s">
        <v>1550</v>
      </c>
      <c r="G141" s="987" t="s">
        <v>8193</v>
      </c>
      <c r="H141" s="992">
        <f t="shared" si="14"/>
        <v>4</v>
      </c>
      <c r="I141" s="989"/>
      <c r="J141" s="989"/>
      <c r="K141" s="989"/>
      <c r="L141" s="989"/>
      <c r="M141" s="987"/>
      <c r="N141" s="987" t="s">
        <v>8234</v>
      </c>
      <c r="O141" s="989"/>
      <c r="P141" s="989"/>
      <c r="Q141" s="989"/>
      <c r="R141" s="989"/>
      <c r="S141" s="989"/>
      <c r="T141" s="989"/>
      <c r="U141" s="989"/>
      <c r="V141" s="989"/>
      <c r="W141" s="989"/>
      <c r="X141" s="989"/>
      <c r="Y141" s="989"/>
      <c r="Z141" s="989"/>
      <c r="AA141" s="989"/>
      <c r="AB141" s="989"/>
      <c r="AC141" s="989"/>
      <c r="AD141" s="989"/>
      <c r="AE141" s="989"/>
    </row>
    <row r="142">
      <c r="A142" s="987">
        <v>2029.0</v>
      </c>
      <c r="B142" s="987" t="s">
        <v>51</v>
      </c>
      <c r="C142" s="987" t="s">
        <v>47</v>
      </c>
      <c r="D142" s="987" t="str">
        <f>IFERROR(__xludf.DUMMYFUNCTION("SPLIT(C142,"" "")"),"Noah")</f>
        <v>Noah</v>
      </c>
      <c r="E142" s="987" t="str">
        <f>IFERROR(__xludf.DUMMYFUNCTION("""COMPUTED_VALUE"""),"Stead")</f>
        <v>Stead</v>
      </c>
      <c r="F142" s="987" t="s">
        <v>1550</v>
      </c>
      <c r="G142" s="987" t="s">
        <v>8193</v>
      </c>
      <c r="H142" s="992">
        <f t="shared" si="14"/>
        <v>4</v>
      </c>
      <c r="I142" s="989"/>
      <c r="J142" s="989"/>
      <c r="K142" s="989"/>
      <c r="L142" s="989"/>
      <c r="M142" s="987"/>
      <c r="N142" s="987" t="s">
        <v>8238</v>
      </c>
      <c r="O142" s="989"/>
      <c r="P142" s="989"/>
      <c r="Q142" s="989"/>
      <c r="R142" s="989"/>
      <c r="S142" s="989"/>
      <c r="T142" s="989"/>
      <c r="U142" s="989"/>
      <c r="V142" s="989"/>
      <c r="W142" s="989"/>
      <c r="X142" s="989"/>
      <c r="Y142" s="989"/>
      <c r="Z142" s="989"/>
      <c r="AA142" s="989"/>
      <c r="AB142" s="989"/>
      <c r="AC142" s="989"/>
      <c r="AD142" s="989"/>
      <c r="AE142" s="989"/>
    </row>
    <row r="143">
      <c r="A143" s="987">
        <v>2029.0</v>
      </c>
      <c r="B143" s="987" t="s">
        <v>63</v>
      </c>
      <c r="C143" s="987" t="s">
        <v>62</v>
      </c>
      <c r="D143" s="987" t="str">
        <f>IFERROR(__xludf.DUMMYFUNCTION("SPLIT(C143,"" "")"),"Owen")</f>
        <v>Owen</v>
      </c>
      <c r="E143" s="987" t="str">
        <f>IFERROR(__xludf.DUMMYFUNCTION("""COMPUTED_VALUE"""),"Phypers")</f>
        <v>Phypers</v>
      </c>
      <c r="F143" s="987" t="str">
        <f t="array" ref="F143">XLOOKUP(C143,$N$96:$N$179,$O$96:$O$179,"",0,1)</f>
        <v/>
      </c>
      <c r="G143" s="987" t="s">
        <v>8193</v>
      </c>
      <c r="H143" s="992">
        <f t="shared" si="14"/>
        <v>4</v>
      </c>
      <c r="I143" s="989"/>
      <c r="J143" s="989"/>
      <c r="K143" s="989"/>
      <c r="L143" s="989"/>
      <c r="M143" s="987"/>
      <c r="N143" s="989"/>
      <c r="O143" s="989"/>
      <c r="P143" s="989"/>
      <c r="Q143" s="989"/>
      <c r="R143" s="989"/>
      <c r="S143" s="989"/>
      <c r="T143" s="989"/>
      <c r="U143" s="989"/>
      <c r="V143" s="989"/>
      <c r="W143" s="989"/>
      <c r="X143" s="989"/>
      <c r="Y143" s="989"/>
      <c r="Z143" s="989"/>
      <c r="AA143" s="989"/>
      <c r="AB143" s="989"/>
      <c r="AC143" s="989"/>
      <c r="AD143" s="989"/>
      <c r="AE143" s="989"/>
    </row>
    <row r="144">
      <c r="A144" s="987">
        <v>2029.0</v>
      </c>
      <c r="B144" s="987" t="s">
        <v>72</v>
      </c>
      <c r="C144" s="987" t="s">
        <v>69</v>
      </c>
      <c r="D144" s="987" t="str">
        <f>IFERROR(__xludf.DUMMYFUNCTION("SPLIT(C144,"" "")"),"Patrick")</f>
        <v>Patrick</v>
      </c>
      <c r="E144" s="987" t="str">
        <f>IFERROR(__xludf.DUMMYFUNCTION("""COMPUTED_VALUE"""),"Walsh")</f>
        <v>Walsh</v>
      </c>
      <c r="F144" s="987" t="s">
        <v>1989</v>
      </c>
      <c r="G144" s="987" t="s">
        <v>8193</v>
      </c>
      <c r="H144" s="992">
        <f t="shared" si="14"/>
        <v>4</v>
      </c>
      <c r="I144" s="989"/>
      <c r="J144" s="989"/>
      <c r="K144" s="989"/>
      <c r="L144" s="989"/>
      <c r="M144" s="987"/>
      <c r="N144" s="989"/>
      <c r="O144" s="989"/>
      <c r="P144" s="989"/>
      <c r="Q144" s="989"/>
      <c r="R144" s="989"/>
      <c r="S144" s="989"/>
      <c r="T144" s="989"/>
      <c r="U144" s="989"/>
      <c r="V144" s="989"/>
      <c r="W144" s="989"/>
      <c r="X144" s="989"/>
      <c r="Y144" s="989"/>
      <c r="Z144" s="989"/>
      <c r="AA144" s="989"/>
      <c r="AB144" s="989"/>
      <c r="AC144" s="989"/>
      <c r="AD144" s="989"/>
      <c r="AE144" s="989"/>
    </row>
    <row r="145">
      <c r="A145" s="987">
        <v>2029.0</v>
      </c>
      <c r="B145" s="987" t="s">
        <v>63</v>
      </c>
      <c r="C145" s="987" t="s">
        <v>8625</v>
      </c>
      <c r="D145" s="987" t="str">
        <f>IFERROR(__xludf.DUMMYFUNCTION("SPLIT(C145,"" "")"),"Sachin")</f>
        <v>Sachin</v>
      </c>
      <c r="E145" s="987" t="str">
        <f>IFERROR(__xludf.DUMMYFUNCTION("""COMPUTED_VALUE"""),"Gopel")</f>
        <v>Gopel</v>
      </c>
      <c r="F145" s="987" t="str">
        <f t="array" ref="F145">XLOOKUP(C145,$N$96:$N$179,$O$96:$O$179,"",0,1)</f>
        <v/>
      </c>
      <c r="G145" s="987" t="s">
        <v>8193</v>
      </c>
      <c r="H145" s="992">
        <f t="shared" si="14"/>
        <v>4</v>
      </c>
      <c r="I145" s="989"/>
      <c r="J145" s="989"/>
      <c r="K145" s="989"/>
      <c r="L145" s="989"/>
      <c r="M145" s="987"/>
      <c r="N145" s="989"/>
      <c r="O145" s="989"/>
      <c r="P145" s="989"/>
      <c r="Q145" s="989"/>
      <c r="R145" s="989"/>
      <c r="S145" s="989"/>
      <c r="T145" s="989"/>
      <c r="U145" s="989"/>
      <c r="V145" s="989"/>
      <c r="W145" s="989"/>
      <c r="X145" s="989"/>
      <c r="Y145" s="989"/>
      <c r="Z145" s="989"/>
      <c r="AA145" s="989"/>
      <c r="AB145" s="989"/>
      <c r="AC145" s="989"/>
      <c r="AD145" s="989"/>
      <c r="AE145" s="989"/>
    </row>
    <row r="146">
      <c r="A146" s="987">
        <v>2029.0</v>
      </c>
      <c r="B146" s="987" t="s">
        <v>109</v>
      </c>
      <c r="C146" s="987" t="s">
        <v>108</v>
      </c>
      <c r="D146" s="987" t="str">
        <f>IFERROR(__xludf.DUMMYFUNCTION("SPLIT(C146,"" "")"),"Will")</f>
        <v>Will</v>
      </c>
      <c r="E146" s="987" t="str">
        <f>IFERROR(__xludf.DUMMYFUNCTION("""COMPUTED_VALUE"""),"Howard")</f>
        <v>Howard</v>
      </c>
      <c r="F146" s="987" t="s">
        <v>1550</v>
      </c>
      <c r="G146" s="987" t="s">
        <v>8193</v>
      </c>
      <c r="H146" s="992">
        <f t="shared" si="14"/>
        <v>4</v>
      </c>
      <c r="I146" s="989"/>
      <c r="J146" s="989"/>
      <c r="K146" s="989"/>
      <c r="L146" s="989"/>
      <c r="M146" s="987"/>
      <c r="N146" s="989"/>
      <c r="O146" s="989"/>
      <c r="P146" s="989"/>
      <c r="Q146" s="989"/>
      <c r="R146" s="989"/>
      <c r="S146" s="989"/>
      <c r="T146" s="989"/>
      <c r="U146" s="989"/>
      <c r="V146" s="989"/>
      <c r="W146" s="989"/>
      <c r="X146" s="989"/>
      <c r="Y146" s="989"/>
      <c r="Z146" s="989"/>
      <c r="AA146" s="989"/>
      <c r="AB146" s="989"/>
      <c r="AC146" s="989"/>
      <c r="AD146" s="989"/>
      <c r="AE146" s="989"/>
    </row>
    <row r="147">
      <c r="A147" s="987">
        <v>2029.0</v>
      </c>
      <c r="B147" s="987" t="s">
        <v>103</v>
      </c>
      <c r="C147" s="987" t="s">
        <v>1372</v>
      </c>
      <c r="D147" s="987" t="str">
        <f>IFERROR(__xludf.DUMMYFUNCTION("SPLIT(C147,"" "")"),"Ace")</f>
        <v>Ace</v>
      </c>
      <c r="E147" s="987" t="str">
        <f>IFERROR(__xludf.DUMMYFUNCTION("""COMPUTED_VALUE"""),"Tarango")</f>
        <v>Tarango</v>
      </c>
      <c r="F147" s="987" t="s">
        <v>1550</v>
      </c>
      <c r="G147" s="987" t="s">
        <v>8194</v>
      </c>
      <c r="H147" s="992">
        <f t="shared" si="14"/>
        <v>3</v>
      </c>
      <c r="I147" s="989"/>
      <c r="J147" s="989"/>
      <c r="K147" s="989"/>
      <c r="L147" s="989"/>
      <c r="M147" s="987"/>
      <c r="N147" s="989"/>
      <c r="O147" s="989"/>
      <c r="P147" s="989"/>
      <c r="Q147" s="989"/>
      <c r="R147" s="989"/>
      <c r="S147" s="989"/>
      <c r="T147" s="989"/>
      <c r="U147" s="989"/>
      <c r="V147" s="989"/>
      <c r="W147" s="989"/>
      <c r="X147" s="989"/>
      <c r="Y147" s="989"/>
      <c r="Z147" s="989"/>
      <c r="AA147" s="989"/>
      <c r="AB147" s="989"/>
      <c r="AC147" s="989"/>
      <c r="AD147" s="989"/>
      <c r="AE147" s="989"/>
    </row>
    <row r="148">
      <c r="A148" s="987">
        <v>2029.0</v>
      </c>
      <c r="B148" s="987" t="s">
        <v>63</v>
      </c>
      <c r="C148" s="987" t="s">
        <v>1382</v>
      </c>
      <c r="D148" s="987" t="str">
        <f>IFERROR(__xludf.DUMMYFUNCTION("SPLIT(C148,"" "")"),"Brian")</f>
        <v>Brian</v>
      </c>
      <c r="E148" s="987" t="str">
        <f>IFERROR(__xludf.DUMMYFUNCTION("""COMPUTED_VALUE"""),"Mancinelli")</f>
        <v>Mancinelli</v>
      </c>
      <c r="F148" s="987" t="str">
        <f t="array" ref="F148">XLOOKUP(C148,$N$96:$N$179,$O$96:$O$179,"",0,1)</f>
        <v/>
      </c>
      <c r="G148" s="987" t="s">
        <v>8194</v>
      </c>
      <c r="H148" s="992">
        <f t="shared" si="14"/>
        <v>3</v>
      </c>
      <c r="I148" s="989"/>
      <c r="J148" s="989"/>
      <c r="K148" s="989"/>
      <c r="L148" s="989"/>
      <c r="M148" s="987"/>
      <c r="N148" s="989"/>
      <c r="O148" s="989"/>
      <c r="P148" s="989"/>
      <c r="Q148" s="989"/>
      <c r="R148" s="989"/>
      <c r="S148" s="989"/>
      <c r="T148" s="989"/>
      <c r="U148" s="989"/>
      <c r="V148" s="989"/>
      <c r="W148" s="989"/>
      <c r="X148" s="989"/>
      <c r="Y148" s="989"/>
      <c r="Z148" s="989"/>
      <c r="AA148" s="989"/>
      <c r="AB148" s="989"/>
      <c r="AC148" s="989"/>
      <c r="AD148" s="989"/>
      <c r="AE148" s="989"/>
    </row>
    <row r="149">
      <c r="A149" s="987">
        <v>2029.0</v>
      </c>
      <c r="B149" s="987" t="s">
        <v>51</v>
      </c>
      <c r="C149" s="987" t="s">
        <v>1390</v>
      </c>
      <c r="D149" s="987" t="str">
        <f>IFERROR(__xludf.DUMMYFUNCTION("SPLIT(C149,"" "")"),"Brooks")</f>
        <v>Brooks</v>
      </c>
      <c r="E149" s="987" t="str">
        <f>IFERROR(__xludf.DUMMYFUNCTION("""COMPUTED_VALUE"""),"Franklin")</f>
        <v>Franklin</v>
      </c>
      <c r="F149" s="987" t="s">
        <v>1989</v>
      </c>
      <c r="G149" s="987" t="s">
        <v>8194</v>
      </c>
      <c r="H149" s="992">
        <f t="shared" si="14"/>
        <v>3</v>
      </c>
      <c r="I149" s="989"/>
      <c r="J149" s="989"/>
      <c r="K149" s="989"/>
      <c r="L149" s="989"/>
      <c r="M149" s="987"/>
      <c r="N149" s="989"/>
      <c r="O149" s="989"/>
      <c r="P149" s="989"/>
      <c r="Q149" s="989"/>
      <c r="R149" s="989"/>
      <c r="S149" s="989"/>
      <c r="T149" s="989"/>
      <c r="U149" s="989"/>
      <c r="V149" s="989"/>
      <c r="W149" s="989"/>
      <c r="X149" s="989"/>
      <c r="Y149" s="989"/>
      <c r="Z149" s="989"/>
      <c r="AA149" s="989"/>
      <c r="AB149" s="989"/>
      <c r="AC149" s="989"/>
      <c r="AD149" s="989"/>
      <c r="AE149" s="989"/>
    </row>
    <row r="150">
      <c r="A150" s="987">
        <v>2029.0</v>
      </c>
      <c r="B150" s="987" t="s">
        <v>51</v>
      </c>
      <c r="C150" s="388" t="s">
        <v>9098</v>
      </c>
      <c r="D150" s="391"/>
      <c r="E150" s="391"/>
      <c r="F150" s="987" t="s">
        <v>1550</v>
      </c>
      <c r="G150" s="987" t="s">
        <v>8194</v>
      </c>
      <c r="H150" s="992">
        <f t="shared" si="14"/>
        <v>3</v>
      </c>
      <c r="I150" s="989"/>
      <c r="J150" s="989"/>
      <c r="K150" s="989"/>
      <c r="L150" s="989"/>
      <c r="M150" s="987"/>
      <c r="N150" s="989"/>
      <c r="O150" s="989"/>
      <c r="P150" s="989"/>
      <c r="Q150" s="989"/>
      <c r="R150" s="989"/>
      <c r="S150" s="989"/>
      <c r="T150" s="989"/>
      <c r="U150" s="989"/>
      <c r="V150" s="989"/>
      <c r="W150" s="989"/>
      <c r="X150" s="989"/>
      <c r="Y150" s="989"/>
      <c r="Z150" s="989"/>
      <c r="AA150" s="989"/>
      <c r="AB150" s="989"/>
      <c r="AC150" s="989"/>
      <c r="AD150" s="989"/>
      <c r="AE150" s="989"/>
    </row>
    <row r="151">
      <c r="A151" s="987">
        <v>2029.0</v>
      </c>
      <c r="B151" s="987" t="s">
        <v>51</v>
      </c>
      <c r="C151" s="987" t="s">
        <v>6885</v>
      </c>
      <c r="D151" s="987" t="str">
        <f>IFERROR(__xludf.DUMMYFUNCTION("SPLIT(C151,"" "")"),"Cory")</f>
        <v>Cory</v>
      </c>
      <c r="E151" s="987" t="str">
        <f>IFERROR(__xludf.DUMMYFUNCTION("""COMPUTED_VALUE"""),"Carver")</f>
        <v>Carver</v>
      </c>
      <c r="F151" s="987" t="s">
        <v>1550</v>
      </c>
      <c r="G151" s="987" t="s">
        <v>8194</v>
      </c>
      <c r="H151" s="992">
        <f t="shared" si="14"/>
        <v>3</v>
      </c>
      <c r="I151" s="989"/>
      <c r="J151" s="989"/>
      <c r="K151" s="989"/>
      <c r="L151" s="989"/>
      <c r="M151" s="987"/>
      <c r="N151" s="989"/>
      <c r="O151" s="989"/>
      <c r="P151" s="989"/>
      <c r="Q151" s="989"/>
      <c r="R151" s="989"/>
      <c r="S151" s="989"/>
      <c r="T151" s="989"/>
      <c r="U151" s="989"/>
      <c r="V151" s="989"/>
      <c r="W151" s="989"/>
      <c r="X151" s="989"/>
      <c r="Y151" s="989"/>
      <c r="Z151" s="989"/>
      <c r="AA151" s="989"/>
      <c r="AB151" s="989"/>
      <c r="AC151" s="989"/>
      <c r="AD151" s="989"/>
      <c r="AE151" s="989"/>
    </row>
    <row r="152">
      <c r="A152" s="987">
        <v>2029.0</v>
      </c>
      <c r="B152" s="987" t="s">
        <v>122</v>
      </c>
      <c r="C152" s="987" t="s">
        <v>1416</v>
      </c>
      <c r="D152" s="987" t="str">
        <f>IFERROR(__xludf.DUMMYFUNCTION("SPLIT(C152,"" "")"),"Garrison")</f>
        <v>Garrison</v>
      </c>
      <c r="E152" s="987" t="str">
        <f>IFERROR(__xludf.DUMMYFUNCTION("""COMPUTED_VALUE"""),"Wade")</f>
        <v>Wade</v>
      </c>
      <c r="F152" s="987" t="str">
        <f t="array" ref="F152">XLOOKUP(C152,$N$96:$N$179,$O$96:$O$179,"",0,1)</f>
        <v/>
      </c>
      <c r="G152" s="987" t="s">
        <v>8194</v>
      </c>
      <c r="H152" s="992">
        <f t="shared" si="14"/>
        <v>3</v>
      </c>
      <c r="I152" s="989"/>
      <c r="J152" s="989"/>
      <c r="K152" s="989"/>
      <c r="L152" s="989"/>
      <c r="M152" s="987"/>
      <c r="N152" s="989"/>
      <c r="O152" s="989"/>
      <c r="P152" s="989"/>
      <c r="Q152" s="989"/>
      <c r="R152" s="989"/>
      <c r="S152" s="989"/>
      <c r="T152" s="989"/>
      <c r="U152" s="989"/>
      <c r="V152" s="989"/>
      <c r="W152" s="989"/>
      <c r="X152" s="989"/>
      <c r="Y152" s="989"/>
      <c r="Z152" s="989"/>
      <c r="AA152" s="989"/>
      <c r="AB152" s="989"/>
      <c r="AC152" s="989"/>
      <c r="AD152" s="989"/>
      <c r="AE152" s="989"/>
    </row>
    <row r="153">
      <c r="A153" s="987">
        <v>2029.0</v>
      </c>
      <c r="B153" s="575" t="s">
        <v>63</v>
      </c>
      <c r="C153" s="575" t="s">
        <v>1421</v>
      </c>
      <c r="D153" s="987" t="str">
        <f>IFERROR(__xludf.DUMMYFUNCTION("SPLIT(C153,"" "")"),"Hawk")</f>
        <v>Hawk</v>
      </c>
      <c r="E153" s="987" t="str">
        <f>IFERROR(__xludf.DUMMYFUNCTION("""COMPUTED_VALUE"""),"Stickney")</f>
        <v>Stickney</v>
      </c>
      <c r="F153" s="290"/>
      <c r="G153" s="987" t="s">
        <v>8194</v>
      </c>
      <c r="H153" s="992">
        <f t="shared" si="14"/>
        <v>3</v>
      </c>
      <c r="I153" s="989"/>
      <c r="J153" s="989"/>
      <c r="K153" s="989"/>
      <c r="L153" s="989"/>
      <c r="M153" s="987"/>
      <c r="N153" s="989"/>
      <c r="O153" s="989"/>
      <c r="P153" s="989"/>
      <c r="Q153" s="989"/>
      <c r="R153" s="989"/>
      <c r="S153" s="989"/>
      <c r="T153" s="989"/>
      <c r="U153" s="989"/>
      <c r="V153" s="989"/>
      <c r="W153" s="989"/>
      <c r="X153" s="989"/>
      <c r="Y153" s="989"/>
      <c r="Z153" s="989"/>
      <c r="AA153" s="989"/>
      <c r="AB153" s="989"/>
      <c r="AC153" s="989"/>
      <c r="AD153" s="989"/>
      <c r="AE153" s="989"/>
    </row>
    <row r="154">
      <c r="A154" s="987">
        <v>2029.0</v>
      </c>
      <c r="B154" s="575" t="s">
        <v>51</v>
      </c>
      <c r="C154" s="575" t="s">
        <v>8676</v>
      </c>
      <c r="D154" s="987" t="str">
        <f>IFERROR(__xludf.DUMMYFUNCTION("SPLIT(C154,"" "")"),"Jake")</f>
        <v>Jake</v>
      </c>
      <c r="E154" s="987" t="str">
        <f>IFERROR(__xludf.DUMMYFUNCTION("""COMPUTED_VALUE"""),"Cesarz")</f>
        <v>Cesarz</v>
      </c>
      <c r="F154" s="575" t="s">
        <v>1550</v>
      </c>
      <c r="G154" s="987" t="s">
        <v>8194</v>
      </c>
      <c r="H154" s="992">
        <f t="shared" si="14"/>
        <v>3</v>
      </c>
      <c r="I154" s="989"/>
      <c r="J154" s="989"/>
      <c r="K154" s="989"/>
      <c r="L154" s="989"/>
      <c r="M154" s="987"/>
      <c r="N154" s="989"/>
      <c r="O154" s="989"/>
      <c r="P154" s="989"/>
      <c r="Q154" s="989"/>
      <c r="R154" s="989"/>
      <c r="S154" s="989"/>
      <c r="T154" s="989"/>
      <c r="U154" s="989"/>
      <c r="V154" s="989"/>
      <c r="W154" s="989"/>
      <c r="X154" s="989"/>
      <c r="Y154" s="989"/>
      <c r="Z154" s="989"/>
      <c r="AA154" s="989"/>
      <c r="AB154" s="989"/>
      <c r="AC154" s="989"/>
      <c r="AD154" s="989"/>
      <c r="AE154" s="989"/>
    </row>
    <row r="155">
      <c r="A155" s="987">
        <v>2029.0</v>
      </c>
      <c r="B155" s="987" t="s">
        <v>109</v>
      </c>
      <c r="C155" s="987" t="s">
        <v>1440</v>
      </c>
      <c r="D155" s="987" t="str">
        <f>IFERROR(__xludf.DUMMYFUNCTION("SPLIT(C155,"" "")"),"Keaton")</f>
        <v>Keaton</v>
      </c>
      <c r="E155" s="987" t="str">
        <f>IFERROR(__xludf.DUMMYFUNCTION("""COMPUTED_VALUE"""),"Bowers")</f>
        <v>Bowers</v>
      </c>
      <c r="F155" s="987" t="s">
        <v>1989</v>
      </c>
      <c r="G155" s="987" t="s">
        <v>8194</v>
      </c>
      <c r="H155" s="992">
        <f t="shared" si="14"/>
        <v>3</v>
      </c>
      <c r="I155" s="989"/>
      <c r="J155" s="989"/>
      <c r="K155" s="989"/>
      <c r="L155" s="989"/>
      <c r="M155" s="987"/>
      <c r="N155" s="989"/>
      <c r="O155" s="989"/>
      <c r="P155" s="989"/>
      <c r="Q155" s="989"/>
      <c r="R155" s="989"/>
      <c r="S155" s="989"/>
      <c r="T155" s="989"/>
      <c r="U155" s="989"/>
      <c r="V155" s="989"/>
      <c r="W155" s="989"/>
      <c r="X155" s="989"/>
      <c r="Y155" s="989"/>
      <c r="Z155" s="989"/>
      <c r="AA155" s="989"/>
      <c r="AB155" s="989"/>
      <c r="AC155" s="989"/>
      <c r="AD155" s="989"/>
      <c r="AE155" s="989"/>
    </row>
    <row r="156">
      <c r="A156" s="987"/>
      <c r="B156" s="987"/>
      <c r="C156" s="987"/>
      <c r="D156" s="987"/>
      <c r="E156" s="987"/>
      <c r="F156" s="987"/>
      <c r="G156" s="987"/>
      <c r="H156" s="992"/>
      <c r="I156" s="989"/>
      <c r="J156" s="989"/>
      <c r="K156" s="989"/>
      <c r="L156" s="989"/>
      <c r="M156" s="987"/>
      <c r="N156" s="989"/>
      <c r="O156" s="989"/>
      <c r="P156" s="989"/>
      <c r="Q156" s="989"/>
      <c r="R156" s="989"/>
      <c r="S156" s="989"/>
      <c r="T156" s="989"/>
      <c r="U156" s="989"/>
      <c r="V156" s="989"/>
      <c r="W156" s="989"/>
      <c r="X156" s="989"/>
      <c r="Y156" s="989"/>
      <c r="Z156" s="989"/>
      <c r="AA156" s="989"/>
      <c r="AB156" s="989"/>
      <c r="AC156" s="989"/>
      <c r="AD156" s="989"/>
      <c r="AE156" s="989"/>
    </row>
    <row r="157">
      <c r="A157" s="987">
        <v>2029.0</v>
      </c>
      <c r="B157" s="987" t="s">
        <v>122</v>
      </c>
      <c r="C157" s="987" t="s">
        <v>1454</v>
      </c>
      <c r="D157" s="987" t="str">
        <f>IFERROR(__xludf.DUMMYFUNCTION("SPLIT(C157,"" "")"),"Noah")</f>
        <v>Noah</v>
      </c>
      <c r="E157" s="987" t="str">
        <f>IFERROR(__xludf.DUMMYFUNCTION("""COMPUTED_VALUE"""),"Hummel")</f>
        <v>Hummel</v>
      </c>
      <c r="F157" s="987" t="str">
        <f t="array" ref="F157">XLOOKUP(C157,$N$96:$N$179,$O$96:$O$179,"",0,1)</f>
        <v/>
      </c>
      <c r="G157" s="987" t="s">
        <v>8194</v>
      </c>
      <c r="H157" s="992">
        <f t="shared" ref="H157:H175" si="15">XLOOKUP(G157,R:R,S:S,"",0,1)</f>
        <v>3</v>
      </c>
      <c r="I157" s="989"/>
      <c r="J157" s="989"/>
      <c r="K157" s="989"/>
      <c r="L157" s="989"/>
      <c r="M157" s="987"/>
      <c r="N157" s="989"/>
      <c r="O157" s="989"/>
      <c r="P157" s="989"/>
      <c r="Q157" s="989"/>
      <c r="R157" s="989"/>
      <c r="S157" s="989"/>
      <c r="T157" s="989"/>
      <c r="U157" s="989"/>
      <c r="V157" s="989"/>
      <c r="W157" s="989"/>
      <c r="X157" s="989"/>
      <c r="Y157" s="989"/>
      <c r="Z157" s="989"/>
      <c r="AA157" s="989"/>
      <c r="AB157" s="989"/>
      <c r="AC157" s="989"/>
      <c r="AD157" s="989"/>
      <c r="AE157" s="989"/>
    </row>
    <row r="158">
      <c r="A158" s="987">
        <v>2029.0</v>
      </c>
      <c r="B158" s="987" t="s">
        <v>63</v>
      </c>
      <c r="C158" s="987" t="s">
        <v>1469</v>
      </c>
      <c r="D158" s="987" t="str">
        <f>IFERROR(__xludf.DUMMYFUNCTION("SPLIT(C158,"" "")"),"Santiago")</f>
        <v>Santiago</v>
      </c>
      <c r="E158" s="987" t="str">
        <f>IFERROR(__xludf.DUMMYFUNCTION("""COMPUTED_VALUE"""),"Arismendi")</f>
        <v>Arismendi</v>
      </c>
      <c r="F158" s="987"/>
      <c r="G158" s="987" t="s">
        <v>8194</v>
      </c>
      <c r="H158" s="992">
        <f t="shared" si="15"/>
        <v>3</v>
      </c>
      <c r="I158" s="989"/>
      <c r="J158" s="989"/>
      <c r="K158" s="989"/>
      <c r="L158" s="989"/>
      <c r="M158" s="987"/>
      <c r="N158" s="989"/>
      <c r="O158" s="989"/>
      <c r="P158" s="989"/>
      <c r="Q158" s="989"/>
      <c r="R158" s="989"/>
      <c r="S158" s="989"/>
      <c r="T158" s="989"/>
      <c r="U158" s="989"/>
      <c r="V158" s="989"/>
      <c r="W158" s="989"/>
      <c r="X158" s="989"/>
      <c r="Y158" s="989"/>
      <c r="Z158" s="989"/>
      <c r="AA158" s="989"/>
      <c r="AB158" s="989"/>
      <c r="AC158" s="989"/>
      <c r="AD158" s="989"/>
      <c r="AE158" s="989"/>
    </row>
    <row r="159">
      <c r="A159" s="987">
        <v>2029.0</v>
      </c>
      <c r="B159" s="575" t="s">
        <v>63</v>
      </c>
      <c r="C159" s="575" t="s">
        <v>1459</v>
      </c>
      <c r="D159" s="987" t="str">
        <f>IFERROR(__xludf.DUMMYFUNCTION("SPLIT(C159,"" "")"),"Tyler")</f>
        <v>Tyler</v>
      </c>
      <c r="E159" s="987" t="str">
        <f>IFERROR(__xludf.DUMMYFUNCTION("""COMPUTED_VALUE"""),"Reeder")</f>
        <v>Reeder</v>
      </c>
      <c r="F159" s="290"/>
      <c r="G159" s="987" t="s">
        <v>8194</v>
      </c>
      <c r="H159" s="992">
        <f t="shared" si="15"/>
        <v>3</v>
      </c>
      <c r="I159" s="989"/>
      <c r="J159" s="989"/>
      <c r="K159" s="989"/>
      <c r="L159" s="989"/>
      <c r="M159" s="987"/>
      <c r="N159" s="989"/>
      <c r="O159" s="989"/>
      <c r="P159" s="989"/>
      <c r="Q159" s="989"/>
      <c r="R159" s="989"/>
      <c r="S159" s="989"/>
      <c r="T159" s="989"/>
      <c r="U159" s="989"/>
      <c r="V159" s="989"/>
      <c r="W159" s="989"/>
      <c r="X159" s="989"/>
      <c r="Y159" s="989"/>
      <c r="Z159" s="989"/>
      <c r="AA159" s="989"/>
      <c r="AB159" s="989"/>
      <c r="AC159" s="989"/>
      <c r="AD159" s="989"/>
      <c r="AE159" s="989"/>
    </row>
    <row r="160">
      <c r="A160" s="987">
        <v>2029.0</v>
      </c>
      <c r="B160" s="575" t="s">
        <v>109</v>
      </c>
      <c r="C160" s="575" t="s">
        <v>2827</v>
      </c>
      <c r="D160" s="987" t="str">
        <f>IFERROR(__xludf.DUMMYFUNCTION("SPLIT(C160,"" "")"),"Caleb")</f>
        <v>Caleb</v>
      </c>
      <c r="E160" s="987" t="str">
        <f>IFERROR(__xludf.DUMMYFUNCTION("""COMPUTED_VALUE"""),"Flannery")</f>
        <v>Flannery</v>
      </c>
      <c r="F160" s="575" t="s">
        <v>1550</v>
      </c>
      <c r="G160" s="575" t="s">
        <v>8196</v>
      </c>
      <c r="H160" s="992">
        <f t="shared" si="15"/>
        <v>2</v>
      </c>
      <c r="I160" s="989"/>
      <c r="J160" s="989"/>
      <c r="K160" s="989"/>
      <c r="L160" s="989"/>
      <c r="M160" s="987"/>
      <c r="N160" s="989"/>
      <c r="O160" s="989"/>
      <c r="P160" s="989"/>
      <c r="Q160" s="989"/>
      <c r="R160" s="989"/>
      <c r="S160" s="989"/>
      <c r="T160" s="989"/>
      <c r="U160" s="989"/>
      <c r="V160" s="989"/>
      <c r="W160" s="989"/>
      <c r="X160" s="989"/>
      <c r="Y160" s="989"/>
      <c r="Z160" s="989"/>
      <c r="AA160" s="989"/>
      <c r="AB160" s="989"/>
      <c r="AC160" s="989"/>
      <c r="AD160" s="989"/>
      <c r="AE160" s="989"/>
    </row>
    <row r="161">
      <c r="A161" s="987">
        <v>2029.0</v>
      </c>
      <c r="B161" s="987" t="s">
        <v>63</v>
      </c>
      <c r="C161" s="987" t="s">
        <v>2863</v>
      </c>
      <c r="D161" s="987" t="str">
        <f>IFERROR(__xludf.DUMMYFUNCTION("SPLIT(C161,"" "")"),"Ethan")</f>
        <v>Ethan</v>
      </c>
      <c r="E161" s="987" t="str">
        <f>IFERROR(__xludf.DUMMYFUNCTION("""COMPUTED_VALUE"""),"Wisler")</f>
        <v>Wisler</v>
      </c>
      <c r="F161" s="987"/>
      <c r="G161" s="575" t="s">
        <v>8196</v>
      </c>
      <c r="H161" s="992">
        <f t="shared" si="15"/>
        <v>2</v>
      </c>
      <c r="I161" s="989"/>
      <c r="J161" s="989"/>
      <c r="K161" s="989"/>
      <c r="L161" s="989"/>
      <c r="M161" s="987"/>
      <c r="N161" s="989"/>
      <c r="O161" s="989"/>
      <c r="P161" s="989"/>
      <c r="Q161" s="989"/>
      <c r="R161" s="989"/>
      <c r="S161" s="989"/>
      <c r="T161" s="989"/>
      <c r="U161" s="989"/>
      <c r="V161" s="989"/>
      <c r="W161" s="989"/>
      <c r="X161" s="989"/>
      <c r="Y161" s="989"/>
      <c r="Z161" s="989"/>
      <c r="AA161" s="989"/>
      <c r="AB161" s="989"/>
      <c r="AC161" s="989"/>
      <c r="AD161" s="989"/>
      <c r="AE161" s="989"/>
    </row>
    <row r="162">
      <c r="A162" s="987">
        <v>2029.0</v>
      </c>
      <c r="B162" s="987" t="s">
        <v>51</v>
      </c>
      <c r="C162" s="987" t="s">
        <v>2856</v>
      </c>
      <c r="D162" s="987" t="str">
        <f>IFERROR(__xludf.DUMMYFUNCTION("SPLIT(C162,"" "")"),"Stevie")</f>
        <v>Stevie</v>
      </c>
      <c r="E162" s="987" t="str">
        <f>IFERROR(__xludf.DUMMYFUNCTION("""COMPUTED_VALUE"""),"Wellens")</f>
        <v>Wellens</v>
      </c>
      <c r="F162" s="987" t="s">
        <v>1550</v>
      </c>
      <c r="G162" s="575" t="s">
        <v>8196</v>
      </c>
      <c r="H162" s="992">
        <f t="shared" si="15"/>
        <v>2</v>
      </c>
      <c r="I162" s="989"/>
      <c r="J162" s="989"/>
      <c r="K162" s="989"/>
      <c r="L162" s="989"/>
      <c r="M162" s="989"/>
      <c r="N162" s="989"/>
      <c r="O162" s="989"/>
      <c r="P162" s="989"/>
      <c r="Q162" s="989"/>
      <c r="R162" s="989"/>
      <c r="S162" s="989"/>
      <c r="T162" s="989"/>
      <c r="U162" s="989"/>
      <c r="V162" s="989"/>
      <c r="W162" s="989"/>
      <c r="X162" s="989"/>
      <c r="Y162" s="989"/>
      <c r="Z162" s="989"/>
      <c r="AA162" s="989"/>
      <c r="AB162" s="989"/>
      <c r="AC162" s="989"/>
      <c r="AD162" s="989"/>
      <c r="AE162" s="989"/>
    </row>
    <row r="163">
      <c r="A163" s="987">
        <v>2029.0</v>
      </c>
      <c r="B163" s="575" t="s">
        <v>51</v>
      </c>
      <c r="C163" s="575" t="s">
        <v>2836</v>
      </c>
      <c r="D163" s="987" t="str">
        <f>IFERROR(__xludf.DUMMYFUNCTION("SPLIT(C163,"" "")"),"Zach")</f>
        <v>Zach</v>
      </c>
      <c r="E163" s="987" t="str">
        <f>IFERROR(__xludf.DUMMYFUNCTION("""COMPUTED_VALUE"""),"Madar")</f>
        <v>Madar</v>
      </c>
      <c r="F163" s="575" t="s">
        <v>1550</v>
      </c>
      <c r="G163" s="575" t="s">
        <v>8196</v>
      </c>
      <c r="H163" s="992">
        <f t="shared" si="15"/>
        <v>2</v>
      </c>
      <c r="I163" s="989"/>
      <c r="J163" s="989"/>
      <c r="K163" s="989"/>
      <c r="L163" s="989"/>
      <c r="M163" s="989"/>
      <c r="N163" s="989"/>
      <c r="O163" s="989"/>
      <c r="P163" s="989"/>
      <c r="Q163" s="989"/>
      <c r="R163" s="989"/>
      <c r="S163" s="989"/>
      <c r="T163" s="989"/>
      <c r="U163" s="989"/>
      <c r="V163" s="989"/>
      <c r="W163" s="989"/>
      <c r="X163" s="989"/>
      <c r="Y163" s="989"/>
      <c r="Z163" s="989"/>
      <c r="AA163" s="989"/>
      <c r="AB163" s="989"/>
      <c r="AC163" s="989"/>
      <c r="AD163" s="989"/>
      <c r="AE163" s="989"/>
    </row>
    <row r="164">
      <c r="A164" s="987">
        <v>2029.0</v>
      </c>
      <c r="B164" s="575" t="s">
        <v>63</v>
      </c>
      <c r="C164" s="575" t="s">
        <v>9099</v>
      </c>
      <c r="D164" s="987" t="str">
        <f>IFERROR(__xludf.DUMMYFUNCTION("SPLIT(C164,"" "")"),"Jack")</f>
        <v>Jack</v>
      </c>
      <c r="E164" s="987" t="str">
        <f>IFERROR(__xludf.DUMMYFUNCTION("""COMPUTED_VALUE"""),"VanGemert")</f>
        <v>VanGemert</v>
      </c>
      <c r="F164" s="290"/>
      <c r="G164" s="575" t="s">
        <v>8196</v>
      </c>
      <c r="H164" s="992">
        <f t="shared" si="15"/>
        <v>2</v>
      </c>
      <c r="I164" s="989"/>
      <c r="J164" s="989"/>
      <c r="K164" s="989"/>
      <c r="L164" s="989"/>
      <c r="M164" s="989"/>
      <c r="N164" s="989"/>
      <c r="O164" s="989"/>
      <c r="P164" s="989"/>
      <c r="Q164" s="989"/>
      <c r="R164" s="989"/>
      <c r="S164" s="989"/>
      <c r="T164" s="989"/>
      <c r="U164" s="989"/>
      <c r="V164" s="989"/>
      <c r="W164" s="989"/>
      <c r="X164" s="989"/>
      <c r="Y164" s="989"/>
      <c r="Z164" s="989"/>
      <c r="AA164" s="989"/>
      <c r="AB164" s="989"/>
      <c r="AC164" s="989"/>
      <c r="AD164" s="989"/>
      <c r="AE164" s="989"/>
    </row>
    <row r="165">
      <c r="A165" s="987">
        <v>2029.0</v>
      </c>
      <c r="B165" s="575" t="s">
        <v>63</v>
      </c>
      <c r="C165" s="575" t="s">
        <v>2818</v>
      </c>
      <c r="D165" s="987" t="str">
        <f>IFERROR(__xludf.DUMMYFUNCTION("SPLIT(C165,"" "")"),"Jude")</f>
        <v>Jude</v>
      </c>
      <c r="E165" s="987" t="str">
        <f>IFERROR(__xludf.DUMMYFUNCTION("""COMPUTED_VALUE"""),"Davidson")</f>
        <v>Davidson</v>
      </c>
      <c r="F165" s="290"/>
      <c r="G165" s="575" t="s">
        <v>8196</v>
      </c>
      <c r="H165" s="992">
        <f t="shared" si="15"/>
        <v>2</v>
      </c>
      <c r="I165" s="989"/>
      <c r="J165" s="989"/>
      <c r="K165" s="989"/>
      <c r="L165" s="989"/>
      <c r="M165" s="989"/>
      <c r="N165" s="989"/>
      <c r="O165" s="989"/>
      <c r="P165" s="989"/>
      <c r="Q165" s="989"/>
      <c r="R165" s="989"/>
      <c r="S165" s="989"/>
      <c r="T165" s="989"/>
      <c r="U165" s="989"/>
      <c r="V165" s="989"/>
      <c r="W165" s="989"/>
      <c r="X165" s="989"/>
      <c r="Y165" s="989"/>
      <c r="Z165" s="989"/>
      <c r="AA165" s="989"/>
      <c r="AB165" s="989"/>
      <c r="AC165" s="989"/>
      <c r="AD165" s="989"/>
      <c r="AE165" s="989"/>
    </row>
    <row r="166">
      <c r="A166" s="987">
        <v>2029.0</v>
      </c>
      <c r="B166" s="575" t="s">
        <v>63</v>
      </c>
      <c r="C166" s="575" t="s">
        <v>2812</v>
      </c>
      <c r="D166" s="987" t="str">
        <f>IFERROR(__xludf.DUMMYFUNCTION("SPLIT(C166,"" "")"),"Kolby")</f>
        <v>Kolby</v>
      </c>
      <c r="E166" s="987" t="str">
        <f>IFERROR(__xludf.DUMMYFUNCTION("""COMPUTED_VALUE"""),"Crosby")</f>
        <v>Crosby</v>
      </c>
      <c r="F166" s="290"/>
      <c r="G166" s="575" t="s">
        <v>8196</v>
      </c>
      <c r="H166" s="992">
        <f t="shared" si="15"/>
        <v>2</v>
      </c>
      <c r="I166" s="989"/>
      <c r="J166" s="989"/>
      <c r="K166" s="989"/>
      <c r="L166" s="989"/>
      <c r="M166" s="989"/>
      <c r="N166" s="989"/>
      <c r="O166" s="989"/>
      <c r="P166" s="989"/>
      <c r="Q166" s="989"/>
      <c r="R166" s="989"/>
      <c r="S166" s="989"/>
      <c r="T166" s="989"/>
      <c r="U166" s="989"/>
      <c r="V166" s="989"/>
      <c r="W166" s="989"/>
      <c r="X166" s="989"/>
      <c r="Y166" s="989"/>
      <c r="Z166" s="989"/>
      <c r="AA166" s="989"/>
      <c r="AB166" s="989"/>
      <c r="AC166" s="989"/>
      <c r="AD166" s="989"/>
      <c r="AE166" s="989"/>
    </row>
    <row r="167">
      <c r="A167" s="987">
        <v>2030.0</v>
      </c>
      <c r="B167" s="987" t="s">
        <v>103</v>
      </c>
      <c r="C167" s="987" t="s">
        <v>1372</v>
      </c>
      <c r="D167" s="987" t="str">
        <f>IFERROR(__xludf.DUMMYFUNCTION("SPLIT(C167,"" "")"),"Ace")</f>
        <v>Ace</v>
      </c>
      <c r="E167" s="987" t="str">
        <f>IFERROR(__xludf.DUMMYFUNCTION("""COMPUTED_VALUE"""),"Tarango")</f>
        <v>Tarango</v>
      </c>
      <c r="F167" s="987" t="s">
        <v>1550</v>
      </c>
      <c r="G167" s="987" t="s">
        <v>8193</v>
      </c>
      <c r="H167" s="992">
        <f t="shared" si="15"/>
        <v>4</v>
      </c>
      <c r="I167" s="989"/>
      <c r="J167" s="989"/>
      <c r="K167" s="989"/>
      <c r="L167" s="989"/>
      <c r="M167" s="989"/>
      <c r="N167" s="989"/>
      <c r="O167" s="989"/>
      <c r="P167" s="989"/>
      <c r="Q167" s="989"/>
      <c r="R167" s="989"/>
      <c r="S167" s="989"/>
      <c r="T167" s="989"/>
      <c r="U167" s="989"/>
      <c r="V167" s="989"/>
      <c r="W167" s="989"/>
      <c r="X167" s="989"/>
      <c r="Y167" s="989"/>
      <c r="Z167" s="989"/>
      <c r="AA167" s="989"/>
      <c r="AB167" s="989"/>
      <c r="AC167" s="989"/>
      <c r="AD167" s="989"/>
      <c r="AE167" s="989"/>
    </row>
    <row r="168">
      <c r="A168" s="987">
        <v>2030.0</v>
      </c>
      <c r="B168" s="987" t="s">
        <v>63</v>
      </c>
      <c r="C168" s="987" t="s">
        <v>1382</v>
      </c>
      <c r="D168" s="987" t="str">
        <f>IFERROR(__xludf.DUMMYFUNCTION("SPLIT(C168,"" "")"),"Brian")</f>
        <v>Brian</v>
      </c>
      <c r="E168" s="987" t="str">
        <f>IFERROR(__xludf.DUMMYFUNCTION("""COMPUTED_VALUE"""),"Mancinelli")</f>
        <v>Mancinelli</v>
      </c>
      <c r="F168" s="987" t="str">
        <f t="array" ref="F168">XLOOKUP(C168,$N$96:$N$179,$O$96:$O$179,"",0,1)</f>
        <v/>
      </c>
      <c r="G168" s="987" t="s">
        <v>8193</v>
      </c>
      <c r="H168" s="992">
        <f t="shared" si="15"/>
        <v>4</v>
      </c>
      <c r="I168" s="989"/>
      <c r="J168" s="989"/>
      <c r="K168" s="989"/>
      <c r="L168" s="989"/>
      <c r="M168" s="989"/>
      <c r="N168" s="989"/>
      <c r="O168" s="989"/>
      <c r="P168" s="989"/>
      <c r="Q168" s="989"/>
      <c r="R168" s="989"/>
      <c r="S168" s="989"/>
      <c r="T168" s="989"/>
      <c r="U168" s="989"/>
      <c r="V168" s="989"/>
      <c r="W168" s="989"/>
      <c r="X168" s="989"/>
      <c r="Y168" s="989"/>
      <c r="Z168" s="989"/>
      <c r="AA168" s="989"/>
      <c r="AB168" s="989"/>
      <c r="AC168" s="989"/>
      <c r="AD168" s="989"/>
      <c r="AE168" s="989"/>
    </row>
    <row r="169">
      <c r="A169" s="987">
        <v>2030.0</v>
      </c>
      <c r="B169" s="987" t="s">
        <v>51</v>
      </c>
      <c r="C169" s="987" t="s">
        <v>1390</v>
      </c>
      <c r="D169" s="987" t="str">
        <f>IFERROR(__xludf.DUMMYFUNCTION("SPLIT(C169,"" "")"),"Brooks")</f>
        <v>Brooks</v>
      </c>
      <c r="E169" s="987" t="str">
        <f>IFERROR(__xludf.DUMMYFUNCTION("""COMPUTED_VALUE"""),"Franklin")</f>
        <v>Franklin</v>
      </c>
      <c r="F169" s="987" t="s">
        <v>1989</v>
      </c>
      <c r="G169" s="987" t="s">
        <v>8193</v>
      </c>
      <c r="H169" s="992">
        <f t="shared" si="15"/>
        <v>4</v>
      </c>
      <c r="I169" s="989"/>
      <c r="J169" s="989"/>
      <c r="K169" s="989"/>
      <c r="L169" s="989"/>
      <c r="M169" s="989"/>
      <c r="N169" s="989"/>
      <c r="O169" s="989"/>
      <c r="P169" s="989"/>
      <c r="Q169" s="989"/>
      <c r="R169" s="989"/>
      <c r="S169" s="989"/>
      <c r="T169" s="989"/>
      <c r="U169" s="989"/>
      <c r="V169" s="989"/>
      <c r="W169" s="989"/>
      <c r="X169" s="989"/>
      <c r="Y169" s="989"/>
      <c r="Z169" s="989"/>
      <c r="AA169" s="989"/>
      <c r="AB169" s="989"/>
      <c r="AC169" s="989"/>
      <c r="AD169" s="989"/>
      <c r="AE169" s="989"/>
    </row>
    <row r="170">
      <c r="A170" s="987">
        <v>2030.0</v>
      </c>
      <c r="B170" s="987" t="s">
        <v>51</v>
      </c>
      <c r="C170" s="388" t="s">
        <v>9098</v>
      </c>
      <c r="D170" s="391"/>
      <c r="E170" s="391"/>
      <c r="F170" s="987" t="s">
        <v>1550</v>
      </c>
      <c r="G170" s="987" t="s">
        <v>8193</v>
      </c>
      <c r="H170" s="992">
        <f t="shared" si="15"/>
        <v>4</v>
      </c>
      <c r="I170" s="989"/>
      <c r="J170" s="989"/>
      <c r="K170" s="989"/>
      <c r="L170" s="989"/>
      <c r="M170" s="989"/>
      <c r="N170" s="989"/>
      <c r="O170" s="989"/>
      <c r="P170" s="989"/>
      <c r="Q170" s="989"/>
      <c r="R170" s="989"/>
      <c r="S170" s="989"/>
      <c r="T170" s="989"/>
      <c r="U170" s="989"/>
      <c r="V170" s="989"/>
      <c r="W170" s="989"/>
      <c r="X170" s="989"/>
      <c r="Y170" s="989"/>
      <c r="Z170" s="989"/>
      <c r="AA170" s="989"/>
      <c r="AB170" s="989"/>
      <c r="AC170" s="989"/>
      <c r="AD170" s="989"/>
      <c r="AE170" s="989"/>
    </row>
    <row r="171">
      <c r="A171" s="987">
        <v>2030.0</v>
      </c>
      <c r="B171" s="987" t="s">
        <v>51</v>
      </c>
      <c r="C171" s="987" t="s">
        <v>6885</v>
      </c>
      <c r="D171" s="987" t="str">
        <f>IFERROR(__xludf.DUMMYFUNCTION("SPLIT(C171,"" "")"),"Cory")</f>
        <v>Cory</v>
      </c>
      <c r="E171" s="987" t="str">
        <f>IFERROR(__xludf.DUMMYFUNCTION("""COMPUTED_VALUE"""),"Carver")</f>
        <v>Carver</v>
      </c>
      <c r="F171" s="987" t="s">
        <v>1550</v>
      </c>
      <c r="G171" s="987" t="s">
        <v>8193</v>
      </c>
      <c r="H171" s="992">
        <f t="shared" si="15"/>
        <v>4</v>
      </c>
      <c r="I171" s="989"/>
      <c r="J171" s="989"/>
      <c r="K171" s="989"/>
      <c r="L171" s="989"/>
      <c r="M171" s="989"/>
      <c r="N171" s="989"/>
      <c r="O171" s="989"/>
      <c r="P171" s="989"/>
      <c r="Q171" s="989"/>
      <c r="R171" s="989"/>
      <c r="S171" s="989"/>
      <c r="T171" s="989"/>
      <c r="U171" s="989"/>
      <c r="V171" s="989"/>
      <c r="W171" s="989"/>
      <c r="X171" s="989"/>
      <c r="Y171" s="989"/>
      <c r="Z171" s="989"/>
      <c r="AA171" s="989"/>
      <c r="AB171" s="989"/>
      <c r="AC171" s="989"/>
      <c r="AD171" s="989"/>
      <c r="AE171" s="989"/>
    </row>
    <row r="172">
      <c r="A172" s="987">
        <v>2030.0</v>
      </c>
      <c r="B172" s="987" t="s">
        <v>122</v>
      </c>
      <c r="C172" s="987" t="s">
        <v>1416</v>
      </c>
      <c r="D172" s="987" t="str">
        <f>IFERROR(__xludf.DUMMYFUNCTION("SPLIT(C172,"" "")"),"Garrison")</f>
        <v>Garrison</v>
      </c>
      <c r="E172" s="987" t="str">
        <f>IFERROR(__xludf.DUMMYFUNCTION("""COMPUTED_VALUE"""),"Wade")</f>
        <v>Wade</v>
      </c>
      <c r="F172" s="987" t="str">
        <f t="array" ref="F172">XLOOKUP(C172,$N$96:$N$179,$O$96:$O$179,"",0,1)</f>
        <v/>
      </c>
      <c r="G172" s="987" t="s">
        <v>8193</v>
      </c>
      <c r="H172" s="992">
        <f t="shared" si="15"/>
        <v>4</v>
      </c>
      <c r="I172" s="989"/>
      <c r="J172" s="989"/>
      <c r="K172" s="989"/>
      <c r="L172" s="989"/>
      <c r="M172" s="989"/>
      <c r="N172" s="989"/>
      <c r="O172" s="989"/>
      <c r="P172" s="989"/>
      <c r="Q172" s="989"/>
      <c r="R172" s="989"/>
      <c r="S172" s="989"/>
      <c r="T172" s="989"/>
      <c r="U172" s="989"/>
      <c r="V172" s="989"/>
      <c r="W172" s="989"/>
      <c r="X172" s="989"/>
      <c r="Y172" s="989"/>
      <c r="Z172" s="989"/>
      <c r="AA172" s="989"/>
      <c r="AB172" s="989"/>
      <c r="AC172" s="989"/>
      <c r="AD172" s="989"/>
      <c r="AE172" s="989"/>
    </row>
    <row r="173">
      <c r="A173" s="987">
        <v>2030.0</v>
      </c>
      <c r="B173" s="575" t="s">
        <v>63</v>
      </c>
      <c r="C173" s="575" t="s">
        <v>1421</v>
      </c>
      <c r="D173" s="987" t="str">
        <f>IFERROR(__xludf.DUMMYFUNCTION("SPLIT(C173,"" "")"),"Hawk")</f>
        <v>Hawk</v>
      </c>
      <c r="E173" s="987" t="str">
        <f>IFERROR(__xludf.DUMMYFUNCTION("""COMPUTED_VALUE"""),"Stickney")</f>
        <v>Stickney</v>
      </c>
      <c r="F173" s="290"/>
      <c r="G173" s="987" t="s">
        <v>8193</v>
      </c>
      <c r="H173" s="992">
        <f t="shared" si="15"/>
        <v>4</v>
      </c>
      <c r="I173" s="989"/>
      <c r="J173" s="989"/>
      <c r="K173" s="989"/>
      <c r="L173" s="989"/>
      <c r="M173" s="989"/>
      <c r="N173" s="989"/>
      <c r="O173" s="989"/>
      <c r="P173" s="989"/>
      <c r="Q173" s="989"/>
      <c r="R173" s="989"/>
      <c r="S173" s="989"/>
      <c r="T173" s="989"/>
      <c r="U173" s="989"/>
      <c r="V173" s="989"/>
      <c r="W173" s="989"/>
      <c r="X173" s="989"/>
      <c r="Y173" s="989"/>
      <c r="Z173" s="989"/>
      <c r="AA173" s="989"/>
      <c r="AB173" s="989"/>
      <c r="AC173" s="989"/>
      <c r="AD173" s="989"/>
      <c r="AE173" s="989"/>
    </row>
    <row r="174">
      <c r="A174" s="987">
        <v>2030.0</v>
      </c>
      <c r="B174" s="575" t="s">
        <v>51</v>
      </c>
      <c r="C174" s="575" t="s">
        <v>8676</v>
      </c>
      <c r="D174" s="987" t="str">
        <f>IFERROR(__xludf.DUMMYFUNCTION("SPLIT(C174,"" "")"),"Jake")</f>
        <v>Jake</v>
      </c>
      <c r="E174" s="987" t="str">
        <f>IFERROR(__xludf.DUMMYFUNCTION("""COMPUTED_VALUE"""),"Cesarz")</f>
        <v>Cesarz</v>
      </c>
      <c r="F174" s="575" t="s">
        <v>1550</v>
      </c>
      <c r="G174" s="987" t="s">
        <v>8193</v>
      </c>
      <c r="H174" s="992">
        <f t="shared" si="15"/>
        <v>4</v>
      </c>
      <c r="I174" s="989"/>
      <c r="J174" s="989"/>
      <c r="K174" s="989"/>
      <c r="L174" s="989"/>
      <c r="M174" s="989"/>
      <c r="N174" s="989"/>
      <c r="O174" s="989"/>
      <c r="P174" s="989"/>
      <c r="Q174" s="989"/>
      <c r="R174" s="989"/>
      <c r="S174" s="989"/>
      <c r="T174" s="989"/>
      <c r="U174" s="989"/>
      <c r="V174" s="989"/>
      <c r="W174" s="989"/>
      <c r="X174" s="989"/>
      <c r="Y174" s="989"/>
      <c r="Z174" s="989"/>
      <c r="AA174" s="989"/>
      <c r="AB174" s="989"/>
      <c r="AC174" s="989"/>
      <c r="AD174" s="989"/>
      <c r="AE174" s="989"/>
    </row>
    <row r="175">
      <c r="A175" s="987">
        <v>2030.0</v>
      </c>
      <c r="B175" s="987" t="s">
        <v>109</v>
      </c>
      <c r="C175" s="987" t="s">
        <v>1440</v>
      </c>
      <c r="D175" s="987" t="str">
        <f>IFERROR(__xludf.DUMMYFUNCTION("SPLIT(C175,"" "")"),"Keaton")</f>
        <v>Keaton</v>
      </c>
      <c r="E175" s="987" t="str">
        <f>IFERROR(__xludf.DUMMYFUNCTION("""COMPUTED_VALUE"""),"Bowers")</f>
        <v>Bowers</v>
      </c>
      <c r="F175" s="987" t="s">
        <v>1989</v>
      </c>
      <c r="G175" s="987" t="s">
        <v>8193</v>
      </c>
      <c r="H175" s="992">
        <f t="shared" si="15"/>
        <v>4</v>
      </c>
      <c r="I175" s="989"/>
      <c r="J175" s="989"/>
      <c r="K175" s="989"/>
      <c r="L175" s="989"/>
      <c r="M175" s="989"/>
      <c r="N175" s="989"/>
      <c r="O175" s="989"/>
      <c r="P175" s="989"/>
      <c r="Q175" s="989"/>
      <c r="R175" s="989"/>
      <c r="S175" s="989"/>
      <c r="T175" s="989"/>
      <c r="U175" s="989"/>
      <c r="V175" s="989"/>
      <c r="W175" s="989"/>
      <c r="X175" s="989"/>
      <c r="Y175" s="989"/>
      <c r="Z175" s="989"/>
      <c r="AA175" s="989"/>
      <c r="AB175" s="989"/>
      <c r="AC175" s="989"/>
      <c r="AD175" s="989"/>
      <c r="AE175" s="989"/>
    </row>
    <row r="176">
      <c r="A176" s="987"/>
      <c r="B176" s="987"/>
      <c r="C176" s="987"/>
      <c r="D176" s="987"/>
      <c r="E176" s="987"/>
      <c r="F176" s="987"/>
      <c r="G176" s="987"/>
      <c r="H176" s="992"/>
      <c r="I176" s="989"/>
      <c r="J176" s="989"/>
      <c r="K176" s="989"/>
      <c r="L176" s="989"/>
      <c r="M176" s="989"/>
      <c r="N176" s="989"/>
      <c r="O176" s="989"/>
      <c r="P176" s="989"/>
      <c r="Q176" s="989"/>
      <c r="R176" s="989"/>
      <c r="S176" s="989"/>
      <c r="T176" s="989"/>
      <c r="U176" s="989"/>
      <c r="V176" s="989"/>
      <c r="W176" s="989"/>
      <c r="X176" s="989"/>
      <c r="Y176" s="989"/>
      <c r="Z176" s="989"/>
      <c r="AA176" s="989"/>
      <c r="AB176" s="989"/>
      <c r="AC176" s="989"/>
      <c r="AD176" s="989"/>
      <c r="AE176" s="989"/>
    </row>
    <row r="177">
      <c r="A177" s="987">
        <v>2030.0</v>
      </c>
      <c r="B177" s="987" t="s">
        <v>122</v>
      </c>
      <c r="C177" s="987" t="s">
        <v>1454</v>
      </c>
      <c r="D177" s="987" t="str">
        <f>IFERROR(__xludf.DUMMYFUNCTION("SPLIT(C177,"" "")"),"Noah")</f>
        <v>Noah</v>
      </c>
      <c r="E177" s="987" t="str">
        <f>IFERROR(__xludf.DUMMYFUNCTION("""COMPUTED_VALUE"""),"Hummel")</f>
        <v>Hummel</v>
      </c>
      <c r="F177" s="987" t="str">
        <f t="array" ref="F177">XLOOKUP(C177,$N$96:$N$179,$O$96:$O$179,"",0,1)</f>
        <v/>
      </c>
      <c r="G177" s="987" t="s">
        <v>8193</v>
      </c>
      <c r="H177" s="992">
        <f t="shared" ref="H177:H991" si="16">XLOOKUP(G177,R:R,S:S,"",0,1)</f>
        <v>4</v>
      </c>
      <c r="I177" s="989"/>
      <c r="J177" s="989"/>
      <c r="K177" s="989"/>
      <c r="L177" s="989"/>
      <c r="M177" s="989"/>
      <c r="N177" s="989"/>
      <c r="O177" s="989"/>
      <c r="P177" s="989"/>
      <c r="Q177" s="989"/>
      <c r="R177" s="989"/>
      <c r="S177" s="989"/>
      <c r="T177" s="989"/>
      <c r="U177" s="989"/>
      <c r="V177" s="989"/>
      <c r="W177" s="989"/>
      <c r="X177" s="989"/>
      <c r="Y177" s="989"/>
      <c r="Z177" s="989"/>
      <c r="AA177" s="989"/>
      <c r="AB177" s="989"/>
      <c r="AC177" s="989"/>
      <c r="AD177" s="989"/>
      <c r="AE177" s="989"/>
    </row>
    <row r="178">
      <c r="A178" s="987">
        <v>2030.0</v>
      </c>
      <c r="B178" s="987" t="s">
        <v>63</v>
      </c>
      <c r="C178" s="987" t="s">
        <v>1469</v>
      </c>
      <c r="D178" s="987" t="str">
        <f>IFERROR(__xludf.DUMMYFUNCTION("SPLIT(C178,"" "")"),"Santiago")</f>
        <v>Santiago</v>
      </c>
      <c r="E178" s="987" t="str">
        <f>IFERROR(__xludf.DUMMYFUNCTION("""COMPUTED_VALUE"""),"Arismendi")</f>
        <v>Arismendi</v>
      </c>
      <c r="F178" s="987"/>
      <c r="G178" s="987" t="s">
        <v>8193</v>
      </c>
      <c r="H178" s="992">
        <f t="shared" si="16"/>
        <v>4</v>
      </c>
      <c r="I178" s="989"/>
      <c r="J178" s="989"/>
      <c r="K178" s="989"/>
      <c r="L178" s="989"/>
      <c r="M178" s="989"/>
      <c r="N178" s="989"/>
      <c r="O178" s="989"/>
      <c r="P178" s="989"/>
      <c r="Q178" s="989"/>
      <c r="R178" s="989"/>
      <c r="S178" s="989"/>
      <c r="T178" s="989"/>
      <c r="U178" s="989"/>
      <c r="V178" s="989"/>
      <c r="W178" s="989"/>
      <c r="X178" s="989"/>
      <c r="Y178" s="989"/>
      <c r="Z178" s="989"/>
      <c r="AA178" s="989"/>
      <c r="AB178" s="989"/>
      <c r="AC178" s="989"/>
      <c r="AD178" s="989"/>
      <c r="AE178" s="989"/>
    </row>
    <row r="179">
      <c r="A179" s="987">
        <v>2030.0</v>
      </c>
      <c r="B179" s="575" t="s">
        <v>63</v>
      </c>
      <c r="C179" s="575" t="s">
        <v>1459</v>
      </c>
      <c r="D179" s="987" t="str">
        <f>IFERROR(__xludf.DUMMYFUNCTION("SPLIT(C179,"" "")"),"Tyler")</f>
        <v>Tyler</v>
      </c>
      <c r="E179" s="987" t="str">
        <f>IFERROR(__xludf.DUMMYFUNCTION("""COMPUTED_VALUE"""),"Reeder")</f>
        <v>Reeder</v>
      </c>
      <c r="F179" s="290"/>
      <c r="G179" s="987" t="s">
        <v>8193</v>
      </c>
      <c r="H179" s="992">
        <f t="shared" si="16"/>
        <v>4</v>
      </c>
      <c r="I179" s="989"/>
      <c r="J179" s="989"/>
      <c r="K179" s="989"/>
      <c r="L179" s="989"/>
      <c r="M179" s="989"/>
      <c r="N179" s="989"/>
      <c r="O179" s="989"/>
      <c r="P179" s="989"/>
      <c r="Q179" s="989"/>
      <c r="R179" s="989"/>
      <c r="S179" s="989"/>
      <c r="T179" s="989"/>
      <c r="U179" s="989"/>
      <c r="V179" s="989"/>
      <c r="W179" s="989"/>
      <c r="X179" s="989"/>
      <c r="Y179" s="989"/>
      <c r="Z179" s="989"/>
      <c r="AA179" s="989"/>
      <c r="AB179" s="989"/>
      <c r="AC179" s="989"/>
      <c r="AD179" s="989"/>
      <c r="AE179" s="989"/>
    </row>
    <row r="180">
      <c r="A180" s="987">
        <v>2030.0</v>
      </c>
      <c r="B180" s="575" t="s">
        <v>109</v>
      </c>
      <c r="C180" s="575" t="s">
        <v>2827</v>
      </c>
      <c r="D180" s="987" t="str">
        <f>IFERROR(__xludf.DUMMYFUNCTION("SPLIT(C180,"" "")"),"Caleb")</f>
        <v>Caleb</v>
      </c>
      <c r="E180" s="987" t="str">
        <f>IFERROR(__xludf.DUMMYFUNCTION("""COMPUTED_VALUE"""),"Flannery")</f>
        <v>Flannery</v>
      </c>
      <c r="F180" s="575" t="s">
        <v>1550</v>
      </c>
      <c r="G180" s="575" t="s">
        <v>8194</v>
      </c>
      <c r="H180" s="992">
        <f t="shared" si="16"/>
        <v>3</v>
      </c>
      <c r="I180" s="989"/>
      <c r="J180" s="989"/>
      <c r="K180" s="989"/>
      <c r="L180" s="989"/>
      <c r="M180" s="989"/>
      <c r="N180" s="989"/>
      <c r="O180" s="989"/>
      <c r="P180" s="989"/>
      <c r="Q180" s="989"/>
      <c r="R180" s="989"/>
      <c r="S180" s="989"/>
      <c r="T180" s="989"/>
      <c r="U180" s="989"/>
      <c r="V180" s="989"/>
      <c r="W180" s="989"/>
      <c r="X180" s="989"/>
      <c r="Y180" s="989"/>
      <c r="Z180" s="989"/>
      <c r="AA180" s="989"/>
      <c r="AB180" s="989"/>
      <c r="AC180" s="989"/>
      <c r="AD180" s="989"/>
      <c r="AE180" s="989"/>
    </row>
    <row r="181">
      <c r="A181" s="987">
        <v>2030.0</v>
      </c>
      <c r="B181" s="987" t="s">
        <v>63</v>
      </c>
      <c r="C181" s="987" t="s">
        <v>2863</v>
      </c>
      <c r="D181" s="987" t="str">
        <f>IFERROR(__xludf.DUMMYFUNCTION("SPLIT(C181,"" "")"),"Ethan")</f>
        <v>Ethan</v>
      </c>
      <c r="E181" s="987" t="str">
        <f>IFERROR(__xludf.DUMMYFUNCTION("""COMPUTED_VALUE"""),"Wisler")</f>
        <v>Wisler</v>
      </c>
      <c r="F181" s="987"/>
      <c r="G181" s="575" t="s">
        <v>8194</v>
      </c>
      <c r="H181" s="992">
        <f t="shared" si="16"/>
        <v>3</v>
      </c>
      <c r="I181" s="989"/>
      <c r="J181" s="989"/>
      <c r="K181" s="989"/>
      <c r="L181" s="989"/>
      <c r="M181" s="989"/>
      <c r="N181" s="989"/>
      <c r="O181" s="989"/>
      <c r="P181" s="989"/>
      <c r="Q181" s="989"/>
      <c r="R181" s="989"/>
      <c r="S181" s="989"/>
      <c r="T181" s="989"/>
      <c r="U181" s="989"/>
      <c r="V181" s="989"/>
      <c r="W181" s="989"/>
      <c r="X181" s="989"/>
      <c r="Y181" s="989"/>
      <c r="Z181" s="989"/>
      <c r="AA181" s="989"/>
      <c r="AB181" s="989"/>
      <c r="AC181" s="989"/>
      <c r="AD181" s="989"/>
      <c r="AE181" s="989"/>
    </row>
    <row r="182">
      <c r="A182" s="987">
        <v>2030.0</v>
      </c>
      <c r="B182" s="987" t="s">
        <v>51</v>
      </c>
      <c r="C182" s="987" t="s">
        <v>2856</v>
      </c>
      <c r="D182" s="987" t="str">
        <f>IFERROR(__xludf.DUMMYFUNCTION("SPLIT(C182,"" "")"),"Stevie")</f>
        <v>Stevie</v>
      </c>
      <c r="E182" s="987" t="str">
        <f>IFERROR(__xludf.DUMMYFUNCTION("""COMPUTED_VALUE"""),"Wellens")</f>
        <v>Wellens</v>
      </c>
      <c r="F182" s="987" t="s">
        <v>1550</v>
      </c>
      <c r="G182" s="575" t="s">
        <v>8194</v>
      </c>
      <c r="H182" s="992">
        <f t="shared" si="16"/>
        <v>3</v>
      </c>
      <c r="I182" s="989"/>
      <c r="J182" s="989"/>
      <c r="K182" s="989"/>
      <c r="L182" s="989"/>
      <c r="M182" s="989"/>
      <c r="N182" s="989"/>
      <c r="O182" s="989"/>
      <c r="P182" s="989"/>
      <c r="Q182" s="989"/>
      <c r="R182" s="989"/>
      <c r="S182" s="989"/>
      <c r="T182" s="989"/>
      <c r="U182" s="989"/>
      <c r="V182" s="989"/>
      <c r="W182" s="989"/>
      <c r="X182" s="989"/>
      <c r="Y182" s="989"/>
      <c r="Z182" s="989"/>
      <c r="AA182" s="989"/>
      <c r="AB182" s="989"/>
      <c r="AC182" s="989"/>
      <c r="AD182" s="989"/>
      <c r="AE182" s="989"/>
    </row>
    <row r="183">
      <c r="A183" s="987">
        <v>2030.0</v>
      </c>
      <c r="B183" s="575" t="s">
        <v>51</v>
      </c>
      <c r="C183" s="575" t="s">
        <v>2836</v>
      </c>
      <c r="D183" s="987" t="str">
        <f>IFERROR(__xludf.DUMMYFUNCTION("SPLIT(C183,"" "")"),"Zach")</f>
        <v>Zach</v>
      </c>
      <c r="E183" s="987" t="str">
        <f>IFERROR(__xludf.DUMMYFUNCTION("""COMPUTED_VALUE"""),"Madar")</f>
        <v>Madar</v>
      </c>
      <c r="F183" s="575" t="s">
        <v>1550</v>
      </c>
      <c r="G183" s="575" t="s">
        <v>8194</v>
      </c>
      <c r="H183" s="992">
        <f t="shared" si="16"/>
        <v>3</v>
      </c>
      <c r="I183" s="989"/>
      <c r="J183" s="989"/>
      <c r="K183" s="989"/>
      <c r="L183" s="989"/>
      <c r="M183" s="989"/>
      <c r="N183" s="989"/>
      <c r="O183" s="989"/>
      <c r="P183" s="989"/>
      <c r="Q183" s="989"/>
      <c r="R183" s="989"/>
      <c r="S183" s="989"/>
      <c r="T183" s="989"/>
      <c r="U183" s="989"/>
      <c r="V183" s="989"/>
      <c r="W183" s="989"/>
      <c r="X183" s="989"/>
      <c r="Y183" s="989"/>
      <c r="Z183" s="989"/>
      <c r="AA183" s="989"/>
      <c r="AB183" s="989"/>
      <c r="AC183" s="989"/>
      <c r="AD183" s="989"/>
      <c r="AE183" s="989"/>
    </row>
    <row r="184">
      <c r="A184" s="987">
        <v>2030.0</v>
      </c>
      <c r="B184" s="575" t="s">
        <v>63</v>
      </c>
      <c r="C184" s="575" t="s">
        <v>9099</v>
      </c>
      <c r="D184" s="987" t="str">
        <f>IFERROR(__xludf.DUMMYFUNCTION("SPLIT(C184,"" "")"),"Jack")</f>
        <v>Jack</v>
      </c>
      <c r="E184" s="987" t="str">
        <f>IFERROR(__xludf.DUMMYFUNCTION("""COMPUTED_VALUE"""),"VanGemert")</f>
        <v>VanGemert</v>
      </c>
      <c r="F184" s="290"/>
      <c r="G184" s="575" t="s">
        <v>8194</v>
      </c>
      <c r="H184" s="992">
        <f t="shared" si="16"/>
        <v>3</v>
      </c>
      <c r="I184" s="989"/>
      <c r="J184" s="989"/>
      <c r="K184" s="989"/>
      <c r="L184" s="989"/>
      <c r="M184" s="989"/>
      <c r="N184" s="989"/>
      <c r="O184" s="989"/>
      <c r="P184" s="989"/>
      <c r="Q184" s="989"/>
      <c r="R184" s="989"/>
      <c r="S184" s="989"/>
      <c r="T184" s="989"/>
      <c r="U184" s="989"/>
      <c r="V184" s="989"/>
      <c r="W184" s="989"/>
      <c r="X184" s="989"/>
      <c r="Y184" s="989"/>
      <c r="Z184" s="989"/>
      <c r="AA184" s="989"/>
      <c r="AB184" s="989"/>
      <c r="AC184" s="989"/>
      <c r="AD184" s="989"/>
      <c r="AE184" s="989"/>
    </row>
    <row r="185">
      <c r="A185" s="987">
        <v>2030.0</v>
      </c>
      <c r="B185" s="575" t="s">
        <v>63</v>
      </c>
      <c r="C185" s="575" t="s">
        <v>2818</v>
      </c>
      <c r="D185" s="987" t="str">
        <f>IFERROR(__xludf.DUMMYFUNCTION("SPLIT(C185,"" "")"),"Jude")</f>
        <v>Jude</v>
      </c>
      <c r="E185" s="987" t="str">
        <f>IFERROR(__xludf.DUMMYFUNCTION("""COMPUTED_VALUE"""),"Davidson")</f>
        <v>Davidson</v>
      </c>
      <c r="F185" s="290"/>
      <c r="G185" s="575" t="s">
        <v>8194</v>
      </c>
      <c r="H185" s="992">
        <f t="shared" si="16"/>
        <v>3</v>
      </c>
      <c r="I185" s="989"/>
      <c r="J185" s="989"/>
      <c r="K185" s="989"/>
      <c r="L185" s="989"/>
      <c r="M185" s="989"/>
      <c r="N185" s="989"/>
      <c r="O185" s="989"/>
      <c r="P185" s="989"/>
      <c r="Q185" s="989"/>
      <c r="R185" s="989"/>
      <c r="S185" s="989"/>
      <c r="T185" s="989"/>
      <c r="U185" s="989"/>
      <c r="V185" s="989"/>
      <c r="W185" s="989"/>
      <c r="X185" s="989"/>
      <c r="Y185" s="989"/>
      <c r="Z185" s="989"/>
      <c r="AA185" s="989"/>
      <c r="AB185" s="989"/>
      <c r="AC185" s="989"/>
      <c r="AD185" s="989"/>
      <c r="AE185" s="989"/>
    </row>
    <row r="186">
      <c r="A186" s="987">
        <v>2030.0</v>
      </c>
      <c r="B186" s="575" t="s">
        <v>63</v>
      </c>
      <c r="C186" s="575" t="s">
        <v>2812</v>
      </c>
      <c r="D186" s="987" t="str">
        <f>IFERROR(__xludf.DUMMYFUNCTION("SPLIT(C186,"" "")"),"Kolby")</f>
        <v>Kolby</v>
      </c>
      <c r="E186" s="987" t="str">
        <f>IFERROR(__xludf.DUMMYFUNCTION("""COMPUTED_VALUE"""),"Crosby")</f>
        <v>Crosby</v>
      </c>
      <c r="F186" s="290"/>
      <c r="G186" s="575" t="s">
        <v>8194</v>
      </c>
      <c r="H186" s="992">
        <f t="shared" si="16"/>
        <v>3</v>
      </c>
      <c r="I186" s="989"/>
      <c r="J186" s="989"/>
      <c r="K186" s="989"/>
      <c r="L186" s="989"/>
      <c r="M186" s="989"/>
      <c r="N186" s="989"/>
      <c r="O186" s="989"/>
      <c r="P186" s="989"/>
      <c r="Q186" s="989"/>
      <c r="R186" s="989"/>
      <c r="S186" s="989"/>
      <c r="T186" s="989"/>
      <c r="U186" s="989"/>
      <c r="V186" s="989"/>
      <c r="W186" s="989"/>
      <c r="X186" s="989"/>
      <c r="Y186" s="989"/>
      <c r="Z186" s="989"/>
      <c r="AA186" s="989"/>
      <c r="AB186" s="989"/>
      <c r="AC186" s="989"/>
      <c r="AD186" s="989"/>
      <c r="AE186" s="989"/>
    </row>
    <row r="187">
      <c r="A187" s="987">
        <v>2031.0</v>
      </c>
      <c r="B187" s="575" t="s">
        <v>109</v>
      </c>
      <c r="C187" s="575" t="s">
        <v>2827</v>
      </c>
      <c r="D187" s="987" t="str">
        <f>IFERROR(__xludf.DUMMYFUNCTION("SPLIT(C187,"" "")"),"Caleb")</f>
        <v>Caleb</v>
      </c>
      <c r="E187" s="987" t="str">
        <f>IFERROR(__xludf.DUMMYFUNCTION("""COMPUTED_VALUE"""),"Flannery")</f>
        <v>Flannery</v>
      </c>
      <c r="F187" s="575" t="s">
        <v>1550</v>
      </c>
      <c r="G187" s="575" t="s">
        <v>8193</v>
      </c>
      <c r="H187" s="992">
        <f t="shared" si="16"/>
        <v>4</v>
      </c>
      <c r="I187" s="989"/>
      <c r="J187" s="989"/>
      <c r="K187" s="989"/>
      <c r="L187" s="989"/>
      <c r="M187" s="989"/>
      <c r="N187" s="989"/>
      <c r="O187" s="989"/>
      <c r="P187" s="989"/>
      <c r="Q187" s="989"/>
      <c r="R187" s="989"/>
      <c r="S187" s="989"/>
      <c r="T187" s="989"/>
      <c r="U187" s="989"/>
      <c r="V187" s="989"/>
      <c r="W187" s="989"/>
      <c r="X187" s="989"/>
      <c r="Y187" s="989"/>
      <c r="Z187" s="989"/>
      <c r="AA187" s="989"/>
      <c r="AB187" s="989"/>
      <c r="AC187" s="989"/>
      <c r="AD187" s="989"/>
      <c r="AE187" s="989"/>
    </row>
    <row r="188">
      <c r="A188" s="987">
        <v>2031.0</v>
      </c>
      <c r="B188" s="987" t="s">
        <v>63</v>
      </c>
      <c r="C188" s="987" t="s">
        <v>2863</v>
      </c>
      <c r="D188" s="987" t="str">
        <f>IFERROR(__xludf.DUMMYFUNCTION("SPLIT(C188,"" "")"),"Ethan")</f>
        <v>Ethan</v>
      </c>
      <c r="E188" s="987" t="str">
        <f>IFERROR(__xludf.DUMMYFUNCTION("""COMPUTED_VALUE"""),"Wisler")</f>
        <v>Wisler</v>
      </c>
      <c r="F188" s="987"/>
      <c r="G188" s="575" t="s">
        <v>8193</v>
      </c>
      <c r="H188" s="992">
        <f t="shared" si="16"/>
        <v>4</v>
      </c>
      <c r="I188" s="989"/>
      <c r="J188" s="989"/>
      <c r="K188" s="989"/>
      <c r="L188" s="989"/>
      <c r="M188" s="989"/>
      <c r="N188" s="989"/>
      <c r="O188" s="989"/>
      <c r="P188" s="989"/>
      <c r="Q188" s="989"/>
      <c r="R188" s="989"/>
      <c r="S188" s="989"/>
      <c r="T188" s="989"/>
      <c r="U188" s="989"/>
      <c r="V188" s="989"/>
      <c r="W188" s="989"/>
      <c r="X188" s="989"/>
      <c r="Y188" s="989"/>
      <c r="Z188" s="989"/>
      <c r="AA188" s="989"/>
      <c r="AB188" s="989"/>
      <c r="AC188" s="989"/>
      <c r="AD188" s="989"/>
      <c r="AE188" s="989"/>
    </row>
    <row r="189">
      <c r="A189" s="987">
        <v>2031.0</v>
      </c>
      <c r="B189" s="987" t="s">
        <v>51</v>
      </c>
      <c r="C189" s="987" t="s">
        <v>2856</v>
      </c>
      <c r="D189" s="987" t="str">
        <f>IFERROR(__xludf.DUMMYFUNCTION("SPLIT(C189,"" "")"),"Stevie")</f>
        <v>Stevie</v>
      </c>
      <c r="E189" s="987" t="str">
        <f>IFERROR(__xludf.DUMMYFUNCTION("""COMPUTED_VALUE"""),"Wellens")</f>
        <v>Wellens</v>
      </c>
      <c r="F189" s="987" t="s">
        <v>1550</v>
      </c>
      <c r="G189" s="575" t="s">
        <v>8193</v>
      </c>
      <c r="H189" s="992">
        <f t="shared" si="16"/>
        <v>4</v>
      </c>
      <c r="I189" s="989"/>
      <c r="J189" s="989"/>
      <c r="K189" s="989"/>
      <c r="L189" s="989"/>
      <c r="M189" s="989"/>
      <c r="N189" s="989"/>
      <c r="O189" s="989"/>
      <c r="P189" s="989"/>
      <c r="Q189" s="989"/>
      <c r="R189" s="989"/>
      <c r="S189" s="989"/>
      <c r="T189" s="989"/>
      <c r="U189" s="989"/>
      <c r="V189" s="989"/>
      <c r="W189" s="989"/>
      <c r="X189" s="989"/>
      <c r="Y189" s="989"/>
      <c r="Z189" s="989"/>
      <c r="AA189" s="989"/>
      <c r="AB189" s="989"/>
      <c r="AC189" s="989"/>
      <c r="AD189" s="989"/>
      <c r="AE189" s="989"/>
    </row>
    <row r="190">
      <c r="A190" s="987">
        <v>2031.0</v>
      </c>
      <c r="B190" s="575" t="s">
        <v>51</v>
      </c>
      <c r="C190" s="575" t="s">
        <v>2836</v>
      </c>
      <c r="D190" s="987" t="str">
        <f>IFERROR(__xludf.DUMMYFUNCTION("SPLIT(C190,"" "")"),"Zach")</f>
        <v>Zach</v>
      </c>
      <c r="E190" s="987" t="str">
        <f>IFERROR(__xludf.DUMMYFUNCTION("""COMPUTED_VALUE"""),"Madar")</f>
        <v>Madar</v>
      </c>
      <c r="F190" s="575" t="s">
        <v>1550</v>
      </c>
      <c r="G190" s="575" t="s">
        <v>8193</v>
      </c>
      <c r="H190" s="992">
        <f t="shared" si="16"/>
        <v>4</v>
      </c>
      <c r="I190" s="989"/>
      <c r="J190" s="989"/>
      <c r="K190" s="989"/>
      <c r="L190" s="989"/>
      <c r="M190" s="989"/>
      <c r="N190" s="989"/>
      <c r="O190" s="989"/>
      <c r="P190" s="989"/>
      <c r="Q190" s="989"/>
      <c r="R190" s="989"/>
      <c r="S190" s="989"/>
      <c r="T190" s="989"/>
      <c r="U190" s="989"/>
      <c r="V190" s="989"/>
      <c r="W190" s="989"/>
      <c r="X190" s="989"/>
      <c r="Y190" s="989"/>
      <c r="Z190" s="989"/>
      <c r="AA190" s="989"/>
      <c r="AB190" s="989"/>
      <c r="AC190" s="989"/>
      <c r="AD190" s="989"/>
      <c r="AE190" s="989"/>
    </row>
    <row r="191">
      <c r="A191" s="987">
        <v>2031.0</v>
      </c>
      <c r="B191" s="575" t="s">
        <v>63</v>
      </c>
      <c r="C191" s="575" t="s">
        <v>9099</v>
      </c>
      <c r="D191" s="987" t="str">
        <f>IFERROR(__xludf.DUMMYFUNCTION("SPLIT(C191,"" "")"),"Jack")</f>
        <v>Jack</v>
      </c>
      <c r="E191" s="987" t="str">
        <f>IFERROR(__xludf.DUMMYFUNCTION("""COMPUTED_VALUE"""),"VanGemert")</f>
        <v>VanGemert</v>
      </c>
      <c r="F191" s="290"/>
      <c r="G191" s="575" t="s">
        <v>8193</v>
      </c>
      <c r="H191" s="992">
        <f t="shared" si="16"/>
        <v>4</v>
      </c>
      <c r="I191" s="989"/>
      <c r="J191" s="989"/>
      <c r="K191" s="989"/>
      <c r="L191" s="989"/>
      <c r="M191" s="989"/>
      <c r="N191" s="989"/>
      <c r="O191" s="989"/>
      <c r="P191" s="989"/>
      <c r="Q191" s="989"/>
      <c r="R191" s="989"/>
      <c r="S191" s="989"/>
      <c r="T191" s="989"/>
      <c r="U191" s="989"/>
      <c r="V191" s="989"/>
      <c r="W191" s="989"/>
      <c r="X191" s="989"/>
      <c r="Y191" s="989"/>
      <c r="Z191" s="989"/>
      <c r="AA191" s="989"/>
      <c r="AB191" s="989"/>
      <c r="AC191" s="989"/>
      <c r="AD191" s="989"/>
      <c r="AE191" s="989"/>
    </row>
    <row r="192">
      <c r="A192" s="987">
        <v>2031.0</v>
      </c>
      <c r="B192" s="575" t="s">
        <v>63</v>
      </c>
      <c r="C192" s="575" t="s">
        <v>2818</v>
      </c>
      <c r="D192" s="987" t="str">
        <f>IFERROR(__xludf.DUMMYFUNCTION("SPLIT(C192,"" "")"),"Jude")</f>
        <v>Jude</v>
      </c>
      <c r="E192" s="987" t="str">
        <f>IFERROR(__xludf.DUMMYFUNCTION("""COMPUTED_VALUE"""),"Davidson")</f>
        <v>Davidson</v>
      </c>
      <c r="F192" s="290"/>
      <c r="G192" s="575" t="s">
        <v>8193</v>
      </c>
      <c r="H192" s="992">
        <f t="shared" si="16"/>
        <v>4</v>
      </c>
      <c r="I192" s="989"/>
      <c r="J192" s="989"/>
      <c r="K192" s="989"/>
      <c r="L192" s="989"/>
      <c r="M192" s="989"/>
      <c r="N192" s="989"/>
      <c r="O192" s="989"/>
      <c r="P192" s="989"/>
      <c r="Q192" s="989"/>
      <c r="R192" s="989"/>
      <c r="S192" s="989"/>
      <c r="T192" s="989"/>
      <c r="U192" s="989"/>
      <c r="V192" s="989"/>
      <c r="W192" s="989"/>
      <c r="X192" s="989"/>
      <c r="Y192" s="989"/>
      <c r="Z192" s="989"/>
      <c r="AA192" s="989"/>
      <c r="AB192" s="989"/>
      <c r="AC192" s="989"/>
      <c r="AD192" s="989"/>
      <c r="AE192" s="989"/>
    </row>
    <row r="193">
      <c r="A193" s="987">
        <v>2031.0</v>
      </c>
      <c r="B193" s="575" t="s">
        <v>63</v>
      </c>
      <c r="C193" s="575" t="s">
        <v>2812</v>
      </c>
      <c r="D193" s="987" t="str">
        <f>IFERROR(__xludf.DUMMYFUNCTION("SPLIT(C193,"" "")"),"Kolby")</f>
        <v>Kolby</v>
      </c>
      <c r="E193" s="987" t="str">
        <f>IFERROR(__xludf.DUMMYFUNCTION("""COMPUTED_VALUE"""),"Crosby")</f>
        <v>Crosby</v>
      </c>
      <c r="F193" s="290"/>
      <c r="G193" s="575" t="s">
        <v>8193</v>
      </c>
      <c r="H193" s="992">
        <f t="shared" si="16"/>
        <v>4</v>
      </c>
      <c r="I193" s="989"/>
      <c r="J193" s="989"/>
      <c r="K193" s="989"/>
      <c r="L193" s="989"/>
      <c r="M193" s="989"/>
      <c r="N193" s="989"/>
      <c r="O193" s="989"/>
      <c r="P193" s="989"/>
      <c r="Q193" s="989"/>
      <c r="R193" s="989"/>
      <c r="S193" s="989"/>
      <c r="T193" s="989"/>
      <c r="U193" s="989"/>
      <c r="V193" s="989"/>
      <c r="W193" s="989"/>
      <c r="X193" s="989"/>
      <c r="Y193" s="989"/>
      <c r="Z193" s="989"/>
      <c r="AA193" s="989"/>
      <c r="AB193" s="989"/>
      <c r="AC193" s="989"/>
      <c r="AD193" s="989"/>
      <c r="AE193" s="989"/>
    </row>
    <row r="194">
      <c r="A194" s="989"/>
      <c r="B194" s="989"/>
      <c r="C194" s="989"/>
      <c r="D194" s="989"/>
      <c r="E194" s="989"/>
      <c r="F194" s="989"/>
      <c r="G194" s="989"/>
      <c r="H194" s="992" t="str">
        <f t="shared" si="16"/>
        <v/>
      </c>
      <c r="I194" s="989"/>
      <c r="J194" s="989"/>
      <c r="K194" s="989"/>
      <c r="L194" s="989"/>
      <c r="M194" s="989"/>
      <c r="N194" s="989"/>
      <c r="O194" s="989"/>
      <c r="P194" s="989"/>
      <c r="Q194" s="989"/>
      <c r="R194" s="989"/>
      <c r="S194" s="989"/>
      <c r="T194" s="989"/>
      <c r="U194" s="989"/>
      <c r="V194" s="989"/>
      <c r="W194" s="989"/>
      <c r="X194" s="989"/>
      <c r="Y194" s="989"/>
      <c r="Z194" s="989"/>
      <c r="AA194" s="989"/>
      <c r="AB194" s="989"/>
      <c r="AC194" s="989"/>
      <c r="AD194" s="989"/>
      <c r="AE194" s="989"/>
    </row>
    <row r="195">
      <c r="A195" s="989"/>
      <c r="B195" s="989"/>
      <c r="C195" s="989"/>
      <c r="D195" s="989"/>
      <c r="E195" s="989"/>
      <c r="F195" s="989"/>
      <c r="G195" s="989"/>
      <c r="H195" s="992" t="str">
        <f t="shared" si="16"/>
        <v/>
      </c>
      <c r="I195" s="989"/>
      <c r="J195" s="989"/>
      <c r="K195" s="989"/>
      <c r="L195" s="989"/>
      <c r="M195" s="989"/>
      <c r="N195" s="989"/>
      <c r="O195" s="989"/>
      <c r="P195" s="989"/>
      <c r="Q195" s="989"/>
      <c r="R195" s="989"/>
      <c r="S195" s="989"/>
      <c r="T195" s="989"/>
      <c r="U195" s="989"/>
      <c r="V195" s="989"/>
      <c r="W195" s="989"/>
      <c r="X195" s="989"/>
      <c r="Y195" s="989"/>
      <c r="Z195" s="989"/>
      <c r="AA195" s="989"/>
      <c r="AB195" s="989"/>
      <c r="AC195" s="989"/>
      <c r="AD195" s="989"/>
      <c r="AE195" s="989"/>
    </row>
    <row r="196">
      <c r="A196" s="989"/>
      <c r="B196" s="989"/>
      <c r="C196" s="989"/>
      <c r="D196" s="989"/>
      <c r="E196" s="989"/>
      <c r="F196" s="989"/>
      <c r="G196" s="989"/>
      <c r="H196" s="992" t="str">
        <f t="shared" si="16"/>
        <v/>
      </c>
      <c r="I196" s="989"/>
      <c r="J196" s="989"/>
      <c r="K196" s="989"/>
      <c r="L196" s="989"/>
      <c r="M196" s="989"/>
      <c r="N196" s="989"/>
      <c r="O196" s="989"/>
      <c r="P196" s="989"/>
      <c r="Q196" s="989"/>
      <c r="R196" s="989"/>
      <c r="S196" s="989"/>
      <c r="T196" s="989"/>
      <c r="U196" s="989"/>
      <c r="V196" s="989"/>
      <c r="W196" s="989"/>
      <c r="X196" s="989"/>
      <c r="Y196" s="989"/>
      <c r="Z196" s="989"/>
      <c r="AA196" s="989"/>
      <c r="AB196" s="989"/>
      <c r="AC196" s="989"/>
      <c r="AD196" s="989"/>
      <c r="AE196" s="989"/>
    </row>
    <row r="197">
      <c r="A197" s="989"/>
      <c r="B197" s="989"/>
      <c r="C197" s="989"/>
      <c r="D197" s="989"/>
      <c r="E197" s="989"/>
      <c r="F197" s="989"/>
      <c r="G197" s="989"/>
      <c r="H197" s="992" t="str">
        <f t="shared" si="16"/>
        <v/>
      </c>
      <c r="I197" s="989"/>
      <c r="J197" s="989"/>
      <c r="K197" s="989"/>
      <c r="L197" s="989"/>
      <c r="M197" s="989"/>
      <c r="N197" s="989"/>
      <c r="O197" s="989"/>
      <c r="P197" s="989"/>
      <c r="Q197" s="989"/>
      <c r="R197" s="989"/>
      <c r="S197" s="989"/>
      <c r="T197" s="989"/>
      <c r="U197" s="989"/>
      <c r="V197" s="989"/>
      <c r="W197" s="989"/>
      <c r="X197" s="989"/>
      <c r="Y197" s="989"/>
      <c r="Z197" s="989"/>
      <c r="AA197" s="989"/>
      <c r="AB197" s="989"/>
      <c r="AC197" s="989"/>
      <c r="AD197" s="989"/>
      <c r="AE197" s="989"/>
    </row>
    <row r="198">
      <c r="A198" s="989"/>
      <c r="B198" s="989"/>
      <c r="C198" s="989"/>
      <c r="D198" s="989"/>
      <c r="E198" s="989"/>
      <c r="F198" s="989"/>
      <c r="G198" s="989"/>
      <c r="H198" s="992" t="str">
        <f t="shared" si="16"/>
        <v/>
      </c>
      <c r="I198" s="989"/>
      <c r="J198" s="989"/>
      <c r="K198" s="989"/>
      <c r="L198" s="989"/>
      <c r="M198" s="989"/>
      <c r="N198" s="989"/>
      <c r="O198" s="989"/>
      <c r="P198" s="989"/>
      <c r="Q198" s="989"/>
      <c r="R198" s="989"/>
      <c r="S198" s="989"/>
      <c r="T198" s="989"/>
      <c r="U198" s="989"/>
      <c r="V198" s="989"/>
      <c r="W198" s="989"/>
      <c r="X198" s="989"/>
      <c r="Y198" s="989"/>
      <c r="Z198" s="989"/>
      <c r="AA198" s="989"/>
      <c r="AB198" s="989"/>
      <c r="AC198" s="989"/>
      <c r="AD198" s="989"/>
      <c r="AE198" s="989"/>
    </row>
    <row r="199">
      <c r="A199" s="989"/>
      <c r="B199" s="989"/>
      <c r="C199" s="989"/>
      <c r="D199" s="989"/>
      <c r="E199" s="989"/>
      <c r="F199" s="989"/>
      <c r="G199" s="989"/>
      <c r="H199" s="992" t="str">
        <f t="shared" si="16"/>
        <v/>
      </c>
      <c r="I199" s="989"/>
      <c r="J199" s="989"/>
      <c r="K199" s="989"/>
      <c r="L199" s="989"/>
      <c r="M199" s="989"/>
      <c r="N199" s="989"/>
      <c r="O199" s="989"/>
      <c r="P199" s="989"/>
      <c r="Q199" s="989"/>
      <c r="R199" s="989"/>
      <c r="S199" s="989"/>
      <c r="T199" s="989"/>
      <c r="U199" s="989"/>
      <c r="V199" s="989"/>
      <c r="W199" s="989"/>
      <c r="X199" s="989"/>
      <c r="Y199" s="989"/>
      <c r="Z199" s="989"/>
      <c r="AA199" s="989"/>
      <c r="AB199" s="989"/>
      <c r="AC199" s="989"/>
      <c r="AD199" s="989"/>
      <c r="AE199" s="989"/>
    </row>
    <row r="200">
      <c r="A200" s="989"/>
      <c r="B200" s="989"/>
      <c r="C200" s="989"/>
      <c r="D200" s="989"/>
      <c r="E200" s="989"/>
      <c r="F200" s="989"/>
      <c r="G200" s="989"/>
      <c r="H200" s="992" t="str">
        <f t="shared" si="16"/>
        <v/>
      </c>
      <c r="I200" s="989"/>
      <c r="J200" s="989"/>
      <c r="K200" s="989"/>
      <c r="L200" s="989"/>
      <c r="M200" s="989"/>
      <c r="N200" s="989"/>
      <c r="O200" s="989"/>
      <c r="P200" s="989"/>
      <c r="Q200" s="989"/>
      <c r="R200" s="989"/>
      <c r="S200" s="989"/>
      <c r="T200" s="989"/>
      <c r="U200" s="989"/>
      <c r="V200" s="989"/>
      <c r="W200" s="989"/>
      <c r="X200" s="989"/>
      <c r="Y200" s="989"/>
      <c r="Z200" s="989"/>
      <c r="AA200" s="989"/>
      <c r="AB200" s="989"/>
      <c r="AC200" s="989"/>
      <c r="AD200" s="989"/>
      <c r="AE200" s="989"/>
    </row>
    <row r="201">
      <c r="A201" s="989"/>
      <c r="B201" s="989"/>
      <c r="C201" s="989"/>
      <c r="D201" s="989"/>
      <c r="E201" s="989"/>
      <c r="F201" s="989"/>
      <c r="G201" s="989"/>
      <c r="H201" s="992" t="str">
        <f t="shared" si="16"/>
        <v/>
      </c>
      <c r="I201" s="989"/>
      <c r="J201" s="989"/>
      <c r="K201" s="989"/>
      <c r="L201" s="989"/>
      <c r="M201" s="989"/>
      <c r="N201" s="989"/>
      <c r="O201" s="989"/>
      <c r="P201" s="989"/>
      <c r="Q201" s="989"/>
      <c r="R201" s="989"/>
      <c r="S201" s="989"/>
      <c r="T201" s="989"/>
      <c r="U201" s="989"/>
      <c r="V201" s="989"/>
      <c r="W201" s="989"/>
      <c r="X201" s="989"/>
      <c r="Y201" s="989"/>
      <c r="Z201" s="989"/>
      <c r="AA201" s="989"/>
      <c r="AB201" s="989"/>
      <c r="AC201" s="989"/>
      <c r="AD201" s="989"/>
      <c r="AE201" s="989"/>
    </row>
    <row r="202">
      <c r="A202" s="989"/>
      <c r="B202" s="989"/>
      <c r="C202" s="989"/>
      <c r="D202" s="989"/>
      <c r="E202" s="989"/>
      <c r="F202" s="989"/>
      <c r="G202" s="989"/>
      <c r="H202" s="992" t="str">
        <f t="shared" si="16"/>
        <v/>
      </c>
      <c r="I202" s="989"/>
      <c r="J202" s="989"/>
      <c r="K202" s="989"/>
      <c r="L202" s="989"/>
      <c r="M202" s="989"/>
      <c r="N202" s="989"/>
      <c r="O202" s="989"/>
      <c r="P202" s="989"/>
      <c r="Q202" s="989"/>
      <c r="R202" s="989"/>
      <c r="S202" s="989"/>
      <c r="T202" s="989"/>
      <c r="U202" s="989"/>
      <c r="V202" s="989"/>
      <c r="W202" s="989"/>
      <c r="X202" s="989"/>
      <c r="Y202" s="989"/>
      <c r="Z202" s="989"/>
      <c r="AA202" s="989"/>
      <c r="AB202" s="989"/>
      <c r="AC202" s="989"/>
      <c r="AD202" s="989"/>
      <c r="AE202" s="989"/>
    </row>
    <row r="203">
      <c r="A203" s="989"/>
      <c r="B203" s="989"/>
      <c r="C203" s="989"/>
      <c r="D203" s="989"/>
      <c r="E203" s="989"/>
      <c r="F203" s="989"/>
      <c r="G203" s="989"/>
      <c r="H203" s="992" t="str">
        <f t="shared" si="16"/>
        <v/>
      </c>
      <c r="I203" s="989"/>
      <c r="J203" s="989"/>
      <c r="K203" s="989"/>
      <c r="L203" s="989"/>
      <c r="M203" s="989"/>
      <c r="N203" s="989"/>
      <c r="O203" s="989"/>
      <c r="P203" s="989"/>
      <c r="Q203" s="989"/>
      <c r="R203" s="989"/>
      <c r="S203" s="989"/>
      <c r="T203" s="989"/>
      <c r="U203" s="989"/>
      <c r="V203" s="989"/>
      <c r="W203" s="989"/>
      <c r="X203" s="989"/>
      <c r="Y203" s="989"/>
      <c r="Z203" s="989"/>
      <c r="AA203" s="989"/>
      <c r="AB203" s="989"/>
      <c r="AC203" s="989"/>
      <c r="AD203" s="989"/>
      <c r="AE203" s="989"/>
    </row>
    <row r="204">
      <c r="A204" s="989"/>
      <c r="B204" s="989"/>
      <c r="C204" s="989"/>
      <c r="D204" s="989"/>
      <c r="E204" s="989"/>
      <c r="F204" s="989"/>
      <c r="G204" s="989"/>
      <c r="H204" s="992" t="str">
        <f t="shared" si="16"/>
        <v/>
      </c>
      <c r="I204" s="989"/>
      <c r="J204" s="989"/>
      <c r="K204" s="989"/>
      <c r="L204" s="989"/>
      <c r="M204" s="989"/>
      <c r="N204" s="989"/>
      <c r="O204" s="989"/>
      <c r="P204" s="989"/>
      <c r="Q204" s="989"/>
      <c r="R204" s="989"/>
      <c r="S204" s="989"/>
      <c r="T204" s="989"/>
      <c r="U204" s="989"/>
      <c r="V204" s="989"/>
      <c r="W204" s="989"/>
      <c r="X204" s="989"/>
      <c r="Y204" s="989"/>
      <c r="Z204" s="989"/>
      <c r="AA204" s="989"/>
      <c r="AB204" s="989"/>
      <c r="AC204" s="989"/>
      <c r="AD204" s="989"/>
      <c r="AE204" s="989"/>
    </row>
    <row r="205">
      <c r="A205" s="989"/>
      <c r="B205" s="989"/>
      <c r="C205" s="989"/>
      <c r="D205" s="989"/>
      <c r="E205" s="989"/>
      <c r="F205" s="989"/>
      <c r="G205" s="989"/>
      <c r="H205" s="992" t="str">
        <f t="shared" si="16"/>
        <v/>
      </c>
      <c r="I205" s="989"/>
      <c r="J205" s="989"/>
      <c r="K205" s="989"/>
      <c r="L205" s="989"/>
      <c r="M205" s="989"/>
      <c r="N205" s="989"/>
      <c r="O205" s="989"/>
      <c r="P205" s="989"/>
      <c r="Q205" s="989"/>
      <c r="R205" s="989"/>
      <c r="S205" s="989"/>
      <c r="T205" s="989"/>
      <c r="U205" s="989"/>
      <c r="V205" s="989"/>
      <c r="W205" s="989"/>
      <c r="X205" s="989"/>
      <c r="Y205" s="989"/>
      <c r="Z205" s="989"/>
      <c r="AA205" s="989"/>
      <c r="AB205" s="989"/>
      <c r="AC205" s="989"/>
      <c r="AD205" s="989"/>
      <c r="AE205" s="989"/>
    </row>
    <row r="206">
      <c r="A206" s="989"/>
      <c r="B206" s="989"/>
      <c r="C206" s="989"/>
      <c r="D206" s="989"/>
      <c r="E206" s="989"/>
      <c r="F206" s="989"/>
      <c r="G206" s="989"/>
      <c r="H206" s="992" t="str">
        <f t="shared" si="16"/>
        <v/>
      </c>
      <c r="I206" s="989"/>
      <c r="J206" s="989"/>
      <c r="K206" s="989"/>
      <c r="L206" s="989"/>
      <c r="M206" s="989"/>
      <c r="N206" s="989"/>
      <c r="O206" s="989"/>
      <c r="P206" s="989"/>
      <c r="Q206" s="989"/>
      <c r="R206" s="989"/>
      <c r="S206" s="989"/>
      <c r="T206" s="989"/>
      <c r="U206" s="989"/>
      <c r="V206" s="989"/>
      <c r="W206" s="989"/>
      <c r="X206" s="989"/>
      <c r="Y206" s="989"/>
      <c r="Z206" s="989"/>
      <c r="AA206" s="989"/>
      <c r="AB206" s="989"/>
      <c r="AC206" s="989"/>
      <c r="AD206" s="989"/>
      <c r="AE206" s="989"/>
    </row>
    <row r="207">
      <c r="A207" s="989"/>
      <c r="B207" s="989"/>
      <c r="C207" s="989"/>
      <c r="D207" s="989"/>
      <c r="E207" s="989"/>
      <c r="F207" s="989"/>
      <c r="G207" s="989"/>
      <c r="H207" s="992" t="str">
        <f t="shared" si="16"/>
        <v/>
      </c>
      <c r="I207" s="989"/>
      <c r="J207" s="989"/>
      <c r="K207" s="989"/>
      <c r="L207" s="989"/>
      <c r="M207" s="989"/>
      <c r="N207" s="989"/>
      <c r="O207" s="989"/>
      <c r="P207" s="989"/>
      <c r="Q207" s="989"/>
      <c r="R207" s="989"/>
      <c r="S207" s="989"/>
      <c r="T207" s="989"/>
      <c r="U207" s="989"/>
      <c r="V207" s="989"/>
      <c r="W207" s="989"/>
      <c r="X207" s="989"/>
      <c r="Y207" s="989"/>
      <c r="Z207" s="989"/>
      <c r="AA207" s="989"/>
      <c r="AB207" s="989"/>
      <c r="AC207" s="989"/>
      <c r="AD207" s="989"/>
      <c r="AE207" s="989"/>
    </row>
    <row r="208">
      <c r="A208" s="989"/>
      <c r="B208" s="989"/>
      <c r="C208" s="989"/>
      <c r="D208" s="989"/>
      <c r="E208" s="989"/>
      <c r="F208" s="989"/>
      <c r="G208" s="989"/>
      <c r="H208" s="992" t="str">
        <f t="shared" si="16"/>
        <v/>
      </c>
      <c r="I208" s="989"/>
      <c r="J208" s="989"/>
      <c r="K208" s="989"/>
      <c r="L208" s="989"/>
      <c r="M208" s="989"/>
      <c r="N208" s="989"/>
      <c r="O208" s="989"/>
      <c r="P208" s="989"/>
      <c r="Q208" s="989"/>
      <c r="R208" s="989"/>
      <c r="S208" s="989"/>
      <c r="T208" s="989"/>
      <c r="U208" s="989"/>
      <c r="V208" s="989"/>
      <c r="W208" s="989"/>
      <c r="X208" s="989"/>
      <c r="Y208" s="989"/>
      <c r="Z208" s="989"/>
      <c r="AA208" s="989"/>
      <c r="AB208" s="989"/>
      <c r="AC208" s="989"/>
      <c r="AD208" s="989"/>
      <c r="AE208" s="989"/>
    </row>
    <row r="209">
      <c r="A209" s="989"/>
      <c r="B209" s="989"/>
      <c r="C209" s="989"/>
      <c r="D209" s="989"/>
      <c r="E209" s="989"/>
      <c r="F209" s="989"/>
      <c r="G209" s="989"/>
      <c r="H209" s="992" t="str">
        <f t="shared" si="16"/>
        <v/>
      </c>
      <c r="I209" s="989"/>
      <c r="J209" s="989"/>
      <c r="K209" s="989"/>
      <c r="L209" s="989"/>
      <c r="M209" s="989"/>
      <c r="N209" s="989"/>
      <c r="O209" s="989"/>
      <c r="P209" s="989"/>
      <c r="Q209" s="989"/>
      <c r="R209" s="989"/>
      <c r="S209" s="989"/>
      <c r="T209" s="989"/>
      <c r="U209" s="989"/>
      <c r="V209" s="989"/>
      <c r="W209" s="989"/>
      <c r="X209" s="989"/>
      <c r="Y209" s="989"/>
      <c r="Z209" s="989"/>
      <c r="AA209" s="989"/>
      <c r="AB209" s="989"/>
      <c r="AC209" s="989"/>
      <c r="AD209" s="989"/>
      <c r="AE209" s="989"/>
    </row>
    <row r="210">
      <c r="A210" s="989"/>
      <c r="B210" s="989"/>
      <c r="C210" s="989"/>
      <c r="D210" s="989"/>
      <c r="E210" s="989"/>
      <c r="F210" s="989"/>
      <c r="G210" s="989"/>
      <c r="H210" s="992" t="str">
        <f t="shared" si="16"/>
        <v/>
      </c>
      <c r="I210" s="989"/>
      <c r="J210" s="989"/>
      <c r="K210" s="989"/>
      <c r="L210" s="989"/>
      <c r="M210" s="989"/>
      <c r="N210" s="989"/>
      <c r="O210" s="989"/>
      <c r="P210" s="989"/>
      <c r="Q210" s="989"/>
      <c r="R210" s="989"/>
      <c r="S210" s="989"/>
      <c r="T210" s="989"/>
      <c r="U210" s="989"/>
      <c r="V210" s="989"/>
      <c r="W210" s="989"/>
      <c r="X210" s="989"/>
      <c r="Y210" s="989"/>
      <c r="Z210" s="989"/>
      <c r="AA210" s="989"/>
      <c r="AB210" s="989"/>
      <c r="AC210" s="989"/>
      <c r="AD210" s="989"/>
      <c r="AE210" s="989"/>
    </row>
    <row r="211">
      <c r="A211" s="989"/>
      <c r="B211" s="989"/>
      <c r="C211" s="989"/>
      <c r="D211" s="989"/>
      <c r="E211" s="989"/>
      <c r="F211" s="989"/>
      <c r="G211" s="989"/>
      <c r="H211" s="992" t="str">
        <f t="shared" si="16"/>
        <v/>
      </c>
      <c r="I211" s="989"/>
      <c r="J211" s="989"/>
      <c r="K211" s="989"/>
      <c r="L211" s="989"/>
      <c r="M211" s="989"/>
      <c r="N211" s="989"/>
      <c r="O211" s="989"/>
      <c r="P211" s="989"/>
      <c r="Q211" s="989"/>
      <c r="R211" s="989"/>
      <c r="S211" s="989"/>
      <c r="T211" s="989"/>
      <c r="U211" s="989"/>
      <c r="V211" s="989"/>
      <c r="W211" s="989"/>
      <c r="X211" s="989"/>
      <c r="Y211" s="989"/>
      <c r="Z211" s="989"/>
      <c r="AA211" s="989"/>
      <c r="AB211" s="989"/>
      <c r="AC211" s="989"/>
      <c r="AD211" s="989"/>
      <c r="AE211" s="989"/>
    </row>
    <row r="212">
      <c r="A212" s="989"/>
      <c r="B212" s="989"/>
      <c r="C212" s="989"/>
      <c r="D212" s="989"/>
      <c r="E212" s="989"/>
      <c r="F212" s="989"/>
      <c r="G212" s="989"/>
      <c r="H212" s="992" t="str">
        <f t="shared" si="16"/>
        <v/>
      </c>
      <c r="I212" s="989"/>
      <c r="J212" s="989"/>
      <c r="K212" s="989"/>
      <c r="L212" s="989"/>
      <c r="M212" s="989"/>
      <c r="N212" s="989"/>
      <c r="O212" s="989"/>
      <c r="P212" s="989"/>
      <c r="Q212" s="989"/>
      <c r="R212" s="989"/>
      <c r="S212" s="989"/>
      <c r="T212" s="989"/>
      <c r="U212" s="989"/>
      <c r="V212" s="989"/>
      <c r="W212" s="989"/>
      <c r="X212" s="989"/>
      <c r="Y212" s="989"/>
      <c r="Z212" s="989"/>
      <c r="AA212" s="989"/>
      <c r="AB212" s="989"/>
      <c r="AC212" s="989"/>
      <c r="AD212" s="989"/>
      <c r="AE212" s="989"/>
    </row>
    <row r="213">
      <c r="A213" s="989"/>
      <c r="B213" s="989"/>
      <c r="C213" s="989"/>
      <c r="D213" s="989"/>
      <c r="E213" s="989"/>
      <c r="F213" s="989"/>
      <c r="G213" s="989"/>
      <c r="H213" s="992" t="str">
        <f t="shared" si="16"/>
        <v/>
      </c>
      <c r="I213" s="989"/>
      <c r="J213" s="989"/>
      <c r="K213" s="989"/>
      <c r="L213" s="989"/>
      <c r="M213" s="989"/>
      <c r="N213" s="989"/>
      <c r="O213" s="989"/>
      <c r="P213" s="989"/>
      <c r="Q213" s="989"/>
      <c r="R213" s="989"/>
      <c r="S213" s="989"/>
      <c r="T213" s="989"/>
      <c r="U213" s="989"/>
      <c r="V213" s="989"/>
      <c r="W213" s="989"/>
      <c r="X213" s="989"/>
      <c r="Y213" s="989"/>
      <c r="Z213" s="989"/>
      <c r="AA213" s="989"/>
      <c r="AB213" s="989"/>
      <c r="AC213" s="989"/>
      <c r="AD213" s="989"/>
      <c r="AE213" s="989"/>
    </row>
    <row r="214">
      <c r="A214" s="989"/>
      <c r="B214" s="989"/>
      <c r="C214" s="989"/>
      <c r="D214" s="989"/>
      <c r="E214" s="989"/>
      <c r="F214" s="989"/>
      <c r="G214" s="989"/>
      <c r="H214" s="992" t="str">
        <f t="shared" si="16"/>
        <v/>
      </c>
      <c r="I214" s="989"/>
      <c r="J214" s="989"/>
      <c r="K214" s="989"/>
      <c r="L214" s="989"/>
      <c r="M214" s="989"/>
      <c r="N214" s="989"/>
      <c r="O214" s="989"/>
      <c r="P214" s="989"/>
      <c r="Q214" s="989"/>
      <c r="R214" s="989"/>
      <c r="S214" s="989"/>
      <c r="T214" s="989"/>
      <c r="U214" s="989"/>
      <c r="V214" s="989"/>
      <c r="W214" s="989"/>
      <c r="X214" s="989"/>
      <c r="Y214" s="989"/>
      <c r="Z214" s="989"/>
      <c r="AA214" s="989"/>
      <c r="AB214" s="989"/>
      <c r="AC214" s="989"/>
      <c r="AD214" s="989"/>
      <c r="AE214" s="989"/>
    </row>
    <row r="215">
      <c r="A215" s="989"/>
      <c r="B215" s="989"/>
      <c r="C215" s="989"/>
      <c r="D215" s="989"/>
      <c r="E215" s="989"/>
      <c r="F215" s="989"/>
      <c r="G215" s="989"/>
      <c r="H215" s="992" t="str">
        <f t="shared" si="16"/>
        <v/>
      </c>
      <c r="I215" s="989"/>
      <c r="J215" s="989"/>
      <c r="K215" s="989"/>
      <c r="L215" s="989"/>
      <c r="M215" s="989"/>
      <c r="N215" s="989"/>
      <c r="O215" s="989"/>
      <c r="P215" s="989"/>
      <c r="Q215" s="989"/>
      <c r="R215" s="989"/>
      <c r="S215" s="989"/>
      <c r="T215" s="989"/>
      <c r="U215" s="989"/>
      <c r="V215" s="989"/>
      <c r="W215" s="989"/>
      <c r="X215" s="989"/>
      <c r="Y215" s="989"/>
      <c r="Z215" s="989"/>
      <c r="AA215" s="989"/>
      <c r="AB215" s="989"/>
      <c r="AC215" s="989"/>
      <c r="AD215" s="989"/>
      <c r="AE215" s="989"/>
    </row>
    <row r="216">
      <c r="A216" s="989"/>
      <c r="B216" s="989"/>
      <c r="C216" s="989"/>
      <c r="D216" s="989"/>
      <c r="E216" s="989"/>
      <c r="F216" s="989"/>
      <c r="G216" s="989"/>
      <c r="H216" s="992" t="str">
        <f t="shared" si="16"/>
        <v/>
      </c>
      <c r="I216" s="989"/>
      <c r="J216" s="989"/>
      <c r="K216" s="989"/>
      <c r="L216" s="989"/>
      <c r="M216" s="989"/>
      <c r="N216" s="989"/>
      <c r="O216" s="989"/>
      <c r="P216" s="989"/>
      <c r="Q216" s="989"/>
      <c r="R216" s="989"/>
      <c r="S216" s="989"/>
      <c r="T216" s="989"/>
      <c r="U216" s="989"/>
      <c r="V216" s="989"/>
      <c r="W216" s="989"/>
      <c r="X216" s="989"/>
      <c r="Y216" s="989"/>
      <c r="Z216" s="989"/>
      <c r="AA216" s="989"/>
      <c r="AB216" s="989"/>
      <c r="AC216" s="989"/>
      <c r="AD216" s="989"/>
      <c r="AE216" s="989"/>
    </row>
    <row r="217">
      <c r="A217" s="989"/>
      <c r="B217" s="989"/>
      <c r="C217" s="989"/>
      <c r="D217" s="989"/>
      <c r="E217" s="989"/>
      <c r="F217" s="989"/>
      <c r="G217" s="989"/>
      <c r="H217" s="992" t="str">
        <f t="shared" si="16"/>
        <v/>
      </c>
      <c r="I217" s="989"/>
      <c r="J217" s="989"/>
      <c r="K217" s="989"/>
      <c r="L217" s="989"/>
      <c r="M217" s="989"/>
      <c r="N217" s="989"/>
      <c r="O217" s="989"/>
      <c r="P217" s="989"/>
      <c r="Q217" s="989"/>
      <c r="R217" s="989"/>
      <c r="S217" s="989"/>
      <c r="T217" s="989"/>
      <c r="U217" s="989"/>
      <c r="V217" s="989"/>
      <c r="W217" s="989"/>
      <c r="X217" s="989"/>
      <c r="Y217" s="989"/>
      <c r="Z217" s="989"/>
      <c r="AA217" s="989"/>
      <c r="AB217" s="989"/>
      <c r="AC217" s="989"/>
      <c r="AD217" s="989"/>
      <c r="AE217" s="989"/>
    </row>
    <row r="218">
      <c r="A218" s="989"/>
      <c r="B218" s="989"/>
      <c r="C218" s="989"/>
      <c r="D218" s="989"/>
      <c r="E218" s="989"/>
      <c r="F218" s="989"/>
      <c r="G218" s="989"/>
      <c r="H218" s="992" t="str">
        <f t="shared" si="16"/>
        <v/>
      </c>
      <c r="I218" s="989"/>
      <c r="J218" s="989"/>
      <c r="K218" s="989"/>
      <c r="L218" s="989"/>
      <c r="M218" s="989"/>
      <c r="N218" s="989"/>
      <c r="O218" s="989"/>
      <c r="P218" s="989"/>
      <c r="Q218" s="989"/>
      <c r="R218" s="989"/>
      <c r="S218" s="989"/>
      <c r="T218" s="989"/>
      <c r="U218" s="989"/>
      <c r="V218" s="989"/>
      <c r="W218" s="989"/>
      <c r="X218" s="989"/>
      <c r="Y218" s="989"/>
      <c r="Z218" s="989"/>
      <c r="AA218" s="989"/>
      <c r="AB218" s="989"/>
      <c r="AC218" s="989"/>
      <c r="AD218" s="989"/>
      <c r="AE218" s="989"/>
    </row>
    <row r="219">
      <c r="A219" s="989"/>
      <c r="B219" s="989"/>
      <c r="C219" s="989"/>
      <c r="D219" s="989"/>
      <c r="E219" s="989"/>
      <c r="F219" s="989"/>
      <c r="G219" s="989"/>
      <c r="H219" s="992" t="str">
        <f t="shared" si="16"/>
        <v/>
      </c>
      <c r="I219" s="989"/>
      <c r="J219" s="989"/>
      <c r="K219" s="989"/>
      <c r="L219" s="989"/>
      <c r="M219" s="989"/>
      <c r="N219" s="989"/>
      <c r="O219" s="989"/>
      <c r="P219" s="989"/>
      <c r="Q219" s="989"/>
      <c r="R219" s="989"/>
      <c r="S219" s="989"/>
      <c r="T219" s="989"/>
      <c r="U219" s="989"/>
      <c r="V219" s="989"/>
      <c r="W219" s="989"/>
      <c r="X219" s="989"/>
      <c r="Y219" s="989"/>
      <c r="Z219" s="989"/>
      <c r="AA219" s="989"/>
      <c r="AB219" s="989"/>
      <c r="AC219" s="989"/>
      <c r="AD219" s="989"/>
      <c r="AE219" s="989"/>
    </row>
    <row r="220">
      <c r="A220" s="989"/>
      <c r="B220" s="989"/>
      <c r="C220" s="989"/>
      <c r="D220" s="989"/>
      <c r="E220" s="989"/>
      <c r="F220" s="989"/>
      <c r="G220" s="989"/>
      <c r="H220" s="992" t="str">
        <f t="shared" si="16"/>
        <v/>
      </c>
      <c r="I220" s="989"/>
      <c r="J220" s="989"/>
      <c r="K220" s="989"/>
      <c r="L220" s="989"/>
      <c r="M220" s="989"/>
      <c r="N220" s="989"/>
      <c r="O220" s="989"/>
      <c r="P220" s="989"/>
      <c r="Q220" s="989"/>
      <c r="R220" s="989"/>
      <c r="S220" s="989"/>
      <c r="T220" s="989"/>
      <c r="U220" s="989"/>
      <c r="V220" s="989"/>
      <c r="W220" s="989"/>
      <c r="X220" s="989"/>
      <c r="Y220" s="989"/>
      <c r="Z220" s="989"/>
      <c r="AA220" s="989"/>
      <c r="AB220" s="989"/>
      <c r="AC220" s="989"/>
      <c r="AD220" s="989"/>
      <c r="AE220" s="989"/>
    </row>
    <row r="221">
      <c r="A221" s="989"/>
      <c r="B221" s="989"/>
      <c r="C221" s="989"/>
      <c r="D221" s="989"/>
      <c r="E221" s="989"/>
      <c r="F221" s="989"/>
      <c r="G221" s="989"/>
      <c r="H221" s="992" t="str">
        <f t="shared" si="16"/>
        <v/>
      </c>
      <c r="I221" s="989"/>
      <c r="J221" s="989"/>
      <c r="K221" s="989"/>
      <c r="L221" s="989"/>
      <c r="M221" s="989"/>
      <c r="N221" s="989"/>
      <c r="O221" s="989"/>
      <c r="P221" s="989"/>
      <c r="Q221" s="989"/>
      <c r="R221" s="989"/>
      <c r="S221" s="989"/>
      <c r="T221" s="989"/>
      <c r="U221" s="989"/>
      <c r="V221" s="989"/>
      <c r="W221" s="989"/>
      <c r="X221" s="989"/>
      <c r="Y221" s="989"/>
      <c r="Z221" s="989"/>
      <c r="AA221" s="989"/>
      <c r="AB221" s="989"/>
      <c r="AC221" s="989"/>
      <c r="AD221" s="989"/>
      <c r="AE221" s="989"/>
    </row>
    <row r="222">
      <c r="A222" s="989"/>
      <c r="B222" s="989"/>
      <c r="C222" s="989"/>
      <c r="D222" s="989"/>
      <c r="E222" s="989"/>
      <c r="F222" s="989"/>
      <c r="G222" s="989"/>
      <c r="H222" s="992" t="str">
        <f t="shared" si="16"/>
        <v/>
      </c>
      <c r="I222" s="989"/>
      <c r="J222" s="989"/>
      <c r="K222" s="989"/>
      <c r="L222" s="989"/>
      <c r="M222" s="989"/>
      <c r="N222" s="989"/>
      <c r="O222" s="989"/>
      <c r="P222" s="989"/>
      <c r="Q222" s="989"/>
      <c r="R222" s="989"/>
      <c r="S222" s="989"/>
      <c r="T222" s="989"/>
      <c r="U222" s="989"/>
      <c r="V222" s="989"/>
      <c r="W222" s="989"/>
      <c r="X222" s="989"/>
      <c r="Y222" s="989"/>
      <c r="Z222" s="989"/>
      <c r="AA222" s="989"/>
      <c r="AB222" s="989"/>
      <c r="AC222" s="989"/>
      <c r="AD222" s="989"/>
      <c r="AE222" s="989"/>
    </row>
    <row r="223">
      <c r="A223" s="989"/>
      <c r="B223" s="989"/>
      <c r="C223" s="989"/>
      <c r="D223" s="989"/>
      <c r="E223" s="989"/>
      <c r="F223" s="989"/>
      <c r="G223" s="989"/>
      <c r="H223" s="992" t="str">
        <f t="shared" si="16"/>
        <v/>
      </c>
      <c r="I223" s="989"/>
      <c r="J223" s="989"/>
      <c r="K223" s="989"/>
      <c r="L223" s="989"/>
      <c r="M223" s="989"/>
      <c r="N223" s="989"/>
      <c r="O223" s="989"/>
      <c r="P223" s="989"/>
      <c r="Q223" s="989"/>
      <c r="R223" s="989"/>
      <c r="S223" s="989"/>
      <c r="T223" s="989"/>
      <c r="U223" s="989"/>
      <c r="V223" s="989"/>
      <c r="W223" s="989"/>
      <c r="X223" s="989"/>
      <c r="Y223" s="989"/>
      <c r="Z223" s="989"/>
      <c r="AA223" s="989"/>
      <c r="AB223" s="989"/>
      <c r="AC223" s="989"/>
      <c r="AD223" s="989"/>
      <c r="AE223" s="989"/>
    </row>
    <row r="224">
      <c r="A224" s="989"/>
      <c r="B224" s="989"/>
      <c r="C224" s="989"/>
      <c r="D224" s="989"/>
      <c r="E224" s="989"/>
      <c r="F224" s="989"/>
      <c r="G224" s="989"/>
      <c r="H224" s="992" t="str">
        <f t="shared" si="16"/>
        <v/>
      </c>
      <c r="I224" s="989"/>
      <c r="J224" s="989"/>
      <c r="K224" s="989"/>
      <c r="L224" s="989"/>
      <c r="M224" s="989"/>
      <c r="N224" s="989"/>
      <c r="O224" s="989"/>
      <c r="P224" s="989"/>
      <c r="Q224" s="989"/>
      <c r="R224" s="989"/>
      <c r="S224" s="989"/>
      <c r="T224" s="989"/>
      <c r="U224" s="989"/>
      <c r="V224" s="989"/>
      <c r="W224" s="989"/>
      <c r="X224" s="989"/>
      <c r="Y224" s="989"/>
      <c r="Z224" s="989"/>
      <c r="AA224" s="989"/>
      <c r="AB224" s="989"/>
      <c r="AC224" s="989"/>
      <c r="AD224" s="989"/>
      <c r="AE224" s="989"/>
    </row>
    <row r="225">
      <c r="A225" s="989"/>
      <c r="B225" s="989"/>
      <c r="C225" s="989"/>
      <c r="D225" s="989"/>
      <c r="E225" s="989"/>
      <c r="F225" s="989"/>
      <c r="G225" s="989"/>
      <c r="H225" s="992" t="str">
        <f t="shared" si="16"/>
        <v/>
      </c>
      <c r="I225" s="989"/>
      <c r="J225" s="989"/>
      <c r="K225" s="989"/>
      <c r="L225" s="989"/>
      <c r="M225" s="989"/>
      <c r="N225" s="989"/>
      <c r="O225" s="989"/>
      <c r="P225" s="989"/>
      <c r="Q225" s="989"/>
      <c r="R225" s="989"/>
      <c r="S225" s="989"/>
      <c r="T225" s="989"/>
      <c r="U225" s="989"/>
      <c r="V225" s="989"/>
      <c r="W225" s="989"/>
      <c r="X225" s="989"/>
      <c r="Y225" s="989"/>
      <c r="Z225" s="989"/>
      <c r="AA225" s="989"/>
      <c r="AB225" s="989"/>
      <c r="AC225" s="989"/>
      <c r="AD225" s="989"/>
      <c r="AE225" s="989"/>
    </row>
    <row r="226">
      <c r="A226" s="989"/>
      <c r="B226" s="989"/>
      <c r="C226" s="989"/>
      <c r="D226" s="989"/>
      <c r="E226" s="989"/>
      <c r="F226" s="989"/>
      <c r="G226" s="989"/>
      <c r="H226" s="992" t="str">
        <f t="shared" si="16"/>
        <v/>
      </c>
      <c r="I226" s="989"/>
      <c r="J226" s="989"/>
      <c r="K226" s="989"/>
      <c r="L226" s="989"/>
      <c r="M226" s="989"/>
      <c r="N226" s="989"/>
      <c r="O226" s="989"/>
      <c r="P226" s="989"/>
      <c r="Q226" s="989"/>
      <c r="R226" s="989"/>
      <c r="S226" s="989"/>
      <c r="T226" s="989"/>
      <c r="U226" s="989"/>
      <c r="V226" s="989"/>
      <c r="W226" s="989"/>
      <c r="X226" s="989"/>
      <c r="Y226" s="989"/>
      <c r="Z226" s="989"/>
      <c r="AA226" s="989"/>
      <c r="AB226" s="989"/>
      <c r="AC226" s="989"/>
      <c r="AD226" s="989"/>
      <c r="AE226" s="989"/>
    </row>
    <row r="227">
      <c r="A227" s="989"/>
      <c r="B227" s="989"/>
      <c r="C227" s="989"/>
      <c r="D227" s="989"/>
      <c r="E227" s="989"/>
      <c r="F227" s="989"/>
      <c r="G227" s="989"/>
      <c r="H227" s="992" t="str">
        <f t="shared" si="16"/>
        <v/>
      </c>
      <c r="I227" s="989"/>
      <c r="J227" s="989"/>
      <c r="K227" s="989"/>
      <c r="L227" s="989"/>
      <c r="M227" s="989"/>
      <c r="N227" s="989"/>
      <c r="O227" s="989"/>
      <c r="P227" s="989"/>
      <c r="Q227" s="989"/>
      <c r="R227" s="989"/>
      <c r="S227" s="989"/>
      <c r="T227" s="989"/>
      <c r="U227" s="989"/>
      <c r="V227" s="989"/>
      <c r="W227" s="989"/>
      <c r="X227" s="989"/>
      <c r="Y227" s="989"/>
      <c r="Z227" s="989"/>
      <c r="AA227" s="989"/>
      <c r="AB227" s="989"/>
      <c r="AC227" s="989"/>
      <c r="AD227" s="989"/>
      <c r="AE227" s="989"/>
    </row>
    <row r="228">
      <c r="A228" s="989"/>
      <c r="B228" s="989"/>
      <c r="C228" s="989"/>
      <c r="D228" s="989"/>
      <c r="E228" s="989"/>
      <c r="F228" s="989"/>
      <c r="G228" s="989"/>
      <c r="H228" s="992" t="str">
        <f t="shared" si="16"/>
        <v/>
      </c>
      <c r="I228" s="989"/>
      <c r="J228" s="989"/>
      <c r="K228" s="989"/>
      <c r="L228" s="989"/>
      <c r="M228" s="989"/>
      <c r="N228" s="989"/>
      <c r="O228" s="989"/>
      <c r="P228" s="989"/>
      <c r="Q228" s="989"/>
      <c r="R228" s="989"/>
      <c r="S228" s="989"/>
      <c r="T228" s="989"/>
      <c r="U228" s="989"/>
      <c r="V228" s="989"/>
      <c r="W228" s="989"/>
      <c r="X228" s="989"/>
      <c r="Y228" s="989"/>
      <c r="Z228" s="989"/>
      <c r="AA228" s="989"/>
      <c r="AB228" s="989"/>
      <c r="AC228" s="989"/>
      <c r="AD228" s="989"/>
      <c r="AE228" s="989"/>
    </row>
    <row r="229">
      <c r="A229" s="989"/>
      <c r="B229" s="989"/>
      <c r="C229" s="989"/>
      <c r="D229" s="989"/>
      <c r="E229" s="989"/>
      <c r="F229" s="989"/>
      <c r="G229" s="989"/>
      <c r="H229" s="992" t="str">
        <f t="shared" si="16"/>
        <v/>
      </c>
      <c r="I229" s="989"/>
      <c r="J229" s="989"/>
      <c r="K229" s="989"/>
      <c r="L229" s="989"/>
      <c r="M229" s="989"/>
      <c r="N229" s="989"/>
      <c r="O229" s="989"/>
      <c r="P229" s="989"/>
      <c r="Q229" s="989"/>
      <c r="R229" s="989"/>
      <c r="S229" s="989"/>
      <c r="T229" s="989"/>
      <c r="U229" s="989"/>
      <c r="V229" s="989"/>
      <c r="W229" s="989"/>
      <c r="X229" s="989"/>
      <c r="Y229" s="989"/>
      <c r="Z229" s="989"/>
      <c r="AA229" s="989"/>
      <c r="AB229" s="989"/>
      <c r="AC229" s="989"/>
      <c r="AD229" s="989"/>
      <c r="AE229" s="989"/>
    </row>
    <row r="230">
      <c r="A230" s="989"/>
      <c r="B230" s="989"/>
      <c r="C230" s="989"/>
      <c r="D230" s="989"/>
      <c r="E230" s="989"/>
      <c r="F230" s="989"/>
      <c r="G230" s="989"/>
      <c r="H230" s="992" t="str">
        <f t="shared" si="16"/>
        <v/>
      </c>
      <c r="I230" s="989"/>
      <c r="J230" s="989"/>
      <c r="K230" s="989"/>
      <c r="L230" s="989"/>
      <c r="M230" s="989"/>
      <c r="N230" s="989"/>
      <c r="O230" s="989"/>
      <c r="P230" s="989"/>
      <c r="Q230" s="989"/>
      <c r="R230" s="989"/>
      <c r="S230" s="989"/>
      <c r="T230" s="989"/>
      <c r="U230" s="989"/>
      <c r="V230" s="989"/>
      <c r="W230" s="989"/>
      <c r="X230" s="989"/>
      <c r="Y230" s="989"/>
      <c r="Z230" s="989"/>
      <c r="AA230" s="989"/>
      <c r="AB230" s="989"/>
      <c r="AC230" s="989"/>
      <c r="AD230" s="989"/>
      <c r="AE230" s="989"/>
    </row>
    <row r="231">
      <c r="A231" s="989"/>
      <c r="B231" s="989"/>
      <c r="C231" s="989"/>
      <c r="D231" s="989"/>
      <c r="E231" s="989"/>
      <c r="F231" s="989"/>
      <c r="G231" s="989"/>
      <c r="H231" s="992" t="str">
        <f t="shared" si="16"/>
        <v/>
      </c>
      <c r="I231" s="989"/>
      <c r="J231" s="989"/>
      <c r="K231" s="989"/>
      <c r="L231" s="989"/>
      <c r="M231" s="989"/>
      <c r="N231" s="989"/>
      <c r="O231" s="989"/>
      <c r="P231" s="989"/>
      <c r="Q231" s="989"/>
      <c r="R231" s="989"/>
      <c r="S231" s="989"/>
      <c r="T231" s="989"/>
      <c r="U231" s="989"/>
      <c r="V231" s="989"/>
      <c r="W231" s="989"/>
      <c r="X231" s="989"/>
      <c r="Y231" s="989"/>
      <c r="Z231" s="989"/>
      <c r="AA231" s="989"/>
      <c r="AB231" s="989"/>
      <c r="AC231" s="989"/>
      <c r="AD231" s="989"/>
      <c r="AE231" s="989"/>
    </row>
    <row r="232">
      <c r="A232" s="989"/>
      <c r="B232" s="989"/>
      <c r="C232" s="989"/>
      <c r="D232" s="989"/>
      <c r="E232" s="989"/>
      <c r="F232" s="989"/>
      <c r="G232" s="989"/>
      <c r="H232" s="992" t="str">
        <f t="shared" si="16"/>
        <v/>
      </c>
      <c r="I232" s="989"/>
      <c r="J232" s="989"/>
      <c r="K232" s="989"/>
      <c r="L232" s="989"/>
      <c r="M232" s="989"/>
      <c r="N232" s="989"/>
      <c r="O232" s="989"/>
      <c r="P232" s="989"/>
      <c r="Q232" s="989"/>
      <c r="R232" s="989"/>
      <c r="S232" s="989"/>
      <c r="T232" s="989"/>
      <c r="U232" s="989"/>
      <c r="V232" s="989"/>
      <c r="W232" s="989"/>
      <c r="X232" s="989"/>
      <c r="Y232" s="989"/>
      <c r="Z232" s="989"/>
      <c r="AA232" s="989"/>
      <c r="AB232" s="989"/>
      <c r="AC232" s="989"/>
      <c r="AD232" s="989"/>
      <c r="AE232" s="989"/>
    </row>
    <row r="233">
      <c r="A233" s="989"/>
      <c r="B233" s="989"/>
      <c r="C233" s="989"/>
      <c r="D233" s="989"/>
      <c r="E233" s="989"/>
      <c r="F233" s="989"/>
      <c r="G233" s="989"/>
      <c r="H233" s="992" t="str">
        <f t="shared" si="16"/>
        <v/>
      </c>
      <c r="I233" s="989"/>
      <c r="J233" s="989"/>
      <c r="K233" s="989"/>
      <c r="L233" s="989"/>
      <c r="M233" s="989"/>
      <c r="N233" s="989"/>
      <c r="O233" s="989"/>
      <c r="P233" s="989"/>
      <c r="Q233" s="989"/>
      <c r="R233" s="989"/>
      <c r="S233" s="989"/>
      <c r="T233" s="989"/>
      <c r="U233" s="989"/>
      <c r="V233" s="989"/>
      <c r="W233" s="989"/>
      <c r="X233" s="989"/>
      <c r="Y233" s="989"/>
      <c r="Z233" s="989"/>
      <c r="AA233" s="989"/>
      <c r="AB233" s="989"/>
      <c r="AC233" s="989"/>
      <c r="AD233" s="989"/>
      <c r="AE233" s="989"/>
    </row>
    <row r="234">
      <c r="A234" s="989"/>
      <c r="B234" s="989"/>
      <c r="C234" s="989"/>
      <c r="D234" s="989"/>
      <c r="E234" s="989"/>
      <c r="F234" s="989"/>
      <c r="G234" s="989"/>
      <c r="H234" s="992" t="str">
        <f t="shared" si="16"/>
        <v/>
      </c>
      <c r="I234" s="989"/>
      <c r="J234" s="989"/>
      <c r="K234" s="989"/>
      <c r="L234" s="989"/>
      <c r="M234" s="989"/>
      <c r="N234" s="989"/>
      <c r="O234" s="989"/>
      <c r="P234" s="989"/>
      <c r="Q234" s="989"/>
      <c r="R234" s="989"/>
      <c r="S234" s="989"/>
      <c r="T234" s="989"/>
      <c r="U234" s="989"/>
      <c r="V234" s="989"/>
      <c r="W234" s="989"/>
      <c r="X234" s="989"/>
      <c r="Y234" s="989"/>
      <c r="Z234" s="989"/>
      <c r="AA234" s="989"/>
      <c r="AB234" s="989"/>
      <c r="AC234" s="989"/>
      <c r="AD234" s="989"/>
      <c r="AE234" s="989"/>
    </row>
    <row r="235">
      <c r="A235" s="989"/>
      <c r="B235" s="989"/>
      <c r="C235" s="989"/>
      <c r="D235" s="989"/>
      <c r="E235" s="989"/>
      <c r="F235" s="989"/>
      <c r="G235" s="989"/>
      <c r="H235" s="992" t="str">
        <f t="shared" si="16"/>
        <v/>
      </c>
      <c r="I235" s="989"/>
      <c r="J235" s="989"/>
      <c r="K235" s="989"/>
      <c r="L235" s="989"/>
      <c r="M235" s="989"/>
      <c r="N235" s="989"/>
      <c r="O235" s="989"/>
      <c r="P235" s="989"/>
      <c r="Q235" s="989"/>
      <c r="R235" s="989"/>
      <c r="S235" s="989"/>
      <c r="T235" s="989"/>
      <c r="U235" s="989"/>
      <c r="V235" s="989"/>
      <c r="W235" s="989"/>
      <c r="X235" s="989"/>
      <c r="Y235" s="989"/>
      <c r="Z235" s="989"/>
      <c r="AA235" s="989"/>
      <c r="AB235" s="989"/>
      <c r="AC235" s="989"/>
      <c r="AD235" s="989"/>
      <c r="AE235" s="989"/>
    </row>
    <row r="236">
      <c r="A236" s="989"/>
      <c r="B236" s="989"/>
      <c r="C236" s="989"/>
      <c r="D236" s="989"/>
      <c r="E236" s="989"/>
      <c r="F236" s="989"/>
      <c r="G236" s="989"/>
      <c r="H236" s="992" t="str">
        <f t="shared" si="16"/>
        <v/>
      </c>
      <c r="I236" s="989"/>
      <c r="J236" s="989"/>
      <c r="K236" s="989"/>
      <c r="L236" s="989"/>
      <c r="M236" s="989"/>
      <c r="N236" s="989"/>
      <c r="O236" s="989"/>
      <c r="P236" s="989"/>
      <c r="Q236" s="989"/>
      <c r="R236" s="989"/>
      <c r="S236" s="989"/>
      <c r="T236" s="989"/>
      <c r="U236" s="989"/>
      <c r="V236" s="989"/>
      <c r="W236" s="989"/>
      <c r="X236" s="989"/>
      <c r="Y236" s="989"/>
      <c r="Z236" s="989"/>
      <c r="AA236" s="989"/>
      <c r="AB236" s="989"/>
      <c r="AC236" s="989"/>
      <c r="AD236" s="989"/>
      <c r="AE236" s="989"/>
    </row>
    <row r="237">
      <c r="A237" s="989"/>
      <c r="B237" s="989"/>
      <c r="C237" s="989"/>
      <c r="D237" s="989"/>
      <c r="E237" s="989"/>
      <c r="F237" s="989"/>
      <c r="G237" s="989"/>
      <c r="H237" s="992" t="str">
        <f t="shared" si="16"/>
        <v/>
      </c>
      <c r="I237" s="989"/>
      <c r="J237" s="989"/>
      <c r="K237" s="989"/>
      <c r="L237" s="989"/>
      <c r="M237" s="989"/>
      <c r="N237" s="989"/>
      <c r="O237" s="989"/>
      <c r="P237" s="989"/>
      <c r="Q237" s="989"/>
      <c r="R237" s="989"/>
      <c r="S237" s="989"/>
      <c r="T237" s="989"/>
      <c r="U237" s="989"/>
      <c r="V237" s="989"/>
      <c r="W237" s="989"/>
      <c r="X237" s="989"/>
      <c r="Y237" s="989"/>
      <c r="Z237" s="989"/>
      <c r="AA237" s="989"/>
      <c r="AB237" s="989"/>
      <c r="AC237" s="989"/>
      <c r="AD237" s="989"/>
      <c r="AE237" s="989"/>
    </row>
    <row r="238">
      <c r="A238" s="989"/>
      <c r="B238" s="989"/>
      <c r="C238" s="989"/>
      <c r="D238" s="989"/>
      <c r="E238" s="989"/>
      <c r="F238" s="989"/>
      <c r="G238" s="989"/>
      <c r="H238" s="992" t="str">
        <f t="shared" si="16"/>
        <v/>
      </c>
      <c r="I238" s="989"/>
      <c r="J238" s="989"/>
      <c r="K238" s="989"/>
      <c r="L238" s="989"/>
      <c r="M238" s="989"/>
      <c r="N238" s="989"/>
      <c r="O238" s="989"/>
      <c r="P238" s="989"/>
      <c r="Q238" s="989"/>
      <c r="R238" s="989"/>
      <c r="S238" s="989"/>
      <c r="T238" s="989"/>
      <c r="U238" s="989"/>
      <c r="V238" s="989"/>
      <c r="W238" s="989"/>
      <c r="X238" s="989"/>
      <c r="Y238" s="989"/>
      <c r="Z238" s="989"/>
      <c r="AA238" s="989"/>
      <c r="AB238" s="989"/>
      <c r="AC238" s="989"/>
      <c r="AD238" s="989"/>
      <c r="AE238" s="989"/>
    </row>
    <row r="239">
      <c r="A239" s="989"/>
      <c r="B239" s="989"/>
      <c r="C239" s="989"/>
      <c r="D239" s="989"/>
      <c r="E239" s="989"/>
      <c r="F239" s="989"/>
      <c r="G239" s="989"/>
      <c r="H239" s="992" t="str">
        <f t="shared" si="16"/>
        <v/>
      </c>
      <c r="I239" s="989"/>
      <c r="J239" s="989"/>
      <c r="K239" s="989"/>
      <c r="L239" s="989"/>
      <c r="M239" s="989"/>
      <c r="N239" s="989"/>
      <c r="O239" s="989"/>
      <c r="P239" s="989"/>
      <c r="Q239" s="989"/>
      <c r="R239" s="989"/>
      <c r="S239" s="989"/>
      <c r="T239" s="989"/>
      <c r="U239" s="989"/>
      <c r="V239" s="989"/>
      <c r="W239" s="989"/>
      <c r="X239" s="989"/>
      <c r="Y239" s="989"/>
      <c r="Z239" s="989"/>
      <c r="AA239" s="989"/>
      <c r="AB239" s="989"/>
      <c r="AC239" s="989"/>
      <c r="AD239" s="989"/>
      <c r="AE239" s="989"/>
    </row>
    <row r="240">
      <c r="A240" s="989"/>
      <c r="B240" s="989"/>
      <c r="C240" s="989"/>
      <c r="D240" s="989"/>
      <c r="E240" s="989"/>
      <c r="F240" s="989"/>
      <c r="G240" s="989"/>
      <c r="H240" s="992" t="str">
        <f t="shared" si="16"/>
        <v/>
      </c>
      <c r="I240" s="989"/>
      <c r="J240" s="989"/>
      <c r="K240" s="989"/>
      <c r="L240" s="989"/>
      <c r="M240" s="989"/>
      <c r="N240" s="989"/>
      <c r="O240" s="989"/>
      <c r="P240" s="989"/>
      <c r="Q240" s="989"/>
      <c r="R240" s="989"/>
      <c r="S240" s="989"/>
      <c r="T240" s="989"/>
      <c r="U240" s="989"/>
      <c r="V240" s="989"/>
      <c r="W240" s="989"/>
      <c r="X240" s="989"/>
      <c r="Y240" s="989"/>
      <c r="Z240" s="989"/>
      <c r="AA240" s="989"/>
      <c r="AB240" s="989"/>
      <c r="AC240" s="989"/>
      <c r="AD240" s="989"/>
      <c r="AE240" s="989"/>
    </row>
    <row r="241">
      <c r="A241" s="989"/>
      <c r="B241" s="989"/>
      <c r="C241" s="989"/>
      <c r="D241" s="989"/>
      <c r="E241" s="989"/>
      <c r="F241" s="989"/>
      <c r="G241" s="989"/>
      <c r="H241" s="992" t="str">
        <f t="shared" si="16"/>
        <v/>
      </c>
      <c r="I241" s="989"/>
      <c r="J241" s="989"/>
      <c r="K241" s="989"/>
      <c r="L241" s="989"/>
      <c r="M241" s="989"/>
      <c r="N241" s="989"/>
      <c r="O241" s="989"/>
      <c r="P241" s="989"/>
      <c r="Q241" s="989"/>
      <c r="R241" s="989"/>
      <c r="S241" s="989"/>
      <c r="T241" s="989"/>
      <c r="U241" s="989"/>
      <c r="V241" s="989"/>
      <c r="W241" s="989"/>
      <c r="X241" s="989"/>
      <c r="Y241" s="989"/>
      <c r="Z241" s="989"/>
      <c r="AA241" s="989"/>
      <c r="AB241" s="989"/>
      <c r="AC241" s="989"/>
      <c r="AD241" s="989"/>
      <c r="AE241" s="989"/>
    </row>
    <row r="242">
      <c r="A242" s="989"/>
      <c r="B242" s="989"/>
      <c r="C242" s="989"/>
      <c r="D242" s="989"/>
      <c r="E242" s="989"/>
      <c r="F242" s="989"/>
      <c r="G242" s="989"/>
      <c r="H242" s="992" t="str">
        <f t="shared" si="16"/>
        <v/>
      </c>
      <c r="I242" s="989"/>
      <c r="J242" s="989"/>
      <c r="K242" s="989"/>
      <c r="L242" s="989"/>
      <c r="M242" s="989"/>
      <c r="N242" s="989"/>
      <c r="O242" s="989"/>
      <c r="P242" s="989"/>
      <c r="Q242" s="989"/>
      <c r="R242" s="989"/>
      <c r="S242" s="989"/>
      <c r="T242" s="989"/>
      <c r="U242" s="989"/>
      <c r="V242" s="989"/>
      <c r="W242" s="989"/>
      <c r="X242" s="989"/>
      <c r="Y242" s="989"/>
      <c r="Z242" s="989"/>
      <c r="AA242" s="989"/>
      <c r="AB242" s="989"/>
      <c r="AC242" s="989"/>
      <c r="AD242" s="989"/>
      <c r="AE242" s="989"/>
    </row>
    <row r="243">
      <c r="A243" s="989"/>
      <c r="B243" s="989"/>
      <c r="C243" s="989"/>
      <c r="D243" s="989"/>
      <c r="E243" s="989"/>
      <c r="F243" s="989"/>
      <c r="G243" s="989"/>
      <c r="H243" s="992" t="str">
        <f t="shared" si="16"/>
        <v/>
      </c>
      <c r="I243" s="989"/>
      <c r="J243" s="989"/>
      <c r="K243" s="989"/>
      <c r="L243" s="989"/>
      <c r="M243" s="989"/>
      <c r="N243" s="989"/>
      <c r="O243" s="989"/>
      <c r="P243" s="989"/>
      <c r="Q243" s="989"/>
      <c r="R243" s="989"/>
      <c r="S243" s="989"/>
      <c r="T243" s="989"/>
      <c r="U243" s="989"/>
      <c r="V243" s="989"/>
      <c r="W243" s="989"/>
      <c r="X243" s="989"/>
      <c r="Y243" s="989"/>
      <c r="Z243" s="989"/>
      <c r="AA243" s="989"/>
      <c r="AB243" s="989"/>
      <c r="AC243" s="989"/>
      <c r="AD243" s="989"/>
      <c r="AE243" s="989"/>
    </row>
    <row r="244">
      <c r="A244" s="989"/>
      <c r="B244" s="989"/>
      <c r="C244" s="989"/>
      <c r="D244" s="989"/>
      <c r="E244" s="989"/>
      <c r="F244" s="989"/>
      <c r="G244" s="989"/>
      <c r="H244" s="992" t="str">
        <f t="shared" si="16"/>
        <v/>
      </c>
      <c r="I244" s="989"/>
      <c r="J244" s="989"/>
      <c r="K244" s="989"/>
      <c r="L244" s="989"/>
      <c r="M244" s="989"/>
      <c r="N244" s="989"/>
      <c r="O244" s="989"/>
      <c r="P244" s="989"/>
      <c r="Q244" s="989"/>
      <c r="R244" s="989"/>
      <c r="S244" s="989"/>
      <c r="T244" s="989"/>
      <c r="U244" s="989"/>
      <c r="V244" s="989"/>
      <c r="W244" s="989"/>
      <c r="X244" s="989"/>
      <c r="Y244" s="989"/>
      <c r="Z244" s="989"/>
      <c r="AA244" s="989"/>
      <c r="AB244" s="989"/>
      <c r="AC244" s="989"/>
      <c r="AD244" s="989"/>
      <c r="AE244" s="989"/>
    </row>
    <row r="245">
      <c r="A245" s="989"/>
      <c r="B245" s="989"/>
      <c r="C245" s="989"/>
      <c r="D245" s="989"/>
      <c r="E245" s="989"/>
      <c r="F245" s="989"/>
      <c r="G245" s="989"/>
      <c r="H245" s="992" t="str">
        <f t="shared" si="16"/>
        <v/>
      </c>
      <c r="I245" s="989"/>
      <c r="J245" s="989"/>
      <c r="K245" s="989"/>
      <c r="L245" s="989"/>
      <c r="M245" s="989"/>
      <c r="N245" s="989"/>
      <c r="O245" s="989"/>
      <c r="P245" s="989"/>
      <c r="Q245" s="989"/>
      <c r="R245" s="989"/>
      <c r="S245" s="989"/>
      <c r="T245" s="989"/>
      <c r="U245" s="989"/>
      <c r="V245" s="989"/>
      <c r="W245" s="989"/>
      <c r="X245" s="989"/>
      <c r="Y245" s="989"/>
      <c r="Z245" s="989"/>
      <c r="AA245" s="989"/>
      <c r="AB245" s="989"/>
      <c r="AC245" s="989"/>
      <c r="AD245" s="989"/>
      <c r="AE245" s="989"/>
    </row>
    <row r="246">
      <c r="A246" s="989"/>
      <c r="B246" s="989"/>
      <c r="C246" s="989"/>
      <c r="D246" s="989"/>
      <c r="E246" s="989"/>
      <c r="F246" s="989"/>
      <c r="G246" s="989"/>
      <c r="H246" s="992" t="str">
        <f t="shared" si="16"/>
        <v/>
      </c>
      <c r="I246" s="989"/>
      <c r="J246" s="989"/>
      <c r="K246" s="989"/>
      <c r="L246" s="989"/>
      <c r="M246" s="989"/>
      <c r="N246" s="989"/>
      <c r="O246" s="989"/>
      <c r="P246" s="989"/>
      <c r="Q246" s="989"/>
      <c r="R246" s="989"/>
      <c r="S246" s="989"/>
      <c r="T246" s="989"/>
      <c r="U246" s="989"/>
      <c r="V246" s="989"/>
      <c r="W246" s="989"/>
      <c r="X246" s="989"/>
      <c r="Y246" s="989"/>
      <c r="Z246" s="989"/>
      <c r="AA246" s="989"/>
      <c r="AB246" s="989"/>
      <c r="AC246" s="989"/>
      <c r="AD246" s="989"/>
      <c r="AE246" s="989"/>
    </row>
    <row r="247">
      <c r="A247" s="989"/>
      <c r="B247" s="989"/>
      <c r="C247" s="989"/>
      <c r="D247" s="989"/>
      <c r="E247" s="989"/>
      <c r="F247" s="989"/>
      <c r="G247" s="989"/>
      <c r="H247" s="992" t="str">
        <f t="shared" si="16"/>
        <v/>
      </c>
      <c r="I247" s="989"/>
      <c r="J247" s="989"/>
      <c r="K247" s="989"/>
      <c r="L247" s="989"/>
      <c r="M247" s="989"/>
      <c r="N247" s="989"/>
      <c r="O247" s="989"/>
      <c r="P247" s="989"/>
      <c r="Q247" s="989"/>
      <c r="R247" s="989"/>
      <c r="S247" s="989"/>
      <c r="T247" s="989"/>
      <c r="U247" s="989"/>
      <c r="V247" s="989"/>
      <c r="W247" s="989"/>
      <c r="X247" s="989"/>
      <c r="Y247" s="989"/>
      <c r="Z247" s="989"/>
      <c r="AA247" s="989"/>
      <c r="AB247" s="989"/>
      <c r="AC247" s="989"/>
      <c r="AD247" s="989"/>
      <c r="AE247" s="989"/>
    </row>
    <row r="248">
      <c r="A248" s="989"/>
      <c r="B248" s="989"/>
      <c r="C248" s="989"/>
      <c r="D248" s="989"/>
      <c r="E248" s="989"/>
      <c r="F248" s="989"/>
      <c r="G248" s="989"/>
      <c r="H248" s="992" t="str">
        <f t="shared" si="16"/>
        <v/>
      </c>
      <c r="I248" s="989"/>
      <c r="J248" s="989"/>
      <c r="K248" s="989"/>
      <c r="L248" s="989"/>
      <c r="M248" s="989"/>
      <c r="N248" s="989"/>
      <c r="O248" s="989"/>
      <c r="P248" s="989"/>
      <c r="Q248" s="989"/>
      <c r="R248" s="989"/>
      <c r="S248" s="989"/>
      <c r="T248" s="989"/>
      <c r="U248" s="989"/>
      <c r="V248" s="989"/>
      <c r="W248" s="989"/>
      <c r="X248" s="989"/>
      <c r="Y248" s="989"/>
      <c r="Z248" s="989"/>
      <c r="AA248" s="989"/>
      <c r="AB248" s="989"/>
      <c r="AC248" s="989"/>
      <c r="AD248" s="989"/>
      <c r="AE248" s="989"/>
    </row>
    <row r="249">
      <c r="A249" s="989"/>
      <c r="B249" s="989"/>
      <c r="C249" s="989"/>
      <c r="D249" s="989"/>
      <c r="E249" s="989"/>
      <c r="F249" s="989"/>
      <c r="G249" s="989"/>
      <c r="H249" s="992" t="str">
        <f t="shared" si="16"/>
        <v/>
      </c>
      <c r="I249" s="989"/>
      <c r="J249" s="989"/>
      <c r="K249" s="989"/>
      <c r="L249" s="989"/>
      <c r="M249" s="989"/>
      <c r="N249" s="989"/>
      <c r="O249" s="989"/>
      <c r="P249" s="989"/>
      <c r="Q249" s="989"/>
      <c r="R249" s="989"/>
      <c r="S249" s="989"/>
      <c r="T249" s="989"/>
      <c r="U249" s="989"/>
      <c r="V249" s="989"/>
      <c r="W249" s="989"/>
      <c r="X249" s="989"/>
      <c r="Y249" s="989"/>
      <c r="Z249" s="989"/>
      <c r="AA249" s="989"/>
      <c r="AB249" s="989"/>
      <c r="AC249" s="989"/>
      <c r="AD249" s="989"/>
      <c r="AE249" s="989"/>
    </row>
    <row r="250">
      <c r="A250" s="989"/>
      <c r="B250" s="989"/>
      <c r="C250" s="989"/>
      <c r="D250" s="989"/>
      <c r="E250" s="989"/>
      <c r="F250" s="989"/>
      <c r="G250" s="989"/>
      <c r="H250" s="992" t="str">
        <f t="shared" si="16"/>
        <v/>
      </c>
      <c r="I250" s="989"/>
      <c r="J250" s="989"/>
      <c r="K250" s="989"/>
      <c r="L250" s="989"/>
      <c r="M250" s="989"/>
      <c r="N250" s="989"/>
      <c r="O250" s="989"/>
      <c r="P250" s="989"/>
      <c r="Q250" s="989"/>
      <c r="R250" s="989"/>
      <c r="S250" s="989"/>
      <c r="T250" s="989"/>
      <c r="U250" s="989"/>
      <c r="V250" s="989"/>
      <c r="W250" s="989"/>
      <c r="X250" s="989"/>
      <c r="Y250" s="989"/>
      <c r="Z250" s="989"/>
      <c r="AA250" s="989"/>
      <c r="AB250" s="989"/>
      <c r="AC250" s="989"/>
      <c r="AD250" s="989"/>
      <c r="AE250" s="989"/>
    </row>
    <row r="251">
      <c r="A251" s="989"/>
      <c r="B251" s="989"/>
      <c r="C251" s="989"/>
      <c r="D251" s="989"/>
      <c r="E251" s="989"/>
      <c r="F251" s="989"/>
      <c r="G251" s="989"/>
      <c r="H251" s="992" t="str">
        <f t="shared" si="16"/>
        <v/>
      </c>
      <c r="I251" s="989"/>
      <c r="J251" s="989"/>
      <c r="K251" s="989"/>
      <c r="L251" s="989"/>
      <c r="M251" s="989"/>
      <c r="N251" s="989"/>
      <c r="O251" s="989"/>
      <c r="P251" s="989"/>
      <c r="Q251" s="989"/>
      <c r="R251" s="989"/>
      <c r="S251" s="989"/>
      <c r="T251" s="989"/>
      <c r="U251" s="989"/>
      <c r="V251" s="989"/>
      <c r="W251" s="989"/>
      <c r="X251" s="989"/>
      <c r="Y251" s="989"/>
      <c r="Z251" s="989"/>
      <c r="AA251" s="989"/>
      <c r="AB251" s="989"/>
      <c r="AC251" s="989"/>
      <c r="AD251" s="989"/>
      <c r="AE251" s="989"/>
    </row>
    <row r="252">
      <c r="A252" s="989"/>
      <c r="B252" s="989"/>
      <c r="C252" s="989"/>
      <c r="D252" s="989"/>
      <c r="E252" s="989"/>
      <c r="F252" s="989"/>
      <c r="G252" s="989"/>
      <c r="H252" s="992" t="str">
        <f t="shared" si="16"/>
        <v/>
      </c>
      <c r="I252" s="989"/>
      <c r="J252" s="989"/>
      <c r="K252" s="989"/>
      <c r="L252" s="989"/>
      <c r="M252" s="989"/>
      <c r="N252" s="989"/>
      <c r="O252" s="989"/>
      <c r="P252" s="989"/>
      <c r="Q252" s="989"/>
      <c r="R252" s="989"/>
      <c r="S252" s="989"/>
      <c r="T252" s="989"/>
      <c r="U252" s="989"/>
      <c r="V252" s="989"/>
      <c r="W252" s="989"/>
      <c r="X252" s="989"/>
      <c r="Y252" s="989"/>
      <c r="Z252" s="989"/>
      <c r="AA252" s="989"/>
      <c r="AB252" s="989"/>
      <c r="AC252" s="989"/>
      <c r="AD252" s="989"/>
      <c r="AE252" s="989"/>
    </row>
    <row r="253">
      <c r="A253" s="989"/>
      <c r="B253" s="989"/>
      <c r="C253" s="989"/>
      <c r="D253" s="989"/>
      <c r="E253" s="989"/>
      <c r="F253" s="989"/>
      <c r="G253" s="989"/>
      <c r="H253" s="992" t="str">
        <f t="shared" si="16"/>
        <v/>
      </c>
      <c r="I253" s="989"/>
      <c r="J253" s="989"/>
      <c r="K253" s="989"/>
      <c r="L253" s="989"/>
      <c r="M253" s="989"/>
      <c r="N253" s="989"/>
      <c r="O253" s="989"/>
      <c r="P253" s="989"/>
      <c r="Q253" s="989"/>
      <c r="R253" s="989"/>
      <c r="S253" s="989"/>
      <c r="T253" s="989"/>
      <c r="U253" s="989"/>
      <c r="V253" s="989"/>
      <c r="W253" s="989"/>
      <c r="X253" s="989"/>
      <c r="Y253" s="989"/>
      <c r="Z253" s="989"/>
      <c r="AA253" s="989"/>
      <c r="AB253" s="989"/>
      <c r="AC253" s="989"/>
      <c r="AD253" s="989"/>
      <c r="AE253" s="989"/>
    </row>
    <row r="254">
      <c r="A254" s="989"/>
      <c r="B254" s="989"/>
      <c r="C254" s="989"/>
      <c r="D254" s="989"/>
      <c r="E254" s="989"/>
      <c r="F254" s="989"/>
      <c r="G254" s="989"/>
      <c r="H254" s="992" t="str">
        <f t="shared" si="16"/>
        <v/>
      </c>
      <c r="I254" s="989"/>
      <c r="J254" s="989"/>
      <c r="K254" s="989"/>
      <c r="L254" s="989"/>
      <c r="M254" s="989"/>
      <c r="N254" s="989"/>
      <c r="O254" s="989"/>
      <c r="P254" s="989"/>
      <c r="Q254" s="989"/>
      <c r="R254" s="989"/>
      <c r="S254" s="989"/>
      <c r="T254" s="989"/>
      <c r="U254" s="989"/>
      <c r="V254" s="989"/>
      <c r="W254" s="989"/>
      <c r="X254" s="989"/>
      <c r="Y254" s="989"/>
      <c r="Z254" s="989"/>
      <c r="AA254" s="989"/>
      <c r="AB254" s="989"/>
      <c r="AC254" s="989"/>
      <c r="AD254" s="989"/>
      <c r="AE254" s="989"/>
    </row>
    <row r="255">
      <c r="A255" s="989"/>
      <c r="B255" s="989"/>
      <c r="C255" s="989"/>
      <c r="D255" s="989"/>
      <c r="E255" s="989"/>
      <c r="F255" s="989"/>
      <c r="G255" s="989"/>
      <c r="H255" s="992" t="str">
        <f t="shared" si="16"/>
        <v/>
      </c>
      <c r="I255" s="989"/>
      <c r="J255" s="989"/>
      <c r="K255" s="989"/>
      <c r="L255" s="989"/>
      <c r="M255" s="989"/>
      <c r="N255" s="989"/>
      <c r="O255" s="989"/>
      <c r="P255" s="989"/>
      <c r="Q255" s="989"/>
      <c r="R255" s="989"/>
      <c r="S255" s="989"/>
      <c r="T255" s="989"/>
      <c r="U255" s="989"/>
      <c r="V255" s="989"/>
      <c r="W255" s="989"/>
      <c r="X255" s="989"/>
      <c r="Y255" s="989"/>
      <c r="Z255" s="989"/>
      <c r="AA255" s="989"/>
      <c r="AB255" s="989"/>
      <c r="AC255" s="989"/>
      <c r="AD255" s="989"/>
      <c r="AE255" s="989"/>
    </row>
    <row r="256">
      <c r="A256" s="989"/>
      <c r="B256" s="989"/>
      <c r="C256" s="989"/>
      <c r="D256" s="989"/>
      <c r="E256" s="989"/>
      <c r="F256" s="989"/>
      <c r="G256" s="989"/>
      <c r="H256" s="992" t="str">
        <f t="shared" si="16"/>
        <v/>
      </c>
      <c r="I256" s="989"/>
      <c r="J256" s="989"/>
      <c r="K256" s="989"/>
      <c r="L256" s="989"/>
      <c r="M256" s="989"/>
      <c r="N256" s="989"/>
      <c r="O256" s="989"/>
      <c r="P256" s="989"/>
      <c r="Q256" s="989"/>
      <c r="R256" s="989"/>
      <c r="S256" s="989"/>
      <c r="T256" s="989"/>
      <c r="U256" s="989"/>
      <c r="V256" s="989"/>
      <c r="W256" s="989"/>
      <c r="X256" s="989"/>
      <c r="Y256" s="989"/>
      <c r="Z256" s="989"/>
      <c r="AA256" s="989"/>
      <c r="AB256" s="989"/>
      <c r="AC256" s="989"/>
      <c r="AD256" s="989"/>
      <c r="AE256" s="989"/>
    </row>
    <row r="257">
      <c r="A257" s="989"/>
      <c r="B257" s="989"/>
      <c r="C257" s="989"/>
      <c r="D257" s="989"/>
      <c r="E257" s="989"/>
      <c r="F257" s="989"/>
      <c r="G257" s="989"/>
      <c r="H257" s="992" t="str">
        <f t="shared" si="16"/>
        <v/>
      </c>
      <c r="I257" s="989"/>
      <c r="J257" s="989"/>
      <c r="K257" s="989"/>
      <c r="L257" s="989"/>
      <c r="M257" s="989"/>
      <c r="N257" s="989"/>
      <c r="O257" s="989"/>
      <c r="P257" s="989"/>
      <c r="Q257" s="989"/>
      <c r="R257" s="989"/>
      <c r="S257" s="989"/>
      <c r="T257" s="989"/>
      <c r="U257" s="989"/>
      <c r="V257" s="989"/>
      <c r="W257" s="989"/>
      <c r="X257" s="989"/>
      <c r="Y257" s="989"/>
      <c r="Z257" s="989"/>
      <c r="AA257" s="989"/>
      <c r="AB257" s="989"/>
      <c r="AC257" s="989"/>
      <c r="AD257" s="989"/>
      <c r="AE257" s="989"/>
    </row>
    <row r="258">
      <c r="A258" s="989"/>
      <c r="B258" s="989"/>
      <c r="C258" s="989"/>
      <c r="D258" s="989"/>
      <c r="E258" s="989"/>
      <c r="F258" s="989"/>
      <c r="G258" s="989"/>
      <c r="H258" s="992" t="str">
        <f t="shared" si="16"/>
        <v/>
      </c>
      <c r="I258" s="989"/>
      <c r="J258" s="989"/>
      <c r="K258" s="989"/>
      <c r="L258" s="989"/>
      <c r="M258" s="989"/>
      <c r="N258" s="989"/>
      <c r="O258" s="989"/>
      <c r="P258" s="989"/>
      <c r="Q258" s="989"/>
      <c r="R258" s="989"/>
      <c r="S258" s="989"/>
      <c r="T258" s="989"/>
      <c r="U258" s="989"/>
      <c r="V258" s="989"/>
      <c r="W258" s="989"/>
      <c r="X258" s="989"/>
      <c r="Y258" s="989"/>
      <c r="Z258" s="989"/>
      <c r="AA258" s="989"/>
      <c r="AB258" s="989"/>
      <c r="AC258" s="989"/>
      <c r="AD258" s="989"/>
      <c r="AE258" s="989"/>
    </row>
    <row r="259">
      <c r="A259" s="989"/>
      <c r="B259" s="989"/>
      <c r="C259" s="989"/>
      <c r="D259" s="989"/>
      <c r="E259" s="989"/>
      <c r="F259" s="989"/>
      <c r="G259" s="989"/>
      <c r="H259" s="992" t="str">
        <f t="shared" si="16"/>
        <v/>
      </c>
      <c r="I259" s="989"/>
      <c r="J259" s="989"/>
      <c r="K259" s="989"/>
      <c r="L259" s="989"/>
      <c r="M259" s="989"/>
      <c r="N259" s="989"/>
      <c r="O259" s="989"/>
      <c r="P259" s="989"/>
      <c r="Q259" s="989"/>
      <c r="R259" s="989"/>
      <c r="S259" s="989"/>
      <c r="T259" s="989"/>
      <c r="U259" s="989"/>
      <c r="V259" s="989"/>
      <c r="W259" s="989"/>
      <c r="X259" s="989"/>
      <c r="Y259" s="989"/>
      <c r="Z259" s="989"/>
      <c r="AA259" s="989"/>
      <c r="AB259" s="989"/>
      <c r="AC259" s="989"/>
      <c r="AD259" s="989"/>
      <c r="AE259" s="989"/>
    </row>
    <row r="260">
      <c r="A260" s="989"/>
      <c r="B260" s="989"/>
      <c r="C260" s="989"/>
      <c r="D260" s="989"/>
      <c r="E260" s="989"/>
      <c r="F260" s="989"/>
      <c r="G260" s="989"/>
      <c r="H260" s="992" t="str">
        <f t="shared" si="16"/>
        <v/>
      </c>
      <c r="I260" s="989"/>
      <c r="J260" s="989"/>
      <c r="K260" s="989"/>
      <c r="L260" s="989"/>
      <c r="M260" s="989"/>
      <c r="N260" s="989"/>
      <c r="O260" s="989"/>
      <c r="P260" s="989"/>
      <c r="Q260" s="989"/>
      <c r="R260" s="989"/>
      <c r="S260" s="989"/>
      <c r="T260" s="989"/>
      <c r="U260" s="989"/>
      <c r="V260" s="989"/>
      <c r="W260" s="989"/>
      <c r="X260" s="989"/>
      <c r="Y260" s="989"/>
      <c r="Z260" s="989"/>
      <c r="AA260" s="989"/>
      <c r="AB260" s="989"/>
      <c r="AC260" s="989"/>
      <c r="AD260" s="989"/>
      <c r="AE260" s="989"/>
    </row>
    <row r="261">
      <c r="A261" s="989"/>
      <c r="B261" s="989"/>
      <c r="C261" s="989"/>
      <c r="D261" s="989"/>
      <c r="E261" s="989"/>
      <c r="F261" s="989"/>
      <c r="G261" s="989"/>
      <c r="H261" s="992" t="str">
        <f t="shared" si="16"/>
        <v/>
      </c>
      <c r="I261" s="989"/>
      <c r="J261" s="989"/>
      <c r="K261" s="989"/>
      <c r="L261" s="989"/>
      <c r="M261" s="989"/>
      <c r="N261" s="989"/>
      <c r="O261" s="989"/>
      <c r="P261" s="989"/>
      <c r="Q261" s="989"/>
      <c r="R261" s="989"/>
      <c r="S261" s="989"/>
      <c r="T261" s="989"/>
      <c r="U261" s="989"/>
      <c r="V261" s="989"/>
      <c r="W261" s="989"/>
      <c r="X261" s="989"/>
      <c r="Y261" s="989"/>
      <c r="Z261" s="989"/>
      <c r="AA261" s="989"/>
      <c r="AB261" s="989"/>
      <c r="AC261" s="989"/>
      <c r="AD261" s="989"/>
      <c r="AE261" s="989"/>
    </row>
    <row r="262">
      <c r="A262" s="989"/>
      <c r="B262" s="989"/>
      <c r="C262" s="989"/>
      <c r="D262" s="989"/>
      <c r="E262" s="989"/>
      <c r="F262" s="989"/>
      <c r="G262" s="989"/>
      <c r="H262" s="992" t="str">
        <f t="shared" si="16"/>
        <v/>
      </c>
      <c r="I262" s="989"/>
      <c r="J262" s="989"/>
      <c r="K262" s="989"/>
      <c r="L262" s="989"/>
      <c r="M262" s="989"/>
      <c r="N262" s="989"/>
      <c r="O262" s="989"/>
      <c r="P262" s="989"/>
      <c r="Q262" s="989"/>
      <c r="R262" s="989"/>
      <c r="S262" s="989"/>
      <c r="T262" s="989"/>
      <c r="U262" s="989"/>
      <c r="V262" s="989"/>
      <c r="W262" s="989"/>
      <c r="X262" s="989"/>
      <c r="Y262" s="989"/>
      <c r="Z262" s="989"/>
      <c r="AA262" s="989"/>
      <c r="AB262" s="989"/>
      <c r="AC262" s="989"/>
      <c r="AD262" s="989"/>
      <c r="AE262" s="989"/>
    </row>
    <row r="263">
      <c r="A263" s="989"/>
      <c r="B263" s="989"/>
      <c r="C263" s="989"/>
      <c r="D263" s="989"/>
      <c r="E263" s="989"/>
      <c r="F263" s="989"/>
      <c r="G263" s="989"/>
      <c r="H263" s="992" t="str">
        <f t="shared" si="16"/>
        <v/>
      </c>
      <c r="I263" s="989"/>
      <c r="J263" s="989"/>
      <c r="K263" s="989"/>
      <c r="L263" s="989"/>
      <c r="M263" s="989"/>
      <c r="N263" s="989"/>
      <c r="O263" s="989"/>
      <c r="P263" s="989"/>
      <c r="Q263" s="989"/>
      <c r="R263" s="989"/>
      <c r="S263" s="989"/>
      <c r="T263" s="989"/>
      <c r="U263" s="989"/>
      <c r="V263" s="989"/>
      <c r="W263" s="989"/>
      <c r="X263" s="989"/>
      <c r="Y263" s="989"/>
      <c r="Z263" s="989"/>
      <c r="AA263" s="989"/>
      <c r="AB263" s="989"/>
      <c r="AC263" s="989"/>
      <c r="AD263" s="989"/>
      <c r="AE263" s="989"/>
    </row>
    <row r="264">
      <c r="A264" s="989"/>
      <c r="B264" s="989"/>
      <c r="C264" s="989"/>
      <c r="D264" s="989"/>
      <c r="E264" s="989"/>
      <c r="F264" s="989"/>
      <c r="G264" s="989"/>
      <c r="H264" s="992" t="str">
        <f t="shared" si="16"/>
        <v/>
      </c>
      <c r="I264" s="989"/>
      <c r="J264" s="989"/>
      <c r="K264" s="989"/>
      <c r="L264" s="989"/>
      <c r="M264" s="989"/>
      <c r="N264" s="989"/>
      <c r="O264" s="989"/>
      <c r="P264" s="989"/>
      <c r="Q264" s="989"/>
      <c r="R264" s="989"/>
      <c r="S264" s="989"/>
      <c r="T264" s="989"/>
      <c r="U264" s="989"/>
      <c r="V264" s="989"/>
      <c r="W264" s="989"/>
      <c r="X264" s="989"/>
      <c r="Y264" s="989"/>
      <c r="Z264" s="989"/>
      <c r="AA264" s="989"/>
      <c r="AB264" s="989"/>
      <c r="AC264" s="989"/>
      <c r="AD264" s="989"/>
      <c r="AE264" s="989"/>
    </row>
    <row r="265">
      <c r="A265" s="989"/>
      <c r="B265" s="989"/>
      <c r="C265" s="989"/>
      <c r="D265" s="989"/>
      <c r="E265" s="989"/>
      <c r="F265" s="989"/>
      <c r="G265" s="989"/>
      <c r="H265" s="992" t="str">
        <f t="shared" si="16"/>
        <v/>
      </c>
      <c r="I265" s="989"/>
      <c r="J265" s="989"/>
      <c r="K265" s="989"/>
      <c r="L265" s="989"/>
      <c r="M265" s="989"/>
      <c r="N265" s="989"/>
      <c r="O265" s="989"/>
      <c r="P265" s="989"/>
      <c r="Q265" s="989"/>
      <c r="R265" s="989"/>
      <c r="S265" s="989"/>
      <c r="T265" s="989"/>
      <c r="U265" s="989"/>
      <c r="V265" s="989"/>
      <c r="W265" s="989"/>
      <c r="X265" s="989"/>
      <c r="Y265" s="989"/>
      <c r="Z265" s="989"/>
      <c r="AA265" s="989"/>
      <c r="AB265" s="989"/>
      <c r="AC265" s="989"/>
      <c r="AD265" s="989"/>
      <c r="AE265" s="989"/>
    </row>
    <row r="266">
      <c r="A266" s="989"/>
      <c r="B266" s="989"/>
      <c r="C266" s="989"/>
      <c r="D266" s="989"/>
      <c r="E266" s="989"/>
      <c r="F266" s="989"/>
      <c r="G266" s="989"/>
      <c r="H266" s="992" t="str">
        <f t="shared" si="16"/>
        <v/>
      </c>
      <c r="I266" s="989"/>
      <c r="J266" s="989"/>
      <c r="K266" s="989"/>
      <c r="L266" s="989"/>
      <c r="M266" s="989"/>
      <c r="N266" s="989"/>
      <c r="O266" s="989"/>
      <c r="P266" s="989"/>
      <c r="Q266" s="989"/>
      <c r="R266" s="989"/>
      <c r="S266" s="989"/>
      <c r="T266" s="989"/>
      <c r="U266" s="989"/>
      <c r="V266" s="989"/>
      <c r="W266" s="989"/>
      <c r="X266" s="989"/>
      <c r="Y266" s="989"/>
      <c r="Z266" s="989"/>
      <c r="AA266" s="989"/>
      <c r="AB266" s="989"/>
      <c r="AC266" s="989"/>
      <c r="AD266" s="989"/>
      <c r="AE266" s="989"/>
    </row>
    <row r="267">
      <c r="A267" s="989"/>
      <c r="B267" s="989"/>
      <c r="C267" s="989"/>
      <c r="D267" s="989"/>
      <c r="E267" s="989"/>
      <c r="F267" s="989"/>
      <c r="G267" s="989"/>
      <c r="H267" s="992" t="str">
        <f t="shared" si="16"/>
        <v/>
      </c>
      <c r="I267" s="989"/>
      <c r="J267" s="989"/>
      <c r="K267" s="989"/>
      <c r="L267" s="989"/>
      <c r="M267" s="989"/>
      <c r="N267" s="989"/>
      <c r="O267" s="989"/>
      <c r="P267" s="989"/>
      <c r="Q267" s="989"/>
      <c r="R267" s="989"/>
      <c r="S267" s="989"/>
      <c r="T267" s="989"/>
      <c r="U267" s="989"/>
      <c r="V267" s="989"/>
      <c r="W267" s="989"/>
      <c r="X267" s="989"/>
      <c r="Y267" s="989"/>
      <c r="Z267" s="989"/>
      <c r="AA267" s="989"/>
      <c r="AB267" s="989"/>
      <c r="AC267" s="989"/>
      <c r="AD267" s="989"/>
      <c r="AE267" s="989"/>
    </row>
    <row r="268">
      <c r="A268" s="989"/>
      <c r="B268" s="989"/>
      <c r="C268" s="989"/>
      <c r="D268" s="989"/>
      <c r="E268" s="989"/>
      <c r="F268" s="989"/>
      <c r="G268" s="989"/>
      <c r="H268" s="992" t="str">
        <f t="shared" si="16"/>
        <v/>
      </c>
      <c r="I268" s="989"/>
      <c r="J268" s="989"/>
      <c r="K268" s="989"/>
      <c r="L268" s="989"/>
      <c r="M268" s="989"/>
      <c r="N268" s="989"/>
      <c r="O268" s="989"/>
      <c r="P268" s="989"/>
      <c r="Q268" s="989"/>
      <c r="R268" s="989"/>
      <c r="S268" s="989"/>
      <c r="T268" s="989"/>
      <c r="U268" s="989"/>
      <c r="V268" s="989"/>
      <c r="W268" s="989"/>
      <c r="X268" s="989"/>
      <c r="Y268" s="989"/>
      <c r="Z268" s="989"/>
      <c r="AA268" s="989"/>
      <c r="AB268" s="989"/>
      <c r="AC268" s="989"/>
      <c r="AD268" s="989"/>
      <c r="AE268" s="989"/>
    </row>
    <row r="269">
      <c r="A269" s="989"/>
      <c r="B269" s="989"/>
      <c r="C269" s="989"/>
      <c r="D269" s="989"/>
      <c r="E269" s="989"/>
      <c r="F269" s="989"/>
      <c r="G269" s="989"/>
      <c r="H269" s="992" t="str">
        <f t="shared" si="16"/>
        <v/>
      </c>
      <c r="I269" s="989"/>
      <c r="J269" s="989"/>
      <c r="K269" s="989"/>
      <c r="L269" s="989"/>
      <c r="M269" s="989"/>
      <c r="N269" s="989"/>
      <c r="O269" s="989"/>
      <c r="P269" s="989"/>
      <c r="Q269" s="989"/>
      <c r="R269" s="989"/>
      <c r="S269" s="989"/>
      <c r="T269" s="989"/>
      <c r="U269" s="989"/>
      <c r="V269" s="989"/>
      <c r="W269" s="989"/>
      <c r="X269" s="989"/>
      <c r="Y269" s="989"/>
      <c r="Z269" s="989"/>
      <c r="AA269" s="989"/>
      <c r="AB269" s="989"/>
      <c r="AC269" s="989"/>
      <c r="AD269" s="989"/>
      <c r="AE269" s="989"/>
    </row>
    <row r="270">
      <c r="A270" s="989"/>
      <c r="B270" s="989"/>
      <c r="C270" s="989"/>
      <c r="D270" s="989"/>
      <c r="E270" s="989"/>
      <c r="F270" s="989"/>
      <c r="G270" s="989"/>
      <c r="H270" s="992" t="str">
        <f t="shared" si="16"/>
        <v/>
      </c>
      <c r="I270" s="989"/>
      <c r="J270" s="989"/>
      <c r="K270" s="989"/>
      <c r="L270" s="989"/>
      <c r="M270" s="989"/>
      <c r="N270" s="989"/>
      <c r="O270" s="989"/>
      <c r="P270" s="989"/>
      <c r="Q270" s="989"/>
      <c r="R270" s="989"/>
      <c r="S270" s="989"/>
      <c r="T270" s="989"/>
      <c r="U270" s="989"/>
      <c r="V270" s="989"/>
      <c r="W270" s="989"/>
      <c r="X270" s="989"/>
      <c r="Y270" s="989"/>
      <c r="Z270" s="989"/>
      <c r="AA270" s="989"/>
      <c r="AB270" s="989"/>
      <c r="AC270" s="989"/>
      <c r="AD270" s="989"/>
      <c r="AE270" s="989"/>
    </row>
    <row r="271">
      <c r="A271" s="989"/>
      <c r="B271" s="989"/>
      <c r="C271" s="989"/>
      <c r="D271" s="989"/>
      <c r="E271" s="989"/>
      <c r="F271" s="989"/>
      <c r="G271" s="989"/>
      <c r="H271" s="992" t="str">
        <f t="shared" si="16"/>
        <v/>
      </c>
      <c r="I271" s="989"/>
      <c r="J271" s="989"/>
      <c r="K271" s="989"/>
      <c r="L271" s="989"/>
      <c r="M271" s="989"/>
      <c r="N271" s="989"/>
      <c r="O271" s="989"/>
      <c r="P271" s="989"/>
      <c r="Q271" s="989"/>
      <c r="R271" s="989"/>
      <c r="S271" s="989"/>
      <c r="T271" s="989"/>
      <c r="U271" s="989"/>
      <c r="V271" s="989"/>
      <c r="W271" s="989"/>
      <c r="X271" s="989"/>
      <c r="Y271" s="989"/>
      <c r="Z271" s="989"/>
      <c r="AA271" s="989"/>
      <c r="AB271" s="989"/>
      <c r="AC271" s="989"/>
      <c r="AD271" s="989"/>
      <c r="AE271" s="989"/>
    </row>
    <row r="272">
      <c r="A272" s="989"/>
      <c r="B272" s="989"/>
      <c r="C272" s="989"/>
      <c r="D272" s="989"/>
      <c r="E272" s="989"/>
      <c r="F272" s="989"/>
      <c r="G272" s="989"/>
      <c r="H272" s="992" t="str">
        <f t="shared" si="16"/>
        <v/>
      </c>
      <c r="I272" s="989"/>
      <c r="J272" s="989"/>
      <c r="K272" s="989"/>
      <c r="L272" s="989"/>
      <c r="M272" s="989"/>
      <c r="N272" s="989"/>
      <c r="O272" s="989"/>
      <c r="P272" s="989"/>
      <c r="Q272" s="989"/>
      <c r="R272" s="989"/>
      <c r="S272" s="989"/>
      <c r="T272" s="989"/>
      <c r="U272" s="989"/>
      <c r="V272" s="989"/>
      <c r="W272" s="989"/>
      <c r="X272" s="989"/>
      <c r="Y272" s="989"/>
      <c r="Z272" s="989"/>
      <c r="AA272" s="989"/>
      <c r="AB272" s="989"/>
      <c r="AC272" s="989"/>
      <c r="AD272" s="989"/>
      <c r="AE272" s="989"/>
    </row>
    <row r="273">
      <c r="A273" s="989"/>
      <c r="B273" s="989"/>
      <c r="C273" s="989"/>
      <c r="D273" s="989"/>
      <c r="E273" s="989"/>
      <c r="F273" s="989"/>
      <c r="G273" s="989"/>
      <c r="H273" s="992" t="str">
        <f t="shared" si="16"/>
        <v/>
      </c>
      <c r="I273" s="989"/>
      <c r="J273" s="989"/>
      <c r="K273" s="989"/>
      <c r="L273" s="989"/>
      <c r="M273" s="989"/>
      <c r="N273" s="989"/>
      <c r="O273" s="989"/>
      <c r="P273" s="989"/>
      <c r="Q273" s="989"/>
      <c r="R273" s="989"/>
      <c r="S273" s="989"/>
      <c r="T273" s="989"/>
      <c r="U273" s="989"/>
      <c r="V273" s="989"/>
      <c r="W273" s="989"/>
      <c r="X273" s="989"/>
      <c r="Y273" s="989"/>
      <c r="Z273" s="989"/>
      <c r="AA273" s="989"/>
      <c r="AB273" s="989"/>
      <c r="AC273" s="989"/>
      <c r="AD273" s="989"/>
      <c r="AE273" s="989"/>
    </row>
    <row r="274">
      <c r="A274" s="989"/>
      <c r="B274" s="989"/>
      <c r="C274" s="989"/>
      <c r="D274" s="989"/>
      <c r="E274" s="989"/>
      <c r="F274" s="989"/>
      <c r="G274" s="989"/>
      <c r="H274" s="992" t="str">
        <f t="shared" si="16"/>
        <v/>
      </c>
      <c r="I274" s="989"/>
      <c r="J274" s="989"/>
      <c r="K274" s="989"/>
      <c r="L274" s="989"/>
      <c r="M274" s="989"/>
      <c r="N274" s="989"/>
      <c r="O274" s="989"/>
      <c r="P274" s="989"/>
      <c r="Q274" s="989"/>
      <c r="R274" s="989"/>
      <c r="S274" s="989"/>
      <c r="T274" s="989"/>
      <c r="U274" s="989"/>
      <c r="V274" s="989"/>
      <c r="W274" s="989"/>
      <c r="X274" s="989"/>
      <c r="Y274" s="989"/>
      <c r="Z274" s="989"/>
      <c r="AA274" s="989"/>
      <c r="AB274" s="989"/>
      <c r="AC274" s="989"/>
      <c r="AD274" s="989"/>
      <c r="AE274" s="989"/>
    </row>
    <row r="275">
      <c r="A275" s="989"/>
      <c r="B275" s="989"/>
      <c r="C275" s="989"/>
      <c r="D275" s="989"/>
      <c r="E275" s="989"/>
      <c r="F275" s="989"/>
      <c r="G275" s="989"/>
      <c r="H275" s="992" t="str">
        <f t="shared" si="16"/>
        <v/>
      </c>
      <c r="I275" s="989"/>
      <c r="J275" s="989"/>
      <c r="K275" s="989"/>
      <c r="L275" s="989"/>
      <c r="M275" s="989"/>
      <c r="N275" s="989"/>
      <c r="O275" s="989"/>
      <c r="P275" s="989"/>
      <c r="Q275" s="989"/>
      <c r="R275" s="989"/>
      <c r="S275" s="989"/>
      <c r="T275" s="989"/>
      <c r="U275" s="989"/>
      <c r="V275" s="989"/>
      <c r="W275" s="989"/>
      <c r="X275" s="989"/>
      <c r="Y275" s="989"/>
      <c r="Z275" s="989"/>
      <c r="AA275" s="989"/>
      <c r="AB275" s="989"/>
      <c r="AC275" s="989"/>
      <c r="AD275" s="989"/>
      <c r="AE275" s="989"/>
    </row>
    <row r="276">
      <c r="A276" s="989"/>
      <c r="B276" s="989"/>
      <c r="C276" s="989"/>
      <c r="D276" s="989"/>
      <c r="E276" s="989"/>
      <c r="F276" s="989"/>
      <c r="G276" s="989"/>
      <c r="H276" s="992" t="str">
        <f t="shared" si="16"/>
        <v/>
      </c>
      <c r="I276" s="989"/>
      <c r="J276" s="989"/>
      <c r="K276" s="989"/>
      <c r="L276" s="989"/>
      <c r="M276" s="989"/>
      <c r="N276" s="989"/>
      <c r="O276" s="989"/>
      <c r="P276" s="989"/>
      <c r="Q276" s="989"/>
      <c r="R276" s="989"/>
      <c r="S276" s="989"/>
      <c r="T276" s="989"/>
      <c r="U276" s="989"/>
      <c r="V276" s="989"/>
      <c r="W276" s="989"/>
      <c r="X276" s="989"/>
      <c r="Y276" s="989"/>
      <c r="Z276" s="989"/>
      <c r="AA276" s="989"/>
      <c r="AB276" s="989"/>
      <c r="AC276" s="989"/>
      <c r="AD276" s="989"/>
      <c r="AE276" s="989"/>
    </row>
    <row r="277">
      <c r="A277" s="989"/>
      <c r="B277" s="989"/>
      <c r="C277" s="989"/>
      <c r="D277" s="989"/>
      <c r="E277" s="989"/>
      <c r="F277" s="989"/>
      <c r="G277" s="989"/>
      <c r="H277" s="992" t="str">
        <f t="shared" si="16"/>
        <v/>
      </c>
      <c r="I277" s="989"/>
      <c r="J277" s="989"/>
      <c r="K277" s="989"/>
      <c r="L277" s="989"/>
      <c r="M277" s="989"/>
      <c r="N277" s="989"/>
      <c r="O277" s="989"/>
      <c r="P277" s="989"/>
      <c r="Q277" s="989"/>
      <c r="R277" s="989"/>
      <c r="S277" s="989"/>
      <c r="T277" s="989"/>
      <c r="U277" s="989"/>
      <c r="V277" s="989"/>
      <c r="W277" s="989"/>
      <c r="X277" s="989"/>
      <c r="Y277" s="989"/>
      <c r="Z277" s="989"/>
      <c r="AA277" s="989"/>
      <c r="AB277" s="989"/>
      <c r="AC277" s="989"/>
      <c r="AD277" s="989"/>
      <c r="AE277" s="989"/>
    </row>
    <row r="278">
      <c r="A278" s="989"/>
      <c r="B278" s="989"/>
      <c r="C278" s="989"/>
      <c r="D278" s="989"/>
      <c r="E278" s="989"/>
      <c r="F278" s="989"/>
      <c r="G278" s="989"/>
      <c r="H278" s="992" t="str">
        <f t="shared" si="16"/>
        <v/>
      </c>
      <c r="I278" s="989"/>
      <c r="J278" s="989"/>
      <c r="K278" s="989"/>
      <c r="L278" s="989"/>
      <c r="M278" s="989"/>
      <c r="N278" s="989"/>
      <c r="O278" s="989"/>
      <c r="P278" s="989"/>
      <c r="Q278" s="989"/>
      <c r="R278" s="989"/>
      <c r="S278" s="989"/>
      <c r="T278" s="989"/>
      <c r="U278" s="989"/>
      <c r="V278" s="989"/>
      <c r="W278" s="989"/>
      <c r="X278" s="989"/>
      <c r="Y278" s="989"/>
      <c r="Z278" s="989"/>
      <c r="AA278" s="989"/>
      <c r="AB278" s="989"/>
      <c r="AC278" s="989"/>
      <c r="AD278" s="989"/>
      <c r="AE278" s="989"/>
    </row>
    <row r="279">
      <c r="A279" s="989"/>
      <c r="B279" s="989"/>
      <c r="C279" s="989"/>
      <c r="D279" s="989"/>
      <c r="E279" s="989"/>
      <c r="F279" s="989"/>
      <c r="G279" s="989"/>
      <c r="H279" s="992" t="str">
        <f t="shared" si="16"/>
        <v/>
      </c>
      <c r="I279" s="989"/>
      <c r="J279" s="989"/>
      <c r="K279" s="989"/>
      <c r="L279" s="989"/>
      <c r="M279" s="989"/>
      <c r="N279" s="989"/>
      <c r="O279" s="989"/>
      <c r="P279" s="989"/>
      <c r="Q279" s="989"/>
      <c r="R279" s="989"/>
      <c r="S279" s="989"/>
      <c r="T279" s="989"/>
      <c r="U279" s="989"/>
      <c r="V279" s="989"/>
      <c r="W279" s="989"/>
      <c r="X279" s="989"/>
      <c r="Y279" s="989"/>
      <c r="Z279" s="989"/>
      <c r="AA279" s="989"/>
      <c r="AB279" s="989"/>
      <c r="AC279" s="989"/>
      <c r="AD279" s="989"/>
      <c r="AE279" s="989"/>
    </row>
    <row r="280">
      <c r="A280" s="989"/>
      <c r="B280" s="989"/>
      <c r="C280" s="989"/>
      <c r="D280" s="989"/>
      <c r="E280" s="989"/>
      <c r="F280" s="989"/>
      <c r="G280" s="989"/>
      <c r="H280" s="992" t="str">
        <f t="shared" si="16"/>
        <v/>
      </c>
      <c r="I280" s="989"/>
      <c r="J280" s="989"/>
      <c r="K280" s="989"/>
      <c r="L280" s="989"/>
      <c r="M280" s="989"/>
      <c r="N280" s="989"/>
      <c r="O280" s="989"/>
      <c r="P280" s="989"/>
      <c r="Q280" s="989"/>
      <c r="R280" s="989"/>
      <c r="S280" s="989"/>
      <c r="T280" s="989"/>
      <c r="U280" s="989"/>
      <c r="V280" s="989"/>
      <c r="W280" s="989"/>
      <c r="X280" s="989"/>
      <c r="Y280" s="989"/>
      <c r="Z280" s="989"/>
      <c r="AA280" s="989"/>
      <c r="AB280" s="989"/>
      <c r="AC280" s="989"/>
      <c r="AD280" s="989"/>
      <c r="AE280" s="989"/>
    </row>
    <row r="281">
      <c r="A281" s="989"/>
      <c r="B281" s="989"/>
      <c r="C281" s="989"/>
      <c r="D281" s="989"/>
      <c r="E281" s="989"/>
      <c r="F281" s="989"/>
      <c r="G281" s="989"/>
      <c r="H281" s="992" t="str">
        <f t="shared" si="16"/>
        <v/>
      </c>
      <c r="I281" s="989"/>
      <c r="J281" s="989"/>
      <c r="K281" s="989"/>
      <c r="L281" s="989"/>
      <c r="M281" s="989"/>
      <c r="N281" s="989"/>
      <c r="O281" s="989"/>
      <c r="P281" s="989"/>
      <c r="Q281" s="989"/>
      <c r="R281" s="989"/>
      <c r="S281" s="989"/>
      <c r="T281" s="989"/>
      <c r="U281" s="989"/>
      <c r="V281" s="989"/>
      <c r="W281" s="989"/>
      <c r="X281" s="989"/>
      <c r="Y281" s="989"/>
      <c r="Z281" s="989"/>
      <c r="AA281" s="989"/>
      <c r="AB281" s="989"/>
      <c r="AC281" s="989"/>
      <c r="AD281" s="989"/>
      <c r="AE281" s="989"/>
    </row>
    <row r="282">
      <c r="A282" s="989"/>
      <c r="B282" s="989"/>
      <c r="C282" s="989"/>
      <c r="D282" s="989"/>
      <c r="E282" s="989"/>
      <c r="F282" s="989"/>
      <c r="G282" s="989"/>
      <c r="H282" s="992" t="str">
        <f t="shared" si="16"/>
        <v/>
      </c>
      <c r="I282" s="989"/>
      <c r="J282" s="989"/>
      <c r="K282" s="989"/>
      <c r="L282" s="989"/>
      <c r="M282" s="989"/>
      <c r="N282" s="989"/>
      <c r="O282" s="989"/>
      <c r="P282" s="989"/>
      <c r="Q282" s="989"/>
      <c r="R282" s="989"/>
      <c r="S282" s="989"/>
      <c r="T282" s="989"/>
      <c r="U282" s="989"/>
      <c r="V282" s="989"/>
      <c r="W282" s="989"/>
      <c r="X282" s="989"/>
      <c r="Y282" s="989"/>
      <c r="Z282" s="989"/>
      <c r="AA282" s="989"/>
      <c r="AB282" s="989"/>
      <c r="AC282" s="989"/>
      <c r="AD282" s="989"/>
      <c r="AE282" s="989"/>
    </row>
    <row r="283">
      <c r="A283" s="989"/>
      <c r="B283" s="989"/>
      <c r="C283" s="989"/>
      <c r="D283" s="989"/>
      <c r="E283" s="989"/>
      <c r="F283" s="989"/>
      <c r="G283" s="989"/>
      <c r="H283" s="992" t="str">
        <f t="shared" si="16"/>
        <v/>
      </c>
      <c r="I283" s="989"/>
      <c r="J283" s="989"/>
      <c r="K283" s="989"/>
      <c r="L283" s="989"/>
      <c r="M283" s="989"/>
      <c r="N283" s="989"/>
      <c r="O283" s="989"/>
      <c r="P283" s="989"/>
      <c r="Q283" s="989"/>
      <c r="R283" s="989"/>
      <c r="S283" s="989"/>
      <c r="T283" s="989"/>
      <c r="U283" s="989"/>
      <c r="V283" s="989"/>
      <c r="W283" s="989"/>
      <c r="X283" s="989"/>
      <c r="Y283" s="989"/>
      <c r="Z283" s="989"/>
      <c r="AA283" s="989"/>
      <c r="AB283" s="989"/>
      <c r="AC283" s="989"/>
      <c r="AD283" s="989"/>
      <c r="AE283" s="989"/>
    </row>
    <row r="284">
      <c r="A284" s="989"/>
      <c r="B284" s="989"/>
      <c r="C284" s="989"/>
      <c r="D284" s="989"/>
      <c r="E284" s="989"/>
      <c r="F284" s="989"/>
      <c r="G284" s="989"/>
      <c r="H284" s="992" t="str">
        <f t="shared" si="16"/>
        <v/>
      </c>
      <c r="I284" s="989"/>
      <c r="J284" s="989"/>
      <c r="K284" s="989"/>
      <c r="L284" s="989"/>
      <c r="M284" s="989"/>
      <c r="N284" s="989"/>
      <c r="O284" s="989"/>
      <c r="P284" s="989"/>
      <c r="Q284" s="989"/>
      <c r="R284" s="989"/>
      <c r="S284" s="989"/>
      <c r="T284" s="989"/>
      <c r="U284" s="989"/>
      <c r="V284" s="989"/>
      <c r="W284" s="989"/>
      <c r="X284" s="989"/>
      <c r="Y284" s="989"/>
      <c r="Z284" s="989"/>
      <c r="AA284" s="989"/>
      <c r="AB284" s="989"/>
      <c r="AC284" s="989"/>
      <c r="AD284" s="989"/>
      <c r="AE284" s="989"/>
    </row>
    <row r="285">
      <c r="A285" s="989"/>
      <c r="B285" s="989"/>
      <c r="C285" s="989"/>
      <c r="D285" s="989"/>
      <c r="E285" s="989"/>
      <c r="F285" s="989"/>
      <c r="G285" s="989"/>
      <c r="H285" s="992" t="str">
        <f t="shared" si="16"/>
        <v/>
      </c>
      <c r="I285" s="989"/>
      <c r="J285" s="989"/>
      <c r="K285" s="989"/>
      <c r="L285" s="989"/>
      <c r="M285" s="989"/>
      <c r="N285" s="989"/>
      <c r="O285" s="989"/>
      <c r="P285" s="989"/>
      <c r="Q285" s="989"/>
      <c r="R285" s="989"/>
      <c r="S285" s="989"/>
      <c r="T285" s="989"/>
      <c r="U285" s="989"/>
      <c r="V285" s="989"/>
      <c r="W285" s="989"/>
      <c r="X285" s="989"/>
      <c r="Y285" s="989"/>
      <c r="Z285" s="989"/>
      <c r="AA285" s="989"/>
      <c r="AB285" s="989"/>
      <c r="AC285" s="989"/>
      <c r="AD285" s="989"/>
      <c r="AE285" s="989"/>
    </row>
    <row r="286">
      <c r="A286" s="989"/>
      <c r="B286" s="989"/>
      <c r="C286" s="989"/>
      <c r="D286" s="989"/>
      <c r="E286" s="989"/>
      <c r="F286" s="989"/>
      <c r="G286" s="989"/>
      <c r="H286" s="992" t="str">
        <f t="shared" si="16"/>
        <v/>
      </c>
      <c r="I286" s="989"/>
      <c r="J286" s="989"/>
      <c r="K286" s="989"/>
      <c r="L286" s="989"/>
      <c r="M286" s="989"/>
      <c r="N286" s="989"/>
      <c r="O286" s="989"/>
      <c r="P286" s="989"/>
      <c r="Q286" s="989"/>
      <c r="R286" s="989"/>
      <c r="S286" s="989"/>
      <c r="T286" s="989"/>
      <c r="U286" s="989"/>
      <c r="V286" s="989"/>
      <c r="W286" s="989"/>
      <c r="X286" s="989"/>
      <c r="Y286" s="989"/>
      <c r="Z286" s="989"/>
      <c r="AA286" s="989"/>
      <c r="AB286" s="989"/>
      <c r="AC286" s="989"/>
      <c r="AD286" s="989"/>
      <c r="AE286" s="989"/>
    </row>
    <row r="287">
      <c r="A287" s="989"/>
      <c r="B287" s="989"/>
      <c r="C287" s="989"/>
      <c r="D287" s="989"/>
      <c r="E287" s="989"/>
      <c r="F287" s="989"/>
      <c r="G287" s="989"/>
      <c r="H287" s="992" t="str">
        <f t="shared" si="16"/>
        <v/>
      </c>
      <c r="I287" s="989"/>
      <c r="J287" s="989"/>
      <c r="K287" s="989"/>
      <c r="L287" s="989"/>
      <c r="M287" s="989"/>
      <c r="N287" s="989"/>
      <c r="O287" s="989"/>
      <c r="P287" s="989"/>
      <c r="Q287" s="989"/>
      <c r="R287" s="989"/>
      <c r="S287" s="989"/>
      <c r="T287" s="989"/>
      <c r="U287" s="989"/>
      <c r="V287" s="989"/>
      <c r="W287" s="989"/>
      <c r="X287" s="989"/>
      <c r="Y287" s="989"/>
      <c r="Z287" s="989"/>
      <c r="AA287" s="989"/>
      <c r="AB287" s="989"/>
      <c r="AC287" s="989"/>
      <c r="AD287" s="989"/>
      <c r="AE287" s="989"/>
    </row>
    <row r="288">
      <c r="A288" s="989"/>
      <c r="B288" s="989"/>
      <c r="C288" s="989"/>
      <c r="D288" s="989"/>
      <c r="E288" s="989"/>
      <c r="F288" s="989"/>
      <c r="G288" s="989"/>
      <c r="H288" s="992" t="str">
        <f t="shared" si="16"/>
        <v/>
      </c>
      <c r="I288" s="989"/>
      <c r="J288" s="989"/>
      <c r="K288" s="989"/>
      <c r="L288" s="989"/>
      <c r="M288" s="989"/>
      <c r="N288" s="989"/>
      <c r="O288" s="989"/>
      <c r="P288" s="989"/>
      <c r="Q288" s="989"/>
      <c r="R288" s="989"/>
      <c r="S288" s="989"/>
      <c r="T288" s="989"/>
      <c r="U288" s="989"/>
      <c r="V288" s="989"/>
      <c r="W288" s="989"/>
      <c r="X288" s="989"/>
      <c r="Y288" s="989"/>
      <c r="Z288" s="989"/>
      <c r="AA288" s="989"/>
      <c r="AB288" s="989"/>
      <c r="AC288" s="989"/>
      <c r="AD288" s="989"/>
      <c r="AE288" s="989"/>
    </row>
    <row r="289">
      <c r="A289" s="989"/>
      <c r="B289" s="989"/>
      <c r="C289" s="989"/>
      <c r="D289" s="989"/>
      <c r="E289" s="989"/>
      <c r="F289" s="989"/>
      <c r="G289" s="989"/>
      <c r="H289" s="992" t="str">
        <f t="shared" si="16"/>
        <v/>
      </c>
      <c r="I289" s="989"/>
      <c r="J289" s="989"/>
      <c r="K289" s="989"/>
      <c r="L289" s="989"/>
      <c r="M289" s="989"/>
      <c r="N289" s="989"/>
      <c r="O289" s="989"/>
      <c r="P289" s="989"/>
      <c r="Q289" s="989"/>
      <c r="R289" s="989"/>
      <c r="S289" s="989"/>
      <c r="T289" s="989"/>
      <c r="U289" s="989"/>
      <c r="V289" s="989"/>
      <c r="W289" s="989"/>
      <c r="X289" s="989"/>
      <c r="Y289" s="989"/>
      <c r="Z289" s="989"/>
      <c r="AA289" s="989"/>
      <c r="AB289" s="989"/>
      <c r="AC289" s="989"/>
      <c r="AD289" s="989"/>
      <c r="AE289" s="989"/>
    </row>
    <row r="290">
      <c r="A290" s="989"/>
      <c r="B290" s="989"/>
      <c r="C290" s="989"/>
      <c r="D290" s="989"/>
      <c r="E290" s="989"/>
      <c r="F290" s="989"/>
      <c r="G290" s="989"/>
      <c r="H290" s="992" t="str">
        <f t="shared" si="16"/>
        <v/>
      </c>
      <c r="I290" s="989"/>
      <c r="J290" s="989"/>
      <c r="K290" s="989"/>
      <c r="L290" s="989"/>
      <c r="M290" s="989"/>
      <c r="N290" s="989"/>
      <c r="O290" s="989"/>
      <c r="P290" s="989"/>
      <c r="Q290" s="989"/>
      <c r="R290" s="989"/>
      <c r="S290" s="989"/>
      <c r="T290" s="989"/>
      <c r="U290" s="989"/>
      <c r="V290" s="989"/>
      <c r="W290" s="989"/>
      <c r="X290" s="989"/>
      <c r="Y290" s="989"/>
      <c r="Z290" s="989"/>
      <c r="AA290" s="989"/>
      <c r="AB290" s="989"/>
      <c r="AC290" s="989"/>
      <c r="AD290" s="989"/>
      <c r="AE290" s="989"/>
    </row>
    <row r="291">
      <c r="A291" s="989"/>
      <c r="B291" s="989"/>
      <c r="C291" s="989"/>
      <c r="D291" s="989"/>
      <c r="E291" s="989"/>
      <c r="F291" s="989"/>
      <c r="G291" s="989"/>
      <c r="H291" s="992" t="str">
        <f t="shared" si="16"/>
        <v/>
      </c>
      <c r="I291" s="989"/>
      <c r="J291" s="989"/>
      <c r="K291" s="989"/>
      <c r="L291" s="989"/>
      <c r="M291" s="989"/>
      <c r="N291" s="989"/>
      <c r="O291" s="989"/>
      <c r="P291" s="989"/>
      <c r="Q291" s="989"/>
      <c r="R291" s="989"/>
      <c r="S291" s="989"/>
      <c r="T291" s="989"/>
      <c r="U291" s="989"/>
      <c r="V291" s="989"/>
      <c r="W291" s="989"/>
      <c r="X291" s="989"/>
      <c r="Y291" s="989"/>
      <c r="Z291" s="989"/>
      <c r="AA291" s="989"/>
      <c r="AB291" s="989"/>
      <c r="AC291" s="989"/>
      <c r="AD291" s="989"/>
      <c r="AE291" s="989"/>
    </row>
    <row r="292">
      <c r="A292" s="989"/>
      <c r="B292" s="989"/>
      <c r="C292" s="989"/>
      <c r="D292" s="989"/>
      <c r="E292" s="989"/>
      <c r="F292" s="989"/>
      <c r="G292" s="989"/>
      <c r="H292" s="992" t="str">
        <f t="shared" si="16"/>
        <v/>
      </c>
      <c r="I292" s="989"/>
      <c r="J292" s="989"/>
      <c r="K292" s="989"/>
      <c r="L292" s="989"/>
      <c r="M292" s="989"/>
      <c r="N292" s="989"/>
      <c r="O292" s="989"/>
      <c r="P292" s="989"/>
      <c r="Q292" s="989"/>
      <c r="R292" s="989"/>
      <c r="S292" s="989"/>
      <c r="T292" s="989"/>
      <c r="U292" s="989"/>
      <c r="V292" s="989"/>
      <c r="W292" s="989"/>
      <c r="X292" s="989"/>
      <c r="Y292" s="989"/>
      <c r="Z292" s="989"/>
      <c r="AA292" s="989"/>
      <c r="AB292" s="989"/>
      <c r="AC292" s="989"/>
      <c r="AD292" s="989"/>
      <c r="AE292" s="989"/>
    </row>
    <row r="293">
      <c r="A293" s="989"/>
      <c r="B293" s="989"/>
      <c r="C293" s="989"/>
      <c r="D293" s="989"/>
      <c r="E293" s="989"/>
      <c r="F293" s="989"/>
      <c r="G293" s="989"/>
      <c r="H293" s="992" t="str">
        <f t="shared" si="16"/>
        <v/>
      </c>
      <c r="I293" s="989"/>
      <c r="J293" s="989"/>
      <c r="K293" s="989"/>
      <c r="L293" s="989"/>
      <c r="M293" s="989"/>
      <c r="N293" s="989"/>
      <c r="O293" s="989"/>
      <c r="P293" s="989"/>
      <c r="Q293" s="989"/>
      <c r="R293" s="989"/>
      <c r="S293" s="989"/>
      <c r="T293" s="989"/>
      <c r="U293" s="989"/>
      <c r="V293" s="989"/>
      <c r="W293" s="989"/>
      <c r="X293" s="989"/>
      <c r="Y293" s="989"/>
      <c r="Z293" s="989"/>
      <c r="AA293" s="989"/>
      <c r="AB293" s="989"/>
      <c r="AC293" s="989"/>
      <c r="AD293" s="989"/>
      <c r="AE293" s="989"/>
    </row>
    <row r="294">
      <c r="A294" s="989"/>
      <c r="B294" s="989"/>
      <c r="C294" s="989"/>
      <c r="D294" s="989"/>
      <c r="E294" s="989"/>
      <c r="F294" s="989"/>
      <c r="G294" s="989"/>
      <c r="H294" s="992" t="str">
        <f t="shared" si="16"/>
        <v/>
      </c>
      <c r="I294" s="989"/>
      <c r="J294" s="989"/>
      <c r="K294" s="989"/>
      <c r="L294" s="989"/>
      <c r="M294" s="989"/>
      <c r="N294" s="989"/>
      <c r="O294" s="989"/>
      <c r="P294" s="989"/>
      <c r="Q294" s="989"/>
      <c r="R294" s="989"/>
      <c r="S294" s="989"/>
      <c r="T294" s="989"/>
      <c r="U294" s="989"/>
      <c r="V294" s="989"/>
      <c r="W294" s="989"/>
      <c r="X294" s="989"/>
      <c r="Y294" s="989"/>
      <c r="Z294" s="989"/>
      <c r="AA294" s="989"/>
      <c r="AB294" s="989"/>
      <c r="AC294" s="989"/>
      <c r="AD294" s="989"/>
      <c r="AE294" s="989"/>
    </row>
    <row r="295">
      <c r="A295" s="989"/>
      <c r="B295" s="989"/>
      <c r="C295" s="989"/>
      <c r="D295" s="989"/>
      <c r="E295" s="989"/>
      <c r="F295" s="989"/>
      <c r="G295" s="989"/>
      <c r="H295" s="992" t="str">
        <f t="shared" si="16"/>
        <v/>
      </c>
      <c r="I295" s="989"/>
      <c r="J295" s="989"/>
      <c r="K295" s="989"/>
      <c r="L295" s="989"/>
      <c r="M295" s="989"/>
      <c r="N295" s="989"/>
      <c r="O295" s="989"/>
      <c r="P295" s="989"/>
      <c r="Q295" s="989"/>
      <c r="R295" s="989"/>
      <c r="S295" s="989"/>
      <c r="T295" s="989"/>
      <c r="U295" s="989"/>
      <c r="V295" s="989"/>
      <c r="W295" s="989"/>
      <c r="X295" s="989"/>
      <c r="Y295" s="989"/>
      <c r="Z295" s="989"/>
      <c r="AA295" s="989"/>
      <c r="AB295" s="989"/>
      <c r="AC295" s="989"/>
      <c r="AD295" s="989"/>
      <c r="AE295" s="989"/>
    </row>
    <row r="296">
      <c r="A296" s="989"/>
      <c r="B296" s="989"/>
      <c r="C296" s="989"/>
      <c r="D296" s="989"/>
      <c r="E296" s="989"/>
      <c r="F296" s="989"/>
      <c r="G296" s="989"/>
      <c r="H296" s="992" t="str">
        <f t="shared" si="16"/>
        <v/>
      </c>
      <c r="I296" s="989"/>
      <c r="J296" s="989"/>
      <c r="K296" s="989"/>
      <c r="L296" s="989"/>
      <c r="M296" s="989"/>
      <c r="N296" s="989"/>
      <c r="O296" s="989"/>
      <c r="P296" s="989"/>
      <c r="Q296" s="989"/>
      <c r="R296" s="989"/>
      <c r="S296" s="989"/>
      <c r="T296" s="989"/>
      <c r="U296" s="989"/>
      <c r="V296" s="989"/>
      <c r="W296" s="989"/>
      <c r="X296" s="989"/>
      <c r="Y296" s="989"/>
      <c r="Z296" s="989"/>
      <c r="AA296" s="989"/>
      <c r="AB296" s="989"/>
      <c r="AC296" s="989"/>
      <c r="AD296" s="989"/>
      <c r="AE296" s="989"/>
    </row>
    <row r="297">
      <c r="A297" s="989"/>
      <c r="B297" s="989"/>
      <c r="C297" s="989"/>
      <c r="D297" s="989"/>
      <c r="E297" s="989"/>
      <c r="F297" s="989"/>
      <c r="G297" s="989"/>
      <c r="H297" s="992" t="str">
        <f t="shared" si="16"/>
        <v/>
      </c>
      <c r="I297" s="989"/>
      <c r="J297" s="989"/>
      <c r="K297" s="989"/>
      <c r="L297" s="989"/>
      <c r="M297" s="989"/>
      <c r="N297" s="989"/>
      <c r="O297" s="989"/>
      <c r="P297" s="989"/>
      <c r="Q297" s="989"/>
      <c r="R297" s="989"/>
      <c r="S297" s="989"/>
      <c r="T297" s="989"/>
      <c r="U297" s="989"/>
      <c r="V297" s="989"/>
      <c r="W297" s="989"/>
      <c r="X297" s="989"/>
      <c r="Y297" s="989"/>
      <c r="Z297" s="989"/>
      <c r="AA297" s="989"/>
      <c r="AB297" s="989"/>
      <c r="AC297" s="989"/>
      <c r="AD297" s="989"/>
      <c r="AE297" s="989"/>
    </row>
    <row r="298">
      <c r="A298" s="989"/>
      <c r="B298" s="989"/>
      <c r="C298" s="989"/>
      <c r="D298" s="989"/>
      <c r="E298" s="989"/>
      <c r="F298" s="989"/>
      <c r="G298" s="989"/>
      <c r="H298" s="992" t="str">
        <f t="shared" si="16"/>
        <v/>
      </c>
      <c r="I298" s="989"/>
      <c r="J298" s="989"/>
      <c r="K298" s="989"/>
      <c r="L298" s="989"/>
      <c r="M298" s="989"/>
      <c r="N298" s="989"/>
      <c r="O298" s="989"/>
      <c r="P298" s="989"/>
      <c r="Q298" s="989"/>
      <c r="R298" s="989"/>
      <c r="S298" s="989"/>
      <c r="T298" s="989"/>
      <c r="U298" s="989"/>
      <c r="V298" s="989"/>
      <c r="W298" s="989"/>
      <c r="X298" s="989"/>
      <c r="Y298" s="989"/>
      <c r="Z298" s="989"/>
      <c r="AA298" s="989"/>
      <c r="AB298" s="989"/>
      <c r="AC298" s="989"/>
      <c r="AD298" s="989"/>
      <c r="AE298" s="989"/>
    </row>
    <row r="299">
      <c r="A299" s="989"/>
      <c r="B299" s="989"/>
      <c r="C299" s="989"/>
      <c r="D299" s="989"/>
      <c r="E299" s="989"/>
      <c r="F299" s="989"/>
      <c r="G299" s="989"/>
      <c r="H299" s="992" t="str">
        <f t="shared" si="16"/>
        <v/>
      </c>
      <c r="I299" s="989"/>
      <c r="J299" s="989"/>
      <c r="K299" s="989"/>
      <c r="L299" s="989"/>
      <c r="M299" s="989"/>
      <c r="N299" s="989"/>
      <c r="O299" s="989"/>
      <c r="P299" s="989"/>
      <c r="Q299" s="989"/>
      <c r="R299" s="989"/>
      <c r="S299" s="989"/>
      <c r="T299" s="989"/>
      <c r="U299" s="989"/>
      <c r="V299" s="989"/>
      <c r="W299" s="989"/>
      <c r="X299" s="989"/>
      <c r="Y299" s="989"/>
      <c r="Z299" s="989"/>
      <c r="AA299" s="989"/>
      <c r="AB299" s="989"/>
      <c r="AC299" s="989"/>
      <c r="AD299" s="989"/>
      <c r="AE299" s="989"/>
    </row>
    <row r="300">
      <c r="A300" s="989"/>
      <c r="B300" s="989"/>
      <c r="C300" s="989"/>
      <c r="D300" s="989"/>
      <c r="E300" s="989"/>
      <c r="F300" s="989"/>
      <c r="G300" s="989"/>
      <c r="H300" s="992" t="str">
        <f t="shared" si="16"/>
        <v/>
      </c>
      <c r="I300" s="989"/>
      <c r="J300" s="989"/>
      <c r="K300" s="989"/>
      <c r="L300" s="989"/>
      <c r="M300" s="989"/>
      <c r="N300" s="989"/>
      <c r="O300" s="989"/>
      <c r="P300" s="989"/>
      <c r="Q300" s="989"/>
      <c r="R300" s="989"/>
      <c r="S300" s="989"/>
      <c r="T300" s="989"/>
      <c r="U300" s="989"/>
      <c r="V300" s="989"/>
      <c r="W300" s="989"/>
      <c r="X300" s="989"/>
      <c r="Y300" s="989"/>
      <c r="Z300" s="989"/>
      <c r="AA300" s="989"/>
      <c r="AB300" s="989"/>
      <c r="AC300" s="989"/>
      <c r="AD300" s="989"/>
      <c r="AE300" s="989"/>
    </row>
    <row r="301">
      <c r="A301" s="989"/>
      <c r="B301" s="989"/>
      <c r="C301" s="989"/>
      <c r="D301" s="989"/>
      <c r="E301" s="989"/>
      <c r="F301" s="989"/>
      <c r="G301" s="989"/>
      <c r="H301" s="992" t="str">
        <f t="shared" si="16"/>
        <v/>
      </c>
      <c r="I301" s="989"/>
      <c r="J301" s="989"/>
      <c r="K301" s="989"/>
      <c r="L301" s="989"/>
      <c r="M301" s="989"/>
      <c r="N301" s="989"/>
      <c r="O301" s="989"/>
      <c r="P301" s="989"/>
      <c r="Q301" s="989"/>
      <c r="R301" s="989"/>
      <c r="S301" s="989"/>
      <c r="T301" s="989"/>
      <c r="U301" s="989"/>
      <c r="V301" s="989"/>
      <c r="W301" s="989"/>
      <c r="X301" s="989"/>
      <c r="Y301" s="989"/>
      <c r="Z301" s="989"/>
      <c r="AA301" s="989"/>
      <c r="AB301" s="989"/>
      <c r="AC301" s="989"/>
      <c r="AD301" s="989"/>
      <c r="AE301" s="989"/>
    </row>
    <row r="302">
      <c r="A302" s="989"/>
      <c r="B302" s="989"/>
      <c r="C302" s="989"/>
      <c r="D302" s="989"/>
      <c r="E302" s="989"/>
      <c r="F302" s="989"/>
      <c r="G302" s="989"/>
      <c r="H302" s="992" t="str">
        <f t="shared" si="16"/>
        <v/>
      </c>
      <c r="I302" s="989"/>
      <c r="J302" s="989"/>
      <c r="K302" s="989"/>
      <c r="L302" s="989"/>
      <c r="M302" s="989"/>
      <c r="N302" s="989"/>
      <c r="O302" s="989"/>
      <c r="P302" s="989"/>
      <c r="Q302" s="989"/>
      <c r="R302" s="989"/>
      <c r="S302" s="989"/>
      <c r="T302" s="989"/>
      <c r="U302" s="989"/>
      <c r="V302" s="989"/>
      <c r="W302" s="989"/>
      <c r="X302" s="989"/>
      <c r="Y302" s="989"/>
      <c r="Z302" s="989"/>
      <c r="AA302" s="989"/>
      <c r="AB302" s="989"/>
      <c r="AC302" s="989"/>
      <c r="AD302" s="989"/>
      <c r="AE302" s="989"/>
    </row>
    <row r="303">
      <c r="A303" s="989"/>
      <c r="B303" s="989"/>
      <c r="C303" s="989"/>
      <c r="D303" s="989"/>
      <c r="E303" s="989"/>
      <c r="F303" s="989"/>
      <c r="G303" s="989"/>
      <c r="H303" s="992" t="str">
        <f t="shared" si="16"/>
        <v/>
      </c>
      <c r="I303" s="989"/>
      <c r="J303" s="989"/>
      <c r="K303" s="989"/>
      <c r="L303" s="989"/>
      <c r="M303" s="989"/>
      <c r="N303" s="989"/>
      <c r="O303" s="989"/>
      <c r="P303" s="989"/>
      <c r="Q303" s="989"/>
      <c r="R303" s="989"/>
      <c r="S303" s="989"/>
      <c r="T303" s="989"/>
      <c r="U303" s="989"/>
      <c r="V303" s="989"/>
      <c r="W303" s="989"/>
      <c r="X303" s="989"/>
      <c r="Y303" s="989"/>
      <c r="Z303" s="989"/>
      <c r="AA303" s="989"/>
      <c r="AB303" s="989"/>
      <c r="AC303" s="989"/>
      <c r="AD303" s="989"/>
      <c r="AE303" s="989"/>
    </row>
    <row r="304">
      <c r="A304" s="989"/>
      <c r="B304" s="989"/>
      <c r="C304" s="989"/>
      <c r="D304" s="989"/>
      <c r="E304" s="989"/>
      <c r="F304" s="989"/>
      <c r="G304" s="989"/>
      <c r="H304" s="992" t="str">
        <f t="shared" si="16"/>
        <v/>
      </c>
      <c r="I304" s="989"/>
      <c r="J304" s="989"/>
      <c r="K304" s="989"/>
      <c r="L304" s="989"/>
      <c r="M304" s="989"/>
      <c r="N304" s="989"/>
      <c r="O304" s="989"/>
      <c r="P304" s="989"/>
      <c r="Q304" s="989"/>
      <c r="R304" s="989"/>
      <c r="S304" s="989"/>
      <c r="T304" s="989"/>
      <c r="U304" s="989"/>
      <c r="V304" s="989"/>
      <c r="W304" s="989"/>
      <c r="X304" s="989"/>
      <c r="Y304" s="989"/>
      <c r="Z304" s="989"/>
      <c r="AA304" s="989"/>
      <c r="AB304" s="989"/>
      <c r="AC304" s="989"/>
      <c r="AD304" s="989"/>
      <c r="AE304" s="989"/>
    </row>
    <row r="305">
      <c r="A305" s="989"/>
      <c r="B305" s="989"/>
      <c r="C305" s="989"/>
      <c r="D305" s="989"/>
      <c r="E305" s="989"/>
      <c r="F305" s="989"/>
      <c r="G305" s="989"/>
      <c r="H305" s="992" t="str">
        <f t="shared" si="16"/>
        <v/>
      </c>
      <c r="I305" s="989"/>
      <c r="J305" s="989"/>
      <c r="K305" s="989"/>
      <c r="L305" s="989"/>
      <c r="M305" s="989"/>
      <c r="N305" s="989"/>
      <c r="O305" s="989"/>
      <c r="P305" s="989"/>
      <c r="Q305" s="989"/>
      <c r="R305" s="989"/>
      <c r="S305" s="989"/>
      <c r="T305" s="989"/>
      <c r="U305" s="989"/>
      <c r="V305" s="989"/>
      <c r="W305" s="989"/>
      <c r="X305" s="989"/>
      <c r="Y305" s="989"/>
      <c r="Z305" s="989"/>
      <c r="AA305" s="989"/>
      <c r="AB305" s="989"/>
      <c r="AC305" s="989"/>
      <c r="AD305" s="989"/>
      <c r="AE305" s="989"/>
    </row>
    <row r="306">
      <c r="A306" s="989"/>
      <c r="B306" s="989"/>
      <c r="C306" s="989"/>
      <c r="D306" s="989"/>
      <c r="E306" s="989"/>
      <c r="F306" s="989"/>
      <c r="G306" s="989"/>
      <c r="H306" s="992" t="str">
        <f t="shared" si="16"/>
        <v/>
      </c>
      <c r="I306" s="989"/>
      <c r="J306" s="989"/>
      <c r="K306" s="989"/>
      <c r="L306" s="989"/>
      <c r="M306" s="989"/>
      <c r="N306" s="989"/>
      <c r="O306" s="989"/>
      <c r="P306" s="989"/>
      <c r="Q306" s="989"/>
      <c r="R306" s="989"/>
      <c r="S306" s="989"/>
      <c r="T306" s="989"/>
      <c r="U306" s="989"/>
      <c r="V306" s="989"/>
      <c r="W306" s="989"/>
      <c r="X306" s="989"/>
      <c r="Y306" s="989"/>
      <c r="Z306" s="989"/>
      <c r="AA306" s="989"/>
      <c r="AB306" s="989"/>
      <c r="AC306" s="989"/>
      <c r="AD306" s="989"/>
      <c r="AE306" s="989"/>
    </row>
    <row r="307">
      <c r="A307" s="989"/>
      <c r="B307" s="989"/>
      <c r="C307" s="989"/>
      <c r="D307" s="989"/>
      <c r="E307" s="989"/>
      <c r="F307" s="989"/>
      <c r="G307" s="989"/>
      <c r="H307" s="992" t="str">
        <f t="shared" si="16"/>
        <v/>
      </c>
      <c r="I307" s="989"/>
      <c r="J307" s="989"/>
      <c r="K307" s="989"/>
      <c r="L307" s="989"/>
      <c r="M307" s="989"/>
      <c r="N307" s="989"/>
      <c r="O307" s="989"/>
      <c r="P307" s="989"/>
      <c r="Q307" s="989"/>
      <c r="R307" s="989"/>
      <c r="S307" s="989"/>
      <c r="T307" s="989"/>
      <c r="U307" s="989"/>
      <c r="V307" s="989"/>
      <c r="W307" s="989"/>
      <c r="X307" s="989"/>
      <c r="Y307" s="989"/>
      <c r="Z307" s="989"/>
      <c r="AA307" s="989"/>
      <c r="AB307" s="989"/>
      <c r="AC307" s="989"/>
      <c r="AD307" s="989"/>
      <c r="AE307" s="989"/>
    </row>
    <row r="308">
      <c r="A308" s="989"/>
      <c r="B308" s="989"/>
      <c r="C308" s="989"/>
      <c r="D308" s="989"/>
      <c r="E308" s="989"/>
      <c r="F308" s="989"/>
      <c r="G308" s="989"/>
      <c r="H308" s="992" t="str">
        <f t="shared" si="16"/>
        <v/>
      </c>
      <c r="I308" s="989"/>
      <c r="J308" s="989"/>
      <c r="K308" s="989"/>
      <c r="L308" s="989"/>
      <c r="M308" s="989"/>
      <c r="N308" s="989"/>
      <c r="O308" s="989"/>
      <c r="P308" s="989"/>
      <c r="Q308" s="989"/>
      <c r="R308" s="989"/>
      <c r="S308" s="989"/>
      <c r="T308" s="989"/>
      <c r="U308" s="989"/>
      <c r="V308" s="989"/>
      <c r="W308" s="989"/>
      <c r="X308" s="989"/>
      <c r="Y308" s="989"/>
      <c r="Z308" s="989"/>
      <c r="AA308" s="989"/>
      <c r="AB308" s="989"/>
      <c r="AC308" s="989"/>
      <c r="AD308" s="989"/>
      <c r="AE308" s="989"/>
    </row>
    <row r="309">
      <c r="A309" s="989"/>
      <c r="B309" s="989"/>
      <c r="C309" s="989"/>
      <c r="D309" s="989"/>
      <c r="E309" s="989"/>
      <c r="F309" s="989"/>
      <c r="G309" s="989"/>
      <c r="H309" s="992" t="str">
        <f t="shared" si="16"/>
        <v/>
      </c>
      <c r="I309" s="989"/>
      <c r="J309" s="989"/>
      <c r="K309" s="989"/>
      <c r="L309" s="989"/>
      <c r="M309" s="989"/>
      <c r="N309" s="989"/>
      <c r="O309" s="989"/>
      <c r="P309" s="989"/>
      <c r="Q309" s="989"/>
      <c r="R309" s="989"/>
      <c r="S309" s="989"/>
      <c r="T309" s="989"/>
      <c r="U309" s="989"/>
      <c r="V309" s="989"/>
      <c r="W309" s="989"/>
      <c r="X309" s="989"/>
      <c r="Y309" s="989"/>
      <c r="Z309" s="989"/>
      <c r="AA309" s="989"/>
      <c r="AB309" s="989"/>
      <c r="AC309" s="989"/>
      <c r="AD309" s="989"/>
      <c r="AE309" s="989"/>
    </row>
    <row r="310">
      <c r="A310" s="989"/>
      <c r="B310" s="989"/>
      <c r="C310" s="989"/>
      <c r="D310" s="989"/>
      <c r="E310" s="989"/>
      <c r="F310" s="989"/>
      <c r="G310" s="989"/>
      <c r="H310" s="992" t="str">
        <f t="shared" si="16"/>
        <v/>
      </c>
      <c r="I310" s="989"/>
      <c r="J310" s="989"/>
      <c r="K310" s="989"/>
      <c r="L310" s="989"/>
      <c r="M310" s="989"/>
      <c r="N310" s="989"/>
      <c r="O310" s="989"/>
      <c r="P310" s="989"/>
      <c r="Q310" s="989"/>
      <c r="R310" s="989"/>
      <c r="S310" s="989"/>
      <c r="T310" s="989"/>
      <c r="U310" s="989"/>
      <c r="V310" s="989"/>
      <c r="W310" s="989"/>
      <c r="X310" s="989"/>
      <c r="Y310" s="989"/>
      <c r="Z310" s="989"/>
      <c r="AA310" s="989"/>
      <c r="AB310" s="989"/>
      <c r="AC310" s="989"/>
      <c r="AD310" s="989"/>
      <c r="AE310" s="989"/>
    </row>
    <row r="311">
      <c r="A311" s="989"/>
      <c r="B311" s="989"/>
      <c r="C311" s="989"/>
      <c r="D311" s="989"/>
      <c r="E311" s="989"/>
      <c r="F311" s="989"/>
      <c r="G311" s="989"/>
      <c r="H311" s="992" t="str">
        <f t="shared" si="16"/>
        <v/>
      </c>
      <c r="I311" s="989"/>
      <c r="J311" s="989"/>
      <c r="K311" s="989"/>
      <c r="L311" s="989"/>
      <c r="M311" s="989"/>
      <c r="N311" s="989"/>
      <c r="O311" s="989"/>
      <c r="P311" s="989"/>
      <c r="Q311" s="989"/>
      <c r="R311" s="989"/>
      <c r="S311" s="989"/>
      <c r="T311" s="989"/>
      <c r="U311" s="989"/>
      <c r="V311" s="989"/>
      <c r="W311" s="989"/>
      <c r="X311" s="989"/>
      <c r="Y311" s="989"/>
      <c r="Z311" s="989"/>
      <c r="AA311" s="989"/>
      <c r="AB311" s="989"/>
      <c r="AC311" s="989"/>
      <c r="AD311" s="989"/>
      <c r="AE311" s="989"/>
    </row>
    <row r="312">
      <c r="A312" s="989"/>
      <c r="B312" s="989"/>
      <c r="C312" s="989"/>
      <c r="D312" s="989"/>
      <c r="E312" s="989"/>
      <c r="F312" s="989"/>
      <c r="G312" s="989"/>
      <c r="H312" s="992" t="str">
        <f t="shared" si="16"/>
        <v/>
      </c>
      <c r="I312" s="989"/>
      <c r="J312" s="989"/>
      <c r="K312" s="989"/>
      <c r="L312" s="989"/>
      <c r="M312" s="989"/>
      <c r="N312" s="989"/>
      <c r="O312" s="989"/>
      <c r="P312" s="989"/>
      <c r="Q312" s="989"/>
      <c r="R312" s="989"/>
      <c r="S312" s="989"/>
      <c r="T312" s="989"/>
      <c r="U312" s="989"/>
      <c r="V312" s="989"/>
      <c r="W312" s="989"/>
      <c r="X312" s="989"/>
      <c r="Y312" s="989"/>
      <c r="Z312" s="989"/>
      <c r="AA312" s="989"/>
      <c r="AB312" s="989"/>
      <c r="AC312" s="989"/>
      <c r="AD312" s="989"/>
      <c r="AE312" s="989"/>
    </row>
    <row r="313">
      <c r="A313" s="989"/>
      <c r="B313" s="989"/>
      <c r="C313" s="989"/>
      <c r="D313" s="989"/>
      <c r="E313" s="989"/>
      <c r="F313" s="989"/>
      <c r="G313" s="989"/>
      <c r="H313" s="992" t="str">
        <f t="shared" si="16"/>
        <v/>
      </c>
      <c r="I313" s="989"/>
      <c r="J313" s="989"/>
      <c r="K313" s="989"/>
      <c r="L313" s="989"/>
      <c r="M313" s="989"/>
      <c r="N313" s="989"/>
      <c r="O313" s="989"/>
      <c r="P313" s="989"/>
      <c r="Q313" s="989"/>
      <c r="R313" s="989"/>
      <c r="S313" s="989"/>
      <c r="T313" s="989"/>
      <c r="U313" s="989"/>
      <c r="V313" s="989"/>
      <c r="W313" s="989"/>
      <c r="X313" s="989"/>
      <c r="Y313" s="989"/>
      <c r="Z313" s="989"/>
      <c r="AA313" s="989"/>
      <c r="AB313" s="989"/>
      <c r="AC313" s="989"/>
      <c r="AD313" s="989"/>
      <c r="AE313" s="989"/>
    </row>
    <row r="314">
      <c r="A314" s="989"/>
      <c r="B314" s="989"/>
      <c r="C314" s="989"/>
      <c r="D314" s="989"/>
      <c r="E314" s="989"/>
      <c r="F314" s="989"/>
      <c r="G314" s="989"/>
      <c r="H314" s="992" t="str">
        <f t="shared" si="16"/>
        <v/>
      </c>
      <c r="I314" s="989"/>
      <c r="J314" s="989"/>
      <c r="K314" s="989"/>
      <c r="L314" s="989"/>
      <c r="M314" s="989"/>
      <c r="N314" s="989"/>
      <c r="O314" s="989"/>
      <c r="P314" s="989"/>
      <c r="Q314" s="989"/>
      <c r="R314" s="989"/>
      <c r="S314" s="989"/>
      <c r="T314" s="989"/>
      <c r="U314" s="989"/>
      <c r="V314" s="989"/>
      <c r="W314" s="989"/>
      <c r="X314" s="989"/>
      <c r="Y314" s="989"/>
      <c r="Z314" s="989"/>
      <c r="AA314" s="989"/>
      <c r="AB314" s="989"/>
      <c r="AC314" s="989"/>
      <c r="AD314" s="989"/>
      <c r="AE314" s="989"/>
    </row>
    <row r="315">
      <c r="A315" s="989"/>
      <c r="B315" s="989"/>
      <c r="C315" s="989"/>
      <c r="D315" s="989"/>
      <c r="E315" s="989"/>
      <c r="F315" s="989"/>
      <c r="G315" s="989"/>
      <c r="H315" s="992" t="str">
        <f t="shared" si="16"/>
        <v/>
      </c>
      <c r="I315" s="989"/>
      <c r="J315" s="989"/>
      <c r="K315" s="989"/>
      <c r="L315" s="989"/>
      <c r="M315" s="989"/>
      <c r="N315" s="989"/>
      <c r="O315" s="989"/>
      <c r="P315" s="989"/>
      <c r="Q315" s="989"/>
      <c r="R315" s="989"/>
      <c r="S315" s="989"/>
      <c r="T315" s="989"/>
      <c r="U315" s="989"/>
      <c r="V315" s="989"/>
      <c r="W315" s="989"/>
      <c r="X315" s="989"/>
      <c r="Y315" s="989"/>
      <c r="Z315" s="989"/>
      <c r="AA315" s="989"/>
      <c r="AB315" s="989"/>
      <c r="AC315" s="989"/>
      <c r="AD315" s="989"/>
      <c r="AE315" s="989"/>
    </row>
    <row r="316">
      <c r="A316" s="989"/>
      <c r="B316" s="989"/>
      <c r="C316" s="989"/>
      <c r="D316" s="989"/>
      <c r="E316" s="989"/>
      <c r="F316" s="989"/>
      <c r="G316" s="989"/>
      <c r="H316" s="992" t="str">
        <f t="shared" si="16"/>
        <v/>
      </c>
      <c r="I316" s="989"/>
      <c r="J316" s="989"/>
      <c r="K316" s="989"/>
      <c r="L316" s="989"/>
      <c r="M316" s="989"/>
      <c r="N316" s="989"/>
      <c r="O316" s="989"/>
      <c r="P316" s="989"/>
      <c r="Q316" s="989"/>
      <c r="R316" s="989"/>
      <c r="S316" s="989"/>
      <c r="T316" s="989"/>
      <c r="U316" s="989"/>
      <c r="V316" s="989"/>
      <c r="W316" s="989"/>
      <c r="X316" s="989"/>
      <c r="Y316" s="989"/>
      <c r="Z316" s="989"/>
      <c r="AA316" s="989"/>
      <c r="AB316" s="989"/>
      <c r="AC316" s="989"/>
      <c r="AD316" s="989"/>
      <c r="AE316" s="989"/>
    </row>
    <row r="317">
      <c r="A317" s="989"/>
      <c r="B317" s="989"/>
      <c r="C317" s="989"/>
      <c r="D317" s="989"/>
      <c r="E317" s="989"/>
      <c r="F317" s="989"/>
      <c r="G317" s="989"/>
      <c r="H317" s="992" t="str">
        <f t="shared" si="16"/>
        <v/>
      </c>
      <c r="I317" s="989"/>
      <c r="J317" s="989"/>
      <c r="K317" s="989"/>
      <c r="L317" s="989"/>
      <c r="M317" s="989"/>
      <c r="N317" s="989"/>
      <c r="O317" s="989"/>
      <c r="P317" s="989"/>
      <c r="Q317" s="989"/>
      <c r="R317" s="989"/>
      <c r="S317" s="989"/>
      <c r="T317" s="989"/>
      <c r="U317" s="989"/>
      <c r="V317" s="989"/>
      <c r="W317" s="989"/>
      <c r="X317" s="989"/>
      <c r="Y317" s="989"/>
      <c r="Z317" s="989"/>
      <c r="AA317" s="989"/>
      <c r="AB317" s="989"/>
      <c r="AC317" s="989"/>
      <c r="AD317" s="989"/>
      <c r="AE317" s="989"/>
    </row>
    <row r="318">
      <c r="A318" s="989"/>
      <c r="B318" s="989"/>
      <c r="C318" s="989"/>
      <c r="D318" s="989"/>
      <c r="E318" s="989"/>
      <c r="F318" s="989"/>
      <c r="G318" s="989"/>
      <c r="H318" s="992" t="str">
        <f t="shared" si="16"/>
        <v/>
      </c>
      <c r="I318" s="989"/>
      <c r="J318" s="989"/>
      <c r="K318" s="989"/>
      <c r="L318" s="989"/>
      <c r="M318" s="989"/>
      <c r="N318" s="989"/>
      <c r="O318" s="989"/>
      <c r="P318" s="989"/>
      <c r="Q318" s="989"/>
      <c r="R318" s="989"/>
      <c r="S318" s="989"/>
      <c r="T318" s="989"/>
      <c r="U318" s="989"/>
      <c r="V318" s="989"/>
      <c r="W318" s="989"/>
      <c r="X318" s="989"/>
      <c r="Y318" s="989"/>
      <c r="Z318" s="989"/>
      <c r="AA318" s="989"/>
      <c r="AB318" s="989"/>
      <c r="AC318" s="989"/>
      <c r="AD318" s="989"/>
      <c r="AE318" s="989"/>
    </row>
    <row r="319">
      <c r="A319" s="989"/>
      <c r="B319" s="989"/>
      <c r="C319" s="989"/>
      <c r="D319" s="989"/>
      <c r="E319" s="989"/>
      <c r="F319" s="989"/>
      <c r="G319" s="989"/>
      <c r="H319" s="992" t="str">
        <f t="shared" si="16"/>
        <v/>
      </c>
      <c r="I319" s="989"/>
      <c r="J319" s="989"/>
      <c r="K319" s="989"/>
      <c r="L319" s="989"/>
      <c r="M319" s="989"/>
      <c r="N319" s="989"/>
      <c r="O319" s="989"/>
      <c r="P319" s="989"/>
      <c r="Q319" s="989"/>
      <c r="R319" s="989"/>
      <c r="S319" s="989"/>
      <c r="T319" s="989"/>
      <c r="U319" s="989"/>
      <c r="V319" s="989"/>
      <c r="W319" s="989"/>
      <c r="X319" s="989"/>
      <c r="Y319" s="989"/>
      <c r="Z319" s="989"/>
      <c r="AA319" s="989"/>
      <c r="AB319" s="989"/>
      <c r="AC319" s="989"/>
      <c r="AD319" s="989"/>
      <c r="AE319" s="989"/>
    </row>
    <row r="320">
      <c r="A320" s="989"/>
      <c r="B320" s="989"/>
      <c r="C320" s="989"/>
      <c r="D320" s="989"/>
      <c r="E320" s="989"/>
      <c r="F320" s="989"/>
      <c r="G320" s="989"/>
      <c r="H320" s="992" t="str">
        <f t="shared" si="16"/>
        <v/>
      </c>
      <c r="I320" s="989"/>
      <c r="J320" s="989"/>
      <c r="K320" s="989"/>
      <c r="L320" s="989"/>
      <c r="M320" s="989"/>
      <c r="N320" s="989"/>
      <c r="O320" s="989"/>
      <c r="P320" s="989"/>
      <c r="Q320" s="989"/>
      <c r="R320" s="989"/>
      <c r="S320" s="989"/>
      <c r="T320" s="989"/>
      <c r="U320" s="989"/>
      <c r="V320" s="989"/>
      <c r="W320" s="989"/>
      <c r="X320" s="989"/>
      <c r="Y320" s="989"/>
      <c r="Z320" s="989"/>
      <c r="AA320" s="989"/>
      <c r="AB320" s="989"/>
      <c r="AC320" s="989"/>
      <c r="AD320" s="989"/>
      <c r="AE320" s="989"/>
    </row>
    <row r="321">
      <c r="A321" s="989"/>
      <c r="B321" s="989"/>
      <c r="C321" s="989"/>
      <c r="D321" s="989"/>
      <c r="E321" s="989"/>
      <c r="F321" s="989"/>
      <c r="G321" s="989"/>
      <c r="H321" s="992" t="str">
        <f t="shared" si="16"/>
        <v/>
      </c>
      <c r="I321" s="989"/>
      <c r="J321" s="989"/>
      <c r="K321" s="989"/>
      <c r="L321" s="989"/>
      <c r="M321" s="989"/>
      <c r="N321" s="989"/>
      <c r="O321" s="989"/>
      <c r="P321" s="989"/>
      <c r="Q321" s="989"/>
      <c r="R321" s="989"/>
      <c r="S321" s="989"/>
      <c r="T321" s="989"/>
      <c r="U321" s="989"/>
      <c r="V321" s="989"/>
      <c r="W321" s="989"/>
      <c r="X321" s="989"/>
      <c r="Y321" s="989"/>
      <c r="Z321" s="989"/>
      <c r="AA321" s="989"/>
      <c r="AB321" s="989"/>
      <c r="AC321" s="989"/>
      <c r="AD321" s="989"/>
      <c r="AE321" s="989"/>
    </row>
    <row r="322">
      <c r="A322" s="989"/>
      <c r="B322" s="989"/>
      <c r="C322" s="989"/>
      <c r="D322" s="989"/>
      <c r="E322" s="989"/>
      <c r="F322" s="989"/>
      <c r="G322" s="989"/>
      <c r="H322" s="992" t="str">
        <f t="shared" si="16"/>
        <v/>
      </c>
      <c r="I322" s="989"/>
      <c r="J322" s="989"/>
      <c r="K322" s="989"/>
      <c r="L322" s="989"/>
      <c r="M322" s="989"/>
      <c r="N322" s="989"/>
      <c r="O322" s="989"/>
      <c r="P322" s="989"/>
      <c r="Q322" s="989"/>
      <c r="R322" s="989"/>
      <c r="S322" s="989"/>
      <c r="T322" s="989"/>
      <c r="U322" s="989"/>
      <c r="V322" s="989"/>
      <c r="W322" s="989"/>
      <c r="X322" s="989"/>
      <c r="Y322" s="989"/>
      <c r="Z322" s="989"/>
      <c r="AA322" s="989"/>
      <c r="AB322" s="989"/>
      <c r="AC322" s="989"/>
      <c r="AD322" s="989"/>
      <c r="AE322" s="989"/>
    </row>
    <row r="323">
      <c r="A323" s="989"/>
      <c r="B323" s="989"/>
      <c r="C323" s="989"/>
      <c r="D323" s="989"/>
      <c r="E323" s="989"/>
      <c r="F323" s="989"/>
      <c r="G323" s="989"/>
      <c r="H323" s="992" t="str">
        <f t="shared" si="16"/>
        <v/>
      </c>
      <c r="I323" s="989"/>
      <c r="J323" s="989"/>
      <c r="K323" s="989"/>
      <c r="L323" s="989"/>
      <c r="M323" s="989"/>
      <c r="N323" s="989"/>
      <c r="O323" s="989"/>
      <c r="P323" s="989"/>
      <c r="Q323" s="989"/>
      <c r="R323" s="989"/>
      <c r="S323" s="989"/>
      <c r="T323" s="989"/>
      <c r="U323" s="989"/>
      <c r="V323" s="989"/>
      <c r="W323" s="989"/>
      <c r="X323" s="989"/>
      <c r="Y323" s="989"/>
      <c r="Z323" s="989"/>
      <c r="AA323" s="989"/>
      <c r="AB323" s="989"/>
      <c r="AC323" s="989"/>
      <c r="AD323" s="989"/>
      <c r="AE323" s="989"/>
    </row>
    <row r="324">
      <c r="A324" s="989"/>
      <c r="B324" s="989"/>
      <c r="C324" s="989"/>
      <c r="D324" s="989"/>
      <c r="E324" s="989"/>
      <c r="F324" s="989"/>
      <c r="G324" s="989"/>
      <c r="H324" s="992" t="str">
        <f t="shared" si="16"/>
        <v/>
      </c>
      <c r="I324" s="989"/>
      <c r="J324" s="989"/>
      <c r="K324" s="989"/>
      <c r="L324" s="989"/>
      <c r="M324" s="989"/>
      <c r="N324" s="989"/>
      <c r="O324" s="989"/>
      <c r="P324" s="989"/>
      <c r="Q324" s="989"/>
      <c r="R324" s="989"/>
      <c r="S324" s="989"/>
      <c r="T324" s="989"/>
      <c r="U324" s="989"/>
      <c r="V324" s="989"/>
      <c r="W324" s="989"/>
      <c r="X324" s="989"/>
      <c r="Y324" s="989"/>
      <c r="Z324" s="989"/>
      <c r="AA324" s="989"/>
      <c r="AB324" s="989"/>
      <c r="AC324" s="989"/>
      <c r="AD324" s="989"/>
      <c r="AE324" s="989"/>
    </row>
    <row r="325">
      <c r="A325" s="989"/>
      <c r="B325" s="989"/>
      <c r="C325" s="989"/>
      <c r="D325" s="989"/>
      <c r="E325" s="989"/>
      <c r="F325" s="989"/>
      <c r="G325" s="989"/>
      <c r="H325" s="992" t="str">
        <f t="shared" si="16"/>
        <v/>
      </c>
      <c r="I325" s="989"/>
      <c r="J325" s="989"/>
      <c r="K325" s="989"/>
      <c r="L325" s="989"/>
      <c r="M325" s="989"/>
      <c r="N325" s="989"/>
      <c r="O325" s="989"/>
      <c r="P325" s="989"/>
      <c r="Q325" s="989"/>
      <c r="R325" s="989"/>
      <c r="S325" s="989"/>
      <c r="T325" s="989"/>
      <c r="U325" s="989"/>
      <c r="V325" s="989"/>
      <c r="W325" s="989"/>
      <c r="X325" s="989"/>
      <c r="Y325" s="989"/>
      <c r="Z325" s="989"/>
      <c r="AA325" s="989"/>
      <c r="AB325" s="989"/>
      <c r="AC325" s="989"/>
      <c r="AD325" s="989"/>
      <c r="AE325" s="989"/>
    </row>
    <row r="326">
      <c r="A326" s="989"/>
      <c r="B326" s="989"/>
      <c r="C326" s="989"/>
      <c r="D326" s="989"/>
      <c r="E326" s="989"/>
      <c r="F326" s="989"/>
      <c r="G326" s="989"/>
      <c r="H326" s="992" t="str">
        <f t="shared" si="16"/>
        <v/>
      </c>
      <c r="I326" s="989"/>
      <c r="J326" s="989"/>
      <c r="K326" s="989"/>
      <c r="L326" s="989"/>
      <c r="M326" s="989"/>
      <c r="N326" s="989"/>
      <c r="O326" s="989"/>
      <c r="P326" s="989"/>
      <c r="Q326" s="989"/>
      <c r="R326" s="989"/>
      <c r="S326" s="989"/>
      <c r="T326" s="989"/>
      <c r="U326" s="989"/>
      <c r="V326" s="989"/>
      <c r="W326" s="989"/>
      <c r="X326" s="989"/>
      <c r="Y326" s="989"/>
      <c r="Z326" s="989"/>
      <c r="AA326" s="989"/>
      <c r="AB326" s="989"/>
      <c r="AC326" s="989"/>
      <c r="AD326" s="989"/>
      <c r="AE326" s="989"/>
    </row>
    <row r="327">
      <c r="A327" s="989"/>
      <c r="B327" s="989"/>
      <c r="C327" s="989"/>
      <c r="D327" s="989"/>
      <c r="E327" s="989"/>
      <c r="F327" s="989"/>
      <c r="G327" s="989"/>
      <c r="H327" s="992" t="str">
        <f t="shared" si="16"/>
        <v/>
      </c>
      <c r="I327" s="989"/>
      <c r="J327" s="989"/>
      <c r="K327" s="989"/>
      <c r="L327" s="989"/>
      <c r="M327" s="989"/>
      <c r="N327" s="989"/>
      <c r="O327" s="989"/>
      <c r="P327" s="989"/>
      <c r="Q327" s="989"/>
      <c r="R327" s="989"/>
      <c r="S327" s="989"/>
      <c r="T327" s="989"/>
      <c r="U327" s="989"/>
      <c r="V327" s="989"/>
      <c r="W327" s="989"/>
      <c r="X327" s="989"/>
      <c r="Y327" s="989"/>
      <c r="Z327" s="989"/>
      <c r="AA327" s="989"/>
      <c r="AB327" s="989"/>
      <c r="AC327" s="989"/>
      <c r="AD327" s="989"/>
      <c r="AE327" s="989"/>
    </row>
    <row r="328">
      <c r="A328" s="989"/>
      <c r="B328" s="989"/>
      <c r="C328" s="989"/>
      <c r="D328" s="989"/>
      <c r="E328" s="989"/>
      <c r="F328" s="989"/>
      <c r="G328" s="989"/>
      <c r="H328" s="992" t="str">
        <f t="shared" si="16"/>
        <v/>
      </c>
      <c r="I328" s="989"/>
      <c r="J328" s="989"/>
      <c r="K328" s="989"/>
      <c r="L328" s="989"/>
      <c r="M328" s="989"/>
      <c r="N328" s="989"/>
      <c r="O328" s="989"/>
      <c r="P328" s="989"/>
      <c r="Q328" s="989"/>
      <c r="R328" s="989"/>
      <c r="S328" s="989"/>
      <c r="T328" s="989"/>
      <c r="U328" s="989"/>
      <c r="V328" s="989"/>
      <c r="W328" s="989"/>
      <c r="X328" s="989"/>
      <c r="Y328" s="989"/>
      <c r="Z328" s="989"/>
      <c r="AA328" s="989"/>
      <c r="AB328" s="989"/>
      <c r="AC328" s="989"/>
      <c r="AD328" s="989"/>
      <c r="AE328" s="989"/>
    </row>
    <row r="329">
      <c r="A329" s="989"/>
      <c r="B329" s="989"/>
      <c r="C329" s="989"/>
      <c r="D329" s="989"/>
      <c r="E329" s="989"/>
      <c r="F329" s="989"/>
      <c r="G329" s="989"/>
      <c r="H329" s="992" t="str">
        <f t="shared" si="16"/>
        <v/>
      </c>
      <c r="I329" s="989"/>
      <c r="J329" s="989"/>
      <c r="K329" s="989"/>
      <c r="L329" s="989"/>
      <c r="M329" s="989"/>
      <c r="N329" s="989"/>
      <c r="O329" s="989"/>
      <c r="P329" s="989"/>
      <c r="Q329" s="989"/>
      <c r="R329" s="989"/>
      <c r="S329" s="989"/>
      <c r="T329" s="989"/>
      <c r="U329" s="989"/>
      <c r="V329" s="989"/>
      <c r="W329" s="989"/>
      <c r="X329" s="989"/>
      <c r="Y329" s="989"/>
      <c r="Z329" s="989"/>
      <c r="AA329" s="989"/>
      <c r="AB329" s="989"/>
      <c r="AC329" s="989"/>
      <c r="AD329" s="989"/>
      <c r="AE329" s="989"/>
    </row>
    <row r="330">
      <c r="A330" s="989"/>
      <c r="B330" s="989"/>
      <c r="C330" s="989"/>
      <c r="D330" s="989"/>
      <c r="E330" s="989"/>
      <c r="F330" s="989"/>
      <c r="G330" s="989"/>
      <c r="H330" s="992" t="str">
        <f t="shared" si="16"/>
        <v/>
      </c>
      <c r="I330" s="989"/>
      <c r="J330" s="989"/>
      <c r="K330" s="989"/>
      <c r="L330" s="989"/>
      <c r="M330" s="989"/>
      <c r="N330" s="989"/>
      <c r="O330" s="989"/>
      <c r="P330" s="989"/>
      <c r="Q330" s="989"/>
      <c r="R330" s="989"/>
      <c r="S330" s="989"/>
      <c r="T330" s="989"/>
      <c r="U330" s="989"/>
      <c r="V330" s="989"/>
      <c r="W330" s="989"/>
      <c r="X330" s="989"/>
      <c r="Y330" s="989"/>
      <c r="Z330" s="989"/>
      <c r="AA330" s="989"/>
      <c r="AB330" s="989"/>
      <c r="AC330" s="989"/>
      <c r="AD330" s="989"/>
      <c r="AE330" s="989"/>
    </row>
    <row r="331">
      <c r="A331" s="989"/>
      <c r="B331" s="989"/>
      <c r="C331" s="989"/>
      <c r="D331" s="989"/>
      <c r="E331" s="989"/>
      <c r="F331" s="989"/>
      <c r="G331" s="989"/>
      <c r="H331" s="992" t="str">
        <f t="shared" si="16"/>
        <v/>
      </c>
      <c r="I331" s="989"/>
      <c r="J331" s="989"/>
      <c r="K331" s="989"/>
      <c r="L331" s="989"/>
      <c r="M331" s="989"/>
      <c r="N331" s="989"/>
      <c r="O331" s="989"/>
      <c r="P331" s="989"/>
      <c r="Q331" s="989"/>
      <c r="R331" s="989"/>
      <c r="S331" s="989"/>
      <c r="T331" s="989"/>
      <c r="U331" s="989"/>
      <c r="V331" s="989"/>
      <c r="W331" s="989"/>
      <c r="X331" s="989"/>
      <c r="Y331" s="989"/>
      <c r="Z331" s="989"/>
      <c r="AA331" s="989"/>
      <c r="AB331" s="989"/>
      <c r="AC331" s="989"/>
      <c r="AD331" s="989"/>
      <c r="AE331" s="989"/>
    </row>
    <row r="332">
      <c r="A332" s="989"/>
      <c r="B332" s="989"/>
      <c r="C332" s="989"/>
      <c r="D332" s="989"/>
      <c r="E332" s="989"/>
      <c r="F332" s="989"/>
      <c r="G332" s="989"/>
      <c r="H332" s="992" t="str">
        <f t="shared" si="16"/>
        <v/>
      </c>
      <c r="I332" s="989"/>
      <c r="J332" s="989"/>
      <c r="K332" s="989"/>
      <c r="L332" s="989"/>
      <c r="M332" s="989"/>
      <c r="N332" s="989"/>
      <c r="O332" s="989"/>
      <c r="P332" s="989"/>
      <c r="Q332" s="989"/>
      <c r="R332" s="989"/>
      <c r="S332" s="989"/>
      <c r="T332" s="989"/>
      <c r="U332" s="989"/>
      <c r="V332" s="989"/>
      <c r="W332" s="989"/>
      <c r="X332" s="989"/>
      <c r="Y332" s="989"/>
      <c r="Z332" s="989"/>
      <c r="AA332" s="989"/>
      <c r="AB332" s="989"/>
      <c r="AC332" s="989"/>
      <c r="AD332" s="989"/>
      <c r="AE332" s="989"/>
    </row>
    <row r="333">
      <c r="A333" s="989"/>
      <c r="B333" s="989"/>
      <c r="C333" s="989"/>
      <c r="D333" s="989"/>
      <c r="E333" s="989"/>
      <c r="F333" s="989"/>
      <c r="G333" s="989"/>
      <c r="H333" s="992" t="str">
        <f t="shared" si="16"/>
        <v/>
      </c>
      <c r="I333" s="989"/>
      <c r="J333" s="989"/>
      <c r="K333" s="989"/>
      <c r="L333" s="989"/>
      <c r="M333" s="989"/>
      <c r="N333" s="989"/>
      <c r="O333" s="989"/>
      <c r="P333" s="989"/>
      <c r="Q333" s="989"/>
      <c r="R333" s="989"/>
      <c r="S333" s="989"/>
      <c r="T333" s="989"/>
      <c r="U333" s="989"/>
      <c r="V333" s="989"/>
      <c r="W333" s="989"/>
      <c r="X333" s="989"/>
      <c r="Y333" s="989"/>
      <c r="Z333" s="989"/>
      <c r="AA333" s="989"/>
      <c r="AB333" s="989"/>
      <c r="AC333" s="989"/>
      <c r="AD333" s="989"/>
      <c r="AE333" s="989"/>
    </row>
    <row r="334">
      <c r="A334" s="989"/>
      <c r="B334" s="989"/>
      <c r="C334" s="989"/>
      <c r="D334" s="989"/>
      <c r="E334" s="989"/>
      <c r="F334" s="989"/>
      <c r="G334" s="989"/>
      <c r="H334" s="992" t="str">
        <f t="shared" si="16"/>
        <v/>
      </c>
      <c r="I334" s="989"/>
      <c r="J334" s="989"/>
      <c r="K334" s="989"/>
      <c r="L334" s="989"/>
      <c r="M334" s="989"/>
      <c r="N334" s="989"/>
      <c r="O334" s="989"/>
      <c r="P334" s="989"/>
      <c r="Q334" s="989"/>
      <c r="R334" s="989"/>
      <c r="S334" s="989"/>
      <c r="T334" s="989"/>
      <c r="U334" s="989"/>
      <c r="V334" s="989"/>
      <c r="W334" s="989"/>
      <c r="X334" s="989"/>
      <c r="Y334" s="989"/>
      <c r="Z334" s="989"/>
      <c r="AA334" s="989"/>
      <c r="AB334" s="989"/>
      <c r="AC334" s="989"/>
      <c r="AD334" s="989"/>
      <c r="AE334" s="989"/>
    </row>
    <row r="335">
      <c r="A335" s="989"/>
      <c r="B335" s="989"/>
      <c r="C335" s="989"/>
      <c r="D335" s="989"/>
      <c r="E335" s="989"/>
      <c r="F335" s="989"/>
      <c r="G335" s="989"/>
      <c r="H335" s="992" t="str">
        <f t="shared" si="16"/>
        <v/>
      </c>
      <c r="I335" s="989"/>
      <c r="J335" s="989"/>
      <c r="K335" s="989"/>
      <c r="L335" s="989"/>
      <c r="M335" s="989"/>
      <c r="N335" s="989"/>
      <c r="O335" s="989"/>
      <c r="P335" s="989"/>
      <c r="Q335" s="989"/>
      <c r="R335" s="989"/>
      <c r="S335" s="989"/>
      <c r="T335" s="989"/>
      <c r="U335" s="989"/>
      <c r="V335" s="989"/>
      <c r="W335" s="989"/>
      <c r="X335" s="989"/>
      <c r="Y335" s="989"/>
      <c r="Z335" s="989"/>
      <c r="AA335" s="989"/>
      <c r="AB335" s="989"/>
      <c r="AC335" s="989"/>
      <c r="AD335" s="989"/>
      <c r="AE335" s="989"/>
    </row>
    <row r="336">
      <c r="A336" s="989"/>
      <c r="B336" s="989"/>
      <c r="C336" s="989"/>
      <c r="D336" s="989"/>
      <c r="E336" s="989"/>
      <c r="F336" s="989"/>
      <c r="G336" s="989"/>
      <c r="H336" s="992" t="str">
        <f t="shared" si="16"/>
        <v/>
      </c>
      <c r="I336" s="989"/>
      <c r="J336" s="989"/>
      <c r="K336" s="989"/>
      <c r="L336" s="989"/>
      <c r="M336" s="989"/>
      <c r="N336" s="989"/>
      <c r="O336" s="989"/>
      <c r="P336" s="989"/>
      <c r="Q336" s="989"/>
      <c r="R336" s="989"/>
      <c r="S336" s="989"/>
      <c r="T336" s="989"/>
      <c r="U336" s="989"/>
      <c r="V336" s="989"/>
      <c r="W336" s="989"/>
      <c r="X336" s="989"/>
      <c r="Y336" s="989"/>
      <c r="Z336" s="989"/>
      <c r="AA336" s="989"/>
      <c r="AB336" s="989"/>
      <c r="AC336" s="989"/>
      <c r="AD336" s="989"/>
      <c r="AE336" s="989"/>
    </row>
    <row r="337">
      <c r="A337" s="989"/>
      <c r="B337" s="989"/>
      <c r="C337" s="989"/>
      <c r="D337" s="989"/>
      <c r="E337" s="989"/>
      <c r="F337" s="989"/>
      <c r="G337" s="989"/>
      <c r="H337" s="992" t="str">
        <f t="shared" si="16"/>
        <v/>
      </c>
      <c r="I337" s="989"/>
      <c r="J337" s="989"/>
      <c r="K337" s="989"/>
      <c r="L337" s="989"/>
      <c r="M337" s="989"/>
      <c r="N337" s="989"/>
      <c r="O337" s="989"/>
      <c r="P337" s="989"/>
      <c r="Q337" s="989"/>
      <c r="R337" s="989"/>
      <c r="S337" s="989"/>
      <c r="T337" s="989"/>
      <c r="U337" s="989"/>
      <c r="V337" s="989"/>
      <c r="W337" s="989"/>
      <c r="X337" s="989"/>
      <c r="Y337" s="989"/>
      <c r="Z337" s="989"/>
      <c r="AA337" s="989"/>
      <c r="AB337" s="989"/>
      <c r="AC337" s="989"/>
      <c r="AD337" s="989"/>
      <c r="AE337" s="989"/>
    </row>
    <row r="338">
      <c r="A338" s="989"/>
      <c r="B338" s="989"/>
      <c r="C338" s="989"/>
      <c r="D338" s="989"/>
      <c r="E338" s="989"/>
      <c r="F338" s="989"/>
      <c r="G338" s="989"/>
      <c r="H338" s="992" t="str">
        <f t="shared" si="16"/>
        <v/>
      </c>
      <c r="I338" s="989"/>
      <c r="J338" s="989"/>
      <c r="K338" s="989"/>
      <c r="L338" s="989"/>
      <c r="M338" s="989"/>
      <c r="N338" s="989"/>
      <c r="O338" s="989"/>
      <c r="P338" s="989"/>
      <c r="Q338" s="989"/>
      <c r="R338" s="989"/>
      <c r="S338" s="989"/>
      <c r="T338" s="989"/>
      <c r="U338" s="989"/>
      <c r="V338" s="989"/>
      <c r="W338" s="989"/>
      <c r="X338" s="989"/>
      <c r="Y338" s="989"/>
      <c r="Z338" s="989"/>
      <c r="AA338" s="989"/>
      <c r="AB338" s="989"/>
      <c r="AC338" s="989"/>
      <c r="AD338" s="989"/>
      <c r="AE338" s="989"/>
    </row>
    <row r="339">
      <c r="A339" s="989"/>
      <c r="B339" s="989"/>
      <c r="C339" s="989"/>
      <c r="D339" s="989"/>
      <c r="E339" s="989"/>
      <c r="F339" s="989"/>
      <c r="G339" s="989"/>
      <c r="H339" s="992" t="str">
        <f t="shared" si="16"/>
        <v/>
      </c>
      <c r="I339" s="989"/>
      <c r="J339" s="989"/>
      <c r="K339" s="989"/>
      <c r="L339" s="989"/>
      <c r="M339" s="989"/>
      <c r="N339" s="989"/>
      <c r="O339" s="989"/>
      <c r="P339" s="989"/>
      <c r="Q339" s="989"/>
      <c r="R339" s="989"/>
      <c r="S339" s="989"/>
      <c r="T339" s="989"/>
      <c r="U339" s="989"/>
      <c r="V339" s="989"/>
      <c r="W339" s="989"/>
      <c r="X339" s="989"/>
      <c r="Y339" s="989"/>
      <c r="Z339" s="989"/>
      <c r="AA339" s="989"/>
      <c r="AB339" s="989"/>
      <c r="AC339" s="989"/>
      <c r="AD339" s="989"/>
      <c r="AE339" s="989"/>
    </row>
    <row r="340">
      <c r="A340" s="989"/>
      <c r="B340" s="989"/>
      <c r="C340" s="989"/>
      <c r="D340" s="989"/>
      <c r="E340" s="989"/>
      <c r="F340" s="989"/>
      <c r="G340" s="989"/>
      <c r="H340" s="992" t="str">
        <f t="shared" si="16"/>
        <v/>
      </c>
      <c r="I340" s="989"/>
      <c r="J340" s="989"/>
      <c r="K340" s="989"/>
      <c r="L340" s="989"/>
      <c r="M340" s="989"/>
      <c r="N340" s="989"/>
      <c r="O340" s="989"/>
      <c r="P340" s="989"/>
      <c r="Q340" s="989"/>
      <c r="R340" s="989"/>
      <c r="S340" s="989"/>
      <c r="T340" s="989"/>
      <c r="U340" s="989"/>
      <c r="V340" s="989"/>
      <c r="W340" s="989"/>
      <c r="X340" s="989"/>
      <c r="Y340" s="989"/>
      <c r="Z340" s="989"/>
      <c r="AA340" s="989"/>
      <c r="AB340" s="989"/>
      <c r="AC340" s="989"/>
      <c r="AD340" s="989"/>
      <c r="AE340" s="989"/>
    </row>
    <row r="341">
      <c r="A341" s="989"/>
      <c r="B341" s="989"/>
      <c r="C341" s="989"/>
      <c r="D341" s="989"/>
      <c r="E341" s="989"/>
      <c r="F341" s="989"/>
      <c r="G341" s="989"/>
      <c r="H341" s="992" t="str">
        <f t="shared" si="16"/>
        <v/>
      </c>
      <c r="I341" s="989"/>
      <c r="J341" s="989"/>
      <c r="K341" s="989"/>
      <c r="L341" s="989"/>
      <c r="M341" s="989"/>
      <c r="N341" s="989"/>
      <c r="O341" s="989"/>
      <c r="P341" s="989"/>
      <c r="Q341" s="989"/>
      <c r="R341" s="989"/>
      <c r="S341" s="989"/>
      <c r="T341" s="989"/>
      <c r="U341" s="989"/>
      <c r="V341" s="989"/>
      <c r="W341" s="989"/>
      <c r="X341" s="989"/>
      <c r="Y341" s="989"/>
      <c r="Z341" s="989"/>
      <c r="AA341" s="989"/>
      <c r="AB341" s="989"/>
      <c r="AC341" s="989"/>
      <c r="AD341" s="989"/>
      <c r="AE341" s="989"/>
    </row>
    <row r="342">
      <c r="A342" s="989"/>
      <c r="B342" s="989"/>
      <c r="C342" s="989"/>
      <c r="D342" s="989"/>
      <c r="E342" s="989"/>
      <c r="F342" s="989"/>
      <c r="G342" s="989"/>
      <c r="H342" s="992" t="str">
        <f t="shared" si="16"/>
        <v/>
      </c>
      <c r="I342" s="989"/>
      <c r="J342" s="989"/>
      <c r="K342" s="989"/>
      <c r="L342" s="989"/>
      <c r="M342" s="989"/>
      <c r="N342" s="989"/>
      <c r="O342" s="989"/>
      <c r="P342" s="989"/>
      <c r="Q342" s="989"/>
      <c r="R342" s="989"/>
      <c r="S342" s="989"/>
      <c r="T342" s="989"/>
      <c r="U342" s="989"/>
      <c r="V342" s="989"/>
      <c r="W342" s="989"/>
      <c r="X342" s="989"/>
      <c r="Y342" s="989"/>
      <c r="Z342" s="989"/>
      <c r="AA342" s="989"/>
      <c r="AB342" s="989"/>
      <c r="AC342" s="989"/>
      <c r="AD342" s="989"/>
      <c r="AE342" s="989"/>
    </row>
    <row r="343">
      <c r="A343" s="989"/>
      <c r="B343" s="989"/>
      <c r="C343" s="989"/>
      <c r="D343" s="989"/>
      <c r="E343" s="989"/>
      <c r="F343" s="989"/>
      <c r="G343" s="989"/>
      <c r="H343" s="992" t="str">
        <f t="shared" si="16"/>
        <v/>
      </c>
      <c r="I343" s="989"/>
      <c r="J343" s="989"/>
      <c r="K343" s="989"/>
      <c r="L343" s="989"/>
      <c r="M343" s="989"/>
      <c r="N343" s="989"/>
      <c r="O343" s="989"/>
      <c r="P343" s="989"/>
      <c r="Q343" s="989"/>
      <c r="R343" s="989"/>
      <c r="S343" s="989"/>
      <c r="T343" s="989"/>
      <c r="U343" s="989"/>
      <c r="V343" s="989"/>
      <c r="W343" s="989"/>
      <c r="X343" s="989"/>
      <c r="Y343" s="989"/>
      <c r="Z343" s="989"/>
      <c r="AA343" s="989"/>
      <c r="AB343" s="989"/>
      <c r="AC343" s="989"/>
      <c r="AD343" s="989"/>
      <c r="AE343" s="989"/>
    </row>
    <row r="344">
      <c r="A344" s="989"/>
      <c r="B344" s="989"/>
      <c r="C344" s="989"/>
      <c r="D344" s="989"/>
      <c r="E344" s="989"/>
      <c r="F344" s="989"/>
      <c r="G344" s="989"/>
      <c r="H344" s="992" t="str">
        <f t="shared" si="16"/>
        <v/>
      </c>
      <c r="I344" s="989"/>
      <c r="J344" s="989"/>
      <c r="K344" s="989"/>
      <c r="L344" s="989"/>
      <c r="M344" s="989"/>
      <c r="N344" s="989"/>
      <c r="O344" s="989"/>
      <c r="P344" s="989"/>
      <c r="Q344" s="989"/>
      <c r="R344" s="989"/>
      <c r="S344" s="989"/>
      <c r="T344" s="989"/>
      <c r="U344" s="989"/>
      <c r="V344" s="989"/>
      <c r="W344" s="989"/>
      <c r="X344" s="989"/>
      <c r="Y344" s="989"/>
      <c r="Z344" s="989"/>
      <c r="AA344" s="989"/>
      <c r="AB344" s="989"/>
      <c r="AC344" s="989"/>
      <c r="AD344" s="989"/>
      <c r="AE344" s="989"/>
    </row>
    <row r="345">
      <c r="A345" s="989"/>
      <c r="B345" s="989"/>
      <c r="C345" s="989"/>
      <c r="D345" s="989"/>
      <c r="E345" s="989"/>
      <c r="F345" s="989"/>
      <c r="G345" s="989"/>
      <c r="H345" s="992" t="str">
        <f t="shared" si="16"/>
        <v/>
      </c>
      <c r="I345" s="989"/>
      <c r="J345" s="989"/>
      <c r="K345" s="989"/>
      <c r="L345" s="989"/>
      <c r="M345" s="989"/>
      <c r="N345" s="989"/>
      <c r="O345" s="989"/>
      <c r="P345" s="989"/>
      <c r="Q345" s="989"/>
      <c r="R345" s="989"/>
      <c r="S345" s="989"/>
      <c r="T345" s="989"/>
      <c r="U345" s="989"/>
      <c r="V345" s="989"/>
      <c r="W345" s="989"/>
      <c r="X345" s="989"/>
      <c r="Y345" s="989"/>
      <c r="Z345" s="989"/>
      <c r="AA345" s="989"/>
      <c r="AB345" s="989"/>
      <c r="AC345" s="989"/>
      <c r="AD345" s="989"/>
      <c r="AE345" s="989"/>
    </row>
    <row r="346">
      <c r="A346" s="989"/>
      <c r="B346" s="989"/>
      <c r="C346" s="989"/>
      <c r="D346" s="989"/>
      <c r="E346" s="989"/>
      <c r="F346" s="989"/>
      <c r="G346" s="989"/>
      <c r="H346" s="992" t="str">
        <f t="shared" si="16"/>
        <v/>
      </c>
      <c r="I346" s="989"/>
      <c r="J346" s="989"/>
      <c r="K346" s="989"/>
      <c r="L346" s="989"/>
      <c r="M346" s="989"/>
      <c r="N346" s="989"/>
      <c r="O346" s="989"/>
      <c r="P346" s="989"/>
      <c r="Q346" s="989"/>
      <c r="R346" s="989"/>
      <c r="S346" s="989"/>
      <c r="T346" s="989"/>
      <c r="U346" s="989"/>
      <c r="V346" s="989"/>
      <c r="W346" s="989"/>
      <c r="X346" s="989"/>
      <c r="Y346" s="989"/>
      <c r="Z346" s="989"/>
      <c r="AA346" s="989"/>
      <c r="AB346" s="989"/>
      <c r="AC346" s="989"/>
      <c r="AD346" s="989"/>
      <c r="AE346" s="989"/>
    </row>
    <row r="347">
      <c r="A347" s="989"/>
      <c r="B347" s="989"/>
      <c r="C347" s="989"/>
      <c r="D347" s="989"/>
      <c r="E347" s="989"/>
      <c r="F347" s="989"/>
      <c r="G347" s="989"/>
      <c r="H347" s="992" t="str">
        <f t="shared" si="16"/>
        <v/>
      </c>
      <c r="I347" s="989"/>
      <c r="J347" s="989"/>
      <c r="K347" s="989"/>
      <c r="L347" s="989"/>
      <c r="M347" s="989"/>
      <c r="N347" s="989"/>
      <c r="O347" s="989"/>
      <c r="P347" s="989"/>
      <c r="Q347" s="989"/>
      <c r="R347" s="989"/>
      <c r="S347" s="989"/>
      <c r="T347" s="989"/>
      <c r="U347" s="989"/>
      <c r="V347" s="989"/>
      <c r="W347" s="989"/>
      <c r="X347" s="989"/>
      <c r="Y347" s="989"/>
      <c r="Z347" s="989"/>
      <c r="AA347" s="989"/>
      <c r="AB347" s="989"/>
      <c r="AC347" s="989"/>
      <c r="AD347" s="989"/>
      <c r="AE347" s="989"/>
    </row>
    <row r="348">
      <c r="A348" s="989"/>
      <c r="B348" s="989"/>
      <c r="C348" s="989"/>
      <c r="D348" s="989"/>
      <c r="E348" s="989"/>
      <c r="F348" s="989"/>
      <c r="G348" s="989"/>
      <c r="H348" s="992" t="str">
        <f t="shared" si="16"/>
        <v/>
      </c>
      <c r="I348" s="989"/>
      <c r="J348" s="989"/>
      <c r="K348" s="989"/>
      <c r="L348" s="989"/>
      <c r="M348" s="989"/>
      <c r="N348" s="989"/>
      <c r="O348" s="989"/>
      <c r="P348" s="989"/>
      <c r="Q348" s="989"/>
      <c r="R348" s="989"/>
      <c r="S348" s="989"/>
      <c r="T348" s="989"/>
      <c r="U348" s="989"/>
      <c r="V348" s="989"/>
      <c r="W348" s="989"/>
      <c r="X348" s="989"/>
      <c r="Y348" s="989"/>
      <c r="Z348" s="989"/>
      <c r="AA348" s="989"/>
      <c r="AB348" s="989"/>
      <c r="AC348" s="989"/>
      <c r="AD348" s="989"/>
      <c r="AE348" s="989"/>
    </row>
    <row r="349">
      <c r="A349" s="989"/>
      <c r="B349" s="989"/>
      <c r="C349" s="989"/>
      <c r="D349" s="989"/>
      <c r="E349" s="989"/>
      <c r="F349" s="989"/>
      <c r="G349" s="989"/>
      <c r="H349" s="992" t="str">
        <f t="shared" si="16"/>
        <v/>
      </c>
      <c r="I349" s="989"/>
      <c r="J349" s="989"/>
      <c r="K349" s="989"/>
      <c r="L349" s="989"/>
      <c r="M349" s="989"/>
      <c r="N349" s="989"/>
      <c r="O349" s="989"/>
      <c r="P349" s="989"/>
      <c r="Q349" s="989"/>
      <c r="R349" s="989"/>
      <c r="S349" s="989"/>
      <c r="T349" s="989"/>
      <c r="U349" s="989"/>
      <c r="V349" s="989"/>
      <c r="W349" s="989"/>
      <c r="X349" s="989"/>
      <c r="Y349" s="989"/>
      <c r="Z349" s="989"/>
      <c r="AA349" s="989"/>
      <c r="AB349" s="989"/>
      <c r="AC349" s="989"/>
      <c r="AD349" s="989"/>
      <c r="AE349" s="989"/>
    </row>
    <row r="350">
      <c r="A350" s="989"/>
      <c r="B350" s="989"/>
      <c r="C350" s="989"/>
      <c r="D350" s="989"/>
      <c r="E350" s="989"/>
      <c r="F350" s="989"/>
      <c r="G350" s="989"/>
      <c r="H350" s="992" t="str">
        <f t="shared" si="16"/>
        <v/>
      </c>
      <c r="I350" s="989"/>
      <c r="J350" s="989"/>
      <c r="K350" s="989"/>
      <c r="L350" s="989"/>
      <c r="M350" s="989"/>
      <c r="N350" s="989"/>
      <c r="O350" s="989"/>
      <c r="P350" s="989"/>
      <c r="Q350" s="989"/>
      <c r="R350" s="989"/>
      <c r="S350" s="989"/>
      <c r="T350" s="989"/>
      <c r="U350" s="989"/>
      <c r="V350" s="989"/>
      <c r="W350" s="989"/>
      <c r="X350" s="989"/>
      <c r="Y350" s="989"/>
      <c r="Z350" s="989"/>
      <c r="AA350" s="989"/>
      <c r="AB350" s="989"/>
      <c r="AC350" s="989"/>
      <c r="AD350" s="989"/>
      <c r="AE350" s="989"/>
    </row>
    <row r="351">
      <c r="A351" s="989"/>
      <c r="B351" s="989"/>
      <c r="C351" s="989"/>
      <c r="D351" s="989"/>
      <c r="E351" s="989"/>
      <c r="F351" s="989"/>
      <c r="G351" s="989"/>
      <c r="H351" s="992" t="str">
        <f t="shared" si="16"/>
        <v/>
      </c>
      <c r="I351" s="989"/>
      <c r="J351" s="989"/>
      <c r="K351" s="989"/>
      <c r="L351" s="989"/>
      <c r="M351" s="989"/>
      <c r="N351" s="989"/>
      <c r="O351" s="989"/>
      <c r="P351" s="989"/>
      <c r="Q351" s="989"/>
      <c r="R351" s="989"/>
      <c r="S351" s="989"/>
      <c r="T351" s="989"/>
      <c r="U351" s="989"/>
      <c r="V351" s="989"/>
      <c r="W351" s="989"/>
      <c r="X351" s="989"/>
      <c r="Y351" s="989"/>
      <c r="Z351" s="989"/>
      <c r="AA351" s="989"/>
      <c r="AB351" s="989"/>
      <c r="AC351" s="989"/>
      <c r="AD351" s="989"/>
      <c r="AE351" s="989"/>
    </row>
    <row r="352">
      <c r="A352" s="989"/>
      <c r="B352" s="989"/>
      <c r="C352" s="989"/>
      <c r="D352" s="989"/>
      <c r="E352" s="989"/>
      <c r="F352" s="989"/>
      <c r="G352" s="989"/>
      <c r="H352" s="992" t="str">
        <f t="shared" si="16"/>
        <v/>
      </c>
      <c r="I352" s="989"/>
      <c r="J352" s="989"/>
      <c r="K352" s="989"/>
      <c r="L352" s="989"/>
      <c r="M352" s="989"/>
      <c r="N352" s="989"/>
      <c r="O352" s="989"/>
      <c r="P352" s="989"/>
      <c r="Q352" s="989"/>
      <c r="R352" s="989"/>
      <c r="S352" s="989"/>
      <c r="T352" s="989"/>
      <c r="U352" s="989"/>
      <c r="V352" s="989"/>
      <c r="W352" s="989"/>
      <c r="X352" s="989"/>
      <c r="Y352" s="989"/>
      <c r="Z352" s="989"/>
      <c r="AA352" s="989"/>
      <c r="AB352" s="989"/>
      <c r="AC352" s="989"/>
      <c r="AD352" s="989"/>
      <c r="AE352" s="989"/>
    </row>
    <row r="353">
      <c r="A353" s="989"/>
      <c r="B353" s="989"/>
      <c r="C353" s="989"/>
      <c r="D353" s="989"/>
      <c r="E353" s="989"/>
      <c r="F353" s="989"/>
      <c r="G353" s="989"/>
      <c r="H353" s="992" t="str">
        <f t="shared" si="16"/>
        <v/>
      </c>
      <c r="I353" s="989"/>
      <c r="J353" s="989"/>
      <c r="K353" s="989"/>
      <c r="L353" s="989"/>
      <c r="M353" s="989"/>
      <c r="N353" s="989"/>
      <c r="O353" s="989"/>
      <c r="P353" s="989"/>
      <c r="Q353" s="989"/>
      <c r="R353" s="989"/>
      <c r="S353" s="989"/>
      <c r="T353" s="989"/>
      <c r="U353" s="989"/>
      <c r="V353" s="989"/>
      <c r="W353" s="989"/>
      <c r="X353" s="989"/>
      <c r="Y353" s="989"/>
      <c r="Z353" s="989"/>
      <c r="AA353" s="989"/>
      <c r="AB353" s="989"/>
      <c r="AC353" s="989"/>
      <c r="AD353" s="989"/>
      <c r="AE353" s="989"/>
    </row>
    <row r="354">
      <c r="A354" s="989"/>
      <c r="B354" s="989"/>
      <c r="C354" s="989"/>
      <c r="D354" s="989"/>
      <c r="E354" s="989"/>
      <c r="F354" s="989"/>
      <c r="G354" s="989"/>
      <c r="H354" s="992" t="str">
        <f t="shared" si="16"/>
        <v/>
      </c>
      <c r="I354" s="989"/>
      <c r="J354" s="989"/>
      <c r="K354" s="989"/>
      <c r="L354" s="989"/>
      <c r="M354" s="989"/>
      <c r="N354" s="989"/>
      <c r="O354" s="989"/>
      <c r="P354" s="989"/>
      <c r="Q354" s="989"/>
      <c r="R354" s="989"/>
      <c r="S354" s="989"/>
      <c r="T354" s="989"/>
      <c r="U354" s="989"/>
      <c r="V354" s="989"/>
      <c r="W354" s="989"/>
      <c r="X354" s="989"/>
      <c r="Y354" s="989"/>
      <c r="Z354" s="989"/>
      <c r="AA354" s="989"/>
      <c r="AB354" s="989"/>
      <c r="AC354" s="989"/>
      <c r="AD354" s="989"/>
      <c r="AE354" s="989"/>
    </row>
    <row r="355">
      <c r="A355" s="989"/>
      <c r="B355" s="989"/>
      <c r="C355" s="989"/>
      <c r="D355" s="989"/>
      <c r="E355" s="989"/>
      <c r="F355" s="989"/>
      <c r="G355" s="989"/>
      <c r="H355" s="992" t="str">
        <f t="shared" si="16"/>
        <v/>
      </c>
      <c r="I355" s="989"/>
      <c r="J355" s="989"/>
      <c r="K355" s="989"/>
      <c r="L355" s="989"/>
      <c r="M355" s="989"/>
      <c r="N355" s="989"/>
      <c r="O355" s="989"/>
      <c r="P355" s="989"/>
      <c r="Q355" s="989"/>
      <c r="R355" s="989"/>
      <c r="S355" s="989"/>
      <c r="T355" s="989"/>
      <c r="U355" s="989"/>
      <c r="V355" s="989"/>
      <c r="W355" s="989"/>
      <c r="X355" s="989"/>
      <c r="Y355" s="989"/>
      <c r="Z355" s="989"/>
      <c r="AA355" s="989"/>
      <c r="AB355" s="989"/>
      <c r="AC355" s="989"/>
      <c r="AD355" s="989"/>
      <c r="AE355" s="989"/>
    </row>
    <row r="356">
      <c r="A356" s="989"/>
      <c r="B356" s="989"/>
      <c r="C356" s="989"/>
      <c r="D356" s="989"/>
      <c r="E356" s="989"/>
      <c r="F356" s="989"/>
      <c r="G356" s="989"/>
      <c r="H356" s="992" t="str">
        <f t="shared" si="16"/>
        <v/>
      </c>
      <c r="I356" s="989"/>
      <c r="J356" s="989"/>
      <c r="K356" s="989"/>
      <c r="L356" s="989"/>
      <c r="M356" s="989"/>
      <c r="N356" s="989"/>
      <c r="O356" s="989"/>
      <c r="P356" s="989"/>
      <c r="Q356" s="989"/>
      <c r="R356" s="989"/>
      <c r="S356" s="989"/>
      <c r="T356" s="989"/>
      <c r="U356" s="989"/>
      <c r="V356" s="989"/>
      <c r="W356" s="989"/>
      <c r="X356" s="989"/>
      <c r="Y356" s="989"/>
      <c r="Z356" s="989"/>
      <c r="AA356" s="989"/>
      <c r="AB356" s="989"/>
      <c r="AC356" s="989"/>
      <c r="AD356" s="989"/>
      <c r="AE356" s="989"/>
    </row>
    <row r="357">
      <c r="A357" s="989"/>
      <c r="B357" s="989"/>
      <c r="C357" s="989"/>
      <c r="D357" s="989"/>
      <c r="E357" s="989"/>
      <c r="F357" s="989"/>
      <c r="G357" s="989"/>
      <c r="H357" s="992" t="str">
        <f t="shared" si="16"/>
        <v/>
      </c>
      <c r="I357" s="989"/>
      <c r="J357" s="989"/>
      <c r="K357" s="989"/>
      <c r="L357" s="989"/>
      <c r="M357" s="989"/>
      <c r="N357" s="989"/>
      <c r="O357" s="989"/>
      <c r="P357" s="989"/>
      <c r="Q357" s="989"/>
      <c r="R357" s="989"/>
      <c r="S357" s="989"/>
      <c r="T357" s="989"/>
      <c r="U357" s="989"/>
      <c r="V357" s="989"/>
      <c r="W357" s="989"/>
      <c r="X357" s="989"/>
      <c r="Y357" s="989"/>
      <c r="Z357" s="989"/>
      <c r="AA357" s="989"/>
      <c r="AB357" s="989"/>
      <c r="AC357" s="989"/>
      <c r="AD357" s="989"/>
      <c r="AE357" s="989"/>
    </row>
    <row r="358">
      <c r="A358" s="989"/>
      <c r="B358" s="989"/>
      <c r="C358" s="989"/>
      <c r="D358" s="989"/>
      <c r="E358" s="989"/>
      <c r="F358" s="989"/>
      <c r="G358" s="989"/>
      <c r="H358" s="992" t="str">
        <f t="shared" si="16"/>
        <v/>
      </c>
      <c r="I358" s="989"/>
      <c r="J358" s="989"/>
      <c r="K358" s="989"/>
      <c r="L358" s="989"/>
      <c r="M358" s="989"/>
      <c r="N358" s="989"/>
      <c r="O358" s="989"/>
      <c r="P358" s="989"/>
      <c r="Q358" s="989"/>
      <c r="R358" s="989"/>
      <c r="S358" s="989"/>
      <c r="T358" s="989"/>
      <c r="U358" s="989"/>
      <c r="V358" s="989"/>
      <c r="W358" s="989"/>
      <c r="X358" s="989"/>
      <c r="Y358" s="989"/>
      <c r="Z358" s="989"/>
      <c r="AA358" s="989"/>
      <c r="AB358" s="989"/>
      <c r="AC358" s="989"/>
      <c r="AD358" s="989"/>
      <c r="AE358" s="989"/>
    </row>
    <row r="359">
      <c r="A359" s="989"/>
      <c r="B359" s="989"/>
      <c r="C359" s="989"/>
      <c r="D359" s="989"/>
      <c r="E359" s="989"/>
      <c r="F359" s="989"/>
      <c r="G359" s="989"/>
      <c r="H359" s="992" t="str">
        <f t="shared" si="16"/>
        <v/>
      </c>
      <c r="I359" s="989"/>
      <c r="J359" s="989"/>
      <c r="K359" s="989"/>
      <c r="L359" s="989"/>
      <c r="M359" s="989"/>
      <c r="N359" s="989"/>
      <c r="O359" s="989"/>
      <c r="P359" s="989"/>
      <c r="Q359" s="989"/>
      <c r="R359" s="989"/>
      <c r="S359" s="989"/>
      <c r="T359" s="989"/>
      <c r="U359" s="989"/>
      <c r="V359" s="989"/>
      <c r="W359" s="989"/>
      <c r="X359" s="989"/>
      <c r="Y359" s="989"/>
      <c r="Z359" s="989"/>
      <c r="AA359" s="989"/>
      <c r="AB359" s="989"/>
      <c r="AC359" s="989"/>
      <c r="AD359" s="989"/>
      <c r="AE359" s="989"/>
    </row>
    <row r="360">
      <c r="A360" s="989"/>
      <c r="B360" s="989"/>
      <c r="C360" s="989"/>
      <c r="D360" s="989"/>
      <c r="E360" s="989"/>
      <c r="F360" s="989"/>
      <c r="G360" s="989"/>
      <c r="H360" s="992" t="str">
        <f t="shared" si="16"/>
        <v/>
      </c>
      <c r="I360" s="989"/>
      <c r="J360" s="989"/>
      <c r="K360" s="989"/>
      <c r="L360" s="989"/>
      <c r="M360" s="989"/>
      <c r="N360" s="989"/>
      <c r="O360" s="989"/>
      <c r="P360" s="989"/>
      <c r="Q360" s="989"/>
      <c r="R360" s="989"/>
      <c r="S360" s="989"/>
      <c r="T360" s="989"/>
      <c r="U360" s="989"/>
      <c r="V360" s="989"/>
      <c r="W360" s="989"/>
      <c r="X360" s="989"/>
      <c r="Y360" s="989"/>
      <c r="Z360" s="989"/>
      <c r="AA360" s="989"/>
      <c r="AB360" s="989"/>
      <c r="AC360" s="989"/>
      <c r="AD360" s="989"/>
      <c r="AE360" s="989"/>
    </row>
    <row r="361">
      <c r="A361" s="989"/>
      <c r="B361" s="989"/>
      <c r="C361" s="989"/>
      <c r="D361" s="989"/>
      <c r="E361" s="989"/>
      <c r="F361" s="989"/>
      <c r="G361" s="989"/>
      <c r="H361" s="992" t="str">
        <f t="shared" si="16"/>
        <v/>
      </c>
      <c r="I361" s="989"/>
      <c r="J361" s="989"/>
      <c r="K361" s="989"/>
      <c r="L361" s="989"/>
      <c r="M361" s="989"/>
      <c r="N361" s="989"/>
      <c r="O361" s="989"/>
      <c r="P361" s="989"/>
      <c r="Q361" s="989"/>
      <c r="R361" s="989"/>
      <c r="S361" s="989"/>
      <c r="T361" s="989"/>
      <c r="U361" s="989"/>
      <c r="V361" s="989"/>
      <c r="W361" s="989"/>
      <c r="X361" s="989"/>
      <c r="Y361" s="989"/>
      <c r="Z361" s="989"/>
      <c r="AA361" s="989"/>
      <c r="AB361" s="989"/>
      <c r="AC361" s="989"/>
      <c r="AD361" s="989"/>
      <c r="AE361" s="989"/>
    </row>
    <row r="362">
      <c r="A362" s="989"/>
      <c r="B362" s="989"/>
      <c r="C362" s="989"/>
      <c r="D362" s="989"/>
      <c r="E362" s="989"/>
      <c r="F362" s="989"/>
      <c r="G362" s="989"/>
      <c r="H362" s="992" t="str">
        <f t="shared" si="16"/>
        <v/>
      </c>
      <c r="I362" s="989"/>
      <c r="J362" s="989"/>
      <c r="K362" s="989"/>
      <c r="L362" s="989"/>
      <c r="M362" s="989"/>
      <c r="N362" s="989"/>
      <c r="O362" s="989"/>
      <c r="P362" s="989"/>
      <c r="Q362" s="989"/>
      <c r="R362" s="989"/>
      <c r="S362" s="989"/>
      <c r="T362" s="989"/>
      <c r="U362" s="989"/>
      <c r="V362" s="989"/>
      <c r="W362" s="989"/>
      <c r="X362" s="989"/>
      <c r="Y362" s="989"/>
      <c r="Z362" s="989"/>
      <c r="AA362" s="989"/>
      <c r="AB362" s="989"/>
      <c r="AC362" s="989"/>
      <c r="AD362" s="989"/>
      <c r="AE362" s="989"/>
    </row>
    <row r="363">
      <c r="A363" s="989"/>
      <c r="B363" s="989"/>
      <c r="C363" s="989"/>
      <c r="D363" s="989"/>
      <c r="E363" s="989"/>
      <c r="F363" s="989"/>
      <c r="G363" s="989"/>
      <c r="H363" s="992" t="str">
        <f t="shared" si="16"/>
        <v/>
      </c>
      <c r="I363" s="989"/>
      <c r="J363" s="989"/>
      <c r="K363" s="989"/>
      <c r="L363" s="989"/>
      <c r="M363" s="989"/>
      <c r="N363" s="989"/>
      <c r="O363" s="989"/>
      <c r="P363" s="989"/>
      <c r="Q363" s="989"/>
      <c r="R363" s="989"/>
      <c r="S363" s="989"/>
      <c r="T363" s="989"/>
      <c r="U363" s="989"/>
      <c r="V363" s="989"/>
      <c r="W363" s="989"/>
      <c r="X363" s="989"/>
      <c r="Y363" s="989"/>
      <c r="Z363" s="989"/>
      <c r="AA363" s="989"/>
      <c r="AB363" s="989"/>
      <c r="AC363" s="989"/>
      <c r="AD363" s="989"/>
      <c r="AE363" s="989"/>
    </row>
    <row r="364">
      <c r="A364" s="989"/>
      <c r="B364" s="989"/>
      <c r="C364" s="989"/>
      <c r="D364" s="989"/>
      <c r="E364" s="989"/>
      <c r="F364" s="989"/>
      <c r="G364" s="989"/>
      <c r="H364" s="992" t="str">
        <f t="shared" si="16"/>
        <v/>
      </c>
      <c r="I364" s="989"/>
      <c r="J364" s="989"/>
      <c r="K364" s="989"/>
      <c r="L364" s="989"/>
      <c r="M364" s="989"/>
      <c r="N364" s="989"/>
      <c r="O364" s="989"/>
      <c r="P364" s="989"/>
      <c r="Q364" s="989"/>
      <c r="R364" s="989"/>
      <c r="S364" s="989"/>
      <c r="T364" s="989"/>
      <c r="U364" s="989"/>
      <c r="V364" s="989"/>
      <c r="W364" s="989"/>
      <c r="X364" s="989"/>
      <c r="Y364" s="989"/>
      <c r="Z364" s="989"/>
      <c r="AA364" s="989"/>
      <c r="AB364" s="989"/>
      <c r="AC364" s="989"/>
      <c r="AD364" s="989"/>
      <c r="AE364" s="989"/>
    </row>
    <row r="365">
      <c r="A365" s="989"/>
      <c r="B365" s="989"/>
      <c r="C365" s="989"/>
      <c r="D365" s="989"/>
      <c r="E365" s="989"/>
      <c r="F365" s="989"/>
      <c r="G365" s="989"/>
      <c r="H365" s="992" t="str">
        <f t="shared" si="16"/>
        <v/>
      </c>
      <c r="I365" s="989"/>
      <c r="J365" s="989"/>
      <c r="K365" s="989"/>
      <c r="L365" s="989"/>
      <c r="M365" s="989"/>
      <c r="N365" s="989"/>
      <c r="O365" s="989"/>
      <c r="P365" s="989"/>
      <c r="Q365" s="989"/>
      <c r="R365" s="989"/>
      <c r="S365" s="989"/>
      <c r="T365" s="989"/>
      <c r="U365" s="989"/>
      <c r="V365" s="989"/>
      <c r="W365" s="989"/>
      <c r="X365" s="989"/>
      <c r="Y365" s="989"/>
      <c r="Z365" s="989"/>
      <c r="AA365" s="989"/>
      <c r="AB365" s="989"/>
      <c r="AC365" s="989"/>
      <c r="AD365" s="989"/>
      <c r="AE365" s="989"/>
    </row>
    <row r="366">
      <c r="A366" s="989"/>
      <c r="B366" s="989"/>
      <c r="C366" s="989"/>
      <c r="D366" s="989"/>
      <c r="E366" s="989"/>
      <c r="F366" s="989"/>
      <c r="G366" s="989"/>
      <c r="H366" s="992" t="str">
        <f t="shared" si="16"/>
        <v/>
      </c>
      <c r="I366" s="989"/>
      <c r="J366" s="989"/>
      <c r="K366" s="989"/>
      <c r="L366" s="989"/>
      <c r="M366" s="989"/>
      <c r="N366" s="989"/>
      <c r="O366" s="989"/>
      <c r="P366" s="989"/>
      <c r="Q366" s="989"/>
      <c r="R366" s="989"/>
      <c r="S366" s="989"/>
      <c r="T366" s="989"/>
      <c r="U366" s="989"/>
      <c r="V366" s="989"/>
      <c r="W366" s="989"/>
      <c r="X366" s="989"/>
      <c r="Y366" s="989"/>
      <c r="Z366" s="989"/>
      <c r="AA366" s="989"/>
      <c r="AB366" s="989"/>
      <c r="AC366" s="989"/>
      <c r="AD366" s="989"/>
      <c r="AE366" s="989"/>
    </row>
    <row r="367">
      <c r="A367" s="989"/>
      <c r="B367" s="989"/>
      <c r="C367" s="989"/>
      <c r="D367" s="989"/>
      <c r="E367" s="989"/>
      <c r="F367" s="989"/>
      <c r="G367" s="989"/>
      <c r="H367" s="992" t="str">
        <f t="shared" si="16"/>
        <v/>
      </c>
      <c r="I367" s="989"/>
      <c r="J367" s="989"/>
      <c r="K367" s="989"/>
      <c r="L367" s="989"/>
      <c r="M367" s="989"/>
      <c r="N367" s="989"/>
      <c r="O367" s="989"/>
      <c r="P367" s="989"/>
      <c r="Q367" s="989"/>
      <c r="R367" s="989"/>
      <c r="S367" s="989"/>
      <c r="T367" s="989"/>
      <c r="U367" s="989"/>
      <c r="V367" s="989"/>
      <c r="W367" s="989"/>
      <c r="X367" s="989"/>
      <c r="Y367" s="989"/>
      <c r="Z367" s="989"/>
      <c r="AA367" s="989"/>
      <c r="AB367" s="989"/>
      <c r="AC367" s="989"/>
      <c r="AD367" s="989"/>
      <c r="AE367" s="989"/>
    </row>
    <row r="368">
      <c r="A368" s="989"/>
      <c r="B368" s="989"/>
      <c r="C368" s="989"/>
      <c r="D368" s="989"/>
      <c r="E368" s="989"/>
      <c r="F368" s="989"/>
      <c r="G368" s="989"/>
      <c r="H368" s="992" t="str">
        <f t="shared" si="16"/>
        <v/>
      </c>
      <c r="I368" s="989"/>
      <c r="J368" s="989"/>
      <c r="K368" s="989"/>
      <c r="L368" s="989"/>
      <c r="M368" s="989"/>
      <c r="N368" s="989"/>
      <c r="O368" s="989"/>
      <c r="P368" s="989"/>
      <c r="Q368" s="989"/>
      <c r="R368" s="989"/>
      <c r="S368" s="989"/>
      <c r="T368" s="989"/>
      <c r="U368" s="989"/>
      <c r="V368" s="989"/>
      <c r="W368" s="989"/>
      <c r="X368" s="989"/>
      <c r="Y368" s="989"/>
      <c r="Z368" s="989"/>
      <c r="AA368" s="989"/>
      <c r="AB368" s="989"/>
      <c r="AC368" s="989"/>
      <c r="AD368" s="989"/>
      <c r="AE368" s="989"/>
    </row>
    <row r="369">
      <c r="A369" s="989"/>
      <c r="B369" s="989"/>
      <c r="C369" s="989"/>
      <c r="D369" s="989"/>
      <c r="E369" s="989"/>
      <c r="F369" s="989"/>
      <c r="G369" s="989"/>
      <c r="H369" s="992" t="str">
        <f t="shared" si="16"/>
        <v/>
      </c>
      <c r="I369" s="989"/>
      <c r="J369" s="989"/>
      <c r="K369" s="989"/>
      <c r="L369" s="989"/>
      <c r="M369" s="989"/>
      <c r="N369" s="989"/>
      <c r="O369" s="989"/>
      <c r="P369" s="989"/>
      <c r="Q369" s="989"/>
      <c r="R369" s="989"/>
      <c r="S369" s="989"/>
      <c r="T369" s="989"/>
      <c r="U369" s="989"/>
      <c r="V369" s="989"/>
      <c r="W369" s="989"/>
      <c r="X369" s="989"/>
      <c r="Y369" s="989"/>
      <c r="Z369" s="989"/>
      <c r="AA369" s="989"/>
      <c r="AB369" s="989"/>
      <c r="AC369" s="989"/>
      <c r="AD369" s="989"/>
      <c r="AE369" s="989"/>
    </row>
    <row r="370">
      <c r="A370" s="989"/>
      <c r="B370" s="989"/>
      <c r="C370" s="989"/>
      <c r="D370" s="989"/>
      <c r="E370" s="989"/>
      <c r="F370" s="989"/>
      <c r="G370" s="989"/>
      <c r="H370" s="992" t="str">
        <f t="shared" si="16"/>
        <v/>
      </c>
      <c r="I370" s="989"/>
      <c r="J370" s="989"/>
      <c r="K370" s="989"/>
      <c r="L370" s="989"/>
      <c r="M370" s="989"/>
      <c r="N370" s="989"/>
      <c r="O370" s="989"/>
      <c r="P370" s="989"/>
      <c r="Q370" s="989"/>
      <c r="R370" s="989"/>
      <c r="S370" s="989"/>
      <c r="T370" s="989"/>
      <c r="U370" s="989"/>
      <c r="V370" s="989"/>
      <c r="W370" s="989"/>
      <c r="X370" s="989"/>
      <c r="Y370" s="989"/>
      <c r="Z370" s="989"/>
      <c r="AA370" s="989"/>
      <c r="AB370" s="989"/>
      <c r="AC370" s="989"/>
      <c r="AD370" s="989"/>
      <c r="AE370" s="989"/>
    </row>
    <row r="371">
      <c r="A371" s="989"/>
      <c r="B371" s="989"/>
      <c r="C371" s="989"/>
      <c r="D371" s="989"/>
      <c r="E371" s="989"/>
      <c r="F371" s="989"/>
      <c r="G371" s="989"/>
      <c r="H371" s="992" t="str">
        <f t="shared" si="16"/>
        <v/>
      </c>
      <c r="I371" s="989"/>
      <c r="J371" s="989"/>
      <c r="K371" s="989"/>
      <c r="L371" s="989"/>
      <c r="M371" s="989"/>
      <c r="N371" s="989"/>
      <c r="O371" s="989"/>
      <c r="P371" s="989"/>
      <c r="Q371" s="989"/>
      <c r="R371" s="989"/>
      <c r="S371" s="989"/>
      <c r="T371" s="989"/>
      <c r="U371" s="989"/>
      <c r="V371" s="989"/>
      <c r="W371" s="989"/>
      <c r="X371" s="989"/>
      <c r="Y371" s="989"/>
      <c r="Z371" s="989"/>
      <c r="AA371" s="989"/>
      <c r="AB371" s="989"/>
      <c r="AC371" s="989"/>
      <c r="AD371" s="989"/>
      <c r="AE371" s="989"/>
    </row>
    <row r="372">
      <c r="A372" s="989"/>
      <c r="B372" s="989"/>
      <c r="C372" s="989"/>
      <c r="D372" s="989"/>
      <c r="E372" s="989"/>
      <c r="F372" s="989"/>
      <c r="G372" s="989"/>
      <c r="H372" s="992" t="str">
        <f t="shared" si="16"/>
        <v/>
      </c>
      <c r="I372" s="989"/>
      <c r="J372" s="989"/>
      <c r="K372" s="989"/>
      <c r="L372" s="989"/>
      <c r="M372" s="989"/>
      <c r="N372" s="989"/>
      <c r="O372" s="989"/>
      <c r="P372" s="989"/>
      <c r="Q372" s="989"/>
      <c r="R372" s="989"/>
      <c r="S372" s="989"/>
      <c r="T372" s="989"/>
      <c r="U372" s="989"/>
      <c r="V372" s="989"/>
      <c r="W372" s="989"/>
      <c r="X372" s="989"/>
      <c r="Y372" s="989"/>
      <c r="Z372" s="989"/>
      <c r="AA372" s="989"/>
      <c r="AB372" s="989"/>
      <c r="AC372" s="989"/>
      <c r="AD372" s="989"/>
      <c r="AE372" s="989"/>
    </row>
    <row r="373">
      <c r="A373" s="989"/>
      <c r="B373" s="989"/>
      <c r="C373" s="989"/>
      <c r="D373" s="989"/>
      <c r="E373" s="989"/>
      <c r="F373" s="989"/>
      <c r="G373" s="989"/>
      <c r="H373" s="992" t="str">
        <f t="shared" si="16"/>
        <v/>
      </c>
      <c r="I373" s="989"/>
      <c r="J373" s="989"/>
      <c r="K373" s="989"/>
      <c r="L373" s="989"/>
      <c r="M373" s="989"/>
      <c r="N373" s="989"/>
      <c r="O373" s="989"/>
      <c r="P373" s="989"/>
      <c r="Q373" s="989"/>
      <c r="R373" s="989"/>
      <c r="S373" s="989"/>
      <c r="T373" s="989"/>
      <c r="U373" s="989"/>
      <c r="V373" s="989"/>
      <c r="W373" s="989"/>
      <c r="X373" s="989"/>
      <c r="Y373" s="989"/>
      <c r="Z373" s="989"/>
      <c r="AA373" s="989"/>
      <c r="AB373" s="989"/>
      <c r="AC373" s="989"/>
      <c r="AD373" s="989"/>
      <c r="AE373" s="989"/>
    </row>
    <row r="374">
      <c r="A374" s="989"/>
      <c r="B374" s="989"/>
      <c r="C374" s="989"/>
      <c r="D374" s="989"/>
      <c r="E374" s="989"/>
      <c r="F374" s="989"/>
      <c r="G374" s="989"/>
      <c r="H374" s="992" t="str">
        <f t="shared" si="16"/>
        <v/>
      </c>
      <c r="I374" s="989"/>
      <c r="J374" s="989"/>
      <c r="K374" s="989"/>
      <c r="L374" s="989"/>
      <c r="M374" s="989"/>
      <c r="N374" s="989"/>
      <c r="O374" s="989"/>
      <c r="P374" s="989"/>
      <c r="Q374" s="989"/>
      <c r="R374" s="989"/>
      <c r="S374" s="989"/>
      <c r="T374" s="989"/>
      <c r="U374" s="989"/>
      <c r="V374" s="989"/>
      <c r="W374" s="989"/>
      <c r="X374" s="989"/>
      <c r="Y374" s="989"/>
      <c r="Z374" s="989"/>
      <c r="AA374" s="989"/>
      <c r="AB374" s="989"/>
      <c r="AC374" s="989"/>
      <c r="AD374" s="989"/>
      <c r="AE374" s="989"/>
    </row>
    <row r="375">
      <c r="A375" s="989"/>
      <c r="B375" s="989"/>
      <c r="C375" s="989"/>
      <c r="D375" s="989"/>
      <c r="E375" s="989"/>
      <c r="F375" s="989"/>
      <c r="G375" s="989"/>
      <c r="H375" s="992" t="str">
        <f t="shared" si="16"/>
        <v/>
      </c>
      <c r="I375" s="989"/>
      <c r="J375" s="989"/>
      <c r="K375" s="989"/>
      <c r="L375" s="989"/>
      <c r="M375" s="989"/>
      <c r="N375" s="989"/>
      <c r="O375" s="989"/>
      <c r="P375" s="989"/>
      <c r="Q375" s="989"/>
      <c r="R375" s="989"/>
      <c r="S375" s="989"/>
      <c r="T375" s="989"/>
      <c r="U375" s="989"/>
      <c r="V375" s="989"/>
      <c r="W375" s="989"/>
      <c r="X375" s="989"/>
      <c r="Y375" s="989"/>
      <c r="Z375" s="989"/>
      <c r="AA375" s="989"/>
      <c r="AB375" s="989"/>
      <c r="AC375" s="989"/>
      <c r="AD375" s="989"/>
      <c r="AE375" s="989"/>
    </row>
    <row r="376">
      <c r="A376" s="989"/>
      <c r="B376" s="989"/>
      <c r="C376" s="989"/>
      <c r="D376" s="989"/>
      <c r="E376" s="989"/>
      <c r="F376" s="989"/>
      <c r="G376" s="989"/>
      <c r="H376" s="992" t="str">
        <f t="shared" si="16"/>
        <v/>
      </c>
      <c r="I376" s="989"/>
      <c r="J376" s="989"/>
      <c r="K376" s="989"/>
      <c r="L376" s="989"/>
      <c r="M376" s="989"/>
      <c r="N376" s="989"/>
      <c r="O376" s="989"/>
      <c r="P376" s="989"/>
      <c r="Q376" s="989"/>
      <c r="R376" s="989"/>
      <c r="S376" s="989"/>
      <c r="T376" s="989"/>
      <c r="U376" s="989"/>
      <c r="V376" s="989"/>
      <c r="W376" s="989"/>
      <c r="X376" s="989"/>
      <c r="Y376" s="989"/>
      <c r="Z376" s="989"/>
      <c r="AA376" s="989"/>
      <c r="AB376" s="989"/>
      <c r="AC376" s="989"/>
      <c r="AD376" s="989"/>
      <c r="AE376" s="989"/>
    </row>
    <row r="377">
      <c r="A377" s="989"/>
      <c r="B377" s="989"/>
      <c r="C377" s="989"/>
      <c r="D377" s="989"/>
      <c r="E377" s="989"/>
      <c r="F377" s="989"/>
      <c r="G377" s="989"/>
      <c r="H377" s="992" t="str">
        <f t="shared" si="16"/>
        <v/>
      </c>
      <c r="I377" s="989"/>
      <c r="J377" s="989"/>
      <c r="K377" s="989"/>
      <c r="L377" s="989"/>
      <c r="M377" s="989"/>
      <c r="N377" s="989"/>
      <c r="O377" s="989"/>
      <c r="P377" s="989"/>
      <c r="Q377" s="989"/>
      <c r="R377" s="989"/>
      <c r="S377" s="989"/>
      <c r="T377" s="989"/>
      <c r="U377" s="989"/>
      <c r="V377" s="989"/>
      <c r="W377" s="989"/>
      <c r="X377" s="989"/>
      <c r="Y377" s="989"/>
      <c r="Z377" s="989"/>
      <c r="AA377" s="989"/>
      <c r="AB377" s="989"/>
      <c r="AC377" s="989"/>
      <c r="AD377" s="989"/>
      <c r="AE377" s="989"/>
    </row>
    <row r="378">
      <c r="A378" s="989"/>
      <c r="B378" s="989"/>
      <c r="C378" s="989"/>
      <c r="D378" s="989"/>
      <c r="E378" s="989"/>
      <c r="F378" s="989"/>
      <c r="G378" s="989"/>
      <c r="H378" s="992" t="str">
        <f t="shared" si="16"/>
        <v/>
      </c>
      <c r="I378" s="989"/>
      <c r="J378" s="989"/>
      <c r="K378" s="989"/>
      <c r="L378" s="989"/>
      <c r="M378" s="989"/>
      <c r="N378" s="989"/>
      <c r="O378" s="989"/>
      <c r="P378" s="989"/>
      <c r="Q378" s="989"/>
      <c r="R378" s="989"/>
      <c r="S378" s="989"/>
      <c r="T378" s="989"/>
      <c r="U378" s="989"/>
      <c r="V378" s="989"/>
      <c r="W378" s="989"/>
      <c r="X378" s="989"/>
      <c r="Y378" s="989"/>
      <c r="Z378" s="989"/>
      <c r="AA378" s="989"/>
      <c r="AB378" s="989"/>
      <c r="AC378" s="989"/>
      <c r="AD378" s="989"/>
      <c r="AE378" s="989"/>
    </row>
    <row r="379">
      <c r="A379" s="989"/>
      <c r="B379" s="989"/>
      <c r="C379" s="989"/>
      <c r="D379" s="989"/>
      <c r="E379" s="989"/>
      <c r="F379" s="989"/>
      <c r="G379" s="989"/>
      <c r="H379" s="992" t="str">
        <f t="shared" si="16"/>
        <v/>
      </c>
      <c r="I379" s="989"/>
      <c r="J379" s="989"/>
      <c r="K379" s="989"/>
      <c r="L379" s="989"/>
      <c r="M379" s="989"/>
      <c r="N379" s="989"/>
      <c r="O379" s="989"/>
      <c r="P379" s="989"/>
      <c r="Q379" s="989"/>
      <c r="R379" s="989"/>
      <c r="S379" s="989"/>
      <c r="T379" s="989"/>
      <c r="U379" s="989"/>
      <c r="V379" s="989"/>
      <c r="W379" s="989"/>
      <c r="X379" s="989"/>
      <c r="Y379" s="989"/>
      <c r="Z379" s="989"/>
      <c r="AA379" s="989"/>
      <c r="AB379" s="989"/>
      <c r="AC379" s="989"/>
      <c r="AD379" s="989"/>
      <c r="AE379" s="989"/>
    </row>
    <row r="380">
      <c r="A380" s="989"/>
      <c r="B380" s="989"/>
      <c r="C380" s="989"/>
      <c r="D380" s="989"/>
      <c r="E380" s="989"/>
      <c r="F380" s="989"/>
      <c r="G380" s="989"/>
      <c r="H380" s="992" t="str">
        <f t="shared" si="16"/>
        <v/>
      </c>
      <c r="I380" s="989"/>
      <c r="J380" s="989"/>
      <c r="K380" s="989"/>
      <c r="L380" s="989"/>
      <c r="M380" s="989"/>
      <c r="N380" s="989"/>
      <c r="O380" s="989"/>
      <c r="P380" s="989"/>
      <c r="Q380" s="989"/>
      <c r="R380" s="989"/>
      <c r="S380" s="989"/>
      <c r="T380" s="989"/>
      <c r="U380" s="989"/>
      <c r="V380" s="989"/>
      <c r="W380" s="989"/>
      <c r="X380" s="989"/>
      <c r="Y380" s="989"/>
      <c r="Z380" s="989"/>
      <c r="AA380" s="989"/>
      <c r="AB380" s="989"/>
      <c r="AC380" s="989"/>
      <c r="AD380" s="989"/>
      <c r="AE380" s="989"/>
    </row>
    <row r="381">
      <c r="A381" s="989"/>
      <c r="B381" s="989"/>
      <c r="C381" s="989"/>
      <c r="D381" s="989"/>
      <c r="E381" s="989"/>
      <c r="F381" s="989"/>
      <c r="G381" s="989"/>
      <c r="H381" s="992" t="str">
        <f t="shared" si="16"/>
        <v/>
      </c>
      <c r="I381" s="989"/>
      <c r="J381" s="989"/>
      <c r="K381" s="989"/>
      <c r="L381" s="989"/>
      <c r="M381" s="989"/>
      <c r="N381" s="989"/>
      <c r="O381" s="989"/>
      <c r="P381" s="989"/>
      <c r="Q381" s="989"/>
      <c r="R381" s="989"/>
      <c r="S381" s="989"/>
      <c r="T381" s="989"/>
      <c r="U381" s="989"/>
      <c r="V381" s="989"/>
      <c r="W381" s="989"/>
      <c r="X381" s="989"/>
      <c r="Y381" s="989"/>
      <c r="Z381" s="989"/>
      <c r="AA381" s="989"/>
      <c r="AB381" s="989"/>
      <c r="AC381" s="989"/>
      <c r="AD381" s="989"/>
      <c r="AE381" s="989"/>
    </row>
    <row r="382">
      <c r="A382" s="989"/>
      <c r="B382" s="989"/>
      <c r="C382" s="989"/>
      <c r="D382" s="989"/>
      <c r="E382" s="989"/>
      <c r="F382" s="989"/>
      <c r="G382" s="989"/>
      <c r="H382" s="992" t="str">
        <f t="shared" si="16"/>
        <v/>
      </c>
      <c r="I382" s="989"/>
      <c r="J382" s="989"/>
      <c r="K382" s="989"/>
      <c r="L382" s="989"/>
      <c r="M382" s="989"/>
      <c r="N382" s="989"/>
      <c r="O382" s="989"/>
      <c r="P382" s="989"/>
      <c r="Q382" s="989"/>
      <c r="R382" s="989"/>
      <c r="S382" s="989"/>
      <c r="T382" s="989"/>
      <c r="U382" s="989"/>
      <c r="V382" s="989"/>
      <c r="W382" s="989"/>
      <c r="X382" s="989"/>
      <c r="Y382" s="989"/>
      <c r="Z382" s="989"/>
      <c r="AA382" s="989"/>
      <c r="AB382" s="989"/>
      <c r="AC382" s="989"/>
      <c r="AD382" s="989"/>
      <c r="AE382" s="989"/>
    </row>
    <row r="383">
      <c r="A383" s="989"/>
      <c r="B383" s="989"/>
      <c r="C383" s="989"/>
      <c r="D383" s="989"/>
      <c r="E383" s="989"/>
      <c r="F383" s="989"/>
      <c r="G383" s="989"/>
      <c r="H383" s="992" t="str">
        <f t="shared" si="16"/>
        <v/>
      </c>
      <c r="I383" s="989"/>
      <c r="J383" s="989"/>
      <c r="K383" s="989"/>
      <c r="L383" s="989"/>
      <c r="M383" s="989"/>
      <c r="N383" s="989"/>
      <c r="O383" s="989"/>
      <c r="P383" s="989"/>
      <c r="Q383" s="989"/>
      <c r="R383" s="989"/>
      <c r="S383" s="989"/>
      <c r="T383" s="989"/>
      <c r="U383" s="989"/>
      <c r="V383" s="989"/>
      <c r="W383" s="989"/>
      <c r="X383" s="989"/>
      <c r="Y383" s="989"/>
      <c r="Z383" s="989"/>
      <c r="AA383" s="989"/>
      <c r="AB383" s="989"/>
      <c r="AC383" s="989"/>
      <c r="AD383" s="989"/>
      <c r="AE383" s="989"/>
    </row>
    <row r="384">
      <c r="A384" s="989"/>
      <c r="B384" s="989"/>
      <c r="C384" s="989"/>
      <c r="D384" s="989"/>
      <c r="E384" s="989"/>
      <c r="F384" s="989"/>
      <c r="G384" s="989"/>
      <c r="H384" s="992" t="str">
        <f t="shared" si="16"/>
        <v/>
      </c>
      <c r="I384" s="989"/>
      <c r="J384" s="989"/>
      <c r="K384" s="989"/>
      <c r="L384" s="989"/>
      <c r="M384" s="989"/>
      <c r="N384" s="989"/>
      <c r="O384" s="989"/>
      <c r="P384" s="989"/>
      <c r="Q384" s="989"/>
      <c r="R384" s="989"/>
      <c r="S384" s="989"/>
      <c r="T384" s="989"/>
      <c r="U384" s="989"/>
      <c r="V384" s="989"/>
      <c r="W384" s="989"/>
      <c r="X384" s="989"/>
      <c r="Y384" s="989"/>
      <c r="Z384" s="989"/>
      <c r="AA384" s="989"/>
      <c r="AB384" s="989"/>
      <c r="AC384" s="989"/>
      <c r="AD384" s="989"/>
      <c r="AE384" s="989"/>
    </row>
    <row r="385">
      <c r="A385" s="989"/>
      <c r="B385" s="989"/>
      <c r="C385" s="989"/>
      <c r="D385" s="989"/>
      <c r="E385" s="989"/>
      <c r="F385" s="989"/>
      <c r="G385" s="989"/>
      <c r="H385" s="992" t="str">
        <f t="shared" si="16"/>
        <v/>
      </c>
      <c r="I385" s="989"/>
      <c r="J385" s="989"/>
      <c r="K385" s="989"/>
      <c r="L385" s="989"/>
      <c r="M385" s="989"/>
      <c r="N385" s="989"/>
      <c r="O385" s="989"/>
      <c r="P385" s="989"/>
      <c r="Q385" s="989"/>
      <c r="R385" s="989"/>
      <c r="S385" s="989"/>
      <c r="T385" s="989"/>
      <c r="U385" s="989"/>
      <c r="V385" s="989"/>
      <c r="W385" s="989"/>
      <c r="X385" s="989"/>
      <c r="Y385" s="989"/>
      <c r="Z385" s="989"/>
      <c r="AA385" s="989"/>
      <c r="AB385" s="989"/>
      <c r="AC385" s="989"/>
      <c r="AD385" s="989"/>
      <c r="AE385" s="989"/>
    </row>
    <row r="386">
      <c r="A386" s="989"/>
      <c r="B386" s="989"/>
      <c r="C386" s="989"/>
      <c r="D386" s="989"/>
      <c r="E386" s="989"/>
      <c r="F386" s="989"/>
      <c r="G386" s="989"/>
      <c r="H386" s="992" t="str">
        <f t="shared" si="16"/>
        <v/>
      </c>
      <c r="I386" s="989"/>
      <c r="J386" s="989"/>
      <c r="K386" s="989"/>
      <c r="L386" s="989"/>
      <c r="M386" s="989"/>
      <c r="N386" s="989"/>
      <c r="O386" s="989"/>
      <c r="P386" s="989"/>
      <c r="Q386" s="989"/>
      <c r="R386" s="989"/>
      <c r="S386" s="989"/>
      <c r="T386" s="989"/>
      <c r="U386" s="989"/>
      <c r="V386" s="989"/>
      <c r="W386" s="989"/>
      <c r="X386" s="989"/>
      <c r="Y386" s="989"/>
      <c r="Z386" s="989"/>
      <c r="AA386" s="989"/>
      <c r="AB386" s="989"/>
      <c r="AC386" s="989"/>
      <c r="AD386" s="989"/>
      <c r="AE386" s="989"/>
    </row>
    <row r="387">
      <c r="A387" s="989"/>
      <c r="B387" s="989"/>
      <c r="C387" s="989"/>
      <c r="D387" s="989"/>
      <c r="E387" s="989"/>
      <c r="F387" s="989"/>
      <c r="G387" s="989"/>
      <c r="H387" s="992" t="str">
        <f t="shared" si="16"/>
        <v/>
      </c>
      <c r="I387" s="989"/>
      <c r="J387" s="989"/>
      <c r="K387" s="989"/>
      <c r="L387" s="989"/>
      <c r="M387" s="989"/>
      <c r="N387" s="989"/>
      <c r="O387" s="989"/>
      <c r="P387" s="989"/>
      <c r="Q387" s="989"/>
      <c r="R387" s="989"/>
      <c r="S387" s="989"/>
      <c r="T387" s="989"/>
      <c r="U387" s="989"/>
      <c r="V387" s="989"/>
      <c r="W387" s="989"/>
      <c r="X387" s="989"/>
      <c r="Y387" s="989"/>
      <c r="Z387" s="989"/>
      <c r="AA387" s="989"/>
      <c r="AB387" s="989"/>
      <c r="AC387" s="989"/>
      <c r="AD387" s="989"/>
      <c r="AE387" s="989"/>
    </row>
    <row r="388">
      <c r="A388" s="989"/>
      <c r="B388" s="989"/>
      <c r="C388" s="989"/>
      <c r="D388" s="989"/>
      <c r="E388" s="989"/>
      <c r="F388" s="989"/>
      <c r="G388" s="989"/>
      <c r="H388" s="992" t="str">
        <f t="shared" si="16"/>
        <v/>
      </c>
      <c r="I388" s="989"/>
      <c r="J388" s="989"/>
      <c r="K388" s="989"/>
      <c r="L388" s="989"/>
      <c r="M388" s="989"/>
      <c r="N388" s="989"/>
      <c r="O388" s="989"/>
      <c r="P388" s="989"/>
      <c r="Q388" s="989"/>
      <c r="R388" s="989"/>
      <c r="S388" s="989"/>
      <c r="T388" s="989"/>
      <c r="U388" s="989"/>
      <c r="V388" s="989"/>
      <c r="W388" s="989"/>
      <c r="X388" s="989"/>
      <c r="Y388" s="989"/>
      <c r="Z388" s="989"/>
      <c r="AA388" s="989"/>
      <c r="AB388" s="989"/>
      <c r="AC388" s="989"/>
      <c r="AD388" s="989"/>
      <c r="AE388" s="989"/>
    </row>
    <row r="389">
      <c r="A389" s="989"/>
      <c r="B389" s="989"/>
      <c r="C389" s="989"/>
      <c r="D389" s="989"/>
      <c r="E389" s="989"/>
      <c r="F389" s="989"/>
      <c r="G389" s="989"/>
      <c r="H389" s="992" t="str">
        <f t="shared" si="16"/>
        <v/>
      </c>
      <c r="I389" s="989"/>
      <c r="J389" s="989"/>
      <c r="K389" s="989"/>
      <c r="L389" s="989"/>
      <c r="M389" s="989"/>
      <c r="N389" s="989"/>
      <c r="O389" s="989"/>
      <c r="P389" s="989"/>
      <c r="Q389" s="989"/>
      <c r="R389" s="989"/>
      <c r="S389" s="989"/>
      <c r="T389" s="989"/>
      <c r="U389" s="989"/>
      <c r="V389" s="989"/>
      <c r="W389" s="989"/>
      <c r="X389" s="989"/>
      <c r="Y389" s="989"/>
      <c r="Z389" s="989"/>
      <c r="AA389" s="989"/>
      <c r="AB389" s="989"/>
      <c r="AC389" s="989"/>
      <c r="AD389" s="989"/>
      <c r="AE389" s="989"/>
    </row>
    <row r="390">
      <c r="A390" s="989"/>
      <c r="B390" s="989"/>
      <c r="C390" s="989"/>
      <c r="D390" s="989"/>
      <c r="E390" s="989"/>
      <c r="F390" s="989"/>
      <c r="G390" s="989"/>
      <c r="H390" s="992" t="str">
        <f t="shared" si="16"/>
        <v/>
      </c>
      <c r="I390" s="989"/>
      <c r="J390" s="989"/>
      <c r="K390" s="989"/>
      <c r="L390" s="989"/>
      <c r="M390" s="989"/>
      <c r="N390" s="989"/>
      <c r="O390" s="989"/>
      <c r="P390" s="989"/>
      <c r="Q390" s="989"/>
      <c r="R390" s="989"/>
      <c r="S390" s="989"/>
      <c r="T390" s="989"/>
      <c r="U390" s="989"/>
      <c r="V390" s="989"/>
      <c r="W390" s="989"/>
      <c r="X390" s="989"/>
      <c r="Y390" s="989"/>
      <c r="Z390" s="989"/>
      <c r="AA390" s="989"/>
      <c r="AB390" s="989"/>
      <c r="AC390" s="989"/>
      <c r="AD390" s="989"/>
      <c r="AE390" s="989"/>
    </row>
    <row r="391">
      <c r="A391" s="989"/>
      <c r="B391" s="989"/>
      <c r="C391" s="989"/>
      <c r="D391" s="989"/>
      <c r="E391" s="989"/>
      <c r="F391" s="989"/>
      <c r="G391" s="989"/>
      <c r="H391" s="992" t="str">
        <f t="shared" si="16"/>
        <v/>
      </c>
      <c r="I391" s="989"/>
      <c r="J391" s="989"/>
      <c r="K391" s="989"/>
      <c r="L391" s="989"/>
      <c r="M391" s="989"/>
      <c r="N391" s="989"/>
      <c r="O391" s="989"/>
      <c r="P391" s="989"/>
      <c r="Q391" s="989"/>
      <c r="R391" s="989"/>
      <c r="S391" s="989"/>
      <c r="T391" s="989"/>
      <c r="U391" s="989"/>
      <c r="V391" s="989"/>
      <c r="W391" s="989"/>
      <c r="X391" s="989"/>
      <c r="Y391" s="989"/>
      <c r="Z391" s="989"/>
      <c r="AA391" s="989"/>
      <c r="AB391" s="989"/>
      <c r="AC391" s="989"/>
      <c r="AD391" s="989"/>
      <c r="AE391" s="989"/>
    </row>
    <row r="392">
      <c r="A392" s="989"/>
      <c r="B392" s="989"/>
      <c r="C392" s="989"/>
      <c r="D392" s="989"/>
      <c r="E392" s="989"/>
      <c r="F392" s="989"/>
      <c r="G392" s="989"/>
      <c r="H392" s="992" t="str">
        <f t="shared" si="16"/>
        <v/>
      </c>
      <c r="I392" s="989"/>
      <c r="J392" s="989"/>
      <c r="K392" s="989"/>
      <c r="L392" s="989"/>
      <c r="M392" s="989"/>
      <c r="N392" s="989"/>
      <c r="O392" s="989"/>
      <c r="P392" s="989"/>
      <c r="Q392" s="989"/>
      <c r="R392" s="989"/>
      <c r="S392" s="989"/>
      <c r="T392" s="989"/>
      <c r="U392" s="989"/>
      <c r="V392" s="989"/>
      <c r="W392" s="989"/>
      <c r="X392" s="989"/>
      <c r="Y392" s="989"/>
      <c r="Z392" s="989"/>
      <c r="AA392" s="989"/>
      <c r="AB392" s="989"/>
      <c r="AC392" s="989"/>
      <c r="AD392" s="989"/>
      <c r="AE392" s="989"/>
    </row>
    <row r="393">
      <c r="A393" s="989"/>
      <c r="B393" s="989"/>
      <c r="C393" s="989"/>
      <c r="D393" s="989"/>
      <c r="E393" s="989"/>
      <c r="F393" s="989"/>
      <c r="G393" s="989"/>
      <c r="H393" s="992" t="str">
        <f t="shared" si="16"/>
        <v/>
      </c>
      <c r="I393" s="989"/>
      <c r="J393" s="989"/>
      <c r="K393" s="989"/>
      <c r="L393" s="989"/>
      <c r="M393" s="989"/>
      <c r="N393" s="989"/>
      <c r="O393" s="989"/>
      <c r="P393" s="989"/>
      <c r="Q393" s="989"/>
      <c r="R393" s="989"/>
      <c r="S393" s="989"/>
      <c r="T393" s="989"/>
      <c r="U393" s="989"/>
      <c r="V393" s="989"/>
      <c r="W393" s="989"/>
      <c r="X393" s="989"/>
      <c r="Y393" s="989"/>
      <c r="Z393" s="989"/>
      <c r="AA393" s="989"/>
      <c r="AB393" s="989"/>
      <c r="AC393" s="989"/>
      <c r="AD393" s="989"/>
      <c r="AE393" s="989"/>
    </row>
    <row r="394">
      <c r="A394" s="989"/>
      <c r="B394" s="989"/>
      <c r="C394" s="989"/>
      <c r="D394" s="989"/>
      <c r="E394" s="989"/>
      <c r="F394" s="989"/>
      <c r="G394" s="989"/>
      <c r="H394" s="992" t="str">
        <f t="shared" si="16"/>
        <v/>
      </c>
      <c r="I394" s="989"/>
      <c r="J394" s="989"/>
      <c r="K394" s="989"/>
      <c r="L394" s="989"/>
      <c r="M394" s="989"/>
      <c r="N394" s="989"/>
      <c r="O394" s="989"/>
      <c r="P394" s="989"/>
      <c r="Q394" s="989"/>
      <c r="R394" s="989"/>
      <c r="S394" s="989"/>
      <c r="T394" s="989"/>
      <c r="U394" s="989"/>
      <c r="V394" s="989"/>
      <c r="W394" s="989"/>
      <c r="X394" s="989"/>
      <c r="Y394" s="989"/>
      <c r="Z394" s="989"/>
      <c r="AA394" s="989"/>
      <c r="AB394" s="989"/>
      <c r="AC394" s="989"/>
      <c r="AD394" s="989"/>
      <c r="AE394" s="989"/>
    </row>
    <row r="395">
      <c r="A395" s="989"/>
      <c r="B395" s="989"/>
      <c r="C395" s="989"/>
      <c r="D395" s="989"/>
      <c r="E395" s="989"/>
      <c r="F395" s="989"/>
      <c r="G395" s="989"/>
      <c r="H395" s="992" t="str">
        <f t="shared" si="16"/>
        <v/>
      </c>
      <c r="I395" s="989"/>
      <c r="J395" s="989"/>
      <c r="K395" s="989"/>
      <c r="L395" s="989"/>
      <c r="M395" s="989"/>
      <c r="N395" s="989"/>
      <c r="O395" s="989"/>
      <c r="P395" s="989"/>
      <c r="Q395" s="989"/>
      <c r="R395" s="989"/>
      <c r="S395" s="989"/>
      <c r="T395" s="989"/>
      <c r="U395" s="989"/>
      <c r="V395" s="989"/>
      <c r="W395" s="989"/>
      <c r="X395" s="989"/>
      <c r="Y395" s="989"/>
      <c r="Z395" s="989"/>
      <c r="AA395" s="989"/>
      <c r="AB395" s="989"/>
      <c r="AC395" s="989"/>
      <c r="AD395" s="989"/>
      <c r="AE395" s="989"/>
    </row>
    <row r="396">
      <c r="A396" s="989"/>
      <c r="B396" s="989"/>
      <c r="C396" s="989"/>
      <c r="D396" s="989"/>
      <c r="E396" s="989"/>
      <c r="F396" s="989"/>
      <c r="G396" s="989"/>
      <c r="H396" s="992" t="str">
        <f t="shared" si="16"/>
        <v/>
      </c>
      <c r="I396" s="989"/>
      <c r="J396" s="989"/>
      <c r="K396" s="989"/>
      <c r="L396" s="989"/>
      <c r="M396" s="989"/>
      <c r="N396" s="989"/>
      <c r="O396" s="989"/>
      <c r="P396" s="989"/>
      <c r="Q396" s="989"/>
      <c r="R396" s="989"/>
      <c r="S396" s="989"/>
      <c r="T396" s="989"/>
      <c r="U396" s="989"/>
      <c r="V396" s="989"/>
      <c r="W396" s="989"/>
      <c r="X396" s="989"/>
      <c r="Y396" s="989"/>
      <c r="Z396" s="989"/>
      <c r="AA396" s="989"/>
      <c r="AB396" s="989"/>
      <c r="AC396" s="989"/>
      <c r="AD396" s="989"/>
      <c r="AE396" s="989"/>
    </row>
    <row r="397">
      <c r="A397" s="989"/>
      <c r="B397" s="989"/>
      <c r="C397" s="989"/>
      <c r="D397" s="989"/>
      <c r="E397" s="989"/>
      <c r="F397" s="989"/>
      <c r="G397" s="989"/>
      <c r="H397" s="992" t="str">
        <f t="shared" si="16"/>
        <v/>
      </c>
      <c r="I397" s="989"/>
      <c r="J397" s="989"/>
      <c r="K397" s="989"/>
      <c r="L397" s="989"/>
      <c r="M397" s="989"/>
      <c r="N397" s="989"/>
      <c r="O397" s="989"/>
      <c r="P397" s="989"/>
      <c r="Q397" s="989"/>
      <c r="R397" s="989"/>
      <c r="S397" s="989"/>
      <c r="T397" s="989"/>
      <c r="U397" s="989"/>
      <c r="V397" s="989"/>
      <c r="W397" s="989"/>
      <c r="X397" s="989"/>
      <c r="Y397" s="989"/>
      <c r="Z397" s="989"/>
      <c r="AA397" s="989"/>
      <c r="AB397" s="989"/>
      <c r="AC397" s="989"/>
      <c r="AD397" s="989"/>
      <c r="AE397" s="989"/>
    </row>
    <row r="398">
      <c r="A398" s="989"/>
      <c r="B398" s="989"/>
      <c r="C398" s="989"/>
      <c r="D398" s="989"/>
      <c r="E398" s="989"/>
      <c r="F398" s="989"/>
      <c r="G398" s="989"/>
      <c r="H398" s="992" t="str">
        <f t="shared" si="16"/>
        <v/>
      </c>
      <c r="I398" s="989"/>
      <c r="J398" s="989"/>
      <c r="K398" s="989"/>
      <c r="L398" s="989"/>
      <c r="M398" s="989"/>
      <c r="N398" s="989"/>
      <c r="O398" s="989"/>
      <c r="P398" s="989"/>
      <c r="Q398" s="989"/>
      <c r="R398" s="989"/>
      <c r="S398" s="989"/>
      <c r="T398" s="989"/>
      <c r="U398" s="989"/>
      <c r="V398" s="989"/>
      <c r="W398" s="989"/>
      <c r="X398" s="989"/>
      <c r="Y398" s="989"/>
      <c r="Z398" s="989"/>
      <c r="AA398" s="989"/>
      <c r="AB398" s="989"/>
      <c r="AC398" s="989"/>
      <c r="AD398" s="989"/>
      <c r="AE398" s="989"/>
    </row>
    <row r="399">
      <c r="A399" s="989"/>
      <c r="B399" s="989"/>
      <c r="C399" s="989"/>
      <c r="D399" s="989"/>
      <c r="E399" s="989"/>
      <c r="F399" s="989"/>
      <c r="G399" s="989"/>
      <c r="H399" s="992" t="str">
        <f t="shared" si="16"/>
        <v/>
      </c>
      <c r="I399" s="989"/>
      <c r="J399" s="989"/>
      <c r="K399" s="989"/>
      <c r="L399" s="989"/>
      <c r="M399" s="989"/>
      <c r="N399" s="989"/>
      <c r="O399" s="989"/>
      <c r="P399" s="989"/>
      <c r="Q399" s="989"/>
      <c r="R399" s="989"/>
      <c r="S399" s="989"/>
      <c r="T399" s="989"/>
      <c r="U399" s="989"/>
      <c r="V399" s="989"/>
      <c r="W399" s="989"/>
      <c r="X399" s="989"/>
      <c r="Y399" s="989"/>
      <c r="Z399" s="989"/>
      <c r="AA399" s="989"/>
      <c r="AB399" s="989"/>
      <c r="AC399" s="989"/>
      <c r="AD399" s="989"/>
      <c r="AE399" s="989"/>
    </row>
    <row r="400">
      <c r="A400" s="989"/>
      <c r="B400" s="989"/>
      <c r="C400" s="989"/>
      <c r="D400" s="989"/>
      <c r="E400" s="989"/>
      <c r="F400" s="989"/>
      <c r="G400" s="989"/>
      <c r="H400" s="992" t="str">
        <f t="shared" si="16"/>
        <v/>
      </c>
      <c r="I400" s="989"/>
      <c r="J400" s="989"/>
      <c r="K400" s="989"/>
      <c r="L400" s="989"/>
      <c r="M400" s="989"/>
      <c r="N400" s="989"/>
      <c r="O400" s="989"/>
      <c r="P400" s="989"/>
      <c r="Q400" s="989"/>
      <c r="R400" s="989"/>
      <c r="S400" s="989"/>
      <c r="T400" s="989"/>
      <c r="U400" s="989"/>
      <c r="V400" s="989"/>
      <c r="W400" s="989"/>
      <c r="X400" s="989"/>
      <c r="Y400" s="989"/>
      <c r="Z400" s="989"/>
      <c r="AA400" s="989"/>
      <c r="AB400" s="989"/>
      <c r="AC400" s="989"/>
      <c r="AD400" s="989"/>
      <c r="AE400" s="989"/>
    </row>
    <row r="401">
      <c r="A401" s="989"/>
      <c r="B401" s="989"/>
      <c r="C401" s="989"/>
      <c r="D401" s="989"/>
      <c r="E401" s="989"/>
      <c r="F401" s="989"/>
      <c r="G401" s="989"/>
      <c r="H401" s="992" t="str">
        <f t="shared" si="16"/>
        <v/>
      </c>
      <c r="I401" s="989"/>
      <c r="J401" s="989"/>
      <c r="K401" s="989"/>
      <c r="L401" s="989"/>
      <c r="M401" s="989"/>
      <c r="N401" s="989"/>
      <c r="O401" s="989"/>
      <c r="P401" s="989"/>
      <c r="Q401" s="989"/>
      <c r="R401" s="989"/>
      <c r="S401" s="989"/>
      <c r="T401" s="989"/>
      <c r="U401" s="989"/>
      <c r="V401" s="989"/>
      <c r="W401" s="989"/>
      <c r="X401" s="989"/>
      <c r="Y401" s="989"/>
      <c r="Z401" s="989"/>
      <c r="AA401" s="989"/>
      <c r="AB401" s="989"/>
      <c r="AC401" s="989"/>
      <c r="AD401" s="989"/>
      <c r="AE401" s="989"/>
    </row>
    <row r="402">
      <c r="A402" s="989"/>
      <c r="B402" s="989"/>
      <c r="C402" s="989"/>
      <c r="D402" s="989"/>
      <c r="E402" s="989"/>
      <c r="F402" s="989"/>
      <c r="G402" s="989"/>
      <c r="H402" s="992" t="str">
        <f t="shared" si="16"/>
        <v/>
      </c>
      <c r="I402" s="989"/>
      <c r="J402" s="989"/>
      <c r="K402" s="989"/>
      <c r="L402" s="989"/>
      <c r="M402" s="989"/>
      <c r="N402" s="989"/>
      <c r="O402" s="989"/>
      <c r="P402" s="989"/>
      <c r="Q402" s="989"/>
      <c r="R402" s="989"/>
      <c r="S402" s="989"/>
      <c r="T402" s="989"/>
      <c r="U402" s="989"/>
      <c r="V402" s="989"/>
      <c r="W402" s="989"/>
      <c r="X402" s="989"/>
      <c r="Y402" s="989"/>
      <c r="Z402" s="989"/>
      <c r="AA402" s="989"/>
      <c r="AB402" s="989"/>
      <c r="AC402" s="989"/>
      <c r="AD402" s="989"/>
      <c r="AE402" s="989"/>
    </row>
    <row r="403">
      <c r="A403" s="989"/>
      <c r="B403" s="989"/>
      <c r="C403" s="989"/>
      <c r="D403" s="989"/>
      <c r="E403" s="989"/>
      <c r="F403" s="989"/>
      <c r="G403" s="989"/>
      <c r="H403" s="992" t="str">
        <f t="shared" si="16"/>
        <v/>
      </c>
      <c r="I403" s="989"/>
      <c r="J403" s="989"/>
      <c r="K403" s="989"/>
      <c r="L403" s="989"/>
      <c r="M403" s="989"/>
      <c r="N403" s="989"/>
      <c r="O403" s="989"/>
      <c r="P403" s="989"/>
      <c r="Q403" s="989"/>
      <c r="R403" s="989"/>
      <c r="S403" s="989"/>
      <c r="T403" s="989"/>
      <c r="U403" s="989"/>
      <c r="V403" s="989"/>
      <c r="W403" s="989"/>
      <c r="X403" s="989"/>
      <c r="Y403" s="989"/>
      <c r="Z403" s="989"/>
      <c r="AA403" s="989"/>
      <c r="AB403" s="989"/>
      <c r="AC403" s="989"/>
      <c r="AD403" s="989"/>
      <c r="AE403" s="989"/>
    </row>
    <row r="404">
      <c r="A404" s="989"/>
      <c r="B404" s="989"/>
      <c r="C404" s="989"/>
      <c r="D404" s="989"/>
      <c r="E404" s="989"/>
      <c r="F404" s="989"/>
      <c r="G404" s="989"/>
      <c r="H404" s="992" t="str">
        <f t="shared" si="16"/>
        <v/>
      </c>
      <c r="I404" s="989"/>
      <c r="J404" s="989"/>
      <c r="K404" s="989"/>
      <c r="L404" s="989"/>
      <c r="M404" s="989"/>
      <c r="N404" s="989"/>
      <c r="O404" s="989"/>
      <c r="P404" s="989"/>
      <c r="Q404" s="989"/>
      <c r="R404" s="989"/>
      <c r="S404" s="989"/>
      <c r="T404" s="989"/>
      <c r="U404" s="989"/>
      <c r="V404" s="989"/>
      <c r="W404" s="989"/>
      <c r="X404" s="989"/>
      <c r="Y404" s="989"/>
      <c r="Z404" s="989"/>
      <c r="AA404" s="989"/>
      <c r="AB404" s="989"/>
      <c r="AC404" s="989"/>
      <c r="AD404" s="989"/>
      <c r="AE404" s="989"/>
    </row>
    <row r="405">
      <c r="A405" s="989"/>
      <c r="B405" s="989"/>
      <c r="C405" s="989"/>
      <c r="D405" s="989"/>
      <c r="E405" s="989"/>
      <c r="F405" s="989"/>
      <c r="G405" s="989"/>
      <c r="H405" s="992" t="str">
        <f t="shared" si="16"/>
        <v/>
      </c>
      <c r="I405" s="989"/>
      <c r="J405" s="989"/>
      <c r="K405" s="989"/>
      <c r="L405" s="989"/>
      <c r="M405" s="989"/>
      <c r="N405" s="989"/>
      <c r="O405" s="989"/>
      <c r="P405" s="989"/>
      <c r="Q405" s="989"/>
      <c r="R405" s="989"/>
      <c r="S405" s="989"/>
      <c r="T405" s="989"/>
      <c r="U405" s="989"/>
      <c r="V405" s="989"/>
      <c r="W405" s="989"/>
      <c r="X405" s="989"/>
      <c r="Y405" s="989"/>
      <c r="Z405" s="989"/>
      <c r="AA405" s="989"/>
      <c r="AB405" s="989"/>
      <c r="AC405" s="989"/>
      <c r="AD405" s="989"/>
      <c r="AE405" s="989"/>
    </row>
    <row r="406">
      <c r="A406" s="989"/>
      <c r="B406" s="989"/>
      <c r="C406" s="989"/>
      <c r="D406" s="989"/>
      <c r="E406" s="989"/>
      <c r="F406" s="989"/>
      <c r="G406" s="989"/>
      <c r="H406" s="992" t="str">
        <f t="shared" si="16"/>
        <v/>
      </c>
      <c r="I406" s="989"/>
      <c r="J406" s="989"/>
      <c r="K406" s="989"/>
      <c r="L406" s="989"/>
      <c r="M406" s="989"/>
      <c r="N406" s="989"/>
      <c r="O406" s="989"/>
      <c r="P406" s="989"/>
      <c r="Q406" s="989"/>
      <c r="R406" s="989"/>
      <c r="S406" s="989"/>
      <c r="T406" s="989"/>
      <c r="U406" s="989"/>
      <c r="V406" s="989"/>
      <c r="W406" s="989"/>
      <c r="X406" s="989"/>
      <c r="Y406" s="989"/>
      <c r="Z406" s="989"/>
      <c r="AA406" s="989"/>
      <c r="AB406" s="989"/>
      <c r="AC406" s="989"/>
      <c r="AD406" s="989"/>
      <c r="AE406" s="989"/>
    </row>
    <row r="407">
      <c r="A407" s="989"/>
      <c r="B407" s="989"/>
      <c r="C407" s="989"/>
      <c r="D407" s="989"/>
      <c r="E407" s="989"/>
      <c r="F407" s="989"/>
      <c r="G407" s="989"/>
      <c r="H407" s="992" t="str">
        <f t="shared" si="16"/>
        <v/>
      </c>
      <c r="I407" s="989"/>
      <c r="J407" s="989"/>
      <c r="K407" s="989"/>
      <c r="L407" s="989"/>
      <c r="M407" s="989"/>
      <c r="N407" s="989"/>
      <c r="O407" s="989"/>
      <c r="P407" s="989"/>
      <c r="Q407" s="989"/>
      <c r="R407" s="989"/>
      <c r="S407" s="989"/>
      <c r="T407" s="989"/>
      <c r="U407" s="989"/>
      <c r="V407" s="989"/>
      <c r="W407" s="989"/>
      <c r="X407" s="989"/>
      <c r="Y407" s="989"/>
      <c r="Z407" s="989"/>
      <c r="AA407" s="989"/>
      <c r="AB407" s="989"/>
      <c r="AC407" s="989"/>
      <c r="AD407" s="989"/>
      <c r="AE407" s="989"/>
    </row>
    <row r="408">
      <c r="A408" s="989"/>
      <c r="B408" s="989"/>
      <c r="C408" s="989"/>
      <c r="D408" s="989"/>
      <c r="E408" s="989"/>
      <c r="F408" s="989"/>
      <c r="G408" s="989"/>
      <c r="H408" s="992" t="str">
        <f t="shared" si="16"/>
        <v/>
      </c>
      <c r="I408" s="989"/>
      <c r="J408" s="989"/>
      <c r="K408" s="989"/>
      <c r="L408" s="989"/>
      <c r="M408" s="989"/>
      <c r="N408" s="989"/>
      <c r="O408" s="989"/>
      <c r="P408" s="989"/>
      <c r="Q408" s="989"/>
      <c r="R408" s="989"/>
      <c r="S408" s="989"/>
      <c r="T408" s="989"/>
      <c r="U408" s="989"/>
      <c r="V408" s="989"/>
      <c r="W408" s="989"/>
      <c r="X408" s="989"/>
      <c r="Y408" s="989"/>
      <c r="Z408" s="989"/>
      <c r="AA408" s="989"/>
      <c r="AB408" s="989"/>
      <c r="AC408" s="989"/>
      <c r="AD408" s="989"/>
      <c r="AE408" s="989"/>
    </row>
    <row r="409">
      <c r="A409" s="989"/>
      <c r="B409" s="989"/>
      <c r="C409" s="989"/>
      <c r="D409" s="989"/>
      <c r="E409" s="989"/>
      <c r="F409" s="989"/>
      <c r="G409" s="989"/>
      <c r="H409" s="992" t="str">
        <f t="shared" si="16"/>
        <v/>
      </c>
      <c r="I409" s="989"/>
      <c r="J409" s="989"/>
      <c r="K409" s="989"/>
      <c r="L409" s="989"/>
      <c r="M409" s="989"/>
      <c r="N409" s="989"/>
      <c r="O409" s="989"/>
      <c r="P409" s="989"/>
      <c r="Q409" s="989"/>
      <c r="R409" s="989"/>
      <c r="S409" s="989"/>
      <c r="T409" s="989"/>
      <c r="U409" s="989"/>
      <c r="V409" s="989"/>
      <c r="W409" s="989"/>
      <c r="X409" s="989"/>
      <c r="Y409" s="989"/>
      <c r="Z409" s="989"/>
      <c r="AA409" s="989"/>
      <c r="AB409" s="989"/>
      <c r="AC409" s="989"/>
      <c r="AD409" s="989"/>
      <c r="AE409" s="989"/>
    </row>
    <row r="410">
      <c r="A410" s="989"/>
      <c r="B410" s="989"/>
      <c r="C410" s="989"/>
      <c r="D410" s="989"/>
      <c r="E410" s="989"/>
      <c r="F410" s="989"/>
      <c r="G410" s="989"/>
      <c r="H410" s="992" t="str">
        <f t="shared" si="16"/>
        <v/>
      </c>
      <c r="I410" s="989"/>
      <c r="J410" s="989"/>
      <c r="K410" s="989"/>
      <c r="L410" s="989"/>
      <c r="M410" s="989"/>
      <c r="N410" s="989"/>
      <c r="O410" s="989"/>
      <c r="P410" s="989"/>
      <c r="Q410" s="989"/>
      <c r="R410" s="989"/>
      <c r="S410" s="989"/>
      <c r="T410" s="989"/>
      <c r="U410" s="989"/>
      <c r="V410" s="989"/>
      <c r="W410" s="989"/>
      <c r="X410" s="989"/>
      <c r="Y410" s="989"/>
      <c r="Z410" s="989"/>
      <c r="AA410" s="989"/>
      <c r="AB410" s="989"/>
      <c r="AC410" s="989"/>
      <c r="AD410" s="989"/>
      <c r="AE410" s="989"/>
    </row>
    <row r="411">
      <c r="A411" s="989"/>
      <c r="B411" s="989"/>
      <c r="C411" s="989"/>
      <c r="D411" s="989"/>
      <c r="E411" s="989"/>
      <c r="F411" s="989"/>
      <c r="G411" s="989"/>
      <c r="H411" s="992" t="str">
        <f t="shared" si="16"/>
        <v/>
      </c>
      <c r="I411" s="989"/>
      <c r="J411" s="989"/>
      <c r="K411" s="989"/>
      <c r="L411" s="989"/>
      <c r="M411" s="989"/>
      <c r="N411" s="989"/>
      <c r="O411" s="989"/>
      <c r="P411" s="989"/>
      <c r="Q411" s="989"/>
      <c r="R411" s="989"/>
      <c r="S411" s="989"/>
      <c r="T411" s="989"/>
      <c r="U411" s="989"/>
      <c r="V411" s="989"/>
      <c r="W411" s="989"/>
      <c r="X411" s="989"/>
      <c r="Y411" s="989"/>
      <c r="Z411" s="989"/>
      <c r="AA411" s="989"/>
      <c r="AB411" s="989"/>
      <c r="AC411" s="989"/>
      <c r="AD411" s="989"/>
      <c r="AE411" s="989"/>
    </row>
    <row r="412">
      <c r="A412" s="989"/>
      <c r="B412" s="989"/>
      <c r="C412" s="989"/>
      <c r="D412" s="989"/>
      <c r="E412" s="989"/>
      <c r="F412" s="989"/>
      <c r="G412" s="989"/>
      <c r="H412" s="992" t="str">
        <f t="shared" si="16"/>
        <v/>
      </c>
      <c r="I412" s="989"/>
      <c r="J412" s="989"/>
      <c r="K412" s="989"/>
      <c r="L412" s="989"/>
      <c r="M412" s="989"/>
      <c r="N412" s="989"/>
      <c r="O412" s="989"/>
      <c r="P412" s="989"/>
      <c r="Q412" s="989"/>
      <c r="R412" s="989"/>
      <c r="S412" s="989"/>
      <c r="T412" s="989"/>
      <c r="U412" s="989"/>
      <c r="V412" s="989"/>
      <c r="W412" s="989"/>
      <c r="X412" s="989"/>
      <c r="Y412" s="989"/>
      <c r="Z412" s="989"/>
      <c r="AA412" s="989"/>
      <c r="AB412" s="989"/>
      <c r="AC412" s="989"/>
      <c r="AD412" s="989"/>
      <c r="AE412" s="989"/>
    </row>
    <row r="413">
      <c r="A413" s="989"/>
      <c r="B413" s="989"/>
      <c r="C413" s="989"/>
      <c r="D413" s="989"/>
      <c r="E413" s="989"/>
      <c r="F413" s="989"/>
      <c r="G413" s="989"/>
      <c r="H413" s="992" t="str">
        <f t="shared" si="16"/>
        <v/>
      </c>
      <c r="I413" s="989"/>
      <c r="J413" s="989"/>
      <c r="K413" s="989"/>
      <c r="L413" s="989"/>
      <c r="M413" s="989"/>
      <c r="N413" s="989"/>
      <c r="O413" s="989"/>
      <c r="P413" s="989"/>
      <c r="Q413" s="989"/>
      <c r="R413" s="989"/>
      <c r="S413" s="989"/>
      <c r="T413" s="989"/>
      <c r="U413" s="989"/>
      <c r="V413" s="989"/>
      <c r="W413" s="989"/>
      <c r="X413" s="989"/>
      <c r="Y413" s="989"/>
      <c r="Z413" s="989"/>
      <c r="AA413" s="989"/>
      <c r="AB413" s="989"/>
      <c r="AC413" s="989"/>
      <c r="AD413" s="989"/>
      <c r="AE413" s="989"/>
    </row>
    <row r="414">
      <c r="A414" s="989"/>
      <c r="B414" s="989"/>
      <c r="C414" s="989"/>
      <c r="D414" s="989"/>
      <c r="E414" s="989"/>
      <c r="F414" s="989"/>
      <c r="G414" s="989"/>
      <c r="H414" s="992" t="str">
        <f t="shared" si="16"/>
        <v/>
      </c>
      <c r="I414" s="989"/>
      <c r="J414" s="989"/>
      <c r="K414" s="989"/>
      <c r="L414" s="989"/>
      <c r="M414" s="989"/>
      <c r="N414" s="989"/>
      <c r="O414" s="989"/>
      <c r="P414" s="989"/>
      <c r="Q414" s="989"/>
      <c r="R414" s="989"/>
      <c r="S414" s="989"/>
      <c r="T414" s="989"/>
      <c r="U414" s="989"/>
      <c r="V414" s="989"/>
      <c r="W414" s="989"/>
      <c r="X414" s="989"/>
      <c r="Y414" s="989"/>
      <c r="Z414" s="989"/>
      <c r="AA414" s="989"/>
      <c r="AB414" s="989"/>
      <c r="AC414" s="989"/>
      <c r="AD414" s="989"/>
      <c r="AE414" s="989"/>
    </row>
    <row r="415">
      <c r="A415" s="989"/>
      <c r="B415" s="989"/>
      <c r="C415" s="989"/>
      <c r="D415" s="989"/>
      <c r="E415" s="989"/>
      <c r="F415" s="989"/>
      <c r="G415" s="989"/>
      <c r="H415" s="992" t="str">
        <f t="shared" si="16"/>
        <v/>
      </c>
      <c r="I415" s="989"/>
      <c r="J415" s="989"/>
      <c r="K415" s="989"/>
      <c r="L415" s="989"/>
      <c r="M415" s="989"/>
      <c r="N415" s="989"/>
      <c r="O415" s="989"/>
      <c r="P415" s="989"/>
      <c r="Q415" s="989"/>
      <c r="R415" s="989"/>
      <c r="S415" s="989"/>
      <c r="T415" s="989"/>
      <c r="U415" s="989"/>
      <c r="V415" s="989"/>
      <c r="W415" s="989"/>
      <c r="X415" s="989"/>
      <c r="Y415" s="989"/>
      <c r="Z415" s="989"/>
      <c r="AA415" s="989"/>
      <c r="AB415" s="989"/>
      <c r="AC415" s="989"/>
      <c r="AD415" s="989"/>
      <c r="AE415" s="989"/>
    </row>
    <row r="416">
      <c r="A416" s="989"/>
      <c r="B416" s="989"/>
      <c r="C416" s="989"/>
      <c r="D416" s="989"/>
      <c r="E416" s="989"/>
      <c r="F416" s="989"/>
      <c r="G416" s="989"/>
      <c r="H416" s="992" t="str">
        <f t="shared" si="16"/>
        <v/>
      </c>
      <c r="I416" s="989"/>
      <c r="J416" s="989"/>
      <c r="K416" s="989"/>
      <c r="L416" s="989"/>
      <c r="M416" s="989"/>
      <c r="N416" s="989"/>
      <c r="O416" s="989"/>
      <c r="P416" s="989"/>
      <c r="Q416" s="989"/>
      <c r="R416" s="989"/>
      <c r="S416" s="989"/>
      <c r="T416" s="989"/>
      <c r="U416" s="989"/>
      <c r="V416" s="989"/>
      <c r="W416" s="989"/>
      <c r="X416" s="989"/>
      <c r="Y416" s="989"/>
      <c r="Z416" s="989"/>
      <c r="AA416" s="989"/>
      <c r="AB416" s="989"/>
      <c r="AC416" s="989"/>
      <c r="AD416" s="989"/>
      <c r="AE416" s="989"/>
    </row>
    <row r="417">
      <c r="A417" s="989"/>
      <c r="B417" s="989"/>
      <c r="C417" s="989"/>
      <c r="D417" s="989"/>
      <c r="E417" s="989"/>
      <c r="F417" s="989"/>
      <c r="G417" s="989"/>
      <c r="H417" s="992" t="str">
        <f t="shared" si="16"/>
        <v/>
      </c>
      <c r="I417" s="989"/>
      <c r="J417" s="989"/>
      <c r="K417" s="989"/>
      <c r="L417" s="989"/>
      <c r="M417" s="989"/>
      <c r="N417" s="989"/>
      <c r="O417" s="989"/>
      <c r="P417" s="989"/>
      <c r="Q417" s="989"/>
      <c r="R417" s="989"/>
      <c r="S417" s="989"/>
      <c r="T417" s="989"/>
      <c r="U417" s="989"/>
      <c r="V417" s="989"/>
      <c r="W417" s="989"/>
      <c r="X417" s="989"/>
      <c r="Y417" s="989"/>
      <c r="Z417" s="989"/>
      <c r="AA417" s="989"/>
      <c r="AB417" s="989"/>
      <c r="AC417" s="989"/>
      <c r="AD417" s="989"/>
      <c r="AE417" s="989"/>
    </row>
    <row r="418">
      <c r="A418" s="989"/>
      <c r="B418" s="989"/>
      <c r="C418" s="989"/>
      <c r="D418" s="989"/>
      <c r="E418" s="989"/>
      <c r="F418" s="989"/>
      <c r="G418" s="989"/>
      <c r="H418" s="992" t="str">
        <f t="shared" si="16"/>
        <v/>
      </c>
      <c r="I418" s="989"/>
      <c r="J418" s="989"/>
      <c r="K418" s="989"/>
      <c r="L418" s="989"/>
      <c r="M418" s="989"/>
      <c r="N418" s="989"/>
      <c r="O418" s="989"/>
      <c r="P418" s="989"/>
      <c r="Q418" s="989"/>
      <c r="R418" s="989"/>
      <c r="S418" s="989"/>
      <c r="T418" s="989"/>
      <c r="U418" s="989"/>
      <c r="V418" s="989"/>
      <c r="W418" s="989"/>
      <c r="X418" s="989"/>
      <c r="Y418" s="989"/>
      <c r="Z418" s="989"/>
      <c r="AA418" s="989"/>
      <c r="AB418" s="989"/>
      <c r="AC418" s="989"/>
      <c r="AD418" s="989"/>
      <c r="AE418" s="989"/>
    </row>
    <row r="419">
      <c r="A419" s="989"/>
      <c r="B419" s="989"/>
      <c r="C419" s="989"/>
      <c r="D419" s="989"/>
      <c r="E419" s="989"/>
      <c r="F419" s="989"/>
      <c r="G419" s="989"/>
      <c r="H419" s="992" t="str">
        <f t="shared" si="16"/>
        <v/>
      </c>
      <c r="I419" s="989"/>
      <c r="J419" s="989"/>
      <c r="K419" s="989"/>
      <c r="L419" s="989"/>
      <c r="M419" s="989"/>
      <c r="N419" s="989"/>
      <c r="O419" s="989"/>
      <c r="P419" s="989"/>
      <c r="Q419" s="989"/>
      <c r="R419" s="989"/>
      <c r="S419" s="989"/>
      <c r="T419" s="989"/>
      <c r="U419" s="989"/>
      <c r="V419" s="989"/>
      <c r="W419" s="989"/>
      <c r="X419" s="989"/>
      <c r="Y419" s="989"/>
      <c r="Z419" s="989"/>
      <c r="AA419" s="989"/>
      <c r="AB419" s="989"/>
      <c r="AC419" s="989"/>
      <c r="AD419" s="989"/>
      <c r="AE419" s="989"/>
    </row>
    <row r="420">
      <c r="A420" s="989"/>
      <c r="B420" s="989"/>
      <c r="C420" s="989"/>
      <c r="D420" s="989"/>
      <c r="E420" s="989"/>
      <c r="F420" s="989"/>
      <c r="G420" s="989"/>
      <c r="H420" s="992" t="str">
        <f t="shared" si="16"/>
        <v/>
      </c>
      <c r="I420" s="989"/>
      <c r="J420" s="989"/>
      <c r="K420" s="989"/>
      <c r="L420" s="989"/>
      <c r="M420" s="989"/>
      <c r="N420" s="989"/>
      <c r="O420" s="989"/>
      <c r="P420" s="989"/>
      <c r="Q420" s="989"/>
      <c r="R420" s="989"/>
      <c r="S420" s="989"/>
      <c r="T420" s="989"/>
      <c r="U420" s="989"/>
      <c r="V420" s="989"/>
      <c r="W420" s="989"/>
      <c r="X420" s="989"/>
      <c r="Y420" s="989"/>
      <c r="Z420" s="989"/>
      <c r="AA420" s="989"/>
      <c r="AB420" s="989"/>
      <c r="AC420" s="989"/>
      <c r="AD420" s="989"/>
      <c r="AE420" s="989"/>
    </row>
    <row r="421">
      <c r="A421" s="989"/>
      <c r="B421" s="989"/>
      <c r="C421" s="989"/>
      <c r="D421" s="989"/>
      <c r="E421" s="989"/>
      <c r="F421" s="989"/>
      <c r="G421" s="989"/>
      <c r="H421" s="992" t="str">
        <f t="shared" si="16"/>
        <v/>
      </c>
      <c r="I421" s="989"/>
      <c r="J421" s="989"/>
      <c r="K421" s="989"/>
      <c r="L421" s="989"/>
      <c r="M421" s="989"/>
      <c r="N421" s="989"/>
      <c r="O421" s="989"/>
      <c r="P421" s="989"/>
      <c r="Q421" s="989"/>
      <c r="R421" s="989"/>
      <c r="S421" s="989"/>
      <c r="T421" s="989"/>
      <c r="U421" s="989"/>
      <c r="V421" s="989"/>
      <c r="W421" s="989"/>
      <c r="X421" s="989"/>
      <c r="Y421" s="989"/>
      <c r="Z421" s="989"/>
      <c r="AA421" s="989"/>
      <c r="AB421" s="989"/>
      <c r="AC421" s="989"/>
      <c r="AD421" s="989"/>
      <c r="AE421" s="989"/>
    </row>
    <row r="422">
      <c r="A422" s="989"/>
      <c r="B422" s="989"/>
      <c r="C422" s="989"/>
      <c r="D422" s="989"/>
      <c r="E422" s="989"/>
      <c r="F422" s="989"/>
      <c r="G422" s="989"/>
      <c r="H422" s="992" t="str">
        <f t="shared" si="16"/>
        <v/>
      </c>
      <c r="I422" s="989"/>
      <c r="J422" s="989"/>
      <c r="K422" s="989"/>
      <c r="L422" s="989"/>
      <c r="M422" s="989"/>
      <c r="N422" s="989"/>
      <c r="O422" s="989"/>
      <c r="P422" s="989"/>
      <c r="Q422" s="989"/>
      <c r="R422" s="989"/>
      <c r="S422" s="989"/>
      <c r="T422" s="989"/>
      <c r="U422" s="989"/>
      <c r="V422" s="989"/>
      <c r="W422" s="989"/>
      <c r="X422" s="989"/>
      <c r="Y422" s="989"/>
      <c r="Z422" s="989"/>
      <c r="AA422" s="989"/>
      <c r="AB422" s="989"/>
      <c r="AC422" s="989"/>
      <c r="AD422" s="989"/>
      <c r="AE422" s="989"/>
    </row>
    <row r="423">
      <c r="A423" s="989"/>
      <c r="B423" s="989"/>
      <c r="C423" s="989"/>
      <c r="D423" s="989"/>
      <c r="E423" s="989"/>
      <c r="F423" s="989"/>
      <c r="G423" s="989"/>
      <c r="H423" s="992" t="str">
        <f t="shared" si="16"/>
        <v/>
      </c>
      <c r="I423" s="989"/>
      <c r="J423" s="989"/>
      <c r="K423" s="989"/>
      <c r="L423" s="989"/>
      <c r="M423" s="989"/>
      <c r="N423" s="989"/>
      <c r="O423" s="989"/>
      <c r="P423" s="989"/>
      <c r="Q423" s="989"/>
      <c r="R423" s="989"/>
      <c r="S423" s="989"/>
      <c r="T423" s="989"/>
      <c r="U423" s="989"/>
      <c r="V423" s="989"/>
      <c r="W423" s="989"/>
      <c r="X423" s="989"/>
      <c r="Y423" s="989"/>
      <c r="Z423" s="989"/>
      <c r="AA423" s="989"/>
      <c r="AB423" s="989"/>
      <c r="AC423" s="989"/>
      <c r="AD423" s="989"/>
      <c r="AE423" s="989"/>
    </row>
    <row r="424">
      <c r="A424" s="989"/>
      <c r="B424" s="989"/>
      <c r="C424" s="989"/>
      <c r="D424" s="989"/>
      <c r="E424" s="989"/>
      <c r="F424" s="989"/>
      <c r="G424" s="989"/>
      <c r="H424" s="992" t="str">
        <f t="shared" si="16"/>
        <v/>
      </c>
      <c r="I424" s="989"/>
      <c r="J424" s="989"/>
      <c r="K424" s="989"/>
      <c r="L424" s="989"/>
      <c r="M424" s="989"/>
      <c r="N424" s="989"/>
      <c r="O424" s="989"/>
      <c r="P424" s="989"/>
      <c r="Q424" s="989"/>
      <c r="R424" s="989"/>
      <c r="S424" s="989"/>
      <c r="T424" s="989"/>
      <c r="U424" s="989"/>
      <c r="V424" s="989"/>
      <c r="W424" s="989"/>
      <c r="X424" s="989"/>
      <c r="Y424" s="989"/>
      <c r="Z424" s="989"/>
      <c r="AA424" s="989"/>
      <c r="AB424" s="989"/>
      <c r="AC424" s="989"/>
      <c r="AD424" s="989"/>
      <c r="AE424" s="989"/>
    </row>
    <row r="425">
      <c r="A425" s="989"/>
      <c r="B425" s="989"/>
      <c r="C425" s="989"/>
      <c r="D425" s="989"/>
      <c r="E425" s="989"/>
      <c r="F425" s="989"/>
      <c r="G425" s="989"/>
      <c r="H425" s="992" t="str">
        <f t="shared" si="16"/>
        <v/>
      </c>
      <c r="I425" s="989"/>
      <c r="J425" s="989"/>
      <c r="K425" s="989"/>
      <c r="L425" s="989"/>
      <c r="M425" s="989"/>
      <c r="N425" s="989"/>
      <c r="O425" s="989"/>
      <c r="P425" s="989"/>
      <c r="Q425" s="989"/>
      <c r="R425" s="989"/>
      <c r="S425" s="989"/>
      <c r="T425" s="989"/>
      <c r="U425" s="989"/>
      <c r="V425" s="989"/>
      <c r="W425" s="989"/>
      <c r="X425" s="989"/>
      <c r="Y425" s="989"/>
      <c r="Z425" s="989"/>
      <c r="AA425" s="989"/>
      <c r="AB425" s="989"/>
      <c r="AC425" s="989"/>
      <c r="AD425" s="989"/>
      <c r="AE425" s="989"/>
    </row>
    <row r="426">
      <c r="A426" s="989"/>
      <c r="B426" s="989"/>
      <c r="C426" s="989"/>
      <c r="D426" s="989"/>
      <c r="E426" s="989"/>
      <c r="F426" s="989"/>
      <c r="G426" s="989"/>
      <c r="H426" s="992" t="str">
        <f t="shared" si="16"/>
        <v/>
      </c>
      <c r="I426" s="989"/>
      <c r="J426" s="989"/>
      <c r="K426" s="989"/>
      <c r="L426" s="989"/>
      <c r="M426" s="989"/>
      <c r="N426" s="989"/>
      <c r="O426" s="989"/>
      <c r="P426" s="989"/>
      <c r="Q426" s="989"/>
      <c r="R426" s="989"/>
      <c r="S426" s="989"/>
      <c r="T426" s="989"/>
      <c r="U426" s="989"/>
      <c r="V426" s="989"/>
      <c r="W426" s="989"/>
      <c r="X426" s="989"/>
      <c r="Y426" s="989"/>
      <c r="Z426" s="989"/>
      <c r="AA426" s="989"/>
      <c r="AB426" s="989"/>
      <c r="AC426" s="989"/>
      <c r="AD426" s="989"/>
      <c r="AE426" s="989"/>
    </row>
    <row r="427">
      <c r="A427" s="989"/>
      <c r="B427" s="989"/>
      <c r="C427" s="989"/>
      <c r="D427" s="989"/>
      <c r="E427" s="989"/>
      <c r="F427" s="989"/>
      <c r="G427" s="989"/>
      <c r="H427" s="992" t="str">
        <f t="shared" si="16"/>
        <v/>
      </c>
      <c r="I427" s="989"/>
      <c r="J427" s="989"/>
      <c r="K427" s="989"/>
      <c r="L427" s="989"/>
      <c r="M427" s="989"/>
      <c r="N427" s="989"/>
      <c r="O427" s="989"/>
      <c r="P427" s="989"/>
      <c r="Q427" s="989"/>
      <c r="R427" s="989"/>
      <c r="S427" s="989"/>
      <c r="T427" s="989"/>
      <c r="U427" s="989"/>
      <c r="V427" s="989"/>
      <c r="W427" s="989"/>
      <c r="X427" s="989"/>
      <c r="Y427" s="989"/>
      <c r="Z427" s="989"/>
      <c r="AA427" s="989"/>
      <c r="AB427" s="989"/>
      <c r="AC427" s="989"/>
      <c r="AD427" s="989"/>
      <c r="AE427" s="989"/>
    </row>
    <row r="428">
      <c r="A428" s="989"/>
      <c r="B428" s="989"/>
      <c r="C428" s="989"/>
      <c r="D428" s="989"/>
      <c r="E428" s="989"/>
      <c r="F428" s="989"/>
      <c r="G428" s="989"/>
      <c r="H428" s="992" t="str">
        <f t="shared" si="16"/>
        <v/>
      </c>
      <c r="I428" s="989"/>
      <c r="J428" s="989"/>
      <c r="K428" s="989"/>
      <c r="L428" s="989"/>
      <c r="M428" s="989"/>
      <c r="N428" s="989"/>
      <c r="O428" s="989"/>
      <c r="P428" s="989"/>
      <c r="Q428" s="989"/>
      <c r="R428" s="989"/>
      <c r="S428" s="989"/>
      <c r="T428" s="989"/>
      <c r="U428" s="989"/>
      <c r="V428" s="989"/>
      <c r="W428" s="989"/>
      <c r="X428" s="989"/>
      <c r="Y428" s="989"/>
      <c r="Z428" s="989"/>
      <c r="AA428" s="989"/>
      <c r="AB428" s="989"/>
      <c r="AC428" s="989"/>
      <c r="AD428" s="989"/>
      <c r="AE428" s="989"/>
    </row>
    <row r="429">
      <c r="A429" s="989"/>
      <c r="B429" s="989"/>
      <c r="C429" s="989"/>
      <c r="D429" s="989"/>
      <c r="E429" s="989"/>
      <c r="F429" s="989"/>
      <c r="G429" s="989"/>
      <c r="H429" s="992" t="str">
        <f t="shared" si="16"/>
        <v/>
      </c>
      <c r="I429" s="989"/>
      <c r="J429" s="989"/>
      <c r="K429" s="989"/>
      <c r="L429" s="989"/>
      <c r="M429" s="989"/>
      <c r="N429" s="989"/>
      <c r="O429" s="989"/>
      <c r="P429" s="989"/>
      <c r="Q429" s="989"/>
      <c r="R429" s="989"/>
      <c r="S429" s="989"/>
      <c r="T429" s="989"/>
      <c r="U429" s="989"/>
      <c r="V429" s="989"/>
      <c r="W429" s="989"/>
      <c r="X429" s="989"/>
      <c r="Y429" s="989"/>
      <c r="Z429" s="989"/>
      <c r="AA429" s="989"/>
      <c r="AB429" s="989"/>
      <c r="AC429" s="989"/>
      <c r="AD429" s="989"/>
      <c r="AE429" s="989"/>
    </row>
    <row r="430">
      <c r="A430" s="989"/>
      <c r="B430" s="989"/>
      <c r="C430" s="989"/>
      <c r="D430" s="989"/>
      <c r="E430" s="989"/>
      <c r="F430" s="989"/>
      <c r="G430" s="989"/>
      <c r="H430" s="992" t="str">
        <f t="shared" si="16"/>
        <v/>
      </c>
      <c r="I430" s="989"/>
      <c r="J430" s="989"/>
      <c r="K430" s="989"/>
      <c r="L430" s="989"/>
      <c r="M430" s="989"/>
      <c r="N430" s="989"/>
      <c r="O430" s="989"/>
      <c r="P430" s="989"/>
      <c r="Q430" s="989"/>
      <c r="R430" s="989"/>
      <c r="S430" s="989"/>
      <c r="T430" s="989"/>
      <c r="U430" s="989"/>
      <c r="V430" s="989"/>
      <c r="W430" s="989"/>
      <c r="X430" s="989"/>
      <c r="Y430" s="989"/>
      <c r="Z430" s="989"/>
      <c r="AA430" s="989"/>
      <c r="AB430" s="989"/>
      <c r="AC430" s="989"/>
      <c r="AD430" s="989"/>
      <c r="AE430" s="989"/>
    </row>
    <row r="431">
      <c r="A431" s="989"/>
      <c r="B431" s="989"/>
      <c r="C431" s="989"/>
      <c r="D431" s="989"/>
      <c r="E431" s="989"/>
      <c r="F431" s="989"/>
      <c r="G431" s="989"/>
      <c r="H431" s="992" t="str">
        <f t="shared" si="16"/>
        <v/>
      </c>
      <c r="I431" s="989"/>
      <c r="J431" s="989"/>
      <c r="K431" s="989"/>
      <c r="L431" s="989"/>
      <c r="M431" s="989"/>
      <c r="N431" s="989"/>
      <c r="O431" s="989"/>
      <c r="P431" s="989"/>
      <c r="Q431" s="989"/>
      <c r="R431" s="989"/>
      <c r="S431" s="989"/>
      <c r="T431" s="989"/>
      <c r="U431" s="989"/>
      <c r="V431" s="989"/>
      <c r="W431" s="989"/>
      <c r="X431" s="989"/>
      <c r="Y431" s="989"/>
      <c r="Z431" s="989"/>
      <c r="AA431" s="989"/>
      <c r="AB431" s="989"/>
      <c r="AC431" s="989"/>
      <c r="AD431" s="989"/>
      <c r="AE431" s="989"/>
    </row>
    <row r="432">
      <c r="A432" s="989"/>
      <c r="B432" s="989"/>
      <c r="C432" s="989"/>
      <c r="D432" s="989"/>
      <c r="E432" s="989"/>
      <c r="F432" s="989"/>
      <c r="G432" s="989"/>
      <c r="H432" s="992" t="str">
        <f t="shared" si="16"/>
        <v/>
      </c>
      <c r="I432" s="989"/>
      <c r="J432" s="989"/>
      <c r="K432" s="989"/>
      <c r="L432" s="989"/>
      <c r="M432" s="989"/>
      <c r="N432" s="989"/>
      <c r="O432" s="989"/>
      <c r="P432" s="989"/>
      <c r="Q432" s="989"/>
      <c r="R432" s="989"/>
      <c r="S432" s="989"/>
      <c r="T432" s="989"/>
      <c r="U432" s="989"/>
      <c r="V432" s="989"/>
      <c r="W432" s="989"/>
      <c r="X432" s="989"/>
      <c r="Y432" s="989"/>
      <c r="Z432" s="989"/>
      <c r="AA432" s="989"/>
      <c r="AB432" s="989"/>
      <c r="AC432" s="989"/>
      <c r="AD432" s="989"/>
      <c r="AE432" s="989"/>
    </row>
    <row r="433">
      <c r="A433" s="989"/>
      <c r="B433" s="989"/>
      <c r="C433" s="989"/>
      <c r="D433" s="989"/>
      <c r="E433" s="989"/>
      <c r="F433" s="989"/>
      <c r="G433" s="989"/>
      <c r="H433" s="992" t="str">
        <f t="shared" si="16"/>
        <v/>
      </c>
      <c r="I433" s="989"/>
      <c r="J433" s="989"/>
      <c r="K433" s="989"/>
      <c r="L433" s="989"/>
      <c r="M433" s="989"/>
      <c r="N433" s="989"/>
      <c r="O433" s="989"/>
      <c r="P433" s="989"/>
      <c r="Q433" s="989"/>
      <c r="R433" s="989"/>
      <c r="S433" s="989"/>
      <c r="T433" s="989"/>
      <c r="U433" s="989"/>
      <c r="V433" s="989"/>
      <c r="W433" s="989"/>
      <c r="X433" s="989"/>
      <c r="Y433" s="989"/>
      <c r="Z433" s="989"/>
      <c r="AA433" s="989"/>
      <c r="AB433" s="989"/>
      <c r="AC433" s="989"/>
      <c r="AD433" s="989"/>
      <c r="AE433" s="989"/>
    </row>
    <row r="434">
      <c r="A434" s="989"/>
      <c r="B434" s="989"/>
      <c r="C434" s="989"/>
      <c r="D434" s="989"/>
      <c r="E434" s="989"/>
      <c r="F434" s="989"/>
      <c r="G434" s="989"/>
      <c r="H434" s="992" t="str">
        <f t="shared" si="16"/>
        <v/>
      </c>
      <c r="I434" s="989"/>
      <c r="J434" s="989"/>
      <c r="K434" s="989"/>
      <c r="L434" s="989"/>
      <c r="M434" s="989"/>
      <c r="N434" s="989"/>
      <c r="O434" s="989"/>
      <c r="P434" s="989"/>
      <c r="Q434" s="989"/>
      <c r="R434" s="989"/>
      <c r="S434" s="989"/>
      <c r="T434" s="989"/>
      <c r="U434" s="989"/>
      <c r="V434" s="989"/>
      <c r="W434" s="989"/>
      <c r="X434" s="989"/>
      <c r="Y434" s="989"/>
      <c r="Z434" s="989"/>
      <c r="AA434" s="989"/>
      <c r="AB434" s="989"/>
      <c r="AC434" s="989"/>
      <c r="AD434" s="989"/>
      <c r="AE434" s="989"/>
    </row>
    <row r="435">
      <c r="A435" s="989"/>
      <c r="B435" s="989"/>
      <c r="C435" s="989"/>
      <c r="D435" s="989"/>
      <c r="E435" s="989"/>
      <c r="F435" s="989"/>
      <c r="G435" s="989"/>
      <c r="H435" s="992" t="str">
        <f t="shared" si="16"/>
        <v/>
      </c>
      <c r="I435" s="989"/>
      <c r="J435" s="989"/>
      <c r="K435" s="989"/>
      <c r="L435" s="989"/>
      <c r="M435" s="989"/>
      <c r="N435" s="989"/>
      <c r="O435" s="989"/>
      <c r="P435" s="989"/>
      <c r="Q435" s="989"/>
      <c r="R435" s="989"/>
      <c r="S435" s="989"/>
      <c r="T435" s="989"/>
      <c r="U435" s="989"/>
      <c r="V435" s="989"/>
      <c r="W435" s="989"/>
      <c r="X435" s="989"/>
      <c r="Y435" s="989"/>
      <c r="Z435" s="989"/>
      <c r="AA435" s="989"/>
      <c r="AB435" s="989"/>
      <c r="AC435" s="989"/>
      <c r="AD435" s="989"/>
      <c r="AE435" s="989"/>
    </row>
    <row r="436">
      <c r="A436" s="989"/>
      <c r="B436" s="989"/>
      <c r="C436" s="989"/>
      <c r="D436" s="989"/>
      <c r="E436" s="989"/>
      <c r="F436" s="989"/>
      <c r="G436" s="989"/>
      <c r="H436" s="992" t="str">
        <f t="shared" si="16"/>
        <v/>
      </c>
      <c r="I436" s="989"/>
      <c r="J436" s="989"/>
      <c r="K436" s="989"/>
      <c r="L436" s="989"/>
      <c r="M436" s="989"/>
      <c r="N436" s="989"/>
      <c r="O436" s="989"/>
      <c r="P436" s="989"/>
      <c r="Q436" s="989"/>
      <c r="R436" s="989"/>
      <c r="S436" s="989"/>
      <c r="T436" s="989"/>
      <c r="U436" s="989"/>
      <c r="V436" s="989"/>
      <c r="W436" s="989"/>
      <c r="X436" s="989"/>
      <c r="Y436" s="989"/>
      <c r="Z436" s="989"/>
      <c r="AA436" s="989"/>
      <c r="AB436" s="989"/>
      <c r="AC436" s="989"/>
      <c r="AD436" s="989"/>
      <c r="AE436" s="989"/>
    </row>
    <row r="437">
      <c r="A437" s="989"/>
      <c r="B437" s="989"/>
      <c r="C437" s="989"/>
      <c r="D437" s="989"/>
      <c r="E437" s="989"/>
      <c r="F437" s="989"/>
      <c r="G437" s="989"/>
      <c r="H437" s="992" t="str">
        <f t="shared" si="16"/>
        <v/>
      </c>
      <c r="I437" s="989"/>
      <c r="J437" s="989"/>
      <c r="K437" s="989"/>
      <c r="L437" s="989"/>
      <c r="M437" s="989"/>
      <c r="N437" s="989"/>
      <c r="O437" s="989"/>
      <c r="P437" s="989"/>
      <c r="Q437" s="989"/>
      <c r="R437" s="989"/>
      <c r="S437" s="989"/>
      <c r="T437" s="989"/>
      <c r="U437" s="989"/>
      <c r="V437" s="989"/>
      <c r="W437" s="989"/>
      <c r="X437" s="989"/>
      <c r="Y437" s="989"/>
      <c r="Z437" s="989"/>
      <c r="AA437" s="989"/>
      <c r="AB437" s="989"/>
      <c r="AC437" s="989"/>
      <c r="AD437" s="989"/>
      <c r="AE437" s="989"/>
    </row>
    <row r="438">
      <c r="A438" s="989"/>
      <c r="B438" s="989"/>
      <c r="C438" s="989"/>
      <c r="D438" s="989"/>
      <c r="E438" s="989"/>
      <c r="F438" s="989"/>
      <c r="G438" s="989"/>
      <c r="H438" s="992" t="str">
        <f t="shared" si="16"/>
        <v/>
      </c>
      <c r="I438" s="989"/>
      <c r="J438" s="989"/>
      <c r="K438" s="989"/>
      <c r="L438" s="989"/>
      <c r="M438" s="989"/>
      <c r="N438" s="989"/>
      <c r="O438" s="989"/>
      <c r="P438" s="989"/>
      <c r="Q438" s="989"/>
      <c r="R438" s="989"/>
      <c r="S438" s="989"/>
      <c r="T438" s="989"/>
      <c r="U438" s="989"/>
      <c r="V438" s="989"/>
      <c r="W438" s="989"/>
      <c r="X438" s="989"/>
      <c r="Y438" s="989"/>
      <c r="Z438" s="989"/>
      <c r="AA438" s="989"/>
      <c r="AB438" s="989"/>
      <c r="AC438" s="989"/>
      <c r="AD438" s="989"/>
      <c r="AE438" s="989"/>
    </row>
    <row r="439">
      <c r="A439" s="989"/>
      <c r="B439" s="989"/>
      <c r="C439" s="989"/>
      <c r="D439" s="989"/>
      <c r="E439" s="989"/>
      <c r="F439" s="989"/>
      <c r="G439" s="989"/>
      <c r="H439" s="992" t="str">
        <f t="shared" si="16"/>
        <v/>
      </c>
      <c r="I439" s="989"/>
      <c r="J439" s="989"/>
      <c r="K439" s="989"/>
      <c r="L439" s="989"/>
      <c r="M439" s="989"/>
      <c r="N439" s="989"/>
      <c r="O439" s="989"/>
      <c r="P439" s="989"/>
      <c r="Q439" s="989"/>
      <c r="R439" s="989"/>
      <c r="S439" s="989"/>
      <c r="T439" s="989"/>
      <c r="U439" s="989"/>
      <c r="V439" s="989"/>
      <c r="W439" s="989"/>
      <c r="X439" s="989"/>
      <c r="Y439" s="989"/>
      <c r="Z439" s="989"/>
      <c r="AA439" s="989"/>
      <c r="AB439" s="989"/>
      <c r="AC439" s="989"/>
      <c r="AD439" s="989"/>
      <c r="AE439" s="989"/>
    </row>
    <row r="440">
      <c r="A440" s="989"/>
      <c r="B440" s="989"/>
      <c r="C440" s="989"/>
      <c r="D440" s="989"/>
      <c r="E440" s="989"/>
      <c r="F440" s="989"/>
      <c r="G440" s="989"/>
      <c r="H440" s="992" t="str">
        <f t="shared" si="16"/>
        <v/>
      </c>
      <c r="I440" s="989"/>
      <c r="J440" s="989"/>
      <c r="K440" s="989"/>
      <c r="L440" s="989"/>
      <c r="M440" s="989"/>
      <c r="N440" s="989"/>
      <c r="O440" s="989"/>
      <c r="P440" s="989"/>
      <c r="Q440" s="989"/>
      <c r="R440" s="989"/>
      <c r="S440" s="989"/>
      <c r="T440" s="989"/>
      <c r="U440" s="989"/>
      <c r="V440" s="989"/>
      <c r="W440" s="989"/>
      <c r="X440" s="989"/>
      <c r="Y440" s="989"/>
      <c r="Z440" s="989"/>
      <c r="AA440" s="989"/>
      <c r="AB440" s="989"/>
      <c r="AC440" s="989"/>
      <c r="AD440" s="989"/>
      <c r="AE440" s="989"/>
    </row>
    <row r="441">
      <c r="A441" s="989"/>
      <c r="B441" s="989"/>
      <c r="C441" s="989"/>
      <c r="D441" s="989"/>
      <c r="E441" s="989"/>
      <c r="F441" s="989"/>
      <c r="G441" s="989"/>
      <c r="H441" s="992" t="str">
        <f t="shared" si="16"/>
        <v/>
      </c>
      <c r="I441" s="989"/>
      <c r="J441" s="989"/>
      <c r="K441" s="989"/>
      <c r="L441" s="989"/>
      <c r="M441" s="989"/>
      <c r="N441" s="989"/>
      <c r="O441" s="989"/>
      <c r="P441" s="989"/>
      <c r="Q441" s="989"/>
      <c r="R441" s="989"/>
      <c r="S441" s="989"/>
      <c r="T441" s="989"/>
      <c r="U441" s="989"/>
      <c r="V441" s="989"/>
      <c r="W441" s="989"/>
      <c r="X441" s="989"/>
      <c r="Y441" s="989"/>
      <c r="Z441" s="989"/>
      <c r="AA441" s="989"/>
      <c r="AB441" s="989"/>
      <c r="AC441" s="989"/>
      <c r="AD441" s="989"/>
      <c r="AE441" s="989"/>
    </row>
    <row r="442">
      <c r="A442" s="989"/>
      <c r="B442" s="989"/>
      <c r="C442" s="989"/>
      <c r="D442" s="989"/>
      <c r="E442" s="989"/>
      <c r="F442" s="989"/>
      <c r="G442" s="989"/>
      <c r="H442" s="992" t="str">
        <f t="shared" si="16"/>
        <v/>
      </c>
      <c r="I442" s="989"/>
      <c r="J442" s="989"/>
      <c r="K442" s="989"/>
      <c r="L442" s="989"/>
      <c r="M442" s="989"/>
      <c r="N442" s="989"/>
      <c r="O442" s="989"/>
      <c r="P442" s="989"/>
      <c r="Q442" s="989"/>
      <c r="R442" s="989"/>
      <c r="S442" s="989"/>
      <c r="T442" s="989"/>
      <c r="U442" s="989"/>
      <c r="V442" s="989"/>
      <c r="W442" s="989"/>
      <c r="X442" s="989"/>
      <c r="Y442" s="989"/>
      <c r="Z442" s="989"/>
      <c r="AA442" s="989"/>
      <c r="AB442" s="989"/>
      <c r="AC442" s="989"/>
      <c r="AD442" s="989"/>
      <c r="AE442" s="989"/>
    </row>
    <row r="443">
      <c r="A443" s="989"/>
      <c r="B443" s="989"/>
      <c r="C443" s="989"/>
      <c r="D443" s="989"/>
      <c r="E443" s="989"/>
      <c r="F443" s="989"/>
      <c r="G443" s="989"/>
      <c r="H443" s="992" t="str">
        <f t="shared" si="16"/>
        <v/>
      </c>
      <c r="I443" s="989"/>
      <c r="J443" s="989"/>
      <c r="K443" s="989"/>
      <c r="L443" s="989"/>
      <c r="M443" s="989"/>
      <c r="N443" s="989"/>
      <c r="O443" s="989"/>
      <c r="P443" s="989"/>
      <c r="Q443" s="989"/>
      <c r="R443" s="989"/>
      <c r="S443" s="989"/>
      <c r="T443" s="989"/>
      <c r="U443" s="989"/>
      <c r="V443" s="989"/>
      <c r="W443" s="989"/>
      <c r="X443" s="989"/>
      <c r="Y443" s="989"/>
      <c r="Z443" s="989"/>
      <c r="AA443" s="989"/>
      <c r="AB443" s="989"/>
      <c r="AC443" s="989"/>
      <c r="AD443" s="989"/>
      <c r="AE443" s="989"/>
    </row>
    <row r="444">
      <c r="A444" s="989"/>
      <c r="B444" s="989"/>
      <c r="C444" s="989"/>
      <c r="D444" s="989"/>
      <c r="E444" s="989"/>
      <c r="F444" s="989"/>
      <c r="G444" s="989"/>
      <c r="H444" s="992" t="str">
        <f t="shared" si="16"/>
        <v/>
      </c>
      <c r="I444" s="989"/>
      <c r="J444" s="989"/>
      <c r="K444" s="989"/>
      <c r="L444" s="989"/>
      <c r="M444" s="989"/>
      <c r="N444" s="989"/>
      <c r="O444" s="989"/>
      <c r="P444" s="989"/>
      <c r="Q444" s="989"/>
      <c r="R444" s="989"/>
      <c r="S444" s="989"/>
      <c r="T444" s="989"/>
      <c r="U444" s="989"/>
      <c r="V444" s="989"/>
      <c r="W444" s="989"/>
      <c r="X444" s="989"/>
      <c r="Y444" s="989"/>
      <c r="Z444" s="989"/>
      <c r="AA444" s="989"/>
      <c r="AB444" s="989"/>
      <c r="AC444" s="989"/>
      <c r="AD444" s="989"/>
      <c r="AE444" s="989"/>
    </row>
    <row r="445">
      <c r="A445" s="989"/>
      <c r="B445" s="989"/>
      <c r="C445" s="989"/>
      <c r="D445" s="989"/>
      <c r="E445" s="989"/>
      <c r="F445" s="989"/>
      <c r="G445" s="989"/>
      <c r="H445" s="992" t="str">
        <f t="shared" si="16"/>
        <v/>
      </c>
      <c r="I445" s="989"/>
      <c r="J445" s="989"/>
      <c r="K445" s="989"/>
      <c r="L445" s="989"/>
      <c r="M445" s="989"/>
      <c r="N445" s="989"/>
      <c r="O445" s="989"/>
      <c r="P445" s="989"/>
      <c r="Q445" s="989"/>
      <c r="R445" s="989"/>
      <c r="S445" s="989"/>
      <c r="T445" s="989"/>
      <c r="U445" s="989"/>
      <c r="V445" s="989"/>
      <c r="W445" s="989"/>
      <c r="X445" s="989"/>
      <c r="Y445" s="989"/>
      <c r="Z445" s="989"/>
      <c r="AA445" s="989"/>
      <c r="AB445" s="989"/>
      <c r="AC445" s="989"/>
      <c r="AD445" s="989"/>
      <c r="AE445" s="989"/>
    </row>
    <row r="446">
      <c r="A446" s="989"/>
      <c r="B446" s="989"/>
      <c r="C446" s="989"/>
      <c r="D446" s="989"/>
      <c r="E446" s="989"/>
      <c r="F446" s="989"/>
      <c r="G446" s="989"/>
      <c r="H446" s="992" t="str">
        <f t="shared" si="16"/>
        <v/>
      </c>
      <c r="I446" s="989"/>
      <c r="J446" s="989"/>
      <c r="K446" s="989"/>
      <c r="L446" s="989"/>
      <c r="M446" s="989"/>
      <c r="N446" s="989"/>
      <c r="O446" s="989"/>
      <c r="P446" s="989"/>
      <c r="Q446" s="989"/>
      <c r="R446" s="989"/>
      <c r="S446" s="989"/>
      <c r="T446" s="989"/>
      <c r="U446" s="989"/>
      <c r="V446" s="989"/>
      <c r="W446" s="989"/>
      <c r="X446" s="989"/>
      <c r="Y446" s="989"/>
      <c r="Z446" s="989"/>
      <c r="AA446" s="989"/>
      <c r="AB446" s="989"/>
      <c r="AC446" s="989"/>
      <c r="AD446" s="989"/>
      <c r="AE446" s="989"/>
    </row>
    <row r="447">
      <c r="A447" s="989"/>
      <c r="B447" s="989"/>
      <c r="C447" s="989"/>
      <c r="D447" s="989"/>
      <c r="E447" s="989"/>
      <c r="F447" s="989"/>
      <c r="G447" s="989"/>
      <c r="H447" s="992" t="str">
        <f t="shared" si="16"/>
        <v/>
      </c>
      <c r="I447" s="989"/>
      <c r="J447" s="989"/>
      <c r="K447" s="989"/>
      <c r="L447" s="989"/>
      <c r="M447" s="989"/>
      <c r="N447" s="989"/>
      <c r="O447" s="989"/>
      <c r="P447" s="989"/>
      <c r="Q447" s="989"/>
      <c r="R447" s="989"/>
      <c r="S447" s="989"/>
      <c r="T447" s="989"/>
      <c r="U447" s="989"/>
      <c r="V447" s="989"/>
      <c r="W447" s="989"/>
      <c r="X447" s="989"/>
      <c r="Y447" s="989"/>
      <c r="Z447" s="989"/>
      <c r="AA447" s="989"/>
      <c r="AB447" s="989"/>
      <c r="AC447" s="989"/>
      <c r="AD447" s="989"/>
      <c r="AE447" s="989"/>
    </row>
    <row r="448">
      <c r="A448" s="989"/>
      <c r="B448" s="989"/>
      <c r="C448" s="989"/>
      <c r="D448" s="989"/>
      <c r="E448" s="989"/>
      <c r="F448" s="989"/>
      <c r="G448" s="989"/>
      <c r="H448" s="992" t="str">
        <f t="shared" si="16"/>
        <v/>
      </c>
      <c r="I448" s="989"/>
      <c r="J448" s="989"/>
      <c r="K448" s="989"/>
      <c r="L448" s="989"/>
      <c r="M448" s="989"/>
      <c r="N448" s="989"/>
      <c r="O448" s="989"/>
      <c r="P448" s="989"/>
      <c r="Q448" s="989"/>
      <c r="R448" s="989"/>
      <c r="S448" s="989"/>
      <c r="T448" s="989"/>
      <c r="U448" s="989"/>
      <c r="V448" s="989"/>
      <c r="W448" s="989"/>
      <c r="X448" s="989"/>
      <c r="Y448" s="989"/>
      <c r="Z448" s="989"/>
      <c r="AA448" s="989"/>
      <c r="AB448" s="989"/>
      <c r="AC448" s="989"/>
      <c r="AD448" s="989"/>
      <c r="AE448" s="989"/>
    </row>
    <row r="449">
      <c r="A449" s="989"/>
      <c r="B449" s="989"/>
      <c r="C449" s="989"/>
      <c r="D449" s="989"/>
      <c r="E449" s="989"/>
      <c r="F449" s="989"/>
      <c r="G449" s="989"/>
      <c r="H449" s="992" t="str">
        <f t="shared" si="16"/>
        <v/>
      </c>
      <c r="I449" s="989"/>
      <c r="J449" s="989"/>
      <c r="K449" s="989"/>
      <c r="L449" s="989"/>
      <c r="M449" s="989"/>
      <c r="N449" s="989"/>
      <c r="O449" s="989"/>
      <c r="P449" s="989"/>
      <c r="Q449" s="989"/>
      <c r="R449" s="989"/>
      <c r="S449" s="989"/>
      <c r="T449" s="989"/>
      <c r="U449" s="989"/>
      <c r="V449" s="989"/>
      <c r="W449" s="989"/>
      <c r="X449" s="989"/>
      <c r="Y449" s="989"/>
      <c r="Z449" s="989"/>
      <c r="AA449" s="989"/>
      <c r="AB449" s="989"/>
      <c r="AC449" s="989"/>
      <c r="AD449" s="989"/>
      <c r="AE449" s="989"/>
    </row>
    <row r="450">
      <c r="A450" s="989"/>
      <c r="B450" s="989"/>
      <c r="C450" s="989"/>
      <c r="D450" s="989"/>
      <c r="E450" s="989"/>
      <c r="F450" s="989"/>
      <c r="G450" s="989"/>
      <c r="H450" s="992" t="str">
        <f t="shared" si="16"/>
        <v/>
      </c>
      <c r="I450" s="989"/>
      <c r="J450" s="989"/>
      <c r="K450" s="989"/>
      <c r="L450" s="989"/>
      <c r="M450" s="989"/>
      <c r="N450" s="989"/>
      <c r="O450" s="989"/>
      <c r="P450" s="989"/>
      <c r="Q450" s="989"/>
      <c r="R450" s="989"/>
      <c r="S450" s="989"/>
      <c r="T450" s="989"/>
      <c r="U450" s="989"/>
      <c r="V450" s="989"/>
      <c r="W450" s="989"/>
      <c r="X450" s="989"/>
      <c r="Y450" s="989"/>
      <c r="Z450" s="989"/>
      <c r="AA450" s="989"/>
      <c r="AB450" s="989"/>
      <c r="AC450" s="989"/>
      <c r="AD450" s="989"/>
      <c r="AE450" s="989"/>
    </row>
    <row r="451">
      <c r="A451" s="989"/>
      <c r="B451" s="989"/>
      <c r="C451" s="989"/>
      <c r="D451" s="989"/>
      <c r="E451" s="989"/>
      <c r="F451" s="989"/>
      <c r="G451" s="989"/>
      <c r="H451" s="992" t="str">
        <f t="shared" si="16"/>
        <v/>
      </c>
      <c r="I451" s="989"/>
      <c r="J451" s="989"/>
      <c r="K451" s="989"/>
      <c r="L451" s="989"/>
      <c r="M451" s="989"/>
      <c r="N451" s="989"/>
      <c r="O451" s="989"/>
      <c r="P451" s="989"/>
      <c r="Q451" s="989"/>
      <c r="R451" s="989"/>
      <c r="S451" s="989"/>
      <c r="T451" s="989"/>
      <c r="U451" s="989"/>
      <c r="V451" s="989"/>
      <c r="W451" s="989"/>
      <c r="X451" s="989"/>
      <c r="Y451" s="989"/>
      <c r="Z451" s="989"/>
      <c r="AA451" s="989"/>
      <c r="AB451" s="989"/>
      <c r="AC451" s="989"/>
      <c r="AD451" s="989"/>
      <c r="AE451" s="989"/>
    </row>
    <row r="452">
      <c r="A452" s="989"/>
      <c r="B452" s="989"/>
      <c r="C452" s="989"/>
      <c r="D452" s="989"/>
      <c r="E452" s="989"/>
      <c r="F452" s="989"/>
      <c r="G452" s="989"/>
      <c r="H452" s="992" t="str">
        <f t="shared" si="16"/>
        <v/>
      </c>
      <c r="I452" s="989"/>
      <c r="J452" s="989"/>
      <c r="K452" s="989"/>
      <c r="L452" s="989"/>
      <c r="M452" s="989"/>
      <c r="N452" s="989"/>
      <c r="O452" s="989"/>
      <c r="P452" s="989"/>
      <c r="Q452" s="989"/>
      <c r="R452" s="989"/>
      <c r="S452" s="989"/>
      <c r="T452" s="989"/>
      <c r="U452" s="989"/>
      <c r="V452" s="989"/>
      <c r="W452" s="989"/>
      <c r="X452" s="989"/>
      <c r="Y452" s="989"/>
      <c r="Z452" s="989"/>
      <c r="AA452" s="989"/>
      <c r="AB452" s="989"/>
      <c r="AC452" s="989"/>
      <c r="AD452" s="989"/>
      <c r="AE452" s="989"/>
    </row>
    <row r="453">
      <c r="A453" s="989"/>
      <c r="B453" s="989"/>
      <c r="C453" s="989"/>
      <c r="D453" s="989"/>
      <c r="E453" s="989"/>
      <c r="F453" s="989"/>
      <c r="G453" s="989"/>
      <c r="H453" s="992" t="str">
        <f t="shared" si="16"/>
        <v/>
      </c>
      <c r="I453" s="989"/>
      <c r="J453" s="989"/>
      <c r="K453" s="989"/>
      <c r="L453" s="989"/>
      <c r="M453" s="989"/>
      <c r="N453" s="989"/>
      <c r="O453" s="989"/>
      <c r="P453" s="989"/>
      <c r="Q453" s="989"/>
      <c r="R453" s="989"/>
      <c r="S453" s="989"/>
      <c r="T453" s="989"/>
      <c r="U453" s="989"/>
      <c r="V453" s="989"/>
      <c r="W453" s="989"/>
      <c r="X453" s="989"/>
      <c r="Y453" s="989"/>
      <c r="Z453" s="989"/>
      <c r="AA453" s="989"/>
      <c r="AB453" s="989"/>
      <c r="AC453" s="989"/>
      <c r="AD453" s="989"/>
      <c r="AE453" s="989"/>
    </row>
    <row r="454">
      <c r="A454" s="989"/>
      <c r="B454" s="989"/>
      <c r="C454" s="989"/>
      <c r="D454" s="989"/>
      <c r="E454" s="989"/>
      <c r="F454" s="989"/>
      <c r="G454" s="989"/>
      <c r="H454" s="992" t="str">
        <f t="shared" si="16"/>
        <v/>
      </c>
      <c r="I454" s="989"/>
      <c r="J454" s="989"/>
      <c r="K454" s="989"/>
      <c r="L454" s="989"/>
      <c r="M454" s="989"/>
      <c r="N454" s="989"/>
      <c r="O454" s="989"/>
      <c r="P454" s="989"/>
      <c r="Q454" s="989"/>
      <c r="R454" s="989"/>
      <c r="S454" s="989"/>
      <c r="T454" s="989"/>
      <c r="U454" s="989"/>
      <c r="V454" s="989"/>
      <c r="W454" s="989"/>
      <c r="X454" s="989"/>
      <c r="Y454" s="989"/>
      <c r="Z454" s="989"/>
      <c r="AA454" s="989"/>
      <c r="AB454" s="989"/>
      <c r="AC454" s="989"/>
      <c r="AD454" s="989"/>
      <c r="AE454" s="989"/>
    </row>
    <row r="455">
      <c r="A455" s="989"/>
      <c r="B455" s="989"/>
      <c r="C455" s="989"/>
      <c r="D455" s="989"/>
      <c r="E455" s="989"/>
      <c r="F455" s="989"/>
      <c r="G455" s="989"/>
      <c r="H455" s="992" t="str">
        <f t="shared" si="16"/>
        <v/>
      </c>
      <c r="I455" s="989"/>
      <c r="J455" s="989"/>
      <c r="K455" s="989"/>
      <c r="L455" s="989"/>
      <c r="M455" s="989"/>
      <c r="N455" s="989"/>
      <c r="O455" s="989"/>
      <c r="P455" s="989"/>
      <c r="Q455" s="989"/>
      <c r="R455" s="989"/>
      <c r="S455" s="989"/>
      <c r="T455" s="989"/>
      <c r="U455" s="989"/>
      <c r="V455" s="989"/>
      <c r="W455" s="989"/>
      <c r="X455" s="989"/>
      <c r="Y455" s="989"/>
      <c r="Z455" s="989"/>
      <c r="AA455" s="989"/>
      <c r="AB455" s="989"/>
      <c r="AC455" s="989"/>
      <c r="AD455" s="989"/>
      <c r="AE455" s="989"/>
    </row>
    <row r="456">
      <c r="A456" s="989"/>
      <c r="B456" s="989"/>
      <c r="C456" s="989"/>
      <c r="D456" s="989"/>
      <c r="E456" s="989"/>
      <c r="F456" s="989"/>
      <c r="G456" s="989"/>
      <c r="H456" s="992" t="str">
        <f t="shared" si="16"/>
        <v/>
      </c>
      <c r="I456" s="989"/>
      <c r="J456" s="989"/>
      <c r="K456" s="989"/>
      <c r="L456" s="989"/>
      <c r="M456" s="989"/>
      <c r="N456" s="989"/>
      <c r="O456" s="989"/>
      <c r="P456" s="989"/>
      <c r="Q456" s="989"/>
      <c r="R456" s="989"/>
      <c r="S456" s="989"/>
      <c r="T456" s="989"/>
      <c r="U456" s="989"/>
      <c r="V456" s="989"/>
      <c r="W456" s="989"/>
      <c r="X456" s="989"/>
      <c r="Y456" s="989"/>
      <c r="Z456" s="989"/>
      <c r="AA456" s="989"/>
      <c r="AB456" s="989"/>
      <c r="AC456" s="989"/>
      <c r="AD456" s="989"/>
      <c r="AE456" s="989"/>
    </row>
    <row r="457">
      <c r="A457" s="989"/>
      <c r="B457" s="989"/>
      <c r="C457" s="989"/>
      <c r="D457" s="989"/>
      <c r="E457" s="989"/>
      <c r="F457" s="989"/>
      <c r="G457" s="989"/>
      <c r="H457" s="992" t="str">
        <f t="shared" si="16"/>
        <v/>
      </c>
      <c r="I457" s="989"/>
      <c r="J457" s="989"/>
      <c r="K457" s="989"/>
      <c r="L457" s="989"/>
      <c r="M457" s="989"/>
      <c r="N457" s="989"/>
      <c r="O457" s="989"/>
      <c r="P457" s="989"/>
      <c r="Q457" s="989"/>
      <c r="R457" s="989"/>
      <c r="S457" s="989"/>
      <c r="T457" s="989"/>
      <c r="U457" s="989"/>
      <c r="V457" s="989"/>
      <c r="W457" s="989"/>
      <c r="X457" s="989"/>
      <c r="Y457" s="989"/>
      <c r="Z457" s="989"/>
      <c r="AA457" s="989"/>
      <c r="AB457" s="989"/>
      <c r="AC457" s="989"/>
      <c r="AD457" s="989"/>
      <c r="AE457" s="989"/>
    </row>
    <row r="458">
      <c r="A458" s="989"/>
      <c r="B458" s="989"/>
      <c r="C458" s="989"/>
      <c r="D458" s="989"/>
      <c r="E458" s="989"/>
      <c r="F458" s="989"/>
      <c r="G458" s="989"/>
      <c r="H458" s="992" t="str">
        <f t="shared" si="16"/>
        <v/>
      </c>
      <c r="I458" s="989"/>
      <c r="J458" s="989"/>
      <c r="K458" s="989"/>
      <c r="L458" s="989"/>
      <c r="M458" s="989"/>
      <c r="N458" s="989"/>
      <c r="O458" s="989"/>
      <c r="P458" s="989"/>
      <c r="Q458" s="989"/>
      <c r="R458" s="989"/>
      <c r="S458" s="989"/>
      <c r="T458" s="989"/>
      <c r="U458" s="989"/>
      <c r="V458" s="989"/>
      <c r="W458" s="989"/>
      <c r="X458" s="989"/>
      <c r="Y458" s="989"/>
      <c r="Z458" s="989"/>
      <c r="AA458" s="989"/>
      <c r="AB458" s="989"/>
      <c r="AC458" s="989"/>
      <c r="AD458" s="989"/>
      <c r="AE458" s="989"/>
    </row>
    <row r="459">
      <c r="A459" s="989"/>
      <c r="B459" s="989"/>
      <c r="C459" s="989"/>
      <c r="D459" s="989"/>
      <c r="E459" s="989"/>
      <c r="F459" s="989"/>
      <c r="G459" s="989"/>
      <c r="H459" s="992" t="str">
        <f t="shared" si="16"/>
        <v/>
      </c>
      <c r="I459" s="989"/>
      <c r="J459" s="989"/>
      <c r="K459" s="989"/>
      <c r="L459" s="989"/>
      <c r="M459" s="989"/>
      <c r="N459" s="989"/>
      <c r="O459" s="989"/>
      <c r="P459" s="989"/>
      <c r="Q459" s="989"/>
      <c r="R459" s="989"/>
      <c r="S459" s="989"/>
      <c r="T459" s="989"/>
      <c r="U459" s="989"/>
      <c r="V459" s="989"/>
      <c r="W459" s="989"/>
      <c r="X459" s="989"/>
      <c r="Y459" s="989"/>
      <c r="Z459" s="989"/>
      <c r="AA459" s="989"/>
      <c r="AB459" s="989"/>
      <c r="AC459" s="989"/>
      <c r="AD459" s="989"/>
      <c r="AE459" s="989"/>
    </row>
    <row r="460">
      <c r="A460" s="989"/>
      <c r="B460" s="989"/>
      <c r="C460" s="989"/>
      <c r="D460" s="989"/>
      <c r="E460" s="989"/>
      <c r="F460" s="989"/>
      <c r="G460" s="989"/>
      <c r="H460" s="992" t="str">
        <f t="shared" si="16"/>
        <v/>
      </c>
      <c r="I460" s="989"/>
      <c r="J460" s="989"/>
      <c r="K460" s="989"/>
      <c r="L460" s="989"/>
      <c r="M460" s="989"/>
      <c r="N460" s="989"/>
      <c r="O460" s="989"/>
      <c r="P460" s="989"/>
      <c r="Q460" s="989"/>
      <c r="R460" s="989"/>
      <c r="S460" s="989"/>
      <c r="T460" s="989"/>
      <c r="U460" s="989"/>
      <c r="V460" s="989"/>
      <c r="W460" s="989"/>
      <c r="X460" s="989"/>
      <c r="Y460" s="989"/>
      <c r="Z460" s="989"/>
      <c r="AA460" s="989"/>
      <c r="AB460" s="989"/>
      <c r="AC460" s="989"/>
      <c r="AD460" s="989"/>
      <c r="AE460" s="989"/>
    </row>
    <row r="461">
      <c r="A461" s="989"/>
      <c r="B461" s="989"/>
      <c r="C461" s="989"/>
      <c r="D461" s="989"/>
      <c r="E461" s="989"/>
      <c r="F461" s="989"/>
      <c r="G461" s="989"/>
      <c r="H461" s="992" t="str">
        <f t="shared" si="16"/>
        <v/>
      </c>
      <c r="I461" s="989"/>
      <c r="J461" s="989"/>
      <c r="K461" s="989"/>
      <c r="L461" s="989"/>
      <c r="M461" s="989"/>
      <c r="N461" s="989"/>
      <c r="O461" s="989"/>
      <c r="P461" s="989"/>
      <c r="Q461" s="989"/>
      <c r="R461" s="989"/>
      <c r="S461" s="989"/>
      <c r="T461" s="989"/>
      <c r="U461" s="989"/>
      <c r="V461" s="989"/>
      <c r="W461" s="989"/>
      <c r="X461" s="989"/>
      <c r="Y461" s="989"/>
      <c r="Z461" s="989"/>
      <c r="AA461" s="989"/>
      <c r="AB461" s="989"/>
      <c r="AC461" s="989"/>
      <c r="AD461" s="989"/>
      <c r="AE461" s="989"/>
    </row>
    <row r="462">
      <c r="A462" s="989"/>
      <c r="B462" s="989"/>
      <c r="C462" s="989"/>
      <c r="D462" s="989"/>
      <c r="E462" s="989"/>
      <c r="F462" s="989"/>
      <c r="G462" s="989"/>
      <c r="H462" s="992" t="str">
        <f t="shared" si="16"/>
        <v/>
      </c>
      <c r="I462" s="989"/>
      <c r="J462" s="989"/>
      <c r="K462" s="989"/>
      <c r="L462" s="989"/>
      <c r="M462" s="989"/>
      <c r="N462" s="989"/>
      <c r="O462" s="989"/>
      <c r="P462" s="989"/>
      <c r="Q462" s="989"/>
      <c r="R462" s="989"/>
      <c r="S462" s="989"/>
      <c r="T462" s="989"/>
      <c r="U462" s="989"/>
      <c r="V462" s="989"/>
      <c r="W462" s="989"/>
      <c r="X462" s="989"/>
      <c r="Y462" s="989"/>
      <c r="Z462" s="989"/>
      <c r="AA462" s="989"/>
      <c r="AB462" s="989"/>
      <c r="AC462" s="989"/>
      <c r="AD462" s="989"/>
      <c r="AE462" s="989"/>
    </row>
    <row r="463">
      <c r="A463" s="989"/>
      <c r="B463" s="989"/>
      <c r="C463" s="989"/>
      <c r="D463" s="989"/>
      <c r="E463" s="989"/>
      <c r="F463" s="989"/>
      <c r="G463" s="989"/>
      <c r="H463" s="992" t="str">
        <f t="shared" si="16"/>
        <v/>
      </c>
      <c r="I463" s="989"/>
      <c r="J463" s="989"/>
      <c r="K463" s="989"/>
      <c r="L463" s="989"/>
      <c r="M463" s="989"/>
      <c r="N463" s="989"/>
      <c r="O463" s="989"/>
      <c r="P463" s="989"/>
      <c r="Q463" s="989"/>
      <c r="R463" s="989"/>
      <c r="S463" s="989"/>
      <c r="T463" s="989"/>
      <c r="U463" s="989"/>
      <c r="V463" s="989"/>
      <c r="W463" s="989"/>
      <c r="X463" s="989"/>
      <c r="Y463" s="989"/>
      <c r="Z463" s="989"/>
      <c r="AA463" s="989"/>
      <c r="AB463" s="989"/>
      <c r="AC463" s="989"/>
      <c r="AD463" s="989"/>
      <c r="AE463" s="989"/>
    </row>
    <row r="464">
      <c r="A464" s="989"/>
      <c r="B464" s="989"/>
      <c r="C464" s="989"/>
      <c r="D464" s="989"/>
      <c r="E464" s="989"/>
      <c r="F464" s="989"/>
      <c r="G464" s="989"/>
      <c r="H464" s="992" t="str">
        <f t="shared" si="16"/>
        <v/>
      </c>
      <c r="I464" s="989"/>
      <c r="J464" s="989"/>
      <c r="K464" s="989"/>
      <c r="L464" s="989"/>
      <c r="M464" s="989"/>
      <c r="N464" s="989"/>
      <c r="O464" s="989"/>
      <c r="P464" s="989"/>
      <c r="Q464" s="989"/>
      <c r="R464" s="989"/>
      <c r="S464" s="989"/>
      <c r="T464" s="989"/>
      <c r="U464" s="989"/>
      <c r="V464" s="989"/>
      <c r="W464" s="989"/>
      <c r="X464" s="989"/>
      <c r="Y464" s="989"/>
      <c r="Z464" s="989"/>
      <c r="AA464" s="989"/>
      <c r="AB464" s="989"/>
      <c r="AC464" s="989"/>
      <c r="AD464" s="989"/>
      <c r="AE464" s="989"/>
    </row>
    <row r="465">
      <c r="A465" s="989"/>
      <c r="B465" s="989"/>
      <c r="C465" s="989"/>
      <c r="D465" s="989"/>
      <c r="E465" s="989"/>
      <c r="F465" s="989"/>
      <c r="G465" s="989"/>
      <c r="H465" s="992" t="str">
        <f t="shared" si="16"/>
        <v/>
      </c>
      <c r="I465" s="989"/>
      <c r="J465" s="989"/>
      <c r="K465" s="989"/>
      <c r="L465" s="989"/>
      <c r="M465" s="989"/>
      <c r="N465" s="989"/>
      <c r="O465" s="989"/>
      <c r="P465" s="989"/>
      <c r="Q465" s="989"/>
      <c r="R465" s="989"/>
      <c r="S465" s="989"/>
      <c r="T465" s="989"/>
      <c r="U465" s="989"/>
      <c r="V465" s="989"/>
      <c r="W465" s="989"/>
      <c r="X465" s="989"/>
      <c r="Y465" s="989"/>
      <c r="Z465" s="989"/>
      <c r="AA465" s="989"/>
      <c r="AB465" s="989"/>
      <c r="AC465" s="989"/>
      <c r="AD465" s="989"/>
      <c r="AE465" s="989"/>
    </row>
    <row r="466">
      <c r="A466" s="989"/>
      <c r="B466" s="989"/>
      <c r="C466" s="989"/>
      <c r="D466" s="989"/>
      <c r="E466" s="989"/>
      <c r="F466" s="989"/>
      <c r="G466" s="989"/>
      <c r="H466" s="992" t="str">
        <f t="shared" si="16"/>
        <v/>
      </c>
      <c r="I466" s="989"/>
      <c r="J466" s="989"/>
      <c r="K466" s="989"/>
      <c r="L466" s="989"/>
      <c r="M466" s="989"/>
      <c r="N466" s="989"/>
      <c r="O466" s="989"/>
      <c r="P466" s="989"/>
      <c r="Q466" s="989"/>
      <c r="R466" s="989"/>
      <c r="S466" s="989"/>
      <c r="T466" s="989"/>
      <c r="U466" s="989"/>
      <c r="V466" s="989"/>
      <c r="W466" s="989"/>
      <c r="X466" s="989"/>
      <c r="Y466" s="989"/>
      <c r="Z466" s="989"/>
      <c r="AA466" s="989"/>
      <c r="AB466" s="989"/>
      <c r="AC466" s="989"/>
      <c r="AD466" s="989"/>
      <c r="AE466" s="989"/>
    </row>
    <row r="467">
      <c r="A467" s="989"/>
      <c r="B467" s="989"/>
      <c r="C467" s="989"/>
      <c r="D467" s="989"/>
      <c r="E467" s="989"/>
      <c r="F467" s="989"/>
      <c r="G467" s="989"/>
      <c r="H467" s="992" t="str">
        <f t="shared" si="16"/>
        <v/>
      </c>
      <c r="I467" s="989"/>
      <c r="J467" s="989"/>
      <c r="K467" s="989"/>
      <c r="L467" s="989"/>
      <c r="M467" s="989"/>
      <c r="N467" s="989"/>
      <c r="O467" s="989"/>
      <c r="P467" s="989"/>
      <c r="Q467" s="989"/>
      <c r="R467" s="989"/>
      <c r="S467" s="989"/>
      <c r="T467" s="989"/>
      <c r="U467" s="989"/>
      <c r="V467" s="989"/>
      <c r="W467" s="989"/>
      <c r="X467" s="989"/>
      <c r="Y467" s="989"/>
      <c r="Z467" s="989"/>
      <c r="AA467" s="989"/>
      <c r="AB467" s="989"/>
      <c r="AC467" s="989"/>
      <c r="AD467" s="989"/>
      <c r="AE467" s="989"/>
    </row>
    <row r="468">
      <c r="A468" s="989"/>
      <c r="B468" s="989"/>
      <c r="C468" s="989"/>
      <c r="D468" s="989"/>
      <c r="E468" s="989"/>
      <c r="F468" s="989"/>
      <c r="G468" s="989"/>
      <c r="H468" s="992" t="str">
        <f t="shared" si="16"/>
        <v/>
      </c>
      <c r="I468" s="989"/>
      <c r="J468" s="989"/>
      <c r="K468" s="989"/>
      <c r="L468" s="989"/>
      <c r="M468" s="989"/>
      <c r="N468" s="989"/>
      <c r="O468" s="989"/>
      <c r="P468" s="989"/>
      <c r="Q468" s="989"/>
      <c r="R468" s="989"/>
      <c r="S468" s="989"/>
      <c r="T468" s="989"/>
      <c r="U468" s="989"/>
      <c r="V468" s="989"/>
      <c r="W468" s="989"/>
      <c r="X468" s="989"/>
      <c r="Y468" s="989"/>
      <c r="Z468" s="989"/>
      <c r="AA468" s="989"/>
      <c r="AB468" s="989"/>
      <c r="AC468" s="989"/>
      <c r="AD468" s="989"/>
      <c r="AE468" s="989"/>
    </row>
    <row r="469">
      <c r="A469" s="989"/>
      <c r="B469" s="989"/>
      <c r="C469" s="989"/>
      <c r="D469" s="989"/>
      <c r="E469" s="989"/>
      <c r="F469" s="989"/>
      <c r="G469" s="989"/>
      <c r="H469" s="992" t="str">
        <f t="shared" si="16"/>
        <v/>
      </c>
      <c r="I469" s="989"/>
      <c r="J469" s="989"/>
      <c r="K469" s="989"/>
      <c r="L469" s="989"/>
      <c r="M469" s="989"/>
      <c r="N469" s="989"/>
      <c r="O469" s="989"/>
      <c r="P469" s="989"/>
      <c r="Q469" s="989"/>
      <c r="R469" s="989"/>
      <c r="S469" s="989"/>
      <c r="T469" s="989"/>
      <c r="U469" s="989"/>
      <c r="V469" s="989"/>
      <c r="W469" s="989"/>
      <c r="X469" s="989"/>
      <c r="Y469" s="989"/>
      <c r="Z469" s="989"/>
      <c r="AA469" s="989"/>
      <c r="AB469" s="989"/>
      <c r="AC469" s="989"/>
      <c r="AD469" s="989"/>
      <c r="AE469" s="989"/>
    </row>
    <row r="470">
      <c r="A470" s="989"/>
      <c r="B470" s="989"/>
      <c r="C470" s="989"/>
      <c r="D470" s="989"/>
      <c r="E470" s="989"/>
      <c r="F470" s="989"/>
      <c r="G470" s="989"/>
      <c r="H470" s="992" t="str">
        <f t="shared" si="16"/>
        <v/>
      </c>
      <c r="I470" s="989"/>
      <c r="J470" s="989"/>
      <c r="K470" s="989"/>
      <c r="L470" s="989"/>
      <c r="M470" s="989"/>
      <c r="N470" s="989"/>
      <c r="O470" s="989"/>
      <c r="P470" s="989"/>
      <c r="Q470" s="989"/>
      <c r="R470" s="989"/>
      <c r="S470" s="989"/>
      <c r="T470" s="989"/>
      <c r="U470" s="989"/>
      <c r="V470" s="989"/>
      <c r="W470" s="989"/>
      <c r="X470" s="989"/>
      <c r="Y470" s="989"/>
      <c r="Z470" s="989"/>
      <c r="AA470" s="989"/>
      <c r="AB470" s="989"/>
      <c r="AC470" s="989"/>
      <c r="AD470" s="989"/>
      <c r="AE470" s="989"/>
    </row>
    <row r="471">
      <c r="A471" s="989"/>
      <c r="B471" s="989"/>
      <c r="C471" s="989"/>
      <c r="D471" s="989"/>
      <c r="E471" s="989"/>
      <c r="F471" s="989"/>
      <c r="G471" s="989"/>
      <c r="H471" s="992" t="str">
        <f t="shared" si="16"/>
        <v/>
      </c>
      <c r="I471" s="989"/>
      <c r="J471" s="989"/>
      <c r="K471" s="989"/>
      <c r="L471" s="989"/>
      <c r="M471" s="989"/>
      <c r="N471" s="989"/>
      <c r="O471" s="989"/>
      <c r="P471" s="989"/>
      <c r="Q471" s="989"/>
      <c r="R471" s="989"/>
      <c r="S471" s="989"/>
      <c r="T471" s="989"/>
      <c r="U471" s="989"/>
      <c r="V471" s="989"/>
      <c r="W471" s="989"/>
      <c r="X471" s="989"/>
      <c r="Y471" s="989"/>
      <c r="Z471" s="989"/>
      <c r="AA471" s="989"/>
      <c r="AB471" s="989"/>
      <c r="AC471" s="989"/>
      <c r="AD471" s="989"/>
      <c r="AE471" s="989"/>
    </row>
    <row r="472">
      <c r="A472" s="989"/>
      <c r="B472" s="989"/>
      <c r="C472" s="989"/>
      <c r="D472" s="989"/>
      <c r="E472" s="989"/>
      <c r="F472" s="989"/>
      <c r="G472" s="989"/>
      <c r="H472" s="992" t="str">
        <f t="shared" si="16"/>
        <v/>
      </c>
      <c r="I472" s="989"/>
      <c r="J472" s="989"/>
      <c r="K472" s="989"/>
      <c r="L472" s="989"/>
      <c r="M472" s="989"/>
      <c r="N472" s="989"/>
      <c r="O472" s="989"/>
      <c r="P472" s="989"/>
      <c r="Q472" s="989"/>
      <c r="R472" s="989"/>
      <c r="S472" s="989"/>
      <c r="T472" s="989"/>
      <c r="U472" s="989"/>
      <c r="V472" s="989"/>
      <c r="W472" s="989"/>
      <c r="X472" s="989"/>
      <c r="Y472" s="989"/>
      <c r="Z472" s="989"/>
      <c r="AA472" s="989"/>
      <c r="AB472" s="989"/>
      <c r="AC472" s="989"/>
      <c r="AD472" s="989"/>
      <c r="AE472" s="989"/>
    </row>
    <row r="473">
      <c r="A473" s="989"/>
      <c r="B473" s="989"/>
      <c r="C473" s="989"/>
      <c r="D473" s="989"/>
      <c r="E473" s="989"/>
      <c r="F473" s="989"/>
      <c r="G473" s="989"/>
      <c r="H473" s="992" t="str">
        <f t="shared" si="16"/>
        <v/>
      </c>
      <c r="I473" s="989"/>
      <c r="J473" s="989"/>
      <c r="K473" s="989"/>
      <c r="L473" s="989"/>
      <c r="M473" s="989"/>
      <c r="N473" s="989"/>
      <c r="O473" s="989"/>
      <c r="P473" s="989"/>
      <c r="Q473" s="989"/>
      <c r="R473" s="989"/>
      <c r="S473" s="989"/>
      <c r="T473" s="989"/>
      <c r="U473" s="989"/>
      <c r="V473" s="989"/>
      <c r="W473" s="989"/>
      <c r="X473" s="989"/>
      <c r="Y473" s="989"/>
      <c r="Z473" s="989"/>
      <c r="AA473" s="989"/>
      <c r="AB473" s="989"/>
      <c r="AC473" s="989"/>
      <c r="AD473" s="989"/>
      <c r="AE473" s="989"/>
    </row>
    <row r="474">
      <c r="A474" s="989"/>
      <c r="B474" s="989"/>
      <c r="C474" s="989"/>
      <c r="D474" s="989"/>
      <c r="E474" s="989"/>
      <c r="F474" s="989"/>
      <c r="G474" s="989"/>
      <c r="H474" s="992" t="str">
        <f t="shared" si="16"/>
        <v/>
      </c>
      <c r="I474" s="989"/>
      <c r="J474" s="989"/>
      <c r="K474" s="989"/>
      <c r="L474" s="989"/>
      <c r="M474" s="989"/>
      <c r="N474" s="989"/>
      <c r="O474" s="989"/>
      <c r="P474" s="989"/>
      <c r="Q474" s="989"/>
      <c r="R474" s="989"/>
      <c r="S474" s="989"/>
      <c r="T474" s="989"/>
      <c r="U474" s="989"/>
      <c r="V474" s="989"/>
      <c r="W474" s="989"/>
      <c r="X474" s="989"/>
      <c r="Y474" s="989"/>
      <c r="Z474" s="989"/>
      <c r="AA474" s="989"/>
      <c r="AB474" s="989"/>
      <c r="AC474" s="989"/>
      <c r="AD474" s="989"/>
      <c r="AE474" s="989"/>
    </row>
    <row r="475">
      <c r="A475" s="989"/>
      <c r="B475" s="989"/>
      <c r="C475" s="989"/>
      <c r="D475" s="989"/>
      <c r="E475" s="989"/>
      <c r="F475" s="989"/>
      <c r="G475" s="989"/>
      <c r="H475" s="992" t="str">
        <f t="shared" si="16"/>
        <v/>
      </c>
      <c r="I475" s="989"/>
      <c r="J475" s="989"/>
      <c r="K475" s="989"/>
      <c r="L475" s="989"/>
      <c r="M475" s="989"/>
      <c r="N475" s="989"/>
      <c r="O475" s="989"/>
      <c r="P475" s="989"/>
      <c r="Q475" s="989"/>
      <c r="R475" s="989"/>
      <c r="S475" s="989"/>
      <c r="T475" s="989"/>
      <c r="U475" s="989"/>
      <c r="V475" s="989"/>
      <c r="W475" s="989"/>
      <c r="X475" s="989"/>
      <c r="Y475" s="989"/>
      <c r="Z475" s="989"/>
      <c r="AA475" s="989"/>
      <c r="AB475" s="989"/>
      <c r="AC475" s="989"/>
      <c r="AD475" s="989"/>
      <c r="AE475" s="989"/>
    </row>
    <row r="476">
      <c r="A476" s="989"/>
      <c r="B476" s="989"/>
      <c r="C476" s="989"/>
      <c r="D476" s="989"/>
      <c r="E476" s="989"/>
      <c r="F476" s="989"/>
      <c r="G476" s="989"/>
      <c r="H476" s="992" t="str">
        <f t="shared" si="16"/>
        <v/>
      </c>
      <c r="I476" s="989"/>
      <c r="J476" s="989"/>
      <c r="K476" s="989"/>
      <c r="L476" s="989"/>
      <c r="M476" s="989"/>
      <c r="N476" s="989"/>
      <c r="O476" s="989"/>
      <c r="P476" s="989"/>
      <c r="Q476" s="989"/>
      <c r="R476" s="989"/>
      <c r="S476" s="989"/>
      <c r="T476" s="989"/>
      <c r="U476" s="989"/>
      <c r="V476" s="989"/>
      <c r="W476" s="989"/>
      <c r="X476" s="989"/>
      <c r="Y476" s="989"/>
      <c r="Z476" s="989"/>
      <c r="AA476" s="989"/>
      <c r="AB476" s="989"/>
      <c r="AC476" s="989"/>
      <c r="AD476" s="989"/>
      <c r="AE476" s="989"/>
    </row>
    <row r="477">
      <c r="A477" s="989"/>
      <c r="B477" s="989"/>
      <c r="C477" s="989"/>
      <c r="D477" s="989"/>
      <c r="E477" s="989"/>
      <c r="F477" s="989"/>
      <c r="G477" s="989"/>
      <c r="H477" s="992" t="str">
        <f t="shared" si="16"/>
        <v/>
      </c>
      <c r="I477" s="989"/>
      <c r="J477" s="989"/>
      <c r="K477" s="989"/>
      <c r="L477" s="989"/>
      <c r="M477" s="989"/>
      <c r="N477" s="989"/>
      <c r="O477" s="989"/>
      <c r="P477" s="989"/>
      <c r="Q477" s="989"/>
      <c r="R477" s="989"/>
      <c r="S477" s="989"/>
      <c r="T477" s="989"/>
      <c r="U477" s="989"/>
      <c r="V477" s="989"/>
      <c r="W477" s="989"/>
      <c r="X477" s="989"/>
      <c r="Y477" s="989"/>
      <c r="Z477" s="989"/>
      <c r="AA477" s="989"/>
      <c r="AB477" s="989"/>
      <c r="AC477" s="989"/>
      <c r="AD477" s="989"/>
      <c r="AE477" s="989"/>
    </row>
    <row r="478">
      <c r="A478" s="989"/>
      <c r="B478" s="989"/>
      <c r="C478" s="989"/>
      <c r="D478" s="989"/>
      <c r="E478" s="989"/>
      <c r="F478" s="989"/>
      <c r="G478" s="989"/>
      <c r="H478" s="992" t="str">
        <f t="shared" si="16"/>
        <v/>
      </c>
      <c r="I478" s="989"/>
      <c r="J478" s="989"/>
      <c r="K478" s="989"/>
      <c r="L478" s="989"/>
      <c r="M478" s="989"/>
      <c r="N478" s="989"/>
      <c r="O478" s="989"/>
      <c r="P478" s="989"/>
      <c r="Q478" s="989"/>
      <c r="R478" s="989"/>
      <c r="S478" s="989"/>
      <c r="T478" s="989"/>
      <c r="U478" s="989"/>
      <c r="V478" s="989"/>
      <c r="W478" s="989"/>
      <c r="X478" s="989"/>
      <c r="Y478" s="989"/>
      <c r="Z478" s="989"/>
      <c r="AA478" s="989"/>
      <c r="AB478" s="989"/>
      <c r="AC478" s="989"/>
      <c r="AD478" s="989"/>
      <c r="AE478" s="989"/>
    </row>
    <row r="479">
      <c r="A479" s="989"/>
      <c r="B479" s="989"/>
      <c r="C479" s="989"/>
      <c r="D479" s="989"/>
      <c r="E479" s="989"/>
      <c r="F479" s="989"/>
      <c r="G479" s="989"/>
      <c r="H479" s="992" t="str">
        <f t="shared" si="16"/>
        <v/>
      </c>
      <c r="I479" s="989"/>
      <c r="J479" s="989"/>
      <c r="K479" s="989"/>
      <c r="L479" s="989"/>
      <c r="M479" s="989"/>
      <c r="N479" s="989"/>
      <c r="O479" s="989"/>
      <c r="P479" s="989"/>
      <c r="Q479" s="989"/>
      <c r="R479" s="989"/>
      <c r="S479" s="989"/>
      <c r="T479" s="989"/>
      <c r="U479" s="989"/>
      <c r="V479" s="989"/>
      <c r="W479" s="989"/>
      <c r="X479" s="989"/>
      <c r="Y479" s="989"/>
      <c r="Z479" s="989"/>
      <c r="AA479" s="989"/>
      <c r="AB479" s="989"/>
      <c r="AC479" s="989"/>
      <c r="AD479" s="989"/>
      <c r="AE479" s="989"/>
    </row>
    <row r="480">
      <c r="A480" s="989"/>
      <c r="B480" s="989"/>
      <c r="C480" s="989"/>
      <c r="D480" s="989"/>
      <c r="E480" s="989"/>
      <c r="F480" s="989"/>
      <c r="G480" s="989"/>
      <c r="H480" s="992" t="str">
        <f t="shared" si="16"/>
        <v/>
      </c>
      <c r="I480" s="989"/>
      <c r="J480" s="989"/>
      <c r="K480" s="989"/>
      <c r="L480" s="989"/>
      <c r="M480" s="989"/>
      <c r="N480" s="989"/>
      <c r="O480" s="989"/>
      <c r="P480" s="989"/>
      <c r="Q480" s="989"/>
      <c r="R480" s="989"/>
      <c r="S480" s="989"/>
      <c r="T480" s="989"/>
      <c r="U480" s="989"/>
      <c r="V480" s="989"/>
      <c r="W480" s="989"/>
      <c r="X480" s="989"/>
      <c r="Y480" s="989"/>
      <c r="Z480" s="989"/>
      <c r="AA480" s="989"/>
      <c r="AB480" s="989"/>
      <c r="AC480" s="989"/>
      <c r="AD480" s="989"/>
      <c r="AE480" s="989"/>
    </row>
    <row r="481">
      <c r="A481" s="989"/>
      <c r="B481" s="989"/>
      <c r="C481" s="989"/>
      <c r="D481" s="989"/>
      <c r="E481" s="989"/>
      <c r="F481" s="989"/>
      <c r="G481" s="989"/>
      <c r="H481" s="992" t="str">
        <f t="shared" si="16"/>
        <v/>
      </c>
      <c r="I481" s="989"/>
      <c r="J481" s="989"/>
      <c r="K481" s="989"/>
      <c r="L481" s="989"/>
      <c r="M481" s="989"/>
      <c r="N481" s="989"/>
      <c r="O481" s="989"/>
      <c r="P481" s="989"/>
      <c r="Q481" s="989"/>
      <c r="R481" s="989"/>
      <c r="S481" s="989"/>
      <c r="T481" s="989"/>
      <c r="U481" s="989"/>
      <c r="V481" s="989"/>
      <c r="W481" s="989"/>
      <c r="X481" s="989"/>
      <c r="Y481" s="989"/>
      <c r="Z481" s="989"/>
      <c r="AA481" s="989"/>
      <c r="AB481" s="989"/>
      <c r="AC481" s="989"/>
      <c r="AD481" s="989"/>
      <c r="AE481" s="989"/>
    </row>
    <row r="482">
      <c r="A482" s="989"/>
      <c r="B482" s="989"/>
      <c r="C482" s="989"/>
      <c r="D482" s="989"/>
      <c r="E482" s="989"/>
      <c r="F482" s="989"/>
      <c r="G482" s="989"/>
      <c r="H482" s="992" t="str">
        <f t="shared" si="16"/>
        <v/>
      </c>
      <c r="I482" s="989"/>
      <c r="J482" s="989"/>
      <c r="K482" s="989"/>
      <c r="L482" s="989"/>
      <c r="M482" s="989"/>
      <c r="N482" s="989"/>
      <c r="O482" s="989"/>
      <c r="P482" s="989"/>
      <c r="Q482" s="989"/>
      <c r="R482" s="989"/>
      <c r="S482" s="989"/>
      <c r="T482" s="989"/>
      <c r="U482" s="989"/>
      <c r="V482" s="989"/>
      <c r="W482" s="989"/>
      <c r="X482" s="989"/>
      <c r="Y482" s="989"/>
      <c r="Z482" s="989"/>
      <c r="AA482" s="989"/>
      <c r="AB482" s="989"/>
      <c r="AC482" s="989"/>
      <c r="AD482" s="989"/>
      <c r="AE482" s="989"/>
    </row>
    <row r="483">
      <c r="A483" s="989"/>
      <c r="B483" s="989"/>
      <c r="C483" s="989"/>
      <c r="D483" s="989"/>
      <c r="E483" s="989"/>
      <c r="F483" s="989"/>
      <c r="G483" s="989"/>
      <c r="H483" s="992" t="str">
        <f t="shared" si="16"/>
        <v/>
      </c>
      <c r="I483" s="989"/>
      <c r="J483" s="989"/>
      <c r="K483" s="989"/>
      <c r="L483" s="989"/>
      <c r="M483" s="989"/>
      <c r="N483" s="989"/>
      <c r="O483" s="989"/>
      <c r="P483" s="989"/>
      <c r="Q483" s="989"/>
      <c r="R483" s="989"/>
      <c r="S483" s="989"/>
      <c r="T483" s="989"/>
      <c r="U483" s="989"/>
      <c r="V483" s="989"/>
      <c r="W483" s="989"/>
      <c r="X483" s="989"/>
      <c r="Y483" s="989"/>
      <c r="Z483" s="989"/>
      <c r="AA483" s="989"/>
      <c r="AB483" s="989"/>
      <c r="AC483" s="989"/>
      <c r="AD483" s="989"/>
      <c r="AE483" s="989"/>
    </row>
    <row r="484">
      <c r="A484" s="989"/>
      <c r="B484" s="989"/>
      <c r="C484" s="989"/>
      <c r="D484" s="989"/>
      <c r="E484" s="989"/>
      <c r="F484" s="989"/>
      <c r="G484" s="989"/>
      <c r="H484" s="992" t="str">
        <f t="shared" si="16"/>
        <v/>
      </c>
      <c r="I484" s="989"/>
      <c r="J484" s="989"/>
      <c r="K484" s="989"/>
      <c r="L484" s="989"/>
      <c r="M484" s="989"/>
      <c r="N484" s="989"/>
      <c r="O484" s="989"/>
      <c r="P484" s="989"/>
      <c r="Q484" s="989"/>
      <c r="R484" s="989"/>
      <c r="S484" s="989"/>
      <c r="T484" s="989"/>
      <c r="U484" s="989"/>
      <c r="V484" s="989"/>
      <c r="W484" s="989"/>
      <c r="X484" s="989"/>
      <c r="Y484" s="989"/>
      <c r="Z484" s="989"/>
      <c r="AA484" s="989"/>
      <c r="AB484" s="989"/>
      <c r="AC484" s="989"/>
      <c r="AD484" s="989"/>
      <c r="AE484" s="989"/>
    </row>
    <row r="485">
      <c r="A485" s="989"/>
      <c r="B485" s="989"/>
      <c r="C485" s="989"/>
      <c r="D485" s="989"/>
      <c r="E485" s="989"/>
      <c r="F485" s="989"/>
      <c r="G485" s="989"/>
      <c r="H485" s="992" t="str">
        <f t="shared" si="16"/>
        <v/>
      </c>
      <c r="I485" s="989"/>
      <c r="J485" s="989"/>
      <c r="K485" s="989"/>
      <c r="L485" s="989"/>
      <c r="M485" s="989"/>
      <c r="N485" s="989"/>
      <c r="O485" s="989"/>
      <c r="P485" s="989"/>
      <c r="Q485" s="989"/>
      <c r="R485" s="989"/>
      <c r="S485" s="989"/>
      <c r="T485" s="989"/>
      <c r="U485" s="989"/>
      <c r="V485" s="989"/>
      <c r="W485" s="989"/>
      <c r="X485" s="989"/>
      <c r="Y485" s="989"/>
      <c r="Z485" s="989"/>
      <c r="AA485" s="989"/>
      <c r="AB485" s="989"/>
      <c r="AC485" s="989"/>
      <c r="AD485" s="989"/>
      <c r="AE485" s="989"/>
    </row>
    <row r="486">
      <c r="A486" s="989"/>
      <c r="B486" s="989"/>
      <c r="C486" s="989"/>
      <c r="D486" s="989"/>
      <c r="E486" s="989"/>
      <c r="F486" s="989"/>
      <c r="G486" s="989"/>
      <c r="H486" s="992" t="str">
        <f t="shared" si="16"/>
        <v/>
      </c>
      <c r="I486" s="989"/>
      <c r="J486" s="989"/>
      <c r="K486" s="989"/>
      <c r="L486" s="989"/>
      <c r="M486" s="989"/>
      <c r="N486" s="989"/>
      <c r="O486" s="989"/>
      <c r="P486" s="989"/>
      <c r="Q486" s="989"/>
      <c r="R486" s="989"/>
      <c r="S486" s="989"/>
      <c r="T486" s="989"/>
      <c r="U486" s="989"/>
      <c r="V486" s="989"/>
      <c r="W486" s="989"/>
      <c r="X486" s="989"/>
      <c r="Y486" s="989"/>
      <c r="Z486" s="989"/>
      <c r="AA486" s="989"/>
      <c r="AB486" s="989"/>
      <c r="AC486" s="989"/>
      <c r="AD486" s="989"/>
      <c r="AE486" s="989"/>
    </row>
    <row r="487">
      <c r="A487" s="989"/>
      <c r="B487" s="989"/>
      <c r="C487" s="989"/>
      <c r="D487" s="989"/>
      <c r="E487" s="989"/>
      <c r="F487" s="989"/>
      <c r="G487" s="989"/>
      <c r="H487" s="992" t="str">
        <f t="shared" si="16"/>
        <v/>
      </c>
      <c r="I487" s="989"/>
      <c r="J487" s="989"/>
      <c r="K487" s="989"/>
      <c r="L487" s="989"/>
      <c r="M487" s="989"/>
      <c r="N487" s="989"/>
      <c r="O487" s="989"/>
      <c r="P487" s="989"/>
      <c r="Q487" s="989"/>
      <c r="R487" s="989"/>
      <c r="S487" s="989"/>
      <c r="T487" s="989"/>
      <c r="U487" s="989"/>
      <c r="V487" s="989"/>
      <c r="W487" s="989"/>
      <c r="X487" s="989"/>
      <c r="Y487" s="989"/>
      <c r="Z487" s="989"/>
      <c r="AA487" s="989"/>
      <c r="AB487" s="989"/>
      <c r="AC487" s="989"/>
      <c r="AD487" s="989"/>
      <c r="AE487" s="989"/>
    </row>
    <row r="488">
      <c r="A488" s="989"/>
      <c r="B488" s="989"/>
      <c r="C488" s="989"/>
      <c r="D488" s="989"/>
      <c r="E488" s="989"/>
      <c r="F488" s="989"/>
      <c r="G488" s="989"/>
      <c r="H488" s="992" t="str">
        <f t="shared" si="16"/>
        <v/>
      </c>
      <c r="I488" s="989"/>
      <c r="J488" s="989"/>
      <c r="K488" s="989"/>
      <c r="L488" s="989"/>
      <c r="M488" s="989"/>
      <c r="N488" s="989"/>
      <c r="O488" s="989"/>
      <c r="P488" s="989"/>
      <c r="Q488" s="989"/>
      <c r="R488" s="989"/>
      <c r="S488" s="989"/>
      <c r="T488" s="989"/>
      <c r="U488" s="989"/>
      <c r="V488" s="989"/>
      <c r="W488" s="989"/>
      <c r="X488" s="989"/>
      <c r="Y488" s="989"/>
      <c r="Z488" s="989"/>
      <c r="AA488" s="989"/>
      <c r="AB488" s="989"/>
      <c r="AC488" s="989"/>
      <c r="AD488" s="989"/>
      <c r="AE488" s="989"/>
    </row>
    <row r="489">
      <c r="A489" s="989"/>
      <c r="B489" s="989"/>
      <c r="C489" s="989"/>
      <c r="D489" s="989"/>
      <c r="E489" s="989"/>
      <c r="F489" s="989"/>
      <c r="G489" s="989"/>
      <c r="H489" s="992" t="str">
        <f t="shared" si="16"/>
        <v/>
      </c>
      <c r="I489" s="989"/>
      <c r="J489" s="989"/>
      <c r="K489" s="989"/>
      <c r="L489" s="989"/>
      <c r="M489" s="989"/>
      <c r="N489" s="989"/>
      <c r="O489" s="989"/>
      <c r="P489" s="989"/>
      <c r="Q489" s="989"/>
      <c r="R489" s="989"/>
      <c r="S489" s="989"/>
      <c r="T489" s="989"/>
      <c r="U489" s="989"/>
      <c r="V489" s="989"/>
      <c r="W489" s="989"/>
      <c r="X489" s="989"/>
      <c r="Y489" s="989"/>
      <c r="Z489" s="989"/>
      <c r="AA489" s="989"/>
      <c r="AB489" s="989"/>
      <c r="AC489" s="989"/>
      <c r="AD489" s="989"/>
      <c r="AE489" s="989"/>
    </row>
    <row r="490">
      <c r="A490" s="989"/>
      <c r="B490" s="989"/>
      <c r="C490" s="989"/>
      <c r="D490" s="989"/>
      <c r="E490" s="989"/>
      <c r="F490" s="989"/>
      <c r="G490" s="989"/>
      <c r="H490" s="992" t="str">
        <f t="shared" si="16"/>
        <v/>
      </c>
      <c r="I490" s="989"/>
      <c r="J490" s="989"/>
      <c r="K490" s="989"/>
      <c r="L490" s="989"/>
      <c r="M490" s="989"/>
      <c r="N490" s="989"/>
      <c r="O490" s="989"/>
      <c r="P490" s="989"/>
      <c r="Q490" s="989"/>
      <c r="R490" s="989"/>
      <c r="S490" s="989"/>
      <c r="T490" s="989"/>
      <c r="U490" s="989"/>
      <c r="V490" s="989"/>
      <c r="W490" s="989"/>
      <c r="X490" s="989"/>
      <c r="Y490" s="989"/>
      <c r="Z490" s="989"/>
      <c r="AA490" s="989"/>
      <c r="AB490" s="989"/>
      <c r="AC490" s="989"/>
      <c r="AD490" s="989"/>
      <c r="AE490" s="989"/>
    </row>
    <row r="491">
      <c r="A491" s="989"/>
      <c r="B491" s="989"/>
      <c r="C491" s="989"/>
      <c r="D491" s="989"/>
      <c r="E491" s="989"/>
      <c r="F491" s="989"/>
      <c r="G491" s="989"/>
      <c r="H491" s="992" t="str">
        <f t="shared" si="16"/>
        <v/>
      </c>
      <c r="I491" s="989"/>
      <c r="J491" s="989"/>
      <c r="K491" s="989"/>
      <c r="L491" s="989"/>
      <c r="M491" s="989"/>
      <c r="N491" s="989"/>
      <c r="O491" s="989"/>
      <c r="P491" s="989"/>
      <c r="Q491" s="989"/>
      <c r="R491" s="989"/>
      <c r="S491" s="989"/>
      <c r="T491" s="989"/>
      <c r="U491" s="989"/>
      <c r="V491" s="989"/>
      <c r="W491" s="989"/>
      <c r="X491" s="989"/>
      <c r="Y491" s="989"/>
      <c r="Z491" s="989"/>
      <c r="AA491" s="989"/>
      <c r="AB491" s="989"/>
      <c r="AC491" s="989"/>
      <c r="AD491" s="989"/>
      <c r="AE491" s="989"/>
    </row>
    <row r="492">
      <c r="A492" s="989"/>
      <c r="B492" s="989"/>
      <c r="C492" s="989"/>
      <c r="D492" s="989"/>
      <c r="E492" s="989"/>
      <c r="F492" s="989"/>
      <c r="G492" s="989"/>
      <c r="H492" s="992" t="str">
        <f t="shared" si="16"/>
        <v/>
      </c>
      <c r="I492" s="989"/>
      <c r="J492" s="989"/>
      <c r="K492" s="989"/>
      <c r="L492" s="989"/>
      <c r="M492" s="989"/>
      <c r="N492" s="989"/>
      <c r="O492" s="989"/>
      <c r="P492" s="989"/>
      <c r="Q492" s="989"/>
      <c r="R492" s="989"/>
      <c r="S492" s="989"/>
      <c r="T492" s="989"/>
      <c r="U492" s="989"/>
      <c r="V492" s="989"/>
      <c r="W492" s="989"/>
      <c r="X492" s="989"/>
      <c r="Y492" s="989"/>
      <c r="Z492" s="989"/>
      <c r="AA492" s="989"/>
      <c r="AB492" s="989"/>
      <c r="AC492" s="989"/>
      <c r="AD492" s="989"/>
      <c r="AE492" s="989"/>
    </row>
    <row r="493">
      <c r="A493" s="989"/>
      <c r="B493" s="989"/>
      <c r="C493" s="989"/>
      <c r="D493" s="989"/>
      <c r="E493" s="989"/>
      <c r="F493" s="989"/>
      <c r="G493" s="989"/>
      <c r="H493" s="992" t="str">
        <f t="shared" si="16"/>
        <v/>
      </c>
      <c r="I493" s="989"/>
      <c r="J493" s="989"/>
      <c r="K493" s="989"/>
      <c r="L493" s="989"/>
      <c r="M493" s="989"/>
      <c r="N493" s="989"/>
      <c r="O493" s="989"/>
      <c r="P493" s="989"/>
      <c r="Q493" s="989"/>
      <c r="R493" s="989"/>
      <c r="S493" s="989"/>
      <c r="T493" s="989"/>
      <c r="U493" s="989"/>
      <c r="V493" s="989"/>
      <c r="W493" s="989"/>
      <c r="X493" s="989"/>
      <c r="Y493" s="989"/>
      <c r="Z493" s="989"/>
      <c r="AA493" s="989"/>
      <c r="AB493" s="989"/>
      <c r="AC493" s="989"/>
      <c r="AD493" s="989"/>
      <c r="AE493" s="989"/>
    </row>
    <row r="494">
      <c r="A494" s="989"/>
      <c r="B494" s="989"/>
      <c r="C494" s="989"/>
      <c r="D494" s="989"/>
      <c r="E494" s="989"/>
      <c r="F494" s="989"/>
      <c r="G494" s="989"/>
      <c r="H494" s="992" t="str">
        <f t="shared" si="16"/>
        <v/>
      </c>
      <c r="I494" s="989"/>
      <c r="J494" s="989"/>
      <c r="K494" s="989"/>
      <c r="L494" s="989"/>
      <c r="M494" s="989"/>
      <c r="N494" s="989"/>
      <c r="O494" s="989"/>
      <c r="P494" s="989"/>
      <c r="Q494" s="989"/>
      <c r="R494" s="989"/>
      <c r="S494" s="989"/>
      <c r="T494" s="989"/>
      <c r="U494" s="989"/>
      <c r="V494" s="989"/>
      <c r="W494" s="989"/>
      <c r="X494" s="989"/>
      <c r="Y494" s="989"/>
      <c r="Z494" s="989"/>
      <c r="AA494" s="989"/>
      <c r="AB494" s="989"/>
      <c r="AC494" s="989"/>
      <c r="AD494" s="989"/>
      <c r="AE494" s="989"/>
    </row>
    <row r="495">
      <c r="A495" s="989"/>
      <c r="B495" s="989"/>
      <c r="C495" s="989"/>
      <c r="D495" s="989"/>
      <c r="E495" s="989"/>
      <c r="F495" s="989"/>
      <c r="G495" s="989"/>
      <c r="H495" s="992" t="str">
        <f t="shared" si="16"/>
        <v/>
      </c>
      <c r="I495" s="989"/>
      <c r="J495" s="989"/>
      <c r="K495" s="989"/>
      <c r="L495" s="989"/>
      <c r="M495" s="989"/>
      <c r="N495" s="989"/>
      <c r="O495" s="989"/>
      <c r="P495" s="989"/>
      <c r="Q495" s="989"/>
      <c r="R495" s="989"/>
      <c r="S495" s="989"/>
      <c r="T495" s="989"/>
      <c r="U495" s="989"/>
      <c r="V495" s="989"/>
      <c r="W495" s="989"/>
      <c r="X495" s="989"/>
      <c r="Y495" s="989"/>
      <c r="Z495" s="989"/>
      <c r="AA495" s="989"/>
      <c r="AB495" s="989"/>
      <c r="AC495" s="989"/>
      <c r="AD495" s="989"/>
      <c r="AE495" s="989"/>
    </row>
    <row r="496">
      <c r="A496" s="989"/>
      <c r="B496" s="989"/>
      <c r="C496" s="989"/>
      <c r="D496" s="989"/>
      <c r="E496" s="989"/>
      <c r="F496" s="989"/>
      <c r="G496" s="989"/>
      <c r="H496" s="992" t="str">
        <f t="shared" si="16"/>
        <v/>
      </c>
      <c r="I496" s="989"/>
      <c r="J496" s="989"/>
      <c r="K496" s="989"/>
      <c r="L496" s="989"/>
      <c r="M496" s="989"/>
      <c r="N496" s="989"/>
      <c r="O496" s="989"/>
      <c r="P496" s="989"/>
      <c r="Q496" s="989"/>
      <c r="R496" s="989"/>
      <c r="S496" s="989"/>
      <c r="T496" s="989"/>
      <c r="U496" s="989"/>
      <c r="V496" s="989"/>
      <c r="W496" s="989"/>
      <c r="X496" s="989"/>
      <c r="Y496" s="989"/>
      <c r="Z496" s="989"/>
      <c r="AA496" s="989"/>
      <c r="AB496" s="989"/>
      <c r="AC496" s="989"/>
      <c r="AD496" s="989"/>
      <c r="AE496" s="989"/>
    </row>
    <row r="497">
      <c r="A497" s="989"/>
      <c r="B497" s="989"/>
      <c r="C497" s="989"/>
      <c r="D497" s="989"/>
      <c r="E497" s="989"/>
      <c r="F497" s="989"/>
      <c r="G497" s="989"/>
      <c r="H497" s="992" t="str">
        <f t="shared" si="16"/>
        <v/>
      </c>
      <c r="I497" s="989"/>
      <c r="J497" s="989"/>
      <c r="K497" s="989"/>
      <c r="L497" s="989"/>
      <c r="M497" s="989"/>
      <c r="N497" s="989"/>
      <c r="O497" s="989"/>
      <c r="P497" s="989"/>
      <c r="Q497" s="989"/>
      <c r="R497" s="989"/>
      <c r="S497" s="989"/>
      <c r="T497" s="989"/>
      <c r="U497" s="989"/>
      <c r="V497" s="989"/>
      <c r="W497" s="989"/>
      <c r="X497" s="989"/>
      <c r="Y497" s="989"/>
      <c r="Z497" s="989"/>
      <c r="AA497" s="989"/>
      <c r="AB497" s="989"/>
      <c r="AC497" s="989"/>
      <c r="AD497" s="989"/>
      <c r="AE497" s="989"/>
    </row>
    <row r="498">
      <c r="A498" s="989"/>
      <c r="B498" s="989"/>
      <c r="C498" s="989"/>
      <c r="D498" s="989"/>
      <c r="E498" s="989"/>
      <c r="F498" s="989"/>
      <c r="G498" s="989"/>
      <c r="H498" s="992" t="str">
        <f t="shared" si="16"/>
        <v/>
      </c>
      <c r="I498" s="989"/>
      <c r="J498" s="989"/>
      <c r="K498" s="989"/>
      <c r="L498" s="989"/>
      <c r="M498" s="989"/>
      <c r="N498" s="989"/>
      <c r="O498" s="989"/>
      <c r="P498" s="989"/>
      <c r="Q498" s="989"/>
      <c r="R498" s="989"/>
      <c r="S498" s="989"/>
      <c r="T498" s="989"/>
      <c r="U498" s="989"/>
      <c r="V498" s="989"/>
      <c r="W498" s="989"/>
      <c r="X498" s="989"/>
      <c r="Y498" s="989"/>
      <c r="Z498" s="989"/>
      <c r="AA498" s="989"/>
      <c r="AB498" s="989"/>
      <c r="AC498" s="989"/>
      <c r="AD498" s="989"/>
      <c r="AE498" s="989"/>
    </row>
    <row r="499">
      <c r="A499" s="989"/>
      <c r="B499" s="989"/>
      <c r="C499" s="989"/>
      <c r="D499" s="989"/>
      <c r="E499" s="989"/>
      <c r="F499" s="989"/>
      <c r="G499" s="989"/>
      <c r="H499" s="992" t="str">
        <f t="shared" si="16"/>
        <v/>
      </c>
      <c r="I499" s="989"/>
      <c r="J499" s="989"/>
      <c r="K499" s="989"/>
      <c r="L499" s="989"/>
      <c r="M499" s="989"/>
      <c r="N499" s="989"/>
      <c r="O499" s="989"/>
      <c r="P499" s="989"/>
      <c r="Q499" s="989"/>
      <c r="R499" s="989"/>
      <c r="S499" s="989"/>
      <c r="T499" s="989"/>
      <c r="U499" s="989"/>
      <c r="V499" s="989"/>
      <c r="W499" s="989"/>
      <c r="X499" s="989"/>
      <c r="Y499" s="989"/>
      <c r="Z499" s="989"/>
      <c r="AA499" s="989"/>
      <c r="AB499" s="989"/>
      <c r="AC499" s="989"/>
      <c r="AD499" s="989"/>
      <c r="AE499" s="989"/>
    </row>
    <row r="500">
      <c r="A500" s="989"/>
      <c r="B500" s="989"/>
      <c r="C500" s="989"/>
      <c r="D500" s="989"/>
      <c r="E500" s="989"/>
      <c r="F500" s="989"/>
      <c r="G500" s="989"/>
      <c r="H500" s="992" t="str">
        <f t="shared" si="16"/>
        <v/>
      </c>
      <c r="I500" s="989"/>
      <c r="J500" s="989"/>
      <c r="K500" s="989"/>
      <c r="L500" s="989"/>
      <c r="M500" s="989"/>
      <c r="N500" s="989"/>
      <c r="O500" s="989"/>
      <c r="P500" s="989"/>
      <c r="Q500" s="989"/>
      <c r="R500" s="989"/>
      <c r="S500" s="989"/>
      <c r="T500" s="989"/>
      <c r="U500" s="989"/>
      <c r="V500" s="989"/>
      <c r="W500" s="989"/>
      <c r="X500" s="989"/>
      <c r="Y500" s="989"/>
      <c r="Z500" s="989"/>
      <c r="AA500" s="989"/>
      <c r="AB500" s="989"/>
      <c r="AC500" s="989"/>
      <c r="AD500" s="989"/>
      <c r="AE500" s="989"/>
    </row>
    <row r="501">
      <c r="A501" s="989"/>
      <c r="B501" s="989"/>
      <c r="C501" s="989"/>
      <c r="D501" s="989"/>
      <c r="E501" s="989"/>
      <c r="F501" s="989"/>
      <c r="G501" s="989"/>
      <c r="H501" s="992" t="str">
        <f t="shared" si="16"/>
        <v/>
      </c>
      <c r="I501" s="989"/>
      <c r="J501" s="989"/>
      <c r="K501" s="989"/>
      <c r="L501" s="989"/>
      <c r="M501" s="989"/>
      <c r="N501" s="989"/>
      <c r="O501" s="989"/>
      <c r="P501" s="989"/>
      <c r="Q501" s="989"/>
      <c r="R501" s="989"/>
      <c r="S501" s="989"/>
      <c r="T501" s="989"/>
      <c r="U501" s="989"/>
      <c r="V501" s="989"/>
      <c r="W501" s="989"/>
      <c r="X501" s="989"/>
      <c r="Y501" s="989"/>
      <c r="Z501" s="989"/>
      <c r="AA501" s="989"/>
      <c r="AB501" s="989"/>
      <c r="AC501" s="989"/>
      <c r="AD501" s="989"/>
      <c r="AE501" s="989"/>
    </row>
    <row r="502">
      <c r="A502" s="989"/>
      <c r="B502" s="989"/>
      <c r="C502" s="989"/>
      <c r="D502" s="989"/>
      <c r="E502" s="989"/>
      <c r="F502" s="989"/>
      <c r="G502" s="989"/>
      <c r="H502" s="992" t="str">
        <f t="shared" si="16"/>
        <v/>
      </c>
      <c r="I502" s="989"/>
      <c r="J502" s="989"/>
      <c r="K502" s="989"/>
      <c r="L502" s="989"/>
      <c r="M502" s="989"/>
      <c r="N502" s="989"/>
      <c r="O502" s="989"/>
      <c r="P502" s="989"/>
      <c r="Q502" s="989"/>
      <c r="R502" s="989"/>
      <c r="S502" s="989"/>
      <c r="T502" s="989"/>
      <c r="U502" s="989"/>
      <c r="V502" s="989"/>
      <c r="W502" s="989"/>
      <c r="X502" s="989"/>
      <c r="Y502" s="989"/>
      <c r="Z502" s="989"/>
      <c r="AA502" s="989"/>
      <c r="AB502" s="989"/>
      <c r="AC502" s="989"/>
      <c r="AD502" s="989"/>
      <c r="AE502" s="989"/>
    </row>
    <row r="503">
      <c r="A503" s="989"/>
      <c r="B503" s="989"/>
      <c r="C503" s="989"/>
      <c r="D503" s="989"/>
      <c r="E503" s="989"/>
      <c r="F503" s="989"/>
      <c r="G503" s="989"/>
      <c r="H503" s="992" t="str">
        <f t="shared" si="16"/>
        <v/>
      </c>
      <c r="I503" s="989"/>
      <c r="J503" s="989"/>
      <c r="K503" s="989"/>
      <c r="L503" s="989"/>
      <c r="M503" s="989"/>
      <c r="N503" s="989"/>
      <c r="O503" s="989"/>
      <c r="P503" s="989"/>
      <c r="Q503" s="989"/>
      <c r="R503" s="989"/>
      <c r="S503" s="989"/>
      <c r="T503" s="989"/>
      <c r="U503" s="989"/>
      <c r="V503" s="989"/>
      <c r="W503" s="989"/>
      <c r="X503" s="989"/>
      <c r="Y503" s="989"/>
      <c r="Z503" s="989"/>
      <c r="AA503" s="989"/>
      <c r="AB503" s="989"/>
      <c r="AC503" s="989"/>
      <c r="AD503" s="989"/>
      <c r="AE503" s="989"/>
    </row>
    <row r="504">
      <c r="A504" s="989"/>
      <c r="B504" s="989"/>
      <c r="C504" s="989"/>
      <c r="D504" s="989"/>
      <c r="E504" s="989"/>
      <c r="F504" s="989"/>
      <c r="G504" s="989"/>
      <c r="H504" s="992" t="str">
        <f t="shared" si="16"/>
        <v/>
      </c>
      <c r="I504" s="989"/>
      <c r="J504" s="989"/>
      <c r="K504" s="989"/>
      <c r="L504" s="989"/>
      <c r="M504" s="989"/>
      <c r="N504" s="989"/>
      <c r="O504" s="989"/>
      <c r="P504" s="989"/>
      <c r="Q504" s="989"/>
      <c r="R504" s="989"/>
      <c r="S504" s="989"/>
      <c r="T504" s="989"/>
      <c r="U504" s="989"/>
      <c r="V504" s="989"/>
      <c r="W504" s="989"/>
      <c r="X504" s="989"/>
      <c r="Y504" s="989"/>
      <c r="Z504" s="989"/>
      <c r="AA504" s="989"/>
      <c r="AB504" s="989"/>
      <c r="AC504" s="989"/>
      <c r="AD504" s="989"/>
      <c r="AE504" s="989"/>
    </row>
    <row r="505">
      <c r="A505" s="989"/>
      <c r="B505" s="989"/>
      <c r="C505" s="989"/>
      <c r="D505" s="989"/>
      <c r="E505" s="989"/>
      <c r="F505" s="989"/>
      <c r="G505" s="989"/>
      <c r="H505" s="992" t="str">
        <f t="shared" si="16"/>
        <v/>
      </c>
      <c r="I505" s="989"/>
      <c r="J505" s="989"/>
      <c r="K505" s="989"/>
      <c r="L505" s="989"/>
      <c r="M505" s="989"/>
      <c r="N505" s="989"/>
      <c r="O505" s="989"/>
      <c r="P505" s="989"/>
      <c r="Q505" s="989"/>
      <c r="R505" s="989"/>
      <c r="S505" s="989"/>
      <c r="T505" s="989"/>
      <c r="U505" s="989"/>
      <c r="V505" s="989"/>
      <c r="W505" s="989"/>
      <c r="X505" s="989"/>
      <c r="Y505" s="989"/>
      <c r="Z505" s="989"/>
      <c r="AA505" s="989"/>
      <c r="AB505" s="989"/>
      <c r="AC505" s="989"/>
      <c r="AD505" s="989"/>
      <c r="AE505" s="989"/>
    </row>
    <row r="506">
      <c r="A506" s="989"/>
      <c r="B506" s="989"/>
      <c r="C506" s="989"/>
      <c r="D506" s="989"/>
      <c r="E506" s="989"/>
      <c r="F506" s="989"/>
      <c r="G506" s="989"/>
      <c r="H506" s="992" t="str">
        <f t="shared" si="16"/>
        <v/>
      </c>
      <c r="I506" s="989"/>
      <c r="J506" s="989"/>
      <c r="K506" s="989"/>
      <c r="L506" s="989"/>
      <c r="M506" s="989"/>
      <c r="N506" s="989"/>
      <c r="O506" s="989"/>
      <c r="P506" s="989"/>
      <c r="Q506" s="989"/>
      <c r="R506" s="989"/>
      <c r="S506" s="989"/>
      <c r="T506" s="989"/>
      <c r="U506" s="989"/>
      <c r="V506" s="989"/>
      <c r="W506" s="989"/>
      <c r="X506" s="989"/>
      <c r="Y506" s="989"/>
      <c r="Z506" s="989"/>
      <c r="AA506" s="989"/>
      <c r="AB506" s="989"/>
      <c r="AC506" s="989"/>
      <c r="AD506" s="989"/>
      <c r="AE506" s="989"/>
    </row>
    <row r="507">
      <c r="A507" s="989"/>
      <c r="B507" s="989"/>
      <c r="C507" s="989"/>
      <c r="D507" s="989"/>
      <c r="E507" s="989"/>
      <c r="F507" s="989"/>
      <c r="G507" s="989"/>
      <c r="H507" s="992" t="str">
        <f t="shared" si="16"/>
        <v/>
      </c>
      <c r="I507" s="989"/>
      <c r="J507" s="989"/>
      <c r="K507" s="989"/>
      <c r="L507" s="989"/>
      <c r="M507" s="989"/>
      <c r="N507" s="989"/>
      <c r="O507" s="989"/>
      <c r="P507" s="989"/>
      <c r="Q507" s="989"/>
      <c r="R507" s="989"/>
      <c r="S507" s="989"/>
      <c r="T507" s="989"/>
      <c r="U507" s="989"/>
      <c r="V507" s="989"/>
      <c r="W507" s="989"/>
      <c r="X507" s="989"/>
      <c r="Y507" s="989"/>
      <c r="Z507" s="989"/>
      <c r="AA507" s="989"/>
      <c r="AB507" s="989"/>
      <c r="AC507" s="989"/>
      <c r="AD507" s="989"/>
      <c r="AE507" s="989"/>
    </row>
    <row r="508">
      <c r="A508" s="989"/>
      <c r="B508" s="989"/>
      <c r="C508" s="989"/>
      <c r="D508" s="989"/>
      <c r="E508" s="989"/>
      <c r="F508" s="989"/>
      <c r="G508" s="989"/>
      <c r="H508" s="992" t="str">
        <f t="shared" si="16"/>
        <v/>
      </c>
      <c r="I508" s="989"/>
      <c r="J508" s="989"/>
      <c r="K508" s="989"/>
      <c r="L508" s="989"/>
      <c r="M508" s="989"/>
      <c r="N508" s="989"/>
      <c r="O508" s="989"/>
      <c r="P508" s="989"/>
      <c r="Q508" s="989"/>
      <c r="R508" s="989"/>
      <c r="S508" s="989"/>
      <c r="T508" s="989"/>
      <c r="U508" s="989"/>
      <c r="V508" s="989"/>
      <c r="W508" s="989"/>
      <c r="X508" s="989"/>
      <c r="Y508" s="989"/>
      <c r="Z508" s="989"/>
      <c r="AA508" s="989"/>
      <c r="AB508" s="989"/>
      <c r="AC508" s="989"/>
      <c r="AD508" s="989"/>
      <c r="AE508" s="989"/>
    </row>
    <row r="509">
      <c r="A509" s="989"/>
      <c r="B509" s="989"/>
      <c r="C509" s="989"/>
      <c r="D509" s="989"/>
      <c r="E509" s="989"/>
      <c r="F509" s="989"/>
      <c r="G509" s="989"/>
      <c r="H509" s="992" t="str">
        <f t="shared" si="16"/>
        <v/>
      </c>
      <c r="I509" s="989"/>
      <c r="J509" s="989"/>
      <c r="K509" s="989"/>
      <c r="L509" s="989"/>
      <c r="M509" s="989"/>
      <c r="N509" s="989"/>
      <c r="O509" s="989"/>
      <c r="P509" s="989"/>
      <c r="Q509" s="989"/>
      <c r="R509" s="989"/>
      <c r="S509" s="989"/>
      <c r="T509" s="989"/>
      <c r="U509" s="989"/>
      <c r="V509" s="989"/>
      <c r="W509" s="989"/>
      <c r="X509" s="989"/>
      <c r="Y509" s="989"/>
      <c r="Z509" s="989"/>
      <c r="AA509" s="989"/>
      <c r="AB509" s="989"/>
      <c r="AC509" s="989"/>
      <c r="AD509" s="989"/>
      <c r="AE509" s="989"/>
    </row>
    <row r="510">
      <c r="A510" s="989"/>
      <c r="B510" s="989"/>
      <c r="C510" s="989"/>
      <c r="D510" s="989"/>
      <c r="E510" s="989"/>
      <c r="F510" s="989"/>
      <c r="G510" s="989"/>
      <c r="H510" s="992" t="str">
        <f t="shared" si="16"/>
        <v/>
      </c>
      <c r="I510" s="989"/>
      <c r="J510" s="989"/>
      <c r="K510" s="989"/>
      <c r="L510" s="989"/>
      <c r="M510" s="989"/>
      <c r="N510" s="989"/>
      <c r="O510" s="989"/>
      <c r="P510" s="989"/>
      <c r="Q510" s="989"/>
      <c r="R510" s="989"/>
      <c r="S510" s="989"/>
      <c r="T510" s="989"/>
      <c r="U510" s="989"/>
      <c r="V510" s="989"/>
      <c r="W510" s="989"/>
      <c r="X510" s="989"/>
      <c r="Y510" s="989"/>
      <c r="Z510" s="989"/>
      <c r="AA510" s="989"/>
      <c r="AB510" s="989"/>
      <c r="AC510" s="989"/>
      <c r="AD510" s="989"/>
      <c r="AE510" s="989"/>
    </row>
    <row r="511">
      <c r="A511" s="989"/>
      <c r="B511" s="989"/>
      <c r="C511" s="989"/>
      <c r="D511" s="989"/>
      <c r="E511" s="989"/>
      <c r="F511" s="989"/>
      <c r="G511" s="989"/>
      <c r="H511" s="992" t="str">
        <f t="shared" si="16"/>
        <v/>
      </c>
      <c r="I511" s="989"/>
      <c r="J511" s="989"/>
      <c r="K511" s="989"/>
      <c r="L511" s="989"/>
      <c r="M511" s="989"/>
      <c r="N511" s="989"/>
      <c r="O511" s="989"/>
      <c r="P511" s="989"/>
      <c r="Q511" s="989"/>
      <c r="R511" s="989"/>
      <c r="S511" s="989"/>
      <c r="T511" s="989"/>
      <c r="U511" s="989"/>
      <c r="V511" s="989"/>
      <c r="W511" s="989"/>
      <c r="X511" s="989"/>
      <c r="Y511" s="989"/>
      <c r="Z511" s="989"/>
      <c r="AA511" s="989"/>
      <c r="AB511" s="989"/>
      <c r="AC511" s="989"/>
      <c r="AD511" s="989"/>
      <c r="AE511" s="989"/>
    </row>
    <row r="512">
      <c r="A512" s="989"/>
      <c r="B512" s="989"/>
      <c r="C512" s="989"/>
      <c r="D512" s="989"/>
      <c r="E512" s="989"/>
      <c r="F512" s="989"/>
      <c r="G512" s="989"/>
      <c r="H512" s="992" t="str">
        <f t="shared" si="16"/>
        <v/>
      </c>
      <c r="I512" s="989"/>
      <c r="J512" s="989"/>
      <c r="K512" s="989"/>
      <c r="L512" s="989"/>
      <c r="M512" s="989"/>
      <c r="N512" s="989"/>
      <c r="O512" s="989"/>
      <c r="P512" s="989"/>
      <c r="Q512" s="989"/>
      <c r="R512" s="989"/>
      <c r="S512" s="989"/>
      <c r="T512" s="989"/>
      <c r="U512" s="989"/>
      <c r="V512" s="989"/>
      <c r="W512" s="989"/>
      <c r="X512" s="989"/>
      <c r="Y512" s="989"/>
      <c r="Z512" s="989"/>
      <c r="AA512" s="989"/>
      <c r="AB512" s="989"/>
      <c r="AC512" s="989"/>
      <c r="AD512" s="989"/>
      <c r="AE512" s="989"/>
    </row>
    <row r="513">
      <c r="A513" s="989"/>
      <c r="B513" s="989"/>
      <c r="C513" s="989"/>
      <c r="D513" s="989"/>
      <c r="E513" s="989"/>
      <c r="F513" s="989"/>
      <c r="G513" s="989"/>
      <c r="H513" s="992" t="str">
        <f t="shared" si="16"/>
        <v/>
      </c>
      <c r="I513" s="989"/>
      <c r="J513" s="989"/>
      <c r="K513" s="989"/>
      <c r="L513" s="989"/>
      <c r="M513" s="989"/>
      <c r="N513" s="989"/>
      <c r="O513" s="989"/>
      <c r="P513" s="989"/>
      <c r="Q513" s="989"/>
      <c r="R513" s="989"/>
      <c r="S513" s="989"/>
      <c r="T513" s="989"/>
      <c r="U513" s="989"/>
      <c r="V513" s="989"/>
      <c r="W513" s="989"/>
      <c r="X513" s="989"/>
      <c r="Y513" s="989"/>
      <c r="Z513" s="989"/>
      <c r="AA513" s="989"/>
      <c r="AB513" s="989"/>
      <c r="AC513" s="989"/>
      <c r="AD513" s="989"/>
      <c r="AE513" s="989"/>
    </row>
    <row r="514">
      <c r="A514" s="989"/>
      <c r="B514" s="989"/>
      <c r="C514" s="989"/>
      <c r="D514" s="989"/>
      <c r="E514" s="989"/>
      <c r="F514" s="989"/>
      <c r="G514" s="989"/>
      <c r="H514" s="992" t="str">
        <f t="shared" si="16"/>
        <v/>
      </c>
      <c r="I514" s="989"/>
      <c r="J514" s="989"/>
      <c r="K514" s="989"/>
      <c r="L514" s="989"/>
      <c r="M514" s="989"/>
      <c r="N514" s="989"/>
      <c r="O514" s="989"/>
      <c r="P514" s="989"/>
      <c r="Q514" s="989"/>
      <c r="R514" s="989"/>
      <c r="S514" s="989"/>
      <c r="T514" s="989"/>
      <c r="U514" s="989"/>
      <c r="V514" s="989"/>
      <c r="W514" s="989"/>
      <c r="X514" s="989"/>
      <c r="Y514" s="989"/>
      <c r="Z514" s="989"/>
      <c r="AA514" s="989"/>
      <c r="AB514" s="989"/>
      <c r="AC514" s="989"/>
      <c r="AD514" s="989"/>
      <c r="AE514" s="989"/>
    </row>
    <row r="515">
      <c r="A515" s="989"/>
      <c r="B515" s="989"/>
      <c r="C515" s="989"/>
      <c r="D515" s="989"/>
      <c r="E515" s="989"/>
      <c r="F515" s="989"/>
      <c r="G515" s="989"/>
      <c r="H515" s="992" t="str">
        <f t="shared" si="16"/>
        <v/>
      </c>
      <c r="I515" s="989"/>
      <c r="J515" s="989"/>
      <c r="K515" s="989"/>
      <c r="L515" s="989"/>
      <c r="M515" s="989"/>
      <c r="N515" s="989"/>
      <c r="O515" s="989"/>
      <c r="P515" s="989"/>
      <c r="Q515" s="989"/>
      <c r="R515" s="989"/>
      <c r="S515" s="989"/>
      <c r="T515" s="989"/>
      <c r="U515" s="989"/>
      <c r="V515" s="989"/>
      <c r="W515" s="989"/>
      <c r="X515" s="989"/>
      <c r="Y515" s="989"/>
      <c r="Z515" s="989"/>
      <c r="AA515" s="989"/>
      <c r="AB515" s="989"/>
      <c r="AC515" s="989"/>
      <c r="AD515" s="989"/>
      <c r="AE515" s="989"/>
    </row>
    <row r="516">
      <c r="A516" s="989"/>
      <c r="B516" s="989"/>
      <c r="C516" s="989"/>
      <c r="D516" s="989"/>
      <c r="E516" s="989"/>
      <c r="F516" s="989"/>
      <c r="G516" s="989"/>
      <c r="H516" s="992" t="str">
        <f t="shared" si="16"/>
        <v/>
      </c>
      <c r="I516" s="989"/>
      <c r="J516" s="989"/>
      <c r="K516" s="989"/>
      <c r="L516" s="989"/>
      <c r="M516" s="989"/>
      <c r="N516" s="989"/>
      <c r="O516" s="989"/>
      <c r="P516" s="989"/>
      <c r="Q516" s="989"/>
      <c r="R516" s="989"/>
      <c r="S516" s="989"/>
      <c r="T516" s="989"/>
      <c r="U516" s="989"/>
      <c r="V516" s="989"/>
      <c r="W516" s="989"/>
      <c r="X516" s="989"/>
      <c r="Y516" s="989"/>
      <c r="Z516" s="989"/>
      <c r="AA516" s="989"/>
      <c r="AB516" s="989"/>
      <c r="AC516" s="989"/>
      <c r="AD516" s="989"/>
      <c r="AE516" s="989"/>
    </row>
    <row r="517">
      <c r="A517" s="989"/>
      <c r="B517" s="989"/>
      <c r="C517" s="989"/>
      <c r="D517" s="989"/>
      <c r="E517" s="989"/>
      <c r="F517" s="989"/>
      <c r="G517" s="989"/>
      <c r="H517" s="992" t="str">
        <f t="shared" si="16"/>
        <v/>
      </c>
      <c r="I517" s="989"/>
      <c r="J517" s="989"/>
      <c r="K517" s="989"/>
      <c r="L517" s="989"/>
      <c r="M517" s="989"/>
      <c r="N517" s="989"/>
      <c r="O517" s="989"/>
      <c r="P517" s="989"/>
      <c r="Q517" s="989"/>
      <c r="R517" s="989"/>
      <c r="S517" s="989"/>
      <c r="T517" s="989"/>
      <c r="U517" s="989"/>
      <c r="V517" s="989"/>
      <c r="W517" s="989"/>
      <c r="X517" s="989"/>
      <c r="Y517" s="989"/>
      <c r="Z517" s="989"/>
      <c r="AA517" s="989"/>
      <c r="AB517" s="989"/>
      <c r="AC517" s="989"/>
      <c r="AD517" s="989"/>
      <c r="AE517" s="989"/>
    </row>
    <row r="518">
      <c r="A518" s="989"/>
      <c r="B518" s="989"/>
      <c r="C518" s="989"/>
      <c r="D518" s="989"/>
      <c r="E518" s="989"/>
      <c r="F518" s="989"/>
      <c r="G518" s="989"/>
      <c r="H518" s="992" t="str">
        <f t="shared" si="16"/>
        <v/>
      </c>
      <c r="I518" s="989"/>
      <c r="J518" s="989"/>
      <c r="K518" s="989"/>
      <c r="L518" s="989"/>
      <c r="M518" s="989"/>
      <c r="N518" s="989"/>
      <c r="O518" s="989"/>
      <c r="P518" s="989"/>
      <c r="Q518" s="989"/>
      <c r="R518" s="989"/>
      <c r="S518" s="989"/>
      <c r="T518" s="989"/>
      <c r="U518" s="989"/>
      <c r="V518" s="989"/>
      <c r="W518" s="989"/>
      <c r="X518" s="989"/>
      <c r="Y518" s="989"/>
      <c r="Z518" s="989"/>
      <c r="AA518" s="989"/>
      <c r="AB518" s="989"/>
      <c r="AC518" s="989"/>
      <c r="AD518" s="989"/>
      <c r="AE518" s="989"/>
    </row>
    <row r="519">
      <c r="A519" s="989"/>
      <c r="B519" s="989"/>
      <c r="C519" s="989"/>
      <c r="D519" s="989"/>
      <c r="E519" s="989"/>
      <c r="F519" s="989"/>
      <c r="G519" s="989"/>
      <c r="H519" s="992" t="str">
        <f t="shared" si="16"/>
        <v/>
      </c>
      <c r="I519" s="989"/>
      <c r="J519" s="989"/>
      <c r="K519" s="989"/>
      <c r="L519" s="989"/>
      <c r="M519" s="989"/>
      <c r="N519" s="989"/>
      <c r="O519" s="989"/>
      <c r="P519" s="989"/>
      <c r="Q519" s="989"/>
      <c r="R519" s="989"/>
      <c r="S519" s="989"/>
      <c r="T519" s="989"/>
      <c r="U519" s="989"/>
      <c r="V519" s="989"/>
      <c r="W519" s="989"/>
      <c r="X519" s="989"/>
      <c r="Y519" s="989"/>
      <c r="Z519" s="989"/>
      <c r="AA519" s="989"/>
      <c r="AB519" s="989"/>
      <c r="AC519" s="989"/>
      <c r="AD519" s="989"/>
      <c r="AE519" s="989"/>
    </row>
    <row r="520">
      <c r="A520" s="989"/>
      <c r="B520" s="989"/>
      <c r="C520" s="989"/>
      <c r="D520" s="989"/>
      <c r="E520" s="989"/>
      <c r="F520" s="989"/>
      <c r="G520" s="989"/>
      <c r="H520" s="992" t="str">
        <f t="shared" si="16"/>
        <v/>
      </c>
      <c r="I520" s="989"/>
      <c r="J520" s="989"/>
      <c r="K520" s="989"/>
      <c r="L520" s="989"/>
      <c r="M520" s="989"/>
      <c r="N520" s="989"/>
      <c r="O520" s="989"/>
      <c r="P520" s="989"/>
      <c r="Q520" s="989"/>
      <c r="R520" s="989"/>
      <c r="S520" s="989"/>
      <c r="T520" s="989"/>
      <c r="U520" s="989"/>
      <c r="V520" s="989"/>
      <c r="W520" s="989"/>
      <c r="X520" s="989"/>
      <c r="Y520" s="989"/>
      <c r="Z520" s="989"/>
      <c r="AA520" s="989"/>
      <c r="AB520" s="989"/>
      <c r="AC520" s="989"/>
      <c r="AD520" s="989"/>
      <c r="AE520" s="989"/>
    </row>
    <row r="521">
      <c r="A521" s="989"/>
      <c r="B521" s="989"/>
      <c r="C521" s="989"/>
      <c r="D521" s="989"/>
      <c r="E521" s="989"/>
      <c r="F521" s="989"/>
      <c r="G521" s="989"/>
      <c r="H521" s="992" t="str">
        <f t="shared" si="16"/>
        <v/>
      </c>
      <c r="I521" s="989"/>
      <c r="J521" s="989"/>
      <c r="K521" s="989"/>
      <c r="L521" s="989"/>
      <c r="M521" s="989"/>
      <c r="N521" s="989"/>
      <c r="O521" s="989"/>
      <c r="P521" s="989"/>
      <c r="Q521" s="989"/>
      <c r="R521" s="989"/>
      <c r="S521" s="989"/>
      <c r="T521" s="989"/>
      <c r="U521" s="989"/>
      <c r="V521" s="989"/>
      <c r="W521" s="989"/>
      <c r="X521" s="989"/>
      <c r="Y521" s="989"/>
      <c r="Z521" s="989"/>
      <c r="AA521" s="989"/>
      <c r="AB521" s="989"/>
      <c r="AC521" s="989"/>
      <c r="AD521" s="989"/>
      <c r="AE521" s="989"/>
    </row>
    <row r="522">
      <c r="A522" s="989"/>
      <c r="B522" s="989"/>
      <c r="C522" s="989"/>
      <c r="D522" s="989"/>
      <c r="E522" s="989"/>
      <c r="F522" s="989"/>
      <c r="G522" s="989"/>
      <c r="H522" s="992" t="str">
        <f t="shared" si="16"/>
        <v/>
      </c>
      <c r="I522" s="989"/>
      <c r="J522" s="989"/>
      <c r="K522" s="989"/>
      <c r="L522" s="989"/>
      <c r="M522" s="989"/>
      <c r="N522" s="989"/>
      <c r="O522" s="989"/>
      <c r="P522" s="989"/>
      <c r="Q522" s="989"/>
      <c r="R522" s="989"/>
      <c r="S522" s="989"/>
      <c r="T522" s="989"/>
      <c r="U522" s="989"/>
      <c r="V522" s="989"/>
      <c r="W522" s="989"/>
      <c r="X522" s="989"/>
      <c r="Y522" s="989"/>
      <c r="Z522" s="989"/>
      <c r="AA522" s="989"/>
      <c r="AB522" s="989"/>
      <c r="AC522" s="989"/>
      <c r="AD522" s="989"/>
      <c r="AE522" s="989"/>
    </row>
    <row r="523">
      <c r="A523" s="989"/>
      <c r="B523" s="989"/>
      <c r="C523" s="989"/>
      <c r="D523" s="989"/>
      <c r="E523" s="989"/>
      <c r="F523" s="989"/>
      <c r="G523" s="989"/>
      <c r="H523" s="992" t="str">
        <f t="shared" si="16"/>
        <v/>
      </c>
      <c r="I523" s="989"/>
      <c r="J523" s="989"/>
      <c r="K523" s="989"/>
      <c r="L523" s="989"/>
      <c r="M523" s="989"/>
      <c r="N523" s="989"/>
      <c r="O523" s="989"/>
      <c r="P523" s="989"/>
      <c r="Q523" s="989"/>
      <c r="R523" s="989"/>
      <c r="S523" s="989"/>
      <c r="T523" s="989"/>
      <c r="U523" s="989"/>
      <c r="V523" s="989"/>
      <c r="W523" s="989"/>
      <c r="X523" s="989"/>
      <c r="Y523" s="989"/>
      <c r="Z523" s="989"/>
      <c r="AA523" s="989"/>
      <c r="AB523" s="989"/>
      <c r="AC523" s="989"/>
      <c r="AD523" s="989"/>
      <c r="AE523" s="989"/>
    </row>
    <row r="524">
      <c r="A524" s="989"/>
      <c r="B524" s="989"/>
      <c r="C524" s="989"/>
      <c r="D524" s="989"/>
      <c r="E524" s="989"/>
      <c r="F524" s="989"/>
      <c r="G524" s="989"/>
      <c r="H524" s="992" t="str">
        <f t="shared" si="16"/>
        <v/>
      </c>
      <c r="I524" s="989"/>
      <c r="J524" s="989"/>
      <c r="K524" s="989"/>
      <c r="L524" s="989"/>
      <c r="M524" s="989"/>
      <c r="N524" s="989"/>
      <c r="O524" s="989"/>
      <c r="P524" s="989"/>
      <c r="Q524" s="989"/>
      <c r="R524" s="989"/>
      <c r="S524" s="989"/>
      <c r="T524" s="989"/>
      <c r="U524" s="989"/>
      <c r="V524" s="989"/>
      <c r="W524" s="989"/>
      <c r="X524" s="989"/>
      <c r="Y524" s="989"/>
      <c r="Z524" s="989"/>
      <c r="AA524" s="989"/>
      <c r="AB524" s="989"/>
      <c r="AC524" s="989"/>
      <c r="AD524" s="989"/>
      <c r="AE524" s="989"/>
    </row>
    <row r="525">
      <c r="A525" s="989"/>
      <c r="B525" s="989"/>
      <c r="C525" s="989"/>
      <c r="D525" s="989"/>
      <c r="E525" s="989"/>
      <c r="F525" s="989"/>
      <c r="G525" s="989"/>
      <c r="H525" s="992" t="str">
        <f t="shared" si="16"/>
        <v/>
      </c>
      <c r="I525" s="989"/>
      <c r="J525" s="989"/>
      <c r="K525" s="989"/>
      <c r="L525" s="989"/>
      <c r="M525" s="989"/>
      <c r="N525" s="989"/>
      <c r="O525" s="989"/>
      <c r="P525" s="989"/>
      <c r="Q525" s="989"/>
      <c r="R525" s="989"/>
      <c r="S525" s="989"/>
      <c r="T525" s="989"/>
      <c r="U525" s="989"/>
      <c r="V525" s="989"/>
      <c r="W525" s="989"/>
      <c r="X525" s="989"/>
      <c r="Y525" s="989"/>
      <c r="Z525" s="989"/>
      <c r="AA525" s="989"/>
      <c r="AB525" s="989"/>
      <c r="AC525" s="989"/>
      <c r="AD525" s="989"/>
      <c r="AE525" s="989"/>
    </row>
    <row r="526">
      <c r="A526" s="989"/>
      <c r="B526" s="989"/>
      <c r="C526" s="989"/>
      <c r="D526" s="989"/>
      <c r="E526" s="989"/>
      <c r="F526" s="989"/>
      <c r="G526" s="989"/>
      <c r="H526" s="992" t="str">
        <f t="shared" si="16"/>
        <v/>
      </c>
      <c r="I526" s="989"/>
      <c r="J526" s="989"/>
      <c r="K526" s="989"/>
      <c r="L526" s="989"/>
      <c r="M526" s="989"/>
      <c r="N526" s="989"/>
      <c r="O526" s="989"/>
      <c r="P526" s="989"/>
      <c r="Q526" s="989"/>
      <c r="R526" s="989"/>
      <c r="S526" s="989"/>
      <c r="T526" s="989"/>
      <c r="U526" s="989"/>
      <c r="V526" s="989"/>
      <c r="W526" s="989"/>
      <c r="X526" s="989"/>
      <c r="Y526" s="989"/>
      <c r="Z526" s="989"/>
      <c r="AA526" s="989"/>
      <c r="AB526" s="989"/>
      <c r="AC526" s="989"/>
      <c r="AD526" s="989"/>
      <c r="AE526" s="989"/>
    </row>
    <row r="527">
      <c r="A527" s="989"/>
      <c r="B527" s="989"/>
      <c r="C527" s="989"/>
      <c r="D527" s="989"/>
      <c r="E527" s="989"/>
      <c r="F527" s="989"/>
      <c r="G527" s="989"/>
      <c r="H527" s="992" t="str">
        <f t="shared" si="16"/>
        <v/>
      </c>
      <c r="I527" s="989"/>
      <c r="J527" s="989"/>
      <c r="K527" s="989"/>
      <c r="L527" s="989"/>
      <c r="M527" s="989"/>
      <c r="N527" s="989"/>
      <c r="O527" s="989"/>
      <c r="P527" s="989"/>
      <c r="Q527" s="989"/>
      <c r="R527" s="989"/>
      <c r="S527" s="989"/>
      <c r="T527" s="989"/>
      <c r="U527" s="989"/>
      <c r="V527" s="989"/>
      <c r="W527" s="989"/>
      <c r="X527" s="989"/>
      <c r="Y527" s="989"/>
      <c r="Z527" s="989"/>
      <c r="AA527" s="989"/>
      <c r="AB527" s="989"/>
      <c r="AC527" s="989"/>
      <c r="AD527" s="989"/>
      <c r="AE527" s="989"/>
    </row>
    <row r="528">
      <c r="A528" s="989"/>
      <c r="B528" s="989"/>
      <c r="C528" s="989"/>
      <c r="D528" s="989"/>
      <c r="E528" s="989"/>
      <c r="F528" s="989"/>
      <c r="G528" s="989"/>
      <c r="H528" s="992" t="str">
        <f t="shared" si="16"/>
        <v/>
      </c>
      <c r="I528" s="989"/>
      <c r="J528" s="989"/>
      <c r="K528" s="989"/>
      <c r="L528" s="989"/>
      <c r="M528" s="989"/>
      <c r="N528" s="989"/>
      <c r="O528" s="989"/>
      <c r="P528" s="989"/>
      <c r="Q528" s="989"/>
      <c r="R528" s="989"/>
      <c r="S528" s="989"/>
      <c r="T528" s="989"/>
      <c r="U528" s="989"/>
      <c r="V528" s="989"/>
      <c r="W528" s="989"/>
      <c r="X528" s="989"/>
      <c r="Y528" s="989"/>
      <c r="Z528" s="989"/>
      <c r="AA528" s="989"/>
      <c r="AB528" s="989"/>
      <c r="AC528" s="989"/>
      <c r="AD528" s="989"/>
      <c r="AE528" s="989"/>
    </row>
    <row r="529">
      <c r="A529" s="989"/>
      <c r="B529" s="989"/>
      <c r="C529" s="989"/>
      <c r="D529" s="989"/>
      <c r="E529" s="989"/>
      <c r="F529" s="989"/>
      <c r="G529" s="989"/>
      <c r="H529" s="992" t="str">
        <f t="shared" si="16"/>
        <v/>
      </c>
      <c r="I529" s="989"/>
      <c r="J529" s="989"/>
      <c r="K529" s="989"/>
      <c r="L529" s="989"/>
      <c r="M529" s="989"/>
      <c r="N529" s="989"/>
      <c r="O529" s="989"/>
      <c r="P529" s="989"/>
      <c r="Q529" s="989"/>
      <c r="R529" s="989"/>
      <c r="S529" s="989"/>
      <c r="T529" s="989"/>
      <c r="U529" s="989"/>
      <c r="V529" s="989"/>
      <c r="W529" s="989"/>
      <c r="X529" s="989"/>
      <c r="Y529" s="989"/>
      <c r="Z529" s="989"/>
      <c r="AA529" s="989"/>
      <c r="AB529" s="989"/>
      <c r="AC529" s="989"/>
      <c r="AD529" s="989"/>
      <c r="AE529" s="989"/>
    </row>
    <row r="530">
      <c r="A530" s="989"/>
      <c r="B530" s="989"/>
      <c r="C530" s="989"/>
      <c r="D530" s="989"/>
      <c r="E530" s="989"/>
      <c r="F530" s="989"/>
      <c r="G530" s="989"/>
      <c r="H530" s="992" t="str">
        <f t="shared" si="16"/>
        <v/>
      </c>
      <c r="I530" s="989"/>
      <c r="J530" s="989"/>
      <c r="K530" s="989"/>
      <c r="L530" s="989"/>
      <c r="M530" s="989"/>
      <c r="N530" s="989"/>
      <c r="O530" s="989"/>
      <c r="P530" s="989"/>
      <c r="Q530" s="989"/>
      <c r="R530" s="989"/>
      <c r="S530" s="989"/>
      <c r="T530" s="989"/>
      <c r="U530" s="989"/>
      <c r="V530" s="989"/>
      <c r="W530" s="989"/>
      <c r="X530" s="989"/>
      <c r="Y530" s="989"/>
      <c r="Z530" s="989"/>
      <c r="AA530" s="989"/>
      <c r="AB530" s="989"/>
      <c r="AC530" s="989"/>
      <c r="AD530" s="989"/>
      <c r="AE530" s="989"/>
    </row>
    <row r="531">
      <c r="A531" s="989"/>
      <c r="B531" s="989"/>
      <c r="C531" s="989"/>
      <c r="D531" s="989"/>
      <c r="E531" s="989"/>
      <c r="F531" s="989"/>
      <c r="G531" s="989"/>
      <c r="H531" s="992" t="str">
        <f t="shared" si="16"/>
        <v/>
      </c>
      <c r="I531" s="989"/>
      <c r="J531" s="989"/>
      <c r="K531" s="989"/>
      <c r="L531" s="989"/>
      <c r="M531" s="989"/>
      <c r="N531" s="989"/>
      <c r="O531" s="989"/>
      <c r="P531" s="989"/>
      <c r="Q531" s="989"/>
      <c r="R531" s="989"/>
      <c r="S531" s="989"/>
      <c r="T531" s="989"/>
      <c r="U531" s="989"/>
      <c r="V531" s="989"/>
      <c r="W531" s="989"/>
      <c r="X531" s="989"/>
      <c r="Y531" s="989"/>
      <c r="Z531" s="989"/>
      <c r="AA531" s="989"/>
      <c r="AB531" s="989"/>
      <c r="AC531" s="989"/>
      <c r="AD531" s="989"/>
      <c r="AE531" s="989"/>
    </row>
    <row r="532">
      <c r="A532" s="989"/>
      <c r="B532" s="989"/>
      <c r="C532" s="989"/>
      <c r="D532" s="989"/>
      <c r="E532" s="989"/>
      <c r="F532" s="989"/>
      <c r="G532" s="989"/>
      <c r="H532" s="992" t="str">
        <f t="shared" si="16"/>
        <v/>
      </c>
      <c r="I532" s="989"/>
      <c r="J532" s="989"/>
      <c r="K532" s="989"/>
      <c r="L532" s="989"/>
      <c r="M532" s="989"/>
      <c r="N532" s="989"/>
      <c r="O532" s="989"/>
      <c r="P532" s="989"/>
      <c r="Q532" s="989"/>
      <c r="R532" s="989"/>
      <c r="S532" s="989"/>
      <c r="T532" s="989"/>
      <c r="U532" s="989"/>
      <c r="V532" s="989"/>
      <c r="W532" s="989"/>
      <c r="X532" s="989"/>
      <c r="Y532" s="989"/>
      <c r="Z532" s="989"/>
      <c r="AA532" s="989"/>
      <c r="AB532" s="989"/>
      <c r="AC532" s="989"/>
      <c r="AD532" s="989"/>
      <c r="AE532" s="989"/>
    </row>
    <row r="533">
      <c r="A533" s="989"/>
      <c r="B533" s="989"/>
      <c r="C533" s="989"/>
      <c r="D533" s="989"/>
      <c r="E533" s="989"/>
      <c r="F533" s="989"/>
      <c r="G533" s="989"/>
      <c r="H533" s="992" t="str">
        <f t="shared" si="16"/>
        <v/>
      </c>
      <c r="I533" s="989"/>
      <c r="J533" s="989"/>
      <c r="K533" s="989"/>
      <c r="L533" s="989"/>
      <c r="M533" s="989"/>
      <c r="N533" s="989"/>
      <c r="O533" s="989"/>
      <c r="P533" s="989"/>
      <c r="Q533" s="989"/>
      <c r="R533" s="989"/>
      <c r="S533" s="989"/>
      <c r="T533" s="989"/>
      <c r="U533" s="989"/>
      <c r="V533" s="989"/>
      <c r="W533" s="989"/>
      <c r="X533" s="989"/>
      <c r="Y533" s="989"/>
      <c r="Z533" s="989"/>
      <c r="AA533" s="989"/>
      <c r="AB533" s="989"/>
      <c r="AC533" s="989"/>
      <c r="AD533" s="989"/>
      <c r="AE533" s="989"/>
    </row>
    <row r="534">
      <c r="A534" s="989"/>
      <c r="B534" s="989"/>
      <c r="C534" s="989"/>
      <c r="D534" s="989"/>
      <c r="E534" s="989"/>
      <c r="F534" s="989"/>
      <c r="G534" s="989"/>
      <c r="H534" s="992" t="str">
        <f t="shared" si="16"/>
        <v/>
      </c>
      <c r="I534" s="989"/>
      <c r="J534" s="989"/>
      <c r="K534" s="989"/>
      <c r="L534" s="989"/>
      <c r="M534" s="989"/>
      <c r="N534" s="989"/>
      <c r="O534" s="989"/>
      <c r="P534" s="989"/>
      <c r="Q534" s="989"/>
      <c r="R534" s="989"/>
      <c r="S534" s="989"/>
      <c r="T534" s="989"/>
      <c r="U534" s="989"/>
      <c r="V534" s="989"/>
      <c r="W534" s="989"/>
      <c r="X534" s="989"/>
      <c r="Y534" s="989"/>
      <c r="Z534" s="989"/>
      <c r="AA534" s="989"/>
      <c r="AB534" s="989"/>
      <c r="AC534" s="989"/>
      <c r="AD534" s="989"/>
      <c r="AE534" s="989"/>
    </row>
    <row r="535">
      <c r="A535" s="989"/>
      <c r="B535" s="989"/>
      <c r="C535" s="989"/>
      <c r="D535" s="989"/>
      <c r="E535" s="989"/>
      <c r="F535" s="989"/>
      <c r="G535" s="989"/>
      <c r="H535" s="992" t="str">
        <f t="shared" si="16"/>
        <v/>
      </c>
      <c r="I535" s="989"/>
      <c r="J535" s="989"/>
      <c r="K535" s="989"/>
      <c r="L535" s="989"/>
      <c r="M535" s="989"/>
      <c r="N535" s="989"/>
      <c r="O535" s="989"/>
      <c r="P535" s="989"/>
      <c r="Q535" s="989"/>
      <c r="R535" s="989"/>
      <c r="S535" s="989"/>
      <c r="T535" s="989"/>
      <c r="U535" s="989"/>
      <c r="V535" s="989"/>
      <c r="W535" s="989"/>
      <c r="X535" s="989"/>
      <c r="Y535" s="989"/>
      <c r="Z535" s="989"/>
      <c r="AA535" s="989"/>
      <c r="AB535" s="989"/>
      <c r="AC535" s="989"/>
      <c r="AD535" s="989"/>
      <c r="AE535" s="989"/>
    </row>
    <row r="536">
      <c r="A536" s="989"/>
      <c r="B536" s="989"/>
      <c r="C536" s="989"/>
      <c r="D536" s="989"/>
      <c r="E536" s="989"/>
      <c r="F536" s="989"/>
      <c r="G536" s="989"/>
      <c r="H536" s="992" t="str">
        <f t="shared" si="16"/>
        <v/>
      </c>
      <c r="I536" s="989"/>
      <c r="J536" s="989"/>
      <c r="K536" s="989"/>
      <c r="L536" s="989"/>
      <c r="M536" s="989"/>
      <c r="N536" s="989"/>
      <c r="O536" s="989"/>
      <c r="P536" s="989"/>
      <c r="Q536" s="989"/>
      <c r="R536" s="989"/>
      <c r="S536" s="989"/>
      <c r="T536" s="989"/>
      <c r="U536" s="989"/>
      <c r="V536" s="989"/>
      <c r="W536" s="989"/>
      <c r="X536" s="989"/>
      <c r="Y536" s="989"/>
      <c r="Z536" s="989"/>
      <c r="AA536" s="989"/>
      <c r="AB536" s="989"/>
      <c r="AC536" s="989"/>
      <c r="AD536" s="989"/>
      <c r="AE536" s="989"/>
    </row>
    <row r="537">
      <c r="A537" s="989"/>
      <c r="B537" s="989"/>
      <c r="C537" s="989"/>
      <c r="D537" s="989"/>
      <c r="E537" s="989"/>
      <c r="F537" s="989"/>
      <c r="G537" s="989"/>
      <c r="H537" s="992" t="str">
        <f t="shared" si="16"/>
        <v/>
      </c>
      <c r="I537" s="989"/>
      <c r="J537" s="989"/>
      <c r="K537" s="989"/>
      <c r="L537" s="989"/>
      <c r="M537" s="989"/>
      <c r="N537" s="989"/>
      <c r="O537" s="989"/>
      <c r="P537" s="989"/>
      <c r="Q537" s="989"/>
      <c r="R537" s="989"/>
      <c r="S537" s="989"/>
      <c r="T537" s="989"/>
      <c r="U537" s="989"/>
      <c r="V537" s="989"/>
      <c r="W537" s="989"/>
      <c r="X537" s="989"/>
      <c r="Y537" s="989"/>
      <c r="Z537" s="989"/>
      <c r="AA537" s="989"/>
      <c r="AB537" s="989"/>
      <c r="AC537" s="989"/>
      <c r="AD537" s="989"/>
      <c r="AE537" s="989"/>
    </row>
    <row r="538">
      <c r="A538" s="989"/>
      <c r="B538" s="989"/>
      <c r="C538" s="989"/>
      <c r="D538" s="989"/>
      <c r="E538" s="989"/>
      <c r="F538" s="989"/>
      <c r="G538" s="989"/>
      <c r="H538" s="992" t="str">
        <f t="shared" si="16"/>
        <v/>
      </c>
      <c r="I538" s="989"/>
      <c r="J538" s="989"/>
      <c r="K538" s="989"/>
      <c r="L538" s="989"/>
      <c r="M538" s="989"/>
      <c r="N538" s="989"/>
      <c r="O538" s="989"/>
      <c r="P538" s="989"/>
      <c r="Q538" s="989"/>
      <c r="R538" s="989"/>
      <c r="S538" s="989"/>
      <c r="T538" s="989"/>
      <c r="U538" s="989"/>
      <c r="V538" s="989"/>
      <c r="W538" s="989"/>
      <c r="X538" s="989"/>
      <c r="Y538" s="989"/>
      <c r="Z538" s="989"/>
      <c r="AA538" s="989"/>
      <c r="AB538" s="989"/>
      <c r="AC538" s="989"/>
      <c r="AD538" s="989"/>
      <c r="AE538" s="989"/>
    </row>
    <row r="539">
      <c r="A539" s="989"/>
      <c r="B539" s="989"/>
      <c r="C539" s="989"/>
      <c r="D539" s="989"/>
      <c r="E539" s="989"/>
      <c r="F539" s="989"/>
      <c r="G539" s="989"/>
      <c r="H539" s="992" t="str">
        <f t="shared" si="16"/>
        <v/>
      </c>
      <c r="I539" s="989"/>
      <c r="J539" s="989"/>
      <c r="K539" s="989"/>
      <c r="L539" s="989"/>
      <c r="M539" s="989"/>
      <c r="N539" s="989"/>
      <c r="O539" s="989"/>
      <c r="P539" s="989"/>
      <c r="Q539" s="989"/>
      <c r="R539" s="989"/>
      <c r="S539" s="989"/>
      <c r="T539" s="989"/>
      <c r="U539" s="989"/>
      <c r="V539" s="989"/>
      <c r="W539" s="989"/>
      <c r="X539" s="989"/>
      <c r="Y539" s="989"/>
      <c r="Z539" s="989"/>
      <c r="AA539" s="989"/>
      <c r="AB539" s="989"/>
      <c r="AC539" s="989"/>
      <c r="AD539" s="989"/>
      <c r="AE539" s="989"/>
    </row>
    <row r="540">
      <c r="A540" s="989"/>
      <c r="B540" s="989"/>
      <c r="C540" s="989"/>
      <c r="D540" s="989"/>
      <c r="E540" s="989"/>
      <c r="F540" s="989"/>
      <c r="G540" s="989"/>
      <c r="H540" s="992" t="str">
        <f t="shared" si="16"/>
        <v/>
      </c>
      <c r="I540" s="989"/>
      <c r="J540" s="989"/>
      <c r="K540" s="989"/>
      <c r="L540" s="989"/>
      <c r="M540" s="989"/>
      <c r="N540" s="989"/>
      <c r="O540" s="989"/>
      <c r="P540" s="989"/>
      <c r="Q540" s="989"/>
      <c r="R540" s="989"/>
      <c r="S540" s="989"/>
      <c r="T540" s="989"/>
      <c r="U540" s="989"/>
      <c r="V540" s="989"/>
      <c r="W540" s="989"/>
      <c r="X540" s="989"/>
      <c r="Y540" s="989"/>
      <c r="Z540" s="989"/>
      <c r="AA540" s="989"/>
      <c r="AB540" s="989"/>
      <c r="AC540" s="989"/>
      <c r="AD540" s="989"/>
      <c r="AE540" s="989"/>
    </row>
    <row r="541">
      <c r="A541" s="989"/>
      <c r="B541" s="989"/>
      <c r="C541" s="989"/>
      <c r="D541" s="989"/>
      <c r="E541" s="989"/>
      <c r="F541" s="989"/>
      <c r="G541" s="989"/>
      <c r="H541" s="992" t="str">
        <f t="shared" si="16"/>
        <v/>
      </c>
      <c r="I541" s="989"/>
      <c r="J541" s="989"/>
      <c r="K541" s="989"/>
      <c r="L541" s="989"/>
      <c r="M541" s="989"/>
      <c r="N541" s="989"/>
      <c r="O541" s="989"/>
      <c r="P541" s="989"/>
      <c r="Q541" s="989"/>
      <c r="R541" s="989"/>
      <c r="S541" s="989"/>
      <c r="T541" s="989"/>
      <c r="U541" s="989"/>
      <c r="V541" s="989"/>
      <c r="W541" s="989"/>
      <c r="X541" s="989"/>
      <c r="Y541" s="989"/>
      <c r="Z541" s="989"/>
      <c r="AA541" s="989"/>
      <c r="AB541" s="989"/>
      <c r="AC541" s="989"/>
      <c r="AD541" s="989"/>
      <c r="AE541" s="989"/>
    </row>
    <row r="542">
      <c r="A542" s="989"/>
      <c r="B542" s="989"/>
      <c r="C542" s="989"/>
      <c r="D542" s="989"/>
      <c r="E542" s="989"/>
      <c r="F542" s="989"/>
      <c r="G542" s="989"/>
      <c r="H542" s="992" t="str">
        <f t="shared" si="16"/>
        <v/>
      </c>
      <c r="I542" s="989"/>
      <c r="J542" s="989"/>
      <c r="K542" s="989"/>
      <c r="L542" s="989"/>
      <c r="M542" s="989"/>
      <c r="N542" s="989"/>
      <c r="O542" s="989"/>
      <c r="P542" s="989"/>
      <c r="Q542" s="989"/>
      <c r="R542" s="989"/>
      <c r="S542" s="989"/>
      <c r="T542" s="989"/>
      <c r="U542" s="989"/>
      <c r="V542" s="989"/>
      <c r="W542" s="989"/>
      <c r="X542" s="989"/>
      <c r="Y542" s="989"/>
      <c r="Z542" s="989"/>
      <c r="AA542" s="989"/>
      <c r="AB542" s="989"/>
      <c r="AC542" s="989"/>
      <c r="AD542" s="989"/>
      <c r="AE542" s="989"/>
    </row>
    <row r="543">
      <c r="A543" s="989"/>
      <c r="B543" s="989"/>
      <c r="C543" s="989"/>
      <c r="D543" s="989"/>
      <c r="E543" s="989"/>
      <c r="F543" s="989"/>
      <c r="G543" s="989"/>
      <c r="H543" s="992" t="str">
        <f t="shared" si="16"/>
        <v/>
      </c>
      <c r="I543" s="989"/>
      <c r="J543" s="989"/>
      <c r="K543" s="989"/>
      <c r="L543" s="989"/>
      <c r="M543" s="989"/>
      <c r="N543" s="989"/>
      <c r="O543" s="989"/>
      <c r="P543" s="989"/>
      <c r="Q543" s="989"/>
      <c r="R543" s="989"/>
      <c r="S543" s="989"/>
      <c r="T543" s="989"/>
      <c r="U543" s="989"/>
      <c r="V543" s="989"/>
      <c r="W543" s="989"/>
      <c r="X543" s="989"/>
      <c r="Y543" s="989"/>
      <c r="Z543" s="989"/>
      <c r="AA543" s="989"/>
      <c r="AB543" s="989"/>
      <c r="AC543" s="989"/>
      <c r="AD543" s="989"/>
      <c r="AE543" s="989"/>
    </row>
    <row r="544">
      <c r="A544" s="989"/>
      <c r="B544" s="989"/>
      <c r="C544" s="989"/>
      <c r="D544" s="989"/>
      <c r="E544" s="989"/>
      <c r="F544" s="989"/>
      <c r="G544" s="989"/>
      <c r="H544" s="992" t="str">
        <f t="shared" si="16"/>
        <v/>
      </c>
      <c r="I544" s="989"/>
      <c r="J544" s="989"/>
      <c r="K544" s="989"/>
      <c r="L544" s="989"/>
      <c r="M544" s="989"/>
      <c r="N544" s="989"/>
      <c r="O544" s="989"/>
      <c r="P544" s="989"/>
      <c r="Q544" s="989"/>
      <c r="R544" s="989"/>
      <c r="S544" s="989"/>
      <c r="T544" s="989"/>
      <c r="U544" s="989"/>
      <c r="V544" s="989"/>
      <c r="W544" s="989"/>
      <c r="X544" s="989"/>
      <c r="Y544" s="989"/>
      <c r="Z544" s="989"/>
      <c r="AA544" s="989"/>
      <c r="AB544" s="989"/>
      <c r="AC544" s="989"/>
      <c r="AD544" s="989"/>
      <c r="AE544" s="989"/>
    </row>
    <row r="545">
      <c r="A545" s="989"/>
      <c r="B545" s="989"/>
      <c r="C545" s="989"/>
      <c r="D545" s="989"/>
      <c r="E545" s="989"/>
      <c r="F545" s="989"/>
      <c r="G545" s="989"/>
      <c r="H545" s="992" t="str">
        <f t="shared" si="16"/>
        <v/>
      </c>
      <c r="I545" s="989"/>
      <c r="J545" s="989"/>
      <c r="K545" s="989"/>
      <c r="L545" s="989"/>
      <c r="M545" s="989"/>
      <c r="N545" s="989"/>
      <c r="O545" s="989"/>
      <c r="P545" s="989"/>
      <c r="Q545" s="989"/>
      <c r="R545" s="989"/>
      <c r="S545" s="989"/>
      <c r="T545" s="989"/>
      <c r="U545" s="989"/>
      <c r="V545" s="989"/>
      <c r="W545" s="989"/>
      <c r="X545" s="989"/>
      <c r="Y545" s="989"/>
      <c r="Z545" s="989"/>
      <c r="AA545" s="989"/>
      <c r="AB545" s="989"/>
      <c r="AC545" s="989"/>
      <c r="AD545" s="989"/>
      <c r="AE545" s="989"/>
    </row>
    <row r="546">
      <c r="A546" s="989"/>
      <c r="B546" s="989"/>
      <c r="C546" s="989"/>
      <c r="D546" s="989"/>
      <c r="E546" s="989"/>
      <c r="F546" s="989"/>
      <c r="G546" s="989"/>
      <c r="H546" s="992" t="str">
        <f t="shared" si="16"/>
        <v/>
      </c>
      <c r="I546" s="989"/>
      <c r="J546" s="989"/>
      <c r="K546" s="989"/>
      <c r="L546" s="989"/>
      <c r="M546" s="989"/>
      <c r="N546" s="989"/>
      <c r="O546" s="989"/>
      <c r="P546" s="989"/>
      <c r="Q546" s="989"/>
      <c r="R546" s="989"/>
      <c r="S546" s="989"/>
      <c r="T546" s="989"/>
      <c r="U546" s="989"/>
      <c r="V546" s="989"/>
      <c r="W546" s="989"/>
      <c r="X546" s="989"/>
      <c r="Y546" s="989"/>
      <c r="Z546" s="989"/>
      <c r="AA546" s="989"/>
      <c r="AB546" s="989"/>
      <c r="AC546" s="989"/>
      <c r="AD546" s="989"/>
      <c r="AE546" s="989"/>
    </row>
    <row r="547">
      <c r="A547" s="989"/>
      <c r="B547" s="989"/>
      <c r="C547" s="989"/>
      <c r="D547" s="989"/>
      <c r="E547" s="989"/>
      <c r="F547" s="989"/>
      <c r="G547" s="989"/>
      <c r="H547" s="992" t="str">
        <f t="shared" si="16"/>
        <v/>
      </c>
      <c r="I547" s="989"/>
      <c r="J547" s="989"/>
      <c r="K547" s="989"/>
      <c r="L547" s="989"/>
      <c r="M547" s="989"/>
      <c r="N547" s="989"/>
      <c r="O547" s="989"/>
      <c r="P547" s="989"/>
      <c r="Q547" s="989"/>
      <c r="R547" s="989"/>
      <c r="S547" s="989"/>
      <c r="T547" s="989"/>
      <c r="U547" s="989"/>
      <c r="V547" s="989"/>
      <c r="W547" s="989"/>
      <c r="X547" s="989"/>
      <c r="Y547" s="989"/>
      <c r="Z547" s="989"/>
      <c r="AA547" s="989"/>
      <c r="AB547" s="989"/>
      <c r="AC547" s="989"/>
      <c r="AD547" s="989"/>
      <c r="AE547" s="989"/>
    </row>
    <row r="548">
      <c r="A548" s="989"/>
      <c r="B548" s="989"/>
      <c r="C548" s="989"/>
      <c r="D548" s="989"/>
      <c r="E548" s="989"/>
      <c r="F548" s="989"/>
      <c r="G548" s="989"/>
      <c r="H548" s="992" t="str">
        <f t="shared" si="16"/>
        <v/>
      </c>
      <c r="I548" s="989"/>
      <c r="J548" s="989"/>
      <c r="K548" s="989"/>
      <c r="L548" s="989"/>
      <c r="M548" s="989"/>
      <c r="N548" s="989"/>
      <c r="O548" s="989"/>
      <c r="P548" s="989"/>
      <c r="Q548" s="989"/>
      <c r="R548" s="989"/>
      <c r="S548" s="989"/>
      <c r="T548" s="989"/>
      <c r="U548" s="989"/>
      <c r="V548" s="989"/>
      <c r="W548" s="989"/>
      <c r="X548" s="989"/>
      <c r="Y548" s="989"/>
      <c r="Z548" s="989"/>
      <c r="AA548" s="989"/>
      <c r="AB548" s="989"/>
      <c r="AC548" s="989"/>
      <c r="AD548" s="989"/>
      <c r="AE548" s="989"/>
    </row>
    <row r="549">
      <c r="A549" s="989"/>
      <c r="B549" s="989"/>
      <c r="C549" s="989"/>
      <c r="D549" s="989"/>
      <c r="E549" s="989"/>
      <c r="F549" s="989"/>
      <c r="G549" s="989"/>
      <c r="H549" s="992" t="str">
        <f t="shared" si="16"/>
        <v/>
      </c>
      <c r="I549" s="989"/>
      <c r="J549" s="989"/>
      <c r="K549" s="989"/>
      <c r="L549" s="989"/>
      <c r="M549" s="989"/>
      <c r="N549" s="989"/>
      <c r="O549" s="989"/>
      <c r="P549" s="989"/>
      <c r="Q549" s="989"/>
      <c r="R549" s="989"/>
      <c r="S549" s="989"/>
      <c r="T549" s="989"/>
      <c r="U549" s="989"/>
      <c r="V549" s="989"/>
      <c r="W549" s="989"/>
      <c r="X549" s="989"/>
      <c r="Y549" s="989"/>
      <c r="Z549" s="989"/>
      <c r="AA549" s="989"/>
      <c r="AB549" s="989"/>
      <c r="AC549" s="989"/>
      <c r="AD549" s="989"/>
      <c r="AE549" s="989"/>
    </row>
    <row r="550">
      <c r="A550" s="989"/>
      <c r="B550" s="989"/>
      <c r="C550" s="989"/>
      <c r="D550" s="989"/>
      <c r="E550" s="989"/>
      <c r="F550" s="989"/>
      <c r="G550" s="989"/>
      <c r="H550" s="992" t="str">
        <f t="shared" si="16"/>
        <v/>
      </c>
      <c r="I550" s="989"/>
      <c r="J550" s="989"/>
      <c r="K550" s="989"/>
      <c r="L550" s="989"/>
      <c r="M550" s="989"/>
      <c r="N550" s="989"/>
      <c r="O550" s="989"/>
      <c r="P550" s="989"/>
      <c r="Q550" s="989"/>
      <c r="R550" s="989"/>
      <c r="S550" s="989"/>
      <c r="T550" s="989"/>
      <c r="U550" s="989"/>
      <c r="V550" s="989"/>
      <c r="W550" s="989"/>
      <c r="X550" s="989"/>
      <c r="Y550" s="989"/>
      <c r="Z550" s="989"/>
      <c r="AA550" s="989"/>
      <c r="AB550" s="989"/>
      <c r="AC550" s="989"/>
      <c r="AD550" s="989"/>
      <c r="AE550" s="989"/>
    </row>
    <row r="551">
      <c r="A551" s="989"/>
      <c r="B551" s="989"/>
      <c r="C551" s="989"/>
      <c r="D551" s="989"/>
      <c r="E551" s="989"/>
      <c r="F551" s="989"/>
      <c r="G551" s="989"/>
      <c r="H551" s="992" t="str">
        <f t="shared" si="16"/>
        <v/>
      </c>
      <c r="I551" s="989"/>
      <c r="J551" s="989"/>
      <c r="K551" s="989"/>
      <c r="L551" s="989"/>
      <c r="M551" s="989"/>
      <c r="N551" s="989"/>
      <c r="O551" s="989"/>
      <c r="P551" s="989"/>
      <c r="Q551" s="989"/>
      <c r="R551" s="989"/>
      <c r="S551" s="989"/>
      <c r="T551" s="989"/>
      <c r="U551" s="989"/>
      <c r="V551" s="989"/>
      <c r="W551" s="989"/>
      <c r="X551" s="989"/>
      <c r="Y551" s="989"/>
      <c r="Z551" s="989"/>
      <c r="AA551" s="989"/>
      <c r="AB551" s="989"/>
      <c r="AC551" s="989"/>
      <c r="AD551" s="989"/>
      <c r="AE551" s="989"/>
    </row>
    <row r="552">
      <c r="A552" s="989"/>
      <c r="B552" s="989"/>
      <c r="C552" s="989"/>
      <c r="D552" s="989"/>
      <c r="E552" s="989"/>
      <c r="F552" s="989"/>
      <c r="G552" s="989"/>
      <c r="H552" s="992" t="str">
        <f t="shared" si="16"/>
        <v/>
      </c>
      <c r="I552" s="989"/>
      <c r="J552" s="989"/>
      <c r="K552" s="989"/>
      <c r="L552" s="989"/>
      <c r="M552" s="989"/>
      <c r="N552" s="989"/>
      <c r="O552" s="989"/>
      <c r="P552" s="989"/>
      <c r="Q552" s="989"/>
      <c r="R552" s="989"/>
      <c r="S552" s="989"/>
      <c r="T552" s="989"/>
      <c r="U552" s="989"/>
      <c r="V552" s="989"/>
      <c r="W552" s="989"/>
      <c r="X552" s="989"/>
      <c r="Y552" s="989"/>
      <c r="Z552" s="989"/>
      <c r="AA552" s="989"/>
      <c r="AB552" s="989"/>
      <c r="AC552" s="989"/>
      <c r="AD552" s="989"/>
      <c r="AE552" s="989"/>
    </row>
    <row r="553">
      <c r="A553" s="989"/>
      <c r="B553" s="989"/>
      <c r="C553" s="989"/>
      <c r="D553" s="989"/>
      <c r="E553" s="989"/>
      <c r="F553" s="989"/>
      <c r="G553" s="989"/>
      <c r="H553" s="992" t="str">
        <f t="shared" si="16"/>
        <v/>
      </c>
      <c r="I553" s="989"/>
      <c r="J553" s="989"/>
      <c r="K553" s="989"/>
      <c r="L553" s="989"/>
      <c r="M553" s="989"/>
      <c r="N553" s="989"/>
      <c r="O553" s="989"/>
      <c r="P553" s="989"/>
      <c r="Q553" s="989"/>
      <c r="R553" s="989"/>
      <c r="S553" s="989"/>
      <c r="T553" s="989"/>
      <c r="U553" s="989"/>
      <c r="V553" s="989"/>
      <c r="W553" s="989"/>
      <c r="X553" s="989"/>
      <c r="Y553" s="989"/>
      <c r="Z553" s="989"/>
      <c r="AA553" s="989"/>
      <c r="AB553" s="989"/>
      <c r="AC553" s="989"/>
      <c r="AD553" s="989"/>
      <c r="AE553" s="989"/>
    </row>
    <row r="554">
      <c r="A554" s="989"/>
      <c r="B554" s="989"/>
      <c r="C554" s="989"/>
      <c r="D554" s="989"/>
      <c r="E554" s="989"/>
      <c r="F554" s="989"/>
      <c r="G554" s="989"/>
      <c r="H554" s="992" t="str">
        <f t="shared" si="16"/>
        <v/>
      </c>
      <c r="I554" s="989"/>
      <c r="J554" s="989"/>
      <c r="K554" s="989"/>
      <c r="L554" s="989"/>
      <c r="M554" s="989"/>
      <c r="N554" s="989"/>
      <c r="O554" s="989"/>
      <c r="P554" s="989"/>
      <c r="Q554" s="989"/>
      <c r="R554" s="989"/>
      <c r="S554" s="989"/>
      <c r="T554" s="989"/>
      <c r="U554" s="989"/>
      <c r="V554" s="989"/>
      <c r="W554" s="989"/>
      <c r="X554" s="989"/>
      <c r="Y554" s="989"/>
      <c r="Z554" s="989"/>
      <c r="AA554" s="989"/>
      <c r="AB554" s="989"/>
      <c r="AC554" s="989"/>
      <c r="AD554" s="989"/>
      <c r="AE554" s="989"/>
    </row>
    <row r="555">
      <c r="A555" s="989"/>
      <c r="B555" s="989"/>
      <c r="C555" s="989"/>
      <c r="D555" s="989"/>
      <c r="E555" s="989"/>
      <c r="F555" s="989"/>
      <c r="G555" s="989"/>
      <c r="H555" s="992" t="str">
        <f t="shared" si="16"/>
        <v/>
      </c>
      <c r="I555" s="989"/>
      <c r="J555" s="989"/>
      <c r="K555" s="989"/>
      <c r="L555" s="989"/>
      <c r="M555" s="989"/>
      <c r="N555" s="989"/>
      <c r="O555" s="989"/>
      <c r="P555" s="989"/>
      <c r="Q555" s="989"/>
      <c r="R555" s="989"/>
      <c r="S555" s="989"/>
      <c r="T555" s="989"/>
      <c r="U555" s="989"/>
      <c r="V555" s="989"/>
      <c r="W555" s="989"/>
      <c r="X555" s="989"/>
      <c r="Y555" s="989"/>
      <c r="Z555" s="989"/>
      <c r="AA555" s="989"/>
      <c r="AB555" s="989"/>
      <c r="AC555" s="989"/>
      <c r="AD555" s="989"/>
      <c r="AE555" s="989"/>
    </row>
    <row r="556">
      <c r="A556" s="989"/>
      <c r="B556" s="989"/>
      <c r="C556" s="989"/>
      <c r="D556" s="989"/>
      <c r="E556" s="989"/>
      <c r="F556" s="989"/>
      <c r="G556" s="989"/>
      <c r="H556" s="992" t="str">
        <f t="shared" si="16"/>
        <v/>
      </c>
      <c r="I556" s="989"/>
      <c r="J556" s="989"/>
      <c r="K556" s="989"/>
      <c r="L556" s="989"/>
      <c r="M556" s="989"/>
      <c r="N556" s="989"/>
      <c r="O556" s="989"/>
      <c r="P556" s="989"/>
      <c r="Q556" s="989"/>
      <c r="R556" s="989"/>
      <c r="S556" s="989"/>
      <c r="T556" s="989"/>
      <c r="U556" s="989"/>
      <c r="V556" s="989"/>
      <c r="W556" s="989"/>
      <c r="X556" s="989"/>
      <c r="Y556" s="989"/>
      <c r="Z556" s="989"/>
      <c r="AA556" s="989"/>
      <c r="AB556" s="989"/>
      <c r="AC556" s="989"/>
      <c r="AD556" s="989"/>
      <c r="AE556" s="989"/>
    </row>
    <row r="557">
      <c r="A557" s="989"/>
      <c r="B557" s="989"/>
      <c r="C557" s="989"/>
      <c r="D557" s="989"/>
      <c r="E557" s="989"/>
      <c r="F557" s="989"/>
      <c r="G557" s="989"/>
      <c r="H557" s="992" t="str">
        <f t="shared" si="16"/>
        <v/>
      </c>
      <c r="I557" s="989"/>
      <c r="J557" s="989"/>
      <c r="K557" s="989"/>
      <c r="L557" s="989"/>
      <c r="M557" s="989"/>
      <c r="N557" s="989"/>
      <c r="O557" s="989"/>
      <c r="P557" s="989"/>
      <c r="Q557" s="989"/>
      <c r="R557" s="989"/>
      <c r="S557" s="989"/>
      <c r="T557" s="989"/>
      <c r="U557" s="989"/>
      <c r="V557" s="989"/>
      <c r="W557" s="989"/>
      <c r="X557" s="989"/>
      <c r="Y557" s="989"/>
      <c r="Z557" s="989"/>
      <c r="AA557" s="989"/>
      <c r="AB557" s="989"/>
      <c r="AC557" s="989"/>
      <c r="AD557" s="989"/>
      <c r="AE557" s="989"/>
    </row>
    <row r="558">
      <c r="A558" s="989"/>
      <c r="B558" s="989"/>
      <c r="C558" s="989"/>
      <c r="D558" s="989"/>
      <c r="E558" s="989"/>
      <c r="F558" s="989"/>
      <c r="G558" s="989"/>
      <c r="H558" s="992" t="str">
        <f t="shared" si="16"/>
        <v/>
      </c>
      <c r="I558" s="989"/>
      <c r="J558" s="989"/>
      <c r="K558" s="989"/>
      <c r="L558" s="989"/>
      <c r="M558" s="989"/>
      <c r="N558" s="989"/>
      <c r="O558" s="989"/>
      <c r="P558" s="989"/>
      <c r="Q558" s="989"/>
      <c r="R558" s="989"/>
      <c r="S558" s="989"/>
      <c r="T558" s="989"/>
      <c r="U558" s="989"/>
      <c r="V558" s="989"/>
      <c r="W558" s="989"/>
      <c r="X558" s="989"/>
      <c r="Y558" s="989"/>
      <c r="Z558" s="989"/>
      <c r="AA558" s="989"/>
      <c r="AB558" s="989"/>
      <c r="AC558" s="989"/>
      <c r="AD558" s="989"/>
      <c r="AE558" s="989"/>
    </row>
    <row r="559">
      <c r="A559" s="989"/>
      <c r="B559" s="989"/>
      <c r="C559" s="989"/>
      <c r="D559" s="989"/>
      <c r="E559" s="989"/>
      <c r="F559" s="989"/>
      <c r="G559" s="989"/>
      <c r="H559" s="992" t="str">
        <f t="shared" si="16"/>
        <v/>
      </c>
      <c r="I559" s="989"/>
      <c r="J559" s="989"/>
      <c r="K559" s="989"/>
      <c r="L559" s="989"/>
      <c r="M559" s="989"/>
      <c r="N559" s="989"/>
      <c r="O559" s="989"/>
      <c r="P559" s="989"/>
      <c r="Q559" s="989"/>
      <c r="R559" s="989"/>
      <c r="S559" s="989"/>
      <c r="T559" s="989"/>
      <c r="U559" s="989"/>
      <c r="V559" s="989"/>
      <c r="W559" s="989"/>
      <c r="X559" s="989"/>
      <c r="Y559" s="989"/>
      <c r="Z559" s="989"/>
      <c r="AA559" s="989"/>
      <c r="AB559" s="989"/>
      <c r="AC559" s="989"/>
      <c r="AD559" s="989"/>
      <c r="AE559" s="989"/>
    </row>
    <row r="560">
      <c r="A560" s="989"/>
      <c r="B560" s="989"/>
      <c r="C560" s="989"/>
      <c r="D560" s="989"/>
      <c r="E560" s="989"/>
      <c r="F560" s="989"/>
      <c r="G560" s="989"/>
      <c r="H560" s="992" t="str">
        <f t="shared" si="16"/>
        <v/>
      </c>
      <c r="I560" s="989"/>
      <c r="J560" s="989"/>
      <c r="K560" s="989"/>
      <c r="L560" s="989"/>
      <c r="M560" s="989"/>
      <c r="N560" s="989"/>
      <c r="O560" s="989"/>
      <c r="P560" s="989"/>
      <c r="Q560" s="989"/>
      <c r="R560" s="989"/>
      <c r="S560" s="989"/>
      <c r="T560" s="989"/>
      <c r="U560" s="989"/>
      <c r="V560" s="989"/>
      <c r="W560" s="989"/>
      <c r="X560" s="989"/>
      <c r="Y560" s="989"/>
      <c r="Z560" s="989"/>
      <c r="AA560" s="989"/>
      <c r="AB560" s="989"/>
      <c r="AC560" s="989"/>
      <c r="AD560" s="989"/>
      <c r="AE560" s="989"/>
    </row>
    <row r="561">
      <c r="A561" s="989"/>
      <c r="B561" s="989"/>
      <c r="C561" s="989"/>
      <c r="D561" s="989"/>
      <c r="E561" s="989"/>
      <c r="F561" s="989"/>
      <c r="G561" s="989"/>
      <c r="H561" s="992" t="str">
        <f t="shared" si="16"/>
        <v/>
      </c>
      <c r="I561" s="989"/>
      <c r="J561" s="989"/>
      <c r="K561" s="989"/>
      <c r="L561" s="989"/>
      <c r="M561" s="989"/>
      <c r="N561" s="989"/>
      <c r="O561" s="989"/>
      <c r="P561" s="989"/>
      <c r="Q561" s="989"/>
      <c r="R561" s="989"/>
      <c r="S561" s="989"/>
      <c r="T561" s="989"/>
      <c r="U561" s="989"/>
      <c r="V561" s="989"/>
      <c r="W561" s="989"/>
      <c r="X561" s="989"/>
      <c r="Y561" s="989"/>
      <c r="Z561" s="989"/>
      <c r="AA561" s="989"/>
      <c r="AB561" s="989"/>
      <c r="AC561" s="989"/>
      <c r="AD561" s="989"/>
      <c r="AE561" s="989"/>
    </row>
    <row r="562">
      <c r="A562" s="989"/>
      <c r="B562" s="989"/>
      <c r="C562" s="989"/>
      <c r="D562" s="989"/>
      <c r="E562" s="989"/>
      <c r="F562" s="989"/>
      <c r="G562" s="989"/>
      <c r="H562" s="992" t="str">
        <f t="shared" si="16"/>
        <v/>
      </c>
      <c r="I562" s="989"/>
      <c r="J562" s="989"/>
      <c r="K562" s="989"/>
      <c r="L562" s="989"/>
      <c r="M562" s="989"/>
      <c r="N562" s="989"/>
      <c r="O562" s="989"/>
      <c r="P562" s="989"/>
      <c r="Q562" s="989"/>
      <c r="R562" s="989"/>
      <c r="S562" s="989"/>
      <c r="T562" s="989"/>
      <c r="U562" s="989"/>
      <c r="V562" s="989"/>
      <c r="W562" s="989"/>
      <c r="X562" s="989"/>
      <c r="Y562" s="989"/>
      <c r="Z562" s="989"/>
      <c r="AA562" s="989"/>
      <c r="AB562" s="989"/>
      <c r="AC562" s="989"/>
      <c r="AD562" s="989"/>
      <c r="AE562" s="989"/>
    </row>
    <row r="563">
      <c r="A563" s="989"/>
      <c r="B563" s="989"/>
      <c r="C563" s="989"/>
      <c r="D563" s="989"/>
      <c r="E563" s="989"/>
      <c r="F563" s="989"/>
      <c r="G563" s="989"/>
      <c r="H563" s="992" t="str">
        <f t="shared" si="16"/>
        <v/>
      </c>
      <c r="I563" s="989"/>
      <c r="J563" s="989"/>
      <c r="K563" s="989"/>
      <c r="L563" s="989"/>
      <c r="M563" s="989"/>
      <c r="N563" s="989"/>
      <c r="O563" s="989"/>
      <c r="P563" s="989"/>
      <c r="Q563" s="989"/>
      <c r="R563" s="989"/>
      <c r="S563" s="989"/>
      <c r="T563" s="989"/>
      <c r="U563" s="989"/>
      <c r="V563" s="989"/>
      <c r="W563" s="989"/>
      <c r="X563" s="989"/>
      <c r="Y563" s="989"/>
      <c r="Z563" s="989"/>
      <c r="AA563" s="989"/>
      <c r="AB563" s="989"/>
      <c r="AC563" s="989"/>
      <c r="AD563" s="989"/>
      <c r="AE563" s="989"/>
    </row>
    <row r="564">
      <c r="A564" s="989"/>
      <c r="B564" s="989"/>
      <c r="C564" s="989"/>
      <c r="D564" s="989"/>
      <c r="E564" s="989"/>
      <c r="F564" s="989"/>
      <c r="G564" s="989"/>
      <c r="H564" s="992" t="str">
        <f t="shared" si="16"/>
        <v/>
      </c>
      <c r="I564" s="989"/>
      <c r="J564" s="989"/>
      <c r="K564" s="989"/>
      <c r="L564" s="989"/>
      <c r="M564" s="989"/>
      <c r="N564" s="989"/>
      <c r="O564" s="989"/>
      <c r="P564" s="989"/>
      <c r="Q564" s="989"/>
      <c r="R564" s="989"/>
      <c r="S564" s="989"/>
      <c r="T564" s="989"/>
      <c r="U564" s="989"/>
      <c r="V564" s="989"/>
      <c r="W564" s="989"/>
      <c r="X564" s="989"/>
      <c r="Y564" s="989"/>
      <c r="Z564" s="989"/>
      <c r="AA564" s="989"/>
      <c r="AB564" s="989"/>
      <c r="AC564" s="989"/>
      <c r="AD564" s="989"/>
      <c r="AE564" s="989"/>
    </row>
    <row r="565">
      <c r="A565" s="989"/>
      <c r="B565" s="989"/>
      <c r="C565" s="989"/>
      <c r="D565" s="989"/>
      <c r="E565" s="989"/>
      <c r="F565" s="989"/>
      <c r="G565" s="989"/>
      <c r="H565" s="992" t="str">
        <f t="shared" si="16"/>
        <v/>
      </c>
      <c r="I565" s="989"/>
      <c r="J565" s="989"/>
      <c r="K565" s="989"/>
      <c r="L565" s="989"/>
      <c r="M565" s="989"/>
      <c r="N565" s="989"/>
      <c r="O565" s="989"/>
      <c r="P565" s="989"/>
      <c r="Q565" s="989"/>
      <c r="R565" s="989"/>
      <c r="S565" s="989"/>
      <c r="T565" s="989"/>
      <c r="U565" s="989"/>
      <c r="V565" s="989"/>
      <c r="W565" s="989"/>
      <c r="X565" s="989"/>
      <c r="Y565" s="989"/>
      <c r="Z565" s="989"/>
      <c r="AA565" s="989"/>
      <c r="AB565" s="989"/>
      <c r="AC565" s="989"/>
      <c r="AD565" s="989"/>
      <c r="AE565" s="989"/>
    </row>
    <row r="566">
      <c r="A566" s="989"/>
      <c r="B566" s="989"/>
      <c r="C566" s="989"/>
      <c r="D566" s="989"/>
      <c r="E566" s="989"/>
      <c r="F566" s="989"/>
      <c r="G566" s="989"/>
      <c r="H566" s="992" t="str">
        <f t="shared" si="16"/>
        <v/>
      </c>
      <c r="I566" s="989"/>
      <c r="J566" s="989"/>
      <c r="K566" s="989"/>
      <c r="L566" s="989"/>
      <c r="M566" s="989"/>
      <c r="N566" s="989"/>
      <c r="O566" s="989"/>
      <c r="P566" s="989"/>
      <c r="Q566" s="989"/>
      <c r="R566" s="989"/>
      <c r="S566" s="989"/>
      <c r="T566" s="989"/>
      <c r="U566" s="989"/>
      <c r="V566" s="989"/>
      <c r="W566" s="989"/>
      <c r="X566" s="989"/>
      <c r="Y566" s="989"/>
      <c r="Z566" s="989"/>
      <c r="AA566" s="989"/>
      <c r="AB566" s="989"/>
      <c r="AC566" s="989"/>
      <c r="AD566" s="989"/>
      <c r="AE566" s="989"/>
    </row>
    <row r="567">
      <c r="A567" s="989"/>
      <c r="B567" s="989"/>
      <c r="C567" s="989"/>
      <c r="D567" s="989"/>
      <c r="E567" s="989"/>
      <c r="F567" s="989"/>
      <c r="G567" s="989"/>
      <c r="H567" s="992" t="str">
        <f t="shared" si="16"/>
        <v/>
      </c>
      <c r="I567" s="989"/>
      <c r="J567" s="989"/>
      <c r="K567" s="989"/>
      <c r="L567" s="989"/>
      <c r="M567" s="989"/>
      <c r="N567" s="989"/>
      <c r="O567" s="989"/>
      <c r="P567" s="989"/>
      <c r="Q567" s="989"/>
      <c r="R567" s="989"/>
      <c r="S567" s="989"/>
      <c r="T567" s="989"/>
      <c r="U567" s="989"/>
      <c r="V567" s="989"/>
      <c r="W567" s="989"/>
      <c r="X567" s="989"/>
      <c r="Y567" s="989"/>
      <c r="Z567" s="989"/>
      <c r="AA567" s="989"/>
      <c r="AB567" s="989"/>
      <c r="AC567" s="989"/>
      <c r="AD567" s="989"/>
      <c r="AE567" s="989"/>
    </row>
    <row r="568">
      <c r="A568" s="989"/>
      <c r="B568" s="989"/>
      <c r="C568" s="989"/>
      <c r="D568" s="989"/>
      <c r="E568" s="989"/>
      <c r="F568" s="989"/>
      <c r="G568" s="989"/>
      <c r="H568" s="992" t="str">
        <f t="shared" si="16"/>
        <v/>
      </c>
      <c r="I568" s="989"/>
      <c r="J568" s="989"/>
      <c r="K568" s="989"/>
      <c r="L568" s="989"/>
      <c r="M568" s="989"/>
      <c r="N568" s="989"/>
      <c r="O568" s="989"/>
      <c r="P568" s="989"/>
      <c r="Q568" s="989"/>
      <c r="R568" s="989"/>
      <c r="S568" s="989"/>
      <c r="T568" s="989"/>
      <c r="U568" s="989"/>
      <c r="V568" s="989"/>
      <c r="W568" s="989"/>
      <c r="X568" s="989"/>
      <c r="Y568" s="989"/>
      <c r="Z568" s="989"/>
      <c r="AA568" s="989"/>
      <c r="AB568" s="989"/>
      <c r="AC568" s="989"/>
      <c r="AD568" s="989"/>
      <c r="AE568" s="989"/>
    </row>
    <row r="569">
      <c r="A569" s="989"/>
      <c r="B569" s="989"/>
      <c r="C569" s="989"/>
      <c r="D569" s="989"/>
      <c r="E569" s="989"/>
      <c r="F569" s="989"/>
      <c r="G569" s="989"/>
      <c r="H569" s="992" t="str">
        <f t="shared" si="16"/>
        <v/>
      </c>
      <c r="I569" s="989"/>
      <c r="J569" s="989"/>
      <c r="K569" s="989"/>
      <c r="L569" s="989"/>
      <c r="M569" s="989"/>
      <c r="N569" s="989"/>
      <c r="O569" s="989"/>
      <c r="P569" s="989"/>
      <c r="Q569" s="989"/>
      <c r="R569" s="989"/>
      <c r="S569" s="989"/>
      <c r="T569" s="989"/>
      <c r="U569" s="989"/>
      <c r="V569" s="989"/>
      <c r="W569" s="989"/>
      <c r="X569" s="989"/>
      <c r="Y569" s="989"/>
      <c r="Z569" s="989"/>
      <c r="AA569" s="989"/>
      <c r="AB569" s="989"/>
      <c r="AC569" s="989"/>
      <c r="AD569" s="989"/>
      <c r="AE569" s="989"/>
    </row>
    <row r="570">
      <c r="A570" s="989"/>
      <c r="B570" s="989"/>
      <c r="C570" s="989"/>
      <c r="D570" s="989"/>
      <c r="E570" s="989"/>
      <c r="F570" s="989"/>
      <c r="G570" s="989"/>
      <c r="H570" s="992" t="str">
        <f t="shared" si="16"/>
        <v/>
      </c>
      <c r="I570" s="989"/>
      <c r="J570" s="989"/>
      <c r="K570" s="989"/>
      <c r="L570" s="989"/>
      <c r="M570" s="989"/>
      <c r="N570" s="989"/>
      <c r="O570" s="989"/>
      <c r="P570" s="989"/>
      <c r="Q570" s="989"/>
      <c r="R570" s="989"/>
      <c r="S570" s="989"/>
      <c r="T570" s="989"/>
      <c r="U570" s="989"/>
      <c r="V570" s="989"/>
      <c r="W570" s="989"/>
      <c r="X570" s="989"/>
      <c r="Y570" s="989"/>
      <c r="Z570" s="989"/>
      <c r="AA570" s="989"/>
      <c r="AB570" s="989"/>
      <c r="AC570" s="989"/>
      <c r="AD570" s="989"/>
      <c r="AE570" s="989"/>
    </row>
    <row r="571">
      <c r="A571" s="989"/>
      <c r="B571" s="989"/>
      <c r="C571" s="989"/>
      <c r="D571" s="989"/>
      <c r="E571" s="989"/>
      <c r="F571" s="989"/>
      <c r="G571" s="989"/>
      <c r="H571" s="992" t="str">
        <f t="shared" si="16"/>
        <v/>
      </c>
      <c r="I571" s="989"/>
      <c r="J571" s="989"/>
      <c r="K571" s="989"/>
      <c r="L571" s="989"/>
      <c r="M571" s="989"/>
      <c r="N571" s="989"/>
      <c r="O571" s="989"/>
      <c r="P571" s="989"/>
      <c r="Q571" s="989"/>
      <c r="R571" s="989"/>
      <c r="S571" s="989"/>
      <c r="T571" s="989"/>
      <c r="U571" s="989"/>
      <c r="V571" s="989"/>
      <c r="W571" s="989"/>
      <c r="X571" s="989"/>
      <c r="Y571" s="989"/>
      <c r="Z571" s="989"/>
      <c r="AA571" s="989"/>
      <c r="AB571" s="989"/>
      <c r="AC571" s="989"/>
      <c r="AD571" s="989"/>
      <c r="AE571" s="989"/>
    </row>
    <row r="572">
      <c r="A572" s="989"/>
      <c r="B572" s="989"/>
      <c r="C572" s="989"/>
      <c r="D572" s="989"/>
      <c r="E572" s="989"/>
      <c r="F572" s="989"/>
      <c r="G572" s="989"/>
      <c r="H572" s="992" t="str">
        <f t="shared" si="16"/>
        <v/>
      </c>
      <c r="I572" s="989"/>
      <c r="J572" s="989"/>
      <c r="K572" s="989"/>
      <c r="L572" s="989"/>
      <c r="M572" s="989"/>
      <c r="N572" s="989"/>
      <c r="O572" s="989"/>
      <c r="P572" s="989"/>
      <c r="Q572" s="989"/>
      <c r="R572" s="989"/>
      <c r="S572" s="989"/>
      <c r="T572" s="989"/>
      <c r="U572" s="989"/>
      <c r="V572" s="989"/>
      <c r="W572" s="989"/>
      <c r="X572" s="989"/>
      <c r="Y572" s="989"/>
      <c r="Z572" s="989"/>
      <c r="AA572" s="989"/>
      <c r="AB572" s="989"/>
      <c r="AC572" s="989"/>
      <c r="AD572" s="989"/>
      <c r="AE572" s="989"/>
    </row>
    <row r="573">
      <c r="A573" s="989"/>
      <c r="B573" s="989"/>
      <c r="C573" s="989"/>
      <c r="D573" s="989"/>
      <c r="E573" s="989"/>
      <c r="F573" s="989"/>
      <c r="G573" s="989"/>
      <c r="H573" s="992" t="str">
        <f t="shared" si="16"/>
        <v/>
      </c>
      <c r="I573" s="989"/>
      <c r="J573" s="989"/>
      <c r="K573" s="989"/>
      <c r="L573" s="989"/>
      <c r="M573" s="989"/>
      <c r="N573" s="989"/>
      <c r="O573" s="989"/>
      <c r="P573" s="989"/>
      <c r="Q573" s="989"/>
      <c r="R573" s="989"/>
      <c r="S573" s="989"/>
      <c r="T573" s="989"/>
      <c r="U573" s="989"/>
      <c r="V573" s="989"/>
      <c r="W573" s="989"/>
      <c r="X573" s="989"/>
      <c r="Y573" s="989"/>
      <c r="Z573" s="989"/>
      <c r="AA573" s="989"/>
      <c r="AB573" s="989"/>
      <c r="AC573" s="989"/>
      <c r="AD573" s="989"/>
      <c r="AE573" s="989"/>
    </row>
    <row r="574">
      <c r="A574" s="989"/>
      <c r="B574" s="989"/>
      <c r="C574" s="989"/>
      <c r="D574" s="989"/>
      <c r="E574" s="989"/>
      <c r="F574" s="989"/>
      <c r="G574" s="989"/>
      <c r="H574" s="992" t="str">
        <f t="shared" si="16"/>
        <v/>
      </c>
      <c r="I574" s="989"/>
      <c r="J574" s="989"/>
      <c r="K574" s="989"/>
      <c r="L574" s="989"/>
      <c r="M574" s="989"/>
      <c r="N574" s="989"/>
      <c r="O574" s="989"/>
      <c r="P574" s="989"/>
      <c r="Q574" s="989"/>
      <c r="R574" s="989"/>
      <c r="S574" s="989"/>
      <c r="T574" s="989"/>
      <c r="U574" s="989"/>
      <c r="V574" s="989"/>
      <c r="W574" s="989"/>
      <c r="X574" s="989"/>
      <c r="Y574" s="989"/>
      <c r="Z574" s="989"/>
      <c r="AA574" s="989"/>
      <c r="AB574" s="989"/>
      <c r="AC574" s="989"/>
      <c r="AD574" s="989"/>
      <c r="AE574" s="989"/>
    </row>
    <row r="575">
      <c r="A575" s="989"/>
      <c r="B575" s="989"/>
      <c r="C575" s="989"/>
      <c r="D575" s="989"/>
      <c r="E575" s="989"/>
      <c r="F575" s="989"/>
      <c r="G575" s="989"/>
      <c r="H575" s="992" t="str">
        <f t="shared" si="16"/>
        <v/>
      </c>
      <c r="I575" s="989"/>
      <c r="J575" s="989"/>
      <c r="K575" s="989"/>
      <c r="L575" s="989"/>
      <c r="M575" s="989"/>
      <c r="N575" s="989"/>
      <c r="O575" s="989"/>
      <c r="P575" s="989"/>
      <c r="Q575" s="989"/>
      <c r="R575" s="989"/>
      <c r="S575" s="989"/>
      <c r="T575" s="989"/>
      <c r="U575" s="989"/>
      <c r="V575" s="989"/>
      <c r="W575" s="989"/>
      <c r="X575" s="989"/>
      <c r="Y575" s="989"/>
      <c r="Z575" s="989"/>
      <c r="AA575" s="989"/>
      <c r="AB575" s="989"/>
      <c r="AC575" s="989"/>
      <c r="AD575" s="989"/>
      <c r="AE575" s="989"/>
    </row>
    <row r="576">
      <c r="A576" s="989"/>
      <c r="B576" s="989"/>
      <c r="C576" s="989"/>
      <c r="D576" s="989"/>
      <c r="E576" s="989"/>
      <c r="F576" s="989"/>
      <c r="G576" s="989"/>
      <c r="H576" s="992" t="str">
        <f t="shared" si="16"/>
        <v/>
      </c>
      <c r="I576" s="989"/>
      <c r="J576" s="989"/>
      <c r="K576" s="989"/>
      <c r="L576" s="989"/>
      <c r="M576" s="989"/>
      <c r="N576" s="989"/>
      <c r="O576" s="989"/>
      <c r="P576" s="989"/>
      <c r="Q576" s="989"/>
      <c r="R576" s="989"/>
      <c r="S576" s="989"/>
      <c r="T576" s="989"/>
      <c r="U576" s="989"/>
      <c r="V576" s="989"/>
      <c r="W576" s="989"/>
      <c r="X576" s="989"/>
      <c r="Y576" s="989"/>
      <c r="Z576" s="989"/>
      <c r="AA576" s="989"/>
      <c r="AB576" s="989"/>
      <c r="AC576" s="989"/>
      <c r="AD576" s="989"/>
      <c r="AE576" s="989"/>
    </row>
    <row r="577">
      <c r="A577" s="989"/>
      <c r="B577" s="989"/>
      <c r="C577" s="989"/>
      <c r="D577" s="989"/>
      <c r="E577" s="989"/>
      <c r="F577" s="989"/>
      <c r="G577" s="989"/>
      <c r="H577" s="992" t="str">
        <f t="shared" si="16"/>
        <v/>
      </c>
      <c r="I577" s="989"/>
      <c r="J577" s="989"/>
      <c r="K577" s="989"/>
      <c r="L577" s="989"/>
      <c r="M577" s="989"/>
      <c r="N577" s="989"/>
      <c r="O577" s="989"/>
      <c r="P577" s="989"/>
      <c r="Q577" s="989"/>
      <c r="R577" s="989"/>
      <c r="S577" s="989"/>
      <c r="T577" s="989"/>
      <c r="U577" s="989"/>
      <c r="V577" s="989"/>
      <c r="W577" s="989"/>
      <c r="X577" s="989"/>
      <c r="Y577" s="989"/>
      <c r="Z577" s="989"/>
      <c r="AA577" s="989"/>
      <c r="AB577" s="989"/>
      <c r="AC577" s="989"/>
      <c r="AD577" s="989"/>
      <c r="AE577" s="989"/>
    </row>
    <row r="578">
      <c r="A578" s="989"/>
      <c r="B578" s="989"/>
      <c r="C578" s="989"/>
      <c r="D578" s="989"/>
      <c r="E578" s="989"/>
      <c r="F578" s="989"/>
      <c r="G578" s="989"/>
      <c r="H578" s="992" t="str">
        <f t="shared" si="16"/>
        <v/>
      </c>
      <c r="I578" s="989"/>
      <c r="J578" s="989"/>
      <c r="K578" s="989"/>
      <c r="L578" s="989"/>
      <c r="M578" s="989"/>
      <c r="N578" s="989"/>
      <c r="O578" s="989"/>
      <c r="P578" s="989"/>
      <c r="Q578" s="989"/>
      <c r="R578" s="989"/>
      <c r="S578" s="989"/>
      <c r="T578" s="989"/>
      <c r="U578" s="989"/>
      <c r="V578" s="989"/>
      <c r="W578" s="989"/>
      <c r="X578" s="989"/>
      <c r="Y578" s="989"/>
      <c r="Z578" s="989"/>
      <c r="AA578" s="989"/>
      <c r="AB578" s="989"/>
      <c r="AC578" s="989"/>
      <c r="AD578" s="989"/>
      <c r="AE578" s="989"/>
    </row>
    <row r="579">
      <c r="A579" s="989"/>
      <c r="B579" s="989"/>
      <c r="C579" s="989"/>
      <c r="D579" s="989"/>
      <c r="E579" s="989"/>
      <c r="F579" s="989"/>
      <c r="G579" s="989"/>
      <c r="H579" s="992" t="str">
        <f t="shared" si="16"/>
        <v/>
      </c>
      <c r="I579" s="989"/>
      <c r="J579" s="989"/>
      <c r="K579" s="989"/>
      <c r="L579" s="989"/>
      <c r="M579" s="989"/>
      <c r="N579" s="989"/>
      <c r="O579" s="989"/>
      <c r="P579" s="989"/>
      <c r="Q579" s="989"/>
      <c r="R579" s="989"/>
      <c r="S579" s="989"/>
      <c r="T579" s="989"/>
      <c r="U579" s="989"/>
      <c r="V579" s="989"/>
      <c r="W579" s="989"/>
      <c r="X579" s="989"/>
      <c r="Y579" s="989"/>
      <c r="Z579" s="989"/>
      <c r="AA579" s="989"/>
      <c r="AB579" s="989"/>
      <c r="AC579" s="989"/>
      <c r="AD579" s="989"/>
      <c r="AE579" s="989"/>
    </row>
    <row r="580">
      <c r="A580" s="989"/>
      <c r="B580" s="989"/>
      <c r="C580" s="989"/>
      <c r="D580" s="989"/>
      <c r="E580" s="989"/>
      <c r="F580" s="989"/>
      <c r="G580" s="989"/>
      <c r="H580" s="992" t="str">
        <f t="shared" si="16"/>
        <v/>
      </c>
      <c r="I580" s="989"/>
      <c r="J580" s="989"/>
      <c r="K580" s="989"/>
      <c r="L580" s="989"/>
      <c r="M580" s="989"/>
      <c r="N580" s="989"/>
      <c r="O580" s="989"/>
      <c r="P580" s="989"/>
      <c r="Q580" s="989"/>
      <c r="R580" s="989"/>
      <c r="S580" s="989"/>
      <c r="T580" s="989"/>
      <c r="U580" s="989"/>
      <c r="V580" s="989"/>
      <c r="W580" s="989"/>
      <c r="X580" s="989"/>
      <c r="Y580" s="989"/>
      <c r="Z580" s="989"/>
      <c r="AA580" s="989"/>
      <c r="AB580" s="989"/>
      <c r="AC580" s="989"/>
      <c r="AD580" s="989"/>
      <c r="AE580" s="989"/>
    </row>
    <row r="581">
      <c r="A581" s="989"/>
      <c r="B581" s="989"/>
      <c r="C581" s="989"/>
      <c r="D581" s="989"/>
      <c r="E581" s="989"/>
      <c r="F581" s="989"/>
      <c r="G581" s="989"/>
      <c r="H581" s="992" t="str">
        <f t="shared" si="16"/>
        <v/>
      </c>
      <c r="I581" s="989"/>
      <c r="J581" s="989"/>
      <c r="K581" s="989"/>
      <c r="L581" s="989"/>
      <c r="M581" s="989"/>
      <c r="N581" s="989"/>
      <c r="O581" s="989"/>
      <c r="P581" s="989"/>
      <c r="Q581" s="989"/>
      <c r="R581" s="989"/>
      <c r="S581" s="989"/>
      <c r="T581" s="989"/>
      <c r="U581" s="989"/>
      <c r="V581" s="989"/>
      <c r="W581" s="989"/>
      <c r="X581" s="989"/>
      <c r="Y581" s="989"/>
      <c r="Z581" s="989"/>
      <c r="AA581" s="989"/>
      <c r="AB581" s="989"/>
      <c r="AC581" s="989"/>
      <c r="AD581" s="989"/>
      <c r="AE581" s="989"/>
    </row>
    <row r="582">
      <c r="A582" s="989"/>
      <c r="B582" s="989"/>
      <c r="C582" s="989"/>
      <c r="D582" s="989"/>
      <c r="E582" s="989"/>
      <c r="F582" s="989"/>
      <c r="G582" s="989"/>
      <c r="H582" s="992" t="str">
        <f t="shared" si="16"/>
        <v/>
      </c>
      <c r="I582" s="989"/>
      <c r="J582" s="989"/>
      <c r="K582" s="989"/>
      <c r="L582" s="989"/>
      <c r="M582" s="989"/>
      <c r="N582" s="989"/>
      <c r="O582" s="989"/>
      <c r="P582" s="989"/>
      <c r="Q582" s="989"/>
      <c r="R582" s="989"/>
      <c r="S582" s="989"/>
      <c r="T582" s="989"/>
      <c r="U582" s="989"/>
      <c r="V582" s="989"/>
      <c r="W582" s="989"/>
      <c r="X582" s="989"/>
      <c r="Y582" s="989"/>
      <c r="Z582" s="989"/>
      <c r="AA582" s="989"/>
      <c r="AB582" s="989"/>
      <c r="AC582" s="989"/>
      <c r="AD582" s="989"/>
      <c r="AE582" s="989"/>
    </row>
    <row r="583">
      <c r="A583" s="989"/>
      <c r="B583" s="989"/>
      <c r="C583" s="989"/>
      <c r="D583" s="989"/>
      <c r="E583" s="989"/>
      <c r="F583" s="989"/>
      <c r="G583" s="989"/>
      <c r="H583" s="992" t="str">
        <f t="shared" si="16"/>
        <v/>
      </c>
      <c r="I583" s="989"/>
      <c r="J583" s="989"/>
      <c r="K583" s="989"/>
      <c r="L583" s="989"/>
      <c r="M583" s="989"/>
      <c r="N583" s="989"/>
      <c r="O583" s="989"/>
      <c r="P583" s="989"/>
      <c r="Q583" s="989"/>
      <c r="R583" s="989"/>
      <c r="S583" s="989"/>
      <c r="T583" s="989"/>
      <c r="U583" s="989"/>
      <c r="V583" s="989"/>
      <c r="W583" s="989"/>
      <c r="X583" s="989"/>
      <c r="Y583" s="989"/>
      <c r="Z583" s="989"/>
      <c r="AA583" s="989"/>
      <c r="AB583" s="989"/>
      <c r="AC583" s="989"/>
      <c r="AD583" s="989"/>
      <c r="AE583" s="989"/>
    </row>
    <row r="584">
      <c r="A584" s="989"/>
      <c r="B584" s="989"/>
      <c r="C584" s="989"/>
      <c r="D584" s="989"/>
      <c r="E584" s="989"/>
      <c r="F584" s="989"/>
      <c r="G584" s="989"/>
      <c r="H584" s="992" t="str">
        <f t="shared" si="16"/>
        <v/>
      </c>
      <c r="I584" s="989"/>
      <c r="J584" s="989"/>
      <c r="K584" s="989"/>
      <c r="L584" s="989"/>
      <c r="M584" s="989"/>
      <c r="N584" s="989"/>
      <c r="O584" s="989"/>
      <c r="P584" s="989"/>
      <c r="Q584" s="989"/>
      <c r="R584" s="989"/>
      <c r="S584" s="989"/>
      <c r="T584" s="989"/>
      <c r="U584" s="989"/>
      <c r="V584" s="989"/>
      <c r="W584" s="989"/>
      <c r="X584" s="989"/>
      <c r="Y584" s="989"/>
      <c r="Z584" s="989"/>
      <c r="AA584" s="989"/>
      <c r="AB584" s="989"/>
      <c r="AC584" s="989"/>
      <c r="AD584" s="989"/>
      <c r="AE584" s="989"/>
    </row>
    <row r="585">
      <c r="A585" s="989"/>
      <c r="B585" s="989"/>
      <c r="C585" s="989"/>
      <c r="D585" s="989"/>
      <c r="E585" s="989"/>
      <c r="F585" s="989"/>
      <c r="G585" s="989"/>
      <c r="H585" s="992" t="str">
        <f t="shared" si="16"/>
        <v/>
      </c>
      <c r="I585" s="989"/>
      <c r="J585" s="989"/>
      <c r="K585" s="989"/>
      <c r="L585" s="989"/>
      <c r="M585" s="989"/>
      <c r="N585" s="989"/>
      <c r="O585" s="989"/>
      <c r="P585" s="989"/>
      <c r="Q585" s="989"/>
      <c r="R585" s="989"/>
      <c r="S585" s="989"/>
      <c r="T585" s="989"/>
      <c r="U585" s="989"/>
      <c r="V585" s="989"/>
      <c r="W585" s="989"/>
      <c r="X585" s="989"/>
      <c r="Y585" s="989"/>
      <c r="Z585" s="989"/>
      <c r="AA585" s="989"/>
      <c r="AB585" s="989"/>
      <c r="AC585" s="989"/>
      <c r="AD585" s="989"/>
      <c r="AE585" s="989"/>
    </row>
    <row r="586">
      <c r="A586" s="989"/>
      <c r="B586" s="989"/>
      <c r="C586" s="989"/>
      <c r="D586" s="989"/>
      <c r="E586" s="989"/>
      <c r="F586" s="989"/>
      <c r="G586" s="989"/>
      <c r="H586" s="992" t="str">
        <f t="shared" si="16"/>
        <v/>
      </c>
      <c r="I586" s="989"/>
      <c r="J586" s="989"/>
      <c r="K586" s="989"/>
      <c r="L586" s="989"/>
      <c r="M586" s="989"/>
      <c r="N586" s="989"/>
      <c r="O586" s="989"/>
      <c r="P586" s="989"/>
      <c r="Q586" s="989"/>
      <c r="R586" s="989"/>
      <c r="S586" s="989"/>
      <c r="T586" s="989"/>
      <c r="U586" s="989"/>
      <c r="V586" s="989"/>
      <c r="W586" s="989"/>
      <c r="X586" s="989"/>
      <c r="Y586" s="989"/>
      <c r="Z586" s="989"/>
      <c r="AA586" s="989"/>
      <c r="AB586" s="989"/>
      <c r="AC586" s="989"/>
      <c r="AD586" s="989"/>
      <c r="AE586" s="989"/>
    </row>
    <row r="587">
      <c r="A587" s="989"/>
      <c r="B587" s="989"/>
      <c r="C587" s="989"/>
      <c r="D587" s="989"/>
      <c r="E587" s="989"/>
      <c r="F587" s="989"/>
      <c r="G587" s="989"/>
      <c r="H587" s="992" t="str">
        <f t="shared" si="16"/>
        <v/>
      </c>
      <c r="I587" s="989"/>
      <c r="J587" s="989"/>
      <c r="K587" s="989"/>
      <c r="L587" s="989"/>
      <c r="M587" s="989"/>
      <c r="N587" s="989"/>
      <c r="O587" s="989"/>
      <c r="P587" s="989"/>
      <c r="Q587" s="989"/>
      <c r="R587" s="989"/>
      <c r="S587" s="989"/>
      <c r="T587" s="989"/>
      <c r="U587" s="989"/>
      <c r="V587" s="989"/>
      <c r="W587" s="989"/>
      <c r="X587" s="989"/>
      <c r="Y587" s="989"/>
      <c r="Z587" s="989"/>
      <c r="AA587" s="989"/>
      <c r="AB587" s="989"/>
      <c r="AC587" s="989"/>
      <c r="AD587" s="989"/>
      <c r="AE587" s="989"/>
    </row>
    <row r="588">
      <c r="A588" s="989"/>
      <c r="B588" s="989"/>
      <c r="C588" s="989"/>
      <c r="D588" s="989"/>
      <c r="E588" s="989"/>
      <c r="F588" s="989"/>
      <c r="G588" s="989"/>
      <c r="H588" s="992" t="str">
        <f t="shared" si="16"/>
        <v/>
      </c>
      <c r="I588" s="989"/>
      <c r="J588" s="989"/>
      <c r="K588" s="989"/>
      <c r="L588" s="989"/>
      <c r="M588" s="989"/>
      <c r="N588" s="989"/>
      <c r="O588" s="989"/>
      <c r="P588" s="989"/>
      <c r="Q588" s="989"/>
      <c r="R588" s="989"/>
      <c r="S588" s="989"/>
      <c r="T588" s="989"/>
      <c r="U588" s="989"/>
      <c r="V588" s="989"/>
      <c r="W588" s="989"/>
      <c r="X588" s="989"/>
      <c r="Y588" s="989"/>
      <c r="Z588" s="989"/>
      <c r="AA588" s="989"/>
      <c r="AB588" s="989"/>
      <c r="AC588" s="989"/>
      <c r="AD588" s="989"/>
      <c r="AE588" s="989"/>
    </row>
    <row r="589">
      <c r="A589" s="989"/>
      <c r="B589" s="989"/>
      <c r="C589" s="989"/>
      <c r="D589" s="989"/>
      <c r="E589" s="989"/>
      <c r="F589" s="989"/>
      <c r="G589" s="989"/>
      <c r="H589" s="992" t="str">
        <f t="shared" si="16"/>
        <v/>
      </c>
      <c r="I589" s="989"/>
      <c r="J589" s="989"/>
      <c r="K589" s="989"/>
      <c r="L589" s="989"/>
      <c r="M589" s="989"/>
      <c r="N589" s="989"/>
      <c r="O589" s="989"/>
      <c r="P589" s="989"/>
      <c r="Q589" s="989"/>
      <c r="R589" s="989"/>
      <c r="S589" s="989"/>
      <c r="T589" s="989"/>
      <c r="U589" s="989"/>
      <c r="V589" s="989"/>
      <c r="W589" s="989"/>
      <c r="X589" s="989"/>
      <c r="Y589" s="989"/>
      <c r="Z589" s="989"/>
      <c r="AA589" s="989"/>
      <c r="AB589" s="989"/>
      <c r="AC589" s="989"/>
      <c r="AD589" s="989"/>
      <c r="AE589" s="989"/>
    </row>
    <row r="590">
      <c r="A590" s="989"/>
      <c r="B590" s="989"/>
      <c r="C590" s="989"/>
      <c r="D590" s="989"/>
      <c r="E590" s="989"/>
      <c r="F590" s="989"/>
      <c r="G590" s="989"/>
      <c r="H590" s="992" t="str">
        <f t="shared" si="16"/>
        <v/>
      </c>
      <c r="I590" s="989"/>
      <c r="J590" s="989"/>
      <c r="K590" s="989"/>
      <c r="L590" s="989"/>
      <c r="M590" s="989"/>
      <c r="N590" s="989"/>
      <c r="O590" s="989"/>
      <c r="P590" s="989"/>
      <c r="Q590" s="989"/>
      <c r="R590" s="989"/>
      <c r="S590" s="989"/>
      <c r="T590" s="989"/>
      <c r="U590" s="989"/>
      <c r="V590" s="989"/>
      <c r="W590" s="989"/>
      <c r="X590" s="989"/>
      <c r="Y590" s="989"/>
      <c r="Z590" s="989"/>
      <c r="AA590" s="989"/>
      <c r="AB590" s="989"/>
      <c r="AC590" s="989"/>
      <c r="AD590" s="989"/>
      <c r="AE590" s="989"/>
    </row>
    <row r="591">
      <c r="A591" s="989"/>
      <c r="B591" s="989"/>
      <c r="C591" s="989"/>
      <c r="D591" s="989"/>
      <c r="E591" s="989"/>
      <c r="F591" s="989"/>
      <c r="G591" s="989"/>
      <c r="H591" s="992" t="str">
        <f t="shared" si="16"/>
        <v/>
      </c>
      <c r="I591" s="989"/>
      <c r="J591" s="989"/>
      <c r="K591" s="989"/>
      <c r="L591" s="989"/>
      <c r="M591" s="989"/>
      <c r="N591" s="989"/>
      <c r="O591" s="989"/>
      <c r="P591" s="989"/>
      <c r="Q591" s="989"/>
      <c r="R591" s="989"/>
      <c r="S591" s="989"/>
      <c r="T591" s="989"/>
      <c r="U591" s="989"/>
      <c r="V591" s="989"/>
      <c r="W591" s="989"/>
      <c r="X591" s="989"/>
      <c r="Y591" s="989"/>
      <c r="Z591" s="989"/>
      <c r="AA591" s="989"/>
      <c r="AB591" s="989"/>
      <c r="AC591" s="989"/>
      <c r="AD591" s="989"/>
      <c r="AE591" s="989"/>
    </row>
    <row r="592">
      <c r="A592" s="989"/>
      <c r="B592" s="989"/>
      <c r="C592" s="989"/>
      <c r="D592" s="989"/>
      <c r="E592" s="989"/>
      <c r="F592" s="989"/>
      <c r="G592" s="989"/>
      <c r="H592" s="992" t="str">
        <f t="shared" si="16"/>
        <v/>
      </c>
      <c r="I592" s="989"/>
      <c r="J592" s="989"/>
      <c r="K592" s="989"/>
      <c r="L592" s="989"/>
      <c r="M592" s="989"/>
      <c r="N592" s="989"/>
      <c r="O592" s="989"/>
      <c r="P592" s="989"/>
      <c r="Q592" s="989"/>
      <c r="R592" s="989"/>
      <c r="S592" s="989"/>
      <c r="T592" s="989"/>
      <c r="U592" s="989"/>
      <c r="V592" s="989"/>
      <c r="W592" s="989"/>
      <c r="X592" s="989"/>
      <c r="Y592" s="989"/>
      <c r="Z592" s="989"/>
      <c r="AA592" s="989"/>
      <c r="AB592" s="989"/>
      <c r="AC592" s="989"/>
      <c r="AD592" s="989"/>
      <c r="AE592" s="989"/>
    </row>
    <row r="593">
      <c r="A593" s="989"/>
      <c r="B593" s="989"/>
      <c r="C593" s="989"/>
      <c r="D593" s="989"/>
      <c r="E593" s="989"/>
      <c r="F593" s="989"/>
      <c r="G593" s="989"/>
      <c r="H593" s="992" t="str">
        <f t="shared" si="16"/>
        <v/>
      </c>
      <c r="I593" s="989"/>
      <c r="J593" s="989"/>
      <c r="K593" s="989"/>
      <c r="L593" s="989"/>
      <c r="M593" s="989"/>
      <c r="N593" s="989"/>
      <c r="O593" s="989"/>
      <c r="P593" s="989"/>
      <c r="Q593" s="989"/>
      <c r="R593" s="989"/>
      <c r="S593" s="989"/>
      <c r="T593" s="989"/>
      <c r="U593" s="989"/>
      <c r="V593" s="989"/>
      <c r="W593" s="989"/>
      <c r="X593" s="989"/>
      <c r="Y593" s="989"/>
      <c r="Z593" s="989"/>
      <c r="AA593" s="989"/>
      <c r="AB593" s="989"/>
      <c r="AC593" s="989"/>
      <c r="AD593" s="989"/>
      <c r="AE593" s="989"/>
    </row>
    <row r="594">
      <c r="A594" s="989"/>
      <c r="B594" s="989"/>
      <c r="C594" s="989"/>
      <c r="D594" s="989"/>
      <c r="E594" s="989"/>
      <c r="F594" s="989"/>
      <c r="G594" s="989"/>
      <c r="H594" s="992" t="str">
        <f t="shared" si="16"/>
        <v/>
      </c>
      <c r="I594" s="989"/>
      <c r="J594" s="989"/>
      <c r="K594" s="989"/>
      <c r="L594" s="989"/>
      <c r="M594" s="989"/>
      <c r="N594" s="989"/>
      <c r="O594" s="989"/>
      <c r="P594" s="989"/>
      <c r="Q594" s="989"/>
      <c r="R594" s="989"/>
      <c r="S594" s="989"/>
      <c r="T594" s="989"/>
      <c r="U594" s="989"/>
      <c r="V594" s="989"/>
      <c r="W594" s="989"/>
      <c r="X594" s="989"/>
      <c r="Y594" s="989"/>
      <c r="Z594" s="989"/>
      <c r="AA594" s="989"/>
      <c r="AB594" s="989"/>
      <c r="AC594" s="989"/>
      <c r="AD594" s="989"/>
      <c r="AE594" s="989"/>
    </row>
    <row r="595">
      <c r="A595" s="989"/>
      <c r="B595" s="989"/>
      <c r="C595" s="989"/>
      <c r="D595" s="989"/>
      <c r="E595" s="989"/>
      <c r="F595" s="989"/>
      <c r="G595" s="989"/>
      <c r="H595" s="992" t="str">
        <f t="shared" si="16"/>
        <v/>
      </c>
      <c r="I595" s="989"/>
      <c r="J595" s="989"/>
      <c r="K595" s="989"/>
      <c r="L595" s="989"/>
      <c r="M595" s="989"/>
      <c r="N595" s="989"/>
      <c r="O595" s="989"/>
      <c r="P595" s="989"/>
      <c r="Q595" s="989"/>
      <c r="R595" s="989"/>
      <c r="S595" s="989"/>
      <c r="T595" s="989"/>
      <c r="U595" s="989"/>
      <c r="V595" s="989"/>
      <c r="W595" s="989"/>
      <c r="X595" s="989"/>
      <c r="Y595" s="989"/>
      <c r="Z595" s="989"/>
      <c r="AA595" s="989"/>
      <c r="AB595" s="989"/>
      <c r="AC595" s="989"/>
      <c r="AD595" s="989"/>
      <c r="AE595" s="989"/>
    </row>
    <row r="596">
      <c r="A596" s="989"/>
      <c r="B596" s="989"/>
      <c r="C596" s="989"/>
      <c r="D596" s="989"/>
      <c r="E596" s="989"/>
      <c r="F596" s="989"/>
      <c r="G596" s="989"/>
      <c r="H596" s="992" t="str">
        <f t="shared" si="16"/>
        <v/>
      </c>
      <c r="I596" s="989"/>
      <c r="J596" s="989"/>
      <c r="K596" s="989"/>
      <c r="L596" s="989"/>
      <c r="M596" s="989"/>
      <c r="N596" s="989"/>
      <c r="O596" s="989"/>
      <c r="P596" s="989"/>
      <c r="Q596" s="989"/>
      <c r="R596" s="989"/>
      <c r="S596" s="989"/>
      <c r="T596" s="989"/>
      <c r="U596" s="989"/>
      <c r="V596" s="989"/>
      <c r="W596" s="989"/>
      <c r="X596" s="989"/>
      <c r="Y596" s="989"/>
      <c r="Z596" s="989"/>
      <c r="AA596" s="989"/>
      <c r="AB596" s="989"/>
      <c r="AC596" s="989"/>
      <c r="AD596" s="989"/>
      <c r="AE596" s="989"/>
    </row>
    <row r="597">
      <c r="A597" s="989"/>
      <c r="B597" s="989"/>
      <c r="C597" s="989"/>
      <c r="D597" s="989"/>
      <c r="E597" s="989"/>
      <c r="F597" s="989"/>
      <c r="G597" s="989"/>
      <c r="H597" s="992" t="str">
        <f t="shared" si="16"/>
        <v/>
      </c>
      <c r="I597" s="989"/>
      <c r="J597" s="989"/>
      <c r="K597" s="989"/>
      <c r="L597" s="989"/>
      <c r="M597" s="989"/>
      <c r="N597" s="989"/>
      <c r="O597" s="989"/>
      <c r="P597" s="989"/>
      <c r="Q597" s="989"/>
      <c r="R597" s="989"/>
      <c r="S597" s="989"/>
      <c r="T597" s="989"/>
      <c r="U597" s="989"/>
      <c r="V597" s="989"/>
      <c r="W597" s="989"/>
      <c r="X597" s="989"/>
      <c r="Y597" s="989"/>
      <c r="Z597" s="989"/>
      <c r="AA597" s="989"/>
      <c r="AB597" s="989"/>
      <c r="AC597" s="989"/>
      <c r="AD597" s="989"/>
      <c r="AE597" s="989"/>
    </row>
    <row r="598">
      <c r="A598" s="989"/>
      <c r="B598" s="989"/>
      <c r="C598" s="989"/>
      <c r="D598" s="989"/>
      <c r="E598" s="989"/>
      <c r="F598" s="989"/>
      <c r="G598" s="989"/>
      <c r="H598" s="992" t="str">
        <f t="shared" si="16"/>
        <v/>
      </c>
      <c r="I598" s="989"/>
      <c r="J598" s="989"/>
      <c r="K598" s="989"/>
      <c r="L598" s="989"/>
      <c r="M598" s="989"/>
      <c r="N598" s="989"/>
      <c r="O598" s="989"/>
      <c r="P598" s="989"/>
      <c r="Q598" s="989"/>
      <c r="R598" s="989"/>
      <c r="S598" s="989"/>
      <c r="T598" s="989"/>
      <c r="U598" s="989"/>
      <c r="V598" s="989"/>
      <c r="W598" s="989"/>
      <c r="X598" s="989"/>
      <c r="Y598" s="989"/>
      <c r="Z598" s="989"/>
      <c r="AA598" s="989"/>
      <c r="AB598" s="989"/>
      <c r="AC598" s="989"/>
      <c r="AD598" s="989"/>
      <c r="AE598" s="989"/>
    </row>
    <row r="599">
      <c r="A599" s="989"/>
      <c r="B599" s="989"/>
      <c r="C599" s="989"/>
      <c r="D599" s="989"/>
      <c r="E599" s="989"/>
      <c r="F599" s="989"/>
      <c r="G599" s="989"/>
      <c r="H599" s="992" t="str">
        <f t="shared" si="16"/>
        <v/>
      </c>
      <c r="I599" s="989"/>
      <c r="J599" s="989"/>
      <c r="K599" s="989"/>
      <c r="L599" s="989"/>
      <c r="M599" s="989"/>
      <c r="N599" s="989"/>
      <c r="O599" s="989"/>
      <c r="P599" s="989"/>
      <c r="Q599" s="989"/>
      <c r="R599" s="989"/>
      <c r="S599" s="989"/>
      <c r="T599" s="989"/>
      <c r="U599" s="989"/>
      <c r="V599" s="989"/>
      <c r="W599" s="989"/>
      <c r="X599" s="989"/>
      <c r="Y599" s="989"/>
      <c r="Z599" s="989"/>
      <c r="AA599" s="989"/>
      <c r="AB599" s="989"/>
      <c r="AC599" s="989"/>
      <c r="AD599" s="989"/>
      <c r="AE599" s="989"/>
    </row>
    <row r="600">
      <c r="A600" s="989"/>
      <c r="B600" s="989"/>
      <c r="C600" s="989"/>
      <c r="D600" s="989"/>
      <c r="E600" s="989"/>
      <c r="F600" s="989"/>
      <c r="G600" s="989"/>
      <c r="H600" s="992" t="str">
        <f t="shared" si="16"/>
        <v/>
      </c>
      <c r="I600" s="989"/>
      <c r="J600" s="989"/>
      <c r="K600" s="989"/>
      <c r="L600" s="989"/>
      <c r="M600" s="989"/>
      <c r="N600" s="989"/>
      <c r="O600" s="989"/>
      <c r="P600" s="989"/>
      <c r="Q600" s="989"/>
      <c r="R600" s="989"/>
      <c r="S600" s="989"/>
      <c r="T600" s="989"/>
      <c r="U600" s="989"/>
      <c r="V600" s="989"/>
      <c r="W600" s="989"/>
      <c r="X600" s="989"/>
      <c r="Y600" s="989"/>
      <c r="Z600" s="989"/>
      <c r="AA600" s="989"/>
      <c r="AB600" s="989"/>
      <c r="AC600" s="989"/>
      <c r="AD600" s="989"/>
      <c r="AE600" s="989"/>
    </row>
    <row r="601">
      <c r="A601" s="989"/>
      <c r="B601" s="989"/>
      <c r="C601" s="989"/>
      <c r="D601" s="989"/>
      <c r="E601" s="989"/>
      <c r="F601" s="989"/>
      <c r="G601" s="989"/>
      <c r="H601" s="992" t="str">
        <f t="shared" si="16"/>
        <v/>
      </c>
      <c r="I601" s="989"/>
      <c r="J601" s="989"/>
      <c r="K601" s="989"/>
      <c r="L601" s="989"/>
      <c r="M601" s="989"/>
      <c r="N601" s="989"/>
      <c r="O601" s="989"/>
      <c r="P601" s="989"/>
      <c r="Q601" s="989"/>
      <c r="R601" s="989"/>
      <c r="S601" s="989"/>
      <c r="T601" s="989"/>
      <c r="U601" s="989"/>
      <c r="V601" s="989"/>
      <c r="W601" s="989"/>
      <c r="X601" s="989"/>
      <c r="Y601" s="989"/>
      <c r="Z601" s="989"/>
      <c r="AA601" s="989"/>
      <c r="AB601" s="989"/>
      <c r="AC601" s="989"/>
      <c r="AD601" s="989"/>
      <c r="AE601" s="989"/>
    </row>
    <row r="602">
      <c r="A602" s="989"/>
      <c r="B602" s="989"/>
      <c r="C602" s="989"/>
      <c r="D602" s="989"/>
      <c r="E602" s="989"/>
      <c r="F602" s="989"/>
      <c r="G602" s="989"/>
      <c r="H602" s="992" t="str">
        <f t="shared" si="16"/>
        <v/>
      </c>
      <c r="I602" s="989"/>
      <c r="J602" s="989"/>
      <c r="K602" s="989"/>
      <c r="L602" s="989"/>
      <c r="M602" s="989"/>
      <c r="N602" s="989"/>
      <c r="O602" s="989"/>
      <c r="P602" s="989"/>
      <c r="Q602" s="989"/>
      <c r="R602" s="989"/>
      <c r="S602" s="989"/>
      <c r="T602" s="989"/>
      <c r="U602" s="989"/>
      <c r="V602" s="989"/>
      <c r="W602" s="989"/>
      <c r="X602" s="989"/>
      <c r="Y602" s="989"/>
      <c r="Z602" s="989"/>
      <c r="AA602" s="989"/>
      <c r="AB602" s="989"/>
      <c r="AC602" s="989"/>
      <c r="AD602" s="989"/>
      <c r="AE602" s="989"/>
    </row>
    <row r="603">
      <c r="A603" s="989"/>
      <c r="B603" s="989"/>
      <c r="C603" s="989"/>
      <c r="D603" s="989"/>
      <c r="E603" s="989"/>
      <c r="F603" s="989"/>
      <c r="G603" s="989"/>
      <c r="H603" s="992" t="str">
        <f t="shared" si="16"/>
        <v/>
      </c>
      <c r="I603" s="989"/>
      <c r="J603" s="989"/>
      <c r="K603" s="989"/>
      <c r="L603" s="989"/>
      <c r="M603" s="989"/>
      <c r="N603" s="989"/>
      <c r="O603" s="989"/>
      <c r="P603" s="989"/>
      <c r="Q603" s="989"/>
      <c r="R603" s="989"/>
      <c r="S603" s="989"/>
      <c r="T603" s="989"/>
      <c r="U603" s="989"/>
      <c r="V603" s="989"/>
      <c r="W603" s="989"/>
      <c r="X603" s="989"/>
      <c r="Y603" s="989"/>
      <c r="Z603" s="989"/>
      <c r="AA603" s="989"/>
      <c r="AB603" s="989"/>
      <c r="AC603" s="989"/>
      <c r="AD603" s="989"/>
      <c r="AE603" s="989"/>
    </row>
    <row r="604">
      <c r="A604" s="989"/>
      <c r="B604" s="989"/>
      <c r="C604" s="989"/>
      <c r="D604" s="989"/>
      <c r="E604" s="989"/>
      <c r="F604" s="989"/>
      <c r="G604" s="989"/>
      <c r="H604" s="992" t="str">
        <f t="shared" si="16"/>
        <v/>
      </c>
      <c r="I604" s="989"/>
      <c r="J604" s="989"/>
      <c r="K604" s="989"/>
      <c r="L604" s="989"/>
      <c r="M604" s="989"/>
      <c r="N604" s="989"/>
      <c r="O604" s="989"/>
      <c r="P604" s="989"/>
      <c r="Q604" s="989"/>
      <c r="R604" s="989"/>
      <c r="S604" s="989"/>
      <c r="T604" s="989"/>
      <c r="U604" s="989"/>
      <c r="V604" s="989"/>
      <c r="W604" s="989"/>
      <c r="X604" s="989"/>
      <c r="Y604" s="989"/>
      <c r="Z604" s="989"/>
      <c r="AA604" s="989"/>
      <c r="AB604" s="989"/>
      <c r="AC604" s="989"/>
      <c r="AD604" s="989"/>
      <c r="AE604" s="989"/>
    </row>
    <row r="605">
      <c r="A605" s="989"/>
      <c r="B605" s="989"/>
      <c r="C605" s="989"/>
      <c r="D605" s="989"/>
      <c r="E605" s="989"/>
      <c r="F605" s="989"/>
      <c r="G605" s="989"/>
      <c r="H605" s="992" t="str">
        <f t="shared" si="16"/>
        <v/>
      </c>
      <c r="I605" s="989"/>
      <c r="J605" s="989"/>
      <c r="K605" s="989"/>
      <c r="L605" s="989"/>
      <c r="M605" s="989"/>
      <c r="N605" s="989"/>
      <c r="O605" s="989"/>
      <c r="P605" s="989"/>
      <c r="Q605" s="989"/>
      <c r="R605" s="989"/>
      <c r="S605" s="989"/>
      <c r="T605" s="989"/>
      <c r="U605" s="989"/>
      <c r="V605" s="989"/>
      <c r="W605" s="989"/>
      <c r="X605" s="989"/>
      <c r="Y605" s="989"/>
      <c r="Z605" s="989"/>
      <c r="AA605" s="989"/>
      <c r="AB605" s="989"/>
      <c r="AC605" s="989"/>
      <c r="AD605" s="989"/>
      <c r="AE605" s="989"/>
    </row>
    <row r="606">
      <c r="A606" s="989"/>
      <c r="B606" s="989"/>
      <c r="C606" s="989"/>
      <c r="D606" s="989"/>
      <c r="E606" s="989"/>
      <c r="F606" s="989"/>
      <c r="G606" s="989"/>
      <c r="H606" s="992" t="str">
        <f t="shared" si="16"/>
        <v/>
      </c>
      <c r="I606" s="989"/>
      <c r="J606" s="989"/>
      <c r="K606" s="989"/>
      <c r="L606" s="989"/>
      <c r="M606" s="989"/>
      <c r="N606" s="989"/>
      <c r="O606" s="989"/>
      <c r="P606" s="989"/>
      <c r="Q606" s="989"/>
      <c r="R606" s="989"/>
      <c r="S606" s="989"/>
      <c r="T606" s="989"/>
      <c r="U606" s="989"/>
      <c r="V606" s="989"/>
      <c r="W606" s="989"/>
      <c r="X606" s="989"/>
      <c r="Y606" s="989"/>
      <c r="Z606" s="989"/>
      <c r="AA606" s="989"/>
      <c r="AB606" s="989"/>
      <c r="AC606" s="989"/>
      <c r="AD606" s="989"/>
      <c r="AE606" s="989"/>
    </row>
    <row r="607">
      <c r="A607" s="989"/>
      <c r="B607" s="989"/>
      <c r="C607" s="989"/>
      <c r="D607" s="989"/>
      <c r="E607" s="989"/>
      <c r="F607" s="989"/>
      <c r="G607" s="989"/>
      <c r="H607" s="992" t="str">
        <f t="shared" si="16"/>
        <v/>
      </c>
      <c r="I607" s="989"/>
      <c r="J607" s="989"/>
      <c r="K607" s="989"/>
      <c r="L607" s="989"/>
      <c r="M607" s="989"/>
      <c r="N607" s="989"/>
      <c r="O607" s="989"/>
      <c r="P607" s="989"/>
      <c r="Q607" s="989"/>
      <c r="R607" s="989"/>
      <c r="S607" s="989"/>
      <c r="T607" s="989"/>
      <c r="U607" s="989"/>
      <c r="V607" s="989"/>
      <c r="W607" s="989"/>
      <c r="X607" s="989"/>
      <c r="Y607" s="989"/>
      <c r="Z607" s="989"/>
      <c r="AA607" s="989"/>
      <c r="AB607" s="989"/>
      <c r="AC607" s="989"/>
      <c r="AD607" s="989"/>
      <c r="AE607" s="989"/>
    </row>
    <row r="608">
      <c r="A608" s="989"/>
      <c r="B608" s="989"/>
      <c r="C608" s="989"/>
      <c r="D608" s="989"/>
      <c r="E608" s="989"/>
      <c r="F608" s="989"/>
      <c r="G608" s="989"/>
      <c r="H608" s="992" t="str">
        <f t="shared" si="16"/>
        <v/>
      </c>
      <c r="I608" s="989"/>
      <c r="J608" s="989"/>
      <c r="K608" s="989"/>
      <c r="L608" s="989"/>
      <c r="M608" s="989"/>
      <c r="N608" s="989"/>
      <c r="O608" s="989"/>
      <c r="P608" s="989"/>
      <c r="Q608" s="989"/>
      <c r="R608" s="989"/>
      <c r="S608" s="989"/>
      <c r="T608" s="989"/>
      <c r="U608" s="989"/>
      <c r="V608" s="989"/>
      <c r="W608" s="989"/>
      <c r="X608" s="989"/>
      <c r="Y608" s="989"/>
      <c r="Z608" s="989"/>
      <c r="AA608" s="989"/>
      <c r="AB608" s="989"/>
      <c r="AC608" s="989"/>
      <c r="AD608" s="989"/>
      <c r="AE608" s="989"/>
    </row>
    <row r="609">
      <c r="A609" s="989"/>
      <c r="B609" s="989"/>
      <c r="C609" s="989"/>
      <c r="D609" s="989"/>
      <c r="E609" s="989"/>
      <c r="F609" s="989"/>
      <c r="G609" s="989"/>
      <c r="H609" s="992" t="str">
        <f t="shared" si="16"/>
        <v/>
      </c>
      <c r="I609" s="989"/>
      <c r="J609" s="989"/>
      <c r="K609" s="989"/>
      <c r="L609" s="989"/>
      <c r="M609" s="989"/>
      <c r="N609" s="989"/>
      <c r="O609" s="989"/>
      <c r="P609" s="989"/>
      <c r="Q609" s="989"/>
      <c r="R609" s="989"/>
      <c r="S609" s="989"/>
      <c r="T609" s="989"/>
      <c r="U609" s="989"/>
      <c r="V609" s="989"/>
      <c r="W609" s="989"/>
      <c r="X609" s="989"/>
      <c r="Y609" s="989"/>
      <c r="Z609" s="989"/>
      <c r="AA609" s="989"/>
      <c r="AB609" s="989"/>
      <c r="AC609" s="989"/>
      <c r="AD609" s="989"/>
      <c r="AE609" s="989"/>
    </row>
    <row r="610">
      <c r="A610" s="989"/>
      <c r="B610" s="989"/>
      <c r="C610" s="989"/>
      <c r="D610" s="989"/>
      <c r="E610" s="989"/>
      <c r="F610" s="989"/>
      <c r="G610" s="989"/>
      <c r="H610" s="992" t="str">
        <f t="shared" si="16"/>
        <v/>
      </c>
      <c r="I610" s="989"/>
      <c r="J610" s="989"/>
      <c r="K610" s="989"/>
      <c r="L610" s="989"/>
      <c r="M610" s="989"/>
      <c r="N610" s="989"/>
      <c r="O610" s="989"/>
      <c r="P610" s="989"/>
      <c r="Q610" s="989"/>
      <c r="R610" s="989"/>
      <c r="S610" s="989"/>
      <c r="T610" s="989"/>
      <c r="U610" s="989"/>
      <c r="V610" s="989"/>
      <c r="W610" s="989"/>
      <c r="X610" s="989"/>
      <c r="Y610" s="989"/>
      <c r="Z610" s="989"/>
      <c r="AA610" s="989"/>
      <c r="AB610" s="989"/>
      <c r="AC610" s="989"/>
      <c r="AD610" s="989"/>
      <c r="AE610" s="989"/>
    </row>
    <row r="611">
      <c r="A611" s="989"/>
      <c r="B611" s="989"/>
      <c r="C611" s="989"/>
      <c r="D611" s="989"/>
      <c r="E611" s="989"/>
      <c r="F611" s="989"/>
      <c r="G611" s="989"/>
      <c r="H611" s="992" t="str">
        <f t="shared" si="16"/>
        <v/>
      </c>
      <c r="I611" s="989"/>
      <c r="J611" s="989"/>
      <c r="K611" s="989"/>
      <c r="L611" s="989"/>
      <c r="M611" s="989"/>
      <c r="N611" s="989"/>
      <c r="O611" s="989"/>
      <c r="P611" s="989"/>
      <c r="Q611" s="989"/>
      <c r="R611" s="989"/>
      <c r="S611" s="989"/>
      <c r="T611" s="989"/>
      <c r="U611" s="989"/>
      <c r="V611" s="989"/>
      <c r="W611" s="989"/>
      <c r="X611" s="989"/>
      <c r="Y611" s="989"/>
      <c r="Z611" s="989"/>
      <c r="AA611" s="989"/>
      <c r="AB611" s="989"/>
      <c r="AC611" s="989"/>
      <c r="AD611" s="989"/>
      <c r="AE611" s="989"/>
    </row>
    <row r="612">
      <c r="A612" s="989"/>
      <c r="B612" s="989"/>
      <c r="C612" s="989"/>
      <c r="D612" s="989"/>
      <c r="E612" s="989"/>
      <c r="F612" s="989"/>
      <c r="G612" s="989"/>
      <c r="H612" s="992" t="str">
        <f t="shared" si="16"/>
        <v/>
      </c>
      <c r="I612" s="989"/>
      <c r="J612" s="989"/>
      <c r="K612" s="989"/>
      <c r="L612" s="989"/>
      <c r="M612" s="989"/>
      <c r="N612" s="989"/>
      <c r="O612" s="989"/>
      <c r="P612" s="989"/>
      <c r="Q612" s="989"/>
      <c r="R612" s="989"/>
      <c r="S612" s="989"/>
      <c r="T612" s="989"/>
      <c r="U612" s="989"/>
      <c r="V612" s="989"/>
      <c r="W612" s="989"/>
      <c r="X612" s="989"/>
      <c r="Y612" s="989"/>
      <c r="Z612" s="989"/>
      <c r="AA612" s="989"/>
      <c r="AB612" s="989"/>
      <c r="AC612" s="989"/>
      <c r="AD612" s="989"/>
      <c r="AE612" s="989"/>
    </row>
    <row r="613">
      <c r="A613" s="989"/>
      <c r="B613" s="989"/>
      <c r="C613" s="989"/>
      <c r="D613" s="989"/>
      <c r="E613" s="989"/>
      <c r="F613" s="989"/>
      <c r="G613" s="989"/>
      <c r="H613" s="992" t="str">
        <f t="shared" si="16"/>
        <v/>
      </c>
      <c r="I613" s="989"/>
      <c r="J613" s="989"/>
      <c r="K613" s="989"/>
      <c r="L613" s="989"/>
      <c r="M613" s="989"/>
      <c r="N613" s="989"/>
      <c r="O613" s="989"/>
      <c r="P613" s="989"/>
      <c r="Q613" s="989"/>
      <c r="R613" s="989"/>
      <c r="S613" s="989"/>
      <c r="T613" s="989"/>
      <c r="U613" s="989"/>
      <c r="V613" s="989"/>
      <c r="W613" s="989"/>
      <c r="X613" s="989"/>
      <c r="Y613" s="989"/>
      <c r="Z613" s="989"/>
      <c r="AA613" s="989"/>
      <c r="AB613" s="989"/>
      <c r="AC613" s="989"/>
      <c r="AD613" s="989"/>
      <c r="AE613" s="989"/>
    </row>
    <row r="614">
      <c r="A614" s="989"/>
      <c r="B614" s="989"/>
      <c r="C614" s="989"/>
      <c r="D614" s="989"/>
      <c r="E614" s="989"/>
      <c r="F614" s="989"/>
      <c r="G614" s="989"/>
      <c r="H614" s="992" t="str">
        <f t="shared" si="16"/>
        <v/>
      </c>
      <c r="I614" s="989"/>
      <c r="J614" s="989"/>
      <c r="K614" s="989"/>
      <c r="L614" s="989"/>
      <c r="M614" s="989"/>
      <c r="N614" s="989"/>
      <c r="O614" s="989"/>
      <c r="P614" s="989"/>
      <c r="Q614" s="989"/>
      <c r="R614" s="989"/>
      <c r="S614" s="989"/>
      <c r="T614" s="989"/>
      <c r="U614" s="989"/>
      <c r="V614" s="989"/>
      <c r="W614" s="989"/>
      <c r="X614" s="989"/>
      <c r="Y614" s="989"/>
      <c r="Z614" s="989"/>
      <c r="AA614" s="989"/>
      <c r="AB614" s="989"/>
      <c r="AC614" s="989"/>
      <c r="AD614" s="989"/>
      <c r="AE614" s="989"/>
    </row>
    <row r="615">
      <c r="A615" s="989"/>
      <c r="B615" s="989"/>
      <c r="C615" s="989"/>
      <c r="D615" s="989"/>
      <c r="E615" s="989"/>
      <c r="F615" s="989"/>
      <c r="G615" s="989"/>
      <c r="H615" s="992" t="str">
        <f t="shared" si="16"/>
        <v/>
      </c>
      <c r="I615" s="989"/>
      <c r="J615" s="989"/>
      <c r="K615" s="989"/>
      <c r="L615" s="989"/>
      <c r="M615" s="989"/>
      <c r="N615" s="989"/>
      <c r="O615" s="989"/>
      <c r="P615" s="989"/>
      <c r="Q615" s="989"/>
      <c r="R615" s="989"/>
      <c r="S615" s="989"/>
      <c r="T615" s="989"/>
      <c r="U615" s="989"/>
      <c r="V615" s="989"/>
      <c r="W615" s="989"/>
      <c r="X615" s="989"/>
      <c r="Y615" s="989"/>
      <c r="Z615" s="989"/>
      <c r="AA615" s="989"/>
      <c r="AB615" s="989"/>
      <c r="AC615" s="989"/>
      <c r="AD615" s="989"/>
      <c r="AE615" s="989"/>
    </row>
    <row r="616">
      <c r="A616" s="989"/>
      <c r="B616" s="989"/>
      <c r="C616" s="989"/>
      <c r="D616" s="989"/>
      <c r="E616" s="989"/>
      <c r="F616" s="989"/>
      <c r="G616" s="989"/>
      <c r="H616" s="992" t="str">
        <f t="shared" si="16"/>
        <v/>
      </c>
      <c r="I616" s="989"/>
      <c r="J616" s="989"/>
      <c r="K616" s="989"/>
      <c r="L616" s="989"/>
      <c r="M616" s="989"/>
      <c r="N616" s="989"/>
      <c r="O616" s="989"/>
      <c r="P616" s="989"/>
      <c r="Q616" s="989"/>
      <c r="R616" s="989"/>
      <c r="S616" s="989"/>
      <c r="T616" s="989"/>
      <c r="U616" s="989"/>
      <c r="V616" s="989"/>
      <c r="W616" s="989"/>
      <c r="X616" s="989"/>
      <c r="Y616" s="989"/>
      <c r="Z616" s="989"/>
      <c r="AA616" s="989"/>
      <c r="AB616" s="989"/>
      <c r="AC616" s="989"/>
      <c r="AD616" s="989"/>
      <c r="AE616" s="989"/>
    </row>
    <row r="617">
      <c r="A617" s="989"/>
      <c r="B617" s="989"/>
      <c r="C617" s="989"/>
      <c r="D617" s="989"/>
      <c r="E617" s="989"/>
      <c r="F617" s="989"/>
      <c r="G617" s="989"/>
      <c r="H617" s="992" t="str">
        <f t="shared" si="16"/>
        <v/>
      </c>
      <c r="I617" s="989"/>
      <c r="J617" s="989"/>
      <c r="K617" s="989"/>
      <c r="L617" s="989"/>
      <c r="M617" s="989"/>
      <c r="N617" s="989"/>
      <c r="O617" s="989"/>
      <c r="P617" s="989"/>
      <c r="Q617" s="989"/>
      <c r="R617" s="989"/>
      <c r="S617" s="989"/>
      <c r="T617" s="989"/>
      <c r="U617" s="989"/>
      <c r="V617" s="989"/>
      <c r="W617" s="989"/>
      <c r="X617" s="989"/>
      <c r="Y617" s="989"/>
      <c r="Z617" s="989"/>
      <c r="AA617" s="989"/>
      <c r="AB617" s="989"/>
      <c r="AC617" s="989"/>
      <c r="AD617" s="989"/>
      <c r="AE617" s="989"/>
    </row>
    <row r="618">
      <c r="A618" s="989"/>
      <c r="B618" s="989"/>
      <c r="C618" s="989"/>
      <c r="D618" s="989"/>
      <c r="E618" s="989"/>
      <c r="F618" s="989"/>
      <c r="G618" s="989"/>
      <c r="H618" s="992" t="str">
        <f t="shared" si="16"/>
        <v/>
      </c>
      <c r="I618" s="989"/>
      <c r="J618" s="989"/>
      <c r="K618" s="989"/>
      <c r="L618" s="989"/>
      <c r="M618" s="989"/>
      <c r="N618" s="989"/>
      <c r="O618" s="989"/>
      <c r="P618" s="989"/>
      <c r="Q618" s="989"/>
      <c r="R618" s="989"/>
      <c r="S618" s="989"/>
      <c r="T618" s="989"/>
      <c r="U618" s="989"/>
      <c r="V618" s="989"/>
      <c r="W618" s="989"/>
      <c r="X618" s="989"/>
      <c r="Y618" s="989"/>
      <c r="Z618" s="989"/>
      <c r="AA618" s="989"/>
      <c r="AB618" s="989"/>
      <c r="AC618" s="989"/>
      <c r="AD618" s="989"/>
      <c r="AE618" s="989"/>
    </row>
    <row r="619">
      <c r="A619" s="989"/>
      <c r="B619" s="989"/>
      <c r="C619" s="989"/>
      <c r="D619" s="989"/>
      <c r="E619" s="989"/>
      <c r="F619" s="989"/>
      <c r="G619" s="989"/>
      <c r="H619" s="992" t="str">
        <f t="shared" si="16"/>
        <v/>
      </c>
      <c r="I619" s="989"/>
      <c r="J619" s="989"/>
      <c r="K619" s="989"/>
      <c r="L619" s="989"/>
      <c r="M619" s="989"/>
      <c r="N619" s="989"/>
      <c r="O619" s="989"/>
      <c r="P619" s="989"/>
      <c r="Q619" s="989"/>
      <c r="R619" s="989"/>
      <c r="S619" s="989"/>
      <c r="T619" s="989"/>
      <c r="U619" s="989"/>
      <c r="V619" s="989"/>
      <c r="W619" s="989"/>
      <c r="X619" s="989"/>
      <c r="Y619" s="989"/>
      <c r="Z619" s="989"/>
      <c r="AA619" s="989"/>
      <c r="AB619" s="989"/>
      <c r="AC619" s="989"/>
      <c r="AD619" s="989"/>
      <c r="AE619" s="989"/>
    </row>
    <row r="620">
      <c r="A620" s="989"/>
      <c r="B620" s="989"/>
      <c r="C620" s="989"/>
      <c r="D620" s="989"/>
      <c r="E620" s="989"/>
      <c r="F620" s="989"/>
      <c r="G620" s="989"/>
      <c r="H620" s="992" t="str">
        <f t="shared" si="16"/>
        <v/>
      </c>
      <c r="I620" s="989"/>
      <c r="J620" s="989"/>
      <c r="K620" s="989"/>
      <c r="L620" s="989"/>
      <c r="M620" s="989"/>
      <c r="N620" s="989"/>
      <c r="O620" s="989"/>
      <c r="P620" s="989"/>
      <c r="Q620" s="989"/>
      <c r="R620" s="989"/>
      <c r="S620" s="989"/>
      <c r="T620" s="989"/>
      <c r="U620" s="989"/>
      <c r="V620" s="989"/>
      <c r="W620" s="989"/>
      <c r="X620" s="989"/>
      <c r="Y620" s="989"/>
      <c r="Z620" s="989"/>
      <c r="AA620" s="989"/>
      <c r="AB620" s="989"/>
      <c r="AC620" s="989"/>
      <c r="AD620" s="989"/>
      <c r="AE620" s="989"/>
    </row>
    <row r="621">
      <c r="A621" s="989"/>
      <c r="B621" s="989"/>
      <c r="C621" s="989"/>
      <c r="D621" s="989"/>
      <c r="E621" s="989"/>
      <c r="F621" s="989"/>
      <c r="G621" s="989"/>
      <c r="H621" s="992" t="str">
        <f t="shared" si="16"/>
        <v/>
      </c>
      <c r="I621" s="989"/>
      <c r="J621" s="989"/>
      <c r="K621" s="989"/>
      <c r="L621" s="989"/>
      <c r="M621" s="989"/>
      <c r="N621" s="989"/>
      <c r="O621" s="989"/>
      <c r="P621" s="989"/>
      <c r="Q621" s="989"/>
      <c r="R621" s="989"/>
      <c r="S621" s="989"/>
      <c r="T621" s="989"/>
      <c r="U621" s="989"/>
      <c r="V621" s="989"/>
      <c r="W621" s="989"/>
      <c r="X621" s="989"/>
      <c r="Y621" s="989"/>
      <c r="Z621" s="989"/>
      <c r="AA621" s="989"/>
      <c r="AB621" s="989"/>
      <c r="AC621" s="989"/>
      <c r="AD621" s="989"/>
      <c r="AE621" s="989"/>
    </row>
    <row r="622">
      <c r="A622" s="989"/>
      <c r="B622" s="989"/>
      <c r="C622" s="989"/>
      <c r="D622" s="989"/>
      <c r="E622" s="989"/>
      <c r="F622" s="989"/>
      <c r="G622" s="989"/>
      <c r="H622" s="992" t="str">
        <f t="shared" si="16"/>
        <v/>
      </c>
      <c r="I622" s="989"/>
      <c r="J622" s="989"/>
      <c r="K622" s="989"/>
      <c r="L622" s="989"/>
      <c r="M622" s="989"/>
      <c r="N622" s="989"/>
      <c r="O622" s="989"/>
      <c r="P622" s="989"/>
      <c r="Q622" s="989"/>
      <c r="R622" s="989"/>
      <c r="S622" s="989"/>
      <c r="T622" s="989"/>
      <c r="U622" s="989"/>
      <c r="V622" s="989"/>
      <c r="W622" s="989"/>
      <c r="X622" s="989"/>
      <c r="Y622" s="989"/>
      <c r="Z622" s="989"/>
      <c r="AA622" s="989"/>
      <c r="AB622" s="989"/>
      <c r="AC622" s="989"/>
      <c r="AD622" s="989"/>
      <c r="AE622" s="989"/>
    </row>
    <row r="623">
      <c r="A623" s="989"/>
      <c r="B623" s="989"/>
      <c r="C623" s="989"/>
      <c r="D623" s="989"/>
      <c r="E623" s="989"/>
      <c r="F623" s="989"/>
      <c r="G623" s="989"/>
      <c r="H623" s="992" t="str">
        <f t="shared" si="16"/>
        <v/>
      </c>
      <c r="I623" s="989"/>
      <c r="J623" s="989"/>
      <c r="K623" s="989"/>
      <c r="L623" s="989"/>
      <c r="M623" s="989"/>
      <c r="N623" s="989"/>
      <c r="O623" s="989"/>
      <c r="P623" s="989"/>
      <c r="Q623" s="989"/>
      <c r="R623" s="989"/>
      <c r="S623" s="989"/>
      <c r="T623" s="989"/>
      <c r="U623" s="989"/>
      <c r="V623" s="989"/>
      <c r="W623" s="989"/>
      <c r="X623" s="989"/>
      <c r="Y623" s="989"/>
      <c r="Z623" s="989"/>
      <c r="AA623" s="989"/>
      <c r="AB623" s="989"/>
      <c r="AC623" s="989"/>
      <c r="AD623" s="989"/>
      <c r="AE623" s="989"/>
    </row>
    <row r="624">
      <c r="A624" s="989"/>
      <c r="B624" s="989"/>
      <c r="C624" s="989"/>
      <c r="D624" s="989"/>
      <c r="E624" s="989"/>
      <c r="F624" s="989"/>
      <c r="G624" s="989"/>
      <c r="H624" s="992" t="str">
        <f t="shared" si="16"/>
        <v/>
      </c>
      <c r="I624" s="989"/>
      <c r="J624" s="989"/>
      <c r="K624" s="989"/>
      <c r="L624" s="989"/>
      <c r="M624" s="989"/>
      <c r="N624" s="989"/>
      <c r="O624" s="989"/>
      <c r="P624" s="989"/>
      <c r="Q624" s="989"/>
      <c r="R624" s="989"/>
      <c r="S624" s="989"/>
      <c r="T624" s="989"/>
      <c r="U624" s="989"/>
      <c r="V624" s="989"/>
      <c r="W624" s="989"/>
      <c r="X624" s="989"/>
      <c r="Y624" s="989"/>
      <c r="Z624" s="989"/>
      <c r="AA624" s="989"/>
      <c r="AB624" s="989"/>
      <c r="AC624" s="989"/>
      <c r="AD624" s="989"/>
      <c r="AE624" s="989"/>
    </row>
    <row r="625">
      <c r="A625" s="989"/>
      <c r="B625" s="989"/>
      <c r="C625" s="989"/>
      <c r="D625" s="989"/>
      <c r="E625" s="989"/>
      <c r="F625" s="989"/>
      <c r="G625" s="989"/>
      <c r="H625" s="992" t="str">
        <f t="shared" si="16"/>
        <v/>
      </c>
      <c r="I625" s="989"/>
      <c r="J625" s="989"/>
      <c r="K625" s="989"/>
      <c r="L625" s="989"/>
      <c r="M625" s="989"/>
      <c r="N625" s="989"/>
      <c r="O625" s="989"/>
      <c r="P625" s="989"/>
      <c r="Q625" s="989"/>
      <c r="R625" s="989"/>
      <c r="S625" s="989"/>
      <c r="T625" s="989"/>
      <c r="U625" s="989"/>
      <c r="V625" s="989"/>
      <c r="W625" s="989"/>
      <c r="X625" s="989"/>
      <c r="Y625" s="989"/>
      <c r="Z625" s="989"/>
      <c r="AA625" s="989"/>
      <c r="AB625" s="989"/>
      <c r="AC625" s="989"/>
      <c r="AD625" s="989"/>
      <c r="AE625" s="989"/>
    </row>
    <row r="626">
      <c r="A626" s="989"/>
      <c r="B626" s="989"/>
      <c r="C626" s="989"/>
      <c r="D626" s="989"/>
      <c r="E626" s="989"/>
      <c r="F626" s="989"/>
      <c r="G626" s="989"/>
      <c r="H626" s="992" t="str">
        <f t="shared" si="16"/>
        <v/>
      </c>
      <c r="I626" s="989"/>
      <c r="J626" s="989"/>
      <c r="K626" s="989"/>
      <c r="L626" s="989"/>
      <c r="M626" s="989"/>
      <c r="N626" s="989"/>
      <c r="O626" s="989"/>
      <c r="P626" s="989"/>
      <c r="Q626" s="989"/>
      <c r="R626" s="989"/>
      <c r="S626" s="989"/>
      <c r="T626" s="989"/>
      <c r="U626" s="989"/>
      <c r="V626" s="989"/>
      <c r="W626" s="989"/>
      <c r="X626" s="989"/>
      <c r="Y626" s="989"/>
      <c r="Z626" s="989"/>
      <c r="AA626" s="989"/>
      <c r="AB626" s="989"/>
      <c r="AC626" s="989"/>
      <c r="AD626" s="989"/>
      <c r="AE626" s="989"/>
    </row>
    <row r="627">
      <c r="A627" s="989"/>
      <c r="B627" s="989"/>
      <c r="C627" s="989"/>
      <c r="D627" s="989"/>
      <c r="E627" s="989"/>
      <c r="F627" s="989"/>
      <c r="G627" s="989"/>
      <c r="H627" s="992" t="str">
        <f t="shared" si="16"/>
        <v/>
      </c>
      <c r="I627" s="989"/>
      <c r="J627" s="989"/>
      <c r="K627" s="989"/>
      <c r="L627" s="989"/>
      <c r="M627" s="989"/>
      <c r="N627" s="989"/>
      <c r="O627" s="989"/>
      <c r="P627" s="989"/>
      <c r="Q627" s="989"/>
      <c r="R627" s="989"/>
      <c r="S627" s="989"/>
      <c r="T627" s="989"/>
      <c r="U627" s="989"/>
      <c r="V627" s="989"/>
      <c r="W627" s="989"/>
      <c r="X627" s="989"/>
      <c r="Y627" s="989"/>
      <c r="Z627" s="989"/>
      <c r="AA627" s="989"/>
      <c r="AB627" s="989"/>
      <c r="AC627" s="989"/>
      <c r="AD627" s="989"/>
      <c r="AE627" s="989"/>
    </row>
    <row r="628">
      <c r="A628" s="989"/>
      <c r="B628" s="989"/>
      <c r="C628" s="989"/>
      <c r="D628" s="989"/>
      <c r="E628" s="989"/>
      <c r="F628" s="989"/>
      <c r="G628" s="989"/>
      <c r="H628" s="992" t="str">
        <f t="shared" si="16"/>
        <v/>
      </c>
      <c r="I628" s="989"/>
      <c r="J628" s="989"/>
      <c r="K628" s="989"/>
      <c r="L628" s="989"/>
      <c r="M628" s="989"/>
      <c r="N628" s="989"/>
      <c r="O628" s="989"/>
      <c r="P628" s="989"/>
      <c r="Q628" s="989"/>
      <c r="R628" s="989"/>
      <c r="S628" s="989"/>
      <c r="T628" s="989"/>
      <c r="U628" s="989"/>
      <c r="V628" s="989"/>
      <c r="W628" s="989"/>
      <c r="X628" s="989"/>
      <c r="Y628" s="989"/>
      <c r="Z628" s="989"/>
      <c r="AA628" s="989"/>
      <c r="AB628" s="989"/>
      <c r="AC628" s="989"/>
      <c r="AD628" s="989"/>
      <c r="AE628" s="989"/>
    </row>
    <row r="629">
      <c r="A629" s="989"/>
      <c r="B629" s="989"/>
      <c r="C629" s="989"/>
      <c r="D629" s="989"/>
      <c r="E629" s="989"/>
      <c r="F629" s="989"/>
      <c r="G629" s="989"/>
      <c r="H629" s="992" t="str">
        <f t="shared" si="16"/>
        <v/>
      </c>
      <c r="I629" s="989"/>
      <c r="J629" s="989"/>
      <c r="K629" s="989"/>
      <c r="L629" s="989"/>
      <c r="M629" s="989"/>
      <c r="N629" s="989"/>
      <c r="O629" s="989"/>
      <c r="P629" s="989"/>
      <c r="Q629" s="989"/>
      <c r="R629" s="989"/>
      <c r="S629" s="989"/>
      <c r="T629" s="989"/>
      <c r="U629" s="989"/>
      <c r="V629" s="989"/>
      <c r="W629" s="989"/>
      <c r="X629" s="989"/>
      <c r="Y629" s="989"/>
      <c r="Z629" s="989"/>
      <c r="AA629" s="989"/>
      <c r="AB629" s="989"/>
      <c r="AC629" s="989"/>
      <c r="AD629" s="989"/>
      <c r="AE629" s="989"/>
    </row>
    <row r="630">
      <c r="A630" s="989"/>
      <c r="B630" s="989"/>
      <c r="C630" s="989"/>
      <c r="D630" s="989"/>
      <c r="E630" s="989"/>
      <c r="F630" s="989"/>
      <c r="G630" s="989"/>
      <c r="H630" s="992" t="str">
        <f t="shared" si="16"/>
        <v/>
      </c>
      <c r="I630" s="989"/>
      <c r="J630" s="989"/>
      <c r="K630" s="989"/>
      <c r="L630" s="989"/>
      <c r="M630" s="989"/>
      <c r="N630" s="989"/>
      <c r="O630" s="989"/>
      <c r="P630" s="989"/>
      <c r="Q630" s="989"/>
      <c r="R630" s="989"/>
      <c r="S630" s="989"/>
      <c r="T630" s="989"/>
      <c r="U630" s="989"/>
      <c r="V630" s="989"/>
      <c r="W630" s="989"/>
      <c r="X630" s="989"/>
      <c r="Y630" s="989"/>
      <c r="Z630" s="989"/>
      <c r="AA630" s="989"/>
      <c r="AB630" s="989"/>
      <c r="AC630" s="989"/>
      <c r="AD630" s="989"/>
      <c r="AE630" s="989"/>
    </row>
    <row r="631">
      <c r="A631" s="989"/>
      <c r="B631" s="989"/>
      <c r="C631" s="989"/>
      <c r="D631" s="989"/>
      <c r="E631" s="989"/>
      <c r="F631" s="989"/>
      <c r="G631" s="989"/>
      <c r="H631" s="992" t="str">
        <f t="shared" si="16"/>
        <v/>
      </c>
      <c r="I631" s="989"/>
      <c r="J631" s="989"/>
      <c r="K631" s="989"/>
      <c r="L631" s="989"/>
      <c r="M631" s="989"/>
      <c r="N631" s="989"/>
      <c r="O631" s="989"/>
      <c r="P631" s="989"/>
      <c r="Q631" s="989"/>
      <c r="R631" s="989"/>
      <c r="S631" s="989"/>
      <c r="T631" s="989"/>
      <c r="U631" s="989"/>
      <c r="V631" s="989"/>
      <c r="W631" s="989"/>
      <c r="X631" s="989"/>
      <c r="Y631" s="989"/>
      <c r="Z631" s="989"/>
      <c r="AA631" s="989"/>
      <c r="AB631" s="989"/>
      <c r="AC631" s="989"/>
      <c r="AD631" s="989"/>
      <c r="AE631" s="989"/>
    </row>
    <row r="632">
      <c r="A632" s="989"/>
      <c r="B632" s="989"/>
      <c r="C632" s="989"/>
      <c r="D632" s="989"/>
      <c r="E632" s="989"/>
      <c r="F632" s="989"/>
      <c r="G632" s="989"/>
      <c r="H632" s="992" t="str">
        <f t="shared" si="16"/>
        <v/>
      </c>
      <c r="I632" s="989"/>
      <c r="J632" s="989"/>
      <c r="K632" s="989"/>
      <c r="L632" s="989"/>
      <c r="M632" s="989"/>
      <c r="N632" s="989"/>
      <c r="O632" s="989"/>
      <c r="P632" s="989"/>
      <c r="Q632" s="989"/>
      <c r="R632" s="989"/>
      <c r="S632" s="989"/>
      <c r="T632" s="989"/>
      <c r="U632" s="989"/>
      <c r="V632" s="989"/>
      <c r="W632" s="989"/>
      <c r="X632" s="989"/>
      <c r="Y632" s="989"/>
      <c r="Z632" s="989"/>
      <c r="AA632" s="989"/>
      <c r="AB632" s="989"/>
      <c r="AC632" s="989"/>
      <c r="AD632" s="989"/>
      <c r="AE632" s="989"/>
    </row>
    <row r="633">
      <c r="A633" s="989"/>
      <c r="B633" s="989"/>
      <c r="C633" s="989"/>
      <c r="D633" s="989"/>
      <c r="E633" s="989"/>
      <c r="F633" s="989"/>
      <c r="G633" s="989"/>
      <c r="H633" s="992" t="str">
        <f t="shared" si="16"/>
        <v/>
      </c>
      <c r="I633" s="989"/>
      <c r="J633" s="989"/>
      <c r="K633" s="989"/>
      <c r="L633" s="989"/>
      <c r="M633" s="989"/>
      <c r="N633" s="989"/>
      <c r="O633" s="989"/>
      <c r="P633" s="989"/>
      <c r="Q633" s="989"/>
      <c r="R633" s="989"/>
      <c r="S633" s="989"/>
      <c r="T633" s="989"/>
      <c r="U633" s="989"/>
      <c r="V633" s="989"/>
      <c r="W633" s="989"/>
      <c r="X633" s="989"/>
      <c r="Y633" s="989"/>
      <c r="Z633" s="989"/>
      <c r="AA633" s="989"/>
      <c r="AB633" s="989"/>
      <c r="AC633" s="989"/>
      <c r="AD633" s="989"/>
      <c r="AE633" s="989"/>
    </row>
    <row r="634">
      <c r="A634" s="989"/>
      <c r="B634" s="989"/>
      <c r="C634" s="989"/>
      <c r="D634" s="989"/>
      <c r="E634" s="989"/>
      <c r="F634" s="989"/>
      <c r="G634" s="989"/>
      <c r="H634" s="992" t="str">
        <f t="shared" si="16"/>
        <v/>
      </c>
      <c r="I634" s="989"/>
      <c r="J634" s="989"/>
      <c r="K634" s="989"/>
      <c r="L634" s="989"/>
      <c r="M634" s="989"/>
      <c r="N634" s="989"/>
      <c r="O634" s="989"/>
      <c r="P634" s="989"/>
      <c r="Q634" s="989"/>
      <c r="R634" s="989"/>
      <c r="S634" s="989"/>
      <c r="T634" s="989"/>
      <c r="U634" s="989"/>
      <c r="V634" s="989"/>
      <c r="W634" s="989"/>
      <c r="X634" s="989"/>
      <c r="Y634" s="989"/>
      <c r="Z634" s="989"/>
      <c r="AA634" s="989"/>
      <c r="AB634" s="989"/>
      <c r="AC634" s="989"/>
      <c r="AD634" s="989"/>
      <c r="AE634" s="989"/>
    </row>
    <row r="635">
      <c r="A635" s="989"/>
      <c r="B635" s="989"/>
      <c r="C635" s="989"/>
      <c r="D635" s="989"/>
      <c r="E635" s="989"/>
      <c r="F635" s="989"/>
      <c r="G635" s="989"/>
      <c r="H635" s="992" t="str">
        <f t="shared" si="16"/>
        <v/>
      </c>
      <c r="I635" s="989"/>
      <c r="J635" s="989"/>
      <c r="K635" s="989"/>
      <c r="L635" s="989"/>
      <c r="M635" s="989"/>
      <c r="N635" s="989"/>
      <c r="O635" s="989"/>
      <c r="P635" s="989"/>
      <c r="Q635" s="989"/>
      <c r="R635" s="989"/>
      <c r="S635" s="989"/>
      <c r="T635" s="989"/>
      <c r="U635" s="989"/>
      <c r="V635" s="989"/>
      <c r="W635" s="989"/>
      <c r="X635" s="989"/>
      <c r="Y635" s="989"/>
      <c r="Z635" s="989"/>
      <c r="AA635" s="989"/>
      <c r="AB635" s="989"/>
      <c r="AC635" s="989"/>
      <c r="AD635" s="989"/>
      <c r="AE635" s="989"/>
    </row>
    <row r="636">
      <c r="A636" s="989"/>
      <c r="B636" s="989"/>
      <c r="C636" s="989"/>
      <c r="D636" s="989"/>
      <c r="E636" s="989"/>
      <c r="F636" s="989"/>
      <c r="G636" s="989"/>
      <c r="H636" s="992" t="str">
        <f t="shared" si="16"/>
        <v/>
      </c>
      <c r="I636" s="989"/>
      <c r="J636" s="989"/>
      <c r="K636" s="989"/>
      <c r="L636" s="989"/>
      <c r="M636" s="989"/>
      <c r="N636" s="989"/>
      <c r="O636" s="989"/>
      <c r="P636" s="989"/>
      <c r="Q636" s="989"/>
      <c r="R636" s="989"/>
      <c r="S636" s="989"/>
      <c r="T636" s="989"/>
      <c r="U636" s="989"/>
      <c r="V636" s="989"/>
      <c r="W636" s="989"/>
      <c r="X636" s="989"/>
      <c r="Y636" s="989"/>
      <c r="Z636" s="989"/>
      <c r="AA636" s="989"/>
      <c r="AB636" s="989"/>
      <c r="AC636" s="989"/>
      <c r="AD636" s="989"/>
      <c r="AE636" s="989"/>
    </row>
    <row r="637">
      <c r="A637" s="989"/>
      <c r="B637" s="989"/>
      <c r="C637" s="989"/>
      <c r="D637" s="989"/>
      <c r="E637" s="989"/>
      <c r="F637" s="989"/>
      <c r="G637" s="989"/>
      <c r="H637" s="992" t="str">
        <f t="shared" si="16"/>
        <v/>
      </c>
      <c r="I637" s="989"/>
      <c r="J637" s="989"/>
      <c r="K637" s="989"/>
      <c r="L637" s="989"/>
      <c r="M637" s="989"/>
      <c r="N637" s="989"/>
      <c r="O637" s="989"/>
      <c r="P637" s="989"/>
      <c r="Q637" s="989"/>
      <c r="R637" s="989"/>
      <c r="S637" s="989"/>
      <c r="T637" s="989"/>
      <c r="U637" s="989"/>
      <c r="V637" s="989"/>
      <c r="W637" s="989"/>
      <c r="X637" s="989"/>
      <c r="Y637" s="989"/>
      <c r="Z637" s="989"/>
      <c r="AA637" s="989"/>
      <c r="AB637" s="989"/>
      <c r="AC637" s="989"/>
      <c r="AD637" s="989"/>
      <c r="AE637" s="989"/>
    </row>
    <row r="638">
      <c r="A638" s="989"/>
      <c r="B638" s="989"/>
      <c r="C638" s="989"/>
      <c r="D638" s="989"/>
      <c r="E638" s="989"/>
      <c r="F638" s="989"/>
      <c r="G638" s="989"/>
      <c r="H638" s="992" t="str">
        <f t="shared" si="16"/>
        <v/>
      </c>
      <c r="I638" s="989"/>
      <c r="J638" s="989"/>
      <c r="K638" s="989"/>
      <c r="L638" s="989"/>
      <c r="M638" s="989"/>
      <c r="N638" s="989"/>
      <c r="O638" s="989"/>
      <c r="P638" s="989"/>
      <c r="Q638" s="989"/>
      <c r="R638" s="989"/>
      <c r="S638" s="989"/>
      <c r="T638" s="989"/>
      <c r="U638" s="989"/>
      <c r="V638" s="989"/>
      <c r="W638" s="989"/>
      <c r="X638" s="989"/>
      <c r="Y638" s="989"/>
      <c r="Z638" s="989"/>
      <c r="AA638" s="989"/>
      <c r="AB638" s="989"/>
      <c r="AC638" s="989"/>
      <c r="AD638" s="989"/>
      <c r="AE638" s="989"/>
    </row>
    <row r="639">
      <c r="A639" s="989"/>
      <c r="B639" s="989"/>
      <c r="C639" s="989"/>
      <c r="D639" s="989"/>
      <c r="E639" s="989"/>
      <c r="F639" s="989"/>
      <c r="G639" s="989"/>
      <c r="H639" s="992" t="str">
        <f t="shared" si="16"/>
        <v/>
      </c>
      <c r="I639" s="989"/>
      <c r="J639" s="989"/>
      <c r="K639" s="989"/>
      <c r="L639" s="989"/>
      <c r="M639" s="989"/>
      <c r="N639" s="989"/>
      <c r="O639" s="989"/>
      <c r="P639" s="989"/>
      <c r="Q639" s="989"/>
      <c r="R639" s="989"/>
      <c r="S639" s="989"/>
      <c r="T639" s="989"/>
      <c r="U639" s="989"/>
      <c r="V639" s="989"/>
      <c r="W639" s="989"/>
      <c r="X639" s="989"/>
      <c r="Y639" s="989"/>
      <c r="Z639" s="989"/>
      <c r="AA639" s="989"/>
      <c r="AB639" s="989"/>
      <c r="AC639" s="989"/>
      <c r="AD639" s="989"/>
      <c r="AE639" s="989"/>
    </row>
    <row r="640">
      <c r="A640" s="989"/>
      <c r="B640" s="989"/>
      <c r="C640" s="989"/>
      <c r="D640" s="989"/>
      <c r="E640" s="989"/>
      <c r="F640" s="989"/>
      <c r="G640" s="989"/>
      <c r="H640" s="992" t="str">
        <f t="shared" si="16"/>
        <v/>
      </c>
      <c r="I640" s="989"/>
      <c r="J640" s="989"/>
      <c r="K640" s="989"/>
      <c r="L640" s="989"/>
      <c r="M640" s="989"/>
      <c r="N640" s="989"/>
      <c r="O640" s="989"/>
      <c r="P640" s="989"/>
      <c r="Q640" s="989"/>
      <c r="R640" s="989"/>
      <c r="S640" s="989"/>
      <c r="T640" s="989"/>
      <c r="U640" s="989"/>
      <c r="V640" s="989"/>
      <c r="W640" s="989"/>
      <c r="X640" s="989"/>
      <c r="Y640" s="989"/>
      <c r="Z640" s="989"/>
      <c r="AA640" s="989"/>
      <c r="AB640" s="989"/>
      <c r="AC640" s="989"/>
      <c r="AD640" s="989"/>
      <c r="AE640" s="989"/>
    </row>
    <row r="641">
      <c r="A641" s="989"/>
      <c r="B641" s="989"/>
      <c r="C641" s="989"/>
      <c r="D641" s="989"/>
      <c r="E641" s="989"/>
      <c r="F641" s="989"/>
      <c r="G641" s="989"/>
      <c r="H641" s="992" t="str">
        <f t="shared" si="16"/>
        <v/>
      </c>
      <c r="I641" s="989"/>
      <c r="J641" s="989"/>
      <c r="K641" s="989"/>
      <c r="L641" s="989"/>
      <c r="M641" s="989"/>
      <c r="N641" s="989"/>
      <c r="O641" s="989"/>
      <c r="P641" s="989"/>
      <c r="Q641" s="989"/>
      <c r="R641" s="989"/>
      <c r="S641" s="989"/>
      <c r="T641" s="989"/>
      <c r="U641" s="989"/>
      <c r="V641" s="989"/>
      <c r="W641" s="989"/>
      <c r="X641" s="989"/>
      <c r="Y641" s="989"/>
      <c r="Z641" s="989"/>
      <c r="AA641" s="989"/>
      <c r="AB641" s="989"/>
      <c r="AC641" s="989"/>
      <c r="AD641" s="989"/>
      <c r="AE641" s="989"/>
    </row>
    <row r="642">
      <c r="A642" s="989"/>
      <c r="B642" s="989"/>
      <c r="C642" s="989"/>
      <c r="D642" s="989"/>
      <c r="E642" s="989"/>
      <c r="F642" s="989"/>
      <c r="G642" s="989"/>
      <c r="H642" s="992" t="str">
        <f t="shared" si="16"/>
        <v/>
      </c>
      <c r="I642" s="989"/>
      <c r="J642" s="989"/>
      <c r="K642" s="989"/>
      <c r="L642" s="989"/>
      <c r="M642" s="989"/>
      <c r="N642" s="989"/>
      <c r="O642" s="989"/>
      <c r="P642" s="989"/>
      <c r="Q642" s="989"/>
      <c r="R642" s="989"/>
      <c r="S642" s="989"/>
      <c r="T642" s="989"/>
      <c r="U642" s="989"/>
      <c r="V642" s="989"/>
      <c r="W642" s="989"/>
      <c r="X642" s="989"/>
      <c r="Y642" s="989"/>
      <c r="Z642" s="989"/>
      <c r="AA642" s="989"/>
      <c r="AB642" s="989"/>
      <c r="AC642" s="989"/>
      <c r="AD642" s="989"/>
      <c r="AE642" s="989"/>
    </row>
    <row r="643">
      <c r="A643" s="989"/>
      <c r="B643" s="989"/>
      <c r="C643" s="989"/>
      <c r="D643" s="989"/>
      <c r="E643" s="989"/>
      <c r="F643" s="989"/>
      <c r="G643" s="989"/>
      <c r="H643" s="992" t="str">
        <f t="shared" si="16"/>
        <v/>
      </c>
      <c r="I643" s="989"/>
      <c r="J643" s="989"/>
      <c r="K643" s="989"/>
      <c r="L643" s="989"/>
      <c r="M643" s="989"/>
      <c r="N643" s="989"/>
      <c r="O643" s="989"/>
      <c r="P643" s="989"/>
      <c r="Q643" s="989"/>
      <c r="R643" s="989"/>
      <c r="S643" s="989"/>
      <c r="T643" s="989"/>
      <c r="U643" s="989"/>
      <c r="V643" s="989"/>
      <c r="W643" s="989"/>
      <c r="X643" s="989"/>
      <c r="Y643" s="989"/>
      <c r="Z643" s="989"/>
      <c r="AA643" s="989"/>
      <c r="AB643" s="989"/>
      <c r="AC643" s="989"/>
      <c r="AD643" s="989"/>
      <c r="AE643" s="989"/>
    </row>
    <row r="644">
      <c r="A644" s="989"/>
      <c r="B644" s="989"/>
      <c r="C644" s="989"/>
      <c r="D644" s="989"/>
      <c r="E644" s="989"/>
      <c r="F644" s="989"/>
      <c r="G644" s="989"/>
      <c r="H644" s="992" t="str">
        <f t="shared" si="16"/>
        <v/>
      </c>
      <c r="I644" s="989"/>
      <c r="J644" s="989"/>
      <c r="K644" s="989"/>
      <c r="L644" s="989"/>
      <c r="M644" s="989"/>
      <c r="N644" s="989"/>
      <c r="O644" s="989"/>
      <c r="P644" s="989"/>
      <c r="Q644" s="989"/>
      <c r="R644" s="989"/>
      <c r="S644" s="989"/>
      <c r="T644" s="989"/>
      <c r="U644" s="989"/>
      <c r="V644" s="989"/>
      <c r="W644" s="989"/>
      <c r="X644" s="989"/>
      <c r="Y644" s="989"/>
      <c r="Z644" s="989"/>
      <c r="AA644" s="989"/>
      <c r="AB644" s="989"/>
      <c r="AC644" s="989"/>
      <c r="AD644" s="989"/>
      <c r="AE644" s="989"/>
    </row>
    <row r="645">
      <c r="A645" s="989"/>
      <c r="B645" s="989"/>
      <c r="C645" s="989"/>
      <c r="D645" s="989"/>
      <c r="E645" s="989"/>
      <c r="F645" s="989"/>
      <c r="G645" s="989"/>
      <c r="H645" s="992" t="str">
        <f t="shared" si="16"/>
        <v/>
      </c>
      <c r="I645" s="989"/>
      <c r="J645" s="989"/>
      <c r="K645" s="989"/>
      <c r="L645" s="989"/>
      <c r="M645" s="989"/>
      <c r="N645" s="989"/>
      <c r="O645" s="989"/>
      <c r="P645" s="989"/>
      <c r="Q645" s="989"/>
      <c r="R645" s="989"/>
      <c r="S645" s="989"/>
      <c r="T645" s="989"/>
      <c r="U645" s="989"/>
      <c r="V645" s="989"/>
      <c r="W645" s="989"/>
      <c r="X645" s="989"/>
      <c r="Y645" s="989"/>
      <c r="Z645" s="989"/>
      <c r="AA645" s="989"/>
      <c r="AB645" s="989"/>
      <c r="AC645" s="989"/>
      <c r="AD645" s="989"/>
      <c r="AE645" s="989"/>
    </row>
    <row r="646">
      <c r="A646" s="989"/>
      <c r="B646" s="989"/>
      <c r="C646" s="989"/>
      <c r="D646" s="989"/>
      <c r="E646" s="989"/>
      <c r="F646" s="989"/>
      <c r="G646" s="989"/>
      <c r="H646" s="992" t="str">
        <f t="shared" si="16"/>
        <v/>
      </c>
      <c r="I646" s="989"/>
      <c r="J646" s="989"/>
      <c r="K646" s="989"/>
      <c r="L646" s="989"/>
      <c r="M646" s="989"/>
      <c r="N646" s="989"/>
      <c r="O646" s="989"/>
      <c r="P646" s="989"/>
      <c r="Q646" s="989"/>
      <c r="R646" s="989"/>
      <c r="S646" s="989"/>
      <c r="T646" s="989"/>
      <c r="U646" s="989"/>
      <c r="V646" s="989"/>
      <c r="W646" s="989"/>
      <c r="X646" s="989"/>
      <c r="Y646" s="989"/>
      <c r="Z646" s="989"/>
      <c r="AA646" s="989"/>
      <c r="AB646" s="989"/>
      <c r="AC646" s="989"/>
      <c r="AD646" s="989"/>
      <c r="AE646" s="989"/>
    </row>
    <row r="647">
      <c r="A647" s="989"/>
      <c r="B647" s="989"/>
      <c r="C647" s="989"/>
      <c r="D647" s="989"/>
      <c r="E647" s="989"/>
      <c r="F647" s="989"/>
      <c r="G647" s="989"/>
      <c r="H647" s="992" t="str">
        <f t="shared" si="16"/>
        <v/>
      </c>
      <c r="I647" s="989"/>
      <c r="J647" s="989"/>
      <c r="K647" s="989"/>
      <c r="L647" s="989"/>
      <c r="M647" s="989"/>
      <c r="N647" s="989"/>
      <c r="O647" s="989"/>
      <c r="P647" s="989"/>
      <c r="Q647" s="989"/>
      <c r="R647" s="989"/>
      <c r="S647" s="989"/>
      <c r="T647" s="989"/>
      <c r="U647" s="989"/>
      <c r="V647" s="989"/>
      <c r="W647" s="989"/>
      <c r="X647" s="989"/>
      <c r="Y647" s="989"/>
      <c r="Z647" s="989"/>
      <c r="AA647" s="989"/>
      <c r="AB647" s="989"/>
      <c r="AC647" s="989"/>
      <c r="AD647" s="989"/>
      <c r="AE647" s="989"/>
    </row>
    <row r="648">
      <c r="A648" s="989"/>
      <c r="B648" s="989"/>
      <c r="C648" s="989"/>
      <c r="D648" s="989"/>
      <c r="E648" s="989"/>
      <c r="F648" s="989"/>
      <c r="G648" s="989"/>
      <c r="H648" s="992" t="str">
        <f t="shared" si="16"/>
        <v/>
      </c>
      <c r="I648" s="989"/>
      <c r="J648" s="989"/>
      <c r="K648" s="989"/>
      <c r="L648" s="989"/>
      <c r="M648" s="989"/>
      <c r="N648" s="989"/>
      <c r="O648" s="989"/>
      <c r="P648" s="989"/>
      <c r="Q648" s="989"/>
      <c r="R648" s="989"/>
      <c r="S648" s="989"/>
      <c r="T648" s="989"/>
      <c r="U648" s="989"/>
      <c r="V648" s="989"/>
      <c r="W648" s="989"/>
      <c r="X648" s="989"/>
      <c r="Y648" s="989"/>
      <c r="Z648" s="989"/>
      <c r="AA648" s="989"/>
      <c r="AB648" s="989"/>
      <c r="AC648" s="989"/>
      <c r="AD648" s="989"/>
      <c r="AE648" s="989"/>
    </row>
    <row r="649">
      <c r="A649" s="989"/>
      <c r="B649" s="989"/>
      <c r="C649" s="989"/>
      <c r="D649" s="989"/>
      <c r="E649" s="989"/>
      <c r="F649" s="989"/>
      <c r="G649" s="989"/>
      <c r="H649" s="992" t="str">
        <f t="shared" si="16"/>
        <v/>
      </c>
      <c r="I649" s="989"/>
      <c r="J649" s="989"/>
      <c r="K649" s="989"/>
      <c r="L649" s="989"/>
      <c r="M649" s="989"/>
      <c r="N649" s="989"/>
      <c r="O649" s="989"/>
      <c r="P649" s="989"/>
      <c r="Q649" s="989"/>
      <c r="R649" s="989"/>
      <c r="S649" s="989"/>
      <c r="T649" s="989"/>
      <c r="U649" s="989"/>
      <c r="V649" s="989"/>
      <c r="W649" s="989"/>
      <c r="X649" s="989"/>
      <c r="Y649" s="989"/>
      <c r="Z649" s="989"/>
      <c r="AA649" s="989"/>
      <c r="AB649" s="989"/>
      <c r="AC649" s="989"/>
      <c r="AD649" s="989"/>
      <c r="AE649" s="989"/>
    </row>
    <row r="650">
      <c r="A650" s="989"/>
      <c r="B650" s="989"/>
      <c r="C650" s="989"/>
      <c r="D650" s="989"/>
      <c r="E650" s="989"/>
      <c r="F650" s="989"/>
      <c r="G650" s="989"/>
      <c r="H650" s="992" t="str">
        <f t="shared" si="16"/>
        <v/>
      </c>
      <c r="I650" s="989"/>
      <c r="J650" s="989"/>
      <c r="K650" s="989"/>
      <c r="L650" s="989"/>
      <c r="M650" s="989"/>
      <c r="N650" s="989"/>
      <c r="O650" s="989"/>
      <c r="P650" s="989"/>
      <c r="Q650" s="989"/>
      <c r="R650" s="989"/>
      <c r="S650" s="989"/>
      <c r="T650" s="989"/>
      <c r="U650" s="989"/>
      <c r="V650" s="989"/>
      <c r="W650" s="989"/>
      <c r="X650" s="989"/>
      <c r="Y650" s="989"/>
      <c r="Z650" s="989"/>
      <c r="AA650" s="989"/>
      <c r="AB650" s="989"/>
      <c r="AC650" s="989"/>
      <c r="AD650" s="989"/>
      <c r="AE650" s="989"/>
    </row>
    <row r="651">
      <c r="A651" s="989"/>
      <c r="B651" s="989"/>
      <c r="C651" s="989"/>
      <c r="D651" s="989"/>
      <c r="E651" s="989"/>
      <c r="F651" s="989"/>
      <c r="G651" s="989"/>
      <c r="H651" s="992" t="str">
        <f t="shared" si="16"/>
        <v/>
      </c>
      <c r="I651" s="989"/>
      <c r="J651" s="989"/>
      <c r="K651" s="989"/>
      <c r="L651" s="989"/>
      <c r="M651" s="989"/>
      <c r="N651" s="989"/>
      <c r="O651" s="989"/>
      <c r="P651" s="989"/>
      <c r="Q651" s="989"/>
      <c r="R651" s="989"/>
      <c r="S651" s="989"/>
      <c r="T651" s="989"/>
      <c r="U651" s="989"/>
      <c r="V651" s="989"/>
      <c r="W651" s="989"/>
      <c r="X651" s="989"/>
      <c r="Y651" s="989"/>
      <c r="Z651" s="989"/>
      <c r="AA651" s="989"/>
      <c r="AB651" s="989"/>
      <c r="AC651" s="989"/>
      <c r="AD651" s="989"/>
      <c r="AE651" s="989"/>
    </row>
    <row r="652">
      <c r="A652" s="989"/>
      <c r="B652" s="989"/>
      <c r="C652" s="989"/>
      <c r="D652" s="989"/>
      <c r="E652" s="989"/>
      <c r="F652" s="989"/>
      <c r="G652" s="989"/>
      <c r="H652" s="992" t="str">
        <f t="shared" si="16"/>
        <v/>
      </c>
      <c r="I652" s="989"/>
      <c r="J652" s="989"/>
      <c r="K652" s="989"/>
      <c r="L652" s="989"/>
      <c r="M652" s="989"/>
      <c r="N652" s="989"/>
      <c r="O652" s="989"/>
      <c r="P652" s="989"/>
      <c r="Q652" s="989"/>
      <c r="R652" s="989"/>
      <c r="S652" s="989"/>
      <c r="T652" s="989"/>
      <c r="U652" s="989"/>
      <c r="V652" s="989"/>
      <c r="W652" s="989"/>
      <c r="X652" s="989"/>
      <c r="Y652" s="989"/>
      <c r="Z652" s="989"/>
      <c r="AA652" s="989"/>
      <c r="AB652" s="989"/>
      <c r="AC652" s="989"/>
      <c r="AD652" s="989"/>
      <c r="AE652" s="989"/>
    </row>
    <row r="653">
      <c r="A653" s="989"/>
      <c r="B653" s="989"/>
      <c r="C653" s="989"/>
      <c r="D653" s="989"/>
      <c r="E653" s="989"/>
      <c r="F653" s="989"/>
      <c r="G653" s="989"/>
      <c r="H653" s="992" t="str">
        <f t="shared" si="16"/>
        <v/>
      </c>
      <c r="I653" s="989"/>
      <c r="J653" s="989"/>
      <c r="K653" s="989"/>
      <c r="L653" s="989"/>
      <c r="M653" s="989"/>
      <c r="N653" s="989"/>
      <c r="O653" s="989"/>
      <c r="P653" s="989"/>
      <c r="Q653" s="989"/>
      <c r="R653" s="989"/>
      <c r="S653" s="989"/>
      <c r="T653" s="989"/>
      <c r="U653" s="989"/>
      <c r="V653" s="989"/>
      <c r="W653" s="989"/>
      <c r="X653" s="989"/>
      <c r="Y653" s="989"/>
      <c r="Z653" s="989"/>
      <c r="AA653" s="989"/>
      <c r="AB653" s="989"/>
      <c r="AC653" s="989"/>
      <c r="AD653" s="989"/>
      <c r="AE653" s="989"/>
    </row>
    <row r="654">
      <c r="A654" s="989"/>
      <c r="B654" s="989"/>
      <c r="C654" s="989"/>
      <c r="D654" s="989"/>
      <c r="E654" s="989"/>
      <c r="F654" s="989"/>
      <c r="G654" s="989"/>
      <c r="H654" s="992" t="str">
        <f t="shared" si="16"/>
        <v/>
      </c>
      <c r="I654" s="989"/>
      <c r="J654" s="989"/>
      <c r="K654" s="989"/>
      <c r="L654" s="989"/>
      <c r="M654" s="989"/>
      <c r="N654" s="989"/>
      <c r="O654" s="989"/>
      <c r="P654" s="989"/>
      <c r="Q654" s="989"/>
      <c r="R654" s="989"/>
      <c r="S654" s="989"/>
      <c r="T654" s="989"/>
      <c r="U654" s="989"/>
      <c r="V654" s="989"/>
      <c r="W654" s="989"/>
      <c r="X654" s="989"/>
      <c r="Y654" s="989"/>
      <c r="Z654" s="989"/>
      <c r="AA654" s="989"/>
      <c r="AB654" s="989"/>
      <c r="AC654" s="989"/>
      <c r="AD654" s="989"/>
      <c r="AE654" s="989"/>
    </row>
    <row r="655">
      <c r="A655" s="989"/>
      <c r="B655" s="989"/>
      <c r="C655" s="989"/>
      <c r="D655" s="989"/>
      <c r="E655" s="989"/>
      <c r="F655" s="989"/>
      <c r="G655" s="989"/>
      <c r="H655" s="992" t="str">
        <f t="shared" si="16"/>
        <v/>
      </c>
      <c r="I655" s="989"/>
      <c r="J655" s="989"/>
      <c r="K655" s="989"/>
      <c r="L655" s="989"/>
      <c r="M655" s="989"/>
      <c r="N655" s="989"/>
      <c r="O655" s="989"/>
      <c r="P655" s="989"/>
      <c r="Q655" s="989"/>
      <c r="R655" s="989"/>
      <c r="S655" s="989"/>
      <c r="T655" s="989"/>
      <c r="U655" s="989"/>
      <c r="V655" s="989"/>
      <c r="W655" s="989"/>
      <c r="X655" s="989"/>
      <c r="Y655" s="989"/>
      <c r="Z655" s="989"/>
      <c r="AA655" s="989"/>
      <c r="AB655" s="989"/>
      <c r="AC655" s="989"/>
      <c r="AD655" s="989"/>
      <c r="AE655" s="989"/>
    </row>
    <row r="656">
      <c r="A656" s="989"/>
      <c r="B656" s="989"/>
      <c r="C656" s="989"/>
      <c r="D656" s="989"/>
      <c r="E656" s="989"/>
      <c r="F656" s="989"/>
      <c r="G656" s="989"/>
      <c r="H656" s="992" t="str">
        <f t="shared" si="16"/>
        <v/>
      </c>
      <c r="I656" s="989"/>
      <c r="J656" s="989"/>
      <c r="K656" s="989"/>
      <c r="L656" s="989"/>
      <c r="M656" s="989"/>
      <c r="N656" s="989"/>
      <c r="O656" s="989"/>
      <c r="P656" s="989"/>
      <c r="Q656" s="989"/>
      <c r="R656" s="989"/>
      <c r="S656" s="989"/>
      <c r="T656" s="989"/>
      <c r="U656" s="989"/>
      <c r="V656" s="989"/>
      <c r="W656" s="989"/>
      <c r="X656" s="989"/>
      <c r="Y656" s="989"/>
      <c r="Z656" s="989"/>
      <c r="AA656" s="989"/>
      <c r="AB656" s="989"/>
      <c r="AC656" s="989"/>
      <c r="AD656" s="989"/>
      <c r="AE656" s="989"/>
    </row>
    <row r="657">
      <c r="A657" s="989"/>
      <c r="B657" s="989"/>
      <c r="C657" s="989"/>
      <c r="D657" s="989"/>
      <c r="E657" s="989"/>
      <c r="F657" s="989"/>
      <c r="G657" s="989"/>
      <c r="H657" s="992" t="str">
        <f t="shared" si="16"/>
        <v/>
      </c>
      <c r="I657" s="989"/>
      <c r="J657" s="989"/>
      <c r="K657" s="989"/>
      <c r="L657" s="989"/>
      <c r="M657" s="989"/>
      <c r="N657" s="989"/>
      <c r="O657" s="989"/>
      <c r="P657" s="989"/>
      <c r="Q657" s="989"/>
      <c r="R657" s="989"/>
      <c r="S657" s="989"/>
      <c r="T657" s="989"/>
      <c r="U657" s="989"/>
      <c r="V657" s="989"/>
      <c r="W657" s="989"/>
      <c r="X657" s="989"/>
      <c r="Y657" s="989"/>
      <c r="Z657" s="989"/>
      <c r="AA657" s="989"/>
      <c r="AB657" s="989"/>
      <c r="AC657" s="989"/>
      <c r="AD657" s="989"/>
      <c r="AE657" s="989"/>
    </row>
    <row r="658">
      <c r="A658" s="989"/>
      <c r="B658" s="989"/>
      <c r="C658" s="989"/>
      <c r="D658" s="989"/>
      <c r="E658" s="989"/>
      <c r="F658" s="989"/>
      <c r="G658" s="989"/>
      <c r="H658" s="992" t="str">
        <f t="shared" si="16"/>
        <v/>
      </c>
      <c r="I658" s="989"/>
      <c r="J658" s="989"/>
      <c r="K658" s="989"/>
      <c r="L658" s="989"/>
      <c r="M658" s="989"/>
      <c r="N658" s="989"/>
      <c r="O658" s="989"/>
      <c r="P658" s="989"/>
      <c r="Q658" s="989"/>
      <c r="R658" s="989"/>
      <c r="S658" s="989"/>
      <c r="T658" s="989"/>
      <c r="U658" s="989"/>
      <c r="V658" s="989"/>
      <c r="W658" s="989"/>
      <c r="X658" s="989"/>
      <c r="Y658" s="989"/>
      <c r="Z658" s="989"/>
      <c r="AA658" s="989"/>
      <c r="AB658" s="989"/>
      <c r="AC658" s="989"/>
      <c r="AD658" s="989"/>
      <c r="AE658" s="989"/>
    </row>
    <row r="659">
      <c r="A659" s="989"/>
      <c r="B659" s="989"/>
      <c r="C659" s="989"/>
      <c r="D659" s="989"/>
      <c r="E659" s="989"/>
      <c r="F659" s="989"/>
      <c r="G659" s="989"/>
      <c r="H659" s="992" t="str">
        <f t="shared" si="16"/>
        <v/>
      </c>
      <c r="I659" s="989"/>
      <c r="J659" s="989"/>
      <c r="K659" s="989"/>
      <c r="L659" s="989"/>
      <c r="M659" s="989"/>
      <c r="N659" s="989"/>
      <c r="O659" s="989"/>
      <c r="P659" s="989"/>
      <c r="Q659" s="989"/>
      <c r="R659" s="989"/>
      <c r="S659" s="989"/>
      <c r="T659" s="989"/>
      <c r="U659" s="989"/>
      <c r="V659" s="989"/>
      <c r="W659" s="989"/>
      <c r="X659" s="989"/>
      <c r="Y659" s="989"/>
      <c r="Z659" s="989"/>
      <c r="AA659" s="989"/>
      <c r="AB659" s="989"/>
      <c r="AC659" s="989"/>
      <c r="AD659" s="989"/>
      <c r="AE659" s="989"/>
    </row>
    <row r="660">
      <c r="A660" s="989"/>
      <c r="B660" s="989"/>
      <c r="C660" s="989"/>
      <c r="D660" s="989"/>
      <c r="E660" s="989"/>
      <c r="F660" s="989"/>
      <c r="G660" s="989"/>
      <c r="H660" s="992" t="str">
        <f t="shared" si="16"/>
        <v/>
      </c>
      <c r="I660" s="989"/>
      <c r="J660" s="989"/>
      <c r="K660" s="989"/>
      <c r="L660" s="989"/>
      <c r="M660" s="989"/>
      <c r="N660" s="989"/>
      <c r="O660" s="989"/>
      <c r="P660" s="989"/>
      <c r="Q660" s="989"/>
      <c r="R660" s="989"/>
      <c r="S660" s="989"/>
      <c r="T660" s="989"/>
      <c r="U660" s="989"/>
      <c r="V660" s="989"/>
      <c r="W660" s="989"/>
      <c r="X660" s="989"/>
      <c r="Y660" s="989"/>
      <c r="Z660" s="989"/>
      <c r="AA660" s="989"/>
      <c r="AB660" s="989"/>
      <c r="AC660" s="989"/>
      <c r="AD660" s="989"/>
      <c r="AE660" s="989"/>
    </row>
    <row r="661">
      <c r="A661" s="989"/>
      <c r="B661" s="989"/>
      <c r="C661" s="989"/>
      <c r="D661" s="989"/>
      <c r="E661" s="989"/>
      <c r="F661" s="989"/>
      <c r="G661" s="989"/>
      <c r="H661" s="992" t="str">
        <f t="shared" si="16"/>
        <v/>
      </c>
      <c r="I661" s="989"/>
      <c r="J661" s="989"/>
      <c r="K661" s="989"/>
      <c r="L661" s="989"/>
      <c r="M661" s="989"/>
      <c r="N661" s="989"/>
      <c r="O661" s="989"/>
      <c r="P661" s="989"/>
      <c r="Q661" s="989"/>
      <c r="R661" s="989"/>
      <c r="S661" s="989"/>
      <c r="T661" s="989"/>
      <c r="U661" s="989"/>
      <c r="V661" s="989"/>
      <c r="W661" s="989"/>
      <c r="X661" s="989"/>
      <c r="Y661" s="989"/>
      <c r="Z661" s="989"/>
      <c r="AA661" s="989"/>
      <c r="AB661" s="989"/>
      <c r="AC661" s="989"/>
      <c r="AD661" s="989"/>
      <c r="AE661" s="989"/>
    </row>
    <row r="662">
      <c r="A662" s="989"/>
      <c r="B662" s="989"/>
      <c r="C662" s="989"/>
      <c r="D662" s="989"/>
      <c r="E662" s="989"/>
      <c r="F662" s="989"/>
      <c r="G662" s="989"/>
      <c r="H662" s="992" t="str">
        <f t="shared" si="16"/>
        <v/>
      </c>
      <c r="I662" s="989"/>
      <c r="J662" s="989"/>
      <c r="K662" s="989"/>
      <c r="L662" s="989"/>
      <c r="M662" s="989"/>
      <c r="N662" s="989"/>
      <c r="O662" s="989"/>
      <c r="P662" s="989"/>
      <c r="Q662" s="989"/>
      <c r="R662" s="989"/>
      <c r="S662" s="989"/>
      <c r="T662" s="989"/>
      <c r="U662" s="989"/>
      <c r="V662" s="989"/>
      <c r="W662" s="989"/>
      <c r="X662" s="989"/>
      <c r="Y662" s="989"/>
      <c r="Z662" s="989"/>
      <c r="AA662" s="989"/>
      <c r="AB662" s="989"/>
      <c r="AC662" s="989"/>
      <c r="AD662" s="989"/>
      <c r="AE662" s="989"/>
    </row>
    <row r="663">
      <c r="A663" s="989"/>
      <c r="B663" s="989"/>
      <c r="C663" s="989"/>
      <c r="D663" s="989"/>
      <c r="E663" s="989"/>
      <c r="F663" s="989"/>
      <c r="G663" s="989"/>
      <c r="H663" s="992" t="str">
        <f t="shared" si="16"/>
        <v/>
      </c>
      <c r="I663" s="989"/>
      <c r="J663" s="989"/>
      <c r="K663" s="989"/>
      <c r="L663" s="989"/>
      <c r="M663" s="989"/>
      <c r="N663" s="989"/>
      <c r="O663" s="989"/>
      <c r="P663" s="989"/>
      <c r="Q663" s="989"/>
      <c r="R663" s="989"/>
      <c r="S663" s="989"/>
      <c r="T663" s="989"/>
      <c r="U663" s="989"/>
      <c r="V663" s="989"/>
      <c r="W663" s="989"/>
      <c r="X663" s="989"/>
      <c r="Y663" s="989"/>
      <c r="Z663" s="989"/>
      <c r="AA663" s="989"/>
      <c r="AB663" s="989"/>
      <c r="AC663" s="989"/>
      <c r="AD663" s="989"/>
      <c r="AE663" s="989"/>
    </row>
    <row r="664">
      <c r="A664" s="989"/>
      <c r="B664" s="989"/>
      <c r="C664" s="989"/>
      <c r="D664" s="989"/>
      <c r="E664" s="989"/>
      <c r="F664" s="989"/>
      <c r="G664" s="989"/>
      <c r="H664" s="992" t="str">
        <f t="shared" si="16"/>
        <v/>
      </c>
      <c r="I664" s="989"/>
      <c r="J664" s="989"/>
      <c r="K664" s="989"/>
      <c r="L664" s="989"/>
      <c r="M664" s="989"/>
      <c r="N664" s="989"/>
      <c r="O664" s="989"/>
      <c r="P664" s="989"/>
      <c r="Q664" s="989"/>
      <c r="R664" s="989"/>
      <c r="S664" s="989"/>
      <c r="T664" s="989"/>
      <c r="U664" s="989"/>
      <c r="V664" s="989"/>
      <c r="W664" s="989"/>
      <c r="X664" s="989"/>
      <c r="Y664" s="989"/>
      <c r="Z664" s="989"/>
      <c r="AA664" s="989"/>
      <c r="AB664" s="989"/>
      <c r="AC664" s="989"/>
      <c r="AD664" s="989"/>
      <c r="AE664" s="989"/>
    </row>
    <row r="665">
      <c r="A665" s="989"/>
      <c r="B665" s="989"/>
      <c r="C665" s="989"/>
      <c r="D665" s="989"/>
      <c r="E665" s="989"/>
      <c r="F665" s="989"/>
      <c r="G665" s="989"/>
      <c r="H665" s="992" t="str">
        <f t="shared" si="16"/>
        <v/>
      </c>
      <c r="I665" s="989"/>
      <c r="J665" s="989"/>
      <c r="K665" s="989"/>
      <c r="L665" s="989"/>
      <c r="M665" s="989"/>
      <c r="N665" s="989"/>
      <c r="O665" s="989"/>
      <c r="P665" s="989"/>
      <c r="Q665" s="989"/>
      <c r="R665" s="989"/>
      <c r="S665" s="989"/>
      <c r="T665" s="989"/>
      <c r="U665" s="989"/>
      <c r="V665" s="989"/>
      <c r="W665" s="989"/>
      <c r="X665" s="989"/>
      <c r="Y665" s="989"/>
      <c r="Z665" s="989"/>
      <c r="AA665" s="989"/>
      <c r="AB665" s="989"/>
      <c r="AC665" s="989"/>
      <c r="AD665" s="989"/>
      <c r="AE665" s="989"/>
    </row>
    <row r="666">
      <c r="A666" s="989"/>
      <c r="B666" s="989"/>
      <c r="C666" s="989"/>
      <c r="D666" s="989"/>
      <c r="E666" s="989"/>
      <c r="F666" s="989"/>
      <c r="G666" s="989"/>
      <c r="H666" s="992" t="str">
        <f t="shared" si="16"/>
        <v/>
      </c>
      <c r="I666" s="989"/>
      <c r="J666" s="989"/>
      <c r="K666" s="989"/>
      <c r="L666" s="989"/>
      <c r="M666" s="989"/>
      <c r="N666" s="989"/>
      <c r="O666" s="989"/>
      <c r="P666" s="989"/>
      <c r="Q666" s="989"/>
      <c r="R666" s="989"/>
      <c r="S666" s="989"/>
      <c r="T666" s="989"/>
      <c r="U666" s="989"/>
      <c r="V666" s="989"/>
      <c r="W666" s="989"/>
      <c r="X666" s="989"/>
      <c r="Y666" s="989"/>
      <c r="Z666" s="989"/>
      <c r="AA666" s="989"/>
      <c r="AB666" s="989"/>
      <c r="AC666" s="989"/>
      <c r="AD666" s="989"/>
      <c r="AE666" s="989"/>
    </row>
    <row r="667">
      <c r="A667" s="989"/>
      <c r="B667" s="989"/>
      <c r="C667" s="989"/>
      <c r="D667" s="989"/>
      <c r="E667" s="989"/>
      <c r="F667" s="989"/>
      <c r="G667" s="989"/>
      <c r="H667" s="992" t="str">
        <f t="shared" si="16"/>
        <v/>
      </c>
      <c r="I667" s="989"/>
      <c r="J667" s="989"/>
      <c r="K667" s="989"/>
      <c r="L667" s="989"/>
      <c r="M667" s="989"/>
      <c r="N667" s="989"/>
      <c r="O667" s="989"/>
      <c r="P667" s="989"/>
      <c r="Q667" s="989"/>
      <c r="R667" s="989"/>
      <c r="S667" s="989"/>
      <c r="T667" s="989"/>
      <c r="U667" s="989"/>
      <c r="V667" s="989"/>
      <c r="W667" s="989"/>
      <c r="X667" s="989"/>
      <c r="Y667" s="989"/>
      <c r="Z667" s="989"/>
      <c r="AA667" s="989"/>
      <c r="AB667" s="989"/>
      <c r="AC667" s="989"/>
      <c r="AD667" s="989"/>
      <c r="AE667" s="989"/>
    </row>
    <row r="668">
      <c r="A668" s="989"/>
      <c r="B668" s="989"/>
      <c r="C668" s="989"/>
      <c r="D668" s="989"/>
      <c r="E668" s="989"/>
      <c r="F668" s="989"/>
      <c r="G668" s="989"/>
      <c r="H668" s="992" t="str">
        <f t="shared" si="16"/>
        <v/>
      </c>
      <c r="I668" s="989"/>
      <c r="J668" s="989"/>
      <c r="K668" s="989"/>
      <c r="L668" s="989"/>
      <c r="M668" s="989"/>
      <c r="N668" s="989"/>
      <c r="O668" s="989"/>
      <c r="P668" s="989"/>
      <c r="Q668" s="989"/>
      <c r="R668" s="989"/>
      <c r="S668" s="989"/>
      <c r="T668" s="989"/>
      <c r="U668" s="989"/>
      <c r="V668" s="989"/>
      <c r="W668" s="989"/>
      <c r="X668" s="989"/>
      <c r="Y668" s="989"/>
      <c r="Z668" s="989"/>
      <c r="AA668" s="989"/>
      <c r="AB668" s="989"/>
      <c r="AC668" s="989"/>
      <c r="AD668" s="989"/>
      <c r="AE668" s="989"/>
    </row>
    <row r="669">
      <c r="A669" s="989"/>
      <c r="B669" s="989"/>
      <c r="C669" s="989"/>
      <c r="D669" s="989"/>
      <c r="E669" s="989"/>
      <c r="F669" s="989"/>
      <c r="G669" s="989"/>
      <c r="H669" s="992" t="str">
        <f t="shared" si="16"/>
        <v/>
      </c>
      <c r="I669" s="989"/>
      <c r="J669" s="989"/>
      <c r="K669" s="989"/>
      <c r="L669" s="989"/>
      <c r="M669" s="989"/>
      <c r="N669" s="989"/>
      <c r="O669" s="989"/>
      <c r="P669" s="989"/>
      <c r="Q669" s="989"/>
      <c r="R669" s="989"/>
      <c r="S669" s="989"/>
      <c r="T669" s="989"/>
      <c r="U669" s="989"/>
      <c r="V669" s="989"/>
      <c r="W669" s="989"/>
      <c r="X669" s="989"/>
      <c r="Y669" s="989"/>
      <c r="Z669" s="989"/>
      <c r="AA669" s="989"/>
      <c r="AB669" s="989"/>
      <c r="AC669" s="989"/>
      <c r="AD669" s="989"/>
      <c r="AE669" s="989"/>
    </row>
    <row r="670">
      <c r="A670" s="989"/>
      <c r="B670" s="989"/>
      <c r="C670" s="989"/>
      <c r="D670" s="989"/>
      <c r="E670" s="989"/>
      <c r="F670" s="989"/>
      <c r="G670" s="989"/>
      <c r="H670" s="992" t="str">
        <f t="shared" si="16"/>
        <v/>
      </c>
      <c r="I670" s="989"/>
      <c r="J670" s="989"/>
      <c r="K670" s="989"/>
      <c r="L670" s="989"/>
      <c r="M670" s="989"/>
      <c r="N670" s="989"/>
      <c r="O670" s="989"/>
      <c r="P670" s="989"/>
      <c r="Q670" s="989"/>
      <c r="R670" s="989"/>
      <c r="S670" s="989"/>
      <c r="T670" s="989"/>
      <c r="U670" s="989"/>
      <c r="V670" s="989"/>
      <c r="W670" s="989"/>
      <c r="X670" s="989"/>
      <c r="Y670" s="989"/>
      <c r="Z670" s="989"/>
      <c r="AA670" s="989"/>
      <c r="AB670" s="989"/>
      <c r="AC670" s="989"/>
      <c r="AD670" s="989"/>
      <c r="AE670" s="989"/>
    </row>
    <row r="671">
      <c r="A671" s="989"/>
      <c r="B671" s="989"/>
      <c r="C671" s="989"/>
      <c r="D671" s="989"/>
      <c r="E671" s="989"/>
      <c r="F671" s="989"/>
      <c r="G671" s="989"/>
      <c r="H671" s="992" t="str">
        <f t="shared" si="16"/>
        <v/>
      </c>
      <c r="I671" s="989"/>
      <c r="J671" s="989"/>
      <c r="K671" s="989"/>
      <c r="L671" s="989"/>
      <c r="M671" s="989"/>
      <c r="N671" s="989"/>
      <c r="O671" s="989"/>
      <c r="P671" s="989"/>
      <c r="Q671" s="989"/>
      <c r="R671" s="989"/>
      <c r="S671" s="989"/>
      <c r="T671" s="989"/>
      <c r="U671" s="989"/>
      <c r="V671" s="989"/>
      <c r="W671" s="989"/>
      <c r="X671" s="989"/>
      <c r="Y671" s="989"/>
      <c r="Z671" s="989"/>
      <c r="AA671" s="989"/>
      <c r="AB671" s="989"/>
      <c r="AC671" s="989"/>
      <c r="AD671" s="989"/>
      <c r="AE671" s="989"/>
    </row>
    <row r="672">
      <c r="A672" s="989"/>
      <c r="B672" s="989"/>
      <c r="C672" s="989"/>
      <c r="D672" s="989"/>
      <c r="E672" s="989"/>
      <c r="F672" s="989"/>
      <c r="G672" s="989"/>
      <c r="H672" s="992" t="str">
        <f t="shared" si="16"/>
        <v/>
      </c>
      <c r="I672" s="989"/>
      <c r="J672" s="989"/>
      <c r="K672" s="989"/>
      <c r="L672" s="989"/>
      <c r="M672" s="989"/>
      <c r="N672" s="989"/>
      <c r="O672" s="989"/>
      <c r="P672" s="989"/>
      <c r="Q672" s="989"/>
      <c r="R672" s="989"/>
      <c r="S672" s="989"/>
      <c r="T672" s="989"/>
      <c r="U672" s="989"/>
      <c r="V672" s="989"/>
      <c r="W672" s="989"/>
      <c r="X672" s="989"/>
      <c r="Y672" s="989"/>
      <c r="Z672" s="989"/>
      <c r="AA672" s="989"/>
      <c r="AB672" s="989"/>
      <c r="AC672" s="989"/>
      <c r="AD672" s="989"/>
      <c r="AE672" s="989"/>
    </row>
    <row r="673">
      <c r="A673" s="989"/>
      <c r="B673" s="989"/>
      <c r="C673" s="989"/>
      <c r="D673" s="989"/>
      <c r="E673" s="989"/>
      <c r="F673" s="989"/>
      <c r="G673" s="989"/>
      <c r="H673" s="992" t="str">
        <f t="shared" si="16"/>
        <v/>
      </c>
      <c r="I673" s="989"/>
      <c r="J673" s="989"/>
      <c r="K673" s="989"/>
      <c r="L673" s="989"/>
      <c r="M673" s="989"/>
      <c r="N673" s="989"/>
      <c r="O673" s="989"/>
      <c r="P673" s="989"/>
      <c r="Q673" s="989"/>
      <c r="R673" s="989"/>
      <c r="S673" s="989"/>
      <c r="T673" s="989"/>
      <c r="U673" s="989"/>
      <c r="V673" s="989"/>
      <c r="W673" s="989"/>
      <c r="X673" s="989"/>
      <c r="Y673" s="989"/>
      <c r="Z673" s="989"/>
      <c r="AA673" s="989"/>
      <c r="AB673" s="989"/>
      <c r="AC673" s="989"/>
      <c r="AD673" s="989"/>
      <c r="AE673" s="989"/>
    </row>
    <row r="674">
      <c r="A674" s="989"/>
      <c r="B674" s="989"/>
      <c r="C674" s="989"/>
      <c r="D674" s="989"/>
      <c r="E674" s="989"/>
      <c r="F674" s="989"/>
      <c r="G674" s="989"/>
      <c r="H674" s="992" t="str">
        <f t="shared" si="16"/>
        <v/>
      </c>
      <c r="I674" s="989"/>
      <c r="J674" s="989"/>
      <c r="K674" s="989"/>
      <c r="L674" s="989"/>
      <c r="M674" s="989"/>
      <c r="N674" s="989"/>
      <c r="O674" s="989"/>
      <c r="P674" s="989"/>
      <c r="Q674" s="989"/>
      <c r="R674" s="989"/>
      <c r="S674" s="989"/>
      <c r="T674" s="989"/>
      <c r="U674" s="989"/>
      <c r="V674" s="989"/>
      <c r="W674" s="989"/>
      <c r="X674" s="989"/>
      <c r="Y674" s="989"/>
      <c r="Z674" s="989"/>
      <c r="AA674" s="989"/>
      <c r="AB674" s="989"/>
      <c r="AC674" s="989"/>
      <c r="AD674" s="989"/>
      <c r="AE674" s="989"/>
    </row>
    <row r="675">
      <c r="A675" s="989"/>
      <c r="B675" s="989"/>
      <c r="C675" s="989"/>
      <c r="D675" s="989"/>
      <c r="E675" s="989"/>
      <c r="F675" s="989"/>
      <c r="G675" s="989"/>
      <c r="H675" s="992" t="str">
        <f t="shared" si="16"/>
        <v/>
      </c>
      <c r="I675" s="989"/>
      <c r="J675" s="989"/>
      <c r="K675" s="989"/>
      <c r="L675" s="989"/>
      <c r="M675" s="989"/>
      <c r="N675" s="989"/>
      <c r="O675" s="989"/>
      <c r="P675" s="989"/>
      <c r="Q675" s="989"/>
      <c r="R675" s="989"/>
      <c r="S675" s="989"/>
      <c r="T675" s="989"/>
      <c r="U675" s="989"/>
      <c r="V675" s="989"/>
      <c r="W675" s="989"/>
      <c r="X675" s="989"/>
      <c r="Y675" s="989"/>
      <c r="Z675" s="989"/>
      <c r="AA675" s="989"/>
      <c r="AB675" s="989"/>
      <c r="AC675" s="989"/>
      <c r="AD675" s="989"/>
      <c r="AE675" s="989"/>
    </row>
    <row r="676">
      <c r="A676" s="989"/>
      <c r="B676" s="989"/>
      <c r="C676" s="989"/>
      <c r="D676" s="989"/>
      <c r="E676" s="989"/>
      <c r="F676" s="989"/>
      <c r="G676" s="989"/>
      <c r="H676" s="992" t="str">
        <f t="shared" si="16"/>
        <v/>
      </c>
      <c r="I676" s="989"/>
      <c r="J676" s="989"/>
      <c r="K676" s="989"/>
      <c r="L676" s="989"/>
      <c r="M676" s="989"/>
      <c r="N676" s="989"/>
      <c r="O676" s="989"/>
      <c r="P676" s="989"/>
      <c r="Q676" s="989"/>
      <c r="R676" s="989"/>
      <c r="S676" s="989"/>
      <c r="T676" s="989"/>
      <c r="U676" s="989"/>
      <c r="V676" s="989"/>
      <c r="W676" s="989"/>
      <c r="X676" s="989"/>
      <c r="Y676" s="989"/>
      <c r="Z676" s="989"/>
      <c r="AA676" s="989"/>
      <c r="AB676" s="989"/>
      <c r="AC676" s="989"/>
      <c r="AD676" s="989"/>
      <c r="AE676" s="989"/>
    </row>
    <row r="677">
      <c r="A677" s="989"/>
      <c r="B677" s="989"/>
      <c r="C677" s="989"/>
      <c r="D677" s="989"/>
      <c r="E677" s="989"/>
      <c r="F677" s="989"/>
      <c r="G677" s="989"/>
      <c r="H677" s="992" t="str">
        <f t="shared" si="16"/>
        <v/>
      </c>
      <c r="I677" s="989"/>
      <c r="J677" s="989"/>
      <c r="K677" s="989"/>
      <c r="L677" s="989"/>
      <c r="M677" s="989"/>
      <c r="N677" s="989"/>
      <c r="O677" s="989"/>
      <c r="P677" s="989"/>
      <c r="Q677" s="989"/>
      <c r="R677" s="989"/>
      <c r="S677" s="989"/>
      <c r="T677" s="989"/>
      <c r="U677" s="989"/>
      <c r="V677" s="989"/>
      <c r="W677" s="989"/>
      <c r="X677" s="989"/>
      <c r="Y677" s="989"/>
      <c r="Z677" s="989"/>
      <c r="AA677" s="989"/>
      <c r="AB677" s="989"/>
      <c r="AC677" s="989"/>
      <c r="AD677" s="989"/>
      <c r="AE677" s="989"/>
    </row>
    <row r="678">
      <c r="A678" s="989"/>
      <c r="B678" s="989"/>
      <c r="C678" s="989"/>
      <c r="D678" s="989"/>
      <c r="E678" s="989"/>
      <c r="F678" s="989"/>
      <c r="G678" s="989"/>
      <c r="H678" s="992" t="str">
        <f t="shared" si="16"/>
        <v/>
      </c>
      <c r="I678" s="989"/>
      <c r="J678" s="989"/>
      <c r="K678" s="989"/>
      <c r="L678" s="989"/>
      <c r="M678" s="989"/>
      <c r="N678" s="989"/>
      <c r="O678" s="989"/>
      <c r="P678" s="989"/>
      <c r="Q678" s="989"/>
      <c r="R678" s="989"/>
      <c r="S678" s="989"/>
      <c r="T678" s="989"/>
      <c r="U678" s="989"/>
      <c r="V678" s="989"/>
      <c r="W678" s="989"/>
      <c r="X678" s="989"/>
      <c r="Y678" s="989"/>
      <c r="Z678" s="989"/>
      <c r="AA678" s="989"/>
      <c r="AB678" s="989"/>
      <c r="AC678" s="989"/>
      <c r="AD678" s="989"/>
      <c r="AE678" s="989"/>
    </row>
    <row r="679">
      <c r="A679" s="989"/>
      <c r="B679" s="989"/>
      <c r="C679" s="989"/>
      <c r="D679" s="989"/>
      <c r="E679" s="989"/>
      <c r="F679" s="989"/>
      <c r="G679" s="989"/>
      <c r="H679" s="992" t="str">
        <f t="shared" si="16"/>
        <v/>
      </c>
      <c r="I679" s="989"/>
      <c r="J679" s="989"/>
      <c r="K679" s="989"/>
      <c r="L679" s="989"/>
      <c r="M679" s="989"/>
      <c r="N679" s="989"/>
      <c r="O679" s="989"/>
      <c r="P679" s="989"/>
      <c r="Q679" s="989"/>
      <c r="R679" s="989"/>
      <c r="S679" s="989"/>
      <c r="T679" s="989"/>
      <c r="U679" s="989"/>
      <c r="V679" s="989"/>
      <c r="W679" s="989"/>
      <c r="X679" s="989"/>
      <c r="Y679" s="989"/>
      <c r="Z679" s="989"/>
      <c r="AA679" s="989"/>
      <c r="AB679" s="989"/>
      <c r="AC679" s="989"/>
      <c r="AD679" s="989"/>
      <c r="AE679" s="989"/>
    </row>
    <row r="680">
      <c r="A680" s="989"/>
      <c r="B680" s="989"/>
      <c r="C680" s="989"/>
      <c r="D680" s="989"/>
      <c r="E680" s="989"/>
      <c r="F680" s="989"/>
      <c r="G680" s="989"/>
      <c r="H680" s="992" t="str">
        <f t="shared" si="16"/>
        <v/>
      </c>
      <c r="I680" s="989"/>
      <c r="J680" s="989"/>
      <c r="K680" s="989"/>
      <c r="L680" s="989"/>
      <c r="M680" s="989"/>
      <c r="N680" s="989"/>
      <c r="O680" s="989"/>
      <c r="P680" s="989"/>
      <c r="Q680" s="989"/>
      <c r="R680" s="989"/>
      <c r="S680" s="989"/>
      <c r="T680" s="989"/>
      <c r="U680" s="989"/>
      <c r="V680" s="989"/>
      <c r="W680" s="989"/>
      <c r="X680" s="989"/>
      <c r="Y680" s="989"/>
      <c r="Z680" s="989"/>
      <c r="AA680" s="989"/>
      <c r="AB680" s="989"/>
      <c r="AC680" s="989"/>
      <c r="AD680" s="989"/>
      <c r="AE680" s="989"/>
    </row>
    <row r="681">
      <c r="A681" s="989"/>
      <c r="B681" s="989"/>
      <c r="C681" s="989"/>
      <c r="D681" s="989"/>
      <c r="E681" s="989"/>
      <c r="F681" s="989"/>
      <c r="G681" s="989"/>
      <c r="H681" s="992" t="str">
        <f t="shared" si="16"/>
        <v/>
      </c>
      <c r="I681" s="989"/>
      <c r="J681" s="989"/>
      <c r="K681" s="989"/>
      <c r="L681" s="989"/>
      <c r="M681" s="989"/>
      <c r="N681" s="989"/>
      <c r="O681" s="989"/>
      <c r="P681" s="989"/>
      <c r="Q681" s="989"/>
      <c r="R681" s="989"/>
      <c r="S681" s="989"/>
      <c r="T681" s="989"/>
      <c r="U681" s="989"/>
      <c r="V681" s="989"/>
      <c r="W681" s="989"/>
      <c r="X681" s="989"/>
      <c r="Y681" s="989"/>
      <c r="Z681" s="989"/>
      <c r="AA681" s="989"/>
      <c r="AB681" s="989"/>
      <c r="AC681" s="989"/>
      <c r="AD681" s="989"/>
      <c r="AE681" s="989"/>
    </row>
    <row r="682">
      <c r="A682" s="989"/>
      <c r="B682" s="989"/>
      <c r="C682" s="989"/>
      <c r="D682" s="989"/>
      <c r="E682" s="989"/>
      <c r="F682" s="989"/>
      <c r="G682" s="989"/>
      <c r="H682" s="992" t="str">
        <f t="shared" si="16"/>
        <v/>
      </c>
      <c r="I682" s="989"/>
      <c r="J682" s="989"/>
      <c r="K682" s="989"/>
      <c r="L682" s="989"/>
      <c r="M682" s="989"/>
      <c r="N682" s="989"/>
      <c r="O682" s="989"/>
      <c r="P682" s="989"/>
      <c r="Q682" s="989"/>
      <c r="R682" s="989"/>
      <c r="S682" s="989"/>
      <c r="T682" s="989"/>
      <c r="U682" s="989"/>
      <c r="V682" s="989"/>
      <c r="W682" s="989"/>
      <c r="X682" s="989"/>
      <c r="Y682" s="989"/>
      <c r="Z682" s="989"/>
      <c r="AA682" s="989"/>
      <c r="AB682" s="989"/>
      <c r="AC682" s="989"/>
      <c r="AD682" s="989"/>
      <c r="AE682" s="989"/>
    </row>
    <row r="683">
      <c r="A683" s="989"/>
      <c r="B683" s="989"/>
      <c r="C683" s="989"/>
      <c r="D683" s="989"/>
      <c r="E683" s="989"/>
      <c r="F683" s="989"/>
      <c r="G683" s="989"/>
      <c r="H683" s="992" t="str">
        <f t="shared" si="16"/>
        <v/>
      </c>
      <c r="I683" s="989"/>
      <c r="J683" s="989"/>
      <c r="K683" s="989"/>
      <c r="L683" s="989"/>
      <c r="M683" s="989"/>
      <c r="N683" s="989"/>
      <c r="O683" s="989"/>
      <c r="P683" s="989"/>
      <c r="Q683" s="989"/>
      <c r="R683" s="989"/>
      <c r="S683" s="989"/>
      <c r="T683" s="989"/>
      <c r="U683" s="989"/>
      <c r="V683" s="989"/>
      <c r="W683" s="989"/>
      <c r="X683" s="989"/>
      <c r="Y683" s="989"/>
      <c r="Z683" s="989"/>
      <c r="AA683" s="989"/>
      <c r="AB683" s="989"/>
      <c r="AC683" s="989"/>
      <c r="AD683" s="989"/>
      <c r="AE683" s="989"/>
    </row>
    <row r="684">
      <c r="A684" s="989"/>
      <c r="B684" s="989"/>
      <c r="C684" s="989"/>
      <c r="D684" s="989"/>
      <c r="E684" s="989"/>
      <c r="F684" s="989"/>
      <c r="G684" s="989"/>
      <c r="H684" s="992" t="str">
        <f t="shared" si="16"/>
        <v/>
      </c>
      <c r="I684" s="989"/>
      <c r="J684" s="989"/>
      <c r="K684" s="989"/>
      <c r="L684" s="989"/>
      <c r="M684" s="989"/>
      <c r="N684" s="989"/>
      <c r="O684" s="989"/>
      <c r="P684" s="989"/>
      <c r="Q684" s="989"/>
      <c r="R684" s="989"/>
      <c r="S684" s="989"/>
      <c r="T684" s="989"/>
      <c r="U684" s="989"/>
      <c r="V684" s="989"/>
      <c r="W684" s="989"/>
      <c r="X684" s="989"/>
      <c r="Y684" s="989"/>
      <c r="Z684" s="989"/>
      <c r="AA684" s="989"/>
      <c r="AB684" s="989"/>
      <c r="AC684" s="989"/>
      <c r="AD684" s="989"/>
      <c r="AE684" s="989"/>
    </row>
    <row r="685">
      <c r="A685" s="989"/>
      <c r="B685" s="989"/>
      <c r="C685" s="989"/>
      <c r="D685" s="989"/>
      <c r="E685" s="989"/>
      <c r="F685" s="989"/>
      <c r="G685" s="989"/>
      <c r="H685" s="992" t="str">
        <f t="shared" si="16"/>
        <v/>
      </c>
      <c r="I685" s="989"/>
      <c r="J685" s="989"/>
      <c r="K685" s="989"/>
      <c r="L685" s="989"/>
      <c r="M685" s="989"/>
      <c r="N685" s="989"/>
      <c r="O685" s="989"/>
      <c r="P685" s="989"/>
      <c r="Q685" s="989"/>
      <c r="R685" s="989"/>
      <c r="S685" s="989"/>
      <c r="T685" s="989"/>
      <c r="U685" s="989"/>
      <c r="V685" s="989"/>
      <c r="W685" s="989"/>
      <c r="X685" s="989"/>
      <c r="Y685" s="989"/>
      <c r="Z685" s="989"/>
      <c r="AA685" s="989"/>
      <c r="AB685" s="989"/>
      <c r="AC685" s="989"/>
      <c r="AD685" s="989"/>
      <c r="AE685" s="989"/>
    </row>
    <row r="686">
      <c r="A686" s="989"/>
      <c r="B686" s="989"/>
      <c r="C686" s="989"/>
      <c r="D686" s="989"/>
      <c r="E686" s="989"/>
      <c r="F686" s="989"/>
      <c r="G686" s="989"/>
      <c r="H686" s="992" t="str">
        <f t="shared" si="16"/>
        <v/>
      </c>
      <c r="I686" s="989"/>
      <c r="J686" s="989"/>
      <c r="K686" s="989"/>
      <c r="L686" s="989"/>
      <c r="M686" s="989"/>
      <c r="N686" s="989"/>
      <c r="O686" s="989"/>
      <c r="P686" s="989"/>
      <c r="Q686" s="989"/>
      <c r="R686" s="989"/>
      <c r="S686" s="989"/>
      <c r="T686" s="989"/>
      <c r="U686" s="989"/>
      <c r="V686" s="989"/>
      <c r="W686" s="989"/>
      <c r="X686" s="989"/>
      <c r="Y686" s="989"/>
      <c r="Z686" s="989"/>
      <c r="AA686" s="989"/>
      <c r="AB686" s="989"/>
      <c r="AC686" s="989"/>
      <c r="AD686" s="989"/>
      <c r="AE686" s="989"/>
    </row>
    <row r="687">
      <c r="A687" s="989"/>
      <c r="B687" s="989"/>
      <c r="C687" s="989"/>
      <c r="D687" s="989"/>
      <c r="E687" s="989"/>
      <c r="F687" s="989"/>
      <c r="G687" s="989"/>
      <c r="H687" s="992" t="str">
        <f t="shared" si="16"/>
        <v/>
      </c>
      <c r="I687" s="989"/>
      <c r="J687" s="989"/>
      <c r="K687" s="989"/>
      <c r="L687" s="989"/>
      <c r="M687" s="989"/>
      <c r="N687" s="989"/>
      <c r="O687" s="989"/>
      <c r="P687" s="989"/>
      <c r="Q687" s="989"/>
      <c r="R687" s="989"/>
      <c r="S687" s="989"/>
      <c r="T687" s="989"/>
      <c r="U687" s="989"/>
      <c r="V687" s="989"/>
      <c r="W687" s="989"/>
      <c r="X687" s="989"/>
      <c r="Y687" s="989"/>
      <c r="Z687" s="989"/>
      <c r="AA687" s="989"/>
      <c r="AB687" s="989"/>
      <c r="AC687" s="989"/>
      <c r="AD687" s="989"/>
      <c r="AE687" s="989"/>
    </row>
    <row r="688">
      <c r="A688" s="989"/>
      <c r="B688" s="989"/>
      <c r="C688" s="989"/>
      <c r="D688" s="989"/>
      <c r="E688" s="989"/>
      <c r="F688" s="989"/>
      <c r="G688" s="989"/>
      <c r="H688" s="992" t="str">
        <f t="shared" si="16"/>
        <v/>
      </c>
      <c r="I688" s="989"/>
      <c r="J688" s="989"/>
      <c r="K688" s="989"/>
      <c r="L688" s="989"/>
      <c r="M688" s="989"/>
      <c r="N688" s="989"/>
      <c r="O688" s="989"/>
      <c r="P688" s="989"/>
      <c r="Q688" s="989"/>
      <c r="R688" s="989"/>
      <c r="S688" s="989"/>
      <c r="T688" s="989"/>
      <c r="U688" s="989"/>
      <c r="V688" s="989"/>
      <c r="W688" s="989"/>
      <c r="X688" s="989"/>
      <c r="Y688" s="989"/>
      <c r="Z688" s="989"/>
      <c r="AA688" s="989"/>
      <c r="AB688" s="989"/>
      <c r="AC688" s="989"/>
      <c r="AD688" s="989"/>
      <c r="AE688" s="989"/>
    </row>
    <row r="689">
      <c r="A689" s="989"/>
      <c r="B689" s="989"/>
      <c r="C689" s="989"/>
      <c r="D689" s="989"/>
      <c r="E689" s="989"/>
      <c r="F689" s="989"/>
      <c r="G689" s="989"/>
      <c r="H689" s="992" t="str">
        <f t="shared" si="16"/>
        <v/>
      </c>
      <c r="I689" s="989"/>
      <c r="J689" s="989"/>
      <c r="K689" s="989"/>
      <c r="L689" s="989"/>
      <c r="M689" s="989"/>
      <c r="N689" s="989"/>
      <c r="O689" s="989"/>
      <c r="P689" s="989"/>
      <c r="Q689" s="989"/>
      <c r="R689" s="989"/>
      <c r="S689" s="989"/>
      <c r="T689" s="989"/>
      <c r="U689" s="989"/>
      <c r="V689" s="989"/>
      <c r="W689" s="989"/>
      <c r="X689" s="989"/>
      <c r="Y689" s="989"/>
      <c r="Z689" s="989"/>
      <c r="AA689" s="989"/>
      <c r="AB689" s="989"/>
      <c r="AC689" s="989"/>
      <c r="AD689" s="989"/>
      <c r="AE689" s="989"/>
    </row>
    <row r="690">
      <c r="A690" s="989"/>
      <c r="B690" s="989"/>
      <c r="C690" s="989"/>
      <c r="D690" s="989"/>
      <c r="E690" s="989"/>
      <c r="F690" s="989"/>
      <c r="G690" s="989"/>
      <c r="H690" s="992" t="str">
        <f t="shared" si="16"/>
        <v/>
      </c>
      <c r="I690" s="989"/>
      <c r="J690" s="989"/>
      <c r="K690" s="989"/>
      <c r="L690" s="989"/>
      <c r="M690" s="989"/>
      <c r="N690" s="989"/>
      <c r="O690" s="989"/>
      <c r="P690" s="989"/>
      <c r="Q690" s="989"/>
      <c r="R690" s="989"/>
      <c r="S690" s="989"/>
      <c r="T690" s="989"/>
      <c r="U690" s="989"/>
      <c r="V690" s="989"/>
      <c r="W690" s="989"/>
      <c r="X690" s="989"/>
      <c r="Y690" s="989"/>
      <c r="Z690" s="989"/>
      <c r="AA690" s="989"/>
      <c r="AB690" s="989"/>
      <c r="AC690" s="989"/>
      <c r="AD690" s="989"/>
      <c r="AE690" s="989"/>
    </row>
    <row r="691">
      <c r="A691" s="989"/>
      <c r="B691" s="989"/>
      <c r="C691" s="989"/>
      <c r="D691" s="989"/>
      <c r="E691" s="989"/>
      <c r="F691" s="989"/>
      <c r="G691" s="989"/>
      <c r="H691" s="992" t="str">
        <f t="shared" si="16"/>
        <v/>
      </c>
      <c r="I691" s="989"/>
      <c r="J691" s="989"/>
      <c r="K691" s="989"/>
      <c r="L691" s="989"/>
      <c r="M691" s="989"/>
      <c r="N691" s="989"/>
      <c r="O691" s="989"/>
      <c r="P691" s="989"/>
      <c r="Q691" s="989"/>
      <c r="R691" s="989"/>
      <c r="S691" s="989"/>
      <c r="T691" s="989"/>
      <c r="U691" s="989"/>
      <c r="V691" s="989"/>
      <c r="W691" s="989"/>
      <c r="X691" s="989"/>
      <c r="Y691" s="989"/>
      <c r="Z691" s="989"/>
      <c r="AA691" s="989"/>
      <c r="AB691" s="989"/>
      <c r="AC691" s="989"/>
      <c r="AD691" s="989"/>
      <c r="AE691" s="989"/>
    </row>
    <row r="692">
      <c r="A692" s="989"/>
      <c r="B692" s="989"/>
      <c r="C692" s="989"/>
      <c r="D692" s="989"/>
      <c r="E692" s="989"/>
      <c r="F692" s="989"/>
      <c r="G692" s="989"/>
      <c r="H692" s="992" t="str">
        <f t="shared" si="16"/>
        <v/>
      </c>
      <c r="I692" s="989"/>
      <c r="J692" s="989"/>
      <c r="K692" s="989"/>
      <c r="L692" s="989"/>
      <c r="M692" s="989"/>
      <c r="N692" s="989"/>
      <c r="O692" s="989"/>
      <c r="P692" s="989"/>
      <c r="Q692" s="989"/>
      <c r="R692" s="989"/>
      <c r="S692" s="989"/>
      <c r="T692" s="989"/>
      <c r="U692" s="989"/>
      <c r="V692" s="989"/>
      <c r="W692" s="989"/>
      <c r="X692" s="989"/>
      <c r="Y692" s="989"/>
      <c r="Z692" s="989"/>
      <c r="AA692" s="989"/>
      <c r="AB692" s="989"/>
      <c r="AC692" s="989"/>
      <c r="AD692" s="989"/>
      <c r="AE692" s="989"/>
    </row>
    <row r="693">
      <c r="A693" s="989"/>
      <c r="B693" s="989"/>
      <c r="C693" s="989"/>
      <c r="D693" s="989"/>
      <c r="E693" s="989"/>
      <c r="F693" s="989"/>
      <c r="G693" s="989"/>
      <c r="H693" s="992" t="str">
        <f t="shared" si="16"/>
        <v/>
      </c>
      <c r="I693" s="989"/>
      <c r="J693" s="989"/>
      <c r="K693" s="989"/>
      <c r="L693" s="989"/>
      <c r="M693" s="989"/>
      <c r="N693" s="989"/>
      <c r="O693" s="989"/>
      <c r="P693" s="989"/>
      <c r="Q693" s="989"/>
      <c r="R693" s="989"/>
      <c r="S693" s="989"/>
      <c r="T693" s="989"/>
      <c r="U693" s="989"/>
      <c r="V693" s="989"/>
      <c r="W693" s="989"/>
      <c r="X693" s="989"/>
      <c r="Y693" s="989"/>
      <c r="Z693" s="989"/>
      <c r="AA693" s="989"/>
      <c r="AB693" s="989"/>
      <c r="AC693" s="989"/>
      <c r="AD693" s="989"/>
      <c r="AE693" s="989"/>
    </row>
    <row r="694">
      <c r="A694" s="989"/>
      <c r="B694" s="989"/>
      <c r="C694" s="989"/>
      <c r="D694" s="989"/>
      <c r="E694" s="989"/>
      <c r="F694" s="989"/>
      <c r="G694" s="989"/>
      <c r="H694" s="992" t="str">
        <f t="shared" si="16"/>
        <v/>
      </c>
      <c r="I694" s="989"/>
      <c r="J694" s="989"/>
      <c r="K694" s="989"/>
      <c r="L694" s="989"/>
      <c r="M694" s="989"/>
      <c r="N694" s="989"/>
      <c r="O694" s="989"/>
      <c r="P694" s="989"/>
      <c r="Q694" s="989"/>
      <c r="R694" s="989"/>
      <c r="S694" s="989"/>
      <c r="T694" s="989"/>
      <c r="U694" s="989"/>
      <c r="V694" s="989"/>
      <c r="W694" s="989"/>
      <c r="X694" s="989"/>
      <c r="Y694" s="989"/>
      <c r="Z694" s="989"/>
      <c r="AA694" s="989"/>
      <c r="AB694" s="989"/>
      <c r="AC694" s="989"/>
      <c r="AD694" s="989"/>
      <c r="AE694" s="989"/>
    </row>
    <row r="695">
      <c r="A695" s="989"/>
      <c r="B695" s="989"/>
      <c r="C695" s="989"/>
      <c r="D695" s="989"/>
      <c r="E695" s="989"/>
      <c r="F695" s="989"/>
      <c r="G695" s="989"/>
      <c r="H695" s="992" t="str">
        <f t="shared" si="16"/>
        <v/>
      </c>
      <c r="I695" s="989"/>
      <c r="J695" s="989"/>
      <c r="K695" s="989"/>
      <c r="L695" s="989"/>
      <c r="M695" s="989"/>
      <c r="N695" s="989"/>
      <c r="O695" s="989"/>
      <c r="P695" s="989"/>
      <c r="Q695" s="989"/>
      <c r="R695" s="989"/>
      <c r="S695" s="989"/>
      <c r="T695" s="989"/>
      <c r="U695" s="989"/>
      <c r="V695" s="989"/>
      <c r="W695" s="989"/>
      <c r="X695" s="989"/>
      <c r="Y695" s="989"/>
      <c r="Z695" s="989"/>
      <c r="AA695" s="989"/>
      <c r="AB695" s="989"/>
      <c r="AC695" s="989"/>
      <c r="AD695" s="989"/>
      <c r="AE695" s="989"/>
    </row>
    <row r="696">
      <c r="A696" s="989"/>
      <c r="B696" s="989"/>
      <c r="C696" s="989"/>
      <c r="D696" s="989"/>
      <c r="E696" s="989"/>
      <c r="F696" s="989"/>
      <c r="G696" s="989"/>
      <c r="H696" s="992" t="str">
        <f t="shared" si="16"/>
        <v/>
      </c>
      <c r="I696" s="989"/>
      <c r="J696" s="989"/>
      <c r="K696" s="989"/>
      <c r="L696" s="989"/>
      <c r="M696" s="989"/>
      <c r="N696" s="989"/>
      <c r="O696" s="989"/>
      <c r="P696" s="989"/>
      <c r="Q696" s="989"/>
      <c r="R696" s="989"/>
      <c r="S696" s="989"/>
      <c r="T696" s="989"/>
      <c r="U696" s="989"/>
      <c r="V696" s="989"/>
      <c r="W696" s="989"/>
      <c r="X696" s="989"/>
      <c r="Y696" s="989"/>
      <c r="Z696" s="989"/>
      <c r="AA696" s="989"/>
      <c r="AB696" s="989"/>
      <c r="AC696" s="989"/>
      <c r="AD696" s="989"/>
      <c r="AE696" s="989"/>
    </row>
    <row r="697">
      <c r="A697" s="989"/>
      <c r="B697" s="989"/>
      <c r="C697" s="989"/>
      <c r="D697" s="989"/>
      <c r="E697" s="989"/>
      <c r="F697" s="989"/>
      <c r="G697" s="989"/>
      <c r="H697" s="992" t="str">
        <f t="shared" si="16"/>
        <v/>
      </c>
      <c r="I697" s="989"/>
      <c r="J697" s="989"/>
      <c r="K697" s="989"/>
      <c r="L697" s="989"/>
      <c r="M697" s="989"/>
      <c r="N697" s="989"/>
      <c r="O697" s="989"/>
      <c r="P697" s="989"/>
      <c r="Q697" s="989"/>
      <c r="R697" s="989"/>
      <c r="S697" s="989"/>
      <c r="T697" s="989"/>
      <c r="U697" s="989"/>
      <c r="V697" s="989"/>
      <c r="W697" s="989"/>
      <c r="X697" s="989"/>
      <c r="Y697" s="989"/>
      <c r="Z697" s="989"/>
      <c r="AA697" s="989"/>
      <c r="AB697" s="989"/>
      <c r="AC697" s="989"/>
      <c r="AD697" s="989"/>
      <c r="AE697" s="989"/>
    </row>
    <row r="698">
      <c r="A698" s="989"/>
      <c r="B698" s="989"/>
      <c r="C698" s="989"/>
      <c r="D698" s="989"/>
      <c r="E698" s="989"/>
      <c r="F698" s="989"/>
      <c r="G698" s="989"/>
      <c r="H698" s="992" t="str">
        <f t="shared" si="16"/>
        <v/>
      </c>
      <c r="I698" s="989"/>
      <c r="J698" s="989"/>
      <c r="K698" s="989"/>
      <c r="L698" s="989"/>
      <c r="M698" s="989"/>
      <c r="N698" s="989"/>
      <c r="O698" s="989"/>
      <c r="P698" s="989"/>
      <c r="Q698" s="989"/>
      <c r="R698" s="989"/>
      <c r="S698" s="989"/>
      <c r="T698" s="989"/>
      <c r="U698" s="989"/>
      <c r="V698" s="989"/>
      <c r="W698" s="989"/>
      <c r="X698" s="989"/>
      <c r="Y698" s="989"/>
      <c r="Z698" s="989"/>
      <c r="AA698" s="989"/>
      <c r="AB698" s="989"/>
      <c r="AC698" s="989"/>
      <c r="AD698" s="989"/>
      <c r="AE698" s="989"/>
    </row>
    <row r="699">
      <c r="A699" s="989"/>
      <c r="B699" s="989"/>
      <c r="C699" s="989"/>
      <c r="D699" s="989"/>
      <c r="E699" s="989"/>
      <c r="F699" s="989"/>
      <c r="G699" s="989"/>
      <c r="H699" s="992" t="str">
        <f t="shared" si="16"/>
        <v/>
      </c>
      <c r="I699" s="989"/>
      <c r="J699" s="989"/>
      <c r="K699" s="989"/>
      <c r="L699" s="989"/>
      <c r="M699" s="989"/>
      <c r="N699" s="989"/>
      <c r="O699" s="989"/>
      <c r="P699" s="989"/>
      <c r="Q699" s="989"/>
      <c r="R699" s="989"/>
      <c r="S699" s="989"/>
      <c r="T699" s="989"/>
      <c r="U699" s="989"/>
      <c r="V699" s="989"/>
      <c r="W699" s="989"/>
      <c r="X699" s="989"/>
      <c r="Y699" s="989"/>
      <c r="Z699" s="989"/>
      <c r="AA699" s="989"/>
      <c r="AB699" s="989"/>
      <c r="AC699" s="989"/>
      <c r="AD699" s="989"/>
      <c r="AE699" s="989"/>
    </row>
    <row r="700">
      <c r="A700" s="989"/>
      <c r="B700" s="989"/>
      <c r="C700" s="989"/>
      <c r="D700" s="989"/>
      <c r="E700" s="989"/>
      <c r="F700" s="989"/>
      <c r="G700" s="989"/>
      <c r="H700" s="992" t="str">
        <f t="shared" si="16"/>
        <v/>
      </c>
      <c r="I700" s="989"/>
      <c r="J700" s="989"/>
      <c r="K700" s="989"/>
      <c r="L700" s="989"/>
      <c r="M700" s="989"/>
      <c r="N700" s="989"/>
      <c r="O700" s="989"/>
      <c r="P700" s="989"/>
      <c r="Q700" s="989"/>
      <c r="R700" s="989"/>
      <c r="S700" s="989"/>
      <c r="T700" s="989"/>
      <c r="U700" s="989"/>
      <c r="V700" s="989"/>
      <c r="W700" s="989"/>
      <c r="X700" s="989"/>
      <c r="Y700" s="989"/>
      <c r="Z700" s="989"/>
      <c r="AA700" s="989"/>
      <c r="AB700" s="989"/>
      <c r="AC700" s="989"/>
      <c r="AD700" s="989"/>
      <c r="AE700" s="989"/>
    </row>
    <row r="701">
      <c r="A701" s="989"/>
      <c r="B701" s="989"/>
      <c r="C701" s="989"/>
      <c r="D701" s="989"/>
      <c r="E701" s="989"/>
      <c r="F701" s="989"/>
      <c r="G701" s="989"/>
      <c r="H701" s="992" t="str">
        <f t="shared" si="16"/>
        <v/>
      </c>
      <c r="I701" s="989"/>
      <c r="J701" s="989"/>
      <c r="K701" s="989"/>
      <c r="L701" s="989"/>
      <c r="M701" s="989"/>
      <c r="N701" s="989"/>
      <c r="O701" s="989"/>
      <c r="P701" s="989"/>
      <c r="Q701" s="989"/>
      <c r="R701" s="989"/>
      <c r="S701" s="989"/>
      <c r="T701" s="989"/>
      <c r="U701" s="989"/>
      <c r="V701" s="989"/>
      <c r="W701" s="989"/>
      <c r="X701" s="989"/>
      <c r="Y701" s="989"/>
      <c r="Z701" s="989"/>
      <c r="AA701" s="989"/>
      <c r="AB701" s="989"/>
      <c r="AC701" s="989"/>
      <c r="AD701" s="989"/>
      <c r="AE701" s="989"/>
    </row>
    <row r="702">
      <c r="A702" s="989"/>
      <c r="B702" s="989"/>
      <c r="C702" s="989"/>
      <c r="D702" s="989"/>
      <c r="E702" s="989"/>
      <c r="F702" s="989"/>
      <c r="G702" s="989"/>
      <c r="H702" s="992" t="str">
        <f t="shared" si="16"/>
        <v/>
      </c>
      <c r="I702" s="989"/>
      <c r="J702" s="989"/>
      <c r="K702" s="989"/>
      <c r="L702" s="989"/>
      <c r="M702" s="989"/>
      <c r="N702" s="989"/>
      <c r="O702" s="989"/>
      <c r="P702" s="989"/>
      <c r="Q702" s="989"/>
      <c r="R702" s="989"/>
      <c r="S702" s="989"/>
      <c r="T702" s="989"/>
      <c r="U702" s="989"/>
      <c r="V702" s="989"/>
      <c r="W702" s="989"/>
      <c r="X702" s="989"/>
      <c r="Y702" s="989"/>
      <c r="Z702" s="989"/>
      <c r="AA702" s="989"/>
      <c r="AB702" s="989"/>
      <c r="AC702" s="989"/>
      <c r="AD702" s="989"/>
      <c r="AE702" s="989"/>
    </row>
    <row r="703">
      <c r="A703" s="989"/>
      <c r="B703" s="989"/>
      <c r="C703" s="989"/>
      <c r="D703" s="989"/>
      <c r="E703" s="989"/>
      <c r="F703" s="989"/>
      <c r="G703" s="989"/>
      <c r="H703" s="992" t="str">
        <f t="shared" si="16"/>
        <v/>
      </c>
      <c r="I703" s="989"/>
      <c r="J703" s="989"/>
      <c r="K703" s="989"/>
      <c r="L703" s="989"/>
      <c r="M703" s="989"/>
      <c r="N703" s="989"/>
      <c r="O703" s="989"/>
      <c r="P703" s="989"/>
      <c r="Q703" s="989"/>
      <c r="R703" s="989"/>
      <c r="S703" s="989"/>
      <c r="T703" s="989"/>
      <c r="U703" s="989"/>
      <c r="V703" s="989"/>
      <c r="W703" s="989"/>
      <c r="X703" s="989"/>
      <c r="Y703" s="989"/>
      <c r="Z703" s="989"/>
      <c r="AA703" s="989"/>
      <c r="AB703" s="989"/>
      <c r="AC703" s="989"/>
      <c r="AD703" s="989"/>
      <c r="AE703" s="989"/>
    </row>
    <row r="704">
      <c r="A704" s="989"/>
      <c r="B704" s="989"/>
      <c r="C704" s="989"/>
      <c r="D704" s="989"/>
      <c r="E704" s="989"/>
      <c r="F704" s="989"/>
      <c r="G704" s="989"/>
      <c r="H704" s="992" t="str">
        <f t="shared" si="16"/>
        <v/>
      </c>
      <c r="I704" s="989"/>
      <c r="J704" s="989"/>
      <c r="K704" s="989"/>
      <c r="L704" s="989"/>
      <c r="M704" s="989"/>
      <c r="N704" s="989"/>
      <c r="O704" s="989"/>
      <c r="P704" s="989"/>
      <c r="Q704" s="989"/>
      <c r="R704" s="989"/>
      <c r="S704" s="989"/>
      <c r="T704" s="989"/>
      <c r="U704" s="989"/>
      <c r="V704" s="989"/>
      <c r="W704" s="989"/>
      <c r="X704" s="989"/>
      <c r="Y704" s="989"/>
      <c r="Z704" s="989"/>
      <c r="AA704" s="989"/>
      <c r="AB704" s="989"/>
      <c r="AC704" s="989"/>
      <c r="AD704" s="989"/>
      <c r="AE704" s="989"/>
    </row>
    <row r="705">
      <c r="A705" s="989"/>
      <c r="B705" s="989"/>
      <c r="C705" s="989"/>
      <c r="D705" s="989"/>
      <c r="E705" s="989"/>
      <c r="F705" s="989"/>
      <c r="G705" s="989"/>
      <c r="H705" s="992" t="str">
        <f t="shared" si="16"/>
        <v/>
      </c>
      <c r="I705" s="989"/>
      <c r="J705" s="989"/>
      <c r="K705" s="989"/>
      <c r="L705" s="989"/>
      <c r="M705" s="989"/>
      <c r="N705" s="989"/>
      <c r="O705" s="989"/>
      <c r="P705" s="989"/>
      <c r="Q705" s="989"/>
      <c r="R705" s="989"/>
      <c r="S705" s="989"/>
      <c r="T705" s="989"/>
      <c r="U705" s="989"/>
      <c r="V705" s="989"/>
      <c r="W705" s="989"/>
      <c r="X705" s="989"/>
      <c r="Y705" s="989"/>
      <c r="Z705" s="989"/>
      <c r="AA705" s="989"/>
      <c r="AB705" s="989"/>
      <c r="AC705" s="989"/>
      <c r="AD705" s="989"/>
      <c r="AE705" s="989"/>
    </row>
    <row r="706">
      <c r="A706" s="989"/>
      <c r="B706" s="989"/>
      <c r="C706" s="989"/>
      <c r="D706" s="989"/>
      <c r="E706" s="989"/>
      <c r="F706" s="989"/>
      <c r="G706" s="989"/>
      <c r="H706" s="992" t="str">
        <f t="shared" si="16"/>
        <v/>
      </c>
      <c r="I706" s="989"/>
      <c r="J706" s="989"/>
      <c r="K706" s="989"/>
      <c r="L706" s="989"/>
      <c r="M706" s="989"/>
      <c r="N706" s="989"/>
      <c r="O706" s="989"/>
      <c r="P706" s="989"/>
      <c r="Q706" s="989"/>
      <c r="R706" s="989"/>
      <c r="S706" s="989"/>
      <c r="T706" s="989"/>
      <c r="U706" s="989"/>
      <c r="V706" s="989"/>
      <c r="W706" s="989"/>
      <c r="X706" s="989"/>
      <c r="Y706" s="989"/>
      <c r="Z706" s="989"/>
      <c r="AA706" s="989"/>
      <c r="AB706" s="989"/>
      <c r="AC706" s="989"/>
      <c r="AD706" s="989"/>
      <c r="AE706" s="989"/>
    </row>
    <row r="707">
      <c r="A707" s="989"/>
      <c r="B707" s="989"/>
      <c r="C707" s="989"/>
      <c r="D707" s="989"/>
      <c r="E707" s="989"/>
      <c r="F707" s="989"/>
      <c r="G707" s="989"/>
      <c r="H707" s="992" t="str">
        <f t="shared" si="16"/>
        <v/>
      </c>
      <c r="I707" s="989"/>
      <c r="J707" s="989"/>
      <c r="K707" s="989"/>
      <c r="L707" s="989"/>
      <c r="M707" s="989"/>
      <c r="N707" s="989"/>
      <c r="O707" s="989"/>
      <c r="P707" s="989"/>
      <c r="Q707" s="989"/>
      <c r="R707" s="989"/>
      <c r="S707" s="989"/>
      <c r="T707" s="989"/>
      <c r="U707" s="989"/>
      <c r="V707" s="989"/>
      <c r="W707" s="989"/>
      <c r="X707" s="989"/>
      <c r="Y707" s="989"/>
      <c r="Z707" s="989"/>
      <c r="AA707" s="989"/>
      <c r="AB707" s="989"/>
      <c r="AC707" s="989"/>
      <c r="AD707" s="989"/>
      <c r="AE707" s="989"/>
    </row>
    <row r="708">
      <c r="A708" s="989"/>
      <c r="B708" s="989"/>
      <c r="C708" s="989"/>
      <c r="D708" s="989"/>
      <c r="E708" s="989"/>
      <c r="F708" s="989"/>
      <c r="G708" s="989"/>
      <c r="H708" s="992" t="str">
        <f t="shared" si="16"/>
        <v/>
      </c>
      <c r="I708" s="989"/>
      <c r="J708" s="989"/>
      <c r="K708" s="989"/>
      <c r="L708" s="989"/>
      <c r="M708" s="989"/>
      <c r="N708" s="989"/>
      <c r="O708" s="989"/>
      <c r="P708" s="989"/>
      <c r="Q708" s="989"/>
      <c r="R708" s="989"/>
      <c r="S708" s="989"/>
      <c r="T708" s="989"/>
      <c r="U708" s="989"/>
      <c r="V708" s="989"/>
      <c r="W708" s="989"/>
      <c r="X708" s="989"/>
      <c r="Y708" s="989"/>
      <c r="Z708" s="989"/>
      <c r="AA708" s="989"/>
      <c r="AB708" s="989"/>
      <c r="AC708" s="989"/>
      <c r="AD708" s="989"/>
      <c r="AE708" s="989"/>
    </row>
    <row r="709">
      <c r="A709" s="989"/>
      <c r="B709" s="989"/>
      <c r="C709" s="989"/>
      <c r="D709" s="989"/>
      <c r="E709" s="989"/>
      <c r="F709" s="989"/>
      <c r="G709" s="989"/>
      <c r="H709" s="992" t="str">
        <f t="shared" si="16"/>
        <v/>
      </c>
      <c r="I709" s="989"/>
      <c r="J709" s="989"/>
      <c r="K709" s="989"/>
      <c r="L709" s="989"/>
      <c r="M709" s="989"/>
      <c r="N709" s="989"/>
      <c r="O709" s="989"/>
      <c r="P709" s="989"/>
      <c r="Q709" s="989"/>
      <c r="R709" s="989"/>
      <c r="S709" s="989"/>
      <c r="T709" s="989"/>
      <c r="U709" s="989"/>
      <c r="V709" s="989"/>
      <c r="W709" s="989"/>
      <c r="X709" s="989"/>
      <c r="Y709" s="989"/>
      <c r="Z709" s="989"/>
      <c r="AA709" s="989"/>
      <c r="AB709" s="989"/>
      <c r="AC709" s="989"/>
      <c r="AD709" s="989"/>
      <c r="AE709" s="989"/>
    </row>
    <row r="710">
      <c r="A710" s="989"/>
      <c r="B710" s="989"/>
      <c r="C710" s="989"/>
      <c r="D710" s="989"/>
      <c r="E710" s="989"/>
      <c r="F710" s="989"/>
      <c r="G710" s="989"/>
      <c r="H710" s="992" t="str">
        <f t="shared" si="16"/>
        <v/>
      </c>
      <c r="I710" s="989"/>
      <c r="J710" s="989"/>
      <c r="K710" s="989"/>
      <c r="L710" s="989"/>
      <c r="M710" s="989"/>
      <c r="N710" s="989"/>
      <c r="O710" s="989"/>
      <c r="P710" s="989"/>
      <c r="Q710" s="989"/>
      <c r="R710" s="989"/>
      <c r="S710" s="989"/>
      <c r="T710" s="989"/>
      <c r="U710" s="989"/>
      <c r="V710" s="989"/>
      <c r="W710" s="989"/>
      <c r="X710" s="989"/>
      <c r="Y710" s="989"/>
      <c r="Z710" s="989"/>
      <c r="AA710" s="989"/>
      <c r="AB710" s="989"/>
      <c r="AC710" s="989"/>
      <c r="AD710" s="989"/>
      <c r="AE710" s="989"/>
    </row>
    <row r="711">
      <c r="A711" s="989"/>
      <c r="B711" s="989"/>
      <c r="C711" s="989"/>
      <c r="D711" s="989"/>
      <c r="E711" s="989"/>
      <c r="F711" s="989"/>
      <c r="G711" s="989"/>
      <c r="H711" s="992" t="str">
        <f t="shared" si="16"/>
        <v/>
      </c>
      <c r="I711" s="989"/>
      <c r="J711" s="989"/>
      <c r="K711" s="989"/>
      <c r="L711" s="989"/>
      <c r="M711" s="989"/>
      <c r="N711" s="989"/>
      <c r="O711" s="989"/>
      <c r="P711" s="989"/>
      <c r="Q711" s="989"/>
      <c r="R711" s="989"/>
      <c r="S711" s="989"/>
      <c r="T711" s="989"/>
      <c r="U711" s="989"/>
      <c r="V711" s="989"/>
      <c r="W711" s="989"/>
      <c r="X711" s="989"/>
      <c r="Y711" s="989"/>
      <c r="Z711" s="989"/>
      <c r="AA711" s="989"/>
      <c r="AB711" s="989"/>
      <c r="AC711" s="989"/>
      <c r="AD711" s="989"/>
      <c r="AE711" s="989"/>
    </row>
    <row r="712">
      <c r="A712" s="989"/>
      <c r="B712" s="989"/>
      <c r="C712" s="989"/>
      <c r="D712" s="989"/>
      <c r="E712" s="989"/>
      <c r="F712" s="989"/>
      <c r="G712" s="989"/>
      <c r="H712" s="992" t="str">
        <f t="shared" si="16"/>
        <v/>
      </c>
      <c r="I712" s="989"/>
      <c r="J712" s="989"/>
      <c r="K712" s="989"/>
      <c r="L712" s="989"/>
      <c r="M712" s="989"/>
      <c r="N712" s="989"/>
      <c r="O712" s="989"/>
      <c r="P712" s="989"/>
      <c r="Q712" s="989"/>
      <c r="R712" s="989"/>
      <c r="S712" s="989"/>
      <c r="T712" s="989"/>
      <c r="U712" s="989"/>
      <c r="V712" s="989"/>
      <c r="W712" s="989"/>
      <c r="X712" s="989"/>
      <c r="Y712" s="989"/>
      <c r="Z712" s="989"/>
      <c r="AA712" s="989"/>
      <c r="AB712" s="989"/>
      <c r="AC712" s="989"/>
      <c r="AD712" s="989"/>
      <c r="AE712" s="989"/>
    </row>
    <row r="713">
      <c r="A713" s="989"/>
      <c r="B713" s="989"/>
      <c r="C713" s="989"/>
      <c r="D713" s="989"/>
      <c r="E713" s="989"/>
      <c r="F713" s="989"/>
      <c r="G713" s="989"/>
      <c r="H713" s="992" t="str">
        <f t="shared" si="16"/>
        <v/>
      </c>
      <c r="I713" s="989"/>
      <c r="J713" s="989"/>
      <c r="K713" s="989"/>
      <c r="L713" s="989"/>
      <c r="M713" s="989"/>
      <c r="N713" s="989"/>
      <c r="O713" s="989"/>
      <c r="P713" s="989"/>
      <c r="Q713" s="989"/>
      <c r="R713" s="989"/>
      <c r="S713" s="989"/>
      <c r="T713" s="989"/>
      <c r="U713" s="989"/>
      <c r="V713" s="989"/>
      <c r="W713" s="989"/>
      <c r="X713" s="989"/>
      <c r="Y713" s="989"/>
      <c r="Z713" s="989"/>
      <c r="AA713" s="989"/>
      <c r="AB713" s="989"/>
      <c r="AC713" s="989"/>
      <c r="AD713" s="989"/>
      <c r="AE713" s="989"/>
    </row>
    <row r="714">
      <c r="A714" s="989"/>
      <c r="B714" s="989"/>
      <c r="C714" s="989"/>
      <c r="D714" s="989"/>
      <c r="E714" s="989"/>
      <c r="F714" s="989"/>
      <c r="G714" s="989"/>
      <c r="H714" s="992" t="str">
        <f t="shared" si="16"/>
        <v/>
      </c>
      <c r="I714" s="989"/>
      <c r="J714" s="989"/>
      <c r="K714" s="989"/>
      <c r="L714" s="989"/>
      <c r="M714" s="989"/>
      <c r="N714" s="989"/>
      <c r="O714" s="989"/>
      <c r="P714" s="989"/>
      <c r="Q714" s="989"/>
      <c r="R714" s="989"/>
      <c r="S714" s="989"/>
      <c r="T714" s="989"/>
      <c r="U714" s="989"/>
      <c r="V714" s="989"/>
      <c r="W714" s="989"/>
      <c r="X714" s="989"/>
      <c r="Y714" s="989"/>
      <c r="Z714" s="989"/>
      <c r="AA714" s="989"/>
      <c r="AB714" s="989"/>
      <c r="AC714" s="989"/>
      <c r="AD714" s="989"/>
      <c r="AE714" s="989"/>
    </row>
    <row r="715">
      <c r="A715" s="989"/>
      <c r="B715" s="989"/>
      <c r="C715" s="989"/>
      <c r="D715" s="989"/>
      <c r="E715" s="989"/>
      <c r="F715" s="989"/>
      <c r="G715" s="989"/>
      <c r="H715" s="992" t="str">
        <f t="shared" si="16"/>
        <v/>
      </c>
      <c r="I715" s="989"/>
      <c r="J715" s="989"/>
      <c r="K715" s="989"/>
      <c r="L715" s="989"/>
      <c r="M715" s="989"/>
      <c r="N715" s="989"/>
      <c r="O715" s="989"/>
      <c r="P715" s="989"/>
      <c r="Q715" s="989"/>
      <c r="R715" s="989"/>
      <c r="S715" s="989"/>
      <c r="T715" s="989"/>
      <c r="U715" s="989"/>
      <c r="V715" s="989"/>
      <c r="W715" s="989"/>
      <c r="X715" s="989"/>
      <c r="Y715" s="989"/>
      <c r="Z715" s="989"/>
      <c r="AA715" s="989"/>
      <c r="AB715" s="989"/>
      <c r="AC715" s="989"/>
      <c r="AD715" s="989"/>
      <c r="AE715" s="989"/>
    </row>
    <row r="716">
      <c r="A716" s="989"/>
      <c r="B716" s="989"/>
      <c r="C716" s="989"/>
      <c r="D716" s="989"/>
      <c r="E716" s="989"/>
      <c r="F716" s="989"/>
      <c r="G716" s="989"/>
      <c r="H716" s="992" t="str">
        <f t="shared" si="16"/>
        <v/>
      </c>
      <c r="I716" s="989"/>
      <c r="J716" s="989"/>
      <c r="K716" s="989"/>
      <c r="L716" s="989"/>
      <c r="M716" s="989"/>
      <c r="N716" s="989"/>
      <c r="O716" s="989"/>
      <c r="P716" s="989"/>
      <c r="Q716" s="989"/>
      <c r="R716" s="989"/>
      <c r="S716" s="989"/>
      <c r="T716" s="989"/>
      <c r="U716" s="989"/>
      <c r="V716" s="989"/>
      <c r="W716" s="989"/>
      <c r="X716" s="989"/>
      <c r="Y716" s="989"/>
      <c r="Z716" s="989"/>
      <c r="AA716" s="989"/>
      <c r="AB716" s="989"/>
      <c r="AC716" s="989"/>
      <c r="AD716" s="989"/>
      <c r="AE716" s="989"/>
    </row>
    <row r="717">
      <c r="A717" s="989"/>
      <c r="B717" s="989"/>
      <c r="C717" s="989"/>
      <c r="D717" s="989"/>
      <c r="E717" s="989"/>
      <c r="F717" s="989"/>
      <c r="G717" s="989"/>
      <c r="H717" s="992" t="str">
        <f t="shared" si="16"/>
        <v/>
      </c>
      <c r="I717" s="989"/>
      <c r="J717" s="989"/>
      <c r="K717" s="989"/>
      <c r="L717" s="989"/>
      <c r="M717" s="989"/>
      <c r="N717" s="989"/>
      <c r="O717" s="989"/>
      <c r="P717" s="989"/>
      <c r="Q717" s="989"/>
      <c r="R717" s="989"/>
      <c r="S717" s="989"/>
      <c r="T717" s="989"/>
      <c r="U717" s="989"/>
      <c r="V717" s="989"/>
      <c r="W717" s="989"/>
      <c r="X717" s="989"/>
      <c r="Y717" s="989"/>
      <c r="Z717" s="989"/>
      <c r="AA717" s="989"/>
      <c r="AB717" s="989"/>
      <c r="AC717" s="989"/>
      <c r="AD717" s="989"/>
      <c r="AE717" s="989"/>
    </row>
    <row r="718">
      <c r="A718" s="989"/>
      <c r="B718" s="989"/>
      <c r="C718" s="989"/>
      <c r="D718" s="989"/>
      <c r="E718" s="989"/>
      <c r="F718" s="989"/>
      <c r="G718" s="989"/>
      <c r="H718" s="992" t="str">
        <f t="shared" si="16"/>
        <v/>
      </c>
      <c r="I718" s="989"/>
      <c r="J718" s="989"/>
      <c r="K718" s="989"/>
      <c r="L718" s="989"/>
      <c r="M718" s="989"/>
      <c r="N718" s="989"/>
      <c r="O718" s="989"/>
      <c r="P718" s="989"/>
      <c r="Q718" s="989"/>
      <c r="R718" s="989"/>
      <c r="S718" s="989"/>
      <c r="T718" s="989"/>
      <c r="U718" s="989"/>
      <c r="V718" s="989"/>
      <c r="W718" s="989"/>
      <c r="X718" s="989"/>
      <c r="Y718" s="989"/>
      <c r="Z718" s="989"/>
      <c r="AA718" s="989"/>
      <c r="AB718" s="989"/>
      <c r="AC718" s="989"/>
      <c r="AD718" s="989"/>
      <c r="AE718" s="989"/>
    </row>
    <row r="719">
      <c r="A719" s="989"/>
      <c r="B719" s="989"/>
      <c r="C719" s="989"/>
      <c r="D719" s="989"/>
      <c r="E719" s="989"/>
      <c r="F719" s="989"/>
      <c r="G719" s="989"/>
      <c r="H719" s="992" t="str">
        <f t="shared" si="16"/>
        <v/>
      </c>
      <c r="I719" s="989"/>
      <c r="J719" s="989"/>
      <c r="K719" s="989"/>
      <c r="L719" s="989"/>
      <c r="M719" s="989"/>
      <c r="N719" s="989"/>
      <c r="O719" s="989"/>
      <c r="P719" s="989"/>
      <c r="Q719" s="989"/>
      <c r="R719" s="989"/>
      <c r="S719" s="989"/>
      <c r="T719" s="989"/>
      <c r="U719" s="989"/>
      <c r="V719" s="989"/>
      <c r="W719" s="989"/>
      <c r="X719" s="989"/>
      <c r="Y719" s="989"/>
      <c r="Z719" s="989"/>
      <c r="AA719" s="989"/>
      <c r="AB719" s="989"/>
      <c r="AC719" s="989"/>
      <c r="AD719" s="989"/>
      <c r="AE719" s="989"/>
    </row>
    <row r="720">
      <c r="A720" s="989"/>
      <c r="B720" s="989"/>
      <c r="C720" s="989"/>
      <c r="D720" s="989"/>
      <c r="E720" s="989"/>
      <c r="F720" s="989"/>
      <c r="G720" s="989"/>
      <c r="H720" s="992" t="str">
        <f t="shared" si="16"/>
        <v/>
      </c>
      <c r="I720" s="989"/>
      <c r="J720" s="989"/>
      <c r="K720" s="989"/>
      <c r="L720" s="989"/>
      <c r="M720" s="989"/>
      <c r="N720" s="989"/>
      <c r="O720" s="989"/>
      <c r="P720" s="989"/>
      <c r="Q720" s="989"/>
      <c r="R720" s="989"/>
      <c r="S720" s="989"/>
      <c r="T720" s="989"/>
      <c r="U720" s="989"/>
      <c r="V720" s="989"/>
      <c r="W720" s="989"/>
      <c r="X720" s="989"/>
      <c r="Y720" s="989"/>
      <c r="Z720" s="989"/>
      <c r="AA720" s="989"/>
      <c r="AB720" s="989"/>
      <c r="AC720" s="989"/>
      <c r="AD720" s="989"/>
      <c r="AE720" s="989"/>
    </row>
    <row r="721">
      <c r="A721" s="989"/>
      <c r="B721" s="989"/>
      <c r="C721" s="989"/>
      <c r="D721" s="989"/>
      <c r="E721" s="989"/>
      <c r="F721" s="989"/>
      <c r="G721" s="989"/>
      <c r="H721" s="992" t="str">
        <f t="shared" si="16"/>
        <v/>
      </c>
      <c r="I721" s="989"/>
      <c r="J721" s="989"/>
      <c r="K721" s="989"/>
      <c r="L721" s="989"/>
      <c r="M721" s="989"/>
      <c r="N721" s="989"/>
      <c r="O721" s="989"/>
      <c r="P721" s="989"/>
      <c r="Q721" s="989"/>
      <c r="R721" s="989"/>
      <c r="S721" s="989"/>
      <c r="T721" s="989"/>
      <c r="U721" s="989"/>
      <c r="V721" s="989"/>
      <c r="W721" s="989"/>
      <c r="X721" s="989"/>
      <c r="Y721" s="989"/>
      <c r="Z721" s="989"/>
      <c r="AA721" s="989"/>
      <c r="AB721" s="989"/>
      <c r="AC721" s="989"/>
      <c r="AD721" s="989"/>
      <c r="AE721" s="989"/>
    </row>
    <row r="722">
      <c r="A722" s="989"/>
      <c r="B722" s="989"/>
      <c r="C722" s="989"/>
      <c r="D722" s="989"/>
      <c r="E722" s="989"/>
      <c r="F722" s="989"/>
      <c r="G722" s="989"/>
      <c r="H722" s="992" t="str">
        <f t="shared" si="16"/>
        <v/>
      </c>
      <c r="I722" s="989"/>
      <c r="J722" s="989"/>
      <c r="K722" s="989"/>
      <c r="L722" s="989"/>
      <c r="M722" s="989"/>
      <c r="N722" s="989"/>
      <c r="O722" s="989"/>
      <c r="P722" s="989"/>
      <c r="Q722" s="989"/>
      <c r="R722" s="989"/>
      <c r="S722" s="989"/>
      <c r="T722" s="989"/>
      <c r="U722" s="989"/>
      <c r="V722" s="989"/>
      <c r="W722" s="989"/>
      <c r="X722" s="989"/>
      <c r="Y722" s="989"/>
      <c r="Z722" s="989"/>
      <c r="AA722" s="989"/>
      <c r="AB722" s="989"/>
      <c r="AC722" s="989"/>
      <c r="AD722" s="989"/>
      <c r="AE722" s="989"/>
    </row>
    <row r="723">
      <c r="A723" s="989"/>
      <c r="B723" s="989"/>
      <c r="C723" s="989"/>
      <c r="D723" s="989"/>
      <c r="E723" s="989"/>
      <c r="F723" s="989"/>
      <c r="G723" s="989"/>
      <c r="H723" s="992" t="str">
        <f t="shared" si="16"/>
        <v/>
      </c>
      <c r="I723" s="989"/>
      <c r="J723" s="989"/>
      <c r="K723" s="989"/>
      <c r="L723" s="989"/>
      <c r="M723" s="989"/>
      <c r="N723" s="989"/>
      <c r="O723" s="989"/>
      <c r="P723" s="989"/>
      <c r="Q723" s="989"/>
      <c r="R723" s="989"/>
      <c r="S723" s="989"/>
      <c r="T723" s="989"/>
      <c r="U723" s="989"/>
      <c r="V723" s="989"/>
      <c r="W723" s="989"/>
      <c r="X723" s="989"/>
      <c r="Y723" s="989"/>
      <c r="Z723" s="989"/>
      <c r="AA723" s="989"/>
      <c r="AB723" s="989"/>
      <c r="AC723" s="989"/>
      <c r="AD723" s="989"/>
      <c r="AE723" s="989"/>
    </row>
    <row r="724">
      <c r="A724" s="989"/>
      <c r="B724" s="989"/>
      <c r="C724" s="989"/>
      <c r="D724" s="989"/>
      <c r="E724" s="989"/>
      <c r="F724" s="989"/>
      <c r="G724" s="989"/>
      <c r="H724" s="992" t="str">
        <f t="shared" si="16"/>
        <v/>
      </c>
      <c r="I724" s="989"/>
      <c r="J724" s="989"/>
      <c r="K724" s="989"/>
      <c r="L724" s="989"/>
      <c r="M724" s="989"/>
      <c r="N724" s="989"/>
      <c r="O724" s="989"/>
      <c r="P724" s="989"/>
      <c r="Q724" s="989"/>
      <c r="R724" s="989"/>
      <c r="S724" s="989"/>
      <c r="T724" s="989"/>
      <c r="U724" s="989"/>
      <c r="V724" s="989"/>
      <c r="W724" s="989"/>
      <c r="X724" s="989"/>
      <c r="Y724" s="989"/>
      <c r="Z724" s="989"/>
      <c r="AA724" s="989"/>
      <c r="AB724" s="989"/>
      <c r="AC724" s="989"/>
      <c r="AD724" s="989"/>
      <c r="AE724" s="989"/>
    </row>
    <row r="725">
      <c r="A725" s="989"/>
      <c r="B725" s="989"/>
      <c r="C725" s="989"/>
      <c r="D725" s="989"/>
      <c r="E725" s="989"/>
      <c r="F725" s="989"/>
      <c r="G725" s="989"/>
      <c r="H725" s="992" t="str">
        <f t="shared" si="16"/>
        <v/>
      </c>
      <c r="I725" s="989"/>
      <c r="J725" s="989"/>
      <c r="K725" s="989"/>
      <c r="L725" s="989"/>
      <c r="M725" s="989"/>
      <c r="N725" s="989"/>
      <c r="O725" s="989"/>
      <c r="P725" s="989"/>
      <c r="Q725" s="989"/>
      <c r="R725" s="989"/>
      <c r="S725" s="989"/>
      <c r="T725" s="989"/>
      <c r="U725" s="989"/>
      <c r="V725" s="989"/>
      <c r="W725" s="989"/>
      <c r="X725" s="989"/>
      <c r="Y725" s="989"/>
      <c r="Z725" s="989"/>
      <c r="AA725" s="989"/>
      <c r="AB725" s="989"/>
      <c r="AC725" s="989"/>
      <c r="AD725" s="989"/>
      <c r="AE725" s="989"/>
    </row>
    <row r="726">
      <c r="A726" s="989"/>
      <c r="B726" s="989"/>
      <c r="C726" s="989"/>
      <c r="D726" s="989"/>
      <c r="E726" s="989"/>
      <c r="F726" s="989"/>
      <c r="G726" s="989"/>
      <c r="H726" s="992" t="str">
        <f t="shared" si="16"/>
        <v/>
      </c>
      <c r="I726" s="989"/>
      <c r="J726" s="989"/>
      <c r="K726" s="989"/>
      <c r="L726" s="989"/>
      <c r="M726" s="989"/>
      <c r="N726" s="989"/>
      <c r="O726" s="989"/>
      <c r="P726" s="989"/>
      <c r="Q726" s="989"/>
      <c r="R726" s="989"/>
      <c r="S726" s="989"/>
      <c r="T726" s="989"/>
      <c r="U726" s="989"/>
      <c r="V726" s="989"/>
      <c r="W726" s="989"/>
      <c r="X726" s="989"/>
      <c r="Y726" s="989"/>
      <c r="Z726" s="989"/>
      <c r="AA726" s="989"/>
      <c r="AB726" s="989"/>
      <c r="AC726" s="989"/>
      <c r="AD726" s="989"/>
      <c r="AE726" s="989"/>
    </row>
    <row r="727">
      <c r="A727" s="989"/>
      <c r="B727" s="989"/>
      <c r="C727" s="989"/>
      <c r="D727" s="989"/>
      <c r="E727" s="989"/>
      <c r="F727" s="989"/>
      <c r="G727" s="989"/>
      <c r="H727" s="992" t="str">
        <f t="shared" si="16"/>
        <v/>
      </c>
      <c r="I727" s="989"/>
      <c r="J727" s="989"/>
      <c r="K727" s="989"/>
      <c r="L727" s="989"/>
      <c r="M727" s="989"/>
      <c r="N727" s="989"/>
      <c r="O727" s="989"/>
      <c r="P727" s="989"/>
      <c r="Q727" s="989"/>
      <c r="R727" s="989"/>
      <c r="S727" s="989"/>
      <c r="T727" s="989"/>
      <c r="U727" s="989"/>
      <c r="V727" s="989"/>
      <c r="W727" s="989"/>
      <c r="X727" s="989"/>
      <c r="Y727" s="989"/>
      <c r="Z727" s="989"/>
      <c r="AA727" s="989"/>
      <c r="AB727" s="989"/>
      <c r="AC727" s="989"/>
      <c r="AD727" s="989"/>
      <c r="AE727" s="989"/>
    </row>
    <row r="728">
      <c r="A728" s="989"/>
      <c r="B728" s="989"/>
      <c r="C728" s="989"/>
      <c r="D728" s="989"/>
      <c r="E728" s="989"/>
      <c r="F728" s="989"/>
      <c r="G728" s="989"/>
      <c r="H728" s="992" t="str">
        <f t="shared" si="16"/>
        <v/>
      </c>
      <c r="I728" s="989"/>
      <c r="J728" s="989"/>
      <c r="K728" s="989"/>
      <c r="L728" s="989"/>
      <c r="M728" s="989"/>
      <c r="N728" s="989"/>
      <c r="O728" s="989"/>
      <c r="P728" s="989"/>
      <c r="Q728" s="989"/>
      <c r="R728" s="989"/>
      <c r="S728" s="989"/>
      <c r="T728" s="989"/>
      <c r="U728" s="989"/>
      <c r="V728" s="989"/>
      <c r="W728" s="989"/>
      <c r="X728" s="989"/>
      <c r="Y728" s="989"/>
      <c r="Z728" s="989"/>
      <c r="AA728" s="989"/>
      <c r="AB728" s="989"/>
      <c r="AC728" s="989"/>
      <c r="AD728" s="989"/>
      <c r="AE728" s="989"/>
    </row>
    <row r="729">
      <c r="A729" s="989"/>
      <c r="B729" s="989"/>
      <c r="C729" s="989"/>
      <c r="D729" s="989"/>
      <c r="E729" s="989"/>
      <c r="F729" s="989"/>
      <c r="G729" s="989"/>
      <c r="H729" s="992" t="str">
        <f t="shared" si="16"/>
        <v/>
      </c>
      <c r="I729" s="989"/>
      <c r="J729" s="989"/>
      <c r="K729" s="989"/>
      <c r="L729" s="989"/>
      <c r="M729" s="989"/>
      <c r="N729" s="989"/>
      <c r="O729" s="989"/>
      <c r="P729" s="989"/>
      <c r="Q729" s="989"/>
      <c r="R729" s="989"/>
      <c r="S729" s="989"/>
      <c r="T729" s="989"/>
      <c r="U729" s="989"/>
      <c r="V729" s="989"/>
      <c r="W729" s="989"/>
      <c r="X729" s="989"/>
      <c r="Y729" s="989"/>
      <c r="Z729" s="989"/>
      <c r="AA729" s="989"/>
      <c r="AB729" s="989"/>
      <c r="AC729" s="989"/>
      <c r="AD729" s="989"/>
      <c r="AE729" s="989"/>
    </row>
    <row r="730">
      <c r="A730" s="989"/>
      <c r="B730" s="989"/>
      <c r="C730" s="989"/>
      <c r="D730" s="989"/>
      <c r="E730" s="989"/>
      <c r="F730" s="989"/>
      <c r="G730" s="989"/>
      <c r="H730" s="992" t="str">
        <f t="shared" si="16"/>
        <v/>
      </c>
      <c r="I730" s="989"/>
      <c r="J730" s="989"/>
      <c r="K730" s="989"/>
      <c r="L730" s="989"/>
      <c r="M730" s="989"/>
      <c r="N730" s="989"/>
      <c r="O730" s="989"/>
      <c r="P730" s="989"/>
      <c r="Q730" s="989"/>
      <c r="R730" s="989"/>
      <c r="S730" s="989"/>
      <c r="T730" s="989"/>
      <c r="U730" s="989"/>
      <c r="V730" s="989"/>
      <c r="W730" s="989"/>
      <c r="X730" s="989"/>
      <c r="Y730" s="989"/>
      <c r="Z730" s="989"/>
      <c r="AA730" s="989"/>
      <c r="AB730" s="989"/>
      <c r="AC730" s="989"/>
      <c r="AD730" s="989"/>
      <c r="AE730" s="989"/>
    </row>
    <row r="731">
      <c r="A731" s="989"/>
      <c r="B731" s="989"/>
      <c r="C731" s="989"/>
      <c r="D731" s="989"/>
      <c r="E731" s="989"/>
      <c r="F731" s="989"/>
      <c r="G731" s="989"/>
      <c r="H731" s="992" t="str">
        <f t="shared" si="16"/>
        <v/>
      </c>
      <c r="I731" s="989"/>
      <c r="J731" s="989"/>
      <c r="K731" s="989"/>
      <c r="L731" s="989"/>
      <c r="M731" s="989"/>
      <c r="N731" s="989"/>
      <c r="O731" s="989"/>
      <c r="P731" s="989"/>
      <c r="Q731" s="989"/>
      <c r="R731" s="989"/>
      <c r="S731" s="989"/>
      <c r="T731" s="989"/>
      <c r="U731" s="989"/>
      <c r="V731" s="989"/>
      <c r="W731" s="989"/>
      <c r="X731" s="989"/>
      <c r="Y731" s="989"/>
      <c r="Z731" s="989"/>
      <c r="AA731" s="989"/>
      <c r="AB731" s="989"/>
      <c r="AC731" s="989"/>
      <c r="AD731" s="989"/>
      <c r="AE731" s="989"/>
    </row>
    <row r="732">
      <c r="A732" s="989"/>
      <c r="B732" s="989"/>
      <c r="C732" s="989"/>
      <c r="D732" s="989"/>
      <c r="E732" s="989"/>
      <c r="F732" s="989"/>
      <c r="G732" s="989"/>
      <c r="H732" s="992" t="str">
        <f t="shared" si="16"/>
        <v/>
      </c>
      <c r="I732" s="989"/>
      <c r="J732" s="989"/>
      <c r="K732" s="989"/>
      <c r="L732" s="989"/>
      <c r="M732" s="989"/>
      <c r="N732" s="989"/>
      <c r="O732" s="989"/>
      <c r="P732" s="989"/>
      <c r="Q732" s="989"/>
      <c r="R732" s="989"/>
      <c r="S732" s="989"/>
      <c r="T732" s="989"/>
      <c r="U732" s="989"/>
      <c r="V732" s="989"/>
      <c r="W732" s="989"/>
      <c r="X732" s="989"/>
      <c r="Y732" s="989"/>
      <c r="Z732" s="989"/>
      <c r="AA732" s="989"/>
      <c r="AB732" s="989"/>
      <c r="AC732" s="989"/>
      <c r="AD732" s="989"/>
      <c r="AE732" s="989"/>
    </row>
    <row r="733">
      <c r="A733" s="989"/>
      <c r="B733" s="989"/>
      <c r="C733" s="989"/>
      <c r="D733" s="989"/>
      <c r="E733" s="989"/>
      <c r="F733" s="989"/>
      <c r="G733" s="989"/>
      <c r="H733" s="992" t="str">
        <f t="shared" si="16"/>
        <v/>
      </c>
      <c r="I733" s="989"/>
      <c r="J733" s="989"/>
      <c r="K733" s="989"/>
      <c r="L733" s="989"/>
      <c r="M733" s="989"/>
      <c r="N733" s="989"/>
      <c r="O733" s="989"/>
      <c r="P733" s="989"/>
      <c r="Q733" s="989"/>
      <c r="R733" s="989"/>
      <c r="S733" s="989"/>
      <c r="T733" s="989"/>
      <c r="U733" s="989"/>
      <c r="V733" s="989"/>
      <c r="W733" s="989"/>
      <c r="X733" s="989"/>
      <c r="Y733" s="989"/>
      <c r="Z733" s="989"/>
      <c r="AA733" s="989"/>
      <c r="AB733" s="989"/>
      <c r="AC733" s="989"/>
      <c r="AD733" s="989"/>
      <c r="AE733" s="989"/>
    </row>
    <row r="734">
      <c r="A734" s="989"/>
      <c r="B734" s="989"/>
      <c r="C734" s="989"/>
      <c r="D734" s="989"/>
      <c r="E734" s="989"/>
      <c r="F734" s="989"/>
      <c r="G734" s="989"/>
      <c r="H734" s="992" t="str">
        <f t="shared" si="16"/>
        <v/>
      </c>
      <c r="I734" s="989"/>
      <c r="J734" s="989"/>
      <c r="K734" s="989"/>
      <c r="L734" s="989"/>
      <c r="M734" s="989"/>
      <c r="N734" s="989"/>
      <c r="O734" s="989"/>
      <c r="P734" s="989"/>
      <c r="Q734" s="989"/>
      <c r="R734" s="989"/>
      <c r="S734" s="989"/>
      <c r="T734" s="989"/>
      <c r="U734" s="989"/>
      <c r="V734" s="989"/>
      <c r="W734" s="989"/>
      <c r="X734" s="989"/>
      <c r="Y734" s="989"/>
      <c r="Z734" s="989"/>
      <c r="AA734" s="989"/>
      <c r="AB734" s="989"/>
      <c r="AC734" s="989"/>
      <c r="AD734" s="989"/>
      <c r="AE734" s="989"/>
    </row>
    <row r="735">
      <c r="A735" s="989"/>
      <c r="B735" s="989"/>
      <c r="C735" s="989"/>
      <c r="D735" s="989"/>
      <c r="E735" s="989"/>
      <c r="F735" s="989"/>
      <c r="G735" s="989"/>
      <c r="H735" s="992" t="str">
        <f t="shared" si="16"/>
        <v/>
      </c>
      <c r="I735" s="989"/>
      <c r="J735" s="989"/>
      <c r="K735" s="989"/>
      <c r="L735" s="989"/>
      <c r="M735" s="989"/>
      <c r="N735" s="989"/>
      <c r="O735" s="989"/>
      <c r="P735" s="989"/>
      <c r="Q735" s="989"/>
      <c r="R735" s="989"/>
      <c r="S735" s="989"/>
      <c r="T735" s="989"/>
      <c r="U735" s="989"/>
      <c r="V735" s="989"/>
      <c r="W735" s="989"/>
      <c r="X735" s="989"/>
      <c r="Y735" s="989"/>
      <c r="Z735" s="989"/>
      <c r="AA735" s="989"/>
      <c r="AB735" s="989"/>
      <c r="AC735" s="989"/>
      <c r="AD735" s="989"/>
      <c r="AE735" s="989"/>
    </row>
    <row r="736">
      <c r="A736" s="989"/>
      <c r="B736" s="989"/>
      <c r="C736" s="989"/>
      <c r="D736" s="989"/>
      <c r="E736" s="989"/>
      <c r="F736" s="989"/>
      <c r="G736" s="989"/>
      <c r="H736" s="992" t="str">
        <f t="shared" si="16"/>
        <v/>
      </c>
      <c r="I736" s="989"/>
      <c r="J736" s="989"/>
      <c r="K736" s="989"/>
      <c r="L736" s="989"/>
      <c r="M736" s="989"/>
      <c r="N736" s="989"/>
      <c r="O736" s="989"/>
      <c r="P736" s="989"/>
      <c r="Q736" s="989"/>
      <c r="R736" s="989"/>
      <c r="S736" s="989"/>
      <c r="T736" s="989"/>
      <c r="U736" s="989"/>
      <c r="V736" s="989"/>
      <c r="W736" s="989"/>
      <c r="X736" s="989"/>
      <c r="Y736" s="989"/>
      <c r="Z736" s="989"/>
      <c r="AA736" s="989"/>
      <c r="AB736" s="989"/>
      <c r="AC736" s="989"/>
      <c r="AD736" s="989"/>
      <c r="AE736" s="989"/>
    </row>
    <row r="737">
      <c r="A737" s="989"/>
      <c r="B737" s="989"/>
      <c r="C737" s="989"/>
      <c r="D737" s="989"/>
      <c r="E737" s="989"/>
      <c r="F737" s="989"/>
      <c r="G737" s="989"/>
      <c r="H737" s="992" t="str">
        <f t="shared" si="16"/>
        <v/>
      </c>
      <c r="I737" s="989"/>
      <c r="J737" s="989"/>
      <c r="K737" s="989"/>
      <c r="L737" s="989"/>
      <c r="M737" s="989"/>
      <c r="N737" s="989"/>
      <c r="O737" s="989"/>
      <c r="P737" s="989"/>
      <c r="Q737" s="989"/>
      <c r="R737" s="989"/>
      <c r="S737" s="989"/>
      <c r="T737" s="989"/>
      <c r="U737" s="989"/>
      <c r="V737" s="989"/>
      <c r="W737" s="989"/>
      <c r="X737" s="989"/>
      <c r="Y737" s="989"/>
      <c r="Z737" s="989"/>
      <c r="AA737" s="989"/>
      <c r="AB737" s="989"/>
      <c r="AC737" s="989"/>
      <c r="AD737" s="989"/>
      <c r="AE737" s="989"/>
    </row>
    <row r="738">
      <c r="A738" s="989"/>
      <c r="B738" s="989"/>
      <c r="C738" s="989"/>
      <c r="D738" s="989"/>
      <c r="E738" s="989"/>
      <c r="F738" s="989"/>
      <c r="G738" s="989"/>
      <c r="H738" s="992" t="str">
        <f t="shared" si="16"/>
        <v/>
      </c>
      <c r="I738" s="989"/>
      <c r="J738" s="989"/>
      <c r="K738" s="989"/>
      <c r="L738" s="989"/>
      <c r="M738" s="989"/>
      <c r="N738" s="989"/>
      <c r="O738" s="989"/>
      <c r="P738" s="989"/>
      <c r="Q738" s="989"/>
      <c r="R738" s="989"/>
      <c r="S738" s="989"/>
      <c r="T738" s="989"/>
      <c r="U738" s="989"/>
      <c r="V738" s="989"/>
      <c r="W738" s="989"/>
      <c r="X738" s="989"/>
      <c r="Y738" s="989"/>
      <c r="Z738" s="989"/>
      <c r="AA738" s="989"/>
      <c r="AB738" s="989"/>
      <c r="AC738" s="989"/>
      <c r="AD738" s="989"/>
      <c r="AE738" s="989"/>
    </row>
    <row r="739">
      <c r="A739" s="989"/>
      <c r="B739" s="989"/>
      <c r="C739" s="989"/>
      <c r="D739" s="989"/>
      <c r="E739" s="989"/>
      <c r="F739" s="989"/>
      <c r="G739" s="989"/>
      <c r="H739" s="992" t="str">
        <f t="shared" si="16"/>
        <v/>
      </c>
      <c r="I739" s="989"/>
      <c r="J739" s="989"/>
      <c r="K739" s="989"/>
      <c r="L739" s="989"/>
      <c r="M739" s="989"/>
      <c r="N739" s="989"/>
      <c r="O739" s="989"/>
      <c r="P739" s="989"/>
      <c r="Q739" s="989"/>
      <c r="R739" s="989"/>
      <c r="S739" s="989"/>
      <c r="T739" s="989"/>
      <c r="U739" s="989"/>
      <c r="V739" s="989"/>
      <c r="W739" s="989"/>
      <c r="X739" s="989"/>
      <c r="Y739" s="989"/>
      <c r="Z739" s="989"/>
      <c r="AA739" s="989"/>
      <c r="AB739" s="989"/>
      <c r="AC739" s="989"/>
      <c r="AD739" s="989"/>
      <c r="AE739" s="989"/>
    </row>
    <row r="740">
      <c r="A740" s="989"/>
      <c r="B740" s="989"/>
      <c r="C740" s="989"/>
      <c r="D740" s="989"/>
      <c r="E740" s="989"/>
      <c r="F740" s="989"/>
      <c r="G740" s="989"/>
      <c r="H740" s="992" t="str">
        <f t="shared" si="16"/>
        <v/>
      </c>
      <c r="I740" s="989"/>
      <c r="J740" s="989"/>
      <c r="K740" s="989"/>
      <c r="L740" s="989"/>
      <c r="M740" s="989"/>
      <c r="N740" s="989"/>
      <c r="O740" s="989"/>
      <c r="P740" s="989"/>
      <c r="Q740" s="989"/>
      <c r="R740" s="989"/>
      <c r="S740" s="989"/>
      <c r="T740" s="989"/>
      <c r="U740" s="989"/>
      <c r="V740" s="989"/>
      <c r="W740" s="989"/>
      <c r="X740" s="989"/>
      <c r="Y740" s="989"/>
      <c r="Z740" s="989"/>
      <c r="AA740" s="989"/>
      <c r="AB740" s="989"/>
      <c r="AC740" s="989"/>
      <c r="AD740" s="989"/>
      <c r="AE740" s="989"/>
    </row>
    <row r="741">
      <c r="A741" s="989"/>
      <c r="B741" s="989"/>
      <c r="C741" s="989"/>
      <c r="D741" s="989"/>
      <c r="E741" s="989"/>
      <c r="F741" s="989"/>
      <c r="G741" s="989"/>
      <c r="H741" s="992" t="str">
        <f t="shared" si="16"/>
        <v/>
      </c>
      <c r="I741" s="989"/>
      <c r="J741" s="989"/>
      <c r="K741" s="989"/>
      <c r="L741" s="989"/>
      <c r="M741" s="989"/>
      <c r="N741" s="989"/>
      <c r="O741" s="989"/>
      <c r="P741" s="989"/>
      <c r="Q741" s="989"/>
      <c r="R741" s="989"/>
      <c r="S741" s="989"/>
      <c r="T741" s="989"/>
      <c r="U741" s="989"/>
      <c r="V741" s="989"/>
      <c r="W741" s="989"/>
      <c r="X741" s="989"/>
      <c r="Y741" s="989"/>
      <c r="Z741" s="989"/>
      <c r="AA741" s="989"/>
      <c r="AB741" s="989"/>
      <c r="AC741" s="989"/>
      <c r="AD741" s="989"/>
      <c r="AE741" s="989"/>
    </row>
    <row r="742">
      <c r="A742" s="989"/>
      <c r="B742" s="989"/>
      <c r="C742" s="989"/>
      <c r="D742" s="989"/>
      <c r="E742" s="989"/>
      <c r="F742" s="989"/>
      <c r="G742" s="989"/>
      <c r="H742" s="992" t="str">
        <f t="shared" si="16"/>
        <v/>
      </c>
      <c r="I742" s="989"/>
      <c r="J742" s="989"/>
      <c r="K742" s="989"/>
      <c r="L742" s="989"/>
      <c r="M742" s="989"/>
      <c r="N742" s="989"/>
      <c r="O742" s="989"/>
      <c r="P742" s="989"/>
      <c r="Q742" s="989"/>
      <c r="R742" s="989"/>
      <c r="S742" s="989"/>
      <c r="T742" s="989"/>
      <c r="U742" s="989"/>
      <c r="V742" s="989"/>
      <c r="W742" s="989"/>
      <c r="X742" s="989"/>
      <c r="Y742" s="989"/>
      <c r="Z742" s="989"/>
      <c r="AA742" s="989"/>
      <c r="AB742" s="989"/>
      <c r="AC742" s="989"/>
      <c r="AD742" s="989"/>
      <c r="AE742" s="989"/>
    </row>
    <row r="743">
      <c r="A743" s="989"/>
      <c r="B743" s="989"/>
      <c r="C743" s="989"/>
      <c r="D743" s="989"/>
      <c r="E743" s="989"/>
      <c r="F743" s="989"/>
      <c r="G743" s="989"/>
      <c r="H743" s="992" t="str">
        <f t="shared" si="16"/>
        <v/>
      </c>
      <c r="I743" s="989"/>
      <c r="J743" s="989"/>
      <c r="K743" s="989"/>
      <c r="L743" s="989"/>
      <c r="M743" s="989"/>
      <c r="N743" s="989"/>
      <c r="O743" s="989"/>
      <c r="P743" s="989"/>
      <c r="Q743" s="989"/>
      <c r="R743" s="989"/>
      <c r="S743" s="989"/>
      <c r="T743" s="989"/>
      <c r="U743" s="989"/>
      <c r="V743" s="989"/>
      <c r="W743" s="989"/>
      <c r="X743" s="989"/>
      <c r="Y743" s="989"/>
      <c r="Z743" s="989"/>
      <c r="AA743" s="989"/>
      <c r="AB743" s="989"/>
      <c r="AC743" s="989"/>
      <c r="AD743" s="989"/>
      <c r="AE743" s="989"/>
    </row>
    <row r="744">
      <c r="A744" s="989"/>
      <c r="B744" s="989"/>
      <c r="C744" s="989"/>
      <c r="D744" s="989"/>
      <c r="E744" s="989"/>
      <c r="F744" s="989"/>
      <c r="G744" s="989"/>
      <c r="H744" s="992" t="str">
        <f t="shared" si="16"/>
        <v/>
      </c>
      <c r="I744" s="989"/>
      <c r="J744" s="989"/>
      <c r="K744" s="989"/>
      <c r="L744" s="989"/>
      <c r="M744" s="989"/>
      <c r="N744" s="989"/>
      <c r="O744" s="989"/>
      <c r="P744" s="989"/>
      <c r="Q744" s="989"/>
      <c r="R744" s="989"/>
      <c r="S744" s="989"/>
      <c r="T744" s="989"/>
      <c r="U744" s="989"/>
      <c r="V744" s="989"/>
      <c r="W744" s="989"/>
      <c r="X744" s="989"/>
      <c r="Y744" s="989"/>
      <c r="Z744" s="989"/>
      <c r="AA744" s="989"/>
      <c r="AB744" s="989"/>
      <c r="AC744" s="989"/>
      <c r="AD744" s="989"/>
      <c r="AE744" s="989"/>
    </row>
    <row r="745">
      <c r="A745" s="989"/>
      <c r="B745" s="989"/>
      <c r="C745" s="989"/>
      <c r="D745" s="989"/>
      <c r="E745" s="989"/>
      <c r="F745" s="989"/>
      <c r="G745" s="989"/>
      <c r="H745" s="992" t="str">
        <f t="shared" si="16"/>
        <v/>
      </c>
      <c r="I745" s="989"/>
      <c r="J745" s="989"/>
      <c r="K745" s="989"/>
      <c r="L745" s="989"/>
      <c r="M745" s="989"/>
      <c r="N745" s="989"/>
      <c r="O745" s="989"/>
      <c r="P745" s="989"/>
      <c r="Q745" s="989"/>
      <c r="R745" s="989"/>
      <c r="S745" s="989"/>
      <c r="T745" s="989"/>
      <c r="U745" s="989"/>
      <c r="V745" s="989"/>
      <c r="W745" s="989"/>
      <c r="X745" s="989"/>
      <c r="Y745" s="989"/>
      <c r="Z745" s="989"/>
      <c r="AA745" s="989"/>
      <c r="AB745" s="989"/>
      <c r="AC745" s="989"/>
      <c r="AD745" s="989"/>
      <c r="AE745" s="989"/>
    </row>
    <row r="746">
      <c r="A746" s="989"/>
      <c r="B746" s="989"/>
      <c r="C746" s="989"/>
      <c r="D746" s="989"/>
      <c r="E746" s="989"/>
      <c r="F746" s="989"/>
      <c r="G746" s="989"/>
      <c r="H746" s="992" t="str">
        <f t="shared" si="16"/>
        <v/>
      </c>
      <c r="I746" s="989"/>
      <c r="J746" s="989"/>
      <c r="K746" s="989"/>
      <c r="L746" s="989"/>
      <c r="M746" s="989"/>
      <c r="N746" s="989"/>
      <c r="O746" s="989"/>
      <c r="P746" s="989"/>
      <c r="Q746" s="989"/>
      <c r="R746" s="989"/>
      <c r="S746" s="989"/>
      <c r="T746" s="989"/>
      <c r="U746" s="989"/>
      <c r="V746" s="989"/>
      <c r="W746" s="989"/>
      <c r="X746" s="989"/>
      <c r="Y746" s="989"/>
      <c r="Z746" s="989"/>
      <c r="AA746" s="989"/>
      <c r="AB746" s="989"/>
      <c r="AC746" s="989"/>
      <c r="AD746" s="989"/>
      <c r="AE746" s="989"/>
    </row>
    <row r="747">
      <c r="A747" s="989"/>
      <c r="B747" s="989"/>
      <c r="C747" s="989"/>
      <c r="D747" s="989"/>
      <c r="E747" s="989"/>
      <c r="F747" s="989"/>
      <c r="G747" s="989"/>
      <c r="H747" s="992" t="str">
        <f t="shared" si="16"/>
        <v/>
      </c>
      <c r="I747" s="989"/>
      <c r="J747" s="989"/>
      <c r="K747" s="989"/>
      <c r="L747" s="989"/>
      <c r="M747" s="989"/>
      <c r="N747" s="989"/>
      <c r="O747" s="989"/>
      <c r="P747" s="989"/>
      <c r="Q747" s="989"/>
      <c r="R747" s="989"/>
      <c r="S747" s="989"/>
      <c r="T747" s="989"/>
      <c r="U747" s="989"/>
      <c r="V747" s="989"/>
      <c r="W747" s="989"/>
      <c r="X747" s="989"/>
      <c r="Y747" s="989"/>
      <c r="Z747" s="989"/>
      <c r="AA747" s="989"/>
      <c r="AB747" s="989"/>
      <c r="AC747" s="989"/>
      <c r="AD747" s="989"/>
      <c r="AE747" s="989"/>
    </row>
    <row r="748">
      <c r="A748" s="989"/>
      <c r="B748" s="989"/>
      <c r="C748" s="989"/>
      <c r="D748" s="989"/>
      <c r="E748" s="989"/>
      <c r="F748" s="989"/>
      <c r="G748" s="989"/>
      <c r="H748" s="992" t="str">
        <f t="shared" si="16"/>
        <v/>
      </c>
      <c r="I748" s="989"/>
      <c r="J748" s="989"/>
      <c r="K748" s="989"/>
      <c r="L748" s="989"/>
      <c r="M748" s="989"/>
      <c r="N748" s="989"/>
      <c r="O748" s="989"/>
      <c r="P748" s="989"/>
      <c r="Q748" s="989"/>
      <c r="R748" s="989"/>
      <c r="S748" s="989"/>
      <c r="T748" s="989"/>
      <c r="U748" s="989"/>
      <c r="V748" s="989"/>
      <c r="W748" s="989"/>
      <c r="X748" s="989"/>
      <c r="Y748" s="989"/>
      <c r="Z748" s="989"/>
      <c r="AA748" s="989"/>
      <c r="AB748" s="989"/>
      <c r="AC748" s="989"/>
      <c r="AD748" s="989"/>
      <c r="AE748" s="989"/>
    </row>
    <row r="749">
      <c r="A749" s="989"/>
      <c r="B749" s="989"/>
      <c r="C749" s="989"/>
      <c r="D749" s="989"/>
      <c r="E749" s="989"/>
      <c r="F749" s="989"/>
      <c r="G749" s="989"/>
      <c r="H749" s="992" t="str">
        <f t="shared" si="16"/>
        <v/>
      </c>
      <c r="I749" s="989"/>
      <c r="J749" s="989"/>
      <c r="K749" s="989"/>
      <c r="L749" s="989"/>
      <c r="M749" s="989"/>
      <c r="N749" s="989"/>
      <c r="O749" s="989"/>
      <c r="P749" s="989"/>
      <c r="Q749" s="989"/>
      <c r="R749" s="989"/>
      <c r="S749" s="989"/>
      <c r="T749" s="989"/>
      <c r="U749" s="989"/>
      <c r="V749" s="989"/>
      <c r="W749" s="989"/>
      <c r="X749" s="989"/>
      <c r="Y749" s="989"/>
      <c r="Z749" s="989"/>
      <c r="AA749" s="989"/>
      <c r="AB749" s="989"/>
      <c r="AC749" s="989"/>
      <c r="AD749" s="989"/>
      <c r="AE749" s="989"/>
    </row>
    <row r="750">
      <c r="A750" s="989"/>
      <c r="B750" s="989"/>
      <c r="C750" s="989"/>
      <c r="D750" s="989"/>
      <c r="E750" s="989"/>
      <c r="F750" s="989"/>
      <c r="G750" s="989"/>
      <c r="H750" s="992" t="str">
        <f t="shared" si="16"/>
        <v/>
      </c>
      <c r="I750" s="989"/>
      <c r="J750" s="989"/>
      <c r="K750" s="989"/>
      <c r="L750" s="989"/>
      <c r="M750" s="989"/>
      <c r="N750" s="989"/>
      <c r="O750" s="989"/>
      <c r="P750" s="989"/>
      <c r="Q750" s="989"/>
      <c r="R750" s="989"/>
      <c r="S750" s="989"/>
      <c r="T750" s="989"/>
      <c r="U750" s="989"/>
      <c r="V750" s="989"/>
      <c r="W750" s="989"/>
      <c r="X750" s="989"/>
      <c r="Y750" s="989"/>
      <c r="Z750" s="989"/>
      <c r="AA750" s="989"/>
      <c r="AB750" s="989"/>
      <c r="AC750" s="989"/>
      <c r="AD750" s="989"/>
      <c r="AE750" s="989"/>
    </row>
    <row r="751">
      <c r="A751" s="989"/>
      <c r="B751" s="989"/>
      <c r="C751" s="989"/>
      <c r="D751" s="989"/>
      <c r="E751" s="989"/>
      <c r="F751" s="989"/>
      <c r="G751" s="989"/>
      <c r="H751" s="992" t="str">
        <f t="shared" si="16"/>
        <v/>
      </c>
      <c r="I751" s="989"/>
      <c r="J751" s="989"/>
      <c r="K751" s="989"/>
      <c r="L751" s="989"/>
      <c r="M751" s="989"/>
      <c r="N751" s="989"/>
      <c r="O751" s="989"/>
      <c r="P751" s="989"/>
      <c r="Q751" s="989"/>
      <c r="R751" s="989"/>
      <c r="S751" s="989"/>
      <c r="T751" s="989"/>
      <c r="U751" s="989"/>
      <c r="V751" s="989"/>
      <c r="W751" s="989"/>
      <c r="X751" s="989"/>
      <c r="Y751" s="989"/>
      <c r="Z751" s="989"/>
      <c r="AA751" s="989"/>
      <c r="AB751" s="989"/>
      <c r="AC751" s="989"/>
      <c r="AD751" s="989"/>
      <c r="AE751" s="989"/>
    </row>
    <row r="752">
      <c r="A752" s="989"/>
      <c r="B752" s="989"/>
      <c r="C752" s="989"/>
      <c r="D752" s="989"/>
      <c r="E752" s="989"/>
      <c r="F752" s="989"/>
      <c r="G752" s="989"/>
      <c r="H752" s="992" t="str">
        <f t="shared" si="16"/>
        <v/>
      </c>
      <c r="I752" s="989"/>
      <c r="J752" s="989"/>
      <c r="K752" s="989"/>
      <c r="L752" s="989"/>
      <c r="M752" s="989"/>
      <c r="N752" s="989"/>
      <c r="O752" s="989"/>
      <c r="P752" s="989"/>
      <c r="Q752" s="989"/>
      <c r="R752" s="989"/>
      <c r="S752" s="989"/>
      <c r="T752" s="989"/>
      <c r="U752" s="989"/>
      <c r="V752" s="989"/>
      <c r="W752" s="989"/>
      <c r="X752" s="989"/>
      <c r="Y752" s="989"/>
      <c r="Z752" s="989"/>
      <c r="AA752" s="989"/>
      <c r="AB752" s="989"/>
      <c r="AC752" s="989"/>
      <c r="AD752" s="989"/>
      <c r="AE752" s="989"/>
    </row>
    <row r="753">
      <c r="A753" s="989"/>
      <c r="B753" s="989"/>
      <c r="C753" s="989"/>
      <c r="D753" s="989"/>
      <c r="E753" s="989"/>
      <c r="F753" s="989"/>
      <c r="G753" s="989"/>
      <c r="H753" s="992" t="str">
        <f t="shared" si="16"/>
        <v/>
      </c>
      <c r="I753" s="989"/>
      <c r="J753" s="989"/>
      <c r="K753" s="989"/>
      <c r="L753" s="989"/>
      <c r="M753" s="989"/>
      <c r="N753" s="989"/>
      <c r="O753" s="989"/>
      <c r="P753" s="989"/>
      <c r="Q753" s="989"/>
      <c r="R753" s="989"/>
      <c r="S753" s="989"/>
      <c r="T753" s="989"/>
      <c r="U753" s="989"/>
      <c r="V753" s="989"/>
      <c r="W753" s="989"/>
      <c r="X753" s="989"/>
      <c r="Y753" s="989"/>
      <c r="Z753" s="989"/>
      <c r="AA753" s="989"/>
      <c r="AB753" s="989"/>
      <c r="AC753" s="989"/>
      <c r="AD753" s="989"/>
      <c r="AE753" s="989"/>
    </row>
    <row r="754">
      <c r="A754" s="989"/>
      <c r="B754" s="989"/>
      <c r="C754" s="989"/>
      <c r="D754" s="989"/>
      <c r="E754" s="989"/>
      <c r="F754" s="989"/>
      <c r="G754" s="989"/>
      <c r="H754" s="992" t="str">
        <f t="shared" si="16"/>
        <v/>
      </c>
      <c r="I754" s="989"/>
      <c r="J754" s="989"/>
      <c r="K754" s="989"/>
      <c r="L754" s="989"/>
      <c r="M754" s="989"/>
      <c r="N754" s="989"/>
      <c r="O754" s="989"/>
      <c r="P754" s="989"/>
      <c r="Q754" s="989"/>
      <c r="R754" s="989"/>
      <c r="S754" s="989"/>
      <c r="T754" s="989"/>
      <c r="U754" s="989"/>
      <c r="V754" s="989"/>
      <c r="W754" s="989"/>
      <c r="X754" s="989"/>
      <c r="Y754" s="989"/>
      <c r="Z754" s="989"/>
      <c r="AA754" s="989"/>
      <c r="AB754" s="989"/>
      <c r="AC754" s="989"/>
      <c r="AD754" s="989"/>
      <c r="AE754" s="989"/>
    </row>
    <row r="755">
      <c r="A755" s="989"/>
      <c r="B755" s="989"/>
      <c r="C755" s="989"/>
      <c r="D755" s="989"/>
      <c r="E755" s="989"/>
      <c r="F755" s="989"/>
      <c r="G755" s="989"/>
      <c r="H755" s="992" t="str">
        <f t="shared" si="16"/>
        <v/>
      </c>
      <c r="I755" s="989"/>
      <c r="J755" s="989"/>
      <c r="K755" s="989"/>
      <c r="L755" s="989"/>
      <c r="M755" s="989"/>
      <c r="N755" s="989"/>
      <c r="O755" s="989"/>
      <c r="P755" s="989"/>
      <c r="Q755" s="989"/>
      <c r="R755" s="989"/>
      <c r="S755" s="989"/>
      <c r="T755" s="989"/>
      <c r="U755" s="989"/>
      <c r="V755" s="989"/>
      <c r="W755" s="989"/>
      <c r="X755" s="989"/>
      <c r="Y755" s="989"/>
      <c r="Z755" s="989"/>
      <c r="AA755" s="989"/>
      <c r="AB755" s="989"/>
      <c r="AC755" s="989"/>
      <c r="AD755" s="989"/>
      <c r="AE755" s="989"/>
    </row>
    <row r="756">
      <c r="A756" s="989"/>
      <c r="B756" s="989"/>
      <c r="C756" s="989"/>
      <c r="D756" s="989"/>
      <c r="E756" s="989"/>
      <c r="F756" s="989"/>
      <c r="G756" s="989"/>
      <c r="H756" s="992" t="str">
        <f t="shared" si="16"/>
        <v/>
      </c>
      <c r="I756" s="989"/>
      <c r="J756" s="989"/>
      <c r="K756" s="989"/>
      <c r="L756" s="989"/>
      <c r="M756" s="989"/>
      <c r="N756" s="989"/>
      <c r="O756" s="989"/>
      <c r="P756" s="989"/>
      <c r="Q756" s="989"/>
      <c r="R756" s="989"/>
      <c r="S756" s="989"/>
      <c r="T756" s="989"/>
      <c r="U756" s="989"/>
      <c r="V756" s="989"/>
      <c r="W756" s="989"/>
      <c r="X756" s="989"/>
      <c r="Y756" s="989"/>
      <c r="Z756" s="989"/>
      <c r="AA756" s="989"/>
      <c r="AB756" s="989"/>
      <c r="AC756" s="989"/>
      <c r="AD756" s="989"/>
      <c r="AE756" s="989"/>
    </row>
    <row r="757">
      <c r="A757" s="989"/>
      <c r="B757" s="989"/>
      <c r="C757" s="989"/>
      <c r="D757" s="989"/>
      <c r="E757" s="989"/>
      <c r="F757" s="989"/>
      <c r="G757" s="989"/>
      <c r="H757" s="992" t="str">
        <f t="shared" si="16"/>
        <v/>
      </c>
      <c r="I757" s="989"/>
      <c r="J757" s="989"/>
      <c r="K757" s="989"/>
      <c r="L757" s="989"/>
      <c r="M757" s="989"/>
      <c r="N757" s="989"/>
      <c r="O757" s="989"/>
      <c r="P757" s="989"/>
      <c r="Q757" s="989"/>
      <c r="R757" s="989"/>
      <c r="S757" s="989"/>
      <c r="T757" s="989"/>
      <c r="U757" s="989"/>
      <c r="V757" s="989"/>
      <c r="W757" s="989"/>
      <c r="X757" s="989"/>
      <c r="Y757" s="989"/>
      <c r="Z757" s="989"/>
      <c r="AA757" s="989"/>
      <c r="AB757" s="989"/>
      <c r="AC757" s="989"/>
      <c r="AD757" s="989"/>
      <c r="AE757" s="989"/>
    </row>
    <row r="758">
      <c r="A758" s="989"/>
      <c r="B758" s="989"/>
      <c r="C758" s="989"/>
      <c r="D758" s="989"/>
      <c r="E758" s="989"/>
      <c r="F758" s="989"/>
      <c r="G758" s="989"/>
      <c r="H758" s="992" t="str">
        <f t="shared" si="16"/>
        <v/>
      </c>
      <c r="I758" s="989"/>
      <c r="J758" s="989"/>
      <c r="K758" s="989"/>
      <c r="L758" s="989"/>
      <c r="M758" s="989"/>
      <c r="N758" s="989"/>
      <c r="O758" s="989"/>
      <c r="P758" s="989"/>
      <c r="Q758" s="989"/>
      <c r="R758" s="989"/>
      <c r="S758" s="989"/>
      <c r="T758" s="989"/>
      <c r="U758" s="989"/>
      <c r="V758" s="989"/>
      <c r="W758" s="989"/>
      <c r="X758" s="989"/>
      <c r="Y758" s="989"/>
      <c r="Z758" s="989"/>
      <c r="AA758" s="989"/>
      <c r="AB758" s="989"/>
      <c r="AC758" s="989"/>
      <c r="AD758" s="989"/>
      <c r="AE758" s="989"/>
    </row>
    <row r="759">
      <c r="A759" s="989"/>
      <c r="B759" s="989"/>
      <c r="C759" s="989"/>
      <c r="D759" s="989"/>
      <c r="E759" s="989"/>
      <c r="F759" s="989"/>
      <c r="G759" s="989"/>
      <c r="H759" s="992" t="str">
        <f t="shared" si="16"/>
        <v/>
      </c>
      <c r="I759" s="989"/>
      <c r="J759" s="989"/>
      <c r="K759" s="989"/>
      <c r="L759" s="989"/>
      <c r="M759" s="989"/>
      <c r="N759" s="989"/>
      <c r="O759" s="989"/>
      <c r="P759" s="989"/>
      <c r="Q759" s="989"/>
      <c r="R759" s="989"/>
      <c r="S759" s="989"/>
      <c r="T759" s="989"/>
      <c r="U759" s="989"/>
      <c r="V759" s="989"/>
      <c r="W759" s="989"/>
      <c r="X759" s="989"/>
      <c r="Y759" s="989"/>
      <c r="Z759" s="989"/>
      <c r="AA759" s="989"/>
      <c r="AB759" s="989"/>
      <c r="AC759" s="989"/>
      <c r="AD759" s="989"/>
      <c r="AE759" s="989"/>
    </row>
    <row r="760">
      <c r="A760" s="989"/>
      <c r="B760" s="989"/>
      <c r="C760" s="989"/>
      <c r="D760" s="989"/>
      <c r="E760" s="989"/>
      <c r="F760" s="989"/>
      <c r="G760" s="989"/>
      <c r="H760" s="992" t="str">
        <f t="shared" si="16"/>
        <v/>
      </c>
      <c r="I760" s="989"/>
      <c r="J760" s="989"/>
      <c r="K760" s="989"/>
      <c r="L760" s="989"/>
      <c r="M760" s="989"/>
      <c r="N760" s="989"/>
      <c r="O760" s="989"/>
      <c r="P760" s="989"/>
      <c r="Q760" s="989"/>
      <c r="R760" s="989"/>
      <c r="S760" s="989"/>
      <c r="T760" s="989"/>
      <c r="U760" s="989"/>
      <c r="V760" s="989"/>
      <c r="W760" s="989"/>
      <c r="X760" s="989"/>
      <c r="Y760" s="989"/>
      <c r="Z760" s="989"/>
      <c r="AA760" s="989"/>
      <c r="AB760" s="989"/>
      <c r="AC760" s="989"/>
      <c r="AD760" s="989"/>
      <c r="AE760" s="989"/>
    </row>
    <row r="761">
      <c r="A761" s="989"/>
      <c r="B761" s="989"/>
      <c r="C761" s="989"/>
      <c r="D761" s="989"/>
      <c r="E761" s="989"/>
      <c r="F761" s="989"/>
      <c r="G761" s="989"/>
      <c r="H761" s="992" t="str">
        <f t="shared" si="16"/>
        <v/>
      </c>
      <c r="I761" s="989"/>
      <c r="J761" s="989"/>
      <c r="K761" s="989"/>
      <c r="L761" s="989"/>
      <c r="M761" s="989"/>
      <c r="N761" s="989"/>
      <c r="O761" s="989"/>
      <c r="P761" s="989"/>
      <c r="Q761" s="989"/>
      <c r="R761" s="989"/>
      <c r="S761" s="989"/>
      <c r="T761" s="989"/>
      <c r="U761" s="989"/>
      <c r="V761" s="989"/>
      <c r="W761" s="989"/>
      <c r="X761" s="989"/>
      <c r="Y761" s="989"/>
      <c r="Z761" s="989"/>
      <c r="AA761" s="989"/>
      <c r="AB761" s="989"/>
      <c r="AC761" s="989"/>
      <c r="AD761" s="989"/>
      <c r="AE761" s="989"/>
    </row>
    <row r="762">
      <c r="A762" s="989"/>
      <c r="B762" s="989"/>
      <c r="C762" s="989"/>
      <c r="D762" s="989"/>
      <c r="E762" s="989"/>
      <c r="F762" s="989"/>
      <c r="G762" s="989"/>
      <c r="H762" s="992" t="str">
        <f t="shared" si="16"/>
        <v/>
      </c>
      <c r="I762" s="989"/>
      <c r="J762" s="989"/>
      <c r="K762" s="989"/>
      <c r="L762" s="989"/>
      <c r="M762" s="989"/>
      <c r="N762" s="989"/>
      <c r="O762" s="989"/>
      <c r="P762" s="989"/>
      <c r="Q762" s="989"/>
      <c r="R762" s="989"/>
      <c r="S762" s="989"/>
      <c r="T762" s="989"/>
      <c r="U762" s="989"/>
      <c r="V762" s="989"/>
      <c r="W762" s="989"/>
      <c r="X762" s="989"/>
      <c r="Y762" s="989"/>
      <c r="Z762" s="989"/>
      <c r="AA762" s="989"/>
      <c r="AB762" s="989"/>
      <c r="AC762" s="989"/>
      <c r="AD762" s="989"/>
      <c r="AE762" s="989"/>
    </row>
    <row r="763">
      <c r="A763" s="989"/>
      <c r="B763" s="989"/>
      <c r="C763" s="989"/>
      <c r="D763" s="989"/>
      <c r="E763" s="989"/>
      <c r="F763" s="989"/>
      <c r="G763" s="989"/>
      <c r="H763" s="992" t="str">
        <f t="shared" si="16"/>
        <v/>
      </c>
      <c r="I763" s="989"/>
      <c r="J763" s="989"/>
      <c r="K763" s="989"/>
      <c r="L763" s="989"/>
      <c r="M763" s="989"/>
      <c r="N763" s="989"/>
      <c r="O763" s="989"/>
      <c r="P763" s="989"/>
      <c r="Q763" s="989"/>
      <c r="R763" s="989"/>
      <c r="S763" s="989"/>
      <c r="T763" s="989"/>
      <c r="U763" s="989"/>
      <c r="V763" s="989"/>
      <c r="W763" s="989"/>
      <c r="X763" s="989"/>
      <c r="Y763" s="989"/>
      <c r="Z763" s="989"/>
      <c r="AA763" s="989"/>
      <c r="AB763" s="989"/>
      <c r="AC763" s="989"/>
      <c r="AD763" s="989"/>
      <c r="AE763" s="989"/>
    </row>
    <row r="764">
      <c r="A764" s="989"/>
      <c r="B764" s="989"/>
      <c r="C764" s="989"/>
      <c r="D764" s="989"/>
      <c r="E764" s="989"/>
      <c r="F764" s="989"/>
      <c r="G764" s="989"/>
      <c r="H764" s="992" t="str">
        <f t="shared" si="16"/>
        <v/>
      </c>
      <c r="I764" s="989"/>
      <c r="J764" s="989"/>
      <c r="K764" s="989"/>
      <c r="L764" s="989"/>
      <c r="M764" s="989"/>
      <c r="N764" s="989"/>
      <c r="O764" s="989"/>
      <c r="P764" s="989"/>
      <c r="Q764" s="989"/>
      <c r="R764" s="989"/>
      <c r="S764" s="989"/>
      <c r="T764" s="989"/>
      <c r="U764" s="989"/>
      <c r="V764" s="989"/>
      <c r="W764" s="989"/>
      <c r="X764" s="989"/>
      <c r="Y764" s="989"/>
      <c r="Z764" s="989"/>
      <c r="AA764" s="989"/>
      <c r="AB764" s="989"/>
      <c r="AC764" s="989"/>
      <c r="AD764" s="989"/>
      <c r="AE764" s="989"/>
    </row>
    <row r="765">
      <c r="A765" s="989"/>
      <c r="B765" s="989"/>
      <c r="C765" s="989"/>
      <c r="D765" s="989"/>
      <c r="E765" s="989"/>
      <c r="F765" s="989"/>
      <c r="G765" s="989"/>
      <c r="H765" s="992" t="str">
        <f t="shared" si="16"/>
        <v/>
      </c>
      <c r="I765" s="989"/>
      <c r="J765" s="989"/>
      <c r="K765" s="989"/>
      <c r="L765" s="989"/>
      <c r="M765" s="989"/>
      <c r="N765" s="989"/>
      <c r="O765" s="989"/>
      <c r="P765" s="989"/>
      <c r="Q765" s="989"/>
      <c r="R765" s="989"/>
      <c r="S765" s="989"/>
      <c r="T765" s="989"/>
      <c r="U765" s="989"/>
      <c r="V765" s="989"/>
      <c r="W765" s="989"/>
      <c r="X765" s="989"/>
      <c r="Y765" s="989"/>
      <c r="Z765" s="989"/>
      <c r="AA765" s="989"/>
      <c r="AB765" s="989"/>
      <c r="AC765" s="989"/>
      <c r="AD765" s="989"/>
      <c r="AE765" s="989"/>
    </row>
    <row r="766">
      <c r="A766" s="989"/>
      <c r="B766" s="989"/>
      <c r="C766" s="989"/>
      <c r="D766" s="989"/>
      <c r="E766" s="989"/>
      <c r="F766" s="989"/>
      <c r="G766" s="989"/>
      <c r="H766" s="992" t="str">
        <f t="shared" si="16"/>
        <v/>
      </c>
      <c r="I766" s="989"/>
      <c r="J766" s="989"/>
      <c r="K766" s="989"/>
      <c r="L766" s="989"/>
      <c r="M766" s="989"/>
      <c r="N766" s="989"/>
      <c r="O766" s="989"/>
      <c r="P766" s="989"/>
      <c r="Q766" s="989"/>
      <c r="R766" s="989"/>
      <c r="S766" s="989"/>
      <c r="T766" s="989"/>
      <c r="U766" s="989"/>
      <c r="V766" s="989"/>
      <c r="W766" s="989"/>
      <c r="X766" s="989"/>
      <c r="Y766" s="989"/>
      <c r="Z766" s="989"/>
      <c r="AA766" s="989"/>
      <c r="AB766" s="989"/>
      <c r="AC766" s="989"/>
      <c r="AD766" s="989"/>
      <c r="AE766" s="989"/>
    </row>
    <row r="767">
      <c r="A767" s="989"/>
      <c r="B767" s="989"/>
      <c r="C767" s="989"/>
      <c r="D767" s="989"/>
      <c r="E767" s="989"/>
      <c r="F767" s="989"/>
      <c r="G767" s="989"/>
      <c r="H767" s="992" t="str">
        <f t="shared" si="16"/>
        <v/>
      </c>
      <c r="I767" s="989"/>
      <c r="J767" s="989"/>
      <c r="K767" s="989"/>
      <c r="L767" s="989"/>
      <c r="M767" s="989"/>
      <c r="N767" s="989"/>
      <c r="O767" s="989"/>
      <c r="P767" s="989"/>
      <c r="Q767" s="989"/>
      <c r="R767" s="989"/>
      <c r="S767" s="989"/>
      <c r="T767" s="989"/>
      <c r="U767" s="989"/>
      <c r="V767" s="989"/>
      <c r="W767" s="989"/>
      <c r="X767" s="989"/>
      <c r="Y767" s="989"/>
      <c r="Z767" s="989"/>
      <c r="AA767" s="989"/>
      <c r="AB767" s="989"/>
      <c r="AC767" s="989"/>
      <c r="AD767" s="989"/>
      <c r="AE767" s="989"/>
    </row>
    <row r="768">
      <c r="A768" s="989"/>
      <c r="B768" s="989"/>
      <c r="C768" s="989"/>
      <c r="D768" s="989"/>
      <c r="E768" s="989"/>
      <c r="F768" s="989"/>
      <c r="G768" s="989"/>
      <c r="H768" s="992" t="str">
        <f t="shared" si="16"/>
        <v/>
      </c>
      <c r="I768" s="989"/>
      <c r="J768" s="989"/>
      <c r="K768" s="989"/>
      <c r="L768" s="989"/>
      <c r="M768" s="989"/>
      <c r="N768" s="989"/>
      <c r="O768" s="989"/>
      <c r="P768" s="989"/>
      <c r="Q768" s="989"/>
      <c r="R768" s="989"/>
      <c r="S768" s="989"/>
      <c r="T768" s="989"/>
      <c r="U768" s="989"/>
      <c r="V768" s="989"/>
      <c r="W768" s="989"/>
      <c r="X768" s="989"/>
      <c r="Y768" s="989"/>
      <c r="Z768" s="989"/>
      <c r="AA768" s="989"/>
      <c r="AB768" s="989"/>
      <c r="AC768" s="989"/>
      <c r="AD768" s="989"/>
      <c r="AE768" s="989"/>
    </row>
    <row r="769">
      <c r="A769" s="989"/>
      <c r="B769" s="989"/>
      <c r="C769" s="989"/>
      <c r="D769" s="989"/>
      <c r="E769" s="989"/>
      <c r="F769" s="989"/>
      <c r="G769" s="989"/>
      <c r="H769" s="992" t="str">
        <f t="shared" si="16"/>
        <v/>
      </c>
      <c r="I769" s="989"/>
      <c r="J769" s="989"/>
      <c r="K769" s="989"/>
      <c r="L769" s="989"/>
      <c r="M769" s="989"/>
      <c r="N769" s="989"/>
      <c r="O769" s="989"/>
      <c r="P769" s="989"/>
      <c r="Q769" s="989"/>
      <c r="R769" s="989"/>
      <c r="S769" s="989"/>
      <c r="T769" s="989"/>
      <c r="U769" s="989"/>
      <c r="V769" s="989"/>
      <c r="W769" s="989"/>
      <c r="X769" s="989"/>
      <c r="Y769" s="989"/>
      <c r="Z769" s="989"/>
      <c r="AA769" s="989"/>
      <c r="AB769" s="989"/>
      <c r="AC769" s="989"/>
      <c r="AD769" s="989"/>
      <c r="AE769" s="989"/>
    </row>
    <row r="770">
      <c r="A770" s="989"/>
      <c r="B770" s="989"/>
      <c r="C770" s="989"/>
      <c r="D770" s="989"/>
      <c r="E770" s="989"/>
      <c r="F770" s="989"/>
      <c r="G770" s="989"/>
      <c r="H770" s="992" t="str">
        <f t="shared" si="16"/>
        <v/>
      </c>
      <c r="I770" s="989"/>
      <c r="J770" s="989"/>
      <c r="K770" s="989"/>
      <c r="L770" s="989"/>
      <c r="M770" s="989"/>
      <c r="N770" s="989"/>
      <c r="O770" s="989"/>
      <c r="P770" s="989"/>
      <c r="Q770" s="989"/>
      <c r="R770" s="989"/>
      <c r="S770" s="989"/>
      <c r="T770" s="989"/>
      <c r="U770" s="989"/>
      <c r="V770" s="989"/>
      <c r="W770" s="989"/>
      <c r="X770" s="989"/>
      <c r="Y770" s="989"/>
      <c r="Z770" s="989"/>
      <c r="AA770" s="989"/>
      <c r="AB770" s="989"/>
      <c r="AC770" s="989"/>
      <c r="AD770" s="989"/>
      <c r="AE770" s="989"/>
    </row>
    <row r="771">
      <c r="A771" s="989"/>
      <c r="B771" s="989"/>
      <c r="C771" s="989"/>
      <c r="D771" s="989"/>
      <c r="E771" s="989"/>
      <c r="F771" s="989"/>
      <c r="G771" s="989"/>
      <c r="H771" s="992" t="str">
        <f t="shared" si="16"/>
        <v/>
      </c>
      <c r="I771" s="989"/>
      <c r="J771" s="989"/>
      <c r="K771" s="989"/>
      <c r="L771" s="989"/>
      <c r="M771" s="989"/>
      <c r="N771" s="989"/>
      <c r="O771" s="989"/>
      <c r="P771" s="989"/>
      <c r="Q771" s="989"/>
      <c r="R771" s="989"/>
      <c r="S771" s="989"/>
      <c r="T771" s="989"/>
      <c r="U771" s="989"/>
      <c r="V771" s="989"/>
      <c r="W771" s="989"/>
      <c r="X771" s="989"/>
      <c r="Y771" s="989"/>
      <c r="Z771" s="989"/>
      <c r="AA771" s="989"/>
      <c r="AB771" s="989"/>
      <c r="AC771" s="989"/>
      <c r="AD771" s="989"/>
      <c r="AE771" s="989"/>
    </row>
    <row r="772">
      <c r="A772" s="989"/>
      <c r="B772" s="989"/>
      <c r="C772" s="989"/>
      <c r="D772" s="989"/>
      <c r="E772" s="989"/>
      <c r="F772" s="989"/>
      <c r="G772" s="989"/>
      <c r="H772" s="992" t="str">
        <f t="shared" si="16"/>
        <v/>
      </c>
      <c r="I772" s="989"/>
      <c r="J772" s="989"/>
      <c r="K772" s="989"/>
      <c r="L772" s="989"/>
      <c r="M772" s="989"/>
      <c r="N772" s="989"/>
      <c r="O772" s="989"/>
      <c r="P772" s="989"/>
      <c r="Q772" s="989"/>
      <c r="R772" s="989"/>
      <c r="S772" s="989"/>
      <c r="T772" s="989"/>
      <c r="U772" s="989"/>
      <c r="V772" s="989"/>
      <c r="W772" s="989"/>
      <c r="X772" s="989"/>
      <c r="Y772" s="989"/>
      <c r="Z772" s="989"/>
      <c r="AA772" s="989"/>
      <c r="AB772" s="989"/>
      <c r="AC772" s="989"/>
      <c r="AD772" s="989"/>
      <c r="AE772" s="989"/>
    </row>
    <row r="773">
      <c r="A773" s="989"/>
      <c r="B773" s="989"/>
      <c r="C773" s="989"/>
      <c r="D773" s="989"/>
      <c r="E773" s="989"/>
      <c r="F773" s="989"/>
      <c r="G773" s="989"/>
      <c r="H773" s="992" t="str">
        <f t="shared" si="16"/>
        <v/>
      </c>
      <c r="I773" s="989"/>
      <c r="J773" s="989"/>
      <c r="K773" s="989"/>
      <c r="L773" s="989"/>
      <c r="M773" s="989"/>
      <c r="N773" s="989"/>
      <c r="O773" s="989"/>
      <c r="P773" s="989"/>
      <c r="Q773" s="989"/>
      <c r="R773" s="989"/>
      <c r="S773" s="989"/>
      <c r="T773" s="989"/>
      <c r="U773" s="989"/>
      <c r="V773" s="989"/>
      <c r="W773" s="989"/>
      <c r="X773" s="989"/>
      <c r="Y773" s="989"/>
      <c r="Z773" s="989"/>
      <c r="AA773" s="989"/>
      <c r="AB773" s="989"/>
      <c r="AC773" s="989"/>
      <c r="AD773" s="989"/>
      <c r="AE773" s="989"/>
    </row>
    <row r="774">
      <c r="A774" s="989"/>
      <c r="B774" s="989"/>
      <c r="C774" s="989"/>
      <c r="D774" s="989"/>
      <c r="E774" s="989"/>
      <c r="F774" s="989"/>
      <c r="G774" s="989"/>
      <c r="H774" s="992" t="str">
        <f t="shared" si="16"/>
        <v/>
      </c>
      <c r="I774" s="989"/>
      <c r="J774" s="989"/>
      <c r="K774" s="989"/>
      <c r="L774" s="989"/>
      <c r="M774" s="989"/>
      <c r="N774" s="989"/>
      <c r="O774" s="989"/>
      <c r="P774" s="989"/>
      <c r="Q774" s="989"/>
      <c r="R774" s="989"/>
      <c r="S774" s="989"/>
      <c r="T774" s="989"/>
      <c r="U774" s="989"/>
      <c r="V774" s="989"/>
      <c r="W774" s="989"/>
      <c r="X774" s="989"/>
      <c r="Y774" s="989"/>
      <c r="Z774" s="989"/>
      <c r="AA774" s="989"/>
      <c r="AB774" s="989"/>
      <c r="AC774" s="989"/>
      <c r="AD774" s="989"/>
      <c r="AE774" s="989"/>
    </row>
    <row r="775">
      <c r="A775" s="989"/>
      <c r="B775" s="989"/>
      <c r="C775" s="989"/>
      <c r="D775" s="989"/>
      <c r="E775" s="989"/>
      <c r="F775" s="989"/>
      <c r="G775" s="989"/>
      <c r="H775" s="992" t="str">
        <f t="shared" si="16"/>
        <v/>
      </c>
      <c r="I775" s="989"/>
      <c r="J775" s="989"/>
      <c r="K775" s="989"/>
      <c r="L775" s="989"/>
      <c r="M775" s="989"/>
      <c r="N775" s="989"/>
      <c r="O775" s="989"/>
      <c r="P775" s="989"/>
      <c r="Q775" s="989"/>
      <c r="R775" s="989"/>
      <c r="S775" s="989"/>
      <c r="T775" s="989"/>
      <c r="U775" s="989"/>
      <c r="V775" s="989"/>
      <c r="W775" s="989"/>
      <c r="X775" s="989"/>
      <c r="Y775" s="989"/>
      <c r="Z775" s="989"/>
      <c r="AA775" s="989"/>
      <c r="AB775" s="989"/>
      <c r="AC775" s="989"/>
      <c r="AD775" s="989"/>
      <c r="AE775" s="989"/>
    </row>
    <row r="776">
      <c r="A776" s="989"/>
      <c r="B776" s="989"/>
      <c r="C776" s="989"/>
      <c r="D776" s="989"/>
      <c r="E776" s="989"/>
      <c r="F776" s="989"/>
      <c r="G776" s="989"/>
      <c r="H776" s="992" t="str">
        <f t="shared" si="16"/>
        <v/>
      </c>
      <c r="I776" s="989"/>
      <c r="J776" s="989"/>
      <c r="K776" s="989"/>
      <c r="L776" s="989"/>
      <c r="M776" s="989"/>
      <c r="N776" s="989"/>
      <c r="O776" s="989"/>
      <c r="P776" s="989"/>
      <c r="Q776" s="989"/>
      <c r="R776" s="989"/>
      <c r="S776" s="989"/>
      <c r="T776" s="989"/>
      <c r="U776" s="989"/>
      <c r="V776" s="989"/>
      <c r="W776" s="989"/>
      <c r="X776" s="989"/>
      <c r="Y776" s="989"/>
      <c r="Z776" s="989"/>
      <c r="AA776" s="989"/>
      <c r="AB776" s="989"/>
      <c r="AC776" s="989"/>
      <c r="AD776" s="989"/>
      <c r="AE776" s="989"/>
    </row>
    <row r="777">
      <c r="A777" s="989"/>
      <c r="B777" s="989"/>
      <c r="C777" s="989"/>
      <c r="D777" s="989"/>
      <c r="E777" s="989"/>
      <c r="F777" s="989"/>
      <c r="G777" s="989"/>
      <c r="H777" s="992" t="str">
        <f t="shared" si="16"/>
        <v/>
      </c>
      <c r="I777" s="989"/>
      <c r="J777" s="989"/>
      <c r="K777" s="989"/>
      <c r="L777" s="989"/>
      <c r="M777" s="989"/>
      <c r="N777" s="989"/>
      <c r="O777" s="989"/>
      <c r="P777" s="989"/>
      <c r="Q777" s="989"/>
      <c r="R777" s="989"/>
      <c r="S777" s="989"/>
      <c r="T777" s="989"/>
      <c r="U777" s="989"/>
      <c r="V777" s="989"/>
      <c r="W777" s="989"/>
      <c r="X777" s="989"/>
      <c r="Y777" s="989"/>
      <c r="Z777" s="989"/>
      <c r="AA777" s="989"/>
      <c r="AB777" s="989"/>
      <c r="AC777" s="989"/>
      <c r="AD777" s="989"/>
      <c r="AE777" s="989"/>
    </row>
    <row r="778">
      <c r="A778" s="989"/>
      <c r="B778" s="989"/>
      <c r="C778" s="989"/>
      <c r="D778" s="989"/>
      <c r="E778" s="989"/>
      <c r="F778" s="989"/>
      <c r="G778" s="989"/>
      <c r="H778" s="992" t="str">
        <f t="shared" si="16"/>
        <v/>
      </c>
      <c r="I778" s="989"/>
      <c r="J778" s="989"/>
      <c r="K778" s="989"/>
      <c r="L778" s="989"/>
      <c r="M778" s="989"/>
      <c r="N778" s="989"/>
      <c r="O778" s="989"/>
      <c r="P778" s="989"/>
      <c r="Q778" s="989"/>
      <c r="R778" s="989"/>
      <c r="S778" s="989"/>
      <c r="T778" s="989"/>
      <c r="U778" s="989"/>
      <c r="V778" s="989"/>
      <c r="W778" s="989"/>
      <c r="X778" s="989"/>
      <c r="Y778" s="989"/>
      <c r="Z778" s="989"/>
      <c r="AA778" s="989"/>
      <c r="AB778" s="989"/>
      <c r="AC778" s="989"/>
      <c r="AD778" s="989"/>
      <c r="AE778" s="989"/>
    </row>
    <row r="779">
      <c r="A779" s="989"/>
      <c r="B779" s="989"/>
      <c r="C779" s="989"/>
      <c r="D779" s="989"/>
      <c r="E779" s="989"/>
      <c r="F779" s="989"/>
      <c r="G779" s="989"/>
      <c r="H779" s="992" t="str">
        <f t="shared" si="16"/>
        <v/>
      </c>
      <c r="I779" s="989"/>
      <c r="J779" s="989"/>
      <c r="K779" s="989"/>
      <c r="L779" s="989"/>
      <c r="M779" s="989"/>
      <c r="N779" s="989"/>
      <c r="O779" s="989"/>
      <c r="P779" s="989"/>
      <c r="Q779" s="989"/>
      <c r="R779" s="989"/>
      <c r="S779" s="989"/>
      <c r="T779" s="989"/>
      <c r="U779" s="989"/>
      <c r="V779" s="989"/>
      <c r="W779" s="989"/>
      <c r="X779" s="989"/>
      <c r="Y779" s="989"/>
      <c r="Z779" s="989"/>
      <c r="AA779" s="989"/>
      <c r="AB779" s="989"/>
      <c r="AC779" s="989"/>
      <c r="AD779" s="989"/>
      <c r="AE779" s="989"/>
    </row>
    <row r="780">
      <c r="A780" s="989"/>
      <c r="B780" s="989"/>
      <c r="C780" s="989"/>
      <c r="D780" s="989"/>
      <c r="E780" s="989"/>
      <c r="F780" s="989"/>
      <c r="G780" s="989"/>
      <c r="H780" s="992" t="str">
        <f t="shared" si="16"/>
        <v/>
      </c>
      <c r="I780" s="989"/>
      <c r="J780" s="989"/>
      <c r="K780" s="989"/>
      <c r="L780" s="989"/>
      <c r="M780" s="989"/>
      <c r="N780" s="989"/>
      <c r="O780" s="989"/>
      <c r="P780" s="989"/>
      <c r="Q780" s="989"/>
      <c r="R780" s="989"/>
      <c r="S780" s="989"/>
      <c r="T780" s="989"/>
      <c r="U780" s="989"/>
      <c r="V780" s="989"/>
      <c r="W780" s="989"/>
      <c r="X780" s="989"/>
      <c r="Y780" s="989"/>
      <c r="Z780" s="989"/>
      <c r="AA780" s="989"/>
      <c r="AB780" s="989"/>
      <c r="AC780" s="989"/>
      <c r="AD780" s="989"/>
      <c r="AE780" s="989"/>
    </row>
    <row r="781">
      <c r="A781" s="989"/>
      <c r="B781" s="989"/>
      <c r="C781" s="989"/>
      <c r="D781" s="989"/>
      <c r="E781" s="989"/>
      <c r="F781" s="989"/>
      <c r="G781" s="989"/>
      <c r="H781" s="992" t="str">
        <f t="shared" si="16"/>
        <v/>
      </c>
      <c r="I781" s="989"/>
      <c r="J781" s="989"/>
      <c r="K781" s="989"/>
      <c r="L781" s="989"/>
      <c r="M781" s="989"/>
      <c r="N781" s="989"/>
      <c r="O781" s="989"/>
      <c r="P781" s="989"/>
      <c r="Q781" s="989"/>
      <c r="R781" s="989"/>
      <c r="S781" s="989"/>
      <c r="T781" s="989"/>
      <c r="U781" s="989"/>
      <c r="V781" s="989"/>
      <c r="W781" s="989"/>
      <c r="X781" s="989"/>
      <c r="Y781" s="989"/>
      <c r="Z781" s="989"/>
      <c r="AA781" s="989"/>
      <c r="AB781" s="989"/>
      <c r="AC781" s="989"/>
      <c r="AD781" s="989"/>
      <c r="AE781" s="989"/>
    </row>
    <row r="782">
      <c r="A782" s="989"/>
      <c r="B782" s="989"/>
      <c r="C782" s="989"/>
      <c r="D782" s="989"/>
      <c r="E782" s="989"/>
      <c r="F782" s="989"/>
      <c r="G782" s="989"/>
      <c r="H782" s="992" t="str">
        <f t="shared" si="16"/>
        <v/>
      </c>
      <c r="I782" s="989"/>
      <c r="J782" s="989"/>
      <c r="K782" s="989"/>
      <c r="L782" s="989"/>
      <c r="M782" s="989"/>
      <c r="N782" s="989"/>
      <c r="O782" s="989"/>
      <c r="P782" s="989"/>
      <c r="Q782" s="989"/>
      <c r="R782" s="989"/>
      <c r="S782" s="989"/>
      <c r="T782" s="989"/>
      <c r="U782" s="989"/>
      <c r="V782" s="989"/>
      <c r="W782" s="989"/>
      <c r="X782" s="989"/>
      <c r="Y782" s="989"/>
      <c r="Z782" s="989"/>
      <c r="AA782" s="989"/>
      <c r="AB782" s="989"/>
      <c r="AC782" s="989"/>
      <c r="AD782" s="989"/>
      <c r="AE782" s="989"/>
    </row>
    <row r="783">
      <c r="A783" s="989"/>
      <c r="B783" s="989"/>
      <c r="C783" s="989"/>
      <c r="D783" s="989"/>
      <c r="E783" s="989"/>
      <c r="F783" s="989"/>
      <c r="G783" s="989"/>
      <c r="H783" s="992" t="str">
        <f t="shared" si="16"/>
        <v/>
      </c>
      <c r="I783" s="989"/>
      <c r="J783" s="989"/>
      <c r="K783" s="989"/>
      <c r="L783" s="989"/>
      <c r="M783" s="989"/>
      <c r="N783" s="989"/>
      <c r="O783" s="989"/>
      <c r="P783" s="989"/>
      <c r="Q783" s="989"/>
      <c r="R783" s="989"/>
      <c r="S783" s="989"/>
      <c r="T783" s="989"/>
      <c r="U783" s="989"/>
      <c r="V783" s="989"/>
      <c r="W783" s="989"/>
      <c r="X783" s="989"/>
      <c r="Y783" s="989"/>
      <c r="Z783" s="989"/>
      <c r="AA783" s="989"/>
      <c r="AB783" s="989"/>
      <c r="AC783" s="989"/>
      <c r="AD783" s="989"/>
      <c r="AE783" s="989"/>
    </row>
    <row r="784">
      <c r="A784" s="989"/>
      <c r="B784" s="989"/>
      <c r="C784" s="989"/>
      <c r="D784" s="989"/>
      <c r="E784" s="989"/>
      <c r="F784" s="989"/>
      <c r="G784" s="989"/>
      <c r="H784" s="992" t="str">
        <f t="shared" si="16"/>
        <v/>
      </c>
      <c r="I784" s="989"/>
      <c r="J784" s="989"/>
      <c r="K784" s="989"/>
      <c r="L784" s="989"/>
      <c r="M784" s="989"/>
      <c r="N784" s="989"/>
      <c r="O784" s="989"/>
      <c r="P784" s="989"/>
      <c r="Q784" s="989"/>
      <c r="R784" s="989"/>
      <c r="S784" s="989"/>
      <c r="T784" s="989"/>
      <c r="U784" s="989"/>
      <c r="V784" s="989"/>
      <c r="W784" s="989"/>
      <c r="X784" s="989"/>
      <c r="Y784" s="989"/>
      <c r="Z784" s="989"/>
      <c r="AA784" s="989"/>
      <c r="AB784" s="989"/>
      <c r="AC784" s="989"/>
      <c r="AD784" s="989"/>
      <c r="AE784" s="989"/>
    </row>
    <row r="785">
      <c r="A785" s="989"/>
      <c r="B785" s="989"/>
      <c r="C785" s="989"/>
      <c r="D785" s="989"/>
      <c r="E785" s="989"/>
      <c r="F785" s="989"/>
      <c r="G785" s="989"/>
      <c r="H785" s="992" t="str">
        <f t="shared" si="16"/>
        <v/>
      </c>
      <c r="I785" s="989"/>
      <c r="J785" s="989"/>
      <c r="K785" s="989"/>
      <c r="L785" s="989"/>
      <c r="M785" s="989"/>
      <c r="N785" s="989"/>
      <c r="O785" s="989"/>
      <c r="P785" s="989"/>
      <c r="Q785" s="989"/>
      <c r="R785" s="989"/>
      <c r="S785" s="989"/>
      <c r="T785" s="989"/>
      <c r="U785" s="989"/>
      <c r="V785" s="989"/>
      <c r="W785" s="989"/>
      <c r="X785" s="989"/>
      <c r="Y785" s="989"/>
      <c r="Z785" s="989"/>
      <c r="AA785" s="989"/>
      <c r="AB785" s="989"/>
      <c r="AC785" s="989"/>
      <c r="AD785" s="989"/>
      <c r="AE785" s="989"/>
    </row>
    <row r="786">
      <c r="A786" s="989"/>
      <c r="B786" s="989"/>
      <c r="C786" s="989"/>
      <c r="D786" s="989"/>
      <c r="E786" s="989"/>
      <c r="F786" s="989"/>
      <c r="G786" s="989"/>
      <c r="H786" s="992" t="str">
        <f t="shared" si="16"/>
        <v/>
      </c>
      <c r="I786" s="989"/>
      <c r="J786" s="989"/>
      <c r="K786" s="989"/>
      <c r="L786" s="989"/>
      <c r="M786" s="989"/>
      <c r="N786" s="989"/>
      <c r="O786" s="989"/>
      <c r="P786" s="989"/>
      <c r="Q786" s="989"/>
      <c r="R786" s="989"/>
      <c r="S786" s="989"/>
      <c r="T786" s="989"/>
      <c r="U786" s="989"/>
      <c r="V786" s="989"/>
      <c r="W786" s="989"/>
      <c r="X786" s="989"/>
      <c r="Y786" s="989"/>
      <c r="Z786" s="989"/>
      <c r="AA786" s="989"/>
      <c r="AB786" s="989"/>
      <c r="AC786" s="989"/>
      <c r="AD786" s="989"/>
      <c r="AE786" s="989"/>
    </row>
    <row r="787">
      <c r="A787" s="989"/>
      <c r="B787" s="989"/>
      <c r="C787" s="989"/>
      <c r="D787" s="989"/>
      <c r="E787" s="989"/>
      <c r="F787" s="989"/>
      <c r="G787" s="989"/>
      <c r="H787" s="992" t="str">
        <f t="shared" si="16"/>
        <v/>
      </c>
      <c r="I787" s="989"/>
      <c r="J787" s="989"/>
      <c r="K787" s="989"/>
      <c r="L787" s="989"/>
      <c r="M787" s="989"/>
      <c r="N787" s="989"/>
      <c r="O787" s="989"/>
      <c r="P787" s="989"/>
      <c r="Q787" s="989"/>
      <c r="R787" s="989"/>
      <c r="S787" s="989"/>
      <c r="T787" s="989"/>
      <c r="U787" s="989"/>
      <c r="V787" s="989"/>
      <c r="W787" s="989"/>
      <c r="X787" s="989"/>
      <c r="Y787" s="989"/>
      <c r="Z787" s="989"/>
      <c r="AA787" s="989"/>
      <c r="AB787" s="989"/>
      <c r="AC787" s="989"/>
      <c r="AD787" s="989"/>
      <c r="AE787" s="989"/>
    </row>
    <row r="788">
      <c r="A788" s="989"/>
      <c r="B788" s="989"/>
      <c r="C788" s="989"/>
      <c r="D788" s="989"/>
      <c r="E788" s="989"/>
      <c r="F788" s="989"/>
      <c r="G788" s="989"/>
      <c r="H788" s="992" t="str">
        <f t="shared" si="16"/>
        <v/>
      </c>
      <c r="I788" s="989"/>
      <c r="J788" s="989"/>
      <c r="K788" s="989"/>
      <c r="L788" s="989"/>
      <c r="M788" s="989"/>
      <c r="N788" s="989"/>
      <c r="O788" s="989"/>
      <c r="P788" s="989"/>
      <c r="Q788" s="989"/>
      <c r="R788" s="989"/>
      <c r="S788" s="989"/>
      <c r="T788" s="989"/>
      <c r="U788" s="989"/>
      <c r="V788" s="989"/>
      <c r="W788" s="989"/>
      <c r="X788" s="989"/>
      <c r="Y788" s="989"/>
      <c r="Z788" s="989"/>
      <c r="AA788" s="989"/>
      <c r="AB788" s="989"/>
      <c r="AC788" s="989"/>
      <c r="AD788" s="989"/>
      <c r="AE788" s="989"/>
    </row>
    <row r="789">
      <c r="A789" s="989"/>
      <c r="B789" s="989"/>
      <c r="C789" s="989"/>
      <c r="D789" s="989"/>
      <c r="E789" s="989"/>
      <c r="F789" s="989"/>
      <c r="G789" s="989"/>
      <c r="H789" s="992" t="str">
        <f t="shared" si="16"/>
        <v/>
      </c>
      <c r="I789" s="989"/>
      <c r="J789" s="989"/>
      <c r="K789" s="989"/>
      <c r="L789" s="989"/>
      <c r="M789" s="989"/>
      <c r="N789" s="989"/>
      <c r="O789" s="989"/>
      <c r="P789" s="989"/>
      <c r="Q789" s="989"/>
      <c r="R789" s="989"/>
      <c r="S789" s="989"/>
      <c r="T789" s="989"/>
      <c r="U789" s="989"/>
      <c r="V789" s="989"/>
      <c r="W789" s="989"/>
      <c r="X789" s="989"/>
      <c r="Y789" s="989"/>
      <c r="Z789" s="989"/>
      <c r="AA789" s="989"/>
      <c r="AB789" s="989"/>
      <c r="AC789" s="989"/>
      <c r="AD789" s="989"/>
      <c r="AE789" s="989"/>
    </row>
    <row r="790">
      <c r="A790" s="989"/>
      <c r="B790" s="989"/>
      <c r="C790" s="989"/>
      <c r="D790" s="989"/>
      <c r="E790" s="989"/>
      <c r="F790" s="989"/>
      <c r="G790" s="989"/>
      <c r="H790" s="992" t="str">
        <f t="shared" si="16"/>
        <v/>
      </c>
      <c r="I790" s="989"/>
      <c r="J790" s="989"/>
      <c r="K790" s="989"/>
      <c r="L790" s="989"/>
      <c r="M790" s="989"/>
      <c r="N790" s="989"/>
      <c r="O790" s="989"/>
      <c r="P790" s="989"/>
      <c r="Q790" s="989"/>
      <c r="R790" s="989"/>
      <c r="S790" s="989"/>
      <c r="T790" s="989"/>
      <c r="U790" s="989"/>
      <c r="V790" s="989"/>
      <c r="W790" s="989"/>
      <c r="X790" s="989"/>
      <c r="Y790" s="989"/>
      <c r="Z790" s="989"/>
      <c r="AA790" s="989"/>
      <c r="AB790" s="989"/>
      <c r="AC790" s="989"/>
      <c r="AD790" s="989"/>
      <c r="AE790" s="989"/>
    </row>
    <row r="791">
      <c r="A791" s="989"/>
      <c r="B791" s="989"/>
      <c r="C791" s="989"/>
      <c r="D791" s="989"/>
      <c r="E791" s="989"/>
      <c r="F791" s="989"/>
      <c r="G791" s="989"/>
      <c r="H791" s="992" t="str">
        <f t="shared" si="16"/>
        <v/>
      </c>
      <c r="I791" s="989"/>
      <c r="J791" s="989"/>
      <c r="K791" s="989"/>
      <c r="L791" s="989"/>
      <c r="M791" s="989"/>
      <c r="N791" s="989"/>
      <c r="O791" s="989"/>
      <c r="P791" s="989"/>
      <c r="Q791" s="989"/>
      <c r="R791" s="989"/>
      <c r="S791" s="989"/>
      <c r="T791" s="989"/>
      <c r="U791" s="989"/>
      <c r="V791" s="989"/>
      <c r="W791" s="989"/>
      <c r="X791" s="989"/>
      <c r="Y791" s="989"/>
      <c r="Z791" s="989"/>
      <c r="AA791" s="989"/>
      <c r="AB791" s="989"/>
      <c r="AC791" s="989"/>
      <c r="AD791" s="989"/>
      <c r="AE791" s="989"/>
    </row>
    <row r="792">
      <c r="A792" s="989"/>
      <c r="B792" s="989"/>
      <c r="C792" s="989"/>
      <c r="D792" s="989"/>
      <c r="E792" s="989"/>
      <c r="F792" s="989"/>
      <c r="G792" s="989"/>
      <c r="H792" s="992" t="str">
        <f t="shared" si="16"/>
        <v/>
      </c>
      <c r="I792" s="989"/>
      <c r="J792" s="989"/>
      <c r="K792" s="989"/>
      <c r="L792" s="989"/>
      <c r="M792" s="989"/>
      <c r="N792" s="989"/>
      <c r="O792" s="989"/>
      <c r="P792" s="989"/>
      <c r="Q792" s="989"/>
      <c r="R792" s="989"/>
      <c r="S792" s="989"/>
      <c r="T792" s="989"/>
      <c r="U792" s="989"/>
      <c r="V792" s="989"/>
      <c r="W792" s="989"/>
      <c r="X792" s="989"/>
      <c r="Y792" s="989"/>
      <c r="Z792" s="989"/>
      <c r="AA792" s="989"/>
      <c r="AB792" s="989"/>
      <c r="AC792" s="989"/>
      <c r="AD792" s="989"/>
      <c r="AE792" s="989"/>
    </row>
    <row r="793">
      <c r="A793" s="989"/>
      <c r="B793" s="989"/>
      <c r="C793" s="989"/>
      <c r="D793" s="989"/>
      <c r="E793" s="989"/>
      <c r="F793" s="989"/>
      <c r="G793" s="989"/>
      <c r="H793" s="992" t="str">
        <f t="shared" si="16"/>
        <v/>
      </c>
      <c r="I793" s="989"/>
      <c r="J793" s="989"/>
      <c r="K793" s="989"/>
      <c r="L793" s="989"/>
      <c r="M793" s="989"/>
      <c r="N793" s="989"/>
      <c r="O793" s="989"/>
      <c r="P793" s="989"/>
      <c r="Q793" s="989"/>
      <c r="R793" s="989"/>
      <c r="S793" s="989"/>
      <c r="T793" s="989"/>
      <c r="U793" s="989"/>
      <c r="V793" s="989"/>
      <c r="W793" s="989"/>
      <c r="X793" s="989"/>
      <c r="Y793" s="989"/>
      <c r="Z793" s="989"/>
      <c r="AA793" s="989"/>
      <c r="AB793" s="989"/>
      <c r="AC793" s="989"/>
      <c r="AD793" s="989"/>
      <c r="AE793" s="989"/>
    </row>
    <row r="794">
      <c r="A794" s="989"/>
      <c r="B794" s="989"/>
      <c r="C794" s="989"/>
      <c r="D794" s="989"/>
      <c r="E794" s="989"/>
      <c r="F794" s="989"/>
      <c r="G794" s="989"/>
      <c r="H794" s="992" t="str">
        <f t="shared" si="16"/>
        <v/>
      </c>
      <c r="I794" s="989"/>
      <c r="J794" s="989"/>
      <c r="K794" s="989"/>
      <c r="L794" s="989"/>
      <c r="M794" s="989"/>
      <c r="N794" s="989"/>
      <c r="O794" s="989"/>
      <c r="P794" s="989"/>
      <c r="Q794" s="989"/>
      <c r="R794" s="989"/>
      <c r="S794" s="989"/>
      <c r="T794" s="989"/>
      <c r="U794" s="989"/>
      <c r="V794" s="989"/>
      <c r="W794" s="989"/>
      <c r="X794" s="989"/>
      <c r="Y794" s="989"/>
      <c r="Z794" s="989"/>
      <c r="AA794" s="989"/>
      <c r="AB794" s="989"/>
      <c r="AC794" s="989"/>
      <c r="AD794" s="989"/>
      <c r="AE794" s="989"/>
    </row>
    <row r="795">
      <c r="A795" s="989"/>
      <c r="B795" s="989"/>
      <c r="C795" s="989"/>
      <c r="D795" s="989"/>
      <c r="E795" s="989"/>
      <c r="F795" s="989"/>
      <c r="G795" s="989"/>
      <c r="H795" s="992" t="str">
        <f t="shared" si="16"/>
        <v/>
      </c>
      <c r="I795" s="989"/>
      <c r="J795" s="989"/>
      <c r="K795" s="989"/>
      <c r="L795" s="989"/>
      <c r="M795" s="989"/>
      <c r="N795" s="989"/>
      <c r="O795" s="989"/>
      <c r="P795" s="989"/>
      <c r="Q795" s="989"/>
      <c r="R795" s="989"/>
      <c r="S795" s="989"/>
      <c r="T795" s="989"/>
      <c r="U795" s="989"/>
      <c r="V795" s="989"/>
      <c r="W795" s="989"/>
      <c r="X795" s="989"/>
      <c r="Y795" s="989"/>
      <c r="Z795" s="989"/>
      <c r="AA795" s="989"/>
      <c r="AB795" s="989"/>
      <c r="AC795" s="989"/>
      <c r="AD795" s="989"/>
      <c r="AE795" s="989"/>
    </row>
    <row r="796">
      <c r="A796" s="989"/>
      <c r="B796" s="989"/>
      <c r="C796" s="989"/>
      <c r="D796" s="989"/>
      <c r="E796" s="989"/>
      <c r="F796" s="989"/>
      <c r="G796" s="989"/>
      <c r="H796" s="992" t="str">
        <f t="shared" si="16"/>
        <v/>
      </c>
      <c r="I796" s="989"/>
      <c r="J796" s="989"/>
      <c r="K796" s="989"/>
      <c r="L796" s="989"/>
      <c r="M796" s="989"/>
      <c r="N796" s="989"/>
      <c r="O796" s="989"/>
      <c r="P796" s="989"/>
      <c r="Q796" s="989"/>
      <c r="R796" s="989"/>
      <c r="S796" s="989"/>
      <c r="T796" s="989"/>
      <c r="U796" s="989"/>
      <c r="V796" s="989"/>
      <c r="W796" s="989"/>
      <c r="X796" s="989"/>
      <c r="Y796" s="989"/>
      <c r="Z796" s="989"/>
      <c r="AA796" s="989"/>
      <c r="AB796" s="989"/>
      <c r="AC796" s="989"/>
      <c r="AD796" s="989"/>
      <c r="AE796" s="989"/>
    </row>
    <row r="797">
      <c r="A797" s="989"/>
      <c r="B797" s="989"/>
      <c r="C797" s="989"/>
      <c r="D797" s="989"/>
      <c r="E797" s="989"/>
      <c r="F797" s="989"/>
      <c r="G797" s="989"/>
      <c r="H797" s="992" t="str">
        <f t="shared" si="16"/>
        <v/>
      </c>
      <c r="I797" s="989"/>
      <c r="J797" s="989"/>
      <c r="K797" s="989"/>
      <c r="L797" s="989"/>
      <c r="M797" s="989"/>
      <c r="N797" s="989"/>
      <c r="O797" s="989"/>
      <c r="P797" s="989"/>
      <c r="Q797" s="989"/>
      <c r="R797" s="989"/>
      <c r="S797" s="989"/>
      <c r="T797" s="989"/>
      <c r="U797" s="989"/>
      <c r="V797" s="989"/>
      <c r="W797" s="989"/>
      <c r="X797" s="989"/>
      <c r="Y797" s="989"/>
      <c r="Z797" s="989"/>
      <c r="AA797" s="989"/>
      <c r="AB797" s="989"/>
      <c r="AC797" s="989"/>
      <c r="AD797" s="989"/>
      <c r="AE797" s="989"/>
    </row>
    <row r="798">
      <c r="A798" s="989"/>
      <c r="B798" s="989"/>
      <c r="C798" s="989"/>
      <c r="D798" s="989"/>
      <c r="E798" s="989"/>
      <c r="F798" s="989"/>
      <c r="G798" s="989"/>
      <c r="H798" s="992" t="str">
        <f t="shared" si="16"/>
        <v/>
      </c>
      <c r="I798" s="989"/>
      <c r="J798" s="989"/>
      <c r="K798" s="989"/>
      <c r="L798" s="989"/>
      <c r="M798" s="989"/>
      <c r="N798" s="989"/>
      <c r="O798" s="989"/>
      <c r="P798" s="989"/>
      <c r="Q798" s="989"/>
      <c r="R798" s="989"/>
      <c r="S798" s="989"/>
      <c r="T798" s="989"/>
      <c r="U798" s="989"/>
      <c r="V798" s="989"/>
      <c r="W798" s="989"/>
      <c r="X798" s="989"/>
      <c r="Y798" s="989"/>
      <c r="Z798" s="989"/>
      <c r="AA798" s="989"/>
      <c r="AB798" s="989"/>
      <c r="AC798" s="989"/>
      <c r="AD798" s="989"/>
      <c r="AE798" s="989"/>
    </row>
    <row r="799">
      <c r="A799" s="989"/>
      <c r="B799" s="989"/>
      <c r="C799" s="989"/>
      <c r="D799" s="989"/>
      <c r="E799" s="989"/>
      <c r="F799" s="989"/>
      <c r="G799" s="989"/>
      <c r="H799" s="992" t="str">
        <f t="shared" si="16"/>
        <v/>
      </c>
      <c r="I799" s="989"/>
      <c r="J799" s="989"/>
      <c r="K799" s="989"/>
      <c r="L799" s="989"/>
      <c r="M799" s="989"/>
      <c r="N799" s="989"/>
      <c r="O799" s="989"/>
      <c r="P799" s="989"/>
      <c r="Q799" s="989"/>
      <c r="R799" s="989"/>
      <c r="S799" s="989"/>
      <c r="T799" s="989"/>
      <c r="U799" s="989"/>
      <c r="V799" s="989"/>
      <c r="W799" s="989"/>
      <c r="X799" s="989"/>
      <c r="Y799" s="989"/>
      <c r="Z799" s="989"/>
      <c r="AA799" s="989"/>
      <c r="AB799" s="989"/>
      <c r="AC799" s="989"/>
      <c r="AD799" s="989"/>
      <c r="AE799" s="989"/>
    </row>
    <row r="800">
      <c r="A800" s="989"/>
      <c r="B800" s="989"/>
      <c r="C800" s="989"/>
      <c r="D800" s="989"/>
      <c r="E800" s="989"/>
      <c r="F800" s="989"/>
      <c r="G800" s="989"/>
      <c r="H800" s="992" t="str">
        <f t="shared" si="16"/>
        <v/>
      </c>
      <c r="I800" s="989"/>
      <c r="J800" s="989"/>
      <c r="K800" s="989"/>
      <c r="L800" s="989"/>
      <c r="M800" s="989"/>
      <c r="N800" s="989"/>
      <c r="O800" s="989"/>
      <c r="P800" s="989"/>
      <c r="Q800" s="989"/>
      <c r="R800" s="989"/>
      <c r="S800" s="989"/>
      <c r="T800" s="989"/>
      <c r="U800" s="989"/>
      <c r="V800" s="989"/>
      <c r="W800" s="989"/>
      <c r="X800" s="989"/>
      <c r="Y800" s="989"/>
      <c r="Z800" s="989"/>
      <c r="AA800" s="989"/>
      <c r="AB800" s="989"/>
      <c r="AC800" s="989"/>
      <c r="AD800" s="989"/>
      <c r="AE800" s="989"/>
    </row>
    <row r="801">
      <c r="A801" s="989"/>
      <c r="B801" s="989"/>
      <c r="C801" s="989"/>
      <c r="D801" s="989"/>
      <c r="E801" s="989"/>
      <c r="F801" s="989"/>
      <c r="G801" s="989"/>
      <c r="H801" s="992" t="str">
        <f t="shared" si="16"/>
        <v/>
      </c>
      <c r="I801" s="989"/>
      <c r="J801" s="989"/>
      <c r="K801" s="989"/>
      <c r="L801" s="989"/>
      <c r="M801" s="989"/>
      <c r="N801" s="989"/>
      <c r="O801" s="989"/>
      <c r="P801" s="989"/>
      <c r="Q801" s="989"/>
      <c r="R801" s="989"/>
      <c r="S801" s="989"/>
      <c r="T801" s="989"/>
      <c r="U801" s="989"/>
      <c r="V801" s="989"/>
      <c r="W801" s="989"/>
      <c r="X801" s="989"/>
      <c r="Y801" s="989"/>
      <c r="Z801" s="989"/>
      <c r="AA801" s="989"/>
      <c r="AB801" s="989"/>
      <c r="AC801" s="989"/>
      <c r="AD801" s="989"/>
      <c r="AE801" s="989"/>
    </row>
    <row r="802">
      <c r="A802" s="989"/>
      <c r="B802" s="989"/>
      <c r="C802" s="989"/>
      <c r="D802" s="989"/>
      <c r="E802" s="989"/>
      <c r="F802" s="989"/>
      <c r="G802" s="989"/>
      <c r="H802" s="992" t="str">
        <f t="shared" si="16"/>
        <v/>
      </c>
      <c r="I802" s="989"/>
      <c r="J802" s="989"/>
      <c r="K802" s="989"/>
      <c r="L802" s="989"/>
      <c r="M802" s="989"/>
      <c r="N802" s="989"/>
      <c r="O802" s="989"/>
      <c r="P802" s="989"/>
      <c r="Q802" s="989"/>
      <c r="R802" s="989"/>
      <c r="S802" s="989"/>
      <c r="T802" s="989"/>
      <c r="U802" s="989"/>
      <c r="V802" s="989"/>
      <c r="W802" s="989"/>
      <c r="X802" s="989"/>
      <c r="Y802" s="989"/>
      <c r="Z802" s="989"/>
      <c r="AA802" s="989"/>
      <c r="AB802" s="989"/>
      <c r="AC802" s="989"/>
      <c r="AD802" s="989"/>
      <c r="AE802" s="989"/>
    </row>
    <row r="803">
      <c r="A803" s="989"/>
      <c r="B803" s="989"/>
      <c r="C803" s="989"/>
      <c r="D803" s="989"/>
      <c r="E803" s="989"/>
      <c r="F803" s="989"/>
      <c r="G803" s="989"/>
      <c r="H803" s="992" t="str">
        <f t="shared" si="16"/>
        <v/>
      </c>
      <c r="I803" s="989"/>
      <c r="J803" s="989"/>
      <c r="K803" s="989"/>
      <c r="L803" s="989"/>
      <c r="M803" s="989"/>
      <c r="N803" s="989"/>
      <c r="O803" s="989"/>
      <c r="P803" s="989"/>
      <c r="Q803" s="989"/>
      <c r="R803" s="989"/>
      <c r="S803" s="989"/>
      <c r="T803" s="989"/>
      <c r="U803" s="989"/>
      <c r="V803" s="989"/>
      <c r="W803" s="989"/>
      <c r="X803" s="989"/>
      <c r="Y803" s="989"/>
      <c r="Z803" s="989"/>
      <c r="AA803" s="989"/>
      <c r="AB803" s="989"/>
      <c r="AC803" s="989"/>
      <c r="AD803" s="989"/>
      <c r="AE803" s="989"/>
    </row>
    <row r="804">
      <c r="A804" s="989"/>
      <c r="B804" s="989"/>
      <c r="C804" s="989"/>
      <c r="D804" s="989"/>
      <c r="E804" s="989"/>
      <c r="F804" s="989"/>
      <c r="G804" s="989"/>
      <c r="H804" s="992" t="str">
        <f t="shared" si="16"/>
        <v/>
      </c>
      <c r="I804" s="989"/>
      <c r="J804" s="989"/>
      <c r="K804" s="989"/>
      <c r="L804" s="989"/>
      <c r="M804" s="989"/>
      <c r="N804" s="989"/>
      <c r="O804" s="989"/>
      <c r="P804" s="989"/>
      <c r="Q804" s="989"/>
      <c r="R804" s="989"/>
      <c r="S804" s="989"/>
      <c r="T804" s="989"/>
      <c r="U804" s="989"/>
      <c r="V804" s="989"/>
      <c r="W804" s="989"/>
      <c r="X804" s="989"/>
      <c r="Y804" s="989"/>
      <c r="Z804" s="989"/>
      <c r="AA804" s="989"/>
      <c r="AB804" s="989"/>
      <c r="AC804" s="989"/>
      <c r="AD804" s="989"/>
      <c r="AE804" s="989"/>
    </row>
    <row r="805">
      <c r="A805" s="989"/>
      <c r="B805" s="989"/>
      <c r="C805" s="989"/>
      <c r="D805" s="989"/>
      <c r="E805" s="989"/>
      <c r="F805" s="989"/>
      <c r="G805" s="989"/>
      <c r="H805" s="992" t="str">
        <f t="shared" si="16"/>
        <v/>
      </c>
      <c r="I805" s="989"/>
      <c r="J805" s="989"/>
      <c r="K805" s="989"/>
      <c r="L805" s="989"/>
      <c r="M805" s="989"/>
      <c r="N805" s="989"/>
      <c r="O805" s="989"/>
      <c r="P805" s="989"/>
      <c r="Q805" s="989"/>
      <c r="R805" s="989"/>
      <c r="S805" s="989"/>
      <c r="T805" s="989"/>
      <c r="U805" s="989"/>
      <c r="V805" s="989"/>
      <c r="W805" s="989"/>
      <c r="X805" s="989"/>
      <c r="Y805" s="989"/>
      <c r="Z805" s="989"/>
      <c r="AA805" s="989"/>
      <c r="AB805" s="989"/>
      <c r="AC805" s="989"/>
      <c r="AD805" s="989"/>
      <c r="AE805" s="989"/>
    </row>
    <row r="806">
      <c r="A806" s="989"/>
      <c r="B806" s="989"/>
      <c r="C806" s="989"/>
      <c r="D806" s="989"/>
      <c r="E806" s="989"/>
      <c r="F806" s="989"/>
      <c r="G806" s="989"/>
      <c r="H806" s="992" t="str">
        <f t="shared" si="16"/>
        <v/>
      </c>
      <c r="I806" s="989"/>
      <c r="J806" s="989"/>
      <c r="K806" s="989"/>
      <c r="L806" s="989"/>
      <c r="M806" s="989"/>
      <c r="N806" s="989"/>
      <c r="O806" s="989"/>
      <c r="P806" s="989"/>
      <c r="Q806" s="989"/>
      <c r="R806" s="989"/>
      <c r="S806" s="989"/>
      <c r="T806" s="989"/>
      <c r="U806" s="989"/>
      <c r="V806" s="989"/>
      <c r="W806" s="989"/>
      <c r="X806" s="989"/>
      <c r="Y806" s="989"/>
      <c r="Z806" s="989"/>
      <c r="AA806" s="989"/>
      <c r="AB806" s="989"/>
      <c r="AC806" s="989"/>
      <c r="AD806" s="989"/>
      <c r="AE806" s="989"/>
    </row>
    <row r="807">
      <c r="A807" s="989"/>
      <c r="B807" s="989"/>
      <c r="C807" s="989"/>
      <c r="D807" s="989"/>
      <c r="E807" s="989"/>
      <c r="F807" s="989"/>
      <c r="G807" s="989"/>
      <c r="H807" s="992" t="str">
        <f t="shared" si="16"/>
        <v/>
      </c>
      <c r="I807" s="989"/>
      <c r="J807" s="989"/>
      <c r="K807" s="989"/>
      <c r="L807" s="989"/>
      <c r="M807" s="989"/>
      <c r="N807" s="989"/>
      <c r="O807" s="989"/>
      <c r="P807" s="989"/>
      <c r="Q807" s="989"/>
      <c r="R807" s="989"/>
      <c r="S807" s="989"/>
      <c r="T807" s="989"/>
      <c r="U807" s="989"/>
      <c r="V807" s="989"/>
      <c r="W807" s="989"/>
      <c r="X807" s="989"/>
      <c r="Y807" s="989"/>
      <c r="Z807" s="989"/>
      <c r="AA807" s="989"/>
      <c r="AB807" s="989"/>
      <c r="AC807" s="989"/>
      <c r="AD807" s="989"/>
      <c r="AE807" s="989"/>
    </row>
    <row r="808">
      <c r="A808" s="989"/>
      <c r="B808" s="989"/>
      <c r="C808" s="989"/>
      <c r="D808" s="989"/>
      <c r="E808" s="989"/>
      <c r="F808" s="989"/>
      <c r="G808" s="989"/>
      <c r="H808" s="992" t="str">
        <f t="shared" si="16"/>
        <v/>
      </c>
      <c r="I808" s="989"/>
      <c r="J808" s="989"/>
      <c r="K808" s="989"/>
      <c r="L808" s="989"/>
      <c r="M808" s="989"/>
      <c r="N808" s="989"/>
      <c r="O808" s="989"/>
      <c r="P808" s="989"/>
      <c r="Q808" s="989"/>
      <c r="R808" s="989"/>
      <c r="S808" s="989"/>
      <c r="T808" s="989"/>
      <c r="U808" s="989"/>
      <c r="V808" s="989"/>
      <c r="W808" s="989"/>
      <c r="X808" s="989"/>
      <c r="Y808" s="989"/>
      <c r="Z808" s="989"/>
      <c r="AA808" s="989"/>
      <c r="AB808" s="989"/>
      <c r="AC808" s="989"/>
      <c r="AD808" s="989"/>
      <c r="AE808" s="989"/>
    </row>
    <row r="809">
      <c r="A809" s="989"/>
      <c r="B809" s="989"/>
      <c r="C809" s="989"/>
      <c r="D809" s="989"/>
      <c r="E809" s="989"/>
      <c r="F809" s="989"/>
      <c r="G809" s="989"/>
      <c r="H809" s="992" t="str">
        <f t="shared" si="16"/>
        <v/>
      </c>
      <c r="I809" s="989"/>
      <c r="J809" s="989"/>
      <c r="K809" s="989"/>
      <c r="L809" s="989"/>
      <c r="M809" s="989"/>
      <c r="N809" s="989"/>
      <c r="O809" s="989"/>
      <c r="P809" s="989"/>
      <c r="Q809" s="989"/>
      <c r="R809" s="989"/>
      <c r="S809" s="989"/>
      <c r="T809" s="989"/>
      <c r="U809" s="989"/>
      <c r="V809" s="989"/>
      <c r="W809" s="989"/>
      <c r="X809" s="989"/>
      <c r="Y809" s="989"/>
      <c r="Z809" s="989"/>
      <c r="AA809" s="989"/>
      <c r="AB809" s="989"/>
      <c r="AC809" s="989"/>
      <c r="AD809" s="989"/>
      <c r="AE809" s="989"/>
    </row>
    <row r="810">
      <c r="A810" s="989"/>
      <c r="B810" s="989"/>
      <c r="C810" s="989"/>
      <c r="D810" s="989"/>
      <c r="E810" s="989"/>
      <c r="F810" s="989"/>
      <c r="G810" s="989"/>
      <c r="H810" s="992" t="str">
        <f t="shared" si="16"/>
        <v/>
      </c>
      <c r="I810" s="989"/>
      <c r="J810" s="989"/>
      <c r="K810" s="989"/>
      <c r="L810" s="989"/>
      <c r="M810" s="989"/>
      <c r="N810" s="989"/>
      <c r="O810" s="989"/>
      <c r="P810" s="989"/>
      <c r="Q810" s="989"/>
      <c r="R810" s="989"/>
      <c r="S810" s="989"/>
      <c r="T810" s="989"/>
      <c r="U810" s="989"/>
      <c r="V810" s="989"/>
      <c r="W810" s="989"/>
      <c r="X810" s="989"/>
      <c r="Y810" s="989"/>
      <c r="Z810" s="989"/>
      <c r="AA810" s="989"/>
      <c r="AB810" s="989"/>
      <c r="AC810" s="989"/>
      <c r="AD810" s="989"/>
      <c r="AE810" s="989"/>
    </row>
    <row r="811">
      <c r="A811" s="989"/>
      <c r="B811" s="989"/>
      <c r="C811" s="989"/>
      <c r="D811" s="989"/>
      <c r="E811" s="989"/>
      <c r="F811" s="989"/>
      <c r="G811" s="989"/>
      <c r="H811" s="992" t="str">
        <f t="shared" si="16"/>
        <v/>
      </c>
      <c r="I811" s="989"/>
      <c r="J811" s="989"/>
      <c r="K811" s="989"/>
      <c r="L811" s="989"/>
      <c r="M811" s="989"/>
      <c r="N811" s="989"/>
      <c r="O811" s="989"/>
      <c r="P811" s="989"/>
      <c r="Q811" s="989"/>
      <c r="R811" s="989"/>
      <c r="S811" s="989"/>
      <c r="T811" s="989"/>
      <c r="U811" s="989"/>
      <c r="V811" s="989"/>
      <c r="W811" s="989"/>
      <c r="X811" s="989"/>
      <c r="Y811" s="989"/>
      <c r="Z811" s="989"/>
      <c r="AA811" s="989"/>
      <c r="AB811" s="989"/>
      <c r="AC811" s="989"/>
      <c r="AD811" s="989"/>
      <c r="AE811" s="989"/>
    </row>
    <row r="812">
      <c r="A812" s="989"/>
      <c r="B812" s="989"/>
      <c r="C812" s="989"/>
      <c r="D812" s="989"/>
      <c r="E812" s="989"/>
      <c r="F812" s="989"/>
      <c r="G812" s="989"/>
      <c r="H812" s="992" t="str">
        <f t="shared" si="16"/>
        <v/>
      </c>
      <c r="I812" s="989"/>
      <c r="J812" s="989"/>
      <c r="K812" s="989"/>
      <c r="L812" s="989"/>
      <c r="M812" s="989"/>
      <c r="N812" s="989"/>
      <c r="O812" s="989"/>
      <c r="P812" s="989"/>
      <c r="Q812" s="989"/>
      <c r="R812" s="989"/>
      <c r="S812" s="989"/>
      <c r="T812" s="989"/>
      <c r="U812" s="989"/>
      <c r="V812" s="989"/>
      <c r="W812" s="989"/>
      <c r="X812" s="989"/>
      <c r="Y812" s="989"/>
      <c r="Z812" s="989"/>
      <c r="AA812" s="989"/>
      <c r="AB812" s="989"/>
      <c r="AC812" s="989"/>
      <c r="AD812" s="989"/>
      <c r="AE812" s="989"/>
    </row>
    <row r="813">
      <c r="A813" s="989"/>
      <c r="B813" s="989"/>
      <c r="C813" s="989"/>
      <c r="D813" s="989"/>
      <c r="E813" s="989"/>
      <c r="F813" s="989"/>
      <c r="G813" s="989"/>
      <c r="H813" s="992" t="str">
        <f t="shared" si="16"/>
        <v/>
      </c>
      <c r="I813" s="989"/>
      <c r="J813" s="989"/>
      <c r="K813" s="989"/>
      <c r="L813" s="989"/>
      <c r="M813" s="989"/>
      <c r="N813" s="989"/>
      <c r="O813" s="989"/>
      <c r="P813" s="989"/>
      <c r="Q813" s="989"/>
      <c r="R813" s="989"/>
      <c r="S813" s="989"/>
      <c r="T813" s="989"/>
      <c r="U813" s="989"/>
      <c r="V813" s="989"/>
      <c r="W813" s="989"/>
      <c r="X813" s="989"/>
      <c r="Y813" s="989"/>
      <c r="Z813" s="989"/>
      <c r="AA813" s="989"/>
      <c r="AB813" s="989"/>
      <c r="AC813" s="989"/>
      <c r="AD813" s="989"/>
      <c r="AE813" s="989"/>
    </row>
    <row r="814">
      <c r="A814" s="989"/>
      <c r="B814" s="989"/>
      <c r="C814" s="989"/>
      <c r="D814" s="989"/>
      <c r="E814" s="989"/>
      <c r="F814" s="989"/>
      <c r="G814" s="989"/>
      <c r="H814" s="992" t="str">
        <f t="shared" si="16"/>
        <v/>
      </c>
      <c r="I814" s="989"/>
      <c r="J814" s="989"/>
      <c r="K814" s="989"/>
      <c r="L814" s="989"/>
      <c r="M814" s="989"/>
      <c r="N814" s="989"/>
      <c r="O814" s="989"/>
      <c r="P814" s="989"/>
      <c r="Q814" s="989"/>
      <c r="R814" s="989"/>
      <c r="S814" s="989"/>
      <c r="T814" s="989"/>
      <c r="U814" s="989"/>
      <c r="V814" s="989"/>
      <c r="W814" s="989"/>
      <c r="X814" s="989"/>
      <c r="Y814" s="989"/>
      <c r="Z814" s="989"/>
      <c r="AA814" s="989"/>
      <c r="AB814" s="989"/>
      <c r="AC814" s="989"/>
      <c r="AD814" s="989"/>
      <c r="AE814" s="989"/>
    </row>
    <row r="815">
      <c r="A815" s="989"/>
      <c r="B815" s="989"/>
      <c r="C815" s="989"/>
      <c r="D815" s="989"/>
      <c r="E815" s="989"/>
      <c r="F815" s="989"/>
      <c r="G815" s="989"/>
      <c r="H815" s="992" t="str">
        <f t="shared" si="16"/>
        <v/>
      </c>
      <c r="I815" s="989"/>
      <c r="J815" s="989"/>
      <c r="K815" s="989"/>
      <c r="L815" s="989"/>
      <c r="M815" s="989"/>
      <c r="N815" s="989"/>
      <c r="O815" s="989"/>
      <c r="P815" s="989"/>
      <c r="Q815" s="989"/>
      <c r="R815" s="989"/>
      <c r="S815" s="989"/>
      <c r="T815" s="989"/>
      <c r="U815" s="989"/>
      <c r="V815" s="989"/>
      <c r="W815" s="989"/>
      <c r="X815" s="989"/>
      <c r="Y815" s="989"/>
      <c r="Z815" s="989"/>
      <c r="AA815" s="989"/>
      <c r="AB815" s="989"/>
      <c r="AC815" s="989"/>
      <c r="AD815" s="989"/>
      <c r="AE815" s="989"/>
    </row>
    <row r="816">
      <c r="A816" s="989"/>
      <c r="B816" s="989"/>
      <c r="C816" s="989"/>
      <c r="D816" s="989"/>
      <c r="E816" s="989"/>
      <c r="F816" s="989"/>
      <c r="G816" s="989"/>
      <c r="H816" s="992" t="str">
        <f t="shared" si="16"/>
        <v/>
      </c>
      <c r="I816" s="989"/>
      <c r="J816" s="989"/>
      <c r="K816" s="989"/>
      <c r="L816" s="989"/>
      <c r="M816" s="989"/>
      <c r="N816" s="989"/>
      <c r="O816" s="989"/>
      <c r="P816" s="989"/>
      <c r="Q816" s="989"/>
      <c r="R816" s="989"/>
      <c r="S816" s="989"/>
      <c r="T816" s="989"/>
      <c r="U816" s="989"/>
      <c r="V816" s="989"/>
      <c r="W816" s="989"/>
      <c r="X816" s="989"/>
      <c r="Y816" s="989"/>
      <c r="Z816" s="989"/>
      <c r="AA816" s="989"/>
      <c r="AB816" s="989"/>
      <c r="AC816" s="989"/>
      <c r="AD816" s="989"/>
      <c r="AE816" s="989"/>
    </row>
    <row r="817">
      <c r="A817" s="989"/>
      <c r="B817" s="989"/>
      <c r="C817" s="989"/>
      <c r="D817" s="989"/>
      <c r="E817" s="989"/>
      <c r="F817" s="989"/>
      <c r="G817" s="989"/>
      <c r="H817" s="992" t="str">
        <f t="shared" si="16"/>
        <v/>
      </c>
      <c r="I817" s="989"/>
      <c r="J817" s="989"/>
      <c r="K817" s="989"/>
      <c r="L817" s="989"/>
      <c r="M817" s="989"/>
      <c r="N817" s="989"/>
      <c r="O817" s="989"/>
      <c r="P817" s="989"/>
      <c r="Q817" s="989"/>
      <c r="R817" s="989"/>
      <c r="S817" s="989"/>
      <c r="T817" s="989"/>
      <c r="U817" s="989"/>
      <c r="V817" s="989"/>
      <c r="W817" s="989"/>
      <c r="X817" s="989"/>
      <c r="Y817" s="989"/>
      <c r="Z817" s="989"/>
      <c r="AA817" s="989"/>
      <c r="AB817" s="989"/>
      <c r="AC817" s="989"/>
      <c r="AD817" s="989"/>
      <c r="AE817" s="989"/>
    </row>
    <row r="818">
      <c r="A818" s="989"/>
      <c r="B818" s="989"/>
      <c r="C818" s="989"/>
      <c r="D818" s="989"/>
      <c r="E818" s="989"/>
      <c r="F818" s="989"/>
      <c r="G818" s="989"/>
      <c r="H818" s="992" t="str">
        <f t="shared" si="16"/>
        <v/>
      </c>
      <c r="I818" s="989"/>
      <c r="J818" s="989"/>
      <c r="K818" s="989"/>
      <c r="L818" s="989"/>
      <c r="M818" s="989"/>
      <c r="N818" s="989"/>
      <c r="O818" s="989"/>
      <c r="P818" s="989"/>
      <c r="Q818" s="989"/>
      <c r="R818" s="989"/>
      <c r="S818" s="989"/>
      <c r="T818" s="989"/>
      <c r="U818" s="989"/>
      <c r="V818" s="989"/>
      <c r="W818" s="989"/>
      <c r="X818" s="989"/>
      <c r="Y818" s="989"/>
      <c r="Z818" s="989"/>
      <c r="AA818" s="989"/>
      <c r="AB818" s="989"/>
      <c r="AC818" s="989"/>
      <c r="AD818" s="989"/>
      <c r="AE818" s="989"/>
    </row>
    <row r="819">
      <c r="A819" s="989"/>
      <c r="B819" s="989"/>
      <c r="C819" s="989"/>
      <c r="D819" s="989"/>
      <c r="E819" s="989"/>
      <c r="F819" s="989"/>
      <c r="G819" s="989"/>
      <c r="H819" s="992" t="str">
        <f t="shared" si="16"/>
        <v/>
      </c>
      <c r="I819" s="989"/>
      <c r="J819" s="989"/>
      <c r="K819" s="989"/>
      <c r="L819" s="989"/>
      <c r="M819" s="989"/>
      <c r="N819" s="989"/>
      <c r="O819" s="989"/>
      <c r="P819" s="989"/>
      <c r="Q819" s="989"/>
      <c r="R819" s="989"/>
      <c r="S819" s="989"/>
      <c r="T819" s="989"/>
      <c r="U819" s="989"/>
      <c r="V819" s="989"/>
      <c r="W819" s="989"/>
      <c r="X819" s="989"/>
      <c r="Y819" s="989"/>
      <c r="Z819" s="989"/>
      <c r="AA819" s="989"/>
      <c r="AB819" s="989"/>
      <c r="AC819" s="989"/>
      <c r="AD819" s="989"/>
      <c r="AE819" s="989"/>
    </row>
    <row r="820">
      <c r="A820" s="989"/>
      <c r="B820" s="989"/>
      <c r="C820" s="989"/>
      <c r="D820" s="989"/>
      <c r="E820" s="989"/>
      <c r="F820" s="989"/>
      <c r="G820" s="989"/>
      <c r="H820" s="992" t="str">
        <f t="shared" si="16"/>
        <v/>
      </c>
      <c r="I820" s="989"/>
      <c r="J820" s="989"/>
      <c r="K820" s="989"/>
      <c r="L820" s="989"/>
      <c r="M820" s="989"/>
      <c r="N820" s="989"/>
      <c r="O820" s="989"/>
      <c r="P820" s="989"/>
      <c r="Q820" s="989"/>
      <c r="R820" s="989"/>
      <c r="S820" s="989"/>
      <c r="T820" s="989"/>
      <c r="U820" s="989"/>
      <c r="V820" s="989"/>
      <c r="W820" s="989"/>
      <c r="X820" s="989"/>
      <c r="Y820" s="989"/>
      <c r="Z820" s="989"/>
      <c r="AA820" s="989"/>
      <c r="AB820" s="989"/>
      <c r="AC820" s="989"/>
      <c r="AD820" s="989"/>
      <c r="AE820" s="989"/>
    </row>
    <row r="821">
      <c r="A821" s="989"/>
      <c r="B821" s="989"/>
      <c r="C821" s="989"/>
      <c r="D821" s="989"/>
      <c r="E821" s="989"/>
      <c r="F821" s="989"/>
      <c r="G821" s="989"/>
      <c r="H821" s="992" t="str">
        <f t="shared" si="16"/>
        <v/>
      </c>
      <c r="I821" s="989"/>
      <c r="J821" s="989"/>
      <c r="K821" s="989"/>
      <c r="L821" s="989"/>
      <c r="M821" s="989"/>
      <c r="N821" s="989"/>
      <c r="O821" s="989"/>
      <c r="P821" s="989"/>
      <c r="Q821" s="989"/>
      <c r="R821" s="989"/>
      <c r="S821" s="989"/>
      <c r="T821" s="989"/>
      <c r="U821" s="989"/>
      <c r="V821" s="989"/>
      <c r="W821" s="989"/>
      <c r="X821" s="989"/>
      <c r="Y821" s="989"/>
      <c r="Z821" s="989"/>
      <c r="AA821" s="989"/>
      <c r="AB821" s="989"/>
      <c r="AC821" s="989"/>
      <c r="AD821" s="989"/>
      <c r="AE821" s="989"/>
    </row>
    <row r="822">
      <c r="A822" s="989"/>
      <c r="B822" s="989"/>
      <c r="C822" s="989"/>
      <c r="D822" s="989"/>
      <c r="E822" s="989"/>
      <c r="F822" s="989"/>
      <c r="G822" s="989"/>
      <c r="H822" s="992" t="str">
        <f t="shared" si="16"/>
        <v/>
      </c>
      <c r="I822" s="989"/>
      <c r="J822" s="989"/>
      <c r="K822" s="989"/>
      <c r="L822" s="989"/>
      <c r="M822" s="989"/>
      <c r="N822" s="989"/>
      <c r="O822" s="989"/>
      <c r="P822" s="989"/>
      <c r="Q822" s="989"/>
      <c r="R822" s="989"/>
      <c r="S822" s="989"/>
      <c r="T822" s="989"/>
      <c r="U822" s="989"/>
      <c r="V822" s="989"/>
      <c r="W822" s="989"/>
      <c r="X822" s="989"/>
      <c r="Y822" s="989"/>
      <c r="Z822" s="989"/>
      <c r="AA822" s="989"/>
      <c r="AB822" s="989"/>
      <c r="AC822" s="989"/>
      <c r="AD822" s="989"/>
      <c r="AE822" s="989"/>
    </row>
    <row r="823">
      <c r="A823" s="989"/>
      <c r="B823" s="989"/>
      <c r="C823" s="989"/>
      <c r="D823" s="989"/>
      <c r="E823" s="989"/>
      <c r="F823" s="989"/>
      <c r="G823" s="989"/>
      <c r="H823" s="992" t="str">
        <f t="shared" si="16"/>
        <v/>
      </c>
      <c r="I823" s="989"/>
      <c r="J823" s="989"/>
      <c r="K823" s="989"/>
      <c r="L823" s="989"/>
      <c r="M823" s="989"/>
      <c r="N823" s="989"/>
      <c r="O823" s="989"/>
      <c r="P823" s="989"/>
      <c r="Q823" s="989"/>
      <c r="R823" s="989"/>
      <c r="S823" s="989"/>
      <c r="T823" s="989"/>
      <c r="U823" s="989"/>
      <c r="V823" s="989"/>
      <c r="W823" s="989"/>
      <c r="X823" s="989"/>
      <c r="Y823" s="989"/>
      <c r="Z823" s="989"/>
      <c r="AA823" s="989"/>
      <c r="AB823" s="989"/>
      <c r="AC823" s="989"/>
      <c r="AD823" s="989"/>
      <c r="AE823" s="989"/>
    </row>
    <row r="824">
      <c r="A824" s="989"/>
      <c r="B824" s="989"/>
      <c r="C824" s="989"/>
      <c r="D824" s="989"/>
      <c r="E824" s="989"/>
      <c r="F824" s="989"/>
      <c r="G824" s="989"/>
      <c r="H824" s="992" t="str">
        <f t="shared" si="16"/>
        <v/>
      </c>
      <c r="I824" s="989"/>
      <c r="J824" s="989"/>
      <c r="K824" s="989"/>
      <c r="L824" s="989"/>
      <c r="M824" s="989"/>
      <c r="N824" s="989"/>
      <c r="O824" s="989"/>
      <c r="P824" s="989"/>
      <c r="Q824" s="989"/>
      <c r="R824" s="989"/>
      <c r="S824" s="989"/>
      <c r="T824" s="989"/>
      <c r="U824" s="989"/>
      <c r="V824" s="989"/>
      <c r="W824" s="989"/>
      <c r="X824" s="989"/>
      <c r="Y824" s="989"/>
      <c r="Z824" s="989"/>
      <c r="AA824" s="989"/>
      <c r="AB824" s="989"/>
      <c r="AC824" s="989"/>
      <c r="AD824" s="989"/>
      <c r="AE824" s="989"/>
    </row>
    <row r="825">
      <c r="A825" s="989"/>
      <c r="B825" s="989"/>
      <c r="C825" s="989"/>
      <c r="D825" s="989"/>
      <c r="E825" s="989"/>
      <c r="F825" s="989"/>
      <c r="G825" s="989"/>
      <c r="H825" s="992" t="str">
        <f t="shared" si="16"/>
        <v/>
      </c>
      <c r="I825" s="989"/>
      <c r="J825" s="989"/>
      <c r="K825" s="989"/>
      <c r="L825" s="989"/>
      <c r="M825" s="989"/>
      <c r="N825" s="989"/>
      <c r="O825" s="989"/>
      <c r="P825" s="989"/>
      <c r="Q825" s="989"/>
      <c r="R825" s="989"/>
      <c r="S825" s="989"/>
      <c r="T825" s="989"/>
      <c r="U825" s="989"/>
      <c r="V825" s="989"/>
      <c r="W825" s="989"/>
      <c r="X825" s="989"/>
      <c r="Y825" s="989"/>
      <c r="Z825" s="989"/>
      <c r="AA825" s="989"/>
      <c r="AB825" s="989"/>
      <c r="AC825" s="989"/>
      <c r="AD825" s="989"/>
      <c r="AE825" s="989"/>
    </row>
    <row r="826">
      <c r="A826" s="989"/>
      <c r="B826" s="989"/>
      <c r="C826" s="989"/>
      <c r="D826" s="989"/>
      <c r="E826" s="989"/>
      <c r="F826" s="989"/>
      <c r="G826" s="989"/>
      <c r="H826" s="992" t="str">
        <f t="shared" si="16"/>
        <v/>
      </c>
      <c r="I826" s="989"/>
      <c r="J826" s="989"/>
      <c r="K826" s="989"/>
      <c r="L826" s="989"/>
      <c r="M826" s="989"/>
      <c r="N826" s="989"/>
      <c r="O826" s="989"/>
      <c r="P826" s="989"/>
      <c r="Q826" s="989"/>
      <c r="R826" s="989"/>
      <c r="S826" s="989"/>
      <c r="T826" s="989"/>
      <c r="U826" s="989"/>
      <c r="V826" s="989"/>
      <c r="W826" s="989"/>
      <c r="X826" s="989"/>
      <c r="Y826" s="989"/>
      <c r="Z826" s="989"/>
      <c r="AA826" s="989"/>
      <c r="AB826" s="989"/>
      <c r="AC826" s="989"/>
      <c r="AD826" s="989"/>
      <c r="AE826" s="989"/>
    </row>
    <row r="827">
      <c r="A827" s="989"/>
      <c r="B827" s="989"/>
      <c r="C827" s="989"/>
      <c r="D827" s="989"/>
      <c r="E827" s="989"/>
      <c r="F827" s="989"/>
      <c r="G827" s="989"/>
      <c r="H827" s="992" t="str">
        <f t="shared" si="16"/>
        <v/>
      </c>
      <c r="I827" s="989"/>
      <c r="J827" s="989"/>
      <c r="K827" s="989"/>
      <c r="L827" s="989"/>
      <c r="M827" s="989"/>
      <c r="N827" s="989"/>
      <c r="O827" s="989"/>
      <c r="P827" s="989"/>
      <c r="Q827" s="989"/>
      <c r="R827" s="989"/>
      <c r="S827" s="989"/>
      <c r="T827" s="989"/>
      <c r="U827" s="989"/>
      <c r="V827" s="989"/>
      <c r="W827" s="989"/>
      <c r="X827" s="989"/>
      <c r="Y827" s="989"/>
      <c r="Z827" s="989"/>
      <c r="AA827" s="989"/>
      <c r="AB827" s="989"/>
      <c r="AC827" s="989"/>
      <c r="AD827" s="989"/>
      <c r="AE827" s="989"/>
    </row>
    <row r="828">
      <c r="A828" s="989"/>
      <c r="B828" s="989"/>
      <c r="C828" s="989"/>
      <c r="D828" s="989"/>
      <c r="E828" s="989"/>
      <c r="F828" s="989"/>
      <c r="G828" s="989"/>
      <c r="H828" s="992" t="str">
        <f t="shared" si="16"/>
        <v/>
      </c>
      <c r="I828" s="989"/>
      <c r="J828" s="989"/>
      <c r="K828" s="989"/>
      <c r="L828" s="989"/>
      <c r="M828" s="989"/>
      <c r="N828" s="989"/>
      <c r="O828" s="989"/>
      <c r="P828" s="989"/>
      <c r="Q828" s="989"/>
      <c r="R828" s="989"/>
      <c r="S828" s="989"/>
      <c r="T828" s="989"/>
      <c r="U828" s="989"/>
      <c r="V828" s="989"/>
      <c r="W828" s="989"/>
      <c r="X828" s="989"/>
      <c r="Y828" s="989"/>
      <c r="Z828" s="989"/>
      <c r="AA828" s="989"/>
      <c r="AB828" s="989"/>
      <c r="AC828" s="989"/>
      <c r="AD828" s="989"/>
      <c r="AE828" s="989"/>
    </row>
    <row r="829">
      <c r="A829" s="989"/>
      <c r="B829" s="989"/>
      <c r="C829" s="989"/>
      <c r="D829" s="989"/>
      <c r="E829" s="989"/>
      <c r="F829" s="989"/>
      <c r="G829" s="989"/>
      <c r="H829" s="992" t="str">
        <f t="shared" si="16"/>
        <v/>
      </c>
      <c r="I829" s="989"/>
      <c r="J829" s="989"/>
      <c r="K829" s="989"/>
      <c r="L829" s="989"/>
      <c r="M829" s="989"/>
      <c r="N829" s="989"/>
      <c r="O829" s="989"/>
      <c r="P829" s="989"/>
      <c r="Q829" s="989"/>
      <c r="R829" s="989"/>
      <c r="S829" s="989"/>
      <c r="T829" s="989"/>
      <c r="U829" s="989"/>
      <c r="V829" s="989"/>
      <c r="W829" s="989"/>
      <c r="X829" s="989"/>
      <c r="Y829" s="989"/>
      <c r="Z829" s="989"/>
      <c r="AA829" s="989"/>
      <c r="AB829" s="989"/>
      <c r="AC829" s="989"/>
      <c r="AD829" s="989"/>
      <c r="AE829" s="989"/>
    </row>
    <row r="830">
      <c r="A830" s="989"/>
      <c r="B830" s="989"/>
      <c r="C830" s="989"/>
      <c r="D830" s="989"/>
      <c r="E830" s="989"/>
      <c r="F830" s="989"/>
      <c r="G830" s="989"/>
      <c r="H830" s="992" t="str">
        <f t="shared" si="16"/>
        <v/>
      </c>
      <c r="I830" s="989"/>
      <c r="J830" s="989"/>
      <c r="K830" s="989"/>
      <c r="L830" s="989"/>
      <c r="M830" s="989"/>
      <c r="N830" s="989"/>
      <c r="O830" s="989"/>
      <c r="P830" s="989"/>
      <c r="Q830" s="989"/>
      <c r="R830" s="989"/>
      <c r="S830" s="989"/>
      <c r="T830" s="989"/>
      <c r="U830" s="989"/>
      <c r="V830" s="989"/>
      <c r="W830" s="989"/>
      <c r="X830" s="989"/>
      <c r="Y830" s="989"/>
      <c r="Z830" s="989"/>
      <c r="AA830" s="989"/>
      <c r="AB830" s="989"/>
      <c r="AC830" s="989"/>
      <c r="AD830" s="989"/>
      <c r="AE830" s="989"/>
    </row>
    <row r="831">
      <c r="A831" s="989"/>
      <c r="B831" s="989"/>
      <c r="C831" s="989"/>
      <c r="D831" s="989"/>
      <c r="E831" s="989"/>
      <c r="F831" s="989"/>
      <c r="G831" s="989"/>
      <c r="H831" s="992" t="str">
        <f t="shared" si="16"/>
        <v/>
      </c>
      <c r="I831" s="989"/>
      <c r="J831" s="989"/>
      <c r="K831" s="989"/>
      <c r="L831" s="989"/>
      <c r="M831" s="989"/>
      <c r="N831" s="989"/>
      <c r="O831" s="989"/>
      <c r="P831" s="989"/>
      <c r="Q831" s="989"/>
      <c r="R831" s="989"/>
      <c r="S831" s="989"/>
      <c r="T831" s="989"/>
      <c r="U831" s="989"/>
      <c r="V831" s="989"/>
      <c r="W831" s="989"/>
      <c r="X831" s="989"/>
      <c r="Y831" s="989"/>
      <c r="Z831" s="989"/>
      <c r="AA831" s="989"/>
      <c r="AB831" s="989"/>
      <c r="AC831" s="989"/>
      <c r="AD831" s="989"/>
      <c r="AE831" s="989"/>
    </row>
    <row r="832">
      <c r="A832" s="989"/>
      <c r="B832" s="989"/>
      <c r="C832" s="989"/>
      <c r="D832" s="989"/>
      <c r="E832" s="989"/>
      <c r="F832" s="989"/>
      <c r="G832" s="989"/>
      <c r="H832" s="992" t="str">
        <f t="shared" si="16"/>
        <v/>
      </c>
      <c r="I832" s="989"/>
      <c r="J832" s="989"/>
      <c r="K832" s="989"/>
      <c r="L832" s="989"/>
      <c r="M832" s="989"/>
      <c r="N832" s="989"/>
      <c r="O832" s="989"/>
      <c r="P832" s="989"/>
      <c r="Q832" s="989"/>
      <c r="R832" s="989"/>
      <c r="S832" s="989"/>
      <c r="T832" s="989"/>
      <c r="U832" s="989"/>
      <c r="V832" s="989"/>
      <c r="W832" s="989"/>
      <c r="X832" s="989"/>
      <c r="Y832" s="989"/>
      <c r="Z832" s="989"/>
      <c r="AA832" s="989"/>
      <c r="AB832" s="989"/>
      <c r="AC832" s="989"/>
      <c r="AD832" s="989"/>
      <c r="AE832" s="989"/>
    </row>
    <row r="833">
      <c r="A833" s="989"/>
      <c r="B833" s="989"/>
      <c r="C833" s="989"/>
      <c r="D833" s="989"/>
      <c r="E833" s="989"/>
      <c r="F833" s="989"/>
      <c r="G833" s="989"/>
      <c r="H833" s="992" t="str">
        <f t="shared" si="16"/>
        <v/>
      </c>
      <c r="I833" s="989"/>
      <c r="J833" s="989"/>
      <c r="K833" s="989"/>
      <c r="L833" s="989"/>
      <c r="M833" s="989"/>
      <c r="N833" s="989"/>
      <c r="O833" s="989"/>
      <c r="P833" s="989"/>
      <c r="Q833" s="989"/>
      <c r="R833" s="989"/>
      <c r="S833" s="989"/>
      <c r="T833" s="989"/>
      <c r="U833" s="989"/>
      <c r="V833" s="989"/>
      <c r="W833" s="989"/>
      <c r="X833" s="989"/>
      <c r="Y833" s="989"/>
      <c r="Z833" s="989"/>
      <c r="AA833" s="989"/>
      <c r="AB833" s="989"/>
      <c r="AC833" s="989"/>
      <c r="AD833" s="989"/>
      <c r="AE833" s="989"/>
    </row>
    <row r="834">
      <c r="A834" s="989"/>
      <c r="B834" s="989"/>
      <c r="C834" s="989"/>
      <c r="D834" s="989"/>
      <c r="E834" s="989"/>
      <c r="F834" s="989"/>
      <c r="G834" s="989"/>
      <c r="H834" s="992" t="str">
        <f t="shared" si="16"/>
        <v/>
      </c>
      <c r="I834" s="989"/>
      <c r="J834" s="989"/>
      <c r="K834" s="989"/>
      <c r="L834" s="989"/>
      <c r="M834" s="989"/>
      <c r="N834" s="989"/>
      <c r="O834" s="989"/>
      <c r="P834" s="989"/>
      <c r="Q834" s="989"/>
      <c r="R834" s="989"/>
      <c r="S834" s="989"/>
      <c r="T834" s="989"/>
      <c r="U834" s="989"/>
      <c r="V834" s="989"/>
      <c r="W834" s="989"/>
      <c r="X834" s="989"/>
      <c r="Y834" s="989"/>
      <c r="Z834" s="989"/>
      <c r="AA834" s="989"/>
      <c r="AB834" s="989"/>
      <c r="AC834" s="989"/>
      <c r="AD834" s="989"/>
      <c r="AE834" s="989"/>
    </row>
    <row r="835">
      <c r="A835" s="989"/>
      <c r="B835" s="989"/>
      <c r="C835" s="989"/>
      <c r="D835" s="989"/>
      <c r="E835" s="989"/>
      <c r="F835" s="989"/>
      <c r="G835" s="989"/>
      <c r="H835" s="992" t="str">
        <f t="shared" si="16"/>
        <v/>
      </c>
      <c r="I835" s="989"/>
      <c r="J835" s="989"/>
      <c r="K835" s="989"/>
      <c r="L835" s="989"/>
      <c r="M835" s="989"/>
      <c r="N835" s="989"/>
      <c r="O835" s="989"/>
      <c r="P835" s="989"/>
      <c r="Q835" s="989"/>
      <c r="R835" s="989"/>
      <c r="S835" s="989"/>
      <c r="T835" s="989"/>
      <c r="U835" s="989"/>
      <c r="V835" s="989"/>
      <c r="W835" s="989"/>
      <c r="X835" s="989"/>
      <c r="Y835" s="989"/>
      <c r="Z835" s="989"/>
      <c r="AA835" s="989"/>
      <c r="AB835" s="989"/>
      <c r="AC835" s="989"/>
      <c r="AD835" s="989"/>
      <c r="AE835" s="989"/>
    </row>
    <row r="836">
      <c r="A836" s="989"/>
      <c r="B836" s="989"/>
      <c r="C836" s="989"/>
      <c r="D836" s="989"/>
      <c r="E836" s="989"/>
      <c r="F836" s="989"/>
      <c r="G836" s="989"/>
      <c r="H836" s="992" t="str">
        <f t="shared" si="16"/>
        <v/>
      </c>
      <c r="I836" s="989"/>
      <c r="J836" s="989"/>
      <c r="K836" s="989"/>
      <c r="L836" s="989"/>
      <c r="M836" s="989"/>
      <c r="N836" s="989"/>
      <c r="O836" s="989"/>
      <c r="P836" s="989"/>
      <c r="Q836" s="989"/>
      <c r="R836" s="989"/>
      <c r="S836" s="989"/>
      <c r="T836" s="989"/>
      <c r="U836" s="989"/>
      <c r="V836" s="989"/>
      <c r="W836" s="989"/>
      <c r="X836" s="989"/>
      <c r="Y836" s="989"/>
      <c r="Z836" s="989"/>
      <c r="AA836" s="989"/>
      <c r="AB836" s="989"/>
      <c r="AC836" s="989"/>
      <c r="AD836" s="989"/>
      <c r="AE836" s="989"/>
    </row>
    <row r="837">
      <c r="A837" s="989"/>
      <c r="B837" s="989"/>
      <c r="C837" s="989"/>
      <c r="D837" s="989"/>
      <c r="E837" s="989"/>
      <c r="F837" s="989"/>
      <c r="G837" s="989"/>
      <c r="H837" s="992" t="str">
        <f t="shared" si="16"/>
        <v/>
      </c>
      <c r="I837" s="989"/>
      <c r="J837" s="989"/>
      <c r="K837" s="989"/>
      <c r="L837" s="989"/>
      <c r="M837" s="989"/>
      <c r="N837" s="989"/>
      <c r="O837" s="989"/>
      <c r="P837" s="989"/>
      <c r="Q837" s="989"/>
      <c r="R837" s="989"/>
      <c r="S837" s="989"/>
      <c r="T837" s="989"/>
      <c r="U837" s="989"/>
      <c r="V837" s="989"/>
      <c r="W837" s="989"/>
      <c r="X837" s="989"/>
      <c r="Y837" s="989"/>
      <c r="Z837" s="989"/>
      <c r="AA837" s="989"/>
      <c r="AB837" s="989"/>
      <c r="AC837" s="989"/>
      <c r="AD837" s="989"/>
      <c r="AE837" s="989"/>
    </row>
    <row r="838">
      <c r="A838" s="989"/>
      <c r="B838" s="989"/>
      <c r="C838" s="989"/>
      <c r="D838" s="989"/>
      <c r="E838" s="989"/>
      <c r="F838" s="989"/>
      <c r="G838" s="989"/>
      <c r="H838" s="992" t="str">
        <f t="shared" si="16"/>
        <v/>
      </c>
      <c r="I838" s="989"/>
      <c r="J838" s="989"/>
      <c r="K838" s="989"/>
      <c r="L838" s="989"/>
      <c r="M838" s="989"/>
      <c r="N838" s="989"/>
      <c r="O838" s="989"/>
      <c r="P838" s="989"/>
      <c r="Q838" s="989"/>
      <c r="R838" s="989"/>
      <c r="S838" s="989"/>
      <c r="T838" s="989"/>
      <c r="U838" s="989"/>
      <c r="V838" s="989"/>
      <c r="W838" s="989"/>
      <c r="X838" s="989"/>
      <c r="Y838" s="989"/>
      <c r="Z838" s="989"/>
      <c r="AA838" s="989"/>
      <c r="AB838" s="989"/>
      <c r="AC838" s="989"/>
      <c r="AD838" s="989"/>
      <c r="AE838" s="989"/>
    </row>
    <row r="839">
      <c r="A839" s="989"/>
      <c r="B839" s="989"/>
      <c r="C839" s="989"/>
      <c r="D839" s="989"/>
      <c r="E839" s="989"/>
      <c r="F839" s="989"/>
      <c r="G839" s="989"/>
      <c r="H839" s="992" t="str">
        <f t="shared" si="16"/>
        <v/>
      </c>
      <c r="I839" s="989"/>
      <c r="J839" s="989"/>
      <c r="K839" s="989"/>
      <c r="L839" s="989"/>
      <c r="M839" s="989"/>
      <c r="N839" s="989"/>
      <c r="O839" s="989"/>
      <c r="P839" s="989"/>
      <c r="Q839" s="989"/>
      <c r="R839" s="989"/>
      <c r="S839" s="989"/>
      <c r="T839" s="989"/>
      <c r="U839" s="989"/>
      <c r="V839" s="989"/>
      <c r="W839" s="989"/>
      <c r="X839" s="989"/>
      <c r="Y839" s="989"/>
      <c r="Z839" s="989"/>
      <c r="AA839" s="989"/>
      <c r="AB839" s="989"/>
      <c r="AC839" s="989"/>
      <c r="AD839" s="989"/>
      <c r="AE839" s="989"/>
    </row>
    <row r="840">
      <c r="A840" s="989"/>
      <c r="B840" s="989"/>
      <c r="C840" s="989"/>
      <c r="D840" s="989"/>
      <c r="E840" s="989"/>
      <c r="F840" s="989"/>
      <c r="G840" s="989"/>
      <c r="H840" s="992" t="str">
        <f t="shared" si="16"/>
        <v/>
      </c>
      <c r="I840" s="989"/>
      <c r="J840" s="989"/>
      <c r="K840" s="989"/>
      <c r="L840" s="989"/>
      <c r="M840" s="989"/>
      <c r="N840" s="989"/>
      <c r="O840" s="989"/>
      <c r="P840" s="989"/>
      <c r="Q840" s="989"/>
      <c r="R840" s="989"/>
      <c r="S840" s="989"/>
      <c r="T840" s="989"/>
      <c r="U840" s="989"/>
      <c r="V840" s="989"/>
      <c r="W840" s="989"/>
      <c r="X840" s="989"/>
      <c r="Y840" s="989"/>
      <c r="Z840" s="989"/>
      <c r="AA840" s="989"/>
      <c r="AB840" s="989"/>
      <c r="AC840" s="989"/>
      <c r="AD840" s="989"/>
      <c r="AE840" s="989"/>
    </row>
    <row r="841">
      <c r="A841" s="989"/>
      <c r="B841" s="989"/>
      <c r="C841" s="989"/>
      <c r="D841" s="989"/>
      <c r="E841" s="989"/>
      <c r="F841" s="989"/>
      <c r="G841" s="989"/>
      <c r="H841" s="992" t="str">
        <f t="shared" si="16"/>
        <v/>
      </c>
      <c r="I841" s="989"/>
      <c r="J841" s="989"/>
      <c r="K841" s="989"/>
      <c r="L841" s="989"/>
      <c r="M841" s="989"/>
      <c r="N841" s="989"/>
      <c r="O841" s="989"/>
      <c r="P841" s="989"/>
      <c r="Q841" s="989"/>
      <c r="R841" s="989"/>
      <c r="S841" s="989"/>
      <c r="T841" s="989"/>
      <c r="U841" s="989"/>
      <c r="V841" s="989"/>
      <c r="W841" s="989"/>
      <c r="X841" s="989"/>
      <c r="Y841" s="989"/>
      <c r="Z841" s="989"/>
      <c r="AA841" s="989"/>
      <c r="AB841" s="989"/>
      <c r="AC841" s="989"/>
      <c r="AD841" s="989"/>
      <c r="AE841" s="989"/>
    </row>
    <row r="842">
      <c r="A842" s="989"/>
      <c r="B842" s="989"/>
      <c r="C842" s="989"/>
      <c r="D842" s="989"/>
      <c r="E842" s="989"/>
      <c r="F842" s="989"/>
      <c r="G842" s="989"/>
      <c r="H842" s="992" t="str">
        <f t="shared" si="16"/>
        <v/>
      </c>
      <c r="I842" s="989"/>
      <c r="J842" s="989"/>
      <c r="K842" s="989"/>
      <c r="L842" s="989"/>
      <c r="M842" s="989"/>
      <c r="N842" s="989"/>
      <c r="O842" s="989"/>
      <c r="P842" s="989"/>
      <c r="Q842" s="989"/>
      <c r="R842" s="989"/>
      <c r="S842" s="989"/>
      <c r="T842" s="989"/>
      <c r="U842" s="989"/>
      <c r="V842" s="989"/>
      <c r="W842" s="989"/>
      <c r="X842" s="989"/>
      <c r="Y842" s="989"/>
      <c r="Z842" s="989"/>
      <c r="AA842" s="989"/>
      <c r="AB842" s="989"/>
      <c r="AC842" s="989"/>
      <c r="AD842" s="989"/>
      <c r="AE842" s="989"/>
    </row>
    <row r="843">
      <c r="A843" s="989"/>
      <c r="B843" s="989"/>
      <c r="C843" s="989"/>
      <c r="D843" s="989"/>
      <c r="E843" s="989"/>
      <c r="F843" s="989"/>
      <c r="G843" s="989"/>
      <c r="H843" s="992" t="str">
        <f t="shared" si="16"/>
        <v/>
      </c>
      <c r="I843" s="989"/>
      <c r="J843" s="989"/>
      <c r="K843" s="989"/>
      <c r="L843" s="989"/>
      <c r="M843" s="989"/>
      <c r="N843" s="989"/>
      <c r="O843" s="989"/>
      <c r="P843" s="989"/>
      <c r="Q843" s="989"/>
      <c r="R843" s="989"/>
      <c r="S843" s="989"/>
      <c r="T843" s="989"/>
      <c r="U843" s="989"/>
      <c r="V843" s="989"/>
      <c r="W843" s="989"/>
      <c r="X843" s="989"/>
      <c r="Y843" s="989"/>
      <c r="Z843" s="989"/>
      <c r="AA843" s="989"/>
      <c r="AB843" s="989"/>
      <c r="AC843" s="989"/>
      <c r="AD843" s="989"/>
      <c r="AE843" s="989"/>
    </row>
    <row r="844">
      <c r="A844" s="989"/>
      <c r="B844" s="989"/>
      <c r="C844" s="989"/>
      <c r="D844" s="989"/>
      <c r="E844" s="989"/>
      <c r="F844" s="989"/>
      <c r="G844" s="989"/>
      <c r="H844" s="992" t="str">
        <f t="shared" si="16"/>
        <v/>
      </c>
      <c r="I844" s="989"/>
      <c r="J844" s="989"/>
      <c r="K844" s="989"/>
      <c r="L844" s="989"/>
      <c r="M844" s="989"/>
      <c r="N844" s="989"/>
      <c r="O844" s="989"/>
      <c r="P844" s="989"/>
      <c r="Q844" s="989"/>
      <c r="R844" s="989"/>
      <c r="S844" s="989"/>
      <c r="T844" s="989"/>
      <c r="U844" s="989"/>
      <c r="V844" s="989"/>
      <c r="W844" s="989"/>
      <c r="X844" s="989"/>
      <c r="Y844" s="989"/>
      <c r="Z844" s="989"/>
      <c r="AA844" s="989"/>
      <c r="AB844" s="989"/>
      <c r="AC844" s="989"/>
      <c r="AD844" s="989"/>
      <c r="AE844" s="989"/>
    </row>
    <row r="845">
      <c r="A845" s="989"/>
      <c r="B845" s="989"/>
      <c r="C845" s="989"/>
      <c r="D845" s="989"/>
      <c r="E845" s="989"/>
      <c r="F845" s="989"/>
      <c r="G845" s="989"/>
      <c r="H845" s="992" t="str">
        <f t="shared" si="16"/>
        <v/>
      </c>
      <c r="I845" s="989"/>
      <c r="J845" s="989"/>
      <c r="K845" s="989"/>
      <c r="L845" s="989"/>
      <c r="M845" s="989"/>
      <c r="N845" s="989"/>
      <c r="O845" s="989"/>
      <c r="P845" s="989"/>
      <c r="Q845" s="989"/>
      <c r="R845" s="989"/>
      <c r="S845" s="989"/>
      <c r="T845" s="989"/>
      <c r="U845" s="989"/>
      <c r="V845" s="989"/>
      <c r="W845" s="989"/>
      <c r="X845" s="989"/>
      <c r="Y845" s="989"/>
      <c r="Z845" s="989"/>
      <c r="AA845" s="989"/>
      <c r="AB845" s="989"/>
      <c r="AC845" s="989"/>
      <c r="AD845" s="989"/>
      <c r="AE845" s="989"/>
    </row>
    <row r="846">
      <c r="A846" s="989"/>
      <c r="B846" s="989"/>
      <c r="C846" s="989"/>
      <c r="D846" s="989"/>
      <c r="E846" s="989"/>
      <c r="F846" s="989"/>
      <c r="G846" s="989"/>
      <c r="H846" s="992" t="str">
        <f t="shared" si="16"/>
        <v/>
      </c>
      <c r="I846" s="989"/>
      <c r="J846" s="989"/>
      <c r="K846" s="989"/>
      <c r="L846" s="989"/>
      <c r="M846" s="989"/>
      <c r="N846" s="989"/>
      <c r="O846" s="989"/>
      <c r="P846" s="989"/>
      <c r="Q846" s="989"/>
      <c r="R846" s="989"/>
      <c r="S846" s="989"/>
      <c r="T846" s="989"/>
      <c r="U846" s="989"/>
      <c r="V846" s="989"/>
      <c r="W846" s="989"/>
      <c r="X846" s="989"/>
      <c r="Y846" s="989"/>
      <c r="Z846" s="989"/>
      <c r="AA846" s="989"/>
      <c r="AB846" s="989"/>
      <c r="AC846" s="989"/>
      <c r="AD846" s="989"/>
      <c r="AE846" s="989"/>
    </row>
    <row r="847">
      <c r="A847" s="989"/>
      <c r="B847" s="989"/>
      <c r="C847" s="989"/>
      <c r="D847" s="989"/>
      <c r="E847" s="989"/>
      <c r="F847" s="989"/>
      <c r="G847" s="989"/>
      <c r="H847" s="992" t="str">
        <f t="shared" si="16"/>
        <v/>
      </c>
      <c r="I847" s="989"/>
      <c r="J847" s="989"/>
      <c r="K847" s="989"/>
      <c r="L847" s="989"/>
      <c r="M847" s="989"/>
      <c r="N847" s="989"/>
      <c r="O847" s="989"/>
      <c r="P847" s="989"/>
      <c r="Q847" s="989"/>
      <c r="R847" s="989"/>
      <c r="S847" s="989"/>
      <c r="T847" s="989"/>
      <c r="U847" s="989"/>
      <c r="V847" s="989"/>
      <c r="W847" s="989"/>
      <c r="X847" s="989"/>
      <c r="Y847" s="989"/>
      <c r="Z847" s="989"/>
      <c r="AA847" s="989"/>
      <c r="AB847" s="989"/>
      <c r="AC847" s="989"/>
      <c r="AD847" s="989"/>
      <c r="AE847" s="989"/>
    </row>
    <row r="848">
      <c r="A848" s="989"/>
      <c r="B848" s="989"/>
      <c r="C848" s="989"/>
      <c r="D848" s="989"/>
      <c r="E848" s="989"/>
      <c r="F848" s="989"/>
      <c r="G848" s="989"/>
      <c r="H848" s="992" t="str">
        <f t="shared" si="16"/>
        <v/>
      </c>
      <c r="I848" s="989"/>
      <c r="J848" s="989"/>
      <c r="K848" s="989"/>
      <c r="L848" s="989"/>
      <c r="M848" s="989"/>
      <c r="N848" s="989"/>
      <c r="O848" s="989"/>
      <c r="P848" s="989"/>
      <c r="Q848" s="989"/>
      <c r="R848" s="989"/>
      <c r="S848" s="989"/>
      <c r="T848" s="989"/>
      <c r="U848" s="989"/>
      <c r="V848" s="989"/>
      <c r="W848" s="989"/>
      <c r="X848" s="989"/>
      <c r="Y848" s="989"/>
      <c r="Z848" s="989"/>
      <c r="AA848" s="989"/>
      <c r="AB848" s="989"/>
      <c r="AC848" s="989"/>
      <c r="AD848" s="989"/>
      <c r="AE848" s="989"/>
    </row>
    <row r="849">
      <c r="A849" s="989"/>
      <c r="B849" s="989"/>
      <c r="C849" s="989"/>
      <c r="D849" s="989"/>
      <c r="E849" s="989"/>
      <c r="F849" s="989"/>
      <c r="G849" s="989"/>
      <c r="H849" s="992" t="str">
        <f t="shared" si="16"/>
        <v/>
      </c>
      <c r="I849" s="989"/>
      <c r="J849" s="989"/>
      <c r="K849" s="989"/>
      <c r="L849" s="989"/>
      <c r="M849" s="989"/>
      <c r="N849" s="989"/>
      <c r="O849" s="989"/>
      <c r="P849" s="989"/>
      <c r="Q849" s="989"/>
      <c r="R849" s="989"/>
      <c r="S849" s="989"/>
      <c r="T849" s="989"/>
      <c r="U849" s="989"/>
      <c r="V849" s="989"/>
      <c r="W849" s="989"/>
      <c r="X849" s="989"/>
      <c r="Y849" s="989"/>
      <c r="Z849" s="989"/>
      <c r="AA849" s="989"/>
      <c r="AB849" s="989"/>
      <c r="AC849" s="989"/>
      <c r="AD849" s="989"/>
      <c r="AE849" s="989"/>
    </row>
    <row r="850">
      <c r="A850" s="989"/>
      <c r="B850" s="989"/>
      <c r="C850" s="989"/>
      <c r="D850" s="989"/>
      <c r="E850" s="989"/>
      <c r="F850" s="989"/>
      <c r="G850" s="989"/>
      <c r="H850" s="992" t="str">
        <f t="shared" si="16"/>
        <v/>
      </c>
      <c r="I850" s="989"/>
      <c r="J850" s="989"/>
      <c r="K850" s="989"/>
      <c r="L850" s="989"/>
      <c r="M850" s="989"/>
      <c r="N850" s="989"/>
      <c r="O850" s="989"/>
      <c r="P850" s="989"/>
      <c r="Q850" s="989"/>
      <c r="R850" s="989"/>
      <c r="S850" s="989"/>
      <c r="T850" s="989"/>
      <c r="U850" s="989"/>
      <c r="V850" s="989"/>
      <c r="W850" s="989"/>
      <c r="X850" s="989"/>
      <c r="Y850" s="989"/>
      <c r="Z850" s="989"/>
      <c r="AA850" s="989"/>
      <c r="AB850" s="989"/>
      <c r="AC850" s="989"/>
      <c r="AD850" s="989"/>
      <c r="AE850" s="989"/>
    </row>
    <row r="851">
      <c r="A851" s="989"/>
      <c r="B851" s="989"/>
      <c r="C851" s="989"/>
      <c r="D851" s="989"/>
      <c r="E851" s="989"/>
      <c r="F851" s="989"/>
      <c r="G851" s="989"/>
      <c r="H851" s="992" t="str">
        <f t="shared" si="16"/>
        <v/>
      </c>
      <c r="I851" s="989"/>
      <c r="J851" s="989"/>
      <c r="K851" s="989"/>
      <c r="L851" s="989"/>
      <c r="M851" s="989"/>
      <c r="N851" s="989"/>
      <c r="O851" s="989"/>
      <c r="P851" s="989"/>
      <c r="Q851" s="989"/>
      <c r="R851" s="989"/>
      <c r="S851" s="989"/>
      <c r="T851" s="989"/>
      <c r="U851" s="989"/>
      <c r="V851" s="989"/>
      <c r="W851" s="989"/>
      <c r="X851" s="989"/>
      <c r="Y851" s="989"/>
      <c r="Z851" s="989"/>
      <c r="AA851" s="989"/>
      <c r="AB851" s="989"/>
      <c r="AC851" s="989"/>
      <c r="AD851" s="989"/>
      <c r="AE851" s="989"/>
    </row>
    <row r="852">
      <c r="A852" s="989"/>
      <c r="B852" s="989"/>
      <c r="C852" s="989"/>
      <c r="D852" s="989"/>
      <c r="E852" s="989"/>
      <c r="F852" s="989"/>
      <c r="G852" s="989"/>
      <c r="H852" s="992" t="str">
        <f t="shared" si="16"/>
        <v/>
      </c>
      <c r="I852" s="989"/>
      <c r="J852" s="989"/>
      <c r="K852" s="989"/>
      <c r="L852" s="989"/>
      <c r="M852" s="989"/>
      <c r="N852" s="989"/>
      <c r="O852" s="989"/>
      <c r="P852" s="989"/>
      <c r="Q852" s="989"/>
      <c r="R852" s="989"/>
      <c r="S852" s="989"/>
      <c r="T852" s="989"/>
      <c r="U852" s="989"/>
      <c r="V852" s="989"/>
      <c r="W852" s="989"/>
      <c r="X852" s="989"/>
      <c r="Y852" s="989"/>
      <c r="Z852" s="989"/>
      <c r="AA852" s="989"/>
      <c r="AB852" s="989"/>
      <c r="AC852" s="989"/>
      <c r="AD852" s="989"/>
      <c r="AE852" s="989"/>
    </row>
    <row r="853">
      <c r="A853" s="989"/>
      <c r="B853" s="989"/>
      <c r="C853" s="989"/>
      <c r="D853" s="989"/>
      <c r="E853" s="989"/>
      <c r="F853" s="989"/>
      <c r="G853" s="989"/>
      <c r="H853" s="992" t="str">
        <f t="shared" si="16"/>
        <v/>
      </c>
      <c r="I853" s="989"/>
      <c r="J853" s="989"/>
      <c r="K853" s="989"/>
      <c r="L853" s="989"/>
      <c r="M853" s="989"/>
      <c r="N853" s="989"/>
      <c r="O853" s="989"/>
      <c r="P853" s="989"/>
      <c r="Q853" s="989"/>
      <c r="R853" s="989"/>
      <c r="S853" s="989"/>
      <c r="T853" s="989"/>
      <c r="U853" s="989"/>
      <c r="V853" s="989"/>
      <c r="W853" s="989"/>
      <c r="X853" s="989"/>
      <c r="Y853" s="989"/>
      <c r="Z853" s="989"/>
      <c r="AA853" s="989"/>
      <c r="AB853" s="989"/>
      <c r="AC853" s="989"/>
      <c r="AD853" s="989"/>
      <c r="AE853" s="989"/>
    </row>
    <row r="854">
      <c r="A854" s="989"/>
      <c r="B854" s="989"/>
      <c r="C854" s="989"/>
      <c r="D854" s="989"/>
      <c r="E854" s="989"/>
      <c r="F854" s="989"/>
      <c r="G854" s="989"/>
      <c r="H854" s="992" t="str">
        <f t="shared" si="16"/>
        <v/>
      </c>
      <c r="I854" s="989"/>
      <c r="J854" s="989"/>
      <c r="K854" s="989"/>
      <c r="L854" s="989"/>
      <c r="M854" s="989"/>
      <c r="N854" s="989"/>
      <c r="O854" s="989"/>
      <c r="P854" s="989"/>
      <c r="Q854" s="989"/>
      <c r="R854" s="989"/>
      <c r="S854" s="989"/>
      <c r="T854" s="989"/>
      <c r="U854" s="989"/>
      <c r="V854" s="989"/>
      <c r="W854" s="989"/>
      <c r="X854" s="989"/>
      <c r="Y854" s="989"/>
      <c r="Z854" s="989"/>
      <c r="AA854" s="989"/>
      <c r="AB854" s="989"/>
      <c r="AC854" s="989"/>
      <c r="AD854" s="989"/>
      <c r="AE854" s="989"/>
    </row>
    <row r="855">
      <c r="A855" s="989"/>
      <c r="B855" s="989"/>
      <c r="C855" s="989"/>
      <c r="D855" s="989"/>
      <c r="E855" s="989"/>
      <c r="F855" s="989"/>
      <c r="G855" s="989"/>
      <c r="H855" s="992" t="str">
        <f t="shared" si="16"/>
        <v/>
      </c>
      <c r="I855" s="989"/>
      <c r="J855" s="989"/>
      <c r="K855" s="989"/>
      <c r="L855" s="989"/>
      <c r="M855" s="989"/>
      <c r="N855" s="989"/>
      <c r="O855" s="989"/>
      <c r="P855" s="989"/>
      <c r="Q855" s="989"/>
      <c r="R855" s="989"/>
      <c r="S855" s="989"/>
      <c r="T855" s="989"/>
      <c r="U855" s="989"/>
      <c r="V855" s="989"/>
      <c r="W855" s="989"/>
      <c r="X855" s="989"/>
      <c r="Y855" s="989"/>
      <c r="Z855" s="989"/>
      <c r="AA855" s="989"/>
      <c r="AB855" s="989"/>
      <c r="AC855" s="989"/>
      <c r="AD855" s="989"/>
      <c r="AE855" s="989"/>
    </row>
    <row r="856">
      <c r="A856" s="989"/>
      <c r="B856" s="989"/>
      <c r="C856" s="989"/>
      <c r="D856" s="989"/>
      <c r="E856" s="989"/>
      <c r="F856" s="989"/>
      <c r="G856" s="989"/>
      <c r="H856" s="992" t="str">
        <f t="shared" si="16"/>
        <v/>
      </c>
      <c r="I856" s="989"/>
      <c r="J856" s="989"/>
      <c r="K856" s="989"/>
      <c r="L856" s="989"/>
      <c r="M856" s="989"/>
      <c r="N856" s="989"/>
      <c r="O856" s="989"/>
      <c r="P856" s="989"/>
      <c r="Q856" s="989"/>
      <c r="R856" s="989"/>
      <c r="S856" s="989"/>
      <c r="T856" s="989"/>
      <c r="U856" s="989"/>
      <c r="V856" s="989"/>
      <c r="W856" s="989"/>
      <c r="X856" s="989"/>
      <c r="Y856" s="989"/>
      <c r="Z856" s="989"/>
      <c r="AA856" s="989"/>
      <c r="AB856" s="989"/>
      <c r="AC856" s="989"/>
      <c r="AD856" s="989"/>
      <c r="AE856" s="989"/>
    </row>
    <row r="857">
      <c r="A857" s="989"/>
      <c r="B857" s="989"/>
      <c r="C857" s="989"/>
      <c r="D857" s="989"/>
      <c r="E857" s="989"/>
      <c r="F857" s="989"/>
      <c r="G857" s="989"/>
      <c r="H857" s="992" t="str">
        <f t="shared" si="16"/>
        <v/>
      </c>
      <c r="I857" s="989"/>
      <c r="J857" s="989"/>
      <c r="K857" s="989"/>
      <c r="L857" s="989"/>
      <c r="M857" s="989"/>
      <c r="N857" s="989"/>
      <c r="O857" s="989"/>
      <c r="P857" s="989"/>
      <c r="Q857" s="989"/>
      <c r="R857" s="989"/>
      <c r="S857" s="989"/>
      <c r="T857" s="989"/>
      <c r="U857" s="989"/>
      <c r="V857" s="989"/>
      <c r="W857" s="989"/>
      <c r="X857" s="989"/>
      <c r="Y857" s="989"/>
      <c r="Z857" s="989"/>
      <c r="AA857" s="989"/>
      <c r="AB857" s="989"/>
      <c r="AC857" s="989"/>
      <c r="AD857" s="989"/>
      <c r="AE857" s="989"/>
    </row>
    <row r="858">
      <c r="A858" s="989"/>
      <c r="B858" s="989"/>
      <c r="C858" s="989"/>
      <c r="D858" s="989"/>
      <c r="E858" s="989"/>
      <c r="F858" s="989"/>
      <c r="G858" s="989"/>
      <c r="H858" s="992" t="str">
        <f t="shared" si="16"/>
        <v/>
      </c>
      <c r="I858" s="989"/>
      <c r="J858" s="989"/>
      <c r="K858" s="989"/>
      <c r="L858" s="989"/>
      <c r="M858" s="989"/>
      <c r="N858" s="989"/>
      <c r="O858" s="989"/>
      <c r="P858" s="989"/>
      <c r="Q858" s="989"/>
      <c r="R858" s="989"/>
      <c r="S858" s="989"/>
      <c r="T858" s="989"/>
      <c r="U858" s="989"/>
      <c r="V858" s="989"/>
      <c r="W858" s="989"/>
      <c r="X858" s="989"/>
      <c r="Y858" s="989"/>
      <c r="Z858" s="989"/>
      <c r="AA858" s="989"/>
      <c r="AB858" s="989"/>
      <c r="AC858" s="989"/>
      <c r="AD858" s="989"/>
      <c r="AE858" s="989"/>
    </row>
    <row r="859">
      <c r="A859" s="989"/>
      <c r="B859" s="989"/>
      <c r="C859" s="989"/>
      <c r="D859" s="989"/>
      <c r="E859" s="989"/>
      <c r="F859" s="989"/>
      <c r="G859" s="989"/>
      <c r="H859" s="992" t="str">
        <f t="shared" si="16"/>
        <v/>
      </c>
      <c r="I859" s="989"/>
      <c r="J859" s="989"/>
      <c r="K859" s="989"/>
      <c r="L859" s="989"/>
      <c r="M859" s="989"/>
      <c r="N859" s="989"/>
      <c r="O859" s="989"/>
      <c r="P859" s="989"/>
      <c r="Q859" s="989"/>
      <c r="R859" s="989"/>
      <c r="S859" s="989"/>
      <c r="T859" s="989"/>
      <c r="U859" s="989"/>
      <c r="V859" s="989"/>
      <c r="W859" s="989"/>
      <c r="X859" s="989"/>
      <c r="Y859" s="989"/>
      <c r="Z859" s="989"/>
      <c r="AA859" s="989"/>
      <c r="AB859" s="989"/>
      <c r="AC859" s="989"/>
      <c r="AD859" s="989"/>
      <c r="AE859" s="989"/>
    </row>
    <row r="860">
      <c r="A860" s="989"/>
      <c r="B860" s="989"/>
      <c r="C860" s="989"/>
      <c r="D860" s="989"/>
      <c r="E860" s="989"/>
      <c r="F860" s="989"/>
      <c r="G860" s="989"/>
      <c r="H860" s="992" t="str">
        <f t="shared" si="16"/>
        <v/>
      </c>
      <c r="I860" s="989"/>
      <c r="J860" s="989"/>
      <c r="K860" s="989"/>
      <c r="L860" s="989"/>
      <c r="M860" s="989"/>
      <c r="N860" s="989"/>
      <c r="O860" s="989"/>
      <c r="P860" s="989"/>
      <c r="Q860" s="989"/>
      <c r="R860" s="989"/>
      <c r="S860" s="989"/>
      <c r="T860" s="989"/>
      <c r="U860" s="989"/>
      <c r="V860" s="989"/>
      <c r="W860" s="989"/>
      <c r="X860" s="989"/>
      <c r="Y860" s="989"/>
      <c r="Z860" s="989"/>
      <c r="AA860" s="989"/>
      <c r="AB860" s="989"/>
      <c r="AC860" s="989"/>
      <c r="AD860" s="989"/>
      <c r="AE860" s="989"/>
    </row>
    <row r="861">
      <c r="A861" s="989"/>
      <c r="B861" s="989"/>
      <c r="C861" s="989"/>
      <c r="D861" s="989"/>
      <c r="E861" s="989"/>
      <c r="F861" s="989"/>
      <c r="G861" s="989"/>
      <c r="H861" s="992" t="str">
        <f t="shared" si="16"/>
        <v/>
      </c>
      <c r="I861" s="989"/>
      <c r="J861" s="989"/>
      <c r="K861" s="989"/>
      <c r="L861" s="989"/>
      <c r="M861" s="989"/>
      <c r="N861" s="989"/>
      <c r="O861" s="989"/>
      <c r="P861" s="989"/>
      <c r="Q861" s="989"/>
      <c r="R861" s="989"/>
      <c r="S861" s="989"/>
      <c r="T861" s="989"/>
      <c r="U861" s="989"/>
      <c r="V861" s="989"/>
      <c r="W861" s="989"/>
      <c r="X861" s="989"/>
      <c r="Y861" s="989"/>
      <c r="Z861" s="989"/>
      <c r="AA861" s="989"/>
      <c r="AB861" s="989"/>
      <c r="AC861" s="989"/>
      <c r="AD861" s="989"/>
      <c r="AE861" s="989"/>
    </row>
    <row r="862">
      <c r="A862" s="989"/>
      <c r="B862" s="989"/>
      <c r="C862" s="989"/>
      <c r="D862" s="989"/>
      <c r="E862" s="989"/>
      <c r="F862" s="989"/>
      <c r="G862" s="989"/>
      <c r="H862" s="992" t="str">
        <f t="shared" si="16"/>
        <v/>
      </c>
      <c r="I862" s="989"/>
      <c r="J862" s="989"/>
      <c r="K862" s="989"/>
      <c r="L862" s="989"/>
      <c r="M862" s="989"/>
      <c r="N862" s="989"/>
      <c r="O862" s="989"/>
      <c r="P862" s="989"/>
      <c r="Q862" s="989"/>
      <c r="R862" s="989"/>
      <c r="S862" s="989"/>
      <c r="T862" s="989"/>
      <c r="U862" s="989"/>
      <c r="V862" s="989"/>
      <c r="W862" s="989"/>
      <c r="X862" s="989"/>
      <c r="Y862" s="989"/>
      <c r="Z862" s="989"/>
      <c r="AA862" s="989"/>
      <c r="AB862" s="989"/>
      <c r="AC862" s="989"/>
      <c r="AD862" s="989"/>
      <c r="AE862" s="989"/>
    </row>
    <row r="863">
      <c r="A863" s="989"/>
      <c r="B863" s="989"/>
      <c r="C863" s="989"/>
      <c r="D863" s="989"/>
      <c r="E863" s="989"/>
      <c r="F863" s="989"/>
      <c r="G863" s="989"/>
      <c r="H863" s="992" t="str">
        <f t="shared" si="16"/>
        <v/>
      </c>
      <c r="I863" s="989"/>
      <c r="J863" s="989"/>
      <c r="K863" s="989"/>
      <c r="L863" s="989"/>
      <c r="M863" s="989"/>
      <c r="N863" s="989"/>
      <c r="O863" s="989"/>
      <c r="P863" s="989"/>
      <c r="Q863" s="989"/>
      <c r="R863" s="989"/>
      <c r="S863" s="989"/>
      <c r="T863" s="989"/>
      <c r="U863" s="989"/>
      <c r="V863" s="989"/>
      <c r="W863" s="989"/>
      <c r="X863" s="989"/>
      <c r="Y863" s="989"/>
      <c r="Z863" s="989"/>
      <c r="AA863" s="989"/>
      <c r="AB863" s="989"/>
      <c r="AC863" s="989"/>
      <c r="AD863" s="989"/>
      <c r="AE863" s="989"/>
    </row>
    <row r="864">
      <c r="A864" s="989"/>
      <c r="B864" s="989"/>
      <c r="C864" s="989"/>
      <c r="D864" s="989"/>
      <c r="E864" s="989"/>
      <c r="F864" s="989"/>
      <c r="G864" s="989"/>
      <c r="H864" s="992" t="str">
        <f t="shared" si="16"/>
        <v/>
      </c>
      <c r="I864" s="989"/>
      <c r="J864" s="989"/>
      <c r="K864" s="989"/>
      <c r="L864" s="989"/>
      <c r="M864" s="989"/>
      <c r="N864" s="989"/>
      <c r="O864" s="989"/>
      <c r="P864" s="989"/>
      <c r="Q864" s="989"/>
      <c r="R864" s="989"/>
      <c r="S864" s="989"/>
      <c r="T864" s="989"/>
      <c r="U864" s="989"/>
      <c r="V864" s="989"/>
      <c r="W864" s="989"/>
      <c r="X864" s="989"/>
      <c r="Y864" s="989"/>
      <c r="Z864" s="989"/>
      <c r="AA864" s="989"/>
      <c r="AB864" s="989"/>
      <c r="AC864" s="989"/>
      <c r="AD864" s="989"/>
      <c r="AE864" s="989"/>
    </row>
    <row r="865">
      <c r="A865" s="989"/>
      <c r="B865" s="989"/>
      <c r="C865" s="989"/>
      <c r="D865" s="989"/>
      <c r="E865" s="989"/>
      <c r="F865" s="989"/>
      <c r="G865" s="989"/>
      <c r="H865" s="992" t="str">
        <f t="shared" si="16"/>
        <v/>
      </c>
      <c r="I865" s="989"/>
      <c r="J865" s="989"/>
      <c r="K865" s="989"/>
      <c r="L865" s="989"/>
      <c r="M865" s="989"/>
      <c r="N865" s="989"/>
      <c r="O865" s="989"/>
      <c r="P865" s="989"/>
      <c r="Q865" s="989"/>
      <c r="R865" s="989"/>
      <c r="S865" s="989"/>
      <c r="T865" s="989"/>
      <c r="U865" s="989"/>
      <c r="V865" s="989"/>
      <c r="W865" s="989"/>
      <c r="X865" s="989"/>
      <c r="Y865" s="989"/>
      <c r="Z865" s="989"/>
      <c r="AA865" s="989"/>
      <c r="AB865" s="989"/>
      <c r="AC865" s="989"/>
      <c r="AD865" s="989"/>
      <c r="AE865" s="989"/>
    </row>
    <row r="866">
      <c r="A866" s="989"/>
      <c r="B866" s="989"/>
      <c r="C866" s="989"/>
      <c r="D866" s="989"/>
      <c r="E866" s="989"/>
      <c r="F866" s="989"/>
      <c r="G866" s="989"/>
      <c r="H866" s="992" t="str">
        <f t="shared" si="16"/>
        <v/>
      </c>
      <c r="I866" s="989"/>
      <c r="J866" s="989"/>
      <c r="K866" s="989"/>
      <c r="L866" s="989"/>
      <c r="M866" s="989"/>
      <c r="N866" s="989"/>
      <c r="O866" s="989"/>
      <c r="P866" s="989"/>
      <c r="Q866" s="989"/>
      <c r="R866" s="989"/>
      <c r="S866" s="989"/>
      <c r="T866" s="989"/>
      <c r="U866" s="989"/>
      <c r="V866" s="989"/>
      <c r="W866" s="989"/>
      <c r="X866" s="989"/>
      <c r="Y866" s="989"/>
      <c r="Z866" s="989"/>
      <c r="AA866" s="989"/>
      <c r="AB866" s="989"/>
      <c r="AC866" s="989"/>
      <c r="AD866" s="989"/>
      <c r="AE866" s="989"/>
    </row>
    <row r="867">
      <c r="A867" s="989"/>
      <c r="B867" s="989"/>
      <c r="C867" s="989"/>
      <c r="D867" s="989"/>
      <c r="E867" s="989"/>
      <c r="F867" s="989"/>
      <c r="G867" s="989"/>
      <c r="H867" s="992" t="str">
        <f t="shared" si="16"/>
        <v/>
      </c>
      <c r="I867" s="989"/>
      <c r="J867" s="989"/>
      <c r="K867" s="989"/>
      <c r="L867" s="989"/>
      <c r="M867" s="989"/>
      <c r="N867" s="989"/>
      <c r="O867" s="989"/>
      <c r="P867" s="989"/>
      <c r="Q867" s="989"/>
      <c r="R867" s="989"/>
      <c r="S867" s="989"/>
      <c r="T867" s="989"/>
      <c r="U867" s="989"/>
      <c r="V867" s="989"/>
      <c r="W867" s="989"/>
      <c r="X867" s="989"/>
      <c r="Y867" s="989"/>
      <c r="Z867" s="989"/>
      <c r="AA867" s="989"/>
      <c r="AB867" s="989"/>
      <c r="AC867" s="989"/>
      <c r="AD867" s="989"/>
      <c r="AE867" s="989"/>
    </row>
    <row r="868">
      <c r="A868" s="989"/>
      <c r="B868" s="989"/>
      <c r="C868" s="989"/>
      <c r="D868" s="989"/>
      <c r="E868" s="989"/>
      <c r="F868" s="989"/>
      <c r="G868" s="989"/>
      <c r="H868" s="992" t="str">
        <f t="shared" si="16"/>
        <v/>
      </c>
      <c r="I868" s="989"/>
      <c r="J868" s="989"/>
      <c r="K868" s="989"/>
      <c r="L868" s="989"/>
      <c r="M868" s="989"/>
      <c r="N868" s="989"/>
      <c r="O868" s="989"/>
      <c r="P868" s="989"/>
      <c r="Q868" s="989"/>
      <c r="R868" s="989"/>
      <c r="S868" s="989"/>
      <c r="T868" s="989"/>
      <c r="U868" s="989"/>
      <c r="V868" s="989"/>
      <c r="W868" s="989"/>
      <c r="X868" s="989"/>
      <c r="Y868" s="989"/>
      <c r="Z868" s="989"/>
      <c r="AA868" s="989"/>
      <c r="AB868" s="989"/>
      <c r="AC868" s="989"/>
      <c r="AD868" s="989"/>
      <c r="AE868" s="989"/>
    </row>
    <row r="869">
      <c r="A869" s="989"/>
      <c r="B869" s="989"/>
      <c r="C869" s="989"/>
      <c r="D869" s="989"/>
      <c r="E869" s="989"/>
      <c r="F869" s="989"/>
      <c r="G869" s="989"/>
      <c r="H869" s="992" t="str">
        <f t="shared" si="16"/>
        <v/>
      </c>
      <c r="I869" s="989"/>
      <c r="J869" s="989"/>
      <c r="K869" s="989"/>
      <c r="L869" s="989"/>
      <c r="M869" s="989"/>
      <c r="N869" s="989"/>
      <c r="O869" s="989"/>
      <c r="P869" s="989"/>
      <c r="Q869" s="989"/>
      <c r="R869" s="989"/>
      <c r="S869" s="989"/>
      <c r="T869" s="989"/>
      <c r="U869" s="989"/>
      <c r="V869" s="989"/>
      <c r="W869" s="989"/>
      <c r="X869" s="989"/>
      <c r="Y869" s="989"/>
      <c r="Z869" s="989"/>
      <c r="AA869" s="989"/>
      <c r="AB869" s="989"/>
      <c r="AC869" s="989"/>
      <c r="AD869" s="989"/>
      <c r="AE869" s="989"/>
    </row>
    <row r="870">
      <c r="A870" s="989"/>
      <c r="B870" s="989"/>
      <c r="C870" s="989"/>
      <c r="D870" s="989"/>
      <c r="E870" s="989"/>
      <c r="F870" s="989"/>
      <c r="G870" s="989"/>
      <c r="H870" s="992" t="str">
        <f t="shared" si="16"/>
        <v/>
      </c>
      <c r="I870" s="989"/>
      <c r="J870" s="989"/>
      <c r="K870" s="989"/>
      <c r="L870" s="989"/>
      <c r="M870" s="989"/>
      <c r="N870" s="989"/>
      <c r="O870" s="989"/>
      <c r="P870" s="989"/>
      <c r="Q870" s="989"/>
      <c r="R870" s="989"/>
      <c r="S870" s="989"/>
      <c r="T870" s="989"/>
      <c r="U870" s="989"/>
      <c r="V870" s="989"/>
      <c r="W870" s="989"/>
      <c r="X870" s="989"/>
      <c r="Y870" s="989"/>
      <c r="Z870" s="989"/>
      <c r="AA870" s="989"/>
      <c r="AB870" s="989"/>
      <c r="AC870" s="989"/>
      <c r="AD870" s="989"/>
      <c r="AE870" s="989"/>
    </row>
    <row r="871">
      <c r="A871" s="989"/>
      <c r="B871" s="989"/>
      <c r="C871" s="989"/>
      <c r="D871" s="989"/>
      <c r="E871" s="989"/>
      <c r="F871" s="989"/>
      <c r="G871" s="989"/>
      <c r="H871" s="992" t="str">
        <f t="shared" si="16"/>
        <v/>
      </c>
      <c r="I871" s="989"/>
      <c r="J871" s="989"/>
      <c r="K871" s="989"/>
      <c r="L871" s="989"/>
      <c r="M871" s="989"/>
      <c r="N871" s="989"/>
      <c r="O871" s="989"/>
      <c r="P871" s="989"/>
      <c r="Q871" s="989"/>
      <c r="R871" s="989"/>
      <c r="S871" s="989"/>
      <c r="T871" s="989"/>
      <c r="U871" s="989"/>
      <c r="V871" s="989"/>
      <c r="W871" s="989"/>
      <c r="X871" s="989"/>
      <c r="Y871" s="989"/>
      <c r="Z871" s="989"/>
      <c r="AA871" s="989"/>
      <c r="AB871" s="989"/>
      <c r="AC871" s="989"/>
      <c r="AD871" s="989"/>
      <c r="AE871" s="989"/>
    </row>
    <row r="872">
      <c r="A872" s="989"/>
      <c r="B872" s="989"/>
      <c r="C872" s="989"/>
      <c r="D872" s="989"/>
      <c r="E872" s="989"/>
      <c r="F872" s="989"/>
      <c r="G872" s="989"/>
      <c r="H872" s="992" t="str">
        <f t="shared" si="16"/>
        <v/>
      </c>
      <c r="I872" s="989"/>
      <c r="J872" s="989"/>
      <c r="K872" s="989"/>
      <c r="L872" s="989"/>
      <c r="M872" s="989"/>
      <c r="N872" s="989"/>
      <c r="O872" s="989"/>
      <c r="P872" s="989"/>
      <c r="Q872" s="989"/>
      <c r="R872" s="989"/>
      <c r="S872" s="989"/>
      <c r="T872" s="989"/>
      <c r="U872" s="989"/>
      <c r="V872" s="989"/>
      <c r="W872" s="989"/>
      <c r="X872" s="989"/>
      <c r="Y872" s="989"/>
      <c r="Z872" s="989"/>
      <c r="AA872" s="989"/>
      <c r="AB872" s="989"/>
      <c r="AC872" s="989"/>
      <c r="AD872" s="989"/>
      <c r="AE872" s="989"/>
    </row>
    <row r="873">
      <c r="A873" s="989"/>
      <c r="B873" s="989"/>
      <c r="C873" s="989"/>
      <c r="D873" s="989"/>
      <c r="E873" s="989"/>
      <c r="F873" s="989"/>
      <c r="G873" s="989"/>
      <c r="H873" s="992" t="str">
        <f t="shared" si="16"/>
        <v/>
      </c>
      <c r="I873" s="989"/>
      <c r="J873" s="989"/>
      <c r="K873" s="989"/>
      <c r="L873" s="989"/>
      <c r="M873" s="989"/>
      <c r="N873" s="989"/>
      <c r="O873" s="989"/>
      <c r="P873" s="989"/>
      <c r="Q873" s="989"/>
      <c r="R873" s="989"/>
      <c r="S873" s="989"/>
      <c r="T873" s="989"/>
      <c r="U873" s="989"/>
      <c r="V873" s="989"/>
      <c r="W873" s="989"/>
      <c r="X873" s="989"/>
      <c r="Y873" s="989"/>
      <c r="Z873" s="989"/>
      <c r="AA873" s="989"/>
      <c r="AB873" s="989"/>
      <c r="AC873" s="989"/>
      <c r="AD873" s="989"/>
      <c r="AE873" s="989"/>
    </row>
    <row r="874">
      <c r="A874" s="989"/>
      <c r="B874" s="989"/>
      <c r="C874" s="989"/>
      <c r="D874" s="989"/>
      <c r="E874" s="989"/>
      <c r="F874" s="989"/>
      <c r="G874" s="989"/>
      <c r="H874" s="992" t="str">
        <f t="shared" si="16"/>
        <v/>
      </c>
      <c r="I874" s="989"/>
      <c r="J874" s="989"/>
      <c r="K874" s="989"/>
      <c r="L874" s="989"/>
      <c r="M874" s="989"/>
      <c r="N874" s="989"/>
      <c r="O874" s="989"/>
      <c r="P874" s="989"/>
      <c r="Q874" s="989"/>
      <c r="R874" s="989"/>
      <c r="S874" s="989"/>
      <c r="T874" s="989"/>
      <c r="U874" s="989"/>
      <c r="V874" s="989"/>
      <c r="W874" s="989"/>
      <c r="X874" s="989"/>
      <c r="Y874" s="989"/>
      <c r="Z874" s="989"/>
      <c r="AA874" s="989"/>
      <c r="AB874" s="989"/>
      <c r="AC874" s="989"/>
      <c r="AD874" s="989"/>
      <c r="AE874" s="989"/>
    </row>
    <row r="875">
      <c r="A875" s="989"/>
      <c r="B875" s="989"/>
      <c r="C875" s="989"/>
      <c r="D875" s="989"/>
      <c r="E875" s="989"/>
      <c r="F875" s="989"/>
      <c r="G875" s="989"/>
      <c r="H875" s="992" t="str">
        <f t="shared" si="16"/>
        <v/>
      </c>
      <c r="I875" s="989"/>
      <c r="J875" s="989"/>
      <c r="K875" s="989"/>
      <c r="L875" s="989"/>
      <c r="M875" s="989"/>
      <c r="N875" s="989"/>
      <c r="O875" s="989"/>
      <c r="P875" s="989"/>
      <c r="Q875" s="989"/>
      <c r="R875" s="989"/>
      <c r="S875" s="989"/>
      <c r="T875" s="989"/>
      <c r="U875" s="989"/>
      <c r="V875" s="989"/>
      <c r="W875" s="989"/>
      <c r="X875" s="989"/>
      <c r="Y875" s="989"/>
      <c r="Z875" s="989"/>
      <c r="AA875" s="989"/>
      <c r="AB875" s="989"/>
      <c r="AC875" s="989"/>
      <c r="AD875" s="989"/>
      <c r="AE875" s="989"/>
    </row>
    <row r="876">
      <c r="A876" s="989"/>
      <c r="B876" s="989"/>
      <c r="C876" s="989"/>
      <c r="D876" s="989"/>
      <c r="E876" s="989"/>
      <c r="F876" s="989"/>
      <c r="G876" s="989"/>
      <c r="H876" s="992" t="str">
        <f t="shared" si="16"/>
        <v/>
      </c>
      <c r="I876" s="989"/>
      <c r="J876" s="989"/>
      <c r="K876" s="989"/>
      <c r="L876" s="989"/>
      <c r="M876" s="989"/>
      <c r="N876" s="989"/>
      <c r="O876" s="989"/>
      <c r="P876" s="989"/>
      <c r="Q876" s="989"/>
      <c r="R876" s="989"/>
      <c r="S876" s="989"/>
      <c r="T876" s="989"/>
      <c r="U876" s="989"/>
      <c r="V876" s="989"/>
      <c r="W876" s="989"/>
      <c r="X876" s="989"/>
      <c r="Y876" s="989"/>
      <c r="Z876" s="989"/>
      <c r="AA876" s="989"/>
      <c r="AB876" s="989"/>
      <c r="AC876" s="989"/>
      <c r="AD876" s="989"/>
      <c r="AE876" s="989"/>
    </row>
    <row r="877">
      <c r="A877" s="989"/>
      <c r="B877" s="989"/>
      <c r="C877" s="989"/>
      <c r="D877" s="989"/>
      <c r="E877" s="989"/>
      <c r="F877" s="989"/>
      <c r="G877" s="989"/>
      <c r="H877" s="992" t="str">
        <f t="shared" si="16"/>
        <v/>
      </c>
      <c r="I877" s="989"/>
      <c r="J877" s="989"/>
      <c r="K877" s="989"/>
      <c r="L877" s="989"/>
      <c r="M877" s="989"/>
      <c r="N877" s="989"/>
      <c r="O877" s="989"/>
      <c r="P877" s="989"/>
      <c r="Q877" s="989"/>
      <c r="R877" s="989"/>
      <c r="S877" s="989"/>
      <c r="T877" s="989"/>
      <c r="U877" s="989"/>
      <c r="V877" s="989"/>
      <c r="W877" s="989"/>
      <c r="X877" s="989"/>
      <c r="Y877" s="989"/>
      <c r="Z877" s="989"/>
      <c r="AA877" s="989"/>
      <c r="AB877" s="989"/>
      <c r="AC877" s="989"/>
      <c r="AD877" s="989"/>
      <c r="AE877" s="989"/>
    </row>
    <row r="878">
      <c r="A878" s="989"/>
      <c r="B878" s="989"/>
      <c r="C878" s="989"/>
      <c r="D878" s="989"/>
      <c r="E878" s="989"/>
      <c r="F878" s="989"/>
      <c r="G878" s="989"/>
      <c r="H878" s="992" t="str">
        <f t="shared" si="16"/>
        <v/>
      </c>
      <c r="I878" s="989"/>
      <c r="J878" s="989"/>
      <c r="K878" s="989"/>
      <c r="L878" s="989"/>
      <c r="M878" s="989"/>
      <c r="N878" s="989"/>
      <c r="O878" s="989"/>
      <c r="P878" s="989"/>
      <c r="Q878" s="989"/>
      <c r="R878" s="989"/>
      <c r="S878" s="989"/>
      <c r="T878" s="989"/>
      <c r="U878" s="989"/>
      <c r="V878" s="989"/>
      <c r="W878" s="989"/>
      <c r="X878" s="989"/>
      <c r="Y878" s="989"/>
      <c r="Z878" s="989"/>
      <c r="AA878" s="989"/>
      <c r="AB878" s="989"/>
      <c r="AC878" s="989"/>
      <c r="AD878" s="989"/>
      <c r="AE878" s="989"/>
    </row>
    <row r="879">
      <c r="A879" s="989"/>
      <c r="B879" s="989"/>
      <c r="C879" s="989"/>
      <c r="D879" s="989"/>
      <c r="E879" s="989"/>
      <c r="F879" s="989"/>
      <c r="G879" s="989"/>
      <c r="H879" s="992" t="str">
        <f t="shared" si="16"/>
        <v/>
      </c>
      <c r="I879" s="989"/>
      <c r="J879" s="989"/>
      <c r="K879" s="989"/>
      <c r="L879" s="989"/>
      <c r="M879" s="989"/>
      <c r="N879" s="989"/>
      <c r="O879" s="989"/>
      <c r="P879" s="989"/>
      <c r="Q879" s="989"/>
      <c r="R879" s="989"/>
      <c r="S879" s="989"/>
      <c r="T879" s="989"/>
      <c r="U879" s="989"/>
      <c r="V879" s="989"/>
      <c r="W879" s="989"/>
      <c r="X879" s="989"/>
      <c r="Y879" s="989"/>
      <c r="Z879" s="989"/>
      <c r="AA879" s="989"/>
      <c r="AB879" s="989"/>
      <c r="AC879" s="989"/>
      <c r="AD879" s="989"/>
      <c r="AE879" s="989"/>
    </row>
    <row r="880">
      <c r="A880" s="989"/>
      <c r="B880" s="989"/>
      <c r="C880" s="989"/>
      <c r="D880" s="989"/>
      <c r="E880" s="989"/>
      <c r="F880" s="989"/>
      <c r="G880" s="989"/>
      <c r="H880" s="992" t="str">
        <f t="shared" si="16"/>
        <v/>
      </c>
      <c r="I880" s="989"/>
      <c r="J880" s="989"/>
      <c r="K880" s="989"/>
      <c r="L880" s="989"/>
      <c r="M880" s="989"/>
      <c r="N880" s="989"/>
      <c r="O880" s="989"/>
      <c r="P880" s="989"/>
      <c r="Q880" s="989"/>
      <c r="R880" s="989"/>
      <c r="S880" s="989"/>
      <c r="T880" s="989"/>
      <c r="U880" s="989"/>
      <c r="V880" s="989"/>
      <c r="W880" s="989"/>
      <c r="X880" s="989"/>
      <c r="Y880" s="989"/>
      <c r="Z880" s="989"/>
      <c r="AA880" s="989"/>
      <c r="AB880" s="989"/>
      <c r="AC880" s="989"/>
      <c r="AD880" s="989"/>
      <c r="AE880" s="989"/>
    </row>
    <row r="881">
      <c r="A881" s="989"/>
      <c r="B881" s="989"/>
      <c r="C881" s="989"/>
      <c r="D881" s="989"/>
      <c r="E881" s="989"/>
      <c r="F881" s="989"/>
      <c r="G881" s="989"/>
      <c r="H881" s="992" t="str">
        <f t="shared" si="16"/>
        <v/>
      </c>
      <c r="I881" s="989"/>
      <c r="J881" s="989"/>
      <c r="K881" s="989"/>
      <c r="L881" s="989"/>
      <c r="M881" s="989"/>
      <c r="N881" s="989"/>
      <c r="O881" s="989"/>
      <c r="P881" s="989"/>
      <c r="Q881" s="989"/>
      <c r="R881" s="989"/>
      <c r="S881" s="989"/>
      <c r="T881" s="989"/>
      <c r="U881" s="989"/>
      <c r="V881" s="989"/>
      <c r="W881" s="989"/>
      <c r="X881" s="989"/>
      <c r="Y881" s="989"/>
      <c r="Z881" s="989"/>
      <c r="AA881" s="989"/>
      <c r="AB881" s="989"/>
      <c r="AC881" s="989"/>
      <c r="AD881" s="989"/>
      <c r="AE881" s="989"/>
    </row>
    <row r="882">
      <c r="A882" s="989"/>
      <c r="B882" s="989"/>
      <c r="C882" s="989"/>
      <c r="D882" s="989"/>
      <c r="E882" s="989"/>
      <c r="F882" s="989"/>
      <c r="G882" s="989"/>
      <c r="H882" s="992" t="str">
        <f t="shared" si="16"/>
        <v/>
      </c>
      <c r="I882" s="989"/>
      <c r="J882" s="989"/>
      <c r="K882" s="989"/>
      <c r="L882" s="989"/>
      <c r="M882" s="989"/>
      <c r="N882" s="989"/>
      <c r="O882" s="989"/>
      <c r="P882" s="989"/>
      <c r="Q882" s="989"/>
      <c r="R882" s="989"/>
      <c r="S882" s="989"/>
      <c r="T882" s="989"/>
      <c r="U882" s="989"/>
      <c r="V882" s="989"/>
      <c r="W882" s="989"/>
      <c r="X882" s="989"/>
      <c r="Y882" s="989"/>
      <c r="Z882" s="989"/>
      <c r="AA882" s="989"/>
      <c r="AB882" s="989"/>
      <c r="AC882" s="989"/>
      <c r="AD882" s="989"/>
      <c r="AE882" s="989"/>
    </row>
    <row r="883">
      <c r="A883" s="989"/>
      <c r="B883" s="989"/>
      <c r="C883" s="989"/>
      <c r="D883" s="989"/>
      <c r="E883" s="989"/>
      <c r="F883" s="989"/>
      <c r="G883" s="989"/>
      <c r="H883" s="992" t="str">
        <f t="shared" si="16"/>
        <v/>
      </c>
      <c r="I883" s="989"/>
      <c r="J883" s="989"/>
      <c r="K883" s="989"/>
      <c r="L883" s="989"/>
      <c r="M883" s="989"/>
      <c r="N883" s="989"/>
      <c r="O883" s="989"/>
      <c r="P883" s="989"/>
      <c r="Q883" s="989"/>
      <c r="R883" s="989"/>
      <c r="S883" s="989"/>
      <c r="T883" s="989"/>
      <c r="U883" s="989"/>
      <c r="V883" s="989"/>
      <c r="W883" s="989"/>
      <c r="X883" s="989"/>
      <c r="Y883" s="989"/>
      <c r="Z883" s="989"/>
      <c r="AA883" s="989"/>
      <c r="AB883" s="989"/>
      <c r="AC883" s="989"/>
      <c r="AD883" s="989"/>
      <c r="AE883" s="989"/>
    </row>
    <row r="884">
      <c r="A884" s="989"/>
      <c r="B884" s="989"/>
      <c r="C884" s="989"/>
      <c r="D884" s="989"/>
      <c r="E884" s="989"/>
      <c r="F884" s="989"/>
      <c r="G884" s="989"/>
      <c r="H884" s="992" t="str">
        <f t="shared" si="16"/>
        <v/>
      </c>
      <c r="I884" s="989"/>
      <c r="J884" s="989"/>
      <c r="K884" s="989"/>
      <c r="L884" s="989"/>
      <c r="M884" s="989"/>
      <c r="N884" s="989"/>
      <c r="O884" s="989"/>
      <c r="P884" s="989"/>
      <c r="Q884" s="989"/>
      <c r="R884" s="989"/>
      <c r="S884" s="989"/>
      <c r="T884" s="989"/>
      <c r="U884" s="989"/>
      <c r="V884" s="989"/>
      <c r="W884" s="989"/>
      <c r="X884" s="989"/>
      <c r="Y884" s="989"/>
      <c r="Z884" s="989"/>
      <c r="AA884" s="989"/>
      <c r="AB884" s="989"/>
      <c r="AC884" s="989"/>
      <c r="AD884" s="989"/>
      <c r="AE884" s="989"/>
    </row>
    <row r="885">
      <c r="A885" s="989"/>
      <c r="B885" s="989"/>
      <c r="C885" s="989"/>
      <c r="D885" s="989"/>
      <c r="E885" s="989"/>
      <c r="F885" s="989"/>
      <c r="G885" s="989"/>
      <c r="H885" s="992" t="str">
        <f t="shared" si="16"/>
        <v/>
      </c>
      <c r="I885" s="989"/>
      <c r="J885" s="989"/>
      <c r="K885" s="989"/>
      <c r="L885" s="989"/>
      <c r="M885" s="989"/>
      <c r="N885" s="989"/>
      <c r="O885" s="989"/>
      <c r="P885" s="989"/>
      <c r="Q885" s="989"/>
      <c r="R885" s="989"/>
      <c r="S885" s="989"/>
      <c r="T885" s="989"/>
      <c r="U885" s="989"/>
      <c r="V885" s="989"/>
      <c r="W885" s="989"/>
      <c r="X885" s="989"/>
      <c r="Y885" s="989"/>
      <c r="Z885" s="989"/>
      <c r="AA885" s="989"/>
      <c r="AB885" s="989"/>
      <c r="AC885" s="989"/>
      <c r="AD885" s="989"/>
      <c r="AE885" s="989"/>
    </row>
    <row r="886">
      <c r="A886" s="989"/>
      <c r="B886" s="989"/>
      <c r="C886" s="989"/>
      <c r="D886" s="989"/>
      <c r="E886" s="989"/>
      <c r="F886" s="989"/>
      <c r="G886" s="989"/>
      <c r="H886" s="992" t="str">
        <f t="shared" si="16"/>
        <v/>
      </c>
      <c r="I886" s="989"/>
      <c r="J886" s="989"/>
      <c r="K886" s="989"/>
      <c r="L886" s="989"/>
      <c r="M886" s="989"/>
      <c r="N886" s="989"/>
      <c r="O886" s="989"/>
      <c r="P886" s="989"/>
      <c r="Q886" s="989"/>
      <c r="R886" s="989"/>
      <c r="S886" s="989"/>
      <c r="T886" s="989"/>
      <c r="U886" s="989"/>
      <c r="V886" s="989"/>
      <c r="W886" s="989"/>
      <c r="X886" s="989"/>
      <c r="Y886" s="989"/>
      <c r="Z886" s="989"/>
      <c r="AA886" s="989"/>
      <c r="AB886" s="989"/>
      <c r="AC886" s="989"/>
      <c r="AD886" s="989"/>
      <c r="AE886" s="989"/>
    </row>
    <row r="887">
      <c r="A887" s="989"/>
      <c r="B887" s="989"/>
      <c r="C887" s="989"/>
      <c r="D887" s="989"/>
      <c r="E887" s="989"/>
      <c r="F887" s="989"/>
      <c r="G887" s="989"/>
      <c r="H887" s="992" t="str">
        <f t="shared" si="16"/>
        <v/>
      </c>
      <c r="I887" s="989"/>
      <c r="J887" s="989"/>
      <c r="K887" s="989"/>
      <c r="L887" s="989"/>
      <c r="M887" s="989"/>
      <c r="N887" s="989"/>
      <c r="O887" s="989"/>
      <c r="P887" s="989"/>
      <c r="Q887" s="989"/>
      <c r="R887" s="989"/>
      <c r="S887" s="989"/>
      <c r="T887" s="989"/>
      <c r="U887" s="989"/>
      <c r="V887" s="989"/>
      <c r="W887" s="989"/>
      <c r="X887" s="989"/>
      <c r="Y887" s="989"/>
      <c r="Z887" s="989"/>
      <c r="AA887" s="989"/>
      <c r="AB887" s="989"/>
      <c r="AC887" s="989"/>
      <c r="AD887" s="989"/>
      <c r="AE887" s="989"/>
    </row>
    <row r="888">
      <c r="A888" s="989"/>
      <c r="B888" s="989"/>
      <c r="C888" s="989"/>
      <c r="D888" s="989"/>
      <c r="E888" s="989"/>
      <c r="F888" s="989"/>
      <c r="G888" s="989"/>
      <c r="H888" s="992" t="str">
        <f t="shared" si="16"/>
        <v/>
      </c>
      <c r="I888" s="989"/>
      <c r="J888" s="989"/>
      <c r="K888" s="989"/>
      <c r="L888" s="989"/>
      <c r="M888" s="989"/>
      <c r="N888" s="989"/>
      <c r="O888" s="989"/>
      <c r="P888" s="989"/>
      <c r="Q888" s="989"/>
      <c r="R888" s="989"/>
      <c r="S888" s="989"/>
      <c r="T888" s="989"/>
      <c r="U888" s="989"/>
      <c r="V888" s="989"/>
      <c r="W888" s="989"/>
      <c r="X888" s="989"/>
      <c r="Y888" s="989"/>
      <c r="Z888" s="989"/>
      <c r="AA888" s="989"/>
      <c r="AB888" s="989"/>
      <c r="AC888" s="989"/>
      <c r="AD888" s="989"/>
      <c r="AE888" s="989"/>
    </row>
    <row r="889">
      <c r="A889" s="989"/>
      <c r="B889" s="989"/>
      <c r="C889" s="989"/>
      <c r="D889" s="989"/>
      <c r="E889" s="989"/>
      <c r="F889" s="989"/>
      <c r="G889" s="989"/>
      <c r="H889" s="992" t="str">
        <f t="shared" si="16"/>
        <v/>
      </c>
      <c r="I889" s="989"/>
      <c r="J889" s="989"/>
      <c r="K889" s="989"/>
      <c r="L889" s="989"/>
      <c r="M889" s="989"/>
      <c r="N889" s="989"/>
      <c r="O889" s="989"/>
      <c r="P889" s="989"/>
      <c r="Q889" s="989"/>
      <c r="R889" s="989"/>
      <c r="S889" s="989"/>
      <c r="T889" s="989"/>
      <c r="U889" s="989"/>
      <c r="V889" s="989"/>
      <c r="W889" s="989"/>
      <c r="X889" s="989"/>
      <c r="Y889" s="989"/>
      <c r="Z889" s="989"/>
      <c r="AA889" s="989"/>
      <c r="AB889" s="989"/>
      <c r="AC889" s="989"/>
      <c r="AD889" s="989"/>
      <c r="AE889" s="989"/>
    </row>
    <row r="890">
      <c r="A890" s="989"/>
      <c r="B890" s="989"/>
      <c r="C890" s="989"/>
      <c r="D890" s="989"/>
      <c r="E890" s="989"/>
      <c r="F890" s="989"/>
      <c r="G890" s="989"/>
      <c r="H890" s="992" t="str">
        <f t="shared" si="16"/>
        <v/>
      </c>
      <c r="I890" s="989"/>
      <c r="J890" s="989"/>
      <c r="K890" s="989"/>
      <c r="L890" s="989"/>
      <c r="M890" s="989"/>
      <c r="N890" s="989"/>
      <c r="O890" s="989"/>
      <c r="P890" s="989"/>
      <c r="Q890" s="989"/>
      <c r="R890" s="989"/>
      <c r="S890" s="989"/>
      <c r="T890" s="989"/>
      <c r="U890" s="989"/>
      <c r="V890" s="989"/>
      <c r="W890" s="989"/>
      <c r="X890" s="989"/>
      <c r="Y890" s="989"/>
      <c r="Z890" s="989"/>
      <c r="AA890" s="989"/>
      <c r="AB890" s="989"/>
      <c r="AC890" s="989"/>
      <c r="AD890" s="989"/>
      <c r="AE890" s="989"/>
    </row>
    <row r="891">
      <c r="A891" s="989"/>
      <c r="B891" s="989"/>
      <c r="C891" s="989"/>
      <c r="D891" s="989"/>
      <c r="E891" s="989"/>
      <c r="F891" s="989"/>
      <c r="G891" s="989"/>
      <c r="H891" s="992" t="str">
        <f t="shared" si="16"/>
        <v/>
      </c>
      <c r="I891" s="989"/>
      <c r="J891" s="989"/>
      <c r="K891" s="989"/>
      <c r="L891" s="989"/>
      <c r="M891" s="989"/>
      <c r="N891" s="989"/>
      <c r="O891" s="989"/>
      <c r="P891" s="989"/>
      <c r="Q891" s="989"/>
      <c r="R891" s="989"/>
      <c r="S891" s="989"/>
      <c r="T891" s="989"/>
      <c r="U891" s="989"/>
      <c r="V891" s="989"/>
      <c r="W891" s="989"/>
      <c r="X891" s="989"/>
      <c r="Y891" s="989"/>
      <c r="Z891" s="989"/>
      <c r="AA891" s="989"/>
      <c r="AB891" s="989"/>
      <c r="AC891" s="989"/>
      <c r="AD891" s="989"/>
      <c r="AE891" s="989"/>
    </row>
    <row r="892">
      <c r="A892" s="989"/>
      <c r="B892" s="989"/>
      <c r="C892" s="989"/>
      <c r="D892" s="989"/>
      <c r="E892" s="989"/>
      <c r="F892" s="989"/>
      <c r="G892" s="989"/>
      <c r="H892" s="992" t="str">
        <f t="shared" si="16"/>
        <v/>
      </c>
      <c r="I892" s="989"/>
      <c r="J892" s="989"/>
      <c r="K892" s="989"/>
      <c r="L892" s="989"/>
      <c r="M892" s="989"/>
      <c r="N892" s="989"/>
      <c r="O892" s="989"/>
      <c r="P892" s="989"/>
      <c r="Q892" s="989"/>
      <c r="R892" s="989"/>
      <c r="S892" s="989"/>
      <c r="T892" s="989"/>
      <c r="U892" s="989"/>
      <c r="V892" s="989"/>
      <c r="W892" s="989"/>
      <c r="X892" s="989"/>
      <c r="Y892" s="989"/>
      <c r="Z892" s="989"/>
      <c r="AA892" s="989"/>
      <c r="AB892" s="989"/>
      <c r="AC892" s="989"/>
      <c r="AD892" s="989"/>
      <c r="AE892" s="989"/>
    </row>
    <row r="893">
      <c r="A893" s="989"/>
      <c r="B893" s="989"/>
      <c r="C893" s="989"/>
      <c r="D893" s="989"/>
      <c r="E893" s="989"/>
      <c r="F893" s="989"/>
      <c r="G893" s="989"/>
      <c r="H893" s="992" t="str">
        <f t="shared" si="16"/>
        <v/>
      </c>
      <c r="I893" s="989"/>
      <c r="J893" s="989"/>
      <c r="K893" s="989"/>
      <c r="L893" s="989"/>
      <c r="M893" s="989"/>
      <c r="N893" s="989"/>
      <c r="O893" s="989"/>
      <c r="P893" s="989"/>
      <c r="Q893" s="989"/>
      <c r="R893" s="989"/>
      <c r="S893" s="989"/>
      <c r="T893" s="989"/>
      <c r="U893" s="989"/>
      <c r="V893" s="989"/>
      <c r="W893" s="989"/>
      <c r="X893" s="989"/>
      <c r="Y893" s="989"/>
      <c r="Z893" s="989"/>
      <c r="AA893" s="989"/>
      <c r="AB893" s="989"/>
      <c r="AC893" s="989"/>
      <c r="AD893" s="989"/>
      <c r="AE893" s="989"/>
    </row>
    <row r="894">
      <c r="A894" s="989"/>
      <c r="B894" s="989"/>
      <c r="C894" s="989"/>
      <c r="D894" s="989"/>
      <c r="E894" s="989"/>
      <c r="F894" s="989"/>
      <c r="G894" s="989"/>
      <c r="H894" s="992" t="str">
        <f t="shared" si="16"/>
        <v/>
      </c>
      <c r="I894" s="989"/>
      <c r="J894" s="989"/>
      <c r="K894" s="989"/>
      <c r="L894" s="989"/>
      <c r="M894" s="989"/>
      <c r="N894" s="989"/>
      <c r="O894" s="989"/>
      <c r="P894" s="989"/>
      <c r="Q894" s="989"/>
      <c r="R894" s="989"/>
      <c r="S894" s="989"/>
      <c r="T894" s="989"/>
      <c r="U894" s="989"/>
      <c r="V894" s="989"/>
      <c r="W894" s="989"/>
      <c r="X894" s="989"/>
      <c r="Y894" s="989"/>
      <c r="Z894" s="989"/>
      <c r="AA894" s="989"/>
      <c r="AB894" s="989"/>
      <c r="AC894" s="989"/>
      <c r="AD894" s="989"/>
      <c r="AE894" s="989"/>
    </row>
    <row r="895">
      <c r="A895" s="989"/>
      <c r="B895" s="989"/>
      <c r="C895" s="989"/>
      <c r="D895" s="989"/>
      <c r="E895" s="989"/>
      <c r="F895" s="989"/>
      <c r="G895" s="989"/>
      <c r="H895" s="992" t="str">
        <f t="shared" si="16"/>
        <v/>
      </c>
      <c r="I895" s="989"/>
      <c r="J895" s="989"/>
      <c r="K895" s="989"/>
      <c r="L895" s="989"/>
      <c r="M895" s="989"/>
      <c r="N895" s="989"/>
      <c r="O895" s="989"/>
      <c r="P895" s="989"/>
      <c r="Q895" s="989"/>
      <c r="R895" s="989"/>
      <c r="S895" s="989"/>
      <c r="T895" s="989"/>
      <c r="U895" s="989"/>
      <c r="V895" s="989"/>
      <c r="W895" s="989"/>
      <c r="X895" s="989"/>
      <c r="Y895" s="989"/>
      <c r="Z895" s="989"/>
      <c r="AA895" s="989"/>
      <c r="AB895" s="989"/>
      <c r="AC895" s="989"/>
      <c r="AD895" s="989"/>
      <c r="AE895" s="989"/>
    </row>
    <row r="896">
      <c r="A896" s="989"/>
      <c r="B896" s="989"/>
      <c r="C896" s="989"/>
      <c r="D896" s="989"/>
      <c r="E896" s="989"/>
      <c r="F896" s="989"/>
      <c r="G896" s="989"/>
      <c r="H896" s="992" t="str">
        <f t="shared" si="16"/>
        <v/>
      </c>
      <c r="I896" s="989"/>
      <c r="J896" s="989"/>
      <c r="K896" s="989"/>
      <c r="L896" s="989"/>
      <c r="M896" s="989"/>
      <c r="N896" s="989"/>
      <c r="O896" s="989"/>
      <c r="P896" s="989"/>
      <c r="Q896" s="989"/>
      <c r="R896" s="989"/>
      <c r="S896" s="989"/>
      <c r="T896" s="989"/>
      <c r="U896" s="989"/>
      <c r="V896" s="989"/>
      <c r="W896" s="989"/>
      <c r="X896" s="989"/>
      <c r="Y896" s="989"/>
      <c r="Z896" s="989"/>
      <c r="AA896" s="989"/>
      <c r="AB896" s="989"/>
      <c r="AC896" s="989"/>
      <c r="AD896" s="989"/>
      <c r="AE896" s="989"/>
    </row>
    <row r="897">
      <c r="A897" s="989"/>
      <c r="B897" s="989"/>
      <c r="C897" s="989"/>
      <c r="D897" s="989"/>
      <c r="E897" s="989"/>
      <c r="F897" s="989"/>
      <c r="G897" s="989"/>
      <c r="H897" s="992" t="str">
        <f t="shared" si="16"/>
        <v/>
      </c>
      <c r="I897" s="989"/>
      <c r="J897" s="989"/>
      <c r="K897" s="989"/>
      <c r="L897" s="989"/>
      <c r="M897" s="989"/>
      <c r="N897" s="989"/>
      <c r="O897" s="989"/>
      <c r="P897" s="989"/>
      <c r="Q897" s="989"/>
      <c r="R897" s="989"/>
      <c r="S897" s="989"/>
      <c r="T897" s="989"/>
      <c r="U897" s="989"/>
      <c r="V897" s="989"/>
      <c r="W897" s="989"/>
      <c r="X897" s="989"/>
      <c r="Y897" s="989"/>
      <c r="Z897" s="989"/>
      <c r="AA897" s="989"/>
      <c r="AB897" s="989"/>
      <c r="AC897" s="989"/>
      <c r="AD897" s="989"/>
      <c r="AE897" s="989"/>
    </row>
    <row r="898">
      <c r="A898" s="989"/>
      <c r="B898" s="989"/>
      <c r="C898" s="989"/>
      <c r="D898" s="989"/>
      <c r="E898" s="989"/>
      <c r="F898" s="989"/>
      <c r="G898" s="989"/>
      <c r="H898" s="992" t="str">
        <f t="shared" si="16"/>
        <v/>
      </c>
      <c r="I898" s="989"/>
      <c r="J898" s="989"/>
      <c r="K898" s="989"/>
      <c r="L898" s="989"/>
      <c r="M898" s="989"/>
      <c r="N898" s="989"/>
      <c r="O898" s="989"/>
      <c r="P898" s="989"/>
      <c r="Q898" s="989"/>
      <c r="R898" s="989"/>
      <c r="S898" s="989"/>
      <c r="T898" s="989"/>
      <c r="U898" s="989"/>
      <c r="V898" s="989"/>
      <c r="W898" s="989"/>
      <c r="X898" s="989"/>
      <c r="Y898" s="989"/>
      <c r="Z898" s="989"/>
      <c r="AA898" s="989"/>
      <c r="AB898" s="989"/>
      <c r="AC898" s="989"/>
      <c r="AD898" s="989"/>
      <c r="AE898" s="989"/>
    </row>
    <row r="899">
      <c r="A899" s="989"/>
      <c r="B899" s="989"/>
      <c r="C899" s="989"/>
      <c r="D899" s="989"/>
      <c r="E899" s="989"/>
      <c r="F899" s="989"/>
      <c r="G899" s="989"/>
      <c r="H899" s="992" t="str">
        <f t="shared" si="16"/>
        <v/>
      </c>
      <c r="I899" s="989"/>
      <c r="J899" s="989"/>
      <c r="K899" s="989"/>
      <c r="L899" s="989"/>
      <c r="M899" s="989"/>
      <c r="N899" s="989"/>
      <c r="O899" s="989"/>
      <c r="P899" s="989"/>
      <c r="Q899" s="989"/>
      <c r="R899" s="989"/>
      <c r="S899" s="989"/>
      <c r="T899" s="989"/>
      <c r="U899" s="989"/>
      <c r="V899" s="989"/>
      <c r="W899" s="989"/>
      <c r="X899" s="989"/>
      <c r="Y899" s="989"/>
      <c r="Z899" s="989"/>
      <c r="AA899" s="989"/>
      <c r="AB899" s="989"/>
      <c r="AC899" s="989"/>
      <c r="AD899" s="989"/>
      <c r="AE899" s="989"/>
    </row>
    <row r="900">
      <c r="A900" s="989"/>
      <c r="B900" s="989"/>
      <c r="C900" s="989"/>
      <c r="D900" s="989"/>
      <c r="E900" s="989"/>
      <c r="F900" s="989"/>
      <c r="G900" s="989"/>
      <c r="H900" s="992" t="str">
        <f t="shared" si="16"/>
        <v/>
      </c>
      <c r="I900" s="989"/>
      <c r="J900" s="989"/>
      <c r="K900" s="989"/>
      <c r="L900" s="989"/>
      <c r="M900" s="989"/>
      <c r="N900" s="989"/>
      <c r="O900" s="989"/>
      <c r="P900" s="989"/>
      <c r="Q900" s="989"/>
      <c r="R900" s="989"/>
      <c r="S900" s="989"/>
      <c r="T900" s="989"/>
      <c r="U900" s="989"/>
      <c r="V900" s="989"/>
      <c r="W900" s="989"/>
      <c r="X900" s="989"/>
      <c r="Y900" s="989"/>
      <c r="Z900" s="989"/>
      <c r="AA900" s="989"/>
      <c r="AB900" s="989"/>
      <c r="AC900" s="989"/>
      <c r="AD900" s="989"/>
      <c r="AE900" s="989"/>
    </row>
    <row r="901">
      <c r="A901" s="989"/>
      <c r="B901" s="989"/>
      <c r="C901" s="989"/>
      <c r="D901" s="989"/>
      <c r="E901" s="989"/>
      <c r="F901" s="989"/>
      <c r="G901" s="989"/>
      <c r="H901" s="992" t="str">
        <f t="shared" si="16"/>
        <v/>
      </c>
      <c r="I901" s="989"/>
      <c r="J901" s="989"/>
      <c r="K901" s="989"/>
      <c r="L901" s="989"/>
      <c r="M901" s="989"/>
      <c r="N901" s="989"/>
      <c r="O901" s="989"/>
      <c r="P901" s="989"/>
      <c r="Q901" s="989"/>
      <c r="R901" s="989"/>
      <c r="S901" s="989"/>
      <c r="T901" s="989"/>
      <c r="U901" s="989"/>
      <c r="V901" s="989"/>
      <c r="W901" s="989"/>
      <c r="X901" s="989"/>
      <c r="Y901" s="989"/>
      <c r="Z901" s="989"/>
      <c r="AA901" s="989"/>
      <c r="AB901" s="989"/>
      <c r="AC901" s="989"/>
      <c r="AD901" s="989"/>
      <c r="AE901" s="989"/>
    </row>
    <row r="902">
      <c r="A902" s="989"/>
      <c r="B902" s="989"/>
      <c r="C902" s="989"/>
      <c r="D902" s="989"/>
      <c r="E902" s="989"/>
      <c r="F902" s="989"/>
      <c r="G902" s="989"/>
      <c r="H902" s="992" t="str">
        <f t="shared" si="16"/>
        <v/>
      </c>
      <c r="I902" s="989"/>
      <c r="J902" s="989"/>
      <c r="K902" s="989"/>
      <c r="L902" s="989"/>
      <c r="M902" s="989"/>
      <c r="N902" s="989"/>
      <c r="O902" s="989"/>
      <c r="P902" s="989"/>
      <c r="Q902" s="989"/>
      <c r="R902" s="989"/>
      <c r="S902" s="989"/>
      <c r="T902" s="989"/>
      <c r="U902" s="989"/>
      <c r="V902" s="989"/>
      <c r="W902" s="989"/>
      <c r="X902" s="989"/>
      <c r="Y902" s="989"/>
      <c r="Z902" s="989"/>
      <c r="AA902" s="989"/>
      <c r="AB902" s="989"/>
      <c r="AC902" s="989"/>
      <c r="AD902" s="989"/>
      <c r="AE902" s="989"/>
    </row>
    <row r="903">
      <c r="A903" s="989"/>
      <c r="B903" s="989"/>
      <c r="C903" s="989"/>
      <c r="D903" s="989"/>
      <c r="E903" s="989"/>
      <c r="F903" s="989"/>
      <c r="G903" s="989"/>
      <c r="H903" s="992" t="str">
        <f t="shared" si="16"/>
        <v/>
      </c>
      <c r="I903" s="989"/>
      <c r="J903" s="989"/>
      <c r="K903" s="989"/>
      <c r="L903" s="989"/>
      <c r="M903" s="989"/>
      <c r="N903" s="989"/>
      <c r="O903" s="989"/>
      <c r="P903" s="989"/>
      <c r="Q903" s="989"/>
      <c r="R903" s="989"/>
      <c r="S903" s="989"/>
      <c r="T903" s="989"/>
      <c r="U903" s="989"/>
      <c r="V903" s="989"/>
      <c r="W903" s="989"/>
      <c r="X903" s="989"/>
      <c r="Y903" s="989"/>
      <c r="Z903" s="989"/>
      <c r="AA903" s="989"/>
      <c r="AB903" s="989"/>
      <c r="AC903" s="989"/>
      <c r="AD903" s="989"/>
      <c r="AE903" s="989"/>
    </row>
    <row r="904">
      <c r="A904" s="989"/>
      <c r="B904" s="989"/>
      <c r="C904" s="989"/>
      <c r="D904" s="989"/>
      <c r="E904" s="989"/>
      <c r="F904" s="989"/>
      <c r="G904" s="989"/>
      <c r="H904" s="992" t="str">
        <f t="shared" si="16"/>
        <v/>
      </c>
      <c r="I904" s="989"/>
      <c r="J904" s="989"/>
      <c r="K904" s="989"/>
      <c r="L904" s="989"/>
      <c r="M904" s="989"/>
      <c r="N904" s="989"/>
      <c r="O904" s="989"/>
      <c r="P904" s="989"/>
      <c r="Q904" s="989"/>
      <c r="R904" s="989"/>
      <c r="S904" s="989"/>
      <c r="T904" s="989"/>
      <c r="U904" s="989"/>
      <c r="V904" s="989"/>
      <c r="W904" s="989"/>
      <c r="X904" s="989"/>
      <c r="Y904" s="989"/>
      <c r="Z904" s="989"/>
      <c r="AA904" s="989"/>
      <c r="AB904" s="989"/>
      <c r="AC904" s="989"/>
      <c r="AD904" s="989"/>
      <c r="AE904" s="989"/>
    </row>
    <row r="905">
      <c r="A905" s="989"/>
      <c r="B905" s="989"/>
      <c r="C905" s="989"/>
      <c r="D905" s="989"/>
      <c r="E905" s="989"/>
      <c r="F905" s="989"/>
      <c r="G905" s="989"/>
      <c r="H905" s="992" t="str">
        <f t="shared" si="16"/>
        <v/>
      </c>
      <c r="I905" s="989"/>
      <c r="J905" s="989"/>
      <c r="K905" s="989"/>
      <c r="L905" s="989"/>
      <c r="M905" s="989"/>
      <c r="N905" s="989"/>
      <c r="O905" s="989"/>
      <c r="P905" s="989"/>
      <c r="Q905" s="989"/>
      <c r="R905" s="989"/>
      <c r="S905" s="989"/>
      <c r="T905" s="989"/>
      <c r="U905" s="989"/>
      <c r="V905" s="989"/>
      <c r="W905" s="989"/>
      <c r="X905" s="989"/>
      <c r="Y905" s="989"/>
      <c r="Z905" s="989"/>
      <c r="AA905" s="989"/>
      <c r="AB905" s="989"/>
      <c r="AC905" s="989"/>
      <c r="AD905" s="989"/>
      <c r="AE905" s="989"/>
    </row>
    <row r="906">
      <c r="A906" s="989"/>
      <c r="B906" s="989"/>
      <c r="C906" s="989"/>
      <c r="D906" s="989"/>
      <c r="E906" s="989"/>
      <c r="F906" s="989"/>
      <c r="G906" s="989"/>
      <c r="H906" s="992" t="str">
        <f t="shared" si="16"/>
        <v/>
      </c>
      <c r="I906" s="989"/>
      <c r="J906" s="989"/>
      <c r="K906" s="989"/>
      <c r="L906" s="989"/>
      <c r="M906" s="989"/>
      <c r="N906" s="989"/>
      <c r="O906" s="989"/>
      <c r="P906" s="989"/>
      <c r="Q906" s="989"/>
      <c r="R906" s="989"/>
      <c r="S906" s="989"/>
      <c r="T906" s="989"/>
      <c r="U906" s="989"/>
      <c r="V906" s="989"/>
      <c r="W906" s="989"/>
      <c r="X906" s="989"/>
      <c r="Y906" s="989"/>
      <c r="Z906" s="989"/>
      <c r="AA906" s="989"/>
      <c r="AB906" s="989"/>
      <c r="AC906" s="989"/>
      <c r="AD906" s="989"/>
      <c r="AE906" s="989"/>
    </row>
    <row r="907">
      <c r="A907" s="989"/>
      <c r="B907" s="989"/>
      <c r="C907" s="989"/>
      <c r="D907" s="989"/>
      <c r="E907" s="989"/>
      <c r="F907" s="989"/>
      <c r="G907" s="989"/>
      <c r="H907" s="992" t="str">
        <f t="shared" si="16"/>
        <v/>
      </c>
      <c r="I907" s="989"/>
      <c r="J907" s="989"/>
      <c r="K907" s="989"/>
      <c r="L907" s="989"/>
      <c r="M907" s="989"/>
      <c r="N907" s="989"/>
      <c r="O907" s="989"/>
      <c r="P907" s="989"/>
      <c r="Q907" s="989"/>
      <c r="R907" s="989"/>
      <c r="S907" s="989"/>
      <c r="T907" s="989"/>
      <c r="U907" s="989"/>
      <c r="V907" s="989"/>
      <c r="W907" s="989"/>
      <c r="X907" s="989"/>
      <c r="Y907" s="989"/>
      <c r="Z907" s="989"/>
      <c r="AA907" s="989"/>
      <c r="AB907" s="989"/>
      <c r="AC907" s="989"/>
      <c r="AD907" s="989"/>
      <c r="AE907" s="989"/>
    </row>
    <row r="908">
      <c r="A908" s="989"/>
      <c r="B908" s="989"/>
      <c r="C908" s="989"/>
      <c r="D908" s="989"/>
      <c r="E908" s="989"/>
      <c r="F908" s="989"/>
      <c r="G908" s="989"/>
      <c r="H908" s="992" t="str">
        <f t="shared" si="16"/>
        <v/>
      </c>
      <c r="I908" s="989"/>
      <c r="J908" s="989"/>
      <c r="K908" s="989"/>
      <c r="L908" s="989"/>
      <c r="M908" s="989"/>
      <c r="N908" s="989"/>
      <c r="O908" s="989"/>
      <c r="P908" s="989"/>
      <c r="Q908" s="989"/>
      <c r="R908" s="989"/>
      <c r="S908" s="989"/>
      <c r="T908" s="989"/>
      <c r="U908" s="989"/>
      <c r="V908" s="989"/>
      <c r="W908" s="989"/>
      <c r="X908" s="989"/>
      <c r="Y908" s="989"/>
      <c r="Z908" s="989"/>
      <c r="AA908" s="989"/>
      <c r="AB908" s="989"/>
      <c r="AC908" s="989"/>
      <c r="AD908" s="989"/>
      <c r="AE908" s="989"/>
    </row>
    <row r="909">
      <c r="A909" s="989"/>
      <c r="B909" s="989"/>
      <c r="C909" s="989"/>
      <c r="D909" s="989"/>
      <c r="E909" s="989"/>
      <c r="F909" s="989"/>
      <c r="G909" s="989"/>
      <c r="H909" s="992" t="str">
        <f t="shared" si="16"/>
        <v/>
      </c>
      <c r="I909" s="989"/>
      <c r="J909" s="989"/>
      <c r="K909" s="989"/>
      <c r="L909" s="989"/>
      <c r="M909" s="989"/>
      <c r="N909" s="989"/>
      <c r="O909" s="989"/>
      <c r="P909" s="989"/>
      <c r="Q909" s="989"/>
      <c r="R909" s="989"/>
      <c r="S909" s="989"/>
      <c r="T909" s="989"/>
      <c r="U909" s="989"/>
      <c r="V909" s="989"/>
      <c r="W909" s="989"/>
      <c r="X909" s="989"/>
      <c r="Y909" s="989"/>
      <c r="Z909" s="989"/>
      <c r="AA909" s="989"/>
      <c r="AB909" s="989"/>
      <c r="AC909" s="989"/>
      <c r="AD909" s="989"/>
      <c r="AE909" s="989"/>
    </row>
    <row r="910">
      <c r="A910" s="989"/>
      <c r="B910" s="989"/>
      <c r="C910" s="989"/>
      <c r="D910" s="989"/>
      <c r="E910" s="989"/>
      <c r="F910" s="989"/>
      <c r="G910" s="989"/>
      <c r="H910" s="992" t="str">
        <f t="shared" si="16"/>
        <v/>
      </c>
      <c r="I910" s="989"/>
      <c r="J910" s="989"/>
      <c r="K910" s="989"/>
      <c r="L910" s="989"/>
      <c r="M910" s="989"/>
      <c r="N910" s="989"/>
      <c r="O910" s="989"/>
      <c r="P910" s="989"/>
      <c r="Q910" s="989"/>
      <c r="R910" s="989"/>
      <c r="S910" s="989"/>
      <c r="T910" s="989"/>
      <c r="U910" s="989"/>
      <c r="V910" s="989"/>
      <c r="W910" s="989"/>
      <c r="X910" s="989"/>
      <c r="Y910" s="989"/>
      <c r="Z910" s="989"/>
      <c r="AA910" s="989"/>
      <c r="AB910" s="989"/>
      <c r="AC910" s="989"/>
      <c r="AD910" s="989"/>
      <c r="AE910" s="989"/>
    </row>
    <row r="911">
      <c r="A911" s="989"/>
      <c r="B911" s="989"/>
      <c r="C911" s="989"/>
      <c r="D911" s="989"/>
      <c r="E911" s="989"/>
      <c r="F911" s="989"/>
      <c r="G911" s="989"/>
      <c r="H911" s="992" t="str">
        <f t="shared" si="16"/>
        <v/>
      </c>
      <c r="I911" s="989"/>
      <c r="J911" s="989"/>
      <c r="K911" s="989"/>
      <c r="L911" s="989"/>
      <c r="M911" s="989"/>
      <c r="N911" s="989"/>
      <c r="O911" s="989"/>
      <c r="P911" s="989"/>
      <c r="Q911" s="989"/>
      <c r="R911" s="989"/>
      <c r="S911" s="989"/>
      <c r="T911" s="989"/>
      <c r="U911" s="989"/>
      <c r="V911" s="989"/>
      <c r="W911" s="989"/>
      <c r="X911" s="989"/>
      <c r="Y911" s="989"/>
      <c r="Z911" s="989"/>
      <c r="AA911" s="989"/>
      <c r="AB911" s="989"/>
      <c r="AC911" s="989"/>
      <c r="AD911" s="989"/>
      <c r="AE911" s="989"/>
    </row>
    <row r="912">
      <c r="A912" s="989"/>
      <c r="B912" s="989"/>
      <c r="C912" s="989"/>
      <c r="D912" s="989"/>
      <c r="E912" s="989"/>
      <c r="F912" s="989"/>
      <c r="G912" s="989"/>
      <c r="H912" s="992" t="str">
        <f t="shared" si="16"/>
        <v/>
      </c>
      <c r="I912" s="989"/>
      <c r="J912" s="989"/>
      <c r="K912" s="989"/>
      <c r="L912" s="989"/>
      <c r="M912" s="989"/>
      <c r="N912" s="989"/>
      <c r="O912" s="989"/>
      <c r="P912" s="989"/>
      <c r="Q912" s="989"/>
      <c r="R912" s="989"/>
      <c r="S912" s="989"/>
      <c r="T912" s="989"/>
      <c r="U912" s="989"/>
      <c r="V912" s="989"/>
      <c r="W912" s="989"/>
      <c r="X912" s="989"/>
      <c r="Y912" s="989"/>
      <c r="Z912" s="989"/>
      <c r="AA912" s="989"/>
      <c r="AB912" s="989"/>
      <c r="AC912" s="989"/>
      <c r="AD912" s="989"/>
      <c r="AE912" s="989"/>
    </row>
    <row r="913">
      <c r="A913" s="989"/>
      <c r="B913" s="989"/>
      <c r="C913" s="989"/>
      <c r="D913" s="989"/>
      <c r="E913" s="989"/>
      <c r="F913" s="989"/>
      <c r="G913" s="989"/>
      <c r="H913" s="992" t="str">
        <f t="shared" si="16"/>
        <v/>
      </c>
      <c r="I913" s="989"/>
      <c r="J913" s="989"/>
      <c r="K913" s="989"/>
      <c r="L913" s="989"/>
      <c r="M913" s="989"/>
      <c r="N913" s="989"/>
      <c r="O913" s="989"/>
      <c r="P913" s="989"/>
      <c r="Q913" s="989"/>
      <c r="R913" s="989"/>
      <c r="S913" s="989"/>
      <c r="T913" s="989"/>
      <c r="U913" s="989"/>
      <c r="V913" s="989"/>
      <c r="W913" s="989"/>
      <c r="X913" s="989"/>
      <c r="Y913" s="989"/>
      <c r="Z913" s="989"/>
      <c r="AA913" s="989"/>
      <c r="AB913" s="989"/>
      <c r="AC913" s="989"/>
      <c r="AD913" s="989"/>
      <c r="AE913" s="989"/>
    </row>
    <row r="914">
      <c r="A914" s="989"/>
      <c r="B914" s="989"/>
      <c r="C914" s="989"/>
      <c r="D914" s="989"/>
      <c r="E914" s="989"/>
      <c r="F914" s="989"/>
      <c r="G914" s="989"/>
      <c r="H914" s="992" t="str">
        <f t="shared" si="16"/>
        <v/>
      </c>
      <c r="I914" s="989"/>
      <c r="J914" s="989"/>
      <c r="K914" s="989"/>
      <c r="L914" s="989"/>
      <c r="M914" s="989"/>
      <c r="N914" s="989"/>
      <c r="O914" s="989"/>
      <c r="P914" s="989"/>
      <c r="Q914" s="989"/>
      <c r="R914" s="989"/>
      <c r="S914" s="989"/>
      <c r="T914" s="989"/>
      <c r="U914" s="989"/>
      <c r="V914" s="989"/>
      <c r="W914" s="989"/>
      <c r="X914" s="989"/>
      <c r="Y914" s="989"/>
      <c r="Z914" s="989"/>
      <c r="AA914" s="989"/>
      <c r="AB914" s="989"/>
      <c r="AC914" s="989"/>
      <c r="AD914" s="989"/>
      <c r="AE914" s="989"/>
    </row>
    <row r="915">
      <c r="A915" s="989"/>
      <c r="B915" s="989"/>
      <c r="C915" s="989"/>
      <c r="D915" s="989"/>
      <c r="E915" s="989"/>
      <c r="F915" s="989"/>
      <c r="G915" s="989"/>
      <c r="H915" s="992" t="str">
        <f t="shared" si="16"/>
        <v/>
      </c>
      <c r="I915" s="989"/>
      <c r="J915" s="989"/>
      <c r="K915" s="989"/>
      <c r="L915" s="989"/>
      <c r="M915" s="989"/>
      <c r="N915" s="989"/>
      <c r="O915" s="989"/>
      <c r="P915" s="989"/>
      <c r="Q915" s="989"/>
      <c r="R915" s="989"/>
      <c r="S915" s="989"/>
      <c r="T915" s="989"/>
      <c r="U915" s="989"/>
      <c r="V915" s="989"/>
      <c r="W915" s="989"/>
      <c r="X915" s="989"/>
      <c r="Y915" s="989"/>
      <c r="Z915" s="989"/>
      <c r="AA915" s="989"/>
      <c r="AB915" s="989"/>
      <c r="AC915" s="989"/>
      <c r="AD915" s="989"/>
      <c r="AE915" s="989"/>
    </row>
    <row r="916">
      <c r="A916" s="989"/>
      <c r="B916" s="989"/>
      <c r="C916" s="989"/>
      <c r="D916" s="989"/>
      <c r="E916" s="989"/>
      <c r="F916" s="989"/>
      <c r="G916" s="989"/>
      <c r="H916" s="992" t="str">
        <f t="shared" si="16"/>
        <v/>
      </c>
      <c r="I916" s="989"/>
      <c r="J916" s="989"/>
      <c r="K916" s="989"/>
      <c r="L916" s="989"/>
      <c r="M916" s="989"/>
      <c r="N916" s="989"/>
      <c r="O916" s="989"/>
      <c r="P916" s="989"/>
      <c r="Q916" s="989"/>
      <c r="R916" s="989"/>
      <c r="S916" s="989"/>
      <c r="T916" s="989"/>
      <c r="U916" s="989"/>
      <c r="V916" s="989"/>
      <c r="W916" s="989"/>
      <c r="X916" s="989"/>
      <c r="Y916" s="989"/>
      <c r="Z916" s="989"/>
      <c r="AA916" s="989"/>
      <c r="AB916" s="989"/>
      <c r="AC916" s="989"/>
      <c r="AD916" s="989"/>
      <c r="AE916" s="989"/>
    </row>
    <row r="917">
      <c r="A917" s="989"/>
      <c r="B917" s="989"/>
      <c r="C917" s="989"/>
      <c r="D917" s="989"/>
      <c r="E917" s="989"/>
      <c r="F917" s="989"/>
      <c r="G917" s="989"/>
      <c r="H917" s="992" t="str">
        <f t="shared" si="16"/>
        <v/>
      </c>
      <c r="I917" s="989"/>
      <c r="J917" s="989"/>
      <c r="K917" s="989"/>
      <c r="L917" s="989"/>
      <c r="M917" s="989"/>
      <c r="N917" s="989"/>
      <c r="O917" s="989"/>
      <c r="P917" s="989"/>
      <c r="Q917" s="989"/>
      <c r="R917" s="989"/>
      <c r="S917" s="989"/>
      <c r="T917" s="989"/>
      <c r="U917" s="989"/>
      <c r="V917" s="989"/>
      <c r="W917" s="989"/>
      <c r="X917" s="989"/>
      <c r="Y917" s="989"/>
      <c r="Z917" s="989"/>
      <c r="AA917" s="989"/>
      <c r="AB917" s="989"/>
      <c r="AC917" s="989"/>
      <c r="AD917" s="989"/>
      <c r="AE917" s="989"/>
    </row>
    <row r="918">
      <c r="A918" s="989"/>
      <c r="B918" s="989"/>
      <c r="C918" s="989"/>
      <c r="D918" s="989"/>
      <c r="E918" s="989"/>
      <c r="F918" s="989"/>
      <c r="G918" s="989"/>
      <c r="H918" s="992" t="str">
        <f t="shared" si="16"/>
        <v/>
      </c>
      <c r="I918" s="989"/>
      <c r="J918" s="989"/>
      <c r="K918" s="989"/>
      <c r="L918" s="989"/>
      <c r="M918" s="989"/>
      <c r="N918" s="989"/>
      <c r="O918" s="989"/>
      <c r="P918" s="989"/>
      <c r="Q918" s="989"/>
      <c r="R918" s="989"/>
      <c r="S918" s="989"/>
      <c r="T918" s="989"/>
      <c r="U918" s="989"/>
      <c r="V918" s="989"/>
      <c r="W918" s="989"/>
      <c r="X918" s="989"/>
      <c r="Y918" s="989"/>
      <c r="Z918" s="989"/>
      <c r="AA918" s="989"/>
      <c r="AB918" s="989"/>
      <c r="AC918" s="989"/>
      <c r="AD918" s="989"/>
      <c r="AE918" s="989"/>
    </row>
    <row r="919">
      <c r="A919" s="989"/>
      <c r="B919" s="989"/>
      <c r="C919" s="989"/>
      <c r="D919" s="989"/>
      <c r="E919" s="989"/>
      <c r="F919" s="989"/>
      <c r="G919" s="989"/>
      <c r="H919" s="992" t="str">
        <f t="shared" si="16"/>
        <v/>
      </c>
      <c r="I919" s="989"/>
      <c r="J919" s="989"/>
      <c r="K919" s="989"/>
      <c r="L919" s="989"/>
      <c r="M919" s="989"/>
      <c r="N919" s="989"/>
      <c r="O919" s="989"/>
      <c r="P919" s="989"/>
      <c r="Q919" s="989"/>
      <c r="R919" s="989"/>
      <c r="S919" s="989"/>
      <c r="T919" s="989"/>
      <c r="U919" s="989"/>
      <c r="V919" s="989"/>
      <c r="W919" s="989"/>
      <c r="X919" s="989"/>
      <c r="Y919" s="989"/>
      <c r="Z919" s="989"/>
      <c r="AA919" s="989"/>
      <c r="AB919" s="989"/>
      <c r="AC919" s="989"/>
      <c r="AD919" s="989"/>
      <c r="AE919" s="989"/>
    </row>
    <row r="920">
      <c r="A920" s="989"/>
      <c r="B920" s="989"/>
      <c r="C920" s="989"/>
      <c r="D920" s="989"/>
      <c r="E920" s="989"/>
      <c r="F920" s="989"/>
      <c r="G920" s="989"/>
      <c r="H920" s="992" t="str">
        <f t="shared" si="16"/>
        <v/>
      </c>
      <c r="I920" s="989"/>
      <c r="J920" s="989"/>
      <c r="K920" s="989"/>
      <c r="L920" s="989"/>
      <c r="M920" s="989"/>
      <c r="N920" s="989"/>
      <c r="O920" s="989"/>
      <c r="P920" s="989"/>
      <c r="Q920" s="989"/>
      <c r="R920" s="989"/>
      <c r="S920" s="989"/>
      <c r="T920" s="989"/>
      <c r="U920" s="989"/>
      <c r="V920" s="989"/>
      <c r="W920" s="989"/>
      <c r="X920" s="989"/>
      <c r="Y920" s="989"/>
      <c r="Z920" s="989"/>
      <c r="AA920" s="989"/>
      <c r="AB920" s="989"/>
      <c r="AC920" s="989"/>
      <c r="AD920" s="989"/>
      <c r="AE920" s="989"/>
    </row>
    <row r="921">
      <c r="A921" s="989"/>
      <c r="B921" s="989"/>
      <c r="C921" s="989"/>
      <c r="D921" s="989"/>
      <c r="E921" s="989"/>
      <c r="F921" s="989"/>
      <c r="G921" s="989"/>
      <c r="H921" s="992" t="str">
        <f t="shared" si="16"/>
        <v/>
      </c>
      <c r="I921" s="989"/>
      <c r="J921" s="989"/>
      <c r="K921" s="989"/>
      <c r="L921" s="989"/>
      <c r="M921" s="989"/>
      <c r="N921" s="989"/>
      <c r="O921" s="989"/>
      <c r="P921" s="989"/>
      <c r="Q921" s="989"/>
      <c r="R921" s="989"/>
      <c r="S921" s="989"/>
      <c r="T921" s="989"/>
      <c r="U921" s="989"/>
      <c r="V921" s="989"/>
      <c r="W921" s="989"/>
      <c r="X921" s="989"/>
      <c r="Y921" s="989"/>
      <c r="Z921" s="989"/>
      <c r="AA921" s="989"/>
      <c r="AB921" s="989"/>
      <c r="AC921" s="989"/>
      <c r="AD921" s="989"/>
      <c r="AE921" s="989"/>
    </row>
    <row r="922">
      <c r="A922" s="989"/>
      <c r="B922" s="989"/>
      <c r="C922" s="989"/>
      <c r="D922" s="989"/>
      <c r="E922" s="989"/>
      <c r="F922" s="989"/>
      <c r="G922" s="989"/>
      <c r="H922" s="992" t="str">
        <f t="shared" si="16"/>
        <v/>
      </c>
      <c r="I922" s="989"/>
      <c r="J922" s="989"/>
      <c r="K922" s="989"/>
      <c r="L922" s="989"/>
      <c r="M922" s="989"/>
      <c r="N922" s="989"/>
      <c r="O922" s="989"/>
      <c r="P922" s="989"/>
      <c r="Q922" s="989"/>
      <c r="R922" s="989"/>
      <c r="S922" s="989"/>
      <c r="T922" s="989"/>
      <c r="U922" s="989"/>
      <c r="V922" s="989"/>
      <c r="W922" s="989"/>
      <c r="X922" s="989"/>
      <c r="Y922" s="989"/>
      <c r="Z922" s="989"/>
      <c r="AA922" s="989"/>
      <c r="AB922" s="989"/>
      <c r="AC922" s="989"/>
      <c r="AD922" s="989"/>
      <c r="AE922" s="989"/>
    </row>
    <row r="923">
      <c r="A923" s="989"/>
      <c r="B923" s="989"/>
      <c r="C923" s="989"/>
      <c r="D923" s="989"/>
      <c r="E923" s="989"/>
      <c r="F923" s="989"/>
      <c r="G923" s="989"/>
      <c r="H923" s="992" t="str">
        <f t="shared" si="16"/>
        <v/>
      </c>
      <c r="I923" s="989"/>
      <c r="J923" s="989"/>
      <c r="K923" s="989"/>
      <c r="L923" s="989"/>
      <c r="M923" s="989"/>
      <c r="N923" s="989"/>
      <c r="O923" s="989"/>
      <c r="P923" s="989"/>
      <c r="Q923" s="989"/>
      <c r="R923" s="989"/>
      <c r="S923" s="989"/>
      <c r="T923" s="989"/>
      <c r="U923" s="989"/>
      <c r="V923" s="989"/>
      <c r="W923" s="989"/>
      <c r="X923" s="989"/>
      <c r="Y923" s="989"/>
      <c r="Z923" s="989"/>
      <c r="AA923" s="989"/>
      <c r="AB923" s="989"/>
      <c r="AC923" s="989"/>
      <c r="AD923" s="989"/>
      <c r="AE923" s="989"/>
    </row>
    <row r="924">
      <c r="A924" s="989"/>
      <c r="B924" s="989"/>
      <c r="C924" s="989"/>
      <c r="D924" s="989"/>
      <c r="E924" s="989"/>
      <c r="F924" s="989"/>
      <c r="G924" s="989"/>
      <c r="H924" s="992" t="str">
        <f t="shared" si="16"/>
        <v/>
      </c>
      <c r="I924" s="989"/>
      <c r="J924" s="989"/>
      <c r="K924" s="989"/>
      <c r="L924" s="989"/>
      <c r="M924" s="989"/>
      <c r="N924" s="989"/>
      <c r="O924" s="989"/>
      <c r="P924" s="989"/>
      <c r="Q924" s="989"/>
      <c r="R924" s="989"/>
      <c r="S924" s="989"/>
      <c r="T924" s="989"/>
      <c r="U924" s="989"/>
      <c r="V924" s="989"/>
      <c r="W924" s="989"/>
      <c r="X924" s="989"/>
      <c r="Y924" s="989"/>
      <c r="Z924" s="989"/>
      <c r="AA924" s="989"/>
      <c r="AB924" s="989"/>
      <c r="AC924" s="989"/>
      <c r="AD924" s="989"/>
      <c r="AE924" s="989"/>
    </row>
    <row r="925">
      <c r="A925" s="989"/>
      <c r="B925" s="989"/>
      <c r="C925" s="989"/>
      <c r="D925" s="989"/>
      <c r="E925" s="989"/>
      <c r="F925" s="989"/>
      <c r="G925" s="989"/>
      <c r="H925" s="992" t="str">
        <f t="shared" si="16"/>
        <v/>
      </c>
      <c r="I925" s="989"/>
      <c r="J925" s="989"/>
      <c r="K925" s="989"/>
      <c r="L925" s="989"/>
      <c r="M925" s="989"/>
      <c r="N925" s="989"/>
      <c r="O925" s="989"/>
      <c r="P925" s="989"/>
      <c r="Q925" s="989"/>
      <c r="R925" s="989"/>
      <c r="S925" s="989"/>
      <c r="T925" s="989"/>
      <c r="U925" s="989"/>
      <c r="V925" s="989"/>
      <c r="W925" s="989"/>
      <c r="X925" s="989"/>
      <c r="Y925" s="989"/>
      <c r="Z925" s="989"/>
      <c r="AA925" s="989"/>
      <c r="AB925" s="989"/>
      <c r="AC925" s="989"/>
      <c r="AD925" s="989"/>
      <c r="AE925" s="989"/>
    </row>
    <row r="926">
      <c r="A926" s="989"/>
      <c r="B926" s="989"/>
      <c r="C926" s="989"/>
      <c r="D926" s="989"/>
      <c r="E926" s="989"/>
      <c r="F926" s="989"/>
      <c r="G926" s="989"/>
      <c r="H926" s="992" t="str">
        <f t="shared" si="16"/>
        <v/>
      </c>
      <c r="I926" s="989"/>
      <c r="J926" s="989"/>
      <c r="K926" s="989"/>
      <c r="L926" s="989"/>
      <c r="M926" s="989"/>
      <c r="N926" s="989"/>
      <c r="O926" s="989"/>
      <c r="P926" s="989"/>
      <c r="Q926" s="989"/>
      <c r="R926" s="989"/>
      <c r="S926" s="989"/>
      <c r="T926" s="989"/>
      <c r="U926" s="989"/>
      <c r="V926" s="989"/>
      <c r="W926" s="989"/>
      <c r="X926" s="989"/>
      <c r="Y926" s="989"/>
      <c r="Z926" s="989"/>
      <c r="AA926" s="989"/>
      <c r="AB926" s="989"/>
      <c r="AC926" s="989"/>
      <c r="AD926" s="989"/>
      <c r="AE926" s="989"/>
    </row>
    <row r="927">
      <c r="A927" s="989"/>
      <c r="B927" s="989"/>
      <c r="C927" s="989"/>
      <c r="D927" s="989"/>
      <c r="E927" s="989"/>
      <c r="F927" s="989"/>
      <c r="G927" s="989"/>
      <c r="H927" s="992" t="str">
        <f t="shared" si="16"/>
        <v/>
      </c>
      <c r="I927" s="989"/>
      <c r="J927" s="989"/>
      <c r="K927" s="989"/>
      <c r="L927" s="989"/>
      <c r="M927" s="989"/>
      <c r="N927" s="989"/>
      <c r="O927" s="989"/>
      <c r="P927" s="989"/>
      <c r="Q927" s="989"/>
      <c r="R927" s="989"/>
      <c r="S927" s="989"/>
      <c r="T927" s="989"/>
      <c r="U927" s="989"/>
      <c r="V927" s="989"/>
      <c r="W927" s="989"/>
      <c r="X927" s="989"/>
      <c r="Y927" s="989"/>
      <c r="Z927" s="989"/>
      <c r="AA927" s="989"/>
      <c r="AB927" s="989"/>
      <c r="AC927" s="989"/>
      <c r="AD927" s="989"/>
      <c r="AE927" s="989"/>
    </row>
    <row r="928">
      <c r="A928" s="989"/>
      <c r="B928" s="989"/>
      <c r="C928" s="989"/>
      <c r="D928" s="989"/>
      <c r="E928" s="989"/>
      <c r="F928" s="989"/>
      <c r="G928" s="989"/>
      <c r="H928" s="992" t="str">
        <f t="shared" si="16"/>
        <v/>
      </c>
      <c r="I928" s="989"/>
      <c r="J928" s="989"/>
      <c r="K928" s="989"/>
      <c r="L928" s="989"/>
      <c r="M928" s="989"/>
      <c r="N928" s="989"/>
      <c r="O928" s="989"/>
      <c r="P928" s="989"/>
      <c r="Q928" s="989"/>
      <c r="R928" s="989"/>
      <c r="S928" s="989"/>
      <c r="T928" s="989"/>
      <c r="U928" s="989"/>
      <c r="V928" s="989"/>
      <c r="W928" s="989"/>
      <c r="X928" s="989"/>
      <c r="Y928" s="989"/>
      <c r="Z928" s="989"/>
      <c r="AA928" s="989"/>
      <c r="AB928" s="989"/>
      <c r="AC928" s="989"/>
      <c r="AD928" s="989"/>
      <c r="AE928" s="989"/>
    </row>
    <row r="929">
      <c r="A929" s="989"/>
      <c r="B929" s="989"/>
      <c r="C929" s="989"/>
      <c r="D929" s="989"/>
      <c r="E929" s="989"/>
      <c r="F929" s="989"/>
      <c r="G929" s="989"/>
      <c r="H929" s="992" t="str">
        <f t="shared" si="16"/>
        <v/>
      </c>
      <c r="I929" s="989"/>
      <c r="J929" s="989"/>
      <c r="K929" s="989"/>
      <c r="L929" s="989"/>
      <c r="M929" s="989"/>
      <c r="N929" s="989"/>
      <c r="O929" s="989"/>
      <c r="P929" s="989"/>
      <c r="Q929" s="989"/>
      <c r="R929" s="989"/>
      <c r="S929" s="989"/>
      <c r="T929" s="989"/>
      <c r="U929" s="989"/>
      <c r="V929" s="989"/>
      <c r="W929" s="989"/>
      <c r="X929" s="989"/>
      <c r="Y929" s="989"/>
      <c r="Z929" s="989"/>
      <c r="AA929" s="989"/>
      <c r="AB929" s="989"/>
      <c r="AC929" s="989"/>
      <c r="AD929" s="989"/>
      <c r="AE929" s="989"/>
    </row>
    <row r="930">
      <c r="A930" s="989"/>
      <c r="B930" s="989"/>
      <c r="C930" s="989"/>
      <c r="D930" s="989"/>
      <c r="E930" s="989"/>
      <c r="F930" s="989"/>
      <c r="G930" s="989"/>
      <c r="H930" s="992" t="str">
        <f t="shared" si="16"/>
        <v/>
      </c>
      <c r="I930" s="989"/>
      <c r="J930" s="989"/>
      <c r="K930" s="989"/>
      <c r="L930" s="989"/>
      <c r="M930" s="989"/>
      <c r="N930" s="989"/>
      <c r="O930" s="989"/>
      <c r="P930" s="989"/>
      <c r="Q930" s="989"/>
      <c r="R930" s="989"/>
      <c r="S930" s="989"/>
      <c r="T930" s="989"/>
      <c r="U930" s="989"/>
      <c r="V930" s="989"/>
      <c r="W930" s="989"/>
      <c r="X930" s="989"/>
      <c r="Y930" s="989"/>
      <c r="Z930" s="989"/>
      <c r="AA930" s="989"/>
      <c r="AB930" s="989"/>
      <c r="AC930" s="989"/>
      <c r="AD930" s="989"/>
      <c r="AE930" s="989"/>
    </row>
    <row r="931">
      <c r="A931" s="989"/>
      <c r="B931" s="989"/>
      <c r="C931" s="989"/>
      <c r="D931" s="989"/>
      <c r="E931" s="989"/>
      <c r="F931" s="989"/>
      <c r="G931" s="989"/>
      <c r="H931" s="992" t="str">
        <f t="shared" si="16"/>
        <v/>
      </c>
      <c r="I931" s="989"/>
      <c r="J931" s="989"/>
      <c r="K931" s="989"/>
      <c r="L931" s="989"/>
      <c r="M931" s="989"/>
      <c r="N931" s="989"/>
      <c r="O931" s="989"/>
      <c r="P931" s="989"/>
      <c r="Q931" s="989"/>
      <c r="R931" s="989"/>
      <c r="S931" s="989"/>
      <c r="T931" s="989"/>
      <c r="U931" s="989"/>
      <c r="V931" s="989"/>
      <c r="W931" s="989"/>
      <c r="X931" s="989"/>
      <c r="Y931" s="989"/>
      <c r="Z931" s="989"/>
      <c r="AA931" s="989"/>
      <c r="AB931" s="989"/>
      <c r="AC931" s="989"/>
      <c r="AD931" s="989"/>
      <c r="AE931" s="989"/>
    </row>
    <row r="932">
      <c r="A932" s="989"/>
      <c r="B932" s="989"/>
      <c r="C932" s="989"/>
      <c r="D932" s="989"/>
      <c r="E932" s="989"/>
      <c r="F932" s="989"/>
      <c r="G932" s="989"/>
      <c r="H932" s="992" t="str">
        <f t="shared" si="16"/>
        <v/>
      </c>
      <c r="I932" s="989"/>
      <c r="J932" s="989"/>
      <c r="K932" s="989"/>
      <c r="L932" s="989"/>
      <c r="M932" s="989"/>
      <c r="N932" s="989"/>
      <c r="O932" s="989"/>
      <c r="P932" s="989"/>
      <c r="Q932" s="989"/>
      <c r="R932" s="989"/>
      <c r="S932" s="989"/>
      <c r="T932" s="989"/>
      <c r="U932" s="989"/>
      <c r="V932" s="989"/>
      <c r="W932" s="989"/>
      <c r="X932" s="989"/>
      <c r="Y932" s="989"/>
      <c r="Z932" s="989"/>
      <c r="AA932" s="989"/>
      <c r="AB932" s="989"/>
      <c r="AC932" s="989"/>
      <c r="AD932" s="989"/>
      <c r="AE932" s="989"/>
    </row>
    <row r="933">
      <c r="A933" s="989"/>
      <c r="B933" s="989"/>
      <c r="C933" s="989"/>
      <c r="D933" s="989"/>
      <c r="E933" s="989"/>
      <c r="F933" s="989"/>
      <c r="G933" s="989"/>
      <c r="H933" s="992" t="str">
        <f t="shared" si="16"/>
        <v/>
      </c>
      <c r="I933" s="989"/>
      <c r="J933" s="989"/>
      <c r="K933" s="989"/>
      <c r="L933" s="989"/>
      <c r="M933" s="989"/>
      <c r="N933" s="989"/>
      <c r="O933" s="989"/>
      <c r="P933" s="989"/>
      <c r="Q933" s="989"/>
      <c r="R933" s="989"/>
      <c r="S933" s="989"/>
      <c r="T933" s="989"/>
      <c r="U933" s="989"/>
      <c r="V933" s="989"/>
      <c r="W933" s="989"/>
      <c r="X933" s="989"/>
      <c r="Y933" s="989"/>
      <c r="Z933" s="989"/>
      <c r="AA933" s="989"/>
      <c r="AB933" s="989"/>
      <c r="AC933" s="989"/>
      <c r="AD933" s="989"/>
      <c r="AE933" s="989"/>
    </row>
    <row r="934">
      <c r="A934" s="989"/>
      <c r="B934" s="989"/>
      <c r="C934" s="989"/>
      <c r="D934" s="989"/>
      <c r="E934" s="989"/>
      <c r="F934" s="989"/>
      <c r="G934" s="989"/>
      <c r="H934" s="992" t="str">
        <f t="shared" si="16"/>
        <v/>
      </c>
      <c r="I934" s="989"/>
      <c r="J934" s="989"/>
      <c r="K934" s="989"/>
      <c r="L934" s="989"/>
      <c r="M934" s="989"/>
      <c r="N934" s="989"/>
      <c r="O934" s="989"/>
      <c r="P934" s="989"/>
      <c r="Q934" s="989"/>
      <c r="R934" s="989"/>
      <c r="S934" s="989"/>
      <c r="T934" s="989"/>
      <c r="U934" s="989"/>
      <c r="V934" s="989"/>
      <c r="W934" s="989"/>
      <c r="X934" s="989"/>
      <c r="Y934" s="989"/>
      <c r="Z934" s="989"/>
      <c r="AA934" s="989"/>
      <c r="AB934" s="989"/>
      <c r="AC934" s="989"/>
      <c r="AD934" s="989"/>
      <c r="AE934" s="989"/>
    </row>
    <row r="935">
      <c r="A935" s="989"/>
      <c r="B935" s="989"/>
      <c r="C935" s="989"/>
      <c r="D935" s="989"/>
      <c r="E935" s="989"/>
      <c r="F935" s="989"/>
      <c r="G935" s="989"/>
      <c r="H935" s="992" t="str">
        <f t="shared" si="16"/>
        <v/>
      </c>
      <c r="I935" s="989"/>
      <c r="J935" s="989"/>
      <c r="K935" s="989"/>
      <c r="L935" s="989"/>
      <c r="M935" s="989"/>
      <c r="N935" s="989"/>
      <c r="O935" s="989"/>
      <c r="P935" s="989"/>
      <c r="Q935" s="989"/>
      <c r="R935" s="989"/>
      <c r="S935" s="989"/>
      <c r="T935" s="989"/>
      <c r="U935" s="989"/>
      <c r="V935" s="989"/>
      <c r="W935" s="989"/>
      <c r="X935" s="989"/>
      <c r="Y935" s="989"/>
      <c r="Z935" s="989"/>
      <c r="AA935" s="989"/>
      <c r="AB935" s="989"/>
      <c r="AC935" s="989"/>
      <c r="AD935" s="989"/>
      <c r="AE935" s="989"/>
    </row>
    <row r="936">
      <c r="A936" s="989"/>
      <c r="B936" s="989"/>
      <c r="C936" s="989"/>
      <c r="D936" s="989"/>
      <c r="E936" s="989"/>
      <c r="F936" s="989"/>
      <c r="G936" s="989"/>
      <c r="H936" s="992" t="str">
        <f t="shared" si="16"/>
        <v/>
      </c>
      <c r="I936" s="989"/>
      <c r="J936" s="989"/>
      <c r="K936" s="989"/>
      <c r="L936" s="989"/>
      <c r="M936" s="989"/>
      <c r="N936" s="989"/>
      <c r="O936" s="989"/>
      <c r="P936" s="989"/>
      <c r="Q936" s="989"/>
      <c r="R936" s="989"/>
      <c r="S936" s="989"/>
      <c r="T936" s="989"/>
      <c r="U936" s="989"/>
      <c r="V936" s="989"/>
      <c r="W936" s="989"/>
      <c r="X936" s="989"/>
      <c r="Y936" s="989"/>
      <c r="Z936" s="989"/>
      <c r="AA936" s="989"/>
      <c r="AB936" s="989"/>
      <c r="AC936" s="989"/>
      <c r="AD936" s="989"/>
      <c r="AE936" s="989"/>
    </row>
    <row r="937">
      <c r="A937" s="989"/>
      <c r="B937" s="989"/>
      <c r="C937" s="989"/>
      <c r="D937" s="989"/>
      <c r="E937" s="989"/>
      <c r="F937" s="989"/>
      <c r="G937" s="989"/>
      <c r="H937" s="992" t="str">
        <f t="shared" si="16"/>
        <v/>
      </c>
      <c r="I937" s="989"/>
      <c r="J937" s="989"/>
      <c r="K937" s="989"/>
      <c r="L937" s="989"/>
      <c r="M937" s="989"/>
      <c r="N937" s="989"/>
      <c r="O937" s="989"/>
      <c r="P937" s="989"/>
      <c r="Q937" s="989"/>
      <c r="R937" s="989"/>
      <c r="S937" s="989"/>
      <c r="T937" s="989"/>
      <c r="U937" s="989"/>
      <c r="V937" s="989"/>
      <c r="W937" s="989"/>
      <c r="X937" s="989"/>
      <c r="Y937" s="989"/>
      <c r="Z937" s="989"/>
      <c r="AA937" s="989"/>
      <c r="AB937" s="989"/>
      <c r="AC937" s="989"/>
      <c r="AD937" s="989"/>
      <c r="AE937" s="989"/>
    </row>
    <row r="938">
      <c r="A938" s="989"/>
      <c r="B938" s="989"/>
      <c r="C938" s="989"/>
      <c r="D938" s="989"/>
      <c r="E938" s="989"/>
      <c r="F938" s="989"/>
      <c r="G938" s="989"/>
      <c r="H938" s="992" t="str">
        <f t="shared" si="16"/>
        <v/>
      </c>
      <c r="I938" s="989"/>
      <c r="J938" s="989"/>
      <c r="K938" s="989"/>
      <c r="L938" s="989"/>
      <c r="M938" s="989"/>
      <c r="N938" s="989"/>
      <c r="O938" s="989"/>
      <c r="P938" s="989"/>
      <c r="Q938" s="989"/>
      <c r="R938" s="989"/>
      <c r="S938" s="989"/>
      <c r="T938" s="989"/>
      <c r="U938" s="989"/>
      <c r="V938" s="989"/>
      <c r="W938" s="989"/>
      <c r="X938" s="989"/>
      <c r="Y938" s="989"/>
      <c r="Z938" s="989"/>
      <c r="AA938" s="989"/>
      <c r="AB938" s="989"/>
      <c r="AC938" s="989"/>
      <c r="AD938" s="989"/>
      <c r="AE938" s="989"/>
    </row>
    <row r="939">
      <c r="A939" s="989"/>
      <c r="B939" s="989"/>
      <c r="C939" s="989"/>
      <c r="D939" s="989"/>
      <c r="E939" s="989"/>
      <c r="F939" s="989"/>
      <c r="G939" s="989"/>
      <c r="H939" s="992" t="str">
        <f t="shared" si="16"/>
        <v/>
      </c>
      <c r="I939" s="989"/>
      <c r="J939" s="989"/>
      <c r="K939" s="989"/>
      <c r="L939" s="989"/>
      <c r="M939" s="989"/>
      <c r="N939" s="989"/>
      <c r="O939" s="989"/>
      <c r="P939" s="989"/>
      <c r="Q939" s="989"/>
      <c r="R939" s="989"/>
      <c r="S939" s="989"/>
      <c r="T939" s="989"/>
      <c r="U939" s="989"/>
      <c r="V939" s="989"/>
      <c r="W939" s="989"/>
      <c r="X939" s="989"/>
      <c r="Y939" s="989"/>
      <c r="Z939" s="989"/>
      <c r="AA939" s="989"/>
      <c r="AB939" s="989"/>
      <c r="AC939" s="989"/>
      <c r="AD939" s="989"/>
      <c r="AE939" s="989"/>
    </row>
    <row r="940">
      <c r="A940" s="989"/>
      <c r="B940" s="989"/>
      <c r="C940" s="989"/>
      <c r="D940" s="989"/>
      <c r="E940" s="989"/>
      <c r="F940" s="989"/>
      <c r="G940" s="989"/>
      <c r="H940" s="992" t="str">
        <f t="shared" si="16"/>
        <v/>
      </c>
      <c r="I940" s="989"/>
      <c r="J940" s="989"/>
      <c r="K940" s="989"/>
      <c r="L940" s="989"/>
      <c r="M940" s="989"/>
      <c r="N940" s="989"/>
      <c r="O940" s="989"/>
      <c r="P940" s="989"/>
      <c r="Q940" s="989"/>
      <c r="R940" s="989"/>
      <c r="S940" s="989"/>
      <c r="T940" s="989"/>
      <c r="U940" s="989"/>
      <c r="V940" s="989"/>
      <c r="W940" s="989"/>
      <c r="X940" s="989"/>
      <c r="Y940" s="989"/>
      <c r="Z940" s="989"/>
      <c r="AA940" s="989"/>
      <c r="AB940" s="989"/>
      <c r="AC940" s="989"/>
      <c r="AD940" s="989"/>
      <c r="AE940" s="989"/>
    </row>
    <row r="941">
      <c r="A941" s="989"/>
      <c r="B941" s="989"/>
      <c r="C941" s="989"/>
      <c r="D941" s="989"/>
      <c r="E941" s="989"/>
      <c r="F941" s="989"/>
      <c r="G941" s="989"/>
      <c r="H941" s="992" t="str">
        <f t="shared" si="16"/>
        <v/>
      </c>
      <c r="I941" s="989"/>
      <c r="J941" s="989"/>
      <c r="K941" s="989"/>
      <c r="L941" s="989"/>
      <c r="M941" s="989"/>
      <c r="N941" s="989"/>
      <c r="O941" s="989"/>
      <c r="P941" s="989"/>
      <c r="Q941" s="989"/>
      <c r="R941" s="989"/>
      <c r="S941" s="989"/>
      <c r="T941" s="989"/>
      <c r="U941" s="989"/>
      <c r="V941" s="989"/>
      <c r="W941" s="989"/>
      <c r="X941" s="989"/>
      <c r="Y941" s="989"/>
      <c r="Z941" s="989"/>
      <c r="AA941" s="989"/>
      <c r="AB941" s="989"/>
      <c r="AC941" s="989"/>
      <c r="AD941" s="989"/>
      <c r="AE941" s="989"/>
    </row>
    <row r="942">
      <c r="A942" s="989"/>
      <c r="B942" s="989"/>
      <c r="C942" s="989"/>
      <c r="D942" s="989"/>
      <c r="E942" s="989"/>
      <c r="F942" s="989"/>
      <c r="G942" s="989"/>
      <c r="H942" s="992" t="str">
        <f t="shared" si="16"/>
        <v/>
      </c>
      <c r="I942" s="989"/>
      <c r="J942" s="989"/>
      <c r="K942" s="989"/>
      <c r="L942" s="989"/>
      <c r="M942" s="989"/>
      <c r="N942" s="989"/>
      <c r="O942" s="989"/>
      <c r="P942" s="989"/>
      <c r="Q942" s="989"/>
      <c r="R942" s="989"/>
      <c r="S942" s="989"/>
      <c r="T942" s="989"/>
      <c r="U942" s="989"/>
      <c r="V942" s="989"/>
      <c r="W942" s="989"/>
      <c r="X942" s="989"/>
      <c r="Y942" s="989"/>
      <c r="Z942" s="989"/>
      <c r="AA942" s="989"/>
      <c r="AB942" s="989"/>
      <c r="AC942" s="989"/>
      <c r="AD942" s="989"/>
      <c r="AE942" s="989"/>
    </row>
    <row r="943">
      <c r="A943" s="989"/>
      <c r="B943" s="989"/>
      <c r="C943" s="989"/>
      <c r="D943" s="989"/>
      <c r="E943" s="989"/>
      <c r="F943" s="989"/>
      <c r="G943" s="989"/>
      <c r="H943" s="992" t="str">
        <f t="shared" si="16"/>
        <v/>
      </c>
      <c r="I943" s="989"/>
      <c r="J943" s="989"/>
      <c r="K943" s="989"/>
      <c r="L943" s="989"/>
      <c r="M943" s="989"/>
      <c r="N943" s="989"/>
      <c r="O943" s="989"/>
      <c r="P943" s="989"/>
      <c r="Q943" s="989"/>
      <c r="R943" s="989"/>
      <c r="S943" s="989"/>
      <c r="T943" s="989"/>
      <c r="U943" s="989"/>
      <c r="V943" s="989"/>
      <c r="W943" s="989"/>
      <c r="X943" s="989"/>
      <c r="Y943" s="989"/>
      <c r="Z943" s="989"/>
      <c r="AA943" s="989"/>
      <c r="AB943" s="989"/>
      <c r="AC943" s="989"/>
      <c r="AD943" s="989"/>
      <c r="AE943" s="989"/>
    </row>
    <row r="944">
      <c r="A944" s="989"/>
      <c r="B944" s="989"/>
      <c r="C944" s="989"/>
      <c r="D944" s="989"/>
      <c r="E944" s="989"/>
      <c r="F944" s="989"/>
      <c r="G944" s="989"/>
      <c r="H944" s="992" t="str">
        <f t="shared" si="16"/>
        <v/>
      </c>
      <c r="I944" s="989"/>
      <c r="J944" s="989"/>
      <c r="K944" s="989"/>
      <c r="L944" s="989"/>
      <c r="M944" s="989"/>
      <c r="N944" s="989"/>
      <c r="O944" s="989"/>
      <c r="P944" s="989"/>
      <c r="Q944" s="989"/>
      <c r="R944" s="989"/>
      <c r="S944" s="989"/>
      <c r="T944" s="989"/>
      <c r="U944" s="989"/>
      <c r="V944" s="989"/>
      <c r="W944" s="989"/>
      <c r="X944" s="989"/>
      <c r="Y944" s="989"/>
      <c r="Z944" s="989"/>
      <c r="AA944" s="989"/>
      <c r="AB944" s="989"/>
      <c r="AC944" s="989"/>
      <c r="AD944" s="989"/>
      <c r="AE944" s="989"/>
    </row>
    <row r="945">
      <c r="A945" s="989"/>
      <c r="B945" s="989"/>
      <c r="C945" s="989"/>
      <c r="D945" s="989"/>
      <c r="E945" s="989"/>
      <c r="F945" s="989"/>
      <c r="G945" s="989"/>
      <c r="H945" s="992" t="str">
        <f t="shared" si="16"/>
        <v/>
      </c>
      <c r="I945" s="989"/>
      <c r="J945" s="989"/>
      <c r="K945" s="989"/>
      <c r="L945" s="989"/>
      <c r="M945" s="989"/>
      <c r="N945" s="989"/>
      <c r="O945" s="989"/>
      <c r="P945" s="989"/>
      <c r="Q945" s="989"/>
      <c r="R945" s="989"/>
      <c r="S945" s="989"/>
      <c r="T945" s="989"/>
      <c r="U945" s="989"/>
      <c r="V945" s="989"/>
      <c r="W945" s="989"/>
      <c r="X945" s="989"/>
      <c r="Y945" s="989"/>
      <c r="Z945" s="989"/>
      <c r="AA945" s="989"/>
      <c r="AB945" s="989"/>
      <c r="AC945" s="989"/>
      <c r="AD945" s="989"/>
      <c r="AE945" s="989"/>
    </row>
    <row r="946">
      <c r="A946" s="989"/>
      <c r="B946" s="989"/>
      <c r="C946" s="989"/>
      <c r="D946" s="989"/>
      <c r="E946" s="989"/>
      <c r="F946" s="989"/>
      <c r="G946" s="989"/>
      <c r="H946" s="992" t="str">
        <f t="shared" si="16"/>
        <v/>
      </c>
      <c r="I946" s="989"/>
      <c r="J946" s="989"/>
      <c r="K946" s="989"/>
      <c r="L946" s="989"/>
      <c r="M946" s="989"/>
      <c r="N946" s="989"/>
      <c r="O946" s="989"/>
      <c r="P946" s="989"/>
      <c r="Q946" s="989"/>
      <c r="R946" s="989"/>
      <c r="S946" s="989"/>
      <c r="T946" s="989"/>
      <c r="U946" s="989"/>
      <c r="V946" s="989"/>
      <c r="W946" s="989"/>
      <c r="X946" s="989"/>
      <c r="Y946" s="989"/>
      <c r="Z946" s="989"/>
      <c r="AA946" s="989"/>
      <c r="AB946" s="989"/>
      <c r="AC946" s="989"/>
      <c r="AD946" s="989"/>
      <c r="AE946" s="989"/>
    </row>
    <row r="947">
      <c r="A947" s="989"/>
      <c r="B947" s="989"/>
      <c r="C947" s="989"/>
      <c r="D947" s="989"/>
      <c r="E947" s="989"/>
      <c r="F947" s="989"/>
      <c r="G947" s="989"/>
      <c r="H947" s="992" t="str">
        <f t="shared" si="16"/>
        <v/>
      </c>
      <c r="I947" s="989"/>
      <c r="J947" s="989"/>
      <c r="K947" s="989"/>
      <c r="L947" s="989"/>
      <c r="M947" s="989"/>
      <c r="N947" s="989"/>
      <c r="O947" s="989"/>
      <c r="P947" s="989"/>
      <c r="Q947" s="989"/>
      <c r="R947" s="989"/>
      <c r="S947" s="989"/>
      <c r="T947" s="989"/>
      <c r="U947" s="989"/>
      <c r="V947" s="989"/>
      <c r="W947" s="989"/>
      <c r="X947" s="989"/>
      <c r="Y947" s="989"/>
      <c r="Z947" s="989"/>
      <c r="AA947" s="989"/>
      <c r="AB947" s="989"/>
      <c r="AC947" s="989"/>
      <c r="AD947" s="989"/>
      <c r="AE947" s="989"/>
    </row>
    <row r="948">
      <c r="A948" s="989"/>
      <c r="B948" s="989"/>
      <c r="C948" s="989"/>
      <c r="D948" s="989"/>
      <c r="E948" s="989"/>
      <c r="F948" s="989"/>
      <c r="G948" s="989"/>
      <c r="H948" s="992" t="str">
        <f t="shared" si="16"/>
        <v/>
      </c>
      <c r="I948" s="989"/>
      <c r="J948" s="989"/>
      <c r="K948" s="989"/>
      <c r="L948" s="989"/>
      <c r="M948" s="989"/>
      <c r="N948" s="989"/>
      <c r="O948" s="989"/>
      <c r="P948" s="989"/>
      <c r="Q948" s="989"/>
      <c r="R948" s="989"/>
      <c r="S948" s="989"/>
      <c r="T948" s="989"/>
      <c r="U948" s="989"/>
      <c r="V948" s="989"/>
      <c r="W948" s="989"/>
      <c r="X948" s="989"/>
      <c r="Y948" s="989"/>
      <c r="Z948" s="989"/>
      <c r="AA948" s="989"/>
      <c r="AB948" s="989"/>
      <c r="AC948" s="989"/>
      <c r="AD948" s="989"/>
      <c r="AE948" s="989"/>
    </row>
    <row r="949">
      <c r="A949" s="989"/>
      <c r="B949" s="989"/>
      <c r="C949" s="989"/>
      <c r="D949" s="989"/>
      <c r="E949" s="989"/>
      <c r="F949" s="989"/>
      <c r="G949" s="989"/>
      <c r="H949" s="992" t="str">
        <f t="shared" si="16"/>
        <v/>
      </c>
      <c r="I949" s="989"/>
      <c r="J949" s="989"/>
      <c r="K949" s="989"/>
      <c r="L949" s="989"/>
      <c r="M949" s="989"/>
      <c r="N949" s="989"/>
      <c r="O949" s="989"/>
      <c r="P949" s="989"/>
      <c r="Q949" s="989"/>
      <c r="R949" s="989"/>
      <c r="S949" s="989"/>
      <c r="T949" s="989"/>
      <c r="U949" s="989"/>
      <c r="V949" s="989"/>
      <c r="W949" s="989"/>
      <c r="X949" s="989"/>
      <c r="Y949" s="989"/>
      <c r="Z949" s="989"/>
      <c r="AA949" s="989"/>
      <c r="AB949" s="989"/>
      <c r="AC949" s="989"/>
      <c r="AD949" s="989"/>
      <c r="AE949" s="989"/>
    </row>
    <row r="950">
      <c r="A950" s="989"/>
      <c r="B950" s="989"/>
      <c r="C950" s="989"/>
      <c r="D950" s="989"/>
      <c r="E950" s="989"/>
      <c r="F950" s="989"/>
      <c r="G950" s="989"/>
      <c r="H950" s="992" t="str">
        <f t="shared" si="16"/>
        <v/>
      </c>
      <c r="I950" s="989"/>
      <c r="J950" s="989"/>
      <c r="K950" s="989"/>
      <c r="L950" s="989"/>
      <c r="M950" s="989"/>
      <c r="N950" s="989"/>
      <c r="O950" s="989"/>
      <c r="P950" s="989"/>
      <c r="Q950" s="989"/>
      <c r="R950" s="989"/>
      <c r="S950" s="989"/>
      <c r="T950" s="989"/>
      <c r="U950" s="989"/>
      <c r="V950" s="989"/>
      <c r="W950" s="989"/>
      <c r="X950" s="989"/>
      <c r="Y950" s="989"/>
      <c r="Z950" s="989"/>
      <c r="AA950" s="989"/>
      <c r="AB950" s="989"/>
      <c r="AC950" s="989"/>
      <c r="AD950" s="989"/>
      <c r="AE950" s="989"/>
    </row>
    <row r="951">
      <c r="A951" s="989"/>
      <c r="B951" s="989"/>
      <c r="C951" s="989"/>
      <c r="D951" s="989"/>
      <c r="E951" s="989"/>
      <c r="F951" s="989"/>
      <c r="G951" s="989"/>
      <c r="H951" s="992" t="str">
        <f t="shared" si="16"/>
        <v/>
      </c>
      <c r="I951" s="989"/>
      <c r="J951" s="989"/>
      <c r="K951" s="989"/>
      <c r="L951" s="989"/>
      <c r="M951" s="989"/>
      <c r="N951" s="989"/>
      <c r="O951" s="989"/>
      <c r="P951" s="989"/>
      <c r="Q951" s="989"/>
      <c r="R951" s="989"/>
      <c r="S951" s="989"/>
      <c r="T951" s="989"/>
      <c r="U951" s="989"/>
      <c r="V951" s="989"/>
      <c r="W951" s="989"/>
      <c r="X951" s="989"/>
      <c r="Y951" s="989"/>
      <c r="Z951" s="989"/>
      <c r="AA951" s="989"/>
      <c r="AB951" s="989"/>
      <c r="AC951" s="989"/>
      <c r="AD951" s="989"/>
      <c r="AE951" s="989"/>
    </row>
    <row r="952">
      <c r="A952" s="989"/>
      <c r="B952" s="989"/>
      <c r="C952" s="989"/>
      <c r="D952" s="989"/>
      <c r="E952" s="989"/>
      <c r="F952" s="989"/>
      <c r="G952" s="989"/>
      <c r="H952" s="992" t="str">
        <f t="shared" si="16"/>
        <v/>
      </c>
      <c r="I952" s="989"/>
      <c r="J952" s="989"/>
      <c r="K952" s="989"/>
      <c r="L952" s="989"/>
      <c r="M952" s="989"/>
      <c r="N952" s="989"/>
      <c r="O952" s="989"/>
      <c r="P952" s="989"/>
      <c r="Q952" s="989"/>
      <c r="R952" s="989"/>
      <c r="S952" s="989"/>
      <c r="T952" s="989"/>
      <c r="U952" s="989"/>
      <c r="V952" s="989"/>
      <c r="W952" s="989"/>
      <c r="X952" s="989"/>
      <c r="Y952" s="989"/>
      <c r="Z952" s="989"/>
      <c r="AA952" s="989"/>
      <c r="AB952" s="989"/>
      <c r="AC952" s="989"/>
      <c r="AD952" s="989"/>
      <c r="AE952" s="989"/>
    </row>
    <row r="953">
      <c r="A953" s="989"/>
      <c r="B953" s="989"/>
      <c r="C953" s="989"/>
      <c r="D953" s="989"/>
      <c r="E953" s="989"/>
      <c r="F953" s="989"/>
      <c r="G953" s="989"/>
      <c r="H953" s="992" t="str">
        <f t="shared" si="16"/>
        <v/>
      </c>
      <c r="I953" s="989"/>
      <c r="J953" s="989"/>
      <c r="K953" s="989"/>
      <c r="L953" s="989"/>
      <c r="M953" s="989"/>
      <c r="N953" s="989"/>
      <c r="O953" s="989"/>
      <c r="P953" s="989"/>
      <c r="Q953" s="989"/>
      <c r="R953" s="989"/>
      <c r="S953" s="989"/>
      <c r="T953" s="989"/>
      <c r="U953" s="989"/>
      <c r="V953" s="989"/>
      <c r="W953" s="989"/>
      <c r="X953" s="989"/>
      <c r="Y953" s="989"/>
      <c r="Z953" s="989"/>
      <c r="AA953" s="989"/>
      <c r="AB953" s="989"/>
      <c r="AC953" s="989"/>
      <c r="AD953" s="989"/>
      <c r="AE953" s="989"/>
    </row>
    <row r="954">
      <c r="A954" s="989"/>
      <c r="B954" s="989"/>
      <c r="C954" s="989"/>
      <c r="D954" s="989"/>
      <c r="E954" s="989"/>
      <c r="F954" s="989"/>
      <c r="G954" s="989"/>
      <c r="H954" s="992" t="str">
        <f t="shared" si="16"/>
        <v/>
      </c>
      <c r="I954" s="989"/>
      <c r="J954" s="989"/>
      <c r="K954" s="989"/>
      <c r="L954" s="989"/>
      <c r="M954" s="989"/>
      <c r="N954" s="989"/>
      <c r="O954" s="989"/>
      <c r="P954" s="989"/>
      <c r="Q954" s="989"/>
      <c r="R954" s="989"/>
      <c r="S954" s="989"/>
      <c r="T954" s="989"/>
      <c r="U954" s="989"/>
      <c r="V954" s="989"/>
      <c r="W954" s="989"/>
      <c r="X954" s="989"/>
      <c r="Y954" s="989"/>
      <c r="Z954" s="989"/>
      <c r="AA954" s="989"/>
      <c r="AB954" s="989"/>
      <c r="AC954" s="989"/>
      <c r="AD954" s="989"/>
      <c r="AE954" s="989"/>
    </row>
    <row r="955">
      <c r="A955" s="989"/>
      <c r="B955" s="989"/>
      <c r="C955" s="989"/>
      <c r="D955" s="989"/>
      <c r="E955" s="989"/>
      <c r="F955" s="989"/>
      <c r="G955" s="989"/>
      <c r="H955" s="992" t="str">
        <f t="shared" si="16"/>
        <v/>
      </c>
      <c r="I955" s="989"/>
      <c r="J955" s="989"/>
      <c r="K955" s="989"/>
      <c r="L955" s="989"/>
      <c r="M955" s="989"/>
      <c r="N955" s="989"/>
      <c r="O955" s="989"/>
      <c r="P955" s="989"/>
      <c r="Q955" s="989"/>
      <c r="R955" s="989"/>
      <c r="S955" s="989"/>
      <c r="T955" s="989"/>
      <c r="U955" s="989"/>
      <c r="V955" s="989"/>
      <c r="W955" s="989"/>
      <c r="X955" s="989"/>
      <c r="Y955" s="989"/>
      <c r="Z955" s="989"/>
      <c r="AA955" s="989"/>
      <c r="AB955" s="989"/>
      <c r="AC955" s="989"/>
      <c r="AD955" s="989"/>
      <c r="AE955" s="989"/>
    </row>
    <row r="956">
      <c r="A956" s="989"/>
      <c r="B956" s="989"/>
      <c r="C956" s="989"/>
      <c r="D956" s="989"/>
      <c r="E956" s="989"/>
      <c r="F956" s="989"/>
      <c r="G956" s="989"/>
      <c r="H956" s="992" t="str">
        <f t="shared" si="16"/>
        <v/>
      </c>
      <c r="I956" s="989"/>
      <c r="J956" s="989"/>
      <c r="K956" s="989"/>
      <c r="L956" s="989"/>
      <c r="M956" s="989"/>
      <c r="N956" s="989"/>
      <c r="O956" s="989"/>
      <c r="P956" s="989"/>
      <c r="Q956" s="989"/>
      <c r="R956" s="989"/>
      <c r="S956" s="989"/>
      <c r="T956" s="989"/>
      <c r="U956" s="989"/>
      <c r="V956" s="989"/>
      <c r="W956" s="989"/>
      <c r="X956" s="989"/>
      <c r="Y956" s="989"/>
      <c r="Z956" s="989"/>
      <c r="AA956" s="989"/>
      <c r="AB956" s="989"/>
      <c r="AC956" s="989"/>
      <c r="AD956" s="989"/>
      <c r="AE956" s="989"/>
    </row>
    <row r="957">
      <c r="A957" s="989"/>
      <c r="B957" s="989"/>
      <c r="C957" s="989"/>
      <c r="D957" s="989"/>
      <c r="E957" s="989"/>
      <c r="F957" s="989"/>
      <c r="G957" s="989"/>
      <c r="H957" s="992" t="str">
        <f t="shared" si="16"/>
        <v/>
      </c>
      <c r="I957" s="989"/>
      <c r="J957" s="989"/>
      <c r="K957" s="989"/>
      <c r="L957" s="989"/>
      <c r="M957" s="989"/>
      <c r="N957" s="989"/>
      <c r="O957" s="989"/>
      <c r="P957" s="989"/>
      <c r="Q957" s="989"/>
      <c r="R957" s="989"/>
      <c r="S957" s="989"/>
      <c r="T957" s="989"/>
      <c r="U957" s="989"/>
      <c r="V957" s="989"/>
      <c r="W957" s="989"/>
      <c r="X957" s="989"/>
      <c r="Y957" s="989"/>
      <c r="Z957" s="989"/>
      <c r="AA957" s="989"/>
      <c r="AB957" s="989"/>
      <c r="AC957" s="989"/>
      <c r="AD957" s="989"/>
      <c r="AE957" s="989"/>
    </row>
    <row r="958">
      <c r="A958" s="989"/>
      <c r="B958" s="989"/>
      <c r="C958" s="989"/>
      <c r="D958" s="989"/>
      <c r="E958" s="989"/>
      <c r="F958" s="989"/>
      <c r="G958" s="989"/>
      <c r="H958" s="992" t="str">
        <f t="shared" si="16"/>
        <v/>
      </c>
      <c r="I958" s="989"/>
      <c r="J958" s="989"/>
      <c r="K958" s="989"/>
      <c r="L958" s="989"/>
      <c r="M958" s="989"/>
      <c r="N958" s="989"/>
      <c r="O958" s="989"/>
      <c r="P958" s="989"/>
      <c r="Q958" s="989"/>
      <c r="R958" s="989"/>
      <c r="S958" s="989"/>
      <c r="T958" s="989"/>
      <c r="U958" s="989"/>
      <c r="V958" s="989"/>
      <c r="W958" s="989"/>
      <c r="X958" s="989"/>
      <c r="Y958" s="989"/>
      <c r="Z958" s="989"/>
      <c r="AA958" s="989"/>
      <c r="AB958" s="989"/>
      <c r="AC958" s="989"/>
      <c r="AD958" s="989"/>
      <c r="AE958" s="989"/>
    </row>
    <row r="959">
      <c r="A959" s="989"/>
      <c r="B959" s="989"/>
      <c r="C959" s="989"/>
      <c r="D959" s="989"/>
      <c r="E959" s="989"/>
      <c r="F959" s="989"/>
      <c r="G959" s="989"/>
      <c r="H959" s="992" t="str">
        <f t="shared" si="16"/>
        <v/>
      </c>
      <c r="I959" s="989"/>
      <c r="J959" s="989"/>
      <c r="K959" s="989"/>
      <c r="L959" s="989"/>
      <c r="M959" s="989"/>
      <c r="N959" s="989"/>
      <c r="O959" s="989"/>
      <c r="P959" s="989"/>
      <c r="Q959" s="989"/>
      <c r="R959" s="989"/>
      <c r="S959" s="989"/>
      <c r="T959" s="989"/>
      <c r="U959" s="989"/>
      <c r="V959" s="989"/>
      <c r="W959" s="989"/>
      <c r="X959" s="989"/>
      <c r="Y959" s="989"/>
      <c r="Z959" s="989"/>
      <c r="AA959" s="989"/>
      <c r="AB959" s="989"/>
      <c r="AC959" s="989"/>
      <c r="AD959" s="989"/>
      <c r="AE959" s="989"/>
    </row>
    <row r="960">
      <c r="A960" s="989"/>
      <c r="B960" s="989"/>
      <c r="C960" s="989"/>
      <c r="D960" s="989"/>
      <c r="E960" s="989"/>
      <c r="F960" s="989"/>
      <c r="G960" s="989"/>
      <c r="H960" s="992" t="str">
        <f t="shared" si="16"/>
        <v/>
      </c>
      <c r="I960" s="989"/>
      <c r="J960" s="989"/>
      <c r="K960" s="989"/>
      <c r="L960" s="989"/>
      <c r="M960" s="989"/>
      <c r="N960" s="989"/>
      <c r="O960" s="989"/>
      <c r="P960" s="989"/>
      <c r="Q960" s="989"/>
      <c r="R960" s="989"/>
      <c r="S960" s="989"/>
      <c r="T960" s="989"/>
      <c r="U960" s="989"/>
      <c r="V960" s="989"/>
      <c r="W960" s="989"/>
      <c r="X960" s="989"/>
      <c r="Y960" s="989"/>
      <c r="Z960" s="989"/>
      <c r="AA960" s="989"/>
      <c r="AB960" s="989"/>
      <c r="AC960" s="989"/>
      <c r="AD960" s="989"/>
      <c r="AE960" s="989"/>
    </row>
    <row r="961">
      <c r="A961" s="989"/>
      <c r="B961" s="989"/>
      <c r="C961" s="989"/>
      <c r="D961" s="989"/>
      <c r="E961" s="989"/>
      <c r="F961" s="989"/>
      <c r="G961" s="989"/>
      <c r="H961" s="992" t="str">
        <f t="shared" si="16"/>
        <v/>
      </c>
      <c r="I961" s="989"/>
      <c r="J961" s="989"/>
      <c r="K961" s="989"/>
      <c r="L961" s="989"/>
      <c r="M961" s="989"/>
      <c r="N961" s="989"/>
      <c r="O961" s="989"/>
      <c r="P961" s="989"/>
      <c r="Q961" s="989"/>
      <c r="R961" s="989"/>
      <c r="S961" s="989"/>
      <c r="T961" s="989"/>
      <c r="U961" s="989"/>
      <c r="V961" s="989"/>
      <c r="W961" s="989"/>
      <c r="X961" s="989"/>
      <c r="Y961" s="989"/>
      <c r="Z961" s="989"/>
      <c r="AA961" s="989"/>
      <c r="AB961" s="989"/>
      <c r="AC961" s="989"/>
      <c r="AD961" s="989"/>
      <c r="AE961" s="989"/>
    </row>
    <row r="962">
      <c r="A962" s="989"/>
      <c r="B962" s="989"/>
      <c r="C962" s="989"/>
      <c r="D962" s="989"/>
      <c r="E962" s="989"/>
      <c r="F962" s="989"/>
      <c r="G962" s="989"/>
      <c r="H962" s="992" t="str">
        <f t="shared" si="16"/>
        <v/>
      </c>
      <c r="I962" s="989"/>
      <c r="J962" s="989"/>
      <c r="K962" s="989"/>
      <c r="L962" s="989"/>
      <c r="M962" s="989"/>
      <c r="N962" s="989"/>
      <c r="O962" s="989"/>
      <c r="P962" s="989"/>
      <c r="Q962" s="989"/>
      <c r="R962" s="989"/>
      <c r="S962" s="989"/>
      <c r="T962" s="989"/>
      <c r="U962" s="989"/>
      <c r="V962" s="989"/>
      <c r="W962" s="989"/>
      <c r="X962" s="989"/>
      <c r="Y962" s="989"/>
      <c r="Z962" s="989"/>
      <c r="AA962" s="989"/>
      <c r="AB962" s="989"/>
      <c r="AC962" s="989"/>
      <c r="AD962" s="989"/>
      <c r="AE962" s="989"/>
    </row>
    <row r="963">
      <c r="A963" s="989"/>
      <c r="B963" s="989"/>
      <c r="C963" s="989"/>
      <c r="D963" s="989"/>
      <c r="E963" s="989"/>
      <c r="F963" s="989"/>
      <c r="G963" s="989"/>
      <c r="H963" s="992" t="str">
        <f t="shared" si="16"/>
        <v/>
      </c>
      <c r="I963" s="989"/>
      <c r="J963" s="989"/>
      <c r="K963" s="989"/>
      <c r="L963" s="989"/>
      <c r="M963" s="989"/>
      <c r="N963" s="989"/>
      <c r="O963" s="989"/>
      <c r="P963" s="989"/>
      <c r="Q963" s="989"/>
      <c r="R963" s="989"/>
      <c r="S963" s="989"/>
      <c r="T963" s="989"/>
      <c r="U963" s="989"/>
      <c r="V963" s="989"/>
      <c r="W963" s="989"/>
      <c r="X963" s="989"/>
      <c r="Y963" s="989"/>
      <c r="Z963" s="989"/>
      <c r="AA963" s="989"/>
      <c r="AB963" s="989"/>
      <c r="AC963" s="989"/>
      <c r="AD963" s="989"/>
      <c r="AE963" s="989"/>
    </row>
    <row r="964">
      <c r="A964" s="989"/>
      <c r="B964" s="989"/>
      <c r="C964" s="989"/>
      <c r="D964" s="989"/>
      <c r="E964" s="989"/>
      <c r="F964" s="989"/>
      <c r="G964" s="989"/>
      <c r="H964" s="992" t="str">
        <f t="shared" si="16"/>
        <v/>
      </c>
      <c r="I964" s="989"/>
      <c r="J964" s="989"/>
      <c r="K964" s="989"/>
      <c r="L964" s="989"/>
      <c r="M964" s="989"/>
      <c r="N964" s="989"/>
      <c r="O964" s="989"/>
      <c r="P964" s="989"/>
      <c r="Q964" s="989"/>
      <c r="R964" s="989"/>
      <c r="S964" s="989"/>
      <c r="T964" s="989"/>
      <c r="U964" s="989"/>
      <c r="V964" s="989"/>
      <c r="W964" s="989"/>
      <c r="X964" s="989"/>
      <c r="Y964" s="989"/>
      <c r="Z964" s="989"/>
      <c r="AA964" s="989"/>
      <c r="AB964" s="989"/>
      <c r="AC964" s="989"/>
      <c r="AD964" s="989"/>
      <c r="AE964" s="989"/>
    </row>
    <row r="965">
      <c r="A965" s="989"/>
      <c r="B965" s="989"/>
      <c r="C965" s="989"/>
      <c r="D965" s="989"/>
      <c r="E965" s="989"/>
      <c r="F965" s="989"/>
      <c r="G965" s="989"/>
      <c r="H965" s="992" t="str">
        <f t="shared" si="16"/>
        <v/>
      </c>
      <c r="I965" s="989"/>
      <c r="J965" s="989"/>
      <c r="K965" s="989"/>
      <c r="L965" s="989"/>
      <c r="M965" s="989"/>
      <c r="N965" s="989"/>
      <c r="O965" s="989"/>
      <c r="P965" s="989"/>
      <c r="Q965" s="989"/>
      <c r="R965" s="989"/>
      <c r="S965" s="989"/>
      <c r="T965" s="989"/>
      <c r="U965" s="989"/>
      <c r="V965" s="989"/>
      <c r="W965" s="989"/>
      <c r="X965" s="989"/>
      <c r="Y965" s="989"/>
      <c r="Z965" s="989"/>
      <c r="AA965" s="989"/>
      <c r="AB965" s="989"/>
      <c r="AC965" s="989"/>
      <c r="AD965" s="989"/>
      <c r="AE965" s="989"/>
    </row>
    <row r="966">
      <c r="A966" s="989"/>
      <c r="B966" s="989"/>
      <c r="C966" s="989"/>
      <c r="D966" s="989"/>
      <c r="E966" s="989"/>
      <c r="F966" s="989"/>
      <c r="G966" s="989"/>
      <c r="H966" s="992" t="str">
        <f t="shared" si="16"/>
        <v/>
      </c>
      <c r="I966" s="989"/>
      <c r="J966" s="989"/>
      <c r="K966" s="989"/>
      <c r="L966" s="989"/>
      <c r="M966" s="989"/>
      <c r="N966" s="989"/>
      <c r="O966" s="989"/>
      <c r="P966" s="989"/>
      <c r="Q966" s="989"/>
      <c r="R966" s="989"/>
      <c r="S966" s="989"/>
      <c r="T966" s="989"/>
      <c r="U966" s="989"/>
      <c r="V966" s="989"/>
      <c r="W966" s="989"/>
      <c r="X966" s="989"/>
      <c r="Y966" s="989"/>
      <c r="Z966" s="989"/>
      <c r="AA966" s="989"/>
      <c r="AB966" s="989"/>
      <c r="AC966" s="989"/>
      <c r="AD966" s="989"/>
      <c r="AE966" s="989"/>
    </row>
    <row r="967">
      <c r="A967" s="989"/>
      <c r="B967" s="989"/>
      <c r="C967" s="989"/>
      <c r="D967" s="989"/>
      <c r="E967" s="989"/>
      <c r="F967" s="989"/>
      <c r="G967" s="989"/>
      <c r="H967" s="992" t="str">
        <f t="shared" si="16"/>
        <v/>
      </c>
      <c r="I967" s="989"/>
      <c r="J967" s="989"/>
      <c r="K967" s="989"/>
      <c r="L967" s="989"/>
      <c r="M967" s="989"/>
      <c r="N967" s="989"/>
      <c r="O967" s="989"/>
      <c r="P967" s="989"/>
      <c r="Q967" s="989"/>
      <c r="R967" s="989"/>
      <c r="S967" s="989"/>
      <c r="T967" s="989"/>
      <c r="U967" s="989"/>
      <c r="V967" s="989"/>
      <c r="W967" s="989"/>
      <c r="X967" s="989"/>
      <c r="Y967" s="989"/>
      <c r="Z967" s="989"/>
      <c r="AA967" s="989"/>
      <c r="AB967" s="989"/>
      <c r="AC967" s="989"/>
      <c r="AD967" s="989"/>
      <c r="AE967" s="989"/>
    </row>
    <row r="968">
      <c r="A968" s="989"/>
      <c r="B968" s="989"/>
      <c r="C968" s="989"/>
      <c r="D968" s="989"/>
      <c r="E968" s="989"/>
      <c r="F968" s="989"/>
      <c r="G968" s="989"/>
      <c r="H968" s="992" t="str">
        <f t="shared" si="16"/>
        <v/>
      </c>
      <c r="I968" s="989"/>
      <c r="J968" s="989"/>
      <c r="K968" s="989"/>
      <c r="L968" s="989"/>
      <c r="M968" s="989"/>
      <c r="N968" s="989"/>
      <c r="O968" s="989"/>
      <c r="P968" s="989"/>
      <c r="Q968" s="989"/>
      <c r="R968" s="989"/>
      <c r="S968" s="989"/>
      <c r="T968" s="989"/>
      <c r="U968" s="989"/>
      <c r="V968" s="989"/>
      <c r="W968" s="989"/>
      <c r="X968" s="989"/>
      <c r="Y968" s="989"/>
      <c r="Z968" s="989"/>
      <c r="AA968" s="989"/>
      <c r="AB968" s="989"/>
      <c r="AC968" s="989"/>
      <c r="AD968" s="989"/>
      <c r="AE968" s="989"/>
    </row>
    <row r="969">
      <c r="A969" s="989"/>
      <c r="B969" s="989"/>
      <c r="C969" s="989"/>
      <c r="D969" s="989"/>
      <c r="E969" s="989"/>
      <c r="F969" s="989"/>
      <c r="G969" s="989"/>
      <c r="H969" s="992" t="str">
        <f t="shared" si="16"/>
        <v/>
      </c>
      <c r="I969" s="989"/>
      <c r="J969" s="989"/>
      <c r="K969" s="989"/>
      <c r="L969" s="989"/>
      <c r="M969" s="989"/>
      <c r="N969" s="989"/>
      <c r="O969" s="989"/>
      <c r="P969" s="989"/>
      <c r="Q969" s="989"/>
      <c r="R969" s="989"/>
      <c r="S969" s="989"/>
      <c r="T969" s="989"/>
      <c r="U969" s="989"/>
      <c r="V969" s="989"/>
      <c r="W969" s="989"/>
      <c r="X969" s="989"/>
      <c r="Y969" s="989"/>
      <c r="Z969" s="989"/>
      <c r="AA969" s="989"/>
      <c r="AB969" s="989"/>
      <c r="AC969" s="989"/>
      <c r="AD969" s="989"/>
      <c r="AE969" s="989"/>
    </row>
    <row r="970">
      <c r="A970" s="989"/>
      <c r="B970" s="989"/>
      <c r="C970" s="989"/>
      <c r="D970" s="989"/>
      <c r="E970" s="989"/>
      <c r="F970" s="989"/>
      <c r="G970" s="989"/>
      <c r="H970" s="992" t="str">
        <f t="shared" si="16"/>
        <v/>
      </c>
      <c r="I970" s="989"/>
      <c r="J970" s="989"/>
      <c r="K970" s="989"/>
      <c r="L970" s="989"/>
      <c r="M970" s="989"/>
      <c r="N970" s="989"/>
      <c r="O970" s="989"/>
      <c r="P970" s="989"/>
      <c r="Q970" s="989"/>
      <c r="R970" s="989"/>
      <c r="S970" s="989"/>
      <c r="T970" s="989"/>
      <c r="U970" s="989"/>
      <c r="V970" s="989"/>
      <c r="W970" s="989"/>
      <c r="X970" s="989"/>
      <c r="Y970" s="989"/>
      <c r="Z970" s="989"/>
      <c r="AA970" s="989"/>
      <c r="AB970" s="989"/>
      <c r="AC970" s="989"/>
      <c r="AD970" s="989"/>
      <c r="AE970" s="989"/>
    </row>
    <row r="971">
      <c r="A971" s="989"/>
      <c r="B971" s="989"/>
      <c r="C971" s="989"/>
      <c r="D971" s="989"/>
      <c r="E971" s="989"/>
      <c r="F971" s="989"/>
      <c r="G971" s="989"/>
      <c r="H971" s="992" t="str">
        <f t="shared" si="16"/>
        <v/>
      </c>
      <c r="I971" s="989"/>
      <c r="J971" s="989"/>
      <c r="K971" s="989"/>
      <c r="L971" s="989"/>
      <c r="M971" s="989"/>
      <c r="N971" s="989"/>
      <c r="O971" s="989"/>
      <c r="P971" s="989"/>
      <c r="Q971" s="989"/>
      <c r="R971" s="989"/>
      <c r="S971" s="989"/>
      <c r="T971" s="989"/>
      <c r="U971" s="989"/>
      <c r="V971" s="989"/>
      <c r="W971" s="989"/>
      <c r="X971" s="989"/>
      <c r="Y971" s="989"/>
      <c r="Z971" s="989"/>
      <c r="AA971" s="989"/>
      <c r="AB971" s="989"/>
      <c r="AC971" s="989"/>
      <c r="AD971" s="989"/>
      <c r="AE971" s="989"/>
    </row>
    <row r="972">
      <c r="A972" s="989"/>
      <c r="B972" s="989"/>
      <c r="C972" s="989"/>
      <c r="D972" s="989"/>
      <c r="E972" s="989"/>
      <c r="F972" s="989"/>
      <c r="G972" s="989"/>
      <c r="H972" s="992" t="str">
        <f t="shared" si="16"/>
        <v/>
      </c>
      <c r="I972" s="989"/>
      <c r="J972" s="989"/>
      <c r="K972" s="989"/>
      <c r="L972" s="989"/>
      <c r="M972" s="989"/>
      <c r="N972" s="989"/>
      <c r="O972" s="989"/>
      <c r="P972" s="989"/>
      <c r="Q972" s="989"/>
      <c r="R972" s="989"/>
      <c r="S972" s="989"/>
      <c r="T972" s="989"/>
      <c r="U972" s="989"/>
      <c r="V972" s="989"/>
      <c r="W972" s="989"/>
      <c r="X972" s="989"/>
      <c r="Y972" s="989"/>
      <c r="Z972" s="989"/>
      <c r="AA972" s="989"/>
      <c r="AB972" s="989"/>
      <c r="AC972" s="989"/>
      <c r="AD972" s="989"/>
      <c r="AE972" s="989"/>
    </row>
    <row r="973">
      <c r="A973" s="989"/>
      <c r="B973" s="989"/>
      <c r="C973" s="989"/>
      <c r="D973" s="989"/>
      <c r="E973" s="989"/>
      <c r="F973" s="989"/>
      <c r="G973" s="989"/>
      <c r="H973" s="992" t="str">
        <f t="shared" si="16"/>
        <v/>
      </c>
      <c r="I973" s="989"/>
      <c r="J973" s="989"/>
      <c r="K973" s="989"/>
      <c r="L973" s="989"/>
      <c r="M973" s="989"/>
      <c r="N973" s="989"/>
      <c r="O973" s="989"/>
      <c r="P973" s="989"/>
      <c r="Q973" s="989"/>
      <c r="R973" s="989"/>
      <c r="S973" s="989"/>
      <c r="T973" s="989"/>
      <c r="U973" s="989"/>
      <c r="V973" s="989"/>
      <c r="W973" s="989"/>
      <c r="X973" s="989"/>
      <c r="Y973" s="989"/>
      <c r="Z973" s="989"/>
      <c r="AA973" s="989"/>
      <c r="AB973" s="989"/>
      <c r="AC973" s="989"/>
      <c r="AD973" s="989"/>
      <c r="AE973" s="989"/>
    </row>
    <row r="974">
      <c r="A974" s="989"/>
      <c r="B974" s="989"/>
      <c r="C974" s="989"/>
      <c r="D974" s="989"/>
      <c r="E974" s="989"/>
      <c r="F974" s="989"/>
      <c r="G974" s="989"/>
      <c r="H974" s="992" t="str">
        <f t="shared" si="16"/>
        <v/>
      </c>
      <c r="I974" s="989"/>
      <c r="J974" s="989"/>
      <c r="K974" s="989"/>
      <c r="L974" s="989"/>
      <c r="M974" s="989"/>
      <c r="N974" s="989"/>
      <c r="O974" s="989"/>
      <c r="P974" s="989"/>
      <c r="Q974" s="989"/>
      <c r="R974" s="989"/>
      <c r="S974" s="989"/>
      <c r="T974" s="989"/>
      <c r="U974" s="989"/>
      <c r="V974" s="989"/>
      <c r="W974" s="989"/>
      <c r="X974" s="989"/>
      <c r="Y974" s="989"/>
      <c r="Z974" s="989"/>
      <c r="AA974" s="989"/>
      <c r="AB974" s="989"/>
      <c r="AC974" s="989"/>
      <c r="AD974" s="989"/>
      <c r="AE974" s="989"/>
    </row>
    <row r="975">
      <c r="A975" s="989"/>
      <c r="B975" s="989"/>
      <c r="C975" s="989"/>
      <c r="D975" s="989"/>
      <c r="E975" s="989"/>
      <c r="F975" s="989"/>
      <c r="G975" s="989"/>
      <c r="H975" s="992" t="str">
        <f t="shared" si="16"/>
        <v/>
      </c>
      <c r="I975" s="989"/>
      <c r="J975" s="989"/>
      <c r="K975" s="989"/>
      <c r="L975" s="989"/>
      <c r="M975" s="989"/>
      <c r="N975" s="989"/>
      <c r="O975" s="989"/>
      <c r="P975" s="989"/>
      <c r="Q975" s="989"/>
      <c r="R975" s="989"/>
      <c r="S975" s="989"/>
      <c r="T975" s="989"/>
      <c r="U975" s="989"/>
      <c r="V975" s="989"/>
      <c r="W975" s="989"/>
      <c r="X975" s="989"/>
      <c r="Y975" s="989"/>
      <c r="Z975" s="989"/>
      <c r="AA975" s="989"/>
      <c r="AB975" s="989"/>
      <c r="AC975" s="989"/>
      <c r="AD975" s="989"/>
      <c r="AE975" s="989"/>
    </row>
    <row r="976">
      <c r="A976" s="989"/>
      <c r="B976" s="989"/>
      <c r="C976" s="989"/>
      <c r="D976" s="989"/>
      <c r="E976" s="989"/>
      <c r="F976" s="989"/>
      <c r="G976" s="989"/>
      <c r="H976" s="992" t="str">
        <f t="shared" si="16"/>
        <v/>
      </c>
      <c r="I976" s="989"/>
      <c r="J976" s="989"/>
      <c r="K976" s="989"/>
      <c r="L976" s="989"/>
      <c r="M976" s="989"/>
      <c r="N976" s="989"/>
      <c r="O976" s="989"/>
      <c r="P976" s="989"/>
      <c r="Q976" s="989"/>
      <c r="R976" s="989"/>
      <c r="S976" s="989"/>
      <c r="T976" s="989"/>
      <c r="U976" s="989"/>
      <c r="V976" s="989"/>
      <c r="W976" s="989"/>
      <c r="X976" s="989"/>
      <c r="Y976" s="989"/>
      <c r="Z976" s="989"/>
      <c r="AA976" s="989"/>
      <c r="AB976" s="989"/>
      <c r="AC976" s="989"/>
      <c r="AD976" s="989"/>
      <c r="AE976" s="989"/>
    </row>
    <row r="977">
      <c r="A977" s="989"/>
      <c r="B977" s="989"/>
      <c r="C977" s="989"/>
      <c r="D977" s="989"/>
      <c r="E977" s="989"/>
      <c r="F977" s="989"/>
      <c r="G977" s="989"/>
      <c r="H977" s="992" t="str">
        <f t="shared" si="16"/>
        <v/>
      </c>
      <c r="I977" s="989"/>
      <c r="J977" s="989"/>
      <c r="K977" s="989"/>
      <c r="L977" s="989"/>
      <c r="M977" s="989"/>
      <c r="N977" s="989"/>
      <c r="O977" s="989"/>
      <c r="P977" s="989"/>
      <c r="Q977" s="989"/>
      <c r="R977" s="989"/>
      <c r="S977" s="989"/>
      <c r="T977" s="989"/>
      <c r="U977" s="989"/>
      <c r="V977" s="989"/>
      <c r="W977" s="989"/>
      <c r="X977" s="989"/>
      <c r="Y977" s="989"/>
      <c r="Z977" s="989"/>
      <c r="AA977" s="989"/>
      <c r="AB977" s="989"/>
      <c r="AC977" s="989"/>
      <c r="AD977" s="989"/>
      <c r="AE977" s="989"/>
    </row>
    <row r="978">
      <c r="A978" s="989"/>
      <c r="B978" s="989"/>
      <c r="C978" s="989"/>
      <c r="D978" s="989"/>
      <c r="E978" s="989"/>
      <c r="F978" s="989"/>
      <c r="G978" s="989"/>
      <c r="H978" s="992" t="str">
        <f t="shared" si="16"/>
        <v/>
      </c>
      <c r="I978" s="989"/>
      <c r="J978" s="989"/>
      <c r="K978" s="989"/>
      <c r="L978" s="989"/>
      <c r="M978" s="989"/>
      <c r="N978" s="989"/>
      <c r="O978" s="989"/>
      <c r="P978" s="989"/>
      <c r="Q978" s="989"/>
      <c r="R978" s="989"/>
      <c r="S978" s="989"/>
      <c r="T978" s="989"/>
      <c r="U978" s="989"/>
      <c r="V978" s="989"/>
      <c r="W978" s="989"/>
      <c r="X978" s="989"/>
      <c r="Y978" s="989"/>
      <c r="Z978" s="989"/>
      <c r="AA978" s="989"/>
      <c r="AB978" s="989"/>
      <c r="AC978" s="989"/>
      <c r="AD978" s="989"/>
      <c r="AE978" s="989"/>
    </row>
    <row r="979">
      <c r="A979" s="989"/>
      <c r="B979" s="989"/>
      <c r="C979" s="989"/>
      <c r="D979" s="989"/>
      <c r="E979" s="989"/>
      <c r="F979" s="989"/>
      <c r="G979" s="989"/>
      <c r="H979" s="992" t="str">
        <f t="shared" si="16"/>
        <v/>
      </c>
      <c r="I979" s="989"/>
      <c r="J979" s="989"/>
      <c r="K979" s="989"/>
      <c r="L979" s="989"/>
      <c r="M979" s="989"/>
      <c r="N979" s="989"/>
      <c r="O979" s="989"/>
      <c r="P979" s="989"/>
      <c r="Q979" s="989"/>
      <c r="R979" s="989"/>
      <c r="S979" s="989"/>
      <c r="T979" s="989"/>
      <c r="U979" s="989"/>
      <c r="V979" s="989"/>
      <c r="W979" s="989"/>
      <c r="X979" s="989"/>
      <c r="Y979" s="989"/>
      <c r="Z979" s="989"/>
      <c r="AA979" s="989"/>
      <c r="AB979" s="989"/>
      <c r="AC979" s="989"/>
      <c r="AD979" s="989"/>
      <c r="AE979" s="989"/>
    </row>
    <row r="980">
      <c r="A980" s="989"/>
      <c r="B980" s="989"/>
      <c r="C980" s="989"/>
      <c r="D980" s="989"/>
      <c r="E980" s="989"/>
      <c r="F980" s="989"/>
      <c r="G980" s="989"/>
      <c r="H980" s="992" t="str">
        <f t="shared" si="16"/>
        <v/>
      </c>
      <c r="I980" s="989"/>
      <c r="J980" s="989"/>
      <c r="K980" s="989"/>
      <c r="L980" s="989"/>
      <c r="M980" s="989"/>
      <c r="N980" s="989"/>
      <c r="O980" s="989"/>
      <c r="P980" s="989"/>
      <c r="Q980" s="989"/>
      <c r="R980" s="989"/>
      <c r="S980" s="989"/>
      <c r="T980" s="989"/>
      <c r="U980" s="989"/>
      <c r="V980" s="989"/>
      <c r="W980" s="989"/>
      <c r="X980" s="989"/>
      <c r="Y980" s="989"/>
      <c r="Z980" s="989"/>
      <c r="AA980" s="989"/>
      <c r="AB980" s="989"/>
      <c r="AC980" s="989"/>
      <c r="AD980" s="989"/>
      <c r="AE980" s="989"/>
    </row>
    <row r="981">
      <c r="A981" s="989"/>
      <c r="B981" s="989"/>
      <c r="C981" s="989"/>
      <c r="D981" s="989"/>
      <c r="E981" s="989"/>
      <c r="F981" s="989"/>
      <c r="G981" s="989"/>
      <c r="H981" s="992" t="str">
        <f t="shared" si="16"/>
        <v/>
      </c>
      <c r="I981" s="989"/>
      <c r="J981" s="989"/>
      <c r="K981" s="989"/>
      <c r="L981" s="989"/>
      <c r="M981" s="989"/>
      <c r="N981" s="989"/>
      <c r="O981" s="989"/>
      <c r="P981" s="989"/>
      <c r="Q981" s="989"/>
      <c r="R981" s="989"/>
      <c r="S981" s="989"/>
      <c r="T981" s="989"/>
      <c r="U981" s="989"/>
      <c r="V981" s="989"/>
      <c r="W981" s="989"/>
      <c r="X981" s="989"/>
      <c r="Y981" s="989"/>
      <c r="Z981" s="989"/>
      <c r="AA981" s="989"/>
      <c r="AB981" s="989"/>
      <c r="AC981" s="989"/>
      <c r="AD981" s="989"/>
      <c r="AE981" s="989"/>
    </row>
    <row r="982">
      <c r="A982" s="989"/>
      <c r="B982" s="989"/>
      <c r="C982" s="989"/>
      <c r="D982" s="989"/>
      <c r="E982" s="989"/>
      <c r="F982" s="989"/>
      <c r="G982" s="989"/>
      <c r="H982" s="992" t="str">
        <f t="shared" si="16"/>
        <v/>
      </c>
      <c r="I982" s="989"/>
      <c r="J982" s="989"/>
      <c r="K982" s="989"/>
      <c r="L982" s="989"/>
      <c r="M982" s="989"/>
      <c r="N982" s="989"/>
      <c r="O982" s="989"/>
      <c r="P982" s="989"/>
      <c r="Q982" s="989"/>
      <c r="R982" s="989"/>
      <c r="S982" s="989"/>
      <c r="T982" s="989"/>
      <c r="U982" s="989"/>
      <c r="V982" s="989"/>
      <c r="W982" s="989"/>
      <c r="X982" s="989"/>
      <c r="Y982" s="989"/>
      <c r="Z982" s="989"/>
      <c r="AA982" s="989"/>
      <c r="AB982" s="989"/>
      <c r="AC982" s="989"/>
      <c r="AD982" s="989"/>
      <c r="AE982" s="989"/>
    </row>
    <row r="983">
      <c r="A983" s="989"/>
      <c r="B983" s="989"/>
      <c r="C983" s="989"/>
      <c r="D983" s="989"/>
      <c r="E983" s="989"/>
      <c r="F983" s="989"/>
      <c r="G983" s="989"/>
      <c r="H983" s="992" t="str">
        <f t="shared" si="16"/>
        <v/>
      </c>
      <c r="I983" s="989"/>
      <c r="J983" s="989"/>
      <c r="K983" s="989"/>
      <c r="L983" s="989"/>
      <c r="M983" s="989"/>
      <c r="N983" s="989"/>
      <c r="O983" s="989"/>
      <c r="P983" s="989"/>
      <c r="Q983" s="989"/>
      <c r="R983" s="989"/>
      <c r="S983" s="989"/>
      <c r="T983" s="989"/>
      <c r="U983" s="989"/>
      <c r="V983" s="989"/>
      <c r="W983" s="989"/>
      <c r="X983" s="989"/>
      <c r="Y983" s="989"/>
      <c r="Z983" s="989"/>
      <c r="AA983" s="989"/>
      <c r="AB983" s="989"/>
      <c r="AC983" s="989"/>
      <c r="AD983" s="989"/>
      <c r="AE983" s="989"/>
    </row>
    <row r="984">
      <c r="A984" s="989"/>
      <c r="B984" s="989"/>
      <c r="C984" s="989"/>
      <c r="D984" s="989"/>
      <c r="E984" s="989"/>
      <c r="F984" s="989"/>
      <c r="G984" s="989"/>
      <c r="H984" s="992" t="str">
        <f t="shared" si="16"/>
        <v/>
      </c>
      <c r="I984" s="989"/>
      <c r="J984" s="989"/>
      <c r="K984" s="989"/>
      <c r="L984" s="989"/>
      <c r="M984" s="989"/>
      <c r="N984" s="989"/>
      <c r="O984" s="989"/>
      <c r="P984" s="989"/>
      <c r="Q984" s="989"/>
      <c r="R984" s="989"/>
      <c r="S984" s="989"/>
      <c r="T984" s="989"/>
      <c r="U984" s="989"/>
      <c r="V984" s="989"/>
      <c r="W984" s="989"/>
      <c r="X984" s="989"/>
      <c r="Y984" s="989"/>
      <c r="Z984" s="989"/>
      <c r="AA984" s="989"/>
      <c r="AB984" s="989"/>
      <c r="AC984" s="989"/>
      <c r="AD984" s="989"/>
      <c r="AE984" s="989"/>
    </row>
    <row r="985">
      <c r="A985" s="989"/>
      <c r="B985" s="989"/>
      <c r="C985" s="989"/>
      <c r="D985" s="989"/>
      <c r="E985" s="989"/>
      <c r="F985" s="989"/>
      <c r="G985" s="989"/>
      <c r="H985" s="992" t="str">
        <f t="shared" si="16"/>
        <v/>
      </c>
      <c r="I985" s="989"/>
      <c r="J985" s="989"/>
      <c r="K985" s="989"/>
      <c r="L985" s="989"/>
      <c r="M985" s="989"/>
      <c r="N985" s="989"/>
      <c r="O985" s="989"/>
      <c r="P985" s="989"/>
      <c r="Q985" s="989"/>
      <c r="R985" s="989"/>
      <c r="S985" s="989"/>
      <c r="T985" s="989"/>
      <c r="U985" s="989"/>
      <c r="V985" s="989"/>
      <c r="W985" s="989"/>
      <c r="X985" s="989"/>
      <c r="Y985" s="989"/>
      <c r="Z985" s="989"/>
      <c r="AA985" s="989"/>
      <c r="AB985" s="989"/>
      <c r="AC985" s="989"/>
      <c r="AD985" s="989"/>
      <c r="AE985" s="989"/>
    </row>
    <row r="986">
      <c r="A986" s="989"/>
      <c r="B986" s="989"/>
      <c r="C986" s="989"/>
      <c r="D986" s="989"/>
      <c r="E986" s="989"/>
      <c r="F986" s="989"/>
      <c r="G986" s="989"/>
      <c r="H986" s="992" t="str">
        <f t="shared" si="16"/>
        <v/>
      </c>
      <c r="I986" s="989"/>
      <c r="J986" s="989"/>
      <c r="K986" s="989"/>
      <c r="L986" s="989"/>
      <c r="M986" s="989"/>
      <c r="N986" s="989"/>
      <c r="O986" s="989"/>
      <c r="P986" s="989"/>
      <c r="Q986" s="989"/>
      <c r="R986" s="989"/>
      <c r="S986" s="989"/>
      <c r="T986" s="989"/>
      <c r="U986" s="989"/>
      <c r="V986" s="989"/>
      <c r="W986" s="989"/>
      <c r="X986" s="989"/>
      <c r="Y986" s="989"/>
      <c r="Z986" s="989"/>
      <c r="AA986" s="989"/>
      <c r="AB986" s="989"/>
      <c r="AC986" s="989"/>
      <c r="AD986" s="989"/>
      <c r="AE986" s="989"/>
    </row>
    <row r="987">
      <c r="A987" s="989"/>
      <c r="B987" s="989"/>
      <c r="C987" s="989"/>
      <c r="D987" s="989"/>
      <c r="E987" s="989"/>
      <c r="F987" s="989"/>
      <c r="G987" s="989"/>
      <c r="H987" s="992" t="str">
        <f t="shared" si="16"/>
        <v/>
      </c>
      <c r="I987" s="989"/>
      <c r="J987" s="989"/>
      <c r="K987" s="989"/>
      <c r="L987" s="989"/>
      <c r="M987" s="989"/>
      <c r="N987" s="989"/>
      <c r="O987" s="989"/>
      <c r="P987" s="989"/>
      <c r="Q987" s="989"/>
      <c r="R987" s="989"/>
      <c r="S987" s="989"/>
      <c r="T987" s="989"/>
      <c r="U987" s="989"/>
      <c r="V987" s="989"/>
      <c r="W987" s="989"/>
      <c r="X987" s="989"/>
      <c r="Y987" s="989"/>
      <c r="Z987" s="989"/>
      <c r="AA987" s="989"/>
      <c r="AB987" s="989"/>
      <c r="AC987" s="989"/>
      <c r="AD987" s="989"/>
      <c r="AE987" s="989"/>
    </row>
    <row r="988">
      <c r="A988" s="989"/>
      <c r="B988" s="989"/>
      <c r="C988" s="989"/>
      <c r="D988" s="989"/>
      <c r="E988" s="989"/>
      <c r="F988" s="989"/>
      <c r="G988" s="989"/>
      <c r="H988" s="992" t="str">
        <f t="shared" si="16"/>
        <v/>
      </c>
      <c r="I988" s="989"/>
      <c r="J988" s="989"/>
      <c r="K988" s="989"/>
      <c r="L988" s="989"/>
      <c r="M988" s="989"/>
      <c r="N988" s="989"/>
      <c r="O988" s="989"/>
      <c r="P988" s="989"/>
      <c r="Q988" s="989"/>
      <c r="R988" s="989"/>
      <c r="S988" s="989"/>
      <c r="T988" s="989"/>
      <c r="U988" s="989"/>
      <c r="V988" s="989"/>
      <c r="W988" s="989"/>
      <c r="X988" s="989"/>
      <c r="Y988" s="989"/>
      <c r="Z988" s="989"/>
      <c r="AA988" s="989"/>
      <c r="AB988" s="989"/>
      <c r="AC988" s="989"/>
      <c r="AD988" s="989"/>
      <c r="AE988" s="989"/>
    </row>
    <row r="989">
      <c r="A989" s="989"/>
      <c r="B989" s="989"/>
      <c r="C989" s="989"/>
      <c r="D989" s="989"/>
      <c r="E989" s="989"/>
      <c r="F989" s="989"/>
      <c r="G989" s="989"/>
      <c r="H989" s="992" t="str">
        <f t="shared" si="16"/>
        <v/>
      </c>
      <c r="I989" s="989"/>
      <c r="J989" s="989"/>
      <c r="K989" s="989"/>
      <c r="L989" s="989"/>
      <c r="M989" s="989"/>
      <c r="N989" s="989"/>
      <c r="O989" s="989"/>
      <c r="P989" s="989"/>
      <c r="Q989" s="989"/>
      <c r="R989" s="989"/>
      <c r="S989" s="989"/>
      <c r="T989" s="989"/>
      <c r="U989" s="989"/>
      <c r="V989" s="989"/>
      <c r="W989" s="989"/>
      <c r="X989" s="989"/>
      <c r="Y989" s="989"/>
      <c r="Z989" s="989"/>
      <c r="AA989" s="989"/>
      <c r="AB989" s="989"/>
      <c r="AC989" s="989"/>
      <c r="AD989" s="989"/>
      <c r="AE989" s="989"/>
    </row>
    <row r="990">
      <c r="A990" s="989"/>
      <c r="B990" s="989"/>
      <c r="C990" s="989"/>
      <c r="D990" s="989"/>
      <c r="E990" s="989"/>
      <c r="F990" s="989"/>
      <c r="G990" s="989"/>
      <c r="H990" s="992" t="str">
        <f t="shared" si="16"/>
        <v/>
      </c>
      <c r="I990" s="989"/>
      <c r="J990" s="989"/>
      <c r="K990" s="989"/>
      <c r="L990" s="989"/>
      <c r="M990" s="989"/>
      <c r="N990" s="989"/>
      <c r="O990" s="989"/>
      <c r="P990" s="989"/>
      <c r="Q990" s="989"/>
      <c r="R990" s="989"/>
      <c r="S990" s="989"/>
      <c r="T990" s="989"/>
      <c r="U990" s="989"/>
      <c r="V990" s="989"/>
      <c r="W990" s="989"/>
      <c r="X990" s="989"/>
      <c r="Y990" s="989"/>
      <c r="Z990" s="989"/>
      <c r="AA990" s="989"/>
      <c r="AB990" s="989"/>
      <c r="AC990" s="989"/>
      <c r="AD990" s="989"/>
      <c r="AE990" s="989"/>
    </row>
    <row r="991">
      <c r="A991" s="989"/>
      <c r="B991" s="989"/>
      <c r="C991" s="989"/>
      <c r="D991" s="989"/>
      <c r="E991" s="989"/>
      <c r="F991" s="989"/>
      <c r="G991" s="989"/>
      <c r="H991" s="992" t="str">
        <f t="shared" si="16"/>
        <v/>
      </c>
      <c r="I991" s="989"/>
      <c r="J991" s="989"/>
      <c r="K991" s="989"/>
      <c r="L991" s="989"/>
      <c r="M991" s="989"/>
      <c r="N991" s="989"/>
      <c r="O991" s="989"/>
      <c r="P991" s="989"/>
      <c r="Q991" s="989"/>
      <c r="R991" s="989"/>
      <c r="S991" s="989"/>
      <c r="T991" s="989"/>
      <c r="U991" s="989"/>
      <c r="V991" s="989"/>
      <c r="W991" s="989"/>
      <c r="X991" s="989"/>
      <c r="Y991" s="989"/>
      <c r="Z991" s="989"/>
      <c r="AA991" s="989"/>
      <c r="AB991" s="989"/>
      <c r="AC991" s="989"/>
      <c r="AD991" s="989"/>
      <c r="AE991" s="989"/>
    </row>
  </sheetData>
  <autoFilter ref="$A$2:$H$991">
    <sortState ref="A2:H991">
      <sortCondition ref="A2:A991"/>
      <sortCondition descending="1" ref="H2:H991"/>
      <sortCondition descending="1" ref="G2:G991"/>
      <sortCondition ref="C2:C991"/>
    </sortState>
  </autoFilter>
  <mergeCells count="4">
    <mergeCell ref="A1:H1"/>
    <mergeCell ref="K2:Q2"/>
    <mergeCell ref="K22:Q22"/>
    <mergeCell ref="K41:Q4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8.25"/>
    <col customWidth="1" min="3" max="3" width="18.38"/>
    <col customWidth="1" min="4" max="4" width="19.75"/>
    <col customWidth="1" min="6" max="6" width="23.5"/>
    <col customWidth="1" min="7" max="7" width="55.88"/>
    <col customWidth="1" min="8" max="8" width="16.75"/>
  </cols>
  <sheetData>
    <row r="1">
      <c r="A1" s="330" t="s">
        <v>7</v>
      </c>
      <c r="B1" s="1025" t="s">
        <v>9100</v>
      </c>
      <c r="C1" s="1025" t="s">
        <v>9101</v>
      </c>
      <c r="D1" s="536" t="s">
        <v>9102</v>
      </c>
      <c r="E1" s="536" t="s">
        <v>7661</v>
      </c>
      <c r="F1" s="536" t="s">
        <v>9103</v>
      </c>
      <c r="G1" s="536" t="s">
        <v>9104</v>
      </c>
      <c r="H1" s="536" t="s">
        <v>9105</v>
      </c>
      <c r="I1" s="536" t="s">
        <v>9106</v>
      </c>
      <c r="J1" s="536" t="s">
        <v>27</v>
      </c>
      <c r="K1" s="1026"/>
      <c r="L1" s="1026"/>
      <c r="M1" s="1026"/>
      <c r="N1" s="1026"/>
      <c r="O1" s="1026"/>
      <c r="P1" s="1026"/>
      <c r="Q1" s="1026"/>
      <c r="R1" s="1026"/>
      <c r="S1" s="1026"/>
      <c r="T1" s="1026"/>
      <c r="U1" s="1026"/>
      <c r="V1" s="1026"/>
      <c r="W1" s="1026"/>
      <c r="X1" s="1026"/>
      <c r="Y1" s="1026"/>
      <c r="Z1" s="1026"/>
      <c r="AA1" s="1026"/>
    </row>
    <row r="2">
      <c r="A2" s="1027" t="s">
        <v>108</v>
      </c>
      <c r="B2" s="1027" t="s">
        <v>9107</v>
      </c>
      <c r="C2" s="1028" t="s">
        <v>9108</v>
      </c>
      <c r="D2" s="1027" t="s">
        <v>9109</v>
      </c>
      <c r="E2" s="1027">
        <v>4.2</v>
      </c>
      <c r="F2" s="1028" t="s">
        <v>9110</v>
      </c>
      <c r="G2" s="1028" t="s">
        <v>9111</v>
      </c>
      <c r="H2" s="1029"/>
      <c r="I2" s="1029"/>
      <c r="J2" s="1029"/>
      <c r="K2" s="290"/>
      <c r="L2" s="290"/>
      <c r="M2" s="290"/>
      <c r="N2" s="290"/>
      <c r="O2" s="290"/>
      <c r="P2" s="290"/>
      <c r="Q2" s="290"/>
      <c r="R2" s="290"/>
      <c r="S2" s="290"/>
      <c r="T2" s="290"/>
      <c r="U2" s="290"/>
      <c r="V2" s="290"/>
      <c r="W2" s="290"/>
      <c r="X2" s="290"/>
      <c r="Y2" s="290"/>
      <c r="Z2" s="290"/>
      <c r="AA2" s="290"/>
    </row>
    <row r="3">
      <c r="A3" s="575" t="s">
        <v>423</v>
      </c>
      <c r="B3" s="575" t="s">
        <v>122</v>
      </c>
      <c r="C3" s="290"/>
      <c r="D3" s="593" t="s">
        <v>429</v>
      </c>
      <c r="E3" s="575">
        <v>94.86</v>
      </c>
      <c r="F3" s="575">
        <v>1280.0</v>
      </c>
      <c r="G3" s="290"/>
      <c r="H3" s="290"/>
      <c r="I3" s="290"/>
      <c r="J3" s="290"/>
      <c r="K3" s="290"/>
      <c r="L3" s="290"/>
      <c r="M3" s="290"/>
      <c r="N3" s="290"/>
      <c r="O3" s="290"/>
      <c r="P3" s="290"/>
      <c r="Q3" s="290"/>
      <c r="R3" s="290"/>
      <c r="S3" s="290"/>
      <c r="T3" s="290"/>
      <c r="U3" s="290"/>
      <c r="V3" s="290"/>
      <c r="W3" s="290"/>
      <c r="X3" s="290"/>
      <c r="Y3" s="290"/>
      <c r="Z3" s="290"/>
      <c r="AA3" s="290"/>
    </row>
    <row r="4">
      <c r="A4" s="1027" t="s">
        <v>431</v>
      </c>
      <c r="B4" s="1027" t="s">
        <v>122</v>
      </c>
      <c r="C4" s="1028" t="s">
        <v>9112</v>
      </c>
      <c r="D4" s="1028" t="s">
        <v>9113</v>
      </c>
      <c r="E4" s="1028" t="s">
        <v>9114</v>
      </c>
      <c r="F4" s="1027" t="s">
        <v>9115</v>
      </c>
      <c r="G4" s="1028" t="s">
        <v>9116</v>
      </c>
      <c r="H4" s="1029"/>
      <c r="I4" s="1029"/>
      <c r="J4" s="1029"/>
      <c r="K4" s="290"/>
      <c r="L4" s="290"/>
      <c r="M4" s="290"/>
      <c r="N4" s="290"/>
      <c r="O4" s="290"/>
      <c r="P4" s="290"/>
      <c r="Q4" s="290"/>
      <c r="R4" s="290"/>
      <c r="S4" s="290"/>
      <c r="T4" s="290"/>
      <c r="U4" s="290"/>
      <c r="V4" s="290"/>
      <c r="W4" s="290"/>
      <c r="X4" s="290"/>
      <c r="Y4" s="290"/>
      <c r="Z4" s="290"/>
      <c r="AA4" s="290"/>
    </row>
    <row r="6">
      <c r="A6" s="1030"/>
      <c r="B6" s="1030"/>
      <c r="C6" s="1030"/>
      <c r="D6" s="1030"/>
      <c r="E6" s="1030"/>
      <c r="F6" s="1030"/>
      <c r="G6" s="1030"/>
      <c r="H6" s="1030"/>
      <c r="I6" s="1030"/>
      <c r="J6" s="1030"/>
    </row>
    <row r="8">
      <c r="A8" s="1030"/>
      <c r="B8" s="1030"/>
      <c r="C8" s="1030"/>
      <c r="D8" s="1030"/>
      <c r="E8" s="1030"/>
      <c r="F8" s="1030"/>
      <c r="G8" s="1030"/>
      <c r="H8" s="1030"/>
      <c r="I8" s="1030"/>
      <c r="J8" s="1030"/>
    </row>
    <row r="10">
      <c r="A10" s="1030"/>
      <c r="B10" s="1030"/>
      <c r="C10" s="1030"/>
      <c r="D10" s="1030"/>
      <c r="E10" s="1030"/>
      <c r="F10" s="1030"/>
      <c r="G10" s="1030"/>
      <c r="H10" s="1030"/>
      <c r="I10" s="1030"/>
      <c r="J10" s="1030"/>
    </row>
    <row r="12">
      <c r="A12" s="1030"/>
      <c r="B12" s="1030"/>
      <c r="C12" s="1030"/>
      <c r="D12" s="1030"/>
      <c r="E12" s="1030"/>
      <c r="F12" s="1030"/>
      <c r="G12" s="1030"/>
      <c r="H12" s="1030"/>
      <c r="I12" s="1030"/>
      <c r="J12" s="1030"/>
    </row>
    <row r="14">
      <c r="A14" s="1030"/>
      <c r="B14" s="1030"/>
      <c r="C14" s="1030"/>
      <c r="D14" s="1030"/>
      <c r="E14" s="1030"/>
      <c r="F14" s="1030"/>
      <c r="G14" s="1030"/>
      <c r="H14" s="1030"/>
      <c r="I14" s="1030"/>
      <c r="J14" s="1030"/>
    </row>
    <row r="16">
      <c r="A16" s="1030"/>
      <c r="B16" s="1030"/>
      <c r="C16" s="1030"/>
      <c r="D16" s="1030"/>
      <c r="E16" s="1030"/>
      <c r="F16" s="1030"/>
      <c r="G16" s="1030"/>
      <c r="H16" s="1030"/>
      <c r="I16" s="1030"/>
      <c r="J16" s="1030"/>
    </row>
    <row r="18">
      <c r="A18" s="1030"/>
      <c r="B18" s="1030"/>
      <c r="C18" s="1030"/>
      <c r="D18" s="1030"/>
      <c r="E18" s="1030"/>
      <c r="F18" s="1030"/>
      <c r="G18" s="1030"/>
      <c r="H18" s="1030"/>
      <c r="I18" s="1030"/>
      <c r="J18" s="1030"/>
    </row>
    <row r="20">
      <c r="A20" s="1030"/>
      <c r="B20" s="1030"/>
      <c r="C20" s="1030"/>
      <c r="D20" s="1030"/>
      <c r="E20" s="1030"/>
      <c r="F20" s="1030"/>
      <c r="G20" s="1030"/>
      <c r="H20" s="1030"/>
      <c r="I20" s="1030"/>
      <c r="J20" s="1030"/>
    </row>
    <row r="22">
      <c r="A22" s="1030"/>
      <c r="B22" s="1030"/>
      <c r="C22" s="1030"/>
      <c r="D22" s="1030"/>
      <c r="E22" s="1030"/>
      <c r="F22" s="1030"/>
      <c r="G22" s="1030"/>
      <c r="H22" s="1030"/>
      <c r="I22" s="1030"/>
      <c r="J22" s="1030"/>
    </row>
    <row r="24">
      <c r="A24" s="1030"/>
      <c r="B24" s="1030"/>
      <c r="C24" s="1030"/>
      <c r="D24" s="1030"/>
      <c r="E24" s="1030"/>
      <c r="F24" s="1030"/>
      <c r="G24" s="1030"/>
      <c r="H24" s="1030"/>
      <c r="I24" s="1030"/>
      <c r="J24" s="1030"/>
    </row>
    <row r="26">
      <c r="A26" s="1030"/>
      <c r="B26" s="1030"/>
      <c r="C26" s="1030"/>
      <c r="D26" s="1030"/>
      <c r="E26" s="1030"/>
      <c r="F26" s="1030"/>
      <c r="G26" s="1030"/>
      <c r="H26" s="1030"/>
      <c r="I26" s="1030"/>
      <c r="J26" s="1030"/>
    </row>
    <row r="28">
      <c r="A28" s="1030"/>
      <c r="B28" s="1030"/>
      <c r="C28" s="1030"/>
      <c r="D28" s="1030"/>
      <c r="E28" s="1030"/>
      <c r="F28" s="1030"/>
      <c r="G28" s="1030"/>
      <c r="H28" s="1030"/>
      <c r="I28" s="1030"/>
      <c r="J28" s="1030"/>
    </row>
    <row r="30">
      <c r="A30" s="1030"/>
      <c r="B30" s="1030"/>
      <c r="C30" s="1030"/>
      <c r="D30" s="1030"/>
      <c r="E30" s="1030"/>
      <c r="F30" s="1030"/>
      <c r="G30" s="1030"/>
      <c r="H30" s="1030"/>
      <c r="I30" s="1030"/>
      <c r="J30" s="1030"/>
    </row>
    <row r="32">
      <c r="A32" s="1030"/>
      <c r="B32" s="1030"/>
      <c r="C32" s="1030"/>
      <c r="D32" s="1030"/>
      <c r="E32" s="1030"/>
      <c r="F32" s="1030"/>
      <c r="G32" s="1030"/>
      <c r="H32" s="1030"/>
      <c r="I32" s="1030"/>
      <c r="J32" s="1030"/>
    </row>
    <row r="34">
      <c r="A34" s="1030"/>
      <c r="B34" s="1030"/>
      <c r="C34" s="1030"/>
      <c r="D34" s="1030"/>
      <c r="E34" s="1030"/>
      <c r="F34" s="1030"/>
      <c r="G34" s="1030"/>
      <c r="H34" s="1030"/>
      <c r="I34" s="1030"/>
      <c r="J34" s="1030"/>
    </row>
    <row r="36">
      <c r="A36" s="1030"/>
      <c r="B36" s="1030"/>
      <c r="C36" s="1030"/>
      <c r="D36" s="1030"/>
      <c r="E36" s="1030"/>
      <c r="F36" s="1030"/>
      <c r="G36" s="1030"/>
      <c r="H36" s="1030"/>
      <c r="I36" s="1030"/>
      <c r="J36" s="1030"/>
    </row>
    <row r="38">
      <c r="A38" s="1030"/>
      <c r="B38" s="1030"/>
      <c r="C38" s="1030"/>
      <c r="D38" s="1030"/>
      <c r="E38" s="1030"/>
      <c r="F38" s="1030"/>
      <c r="G38" s="1030"/>
      <c r="H38" s="1030"/>
      <c r="I38" s="1030"/>
      <c r="J38" s="1030"/>
    </row>
    <row r="40">
      <c r="A40" s="1030"/>
      <c r="B40" s="1030"/>
      <c r="C40" s="1030"/>
      <c r="D40" s="1030"/>
      <c r="E40" s="1030"/>
      <c r="F40" s="1030"/>
      <c r="G40" s="1030"/>
      <c r="H40" s="1030"/>
      <c r="I40" s="1030"/>
      <c r="J40" s="1030"/>
    </row>
    <row r="42">
      <c r="A42" s="1030"/>
      <c r="B42" s="1030"/>
      <c r="C42" s="1030"/>
      <c r="D42" s="1030"/>
      <c r="E42" s="1030"/>
      <c r="F42" s="1030"/>
      <c r="G42" s="1030"/>
      <c r="H42" s="1030"/>
      <c r="I42" s="1030"/>
      <c r="J42" s="1030"/>
    </row>
    <row r="44">
      <c r="A44" s="1030"/>
      <c r="B44" s="1030"/>
      <c r="C44" s="1030"/>
      <c r="D44" s="1030"/>
      <c r="E44" s="1030"/>
      <c r="F44" s="1030"/>
      <c r="G44" s="1030"/>
      <c r="H44" s="1030"/>
      <c r="I44" s="1030"/>
      <c r="J44" s="1030"/>
    </row>
    <row r="46">
      <c r="A46" s="1030"/>
      <c r="B46" s="1030"/>
      <c r="C46" s="1030"/>
      <c r="D46" s="1030"/>
      <c r="E46" s="1030"/>
      <c r="F46" s="1030"/>
      <c r="G46" s="1030"/>
      <c r="H46" s="1030"/>
      <c r="I46" s="1030"/>
      <c r="J46" s="1030"/>
    </row>
    <row r="48">
      <c r="A48" s="1030"/>
      <c r="B48" s="1030"/>
      <c r="C48" s="1030"/>
      <c r="D48" s="1030"/>
      <c r="E48" s="1030"/>
      <c r="F48" s="1030"/>
      <c r="G48" s="1030"/>
      <c r="H48" s="1030"/>
      <c r="I48" s="1030"/>
      <c r="J48" s="1030"/>
    </row>
    <row r="50">
      <c r="A50" s="1030"/>
      <c r="B50" s="1030"/>
      <c r="C50" s="1030"/>
      <c r="D50" s="1030"/>
      <c r="E50" s="1030"/>
      <c r="F50" s="1030"/>
      <c r="G50" s="1030"/>
      <c r="H50" s="1030"/>
      <c r="I50" s="1030"/>
      <c r="J50" s="1030"/>
    </row>
    <row r="52">
      <c r="A52" s="1030"/>
      <c r="B52" s="1030"/>
      <c r="C52" s="1030"/>
      <c r="D52" s="1030"/>
      <c r="E52" s="1030"/>
      <c r="F52" s="1030"/>
      <c r="G52" s="1030"/>
      <c r="H52" s="1030"/>
      <c r="I52" s="1030"/>
      <c r="J52" s="1030"/>
    </row>
    <row r="54">
      <c r="A54" s="1030"/>
      <c r="B54" s="1030"/>
      <c r="C54" s="1030"/>
      <c r="D54" s="1030"/>
      <c r="E54" s="1030"/>
      <c r="F54" s="1030"/>
      <c r="G54" s="1030"/>
      <c r="H54" s="1030"/>
      <c r="I54" s="1030"/>
      <c r="J54" s="1030"/>
    </row>
    <row r="56">
      <c r="A56" s="1030"/>
      <c r="B56" s="1030"/>
      <c r="C56" s="1030"/>
      <c r="D56" s="1030"/>
      <c r="E56" s="1030"/>
      <c r="F56" s="1030"/>
      <c r="G56" s="1030"/>
      <c r="H56" s="1030"/>
      <c r="I56" s="1030"/>
      <c r="J56" s="1030"/>
    </row>
    <row r="58">
      <c r="A58" s="1030"/>
      <c r="B58" s="1030"/>
      <c r="C58" s="1030"/>
      <c r="D58" s="1030"/>
      <c r="E58" s="1030"/>
      <c r="F58" s="1030"/>
      <c r="G58" s="1030"/>
      <c r="H58" s="1030"/>
      <c r="I58" s="1030"/>
      <c r="J58" s="1030"/>
    </row>
    <row r="60">
      <c r="A60" s="1030"/>
      <c r="B60" s="1030"/>
      <c r="C60" s="1030"/>
      <c r="D60" s="1030"/>
      <c r="E60" s="1030"/>
      <c r="F60" s="1030"/>
      <c r="G60" s="1030"/>
      <c r="H60" s="1030"/>
      <c r="I60" s="1030"/>
      <c r="J60" s="1030"/>
    </row>
    <row r="62">
      <c r="A62" s="1030"/>
      <c r="B62" s="1030"/>
      <c r="C62" s="1030"/>
      <c r="D62" s="1030"/>
      <c r="E62" s="1030"/>
      <c r="F62" s="1030"/>
      <c r="G62" s="1030"/>
      <c r="H62" s="1030"/>
      <c r="I62" s="1030"/>
      <c r="J62" s="1030"/>
    </row>
    <row r="64">
      <c r="A64" s="1030"/>
      <c r="B64" s="1030"/>
      <c r="C64" s="1030"/>
      <c r="D64" s="1030"/>
      <c r="E64" s="1030"/>
      <c r="F64" s="1030"/>
      <c r="G64" s="1030"/>
      <c r="H64" s="1030"/>
      <c r="I64" s="1030"/>
      <c r="J64" s="1030"/>
    </row>
    <row r="66">
      <c r="A66" s="1030"/>
      <c r="B66" s="1030"/>
      <c r="C66" s="1030"/>
      <c r="D66" s="1030"/>
      <c r="E66" s="1030"/>
      <c r="F66" s="1030"/>
      <c r="G66" s="1030"/>
      <c r="H66" s="1030"/>
      <c r="I66" s="1030"/>
      <c r="J66" s="1030"/>
    </row>
    <row r="68">
      <c r="A68" s="1030"/>
      <c r="B68" s="1030"/>
      <c r="C68" s="1030"/>
      <c r="D68" s="1030"/>
      <c r="E68" s="1030"/>
      <c r="F68" s="1030"/>
      <c r="G68" s="1030"/>
      <c r="H68" s="1030"/>
      <c r="I68" s="1030"/>
      <c r="J68" s="1030"/>
    </row>
    <row r="70">
      <c r="A70" s="1030"/>
      <c r="B70" s="1030"/>
      <c r="C70" s="1030"/>
      <c r="D70" s="1030"/>
      <c r="E70" s="1030"/>
      <c r="F70" s="1030"/>
      <c r="G70" s="1030"/>
      <c r="H70" s="1030"/>
      <c r="I70" s="1030"/>
      <c r="J70" s="1030"/>
    </row>
    <row r="72">
      <c r="A72" s="1030"/>
      <c r="B72" s="1030"/>
      <c r="C72" s="1030"/>
      <c r="D72" s="1030"/>
      <c r="E72" s="1030"/>
      <c r="F72" s="1030"/>
      <c r="G72" s="1030"/>
      <c r="H72" s="1030"/>
      <c r="I72" s="1030"/>
      <c r="J72" s="1030"/>
    </row>
    <row r="74">
      <c r="A74" s="1030"/>
      <c r="B74" s="1030"/>
      <c r="C74" s="1030"/>
      <c r="D74" s="1030"/>
      <c r="E74" s="1030"/>
      <c r="F74" s="1030"/>
      <c r="G74" s="1030"/>
      <c r="H74" s="1030"/>
      <c r="I74" s="1030"/>
      <c r="J74" s="1030"/>
    </row>
    <row r="76">
      <c r="A76" s="1030"/>
      <c r="B76" s="1030"/>
      <c r="C76" s="1030"/>
      <c r="D76" s="1030"/>
      <c r="E76" s="1030"/>
      <c r="F76" s="1030"/>
      <c r="G76" s="1030"/>
      <c r="H76" s="1030"/>
      <c r="I76" s="1030"/>
      <c r="J76" s="1030"/>
    </row>
    <row r="78">
      <c r="A78" s="1030"/>
      <c r="B78" s="1030"/>
      <c r="C78" s="1030"/>
      <c r="D78" s="1030"/>
      <c r="E78" s="1030"/>
      <c r="F78" s="1030"/>
      <c r="G78" s="1030"/>
      <c r="H78" s="1030"/>
      <c r="I78" s="1030"/>
      <c r="J78" s="1030"/>
    </row>
    <row r="80">
      <c r="A80" s="1030"/>
      <c r="B80" s="1030"/>
      <c r="C80" s="1030"/>
      <c r="D80" s="1030"/>
      <c r="E80" s="1030"/>
      <c r="F80" s="1030"/>
      <c r="G80" s="1030"/>
      <c r="H80" s="1030"/>
      <c r="I80" s="1030"/>
      <c r="J80" s="1030"/>
    </row>
    <row r="82">
      <c r="A82" s="1030"/>
      <c r="B82" s="1030"/>
      <c r="C82" s="1030"/>
      <c r="D82" s="1030"/>
      <c r="E82" s="1030"/>
      <c r="F82" s="1030"/>
      <c r="G82" s="1030"/>
      <c r="H82" s="1030"/>
      <c r="I82" s="1030"/>
      <c r="J82" s="1030"/>
    </row>
    <row r="84">
      <c r="A84" s="1030"/>
      <c r="B84" s="1030"/>
      <c r="C84" s="1030"/>
      <c r="D84" s="1030"/>
      <c r="E84" s="1030"/>
      <c r="F84" s="1030"/>
      <c r="G84" s="1030"/>
      <c r="H84" s="1030"/>
      <c r="I84" s="1030"/>
      <c r="J84" s="1030"/>
    </row>
    <row r="86">
      <c r="A86" s="1030"/>
      <c r="B86" s="1030"/>
      <c r="C86" s="1030"/>
      <c r="D86" s="1030"/>
      <c r="E86" s="1030"/>
      <c r="F86" s="1030"/>
      <c r="G86" s="1030"/>
      <c r="H86" s="1030"/>
      <c r="I86" s="1030"/>
      <c r="J86" s="1030"/>
    </row>
    <row r="88">
      <c r="A88" s="1030"/>
      <c r="B88" s="1030"/>
      <c r="C88" s="1030"/>
      <c r="D88" s="1030"/>
      <c r="E88" s="1030"/>
      <c r="F88" s="1030"/>
      <c r="G88" s="1030"/>
      <c r="H88" s="1030"/>
      <c r="I88" s="1030"/>
      <c r="J88" s="1030"/>
    </row>
    <row r="90">
      <c r="A90" s="1030"/>
      <c r="B90" s="1030"/>
      <c r="C90" s="1030"/>
      <c r="D90" s="1030"/>
      <c r="E90" s="1030"/>
      <c r="F90" s="1030"/>
      <c r="G90" s="1030"/>
      <c r="H90" s="1030"/>
      <c r="I90" s="1030"/>
      <c r="J90" s="1030"/>
    </row>
    <row r="92">
      <c r="A92" s="1030"/>
      <c r="B92" s="1030"/>
      <c r="C92" s="1030"/>
      <c r="D92" s="1030"/>
      <c r="E92" s="1030"/>
      <c r="F92" s="1030"/>
      <c r="G92" s="1030"/>
      <c r="H92" s="1030"/>
      <c r="I92" s="1030"/>
      <c r="J92" s="1030"/>
    </row>
    <row r="94">
      <c r="A94" s="1030"/>
      <c r="B94" s="1030"/>
      <c r="C94" s="1030"/>
      <c r="D94" s="1030"/>
      <c r="E94" s="1030"/>
      <c r="F94" s="1030"/>
      <c r="G94" s="1030"/>
      <c r="H94" s="1030"/>
      <c r="I94" s="1030"/>
      <c r="J94" s="1030"/>
    </row>
    <row r="96">
      <c r="A96" s="1030"/>
      <c r="B96" s="1030"/>
      <c r="C96" s="1030"/>
      <c r="D96" s="1030"/>
      <c r="E96" s="1030"/>
      <c r="F96" s="1030"/>
      <c r="G96" s="1030"/>
      <c r="H96" s="1030"/>
      <c r="I96" s="1030"/>
      <c r="J96" s="1030"/>
    </row>
    <row r="98">
      <c r="A98" s="1030"/>
      <c r="B98" s="1030"/>
      <c r="C98" s="1030"/>
      <c r="D98" s="1030"/>
      <c r="E98" s="1030"/>
      <c r="F98" s="1030"/>
      <c r="G98" s="1030"/>
      <c r="H98" s="1030"/>
      <c r="I98" s="1030"/>
      <c r="J98" s="1030"/>
    </row>
    <row r="100">
      <c r="A100" s="1030"/>
      <c r="B100" s="1030"/>
      <c r="C100" s="1030"/>
      <c r="D100" s="1030"/>
      <c r="E100" s="1030"/>
      <c r="F100" s="1030"/>
      <c r="G100" s="1030"/>
      <c r="H100" s="1030"/>
      <c r="I100" s="1030"/>
      <c r="J100" s="1030"/>
    </row>
    <row r="102">
      <c r="A102" s="1030"/>
      <c r="B102" s="1030"/>
      <c r="C102" s="1030"/>
      <c r="D102" s="1030"/>
      <c r="E102" s="1030"/>
      <c r="F102" s="1030"/>
      <c r="G102" s="1030"/>
      <c r="H102" s="1030"/>
      <c r="I102" s="1030"/>
      <c r="J102" s="1030"/>
    </row>
    <row r="104">
      <c r="A104" s="1030"/>
      <c r="B104" s="1030"/>
      <c r="C104" s="1030"/>
      <c r="D104" s="1030"/>
      <c r="E104" s="1030"/>
      <c r="F104" s="1030"/>
      <c r="G104" s="1030"/>
      <c r="H104" s="1030"/>
      <c r="I104" s="1030"/>
      <c r="J104" s="1030"/>
    </row>
    <row r="106">
      <c r="A106" s="1030"/>
      <c r="B106" s="1030"/>
      <c r="C106" s="1030"/>
      <c r="D106" s="1030"/>
      <c r="E106" s="1030"/>
      <c r="F106" s="1030"/>
      <c r="G106" s="1030"/>
      <c r="H106" s="1030"/>
      <c r="I106" s="1030"/>
      <c r="J106" s="1030"/>
    </row>
    <row r="108">
      <c r="A108" s="1030"/>
      <c r="B108" s="1030"/>
      <c r="C108" s="1030"/>
      <c r="D108" s="1030"/>
      <c r="E108" s="1030"/>
      <c r="F108" s="1030"/>
      <c r="G108" s="1030"/>
      <c r="H108" s="1030"/>
      <c r="I108" s="1030"/>
      <c r="J108" s="1030"/>
    </row>
    <row r="110">
      <c r="A110" s="1030"/>
      <c r="B110" s="1030"/>
      <c r="C110" s="1030"/>
      <c r="D110" s="1030"/>
      <c r="E110" s="1030"/>
      <c r="F110" s="1030"/>
      <c r="G110" s="1030"/>
      <c r="H110" s="1030"/>
      <c r="I110" s="1030"/>
      <c r="J110" s="1030"/>
    </row>
    <row r="112">
      <c r="A112" s="1030"/>
      <c r="B112" s="1030"/>
      <c r="C112" s="1030"/>
      <c r="D112" s="1030"/>
      <c r="E112" s="1030"/>
      <c r="F112" s="1030"/>
      <c r="G112" s="1030"/>
      <c r="H112" s="1030"/>
      <c r="I112" s="1030"/>
      <c r="J112" s="1030"/>
    </row>
    <row r="114">
      <c r="A114" s="1030"/>
      <c r="B114" s="1030"/>
      <c r="C114" s="1030"/>
      <c r="D114" s="1030"/>
      <c r="E114" s="1030"/>
      <c r="F114" s="1030"/>
      <c r="G114" s="1030"/>
      <c r="H114" s="1030"/>
      <c r="I114" s="1030"/>
      <c r="J114" s="1030"/>
    </row>
    <row r="116">
      <c r="A116" s="1030"/>
      <c r="B116" s="1030"/>
      <c r="C116" s="1030"/>
      <c r="D116" s="1030"/>
      <c r="E116" s="1030"/>
      <c r="F116" s="1030"/>
      <c r="G116" s="1030"/>
      <c r="H116" s="1030"/>
      <c r="I116" s="1030"/>
      <c r="J116" s="1030"/>
    </row>
    <row r="118">
      <c r="A118" s="1030"/>
      <c r="B118" s="1030"/>
      <c r="C118" s="1030"/>
      <c r="D118" s="1030"/>
      <c r="E118" s="1030"/>
      <c r="F118" s="1030"/>
      <c r="G118" s="1030"/>
      <c r="H118" s="1030"/>
      <c r="I118" s="1030"/>
      <c r="J118" s="1030"/>
    </row>
    <row r="120">
      <c r="A120" s="1030"/>
      <c r="B120" s="1030"/>
      <c r="C120" s="1030"/>
      <c r="D120" s="1030"/>
      <c r="E120" s="1030"/>
      <c r="F120" s="1030"/>
      <c r="G120" s="1030"/>
      <c r="H120" s="1030"/>
      <c r="I120" s="1030"/>
      <c r="J120" s="1030"/>
    </row>
    <row r="122">
      <c r="A122" s="1030"/>
      <c r="B122" s="1030"/>
      <c r="C122" s="1030"/>
      <c r="D122" s="1030"/>
      <c r="E122" s="1030"/>
      <c r="F122" s="1030"/>
      <c r="G122" s="1030"/>
      <c r="H122" s="1030"/>
      <c r="I122" s="1030"/>
      <c r="J122" s="1030"/>
    </row>
    <row r="124">
      <c r="A124" s="1030"/>
      <c r="B124" s="1030"/>
      <c r="C124" s="1030"/>
      <c r="D124" s="1030"/>
      <c r="E124" s="1030"/>
      <c r="F124" s="1030"/>
      <c r="G124" s="1030"/>
      <c r="H124" s="1030"/>
      <c r="I124" s="1030"/>
      <c r="J124" s="1030"/>
    </row>
    <row r="126">
      <c r="A126" s="1030"/>
      <c r="B126" s="1030"/>
      <c r="C126" s="1030"/>
      <c r="D126" s="1030"/>
      <c r="E126" s="1030"/>
      <c r="F126" s="1030"/>
      <c r="G126" s="1030"/>
      <c r="H126" s="1030"/>
      <c r="I126" s="1030"/>
      <c r="J126" s="1030"/>
    </row>
    <row r="128">
      <c r="A128" s="1030"/>
      <c r="B128" s="1030"/>
      <c r="C128" s="1030"/>
      <c r="D128" s="1030"/>
      <c r="E128" s="1030"/>
      <c r="F128" s="1030"/>
      <c r="G128" s="1030"/>
      <c r="H128" s="1030"/>
      <c r="I128" s="1030"/>
      <c r="J128" s="1030"/>
    </row>
    <row r="130">
      <c r="A130" s="1030"/>
      <c r="B130" s="1030"/>
      <c r="C130" s="1030"/>
      <c r="D130" s="1030"/>
      <c r="E130" s="1030"/>
      <c r="F130" s="1030"/>
      <c r="G130" s="1030"/>
      <c r="H130" s="1030"/>
      <c r="I130" s="1030"/>
      <c r="J130" s="1030"/>
    </row>
    <row r="132">
      <c r="A132" s="1030"/>
      <c r="B132" s="1030"/>
      <c r="C132" s="1030"/>
      <c r="D132" s="1030"/>
      <c r="E132" s="1030"/>
      <c r="F132" s="1030"/>
      <c r="G132" s="1030"/>
      <c r="H132" s="1030"/>
      <c r="I132" s="1030"/>
      <c r="J132" s="1030"/>
    </row>
    <row r="134">
      <c r="A134" s="1030"/>
      <c r="B134" s="1030"/>
      <c r="C134" s="1030"/>
      <c r="D134" s="1030"/>
      <c r="E134" s="1030"/>
      <c r="F134" s="1030"/>
      <c r="G134" s="1030"/>
      <c r="H134" s="1030"/>
      <c r="I134" s="1030"/>
      <c r="J134" s="1030"/>
    </row>
    <row r="136">
      <c r="A136" s="1030"/>
      <c r="B136" s="1030"/>
      <c r="C136" s="1030"/>
      <c r="D136" s="1030"/>
      <c r="E136" s="1030"/>
      <c r="F136" s="1030"/>
      <c r="G136" s="1030"/>
      <c r="H136" s="1030"/>
      <c r="I136" s="1030"/>
      <c r="J136" s="1030"/>
    </row>
    <row r="138">
      <c r="A138" s="1030"/>
      <c r="B138" s="1030"/>
      <c r="C138" s="1030"/>
      <c r="D138" s="1030"/>
      <c r="E138" s="1030"/>
      <c r="F138" s="1030"/>
      <c r="G138" s="1030"/>
      <c r="H138" s="1030"/>
      <c r="I138" s="1030"/>
      <c r="J138" s="1030"/>
    </row>
    <row r="140">
      <c r="A140" s="1030"/>
      <c r="B140" s="1030"/>
      <c r="C140" s="1030"/>
      <c r="D140" s="1030"/>
      <c r="E140" s="1030"/>
      <c r="F140" s="1030"/>
      <c r="G140" s="1030"/>
      <c r="H140" s="1030"/>
      <c r="I140" s="1030"/>
      <c r="J140" s="1030"/>
    </row>
    <row r="142">
      <c r="A142" s="1030"/>
      <c r="B142" s="1030"/>
      <c r="C142" s="1030"/>
      <c r="D142" s="1030"/>
      <c r="E142" s="1030"/>
      <c r="F142" s="1030"/>
      <c r="G142" s="1030"/>
      <c r="H142" s="1030"/>
      <c r="I142" s="1030"/>
      <c r="J142" s="1030"/>
    </row>
    <row r="144">
      <c r="A144" s="1030"/>
      <c r="B144" s="1030"/>
      <c r="C144" s="1030"/>
      <c r="D144" s="1030"/>
      <c r="E144" s="1030"/>
      <c r="F144" s="1030"/>
      <c r="G144" s="1030"/>
      <c r="H144" s="1030"/>
      <c r="I144" s="1030"/>
      <c r="J144" s="1030"/>
    </row>
    <row r="146">
      <c r="A146" s="1030"/>
      <c r="B146" s="1030"/>
      <c r="C146" s="1030"/>
      <c r="D146" s="1030"/>
      <c r="E146" s="1030"/>
      <c r="F146" s="1030"/>
      <c r="G146" s="1030"/>
      <c r="H146" s="1030"/>
      <c r="I146" s="1030"/>
      <c r="J146" s="1030"/>
    </row>
    <row r="148">
      <c r="A148" s="1030"/>
      <c r="B148" s="1030"/>
      <c r="C148" s="1030"/>
      <c r="D148" s="1030"/>
      <c r="E148" s="1030"/>
      <c r="F148" s="1030"/>
      <c r="G148" s="1030"/>
      <c r="H148" s="1030"/>
      <c r="I148" s="1030"/>
      <c r="J148" s="1030"/>
    </row>
    <row r="150">
      <c r="A150" s="1030"/>
      <c r="B150" s="1030"/>
      <c r="C150" s="1030"/>
      <c r="D150" s="1030"/>
      <c r="E150" s="1030"/>
      <c r="F150" s="1030"/>
      <c r="G150" s="1030"/>
      <c r="H150" s="1030"/>
      <c r="I150" s="1030"/>
      <c r="J150" s="1030"/>
    </row>
    <row r="152">
      <c r="A152" s="1030"/>
      <c r="B152" s="1030"/>
      <c r="C152" s="1030"/>
      <c r="D152" s="1030"/>
      <c r="E152" s="1030"/>
      <c r="F152" s="1030"/>
      <c r="G152" s="1030"/>
      <c r="H152" s="1030"/>
      <c r="I152" s="1030"/>
      <c r="J152" s="1030"/>
    </row>
    <row r="154">
      <c r="A154" s="1030"/>
      <c r="B154" s="1030"/>
      <c r="C154" s="1030"/>
      <c r="D154" s="1030"/>
      <c r="E154" s="1030"/>
      <c r="F154" s="1030"/>
      <c r="G154" s="1030"/>
      <c r="H154" s="1030"/>
      <c r="I154" s="1030"/>
      <c r="J154" s="1030"/>
    </row>
    <row r="156">
      <c r="A156" s="1030"/>
      <c r="B156" s="1030"/>
      <c r="C156" s="1030"/>
      <c r="D156" s="1030"/>
      <c r="E156" s="1030"/>
      <c r="F156" s="1030"/>
      <c r="G156" s="1030"/>
      <c r="H156" s="1030"/>
      <c r="I156" s="1030"/>
      <c r="J156" s="1030"/>
    </row>
    <row r="158">
      <c r="A158" s="1030"/>
      <c r="B158" s="1030"/>
      <c r="C158" s="1030"/>
      <c r="D158" s="1030"/>
      <c r="E158" s="1030"/>
      <c r="F158" s="1030"/>
      <c r="G158" s="1030"/>
      <c r="H158" s="1030"/>
      <c r="I158" s="1030"/>
      <c r="J158" s="1030"/>
    </row>
    <row r="160">
      <c r="A160" s="1030"/>
      <c r="B160" s="1030"/>
      <c r="C160" s="1030"/>
      <c r="D160" s="1030"/>
      <c r="E160" s="1030"/>
      <c r="F160" s="1030"/>
      <c r="G160" s="1030"/>
      <c r="H160" s="1030"/>
      <c r="I160" s="1030"/>
      <c r="J160" s="1030"/>
    </row>
    <row r="162">
      <c r="A162" s="1030"/>
      <c r="B162" s="1030"/>
      <c r="C162" s="1030"/>
      <c r="D162" s="1030"/>
      <c r="E162" s="1030"/>
      <c r="F162" s="1030"/>
      <c r="G162" s="1030"/>
      <c r="H162" s="1030"/>
      <c r="I162" s="1030"/>
      <c r="J162" s="1030"/>
    </row>
    <row r="164">
      <c r="A164" s="1030"/>
      <c r="B164" s="1030"/>
      <c r="C164" s="1030"/>
      <c r="D164" s="1030"/>
      <c r="E164" s="1030"/>
      <c r="F164" s="1030"/>
      <c r="G164" s="1030"/>
      <c r="H164" s="1030"/>
      <c r="I164" s="1030"/>
      <c r="J164" s="1030"/>
    </row>
    <row r="166">
      <c r="A166" s="1030"/>
      <c r="B166" s="1030"/>
      <c r="C166" s="1030"/>
      <c r="D166" s="1030"/>
      <c r="E166" s="1030"/>
      <c r="F166" s="1030"/>
      <c r="G166" s="1030"/>
      <c r="H166" s="1030"/>
      <c r="I166" s="1030"/>
      <c r="J166" s="1030"/>
    </row>
    <row r="168">
      <c r="A168" s="1030"/>
      <c r="B168" s="1030"/>
      <c r="C168" s="1030"/>
      <c r="D168" s="1030"/>
      <c r="E168" s="1030"/>
      <c r="F168" s="1030"/>
      <c r="G168" s="1030"/>
      <c r="H168" s="1030"/>
      <c r="I168" s="1030"/>
      <c r="J168" s="1030"/>
    </row>
    <row r="170">
      <c r="A170" s="1030"/>
      <c r="B170" s="1030"/>
      <c r="C170" s="1030"/>
      <c r="D170" s="1030"/>
      <c r="E170" s="1030"/>
      <c r="F170" s="1030"/>
      <c r="G170" s="1030"/>
      <c r="H170" s="1030"/>
      <c r="I170" s="1030"/>
      <c r="J170" s="1030"/>
    </row>
    <row r="172">
      <c r="A172" s="1030"/>
      <c r="B172" s="1030"/>
      <c r="C172" s="1030"/>
      <c r="D172" s="1030"/>
      <c r="E172" s="1030"/>
      <c r="F172" s="1030"/>
      <c r="G172" s="1030"/>
      <c r="H172" s="1030"/>
      <c r="I172" s="1030"/>
      <c r="J172" s="1030"/>
    </row>
    <row r="174">
      <c r="A174" s="1030"/>
      <c r="B174" s="1030"/>
      <c r="C174" s="1030"/>
      <c r="D174" s="1030"/>
      <c r="E174" s="1030"/>
      <c r="F174" s="1030"/>
      <c r="G174" s="1030"/>
      <c r="H174" s="1030"/>
      <c r="I174" s="1030"/>
      <c r="J174" s="103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20.13"/>
    <col customWidth="1" min="4" max="4" width="28.0"/>
    <col customWidth="1" min="5" max="5" width="21.38"/>
    <col customWidth="1" min="6" max="6" width="30.38"/>
    <col customWidth="1" min="7" max="7" width="20.88"/>
    <col customWidth="1" min="8" max="8" width="34.38"/>
  </cols>
  <sheetData>
    <row r="1">
      <c r="A1" s="300" t="s">
        <v>9117</v>
      </c>
    </row>
    <row r="2">
      <c r="B2" s="392" t="s">
        <v>9118</v>
      </c>
      <c r="C2" s="392" t="s">
        <v>9119</v>
      </c>
      <c r="D2" s="392" t="s">
        <v>9120</v>
      </c>
      <c r="E2" s="392" t="s">
        <v>9121</v>
      </c>
      <c r="F2" s="392" t="s">
        <v>9122</v>
      </c>
      <c r="G2" s="392" t="s">
        <v>9123</v>
      </c>
      <c r="H2" s="392" t="s">
        <v>9124</v>
      </c>
    </row>
    <row r="3">
      <c r="B3" s="1031" t="s">
        <v>9125</v>
      </c>
      <c r="C3" s="1031" t="s">
        <v>9126</v>
      </c>
      <c r="D3" s="1031" t="s">
        <v>9127</v>
      </c>
      <c r="E3" s="1032" t="s">
        <v>9128</v>
      </c>
      <c r="F3" s="1032" t="s">
        <v>9129</v>
      </c>
      <c r="G3" s="1032" t="s">
        <v>1440</v>
      </c>
      <c r="H3" s="1032" t="s">
        <v>9130</v>
      </c>
    </row>
    <row r="4">
      <c r="B4" s="540"/>
      <c r="C4" s="1031" t="s">
        <v>9131</v>
      </c>
      <c r="D4" s="1031" t="s">
        <v>9132</v>
      </c>
      <c r="E4" s="1033"/>
      <c r="F4" s="1032" t="s">
        <v>9133</v>
      </c>
      <c r="G4" s="1033"/>
      <c r="H4" s="1032" t="s">
        <v>9134</v>
      </c>
    </row>
    <row r="5">
      <c r="B5" s="540"/>
      <c r="C5" s="1031" t="s">
        <v>9135</v>
      </c>
      <c r="D5" s="1031" t="s">
        <v>9136</v>
      </c>
      <c r="E5" s="1033"/>
      <c r="F5" s="1032" t="s">
        <v>9137</v>
      </c>
      <c r="G5" s="540"/>
      <c r="H5" s="1032" t="s">
        <v>9138</v>
      </c>
    </row>
    <row r="6">
      <c r="B6" s="540"/>
      <c r="C6" s="540"/>
      <c r="D6" s="1031" t="s">
        <v>9139</v>
      </c>
      <c r="E6" s="1033"/>
      <c r="F6" s="1033"/>
      <c r="G6" s="540"/>
      <c r="H6" s="1032" t="s">
        <v>9140</v>
      </c>
    </row>
    <row r="7">
      <c r="B7" s="540"/>
      <c r="C7" s="540"/>
      <c r="D7" s="540"/>
      <c r="E7" s="540"/>
      <c r="F7" s="540"/>
      <c r="G7" s="540"/>
      <c r="H7" s="1032" t="s">
        <v>9141</v>
      </c>
    </row>
    <row r="8">
      <c r="B8" s="540"/>
      <c r="C8" s="540"/>
      <c r="D8" s="540"/>
      <c r="E8" s="540"/>
      <c r="F8" s="1034"/>
      <c r="G8" s="540"/>
      <c r="H8" s="1032" t="s">
        <v>9142</v>
      </c>
    </row>
    <row r="9">
      <c r="B9" s="540"/>
      <c r="C9" s="540"/>
      <c r="D9" s="540"/>
      <c r="E9" s="540"/>
      <c r="F9" s="1035" t="s">
        <v>9143</v>
      </c>
      <c r="G9" s="540"/>
      <c r="H9" s="1032" t="s">
        <v>9144</v>
      </c>
    </row>
    <row r="10">
      <c r="B10" s="540"/>
      <c r="C10" s="540"/>
      <c r="D10" s="540"/>
      <c r="E10" s="540"/>
      <c r="F10" s="540"/>
      <c r="G10" s="540"/>
      <c r="H10" s="1032" t="s">
        <v>9145</v>
      </c>
    </row>
    <row r="11">
      <c r="B11" s="540"/>
      <c r="C11" s="540"/>
      <c r="D11" s="540"/>
      <c r="E11" s="540"/>
      <c r="F11" s="1034"/>
      <c r="G11" s="540"/>
      <c r="H11" s="540"/>
    </row>
    <row r="12">
      <c r="B12" s="540"/>
      <c r="C12" s="540"/>
      <c r="D12" s="540"/>
      <c r="E12" s="1033"/>
      <c r="F12" s="1035" t="s">
        <v>9146</v>
      </c>
      <c r="G12" s="540"/>
      <c r="H12" s="540"/>
    </row>
    <row r="13">
      <c r="B13" s="540"/>
      <c r="C13" s="540"/>
      <c r="D13" s="540"/>
      <c r="E13" s="540"/>
      <c r="F13" s="1033"/>
      <c r="G13" s="540"/>
      <c r="H13" s="540"/>
    </row>
    <row r="14">
      <c r="B14" s="540"/>
      <c r="C14" s="540"/>
      <c r="D14" s="540"/>
      <c r="E14" s="540"/>
      <c r="F14" s="540"/>
      <c r="G14" s="540"/>
      <c r="H14" s="540"/>
    </row>
    <row r="15">
      <c r="B15" s="540"/>
      <c r="C15" s="540"/>
      <c r="D15" s="540"/>
      <c r="E15" s="540"/>
      <c r="F15" s="540"/>
      <c r="G15" s="540"/>
      <c r="H15" s="540"/>
    </row>
    <row r="18">
      <c r="B18" s="300" t="s">
        <v>7646</v>
      </c>
    </row>
    <row r="19">
      <c r="B19" s="369" t="s">
        <v>7647</v>
      </c>
    </row>
    <row r="20">
      <c r="B20" s="343" t="s">
        <v>7648</v>
      </c>
    </row>
    <row r="21">
      <c r="B21" s="1036" t="s">
        <v>7649</v>
      </c>
    </row>
    <row r="22">
      <c r="B22" s="1037" t="s">
        <v>7650</v>
      </c>
    </row>
    <row r="23">
      <c r="B23" s="1038" t="s">
        <v>7651</v>
      </c>
    </row>
    <row r="24">
      <c r="B24" s="1039" t="s">
        <v>7652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3" width="23.25"/>
    <col customWidth="1" min="4" max="4" width="20.88"/>
    <col customWidth="1" min="5" max="5" width="26.25"/>
    <col customWidth="1" min="6" max="8" width="23.25"/>
    <col customWidth="1" min="9" max="9" width="9.13"/>
  </cols>
  <sheetData>
    <row r="1">
      <c r="A1" s="1040"/>
      <c r="B1" s="522" t="s">
        <v>9147</v>
      </c>
      <c r="I1" s="352"/>
    </row>
    <row r="2">
      <c r="A2" s="972"/>
      <c r="I2" s="352"/>
    </row>
    <row r="3">
      <c r="A3" s="972"/>
      <c r="B3" s="1041" t="s">
        <v>63</v>
      </c>
      <c r="C3" s="1041" t="s">
        <v>122</v>
      </c>
      <c r="D3" s="1041" t="s">
        <v>4168</v>
      </c>
      <c r="E3" s="1041" t="s">
        <v>109</v>
      </c>
      <c r="F3" s="1041" t="s">
        <v>51</v>
      </c>
      <c r="G3" s="1041" t="s">
        <v>72</v>
      </c>
      <c r="H3" s="1041" t="s">
        <v>103</v>
      </c>
      <c r="I3" s="352"/>
    </row>
    <row r="4">
      <c r="A4" s="694" t="s">
        <v>6524</v>
      </c>
      <c r="B4" s="528" t="s">
        <v>9148</v>
      </c>
      <c r="C4" s="531" t="s">
        <v>8210</v>
      </c>
      <c r="D4" s="696"/>
      <c r="E4" s="529" t="s">
        <v>8211</v>
      </c>
      <c r="F4" s="529" t="s">
        <v>9149</v>
      </c>
      <c r="G4" s="529" t="s">
        <v>8213</v>
      </c>
      <c r="H4" s="531" t="s">
        <v>8214</v>
      </c>
      <c r="I4" s="352"/>
    </row>
    <row r="5">
      <c r="A5" s="401"/>
      <c r="B5" s="528" t="s">
        <v>9150</v>
      </c>
      <c r="C5" s="535" t="s">
        <v>8222</v>
      </c>
      <c r="D5" s="540"/>
      <c r="E5" s="531" t="s">
        <v>8217</v>
      </c>
      <c r="F5" s="529" t="s">
        <v>8212</v>
      </c>
      <c r="G5" s="531" t="s">
        <v>8219</v>
      </c>
      <c r="H5" s="531" t="s">
        <v>8220</v>
      </c>
      <c r="I5" s="352"/>
    </row>
    <row r="6">
      <c r="A6" s="401"/>
      <c r="B6" s="528" t="s">
        <v>9151</v>
      </c>
      <c r="C6" s="535" t="s">
        <v>8227</v>
      </c>
      <c r="D6" s="540"/>
      <c r="E6" s="531" t="s">
        <v>8223</v>
      </c>
      <c r="F6" s="528" t="s">
        <v>9152</v>
      </c>
      <c r="G6" s="528" t="s">
        <v>9153</v>
      </c>
      <c r="H6" s="535" t="s">
        <v>9154</v>
      </c>
      <c r="I6" s="352"/>
    </row>
    <row r="7">
      <c r="A7" s="401"/>
      <c r="B7" s="529" t="s">
        <v>8209</v>
      </c>
      <c r="C7" s="535" t="s">
        <v>621</v>
      </c>
      <c r="D7" s="398"/>
      <c r="E7" s="535" t="s">
        <v>9155</v>
      </c>
      <c r="F7" s="531" t="s">
        <v>8218</v>
      </c>
      <c r="H7" s="535" t="s">
        <v>8225</v>
      </c>
      <c r="I7" s="352"/>
    </row>
    <row r="8">
      <c r="A8" s="401"/>
      <c r="B8" s="529" t="s">
        <v>8215</v>
      </c>
      <c r="C8" s="535" t="s">
        <v>8237</v>
      </c>
      <c r="D8" s="699"/>
      <c r="E8" s="701"/>
      <c r="F8" s="535" t="s">
        <v>8224</v>
      </c>
      <c r="G8" s="554"/>
      <c r="H8" s="535" t="s">
        <v>8231</v>
      </c>
      <c r="I8" s="352"/>
    </row>
    <row r="9">
      <c r="A9" s="401"/>
      <c r="B9" s="1042" t="s">
        <v>9156</v>
      </c>
      <c r="C9" s="535" t="s">
        <v>9157</v>
      </c>
      <c r="D9" s="554"/>
      <c r="E9" s="701"/>
      <c r="F9" s="398"/>
      <c r="G9" s="554"/>
      <c r="H9" s="535" t="s">
        <v>8238</v>
      </c>
      <c r="I9" s="352"/>
    </row>
    <row r="10">
      <c r="A10" s="401"/>
      <c r="B10" s="529" t="s">
        <v>8226</v>
      </c>
      <c r="C10" s="894"/>
      <c r="D10" s="924"/>
      <c r="E10" s="554"/>
      <c r="F10" s="398"/>
      <c r="G10" s="554"/>
      <c r="H10" s="535" t="s">
        <v>8234</v>
      </c>
      <c r="I10" s="352"/>
    </row>
    <row r="11">
      <c r="A11" s="401"/>
      <c r="B11" s="1042" t="s">
        <v>8232</v>
      </c>
      <c r="C11" s="554"/>
      <c r="D11" s="554"/>
      <c r="E11" s="924"/>
      <c r="F11" s="398"/>
      <c r="G11" s="554"/>
      <c r="H11" s="547"/>
      <c r="I11" s="352"/>
    </row>
    <row r="12">
      <c r="A12" s="401"/>
      <c r="B12" s="531" t="s">
        <v>8236</v>
      </c>
      <c r="C12" s="924"/>
      <c r="D12" s="554"/>
      <c r="E12" s="554"/>
      <c r="F12" s="398"/>
      <c r="G12" s="554"/>
      <c r="H12" s="547"/>
      <c r="I12" s="352"/>
    </row>
    <row r="13">
      <c r="A13" s="401"/>
      <c r="B13" s="531" t="s">
        <v>8240</v>
      </c>
      <c r="C13" s="554"/>
      <c r="D13" s="554"/>
      <c r="E13" s="554"/>
      <c r="F13" s="398"/>
      <c r="G13" s="554"/>
      <c r="H13" s="547"/>
      <c r="I13" s="352"/>
    </row>
    <row r="14">
      <c r="A14" s="401"/>
      <c r="B14" s="531" t="s">
        <v>8242</v>
      </c>
      <c r="C14" s="554"/>
      <c r="D14" s="554"/>
      <c r="E14" s="554"/>
      <c r="F14" s="398"/>
      <c r="G14" s="554"/>
      <c r="H14" s="547"/>
      <c r="I14" s="352"/>
    </row>
    <row r="15">
      <c r="A15" s="401"/>
      <c r="B15" s="531" t="s">
        <v>8244</v>
      </c>
      <c r="C15" s="554"/>
      <c r="D15" s="554"/>
      <c r="E15" s="554"/>
      <c r="F15" s="554"/>
      <c r="G15" s="554"/>
      <c r="H15" s="547"/>
      <c r="I15" s="352"/>
      <c r="J15" s="538" t="s">
        <v>9158</v>
      </c>
    </row>
    <row r="16">
      <c r="A16" s="401"/>
      <c r="B16" s="531" t="s">
        <v>8245</v>
      </c>
      <c r="C16" s="554"/>
      <c r="D16" s="554"/>
      <c r="E16" s="554"/>
      <c r="F16" s="554"/>
      <c r="G16" s="554"/>
      <c r="H16" s="547"/>
      <c r="I16" s="352"/>
      <c r="J16" s="538" t="s">
        <v>9159</v>
      </c>
    </row>
    <row r="17">
      <c r="A17" s="401"/>
      <c r="B17" s="535" t="s">
        <v>9160</v>
      </c>
      <c r="C17" s="554"/>
      <c r="D17" s="554"/>
      <c r="E17" s="549" t="s">
        <v>8195</v>
      </c>
      <c r="F17" s="554"/>
      <c r="G17" s="554"/>
      <c r="H17" s="547"/>
      <c r="I17" s="352"/>
      <c r="J17" s="538" t="s">
        <v>9161</v>
      </c>
    </row>
    <row r="18">
      <c r="A18" s="401"/>
      <c r="B18" s="535" t="s">
        <v>8803</v>
      </c>
      <c r="C18" s="554"/>
      <c r="D18" s="554"/>
      <c r="E18" s="551" t="s">
        <v>8197</v>
      </c>
      <c r="F18" s="554"/>
      <c r="G18" s="554"/>
      <c r="H18" s="547"/>
      <c r="I18" s="352"/>
      <c r="J18" s="538" t="s">
        <v>9162</v>
      </c>
    </row>
    <row r="19">
      <c r="A19" s="401"/>
      <c r="B19" s="696"/>
      <c r="C19" s="554"/>
      <c r="D19" s="554"/>
      <c r="E19" s="553" t="s">
        <v>8199</v>
      </c>
      <c r="F19" s="554"/>
      <c r="G19" s="554"/>
      <c r="H19" s="547"/>
      <c r="I19" s="352"/>
    </row>
    <row r="20">
      <c r="A20" s="401"/>
      <c r="B20" s="701"/>
      <c r="C20" s="554"/>
      <c r="D20" s="554"/>
      <c r="E20" s="555" t="s">
        <v>8200</v>
      </c>
      <c r="F20" s="554"/>
      <c r="G20" s="554"/>
      <c r="H20" s="547"/>
      <c r="I20" s="352"/>
    </row>
    <row r="21">
      <c r="A21" s="403"/>
      <c r="B21" s="554"/>
      <c r="C21" s="554"/>
      <c r="D21" s="554"/>
      <c r="E21" s="554"/>
      <c r="F21" s="554"/>
      <c r="G21" s="554"/>
      <c r="H21" s="547"/>
      <c r="I21" s="559" t="s">
        <v>8202</v>
      </c>
    </row>
    <row r="22">
      <c r="A22" s="704" t="s">
        <v>8202</v>
      </c>
      <c r="B22" s="561">
        <f>COUNTA(B4:B21)</f>
        <v>15</v>
      </c>
      <c r="C22" s="561">
        <f t="shared" ref="C22:D22" si="1">COUNTA(C4:C20)</f>
        <v>6</v>
      </c>
      <c r="D22" s="561">
        <f t="shared" si="1"/>
        <v>0</v>
      </c>
      <c r="E22" s="561">
        <f t="shared" ref="E22:F22" si="2">COUNTA(E4:E10)</f>
        <v>4</v>
      </c>
      <c r="F22" s="705">
        <f t="shared" si="2"/>
        <v>5</v>
      </c>
      <c r="G22" s="561">
        <f t="shared" ref="G22:H22" si="3">COUNTA(G4:G20)</f>
        <v>3</v>
      </c>
      <c r="H22" s="561">
        <f t="shared" si="3"/>
        <v>7</v>
      </c>
      <c r="I22" s="564">
        <f>SUM(B22:H22)</f>
        <v>40</v>
      </c>
    </row>
    <row r="23">
      <c r="A23" s="972"/>
      <c r="C23" s="972"/>
      <c r="D23" s="391"/>
      <c r="E23" s="391"/>
      <c r="F23" s="391"/>
      <c r="G23" s="391"/>
      <c r="H23" s="352"/>
      <c r="I23" s="352"/>
    </row>
    <row r="24">
      <c r="A24" s="972"/>
      <c r="B24" s="555" t="s">
        <v>9163</v>
      </c>
      <c r="C24" s="972"/>
      <c r="D24" s="391"/>
      <c r="E24" s="391"/>
      <c r="F24" s="391"/>
      <c r="G24" s="391"/>
      <c r="H24" s="352"/>
      <c r="I24" s="352"/>
    </row>
    <row r="25">
      <c r="A25" s="391"/>
      <c r="B25" s="553" t="s">
        <v>9164</v>
      </c>
      <c r="C25" s="391"/>
      <c r="D25" s="391"/>
      <c r="E25" s="391"/>
      <c r="F25" s="391"/>
      <c r="G25" s="391"/>
    </row>
    <row r="26">
      <c r="A26" s="706" t="s">
        <v>122</v>
      </c>
      <c r="B26" s="567" t="s">
        <v>7</v>
      </c>
      <c r="C26" s="567" t="s">
        <v>8206</v>
      </c>
      <c r="D26" s="567" t="s">
        <v>8248</v>
      </c>
      <c r="E26" s="567" t="s">
        <v>9165</v>
      </c>
      <c r="F26" s="567" t="s">
        <v>27</v>
      </c>
      <c r="G26" s="567" t="s">
        <v>28</v>
      </c>
      <c r="H26" s="567" t="s">
        <v>30</v>
      </c>
      <c r="L26" s="365"/>
      <c r="M26" s="365"/>
      <c r="N26" s="365"/>
      <c r="O26" s="365"/>
      <c r="P26" s="365"/>
      <c r="Q26" s="365"/>
      <c r="R26" s="365"/>
      <c r="S26" s="365"/>
      <c r="T26" s="365"/>
      <c r="U26" s="365"/>
      <c r="V26" s="365"/>
      <c r="W26" s="365"/>
      <c r="X26" s="365"/>
      <c r="Y26" s="365"/>
      <c r="Z26" s="365"/>
    </row>
    <row r="27">
      <c r="A27" s="615"/>
      <c r="B27" s="599" t="s">
        <v>8227</v>
      </c>
      <c r="C27" s="599" t="s">
        <v>43</v>
      </c>
      <c r="D27" s="1043"/>
      <c r="E27" s="1043"/>
      <c r="F27" s="603">
        <v>45145.0</v>
      </c>
      <c r="G27" s="1044">
        <v>45146.0</v>
      </c>
      <c r="H27" s="1045"/>
      <c r="L27" s="602"/>
      <c r="M27" s="602"/>
      <c r="N27" s="602"/>
      <c r="O27" s="602"/>
      <c r="P27" s="602"/>
      <c r="Q27" s="602"/>
      <c r="R27" s="602"/>
      <c r="S27" s="602"/>
      <c r="T27" s="602"/>
      <c r="U27" s="602"/>
      <c r="V27" s="602"/>
      <c r="W27" s="602"/>
      <c r="X27" s="602"/>
      <c r="Y27" s="602"/>
      <c r="Z27" s="602"/>
    </row>
    <row r="28">
      <c r="A28" s="615"/>
      <c r="B28" s="599" t="s">
        <v>8237</v>
      </c>
      <c r="C28" s="599" t="s">
        <v>66</v>
      </c>
      <c r="D28" s="1043" t="s">
        <v>9166</v>
      </c>
      <c r="E28" s="1043">
        <v>4.2</v>
      </c>
      <c r="F28" s="603">
        <v>45156.0</v>
      </c>
      <c r="G28" s="1044">
        <v>45157.0</v>
      </c>
      <c r="H28" s="1045" t="s">
        <v>9167</v>
      </c>
      <c r="L28" s="602"/>
      <c r="M28" s="602"/>
      <c r="N28" s="602"/>
      <c r="O28" s="602"/>
      <c r="P28" s="602"/>
      <c r="Q28" s="602"/>
      <c r="R28" s="602"/>
      <c r="S28" s="602"/>
      <c r="T28" s="602"/>
      <c r="U28" s="602"/>
      <c r="V28" s="602"/>
      <c r="W28" s="602"/>
      <c r="X28" s="602"/>
      <c r="Y28" s="602"/>
      <c r="Z28" s="602"/>
    </row>
    <row r="29">
      <c r="A29" s="615"/>
      <c r="B29" s="599" t="s">
        <v>621</v>
      </c>
      <c r="C29" s="599" t="s">
        <v>255</v>
      </c>
      <c r="D29" s="615"/>
      <c r="E29" s="615"/>
      <c r="F29" s="603">
        <v>45160.0</v>
      </c>
      <c r="G29" s="603">
        <v>45166.0</v>
      </c>
      <c r="H29" s="1045"/>
      <c r="L29" s="602"/>
      <c r="M29" s="602"/>
      <c r="N29" s="602"/>
      <c r="O29" s="602"/>
      <c r="P29" s="602"/>
      <c r="Q29" s="602"/>
      <c r="R29" s="602"/>
      <c r="S29" s="602"/>
      <c r="T29" s="602"/>
      <c r="U29" s="602"/>
      <c r="V29" s="602"/>
      <c r="W29" s="602"/>
      <c r="X29" s="602"/>
      <c r="Y29" s="602"/>
      <c r="Z29" s="602"/>
    </row>
    <row r="30">
      <c r="A30" s="290"/>
      <c r="B30" s="575" t="s">
        <v>9168</v>
      </c>
      <c r="C30" s="575" t="s">
        <v>174</v>
      </c>
      <c r="D30" s="575" t="s">
        <v>9169</v>
      </c>
      <c r="E30" s="575">
        <v>3.96</v>
      </c>
      <c r="F30" s="290"/>
      <c r="G30" s="290"/>
      <c r="H30" s="579" t="s">
        <v>9170</v>
      </c>
    </row>
    <row r="32">
      <c r="A32" s="575">
        <v>4.0</v>
      </c>
      <c r="B32" s="575" t="s">
        <v>9171</v>
      </c>
      <c r="C32" s="575" t="s">
        <v>66</v>
      </c>
      <c r="D32" s="575" t="s">
        <v>9172</v>
      </c>
      <c r="E32" s="575" t="s">
        <v>1836</v>
      </c>
      <c r="F32" s="290"/>
      <c r="G32" s="290"/>
      <c r="H32" s="579" t="s">
        <v>9173</v>
      </c>
    </row>
    <row r="33">
      <c r="A33" s="290"/>
      <c r="B33" s="575" t="s">
        <v>9174</v>
      </c>
      <c r="C33" s="575" t="s">
        <v>73</v>
      </c>
      <c r="D33" s="575" t="s">
        <v>9175</v>
      </c>
      <c r="E33" s="290"/>
      <c r="F33" s="290"/>
      <c r="G33" s="290"/>
      <c r="H33" s="579" t="s">
        <v>8243</v>
      </c>
    </row>
    <row r="34">
      <c r="A34" s="290"/>
      <c r="B34" s="290"/>
      <c r="C34" s="290"/>
      <c r="D34" s="290"/>
      <c r="E34" s="290"/>
      <c r="F34" s="290"/>
      <c r="G34" s="290"/>
      <c r="H34" s="579"/>
    </row>
    <row r="35">
      <c r="A35" s="706" t="s">
        <v>63</v>
      </c>
      <c r="B35" s="567" t="s">
        <v>7</v>
      </c>
      <c r="C35" s="567" t="s">
        <v>8206</v>
      </c>
      <c r="D35" s="567" t="s">
        <v>8248</v>
      </c>
      <c r="E35" s="567" t="s">
        <v>23</v>
      </c>
      <c r="F35" s="567" t="s">
        <v>27</v>
      </c>
      <c r="G35" s="567" t="s">
        <v>28</v>
      </c>
      <c r="H35" s="567" t="s">
        <v>30</v>
      </c>
      <c r="L35" s="365"/>
      <c r="M35" s="365"/>
      <c r="N35" s="365"/>
      <c r="O35" s="365"/>
      <c r="P35" s="365"/>
      <c r="Q35" s="365"/>
      <c r="R35" s="365"/>
      <c r="S35" s="365"/>
      <c r="T35" s="365"/>
      <c r="U35" s="365"/>
      <c r="V35" s="365"/>
      <c r="W35" s="365"/>
      <c r="X35" s="365"/>
      <c r="Y35" s="365"/>
      <c r="Z35" s="365"/>
    </row>
    <row r="36">
      <c r="A36" s="599">
        <v>0.0</v>
      </c>
      <c r="B36" s="599" t="s">
        <v>8246</v>
      </c>
      <c r="C36" s="599" t="s">
        <v>240</v>
      </c>
      <c r="D36" s="599" t="s">
        <v>9176</v>
      </c>
      <c r="E36" s="615"/>
      <c r="F36" s="615"/>
      <c r="G36" s="615"/>
      <c r="H36" s="349" t="s">
        <v>9177</v>
      </c>
      <c r="L36" s="602"/>
      <c r="M36" s="602"/>
      <c r="N36" s="602"/>
      <c r="O36" s="602"/>
      <c r="P36" s="602"/>
      <c r="Q36" s="602"/>
      <c r="R36" s="602"/>
      <c r="S36" s="602"/>
      <c r="T36" s="602"/>
      <c r="U36" s="602"/>
      <c r="V36" s="602"/>
      <c r="W36" s="602"/>
      <c r="X36" s="602"/>
      <c r="Y36" s="602"/>
      <c r="Z36" s="602"/>
    </row>
    <row r="37">
      <c r="A37" s="575"/>
      <c r="B37" s="575" t="s">
        <v>9178</v>
      </c>
      <c r="C37" s="575" t="s">
        <v>153</v>
      </c>
      <c r="D37" s="575" t="s">
        <v>9179</v>
      </c>
      <c r="E37" s="290"/>
      <c r="F37" s="290"/>
      <c r="G37" s="290"/>
      <c r="H37" s="320"/>
    </row>
    <row r="38">
      <c r="A38" s="575" t="s">
        <v>9180</v>
      </c>
      <c r="B38" s="575" t="s">
        <v>9181</v>
      </c>
      <c r="C38" s="575" t="s">
        <v>174</v>
      </c>
      <c r="D38" s="575" t="s">
        <v>693</v>
      </c>
      <c r="E38" s="290"/>
      <c r="F38" s="290"/>
      <c r="G38" s="290"/>
      <c r="H38" s="320" t="s">
        <v>9182</v>
      </c>
    </row>
    <row r="39">
      <c r="A39" s="290"/>
      <c r="B39" s="575" t="s">
        <v>9183</v>
      </c>
      <c r="C39" s="575" t="s">
        <v>66</v>
      </c>
      <c r="D39" s="575" t="s">
        <v>9184</v>
      </c>
      <c r="E39" s="575"/>
      <c r="F39" s="290"/>
      <c r="G39" s="290"/>
      <c r="H39" s="340" t="s">
        <v>9185</v>
      </c>
    </row>
    <row r="40">
      <c r="A40" s="290"/>
      <c r="B40" s="575" t="s">
        <v>9186</v>
      </c>
      <c r="C40" s="575" t="s">
        <v>73</v>
      </c>
      <c r="D40" s="575" t="s">
        <v>9187</v>
      </c>
      <c r="E40" s="575"/>
      <c r="F40" s="290"/>
      <c r="G40" s="290"/>
      <c r="H40" s="340" t="s">
        <v>9188</v>
      </c>
    </row>
    <row r="41">
      <c r="A41" s="290"/>
      <c r="B41" s="575" t="s">
        <v>9189</v>
      </c>
      <c r="C41" s="575" t="s">
        <v>180</v>
      </c>
      <c r="D41" s="575" t="s">
        <v>9190</v>
      </c>
      <c r="E41" s="575" t="s">
        <v>9191</v>
      </c>
      <c r="F41" s="290"/>
      <c r="G41" s="290"/>
      <c r="H41" s="1046" t="s">
        <v>9192</v>
      </c>
    </row>
    <row r="42">
      <c r="A42" s="290"/>
      <c r="B42" s="575" t="s">
        <v>9193</v>
      </c>
      <c r="C42" s="575" t="s">
        <v>180</v>
      </c>
      <c r="D42" s="575" t="s">
        <v>9194</v>
      </c>
      <c r="E42" s="290"/>
      <c r="F42" s="290"/>
      <c r="G42" s="290"/>
      <c r="H42" s="577" t="s">
        <v>9195</v>
      </c>
    </row>
    <row r="43">
      <c r="A43" s="597"/>
      <c r="B43" s="595" t="s">
        <v>9196</v>
      </c>
      <c r="C43" s="595" t="s">
        <v>52</v>
      </c>
      <c r="D43" s="595" t="s">
        <v>9197</v>
      </c>
      <c r="E43" s="597"/>
      <c r="F43" s="597"/>
      <c r="G43" s="597"/>
      <c r="H43" s="577" t="s">
        <v>2811</v>
      </c>
      <c r="L43" s="611"/>
      <c r="M43" s="611"/>
      <c r="N43" s="611"/>
      <c r="O43" s="611"/>
      <c r="P43" s="611"/>
      <c r="Q43" s="611"/>
      <c r="R43" s="611"/>
      <c r="S43" s="611"/>
      <c r="T43" s="611"/>
      <c r="U43" s="611"/>
      <c r="V43" s="611"/>
      <c r="W43" s="611"/>
      <c r="X43" s="611"/>
      <c r="Y43" s="611"/>
      <c r="Z43" s="611"/>
    </row>
    <row r="44">
      <c r="A44" s="597"/>
      <c r="B44" s="595" t="s">
        <v>9198</v>
      </c>
      <c r="C44" s="595" t="s">
        <v>195</v>
      </c>
      <c r="D44" s="597"/>
      <c r="E44" s="597"/>
      <c r="F44" s="597"/>
      <c r="G44" s="597"/>
      <c r="H44" s="1047" t="s">
        <v>2811</v>
      </c>
      <c r="L44" s="611"/>
      <c r="M44" s="611"/>
      <c r="N44" s="611"/>
      <c r="O44" s="611"/>
      <c r="P44" s="611"/>
      <c r="Q44" s="611"/>
      <c r="R44" s="611"/>
      <c r="S44" s="611"/>
      <c r="T44" s="611"/>
      <c r="U44" s="611"/>
      <c r="V44" s="611"/>
      <c r="W44" s="611"/>
      <c r="X44" s="611"/>
      <c r="Y44" s="611"/>
      <c r="Z44" s="611"/>
    </row>
    <row r="45">
      <c r="A45" s="290"/>
      <c r="B45" s="575"/>
      <c r="C45" s="575"/>
      <c r="D45" s="575"/>
      <c r="E45" s="575"/>
      <c r="F45" s="290"/>
      <c r="G45" s="290"/>
      <c r="H45" s="577"/>
      <c r="I45" s="577"/>
      <c r="J45" s="577"/>
      <c r="K45" s="577"/>
    </row>
    <row r="46">
      <c r="A46" s="290"/>
      <c r="B46" s="575" t="s">
        <v>9199</v>
      </c>
      <c r="C46" s="575" t="s">
        <v>330</v>
      </c>
      <c r="D46" s="575" t="s">
        <v>3430</v>
      </c>
      <c r="E46" s="575">
        <v>4.37</v>
      </c>
      <c r="F46" s="290"/>
      <c r="G46" s="290"/>
      <c r="H46" s="577" t="s">
        <v>9200</v>
      </c>
    </row>
    <row r="47">
      <c r="A47" s="706" t="s">
        <v>109</v>
      </c>
      <c r="B47" s="567" t="s">
        <v>7</v>
      </c>
      <c r="C47" s="567" t="s">
        <v>8206</v>
      </c>
      <c r="D47" s="567" t="s">
        <v>8248</v>
      </c>
      <c r="E47" s="567" t="s">
        <v>23</v>
      </c>
      <c r="F47" s="567" t="s">
        <v>27</v>
      </c>
      <c r="G47" s="567" t="s">
        <v>28</v>
      </c>
      <c r="H47" s="567" t="s">
        <v>30</v>
      </c>
      <c r="L47" s="365"/>
      <c r="M47" s="365"/>
      <c r="N47" s="365"/>
      <c r="O47" s="365"/>
      <c r="P47" s="365"/>
      <c r="Q47" s="365"/>
      <c r="R47" s="365"/>
      <c r="S47" s="365"/>
      <c r="T47" s="365"/>
      <c r="U47" s="365"/>
      <c r="V47" s="365"/>
      <c r="W47" s="365"/>
      <c r="X47" s="365"/>
      <c r="Y47" s="365"/>
      <c r="Z47" s="365"/>
    </row>
    <row r="48">
      <c r="A48" s="290"/>
      <c r="B48" s="595" t="s">
        <v>9201</v>
      </c>
      <c r="C48" s="595" t="s">
        <v>85</v>
      </c>
      <c r="D48" s="597" t="s">
        <v>3794</v>
      </c>
      <c r="E48" s="597" t="s">
        <v>9202</v>
      </c>
      <c r="F48" s="597"/>
      <c r="G48" s="597"/>
      <c r="H48" s="1047" t="s">
        <v>9203</v>
      </c>
    </row>
    <row r="49">
      <c r="A49" s="290"/>
      <c r="B49" s="595" t="s">
        <v>9204</v>
      </c>
      <c r="C49" s="595" t="s">
        <v>52</v>
      </c>
      <c r="D49" s="597" t="s">
        <v>9205</v>
      </c>
      <c r="E49" s="597">
        <v>4.2</v>
      </c>
      <c r="F49" s="597"/>
      <c r="G49" s="597"/>
      <c r="H49" s="1047" t="s">
        <v>9206</v>
      </c>
    </row>
    <row r="50">
      <c r="A50" s="597"/>
      <c r="B50" s="595" t="s">
        <v>9207</v>
      </c>
      <c r="C50" s="595" t="s">
        <v>180</v>
      </c>
      <c r="D50" s="597"/>
      <c r="E50" s="597"/>
      <c r="F50" s="597"/>
      <c r="G50" s="597"/>
      <c r="H50" s="1047" t="s">
        <v>2811</v>
      </c>
      <c r="L50" s="611"/>
      <c r="M50" s="611"/>
      <c r="N50" s="611"/>
      <c r="O50" s="611"/>
      <c r="P50" s="611"/>
      <c r="Q50" s="611"/>
      <c r="R50" s="611"/>
      <c r="S50" s="611"/>
      <c r="T50" s="611"/>
      <c r="U50" s="611"/>
      <c r="V50" s="611"/>
      <c r="W50" s="611"/>
      <c r="X50" s="611"/>
      <c r="Y50" s="611"/>
      <c r="Z50" s="611"/>
    </row>
    <row r="51">
      <c r="A51" s="597"/>
      <c r="B51" s="595" t="s">
        <v>9208</v>
      </c>
      <c r="C51" s="595" t="s">
        <v>180</v>
      </c>
      <c r="D51" s="597"/>
      <c r="E51" s="597">
        <v>4.1</v>
      </c>
      <c r="F51" s="597"/>
      <c r="G51" s="597"/>
      <c r="H51" s="1047" t="s">
        <v>2811</v>
      </c>
      <c r="L51" s="611"/>
      <c r="M51" s="611"/>
      <c r="N51" s="611"/>
      <c r="O51" s="611"/>
      <c r="P51" s="611"/>
      <c r="Q51" s="611"/>
      <c r="R51" s="611"/>
      <c r="S51" s="611"/>
      <c r="T51" s="611"/>
      <c r="U51" s="611"/>
      <c r="V51" s="611"/>
      <c r="W51" s="611"/>
      <c r="X51" s="611"/>
      <c r="Y51" s="611"/>
      <c r="Z51" s="611"/>
    </row>
    <row r="52">
      <c r="A52" s="597"/>
      <c r="B52" s="595" t="s">
        <v>9209</v>
      </c>
      <c r="C52" s="595" t="s">
        <v>52</v>
      </c>
      <c r="D52" s="597"/>
      <c r="E52" s="597"/>
      <c r="F52" s="597"/>
      <c r="G52" s="597"/>
      <c r="H52" s="1047" t="s">
        <v>9210</v>
      </c>
      <c r="L52" s="611"/>
      <c r="M52" s="611"/>
      <c r="N52" s="611"/>
      <c r="O52" s="611"/>
      <c r="P52" s="611"/>
      <c r="Q52" s="611"/>
      <c r="R52" s="611"/>
      <c r="S52" s="611"/>
      <c r="T52" s="611"/>
      <c r="U52" s="611"/>
      <c r="V52" s="611"/>
      <c r="W52" s="611"/>
      <c r="X52" s="611"/>
      <c r="Y52" s="611"/>
      <c r="Z52" s="611"/>
    </row>
    <row r="53">
      <c r="A53" s="597"/>
      <c r="B53" s="595" t="s">
        <v>9211</v>
      </c>
      <c r="C53" s="595" t="s">
        <v>731</v>
      </c>
      <c r="D53" s="597" t="s">
        <v>9212</v>
      </c>
      <c r="E53" s="597"/>
      <c r="F53" s="597"/>
      <c r="G53" s="597"/>
      <c r="H53" s="1047" t="s">
        <v>9213</v>
      </c>
      <c r="L53" s="611"/>
      <c r="M53" s="611"/>
      <c r="N53" s="611"/>
      <c r="O53" s="611"/>
      <c r="P53" s="611"/>
      <c r="Q53" s="611"/>
      <c r="R53" s="611"/>
      <c r="S53" s="611"/>
      <c r="T53" s="611"/>
      <c r="U53" s="611"/>
      <c r="V53" s="611"/>
      <c r="W53" s="611"/>
      <c r="X53" s="611"/>
      <c r="Y53" s="611"/>
      <c r="Z53" s="611"/>
    </row>
    <row r="54">
      <c r="A54" s="706" t="s">
        <v>48</v>
      </c>
      <c r="B54" s="567" t="s">
        <v>7</v>
      </c>
      <c r="C54" s="567" t="s">
        <v>8206</v>
      </c>
      <c r="D54" s="567" t="s">
        <v>8248</v>
      </c>
      <c r="E54" s="567" t="s">
        <v>23</v>
      </c>
      <c r="F54" s="567" t="s">
        <v>27</v>
      </c>
      <c r="G54" s="567" t="s">
        <v>28</v>
      </c>
      <c r="H54" s="567" t="s">
        <v>30</v>
      </c>
      <c r="L54" s="365"/>
      <c r="M54" s="365"/>
      <c r="N54" s="365"/>
      <c r="O54" s="365"/>
      <c r="P54" s="365"/>
      <c r="Q54" s="365"/>
      <c r="R54" s="365"/>
      <c r="S54" s="365"/>
      <c r="T54" s="365"/>
      <c r="U54" s="365"/>
      <c r="V54" s="365"/>
      <c r="W54" s="365"/>
      <c r="X54" s="365"/>
      <c r="Y54" s="365"/>
      <c r="Z54" s="365"/>
    </row>
    <row r="55">
      <c r="A55" s="599">
        <v>0.0</v>
      </c>
      <c r="B55" s="599" t="s">
        <v>8234</v>
      </c>
      <c r="C55" s="599" t="s">
        <v>125</v>
      </c>
      <c r="D55" s="599" t="s">
        <v>9214</v>
      </c>
      <c r="E55" s="615"/>
      <c r="F55" s="603">
        <v>45131.0</v>
      </c>
      <c r="G55" s="603">
        <v>45131.0</v>
      </c>
      <c r="H55" s="1048"/>
      <c r="L55" s="602"/>
      <c r="M55" s="602"/>
      <c r="N55" s="602"/>
      <c r="O55" s="602"/>
      <c r="P55" s="602"/>
      <c r="Q55" s="602"/>
      <c r="R55" s="602"/>
      <c r="S55" s="602"/>
      <c r="T55" s="602"/>
      <c r="U55" s="602"/>
      <c r="V55" s="602"/>
      <c r="W55" s="602"/>
      <c r="X55" s="602"/>
      <c r="Y55" s="602"/>
      <c r="Z55" s="602"/>
    </row>
    <row r="56">
      <c r="A56" s="599">
        <v>0.0</v>
      </c>
      <c r="B56" s="599" t="s">
        <v>8238</v>
      </c>
      <c r="C56" s="599" t="s">
        <v>66</v>
      </c>
      <c r="D56" s="599" t="s">
        <v>9215</v>
      </c>
      <c r="E56" s="599" t="s">
        <v>9216</v>
      </c>
      <c r="F56" s="615"/>
      <c r="G56" s="615"/>
      <c r="H56" s="1049" t="s">
        <v>9217</v>
      </c>
      <c r="L56" s="602"/>
      <c r="M56" s="602"/>
      <c r="N56" s="602"/>
      <c r="O56" s="602"/>
      <c r="P56" s="602"/>
      <c r="Q56" s="602"/>
      <c r="R56" s="602"/>
      <c r="S56" s="602"/>
      <c r="T56" s="602"/>
      <c r="U56" s="602"/>
      <c r="V56" s="602"/>
      <c r="W56" s="602"/>
      <c r="X56" s="602"/>
      <c r="Y56" s="602"/>
      <c r="Z56" s="602"/>
    </row>
    <row r="57">
      <c r="A57" s="599">
        <v>0.0</v>
      </c>
      <c r="B57" s="599" t="s">
        <v>8224</v>
      </c>
      <c r="C57" s="599" t="s">
        <v>4194</v>
      </c>
      <c r="D57" s="615" t="s">
        <v>9218</v>
      </c>
      <c r="E57" s="615"/>
      <c r="F57" s="615">
        <v>45117.0</v>
      </c>
      <c r="G57" s="615"/>
      <c r="H57" s="1049"/>
      <c r="L57" s="602"/>
      <c r="M57" s="602"/>
      <c r="N57" s="602"/>
      <c r="O57" s="602"/>
      <c r="P57" s="602"/>
      <c r="Q57" s="602"/>
      <c r="R57" s="602"/>
      <c r="S57" s="602"/>
      <c r="T57" s="602"/>
      <c r="U57" s="602"/>
      <c r="V57" s="602"/>
      <c r="W57" s="602"/>
      <c r="X57" s="602"/>
      <c r="Y57" s="602"/>
      <c r="Z57" s="602"/>
    </row>
    <row r="58">
      <c r="A58" s="290"/>
      <c r="B58" s="595" t="s">
        <v>9219</v>
      </c>
      <c r="C58" s="595" t="s">
        <v>52</v>
      </c>
      <c r="D58" s="597" t="s">
        <v>9220</v>
      </c>
      <c r="E58" s="597">
        <v>3.5</v>
      </c>
      <c r="F58" s="597"/>
      <c r="G58" s="597"/>
      <c r="H58" s="1047" t="s">
        <v>9221</v>
      </c>
    </row>
    <row r="59">
      <c r="A59" s="290"/>
      <c r="B59" s="595" t="s">
        <v>9222</v>
      </c>
      <c r="C59" s="595" t="s">
        <v>66</v>
      </c>
      <c r="D59" s="597"/>
      <c r="E59" s="597"/>
      <c r="F59" s="597"/>
      <c r="G59" s="597"/>
      <c r="H59" s="1047"/>
    </row>
    <row r="60">
      <c r="A60" s="290"/>
      <c r="B60" s="595" t="s">
        <v>9223</v>
      </c>
      <c r="C60" s="595" t="s">
        <v>52</v>
      </c>
      <c r="D60" s="597"/>
      <c r="E60" s="597"/>
      <c r="F60" s="597"/>
      <c r="G60" s="597"/>
      <c r="H60" s="1047"/>
    </row>
    <row r="61">
      <c r="A61" s="597"/>
      <c r="B61" s="595" t="s">
        <v>9224</v>
      </c>
      <c r="C61" s="595" t="s">
        <v>66</v>
      </c>
      <c r="D61" s="597" t="s">
        <v>9225</v>
      </c>
      <c r="E61" s="597"/>
      <c r="F61" s="597"/>
      <c r="G61" s="597"/>
      <c r="H61" s="1047" t="s">
        <v>9226</v>
      </c>
      <c r="L61" s="611"/>
      <c r="M61" s="611"/>
      <c r="N61" s="611"/>
      <c r="O61" s="611"/>
      <c r="P61" s="611"/>
      <c r="Q61" s="611"/>
      <c r="R61" s="611"/>
      <c r="S61" s="611"/>
      <c r="T61" s="611"/>
      <c r="U61" s="611"/>
      <c r="V61" s="611"/>
      <c r="W61" s="611"/>
      <c r="X61" s="611"/>
      <c r="Y61" s="611"/>
      <c r="Z61" s="611"/>
    </row>
    <row r="62">
      <c r="A62" s="597"/>
      <c r="B62" s="595" t="s">
        <v>9227</v>
      </c>
      <c r="C62" s="595" t="s">
        <v>73</v>
      </c>
      <c r="D62" s="595" t="s">
        <v>9228</v>
      </c>
      <c r="E62" s="595">
        <v>4.44</v>
      </c>
      <c r="F62" s="597"/>
      <c r="G62" s="597"/>
      <c r="H62" s="1050" t="s">
        <v>9229</v>
      </c>
      <c r="I62" s="731"/>
      <c r="J62" s="731"/>
      <c r="K62" s="731"/>
      <c r="L62" s="611"/>
      <c r="M62" s="611"/>
      <c r="N62" s="611"/>
      <c r="O62" s="611"/>
      <c r="P62" s="611"/>
      <c r="Q62" s="611"/>
      <c r="R62" s="611"/>
      <c r="S62" s="611"/>
      <c r="T62" s="611"/>
      <c r="U62" s="611"/>
      <c r="V62" s="611"/>
      <c r="W62" s="611"/>
      <c r="X62" s="611"/>
      <c r="Y62" s="611"/>
      <c r="Z62" s="611"/>
    </row>
    <row r="63">
      <c r="A63" s="706" t="s">
        <v>103</v>
      </c>
      <c r="B63" s="567" t="s">
        <v>7</v>
      </c>
      <c r="C63" s="567" t="s">
        <v>8206</v>
      </c>
      <c r="D63" s="567" t="s">
        <v>8248</v>
      </c>
      <c r="E63" s="567" t="s">
        <v>23</v>
      </c>
      <c r="F63" s="567" t="s">
        <v>27</v>
      </c>
      <c r="G63" s="567" t="s">
        <v>28</v>
      </c>
      <c r="H63" s="567" t="s">
        <v>30</v>
      </c>
      <c r="L63" s="365"/>
      <c r="M63" s="365"/>
      <c r="N63" s="365"/>
      <c r="O63" s="365"/>
      <c r="P63" s="365"/>
      <c r="Q63" s="365"/>
      <c r="R63" s="365"/>
      <c r="S63" s="365"/>
      <c r="T63" s="365"/>
      <c r="U63" s="365"/>
      <c r="V63" s="365"/>
      <c r="W63" s="365"/>
      <c r="X63" s="365"/>
      <c r="Y63" s="365"/>
      <c r="Z63" s="365"/>
    </row>
    <row r="64">
      <c r="A64" s="599">
        <v>0.0</v>
      </c>
      <c r="B64" s="599" t="s">
        <v>8225</v>
      </c>
      <c r="C64" s="599" t="s">
        <v>153</v>
      </c>
      <c r="D64" s="599" t="s">
        <v>9230</v>
      </c>
      <c r="E64" s="615">
        <v>1080.0</v>
      </c>
      <c r="F64" s="603">
        <v>45137.0</v>
      </c>
      <c r="G64" s="603">
        <v>45126.0</v>
      </c>
      <c r="H64" s="1051"/>
      <c r="L64" s="602"/>
      <c r="M64" s="602"/>
      <c r="N64" s="602"/>
      <c r="O64" s="602"/>
      <c r="P64" s="602"/>
      <c r="Q64" s="602"/>
      <c r="R64" s="602"/>
      <c r="S64" s="602"/>
      <c r="T64" s="602"/>
      <c r="U64" s="602"/>
      <c r="V64" s="602"/>
      <c r="W64" s="602"/>
      <c r="X64" s="602"/>
      <c r="Y64" s="602"/>
      <c r="Z64" s="602"/>
    </row>
    <row r="65">
      <c r="A65" s="599">
        <v>0.0</v>
      </c>
      <c r="B65" s="599" t="s">
        <v>8231</v>
      </c>
      <c r="C65" s="599" t="s">
        <v>66</v>
      </c>
      <c r="D65" s="615" t="s">
        <v>9231</v>
      </c>
      <c r="E65" s="615"/>
      <c r="F65" s="599" t="s">
        <v>9232</v>
      </c>
      <c r="G65" s="603">
        <v>45177.0</v>
      </c>
      <c r="H65" s="1049"/>
      <c r="L65" s="602"/>
      <c r="M65" s="602"/>
      <c r="N65" s="602"/>
      <c r="O65" s="602"/>
      <c r="P65" s="602"/>
      <c r="Q65" s="602"/>
      <c r="R65" s="602"/>
      <c r="S65" s="602"/>
      <c r="T65" s="602"/>
      <c r="U65" s="602"/>
      <c r="V65" s="602"/>
      <c r="W65" s="602"/>
      <c r="X65" s="602"/>
      <c r="Y65" s="602"/>
      <c r="Z65" s="602"/>
    </row>
    <row r="66">
      <c r="A66" s="290"/>
      <c r="B66" s="595" t="s">
        <v>9233</v>
      </c>
      <c r="C66" s="595" t="s">
        <v>180</v>
      </c>
      <c r="D66" s="597"/>
      <c r="E66" s="597" t="s">
        <v>9234</v>
      </c>
      <c r="F66" s="597"/>
      <c r="G66" s="597"/>
      <c r="H66" s="1047"/>
    </row>
    <row r="67">
      <c r="A67" s="290"/>
      <c r="B67" s="595" t="s">
        <v>9235</v>
      </c>
      <c r="C67" s="595" t="s">
        <v>180</v>
      </c>
      <c r="D67" s="597"/>
      <c r="E67" s="597"/>
      <c r="F67" s="597"/>
      <c r="G67" s="597"/>
      <c r="H67" s="1047"/>
      <c r="L67" s="391"/>
      <c r="M67" s="391"/>
      <c r="N67" s="391"/>
      <c r="O67" s="391"/>
      <c r="P67" s="391"/>
      <c r="Q67" s="391"/>
      <c r="R67" s="391"/>
      <c r="S67" s="391"/>
      <c r="T67" s="391"/>
      <c r="U67" s="391"/>
      <c r="V67" s="391"/>
      <c r="W67" s="391"/>
      <c r="X67" s="391"/>
      <c r="Y67" s="391"/>
      <c r="Z67" s="391"/>
    </row>
    <row r="68">
      <c r="A68" s="597"/>
      <c r="B68" s="595" t="s">
        <v>9236</v>
      </c>
      <c r="C68" s="595" t="s">
        <v>174</v>
      </c>
      <c r="D68" s="597"/>
      <c r="E68" s="597"/>
      <c r="F68" s="597"/>
      <c r="G68" s="597"/>
      <c r="H68" s="1047" t="s">
        <v>9237</v>
      </c>
      <c r="L68" s="611"/>
      <c r="M68" s="611"/>
      <c r="N68" s="611"/>
      <c r="O68" s="611"/>
      <c r="P68" s="611"/>
      <c r="Q68" s="611"/>
      <c r="R68" s="611"/>
      <c r="S68" s="611"/>
      <c r="T68" s="611"/>
      <c r="U68" s="611"/>
      <c r="V68" s="611"/>
      <c r="W68" s="611"/>
      <c r="X68" s="611"/>
      <c r="Y68" s="611"/>
      <c r="Z68" s="611"/>
    </row>
    <row r="69">
      <c r="A69" s="290"/>
      <c r="B69" s="595"/>
      <c r="C69" s="595"/>
      <c r="D69" s="597"/>
      <c r="E69" s="597"/>
      <c r="F69" s="597"/>
      <c r="G69" s="597"/>
      <c r="H69" s="1047"/>
    </row>
    <row r="70">
      <c r="A70" s="290"/>
      <c r="B70" s="595"/>
      <c r="C70" s="595"/>
      <c r="D70" s="597"/>
      <c r="E70" s="597"/>
      <c r="F70" s="597"/>
      <c r="G70" s="597"/>
      <c r="H70" s="1047"/>
    </row>
    <row r="71">
      <c r="A71" s="1052" t="s">
        <v>8356</v>
      </c>
      <c r="B71" s="595"/>
      <c r="C71" s="595"/>
      <c r="D71" s="597"/>
      <c r="E71" s="597"/>
      <c r="F71" s="597"/>
      <c r="G71" s="597"/>
      <c r="H71" s="1047"/>
    </row>
    <row r="72">
      <c r="A72" s="616" t="s">
        <v>8476</v>
      </c>
      <c r="B72" s="616" t="s">
        <v>9238</v>
      </c>
      <c r="C72" s="616" t="s">
        <v>125</v>
      </c>
      <c r="D72" s="677" t="s">
        <v>9239</v>
      </c>
      <c r="E72" s="677" t="s">
        <v>9240</v>
      </c>
      <c r="F72" s="658">
        <v>45117.0</v>
      </c>
      <c r="G72" s="656">
        <v>45124.0</v>
      </c>
      <c r="H72" s="675" t="s">
        <v>9241</v>
      </c>
      <c r="L72" s="652"/>
      <c r="M72" s="652"/>
      <c r="N72" s="652"/>
      <c r="O72" s="652"/>
      <c r="P72" s="652"/>
      <c r="Q72" s="652"/>
      <c r="R72" s="652"/>
      <c r="S72" s="652"/>
      <c r="T72" s="652"/>
      <c r="U72" s="652"/>
      <c r="V72" s="652"/>
      <c r="W72" s="652"/>
      <c r="X72" s="652"/>
      <c r="Y72" s="652"/>
      <c r="Z72" s="652"/>
    </row>
    <row r="73">
      <c r="A73" s="616" t="s">
        <v>9242</v>
      </c>
      <c r="B73" s="616" t="s">
        <v>9243</v>
      </c>
      <c r="C73" s="616" t="s">
        <v>125</v>
      </c>
      <c r="D73" s="677" t="s">
        <v>9244</v>
      </c>
      <c r="E73" s="677"/>
      <c r="F73" s="658">
        <v>45121.0</v>
      </c>
      <c r="G73" s="656"/>
      <c r="H73" s="675" t="s">
        <v>9245</v>
      </c>
      <c r="L73" s="652"/>
      <c r="M73" s="652"/>
      <c r="N73" s="652"/>
      <c r="O73" s="652"/>
      <c r="P73" s="652"/>
      <c r="Q73" s="652"/>
      <c r="R73" s="652"/>
      <c r="S73" s="652"/>
      <c r="T73" s="652"/>
      <c r="U73" s="652"/>
      <c r="V73" s="652"/>
      <c r="W73" s="652"/>
      <c r="X73" s="652"/>
      <c r="Y73" s="652"/>
      <c r="Z73" s="652"/>
    </row>
    <row r="74">
      <c r="A74" s="616" t="s">
        <v>9246</v>
      </c>
      <c r="B74" s="616" t="s">
        <v>9247</v>
      </c>
      <c r="C74" s="616" t="s">
        <v>180</v>
      </c>
      <c r="D74" s="677" t="s">
        <v>9248</v>
      </c>
      <c r="E74" s="677" t="s">
        <v>9249</v>
      </c>
      <c r="F74" s="658"/>
      <c r="G74" s="656"/>
      <c r="H74" s="675" t="s">
        <v>9250</v>
      </c>
      <c r="L74" s="652"/>
      <c r="M74" s="652"/>
      <c r="N74" s="652"/>
      <c r="O74" s="652"/>
      <c r="P74" s="652"/>
      <c r="Q74" s="652"/>
      <c r="R74" s="652"/>
      <c r="S74" s="652"/>
      <c r="T74" s="652"/>
      <c r="U74" s="652"/>
      <c r="V74" s="652"/>
      <c r="W74" s="652"/>
      <c r="X74" s="652"/>
      <c r="Y74" s="652"/>
      <c r="Z74" s="652"/>
    </row>
    <row r="75">
      <c r="A75" s="616" t="s">
        <v>2230</v>
      </c>
      <c r="B75" s="616" t="s">
        <v>9251</v>
      </c>
      <c r="C75" s="616" t="s">
        <v>529</v>
      </c>
      <c r="D75" s="677" t="s">
        <v>9252</v>
      </c>
      <c r="E75" s="677"/>
      <c r="F75" s="658"/>
      <c r="G75" s="656">
        <v>45127.0</v>
      </c>
      <c r="H75" s="675" t="s">
        <v>9253</v>
      </c>
      <c r="L75" s="652"/>
      <c r="M75" s="652"/>
      <c r="N75" s="652"/>
      <c r="O75" s="652"/>
      <c r="P75" s="652"/>
      <c r="Q75" s="652"/>
      <c r="R75" s="652"/>
      <c r="S75" s="652"/>
      <c r="T75" s="652"/>
      <c r="U75" s="652"/>
      <c r="V75" s="652"/>
      <c r="W75" s="652"/>
      <c r="X75" s="652"/>
      <c r="Y75" s="652"/>
      <c r="Z75" s="652"/>
    </row>
    <row r="76">
      <c r="A76" s="632"/>
      <c r="B76" s="616" t="s">
        <v>9254</v>
      </c>
      <c r="C76" s="616" t="s">
        <v>174</v>
      </c>
      <c r="D76" s="677" t="s">
        <v>9169</v>
      </c>
      <c r="E76" s="677"/>
      <c r="F76" s="658"/>
      <c r="G76" s="656"/>
      <c r="H76" s="675" t="s">
        <v>9255</v>
      </c>
      <c r="L76" s="652"/>
      <c r="M76" s="652"/>
      <c r="N76" s="652"/>
      <c r="O76" s="652"/>
      <c r="P76" s="652"/>
      <c r="Q76" s="652"/>
      <c r="R76" s="652"/>
      <c r="S76" s="652"/>
      <c r="T76" s="652"/>
      <c r="U76" s="652"/>
      <c r="V76" s="652"/>
      <c r="W76" s="652"/>
      <c r="X76" s="652"/>
      <c r="Y76" s="652"/>
      <c r="Z76" s="652"/>
    </row>
    <row r="77">
      <c r="A77" s="616" t="s">
        <v>9256</v>
      </c>
      <c r="B77" s="616" t="s">
        <v>9257</v>
      </c>
      <c r="C77" s="616" t="s">
        <v>52</v>
      </c>
      <c r="D77" s="677" t="s">
        <v>9258</v>
      </c>
      <c r="E77" s="677">
        <v>3.7</v>
      </c>
      <c r="F77" s="658"/>
      <c r="G77" s="656"/>
      <c r="H77" s="675" t="s">
        <v>9259</v>
      </c>
      <c r="L77" s="652"/>
      <c r="M77" s="652"/>
      <c r="N77" s="652"/>
      <c r="O77" s="652"/>
      <c r="P77" s="652"/>
      <c r="Q77" s="652"/>
      <c r="R77" s="652"/>
      <c r="S77" s="652"/>
      <c r="T77" s="652"/>
      <c r="U77" s="652"/>
      <c r="V77" s="652"/>
      <c r="W77" s="652"/>
      <c r="X77" s="652"/>
      <c r="Y77" s="652"/>
      <c r="Z77" s="652"/>
    </row>
    <row r="78">
      <c r="A78" s="632"/>
      <c r="B78" s="616" t="s">
        <v>9260</v>
      </c>
      <c r="C78" s="616" t="s">
        <v>307</v>
      </c>
      <c r="D78" s="677"/>
      <c r="E78" s="677"/>
      <c r="F78" s="658">
        <v>45145.0</v>
      </c>
      <c r="G78" s="656"/>
      <c r="H78" s="675" t="s">
        <v>9261</v>
      </c>
      <c r="L78" s="652"/>
      <c r="M78" s="652"/>
      <c r="N78" s="652"/>
      <c r="O78" s="652"/>
      <c r="P78" s="652"/>
      <c r="Q78" s="652"/>
      <c r="R78" s="652"/>
      <c r="S78" s="652"/>
      <c r="T78" s="652"/>
      <c r="U78" s="652"/>
      <c r="V78" s="652"/>
      <c r="W78" s="652"/>
      <c r="X78" s="652"/>
      <c r="Y78" s="652"/>
      <c r="Z78" s="652"/>
    </row>
    <row r="79">
      <c r="A79" s="616" t="s">
        <v>9262</v>
      </c>
      <c r="B79" s="616" t="s">
        <v>9263</v>
      </c>
      <c r="C79" s="616" t="s">
        <v>73</v>
      </c>
      <c r="D79" s="677" t="s">
        <v>9264</v>
      </c>
      <c r="E79" s="677"/>
      <c r="F79" s="658"/>
      <c r="G79" s="656"/>
      <c r="H79" s="675" t="s">
        <v>9265</v>
      </c>
      <c r="L79" s="652"/>
      <c r="M79" s="652"/>
      <c r="N79" s="652"/>
      <c r="O79" s="652"/>
      <c r="P79" s="652"/>
      <c r="Q79" s="652"/>
      <c r="R79" s="652"/>
      <c r="S79" s="652"/>
      <c r="T79" s="652"/>
      <c r="U79" s="652"/>
      <c r="V79" s="652"/>
      <c r="W79" s="652"/>
      <c r="X79" s="652"/>
      <c r="Y79" s="652"/>
      <c r="Z79" s="652"/>
    </row>
    <row r="80">
      <c r="A80" s="632"/>
      <c r="B80" s="616" t="s">
        <v>9266</v>
      </c>
      <c r="C80" s="616" t="s">
        <v>43</v>
      </c>
      <c r="D80" s="677"/>
      <c r="E80" s="677">
        <v>1260.0</v>
      </c>
      <c r="F80" s="658">
        <v>45121.0</v>
      </c>
      <c r="G80" s="656">
        <v>45128.0</v>
      </c>
      <c r="H80" s="675"/>
      <c r="L80" s="652"/>
      <c r="M80" s="652"/>
      <c r="N80" s="652"/>
      <c r="O80" s="652"/>
      <c r="P80" s="652"/>
      <c r="Q80" s="652"/>
      <c r="R80" s="652"/>
      <c r="S80" s="652"/>
      <c r="T80" s="652"/>
      <c r="U80" s="652"/>
      <c r="V80" s="652"/>
      <c r="W80" s="652"/>
      <c r="X80" s="652"/>
      <c r="Y80" s="652"/>
      <c r="Z80" s="652"/>
    </row>
    <row r="81">
      <c r="A81" s="616" t="s">
        <v>1311</v>
      </c>
      <c r="B81" s="616" t="s">
        <v>9267</v>
      </c>
      <c r="C81" s="616" t="s">
        <v>529</v>
      </c>
      <c r="D81" s="677" t="s">
        <v>9268</v>
      </c>
      <c r="E81" s="677" t="s">
        <v>9269</v>
      </c>
      <c r="F81" s="658"/>
      <c r="G81" s="656"/>
      <c r="H81" s="675" t="s">
        <v>9270</v>
      </c>
      <c r="L81" s="652"/>
      <c r="M81" s="652"/>
      <c r="N81" s="652"/>
      <c r="O81" s="652"/>
      <c r="P81" s="652"/>
      <c r="Q81" s="652"/>
      <c r="R81" s="652"/>
      <c r="S81" s="652"/>
      <c r="T81" s="652"/>
      <c r="U81" s="652"/>
      <c r="V81" s="652"/>
      <c r="W81" s="652"/>
      <c r="X81" s="652"/>
      <c r="Y81" s="652"/>
      <c r="Z81" s="652"/>
    </row>
    <row r="82" ht="14.25" customHeight="1">
      <c r="A82" s="616" t="s">
        <v>4817</v>
      </c>
      <c r="B82" s="616" t="s">
        <v>9271</v>
      </c>
      <c r="C82" s="616" t="s">
        <v>52</v>
      </c>
      <c r="D82" s="677"/>
      <c r="E82" s="677">
        <v>4.2</v>
      </c>
      <c r="F82" s="658"/>
      <c r="G82" s="656"/>
      <c r="H82" s="675" t="s">
        <v>9272</v>
      </c>
      <c r="L82" s="652"/>
      <c r="M82" s="652"/>
      <c r="N82" s="652"/>
      <c r="O82" s="652"/>
      <c r="P82" s="652"/>
      <c r="Q82" s="652"/>
      <c r="R82" s="652"/>
      <c r="S82" s="652"/>
      <c r="T82" s="652"/>
      <c r="U82" s="652"/>
      <c r="V82" s="652"/>
      <c r="W82" s="652"/>
      <c r="X82" s="652"/>
      <c r="Y82" s="652"/>
      <c r="Z82" s="652"/>
    </row>
    <row r="83">
      <c r="A83" s="616" t="s">
        <v>8476</v>
      </c>
      <c r="B83" s="616" t="s">
        <v>9273</v>
      </c>
      <c r="C83" s="616" t="s">
        <v>43</v>
      </c>
      <c r="D83" s="677"/>
      <c r="E83" s="677" t="s">
        <v>9274</v>
      </c>
      <c r="F83" s="658"/>
      <c r="G83" s="656"/>
      <c r="H83" s="675" t="s">
        <v>9275</v>
      </c>
      <c r="L83" s="652"/>
      <c r="M83" s="652"/>
      <c r="N83" s="652"/>
      <c r="O83" s="652"/>
      <c r="P83" s="652"/>
      <c r="Q83" s="652"/>
      <c r="R83" s="652"/>
      <c r="S83" s="652"/>
      <c r="T83" s="652"/>
      <c r="U83" s="652"/>
      <c r="V83" s="652"/>
      <c r="W83" s="652"/>
      <c r="X83" s="652"/>
      <c r="Y83" s="652"/>
      <c r="Z83" s="652"/>
    </row>
    <row r="84">
      <c r="A84" s="616" t="s">
        <v>9276</v>
      </c>
      <c r="B84" s="616" t="s">
        <v>9277</v>
      </c>
      <c r="C84" s="616" t="s">
        <v>66</v>
      </c>
      <c r="D84" s="677" t="s">
        <v>405</v>
      </c>
      <c r="E84" s="677" t="s">
        <v>9278</v>
      </c>
      <c r="F84" s="658"/>
      <c r="G84" s="656"/>
      <c r="H84" s="675"/>
      <c r="L84" s="652"/>
      <c r="M84" s="652"/>
      <c r="N84" s="652"/>
      <c r="O84" s="652"/>
      <c r="P84" s="652"/>
      <c r="Q84" s="652"/>
      <c r="R84" s="652"/>
      <c r="S84" s="652"/>
      <c r="T84" s="652"/>
      <c r="U84" s="652"/>
      <c r="V84" s="652"/>
      <c r="W84" s="652"/>
      <c r="X84" s="652"/>
      <c r="Y84" s="652"/>
      <c r="Z84" s="652"/>
    </row>
    <row r="85">
      <c r="A85" s="632"/>
      <c r="B85" s="616" t="s">
        <v>9279</v>
      </c>
      <c r="C85" s="616" t="s">
        <v>66</v>
      </c>
      <c r="D85" s="677" t="s">
        <v>9280</v>
      </c>
      <c r="E85" s="677">
        <v>4.3</v>
      </c>
      <c r="F85" s="658"/>
      <c r="G85" s="656"/>
      <c r="H85" s="675" t="s">
        <v>9281</v>
      </c>
      <c r="L85" s="652"/>
      <c r="M85" s="652"/>
      <c r="N85" s="652"/>
      <c r="O85" s="652"/>
      <c r="P85" s="652"/>
      <c r="Q85" s="652"/>
      <c r="R85" s="652"/>
      <c r="S85" s="652"/>
      <c r="T85" s="652"/>
      <c r="U85" s="652"/>
      <c r="V85" s="652"/>
      <c r="W85" s="652"/>
      <c r="X85" s="652"/>
      <c r="Y85" s="652"/>
      <c r="Z85" s="652"/>
    </row>
    <row r="86">
      <c r="A86" s="632"/>
      <c r="B86" s="616" t="s">
        <v>9282</v>
      </c>
      <c r="C86" s="616" t="s">
        <v>125</v>
      </c>
      <c r="D86" s="677" t="s">
        <v>9283</v>
      </c>
      <c r="E86" s="677" t="s">
        <v>9284</v>
      </c>
      <c r="F86" s="658"/>
      <c r="G86" s="656"/>
      <c r="H86" s="675" t="s">
        <v>9285</v>
      </c>
      <c r="L86" s="652"/>
      <c r="M86" s="652"/>
      <c r="N86" s="652"/>
      <c r="O86" s="652"/>
      <c r="P86" s="652"/>
      <c r="Q86" s="652"/>
      <c r="R86" s="652"/>
      <c r="S86" s="652"/>
      <c r="T86" s="652"/>
      <c r="U86" s="652"/>
      <c r="V86" s="652"/>
      <c r="W86" s="652"/>
      <c r="X86" s="652"/>
      <c r="Y86" s="652"/>
      <c r="Z86" s="652"/>
    </row>
    <row r="87">
      <c r="A87" s="632"/>
      <c r="B87" s="616" t="s">
        <v>9286</v>
      </c>
      <c r="C87" s="616" t="s">
        <v>195</v>
      </c>
      <c r="D87" s="632" t="s">
        <v>1137</v>
      </c>
      <c r="E87" s="632"/>
      <c r="F87" s="632">
        <v>45130.0</v>
      </c>
      <c r="G87" s="632"/>
      <c r="H87" s="1053" t="s">
        <v>9287</v>
      </c>
      <c r="L87" s="652"/>
      <c r="M87" s="652"/>
      <c r="N87" s="652"/>
      <c r="O87" s="652"/>
      <c r="P87" s="652"/>
      <c r="Q87" s="652"/>
      <c r="R87" s="652"/>
      <c r="S87" s="652"/>
      <c r="T87" s="652"/>
      <c r="U87" s="652"/>
      <c r="V87" s="652"/>
      <c r="W87" s="652"/>
      <c r="X87" s="652"/>
      <c r="Y87" s="652"/>
      <c r="Z87" s="652"/>
    </row>
    <row r="88">
      <c r="A88" s="616" t="s">
        <v>5912</v>
      </c>
      <c r="B88" s="616" t="s">
        <v>9288</v>
      </c>
      <c r="C88" s="616" t="s">
        <v>153</v>
      </c>
      <c r="D88" s="616" t="s">
        <v>9289</v>
      </c>
      <c r="E88" s="616" t="s">
        <v>9290</v>
      </c>
      <c r="F88" s="632"/>
      <c r="G88" s="632"/>
      <c r="H88" s="643" t="s">
        <v>9291</v>
      </c>
      <c r="L88" s="652"/>
      <c r="M88" s="652"/>
      <c r="N88" s="652"/>
      <c r="O88" s="652"/>
      <c r="P88" s="652"/>
      <c r="Q88" s="652"/>
      <c r="R88" s="652"/>
      <c r="S88" s="652"/>
      <c r="T88" s="652"/>
      <c r="U88" s="652"/>
      <c r="V88" s="652"/>
      <c r="W88" s="652"/>
      <c r="X88" s="652"/>
      <c r="Y88" s="652"/>
      <c r="Z88" s="652"/>
    </row>
    <row r="89">
      <c r="A89" s="616" t="s">
        <v>8357</v>
      </c>
      <c r="B89" s="616" t="s">
        <v>9292</v>
      </c>
      <c r="C89" s="616" t="s">
        <v>307</v>
      </c>
      <c r="D89" s="616" t="s">
        <v>9293</v>
      </c>
      <c r="E89" s="616">
        <v>4.0</v>
      </c>
      <c r="F89" s="632"/>
      <c r="G89" s="632"/>
      <c r="H89" s="672" t="s">
        <v>9294</v>
      </c>
      <c r="L89" s="652"/>
      <c r="M89" s="652"/>
      <c r="N89" s="652"/>
      <c r="O89" s="652"/>
      <c r="P89" s="652"/>
      <c r="Q89" s="652"/>
      <c r="R89" s="652"/>
      <c r="S89" s="652"/>
      <c r="T89" s="652"/>
      <c r="U89" s="652"/>
      <c r="V89" s="652"/>
      <c r="W89" s="652"/>
      <c r="X89" s="652"/>
      <c r="Y89" s="652"/>
      <c r="Z89" s="652"/>
    </row>
    <row r="90">
      <c r="A90" s="616" t="s">
        <v>9295</v>
      </c>
      <c r="B90" s="616" t="s">
        <v>9296</v>
      </c>
      <c r="C90" s="616" t="s">
        <v>125</v>
      </c>
      <c r="D90" s="677" t="s">
        <v>9297</v>
      </c>
      <c r="E90" s="677">
        <v>3.65</v>
      </c>
      <c r="F90" s="632"/>
      <c r="G90" s="678"/>
      <c r="H90" s="676" t="s">
        <v>9298</v>
      </c>
      <c r="L90" s="652"/>
      <c r="M90" s="652"/>
      <c r="N90" s="652"/>
      <c r="O90" s="652"/>
      <c r="P90" s="652"/>
      <c r="Q90" s="652"/>
      <c r="R90" s="652"/>
      <c r="S90" s="652"/>
      <c r="T90" s="652"/>
      <c r="U90" s="652"/>
      <c r="V90" s="652"/>
      <c r="W90" s="652"/>
      <c r="X90" s="652"/>
      <c r="Y90" s="652"/>
      <c r="Z90" s="652"/>
    </row>
    <row r="91">
      <c r="A91" s="616" t="s">
        <v>8357</v>
      </c>
      <c r="B91" s="616" t="s">
        <v>9299</v>
      </c>
      <c r="C91" s="616" t="s">
        <v>125</v>
      </c>
      <c r="D91" s="616" t="s">
        <v>9300</v>
      </c>
      <c r="E91" s="632"/>
      <c r="F91" s="632"/>
      <c r="G91" s="632"/>
      <c r="H91" s="672" t="s">
        <v>9301</v>
      </c>
      <c r="L91" s="652"/>
      <c r="M91" s="652"/>
      <c r="N91" s="652"/>
      <c r="O91" s="652"/>
      <c r="P91" s="652"/>
      <c r="Q91" s="652"/>
      <c r="R91" s="652"/>
      <c r="S91" s="652"/>
      <c r="T91" s="652"/>
      <c r="U91" s="652"/>
      <c r="V91" s="652"/>
      <c r="W91" s="652"/>
      <c r="X91" s="652"/>
      <c r="Y91" s="652"/>
      <c r="Z91" s="652"/>
    </row>
    <row r="92">
      <c r="A92" s="616" t="s">
        <v>1994</v>
      </c>
      <c r="B92" s="616" t="s">
        <v>9302</v>
      </c>
      <c r="C92" s="616" t="s">
        <v>153</v>
      </c>
      <c r="D92" s="616" t="s">
        <v>459</v>
      </c>
      <c r="E92" s="632"/>
      <c r="F92" s="632"/>
      <c r="G92" s="632"/>
      <c r="H92" s="633" t="s">
        <v>9303</v>
      </c>
      <c r="L92" s="652"/>
      <c r="M92" s="652"/>
      <c r="N92" s="652"/>
      <c r="O92" s="652"/>
      <c r="P92" s="652"/>
      <c r="Q92" s="652"/>
      <c r="R92" s="652"/>
      <c r="S92" s="652"/>
      <c r="T92" s="652"/>
      <c r="U92" s="652"/>
      <c r="V92" s="652"/>
      <c r="W92" s="652"/>
      <c r="X92" s="652"/>
      <c r="Y92" s="652"/>
      <c r="Z92" s="652"/>
    </row>
    <row r="93">
      <c r="A93" s="616" t="s">
        <v>2144</v>
      </c>
      <c r="B93" s="616" t="s">
        <v>9304</v>
      </c>
      <c r="C93" s="616" t="s">
        <v>52</v>
      </c>
      <c r="D93" s="616" t="s">
        <v>4895</v>
      </c>
      <c r="E93" s="616">
        <v>4.12</v>
      </c>
      <c r="F93" s="632"/>
      <c r="G93" s="632"/>
      <c r="H93" s="650"/>
      <c r="L93" s="652"/>
      <c r="M93" s="652"/>
      <c r="N93" s="652"/>
      <c r="O93" s="652"/>
      <c r="P93" s="652"/>
      <c r="Q93" s="652"/>
      <c r="R93" s="652"/>
      <c r="S93" s="652"/>
      <c r="T93" s="652"/>
      <c r="U93" s="652"/>
      <c r="V93" s="652"/>
      <c r="W93" s="652"/>
      <c r="X93" s="652"/>
      <c r="Y93" s="652"/>
      <c r="Z93" s="652"/>
    </row>
    <row r="94">
      <c r="A94" s="616" t="s">
        <v>9305</v>
      </c>
      <c r="B94" s="616" t="s">
        <v>9306</v>
      </c>
      <c r="C94" s="616" t="s">
        <v>307</v>
      </c>
      <c r="D94" s="616" t="s">
        <v>9307</v>
      </c>
      <c r="E94" s="616" t="s">
        <v>9308</v>
      </c>
      <c r="F94" s="632"/>
      <c r="G94" s="632"/>
      <c r="H94" s="1053" t="s">
        <v>9309</v>
      </c>
      <c r="L94" s="652"/>
      <c r="M94" s="652"/>
      <c r="N94" s="652"/>
      <c r="O94" s="652"/>
      <c r="P94" s="652"/>
      <c r="Q94" s="652"/>
      <c r="R94" s="652"/>
      <c r="S94" s="652"/>
      <c r="T94" s="652"/>
      <c r="U94" s="652"/>
      <c r="V94" s="652"/>
      <c r="W94" s="652"/>
      <c r="X94" s="652"/>
      <c r="Y94" s="652"/>
      <c r="Z94" s="652"/>
    </row>
    <row r="95">
      <c r="A95" s="616" t="s">
        <v>1981</v>
      </c>
      <c r="B95" s="616" t="s">
        <v>9310</v>
      </c>
      <c r="C95" s="616" t="s">
        <v>73</v>
      </c>
      <c r="D95" s="632"/>
      <c r="E95" s="632" t="s">
        <v>9278</v>
      </c>
      <c r="F95" s="632"/>
      <c r="G95" s="632"/>
      <c r="H95" s="1053"/>
      <c r="L95" s="652"/>
      <c r="M95" s="652"/>
      <c r="N95" s="652"/>
      <c r="O95" s="652"/>
      <c r="P95" s="652"/>
      <c r="Q95" s="652"/>
      <c r="R95" s="652"/>
      <c r="S95" s="652"/>
      <c r="T95" s="652"/>
      <c r="U95" s="652"/>
      <c r="V95" s="652"/>
      <c r="W95" s="652"/>
      <c r="X95" s="652"/>
      <c r="Y95" s="652"/>
      <c r="Z95" s="652"/>
    </row>
    <row r="96">
      <c r="A96" s="616" t="s">
        <v>8446</v>
      </c>
      <c r="B96" s="616" t="s">
        <v>9311</v>
      </c>
      <c r="C96" s="616" t="s">
        <v>153</v>
      </c>
      <c r="D96" s="616" t="s">
        <v>760</v>
      </c>
      <c r="E96" s="616" t="s">
        <v>1836</v>
      </c>
      <c r="F96" s="632"/>
      <c r="G96" s="632"/>
      <c r="H96" s="1053" t="s">
        <v>9312</v>
      </c>
      <c r="L96" s="652"/>
      <c r="M96" s="652"/>
      <c r="N96" s="652"/>
      <c r="O96" s="652"/>
      <c r="P96" s="652"/>
      <c r="Q96" s="652"/>
      <c r="R96" s="652"/>
      <c r="S96" s="652"/>
      <c r="T96" s="652"/>
      <c r="U96" s="652"/>
      <c r="V96" s="652"/>
      <c r="W96" s="652"/>
      <c r="X96" s="652"/>
      <c r="Y96" s="652"/>
      <c r="Z96" s="652"/>
    </row>
    <row r="97">
      <c r="A97" s="599">
        <v>0.0</v>
      </c>
      <c r="B97" s="599" t="s">
        <v>9313</v>
      </c>
      <c r="C97" s="599" t="s">
        <v>43</v>
      </c>
      <c r="D97" s="599" t="s">
        <v>9314</v>
      </c>
      <c r="E97" s="615"/>
      <c r="F97" s="603">
        <v>45178.0</v>
      </c>
      <c r="G97" s="603">
        <v>45127.0</v>
      </c>
      <c r="H97" s="1051" t="s">
        <v>9315</v>
      </c>
      <c r="L97" s="602"/>
      <c r="M97" s="602"/>
      <c r="N97" s="602"/>
      <c r="O97" s="602"/>
      <c r="P97" s="602"/>
      <c r="Q97" s="602"/>
      <c r="R97" s="602"/>
      <c r="S97" s="602"/>
      <c r="T97" s="602"/>
      <c r="U97" s="602"/>
      <c r="V97" s="602"/>
      <c r="W97" s="602"/>
      <c r="X97" s="602"/>
      <c r="Y97" s="602"/>
      <c r="Z97" s="602"/>
    </row>
    <row r="98">
      <c r="A98" s="391"/>
      <c r="B98" s="391"/>
      <c r="C98" s="391"/>
      <c r="D98" s="391"/>
      <c r="E98" s="391"/>
      <c r="F98" s="391"/>
      <c r="G98" s="391"/>
    </row>
    <row r="99">
      <c r="A99" s="391"/>
      <c r="B99" s="391"/>
      <c r="C99" s="391"/>
      <c r="D99" s="391"/>
      <c r="E99" s="391"/>
      <c r="F99" s="391"/>
      <c r="G99" s="391"/>
    </row>
    <row r="100">
      <c r="A100" s="391"/>
      <c r="B100" s="391"/>
      <c r="C100" s="391"/>
      <c r="D100" s="391"/>
      <c r="E100" s="391"/>
      <c r="F100" s="391"/>
      <c r="G100" s="391"/>
    </row>
    <row r="101">
      <c r="A101" s="391"/>
      <c r="B101" s="391"/>
      <c r="C101" s="391"/>
      <c r="D101" s="391"/>
      <c r="E101" s="391"/>
      <c r="F101" s="391"/>
      <c r="G101" s="391"/>
    </row>
    <row r="102">
      <c r="A102" s="391"/>
      <c r="B102" s="391"/>
      <c r="C102" s="391"/>
      <c r="D102" s="391"/>
      <c r="E102" s="391"/>
      <c r="F102" s="391"/>
      <c r="G102" s="391"/>
    </row>
    <row r="103">
      <c r="A103" s="391"/>
      <c r="B103" s="391"/>
      <c r="C103" s="391"/>
      <c r="D103" s="391"/>
      <c r="E103" s="391"/>
      <c r="F103" s="391"/>
      <c r="G103" s="391"/>
    </row>
    <row r="104">
      <c r="A104" s="391"/>
      <c r="B104" s="391"/>
      <c r="C104" s="391"/>
      <c r="D104" s="391"/>
      <c r="E104" s="391"/>
      <c r="F104" s="391"/>
      <c r="G104" s="391"/>
    </row>
    <row r="105">
      <c r="A105" s="391"/>
      <c r="B105" s="391"/>
      <c r="C105" s="391"/>
      <c r="D105" s="391"/>
      <c r="E105" s="391"/>
      <c r="F105" s="391"/>
      <c r="G105" s="391"/>
    </row>
    <row r="106">
      <c r="A106" s="391"/>
      <c r="B106" s="391"/>
      <c r="C106" s="391"/>
      <c r="D106" s="391"/>
      <c r="E106" s="391"/>
      <c r="F106" s="391"/>
      <c r="G106" s="391"/>
    </row>
    <row r="107">
      <c r="A107" s="391"/>
      <c r="B107" s="391"/>
      <c r="C107" s="391"/>
      <c r="D107" s="391"/>
      <c r="E107" s="391"/>
      <c r="F107" s="391"/>
      <c r="G107" s="391"/>
    </row>
    <row r="108">
      <c r="A108" s="391"/>
      <c r="B108" s="391"/>
      <c r="C108" s="391"/>
      <c r="D108" s="391"/>
      <c r="E108" s="391"/>
      <c r="F108" s="391"/>
      <c r="G108" s="391"/>
    </row>
    <row r="109">
      <c r="A109" s="391"/>
      <c r="B109" s="391"/>
      <c r="C109" s="391"/>
      <c r="D109" s="391"/>
      <c r="E109" s="391"/>
      <c r="F109" s="391"/>
      <c r="G109" s="391"/>
    </row>
    <row r="110">
      <c r="A110" s="391"/>
      <c r="B110" s="391"/>
      <c r="C110" s="391"/>
      <c r="D110" s="391"/>
      <c r="E110" s="391"/>
      <c r="F110" s="391"/>
      <c r="G110" s="391"/>
    </row>
    <row r="111">
      <c r="A111" s="391"/>
      <c r="B111" s="391"/>
      <c r="C111" s="391"/>
      <c r="D111" s="391"/>
      <c r="E111" s="391"/>
      <c r="F111" s="391"/>
      <c r="G111" s="391"/>
    </row>
    <row r="112">
      <c r="A112" s="391"/>
      <c r="B112" s="391"/>
      <c r="C112" s="391"/>
      <c r="D112" s="391"/>
      <c r="E112" s="391"/>
      <c r="F112" s="391"/>
      <c r="G112" s="391"/>
    </row>
    <row r="113">
      <c r="A113" s="391"/>
      <c r="B113" s="391"/>
      <c r="C113" s="391"/>
      <c r="D113" s="391"/>
      <c r="E113" s="391"/>
      <c r="F113" s="391"/>
      <c r="G113" s="391"/>
    </row>
    <row r="114">
      <c r="A114" s="391"/>
      <c r="B114" s="391"/>
      <c r="C114" s="391"/>
      <c r="D114" s="391"/>
      <c r="E114" s="391"/>
      <c r="F114" s="391"/>
      <c r="G114" s="391"/>
    </row>
    <row r="115">
      <c r="A115" s="391"/>
      <c r="B115" s="391"/>
      <c r="C115" s="391"/>
      <c r="D115" s="391"/>
      <c r="E115" s="391"/>
      <c r="F115" s="391"/>
      <c r="G115" s="391"/>
    </row>
    <row r="116">
      <c r="A116" s="391"/>
      <c r="B116" s="391"/>
      <c r="C116" s="391"/>
      <c r="D116" s="391"/>
      <c r="E116" s="391"/>
      <c r="F116" s="391"/>
      <c r="G116" s="391"/>
    </row>
    <row r="117">
      <c r="A117" s="391"/>
      <c r="B117" s="391"/>
      <c r="C117" s="391"/>
      <c r="D117" s="391"/>
      <c r="E117" s="391"/>
      <c r="F117" s="391"/>
      <c r="G117" s="391"/>
    </row>
    <row r="118">
      <c r="A118" s="391"/>
      <c r="B118" s="391"/>
      <c r="C118" s="391"/>
      <c r="D118" s="391"/>
      <c r="E118" s="391"/>
      <c r="F118" s="391"/>
      <c r="G118" s="391"/>
    </row>
    <row r="119">
      <c r="A119" s="391"/>
      <c r="B119" s="391"/>
      <c r="C119" s="391"/>
      <c r="D119" s="391"/>
      <c r="E119" s="391"/>
      <c r="F119" s="391"/>
      <c r="G119" s="391"/>
    </row>
    <row r="120">
      <c r="A120" s="391"/>
      <c r="B120" s="391"/>
      <c r="C120" s="391"/>
      <c r="D120" s="391"/>
      <c r="E120" s="391"/>
      <c r="F120" s="391"/>
      <c r="G120" s="391"/>
    </row>
    <row r="121">
      <c r="A121" s="391"/>
      <c r="B121" s="391"/>
      <c r="C121" s="391"/>
      <c r="D121" s="391"/>
      <c r="E121" s="391"/>
      <c r="F121" s="391"/>
      <c r="G121" s="391"/>
    </row>
    <row r="122">
      <c r="A122" s="391"/>
      <c r="B122" s="391"/>
      <c r="C122" s="391"/>
      <c r="D122" s="391"/>
      <c r="E122" s="391"/>
      <c r="F122" s="391"/>
      <c r="G122" s="391"/>
    </row>
    <row r="123">
      <c r="A123" s="391"/>
      <c r="B123" s="391"/>
      <c r="C123" s="391"/>
      <c r="D123" s="391"/>
      <c r="E123" s="391"/>
      <c r="F123" s="391"/>
      <c r="G123" s="391"/>
    </row>
    <row r="124">
      <c r="A124" s="391"/>
      <c r="B124" s="391"/>
      <c r="C124" s="391"/>
      <c r="D124" s="391"/>
      <c r="E124" s="391"/>
      <c r="F124" s="391"/>
      <c r="G124" s="391"/>
    </row>
    <row r="125">
      <c r="A125" s="391"/>
      <c r="B125" s="391"/>
      <c r="C125" s="391"/>
      <c r="D125" s="391"/>
      <c r="E125" s="391"/>
      <c r="F125" s="391"/>
      <c r="G125" s="391"/>
    </row>
    <row r="126">
      <c r="A126" s="391"/>
      <c r="B126" s="391"/>
      <c r="C126" s="391"/>
      <c r="D126" s="391"/>
      <c r="E126" s="391"/>
      <c r="F126" s="391"/>
      <c r="G126" s="391"/>
    </row>
    <row r="127">
      <c r="A127" s="391"/>
      <c r="B127" s="391"/>
      <c r="C127" s="391"/>
      <c r="D127" s="391"/>
      <c r="E127" s="391"/>
      <c r="F127" s="391"/>
      <c r="G127" s="391"/>
    </row>
    <row r="128">
      <c r="A128" s="391"/>
      <c r="B128" s="391"/>
      <c r="C128" s="391"/>
      <c r="D128" s="391"/>
      <c r="E128" s="391"/>
      <c r="F128" s="391"/>
      <c r="G128" s="391"/>
    </row>
    <row r="129">
      <c r="A129" s="391"/>
      <c r="B129" s="391"/>
      <c r="C129" s="391"/>
      <c r="D129" s="391"/>
      <c r="E129" s="391"/>
      <c r="F129" s="391"/>
      <c r="G129" s="391"/>
    </row>
    <row r="130">
      <c r="A130" s="391"/>
      <c r="B130" s="391"/>
      <c r="C130" s="391"/>
      <c r="D130" s="391"/>
      <c r="E130" s="391"/>
      <c r="F130" s="391"/>
      <c r="G130" s="391"/>
    </row>
    <row r="131">
      <c r="A131" s="391"/>
      <c r="B131" s="391"/>
      <c r="C131" s="391"/>
      <c r="D131" s="391"/>
      <c r="E131" s="391"/>
      <c r="F131" s="391"/>
      <c r="G131" s="391"/>
    </row>
    <row r="132">
      <c r="A132" s="391"/>
      <c r="B132" s="391"/>
      <c r="C132" s="391"/>
      <c r="D132" s="391"/>
      <c r="E132" s="391"/>
      <c r="F132" s="391"/>
      <c r="G132" s="391"/>
    </row>
    <row r="133">
      <c r="A133" s="391"/>
      <c r="B133" s="391"/>
      <c r="C133" s="391"/>
      <c r="D133" s="391"/>
      <c r="E133" s="391"/>
      <c r="F133" s="391"/>
      <c r="G133" s="391"/>
    </row>
    <row r="134">
      <c r="A134" s="391"/>
      <c r="B134" s="391"/>
      <c r="C134" s="391"/>
      <c r="D134" s="391"/>
      <c r="E134" s="391"/>
      <c r="F134" s="391"/>
      <c r="G134" s="391"/>
    </row>
    <row r="135">
      <c r="A135" s="391"/>
      <c r="B135" s="391"/>
      <c r="C135" s="391"/>
      <c r="D135" s="391"/>
      <c r="E135" s="391"/>
      <c r="F135" s="391"/>
      <c r="G135" s="391"/>
    </row>
    <row r="136">
      <c r="A136" s="391"/>
      <c r="B136" s="391"/>
      <c r="C136" s="391"/>
      <c r="D136" s="391"/>
      <c r="E136" s="391"/>
      <c r="F136" s="391"/>
      <c r="G136" s="391"/>
    </row>
    <row r="137">
      <c r="A137" s="391"/>
      <c r="B137" s="391"/>
      <c r="C137" s="391"/>
      <c r="D137" s="391"/>
      <c r="E137" s="391"/>
      <c r="F137" s="391"/>
      <c r="G137" s="391"/>
    </row>
    <row r="138">
      <c r="A138" s="391"/>
      <c r="B138" s="391"/>
      <c r="C138" s="391"/>
      <c r="D138" s="391"/>
      <c r="E138" s="391"/>
      <c r="F138" s="391"/>
      <c r="G138" s="391"/>
    </row>
    <row r="139">
      <c r="A139" s="391"/>
      <c r="B139" s="391"/>
      <c r="C139" s="391"/>
      <c r="D139" s="391"/>
      <c r="E139" s="391"/>
      <c r="F139" s="391"/>
      <c r="G139" s="391"/>
    </row>
    <row r="140">
      <c r="A140" s="391"/>
      <c r="B140" s="391"/>
      <c r="C140" s="391"/>
      <c r="D140" s="391"/>
      <c r="E140" s="391"/>
      <c r="F140" s="391"/>
      <c r="G140" s="391"/>
    </row>
    <row r="141">
      <c r="A141" s="391"/>
      <c r="B141" s="391"/>
      <c r="C141" s="391"/>
      <c r="D141" s="391"/>
      <c r="E141" s="391"/>
      <c r="F141" s="391"/>
      <c r="G141" s="391"/>
    </row>
    <row r="142">
      <c r="A142" s="391"/>
      <c r="B142" s="391"/>
      <c r="C142" s="391"/>
      <c r="D142" s="391"/>
      <c r="E142" s="391"/>
      <c r="F142" s="391"/>
      <c r="G142" s="391"/>
    </row>
    <row r="143">
      <c r="A143" s="391"/>
      <c r="B143" s="391"/>
      <c r="C143" s="391"/>
      <c r="D143" s="391"/>
      <c r="E143" s="391"/>
      <c r="F143" s="391"/>
      <c r="G143" s="391"/>
    </row>
    <row r="144">
      <c r="A144" s="391"/>
      <c r="B144" s="391"/>
      <c r="C144" s="391"/>
      <c r="D144" s="391"/>
      <c r="E144" s="391"/>
      <c r="F144" s="391"/>
      <c r="G144" s="391"/>
    </row>
    <row r="145">
      <c r="A145" s="391"/>
      <c r="B145" s="391"/>
      <c r="C145" s="391"/>
      <c r="D145" s="391"/>
      <c r="E145" s="391"/>
      <c r="F145" s="391"/>
      <c r="G145" s="391"/>
    </row>
    <row r="146">
      <c r="A146" s="391"/>
      <c r="B146" s="391"/>
      <c r="C146" s="391"/>
      <c r="D146" s="391"/>
      <c r="E146" s="391"/>
      <c r="F146" s="391"/>
      <c r="G146" s="391"/>
    </row>
    <row r="147">
      <c r="A147" s="391"/>
      <c r="B147" s="391"/>
      <c r="C147" s="391"/>
      <c r="D147" s="391"/>
      <c r="E147" s="391"/>
      <c r="F147" s="391"/>
      <c r="G147" s="391"/>
    </row>
    <row r="148">
      <c r="A148" s="391"/>
      <c r="B148" s="391"/>
      <c r="C148" s="391"/>
      <c r="D148" s="391"/>
      <c r="E148" s="391"/>
      <c r="F148" s="391"/>
      <c r="G148" s="391"/>
    </row>
    <row r="149">
      <c r="A149" s="391"/>
      <c r="B149" s="391"/>
      <c r="C149" s="391"/>
      <c r="D149" s="391"/>
      <c r="E149" s="391"/>
      <c r="F149" s="391"/>
      <c r="G149" s="391"/>
    </row>
    <row r="150">
      <c r="A150" s="391"/>
      <c r="B150" s="391"/>
      <c r="C150" s="391"/>
      <c r="D150" s="391"/>
      <c r="E150" s="391"/>
      <c r="F150" s="391"/>
      <c r="G150" s="391"/>
    </row>
    <row r="151">
      <c r="A151" s="391"/>
      <c r="B151" s="391"/>
      <c r="C151" s="391"/>
      <c r="D151" s="391"/>
      <c r="E151" s="391"/>
      <c r="F151" s="391"/>
      <c r="G151" s="391"/>
    </row>
    <row r="152">
      <c r="A152" s="391"/>
      <c r="B152" s="391"/>
      <c r="C152" s="391"/>
      <c r="D152" s="391"/>
      <c r="E152" s="391"/>
      <c r="F152" s="391"/>
      <c r="G152" s="391"/>
    </row>
    <row r="153">
      <c r="A153" s="391"/>
      <c r="B153" s="391"/>
      <c r="C153" s="391"/>
      <c r="D153" s="391"/>
      <c r="E153" s="391"/>
      <c r="F153" s="391"/>
      <c r="G153" s="391"/>
    </row>
    <row r="154">
      <c r="A154" s="391"/>
      <c r="B154" s="391"/>
      <c r="C154" s="391"/>
      <c r="D154" s="391"/>
      <c r="E154" s="391"/>
      <c r="F154" s="391"/>
      <c r="G154" s="391"/>
    </row>
    <row r="155">
      <c r="A155" s="391"/>
      <c r="B155" s="391"/>
      <c r="C155" s="391"/>
      <c r="D155" s="391"/>
      <c r="E155" s="391"/>
      <c r="F155" s="391"/>
      <c r="G155" s="391"/>
    </row>
    <row r="156">
      <c r="A156" s="391"/>
      <c r="B156" s="391"/>
      <c r="C156" s="391"/>
      <c r="D156" s="391"/>
      <c r="E156" s="391"/>
      <c r="F156" s="391"/>
      <c r="G156" s="391"/>
    </row>
    <row r="157">
      <c r="A157" s="391"/>
      <c r="B157" s="391"/>
      <c r="C157" s="391"/>
      <c r="D157" s="391"/>
      <c r="E157" s="391"/>
      <c r="F157" s="391"/>
      <c r="G157" s="391"/>
    </row>
    <row r="158">
      <c r="A158" s="391"/>
      <c r="B158" s="391"/>
      <c r="C158" s="391"/>
      <c r="D158" s="391"/>
      <c r="E158" s="391"/>
      <c r="F158" s="391"/>
      <c r="G158" s="391"/>
    </row>
    <row r="159">
      <c r="A159" s="391"/>
      <c r="B159" s="391"/>
      <c r="C159" s="391"/>
      <c r="D159" s="391"/>
      <c r="E159" s="391"/>
      <c r="F159" s="391"/>
      <c r="G159" s="391"/>
    </row>
    <row r="160">
      <c r="A160" s="391"/>
      <c r="B160" s="391"/>
      <c r="C160" s="391"/>
      <c r="D160" s="391"/>
      <c r="E160" s="391"/>
      <c r="F160" s="391"/>
      <c r="G160" s="391"/>
    </row>
    <row r="161">
      <c r="A161" s="391"/>
      <c r="B161" s="391"/>
      <c r="C161" s="391"/>
      <c r="D161" s="391"/>
      <c r="E161" s="391"/>
      <c r="F161" s="391"/>
      <c r="G161" s="391"/>
    </row>
    <row r="162">
      <c r="A162" s="391"/>
      <c r="B162" s="391"/>
      <c r="C162" s="391"/>
      <c r="D162" s="391"/>
      <c r="E162" s="391"/>
      <c r="F162" s="391"/>
      <c r="G162" s="391"/>
    </row>
    <row r="163">
      <c r="A163" s="391"/>
      <c r="B163" s="391"/>
      <c r="C163" s="391"/>
      <c r="D163" s="391"/>
      <c r="E163" s="391"/>
      <c r="F163" s="391"/>
      <c r="G163" s="391"/>
    </row>
    <row r="164">
      <c r="A164" s="391"/>
      <c r="B164" s="391"/>
      <c r="C164" s="391"/>
      <c r="D164" s="391"/>
      <c r="E164" s="391"/>
      <c r="F164" s="391"/>
      <c r="G164" s="391"/>
    </row>
    <row r="165">
      <c r="A165" s="391"/>
      <c r="B165" s="391"/>
      <c r="C165" s="391"/>
      <c r="D165" s="391"/>
      <c r="E165" s="391"/>
      <c r="F165" s="391"/>
      <c r="G165" s="391"/>
    </row>
    <row r="166">
      <c r="A166" s="391"/>
      <c r="B166" s="391"/>
      <c r="C166" s="391"/>
      <c r="D166" s="391"/>
      <c r="E166" s="391"/>
      <c r="F166" s="391"/>
      <c r="G166" s="391"/>
    </row>
    <row r="167">
      <c r="A167" s="391"/>
      <c r="B167" s="391"/>
      <c r="C167" s="391"/>
      <c r="D167" s="391"/>
      <c r="E167" s="391"/>
      <c r="F167" s="391"/>
      <c r="G167" s="391"/>
    </row>
    <row r="168">
      <c r="A168" s="391"/>
      <c r="B168" s="391"/>
      <c r="C168" s="391"/>
      <c r="D168" s="391"/>
      <c r="E168" s="391"/>
      <c r="F168" s="391"/>
      <c r="G168" s="391"/>
    </row>
    <row r="169">
      <c r="A169" s="391"/>
      <c r="B169" s="391"/>
      <c r="C169" s="391"/>
      <c r="D169" s="391"/>
      <c r="E169" s="391"/>
      <c r="F169" s="391"/>
      <c r="G169" s="391"/>
    </row>
    <row r="170">
      <c r="A170" s="391"/>
      <c r="B170" s="391"/>
      <c r="C170" s="391"/>
      <c r="D170" s="391"/>
      <c r="E170" s="391"/>
      <c r="F170" s="391"/>
      <c r="G170" s="391"/>
    </row>
    <row r="171">
      <c r="A171" s="391"/>
      <c r="B171" s="391"/>
      <c r="C171" s="391"/>
      <c r="D171" s="391"/>
      <c r="E171" s="391"/>
      <c r="F171" s="391"/>
      <c r="G171" s="391"/>
    </row>
    <row r="172">
      <c r="A172" s="391"/>
      <c r="B172" s="391"/>
      <c r="C172" s="391"/>
      <c r="D172" s="391"/>
      <c r="E172" s="391"/>
      <c r="F172" s="391"/>
      <c r="G172" s="391"/>
    </row>
    <row r="173">
      <c r="A173" s="391"/>
      <c r="B173" s="391"/>
      <c r="C173" s="391"/>
      <c r="D173" s="391"/>
      <c r="E173" s="391"/>
      <c r="F173" s="391"/>
      <c r="G173" s="391"/>
    </row>
    <row r="174">
      <c r="A174" s="391"/>
      <c r="B174" s="391"/>
      <c r="C174" s="391"/>
      <c r="D174" s="391"/>
      <c r="E174" s="391"/>
      <c r="F174" s="391"/>
      <c r="G174" s="391"/>
    </row>
    <row r="175">
      <c r="A175" s="391"/>
      <c r="B175" s="391"/>
      <c r="C175" s="391"/>
      <c r="D175" s="391"/>
      <c r="E175" s="391"/>
      <c r="F175" s="391"/>
      <c r="G175" s="391"/>
    </row>
    <row r="176">
      <c r="A176" s="391"/>
      <c r="B176" s="391"/>
      <c r="C176" s="391"/>
      <c r="D176" s="391"/>
      <c r="E176" s="391"/>
      <c r="F176" s="391"/>
      <c r="G176" s="391"/>
    </row>
    <row r="177">
      <c r="A177" s="391"/>
      <c r="B177" s="391"/>
      <c r="C177" s="391"/>
      <c r="D177" s="391"/>
      <c r="E177" s="391"/>
      <c r="F177" s="391"/>
      <c r="G177" s="391"/>
    </row>
    <row r="178">
      <c r="A178" s="391"/>
      <c r="B178" s="391"/>
      <c r="C178" s="391"/>
      <c r="D178" s="391"/>
      <c r="E178" s="391"/>
      <c r="F178" s="391"/>
      <c r="G178" s="391"/>
    </row>
    <row r="179">
      <c r="A179" s="391"/>
      <c r="B179" s="391"/>
      <c r="C179" s="391"/>
      <c r="D179" s="391"/>
      <c r="E179" s="391"/>
      <c r="F179" s="391"/>
      <c r="G179" s="391"/>
    </row>
    <row r="180">
      <c r="A180" s="391"/>
      <c r="B180" s="391"/>
      <c r="C180" s="391"/>
      <c r="D180" s="391"/>
      <c r="E180" s="391"/>
      <c r="F180" s="391"/>
      <c r="G180" s="391"/>
    </row>
    <row r="181">
      <c r="A181" s="391"/>
      <c r="B181" s="391"/>
      <c r="C181" s="391"/>
      <c r="D181" s="391"/>
      <c r="E181" s="391"/>
      <c r="F181" s="391"/>
      <c r="G181" s="391"/>
    </row>
    <row r="182">
      <c r="A182" s="391"/>
      <c r="B182" s="391"/>
      <c r="C182" s="391"/>
      <c r="D182" s="391"/>
      <c r="E182" s="391"/>
      <c r="F182" s="391"/>
      <c r="G182" s="391"/>
    </row>
    <row r="183">
      <c r="A183" s="391"/>
      <c r="B183" s="391"/>
      <c r="C183" s="391"/>
      <c r="D183" s="391"/>
      <c r="E183" s="391"/>
      <c r="F183" s="391"/>
      <c r="G183" s="391"/>
    </row>
    <row r="184">
      <c r="A184" s="391"/>
      <c r="B184" s="391"/>
      <c r="C184" s="391"/>
      <c r="D184" s="391"/>
      <c r="E184" s="391"/>
      <c r="F184" s="391"/>
      <c r="G184" s="391"/>
    </row>
    <row r="185">
      <c r="A185" s="391"/>
      <c r="B185" s="391"/>
      <c r="C185" s="391"/>
      <c r="D185" s="391"/>
      <c r="E185" s="391"/>
      <c r="F185" s="391"/>
      <c r="G185" s="391"/>
    </row>
    <row r="186">
      <c r="A186" s="391"/>
      <c r="B186" s="391"/>
      <c r="C186" s="391"/>
      <c r="D186" s="391"/>
      <c r="E186" s="391"/>
      <c r="F186" s="391"/>
      <c r="G186" s="391"/>
    </row>
    <row r="187">
      <c r="A187" s="391"/>
      <c r="B187" s="391"/>
      <c r="C187" s="391"/>
      <c r="D187" s="391"/>
      <c r="E187" s="391"/>
      <c r="F187" s="391"/>
      <c r="G187" s="391"/>
    </row>
    <row r="188">
      <c r="A188" s="391"/>
      <c r="B188" s="391"/>
      <c r="C188" s="391"/>
      <c r="D188" s="391"/>
      <c r="E188" s="391"/>
      <c r="F188" s="391"/>
      <c r="G188" s="391"/>
    </row>
    <row r="189">
      <c r="A189" s="391"/>
      <c r="B189" s="391"/>
      <c r="C189" s="391"/>
      <c r="D189" s="391"/>
      <c r="E189" s="391"/>
      <c r="F189" s="391"/>
      <c r="G189" s="391"/>
    </row>
    <row r="190">
      <c r="A190" s="391"/>
      <c r="B190" s="391"/>
      <c r="C190" s="391"/>
      <c r="D190" s="391"/>
      <c r="E190" s="391"/>
      <c r="F190" s="391"/>
      <c r="G190" s="391"/>
    </row>
    <row r="191">
      <c r="A191" s="391"/>
      <c r="B191" s="391"/>
      <c r="C191" s="391"/>
      <c r="D191" s="391"/>
      <c r="E191" s="391"/>
      <c r="F191" s="391"/>
      <c r="G191" s="391"/>
    </row>
    <row r="192">
      <c r="A192" s="391"/>
      <c r="B192" s="391"/>
      <c r="C192" s="391"/>
      <c r="D192" s="391"/>
      <c r="E192" s="391"/>
      <c r="F192" s="391"/>
      <c r="G192" s="391"/>
    </row>
    <row r="193">
      <c r="A193" s="391"/>
      <c r="B193" s="391"/>
      <c r="C193" s="391"/>
      <c r="D193" s="391"/>
      <c r="E193" s="391"/>
      <c r="F193" s="391"/>
      <c r="G193" s="391"/>
    </row>
    <row r="194">
      <c r="A194" s="391"/>
      <c r="B194" s="391"/>
      <c r="C194" s="391"/>
      <c r="D194" s="391"/>
      <c r="E194" s="391"/>
      <c r="F194" s="391"/>
      <c r="G194" s="391"/>
    </row>
    <row r="195">
      <c r="A195" s="391"/>
      <c r="B195" s="391"/>
      <c r="C195" s="391"/>
      <c r="D195" s="391"/>
      <c r="E195" s="391"/>
      <c r="F195" s="391"/>
      <c r="G195" s="391"/>
    </row>
    <row r="196">
      <c r="A196" s="391"/>
      <c r="B196" s="391"/>
      <c r="C196" s="391"/>
      <c r="D196" s="391"/>
      <c r="E196" s="391"/>
      <c r="F196" s="391"/>
      <c r="G196" s="391"/>
    </row>
    <row r="197">
      <c r="A197" s="391"/>
      <c r="B197" s="391"/>
      <c r="C197" s="391"/>
      <c r="D197" s="391"/>
      <c r="E197" s="391"/>
      <c r="F197" s="391"/>
      <c r="G197" s="391"/>
    </row>
    <row r="198">
      <c r="A198" s="391"/>
      <c r="B198" s="391"/>
      <c r="C198" s="391"/>
      <c r="D198" s="391"/>
      <c r="E198" s="391"/>
      <c r="F198" s="391"/>
      <c r="G198" s="391"/>
    </row>
    <row r="199">
      <c r="A199" s="391"/>
      <c r="B199" s="391"/>
      <c r="C199" s="391"/>
      <c r="D199" s="391"/>
      <c r="E199" s="391"/>
      <c r="F199" s="391"/>
      <c r="G199" s="391"/>
    </row>
    <row r="200">
      <c r="A200" s="391"/>
      <c r="B200" s="391"/>
      <c r="C200" s="391"/>
      <c r="D200" s="391"/>
      <c r="E200" s="391"/>
      <c r="F200" s="391"/>
      <c r="G200" s="391"/>
    </row>
    <row r="201">
      <c r="A201" s="391"/>
      <c r="B201" s="391"/>
      <c r="C201" s="391"/>
      <c r="D201" s="391"/>
      <c r="E201" s="391"/>
      <c r="F201" s="391"/>
      <c r="G201" s="391"/>
    </row>
    <row r="202">
      <c r="A202" s="391"/>
      <c r="B202" s="391"/>
      <c r="C202" s="391"/>
      <c r="D202" s="391"/>
      <c r="E202" s="391"/>
      <c r="F202" s="391"/>
      <c r="G202" s="391"/>
    </row>
    <row r="203">
      <c r="A203" s="391"/>
      <c r="B203" s="391"/>
      <c r="C203" s="391"/>
      <c r="D203" s="391"/>
      <c r="E203" s="391"/>
      <c r="F203" s="391"/>
      <c r="G203" s="391"/>
    </row>
    <row r="204">
      <c r="A204" s="391"/>
      <c r="B204" s="391"/>
      <c r="C204" s="391"/>
      <c r="D204" s="391"/>
      <c r="E204" s="391"/>
      <c r="F204" s="391"/>
      <c r="G204" s="391"/>
    </row>
    <row r="205">
      <c r="A205" s="391"/>
      <c r="B205" s="391"/>
      <c r="C205" s="391"/>
      <c r="D205" s="391"/>
      <c r="E205" s="391"/>
      <c r="F205" s="391"/>
      <c r="G205" s="391"/>
    </row>
    <row r="206">
      <c r="A206" s="391"/>
      <c r="B206" s="391"/>
      <c r="C206" s="391"/>
      <c r="D206" s="391"/>
      <c r="E206" s="391"/>
      <c r="F206" s="391"/>
      <c r="G206" s="391"/>
    </row>
    <row r="207">
      <c r="A207" s="391"/>
      <c r="B207" s="391"/>
      <c r="C207" s="391"/>
      <c r="D207" s="391"/>
      <c r="E207" s="391"/>
      <c r="F207" s="391"/>
      <c r="G207" s="391"/>
    </row>
    <row r="208">
      <c r="A208" s="391"/>
      <c r="B208" s="391"/>
      <c r="C208" s="391"/>
      <c r="D208" s="391"/>
      <c r="E208" s="391"/>
      <c r="F208" s="391"/>
      <c r="G208" s="391"/>
    </row>
    <row r="209">
      <c r="A209" s="391"/>
      <c r="B209" s="391"/>
      <c r="C209" s="391"/>
      <c r="D209" s="391"/>
      <c r="E209" s="391"/>
      <c r="F209" s="391"/>
      <c r="G209" s="391"/>
    </row>
    <row r="210">
      <c r="A210" s="391"/>
      <c r="B210" s="391"/>
      <c r="C210" s="391"/>
      <c r="D210" s="391"/>
      <c r="E210" s="391"/>
      <c r="F210" s="391"/>
      <c r="G210" s="391"/>
    </row>
    <row r="211">
      <c r="A211" s="391"/>
      <c r="B211" s="391"/>
      <c r="C211" s="391"/>
      <c r="D211" s="391"/>
      <c r="E211" s="391"/>
      <c r="F211" s="391"/>
      <c r="G211" s="391"/>
    </row>
    <row r="212">
      <c r="A212" s="391"/>
      <c r="B212" s="391"/>
      <c r="C212" s="391"/>
      <c r="D212" s="391"/>
      <c r="E212" s="391"/>
      <c r="F212" s="391"/>
      <c r="G212" s="391"/>
    </row>
    <row r="213">
      <c r="A213" s="391"/>
      <c r="B213" s="391"/>
      <c r="C213" s="391"/>
      <c r="D213" s="391"/>
      <c r="E213" s="391"/>
      <c r="F213" s="391"/>
      <c r="G213" s="391"/>
    </row>
    <row r="214">
      <c r="A214" s="391"/>
      <c r="B214" s="391"/>
      <c r="C214" s="391"/>
      <c r="D214" s="391"/>
      <c r="E214" s="391"/>
      <c r="F214" s="391"/>
      <c r="G214" s="391"/>
    </row>
    <row r="215">
      <c r="A215" s="391"/>
      <c r="B215" s="391"/>
      <c r="C215" s="391"/>
      <c r="D215" s="391"/>
      <c r="E215" s="391"/>
      <c r="F215" s="391"/>
      <c r="G215" s="391"/>
    </row>
    <row r="216">
      <c r="A216" s="391"/>
      <c r="B216" s="391"/>
      <c r="C216" s="391"/>
      <c r="D216" s="391"/>
      <c r="E216" s="391"/>
      <c r="F216" s="391"/>
      <c r="G216" s="391"/>
    </row>
    <row r="217">
      <c r="A217" s="391"/>
      <c r="B217" s="391"/>
      <c r="C217" s="391"/>
      <c r="D217" s="391"/>
      <c r="E217" s="391"/>
      <c r="F217" s="391"/>
      <c r="G217" s="391"/>
    </row>
    <row r="218">
      <c r="A218" s="391"/>
      <c r="B218" s="391"/>
      <c r="C218" s="391"/>
      <c r="D218" s="391"/>
      <c r="E218" s="391"/>
      <c r="F218" s="391"/>
      <c r="G218" s="391"/>
    </row>
    <row r="219">
      <c r="A219" s="391"/>
      <c r="B219" s="391"/>
      <c r="C219" s="391"/>
      <c r="D219" s="391"/>
      <c r="E219" s="391"/>
      <c r="F219" s="391"/>
      <c r="G219" s="391"/>
    </row>
    <row r="220">
      <c r="A220" s="391"/>
      <c r="B220" s="391"/>
      <c r="C220" s="391"/>
      <c r="D220" s="391"/>
      <c r="E220" s="391"/>
      <c r="F220" s="391"/>
      <c r="G220" s="391"/>
    </row>
    <row r="221">
      <c r="A221" s="391"/>
      <c r="B221" s="391"/>
      <c r="C221" s="391"/>
      <c r="D221" s="391"/>
      <c r="E221" s="391"/>
      <c r="F221" s="391"/>
      <c r="G221" s="391"/>
    </row>
    <row r="222">
      <c r="A222" s="391"/>
      <c r="B222" s="391"/>
      <c r="C222" s="391"/>
      <c r="D222" s="391"/>
      <c r="E222" s="391"/>
      <c r="F222" s="391"/>
      <c r="G222" s="391"/>
    </row>
    <row r="223">
      <c r="A223" s="391"/>
      <c r="B223" s="391"/>
      <c r="C223" s="391"/>
      <c r="D223" s="391"/>
      <c r="E223" s="391"/>
      <c r="F223" s="391"/>
      <c r="G223" s="391"/>
    </row>
    <row r="224">
      <c r="A224" s="391"/>
      <c r="B224" s="391"/>
      <c r="C224" s="391"/>
      <c r="D224" s="391"/>
      <c r="E224" s="391"/>
      <c r="F224" s="391"/>
      <c r="G224" s="391"/>
    </row>
    <row r="225">
      <c r="A225" s="391"/>
      <c r="B225" s="391"/>
      <c r="C225" s="391"/>
      <c r="D225" s="391"/>
      <c r="E225" s="391"/>
      <c r="F225" s="391"/>
      <c r="G225" s="391"/>
    </row>
    <row r="226">
      <c r="A226" s="391"/>
      <c r="B226" s="391"/>
      <c r="C226" s="391"/>
      <c r="D226" s="391"/>
      <c r="E226" s="391"/>
      <c r="F226" s="391"/>
      <c r="G226" s="391"/>
    </row>
    <row r="227">
      <c r="A227" s="391"/>
      <c r="B227" s="391"/>
      <c r="C227" s="391"/>
      <c r="D227" s="391"/>
      <c r="E227" s="391"/>
      <c r="F227" s="391"/>
      <c r="G227" s="391"/>
    </row>
    <row r="228">
      <c r="A228" s="391"/>
      <c r="B228" s="391"/>
      <c r="C228" s="391"/>
      <c r="D228" s="391"/>
      <c r="E228" s="391"/>
      <c r="F228" s="391"/>
      <c r="G228" s="391"/>
    </row>
    <row r="229">
      <c r="A229" s="391"/>
      <c r="B229" s="391"/>
      <c r="C229" s="391"/>
      <c r="D229" s="391"/>
      <c r="E229" s="391"/>
      <c r="F229" s="391"/>
      <c r="G229" s="391"/>
    </row>
    <row r="230">
      <c r="A230" s="391"/>
      <c r="B230" s="391"/>
      <c r="C230" s="391"/>
      <c r="D230" s="391"/>
      <c r="E230" s="391"/>
      <c r="F230" s="391"/>
      <c r="G230" s="391"/>
    </row>
    <row r="231">
      <c r="A231" s="391"/>
      <c r="B231" s="391"/>
      <c r="C231" s="391"/>
      <c r="D231" s="391"/>
      <c r="E231" s="391"/>
      <c r="F231" s="391"/>
      <c r="G231" s="391"/>
    </row>
    <row r="232">
      <c r="A232" s="391"/>
      <c r="B232" s="391"/>
      <c r="C232" s="391"/>
      <c r="D232" s="391"/>
      <c r="E232" s="391"/>
      <c r="F232" s="391"/>
      <c r="G232" s="391"/>
    </row>
    <row r="233">
      <c r="A233" s="391"/>
      <c r="B233" s="391"/>
      <c r="C233" s="391"/>
      <c r="D233" s="391"/>
      <c r="E233" s="391"/>
      <c r="F233" s="391"/>
      <c r="G233" s="391"/>
    </row>
    <row r="234">
      <c r="A234" s="391"/>
      <c r="B234" s="391"/>
      <c r="C234" s="391"/>
      <c r="D234" s="391"/>
      <c r="E234" s="391"/>
      <c r="F234" s="391"/>
      <c r="G234" s="391"/>
    </row>
    <row r="235">
      <c r="A235" s="391"/>
      <c r="B235" s="391"/>
      <c r="C235" s="391"/>
      <c r="D235" s="391"/>
      <c r="E235" s="391"/>
      <c r="F235" s="391"/>
      <c r="G235" s="391"/>
    </row>
    <row r="236">
      <c r="A236" s="391"/>
      <c r="B236" s="391"/>
      <c r="C236" s="391"/>
      <c r="D236" s="391"/>
      <c r="E236" s="391"/>
      <c r="F236" s="391"/>
      <c r="G236" s="391"/>
    </row>
    <row r="237">
      <c r="A237" s="391"/>
      <c r="B237" s="391"/>
      <c r="C237" s="391"/>
      <c r="D237" s="391"/>
      <c r="E237" s="391"/>
      <c r="F237" s="391"/>
      <c r="G237" s="391"/>
    </row>
    <row r="238">
      <c r="A238" s="391"/>
      <c r="B238" s="391"/>
      <c r="C238" s="391"/>
      <c r="D238" s="391"/>
      <c r="E238" s="391"/>
      <c r="F238" s="391"/>
      <c r="G238" s="391"/>
    </row>
    <row r="239">
      <c r="A239" s="391"/>
      <c r="B239" s="391"/>
      <c r="C239" s="391"/>
      <c r="D239" s="391"/>
      <c r="E239" s="391"/>
      <c r="F239" s="391"/>
      <c r="G239" s="391"/>
    </row>
    <row r="240">
      <c r="A240" s="391"/>
      <c r="B240" s="391"/>
      <c r="C240" s="391"/>
      <c r="D240" s="391"/>
      <c r="E240" s="391"/>
      <c r="F240" s="391"/>
      <c r="G240" s="391"/>
    </row>
    <row r="241">
      <c r="A241" s="391"/>
      <c r="B241" s="391"/>
      <c r="C241" s="391"/>
      <c r="D241" s="391"/>
      <c r="E241" s="391"/>
      <c r="F241" s="391"/>
      <c r="G241" s="391"/>
    </row>
    <row r="242">
      <c r="A242" s="391"/>
      <c r="B242" s="391"/>
      <c r="C242" s="391"/>
      <c r="D242" s="391"/>
      <c r="E242" s="391"/>
      <c r="F242" s="391"/>
      <c r="G242" s="391"/>
    </row>
    <row r="243">
      <c r="A243" s="391"/>
      <c r="B243" s="391"/>
      <c r="C243" s="391"/>
      <c r="D243" s="391"/>
      <c r="E243" s="391"/>
      <c r="F243" s="391"/>
      <c r="G243" s="391"/>
    </row>
    <row r="244">
      <c r="A244" s="391"/>
      <c r="B244" s="391"/>
      <c r="C244" s="391"/>
      <c r="D244" s="391"/>
      <c r="E244" s="391"/>
      <c r="F244" s="391"/>
      <c r="G244" s="391"/>
    </row>
    <row r="245">
      <c r="A245" s="391"/>
      <c r="B245" s="391"/>
      <c r="C245" s="391"/>
      <c r="D245" s="391"/>
      <c r="E245" s="391"/>
      <c r="F245" s="391"/>
      <c r="G245" s="391"/>
    </row>
    <row r="246">
      <c r="A246" s="391"/>
      <c r="B246" s="391"/>
      <c r="C246" s="391"/>
      <c r="D246" s="391"/>
      <c r="E246" s="391"/>
      <c r="F246" s="391"/>
      <c r="G246" s="391"/>
    </row>
    <row r="247">
      <c r="A247" s="391"/>
      <c r="B247" s="391"/>
      <c r="C247" s="391"/>
      <c r="D247" s="391"/>
      <c r="E247" s="391"/>
      <c r="F247" s="391"/>
      <c r="G247" s="391"/>
    </row>
    <row r="248">
      <c r="A248" s="391"/>
      <c r="B248" s="391"/>
      <c r="C248" s="391"/>
      <c r="D248" s="391"/>
      <c r="E248" s="391"/>
      <c r="F248" s="391"/>
      <c r="G248" s="391"/>
    </row>
    <row r="249">
      <c r="A249" s="391"/>
      <c r="B249" s="391"/>
      <c r="C249" s="391"/>
      <c r="D249" s="391"/>
      <c r="E249" s="391"/>
      <c r="F249" s="391"/>
      <c r="G249" s="391"/>
    </row>
    <row r="250">
      <c r="A250" s="391"/>
      <c r="B250" s="391"/>
      <c r="C250" s="391"/>
      <c r="D250" s="391"/>
      <c r="E250" s="391"/>
      <c r="F250" s="391"/>
      <c r="G250" s="391"/>
    </row>
    <row r="251">
      <c r="A251" s="391"/>
      <c r="B251" s="391"/>
      <c r="C251" s="391"/>
      <c r="D251" s="391"/>
      <c r="E251" s="391"/>
      <c r="F251" s="391"/>
      <c r="G251" s="391"/>
    </row>
    <row r="252">
      <c r="A252" s="391"/>
      <c r="B252" s="391"/>
      <c r="C252" s="391"/>
      <c r="D252" s="391"/>
      <c r="E252" s="391"/>
      <c r="F252" s="391"/>
      <c r="G252" s="391"/>
    </row>
    <row r="253">
      <c r="A253" s="391"/>
      <c r="B253" s="391"/>
      <c r="C253" s="391"/>
      <c r="D253" s="391"/>
      <c r="E253" s="391"/>
      <c r="F253" s="391"/>
      <c r="G253" s="391"/>
    </row>
    <row r="254">
      <c r="A254" s="391"/>
      <c r="B254" s="391"/>
      <c r="C254" s="391"/>
      <c r="D254" s="391"/>
      <c r="E254" s="391"/>
      <c r="F254" s="391"/>
      <c r="G254" s="391"/>
    </row>
    <row r="255">
      <c r="A255" s="391"/>
      <c r="B255" s="391"/>
      <c r="C255" s="391"/>
      <c r="D255" s="391"/>
      <c r="E255" s="391"/>
      <c r="F255" s="391"/>
      <c r="G255" s="391"/>
    </row>
    <row r="256">
      <c r="A256" s="391"/>
      <c r="B256" s="391"/>
      <c r="C256" s="391"/>
      <c r="D256" s="391"/>
      <c r="E256" s="391"/>
      <c r="F256" s="391"/>
      <c r="G256" s="391"/>
    </row>
    <row r="257">
      <c r="A257" s="391"/>
      <c r="B257" s="391"/>
      <c r="C257" s="391"/>
      <c r="D257" s="391"/>
      <c r="E257" s="391"/>
      <c r="F257" s="391"/>
      <c r="G257" s="391"/>
    </row>
    <row r="258">
      <c r="A258" s="391"/>
      <c r="B258" s="391"/>
      <c r="C258" s="391"/>
      <c r="D258" s="391"/>
      <c r="E258" s="391"/>
      <c r="F258" s="391"/>
      <c r="G258" s="391"/>
    </row>
    <row r="259">
      <c r="A259" s="391"/>
      <c r="B259" s="391"/>
      <c r="C259" s="391"/>
      <c r="D259" s="391"/>
      <c r="E259" s="391"/>
      <c r="F259" s="391"/>
      <c r="G259" s="391"/>
    </row>
    <row r="260">
      <c r="A260" s="391"/>
      <c r="B260" s="391"/>
      <c r="C260" s="391"/>
      <c r="D260" s="391"/>
      <c r="E260" s="391"/>
      <c r="F260" s="391"/>
      <c r="G260" s="391"/>
    </row>
    <row r="261">
      <c r="A261" s="391"/>
      <c r="B261" s="391"/>
      <c r="C261" s="391"/>
      <c r="D261" s="391"/>
      <c r="E261" s="391"/>
      <c r="F261" s="391"/>
      <c r="G261" s="391"/>
    </row>
    <row r="262">
      <c r="A262" s="391"/>
      <c r="B262" s="391"/>
      <c r="C262" s="391"/>
      <c r="D262" s="391"/>
      <c r="E262" s="391"/>
      <c r="F262" s="391"/>
      <c r="G262" s="391"/>
    </row>
    <row r="263">
      <c r="A263" s="391"/>
      <c r="B263" s="391"/>
      <c r="C263" s="391"/>
      <c r="D263" s="391"/>
      <c r="E263" s="391"/>
      <c r="F263" s="391"/>
      <c r="G263" s="391"/>
    </row>
    <row r="264">
      <c r="A264" s="391"/>
      <c r="B264" s="391"/>
      <c r="C264" s="391"/>
      <c r="D264" s="391"/>
      <c r="E264" s="391"/>
      <c r="F264" s="391"/>
      <c r="G264" s="391"/>
    </row>
    <row r="265">
      <c r="A265" s="391"/>
      <c r="B265" s="391"/>
      <c r="C265" s="391"/>
      <c r="D265" s="391"/>
      <c r="E265" s="391"/>
      <c r="F265" s="391"/>
      <c r="G265" s="391"/>
    </row>
    <row r="266">
      <c r="A266" s="391"/>
      <c r="B266" s="391"/>
      <c r="C266" s="391"/>
      <c r="D266" s="391"/>
      <c r="E266" s="391"/>
      <c r="F266" s="391"/>
      <c r="G266" s="391"/>
    </row>
    <row r="267">
      <c r="A267" s="391"/>
      <c r="B267" s="391"/>
      <c r="C267" s="391"/>
      <c r="D267" s="391"/>
      <c r="E267" s="391"/>
      <c r="F267" s="391"/>
      <c r="G267" s="391"/>
    </row>
    <row r="268">
      <c r="A268" s="391"/>
      <c r="B268" s="391"/>
      <c r="C268" s="391"/>
      <c r="D268" s="391"/>
      <c r="E268" s="391"/>
      <c r="F268" s="391"/>
      <c r="G268" s="391"/>
    </row>
    <row r="269">
      <c r="A269" s="391"/>
      <c r="B269" s="391"/>
      <c r="C269" s="391"/>
      <c r="D269" s="391"/>
      <c r="E269" s="391"/>
      <c r="F269" s="391"/>
      <c r="G269" s="391"/>
    </row>
    <row r="270">
      <c r="A270" s="391"/>
      <c r="B270" s="391"/>
      <c r="C270" s="391"/>
      <c r="D270" s="391"/>
      <c r="E270" s="391"/>
      <c r="F270" s="391"/>
      <c r="G270" s="391"/>
    </row>
    <row r="271">
      <c r="A271" s="391"/>
      <c r="B271" s="391"/>
      <c r="C271" s="391"/>
      <c r="D271" s="391"/>
      <c r="E271" s="391"/>
      <c r="F271" s="391"/>
      <c r="G271" s="391"/>
    </row>
    <row r="272">
      <c r="A272" s="391"/>
      <c r="B272" s="391"/>
      <c r="C272" s="391"/>
      <c r="D272" s="391"/>
      <c r="E272" s="391"/>
      <c r="F272" s="391"/>
      <c r="G272" s="391"/>
    </row>
    <row r="273">
      <c r="A273" s="391"/>
      <c r="B273" s="391"/>
      <c r="C273" s="391"/>
      <c r="D273" s="391"/>
      <c r="E273" s="391"/>
      <c r="F273" s="391"/>
      <c r="G273" s="391"/>
    </row>
    <row r="274">
      <c r="A274" s="391"/>
      <c r="B274" s="391"/>
      <c r="C274" s="391"/>
      <c r="D274" s="391"/>
      <c r="E274" s="391"/>
      <c r="F274" s="391"/>
      <c r="G274" s="391"/>
    </row>
    <row r="275">
      <c r="A275" s="391"/>
      <c r="B275" s="391"/>
      <c r="C275" s="391"/>
      <c r="D275" s="391"/>
      <c r="E275" s="391"/>
      <c r="F275" s="391"/>
      <c r="G275" s="391"/>
    </row>
    <row r="276">
      <c r="A276" s="391"/>
      <c r="B276" s="391"/>
      <c r="C276" s="391"/>
      <c r="D276" s="391"/>
      <c r="E276" s="391"/>
      <c r="F276" s="391"/>
      <c r="G276" s="391"/>
    </row>
    <row r="277">
      <c r="A277" s="391"/>
      <c r="B277" s="391"/>
      <c r="C277" s="391"/>
      <c r="D277" s="391"/>
      <c r="E277" s="391"/>
      <c r="F277" s="391"/>
      <c r="G277" s="391"/>
    </row>
    <row r="278">
      <c r="A278" s="391"/>
      <c r="B278" s="391"/>
      <c r="C278" s="391"/>
      <c r="D278" s="391"/>
      <c r="E278" s="391"/>
      <c r="F278" s="391"/>
      <c r="G278" s="391"/>
    </row>
    <row r="279">
      <c r="A279" s="391"/>
      <c r="B279" s="391"/>
      <c r="C279" s="391"/>
      <c r="D279" s="391"/>
      <c r="E279" s="391"/>
      <c r="F279" s="391"/>
      <c r="G279" s="391"/>
    </row>
    <row r="280">
      <c r="A280" s="391"/>
      <c r="B280" s="391"/>
      <c r="C280" s="391"/>
      <c r="D280" s="391"/>
      <c r="E280" s="391"/>
      <c r="F280" s="391"/>
      <c r="G280" s="391"/>
    </row>
    <row r="281">
      <c r="A281" s="391"/>
      <c r="B281" s="391"/>
      <c r="C281" s="391"/>
      <c r="D281" s="391"/>
      <c r="E281" s="391"/>
      <c r="F281" s="391"/>
      <c r="G281" s="391"/>
    </row>
    <row r="282">
      <c r="A282" s="391"/>
      <c r="B282" s="391"/>
      <c r="C282" s="391"/>
      <c r="D282" s="391"/>
      <c r="E282" s="391"/>
      <c r="F282" s="391"/>
      <c r="G282" s="391"/>
    </row>
    <row r="283">
      <c r="A283" s="391"/>
      <c r="B283" s="391"/>
      <c r="C283" s="391"/>
      <c r="D283" s="391"/>
      <c r="E283" s="391"/>
      <c r="F283" s="391"/>
      <c r="G283" s="391"/>
    </row>
    <row r="284">
      <c r="A284" s="391"/>
      <c r="B284" s="391"/>
      <c r="C284" s="391"/>
      <c r="D284" s="391"/>
      <c r="E284" s="391"/>
      <c r="F284" s="391"/>
      <c r="G284" s="391"/>
    </row>
    <row r="285">
      <c r="A285" s="391"/>
      <c r="B285" s="391"/>
      <c r="C285" s="391"/>
      <c r="D285" s="391"/>
      <c r="E285" s="391"/>
      <c r="F285" s="391"/>
      <c r="G285" s="391"/>
    </row>
    <row r="286">
      <c r="A286" s="391"/>
      <c r="B286" s="391"/>
      <c r="C286" s="391"/>
      <c r="D286" s="391"/>
      <c r="E286" s="391"/>
      <c r="F286" s="391"/>
      <c r="G286" s="391"/>
    </row>
    <row r="287">
      <c r="A287" s="391"/>
      <c r="B287" s="391"/>
      <c r="C287" s="391"/>
      <c r="D287" s="391"/>
      <c r="E287" s="391"/>
      <c r="F287" s="391"/>
      <c r="G287" s="391"/>
    </row>
    <row r="288">
      <c r="A288" s="391"/>
      <c r="B288" s="391"/>
      <c r="C288" s="391"/>
      <c r="D288" s="391"/>
      <c r="E288" s="391"/>
      <c r="F288" s="391"/>
      <c r="G288" s="391"/>
    </row>
    <row r="289">
      <c r="A289" s="391"/>
      <c r="B289" s="391"/>
      <c r="C289" s="391"/>
      <c r="D289" s="391"/>
      <c r="E289" s="391"/>
      <c r="F289" s="391"/>
      <c r="G289" s="391"/>
    </row>
    <row r="290">
      <c r="A290" s="391"/>
      <c r="B290" s="391"/>
      <c r="C290" s="391"/>
      <c r="D290" s="391"/>
      <c r="E290" s="391"/>
      <c r="F290" s="391"/>
      <c r="G290" s="391"/>
    </row>
    <row r="291">
      <c r="A291" s="391"/>
      <c r="B291" s="391"/>
      <c r="C291" s="391"/>
      <c r="D291" s="391"/>
      <c r="E291" s="391"/>
      <c r="F291" s="391"/>
      <c r="G291" s="391"/>
    </row>
    <row r="292">
      <c r="A292" s="391"/>
      <c r="B292" s="391"/>
      <c r="C292" s="391"/>
      <c r="D292" s="391"/>
      <c r="E292" s="391"/>
      <c r="F292" s="391"/>
      <c r="G292" s="391"/>
    </row>
    <row r="293">
      <c r="A293" s="391"/>
      <c r="B293" s="391"/>
      <c r="C293" s="391"/>
      <c r="D293" s="391"/>
      <c r="E293" s="391"/>
      <c r="F293" s="391"/>
      <c r="G293" s="391"/>
    </row>
    <row r="294">
      <c r="A294" s="391"/>
      <c r="B294" s="391"/>
      <c r="C294" s="391"/>
      <c r="D294" s="391"/>
      <c r="E294" s="391"/>
      <c r="F294" s="391"/>
      <c r="G294" s="391"/>
    </row>
    <row r="295">
      <c r="A295" s="391"/>
      <c r="B295" s="391"/>
      <c r="C295" s="391"/>
      <c r="D295" s="391"/>
      <c r="E295" s="391"/>
      <c r="F295" s="391"/>
      <c r="G295" s="391"/>
    </row>
    <row r="296">
      <c r="A296" s="391"/>
      <c r="B296" s="391"/>
      <c r="C296" s="391"/>
      <c r="D296" s="391"/>
      <c r="E296" s="391"/>
      <c r="F296" s="391"/>
      <c r="G296" s="391"/>
    </row>
    <row r="297">
      <c r="A297" s="391"/>
      <c r="B297" s="391"/>
      <c r="C297" s="391"/>
      <c r="D297" s="391"/>
      <c r="E297" s="391"/>
      <c r="F297" s="391"/>
      <c r="G297" s="391"/>
    </row>
    <row r="298">
      <c r="A298" s="391"/>
      <c r="B298" s="391"/>
      <c r="C298" s="391"/>
      <c r="D298" s="391"/>
      <c r="E298" s="391"/>
      <c r="F298" s="391"/>
      <c r="G298" s="391"/>
    </row>
    <row r="299">
      <c r="A299" s="391"/>
      <c r="B299" s="391"/>
      <c r="C299" s="391"/>
      <c r="D299" s="391"/>
      <c r="E299" s="391"/>
      <c r="F299" s="391"/>
      <c r="G299" s="391"/>
    </row>
    <row r="300">
      <c r="A300" s="391"/>
      <c r="B300" s="391"/>
      <c r="C300" s="391"/>
      <c r="D300" s="391"/>
      <c r="E300" s="391"/>
      <c r="F300" s="391"/>
      <c r="G300" s="391"/>
    </row>
    <row r="301">
      <c r="A301" s="391"/>
      <c r="B301" s="391"/>
      <c r="C301" s="391"/>
      <c r="D301" s="391"/>
      <c r="E301" s="391"/>
      <c r="F301" s="391"/>
      <c r="G301" s="391"/>
    </row>
    <row r="302">
      <c r="A302" s="391"/>
      <c r="B302" s="391"/>
      <c r="C302" s="391"/>
      <c r="D302" s="391"/>
      <c r="E302" s="391"/>
      <c r="F302" s="391"/>
      <c r="G302" s="391"/>
    </row>
    <row r="303">
      <c r="A303" s="391"/>
      <c r="B303" s="391"/>
      <c r="C303" s="391"/>
      <c r="D303" s="391"/>
      <c r="E303" s="391"/>
      <c r="F303" s="391"/>
      <c r="G303" s="391"/>
    </row>
    <row r="304">
      <c r="A304" s="391"/>
      <c r="B304" s="391"/>
      <c r="C304" s="391"/>
      <c r="D304" s="391"/>
      <c r="E304" s="391"/>
      <c r="F304" s="391"/>
      <c r="G304" s="391"/>
    </row>
    <row r="305">
      <c r="A305" s="391"/>
      <c r="B305" s="391"/>
      <c r="C305" s="391"/>
      <c r="D305" s="391"/>
      <c r="E305" s="391"/>
      <c r="F305" s="391"/>
      <c r="G305" s="391"/>
    </row>
    <row r="306">
      <c r="A306" s="391"/>
      <c r="B306" s="391"/>
      <c r="C306" s="391"/>
      <c r="D306" s="391"/>
      <c r="E306" s="391"/>
      <c r="F306" s="391"/>
      <c r="G306" s="391"/>
    </row>
    <row r="307">
      <c r="A307" s="391"/>
      <c r="B307" s="391"/>
      <c r="C307" s="391"/>
      <c r="D307" s="391"/>
      <c r="E307" s="391"/>
      <c r="F307" s="391"/>
      <c r="G307" s="391"/>
    </row>
    <row r="308">
      <c r="A308" s="391"/>
      <c r="B308" s="391"/>
      <c r="C308" s="391"/>
      <c r="D308" s="391"/>
      <c r="E308" s="391"/>
      <c r="F308" s="391"/>
      <c r="G308" s="391"/>
    </row>
    <row r="309">
      <c r="A309" s="391"/>
      <c r="B309" s="391"/>
      <c r="C309" s="391"/>
      <c r="D309" s="391"/>
      <c r="E309" s="391"/>
      <c r="F309" s="391"/>
      <c r="G309" s="391"/>
    </row>
    <row r="310">
      <c r="A310" s="391"/>
      <c r="B310" s="391"/>
      <c r="C310" s="391"/>
      <c r="D310" s="391"/>
      <c r="E310" s="391"/>
      <c r="F310" s="391"/>
      <c r="G310" s="391"/>
    </row>
    <row r="311">
      <c r="A311" s="391"/>
      <c r="B311" s="391"/>
      <c r="C311" s="391"/>
      <c r="D311" s="391"/>
      <c r="E311" s="391"/>
      <c r="F311" s="391"/>
      <c r="G311" s="391"/>
    </row>
    <row r="312">
      <c r="A312" s="391"/>
      <c r="B312" s="391"/>
      <c r="C312" s="391"/>
      <c r="D312" s="391"/>
      <c r="E312" s="391"/>
      <c r="F312" s="391"/>
      <c r="G312" s="391"/>
    </row>
    <row r="313">
      <c r="A313" s="391"/>
      <c r="B313" s="391"/>
      <c r="C313" s="391"/>
      <c r="D313" s="391"/>
      <c r="E313" s="391"/>
      <c r="F313" s="391"/>
      <c r="G313" s="391"/>
    </row>
    <row r="314">
      <c r="A314" s="391"/>
      <c r="B314" s="391"/>
      <c r="C314" s="391"/>
      <c r="D314" s="391"/>
      <c r="E314" s="391"/>
      <c r="F314" s="391"/>
      <c r="G314" s="391"/>
    </row>
    <row r="315">
      <c r="A315" s="391"/>
      <c r="B315" s="391"/>
      <c r="C315" s="391"/>
      <c r="D315" s="391"/>
      <c r="E315" s="391"/>
      <c r="F315" s="391"/>
      <c r="G315" s="391"/>
    </row>
    <row r="316">
      <c r="A316" s="391"/>
      <c r="B316" s="391"/>
      <c r="C316" s="391"/>
      <c r="D316" s="391"/>
      <c r="E316" s="391"/>
      <c r="F316" s="391"/>
      <c r="G316" s="391"/>
    </row>
    <row r="317">
      <c r="A317" s="391"/>
      <c r="B317" s="391"/>
      <c r="C317" s="391"/>
      <c r="D317" s="391"/>
      <c r="E317" s="391"/>
      <c r="F317" s="391"/>
      <c r="G317" s="391"/>
    </row>
    <row r="318">
      <c r="A318" s="391"/>
      <c r="B318" s="391"/>
      <c r="C318" s="391"/>
      <c r="D318" s="391"/>
      <c r="E318" s="391"/>
      <c r="F318" s="391"/>
      <c r="G318" s="391"/>
    </row>
    <row r="319">
      <c r="A319" s="391"/>
      <c r="B319" s="391"/>
      <c r="C319" s="391"/>
      <c r="D319" s="391"/>
      <c r="E319" s="391"/>
      <c r="F319" s="391"/>
      <c r="G319" s="391"/>
    </row>
    <row r="320">
      <c r="A320" s="391"/>
      <c r="B320" s="391"/>
      <c r="C320" s="391"/>
      <c r="D320" s="391"/>
      <c r="E320" s="391"/>
      <c r="F320" s="391"/>
      <c r="G320" s="391"/>
    </row>
    <row r="321">
      <c r="A321" s="391"/>
      <c r="B321" s="391"/>
      <c r="C321" s="391"/>
      <c r="D321" s="391"/>
      <c r="E321" s="391"/>
      <c r="F321" s="391"/>
      <c r="G321" s="391"/>
    </row>
    <row r="322">
      <c r="A322" s="391"/>
      <c r="B322" s="391"/>
      <c r="C322" s="391"/>
      <c r="D322" s="391"/>
      <c r="E322" s="391"/>
      <c r="F322" s="391"/>
      <c r="G322" s="391"/>
    </row>
    <row r="323">
      <c r="A323" s="391"/>
      <c r="B323" s="391"/>
      <c r="C323" s="391"/>
      <c r="D323" s="391"/>
      <c r="E323" s="391"/>
      <c r="F323" s="391"/>
      <c r="G323" s="391"/>
    </row>
    <row r="324">
      <c r="A324" s="391"/>
      <c r="B324" s="391"/>
      <c r="C324" s="391"/>
      <c r="D324" s="391"/>
      <c r="E324" s="391"/>
      <c r="F324" s="391"/>
      <c r="G324" s="391"/>
    </row>
    <row r="325">
      <c r="A325" s="391"/>
      <c r="B325" s="391"/>
      <c r="C325" s="391"/>
      <c r="D325" s="391"/>
      <c r="E325" s="391"/>
      <c r="F325" s="391"/>
      <c r="G325" s="391"/>
    </row>
    <row r="326">
      <c r="A326" s="391"/>
      <c r="B326" s="391"/>
      <c r="C326" s="391"/>
      <c r="D326" s="391"/>
      <c r="E326" s="391"/>
      <c r="F326" s="391"/>
      <c r="G326" s="391"/>
    </row>
    <row r="327">
      <c r="A327" s="391"/>
      <c r="B327" s="391"/>
      <c r="C327" s="391"/>
      <c r="D327" s="391"/>
      <c r="E327" s="391"/>
      <c r="F327" s="391"/>
      <c r="G327" s="391"/>
    </row>
    <row r="328">
      <c r="A328" s="391"/>
      <c r="B328" s="391"/>
      <c r="C328" s="391"/>
      <c r="D328" s="391"/>
      <c r="E328" s="391"/>
      <c r="F328" s="391"/>
      <c r="G328" s="391"/>
    </row>
    <row r="329">
      <c r="A329" s="391"/>
      <c r="B329" s="391"/>
      <c r="C329" s="391"/>
      <c r="D329" s="391"/>
      <c r="E329" s="391"/>
      <c r="F329" s="391"/>
      <c r="G329" s="391"/>
    </row>
    <row r="330">
      <c r="A330" s="391"/>
      <c r="B330" s="391"/>
      <c r="C330" s="391"/>
      <c r="D330" s="391"/>
      <c r="E330" s="391"/>
      <c r="F330" s="391"/>
      <c r="G330" s="391"/>
    </row>
    <row r="331">
      <c r="A331" s="391"/>
      <c r="B331" s="391"/>
      <c r="C331" s="391"/>
      <c r="D331" s="391"/>
      <c r="E331" s="391"/>
      <c r="F331" s="391"/>
      <c r="G331" s="391"/>
    </row>
    <row r="332">
      <c r="A332" s="391"/>
      <c r="B332" s="391"/>
      <c r="C332" s="391"/>
      <c r="D332" s="391"/>
      <c r="E332" s="391"/>
      <c r="F332" s="391"/>
      <c r="G332" s="391"/>
    </row>
    <row r="333">
      <c r="A333" s="391"/>
      <c r="B333" s="391"/>
      <c r="C333" s="391"/>
      <c r="D333" s="391"/>
      <c r="E333" s="391"/>
      <c r="F333" s="391"/>
      <c r="G333" s="391"/>
    </row>
    <row r="334">
      <c r="A334" s="391"/>
      <c r="B334" s="391"/>
      <c r="C334" s="391"/>
      <c r="D334" s="391"/>
      <c r="E334" s="391"/>
      <c r="F334" s="391"/>
      <c r="G334" s="391"/>
    </row>
    <row r="335">
      <c r="A335" s="391"/>
      <c r="B335" s="391"/>
      <c r="C335" s="391"/>
      <c r="D335" s="391"/>
      <c r="E335" s="391"/>
      <c r="F335" s="391"/>
      <c r="G335" s="391"/>
    </row>
    <row r="336">
      <c r="A336" s="391"/>
      <c r="B336" s="391"/>
      <c r="C336" s="391"/>
      <c r="D336" s="391"/>
      <c r="E336" s="391"/>
      <c r="F336" s="391"/>
      <c r="G336" s="391"/>
    </row>
    <row r="337">
      <c r="A337" s="391"/>
      <c r="B337" s="391"/>
      <c r="C337" s="391"/>
      <c r="D337" s="391"/>
      <c r="E337" s="391"/>
      <c r="F337" s="391"/>
      <c r="G337" s="391"/>
    </row>
    <row r="338">
      <c r="A338" s="391"/>
      <c r="B338" s="391"/>
      <c r="C338" s="391"/>
      <c r="D338" s="391"/>
      <c r="E338" s="391"/>
      <c r="F338" s="391"/>
      <c r="G338" s="391"/>
    </row>
    <row r="339">
      <c r="A339" s="391"/>
      <c r="B339" s="391"/>
      <c r="C339" s="391"/>
      <c r="D339" s="391"/>
      <c r="E339" s="391"/>
      <c r="F339" s="391"/>
      <c r="G339" s="391"/>
    </row>
    <row r="340">
      <c r="A340" s="391"/>
      <c r="B340" s="391"/>
      <c r="C340" s="391"/>
      <c r="D340" s="391"/>
      <c r="E340" s="391"/>
      <c r="F340" s="391"/>
      <c r="G340" s="391"/>
    </row>
    <row r="341">
      <c r="A341" s="391"/>
      <c r="B341" s="391"/>
      <c r="C341" s="391"/>
      <c r="D341" s="391"/>
      <c r="E341" s="391"/>
      <c r="F341" s="391"/>
      <c r="G341" s="391"/>
    </row>
    <row r="342">
      <c r="A342" s="391"/>
      <c r="B342" s="391"/>
      <c r="C342" s="391"/>
      <c r="D342" s="391"/>
      <c r="E342" s="391"/>
      <c r="F342" s="391"/>
      <c r="G342" s="391"/>
    </row>
    <row r="343">
      <c r="A343" s="391"/>
      <c r="B343" s="391"/>
      <c r="C343" s="391"/>
      <c r="D343" s="391"/>
      <c r="E343" s="391"/>
      <c r="F343" s="391"/>
      <c r="G343" s="391"/>
    </row>
    <row r="344">
      <c r="A344" s="391"/>
      <c r="B344" s="391"/>
      <c r="C344" s="391"/>
      <c r="D344" s="391"/>
      <c r="E344" s="391"/>
      <c r="F344" s="391"/>
      <c r="G344" s="391"/>
    </row>
    <row r="345">
      <c r="A345" s="391"/>
      <c r="B345" s="391"/>
      <c r="C345" s="391"/>
      <c r="D345" s="391"/>
      <c r="E345" s="391"/>
      <c r="F345" s="391"/>
      <c r="G345" s="391"/>
    </row>
    <row r="346">
      <c r="A346" s="391"/>
      <c r="B346" s="391"/>
      <c r="C346" s="391"/>
      <c r="D346" s="391"/>
      <c r="E346" s="391"/>
      <c r="F346" s="391"/>
      <c r="G346" s="391"/>
    </row>
    <row r="347">
      <c r="A347" s="391"/>
      <c r="B347" s="391"/>
      <c r="C347" s="391"/>
      <c r="D347" s="391"/>
      <c r="E347" s="391"/>
      <c r="F347" s="391"/>
      <c r="G347" s="391"/>
    </row>
    <row r="348">
      <c r="A348" s="391"/>
      <c r="B348" s="391"/>
      <c r="C348" s="391"/>
      <c r="D348" s="391"/>
      <c r="E348" s="391"/>
      <c r="F348" s="391"/>
      <c r="G348" s="391"/>
    </row>
    <row r="349">
      <c r="A349" s="391"/>
      <c r="B349" s="391"/>
      <c r="C349" s="391"/>
      <c r="D349" s="391"/>
      <c r="E349" s="391"/>
      <c r="F349" s="391"/>
      <c r="G349" s="391"/>
    </row>
    <row r="350">
      <c r="A350" s="391"/>
      <c r="B350" s="391"/>
      <c r="C350" s="391"/>
      <c r="D350" s="391"/>
      <c r="E350" s="391"/>
      <c r="F350" s="391"/>
      <c r="G350" s="391"/>
    </row>
    <row r="351">
      <c r="A351" s="391"/>
      <c r="B351" s="391"/>
      <c r="C351" s="391"/>
      <c r="D351" s="391"/>
      <c r="E351" s="391"/>
      <c r="F351" s="391"/>
      <c r="G351" s="391"/>
    </row>
    <row r="352">
      <c r="A352" s="391"/>
      <c r="B352" s="391"/>
      <c r="C352" s="391"/>
      <c r="D352" s="391"/>
      <c r="E352" s="391"/>
      <c r="F352" s="391"/>
      <c r="G352" s="391"/>
    </row>
    <row r="353">
      <c r="A353" s="391"/>
      <c r="B353" s="391"/>
      <c r="C353" s="391"/>
      <c r="D353" s="391"/>
      <c r="E353" s="391"/>
      <c r="F353" s="391"/>
      <c r="G353" s="391"/>
    </row>
    <row r="354">
      <c r="A354" s="391"/>
      <c r="B354" s="391"/>
      <c r="C354" s="391"/>
      <c r="D354" s="391"/>
      <c r="E354" s="391"/>
      <c r="F354" s="391"/>
      <c r="G354" s="391"/>
    </row>
    <row r="355">
      <c r="A355" s="391"/>
      <c r="B355" s="391"/>
      <c r="C355" s="391"/>
      <c r="D355" s="391"/>
      <c r="E355" s="391"/>
      <c r="F355" s="391"/>
      <c r="G355" s="391"/>
    </row>
    <row r="356">
      <c r="A356" s="391"/>
      <c r="B356" s="391"/>
      <c r="C356" s="391"/>
      <c r="D356" s="391"/>
      <c r="E356" s="391"/>
      <c r="F356" s="391"/>
      <c r="G356" s="391"/>
    </row>
    <row r="357">
      <c r="A357" s="391"/>
      <c r="B357" s="391"/>
      <c r="C357" s="391"/>
      <c r="D357" s="391"/>
      <c r="E357" s="391"/>
      <c r="F357" s="391"/>
      <c r="G357" s="391"/>
    </row>
    <row r="358">
      <c r="A358" s="391"/>
      <c r="B358" s="391"/>
      <c r="C358" s="391"/>
      <c r="D358" s="391"/>
      <c r="E358" s="391"/>
      <c r="F358" s="391"/>
      <c r="G358" s="391"/>
    </row>
    <row r="359">
      <c r="A359" s="391"/>
      <c r="B359" s="391"/>
      <c r="C359" s="391"/>
      <c r="D359" s="391"/>
      <c r="E359" s="391"/>
      <c r="F359" s="391"/>
      <c r="G359" s="391"/>
    </row>
    <row r="360">
      <c r="A360" s="391"/>
      <c r="B360" s="391"/>
      <c r="C360" s="391"/>
      <c r="D360" s="391"/>
      <c r="E360" s="391"/>
      <c r="F360" s="391"/>
      <c r="G360" s="391"/>
    </row>
    <row r="361">
      <c r="A361" s="391"/>
      <c r="B361" s="391"/>
      <c r="C361" s="391"/>
      <c r="D361" s="391"/>
      <c r="E361" s="391"/>
      <c r="F361" s="391"/>
      <c r="G361" s="391"/>
    </row>
    <row r="362">
      <c r="A362" s="391"/>
      <c r="B362" s="391"/>
      <c r="C362" s="391"/>
      <c r="D362" s="391"/>
      <c r="E362" s="391"/>
      <c r="F362" s="391"/>
      <c r="G362" s="391"/>
    </row>
    <row r="363">
      <c r="A363" s="391"/>
      <c r="B363" s="391"/>
      <c r="C363" s="391"/>
      <c r="D363" s="391"/>
      <c r="E363" s="391"/>
      <c r="F363" s="391"/>
      <c r="G363" s="391"/>
    </row>
    <row r="364">
      <c r="A364" s="391"/>
      <c r="B364" s="391"/>
      <c r="C364" s="391"/>
      <c r="D364" s="391"/>
      <c r="E364" s="391"/>
      <c r="F364" s="391"/>
      <c r="G364" s="391"/>
    </row>
    <row r="365">
      <c r="A365" s="391"/>
      <c r="B365" s="391"/>
      <c r="C365" s="391"/>
      <c r="D365" s="391"/>
      <c r="E365" s="391"/>
      <c r="F365" s="391"/>
      <c r="G365" s="391"/>
    </row>
    <row r="366">
      <c r="A366" s="391"/>
      <c r="B366" s="391"/>
      <c r="C366" s="391"/>
      <c r="D366" s="391"/>
      <c r="E366" s="391"/>
      <c r="F366" s="391"/>
      <c r="G366" s="391"/>
    </row>
    <row r="367">
      <c r="A367" s="391"/>
      <c r="B367" s="391"/>
      <c r="C367" s="391"/>
      <c r="D367" s="391"/>
      <c r="E367" s="391"/>
      <c r="F367" s="391"/>
      <c r="G367" s="391"/>
    </row>
    <row r="368">
      <c r="A368" s="391"/>
      <c r="B368" s="391"/>
      <c r="C368" s="391"/>
      <c r="D368" s="391"/>
      <c r="E368" s="391"/>
      <c r="F368" s="391"/>
      <c r="G368" s="391"/>
    </row>
    <row r="369">
      <c r="A369" s="391"/>
      <c r="B369" s="391"/>
      <c r="C369" s="391"/>
      <c r="D369" s="391"/>
      <c r="E369" s="391"/>
      <c r="F369" s="391"/>
      <c r="G369" s="391"/>
    </row>
    <row r="370">
      <c r="A370" s="391"/>
      <c r="B370" s="391"/>
      <c r="C370" s="391"/>
      <c r="D370" s="391"/>
      <c r="E370" s="391"/>
      <c r="F370" s="391"/>
      <c r="G370" s="391"/>
    </row>
    <row r="371">
      <c r="A371" s="391"/>
      <c r="B371" s="391"/>
      <c r="C371" s="391"/>
      <c r="D371" s="391"/>
      <c r="E371" s="391"/>
      <c r="F371" s="391"/>
      <c r="G371" s="391"/>
    </row>
    <row r="372">
      <c r="A372" s="391"/>
      <c r="B372" s="391"/>
      <c r="C372" s="391"/>
      <c r="D372" s="391"/>
      <c r="E372" s="391"/>
      <c r="F372" s="391"/>
      <c r="G372" s="391"/>
    </row>
    <row r="373">
      <c r="A373" s="391"/>
      <c r="B373" s="391"/>
      <c r="C373" s="391"/>
      <c r="D373" s="391"/>
      <c r="E373" s="391"/>
      <c r="F373" s="391"/>
      <c r="G373" s="391"/>
    </row>
    <row r="374">
      <c r="A374" s="391"/>
      <c r="B374" s="391"/>
      <c r="C374" s="391"/>
      <c r="D374" s="391"/>
      <c r="E374" s="391"/>
      <c r="F374" s="391"/>
      <c r="G374" s="391"/>
    </row>
    <row r="375">
      <c r="A375" s="391"/>
      <c r="B375" s="391"/>
      <c r="C375" s="391"/>
      <c r="D375" s="391"/>
      <c r="E375" s="391"/>
      <c r="F375" s="391"/>
      <c r="G375" s="391"/>
    </row>
    <row r="376">
      <c r="A376" s="391"/>
      <c r="B376" s="391"/>
      <c r="C376" s="391"/>
      <c r="D376" s="391"/>
      <c r="E376" s="391"/>
      <c r="F376" s="391"/>
      <c r="G376" s="391"/>
    </row>
    <row r="377">
      <c r="A377" s="391"/>
      <c r="B377" s="391"/>
      <c r="C377" s="391"/>
      <c r="D377" s="391"/>
      <c r="E377" s="391"/>
      <c r="F377" s="391"/>
      <c r="G377" s="391"/>
    </row>
    <row r="378">
      <c r="A378" s="391"/>
      <c r="B378" s="391"/>
      <c r="C378" s="391"/>
      <c r="D378" s="391"/>
      <c r="E378" s="391"/>
      <c r="F378" s="391"/>
      <c r="G378" s="391"/>
    </row>
    <row r="379">
      <c r="A379" s="391"/>
      <c r="B379" s="391"/>
      <c r="C379" s="391"/>
      <c r="D379" s="391"/>
      <c r="E379" s="391"/>
      <c r="F379" s="391"/>
      <c r="G379" s="391"/>
    </row>
    <row r="380">
      <c r="A380" s="391"/>
      <c r="B380" s="391"/>
      <c r="C380" s="391"/>
      <c r="D380" s="391"/>
      <c r="E380" s="391"/>
      <c r="F380" s="391"/>
      <c r="G380" s="391"/>
    </row>
    <row r="381">
      <c r="A381" s="391"/>
      <c r="B381" s="391"/>
      <c r="C381" s="391"/>
      <c r="D381" s="391"/>
      <c r="E381" s="391"/>
      <c r="F381" s="391"/>
      <c r="G381" s="391"/>
    </row>
    <row r="382">
      <c r="A382" s="391"/>
      <c r="B382" s="391"/>
      <c r="C382" s="391"/>
      <c r="D382" s="391"/>
      <c r="E382" s="391"/>
      <c r="F382" s="391"/>
      <c r="G382" s="391"/>
    </row>
    <row r="383">
      <c r="A383" s="391"/>
      <c r="B383" s="391"/>
      <c r="C383" s="391"/>
      <c r="D383" s="391"/>
      <c r="E383" s="391"/>
      <c r="F383" s="391"/>
      <c r="G383" s="391"/>
    </row>
    <row r="384">
      <c r="A384" s="391"/>
      <c r="B384" s="391"/>
      <c r="C384" s="391"/>
      <c r="D384" s="391"/>
      <c r="E384" s="391"/>
      <c r="F384" s="391"/>
      <c r="G384" s="391"/>
    </row>
    <row r="385">
      <c r="A385" s="391"/>
      <c r="B385" s="391"/>
      <c r="C385" s="391"/>
      <c r="D385" s="391"/>
      <c r="E385" s="391"/>
      <c r="F385" s="391"/>
      <c r="G385" s="391"/>
    </row>
    <row r="386">
      <c r="A386" s="391"/>
      <c r="B386" s="391"/>
      <c r="C386" s="391"/>
      <c r="D386" s="391"/>
      <c r="E386" s="391"/>
      <c r="F386" s="391"/>
      <c r="G386" s="391"/>
    </row>
    <row r="387">
      <c r="A387" s="391"/>
      <c r="B387" s="391"/>
      <c r="C387" s="391"/>
      <c r="D387" s="391"/>
      <c r="E387" s="391"/>
      <c r="F387" s="391"/>
      <c r="G387" s="391"/>
    </row>
    <row r="388">
      <c r="A388" s="391"/>
      <c r="B388" s="391"/>
      <c r="C388" s="391"/>
      <c r="D388" s="391"/>
      <c r="E388" s="391"/>
      <c r="F388" s="391"/>
      <c r="G388" s="391"/>
    </row>
    <row r="389">
      <c r="A389" s="391"/>
      <c r="B389" s="391"/>
      <c r="C389" s="391"/>
      <c r="D389" s="391"/>
      <c r="E389" s="391"/>
      <c r="F389" s="391"/>
      <c r="G389" s="391"/>
    </row>
    <row r="390">
      <c r="A390" s="391"/>
      <c r="B390" s="391"/>
      <c r="C390" s="391"/>
      <c r="D390" s="391"/>
      <c r="E390" s="391"/>
      <c r="F390" s="391"/>
      <c r="G390" s="391"/>
    </row>
    <row r="391">
      <c r="A391" s="391"/>
      <c r="B391" s="391"/>
      <c r="C391" s="391"/>
      <c r="D391" s="391"/>
      <c r="E391" s="391"/>
      <c r="F391" s="391"/>
      <c r="G391" s="391"/>
    </row>
    <row r="392">
      <c r="A392" s="391"/>
      <c r="B392" s="391"/>
      <c r="C392" s="391"/>
      <c r="D392" s="391"/>
      <c r="E392" s="391"/>
      <c r="F392" s="391"/>
      <c r="G392" s="391"/>
    </row>
    <row r="393">
      <c r="A393" s="391"/>
      <c r="B393" s="391"/>
      <c r="C393" s="391"/>
      <c r="D393" s="391"/>
      <c r="E393" s="391"/>
      <c r="F393" s="391"/>
      <c r="G393" s="391"/>
    </row>
    <row r="394">
      <c r="A394" s="391"/>
      <c r="B394" s="391"/>
      <c r="C394" s="391"/>
      <c r="D394" s="391"/>
      <c r="E394" s="391"/>
      <c r="F394" s="391"/>
      <c r="G394" s="391"/>
    </row>
    <row r="395">
      <c r="A395" s="391"/>
      <c r="B395" s="391"/>
      <c r="C395" s="391"/>
      <c r="D395" s="391"/>
      <c r="E395" s="391"/>
      <c r="F395" s="391"/>
      <c r="G395" s="391"/>
    </row>
    <row r="396">
      <c r="A396" s="391"/>
      <c r="B396" s="391"/>
      <c r="C396" s="391"/>
      <c r="D396" s="391"/>
      <c r="E396" s="391"/>
      <c r="F396" s="391"/>
      <c r="G396" s="391"/>
    </row>
    <row r="397">
      <c r="A397" s="391"/>
      <c r="B397" s="391"/>
      <c r="C397" s="391"/>
      <c r="D397" s="391"/>
      <c r="E397" s="391"/>
      <c r="F397" s="391"/>
      <c r="G397" s="391"/>
    </row>
    <row r="398">
      <c r="A398" s="391"/>
      <c r="B398" s="391"/>
      <c r="C398" s="391"/>
      <c r="D398" s="391"/>
      <c r="E398" s="391"/>
      <c r="F398" s="391"/>
      <c r="G398" s="391"/>
    </row>
    <row r="399">
      <c r="A399" s="391"/>
      <c r="B399" s="391"/>
      <c r="C399" s="391"/>
      <c r="D399" s="391"/>
      <c r="E399" s="391"/>
      <c r="F399" s="391"/>
      <c r="G399" s="391"/>
    </row>
    <row r="400">
      <c r="A400" s="391"/>
      <c r="B400" s="391"/>
      <c r="C400" s="391"/>
      <c r="D400" s="391"/>
      <c r="E400" s="391"/>
      <c r="F400" s="391"/>
      <c r="G400" s="391"/>
    </row>
    <row r="401">
      <c r="A401" s="391"/>
      <c r="B401" s="391"/>
      <c r="C401" s="391"/>
      <c r="D401" s="391"/>
      <c r="E401" s="391"/>
      <c r="F401" s="391"/>
      <c r="G401" s="391"/>
    </row>
    <row r="402">
      <c r="A402" s="391"/>
      <c r="B402" s="391"/>
      <c r="C402" s="391"/>
      <c r="D402" s="391"/>
      <c r="E402" s="391"/>
      <c r="F402" s="391"/>
      <c r="G402" s="391"/>
    </row>
    <row r="403">
      <c r="A403" s="391"/>
      <c r="B403" s="391"/>
      <c r="C403" s="391"/>
      <c r="D403" s="391"/>
      <c r="E403" s="391"/>
      <c r="F403" s="391"/>
      <c r="G403" s="391"/>
    </row>
    <row r="404">
      <c r="A404" s="391"/>
      <c r="B404" s="391"/>
      <c r="C404" s="391"/>
      <c r="D404" s="391"/>
      <c r="E404" s="391"/>
      <c r="F404" s="391"/>
      <c r="G404" s="391"/>
    </row>
    <row r="405">
      <c r="A405" s="391"/>
      <c r="B405" s="391"/>
      <c r="C405" s="391"/>
      <c r="D405" s="391"/>
      <c r="E405" s="391"/>
      <c r="F405" s="391"/>
      <c r="G405" s="391"/>
    </row>
    <row r="406">
      <c r="A406" s="391"/>
      <c r="B406" s="391"/>
      <c r="C406" s="391"/>
      <c r="D406" s="391"/>
      <c r="E406" s="391"/>
      <c r="F406" s="391"/>
      <c r="G406" s="391"/>
    </row>
    <row r="407">
      <c r="A407" s="391"/>
      <c r="B407" s="391"/>
      <c r="C407" s="391"/>
      <c r="D407" s="391"/>
      <c r="E407" s="391"/>
      <c r="F407" s="391"/>
      <c r="G407" s="391"/>
    </row>
    <row r="408">
      <c r="A408" s="391"/>
      <c r="B408" s="391"/>
      <c r="C408" s="391"/>
      <c r="D408" s="391"/>
      <c r="E408" s="391"/>
      <c r="F408" s="391"/>
      <c r="G408" s="391"/>
    </row>
    <row r="409">
      <c r="A409" s="391"/>
      <c r="B409" s="391"/>
      <c r="C409" s="391"/>
      <c r="D409" s="391"/>
      <c r="E409" s="391"/>
      <c r="F409" s="391"/>
      <c r="G409" s="391"/>
    </row>
    <row r="410">
      <c r="A410" s="391"/>
      <c r="B410" s="391"/>
      <c r="C410" s="391"/>
      <c r="D410" s="391"/>
      <c r="E410" s="391"/>
      <c r="F410" s="391"/>
      <c r="G410" s="391"/>
    </row>
    <row r="411">
      <c r="A411" s="391"/>
      <c r="B411" s="391"/>
      <c r="C411" s="391"/>
      <c r="D411" s="391"/>
      <c r="E411" s="391"/>
      <c r="F411" s="391"/>
      <c r="G411" s="391"/>
    </row>
    <row r="412">
      <c r="A412" s="391"/>
      <c r="B412" s="391"/>
      <c r="C412" s="391"/>
      <c r="D412" s="391"/>
      <c r="E412" s="391"/>
      <c r="F412" s="391"/>
      <c r="G412" s="391"/>
    </row>
    <row r="413">
      <c r="A413" s="391"/>
      <c r="B413" s="391"/>
      <c r="C413" s="391"/>
      <c r="D413" s="391"/>
      <c r="E413" s="391"/>
      <c r="F413" s="391"/>
      <c r="G413" s="391"/>
    </row>
    <row r="414">
      <c r="A414" s="391"/>
      <c r="B414" s="391"/>
      <c r="C414" s="391"/>
      <c r="D414" s="391"/>
      <c r="E414" s="391"/>
      <c r="F414" s="391"/>
      <c r="G414" s="391"/>
    </row>
    <row r="415">
      <c r="A415" s="391"/>
      <c r="B415" s="391"/>
      <c r="C415" s="391"/>
      <c r="D415" s="391"/>
      <c r="E415" s="391"/>
      <c r="F415" s="391"/>
      <c r="G415" s="391"/>
    </row>
    <row r="416">
      <c r="A416" s="391"/>
      <c r="B416" s="391"/>
      <c r="C416" s="391"/>
      <c r="D416" s="391"/>
      <c r="E416" s="391"/>
      <c r="F416" s="391"/>
      <c r="G416" s="391"/>
    </row>
    <row r="417">
      <c r="A417" s="391"/>
      <c r="B417" s="391"/>
      <c r="C417" s="391"/>
      <c r="D417" s="391"/>
      <c r="E417" s="391"/>
      <c r="F417" s="391"/>
      <c r="G417" s="391"/>
    </row>
    <row r="418">
      <c r="A418" s="391"/>
      <c r="B418" s="391"/>
      <c r="C418" s="391"/>
      <c r="D418" s="391"/>
      <c r="E418" s="391"/>
      <c r="F418" s="391"/>
      <c r="G418" s="391"/>
    </row>
    <row r="419">
      <c r="A419" s="391"/>
      <c r="B419" s="391"/>
      <c r="C419" s="391"/>
      <c r="D419" s="391"/>
      <c r="E419" s="391"/>
      <c r="F419" s="391"/>
      <c r="G419" s="391"/>
    </row>
    <row r="420">
      <c r="A420" s="391"/>
      <c r="B420" s="391"/>
      <c r="C420" s="391"/>
      <c r="D420" s="391"/>
      <c r="E420" s="391"/>
      <c r="F420" s="391"/>
      <c r="G420" s="391"/>
    </row>
    <row r="421">
      <c r="A421" s="391"/>
      <c r="B421" s="391"/>
      <c r="C421" s="391"/>
      <c r="D421" s="391"/>
      <c r="E421" s="391"/>
      <c r="F421" s="391"/>
      <c r="G421" s="391"/>
    </row>
    <row r="422">
      <c r="A422" s="391"/>
      <c r="B422" s="391"/>
      <c r="C422" s="391"/>
      <c r="D422" s="391"/>
      <c r="E422" s="391"/>
      <c r="F422" s="391"/>
      <c r="G422" s="391"/>
    </row>
    <row r="423">
      <c r="A423" s="391"/>
      <c r="B423" s="391"/>
      <c r="C423" s="391"/>
      <c r="D423" s="391"/>
      <c r="E423" s="391"/>
      <c r="F423" s="391"/>
      <c r="G423" s="391"/>
    </row>
    <row r="424">
      <c r="A424" s="391"/>
      <c r="B424" s="391"/>
      <c r="C424" s="391"/>
      <c r="D424" s="391"/>
      <c r="E424" s="391"/>
      <c r="F424" s="391"/>
      <c r="G424" s="391"/>
    </row>
    <row r="425">
      <c r="A425" s="391"/>
      <c r="B425" s="391"/>
      <c r="C425" s="391"/>
      <c r="D425" s="391"/>
      <c r="E425" s="391"/>
      <c r="F425" s="391"/>
      <c r="G425" s="391"/>
    </row>
    <row r="426">
      <c r="A426" s="391"/>
      <c r="B426" s="391"/>
      <c r="C426" s="391"/>
      <c r="D426" s="391"/>
      <c r="E426" s="391"/>
      <c r="F426" s="391"/>
      <c r="G426" s="391"/>
    </row>
    <row r="427">
      <c r="A427" s="391"/>
      <c r="B427" s="391"/>
      <c r="C427" s="391"/>
      <c r="D427" s="391"/>
      <c r="E427" s="391"/>
      <c r="F427" s="391"/>
      <c r="G427" s="391"/>
    </row>
    <row r="428">
      <c r="A428" s="391"/>
      <c r="B428" s="391"/>
      <c r="C428" s="391"/>
      <c r="D428" s="391"/>
      <c r="E428" s="391"/>
      <c r="F428" s="391"/>
      <c r="G428" s="391"/>
    </row>
    <row r="429">
      <c r="A429" s="391"/>
      <c r="B429" s="391"/>
      <c r="C429" s="391"/>
      <c r="D429" s="391"/>
      <c r="E429" s="391"/>
      <c r="F429" s="391"/>
      <c r="G429" s="391"/>
    </row>
    <row r="430">
      <c r="A430" s="391"/>
      <c r="B430" s="391"/>
      <c r="C430" s="391"/>
      <c r="D430" s="391"/>
      <c r="E430" s="391"/>
      <c r="F430" s="391"/>
      <c r="G430" s="391"/>
    </row>
    <row r="431">
      <c r="A431" s="391"/>
      <c r="B431" s="391"/>
      <c r="C431" s="391"/>
      <c r="D431" s="391"/>
      <c r="E431" s="391"/>
      <c r="F431" s="391"/>
      <c r="G431" s="391"/>
    </row>
    <row r="432">
      <c r="A432" s="391"/>
      <c r="B432" s="391"/>
      <c r="C432" s="391"/>
      <c r="D432" s="391"/>
      <c r="E432" s="391"/>
      <c r="F432" s="391"/>
      <c r="G432" s="391"/>
    </row>
    <row r="433">
      <c r="A433" s="391"/>
      <c r="B433" s="391"/>
      <c r="C433" s="391"/>
      <c r="D433" s="391"/>
      <c r="E433" s="391"/>
      <c r="F433" s="391"/>
      <c r="G433" s="391"/>
    </row>
    <row r="434">
      <c r="A434" s="391"/>
      <c r="B434" s="391"/>
      <c r="C434" s="391"/>
      <c r="D434" s="391"/>
      <c r="E434" s="391"/>
      <c r="F434" s="391"/>
      <c r="G434" s="391"/>
    </row>
    <row r="435">
      <c r="A435" s="391"/>
      <c r="B435" s="391"/>
      <c r="C435" s="391"/>
      <c r="D435" s="391"/>
      <c r="E435" s="391"/>
      <c r="F435" s="391"/>
      <c r="G435" s="391"/>
    </row>
    <row r="436">
      <c r="A436" s="391"/>
      <c r="B436" s="391"/>
      <c r="C436" s="391"/>
      <c r="D436" s="391"/>
      <c r="E436" s="391"/>
      <c r="F436" s="391"/>
      <c r="G436" s="391"/>
    </row>
    <row r="437">
      <c r="A437" s="391"/>
      <c r="B437" s="391"/>
      <c r="C437" s="391"/>
      <c r="D437" s="391"/>
      <c r="E437" s="391"/>
      <c r="F437" s="391"/>
      <c r="G437" s="391"/>
    </row>
    <row r="438">
      <c r="A438" s="391"/>
      <c r="B438" s="391"/>
      <c r="C438" s="391"/>
      <c r="D438" s="391"/>
      <c r="E438" s="391"/>
      <c r="F438" s="391"/>
      <c r="G438" s="391"/>
    </row>
    <row r="439">
      <c r="A439" s="391"/>
      <c r="B439" s="391"/>
      <c r="C439" s="391"/>
      <c r="D439" s="391"/>
      <c r="E439" s="391"/>
      <c r="F439" s="391"/>
      <c r="G439" s="391"/>
    </row>
    <row r="440">
      <c r="A440" s="391"/>
      <c r="B440" s="391"/>
      <c r="C440" s="391"/>
      <c r="D440" s="391"/>
      <c r="E440" s="391"/>
      <c r="F440" s="391"/>
      <c r="G440" s="391"/>
    </row>
    <row r="441">
      <c r="A441" s="391"/>
      <c r="B441" s="391"/>
      <c r="C441" s="391"/>
      <c r="D441" s="391"/>
      <c r="E441" s="391"/>
      <c r="F441" s="391"/>
      <c r="G441" s="391"/>
    </row>
    <row r="442">
      <c r="A442" s="391"/>
      <c r="B442" s="391"/>
      <c r="C442" s="391"/>
      <c r="D442" s="391"/>
      <c r="E442" s="391"/>
      <c r="F442" s="391"/>
      <c r="G442" s="391"/>
    </row>
    <row r="443">
      <c r="A443" s="391"/>
      <c r="B443" s="391"/>
      <c r="C443" s="391"/>
      <c r="D443" s="391"/>
      <c r="E443" s="391"/>
      <c r="F443" s="391"/>
      <c r="G443" s="391"/>
    </row>
    <row r="444">
      <c r="A444" s="391"/>
      <c r="B444" s="391"/>
      <c r="C444" s="391"/>
      <c r="D444" s="391"/>
      <c r="E444" s="391"/>
      <c r="F444" s="391"/>
      <c r="G444" s="391"/>
    </row>
    <row r="445">
      <c r="A445" s="391"/>
      <c r="B445" s="391"/>
      <c r="C445" s="391"/>
      <c r="D445" s="391"/>
      <c r="E445" s="391"/>
      <c r="F445" s="391"/>
      <c r="G445" s="391"/>
    </row>
    <row r="446">
      <c r="A446" s="391"/>
      <c r="B446" s="391"/>
      <c r="C446" s="391"/>
      <c r="D446" s="391"/>
      <c r="E446" s="391"/>
      <c r="F446" s="391"/>
      <c r="G446" s="391"/>
    </row>
    <row r="447">
      <c r="A447" s="391"/>
      <c r="B447" s="391"/>
      <c r="C447" s="391"/>
      <c r="D447" s="391"/>
      <c r="E447" s="391"/>
      <c r="F447" s="391"/>
      <c r="G447" s="391"/>
    </row>
    <row r="448">
      <c r="A448" s="391"/>
      <c r="B448" s="391"/>
      <c r="C448" s="391"/>
      <c r="D448" s="391"/>
      <c r="E448" s="391"/>
      <c r="F448" s="391"/>
      <c r="G448" s="391"/>
    </row>
    <row r="449">
      <c r="A449" s="391"/>
      <c r="B449" s="391"/>
      <c r="C449" s="391"/>
      <c r="D449" s="391"/>
      <c r="E449" s="391"/>
      <c r="F449" s="391"/>
      <c r="G449" s="391"/>
    </row>
    <row r="450">
      <c r="A450" s="391"/>
      <c r="B450" s="391"/>
      <c r="C450" s="391"/>
      <c r="D450" s="391"/>
      <c r="E450" s="391"/>
      <c r="F450" s="391"/>
      <c r="G450" s="391"/>
    </row>
    <row r="451">
      <c r="A451" s="391"/>
      <c r="B451" s="391"/>
      <c r="C451" s="391"/>
      <c r="D451" s="391"/>
      <c r="E451" s="391"/>
      <c r="F451" s="391"/>
      <c r="G451" s="391"/>
    </row>
    <row r="452">
      <c r="A452" s="391"/>
      <c r="B452" s="391"/>
      <c r="C452" s="391"/>
      <c r="D452" s="391"/>
      <c r="E452" s="391"/>
      <c r="F452" s="391"/>
      <c r="G452" s="391"/>
    </row>
    <row r="453">
      <c r="A453" s="391"/>
      <c r="B453" s="391"/>
      <c r="C453" s="391"/>
      <c r="D453" s="391"/>
      <c r="E453" s="391"/>
      <c r="F453" s="391"/>
      <c r="G453" s="391"/>
    </row>
    <row r="454">
      <c r="A454" s="391"/>
      <c r="B454" s="391"/>
      <c r="C454" s="391"/>
      <c r="D454" s="391"/>
      <c r="E454" s="391"/>
      <c r="F454" s="391"/>
      <c r="G454" s="391"/>
    </row>
    <row r="455">
      <c r="A455" s="391"/>
      <c r="B455" s="391"/>
      <c r="C455" s="391"/>
      <c r="D455" s="391"/>
      <c r="E455" s="391"/>
      <c r="F455" s="391"/>
      <c r="G455" s="391"/>
    </row>
    <row r="456">
      <c r="A456" s="391"/>
      <c r="B456" s="391"/>
      <c r="C456" s="391"/>
      <c r="D456" s="391"/>
      <c r="E456" s="391"/>
      <c r="F456" s="391"/>
      <c r="G456" s="391"/>
    </row>
    <row r="457">
      <c r="A457" s="391"/>
      <c r="B457" s="391"/>
      <c r="C457" s="391"/>
      <c r="D457" s="391"/>
      <c r="E457" s="391"/>
      <c r="F457" s="391"/>
      <c r="G457" s="391"/>
    </row>
    <row r="458">
      <c r="A458" s="391"/>
      <c r="B458" s="391"/>
      <c r="C458" s="391"/>
      <c r="D458" s="391"/>
      <c r="E458" s="391"/>
      <c r="F458" s="391"/>
      <c r="G458" s="391"/>
    </row>
    <row r="459">
      <c r="A459" s="391"/>
      <c r="B459" s="391"/>
      <c r="C459" s="391"/>
      <c r="D459" s="391"/>
      <c r="E459" s="391"/>
      <c r="F459" s="391"/>
      <c r="G459" s="391"/>
    </row>
    <row r="460">
      <c r="A460" s="391"/>
      <c r="B460" s="391"/>
      <c r="C460" s="391"/>
      <c r="D460" s="391"/>
      <c r="E460" s="391"/>
      <c r="F460" s="391"/>
      <c r="G460" s="391"/>
    </row>
    <row r="461">
      <c r="A461" s="391"/>
      <c r="B461" s="391"/>
      <c r="C461" s="391"/>
      <c r="D461" s="391"/>
      <c r="E461" s="391"/>
      <c r="F461" s="391"/>
      <c r="G461" s="391"/>
    </row>
    <row r="462">
      <c r="A462" s="391"/>
      <c r="B462" s="391"/>
      <c r="C462" s="391"/>
      <c r="D462" s="391"/>
      <c r="E462" s="391"/>
      <c r="F462" s="391"/>
      <c r="G462" s="391"/>
    </row>
    <row r="463">
      <c r="A463" s="391"/>
      <c r="B463" s="391"/>
      <c r="C463" s="391"/>
      <c r="D463" s="391"/>
      <c r="E463" s="391"/>
      <c r="F463" s="391"/>
      <c r="G463" s="391"/>
    </row>
    <row r="464">
      <c r="A464" s="391"/>
      <c r="B464" s="391"/>
      <c r="C464" s="391"/>
      <c r="D464" s="391"/>
      <c r="E464" s="391"/>
      <c r="F464" s="391"/>
      <c r="G464" s="391"/>
    </row>
    <row r="465">
      <c r="A465" s="391"/>
      <c r="B465" s="391"/>
      <c r="C465" s="391"/>
      <c r="D465" s="391"/>
      <c r="E465" s="391"/>
      <c r="F465" s="391"/>
      <c r="G465" s="391"/>
    </row>
    <row r="466">
      <c r="A466" s="391"/>
      <c r="B466" s="391"/>
      <c r="C466" s="391"/>
      <c r="D466" s="391"/>
      <c r="E466" s="391"/>
      <c r="F466" s="391"/>
      <c r="G466" s="391"/>
    </row>
    <row r="467">
      <c r="A467" s="391"/>
      <c r="B467" s="391"/>
      <c r="C467" s="391"/>
      <c r="D467" s="391"/>
      <c r="E467" s="391"/>
      <c r="F467" s="391"/>
      <c r="G467" s="391"/>
    </row>
    <row r="468">
      <c r="A468" s="391"/>
      <c r="B468" s="391"/>
      <c r="C468" s="391"/>
      <c r="D468" s="391"/>
      <c r="E468" s="391"/>
      <c r="F468" s="391"/>
      <c r="G468" s="391"/>
    </row>
    <row r="469">
      <c r="A469" s="391"/>
      <c r="B469" s="391"/>
      <c r="C469" s="391"/>
      <c r="D469" s="391"/>
      <c r="E469" s="391"/>
      <c r="F469" s="391"/>
      <c r="G469" s="391"/>
    </row>
    <row r="470">
      <c r="A470" s="391"/>
      <c r="B470" s="391"/>
      <c r="C470" s="391"/>
      <c r="D470" s="391"/>
      <c r="E470" s="391"/>
      <c r="F470" s="391"/>
      <c r="G470" s="391"/>
    </row>
    <row r="471">
      <c r="A471" s="391"/>
      <c r="B471" s="391"/>
      <c r="C471" s="391"/>
      <c r="D471" s="391"/>
      <c r="E471" s="391"/>
      <c r="F471" s="391"/>
      <c r="G471" s="391"/>
    </row>
    <row r="472">
      <c r="A472" s="391"/>
      <c r="B472" s="391"/>
      <c r="C472" s="391"/>
      <c r="D472" s="391"/>
      <c r="E472" s="391"/>
      <c r="F472" s="391"/>
      <c r="G472" s="391"/>
    </row>
    <row r="473">
      <c r="A473" s="391"/>
      <c r="B473" s="391"/>
      <c r="C473" s="391"/>
      <c r="D473" s="391"/>
      <c r="E473" s="391"/>
      <c r="F473" s="391"/>
      <c r="G473" s="391"/>
    </row>
    <row r="474">
      <c r="A474" s="391"/>
      <c r="B474" s="391"/>
      <c r="C474" s="391"/>
      <c r="D474" s="391"/>
      <c r="E474" s="391"/>
      <c r="F474" s="391"/>
      <c r="G474" s="391"/>
    </row>
    <row r="475">
      <c r="A475" s="391"/>
      <c r="B475" s="391"/>
      <c r="C475" s="391"/>
      <c r="D475" s="391"/>
      <c r="E475" s="391"/>
      <c r="F475" s="391"/>
      <c r="G475" s="391"/>
    </row>
    <row r="476">
      <c r="A476" s="391"/>
      <c r="B476" s="391"/>
      <c r="C476" s="391"/>
      <c r="D476" s="391"/>
      <c r="E476" s="391"/>
      <c r="F476" s="391"/>
      <c r="G476" s="391"/>
    </row>
    <row r="477">
      <c r="A477" s="391"/>
      <c r="B477" s="391"/>
      <c r="C477" s="391"/>
      <c r="D477" s="391"/>
      <c r="E477" s="391"/>
      <c r="F477" s="391"/>
      <c r="G477" s="391"/>
    </row>
    <row r="478">
      <c r="A478" s="391"/>
      <c r="B478" s="391"/>
      <c r="C478" s="391"/>
      <c r="D478" s="391"/>
      <c r="E478" s="391"/>
      <c r="F478" s="391"/>
      <c r="G478" s="391"/>
    </row>
    <row r="479">
      <c r="A479" s="391"/>
      <c r="B479" s="391"/>
      <c r="C479" s="391"/>
      <c r="D479" s="391"/>
      <c r="E479" s="391"/>
      <c r="F479" s="391"/>
      <c r="G479" s="391"/>
    </row>
    <row r="480">
      <c r="A480" s="391"/>
      <c r="B480" s="391"/>
      <c r="C480" s="391"/>
      <c r="D480" s="391"/>
      <c r="E480" s="391"/>
      <c r="F480" s="391"/>
      <c r="G480" s="391"/>
    </row>
    <row r="481">
      <c r="A481" s="391"/>
      <c r="B481" s="391"/>
      <c r="C481" s="391"/>
      <c r="D481" s="391"/>
      <c r="E481" s="391"/>
      <c r="F481" s="391"/>
      <c r="G481" s="391"/>
    </row>
    <row r="482">
      <c r="A482" s="391"/>
      <c r="B482" s="391"/>
      <c r="C482" s="391"/>
      <c r="D482" s="391"/>
      <c r="E482" s="391"/>
      <c r="F482" s="391"/>
      <c r="G482" s="391"/>
    </row>
    <row r="483">
      <c r="A483" s="391"/>
      <c r="B483" s="391"/>
      <c r="C483" s="391"/>
      <c r="D483" s="391"/>
      <c r="E483" s="391"/>
      <c r="F483" s="391"/>
      <c r="G483" s="391"/>
    </row>
    <row r="484">
      <c r="A484" s="391"/>
      <c r="B484" s="391"/>
      <c r="C484" s="391"/>
      <c r="D484" s="391"/>
      <c r="E484" s="391"/>
      <c r="F484" s="391"/>
      <c r="G484" s="391"/>
    </row>
    <row r="485">
      <c r="A485" s="391"/>
      <c r="B485" s="391"/>
      <c r="C485" s="391"/>
      <c r="D485" s="391"/>
      <c r="E485" s="391"/>
      <c r="F485" s="391"/>
      <c r="G485" s="391"/>
    </row>
    <row r="486">
      <c r="A486" s="391"/>
      <c r="B486" s="391"/>
      <c r="C486" s="391"/>
      <c r="D486" s="391"/>
      <c r="E486" s="391"/>
      <c r="F486" s="391"/>
      <c r="G486" s="391"/>
    </row>
    <row r="487">
      <c r="A487" s="391"/>
      <c r="B487" s="391"/>
      <c r="C487" s="391"/>
      <c r="D487" s="391"/>
      <c r="E487" s="391"/>
      <c r="F487" s="391"/>
      <c r="G487" s="391"/>
    </row>
    <row r="488">
      <c r="A488" s="391"/>
      <c r="B488" s="391"/>
      <c r="C488" s="391"/>
      <c r="D488" s="391"/>
      <c r="E488" s="391"/>
      <c r="F488" s="391"/>
      <c r="G488" s="391"/>
    </row>
    <row r="489">
      <c r="A489" s="391"/>
      <c r="B489" s="391"/>
      <c r="C489" s="391"/>
      <c r="D489" s="391"/>
      <c r="E489" s="391"/>
      <c r="F489" s="391"/>
      <c r="G489" s="391"/>
    </row>
    <row r="490">
      <c r="A490" s="391"/>
      <c r="B490" s="391"/>
      <c r="C490" s="391"/>
      <c r="D490" s="391"/>
      <c r="E490" s="391"/>
      <c r="F490" s="391"/>
      <c r="G490" s="391"/>
    </row>
    <row r="491">
      <c r="A491" s="391"/>
      <c r="B491" s="391"/>
      <c r="C491" s="391"/>
      <c r="D491" s="391"/>
      <c r="E491" s="391"/>
      <c r="F491" s="391"/>
      <c r="G491" s="391"/>
    </row>
    <row r="492">
      <c r="A492" s="391"/>
      <c r="B492" s="391"/>
      <c r="C492" s="391"/>
      <c r="D492" s="391"/>
      <c r="E492" s="391"/>
      <c r="F492" s="391"/>
      <c r="G492" s="391"/>
    </row>
    <row r="493">
      <c r="A493" s="391"/>
      <c r="B493" s="391"/>
      <c r="C493" s="391"/>
      <c r="D493" s="391"/>
      <c r="E493" s="391"/>
      <c r="F493" s="391"/>
      <c r="G493" s="391"/>
    </row>
    <row r="494">
      <c r="A494" s="391"/>
      <c r="B494" s="391"/>
      <c r="C494" s="391"/>
      <c r="D494" s="391"/>
      <c r="E494" s="391"/>
      <c r="F494" s="391"/>
      <c r="G494" s="391"/>
    </row>
    <row r="495">
      <c r="A495" s="391"/>
      <c r="B495" s="391"/>
      <c r="C495" s="391"/>
      <c r="D495" s="391"/>
      <c r="E495" s="391"/>
      <c r="F495" s="391"/>
      <c r="G495" s="391"/>
    </row>
    <row r="496">
      <c r="A496" s="391"/>
      <c r="B496" s="391"/>
      <c r="C496" s="391"/>
      <c r="D496" s="391"/>
      <c r="E496" s="391"/>
      <c r="F496" s="391"/>
      <c r="G496" s="391"/>
    </row>
    <row r="497">
      <c r="A497" s="391"/>
      <c r="B497" s="391"/>
      <c r="C497" s="391"/>
      <c r="D497" s="391"/>
      <c r="E497" s="391"/>
      <c r="F497" s="391"/>
      <c r="G497" s="391"/>
    </row>
    <row r="498">
      <c r="A498" s="391"/>
      <c r="B498" s="391"/>
      <c r="C498" s="391"/>
      <c r="D498" s="391"/>
      <c r="E498" s="391"/>
      <c r="F498" s="391"/>
      <c r="G498" s="391"/>
    </row>
    <row r="499">
      <c r="A499" s="391"/>
      <c r="B499" s="391"/>
      <c r="C499" s="391"/>
      <c r="D499" s="391"/>
      <c r="E499" s="391"/>
      <c r="F499" s="391"/>
      <c r="G499" s="391"/>
    </row>
    <row r="500">
      <c r="A500" s="391"/>
      <c r="B500" s="391"/>
      <c r="C500" s="391"/>
      <c r="D500" s="391"/>
      <c r="E500" s="391"/>
      <c r="F500" s="391"/>
      <c r="G500" s="391"/>
    </row>
    <row r="501">
      <c r="A501" s="391"/>
      <c r="B501" s="391"/>
      <c r="C501" s="391"/>
      <c r="D501" s="391"/>
      <c r="E501" s="391"/>
      <c r="F501" s="391"/>
      <c r="G501" s="391"/>
    </row>
    <row r="502">
      <c r="A502" s="391"/>
      <c r="B502" s="391"/>
      <c r="C502" s="391"/>
      <c r="D502" s="391"/>
      <c r="E502" s="391"/>
      <c r="F502" s="391"/>
      <c r="G502" s="391"/>
    </row>
    <row r="503">
      <c r="A503" s="391"/>
      <c r="B503" s="391"/>
      <c r="C503" s="391"/>
      <c r="D503" s="391"/>
      <c r="E503" s="391"/>
      <c r="F503" s="391"/>
      <c r="G503" s="391"/>
    </row>
    <row r="504">
      <c r="A504" s="391"/>
      <c r="B504" s="391"/>
      <c r="C504" s="391"/>
      <c r="D504" s="391"/>
      <c r="E504" s="391"/>
      <c r="F504" s="391"/>
      <c r="G504" s="391"/>
    </row>
    <row r="505">
      <c r="A505" s="391"/>
      <c r="B505" s="391"/>
      <c r="C505" s="391"/>
      <c r="D505" s="391"/>
      <c r="E505" s="391"/>
      <c r="F505" s="391"/>
      <c r="G505" s="391"/>
    </row>
    <row r="506">
      <c r="A506" s="391"/>
      <c r="B506" s="391"/>
      <c r="C506" s="391"/>
      <c r="D506" s="391"/>
      <c r="E506" s="391"/>
      <c r="F506" s="391"/>
      <c r="G506" s="391"/>
    </row>
    <row r="507">
      <c r="A507" s="391"/>
      <c r="B507" s="391"/>
      <c r="C507" s="391"/>
      <c r="D507" s="391"/>
      <c r="E507" s="391"/>
      <c r="F507" s="391"/>
      <c r="G507" s="391"/>
    </row>
    <row r="508">
      <c r="A508" s="391"/>
      <c r="B508" s="391"/>
      <c r="C508" s="391"/>
      <c r="D508" s="391"/>
      <c r="E508" s="391"/>
      <c r="F508" s="391"/>
      <c r="G508" s="391"/>
    </row>
    <row r="509">
      <c r="A509" s="391"/>
      <c r="B509" s="391"/>
      <c r="C509" s="391"/>
      <c r="D509" s="391"/>
      <c r="E509" s="391"/>
      <c r="F509" s="391"/>
      <c r="G509" s="391"/>
    </row>
    <row r="510">
      <c r="A510" s="391"/>
      <c r="B510" s="391"/>
      <c r="C510" s="391"/>
      <c r="D510" s="391"/>
      <c r="E510" s="391"/>
      <c r="F510" s="391"/>
      <c r="G510" s="391"/>
    </row>
    <row r="511">
      <c r="A511" s="391"/>
      <c r="B511" s="391"/>
      <c r="C511" s="391"/>
      <c r="D511" s="391"/>
      <c r="E511" s="391"/>
      <c r="F511" s="391"/>
      <c r="G511" s="391"/>
    </row>
    <row r="512">
      <c r="A512" s="391"/>
      <c r="B512" s="391"/>
      <c r="C512" s="391"/>
      <c r="D512" s="391"/>
      <c r="E512" s="391"/>
      <c r="F512" s="391"/>
      <c r="G512" s="391"/>
    </row>
    <row r="513">
      <c r="A513" s="391"/>
      <c r="B513" s="391"/>
      <c r="C513" s="391"/>
      <c r="D513" s="391"/>
      <c r="E513" s="391"/>
      <c r="F513" s="391"/>
      <c r="G513" s="391"/>
    </row>
    <row r="514">
      <c r="A514" s="391"/>
      <c r="B514" s="391"/>
      <c r="C514" s="391"/>
      <c r="D514" s="391"/>
      <c r="E514" s="391"/>
      <c r="F514" s="391"/>
      <c r="G514" s="391"/>
    </row>
    <row r="515">
      <c r="A515" s="391"/>
      <c r="B515" s="391"/>
      <c r="C515" s="391"/>
      <c r="D515" s="391"/>
      <c r="E515" s="391"/>
      <c r="F515" s="391"/>
      <c r="G515" s="391"/>
    </row>
    <row r="516">
      <c r="A516" s="391"/>
      <c r="B516" s="391"/>
      <c r="C516" s="391"/>
      <c r="D516" s="391"/>
      <c r="E516" s="391"/>
      <c r="F516" s="391"/>
      <c r="G516" s="391"/>
    </row>
    <row r="517">
      <c r="A517" s="391"/>
      <c r="B517" s="391"/>
      <c r="C517" s="391"/>
      <c r="D517" s="391"/>
      <c r="E517" s="391"/>
      <c r="F517" s="391"/>
      <c r="G517" s="391"/>
    </row>
    <row r="518">
      <c r="A518" s="391"/>
      <c r="B518" s="391"/>
      <c r="C518" s="391"/>
      <c r="D518" s="391"/>
      <c r="E518" s="391"/>
      <c r="F518" s="391"/>
      <c r="G518" s="391"/>
    </row>
    <row r="519">
      <c r="A519" s="391"/>
      <c r="B519" s="391"/>
      <c r="C519" s="391"/>
      <c r="D519" s="391"/>
      <c r="E519" s="391"/>
      <c r="F519" s="391"/>
      <c r="G519" s="391"/>
    </row>
    <row r="520">
      <c r="A520" s="391"/>
      <c r="B520" s="391"/>
      <c r="C520" s="391"/>
      <c r="D520" s="391"/>
      <c r="E520" s="391"/>
      <c r="F520" s="391"/>
      <c r="G520" s="391"/>
    </row>
    <row r="521">
      <c r="A521" s="391"/>
      <c r="B521" s="391"/>
      <c r="C521" s="391"/>
      <c r="D521" s="391"/>
      <c r="E521" s="391"/>
      <c r="F521" s="391"/>
      <c r="G521" s="391"/>
    </row>
    <row r="522">
      <c r="A522" s="391"/>
      <c r="B522" s="391"/>
      <c r="C522" s="391"/>
      <c r="D522" s="391"/>
      <c r="E522" s="391"/>
      <c r="F522" s="391"/>
      <c r="G522" s="391"/>
    </row>
    <row r="523">
      <c r="A523" s="391"/>
      <c r="B523" s="391"/>
      <c r="C523" s="391"/>
      <c r="D523" s="391"/>
      <c r="E523" s="391"/>
      <c r="F523" s="391"/>
      <c r="G523" s="391"/>
    </row>
    <row r="524">
      <c r="A524" s="391"/>
      <c r="B524" s="391"/>
      <c r="C524" s="391"/>
      <c r="D524" s="391"/>
      <c r="E524" s="391"/>
      <c r="F524" s="391"/>
      <c r="G524" s="391"/>
    </row>
    <row r="525">
      <c r="A525" s="391"/>
      <c r="B525" s="391"/>
      <c r="C525" s="391"/>
      <c r="D525" s="391"/>
      <c r="E525" s="391"/>
      <c r="F525" s="391"/>
      <c r="G525" s="391"/>
    </row>
    <row r="526">
      <c r="A526" s="391"/>
      <c r="B526" s="391"/>
      <c r="C526" s="391"/>
      <c r="D526" s="391"/>
      <c r="E526" s="391"/>
      <c r="F526" s="391"/>
      <c r="G526" s="391"/>
    </row>
    <row r="527">
      <c r="A527" s="391"/>
      <c r="B527" s="391"/>
      <c r="C527" s="391"/>
      <c r="D527" s="391"/>
      <c r="E527" s="391"/>
      <c r="F527" s="391"/>
      <c r="G527" s="391"/>
    </row>
    <row r="528">
      <c r="A528" s="391"/>
      <c r="B528" s="391"/>
      <c r="C528" s="391"/>
      <c r="D528" s="391"/>
      <c r="E528" s="391"/>
      <c r="F528" s="391"/>
      <c r="G528" s="391"/>
    </row>
    <row r="529">
      <c r="A529" s="391"/>
      <c r="B529" s="391"/>
      <c r="C529" s="391"/>
      <c r="D529" s="391"/>
      <c r="E529" s="391"/>
      <c r="F529" s="391"/>
      <c r="G529" s="391"/>
    </row>
    <row r="530">
      <c r="A530" s="391"/>
      <c r="B530" s="391"/>
      <c r="C530" s="391"/>
      <c r="D530" s="391"/>
      <c r="E530" s="391"/>
      <c r="F530" s="391"/>
      <c r="G530" s="391"/>
    </row>
    <row r="531">
      <c r="A531" s="391"/>
      <c r="B531" s="391"/>
      <c r="C531" s="391"/>
      <c r="D531" s="391"/>
      <c r="E531" s="391"/>
      <c r="F531" s="391"/>
      <c r="G531" s="391"/>
    </row>
    <row r="532">
      <c r="A532" s="391"/>
      <c r="B532" s="391"/>
      <c r="C532" s="391"/>
      <c r="D532" s="391"/>
      <c r="E532" s="391"/>
      <c r="F532" s="391"/>
      <c r="G532" s="391"/>
    </row>
    <row r="533">
      <c r="A533" s="391"/>
      <c r="B533" s="391"/>
      <c r="C533" s="391"/>
      <c r="D533" s="391"/>
      <c r="E533" s="391"/>
      <c r="F533" s="391"/>
      <c r="G533" s="391"/>
    </row>
    <row r="534">
      <c r="A534" s="391"/>
      <c r="B534" s="391"/>
      <c r="C534" s="391"/>
      <c r="D534" s="391"/>
      <c r="E534" s="391"/>
      <c r="F534" s="391"/>
      <c r="G534" s="391"/>
    </row>
    <row r="535">
      <c r="A535" s="391"/>
      <c r="B535" s="391"/>
      <c r="C535" s="391"/>
      <c r="D535" s="391"/>
      <c r="E535" s="391"/>
      <c r="F535" s="391"/>
      <c r="G535" s="391"/>
    </row>
    <row r="536">
      <c r="A536" s="391"/>
      <c r="B536" s="391"/>
      <c r="C536" s="391"/>
      <c r="D536" s="391"/>
      <c r="E536" s="391"/>
      <c r="F536" s="391"/>
      <c r="G536" s="391"/>
    </row>
    <row r="537">
      <c r="A537" s="391"/>
      <c r="B537" s="391"/>
      <c r="C537" s="391"/>
      <c r="D537" s="391"/>
      <c r="E537" s="391"/>
      <c r="F537" s="391"/>
      <c r="G537" s="391"/>
    </row>
    <row r="538">
      <c r="A538" s="391"/>
      <c r="B538" s="391"/>
      <c r="C538" s="391"/>
      <c r="D538" s="391"/>
      <c r="E538" s="391"/>
      <c r="F538" s="391"/>
      <c r="G538" s="391"/>
    </row>
    <row r="539">
      <c r="A539" s="391"/>
      <c r="B539" s="391"/>
      <c r="C539" s="391"/>
      <c r="D539" s="391"/>
      <c r="E539" s="391"/>
      <c r="F539" s="391"/>
      <c r="G539" s="391"/>
    </row>
    <row r="540">
      <c r="A540" s="391"/>
      <c r="B540" s="391"/>
      <c r="C540" s="391"/>
      <c r="D540" s="391"/>
      <c r="E540" s="391"/>
      <c r="F540" s="391"/>
      <c r="G540" s="391"/>
    </row>
    <row r="541">
      <c r="A541" s="391"/>
      <c r="B541" s="391"/>
      <c r="C541" s="391"/>
      <c r="D541" s="391"/>
      <c r="E541" s="391"/>
      <c r="F541" s="391"/>
      <c r="G541" s="391"/>
    </row>
    <row r="542">
      <c r="A542" s="391"/>
      <c r="B542" s="391"/>
      <c r="C542" s="391"/>
      <c r="D542" s="391"/>
      <c r="E542" s="391"/>
      <c r="F542" s="391"/>
      <c r="G542" s="391"/>
    </row>
    <row r="543">
      <c r="A543" s="391"/>
      <c r="B543" s="391"/>
      <c r="C543" s="391"/>
      <c r="D543" s="391"/>
      <c r="E543" s="391"/>
      <c r="F543" s="391"/>
      <c r="G543" s="391"/>
    </row>
    <row r="544">
      <c r="A544" s="391"/>
      <c r="B544" s="391"/>
      <c r="C544" s="391"/>
      <c r="D544" s="391"/>
      <c r="E544" s="391"/>
      <c r="F544" s="391"/>
      <c r="G544" s="391"/>
    </row>
    <row r="545">
      <c r="A545" s="391"/>
      <c r="B545" s="391"/>
      <c r="C545" s="391"/>
      <c r="D545" s="391"/>
      <c r="E545" s="391"/>
      <c r="F545" s="391"/>
      <c r="G545" s="391"/>
    </row>
    <row r="546">
      <c r="A546" s="391"/>
      <c r="B546" s="391"/>
      <c r="C546" s="391"/>
      <c r="D546" s="391"/>
      <c r="E546" s="391"/>
      <c r="F546" s="391"/>
      <c r="G546" s="391"/>
    </row>
    <row r="547">
      <c r="A547" s="391"/>
      <c r="B547" s="391"/>
      <c r="C547" s="391"/>
      <c r="D547" s="391"/>
      <c r="E547" s="391"/>
      <c r="F547" s="391"/>
      <c r="G547" s="391"/>
    </row>
    <row r="548">
      <c r="A548" s="391"/>
      <c r="B548" s="391"/>
      <c r="C548" s="391"/>
      <c r="D548" s="391"/>
      <c r="E548" s="391"/>
      <c r="F548" s="391"/>
      <c r="G548" s="391"/>
    </row>
    <row r="549">
      <c r="A549" s="391"/>
      <c r="B549" s="391"/>
      <c r="C549" s="391"/>
      <c r="D549" s="391"/>
      <c r="E549" s="391"/>
      <c r="F549" s="391"/>
      <c r="G549" s="391"/>
    </row>
    <row r="550">
      <c r="A550" s="391"/>
      <c r="B550" s="391"/>
      <c r="C550" s="391"/>
      <c r="D550" s="391"/>
      <c r="E550" s="391"/>
      <c r="F550" s="391"/>
      <c r="G550" s="391"/>
    </row>
    <row r="551">
      <c r="A551" s="391"/>
      <c r="B551" s="391"/>
      <c r="C551" s="391"/>
      <c r="D551" s="391"/>
      <c r="E551" s="391"/>
      <c r="F551" s="391"/>
      <c r="G551" s="391"/>
    </row>
    <row r="552">
      <c r="A552" s="391"/>
      <c r="B552" s="391"/>
      <c r="C552" s="391"/>
      <c r="D552" s="391"/>
      <c r="E552" s="391"/>
      <c r="F552" s="391"/>
      <c r="G552" s="391"/>
    </row>
    <row r="553">
      <c r="A553" s="391"/>
      <c r="B553" s="391"/>
      <c r="C553" s="391"/>
      <c r="D553" s="391"/>
      <c r="E553" s="391"/>
      <c r="F553" s="391"/>
      <c r="G553" s="391"/>
    </row>
    <row r="554">
      <c r="A554" s="391"/>
      <c r="B554" s="391"/>
      <c r="C554" s="391"/>
      <c r="D554" s="391"/>
      <c r="E554" s="391"/>
      <c r="F554" s="391"/>
      <c r="G554" s="391"/>
    </row>
    <row r="555">
      <c r="A555" s="391"/>
      <c r="B555" s="391"/>
      <c r="C555" s="391"/>
      <c r="D555" s="391"/>
      <c r="E555" s="391"/>
      <c r="F555" s="391"/>
      <c r="G555" s="391"/>
    </row>
    <row r="556">
      <c r="A556" s="391"/>
      <c r="B556" s="391"/>
      <c r="C556" s="391"/>
      <c r="D556" s="391"/>
      <c r="E556" s="391"/>
      <c r="F556" s="391"/>
      <c r="G556" s="391"/>
    </row>
    <row r="557">
      <c r="A557" s="391"/>
      <c r="B557" s="391"/>
      <c r="C557" s="391"/>
      <c r="D557" s="391"/>
      <c r="E557" s="391"/>
      <c r="F557" s="391"/>
      <c r="G557" s="391"/>
    </row>
    <row r="558">
      <c r="A558" s="391"/>
      <c r="B558" s="391"/>
      <c r="C558" s="391"/>
      <c r="D558" s="391"/>
      <c r="E558" s="391"/>
      <c r="F558" s="391"/>
      <c r="G558" s="391"/>
    </row>
    <row r="559">
      <c r="A559" s="391"/>
      <c r="B559" s="391"/>
      <c r="C559" s="391"/>
      <c r="D559" s="391"/>
      <c r="E559" s="391"/>
      <c r="F559" s="391"/>
      <c r="G559" s="391"/>
    </row>
    <row r="560">
      <c r="A560" s="391"/>
      <c r="B560" s="391"/>
      <c r="C560" s="391"/>
      <c r="D560" s="391"/>
      <c r="E560" s="391"/>
      <c r="F560" s="391"/>
      <c r="G560" s="391"/>
    </row>
    <row r="561">
      <c r="A561" s="391"/>
      <c r="B561" s="391"/>
      <c r="C561" s="391"/>
      <c r="D561" s="391"/>
      <c r="E561" s="391"/>
      <c r="F561" s="391"/>
      <c r="G561" s="391"/>
    </row>
    <row r="562">
      <c r="A562" s="391"/>
      <c r="B562" s="391"/>
      <c r="C562" s="391"/>
      <c r="D562" s="391"/>
      <c r="E562" s="391"/>
      <c r="F562" s="391"/>
      <c r="G562" s="391"/>
    </row>
    <row r="563">
      <c r="A563" s="391"/>
      <c r="B563" s="391"/>
      <c r="C563" s="391"/>
      <c r="D563" s="391"/>
      <c r="E563" s="391"/>
      <c r="F563" s="391"/>
      <c r="G563" s="391"/>
    </row>
    <row r="564">
      <c r="A564" s="391"/>
      <c r="B564" s="391"/>
      <c r="C564" s="391"/>
      <c r="D564" s="391"/>
      <c r="E564" s="391"/>
      <c r="F564" s="391"/>
      <c r="G564" s="391"/>
    </row>
    <row r="565">
      <c r="A565" s="391"/>
      <c r="B565" s="391"/>
      <c r="C565" s="391"/>
      <c r="D565" s="391"/>
      <c r="E565" s="391"/>
      <c r="F565" s="391"/>
      <c r="G565" s="391"/>
    </row>
    <row r="566">
      <c r="A566" s="391"/>
      <c r="B566" s="391"/>
      <c r="C566" s="391"/>
      <c r="D566" s="391"/>
      <c r="E566" s="391"/>
      <c r="F566" s="391"/>
      <c r="G566" s="391"/>
    </row>
    <row r="567">
      <c r="A567" s="391"/>
      <c r="B567" s="391"/>
      <c r="C567" s="391"/>
      <c r="D567" s="391"/>
      <c r="E567" s="391"/>
      <c r="F567" s="391"/>
      <c r="G567" s="391"/>
    </row>
    <row r="568">
      <c r="A568" s="391"/>
      <c r="B568" s="391"/>
      <c r="C568" s="391"/>
      <c r="D568" s="391"/>
      <c r="E568" s="391"/>
      <c r="F568" s="391"/>
      <c r="G568" s="391"/>
    </row>
    <row r="569">
      <c r="A569" s="391"/>
      <c r="B569" s="391"/>
      <c r="C569" s="391"/>
      <c r="D569" s="391"/>
      <c r="E569" s="391"/>
      <c r="F569" s="391"/>
      <c r="G569" s="391"/>
    </row>
    <row r="570">
      <c r="A570" s="391"/>
      <c r="B570" s="391"/>
      <c r="C570" s="391"/>
      <c r="D570" s="391"/>
      <c r="E570" s="391"/>
      <c r="F570" s="391"/>
      <c r="G570" s="391"/>
    </row>
    <row r="571">
      <c r="A571" s="391"/>
      <c r="B571" s="391"/>
      <c r="C571" s="391"/>
      <c r="D571" s="391"/>
      <c r="E571" s="391"/>
      <c r="F571" s="391"/>
      <c r="G571" s="391"/>
    </row>
    <row r="572">
      <c r="A572" s="391"/>
      <c r="B572" s="391"/>
      <c r="C572" s="391"/>
      <c r="D572" s="391"/>
      <c r="E572" s="391"/>
      <c r="F572" s="391"/>
      <c r="G572" s="391"/>
    </row>
    <row r="573">
      <c r="A573" s="391"/>
      <c r="B573" s="391"/>
      <c r="C573" s="391"/>
      <c r="D573" s="391"/>
      <c r="E573" s="391"/>
      <c r="F573" s="391"/>
      <c r="G573" s="391"/>
    </row>
    <row r="574">
      <c r="A574" s="391"/>
      <c r="B574" s="391"/>
      <c r="C574" s="391"/>
      <c r="D574" s="391"/>
      <c r="E574" s="391"/>
      <c r="F574" s="391"/>
      <c r="G574" s="391"/>
    </row>
    <row r="575">
      <c r="A575" s="391"/>
      <c r="B575" s="391"/>
      <c r="C575" s="391"/>
      <c r="D575" s="391"/>
      <c r="E575" s="391"/>
      <c r="F575" s="391"/>
      <c r="G575" s="391"/>
    </row>
    <row r="576">
      <c r="A576" s="391"/>
      <c r="B576" s="391"/>
      <c r="C576" s="391"/>
      <c r="D576" s="391"/>
      <c r="E576" s="391"/>
      <c r="F576" s="391"/>
      <c r="G576" s="391"/>
    </row>
    <row r="577">
      <c r="A577" s="391"/>
      <c r="B577" s="391"/>
      <c r="C577" s="391"/>
      <c r="D577" s="391"/>
      <c r="E577" s="391"/>
      <c r="F577" s="391"/>
      <c r="G577" s="391"/>
    </row>
    <row r="578">
      <c r="A578" s="391"/>
      <c r="B578" s="391"/>
      <c r="C578" s="391"/>
      <c r="D578" s="391"/>
      <c r="E578" s="391"/>
      <c r="F578" s="391"/>
      <c r="G578" s="391"/>
    </row>
    <row r="579">
      <c r="A579" s="391"/>
      <c r="B579" s="391"/>
      <c r="C579" s="391"/>
      <c r="D579" s="391"/>
      <c r="E579" s="391"/>
      <c r="F579" s="391"/>
      <c r="G579" s="391"/>
    </row>
    <row r="580">
      <c r="A580" s="391"/>
      <c r="B580" s="391"/>
      <c r="C580" s="391"/>
      <c r="D580" s="391"/>
      <c r="E580" s="391"/>
      <c r="F580" s="391"/>
      <c r="G580" s="391"/>
    </row>
    <row r="581">
      <c r="A581" s="391"/>
      <c r="B581" s="391"/>
      <c r="C581" s="391"/>
      <c r="D581" s="391"/>
      <c r="E581" s="391"/>
      <c r="F581" s="391"/>
      <c r="G581" s="391"/>
    </row>
    <row r="582">
      <c r="A582" s="391"/>
      <c r="B582" s="391"/>
      <c r="C582" s="391"/>
      <c r="D582" s="391"/>
      <c r="E582" s="391"/>
      <c r="F582" s="391"/>
      <c r="G582" s="391"/>
    </row>
    <row r="583">
      <c r="A583" s="391"/>
      <c r="B583" s="391"/>
      <c r="C583" s="391"/>
      <c r="D583" s="391"/>
      <c r="E583" s="391"/>
      <c r="F583" s="391"/>
      <c r="G583" s="391"/>
    </row>
    <row r="584">
      <c r="A584" s="391"/>
      <c r="B584" s="391"/>
      <c r="C584" s="391"/>
      <c r="D584" s="391"/>
      <c r="E584" s="391"/>
      <c r="F584" s="391"/>
      <c r="G584" s="391"/>
    </row>
    <row r="585">
      <c r="A585" s="391"/>
      <c r="B585" s="391"/>
      <c r="C585" s="391"/>
      <c r="D585" s="391"/>
      <c r="E585" s="391"/>
      <c r="F585" s="391"/>
      <c r="G585" s="391"/>
    </row>
    <row r="586">
      <c r="A586" s="391"/>
      <c r="B586" s="391"/>
      <c r="C586" s="391"/>
      <c r="D586" s="391"/>
      <c r="E586" s="391"/>
      <c r="F586" s="391"/>
      <c r="G586" s="391"/>
    </row>
    <row r="587">
      <c r="A587" s="391"/>
      <c r="B587" s="391"/>
      <c r="C587" s="391"/>
      <c r="D587" s="391"/>
      <c r="E587" s="391"/>
      <c r="F587" s="391"/>
      <c r="G587" s="391"/>
    </row>
    <row r="588">
      <c r="A588" s="391"/>
      <c r="B588" s="391"/>
      <c r="C588" s="391"/>
      <c r="D588" s="391"/>
      <c r="E588" s="391"/>
      <c r="F588" s="391"/>
      <c r="G588" s="391"/>
    </row>
    <row r="589">
      <c r="A589" s="391"/>
      <c r="B589" s="391"/>
      <c r="C589" s="391"/>
      <c r="D589" s="391"/>
      <c r="E589" s="391"/>
      <c r="F589" s="391"/>
      <c r="G589" s="391"/>
    </row>
    <row r="590">
      <c r="A590" s="391"/>
      <c r="B590" s="391"/>
      <c r="C590" s="391"/>
      <c r="D590" s="391"/>
      <c r="E590" s="391"/>
      <c r="F590" s="391"/>
      <c r="G590" s="391"/>
    </row>
    <row r="591">
      <c r="A591" s="391"/>
      <c r="B591" s="391"/>
      <c r="C591" s="391"/>
      <c r="D591" s="391"/>
      <c r="E591" s="391"/>
      <c r="F591" s="391"/>
      <c r="G591" s="391"/>
    </row>
    <row r="592">
      <c r="A592" s="391"/>
      <c r="B592" s="391"/>
      <c r="C592" s="391"/>
      <c r="D592" s="391"/>
      <c r="E592" s="391"/>
      <c r="F592" s="391"/>
      <c r="G592" s="391"/>
    </row>
    <row r="593">
      <c r="A593" s="391"/>
      <c r="B593" s="391"/>
      <c r="C593" s="391"/>
      <c r="D593" s="391"/>
      <c r="E593" s="391"/>
      <c r="F593" s="391"/>
      <c r="G593" s="391"/>
    </row>
    <row r="594">
      <c r="A594" s="391"/>
      <c r="B594" s="391"/>
      <c r="C594" s="391"/>
      <c r="D594" s="391"/>
      <c r="E594" s="391"/>
      <c r="F594" s="391"/>
      <c r="G594" s="391"/>
    </row>
    <row r="595">
      <c r="A595" s="391"/>
      <c r="B595" s="391"/>
      <c r="C595" s="391"/>
      <c r="D595" s="391"/>
      <c r="E595" s="391"/>
      <c r="F595" s="391"/>
      <c r="G595" s="391"/>
    </row>
    <row r="596">
      <c r="A596" s="391"/>
      <c r="B596" s="391"/>
      <c r="C596" s="391"/>
      <c r="D596" s="391"/>
      <c r="E596" s="391"/>
      <c r="F596" s="391"/>
      <c r="G596" s="391"/>
    </row>
    <row r="597">
      <c r="A597" s="391"/>
      <c r="B597" s="391"/>
      <c r="C597" s="391"/>
      <c r="D597" s="391"/>
      <c r="E597" s="391"/>
      <c r="F597" s="391"/>
      <c r="G597" s="391"/>
    </row>
    <row r="598">
      <c r="A598" s="391"/>
      <c r="B598" s="391"/>
      <c r="C598" s="391"/>
      <c r="D598" s="391"/>
      <c r="E598" s="391"/>
      <c r="F598" s="391"/>
      <c r="G598" s="391"/>
    </row>
    <row r="599">
      <c r="A599" s="391"/>
      <c r="B599" s="391"/>
      <c r="C599" s="391"/>
      <c r="D599" s="391"/>
      <c r="E599" s="391"/>
      <c r="F599" s="391"/>
      <c r="G599" s="391"/>
    </row>
    <row r="600">
      <c r="A600" s="391"/>
      <c r="B600" s="391"/>
      <c r="C600" s="391"/>
      <c r="D600" s="391"/>
      <c r="E600" s="391"/>
      <c r="F600" s="391"/>
      <c r="G600" s="391"/>
    </row>
    <row r="601">
      <c r="A601" s="391"/>
      <c r="B601" s="391"/>
      <c r="C601" s="391"/>
      <c r="D601" s="391"/>
      <c r="E601" s="391"/>
      <c r="F601" s="391"/>
      <c r="G601" s="391"/>
    </row>
    <row r="602">
      <c r="A602" s="391"/>
      <c r="B602" s="391"/>
      <c r="C602" s="391"/>
      <c r="D602" s="391"/>
      <c r="E602" s="391"/>
      <c r="F602" s="391"/>
      <c r="G602" s="391"/>
    </row>
    <row r="603">
      <c r="A603" s="391"/>
      <c r="B603" s="391"/>
      <c r="C603" s="391"/>
      <c r="D603" s="391"/>
      <c r="E603" s="391"/>
      <c r="F603" s="391"/>
      <c r="G603" s="391"/>
    </row>
    <row r="604">
      <c r="A604" s="391"/>
      <c r="B604" s="391"/>
      <c r="C604" s="391"/>
      <c r="D604" s="391"/>
      <c r="E604" s="391"/>
      <c r="F604" s="391"/>
      <c r="G604" s="391"/>
    </row>
    <row r="605">
      <c r="A605" s="391"/>
      <c r="B605" s="391"/>
      <c r="C605" s="391"/>
      <c r="D605" s="391"/>
      <c r="E605" s="391"/>
      <c r="F605" s="391"/>
      <c r="G605" s="391"/>
    </row>
    <row r="606">
      <c r="A606" s="391"/>
      <c r="B606" s="391"/>
      <c r="C606" s="391"/>
      <c r="D606" s="391"/>
      <c r="E606" s="391"/>
      <c r="F606" s="391"/>
      <c r="G606" s="391"/>
    </row>
    <row r="607">
      <c r="A607" s="391"/>
      <c r="B607" s="391"/>
      <c r="C607" s="391"/>
      <c r="D607" s="391"/>
      <c r="E607" s="391"/>
      <c r="F607" s="391"/>
      <c r="G607" s="391"/>
    </row>
    <row r="608">
      <c r="A608" s="391"/>
      <c r="B608" s="391"/>
      <c r="C608" s="391"/>
      <c r="D608" s="391"/>
      <c r="E608" s="391"/>
      <c r="F608" s="391"/>
      <c r="G608" s="391"/>
    </row>
    <row r="609">
      <c r="A609" s="391"/>
      <c r="B609" s="391"/>
      <c r="C609" s="391"/>
      <c r="D609" s="391"/>
      <c r="E609" s="391"/>
      <c r="F609" s="391"/>
      <c r="G609" s="391"/>
    </row>
    <row r="610">
      <c r="A610" s="391"/>
      <c r="B610" s="391"/>
      <c r="C610" s="391"/>
      <c r="D610" s="391"/>
      <c r="E610" s="391"/>
      <c r="F610" s="391"/>
      <c r="G610" s="391"/>
    </row>
    <row r="611">
      <c r="A611" s="391"/>
      <c r="B611" s="391"/>
      <c r="C611" s="391"/>
      <c r="D611" s="391"/>
      <c r="E611" s="391"/>
      <c r="F611" s="391"/>
      <c r="G611" s="391"/>
    </row>
    <row r="612">
      <c r="A612" s="391"/>
      <c r="B612" s="391"/>
      <c r="C612" s="391"/>
      <c r="D612" s="391"/>
      <c r="E612" s="391"/>
      <c r="F612" s="391"/>
      <c r="G612" s="391"/>
    </row>
    <row r="613">
      <c r="A613" s="391"/>
      <c r="B613" s="391"/>
      <c r="C613" s="391"/>
      <c r="D613" s="391"/>
      <c r="E613" s="391"/>
      <c r="F613" s="391"/>
      <c r="G613" s="391"/>
    </row>
    <row r="614">
      <c r="A614" s="391"/>
      <c r="B614" s="391"/>
      <c r="C614" s="391"/>
      <c r="D614" s="391"/>
      <c r="E614" s="391"/>
      <c r="F614" s="391"/>
      <c r="G614" s="391"/>
    </row>
    <row r="615">
      <c r="A615" s="391"/>
      <c r="B615" s="391"/>
      <c r="C615" s="391"/>
      <c r="D615" s="391"/>
      <c r="E615" s="391"/>
      <c r="F615" s="391"/>
      <c r="G615" s="391"/>
    </row>
    <row r="616">
      <c r="A616" s="391"/>
      <c r="B616" s="391"/>
      <c r="C616" s="391"/>
      <c r="D616" s="391"/>
      <c r="E616" s="391"/>
      <c r="F616" s="391"/>
      <c r="G616" s="391"/>
    </row>
    <row r="617">
      <c r="A617" s="391"/>
      <c r="B617" s="391"/>
      <c r="C617" s="391"/>
      <c r="D617" s="391"/>
      <c r="E617" s="391"/>
      <c r="F617" s="391"/>
      <c r="G617" s="391"/>
    </row>
    <row r="618">
      <c r="A618" s="391"/>
      <c r="B618" s="391"/>
      <c r="C618" s="391"/>
      <c r="D618" s="391"/>
      <c r="E618" s="391"/>
      <c r="F618" s="391"/>
      <c r="G618" s="391"/>
    </row>
    <row r="619">
      <c r="A619" s="391"/>
      <c r="B619" s="391"/>
      <c r="C619" s="391"/>
      <c r="D619" s="391"/>
      <c r="E619" s="391"/>
      <c r="F619" s="391"/>
      <c r="G619" s="391"/>
    </row>
    <row r="620">
      <c r="A620" s="391"/>
      <c r="B620" s="391"/>
      <c r="C620" s="391"/>
      <c r="D620" s="391"/>
      <c r="E620" s="391"/>
      <c r="F620" s="391"/>
      <c r="G620" s="391"/>
    </row>
    <row r="621">
      <c r="A621" s="391"/>
      <c r="B621" s="391"/>
      <c r="C621" s="391"/>
      <c r="D621" s="391"/>
      <c r="E621" s="391"/>
      <c r="F621" s="391"/>
      <c r="G621" s="391"/>
    </row>
    <row r="622">
      <c r="A622" s="391"/>
      <c r="B622" s="391"/>
      <c r="C622" s="391"/>
      <c r="D622" s="391"/>
      <c r="E622" s="391"/>
      <c r="F622" s="391"/>
      <c r="G622" s="391"/>
    </row>
    <row r="623">
      <c r="A623" s="391"/>
      <c r="B623" s="391"/>
      <c r="C623" s="391"/>
      <c r="D623" s="391"/>
      <c r="E623" s="391"/>
      <c r="F623" s="391"/>
      <c r="G623" s="391"/>
    </row>
    <row r="624">
      <c r="A624" s="391"/>
      <c r="B624" s="391"/>
      <c r="C624" s="391"/>
      <c r="D624" s="391"/>
      <c r="E624" s="391"/>
      <c r="F624" s="391"/>
      <c r="G624" s="391"/>
    </row>
    <row r="625">
      <c r="A625" s="391"/>
      <c r="B625" s="391"/>
      <c r="C625" s="391"/>
      <c r="D625" s="391"/>
      <c r="E625" s="391"/>
      <c r="F625" s="391"/>
      <c r="G625" s="391"/>
    </row>
    <row r="626">
      <c r="A626" s="391"/>
      <c r="B626" s="391"/>
      <c r="C626" s="391"/>
      <c r="D626" s="391"/>
      <c r="E626" s="391"/>
      <c r="F626" s="391"/>
      <c r="G626" s="391"/>
    </row>
    <row r="627">
      <c r="A627" s="391"/>
      <c r="B627" s="391"/>
      <c r="C627" s="391"/>
      <c r="D627" s="391"/>
      <c r="E627" s="391"/>
      <c r="F627" s="391"/>
      <c r="G627" s="391"/>
    </row>
    <row r="628">
      <c r="A628" s="391"/>
      <c r="B628" s="391"/>
      <c r="C628" s="391"/>
      <c r="D628" s="391"/>
      <c r="E628" s="391"/>
      <c r="F628" s="391"/>
      <c r="G628" s="391"/>
    </row>
    <row r="629">
      <c r="A629" s="391"/>
      <c r="B629" s="391"/>
      <c r="C629" s="391"/>
      <c r="D629" s="391"/>
      <c r="E629" s="391"/>
      <c r="F629" s="391"/>
      <c r="G629" s="391"/>
    </row>
    <row r="630">
      <c r="A630" s="391"/>
      <c r="B630" s="391"/>
      <c r="C630" s="391"/>
      <c r="D630" s="391"/>
      <c r="E630" s="391"/>
      <c r="F630" s="391"/>
      <c r="G630" s="391"/>
    </row>
    <row r="631">
      <c r="A631" s="391"/>
      <c r="B631" s="391"/>
      <c r="C631" s="391"/>
      <c r="D631" s="391"/>
      <c r="E631" s="391"/>
      <c r="F631" s="391"/>
      <c r="G631" s="391"/>
    </row>
    <row r="632">
      <c r="A632" s="391"/>
      <c r="B632" s="391"/>
      <c r="C632" s="391"/>
      <c r="D632" s="391"/>
      <c r="E632" s="391"/>
      <c r="F632" s="391"/>
      <c r="G632" s="391"/>
    </row>
    <row r="633">
      <c r="A633" s="391"/>
      <c r="B633" s="391"/>
      <c r="C633" s="391"/>
      <c r="D633" s="391"/>
      <c r="E633" s="391"/>
      <c r="F633" s="391"/>
      <c r="G633" s="391"/>
    </row>
    <row r="634">
      <c r="A634" s="391"/>
      <c r="B634" s="391"/>
      <c r="C634" s="391"/>
      <c r="D634" s="391"/>
      <c r="E634" s="391"/>
      <c r="F634" s="391"/>
      <c r="G634" s="391"/>
    </row>
    <row r="635">
      <c r="A635" s="391"/>
      <c r="B635" s="391"/>
      <c r="C635" s="391"/>
      <c r="D635" s="391"/>
      <c r="E635" s="391"/>
      <c r="F635" s="391"/>
      <c r="G635" s="391"/>
    </row>
    <row r="636">
      <c r="A636" s="391"/>
      <c r="B636" s="391"/>
      <c r="C636" s="391"/>
      <c r="D636" s="391"/>
      <c r="E636" s="391"/>
      <c r="F636" s="391"/>
      <c r="G636" s="391"/>
    </row>
    <row r="637">
      <c r="A637" s="391"/>
      <c r="B637" s="391"/>
      <c r="C637" s="391"/>
      <c r="D637" s="391"/>
      <c r="E637" s="391"/>
      <c r="F637" s="391"/>
      <c r="G637" s="391"/>
    </row>
    <row r="638">
      <c r="A638" s="391"/>
      <c r="B638" s="391"/>
      <c r="C638" s="391"/>
      <c r="D638" s="391"/>
      <c r="E638" s="391"/>
      <c r="F638" s="391"/>
      <c r="G638" s="391"/>
    </row>
    <row r="639">
      <c r="A639" s="391"/>
      <c r="B639" s="391"/>
      <c r="C639" s="391"/>
      <c r="D639" s="391"/>
      <c r="E639" s="391"/>
      <c r="F639" s="391"/>
      <c r="G639" s="391"/>
    </row>
    <row r="640">
      <c r="A640" s="391"/>
      <c r="B640" s="391"/>
      <c r="C640" s="391"/>
      <c r="D640" s="391"/>
      <c r="E640" s="391"/>
      <c r="F640" s="391"/>
      <c r="G640" s="391"/>
    </row>
    <row r="641">
      <c r="A641" s="391"/>
      <c r="B641" s="391"/>
      <c r="C641" s="391"/>
      <c r="D641" s="391"/>
      <c r="E641" s="391"/>
      <c r="F641" s="391"/>
      <c r="G641" s="391"/>
    </row>
    <row r="642">
      <c r="A642" s="391"/>
      <c r="B642" s="391"/>
      <c r="C642" s="391"/>
      <c r="D642" s="391"/>
      <c r="E642" s="391"/>
      <c r="F642" s="391"/>
      <c r="G642" s="391"/>
    </row>
    <row r="643">
      <c r="A643" s="391"/>
      <c r="B643" s="391"/>
      <c r="C643" s="391"/>
      <c r="D643" s="391"/>
      <c r="E643" s="391"/>
      <c r="F643" s="391"/>
      <c r="G643" s="391"/>
    </row>
    <row r="644">
      <c r="A644" s="391"/>
      <c r="B644" s="391"/>
      <c r="C644" s="391"/>
      <c r="D644" s="391"/>
      <c r="E644" s="391"/>
      <c r="F644" s="391"/>
      <c r="G644" s="391"/>
    </row>
    <row r="645">
      <c r="A645" s="391"/>
      <c r="B645" s="391"/>
      <c r="C645" s="391"/>
      <c r="D645" s="391"/>
      <c r="E645" s="391"/>
      <c r="F645" s="391"/>
      <c r="G645" s="391"/>
    </row>
    <row r="646">
      <c r="A646" s="391"/>
      <c r="B646" s="391"/>
      <c r="C646" s="391"/>
      <c r="D646" s="391"/>
      <c r="E646" s="391"/>
      <c r="F646" s="391"/>
      <c r="G646" s="391"/>
    </row>
    <row r="647">
      <c r="A647" s="391"/>
      <c r="B647" s="391"/>
      <c r="C647" s="391"/>
      <c r="D647" s="391"/>
      <c r="E647" s="391"/>
      <c r="F647" s="391"/>
      <c r="G647" s="391"/>
    </row>
    <row r="648">
      <c r="A648" s="391"/>
      <c r="B648" s="391"/>
      <c r="C648" s="391"/>
      <c r="D648" s="391"/>
      <c r="E648" s="391"/>
      <c r="F648" s="391"/>
      <c r="G648" s="391"/>
    </row>
    <row r="649">
      <c r="A649" s="391"/>
      <c r="B649" s="391"/>
      <c r="C649" s="391"/>
      <c r="D649" s="391"/>
      <c r="E649" s="391"/>
      <c r="F649" s="391"/>
      <c r="G649" s="391"/>
    </row>
    <row r="650">
      <c r="A650" s="391"/>
      <c r="B650" s="391"/>
      <c r="C650" s="391"/>
      <c r="D650" s="391"/>
      <c r="E650" s="391"/>
      <c r="F650" s="391"/>
      <c r="G650" s="391"/>
    </row>
    <row r="651">
      <c r="A651" s="391"/>
      <c r="B651" s="391"/>
      <c r="C651" s="391"/>
      <c r="D651" s="391"/>
      <c r="E651" s="391"/>
      <c r="F651" s="391"/>
      <c r="G651" s="391"/>
    </row>
    <row r="652">
      <c r="A652" s="391"/>
      <c r="B652" s="391"/>
      <c r="C652" s="391"/>
      <c r="D652" s="391"/>
      <c r="E652" s="391"/>
      <c r="F652" s="391"/>
      <c r="G652" s="391"/>
    </row>
    <row r="653">
      <c r="A653" s="391"/>
      <c r="B653" s="391"/>
      <c r="C653" s="391"/>
      <c r="D653" s="391"/>
      <c r="E653" s="391"/>
      <c r="F653" s="391"/>
      <c r="G653" s="391"/>
    </row>
    <row r="654">
      <c r="A654" s="391"/>
      <c r="B654" s="391"/>
      <c r="C654" s="391"/>
      <c r="D654" s="391"/>
      <c r="E654" s="391"/>
      <c r="F654" s="391"/>
      <c r="G654" s="391"/>
    </row>
    <row r="655">
      <c r="A655" s="391"/>
      <c r="B655" s="391"/>
      <c r="C655" s="391"/>
      <c r="D655" s="391"/>
      <c r="E655" s="391"/>
      <c r="F655" s="391"/>
      <c r="G655" s="391"/>
    </row>
    <row r="656">
      <c r="A656" s="391"/>
      <c r="B656" s="391"/>
      <c r="C656" s="391"/>
      <c r="D656" s="391"/>
      <c r="E656" s="391"/>
      <c r="F656" s="391"/>
      <c r="G656" s="391"/>
    </row>
    <row r="657">
      <c r="A657" s="391"/>
      <c r="B657" s="391"/>
      <c r="C657" s="391"/>
      <c r="D657" s="391"/>
      <c r="E657" s="391"/>
      <c r="F657" s="391"/>
      <c r="G657" s="391"/>
    </row>
    <row r="658">
      <c r="A658" s="391"/>
      <c r="B658" s="391"/>
      <c r="C658" s="391"/>
      <c r="D658" s="391"/>
      <c r="E658" s="391"/>
      <c r="F658" s="391"/>
      <c r="G658" s="391"/>
    </row>
    <row r="659">
      <c r="A659" s="391"/>
      <c r="B659" s="391"/>
      <c r="C659" s="391"/>
      <c r="D659" s="391"/>
      <c r="E659" s="391"/>
      <c r="F659" s="391"/>
      <c r="G659" s="391"/>
    </row>
    <row r="660">
      <c r="A660" s="391"/>
      <c r="B660" s="391"/>
      <c r="C660" s="391"/>
      <c r="D660" s="391"/>
      <c r="E660" s="391"/>
      <c r="F660" s="391"/>
      <c r="G660" s="391"/>
    </row>
    <row r="661">
      <c r="A661" s="391"/>
      <c r="B661" s="391"/>
      <c r="C661" s="391"/>
      <c r="D661" s="391"/>
      <c r="E661" s="391"/>
      <c r="F661" s="391"/>
      <c r="G661" s="391"/>
    </row>
    <row r="662">
      <c r="A662" s="391"/>
      <c r="B662" s="391"/>
      <c r="C662" s="391"/>
      <c r="D662" s="391"/>
      <c r="E662" s="391"/>
      <c r="F662" s="391"/>
      <c r="G662" s="391"/>
    </row>
    <row r="663">
      <c r="A663" s="391"/>
      <c r="B663" s="391"/>
      <c r="C663" s="391"/>
      <c r="D663" s="391"/>
      <c r="E663" s="391"/>
      <c r="F663" s="391"/>
      <c r="G663" s="391"/>
    </row>
    <row r="664">
      <c r="A664" s="391"/>
      <c r="B664" s="391"/>
      <c r="C664" s="391"/>
      <c r="D664" s="391"/>
      <c r="E664" s="391"/>
      <c r="F664" s="391"/>
      <c r="G664" s="391"/>
    </row>
    <row r="665">
      <c r="A665" s="391"/>
      <c r="B665" s="391"/>
      <c r="C665" s="391"/>
      <c r="D665" s="391"/>
      <c r="E665" s="391"/>
      <c r="F665" s="391"/>
      <c r="G665" s="391"/>
    </row>
    <row r="666">
      <c r="A666" s="391"/>
      <c r="B666" s="391"/>
      <c r="C666" s="391"/>
      <c r="D666" s="391"/>
      <c r="E666" s="391"/>
      <c r="F666" s="391"/>
      <c r="G666" s="391"/>
    </row>
    <row r="667">
      <c r="A667" s="391"/>
      <c r="B667" s="391"/>
      <c r="C667" s="391"/>
      <c r="D667" s="391"/>
      <c r="E667" s="391"/>
      <c r="F667" s="391"/>
      <c r="G667" s="391"/>
    </row>
    <row r="668">
      <c r="A668" s="391"/>
      <c r="B668" s="391"/>
      <c r="C668" s="391"/>
      <c r="D668" s="391"/>
      <c r="E668" s="391"/>
      <c r="F668" s="391"/>
      <c r="G668" s="391"/>
    </row>
    <row r="669">
      <c r="A669" s="391"/>
      <c r="B669" s="391"/>
      <c r="C669" s="391"/>
      <c r="D669" s="391"/>
      <c r="E669" s="391"/>
      <c r="F669" s="391"/>
      <c r="G669" s="391"/>
    </row>
    <row r="670">
      <c r="A670" s="391"/>
      <c r="B670" s="391"/>
      <c r="C670" s="391"/>
      <c r="D670" s="391"/>
      <c r="E670" s="391"/>
      <c r="F670" s="391"/>
      <c r="G670" s="391"/>
    </row>
    <row r="671">
      <c r="A671" s="391"/>
      <c r="B671" s="391"/>
      <c r="C671" s="391"/>
      <c r="D671" s="391"/>
      <c r="E671" s="391"/>
      <c r="F671" s="391"/>
      <c r="G671" s="391"/>
    </row>
    <row r="672">
      <c r="A672" s="391"/>
      <c r="B672" s="391"/>
      <c r="C672" s="391"/>
      <c r="D672" s="391"/>
      <c r="E672" s="391"/>
      <c r="F672" s="391"/>
      <c r="G672" s="391"/>
    </row>
    <row r="673">
      <c r="A673" s="391"/>
      <c r="B673" s="391"/>
      <c r="C673" s="391"/>
      <c r="D673" s="391"/>
      <c r="E673" s="391"/>
      <c r="F673" s="391"/>
      <c r="G673" s="391"/>
    </row>
    <row r="674">
      <c r="A674" s="391"/>
      <c r="B674" s="391"/>
      <c r="C674" s="391"/>
      <c r="D674" s="391"/>
      <c r="E674" s="391"/>
      <c r="F674" s="391"/>
      <c r="G674" s="391"/>
    </row>
    <row r="675">
      <c r="A675" s="391"/>
      <c r="B675" s="391"/>
      <c r="C675" s="391"/>
      <c r="D675" s="391"/>
      <c r="E675" s="391"/>
      <c r="F675" s="391"/>
      <c r="G675" s="391"/>
    </row>
    <row r="676">
      <c r="A676" s="391"/>
      <c r="B676" s="391"/>
      <c r="C676" s="391"/>
      <c r="D676" s="391"/>
      <c r="E676" s="391"/>
      <c r="F676" s="391"/>
      <c r="G676" s="391"/>
    </row>
    <row r="677">
      <c r="A677" s="391"/>
      <c r="B677" s="391"/>
      <c r="C677" s="391"/>
      <c r="D677" s="391"/>
      <c r="E677" s="391"/>
      <c r="F677" s="391"/>
      <c r="G677" s="391"/>
    </row>
    <row r="678">
      <c r="A678" s="391"/>
      <c r="B678" s="391"/>
      <c r="C678" s="391"/>
      <c r="D678" s="391"/>
      <c r="E678" s="391"/>
      <c r="F678" s="391"/>
      <c r="G678" s="391"/>
    </row>
    <row r="679">
      <c r="A679" s="391"/>
      <c r="B679" s="391"/>
      <c r="C679" s="391"/>
      <c r="D679" s="391"/>
      <c r="E679" s="391"/>
      <c r="F679" s="391"/>
      <c r="G679" s="391"/>
    </row>
    <row r="680">
      <c r="A680" s="391"/>
      <c r="B680" s="391"/>
      <c r="C680" s="391"/>
      <c r="D680" s="391"/>
      <c r="E680" s="391"/>
      <c r="F680" s="391"/>
      <c r="G680" s="391"/>
    </row>
    <row r="681">
      <c r="A681" s="391"/>
      <c r="B681" s="391"/>
      <c r="C681" s="391"/>
      <c r="D681" s="391"/>
      <c r="E681" s="391"/>
      <c r="F681" s="391"/>
      <c r="G681" s="391"/>
    </row>
    <row r="682">
      <c r="A682" s="391"/>
      <c r="B682" s="391"/>
      <c r="C682" s="391"/>
      <c r="D682" s="391"/>
      <c r="E682" s="391"/>
      <c r="F682" s="391"/>
      <c r="G682" s="391"/>
    </row>
    <row r="683">
      <c r="A683" s="391"/>
      <c r="B683" s="391"/>
      <c r="C683" s="391"/>
      <c r="D683" s="391"/>
      <c r="E683" s="391"/>
      <c r="F683" s="391"/>
      <c r="G683" s="391"/>
    </row>
    <row r="684">
      <c r="A684" s="391"/>
      <c r="B684" s="391"/>
      <c r="C684" s="391"/>
      <c r="D684" s="391"/>
      <c r="E684" s="391"/>
      <c r="F684" s="391"/>
      <c r="G684" s="391"/>
    </row>
    <row r="685">
      <c r="A685" s="391"/>
      <c r="B685" s="391"/>
      <c r="C685" s="391"/>
      <c r="D685" s="391"/>
      <c r="E685" s="391"/>
      <c r="F685" s="391"/>
      <c r="G685" s="391"/>
    </row>
    <row r="686">
      <c r="A686" s="391"/>
      <c r="B686" s="391"/>
      <c r="C686" s="391"/>
      <c r="D686" s="391"/>
      <c r="E686" s="391"/>
      <c r="F686" s="391"/>
      <c r="G686" s="391"/>
    </row>
    <row r="687">
      <c r="A687" s="391"/>
      <c r="B687" s="391"/>
      <c r="C687" s="391"/>
      <c r="D687" s="391"/>
      <c r="E687" s="391"/>
      <c r="F687" s="391"/>
      <c r="G687" s="391"/>
    </row>
    <row r="688">
      <c r="A688" s="391"/>
      <c r="B688" s="391"/>
      <c r="C688" s="391"/>
      <c r="D688" s="391"/>
      <c r="E688" s="391"/>
      <c r="F688" s="391"/>
      <c r="G688" s="391"/>
    </row>
    <row r="689">
      <c r="A689" s="391"/>
      <c r="B689" s="391"/>
      <c r="C689" s="391"/>
      <c r="D689" s="391"/>
      <c r="E689" s="391"/>
      <c r="F689" s="391"/>
      <c r="G689" s="391"/>
    </row>
    <row r="690">
      <c r="A690" s="391"/>
      <c r="B690" s="391"/>
      <c r="C690" s="391"/>
      <c r="D690" s="391"/>
      <c r="E690" s="391"/>
      <c r="F690" s="391"/>
      <c r="G690" s="391"/>
    </row>
    <row r="691">
      <c r="A691" s="391"/>
      <c r="B691" s="391"/>
      <c r="C691" s="391"/>
      <c r="D691" s="391"/>
      <c r="E691" s="391"/>
      <c r="F691" s="391"/>
      <c r="G691" s="391"/>
    </row>
    <row r="692">
      <c r="A692" s="391"/>
      <c r="B692" s="391"/>
      <c r="C692" s="391"/>
      <c r="D692" s="391"/>
      <c r="E692" s="391"/>
      <c r="F692" s="391"/>
      <c r="G692" s="391"/>
    </row>
    <row r="693">
      <c r="A693" s="391"/>
      <c r="B693" s="391"/>
      <c r="C693" s="391"/>
      <c r="D693" s="391"/>
      <c r="E693" s="391"/>
      <c r="F693" s="391"/>
      <c r="G693" s="391"/>
    </row>
    <row r="694">
      <c r="A694" s="391"/>
      <c r="B694" s="391"/>
      <c r="C694" s="391"/>
      <c r="D694" s="391"/>
      <c r="E694" s="391"/>
      <c r="F694" s="391"/>
      <c r="G694" s="391"/>
    </row>
    <row r="695">
      <c r="A695" s="391"/>
      <c r="B695" s="391"/>
      <c r="C695" s="391"/>
      <c r="D695" s="391"/>
      <c r="E695" s="391"/>
      <c r="F695" s="391"/>
      <c r="G695" s="391"/>
    </row>
    <row r="696">
      <c r="A696" s="391"/>
      <c r="B696" s="391"/>
      <c r="C696" s="391"/>
      <c r="D696" s="391"/>
      <c r="E696" s="391"/>
      <c r="F696" s="391"/>
      <c r="G696" s="391"/>
    </row>
    <row r="697">
      <c r="A697" s="391"/>
      <c r="B697" s="391"/>
      <c r="C697" s="391"/>
      <c r="D697" s="391"/>
      <c r="E697" s="391"/>
      <c r="F697" s="391"/>
      <c r="G697" s="391"/>
    </row>
    <row r="698">
      <c r="A698" s="391"/>
      <c r="B698" s="391"/>
      <c r="C698" s="391"/>
      <c r="D698" s="391"/>
      <c r="E698" s="391"/>
      <c r="F698" s="391"/>
      <c r="G698" s="391"/>
    </row>
    <row r="699">
      <c r="A699" s="391"/>
      <c r="B699" s="391"/>
      <c r="C699" s="391"/>
      <c r="D699" s="391"/>
      <c r="E699" s="391"/>
      <c r="F699" s="391"/>
      <c r="G699" s="391"/>
    </row>
    <row r="700">
      <c r="A700" s="391"/>
      <c r="B700" s="391"/>
      <c r="C700" s="391"/>
      <c r="D700" s="391"/>
      <c r="E700" s="391"/>
      <c r="F700" s="391"/>
      <c r="G700" s="391"/>
    </row>
    <row r="701">
      <c r="A701" s="391"/>
      <c r="B701" s="391"/>
      <c r="C701" s="391"/>
      <c r="D701" s="391"/>
      <c r="E701" s="391"/>
      <c r="F701" s="391"/>
      <c r="G701" s="391"/>
    </row>
    <row r="702">
      <c r="A702" s="391"/>
      <c r="B702" s="391"/>
      <c r="C702" s="391"/>
      <c r="D702" s="391"/>
      <c r="E702" s="391"/>
      <c r="F702" s="391"/>
      <c r="G702" s="391"/>
    </row>
    <row r="703">
      <c r="A703" s="391"/>
      <c r="B703" s="391"/>
      <c r="C703" s="391"/>
      <c r="D703" s="391"/>
      <c r="E703" s="391"/>
      <c r="F703" s="391"/>
      <c r="G703" s="391"/>
    </row>
    <row r="704">
      <c r="A704" s="391"/>
      <c r="B704" s="391"/>
      <c r="C704" s="391"/>
      <c r="D704" s="391"/>
      <c r="E704" s="391"/>
      <c r="F704" s="391"/>
      <c r="G704" s="391"/>
    </row>
    <row r="705">
      <c r="A705" s="391"/>
      <c r="B705" s="391"/>
      <c r="C705" s="391"/>
      <c r="D705" s="391"/>
      <c r="E705" s="391"/>
      <c r="F705" s="391"/>
      <c r="G705" s="391"/>
    </row>
    <row r="706">
      <c r="A706" s="391"/>
      <c r="B706" s="391"/>
      <c r="C706" s="391"/>
      <c r="D706" s="391"/>
      <c r="E706" s="391"/>
      <c r="F706" s="391"/>
      <c r="G706" s="391"/>
    </row>
    <row r="707">
      <c r="A707" s="391"/>
      <c r="B707" s="391"/>
      <c r="C707" s="391"/>
      <c r="D707" s="391"/>
      <c r="E707" s="391"/>
      <c r="F707" s="391"/>
      <c r="G707" s="391"/>
    </row>
    <row r="708">
      <c r="A708" s="391"/>
      <c r="B708" s="391"/>
      <c r="C708" s="391"/>
      <c r="D708" s="391"/>
      <c r="E708" s="391"/>
      <c r="F708" s="391"/>
      <c r="G708" s="391"/>
    </row>
    <row r="709">
      <c r="A709" s="391"/>
      <c r="B709" s="391"/>
      <c r="C709" s="391"/>
      <c r="D709" s="391"/>
      <c r="E709" s="391"/>
      <c r="F709" s="391"/>
      <c r="G709" s="391"/>
    </row>
    <row r="710">
      <c r="A710" s="391"/>
      <c r="B710" s="391"/>
      <c r="C710" s="391"/>
      <c r="D710" s="391"/>
      <c r="E710" s="391"/>
      <c r="F710" s="391"/>
      <c r="G710" s="391"/>
    </row>
    <row r="711">
      <c r="A711" s="391"/>
      <c r="B711" s="391"/>
      <c r="C711" s="391"/>
      <c r="D711" s="391"/>
      <c r="E711" s="391"/>
      <c r="F711" s="391"/>
      <c r="G711" s="391"/>
    </row>
    <row r="712">
      <c r="A712" s="391"/>
      <c r="B712" s="391"/>
      <c r="C712" s="391"/>
      <c r="D712" s="391"/>
      <c r="E712" s="391"/>
      <c r="F712" s="391"/>
      <c r="G712" s="391"/>
    </row>
    <row r="713">
      <c r="A713" s="391"/>
      <c r="B713" s="391"/>
      <c r="C713" s="391"/>
      <c r="D713" s="391"/>
      <c r="E713" s="391"/>
      <c r="F713" s="391"/>
      <c r="G713" s="391"/>
    </row>
    <row r="714">
      <c r="A714" s="391"/>
      <c r="B714" s="391"/>
      <c r="C714" s="391"/>
      <c r="D714" s="391"/>
      <c r="E714" s="391"/>
      <c r="F714" s="391"/>
      <c r="G714" s="391"/>
    </row>
    <row r="715">
      <c r="A715" s="391"/>
      <c r="B715" s="391"/>
      <c r="C715" s="391"/>
      <c r="D715" s="391"/>
      <c r="E715" s="391"/>
      <c r="F715" s="391"/>
      <c r="G715" s="391"/>
    </row>
    <row r="716">
      <c r="A716" s="391"/>
      <c r="B716" s="391"/>
      <c r="C716" s="391"/>
      <c r="D716" s="391"/>
      <c r="E716" s="391"/>
      <c r="F716" s="391"/>
      <c r="G716" s="391"/>
    </row>
    <row r="717">
      <c r="A717" s="391"/>
      <c r="B717" s="391"/>
      <c r="C717" s="391"/>
      <c r="D717" s="391"/>
      <c r="E717" s="391"/>
      <c r="F717" s="391"/>
      <c r="G717" s="391"/>
    </row>
    <row r="718">
      <c r="A718" s="391"/>
      <c r="B718" s="391"/>
      <c r="C718" s="391"/>
      <c r="D718" s="391"/>
      <c r="E718" s="391"/>
      <c r="F718" s="391"/>
      <c r="G718" s="391"/>
    </row>
    <row r="719">
      <c r="A719" s="391"/>
      <c r="B719" s="391"/>
      <c r="C719" s="391"/>
      <c r="D719" s="391"/>
      <c r="E719" s="391"/>
      <c r="F719" s="391"/>
      <c r="G719" s="391"/>
    </row>
    <row r="720">
      <c r="A720" s="391"/>
      <c r="B720" s="391"/>
      <c r="C720" s="391"/>
      <c r="D720" s="391"/>
      <c r="E720" s="391"/>
      <c r="F720" s="391"/>
      <c r="G720" s="391"/>
    </row>
    <row r="721">
      <c r="A721" s="391"/>
      <c r="B721" s="391"/>
      <c r="C721" s="391"/>
      <c r="D721" s="391"/>
      <c r="E721" s="391"/>
      <c r="F721" s="391"/>
      <c r="G721" s="391"/>
    </row>
    <row r="722">
      <c r="A722" s="391"/>
      <c r="B722" s="391"/>
      <c r="C722" s="391"/>
      <c r="D722" s="391"/>
      <c r="E722" s="391"/>
      <c r="F722" s="391"/>
      <c r="G722" s="391"/>
    </row>
    <row r="723">
      <c r="A723" s="391"/>
      <c r="B723" s="391"/>
      <c r="C723" s="391"/>
      <c r="D723" s="391"/>
      <c r="E723" s="391"/>
      <c r="F723" s="391"/>
      <c r="G723" s="391"/>
    </row>
    <row r="724">
      <c r="A724" s="391"/>
      <c r="B724" s="391"/>
      <c r="C724" s="391"/>
      <c r="D724" s="391"/>
      <c r="E724" s="391"/>
      <c r="F724" s="391"/>
      <c r="G724" s="391"/>
    </row>
    <row r="725">
      <c r="A725" s="391"/>
      <c r="B725" s="391"/>
      <c r="C725" s="391"/>
      <c r="D725" s="391"/>
      <c r="E725" s="391"/>
      <c r="F725" s="391"/>
      <c r="G725" s="391"/>
    </row>
    <row r="726">
      <c r="A726" s="391"/>
      <c r="B726" s="391"/>
      <c r="C726" s="391"/>
      <c r="D726" s="391"/>
      <c r="E726" s="391"/>
      <c r="F726" s="391"/>
      <c r="G726" s="391"/>
    </row>
    <row r="727">
      <c r="A727" s="391"/>
      <c r="B727" s="391"/>
      <c r="C727" s="391"/>
      <c r="D727" s="391"/>
      <c r="E727" s="391"/>
      <c r="F727" s="391"/>
      <c r="G727" s="391"/>
    </row>
    <row r="728">
      <c r="A728" s="391"/>
      <c r="B728" s="391"/>
      <c r="C728" s="391"/>
      <c r="D728" s="391"/>
      <c r="E728" s="391"/>
      <c r="F728" s="391"/>
      <c r="G728" s="391"/>
    </row>
    <row r="729">
      <c r="A729" s="391"/>
      <c r="B729" s="391"/>
      <c r="C729" s="391"/>
      <c r="D729" s="391"/>
      <c r="E729" s="391"/>
      <c r="F729" s="391"/>
      <c r="G729" s="391"/>
    </row>
    <row r="730">
      <c r="A730" s="391"/>
      <c r="B730" s="391"/>
      <c r="C730" s="391"/>
      <c r="D730" s="391"/>
      <c r="E730" s="391"/>
      <c r="F730" s="391"/>
      <c r="G730" s="391"/>
    </row>
    <row r="731">
      <c r="A731" s="391"/>
      <c r="B731" s="391"/>
      <c r="C731" s="391"/>
      <c r="D731" s="391"/>
      <c r="E731" s="391"/>
      <c r="F731" s="391"/>
      <c r="G731" s="391"/>
    </row>
    <row r="732">
      <c r="A732" s="391"/>
      <c r="B732" s="391"/>
      <c r="C732" s="391"/>
      <c r="D732" s="391"/>
      <c r="E732" s="391"/>
      <c r="F732" s="391"/>
      <c r="G732" s="391"/>
    </row>
    <row r="733">
      <c r="A733" s="391"/>
      <c r="B733" s="391"/>
      <c r="C733" s="391"/>
      <c r="D733" s="391"/>
      <c r="E733" s="391"/>
      <c r="F733" s="391"/>
      <c r="G733" s="391"/>
    </row>
    <row r="734">
      <c r="A734" s="391"/>
      <c r="B734" s="391"/>
      <c r="C734" s="391"/>
      <c r="D734" s="391"/>
      <c r="E734" s="391"/>
      <c r="F734" s="391"/>
      <c r="G734" s="391"/>
    </row>
    <row r="735">
      <c r="A735" s="391"/>
      <c r="B735" s="391"/>
      <c r="C735" s="391"/>
      <c r="D735" s="391"/>
      <c r="E735" s="391"/>
      <c r="F735" s="391"/>
      <c r="G735" s="391"/>
    </row>
    <row r="736">
      <c r="A736" s="391"/>
      <c r="B736" s="391"/>
      <c r="C736" s="391"/>
      <c r="D736" s="391"/>
      <c r="E736" s="391"/>
      <c r="F736" s="391"/>
      <c r="G736" s="391"/>
    </row>
    <row r="737">
      <c r="A737" s="391"/>
      <c r="B737" s="391"/>
      <c r="C737" s="391"/>
      <c r="D737" s="391"/>
      <c r="E737" s="391"/>
      <c r="F737" s="391"/>
      <c r="G737" s="391"/>
    </row>
    <row r="738">
      <c r="A738" s="391"/>
      <c r="B738" s="391"/>
      <c r="C738" s="391"/>
      <c r="D738" s="391"/>
      <c r="E738" s="391"/>
      <c r="F738" s="391"/>
      <c r="G738" s="391"/>
    </row>
    <row r="739">
      <c r="A739" s="391"/>
      <c r="B739" s="391"/>
      <c r="C739" s="391"/>
      <c r="D739" s="391"/>
      <c r="E739" s="391"/>
      <c r="F739" s="391"/>
      <c r="G739" s="391"/>
    </row>
    <row r="740">
      <c r="A740" s="391"/>
      <c r="B740" s="391"/>
      <c r="C740" s="391"/>
      <c r="D740" s="391"/>
      <c r="E740" s="391"/>
      <c r="F740" s="391"/>
      <c r="G740" s="391"/>
    </row>
    <row r="741">
      <c r="A741" s="391"/>
      <c r="B741" s="391"/>
      <c r="C741" s="391"/>
      <c r="D741" s="391"/>
      <c r="E741" s="391"/>
      <c r="F741" s="391"/>
      <c r="G741" s="391"/>
    </row>
    <row r="742">
      <c r="A742" s="391"/>
      <c r="B742" s="391"/>
      <c r="C742" s="391"/>
      <c r="D742" s="391"/>
      <c r="E742" s="391"/>
      <c r="F742" s="391"/>
      <c r="G742" s="391"/>
    </row>
    <row r="743">
      <c r="A743" s="391"/>
      <c r="B743" s="391"/>
      <c r="C743" s="391"/>
      <c r="D743" s="391"/>
      <c r="E743" s="391"/>
      <c r="F743" s="391"/>
      <c r="G743" s="391"/>
    </row>
    <row r="744">
      <c r="A744" s="391"/>
      <c r="B744" s="391"/>
      <c r="C744" s="391"/>
      <c r="D744" s="391"/>
      <c r="E744" s="391"/>
      <c r="F744" s="391"/>
      <c r="G744" s="391"/>
    </row>
    <row r="745">
      <c r="A745" s="391"/>
      <c r="B745" s="391"/>
      <c r="C745" s="391"/>
      <c r="D745" s="391"/>
      <c r="E745" s="391"/>
      <c r="F745" s="391"/>
      <c r="G745" s="391"/>
    </row>
    <row r="746">
      <c r="A746" s="391"/>
      <c r="B746" s="391"/>
      <c r="C746" s="391"/>
      <c r="D746" s="391"/>
      <c r="E746" s="391"/>
      <c r="F746" s="391"/>
      <c r="G746" s="391"/>
    </row>
    <row r="747">
      <c r="A747" s="391"/>
      <c r="B747" s="391"/>
      <c r="C747" s="391"/>
      <c r="D747" s="391"/>
      <c r="E747" s="391"/>
      <c r="F747" s="391"/>
      <c r="G747" s="391"/>
    </row>
    <row r="748">
      <c r="A748" s="391"/>
      <c r="B748" s="391"/>
      <c r="C748" s="391"/>
      <c r="D748" s="391"/>
      <c r="E748" s="391"/>
      <c r="F748" s="391"/>
      <c r="G748" s="391"/>
    </row>
    <row r="749">
      <c r="A749" s="391"/>
      <c r="B749" s="391"/>
      <c r="C749" s="391"/>
      <c r="D749" s="391"/>
      <c r="E749" s="391"/>
      <c r="F749" s="391"/>
      <c r="G749" s="391"/>
    </row>
    <row r="750">
      <c r="A750" s="391"/>
      <c r="B750" s="391"/>
      <c r="C750" s="391"/>
      <c r="D750" s="391"/>
      <c r="E750" s="391"/>
      <c r="F750" s="391"/>
      <c r="G750" s="391"/>
    </row>
    <row r="751">
      <c r="A751" s="391"/>
      <c r="B751" s="391"/>
      <c r="C751" s="391"/>
      <c r="D751" s="391"/>
      <c r="E751" s="391"/>
      <c r="F751" s="391"/>
      <c r="G751" s="391"/>
    </row>
    <row r="752">
      <c r="A752" s="391"/>
      <c r="B752" s="391"/>
      <c r="C752" s="391"/>
      <c r="D752" s="391"/>
      <c r="E752" s="391"/>
      <c r="F752" s="391"/>
      <c r="G752" s="391"/>
    </row>
    <row r="753">
      <c r="A753" s="391"/>
      <c r="B753" s="391"/>
      <c r="C753" s="391"/>
      <c r="D753" s="391"/>
      <c r="E753" s="391"/>
      <c r="F753" s="391"/>
      <c r="G753" s="391"/>
    </row>
    <row r="754">
      <c r="A754" s="391"/>
      <c r="B754" s="391"/>
      <c r="C754" s="391"/>
      <c r="D754" s="391"/>
      <c r="E754" s="391"/>
      <c r="F754" s="391"/>
      <c r="G754" s="391"/>
    </row>
    <row r="755">
      <c r="A755" s="391"/>
      <c r="B755" s="391"/>
      <c r="C755" s="391"/>
      <c r="D755" s="391"/>
      <c r="E755" s="391"/>
      <c r="F755" s="391"/>
      <c r="G755" s="391"/>
    </row>
    <row r="756">
      <c r="A756" s="391"/>
      <c r="B756" s="391"/>
      <c r="C756" s="391"/>
      <c r="D756" s="391"/>
      <c r="E756" s="391"/>
      <c r="F756" s="391"/>
      <c r="G756" s="391"/>
    </row>
    <row r="757">
      <c r="A757" s="391"/>
      <c r="B757" s="391"/>
      <c r="C757" s="391"/>
      <c r="D757" s="391"/>
      <c r="E757" s="391"/>
      <c r="F757" s="391"/>
      <c r="G757" s="391"/>
    </row>
    <row r="758">
      <c r="A758" s="391"/>
      <c r="B758" s="391"/>
      <c r="C758" s="391"/>
      <c r="D758" s="391"/>
      <c r="E758" s="391"/>
      <c r="F758" s="391"/>
      <c r="G758" s="391"/>
    </row>
    <row r="759">
      <c r="A759" s="391"/>
      <c r="B759" s="391"/>
      <c r="C759" s="391"/>
      <c r="D759" s="391"/>
      <c r="E759" s="391"/>
      <c r="F759" s="391"/>
      <c r="G759" s="391"/>
    </row>
    <row r="760">
      <c r="A760" s="391"/>
      <c r="B760" s="391"/>
      <c r="C760" s="391"/>
      <c r="D760" s="391"/>
      <c r="E760" s="391"/>
      <c r="F760" s="391"/>
      <c r="G760" s="391"/>
    </row>
    <row r="761">
      <c r="A761" s="391"/>
      <c r="B761" s="391"/>
      <c r="C761" s="391"/>
      <c r="D761" s="391"/>
      <c r="E761" s="391"/>
      <c r="F761" s="391"/>
      <c r="G761" s="391"/>
    </row>
    <row r="762">
      <c r="A762" s="391"/>
      <c r="B762" s="391"/>
      <c r="C762" s="391"/>
      <c r="D762" s="391"/>
      <c r="E762" s="391"/>
      <c r="F762" s="391"/>
      <c r="G762" s="391"/>
    </row>
    <row r="763">
      <c r="A763" s="391"/>
      <c r="B763" s="391"/>
      <c r="C763" s="391"/>
      <c r="D763" s="391"/>
      <c r="E763" s="391"/>
      <c r="F763" s="391"/>
      <c r="G763" s="391"/>
    </row>
    <row r="764">
      <c r="A764" s="391"/>
      <c r="B764" s="391"/>
      <c r="C764" s="391"/>
      <c r="D764" s="391"/>
      <c r="E764" s="391"/>
      <c r="F764" s="391"/>
      <c r="G764" s="391"/>
    </row>
    <row r="765">
      <c r="A765" s="391"/>
      <c r="B765" s="391"/>
      <c r="C765" s="391"/>
      <c r="D765" s="391"/>
      <c r="E765" s="391"/>
      <c r="F765" s="391"/>
      <c r="G765" s="391"/>
    </row>
    <row r="766">
      <c r="A766" s="391"/>
      <c r="B766" s="391"/>
      <c r="C766" s="391"/>
      <c r="D766" s="391"/>
      <c r="E766" s="391"/>
      <c r="F766" s="391"/>
      <c r="G766" s="391"/>
    </row>
    <row r="767">
      <c r="A767" s="391"/>
      <c r="B767" s="391"/>
      <c r="C767" s="391"/>
      <c r="D767" s="391"/>
      <c r="E767" s="391"/>
      <c r="F767" s="391"/>
      <c r="G767" s="391"/>
    </row>
    <row r="768">
      <c r="A768" s="391"/>
      <c r="B768" s="391"/>
      <c r="C768" s="391"/>
      <c r="D768" s="391"/>
      <c r="E768" s="391"/>
      <c r="F768" s="391"/>
      <c r="G768" s="391"/>
    </row>
    <row r="769">
      <c r="A769" s="391"/>
      <c r="B769" s="391"/>
      <c r="C769" s="391"/>
      <c r="D769" s="391"/>
      <c r="E769" s="391"/>
      <c r="F769" s="391"/>
      <c r="G769" s="391"/>
    </row>
    <row r="770">
      <c r="A770" s="391"/>
      <c r="B770" s="391"/>
      <c r="C770" s="391"/>
      <c r="D770" s="391"/>
      <c r="E770" s="391"/>
      <c r="F770" s="391"/>
      <c r="G770" s="391"/>
    </row>
    <row r="771">
      <c r="A771" s="391"/>
      <c r="B771" s="391"/>
      <c r="C771" s="391"/>
      <c r="D771" s="391"/>
      <c r="E771" s="391"/>
      <c r="F771" s="391"/>
      <c r="G771" s="391"/>
    </row>
    <row r="772">
      <c r="A772" s="391"/>
      <c r="B772" s="391"/>
      <c r="C772" s="391"/>
      <c r="D772" s="391"/>
      <c r="E772" s="391"/>
      <c r="F772" s="391"/>
      <c r="G772" s="391"/>
    </row>
    <row r="773">
      <c r="A773" s="391"/>
      <c r="B773" s="391"/>
      <c r="C773" s="391"/>
      <c r="D773" s="391"/>
      <c r="E773" s="391"/>
      <c r="F773" s="391"/>
      <c r="G773" s="391"/>
    </row>
    <row r="774">
      <c r="A774" s="391"/>
      <c r="B774" s="391"/>
      <c r="C774" s="391"/>
      <c r="D774" s="391"/>
      <c r="E774" s="391"/>
      <c r="F774" s="391"/>
      <c r="G774" s="391"/>
    </row>
    <row r="775">
      <c r="A775" s="391"/>
      <c r="B775" s="391"/>
      <c r="C775" s="391"/>
      <c r="D775" s="391"/>
      <c r="E775" s="391"/>
      <c r="F775" s="391"/>
      <c r="G775" s="391"/>
    </row>
    <row r="776">
      <c r="A776" s="391"/>
      <c r="B776" s="391"/>
      <c r="C776" s="391"/>
      <c r="D776" s="391"/>
      <c r="E776" s="391"/>
      <c r="F776" s="391"/>
      <c r="G776" s="391"/>
    </row>
    <row r="777">
      <c r="A777" s="391"/>
      <c r="B777" s="391"/>
      <c r="C777" s="391"/>
      <c r="D777" s="391"/>
      <c r="E777" s="391"/>
      <c r="F777" s="391"/>
      <c r="G777" s="391"/>
    </row>
    <row r="778">
      <c r="A778" s="391"/>
      <c r="B778" s="391"/>
      <c r="C778" s="391"/>
      <c r="D778" s="391"/>
      <c r="E778" s="391"/>
      <c r="F778" s="391"/>
      <c r="G778" s="391"/>
    </row>
  </sheetData>
  <mergeCells count="71">
    <mergeCell ref="H76:K76"/>
    <mergeCell ref="H77:K77"/>
    <mergeCell ref="H78:K78"/>
    <mergeCell ref="H79:K79"/>
    <mergeCell ref="H80:K80"/>
    <mergeCell ref="H81:K81"/>
    <mergeCell ref="H82:K82"/>
    <mergeCell ref="H90:K90"/>
    <mergeCell ref="H91:K91"/>
    <mergeCell ref="H92:K92"/>
    <mergeCell ref="H93:K93"/>
    <mergeCell ref="H94:K94"/>
    <mergeCell ref="H95:K95"/>
    <mergeCell ref="H96:K96"/>
    <mergeCell ref="H97:K97"/>
    <mergeCell ref="H83:K83"/>
    <mergeCell ref="H84:K84"/>
    <mergeCell ref="H85:K85"/>
    <mergeCell ref="H86:K86"/>
    <mergeCell ref="H87:K87"/>
    <mergeCell ref="H88:K88"/>
    <mergeCell ref="H89:K89"/>
    <mergeCell ref="B1:H2"/>
    <mergeCell ref="A4:A21"/>
    <mergeCell ref="H26:K26"/>
    <mergeCell ref="H27:K27"/>
    <mergeCell ref="H28:K28"/>
    <mergeCell ref="H29:K29"/>
    <mergeCell ref="H30:K30"/>
    <mergeCell ref="H32:K32"/>
    <mergeCell ref="H33:K33"/>
    <mergeCell ref="H34:K34"/>
    <mergeCell ref="H35:K35"/>
    <mergeCell ref="H36:K36"/>
    <mergeCell ref="H37:K37"/>
    <mergeCell ref="H38:K38"/>
    <mergeCell ref="H39:K39"/>
    <mergeCell ref="H40:K40"/>
    <mergeCell ref="H41:K41"/>
    <mergeCell ref="H42:K42"/>
    <mergeCell ref="H43:K43"/>
    <mergeCell ref="H44:K44"/>
    <mergeCell ref="H46:K46"/>
    <mergeCell ref="H47:K47"/>
    <mergeCell ref="H48:K48"/>
    <mergeCell ref="H49:K49"/>
    <mergeCell ref="H50:K50"/>
    <mergeCell ref="H51:K51"/>
    <mergeCell ref="H52:K52"/>
    <mergeCell ref="H53:K53"/>
    <mergeCell ref="H54:K54"/>
    <mergeCell ref="H55:K55"/>
    <mergeCell ref="H56:K56"/>
    <mergeCell ref="H57:K57"/>
    <mergeCell ref="H58:K58"/>
    <mergeCell ref="H59:K59"/>
    <mergeCell ref="H60:K60"/>
    <mergeCell ref="H61:K61"/>
    <mergeCell ref="H63:K63"/>
    <mergeCell ref="H64:K64"/>
    <mergeCell ref="H65:K65"/>
    <mergeCell ref="H66:K66"/>
    <mergeCell ref="H67:K67"/>
    <mergeCell ref="H68:K68"/>
    <mergeCell ref="H69:K69"/>
    <mergeCell ref="H70:K70"/>
    <mergeCell ref="H71:K71"/>
    <mergeCell ref="H72:K72"/>
    <mergeCell ref="H73:K73"/>
    <mergeCell ref="H74:K74"/>
    <mergeCell ref="H75:K75"/>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4.75"/>
    <col customWidth="1" min="8" max="8" width="16.13"/>
    <col customWidth="1" min="9" max="9" width="0.38"/>
    <col customWidth="1" min="12" max="12" width="2.25"/>
    <col customWidth="1" min="19" max="19" width="5.88"/>
    <col customWidth="1" min="22" max="22" width="5.25"/>
    <col customWidth="1" min="25" max="25" width="2.63"/>
    <col customWidth="1" min="32" max="32" width="3.88"/>
  </cols>
  <sheetData>
    <row r="1">
      <c r="A1" s="868" t="s">
        <v>6488</v>
      </c>
      <c r="B1" s="868" t="s">
        <v>8850</v>
      </c>
      <c r="C1" s="869" t="s">
        <v>8851</v>
      </c>
      <c r="D1" s="250"/>
      <c r="E1" s="869" t="s">
        <v>1739</v>
      </c>
      <c r="F1" s="250"/>
      <c r="G1" s="869" t="s">
        <v>8853</v>
      </c>
      <c r="H1" s="249"/>
      <c r="I1" s="250"/>
      <c r="J1" s="869" t="s">
        <v>8854</v>
      </c>
      <c r="K1" s="249"/>
      <c r="L1" s="250"/>
      <c r="M1" s="868" t="s">
        <v>8850</v>
      </c>
      <c r="N1" s="870" t="s">
        <v>8973</v>
      </c>
      <c r="O1" s="249"/>
      <c r="P1" s="249"/>
      <c r="Q1" s="249"/>
      <c r="R1" s="249"/>
      <c r="S1" s="249"/>
      <c r="T1" s="249"/>
      <c r="U1" s="249"/>
      <c r="V1" s="249"/>
      <c r="W1" s="249"/>
      <c r="X1" s="249"/>
      <c r="Y1" s="249"/>
      <c r="Z1" s="249"/>
      <c r="AA1" s="249"/>
      <c r="AB1" s="250"/>
      <c r="AC1" s="868" t="s">
        <v>8850</v>
      </c>
      <c r="AD1" s="869" t="s">
        <v>8974</v>
      </c>
      <c r="AE1" s="249"/>
      <c r="AF1" s="250"/>
    </row>
    <row r="2">
      <c r="A2" s="872" t="s">
        <v>8858</v>
      </c>
      <c r="B2" s="878">
        <v>44336.0</v>
      </c>
      <c r="C2" s="915"/>
      <c r="D2" s="250"/>
      <c r="E2" s="918"/>
      <c r="F2" s="250"/>
      <c r="G2" s="900"/>
      <c r="H2" s="249"/>
      <c r="I2" s="250"/>
      <c r="J2" s="915"/>
      <c r="K2" s="249"/>
      <c r="L2" s="250"/>
      <c r="M2" s="878">
        <v>44336.0</v>
      </c>
      <c r="N2" s="1054" t="s">
        <v>8859</v>
      </c>
      <c r="O2" s="249"/>
      <c r="P2" s="250"/>
      <c r="Q2" s="1055"/>
      <c r="R2" s="249"/>
      <c r="S2" s="250"/>
      <c r="T2" s="1055"/>
      <c r="U2" s="249"/>
      <c r="V2" s="250"/>
      <c r="W2" s="1055"/>
      <c r="X2" s="249"/>
      <c r="Y2" s="250"/>
      <c r="Z2" s="1055"/>
      <c r="AA2" s="249"/>
      <c r="AB2" s="250"/>
      <c r="AC2" s="878">
        <v>44336.0</v>
      </c>
      <c r="AD2" s="879"/>
      <c r="AE2" s="249"/>
      <c r="AF2" s="250"/>
    </row>
    <row r="3">
      <c r="A3" s="872" t="s">
        <v>8861</v>
      </c>
      <c r="B3" s="878">
        <v>44337.0</v>
      </c>
      <c r="C3" s="915"/>
      <c r="D3" s="250"/>
      <c r="E3" s="1056"/>
      <c r="F3" s="250"/>
      <c r="G3" s="1056"/>
      <c r="H3" s="249"/>
      <c r="I3" s="250"/>
      <c r="J3" s="915"/>
      <c r="K3" s="249"/>
      <c r="L3" s="250"/>
      <c r="M3" s="878">
        <v>44337.0</v>
      </c>
      <c r="N3" s="1054" t="s">
        <v>8859</v>
      </c>
      <c r="O3" s="249"/>
      <c r="P3" s="250"/>
      <c r="Q3" s="1055"/>
      <c r="R3" s="249"/>
      <c r="S3" s="250"/>
      <c r="T3" s="1055"/>
      <c r="U3" s="249"/>
      <c r="V3" s="250"/>
      <c r="W3" s="1055"/>
      <c r="X3" s="249"/>
      <c r="Y3" s="250"/>
      <c r="Z3" s="1055"/>
      <c r="AA3" s="249"/>
      <c r="AB3" s="250"/>
      <c r="AC3" s="878">
        <v>44337.0</v>
      </c>
      <c r="AD3" s="879"/>
      <c r="AE3" s="249"/>
      <c r="AF3" s="250"/>
    </row>
    <row r="4">
      <c r="A4" s="872" t="s">
        <v>8862</v>
      </c>
      <c r="B4" s="878">
        <v>44338.0</v>
      </c>
      <c r="C4" s="915"/>
      <c r="D4" s="250"/>
      <c r="E4" s="918"/>
      <c r="F4" s="250"/>
      <c r="G4" s="928"/>
      <c r="H4" s="249"/>
      <c r="I4" s="250"/>
      <c r="J4" s="915"/>
      <c r="K4" s="249"/>
      <c r="L4" s="250"/>
      <c r="M4" s="878">
        <v>44338.0</v>
      </c>
      <c r="N4" s="1054" t="s">
        <v>8859</v>
      </c>
      <c r="O4" s="249"/>
      <c r="P4" s="250"/>
      <c r="Q4" s="1055"/>
      <c r="R4" s="249"/>
      <c r="S4" s="250"/>
      <c r="T4" s="1055"/>
      <c r="U4" s="249"/>
      <c r="V4" s="250"/>
      <c r="W4" s="1055"/>
      <c r="X4" s="249"/>
      <c r="Y4" s="250"/>
      <c r="Z4" s="1055"/>
      <c r="AA4" s="249"/>
      <c r="AB4" s="250"/>
      <c r="AC4" s="878">
        <v>44338.0</v>
      </c>
      <c r="AD4" s="879"/>
      <c r="AE4" s="249"/>
      <c r="AF4" s="250"/>
    </row>
    <row r="5">
      <c r="A5" s="872" t="s">
        <v>8863</v>
      </c>
      <c r="B5" s="878">
        <v>44339.0</v>
      </c>
      <c r="C5" s="915"/>
      <c r="D5" s="250"/>
      <c r="E5" s="1056"/>
      <c r="F5" s="250"/>
      <c r="G5" s="928"/>
      <c r="H5" s="249"/>
      <c r="I5" s="250"/>
      <c r="J5" s="915"/>
      <c r="K5" s="249"/>
      <c r="L5" s="250"/>
      <c r="M5" s="878">
        <v>44339.0</v>
      </c>
      <c r="N5" s="1054" t="s">
        <v>8859</v>
      </c>
      <c r="O5" s="249"/>
      <c r="P5" s="250"/>
      <c r="Q5" s="877"/>
      <c r="R5" s="249"/>
      <c r="S5" s="250"/>
      <c r="T5" s="877"/>
      <c r="U5" s="249"/>
      <c r="V5" s="250"/>
      <c r="W5" s="877"/>
      <c r="X5" s="249"/>
      <c r="Y5" s="250"/>
      <c r="Z5" s="877"/>
      <c r="AA5" s="249"/>
      <c r="AB5" s="250"/>
      <c r="AC5" s="878">
        <v>44339.0</v>
      </c>
      <c r="AD5" s="879"/>
      <c r="AE5" s="249"/>
      <c r="AF5" s="250"/>
    </row>
    <row r="6">
      <c r="A6" s="872" t="s">
        <v>8865</v>
      </c>
      <c r="B6" s="878">
        <v>44340.0</v>
      </c>
      <c r="C6" s="915"/>
      <c r="D6" s="250"/>
      <c r="E6" s="1056"/>
      <c r="F6" s="250"/>
      <c r="G6" s="928"/>
      <c r="H6" s="249"/>
      <c r="I6" s="250"/>
      <c r="J6" s="915"/>
      <c r="K6" s="249"/>
      <c r="L6" s="250"/>
      <c r="M6" s="878">
        <v>44340.0</v>
      </c>
      <c r="N6" s="1054" t="s">
        <v>8866</v>
      </c>
      <c r="O6" s="249"/>
      <c r="P6" s="250"/>
      <c r="Q6" s="877"/>
      <c r="R6" s="249"/>
      <c r="S6" s="250"/>
      <c r="T6" s="877"/>
      <c r="U6" s="249"/>
      <c r="V6" s="250"/>
      <c r="W6" s="877"/>
      <c r="X6" s="249"/>
      <c r="Y6" s="250"/>
      <c r="Z6" s="877"/>
      <c r="AA6" s="249"/>
      <c r="AB6" s="250"/>
      <c r="AC6" s="878">
        <v>44340.0</v>
      </c>
      <c r="AD6" s="879"/>
      <c r="AE6" s="249"/>
      <c r="AF6" s="250"/>
    </row>
    <row r="7">
      <c r="A7" s="872" t="s">
        <v>8867</v>
      </c>
      <c r="B7" s="878">
        <v>44341.0</v>
      </c>
      <c r="C7" s="915"/>
      <c r="D7" s="250"/>
      <c r="E7" s="1056"/>
      <c r="F7" s="250"/>
      <c r="G7" s="928"/>
      <c r="H7" s="249"/>
      <c r="I7" s="250"/>
      <c r="J7" s="915"/>
      <c r="K7" s="249"/>
      <c r="L7" s="250"/>
      <c r="M7" s="878">
        <v>44341.0</v>
      </c>
      <c r="N7" s="877"/>
      <c r="O7" s="249"/>
      <c r="P7" s="250"/>
      <c r="Q7" s="877"/>
      <c r="R7" s="249"/>
      <c r="S7" s="250"/>
      <c r="T7" s="877"/>
      <c r="U7" s="249"/>
      <c r="V7" s="250"/>
      <c r="W7" s="877"/>
      <c r="X7" s="249"/>
      <c r="Y7" s="250"/>
      <c r="Z7" s="877"/>
      <c r="AA7" s="249"/>
      <c r="AB7" s="250"/>
      <c r="AC7" s="878">
        <v>44341.0</v>
      </c>
      <c r="AD7" s="879"/>
      <c r="AE7" s="249"/>
      <c r="AF7" s="250"/>
    </row>
    <row r="8">
      <c r="A8" s="872" t="s">
        <v>7559</v>
      </c>
      <c r="B8" s="878">
        <v>44342.0</v>
      </c>
      <c r="C8" s="915"/>
      <c r="D8" s="250"/>
      <c r="E8" s="1056"/>
      <c r="F8" s="250"/>
      <c r="G8" s="1056"/>
      <c r="H8" s="249"/>
      <c r="I8" s="250"/>
      <c r="J8" s="915"/>
      <c r="K8" s="249"/>
      <c r="L8" s="250"/>
      <c r="M8" s="878">
        <v>44342.0</v>
      </c>
      <c r="N8" s="877"/>
      <c r="O8" s="249"/>
      <c r="P8" s="250"/>
      <c r="Q8" s="877"/>
      <c r="R8" s="249"/>
      <c r="S8" s="250"/>
      <c r="T8" s="877"/>
      <c r="U8" s="249"/>
      <c r="V8" s="250"/>
      <c r="W8" s="877"/>
      <c r="X8" s="249"/>
      <c r="Y8" s="250"/>
      <c r="Z8" s="877"/>
      <c r="AA8" s="249"/>
      <c r="AB8" s="250"/>
      <c r="AC8" s="878">
        <v>44342.0</v>
      </c>
      <c r="AD8" s="879"/>
      <c r="AE8" s="249"/>
      <c r="AF8" s="250"/>
    </row>
    <row r="9">
      <c r="A9" s="872" t="s">
        <v>8858</v>
      </c>
      <c r="B9" s="878">
        <v>43978.0</v>
      </c>
      <c r="C9" s="887"/>
      <c r="D9" s="250"/>
      <c r="E9" s="886"/>
      <c r="F9" s="250"/>
      <c r="G9" s="890"/>
      <c r="H9" s="249"/>
      <c r="I9" s="250"/>
      <c r="J9" s="887"/>
      <c r="K9" s="249"/>
      <c r="L9" s="250"/>
      <c r="M9" s="878">
        <v>43978.0</v>
      </c>
      <c r="N9" s="887"/>
      <c r="O9" s="249"/>
      <c r="P9" s="250"/>
      <c r="Q9" s="887"/>
      <c r="R9" s="249"/>
      <c r="S9" s="250"/>
      <c r="T9" s="887"/>
      <c r="U9" s="249"/>
      <c r="V9" s="250"/>
      <c r="W9" s="887"/>
      <c r="X9" s="249"/>
      <c r="Y9" s="250"/>
      <c r="Z9" s="887"/>
      <c r="AA9" s="249"/>
      <c r="AB9" s="250"/>
      <c r="AC9" s="878">
        <v>43978.0</v>
      </c>
      <c r="AD9" s="889"/>
      <c r="AE9" s="249"/>
      <c r="AF9" s="250"/>
    </row>
    <row r="10">
      <c r="A10" s="872" t="s">
        <v>8861</v>
      </c>
      <c r="B10" s="878">
        <v>43979.0</v>
      </c>
      <c r="C10" s="887"/>
      <c r="D10" s="250"/>
      <c r="E10" s="886"/>
      <c r="F10" s="250"/>
      <c r="G10" s="886"/>
      <c r="H10" s="249"/>
      <c r="I10" s="250"/>
      <c r="J10" s="887"/>
      <c r="K10" s="249"/>
      <c r="L10" s="250"/>
      <c r="M10" s="878">
        <v>43979.0</v>
      </c>
      <c r="N10" s="887"/>
      <c r="O10" s="249"/>
      <c r="P10" s="250"/>
      <c r="Q10" s="887"/>
      <c r="R10" s="249"/>
      <c r="S10" s="250"/>
      <c r="T10" s="887"/>
      <c r="U10" s="249"/>
      <c r="V10" s="250"/>
      <c r="W10" s="887"/>
      <c r="X10" s="249"/>
      <c r="Y10" s="250"/>
      <c r="Z10" s="887"/>
      <c r="AA10" s="249"/>
      <c r="AB10" s="250"/>
      <c r="AC10" s="878">
        <v>43979.0</v>
      </c>
      <c r="AD10" s="889"/>
      <c r="AE10" s="249"/>
      <c r="AF10" s="250"/>
    </row>
    <row r="11">
      <c r="A11" s="872" t="s">
        <v>8862</v>
      </c>
      <c r="B11" s="878">
        <v>43980.0</v>
      </c>
      <c r="C11" s="887"/>
      <c r="D11" s="250"/>
      <c r="E11" s="886"/>
      <c r="F11" s="250"/>
      <c r="G11" s="886"/>
      <c r="H11" s="249"/>
      <c r="I11" s="250"/>
      <c r="J11" s="887"/>
      <c r="K11" s="249"/>
      <c r="L11" s="250"/>
      <c r="M11" s="878">
        <v>43980.0</v>
      </c>
      <c r="N11" s="887"/>
      <c r="O11" s="249"/>
      <c r="P11" s="250"/>
      <c r="Q11" s="887"/>
      <c r="R11" s="249"/>
      <c r="S11" s="250"/>
      <c r="T11" s="887"/>
      <c r="U11" s="249"/>
      <c r="V11" s="250"/>
      <c r="W11" s="887"/>
      <c r="X11" s="249"/>
      <c r="Y11" s="250"/>
      <c r="Z11" s="887"/>
      <c r="AA11" s="249"/>
      <c r="AB11" s="250"/>
      <c r="AC11" s="878">
        <v>43980.0</v>
      </c>
      <c r="AD11" s="889"/>
      <c r="AE11" s="249"/>
      <c r="AF11" s="250"/>
    </row>
    <row r="12">
      <c r="A12" s="872" t="s">
        <v>8863</v>
      </c>
      <c r="B12" s="878">
        <v>43981.0</v>
      </c>
      <c r="C12" s="887"/>
      <c r="D12" s="250"/>
      <c r="E12" s="886"/>
      <c r="F12" s="250"/>
      <c r="G12" s="890"/>
      <c r="H12" s="249"/>
      <c r="I12" s="250"/>
      <c r="J12" s="887"/>
      <c r="K12" s="249"/>
      <c r="L12" s="250"/>
      <c r="M12" s="878">
        <v>43981.0</v>
      </c>
      <c r="N12" s="887"/>
      <c r="O12" s="249"/>
      <c r="P12" s="250"/>
      <c r="Q12" s="887"/>
      <c r="R12" s="249"/>
      <c r="S12" s="250"/>
      <c r="T12" s="887"/>
      <c r="U12" s="249"/>
      <c r="V12" s="250"/>
      <c r="W12" s="887"/>
      <c r="X12" s="249"/>
      <c r="Y12" s="250"/>
      <c r="Z12" s="887"/>
      <c r="AA12" s="249"/>
      <c r="AB12" s="250"/>
      <c r="AC12" s="878">
        <v>43981.0</v>
      </c>
      <c r="AD12" s="889"/>
      <c r="AE12" s="249"/>
      <c r="AF12" s="250"/>
    </row>
    <row r="13">
      <c r="A13" s="872" t="s">
        <v>8865</v>
      </c>
      <c r="B13" s="878">
        <v>43982.0</v>
      </c>
      <c r="C13" s="887"/>
      <c r="D13" s="250"/>
      <c r="E13" s="886"/>
      <c r="F13" s="250"/>
      <c r="G13" s="890"/>
      <c r="H13" s="249"/>
      <c r="I13" s="250"/>
      <c r="J13" s="887"/>
      <c r="K13" s="249"/>
      <c r="L13" s="250"/>
      <c r="M13" s="878">
        <v>43982.0</v>
      </c>
      <c r="N13" s="887"/>
      <c r="O13" s="249"/>
      <c r="P13" s="250"/>
      <c r="Q13" s="887"/>
      <c r="R13" s="249"/>
      <c r="S13" s="250"/>
      <c r="T13" s="887"/>
      <c r="U13" s="249"/>
      <c r="V13" s="250"/>
      <c r="W13" s="887"/>
      <c r="X13" s="249"/>
      <c r="Y13" s="250"/>
      <c r="Z13" s="887"/>
      <c r="AA13" s="249"/>
      <c r="AB13" s="250"/>
      <c r="AC13" s="878">
        <v>43982.0</v>
      </c>
      <c r="AD13" s="889"/>
      <c r="AE13" s="249"/>
      <c r="AF13" s="250"/>
    </row>
    <row r="14">
      <c r="A14" s="872" t="s">
        <v>8867</v>
      </c>
      <c r="B14" s="878">
        <v>43983.0</v>
      </c>
      <c r="C14" s="887"/>
      <c r="D14" s="250"/>
      <c r="E14" s="886"/>
      <c r="F14" s="250"/>
      <c r="G14" s="890"/>
      <c r="H14" s="249"/>
      <c r="I14" s="250"/>
      <c r="J14" s="887"/>
      <c r="K14" s="249"/>
      <c r="L14" s="250"/>
      <c r="M14" s="878">
        <v>43983.0</v>
      </c>
      <c r="N14" s="887"/>
      <c r="O14" s="249"/>
      <c r="P14" s="250"/>
      <c r="Q14" s="887"/>
      <c r="R14" s="249"/>
      <c r="S14" s="250"/>
      <c r="T14" s="887"/>
      <c r="U14" s="249"/>
      <c r="V14" s="250"/>
      <c r="W14" s="887"/>
      <c r="X14" s="249"/>
      <c r="Y14" s="250"/>
      <c r="Z14" s="887"/>
      <c r="AA14" s="249"/>
      <c r="AB14" s="250"/>
      <c r="AC14" s="878">
        <v>43983.0</v>
      </c>
      <c r="AD14" s="889"/>
      <c r="AE14" s="249"/>
      <c r="AF14" s="250"/>
    </row>
    <row r="15">
      <c r="A15" s="872" t="s">
        <v>7559</v>
      </c>
      <c r="B15" s="878">
        <v>43984.0</v>
      </c>
      <c r="C15" s="887"/>
      <c r="D15" s="250"/>
      <c r="E15" s="886"/>
      <c r="F15" s="250"/>
      <c r="G15" s="890"/>
      <c r="H15" s="249"/>
      <c r="I15" s="250"/>
      <c r="J15" s="887"/>
      <c r="K15" s="249"/>
      <c r="L15" s="250"/>
      <c r="M15" s="878">
        <v>43984.0</v>
      </c>
      <c r="N15" s="887"/>
      <c r="O15" s="249"/>
      <c r="P15" s="250"/>
      <c r="Q15" s="887"/>
      <c r="R15" s="249"/>
      <c r="S15" s="250"/>
      <c r="T15" s="887"/>
      <c r="U15" s="249"/>
      <c r="V15" s="250"/>
      <c r="W15" s="887"/>
      <c r="X15" s="249"/>
      <c r="Y15" s="250"/>
      <c r="Z15" s="887"/>
      <c r="AA15" s="249"/>
      <c r="AB15" s="250"/>
      <c r="AC15" s="878">
        <v>43984.0</v>
      </c>
      <c r="AD15" s="889"/>
      <c r="AE15" s="249"/>
      <c r="AF15" s="250"/>
    </row>
    <row r="16">
      <c r="A16" s="872" t="s">
        <v>8858</v>
      </c>
      <c r="B16" s="878">
        <v>43985.0</v>
      </c>
      <c r="C16" s="887"/>
      <c r="D16" s="250"/>
      <c r="E16" s="886"/>
      <c r="F16" s="250"/>
      <c r="G16" s="890"/>
      <c r="H16" s="249"/>
      <c r="I16" s="250"/>
      <c r="J16" s="887"/>
      <c r="K16" s="249"/>
      <c r="L16" s="250"/>
      <c r="M16" s="878">
        <v>43985.0</v>
      </c>
      <c r="N16" s="887"/>
      <c r="O16" s="249"/>
      <c r="P16" s="250"/>
      <c r="Q16" s="887"/>
      <c r="R16" s="249"/>
      <c r="S16" s="250"/>
      <c r="T16" s="887"/>
      <c r="U16" s="249"/>
      <c r="V16" s="250"/>
      <c r="W16" s="887"/>
      <c r="X16" s="249"/>
      <c r="Y16" s="250"/>
      <c r="Z16" s="887"/>
      <c r="AA16" s="249"/>
      <c r="AB16" s="250"/>
      <c r="AC16" s="878">
        <v>43985.0</v>
      </c>
      <c r="AD16" s="889"/>
      <c r="AE16" s="249"/>
      <c r="AF16" s="250"/>
    </row>
    <row r="17">
      <c r="A17" s="872" t="s">
        <v>8861</v>
      </c>
      <c r="B17" s="873">
        <v>45447.0</v>
      </c>
      <c r="C17" s="877"/>
      <c r="D17" s="250"/>
      <c r="E17" s="876"/>
      <c r="F17" s="250"/>
      <c r="G17" s="874" t="s">
        <v>9316</v>
      </c>
      <c r="H17" s="249"/>
      <c r="I17" s="250"/>
      <c r="J17" s="877"/>
      <c r="K17" s="249"/>
      <c r="L17" s="250"/>
      <c r="M17" s="878">
        <v>43986.0</v>
      </c>
      <c r="N17" s="874" t="s">
        <v>9317</v>
      </c>
      <c r="O17" s="249"/>
      <c r="P17" s="250"/>
      <c r="Q17" s="874" t="s">
        <v>9318</v>
      </c>
      <c r="R17" s="249"/>
      <c r="S17" s="250"/>
      <c r="T17" s="877"/>
      <c r="U17" s="249"/>
      <c r="V17" s="250"/>
      <c r="W17" s="877"/>
      <c r="X17" s="249"/>
      <c r="Y17" s="250"/>
      <c r="Z17" s="877"/>
      <c r="AA17" s="249"/>
      <c r="AB17" s="250"/>
      <c r="AC17" s="878">
        <v>43986.0</v>
      </c>
      <c r="AD17" s="879"/>
      <c r="AE17" s="249"/>
      <c r="AF17" s="250"/>
    </row>
    <row r="18">
      <c r="A18" s="872" t="s">
        <v>8862</v>
      </c>
      <c r="B18" s="878">
        <v>43987.0</v>
      </c>
      <c r="C18" s="877"/>
      <c r="D18" s="250"/>
      <c r="E18" s="876"/>
      <c r="F18" s="250"/>
      <c r="G18" s="883"/>
      <c r="H18" s="249"/>
      <c r="I18" s="250"/>
      <c r="J18" s="877"/>
      <c r="K18" s="249"/>
      <c r="L18" s="250"/>
      <c r="M18" s="878">
        <v>43987.0</v>
      </c>
      <c r="N18" s="874" t="s">
        <v>9319</v>
      </c>
      <c r="O18" s="249"/>
      <c r="P18" s="250"/>
      <c r="Q18" s="874" t="s">
        <v>9320</v>
      </c>
      <c r="R18" s="249"/>
      <c r="S18" s="250"/>
      <c r="T18" s="874" t="s">
        <v>9321</v>
      </c>
      <c r="U18" s="249"/>
      <c r="V18" s="250"/>
      <c r="W18" s="877"/>
      <c r="X18" s="249"/>
      <c r="Y18" s="250"/>
      <c r="Z18" s="874"/>
      <c r="AA18" s="249"/>
      <c r="AB18" s="250"/>
      <c r="AC18" s="878">
        <v>43987.0</v>
      </c>
      <c r="AD18" s="879"/>
      <c r="AE18" s="249"/>
      <c r="AF18" s="250"/>
    </row>
    <row r="19">
      <c r="A19" s="872" t="s">
        <v>8863</v>
      </c>
      <c r="B19" s="878">
        <v>43988.0</v>
      </c>
      <c r="C19" s="915"/>
      <c r="D19" s="250"/>
      <c r="E19" s="1056"/>
      <c r="F19" s="250"/>
      <c r="G19" s="884" t="s">
        <v>9322</v>
      </c>
      <c r="H19" s="249"/>
      <c r="I19" s="250"/>
      <c r="J19" s="943" t="s">
        <v>9322</v>
      </c>
      <c r="K19" s="249"/>
      <c r="L19" s="250"/>
      <c r="M19" s="878">
        <v>43988.0</v>
      </c>
      <c r="N19" s="884" t="s">
        <v>9322</v>
      </c>
      <c r="O19" s="249"/>
      <c r="P19" s="250"/>
      <c r="Q19" s="874" t="s">
        <v>9323</v>
      </c>
      <c r="R19" s="249"/>
      <c r="S19" s="250"/>
      <c r="T19" s="874" t="s">
        <v>9324</v>
      </c>
      <c r="U19" s="249"/>
      <c r="V19" s="250"/>
      <c r="W19" s="874" t="s">
        <v>9325</v>
      </c>
      <c r="X19" s="249"/>
      <c r="Y19" s="250"/>
      <c r="Z19" s="874" t="s">
        <v>9326</v>
      </c>
      <c r="AA19" s="249"/>
      <c r="AB19" s="250"/>
      <c r="AC19" s="878">
        <v>43988.0</v>
      </c>
      <c r="AD19" s="897"/>
      <c r="AE19" s="249"/>
      <c r="AF19" s="250"/>
    </row>
    <row r="20">
      <c r="A20" s="872" t="s">
        <v>8865</v>
      </c>
      <c r="B20" s="878">
        <v>43989.0</v>
      </c>
      <c r="C20" s="915"/>
      <c r="D20" s="250"/>
      <c r="E20" s="918"/>
      <c r="F20" s="250"/>
      <c r="G20" s="884" t="s">
        <v>9322</v>
      </c>
      <c r="H20" s="249"/>
      <c r="I20" s="250"/>
      <c r="J20" s="943" t="s">
        <v>9322</v>
      </c>
      <c r="K20" s="249"/>
      <c r="L20" s="250"/>
      <c r="M20" s="878">
        <v>43989.0</v>
      </c>
      <c r="N20" s="884" t="s">
        <v>9322</v>
      </c>
      <c r="O20" s="249"/>
      <c r="P20" s="250"/>
      <c r="Q20" s="1054" t="s">
        <v>9327</v>
      </c>
      <c r="R20" s="249"/>
      <c r="S20" s="250"/>
      <c r="T20" s="874" t="s">
        <v>9328</v>
      </c>
      <c r="U20" s="249"/>
      <c r="V20" s="250"/>
      <c r="W20" s="874" t="s">
        <v>9325</v>
      </c>
      <c r="X20" s="249"/>
      <c r="Y20" s="250"/>
      <c r="Z20" s="874" t="s">
        <v>9326</v>
      </c>
      <c r="AA20" s="249"/>
      <c r="AB20" s="250"/>
      <c r="AC20" s="878">
        <v>43989.0</v>
      </c>
      <c r="AD20" s="897"/>
      <c r="AE20" s="249"/>
      <c r="AF20" s="250"/>
    </row>
    <row r="21">
      <c r="A21" s="872" t="s">
        <v>8867</v>
      </c>
      <c r="B21" s="878">
        <v>43990.0</v>
      </c>
      <c r="C21" s="915"/>
      <c r="D21" s="250"/>
      <c r="E21" s="918"/>
      <c r="F21" s="250"/>
      <c r="G21" s="884" t="s">
        <v>9322</v>
      </c>
      <c r="H21" s="249"/>
      <c r="I21" s="250"/>
      <c r="J21" s="943" t="s">
        <v>9322</v>
      </c>
      <c r="K21" s="249"/>
      <c r="L21" s="250"/>
      <c r="M21" s="878">
        <v>43990.0</v>
      </c>
      <c r="N21" s="884" t="s">
        <v>9322</v>
      </c>
      <c r="O21" s="249"/>
      <c r="P21" s="250"/>
      <c r="Q21" s="1054" t="s">
        <v>9327</v>
      </c>
      <c r="R21" s="249"/>
      <c r="S21" s="250"/>
      <c r="T21" s="874" t="s">
        <v>9329</v>
      </c>
      <c r="U21" s="249"/>
      <c r="V21" s="250"/>
      <c r="W21" s="874" t="s">
        <v>9325</v>
      </c>
      <c r="X21" s="249"/>
      <c r="Y21" s="250"/>
      <c r="Z21" s="874" t="s">
        <v>9326</v>
      </c>
      <c r="AA21" s="249"/>
      <c r="AB21" s="250"/>
      <c r="AC21" s="878">
        <v>43990.0</v>
      </c>
      <c r="AD21" s="898"/>
      <c r="AE21" s="249"/>
      <c r="AF21" s="250"/>
    </row>
    <row r="22">
      <c r="A22" s="872" t="s">
        <v>7559</v>
      </c>
      <c r="B22" s="878">
        <v>43991.0</v>
      </c>
      <c r="C22" s="915"/>
      <c r="D22" s="250"/>
      <c r="E22" s="1056"/>
      <c r="F22" s="250"/>
      <c r="G22" s="884" t="s">
        <v>9322</v>
      </c>
      <c r="H22" s="249"/>
      <c r="I22" s="250"/>
      <c r="J22" s="943" t="s">
        <v>9322</v>
      </c>
      <c r="K22" s="249"/>
      <c r="L22" s="250"/>
      <c r="M22" s="878">
        <v>43991.0</v>
      </c>
      <c r="N22" s="884" t="s">
        <v>9322</v>
      </c>
      <c r="O22" s="249"/>
      <c r="P22" s="250"/>
      <c r="Q22" s="1054" t="s">
        <v>9327</v>
      </c>
      <c r="R22" s="249"/>
      <c r="S22" s="250"/>
      <c r="T22" s="874" t="s">
        <v>9329</v>
      </c>
      <c r="U22" s="249"/>
      <c r="V22" s="250"/>
      <c r="W22" s="874" t="s">
        <v>9325</v>
      </c>
      <c r="X22" s="249"/>
      <c r="Y22" s="250"/>
      <c r="Z22" s="874" t="s">
        <v>9326</v>
      </c>
      <c r="AA22" s="249"/>
      <c r="AB22" s="250"/>
      <c r="AC22" s="878">
        <v>43991.0</v>
      </c>
      <c r="AD22" s="898"/>
      <c r="AE22" s="249"/>
      <c r="AF22" s="250"/>
    </row>
    <row r="23">
      <c r="A23" s="872" t="s">
        <v>8858</v>
      </c>
      <c r="B23" s="878">
        <v>43992.0</v>
      </c>
      <c r="C23" s="927"/>
      <c r="D23" s="250"/>
      <c r="E23" s="918"/>
      <c r="F23" s="250"/>
      <c r="G23" s="884" t="s">
        <v>9322</v>
      </c>
      <c r="H23" s="249"/>
      <c r="I23" s="250"/>
      <c r="J23" s="943" t="s">
        <v>9322</v>
      </c>
      <c r="K23" s="249"/>
      <c r="L23" s="250"/>
      <c r="M23" s="878">
        <v>43992.0</v>
      </c>
      <c r="N23" s="884" t="s">
        <v>9322</v>
      </c>
      <c r="O23" s="249"/>
      <c r="P23" s="250"/>
      <c r="Q23" s="1054" t="s">
        <v>9327</v>
      </c>
      <c r="R23" s="249"/>
      <c r="S23" s="250"/>
      <c r="T23" s="874"/>
      <c r="U23" s="249"/>
      <c r="V23" s="250"/>
      <c r="W23" s="874"/>
      <c r="X23" s="249"/>
      <c r="Y23" s="250"/>
      <c r="Z23" s="874"/>
      <c r="AA23" s="249"/>
      <c r="AB23" s="250"/>
      <c r="AC23" s="878">
        <v>43992.0</v>
      </c>
      <c r="AD23" s="900"/>
      <c r="AE23" s="249"/>
      <c r="AF23" s="250"/>
    </row>
    <row r="24">
      <c r="A24" s="872" t="s">
        <v>8861</v>
      </c>
      <c r="B24" s="878">
        <v>43993.0</v>
      </c>
      <c r="C24" s="915"/>
      <c r="D24" s="250"/>
      <c r="E24" s="918"/>
      <c r="F24" s="250"/>
      <c r="G24" s="874"/>
      <c r="H24" s="249"/>
      <c r="I24" s="250"/>
      <c r="J24" s="1057"/>
      <c r="K24" s="249"/>
      <c r="L24" s="250"/>
      <c r="M24" s="878">
        <v>43993.0</v>
      </c>
      <c r="N24" s="874" t="s">
        <v>9330</v>
      </c>
      <c r="O24" s="249"/>
      <c r="P24" s="250"/>
      <c r="Q24" s="1054" t="s">
        <v>9327</v>
      </c>
      <c r="R24" s="249"/>
      <c r="S24" s="250"/>
      <c r="T24" s="874" t="s">
        <v>9331</v>
      </c>
      <c r="U24" s="249"/>
      <c r="V24" s="250"/>
      <c r="W24" s="874" t="s">
        <v>8098</v>
      </c>
      <c r="X24" s="249"/>
      <c r="Y24" s="250"/>
      <c r="Z24" s="874"/>
      <c r="AA24" s="249"/>
      <c r="AB24" s="250"/>
      <c r="AC24" s="878">
        <v>43993.0</v>
      </c>
      <c r="AD24" s="900"/>
      <c r="AE24" s="249"/>
      <c r="AF24" s="250"/>
    </row>
    <row r="25">
      <c r="A25" s="872" t="s">
        <v>8862</v>
      </c>
      <c r="B25" s="878">
        <v>43994.0</v>
      </c>
      <c r="C25" s="915"/>
      <c r="D25" s="250"/>
      <c r="E25" s="1056"/>
      <c r="F25" s="250"/>
      <c r="G25" s="874" t="s">
        <v>8962</v>
      </c>
      <c r="H25" s="249"/>
      <c r="I25" s="250"/>
      <c r="J25" s="1057"/>
      <c r="K25" s="249"/>
      <c r="L25" s="250"/>
      <c r="M25" s="878">
        <v>43994.0</v>
      </c>
      <c r="N25" s="874" t="s">
        <v>9332</v>
      </c>
      <c r="O25" s="249"/>
      <c r="P25" s="250"/>
      <c r="Q25" s="1054" t="s">
        <v>9327</v>
      </c>
      <c r="R25" s="249"/>
      <c r="S25" s="250"/>
      <c r="T25" s="874" t="s">
        <v>9331</v>
      </c>
      <c r="U25" s="249"/>
      <c r="V25" s="250"/>
      <c r="W25" s="874"/>
      <c r="X25" s="249"/>
      <c r="Y25" s="250"/>
      <c r="Z25" s="874"/>
      <c r="AA25" s="249"/>
      <c r="AB25" s="250"/>
      <c r="AC25" s="878">
        <v>43994.0</v>
      </c>
      <c r="AD25" s="874"/>
      <c r="AE25" s="249"/>
      <c r="AF25" s="250"/>
    </row>
    <row r="26">
      <c r="A26" s="872" t="s">
        <v>8863</v>
      </c>
      <c r="B26" s="878">
        <v>43995.0</v>
      </c>
      <c r="C26" s="877"/>
      <c r="D26" s="250"/>
      <c r="E26" s="876"/>
      <c r="F26" s="250"/>
      <c r="G26" s="874" t="s">
        <v>8962</v>
      </c>
      <c r="H26" s="249"/>
      <c r="I26" s="250"/>
      <c r="J26" s="943" t="s">
        <v>9333</v>
      </c>
      <c r="K26" s="249"/>
      <c r="L26" s="250"/>
      <c r="M26" s="878">
        <v>43995.0</v>
      </c>
      <c r="N26" s="874" t="s">
        <v>9332</v>
      </c>
      <c r="O26" s="249"/>
      <c r="P26" s="250"/>
      <c r="Q26" s="874"/>
      <c r="R26" s="249"/>
      <c r="S26" s="250"/>
      <c r="T26" s="874" t="s">
        <v>9331</v>
      </c>
      <c r="U26" s="249"/>
      <c r="V26" s="250"/>
      <c r="W26" s="874" t="s">
        <v>9334</v>
      </c>
      <c r="X26" s="249"/>
      <c r="Y26" s="250"/>
      <c r="Z26" s="874" t="s">
        <v>9335</v>
      </c>
      <c r="AA26" s="249"/>
      <c r="AB26" s="250"/>
      <c r="AC26" s="878">
        <v>43995.0</v>
      </c>
      <c r="AD26" s="883"/>
      <c r="AE26" s="249"/>
      <c r="AF26" s="250"/>
    </row>
    <row r="27">
      <c r="A27" s="872" t="s">
        <v>8865</v>
      </c>
      <c r="B27" s="878">
        <v>43996.0</v>
      </c>
      <c r="C27" s="877"/>
      <c r="D27" s="250"/>
      <c r="E27" s="875"/>
      <c r="F27" s="250"/>
      <c r="G27" s="874" t="s">
        <v>8962</v>
      </c>
      <c r="H27" s="249"/>
      <c r="I27" s="250"/>
      <c r="J27" s="943" t="s">
        <v>9333</v>
      </c>
      <c r="K27" s="249"/>
      <c r="L27" s="250"/>
      <c r="M27" s="878">
        <v>43996.0</v>
      </c>
      <c r="N27" s="874" t="s">
        <v>9332</v>
      </c>
      <c r="O27" s="249"/>
      <c r="P27" s="250"/>
      <c r="Q27" s="874"/>
      <c r="R27" s="249"/>
      <c r="S27" s="250"/>
      <c r="T27" s="874" t="s">
        <v>9331</v>
      </c>
      <c r="U27" s="249"/>
      <c r="V27" s="250"/>
      <c r="W27" s="874" t="s">
        <v>9334</v>
      </c>
      <c r="X27" s="249"/>
      <c r="Y27" s="250"/>
      <c r="Z27" s="874" t="s">
        <v>9336</v>
      </c>
      <c r="AA27" s="249"/>
      <c r="AB27" s="250"/>
      <c r="AC27" s="878">
        <v>43996.0</v>
      </c>
      <c r="AD27" s="883"/>
      <c r="AE27" s="249"/>
      <c r="AF27" s="250"/>
    </row>
    <row r="28">
      <c r="A28" s="872" t="s">
        <v>8867</v>
      </c>
      <c r="B28" s="878">
        <v>43997.0</v>
      </c>
      <c r="C28" s="887"/>
      <c r="D28" s="250"/>
      <c r="E28" s="891"/>
      <c r="F28" s="250"/>
      <c r="G28" s="885"/>
      <c r="H28" s="249"/>
      <c r="I28" s="250"/>
      <c r="J28" s="887"/>
      <c r="K28" s="249"/>
      <c r="L28" s="250"/>
      <c r="M28" s="878">
        <v>43997.0</v>
      </c>
      <c r="N28" s="885"/>
      <c r="O28" s="249"/>
      <c r="P28" s="250"/>
      <c r="Q28" s="887"/>
      <c r="R28" s="249"/>
      <c r="S28" s="250"/>
      <c r="T28" s="885" t="s">
        <v>9331</v>
      </c>
      <c r="U28" s="249"/>
      <c r="V28" s="250"/>
      <c r="W28" s="885" t="s">
        <v>9334</v>
      </c>
      <c r="X28" s="249"/>
      <c r="Y28" s="250"/>
      <c r="Z28" s="885" t="s">
        <v>9336</v>
      </c>
      <c r="AA28" s="249"/>
      <c r="AB28" s="250"/>
      <c r="AC28" s="878">
        <v>43997.0</v>
      </c>
      <c r="AD28" s="890"/>
      <c r="AE28" s="249"/>
      <c r="AF28" s="250"/>
    </row>
    <row r="29">
      <c r="A29" s="872" t="s">
        <v>7559</v>
      </c>
      <c r="B29" s="878">
        <v>43998.0</v>
      </c>
      <c r="C29" s="887"/>
      <c r="D29" s="250"/>
      <c r="E29" s="886"/>
      <c r="F29" s="250"/>
      <c r="G29" s="885"/>
      <c r="H29" s="249"/>
      <c r="I29" s="250"/>
      <c r="J29" s="887"/>
      <c r="K29" s="249"/>
      <c r="L29" s="250"/>
      <c r="M29" s="878">
        <v>43998.0</v>
      </c>
      <c r="N29" s="885"/>
      <c r="O29" s="249"/>
      <c r="P29" s="250"/>
      <c r="Q29" s="887"/>
      <c r="R29" s="249"/>
      <c r="S29" s="250"/>
      <c r="T29" s="885" t="s">
        <v>9331</v>
      </c>
      <c r="U29" s="249"/>
      <c r="V29" s="250"/>
      <c r="W29" s="885" t="s">
        <v>9334</v>
      </c>
      <c r="X29" s="249"/>
      <c r="Y29" s="250"/>
      <c r="Z29" s="885" t="s">
        <v>9336</v>
      </c>
      <c r="AA29" s="249"/>
      <c r="AB29" s="250"/>
      <c r="AC29" s="878">
        <v>43998.0</v>
      </c>
      <c r="AD29" s="890"/>
      <c r="AE29" s="249"/>
      <c r="AF29" s="250"/>
    </row>
    <row r="30">
      <c r="A30" s="872" t="s">
        <v>8858</v>
      </c>
      <c r="B30" s="878">
        <v>43999.0</v>
      </c>
      <c r="C30" s="887"/>
      <c r="D30" s="250"/>
      <c r="E30" s="886"/>
      <c r="F30" s="250"/>
      <c r="G30" s="887"/>
      <c r="H30" s="249"/>
      <c r="I30" s="250"/>
      <c r="J30" s="887"/>
      <c r="K30" s="249"/>
      <c r="L30" s="250"/>
      <c r="M30" s="878">
        <v>43999.0</v>
      </c>
      <c r="N30" s="885" t="s">
        <v>9337</v>
      </c>
      <c r="O30" s="249"/>
      <c r="P30" s="250"/>
      <c r="Q30" s="887"/>
      <c r="R30" s="249"/>
      <c r="S30" s="250"/>
      <c r="T30" s="885" t="s">
        <v>9331</v>
      </c>
      <c r="U30" s="249"/>
      <c r="V30" s="250"/>
      <c r="W30" s="887"/>
      <c r="X30" s="249"/>
      <c r="Y30" s="250"/>
      <c r="Z30" s="887"/>
      <c r="AA30" s="249"/>
      <c r="AB30" s="250"/>
      <c r="AC30" s="878">
        <v>43999.0</v>
      </c>
      <c r="AD30" s="890"/>
      <c r="AE30" s="249"/>
      <c r="AF30" s="250"/>
    </row>
    <row r="31">
      <c r="A31" s="872" t="s">
        <v>8861</v>
      </c>
      <c r="B31" s="878">
        <v>44000.0</v>
      </c>
      <c r="C31" s="877"/>
      <c r="D31" s="250"/>
      <c r="E31" s="875" t="s">
        <v>9338</v>
      </c>
      <c r="F31" s="250"/>
      <c r="G31" s="892" t="s">
        <v>6549</v>
      </c>
      <c r="H31" s="249"/>
      <c r="I31" s="250"/>
      <c r="J31" s="877"/>
      <c r="K31" s="249"/>
      <c r="L31" s="250"/>
      <c r="M31" s="878">
        <v>44000.0</v>
      </c>
      <c r="N31" s="874" t="s">
        <v>9337</v>
      </c>
      <c r="O31" s="249"/>
      <c r="P31" s="250"/>
      <c r="Q31" s="874" t="s">
        <v>9339</v>
      </c>
      <c r="R31" s="249"/>
      <c r="S31" s="250"/>
      <c r="T31" s="877"/>
      <c r="U31" s="249"/>
      <c r="V31" s="250"/>
      <c r="W31" s="877"/>
      <c r="X31" s="249"/>
      <c r="Y31" s="250"/>
      <c r="Z31" s="877"/>
      <c r="AA31" s="249"/>
      <c r="AB31" s="250"/>
      <c r="AC31" s="878">
        <v>44000.0</v>
      </c>
      <c r="AD31" s="879"/>
      <c r="AE31" s="249"/>
      <c r="AF31" s="250"/>
    </row>
    <row r="32">
      <c r="A32" s="872" t="s">
        <v>8862</v>
      </c>
      <c r="B32" s="878">
        <v>44001.0</v>
      </c>
      <c r="C32" s="877"/>
      <c r="D32" s="250"/>
      <c r="E32" s="875" t="s">
        <v>9340</v>
      </c>
      <c r="F32" s="250"/>
      <c r="G32" s="892" t="s">
        <v>6549</v>
      </c>
      <c r="H32" s="249"/>
      <c r="I32" s="250"/>
      <c r="J32" s="1057"/>
      <c r="K32" s="249"/>
      <c r="L32" s="250"/>
      <c r="M32" s="878">
        <v>44001.0</v>
      </c>
      <c r="N32" s="874" t="s">
        <v>9337</v>
      </c>
      <c r="O32" s="249"/>
      <c r="P32" s="250"/>
      <c r="Q32" s="874" t="s">
        <v>9341</v>
      </c>
      <c r="R32" s="249"/>
      <c r="S32" s="250"/>
      <c r="T32" s="874"/>
      <c r="U32" s="249"/>
      <c r="V32" s="250"/>
      <c r="W32" s="874"/>
      <c r="X32" s="249"/>
      <c r="Y32" s="250"/>
      <c r="Z32" s="874"/>
      <c r="AA32" s="249"/>
      <c r="AB32" s="250"/>
      <c r="AC32" s="878">
        <v>44001.0</v>
      </c>
      <c r="AD32" s="908" t="s">
        <v>8985</v>
      </c>
      <c r="AE32" s="249"/>
      <c r="AF32" s="250"/>
    </row>
    <row r="33">
      <c r="A33" s="872" t="s">
        <v>8863</v>
      </c>
      <c r="B33" s="878">
        <v>44002.0</v>
      </c>
      <c r="C33" s="877"/>
      <c r="D33" s="250"/>
      <c r="E33" s="875" t="s">
        <v>9342</v>
      </c>
      <c r="F33" s="250"/>
      <c r="G33" s="892" t="s">
        <v>6549</v>
      </c>
      <c r="H33" s="249"/>
      <c r="I33" s="250"/>
      <c r="J33" s="943" t="s">
        <v>9343</v>
      </c>
      <c r="K33" s="249"/>
      <c r="L33" s="250"/>
      <c r="M33" s="878">
        <v>44002.0</v>
      </c>
      <c r="N33" s="874" t="s">
        <v>9337</v>
      </c>
      <c r="O33" s="249"/>
      <c r="P33" s="250"/>
      <c r="Q33" s="884" t="s">
        <v>9343</v>
      </c>
      <c r="R33" s="249"/>
      <c r="S33" s="250"/>
      <c r="T33" s="874"/>
      <c r="U33" s="249"/>
      <c r="V33" s="250"/>
      <c r="W33" s="874" t="s">
        <v>9344</v>
      </c>
      <c r="X33" s="249"/>
      <c r="Y33" s="250"/>
      <c r="Z33" s="874"/>
      <c r="AA33" s="249"/>
      <c r="AB33" s="250"/>
      <c r="AC33" s="878">
        <v>44002.0</v>
      </c>
      <c r="AD33" s="879"/>
      <c r="AE33" s="249"/>
      <c r="AF33" s="250"/>
    </row>
    <row r="34">
      <c r="A34" s="872" t="s">
        <v>8865</v>
      </c>
      <c r="B34" s="878">
        <v>44003.0</v>
      </c>
      <c r="C34" s="874"/>
      <c r="D34" s="250"/>
      <c r="E34" s="875" t="s">
        <v>9345</v>
      </c>
      <c r="F34" s="250"/>
      <c r="G34" s="892" t="s">
        <v>6549</v>
      </c>
      <c r="H34" s="249"/>
      <c r="I34" s="250"/>
      <c r="J34" s="943" t="s">
        <v>9343</v>
      </c>
      <c r="K34" s="249"/>
      <c r="L34" s="250"/>
      <c r="M34" s="878">
        <v>44003.0</v>
      </c>
      <c r="N34" s="1058"/>
      <c r="O34" s="249"/>
      <c r="P34" s="250"/>
      <c r="Q34" s="884" t="s">
        <v>9343</v>
      </c>
      <c r="R34" s="249"/>
      <c r="S34" s="250"/>
      <c r="T34" s="874" t="s">
        <v>9346</v>
      </c>
      <c r="U34" s="249"/>
      <c r="V34" s="250"/>
      <c r="W34" s="874" t="s">
        <v>9344</v>
      </c>
      <c r="X34" s="249"/>
      <c r="Y34" s="250"/>
      <c r="Z34" s="874"/>
      <c r="AA34" s="249"/>
      <c r="AB34" s="250"/>
      <c r="AC34" s="878">
        <v>44003.0</v>
      </c>
      <c r="AD34" s="874"/>
      <c r="AE34" s="249"/>
      <c r="AF34" s="250"/>
    </row>
    <row r="35">
      <c r="A35" s="872" t="s">
        <v>8867</v>
      </c>
      <c r="B35" s="878">
        <v>44004.0</v>
      </c>
      <c r="C35" s="915"/>
      <c r="D35" s="250"/>
      <c r="E35" s="918" t="s">
        <v>9347</v>
      </c>
      <c r="F35" s="250"/>
      <c r="G35" s="918" t="s">
        <v>9347</v>
      </c>
      <c r="H35" s="249"/>
      <c r="I35" s="250"/>
      <c r="J35" s="1059" t="s">
        <v>9347</v>
      </c>
      <c r="K35" s="249"/>
      <c r="L35" s="250"/>
      <c r="M35" s="878">
        <v>44004.0</v>
      </c>
      <c r="N35" s="884" t="s">
        <v>8987</v>
      </c>
      <c r="O35" s="249"/>
      <c r="P35" s="250"/>
      <c r="Q35" s="884" t="s">
        <v>9343</v>
      </c>
      <c r="R35" s="249"/>
      <c r="S35" s="250"/>
      <c r="T35" s="874" t="s">
        <v>9346</v>
      </c>
      <c r="U35" s="249"/>
      <c r="V35" s="250"/>
      <c r="W35" s="874" t="s">
        <v>9344</v>
      </c>
      <c r="X35" s="249"/>
      <c r="Y35" s="250"/>
      <c r="Z35" s="874"/>
      <c r="AA35" s="249"/>
      <c r="AB35" s="250"/>
      <c r="AC35" s="878">
        <v>44004.0</v>
      </c>
      <c r="AD35" s="915"/>
      <c r="AE35" s="249"/>
      <c r="AF35" s="250"/>
    </row>
    <row r="36">
      <c r="A36" s="872" t="s">
        <v>7559</v>
      </c>
      <c r="B36" s="878">
        <v>44005.0</v>
      </c>
      <c r="C36" s="915"/>
      <c r="D36" s="250"/>
      <c r="E36" s="918" t="s">
        <v>9347</v>
      </c>
      <c r="F36" s="250"/>
      <c r="G36" s="918" t="s">
        <v>9347</v>
      </c>
      <c r="H36" s="249"/>
      <c r="I36" s="250"/>
      <c r="J36" s="1059" t="s">
        <v>9347</v>
      </c>
      <c r="K36" s="249"/>
      <c r="L36" s="250"/>
      <c r="M36" s="878">
        <v>44005.0</v>
      </c>
      <c r="N36" s="884" t="s">
        <v>8987</v>
      </c>
      <c r="O36" s="249"/>
      <c r="P36" s="250"/>
      <c r="Q36" s="884" t="s">
        <v>9343</v>
      </c>
      <c r="R36" s="249"/>
      <c r="S36" s="250"/>
      <c r="T36" s="874" t="s">
        <v>9346</v>
      </c>
      <c r="U36" s="249"/>
      <c r="V36" s="250"/>
      <c r="W36" s="874" t="s">
        <v>9344</v>
      </c>
      <c r="X36" s="249"/>
      <c r="Y36" s="250"/>
      <c r="Z36" s="874"/>
      <c r="AA36" s="249"/>
      <c r="AB36" s="250"/>
      <c r="AC36" s="878">
        <v>44005.0</v>
      </c>
      <c r="AD36" s="915"/>
      <c r="AE36" s="249"/>
      <c r="AF36" s="250"/>
    </row>
    <row r="37">
      <c r="A37" s="872" t="s">
        <v>8858</v>
      </c>
      <c r="B37" s="878">
        <v>44006.0</v>
      </c>
      <c r="C37" s="915"/>
      <c r="D37" s="250"/>
      <c r="E37" s="918" t="s">
        <v>9347</v>
      </c>
      <c r="F37" s="250"/>
      <c r="G37" s="918" t="s">
        <v>9347</v>
      </c>
      <c r="H37" s="249"/>
      <c r="I37" s="250"/>
      <c r="J37" s="1059" t="s">
        <v>9347</v>
      </c>
      <c r="K37" s="249"/>
      <c r="L37" s="250"/>
      <c r="M37" s="878">
        <v>44006.0</v>
      </c>
      <c r="N37" s="884" t="s">
        <v>8987</v>
      </c>
      <c r="O37" s="249"/>
      <c r="P37" s="250"/>
      <c r="Q37" s="884" t="s">
        <v>9343</v>
      </c>
      <c r="R37" s="249"/>
      <c r="S37" s="250"/>
      <c r="T37" s="877"/>
      <c r="U37" s="249"/>
      <c r="V37" s="250"/>
      <c r="W37" s="874"/>
      <c r="X37" s="249"/>
      <c r="Y37" s="250"/>
      <c r="Z37" s="874"/>
      <c r="AA37" s="249"/>
      <c r="AB37" s="250"/>
      <c r="AC37" s="878">
        <v>44006.0</v>
      </c>
      <c r="AD37" s="915"/>
      <c r="AE37" s="249"/>
      <c r="AF37" s="250"/>
    </row>
    <row r="38">
      <c r="A38" s="872" t="s">
        <v>8861</v>
      </c>
      <c r="B38" s="878">
        <v>44007.0</v>
      </c>
      <c r="C38" s="915"/>
      <c r="D38" s="250"/>
      <c r="E38" s="918" t="s">
        <v>9347</v>
      </c>
      <c r="F38" s="250"/>
      <c r="G38" s="918" t="s">
        <v>9347</v>
      </c>
      <c r="H38" s="249"/>
      <c r="I38" s="250"/>
      <c r="J38" s="1059" t="s">
        <v>9347</v>
      </c>
      <c r="K38" s="249"/>
      <c r="L38" s="250"/>
      <c r="M38" s="878">
        <v>44007.0</v>
      </c>
      <c r="N38" s="884" t="s">
        <v>8987</v>
      </c>
      <c r="O38" s="249"/>
      <c r="P38" s="250"/>
      <c r="Q38" s="884" t="s">
        <v>9343</v>
      </c>
      <c r="R38" s="249"/>
      <c r="S38" s="250"/>
      <c r="T38" s="877"/>
      <c r="U38" s="249"/>
      <c r="V38" s="250"/>
      <c r="W38" s="874"/>
      <c r="X38" s="249"/>
      <c r="Y38" s="250"/>
      <c r="Z38" s="874"/>
      <c r="AA38" s="249"/>
      <c r="AB38" s="250"/>
      <c r="AC38" s="878">
        <v>44007.0</v>
      </c>
      <c r="AD38" s="915"/>
      <c r="AE38" s="249"/>
      <c r="AF38" s="250"/>
    </row>
    <row r="39">
      <c r="A39" s="872" t="s">
        <v>8862</v>
      </c>
      <c r="B39" s="878">
        <v>44008.0</v>
      </c>
      <c r="C39" s="915"/>
      <c r="D39" s="250"/>
      <c r="E39" s="918" t="s">
        <v>9347</v>
      </c>
      <c r="F39" s="250"/>
      <c r="G39" s="918" t="s">
        <v>9347</v>
      </c>
      <c r="H39" s="249"/>
      <c r="I39" s="250"/>
      <c r="J39" s="913"/>
      <c r="K39" s="249"/>
      <c r="L39" s="250"/>
      <c r="M39" s="878">
        <v>44008.0</v>
      </c>
      <c r="N39" s="884" t="s">
        <v>8987</v>
      </c>
      <c r="O39" s="249"/>
      <c r="P39" s="250"/>
      <c r="Q39" s="884" t="s">
        <v>9343</v>
      </c>
      <c r="R39" s="249"/>
      <c r="S39" s="250"/>
      <c r="T39" s="874"/>
      <c r="U39" s="249"/>
      <c r="V39" s="250"/>
      <c r="W39" s="874"/>
      <c r="X39" s="249"/>
      <c r="Y39" s="250"/>
      <c r="Z39" s="874"/>
      <c r="AA39" s="249"/>
      <c r="AB39" s="250"/>
      <c r="AC39" s="878">
        <v>44008.0</v>
      </c>
      <c r="AD39" s="915"/>
      <c r="AE39" s="249"/>
      <c r="AF39" s="250"/>
    </row>
    <row r="40">
      <c r="A40" s="872" t="s">
        <v>8863</v>
      </c>
      <c r="B40" s="878">
        <v>44009.0</v>
      </c>
      <c r="C40" s="915"/>
      <c r="D40" s="250"/>
      <c r="E40" s="918" t="s">
        <v>9347</v>
      </c>
      <c r="F40" s="250"/>
      <c r="G40" s="918" t="s">
        <v>9347</v>
      </c>
      <c r="H40" s="249"/>
      <c r="I40" s="250"/>
      <c r="J40" s="913"/>
      <c r="K40" s="249"/>
      <c r="L40" s="250"/>
      <c r="M40" s="878">
        <v>44009.0</v>
      </c>
      <c r="N40" s="884" t="s">
        <v>8987</v>
      </c>
      <c r="O40" s="249"/>
      <c r="P40" s="250"/>
      <c r="Q40" s="1060" t="s">
        <v>9348</v>
      </c>
      <c r="R40" s="249"/>
      <c r="S40" s="250"/>
      <c r="T40" s="874"/>
      <c r="U40" s="249"/>
      <c r="V40" s="250"/>
      <c r="W40" s="874"/>
      <c r="X40" s="249"/>
      <c r="Y40" s="250"/>
      <c r="Z40" s="874" t="s">
        <v>9349</v>
      </c>
      <c r="AA40" s="249"/>
      <c r="AB40" s="250"/>
      <c r="AC40" s="878">
        <v>44009.0</v>
      </c>
      <c r="AD40" s="908" t="s">
        <v>8990</v>
      </c>
      <c r="AE40" s="249"/>
      <c r="AF40" s="250"/>
    </row>
    <row r="41">
      <c r="A41" s="872" t="s">
        <v>8865</v>
      </c>
      <c r="B41" s="878">
        <v>44010.0</v>
      </c>
      <c r="C41" s="927"/>
      <c r="D41" s="250"/>
      <c r="E41" s="918" t="s">
        <v>9347</v>
      </c>
      <c r="F41" s="250"/>
      <c r="G41" s="918" t="s">
        <v>9347</v>
      </c>
      <c r="H41" s="249"/>
      <c r="I41" s="250"/>
      <c r="J41" s="913"/>
      <c r="K41" s="249"/>
      <c r="L41" s="250"/>
      <c r="M41" s="878">
        <v>44010.0</v>
      </c>
      <c r="N41" s="884" t="s">
        <v>8987</v>
      </c>
      <c r="O41" s="249"/>
      <c r="P41" s="250"/>
      <c r="Q41" s="884"/>
      <c r="R41" s="249"/>
      <c r="S41" s="250"/>
      <c r="T41" s="874" t="s">
        <v>9350</v>
      </c>
      <c r="U41" s="249"/>
      <c r="V41" s="250"/>
      <c r="W41" s="874" t="s">
        <v>9351</v>
      </c>
      <c r="X41" s="249"/>
      <c r="Y41" s="250"/>
      <c r="Z41" s="874" t="s">
        <v>9349</v>
      </c>
      <c r="AA41" s="249"/>
      <c r="AB41" s="250"/>
      <c r="AC41" s="878">
        <v>44010.0</v>
      </c>
      <c r="AD41" s="908" t="s">
        <v>8991</v>
      </c>
      <c r="AE41" s="249"/>
      <c r="AF41" s="250"/>
    </row>
    <row r="42">
      <c r="A42" s="872" t="s">
        <v>8867</v>
      </c>
      <c r="B42" s="878">
        <v>44011.0</v>
      </c>
      <c r="C42" s="915"/>
      <c r="D42" s="250"/>
      <c r="E42" s="918" t="s">
        <v>9352</v>
      </c>
      <c r="F42" s="250"/>
      <c r="G42" s="918" t="s">
        <v>9352</v>
      </c>
      <c r="H42" s="250"/>
      <c r="I42" s="1061"/>
      <c r="J42" s="913"/>
      <c r="K42" s="249"/>
      <c r="L42" s="250"/>
      <c r="M42" s="878">
        <v>44011.0</v>
      </c>
      <c r="N42" s="884" t="s">
        <v>8987</v>
      </c>
      <c r="O42" s="249"/>
      <c r="P42" s="250"/>
      <c r="Q42" s="884" t="s">
        <v>9353</v>
      </c>
      <c r="R42" s="249"/>
      <c r="S42" s="250"/>
      <c r="T42" s="874" t="s">
        <v>9350</v>
      </c>
      <c r="U42" s="249"/>
      <c r="V42" s="250"/>
      <c r="W42" s="874" t="s">
        <v>9351</v>
      </c>
      <c r="X42" s="249"/>
      <c r="Y42" s="250"/>
      <c r="Z42" s="874" t="s">
        <v>9349</v>
      </c>
      <c r="AA42" s="249"/>
      <c r="AB42" s="250"/>
      <c r="AC42" s="878">
        <v>44011.0</v>
      </c>
      <c r="AD42" s="908" t="s">
        <v>8991</v>
      </c>
      <c r="AE42" s="249"/>
      <c r="AF42" s="250"/>
    </row>
    <row r="43">
      <c r="A43" s="872" t="s">
        <v>7559</v>
      </c>
      <c r="B43" s="878">
        <v>44012.0</v>
      </c>
      <c r="C43" s="915"/>
      <c r="D43" s="250"/>
      <c r="E43" s="918" t="s">
        <v>9354</v>
      </c>
      <c r="F43" s="250"/>
      <c r="G43" s="918" t="s">
        <v>9352</v>
      </c>
      <c r="H43" s="250"/>
      <c r="I43" s="1062"/>
      <c r="J43" s="913"/>
      <c r="K43" s="249"/>
      <c r="L43" s="250"/>
      <c r="M43" s="878">
        <v>44012.0</v>
      </c>
      <c r="N43" s="1058"/>
      <c r="O43" s="249"/>
      <c r="P43" s="250"/>
      <c r="Q43" s="884" t="s">
        <v>9353</v>
      </c>
      <c r="R43" s="249"/>
      <c r="S43" s="250"/>
      <c r="T43" s="874" t="s">
        <v>9350</v>
      </c>
      <c r="U43" s="249"/>
      <c r="V43" s="250"/>
      <c r="W43" s="874" t="s">
        <v>9351</v>
      </c>
      <c r="X43" s="249"/>
      <c r="Y43" s="250"/>
      <c r="Z43" s="874" t="s">
        <v>9349</v>
      </c>
      <c r="AA43" s="249"/>
      <c r="AB43" s="250"/>
      <c r="AC43" s="878">
        <v>44012.0</v>
      </c>
      <c r="AD43" s="908" t="s">
        <v>8991</v>
      </c>
      <c r="AE43" s="249"/>
      <c r="AF43" s="250"/>
    </row>
    <row r="44">
      <c r="A44" s="872" t="s">
        <v>8858</v>
      </c>
      <c r="B44" s="878">
        <v>44013.0</v>
      </c>
      <c r="C44" s="877"/>
      <c r="D44" s="250"/>
      <c r="E44" s="918" t="s">
        <v>9354</v>
      </c>
      <c r="F44" s="250"/>
      <c r="G44" s="918" t="s">
        <v>9352</v>
      </c>
      <c r="H44" s="250"/>
      <c r="I44" s="1062"/>
      <c r="J44" s="913"/>
      <c r="K44" s="249"/>
      <c r="L44" s="250"/>
      <c r="M44" s="878">
        <v>44013.0</v>
      </c>
      <c r="N44" s="1058"/>
      <c r="O44" s="249"/>
      <c r="P44" s="250"/>
      <c r="Q44" s="884" t="s">
        <v>9353</v>
      </c>
      <c r="R44" s="249"/>
      <c r="S44" s="250"/>
      <c r="T44" s="874" t="s">
        <v>9355</v>
      </c>
      <c r="U44" s="249"/>
      <c r="V44" s="250"/>
      <c r="W44" s="874" t="s">
        <v>9351</v>
      </c>
      <c r="X44" s="249"/>
      <c r="Y44" s="250"/>
      <c r="Z44" s="874"/>
      <c r="AA44" s="249"/>
      <c r="AB44" s="250"/>
      <c r="AC44" s="878">
        <v>44013.0</v>
      </c>
      <c r="AD44" s="908" t="s">
        <v>8991</v>
      </c>
      <c r="AE44" s="249"/>
      <c r="AF44" s="250"/>
    </row>
    <row r="45">
      <c r="A45" s="872" t="s">
        <v>8861</v>
      </c>
      <c r="B45" s="878">
        <v>44014.0</v>
      </c>
      <c r="C45" s="877"/>
      <c r="D45" s="250"/>
      <c r="E45" s="918" t="s">
        <v>9356</v>
      </c>
      <c r="F45" s="250"/>
      <c r="G45" s="918" t="s">
        <v>9352</v>
      </c>
      <c r="H45" s="250"/>
      <c r="I45" s="1062"/>
      <c r="J45" s="913"/>
      <c r="K45" s="249"/>
      <c r="L45" s="250"/>
      <c r="M45" s="878">
        <v>44014.0</v>
      </c>
      <c r="N45" s="1058"/>
      <c r="O45" s="249"/>
      <c r="P45" s="250"/>
      <c r="Q45" s="884" t="s">
        <v>9353</v>
      </c>
      <c r="R45" s="249"/>
      <c r="S45" s="250"/>
      <c r="T45" s="874" t="s">
        <v>9355</v>
      </c>
      <c r="U45" s="249"/>
      <c r="V45" s="250"/>
      <c r="W45" s="874" t="s">
        <v>9351</v>
      </c>
      <c r="X45" s="249"/>
      <c r="Y45" s="250"/>
      <c r="Z45" s="874"/>
      <c r="AA45" s="249"/>
      <c r="AB45" s="250"/>
      <c r="AC45" s="878">
        <v>44014.0</v>
      </c>
      <c r="AD45" s="874"/>
      <c r="AE45" s="249"/>
      <c r="AF45" s="250"/>
    </row>
    <row r="46">
      <c r="A46" s="872" t="s">
        <v>8862</v>
      </c>
      <c r="B46" s="878">
        <v>44015.0</v>
      </c>
      <c r="C46" s="887"/>
      <c r="D46" s="250"/>
      <c r="E46" s="891" t="s">
        <v>9357</v>
      </c>
      <c r="F46" s="250"/>
      <c r="G46" s="890"/>
      <c r="H46" s="249"/>
      <c r="I46" s="250"/>
      <c r="J46" s="887"/>
      <c r="K46" s="249"/>
      <c r="L46" s="250"/>
      <c r="M46" s="878">
        <v>44015.0</v>
      </c>
      <c r="N46" s="1063"/>
      <c r="O46" s="249"/>
      <c r="P46" s="250"/>
      <c r="Q46" s="971" t="s">
        <v>9353</v>
      </c>
      <c r="R46" s="249"/>
      <c r="S46" s="250"/>
      <c r="T46" s="887"/>
      <c r="U46" s="249"/>
      <c r="V46" s="250"/>
      <c r="W46" s="887"/>
      <c r="X46" s="249"/>
      <c r="Y46" s="250"/>
      <c r="Z46" s="887"/>
      <c r="AA46" s="249"/>
      <c r="AB46" s="250"/>
      <c r="AC46" s="878">
        <v>44015.0</v>
      </c>
      <c r="AD46" s="890"/>
      <c r="AE46" s="249"/>
      <c r="AF46" s="250"/>
    </row>
    <row r="47">
      <c r="A47" s="872" t="s">
        <v>8863</v>
      </c>
      <c r="B47" s="878">
        <v>44016.0</v>
      </c>
      <c r="C47" s="887"/>
      <c r="D47" s="250"/>
      <c r="E47" s="891" t="s">
        <v>9357</v>
      </c>
      <c r="F47" s="250"/>
      <c r="G47" s="890"/>
      <c r="H47" s="249"/>
      <c r="I47" s="250"/>
      <c r="J47" s="887"/>
      <c r="K47" s="249"/>
      <c r="L47" s="250"/>
      <c r="M47" s="878">
        <v>44016.0</v>
      </c>
      <c r="N47" s="887"/>
      <c r="O47" s="249"/>
      <c r="P47" s="250"/>
      <c r="Q47" s="887"/>
      <c r="R47" s="249"/>
      <c r="S47" s="250"/>
      <c r="T47" s="887"/>
      <c r="U47" s="249"/>
      <c r="V47" s="250"/>
      <c r="W47" s="887"/>
      <c r="X47" s="249"/>
      <c r="Y47" s="250"/>
      <c r="Z47" s="887"/>
      <c r="AA47" s="249"/>
      <c r="AB47" s="250"/>
      <c r="AC47" s="878">
        <v>44016.0</v>
      </c>
      <c r="AD47" s="890"/>
      <c r="AE47" s="249"/>
      <c r="AF47" s="250"/>
    </row>
    <row r="48">
      <c r="A48" s="872" t="s">
        <v>8865</v>
      </c>
      <c r="B48" s="878">
        <v>44017.0</v>
      </c>
      <c r="C48" s="887"/>
      <c r="D48" s="250"/>
      <c r="E48" s="891" t="s">
        <v>9357</v>
      </c>
      <c r="F48" s="250"/>
      <c r="G48" s="890"/>
      <c r="H48" s="249"/>
      <c r="I48" s="250"/>
      <c r="J48" s="887"/>
      <c r="K48" s="249"/>
      <c r="L48" s="250"/>
      <c r="M48" s="878">
        <v>44017.0</v>
      </c>
      <c r="N48" s="887"/>
      <c r="O48" s="249"/>
      <c r="P48" s="250"/>
      <c r="Q48" s="887"/>
      <c r="R48" s="249"/>
      <c r="S48" s="250"/>
      <c r="T48" s="887"/>
      <c r="U48" s="249"/>
      <c r="V48" s="250"/>
      <c r="W48" s="887"/>
      <c r="X48" s="249"/>
      <c r="Y48" s="250"/>
      <c r="Z48" s="887"/>
      <c r="AA48" s="249"/>
      <c r="AB48" s="250"/>
      <c r="AC48" s="878">
        <v>44017.0</v>
      </c>
      <c r="AD48" s="890"/>
      <c r="AE48" s="249"/>
      <c r="AF48" s="250"/>
    </row>
    <row r="49">
      <c r="A49" s="872" t="s">
        <v>8867</v>
      </c>
      <c r="B49" s="878">
        <v>44018.0</v>
      </c>
      <c r="C49" s="877"/>
      <c r="D49" s="250"/>
      <c r="E49" s="922" t="s">
        <v>9358</v>
      </c>
      <c r="F49" s="479"/>
      <c r="G49" s="930"/>
      <c r="H49" s="478"/>
      <c r="I49" s="479"/>
      <c r="J49" s="930"/>
      <c r="K49" s="478"/>
      <c r="L49" s="479"/>
      <c r="M49" s="878">
        <v>44018.0</v>
      </c>
      <c r="N49" s="884" t="s">
        <v>9359</v>
      </c>
      <c r="O49" s="249"/>
      <c r="P49" s="250"/>
      <c r="Q49" s="877"/>
      <c r="R49" s="249"/>
      <c r="S49" s="250"/>
      <c r="T49" s="874"/>
      <c r="U49" s="249"/>
      <c r="V49" s="250"/>
      <c r="W49" s="874" t="s">
        <v>9360</v>
      </c>
      <c r="X49" s="249"/>
      <c r="Y49" s="250"/>
      <c r="Z49" s="877"/>
      <c r="AA49" s="249"/>
      <c r="AB49" s="250"/>
      <c r="AC49" s="878">
        <v>44018.0</v>
      </c>
      <c r="AD49" s="877"/>
      <c r="AE49" s="249"/>
      <c r="AF49" s="250"/>
    </row>
    <row r="50">
      <c r="A50" s="872" t="s">
        <v>7559</v>
      </c>
      <c r="B50" s="878">
        <v>44019.0</v>
      </c>
      <c r="C50" s="877"/>
      <c r="D50" s="250"/>
      <c r="E50" s="922" t="s">
        <v>9358</v>
      </c>
      <c r="F50" s="479"/>
      <c r="G50" s="930" t="s">
        <v>9361</v>
      </c>
      <c r="H50" s="478"/>
      <c r="I50" s="479"/>
      <c r="J50" s="943" t="s">
        <v>9362</v>
      </c>
      <c r="K50" s="249"/>
      <c r="L50" s="250"/>
      <c r="M50" s="878">
        <v>44019.0</v>
      </c>
      <c r="N50" s="884" t="s">
        <v>9359</v>
      </c>
      <c r="O50" s="249"/>
      <c r="P50" s="250"/>
      <c r="Q50" s="884" t="s">
        <v>9362</v>
      </c>
      <c r="R50" s="249"/>
      <c r="S50" s="250"/>
      <c r="T50" s="874"/>
      <c r="U50" s="249"/>
      <c r="V50" s="250"/>
      <c r="W50" s="874" t="s">
        <v>9360</v>
      </c>
      <c r="X50" s="249"/>
      <c r="Y50" s="250"/>
      <c r="Z50" s="884" t="s">
        <v>9363</v>
      </c>
      <c r="AA50" s="249"/>
      <c r="AB50" s="250"/>
      <c r="AC50" s="878">
        <v>44019.0</v>
      </c>
      <c r="AD50" s="883"/>
      <c r="AE50" s="249"/>
      <c r="AF50" s="250"/>
    </row>
    <row r="51">
      <c r="A51" s="872" t="s">
        <v>8858</v>
      </c>
      <c r="B51" s="878">
        <v>44020.0</v>
      </c>
      <c r="C51" s="877"/>
      <c r="D51" s="250"/>
      <c r="E51" s="922" t="s">
        <v>9358</v>
      </c>
      <c r="F51" s="479"/>
      <c r="G51" s="930"/>
      <c r="H51" s="478"/>
      <c r="I51" s="479"/>
      <c r="J51" s="943" t="s">
        <v>9362</v>
      </c>
      <c r="K51" s="249"/>
      <c r="L51" s="250"/>
      <c r="M51" s="878">
        <v>44020.0</v>
      </c>
      <c r="N51" s="884" t="s">
        <v>9359</v>
      </c>
      <c r="O51" s="249"/>
      <c r="P51" s="250"/>
      <c r="Q51" s="884" t="s">
        <v>9362</v>
      </c>
      <c r="R51" s="249"/>
      <c r="S51" s="250"/>
      <c r="T51" s="874"/>
      <c r="U51" s="249"/>
      <c r="V51" s="250"/>
      <c r="W51" s="874" t="s">
        <v>9360</v>
      </c>
      <c r="X51" s="249"/>
      <c r="Y51" s="250"/>
      <c r="Z51" s="884" t="s">
        <v>9363</v>
      </c>
      <c r="AA51" s="249"/>
      <c r="AB51" s="250"/>
      <c r="AC51" s="878">
        <v>44020.0</v>
      </c>
      <c r="AD51" s="925" t="s">
        <v>8994</v>
      </c>
      <c r="AE51" s="249"/>
      <c r="AF51" s="250"/>
    </row>
    <row r="52">
      <c r="A52" s="872" t="s">
        <v>8861</v>
      </c>
      <c r="B52" s="878">
        <v>44021.0</v>
      </c>
      <c r="C52" s="877"/>
      <c r="D52" s="250"/>
      <c r="E52" s="922" t="s">
        <v>9364</v>
      </c>
      <c r="F52" s="479"/>
      <c r="G52" s="930"/>
      <c r="H52" s="478"/>
      <c r="I52" s="479"/>
      <c r="J52" s="943" t="s">
        <v>9362</v>
      </c>
      <c r="K52" s="249"/>
      <c r="L52" s="250"/>
      <c r="M52" s="878">
        <v>44021.0</v>
      </c>
      <c r="N52" s="884" t="s">
        <v>9359</v>
      </c>
      <c r="O52" s="249"/>
      <c r="P52" s="250"/>
      <c r="Q52" s="884" t="s">
        <v>9362</v>
      </c>
      <c r="R52" s="249"/>
      <c r="S52" s="250"/>
      <c r="T52" s="884" t="s">
        <v>9365</v>
      </c>
      <c r="U52" s="249"/>
      <c r="V52" s="250"/>
      <c r="W52" s="874" t="s">
        <v>9360</v>
      </c>
      <c r="X52" s="249"/>
      <c r="Y52" s="250"/>
      <c r="Z52" s="884" t="s">
        <v>9363</v>
      </c>
      <c r="AA52" s="249"/>
      <c r="AB52" s="250"/>
      <c r="AC52" s="878">
        <v>44021.0</v>
      </c>
      <c r="AD52" s="925" t="s">
        <v>8994</v>
      </c>
      <c r="AE52" s="249"/>
      <c r="AF52" s="250"/>
    </row>
    <row r="53">
      <c r="A53" s="872" t="s">
        <v>8862</v>
      </c>
      <c r="B53" s="878">
        <v>44022.0</v>
      </c>
      <c r="C53" s="927"/>
      <c r="D53" s="250"/>
      <c r="E53" s="922" t="s">
        <v>9364</v>
      </c>
      <c r="F53" s="479"/>
      <c r="G53" s="930"/>
      <c r="H53" s="478"/>
      <c r="I53" s="479"/>
      <c r="J53" s="943" t="s">
        <v>9362</v>
      </c>
      <c r="K53" s="249"/>
      <c r="L53" s="250"/>
      <c r="M53" s="878">
        <v>44022.0</v>
      </c>
      <c r="N53" s="884" t="s">
        <v>9359</v>
      </c>
      <c r="O53" s="249"/>
      <c r="P53" s="250"/>
      <c r="Q53" s="884" t="s">
        <v>9362</v>
      </c>
      <c r="R53" s="249"/>
      <c r="S53" s="250"/>
      <c r="T53" s="884" t="s">
        <v>9365</v>
      </c>
      <c r="U53" s="249"/>
      <c r="V53" s="250"/>
      <c r="W53" s="874" t="s">
        <v>9360</v>
      </c>
      <c r="X53" s="249"/>
      <c r="Y53" s="250"/>
      <c r="Z53" s="884" t="s">
        <v>9363</v>
      </c>
      <c r="AA53" s="249"/>
      <c r="AB53" s="250"/>
      <c r="AC53" s="878">
        <v>44022.0</v>
      </c>
      <c r="AD53" s="908" t="s">
        <v>8994</v>
      </c>
      <c r="AE53" s="249"/>
      <c r="AF53" s="250"/>
    </row>
    <row r="54">
      <c r="A54" s="872" t="s">
        <v>8863</v>
      </c>
      <c r="B54" s="878">
        <v>44023.0</v>
      </c>
      <c r="C54" s="927"/>
      <c r="D54" s="250"/>
      <c r="E54" s="922" t="s">
        <v>9364</v>
      </c>
      <c r="F54" s="479"/>
      <c r="G54" s="930"/>
      <c r="H54" s="478"/>
      <c r="I54" s="479"/>
      <c r="J54" s="943" t="s">
        <v>9362</v>
      </c>
      <c r="K54" s="249"/>
      <c r="L54" s="250"/>
      <c r="M54" s="878">
        <v>44023.0</v>
      </c>
      <c r="N54" s="884" t="s">
        <v>9359</v>
      </c>
      <c r="O54" s="249"/>
      <c r="P54" s="250"/>
      <c r="Q54" s="884" t="s">
        <v>9362</v>
      </c>
      <c r="R54" s="249"/>
      <c r="S54" s="250"/>
      <c r="T54" s="884" t="s">
        <v>9365</v>
      </c>
      <c r="U54" s="249"/>
      <c r="V54" s="250"/>
      <c r="W54" s="874" t="s">
        <v>9360</v>
      </c>
      <c r="X54" s="249"/>
      <c r="Y54" s="250"/>
      <c r="Z54" s="884" t="s">
        <v>9366</v>
      </c>
      <c r="AA54" s="249"/>
      <c r="AB54" s="250"/>
      <c r="AC54" s="878">
        <v>44023.0</v>
      </c>
      <c r="AD54" s="908" t="s">
        <v>8994</v>
      </c>
      <c r="AE54" s="249"/>
      <c r="AF54" s="250"/>
    </row>
    <row r="55">
      <c r="A55" s="872" t="s">
        <v>8865</v>
      </c>
      <c r="B55" s="878">
        <v>44024.0</v>
      </c>
      <c r="C55" s="927"/>
      <c r="D55" s="250"/>
      <c r="E55" s="922" t="s">
        <v>9364</v>
      </c>
      <c r="F55" s="479"/>
      <c r="G55" s="930"/>
      <c r="H55" s="478"/>
      <c r="I55" s="479"/>
      <c r="J55" s="884"/>
      <c r="K55" s="249"/>
      <c r="L55" s="250"/>
      <c r="M55" s="878">
        <v>44024.0</v>
      </c>
      <c r="N55" s="884" t="s">
        <v>9359</v>
      </c>
      <c r="O55" s="249"/>
      <c r="P55" s="250"/>
      <c r="Q55" s="1064"/>
      <c r="R55" s="249"/>
      <c r="S55" s="250"/>
      <c r="T55" s="884" t="s">
        <v>9365</v>
      </c>
      <c r="U55" s="249"/>
      <c r="V55" s="250"/>
      <c r="W55" s="1054"/>
      <c r="X55" s="249"/>
      <c r="Y55" s="250"/>
      <c r="Z55" s="1065" t="s">
        <v>9367</v>
      </c>
      <c r="AA55" s="1066"/>
      <c r="AB55" s="1067"/>
      <c r="AC55" s="878">
        <v>44024.0</v>
      </c>
      <c r="AD55" s="927"/>
      <c r="AE55" s="249"/>
      <c r="AF55" s="250"/>
    </row>
    <row r="56">
      <c r="A56" s="872" t="s">
        <v>8867</v>
      </c>
      <c r="B56" s="878">
        <v>44025.0</v>
      </c>
      <c r="C56" s="927"/>
      <c r="D56" s="250"/>
      <c r="E56" s="922" t="s">
        <v>9364</v>
      </c>
      <c r="F56" s="479"/>
      <c r="G56" s="930"/>
      <c r="H56" s="478"/>
      <c r="I56" s="479"/>
      <c r="J56" s="927"/>
      <c r="K56" s="249"/>
      <c r="L56" s="250"/>
      <c r="M56" s="878">
        <v>44025.0</v>
      </c>
      <c r="N56" s="884" t="s">
        <v>9359</v>
      </c>
      <c r="O56" s="249"/>
      <c r="P56" s="250"/>
      <c r="Q56" s="1064" t="s">
        <v>9368</v>
      </c>
      <c r="R56" s="249"/>
      <c r="S56" s="250"/>
      <c r="T56" s="884" t="s">
        <v>9365</v>
      </c>
      <c r="U56" s="249"/>
      <c r="V56" s="250"/>
      <c r="W56" s="1054"/>
      <c r="X56" s="249"/>
      <c r="Y56" s="250"/>
      <c r="Z56" s="1065" t="s">
        <v>9367</v>
      </c>
      <c r="AA56" s="1066"/>
      <c r="AB56" s="1067"/>
      <c r="AC56" s="878">
        <v>44025.0</v>
      </c>
      <c r="AD56" s="927"/>
      <c r="AE56" s="249"/>
      <c r="AF56" s="250"/>
    </row>
    <row r="57">
      <c r="A57" s="872" t="s">
        <v>7559</v>
      </c>
      <c r="B57" s="878">
        <v>44026.0</v>
      </c>
      <c r="C57" s="875"/>
      <c r="D57" s="250"/>
      <c r="E57" s="922" t="s">
        <v>9364</v>
      </c>
      <c r="F57" s="479"/>
      <c r="G57" s="913"/>
      <c r="H57" s="249"/>
      <c r="I57" s="250"/>
      <c r="J57" s="915"/>
      <c r="K57" s="249"/>
      <c r="L57" s="250"/>
      <c r="M57" s="878">
        <v>44026.0</v>
      </c>
      <c r="N57" s="1055"/>
      <c r="O57" s="249"/>
      <c r="P57" s="250"/>
      <c r="Q57" s="1064" t="s">
        <v>9368</v>
      </c>
      <c r="R57" s="249"/>
      <c r="S57" s="250"/>
      <c r="T57" s="884" t="s">
        <v>9365</v>
      </c>
      <c r="U57" s="249"/>
      <c r="V57" s="250"/>
      <c r="W57" s="1054"/>
      <c r="X57" s="249"/>
      <c r="Y57" s="250"/>
      <c r="Z57" s="1065" t="s">
        <v>9367</v>
      </c>
      <c r="AA57" s="1066"/>
      <c r="AB57" s="1067"/>
      <c r="AC57" s="878">
        <v>44026.0</v>
      </c>
      <c r="AD57" s="928"/>
      <c r="AE57" s="249"/>
      <c r="AF57" s="250"/>
    </row>
    <row r="58">
      <c r="A58" s="872" t="s">
        <v>8858</v>
      </c>
      <c r="B58" s="878">
        <v>44027.0</v>
      </c>
      <c r="C58" s="915"/>
      <c r="D58" s="250"/>
      <c r="E58" s="922"/>
      <c r="F58" s="479"/>
      <c r="G58" s="1068"/>
      <c r="H58" s="249"/>
      <c r="I58" s="250"/>
      <c r="J58" s="958" t="s">
        <v>9369</v>
      </c>
      <c r="K58" s="249"/>
      <c r="L58" s="250"/>
      <c r="M58" s="878">
        <v>44027.0</v>
      </c>
      <c r="N58" s="1055"/>
      <c r="O58" s="249"/>
      <c r="P58" s="250"/>
      <c r="Q58" s="1064" t="s">
        <v>9368</v>
      </c>
      <c r="R58" s="249"/>
      <c r="S58" s="250"/>
      <c r="T58" s="1054"/>
      <c r="U58" s="249"/>
      <c r="V58" s="250"/>
      <c r="W58" s="1054"/>
      <c r="X58" s="249"/>
      <c r="Y58" s="250"/>
      <c r="Z58" s="1055"/>
      <c r="AA58" s="249"/>
      <c r="AB58" s="250"/>
      <c r="AC58" s="878">
        <v>44027.0</v>
      </c>
      <c r="AD58" s="928"/>
      <c r="AE58" s="249"/>
      <c r="AF58" s="250"/>
    </row>
    <row r="59">
      <c r="A59" s="872" t="s">
        <v>8861</v>
      </c>
      <c r="B59" s="878">
        <v>44028.0</v>
      </c>
      <c r="C59" s="915"/>
      <c r="D59" s="250"/>
      <c r="E59" s="1069"/>
      <c r="F59" s="479"/>
      <c r="G59" s="1070"/>
      <c r="H59" s="478"/>
      <c r="I59" s="479"/>
      <c r="J59" s="915"/>
      <c r="K59" s="249"/>
      <c r="L59" s="250"/>
      <c r="M59" s="878">
        <v>44028.0</v>
      </c>
      <c r="N59" s="1055"/>
      <c r="O59" s="249"/>
      <c r="P59" s="250"/>
      <c r="Q59" s="1064" t="s">
        <v>9368</v>
      </c>
      <c r="R59" s="249"/>
      <c r="S59" s="250"/>
      <c r="T59" s="1054"/>
      <c r="U59" s="249"/>
      <c r="V59" s="250"/>
      <c r="W59" s="1055"/>
      <c r="X59" s="249"/>
      <c r="Y59" s="250"/>
      <c r="Z59" s="1055"/>
      <c r="AA59" s="249"/>
      <c r="AB59" s="250"/>
      <c r="AC59" s="878">
        <v>44028.0</v>
      </c>
      <c r="AD59" s="928"/>
      <c r="AE59" s="249"/>
      <c r="AF59" s="250"/>
    </row>
    <row r="60">
      <c r="A60" s="872" t="s">
        <v>8862</v>
      </c>
      <c r="B60" s="878">
        <v>44029.0</v>
      </c>
      <c r="C60" s="915"/>
      <c r="D60" s="250"/>
      <c r="E60" s="1069"/>
      <c r="F60" s="479"/>
      <c r="G60" s="1069"/>
      <c r="H60" s="478"/>
      <c r="I60" s="479"/>
      <c r="J60" s="1071" t="s">
        <v>9370</v>
      </c>
      <c r="K60" s="249"/>
      <c r="L60" s="250"/>
      <c r="M60" s="878">
        <v>44029.0</v>
      </c>
      <c r="N60" s="1064" t="s">
        <v>9370</v>
      </c>
      <c r="O60" s="249"/>
      <c r="P60" s="250"/>
      <c r="Q60" s="1064" t="s">
        <v>9368</v>
      </c>
      <c r="R60" s="249"/>
      <c r="S60" s="250"/>
      <c r="T60" s="1054"/>
      <c r="U60" s="249"/>
      <c r="V60" s="250"/>
      <c r="W60" s="1055"/>
      <c r="X60" s="249"/>
      <c r="Y60" s="250"/>
      <c r="Z60" s="1055"/>
      <c r="AA60" s="249"/>
      <c r="AB60" s="250"/>
      <c r="AC60" s="878">
        <v>44029.0</v>
      </c>
      <c r="AD60" s="928"/>
      <c r="AE60" s="249"/>
      <c r="AF60" s="250"/>
    </row>
    <row r="61">
      <c r="A61" s="872" t="s">
        <v>8863</v>
      </c>
      <c r="B61" s="878">
        <v>44030.0</v>
      </c>
      <c r="C61" s="915"/>
      <c r="D61" s="250"/>
      <c r="E61" s="1069"/>
      <c r="F61" s="479"/>
      <c r="G61" s="1069"/>
      <c r="H61" s="478"/>
      <c r="I61" s="479"/>
      <c r="J61" s="1071" t="s">
        <v>9370</v>
      </c>
      <c r="K61" s="249"/>
      <c r="L61" s="250"/>
      <c r="M61" s="878">
        <v>44030.0</v>
      </c>
      <c r="N61" s="1064" t="s">
        <v>9370</v>
      </c>
      <c r="O61" s="249"/>
      <c r="P61" s="250"/>
      <c r="Q61" s="1064" t="s">
        <v>9368</v>
      </c>
      <c r="R61" s="249"/>
      <c r="S61" s="250"/>
      <c r="T61" s="1055"/>
      <c r="U61" s="249"/>
      <c r="V61" s="250"/>
      <c r="W61" s="1054" t="s">
        <v>9371</v>
      </c>
      <c r="X61" s="249"/>
      <c r="Y61" s="250"/>
      <c r="Z61" s="1055"/>
      <c r="AA61" s="249"/>
      <c r="AB61" s="250"/>
      <c r="AC61" s="878">
        <v>44030.0</v>
      </c>
      <c r="AD61" s="928"/>
      <c r="AE61" s="249"/>
      <c r="AF61" s="250"/>
    </row>
    <row r="62">
      <c r="A62" s="872" t="s">
        <v>8865</v>
      </c>
      <c r="B62" s="878">
        <v>44031.0</v>
      </c>
      <c r="C62" s="915"/>
      <c r="D62" s="250"/>
      <c r="E62" s="1069"/>
      <c r="F62" s="479"/>
      <c r="G62" s="1069"/>
      <c r="H62" s="478"/>
      <c r="I62" s="479"/>
      <c r="J62" s="1071" t="s">
        <v>9370</v>
      </c>
      <c r="K62" s="249"/>
      <c r="L62" s="250"/>
      <c r="M62" s="878">
        <v>44031.0</v>
      </c>
      <c r="N62" s="1064" t="s">
        <v>9370</v>
      </c>
      <c r="O62" s="249"/>
      <c r="P62" s="250"/>
      <c r="Q62" s="1055"/>
      <c r="R62" s="249"/>
      <c r="S62" s="250"/>
      <c r="T62" s="1055"/>
      <c r="U62" s="249"/>
      <c r="V62" s="250"/>
      <c r="W62" s="1054" t="s">
        <v>9371</v>
      </c>
      <c r="X62" s="249"/>
      <c r="Y62" s="250"/>
      <c r="Z62" s="1055"/>
      <c r="AA62" s="249"/>
      <c r="AB62" s="250"/>
      <c r="AC62" s="878">
        <v>44031.0</v>
      </c>
      <c r="AD62" s="928"/>
      <c r="AE62" s="249"/>
      <c r="AF62" s="250"/>
    </row>
    <row r="63">
      <c r="A63" s="872" t="s">
        <v>8867</v>
      </c>
      <c r="B63" s="878">
        <v>44032.0</v>
      </c>
      <c r="C63" s="915"/>
      <c r="D63" s="250"/>
      <c r="E63" s="1069"/>
      <c r="F63" s="479"/>
      <c r="G63" s="1069"/>
      <c r="H63" s="478"/>
      <c r="I63" s="479"/>
      <c r="J63" s="1071" t="s">
        <v>9370</v>
      </c>
      <c r="K63" s="249"/>
      <c r="L63" s="250"/>
      <c r="M63" s="878">
        <v>44032.0</v>
      </c>
      <c r="N63" s="1064" t="s">
        <v>9370</v>
      </c>
      <c r="O63" s="249"/>
      <c r="P63" s="250"/>
      <c r="Q63" s="1055"/>
      <c r="R63" s="249"/>
      <c r="S63" s="250"/>
      <c r="T63" s="874"/>
      <c r="U63" s="249"/>
      <c r="V63" s="250"/>
      <c r="W63" s="1054" t="s">
        <v>9371</v>
      </c>
      <c r="X63" s="249"/>
      <c r="Y63" s="250"/>
      <c r="Z63" s="1055"/>
      <c r="AA63" s="249"/>
      <c r="AB63" s="250"/>
      <c r="AC63" s="878">
        <v>44032.0</v>
      </c>
      <c r="AD63" s="874"/>
      <c r="AE63" s="249"/>
      <c r="AF63" s="250"/>
    </row>
    <row r="64">
      <c r="A64" s="872" t="s">
        <v>7559</v>
      </c>
      <c r="B64" s="878">
        <v>44033.0</v>
      </c>
      <c r="C64" s="915"/>
      <c r="D64" s="250"/>
      <c r="E64" s="1069"/>
      <c r="F64" s="479"/>
      <c r="G64" s="1069"/>
      <c r="H64" s="478"/>
      <c r="I64" s="479"/>
      <c r="J64" s="1071" t="s">
        <v>9372</v>
      </c>
      <c r="K64" s="249"/>
      <c r="L64" s="250"/>
      <c r="M64" s="878">
        <v>44033.0</v>
      </c>
      <c r="N64" s="1064" t="s">
        <v>9370</v>
      </c>
      <c r="O64" s="249"/>
      <c r="P64" s="250"/>
      <c r="Q64" s="1071" t="s">
        <v>9372</v>
      </c>
      <c r="R64" s="249"/>
      <c r="S64" s="250"/>
      <c r="T64" s="874"/>
      <c r="U64" s="249"/>
      <c r="V64" s="250"/>
      <c r="W64" s="1054" t="s">
        <v>9371</v>
      </c>
      <c r="X64" s="249"/>
      <c r="Y64" s="250"/>
      <c r="Z64" s="1055"/>
      <c r="AA64" s="249"/>
      <c r="AB64" s="250"/>
      <c r="AC64" s="878">
        <v>44033.0</v>
      </c>
      <c r="AD64" s="908" t="s">
        <v>8998</v>
      </c>
      <c r="AE64" s="249"/>
      <c r="AF64" s="250"/>
    </row>
    <row r="65">
      <c r="A65" s="872" t="s">
        <v>8858</v>
      </c>
      <c r="B65" s="878">
        <v>44034.0</v>
      </c>
      <c r="C65" s="915"/>
      <c r="D65" s="250"/>
      <c r="E65" s="1069"/>
      <c r="F65" s="479"/>
      <c r="G65" s="1069"/>
      <c r="H65" s="478"/>
      <c r="I65" s="479"/>
      <c r="J65" s="1071" t="s">
        <v>9372</v>
      </c>
      <c r="K65" s="249"/>
      <c r="L65" s="250"/>
      <c r="M65" s="878">
        <v>44034.0</v>
      </c>
      <c r="N65" s="1064" t="s">
        <v>9370</v>
      </c>
      <c r="O65" s="249"/>
      <c r="P65" s="250"/>
      <c r="Q65" s="1071" t="s">
        <v>9372</v>
      </c>
      <c r="R65" s="249"/>
      <c r="S65" s="250"/>
      <c r="T65" s="1055"/>
      <c r="U65" s="249"/>
      <c r="V65" s="250"/>
      <c r="W65" s="1054"/>
      <c r="X65" s="249"/>
      <c r="Y65" s="250"/>
      <c r="Z65" s="1054"/>
      <c r="AA65" s="249"/>
      <c r="AB65" s="250"/>
      <c r="AC65" s="878">
        <v>44034.0</v>
      </c>
      <c r="AD65" s="908" t="s">
        <v>8998</v>
      </c>
      <c r="AE65" s="249"/>
      <c r="AF65" s="250"/>
    </row>
    <row r="66">
      <c r="A66" s="872" t="s">
        <v>8861</v>
      </c>
      <c r="B66" s="878">
        <v>44035.0</v>
      </c>
      <c r="C66" s="915"/>
      <c r="D66" s="250"/>
      <c r="E66" s="1069"/>
      <c r="F66" s="479"/>
      <c r="G66" s="1069"/>
      <c r="H66" s="478"/>
      <c r="I66" s="479"/>
      <c r="J66" s="918"/>
      <c r="K66" s="249"/>
      <c r="L66" s="250"/>
      <c r="M66" s="878">
        <v>44035.0</v>
      </c>
      <c r="N66" s="1064" t="s">
        <v>9370</v>
      </c>
      <c r="O66" s="249"/>
      <c r="P66" s="250"/>
      <c r="Q66" s="1071" t="s">
        <v>9372</v>
      </c>
      <c r="R66" s="249"/>
      <c r="S66" s="250"/>
      <c r="T66" s="1055"/>
      <c r="U66" s="249"/>
      <c r="V66" s="250"/>
      <c r="W66" s="1054"/>
      <c r="X66" s="249"/>
      <c r="Y66" s="250"/>
      <c r="Z66" s="1054"/>
      <c r="AA66" s="249"/>
      <c r="AB66" s="250"/>
      <c r="AC66" s="878">
        <v>44035.0</v>
      </c>
      <c r="AD66" s="908" t="s">
        <v>8998</v>
      </c>
      <c r="AE66" s="249"/>
      <c r="AF66" s="250"/>
    </row>
    <row r="67">
      <c r="A67" s="872" t="s">
        <v>8862</v>
      </c>
      <c r="B67" s="878">
        <v>44036.0</v>
      </c>
      <c r="C67" s="927"/>
      <c r="D67" s="250"/>
      <c r="E67" s="1072" t="s">
        <v>9373</v>
      </c>
      <c r="F67" s="250"/>
      <c r="G67" s="1069"/>
      <c r="H67" s="478"/>
      <c r="I67" s="479"/>
      <c r="J67" s="935" t="s">
        <v>9374</v>
      </c>
      <c r="K67" s="249"/>
      <c r="L67" s="250"/>
      <c r="M67" s="878">
        <v>44036.0</v>
      </c>
      <c r="N67" s="935" t="s">
        <v>9374</v>
      </c>
      <c r="O67" s="249"/>
      <c r="P67" s="250"/>
      <c r="Q67" s="1071" t="s">
        <v>9372</v>
      </c>
      <c r="R67" s="249"/>
      <c r="S67" s="250"/>
      <c r="T67" s="1054"/>
      <c r="U67" s="249"/>
      <c r="V67" s="250"/>
      <c r="W67" s="1054"/>
      <c r="X67" s="249"/>
      <c r="Y67" s="250"/>
      <c r="Z67" s="1054"/>
      <c r="AA67" s="249"/>
      <c r="AB67" s="250"/>
      <c r="AC67" s="878">
        <v>44036.0</v>
      </c>
      <c r="AD67" s="928"/>
      <c r="AE67" s="249"/>
      <c r="AF67" s="250"/>
    </row>
    <row r="68">
      <c r="A68" s="872" t="s">
        <v>8863</v>
      </c>
      <c r="B68" s="878">
        <v>44037.0</v>
      </c>
      <c r="C68" s="927"/>
      <c r="D68" s="250"/>
      <c r="E68" s="1072" t="s">
        <v>9373</v>
      </c>
      <c r="F68" s="250"/>
      <c r="G68" s="1069"/>
      <c r="H68" s="478"/>
      <c r="I68" s="479"/>
      <c r="J68" s="935" t="s">
        <v>9374</v>
      </c>
      <c r="K68" s="249"/>
      <c r="L68" s="250"/>
      <c r="M68" s="878">
        <v>44037.0</v>
      </c>
      <c r="N68" s="935" t="s">
        <v>9374</v>
      </c>
      <c r="O68" s="249"/>
      <c r="P68" s="250"/>
      <c r="Q68" s="1071" t="s">
        <v>9372</v>
      </c>
      <c r="R68" s="249"/>
      <c r="S68" s="250"/>
      <c r="T68" s="1054"/>
      <c r="U68" s="249"/>
      <c r="V68" s="250"/>
      <c r="W68" s="1054" t="s">
        <v>9375</v>
      </c>
      <c r="X68" s="249"/>
      <c r="Y68" s="250"/>
      <c r="Z68" s="1054"/>
      <c r="AA68" s="249"/>
      <c r="AB68" s="250"/>
      <c r="AC68" s="878">
        <v>44037.0</v>
      </c>
      <c r="AD68" s="927"/>
      <c r="AE68" s="249"/>
      <c r="AF68" s="250"/>
    </row>
    <row r="69">
      <c r="A69" s="872" t="s">
        <v>8865</v>
      </c>
      <c r="B69" s="878">
        <v>44038.0</v>
      </c>
      <c r="C69" s="927"/>
      <c r="D69" s="250"/>
      <c r="E69" s="1072" t="s">
        <v>9373</v>
      </c>
      <c r="F69" s="250"/>
      <c r="G69" s="935"/>
      <c r="H69" s="249"/>
      <c r="I69" s="250"/>
      <c r="J69" s="935" t="s">
        <v>9374</v>
      </c>
      <c r="K69" s="249"/>
      <c r="L69" s="250"/>
      <c r="M69" s="878">
        <v>44038.0</v>
      </c>
      <c r="N69" s="935" t="s">
        <v>9374</v>
      </c>
      <c r="O69" s="249"/>
      <c r="P69" s="250"/>
      <c r="Q69" s="1073"/>
      <c r="R69" s="249"/>
      <c r="S69" s="250"/>
      <c r="T69" s="1054"/>
      <c r="U69" s="249"/>
      <c r="V69" s="250"/>
      <c r="W69" s="1054" t="s">
        <v>9375</v>
      </c>
      <c r="X69" s="249"/>
      <c r="Y69" s="250"/>
      <c r="Z69" s="1054"/>
      <c r="AA69" s="249"/>
      <c r="AB69" s="250"/>
      <c r="AC69" s="878">
        <v>44038.0</v>
      </c>
      <c r="AD69" s="927"/>
      <c r="AE69" s="249"/>
      <c r="AF69" s="250"/>
    </row>
    <row r="70">
      <c r="A70" s="872" t="s">
        <v>8867</v>
      </c>
      <c r="B70" s="878">
        <v>44039.0</v>
      </c>
      <c r="C70" s="927"/>
      <c r="D70" s="250"/>
      <c r="E70" s="1072" t="s">
        <v>9373</v>
      </c>
      <c r="F70" s="250"/>
      <c r="G70" s="935"/>
      <c r="H70" s="249"/>
      <c r="I70" s="250"/>
      <c r="J70" s="935" t="s">
        <v>9374</v>
      </c>
      <c r="K70" s="249"/>
      <c r="L70" s="250"/>
      <c r="M70" s="878">
        <v>44039.0</v>
      </c>
      <c r="N70" s="1074" t="s">
        <v>9374</v>
      </c>
      <c r="O70" s="478"/>
      <c r="P70" s="479"/>
      <c r="Q70" s="942"/>
      <c r="R70" s="478"/>
      <c r="S70" s="479"/>
      <c r="T70" s="1054"/>
      <c r="U70" s="249"/>
      <c r="V70" s="250"/>
      <c r="W70" s="1054" t="s">
        <v>9375</v>
      </c>
      <c r="X70" s="249"/>
      <c r="Y70" s="250"/>
      <c r="Z70" s="1054"/>
      <c r="AA70" s="249"/>
      <c r="AB70" s="250"/>
      <c r="AC70" s="878">
        <v>44039.0</v>
      </c>
      <c r="AD70" s="927"/>
      <c r="AE70" s="249"/>
      <c r="AF70" s="250"/>
    </row>
    <row r="71">
      <c r="A71" s="872" t="s">
        <v>7559</v>
      </c>
      <c r="B71" s="878">
        <v>44040.0</v>
      </c>
      <c r="C71" s="915"/>
      <c r="D71" s="250"/>
      <c r="E71" s="1056"/>
      <c r="F71" s="250"/>
      <c r="G71" s="935"/>
      <c r="H71" s="249"/>
      <c r="I71" s="250"/>
      <c r="M71" s="878">
        <v>44040.0</v>
      </c>
      <c r="N71" s="1075"/>
      <c r="O71" s="478"/>
      <c r="P71" s="479"/>
      <c r="Q71" s="1076"/>
      <c r="R71" s="478"/>
      <c r="S71" s="479"/>
      <c r="T71" s="1054"/>
      <c r="U71" s="249"/>
      <c r="V71" s="250"/>
      <c r="W71" s="1054" t="s">
        <v>9375</v>
      </c>
      <c r="X71" s="249"/>
      <c r="Y71" s="250"/>
      <c r="Z71" s="1054"/>
      <c r="AA71" s="249"/>
      <c r="AB71" s="250"/>
      <c r="AC71" s="878">
        <v>44040.0</v>
      </c>
      <c r="AD71" s="915"/>
      <c r="AE71" s="249"/>
      <c r="AF71" s="250"/>
    </row>
    <row r="72">
      <c r="A72" s="872" t="s">
        <v>8858</v>
      </c>
      <c r="B72" s="878">
        <v>44041.0</v>
      </c>
      <c r="C72" s="915"/>
      <c r="D72" s="250"/>
      <c r="E72" s="1056"/>
      <c r="F72" s="250"/>
      <c r="G72" s="1076"/>
      <c r="H72" s="478"/>
      <c r="I72" s="479"/>
      <c r="J72" s="1077" t="s">
        <v>9376</v>
      </c>
      <c r="K72" s="249"/>
      <c r="L72" s="250"/>
      <c r="M72" s="878">
        <v>44041.0</v>
      </c>
      <c r="N72" s="1074"/>
      <c r="O72" s="478"/>
      <c r="P72" s="479"/>
      <c r="Q72" s="1076"/>
      <c r="R72" s="478"/>
      <c r="S72" s="479"/>
      <c r="T72" s="1054"/>
      <c r="U72" s="249"/>
      <c r="V72" s="250"/>
      <c r="W72" s="1054"/>
      <c r="X72" s="249"/>
      <c r="Y72" s="250"/>
      <c r="Z72" s="1054"/>
      <c r="AA72" s="249"/>
      <c r="AB72" s="250"/>
      <c r="AC72" s="878">
        <v>44041.0</v>
      </c>
      <c r="AD72" s="925" t="s">
        <v>8928</v>
      </c>
      <c r="AE72" s="249"/>
      <c r="AF72" s="250"/>
    </row>
    <row r="73">
      <c r="A73" s="872" t="s">
        <v>8861</v>
      </c>
      <c r="B73" s="878">
        <v>44042.0</v>
      </c>
      <c r="C73" s="915"/>
      <c r="D73" s="250"/>
      <c r="E73" s="1056"/>
      <c r="F73" s="250"/>
      <c r="G73" s="1074" t="s">
        <v>9377</v>
      </c>
      <c r="H73" s="478"/>
      <c r="I73" s="479"/>
      <c r="J73" s="1077" t="s">
        <v>9378</v>
      </c>
      <c r="K73" s="249"/>
      <c r="L73" s="250"/>
      <c r="M73" s="878">
        <v>44042.0</v>
      </c>
      <c r="N73" s="1074" t="s">
        <v>9377</v>
      </c>
      <c r="O73" s="478"/>
      <c r="P73" s="479"/>
      <c r="Q73" s="1064" t="s">
        <v>9379</v>
      </c>
      <c r="R73" s="249"/>
      <c r="S73" s="250"/>
      <c r="T73" s="1055"/>
      <c r="U73" s="249"/>
      <c r="V73" s="250"/>
      <c r="W73" s="1054"/>
      <c r="X73" s="249"/>
      <c r="Y73" s="250"/>
      <c r="Z73" s="1054"/>
      <c r="AA73" s="249"/>
      <c r="AB73" s="250"/>
      <c r="AC73" s="878">
        <v>44042.0</v>
      </c>
      <c r="AD73" s="925" t="s">
        <v>8928</v>
      </c>
      <c r="AE73" s="249"/>
      <c r="AF73" s="250"/>
    </row>
    <row r="74">
      <c r="A74" s="872" t="s">
        <v>8862</v>
      </c>
      <c r="B74" s="878">
        <v>44043.0</v>
      </c>
      <c r="C74" s="927"/>
      <c r="D74" s="250"/>
      <c r="E74" s="927"/>
      <c r="F74" s="250"/>
      <c r="G74" s="1074" t="s">
        <v>9377</v>
      </c>
      <c r="H74" s="478"/>
      <c r="I74" s="479"/>
      <c r="J74" s="927"/>
      <c r="K74" s="249"/>
      <c r="L74" s="250"/>
      <c r="M74" s="878">
        <v>44043.0</v>
      </c>
      <c r="N74" s="1074" t="s">
        <v>9377</v>
      </c>
      <c r="O74" s="478"/>
      <c r="P74" s="479"/>
      <c r="Q74" s="1064" t="s">
        <v>9379</v>
      </c>
      <c r="R74" s="249"/>
      <c r="S74" s="250"/>
      <c r="T74" s="1055"/>
      <c r="U74" s="249"/>
      <c r="V74" s="250"/>
      <c r="W74" s="1054"/>
      <c r="X74" s="249"/>
      <c r="Y74" s="250"/>
      <c r="Z74" s="1054"/>
      <c r="AA74" s="249"/>
      <c r="AB74" s="250"/>
      <c r="AC74" s="878">
        <v>44043.0</v>
      </c>
      <c r="AD74" s="925" t="s">
        <v>8928</v>
      </c>
      <c r="AE74" s="249"/>
      <c r="AF74" s="250"/>
    </row>
    <row r="75">
      <c r="A75" s="872" t="s">
        <v>8863</v>
      </c>
      <c r="B75" s="878">
        <v>44044.0</v>
      </c>
      <c r="C75" s="927"/>
      <c r="D75" s="250"/>
      <c r="E75" s="927"/>
      <c r="F75" s="250"/>
      <c r="G75" s="938" t="s">
        <v>9380</v>
      </c>
      <c r="H75" s="478"/>
      <c r="I75" s="479"/>
      <c r="J75" s="927"/>
      <c r="K75" s="249"/>
      <c r="L75" s="250"/>
      <c r="M75" s="878">
        <v>44044.0</v>
      </c>
      <c r="N75" s="1078" t="s">
        <v>9381</v>
      </c>
      <c r="O75" s="478"/>
      <c r="P75" s="479"/>
      <c r="Q75" s="1055"/>
      <c r="R75" s="249"/>
      <c r="S75" s="250"/>
      <c r="T75" s="1055"/>
      <c r="U75" s="249"/>
      <c r="V75" s="250"/>
      <c r="W75" s="1054" t="s">
        <v>9382</v>
      </c>
      <c r="X75" s="249"/>
      <c r="Y75" s="250"/>
      <c r="Z75" s="1055"/>
      <c r="AA75" s="249"/>
      <c r="AB75" s="250"/>
      <c r="AC75" s="878">
        <v>44044.0</v>
      </c>
      <c r="AD75" s="925" t="s">
        <v>8928</v>
      </c>
      <c r="AE75" s="249"/>
      <c r="AF75" s="250"/>
    </row>
    <row r="76">
      <c r="A76" s="872" t="s">
        <v>8865</v>
      </c>
      <c r="B76" s="878">
        <v>44045.0</v>
      </c>
      <c r="C76" s="927"/>
      <c r="D76" s="250"/>
      <c r="E76" s="927"/>
      <c r="F76" s="250"/>
      <c r="G76" s="942"/>
      <c r="H76" s="478"/>
      <c r="I76" s="479"/>
      <c r="J76" s="927"/>
      <c r="K76" s="249"/>
      <c r="L76" s="250"/>
      <c r="M76" s="878">
        <v>44045.0</v>
      </c>
      <c r="N76" s="942"/>
      <c r="O76" s="478"/>
      <c r="P76" s="479"/>
      <c r="Q76" s="1055"/>
      <c r="R76" s="249"/>
      <c r="S76" s="250"/>
      <c r="T76" s="1055"/>
      <c r="U76" s="249"/>
      <c r="V76" s="250"/>
      <c r="W76" s="1054" t="s">
        <v>9382</v>
      </c>
      <c r="X76" s="249"/>
      <c r="Y76" s="250"/>
      <c r="Z76" s="1055"/>
      <c r="AA76" s="249"/>
      <c r="AB76" s="250"/>
      <c r="AC76" s="878">
        <v>44045.0</v>
      </c>
      <c r="AD76" s="927"/>
      <c r="AE76" s="249"/>
      <c r="AF76" s="250"/>
    </row>
    <row r="77">
      <c r="A77" s="872" t="s">
        <v>8867</v>
      </c>
      <c r="B77" s="878">
        <v>44046.0</v>
      </c>
      <c r="C77" s="927"/>
      <c r="D77" s="250"/>
      <c r="E77" s="927"/>
      <c r="F77" s="250"/>
      <c r="G77" s="927"/>
      <c r="H77" s="249"/>
      <c r="I77" s="250"/>
      <c r="J77" s="1079" t="s">
        <v>7618</v>
      </c>
      <c r="K77" s="249"/>
      <c r="L77" s="250"/>
      <c r="M77" s="878">
        <v>44046.0</v>
      </c>
      <c r="N77" s="1054"/>
      <c r="O77" s="249"/>
      <c r="P77" s="250"/>
      <c r="Q77" s="1055"/>
      <c r="R77" s="249"/>
      <c r="S77" s="250"/>
      <c r="T77" s="1055"/>
      <c r="U77" s="249"/>
      <c r="V77" s="250"/>
      <c r="W77" s="1054" t="s">
        <v>9382</v>
      </c>
      <c r="X77" s="249"/>
      <c r="Y77" s="250"/>
      <c r="Z77" s="1055"/>
      <c r="AA77" s="249"/>
      <c r="AB77" s="250"/>
      <c r="AC77" s="878">
        <v>44046.0</v>
      </c>
      <c r="AD77" s="908" t="s">
        <v>8985</v>
      </c>
      <c r="AE77" s="249"/>
      <c r="AF77" s="250"/>
    </row>
    <row r="78">
      <c r="A78" s="872" t="s">
        <v>7559</v>
      </c>
      <c r="B78" s="878">
        <v>44047.0</v>
      </c>
      <c r="C78" s="915"/>
      <c r="D78" s="250"/>
      <c r="E78" s="1056"/>
      <c r="F78" s="250"/>
      <c r="G78" s="877"/>
      <c r="H78" s="249"/>
      <c r="I78" s="250"/>
      <c r="J78" s="915"/>
      <c r="K78" s="249"/>
      <c r="L78" s="250"/>
      <c r="M78" s="878">
        <v>44047.0</v>
      </c>
      <c r="N78" s="1054"/>
      <c r="O78" s="249"/>
      <c r="P78" s="250"/>
      <c r="Q78" s="1055"/>
      <c r="R78" s="249"/>
      <c r="S78" s="250"/>
      <c r="T78" s="1055"/>
      <c r="U78" s="249"/>
      <c r="V78" s="250"/>
      <c r="W78" s="1054" t="s">
        <v>9382</v>
      </c>
      <c r="X78" s="249"/>
      <c r="Y78" s="250"/>
      <c r="Z78" s="1055"/>
      <c r="AA78" s="249"/>
      <c r="AB78" s="250"/>
      <c r="AC78" s="878">
        <v>44047.0</v>
      </c>
      <c r="AD78" s="944"/>
      <c r="AE78" s="249"/>
      <c r="AF78" s="250"/>
    </row>
    <row r="79">
      <c r="A79" s="872" t="s">
        <v>8858</v>
      </c>
      <c r="B79" s="878">
        <v>44048.0</v>
      </c>
      <c r="C79" s="915"/>
      <c r="D79" s="250"/>
      <c r="E79" s="1056"/>
      <c r="F79" s="250"/>
      <c r="G79" s="874"/>
      <c r="H79" s="249"/>
      <c r="I79" s="250"/>
      <c r="J79" s="915"/>
      <c r="K79" s="249"/>
      <c r="L79" s="250"/>
      <c r="M79" s="878">
        <v>44048.0</v>
      </c>
      <c r="N79" s="1054"/>
      <c r="O79" s="249"/>
      <c r="P79" s="250"/>
      <c r="Q79" s="1055"/>
      <c r="R79" s="249"/>
      <c r="S79" s="250"/>
      <c r="T79" s="1055"/>
      <c r="U79" s="249"/>
      <c r="V79" s="250"/>
      <c r="W79" s="1055"/>
      <c r="X79" s="249"/>
      <c r="Y79" s="250"/>
      <c r="Z79" s="1055"/>
      <c r="AA79" s="249"/>
      <c r="AB79" s="250"/>
      <c r="AC79" s="878">
        <v>44048.0</v>
      </c>
      <c r="AD79" s="877"/>
      <c r="AE79" s="249"/>
      <c r="AF79" s="250"/>
    </row>
    <row r="80">
      <c r="A80" s="872" t="s">
        <v>8861</v>
      </c>
      <c r="B80" s="878">
        <v>44049.0</v>
      </c>
      <c r="C80" s="915"/>
      <c r="D80" s="250"/>
      <c r="E80" s="1056"/>
      <c r="F80" s="250"/>
      <c r="G80" s="874" t="s">
        <v>9383</v>
      </c>
      <c r="H80" s="249"/>
      <c r="I80" s="250"/>
      <c r="J80" s="915"/>
      <c r="K80" s="249"/>
      <c r="L80" s="250"/>
      <c r="M80" s="878">
        <v>44049.0</v>
      </c>
      <c r="N80" s="1054"/>
      <c r="O80" s="249"/>
      <c r="P80" s="250"/>
      <c r="Q80" s="1054"/>
      <c r="R80" s="249"/>
      <c r="S80" s="250"/>
      <c r="T80" s="1055"/>
      <c r="U80" s="249"/>
      <c r="V80" s="250"/>
      <c r="W80" s="1055"/>
      <c r="X80" s="249"/>
      <c r="Y80" s="250"/>
      <c r="Z80" s="1055"/>
      <c r="AA80" s="249"/>
      <c r="AB80" s="250"/>
      <c r="AC80" s="878">
        <v>44049.0</v>
      </c>
      <c r="AD80" s="877"/>
      <c r="AE80" s="249"/>
      <c r="AF80" s="250"/>
    </row>
    <row r="81">
      <c r="A81" s="872" t="s">
        <v>8862</v>
      </c>
      <c r="B81" s="878">
        <v>44050.0</v>
      </c>
      <c r="C81" s="915"/>
      <c r="D81" s="250"/>
      <c r="E81" s="1056"/>
      <c r="F81" s="250"/>
      <c r="G81" s="874" t="s">
        <v>9383</v>
      </c>
      <c r="H81" s="249"/>
      <c r="I81" s="250"/>
      <c r="J81" s="915"/>
      <c r="K81" s="249"/>
      <c r="L81" s="250"/>
      <c r="M81" s="878">
        <v>44050.0</v>
      </c>
      <c r="N81" s="1055"/>
      <c r="O81" s="249"/>
      <c r="P81" s="250"/>
      <c r="Q81" s="1054"/>
      <c r="R81" s="249"/>
      <c r="S81" s="250"/>
      <c r="T81" s="1055"/>
      <c r="U81" s="249"/>
      <c r="V81" s="250"/>
      <c r="W81" s="1055"/>
      <c r="X81" s="249"/>
      <c r="Y81" s="250"/>
      <c r="Z81" s="1055"/>
      <c r="AA81" s="249"/>
      <c r="AB81" s="250"/>
      <c r="AC81" s="878">
        <v>44050.0</v>
      </c>
      <c r="AD81" s="877"/>
      <c r="AE81" s="249"/>
      <c r="AF81" s="250"/>
    </row>
    <row r="82">
      <c r="A82" s="872" t="s">
        <v>8863</v>
      </c>
      <c r="B82" s="878">
        <v>44051.0</v>
      </c>
      <c r="C82" s="927"/>
      <c r="D82" s="250"/>
      <c r="E82" s="927"/>
      <c r="F82" s="250"/>
      <c r="G82" s="927"/>
      <c r="H82" s="249"/>
      <c r="I82" s="250"/>
      <c r="J82" s="927"/>
      <c r="K82" s="249"/>
      <c r="L82" s="250"/>
      <c r="M82" s="878">
        <v>44051.0</v>
      </c>
      <c r="N82" s="1054"/>
      <c r="O82" s="249"/>
      <c r="P82" s="250"/>
      <c r="Q82" s="1055"/>
      <c r="R82" s="249"/>
      <c r="S82" s="250"/>
      <c r="T82" s="1055"/>
      <c r="U82" s="249"/>
      <c r="V82" s="250"/>
      <c r="W82" s="1055"/>
      <c r="X82" s="249"/>
      <c r="Y82" s="250"/>
      <c r="Z82" s="1055"/>
      <c r="AA82" s="249"/>
      <c r="AB82" s="250"/>
      <c r="AC82" s="878">
        <v>44051.0</v>
      </c>
      <c r="AD82" s="927"/>
      <c r="AE82" s="249"/>
      <c r="AF82" s="250"/>
    </row>
    <row r="83">
      <c r="A83" s="872" t="s">
        <v>8865</v>
      </c>
      <c r="B83" s="878">
        <v>44052.0</v>
      </c>
      <c r="C83" s="915"/>
      <c r="D83" s="250"/>
      <c r="E83" s="1056"/>
      <c r="F83" s="250"/>
      <c r="G83" s="877"/>
      <c r="H83" s="249"/>
      <c r="I83" s="250"/>
      <c r="J83" s="915"/>
      <c r="K83" s="249"/>
      <c r="L83" s="250"/>
      <c r="M83" s="878">
        <v>44052.0</v>
      </c>
      <c r="N83" s="1054"/>
      <c r="O83" s="249"/>
      <c r="P83" s="250"/>
      <c r="Q83" s="1055"/>
      <c r="R83" s="249"/>
      <c r="S83" s="250"/>
      <c r="T83" s="1055"/>
      <c r="U83" s="249"/>
      <c r="V83" s="250"/>
      <c r="W83" s="1055"/>
      <c r="X83" s="249"/>
      <c r="Y83" s="250"/>
      <c r="Z83" s="1055"/>
      <c r="AA83" s="249"/>
      <c r="AB83" s="250"/>
      <c r="AC83" s="878">
        <v>44052.0</v>
      </c>
      <c r="AD83" s="928"/>
      <c r="AE83" s="249"/>
      <c r="AF83" s="250"/>
    </row>
    <row r="84">
      <c r="A84" s="872" t="s">
        <v>8867</v>
      </c>
      <c r="B84" s="878">
        <v>44053.0</v>
      </c>
      <c r="C84" s="915"/>
      <c r="D84" s="250"/>
      <c r="E84" s="1056"/>
      <c r="F84" s="250"/>
      <c r="G84" s="945"/>
      <c r="H84" s="249"/>
      <c r="I84" s="250"/>
      <c r="J84" s="915"/>
      <c r="K84" s="249"/>
      <c r="L84" s="250"/>
      <c r="M84" s="878">
        <v>44053.0</v>
      </c>
      <c r="N84" s="1054" t="s">
        <v>9384</v>
      </c>
      <c r="O84" s="249"/>
      <c r="P84" s="250"/>
      <c r="Q84" s="1055"/>
      <c r="R84" s="249"/>
      <c r="S84" s="250"/>
      <c r="T84" s="1055"/>
      <c r="U84" s="249"/>
      <c r="V84" s="250"/>
      <c r="W84" s="1055"/>
      <c r="X84" s="249"/>
      <c r="Y84" s="250"/>
      <c r="Z84" s="1055"/>
      <c r="AA84" s="249"/>
      <c r="AB84" s="250"/>
      <c r="AC84" s="878">
        <v>44053.0</v>
      </c>
      <c r="AD84" s="928"/>
      <c r="AE84" s="249"/>
      <c r="AF84" s="250"/>
    </row>
    <row r="85">
      <c r="A85" s="872" t="s">
        <v>7559</v>
      </c>
      <c r="B85" s="878">
        <v>44054.0</v>
      </c>
      <c r="C85" s="915"/>
      <c r="D85" s="250"/>
      <c r="E85" s="1056"/>
      <c r="F85" s="250"/>
      <c r="G85" s="945"/>
      <c r="H85" s="249"/>
      <c r="I85" s="250"/>
      <c r="J85" s="915"/>
      <c r="K85" s="249"/>
      <c r="L85" s="250"/>
      <c r="M85" s="878">
        <v>44054.0</v>
      </c>
      <c r="N85" s="1055"/>
      <c r="O85" s="249"/>
      <c r="P85" s="250"/>
      <c r="Q85" s="1055"/>
      <c r="R85" s="249"/>
      <c r="S85" s="250"/>
      <c r="T85" s="1055"/>
      <c r="U85" s="249"/>
      <c r="V85" s="250"/>
      <c r="W85" s="1055"/>
      <c r="X85" s="249"/>
      <c r="Y85" s="250"/>
      <c r="Z85" s="1055"/>
      <c r="AA85" s="249"/>
      <c r="AB85" s="250"/>
      <c r="AC85" s="878">
        <v>44054.0</v>
      </c>
      <c r="AD85" s="928"/>
      <c r="AE85" s="249"/>
      <c r="AF85" s="250"/>
    </row>
    <row r="86">
      <c r="A86" s="872" t="s">
        <v>8858</v>
      </c>
      <c r="B86" s="878">
        <v>44055.0</v>
      </c>
      <c r="C86" s="915"/>
      <c r="D86" s="250"/>
      <c r="E86" s="1056"/>
      <c r="F86" s="250"/>
      <c r="G86" s="877"/>
      <c r="H86" s="249"/>
      <c r="I86" s="250"/>
      <c r="J86" s="915"/>
      <c r="K86" s="249"/>
      <c r="L86" s="250"/>
      <c r="M86" s="878">
        <v>44055.0</v>
      </c>
      <c r="N86" s="1055"/>
      <c r="O86" s="249"/>
      <c r="P86" s="250"/>
      <c r="Q86" s="1054"/>
      <c r="R86" s="249"/>
      <c r="S86" s="250"/>
      <c r="T86" s="1055"/>
      <c r="U86" s="249"/>
      <c r="V86" s="250"/>
      <c r="W86" s="1055"/>
      <c r="X86" s="249"/>
      <c r="Y86" s="250"/>
      <c r="Z86" s="1055"/>
      <c r="AA86" s="249"/>
      <c r="AB86" s="250"/>
      <c r="AC86" s="878">
        <v>44055.0</v>
      </c>
      <c r="AD86" s="928"/>
      <c r="AE86" s="249"/>
      <c r="AF86" s="250"/>
    </row>
    <row r="87">
      <c r="A87" s="872" t="s">
        <v>8861</v>
      </c>
      <c r="B87" s="878">
        <v>44056.0</v>
      </c>
      <c r="C87" s="915"/>
      <c r="D87" s="250"/>
      <c r="E87" s="1056"/>
      <c r="F87" s="250"/>
      <c r="G87" s="877"/>
      <c r="H87" s="249"/>
      <c r="I87" s="250"/>
      <c r="J87" s="915"/>
      <c r="K87" s="249"/>
      <c r="L87" s="250"/>
      <c r="M87" s="878">
        <v>44056.0</v>
      </c>
      <c r="N87" s="1055"/>
      <c r="O87" s="249"/>
      <c r="P87" s="250"/>
      <c r="Q87" s="1055"/>
      <c r="R87" s="249"/>
      <c r="S87" s="250"/>
      <c r="T87" s="1055"/>
      <c r="U87" s="249"/>
      <c r="V87" s="250"/>
      <c r="W87" s="1055"/>
      <c r="X87" s="249"/>
      <c r="Y87" s="250"/>
      <c r="Z87" s="1055"/>
      <c r="AA87" s="249"/>
      <c r="AB87" s="250"/>
      <c r="AC87" s="878">
        <v>44056.0</v>
      </c>
      <c r="AD87" s="877"/>
      <c r="AE87" s="249"/>
      <c r="AF87" s="250"/>
    </row>
    <row r="88">
      <c r="A88" s="872" t="s">
        <v>8862</v>
      </c>
      <c r="B88" s="878">
        <v>44057.0</v>
      </c>
      <c r="C88" s="879"/>
      <c r="D88" s="250"/>
      <c r="E88" s="879"/>
      <c r="F88" s="250"/>
      <c r="G88" s="879"/>
      <c r="H88" s="249"/>
      <c r="I88" s="250"/>
      <c r="J88" s="879"/>
      <c r="K88" s="249"/>
      <c r="L88" s="250"/>
      <c r="M88" s="878">
        <v>44057.0</v>
      </c>
      <c r="N88" s="1055"/>
      <c r="O88" s="249"/>
      <c r="P88" s="250"/>
      <c r="Q88" s="1055"/>
      <c r="R88" s="249"/>
      <c r="S88" s="250"/>
      <c r="T88" s="1055"/>
      <c r="U88" s="249"/>
      <c r="V88" s="250"/>
      <c r="W88" s="1055"/>
      <c r="X88" s="249"/>
      <c r="Y88" s="250"/>
      <c r="Z88" s="1055"/>
      <c r="AA88" s="249"/>
      <c r="AB88" s="250"/>
      <c r="AC88" s="878">
        <v>44057.0</v>
      </c>
      <c r="AD88" s="879"/>
      <c r="AE88" s="249"/>
      <c r="AF88" s="250"/>
    </row>
    <row r="89">
      <c r="A89" s="872" t="s">
        <v>8863</v>
      </c>
      <c r="B89" s="878">
        <v>44058.0</v>
      </c>
      <c r="C89" s="879"/>
      <c r="D89" s="250"/>
      <c r="E89" s="879"/>
      <c r="F89" s="250"/>
      <c r="G89" s="879"/>
      <c r="H89" s="249"/>
      <c r="I89" s="250"/>
      <c r="J89" s="879"/>
      <c r="K89" s="249"/>
      <c r="L89" s="250"/>
      <c r="M89" s="878">
        <v>44058.0</v>
      </c>
      <c r="N89" s="1055"/>
      <c r="O89" s="249"/>
      <c r="P89" s="250"/>
      <c r="Q89" s="1055"/>
      <c r="R89" s="249"/>
      <c r="S89" s="250"/>
      <c r="T89" s="1055"/>
      <c r="U89" s="249"/>
      <c r="V89" s="250"/>
      <c r="W89" s="1055"/>
      <c r="X89" s="249"/>
      <c r="Y89" s="250"/>
      <c r="Z89" s="1055"/>
      <c r="AA89" s="249"/>
      <c r="AB89" s="250"/>
      <c r="AC89" s="878">
        <v>44058.0</v>
      </c>
      <c r="AD89" s="879"/>
      <c r="AE89" s="249"/>
      <c r="AF89" s="250"/>
    </row>
    <row r="90">
      <c r="A90" s="872" t="s">
        <v>8865</v>
      </c>
      <c r="B90" s="878">
        <v>44059.0</v>
      </c>
      <c r="C90" s="879"/>
      <c r="D90" s="250"/>
      <c r="E90" s="874" t="s">
        <v>9385</v>
      </c>
      <c r="F90" s="250"/>
      <c r="G90" s="879"/>
      <c r="H90" s="249"/>
      <c r="I90" s="250"/>
      <c r="J90" s="879"/>
      <c r="K90" s="249"/>
      <c r="L90" s="250"/>
      <c r="M90" s="878">
        <v>44059.0</v>
      </c>
      <c r="N90" s="1054" t="s">
        <v>9386</v>
      </c>
      <c r="O90" s="249"/>
      <c r="P90" s="250"/>
      <c r="Q90" s="1055"/>
      <c r="R90" s="249"/>
      <c r="S90" s="250"/>
      <c r="T90" s="1055"/>
      <c r="U90" s="249"/>
      <c r="V90" s="250"/>
      <c r="W90" s="1055"/>
      <c r="X90" s="249"/>
      <c r="Y90" s="250"/>
      <c r="Z90" s="1055"/>
      <c r="AA90" s="249"/>
      <c r="AB90" s="250"/>
      <c r="AC90" s="878">
        <v>44059.0</v>
      </c>
      <c r="AD90" s="879"/>
      <c r="AE90" s="249"/>
      <c r="AF90" s="250"/>
    </row>
    <row r="91">
      <c r="A91" s="872" t="s">
        <v>8867</v>
      </c>
      <c r="B91" s="878">
        <v>44060.0</v>
      </c>
      <c r="C91" s="879"/>
      <c r="D91" s="250"/>
      <c r="E91" s="874" t="s">
        <v>9385</v>
      </c>
      <c r="F91" s="250"/>
      <c r="G91" s="879"/>
      <c r="H91" s="249"/>
      <c r="I91" s="250"/>
      <c r="J91" s="879"/>
      <c r="K91" s="249"/>
      <c r="L91" s="250"/>
      <c r="M91" s="878">
        <v>44060.0</v>
      </c>
      <c r="N91" s="1055"/>
      <c r="O91" s="249"/>
      <c r="P91" s="250"/>
      <c r="Q91" s="1055"/>
      <c r="R91" s="249"/>
      <c r="S91" s="250"/>
      <c r="T91" s="1055"/>
      <c r="U91" s="249"/>
      <c r="V91" s="250"/>
      <c r="W91" s="1055"/>
      <c r="X91" s="249"/>
      <c r="Y91" s="250"/>
      <c r="Z91" s="1055"/>
      <c r="AA91" s="249"/>
      <c r="AB91" s="250"/>
      <c r="AC91" s="878">
        <v>44060.0</v>
      </c>
      <c r="AD91" s="874"/>
      <c r="AE91" s="249"/>
      <c r="AF91" s="250"/>
    </row>
    <row r="92">
      <c r="A92" s="872" t="s">
        <v>7559</v>
      </c>
      <c r="B92" s="878">
        <v>44061.0</v>
      </c>
      <c r="C92" s="879"/>
      <c r="D92" s="250"/>
      <c r="E92" s="879"/>
      <c r="F92" s="250"/>
      <c r="G92" s="879"/>
      <c r="H92" s="249"/>
      <c r="I92" s="250"/>
      <c r="J92" s="879"/>
      <c r="K92" s="249"/>
      <c r="L92" s="250"/>
      <c r="M92" s="878">
        <v>44061.0</v>
      </c>
      <c r="N92" s="1055"/>
      <c r="O92" s="249"/>
      <c r="P92" s="250"/>
      <c r="Q92" s="1055"/>
      <c r="R92" s="249"/>
      <c r="S92" s="250"/>
      <c r="T92" s="1055"/>
      <c r="U92" s="249"/>
      <c r="V92" s="250"/>
      <c r="W92" s="1055"/>
      <c r="X92" s="249"/>
      <c r="Y92" s="250"/>
      <c r="Z92" s="1055"/>
      <c r="AA92" s="249"/>
      <c r="AB92" s="250"/>
      <c r="AC92" s="878">
        <v>44061.0</v>
      </c>
      <c r="AD92" s="879"/>
      <c r="AE92" s="249"/>
      <c r="AF92" s="250"/>
    </row>
    <row r="93">
      <c r="A93" s="872" t="s">
        <v>8858</v>
      </c>
      <c r="B93" s="878">
        <v>44062.0</v>
      </c>
      <c r="C93" s="879"/>
      <c r="D93" s="250"/>
      <c r="E93" s="879"/>
      <c r="F93" s="250"/>
      <c r="G93" s="879"/>
      <c r="H93" s="249"/>
      <c r="I93" s="250"/>
      <c r="J93" s="879"/>
      <c r="K93" s="249"/>
      <c r="L93" s="250"/>
      <c r="M93" s="878">
        <v>44062.0</v>
      </c>
      <c r="N93" s="1054" t="s">
        <v>9387</v>
      </c>
      <c r="O93" s="249"/>
      <c r="P93" s="250"/>
      <c r="Q93" s="1055"/>
      <c r="R93" s="249"/>
      <c r="S93" s="250"/>
      <c r="T93" s="1055"/>
      <c r="U93" s="249"/>
      <c r="V93" s="250"/>
      <c r="W93" s="1055"/>
      <c r="X93" s="249"/>
      <c r="Y93" s="250"/>
      <c r="Z93" s="1055"/>
      <c r="AA93" s="249"/>
      <c r="AB93" s="250"/>
      <c r="AC93" s="878">
        <v>44062.0</v>
      </c>
      <c r="AD93" s="879"/>
      <c r="AE93" s="249"/>
      <c r="AF93" s="250"/>
    </row>
    <row r="94">
      <c r="A94" s="872" t="s">
        <v>8861</v>
      </c>
      <c r="B94" s="878">
        <v>44063.0</v>
      </c>
      <c r="C94" s="879"/>
      <c r="D94" s="250"/>
      <c r="E94" s="879"/>
      <c r="F94" s="250"/>
      <c r="G94" s="879"/>
      <c r="H94" s="249"/>
      <c r="I94" s="250"/>
      <c r="J94" s="879"/>
      <c r="K94" s="249"/>
      <c r="L94" s="250"/>
      <c r="M94" s="878">
        <v>44063.0</v>
      </c>
      <c r="N94" s="1055"/>
      <c r="O94" s="249"/>
      <c r="P94" s="250"/>
      <c r="Q94" s="1055"/>
      <c r="R94" s="249"/>
      <c r="S94" s="250"/>
      <c r="T94" s="1055"/>
      <c r="U94" s="249"/>
      <c r="V94" s="250"/>
      <c r="W94" s="1055"/>
      <c r="X94" s="249"/>
      <c r="Y94" s="250"/>
      <c r="Z94" s="1055"/>
      <c r="AA94" s="249"/>
      <c r="AB94" s="250"/>
      <c r="AC94" s="878">
        <v>44063.0</v>
      </c>
      <c r="AD94" s="879"/>
      <c r="AE94" s="249"/>
      <c r="AF94" s="250"/>
    </row>
    <row r="95">
      <c r="A95" s="872" t="s">
        <v>8862</v>
      </c>
      <c r="B95" s="878">
        <v>44064.0</v>
      </c>
      <c r="C95" s="946"/>
      <c r="D95" s="250"/>
      <c r="E95" s="946"/>
      <c r="F95" s="250"/>
      <c r="G95" s="946"/>
      <c r="H95" s="249"/>
      <c r="I95" s="250"/>
      <c r="J95" s="946"/>
      <c r="K95" s="249"/>
      <c r="L95" s="250"/>
      <c r="M95" s="878">
        <v>44064.0</v>
      </c>
      <c r="N95" s="1054"/>
      <c r="O95" s="249"/>
      <c r="P95" s="250"/>
      <c r="Q95" s="1055"/>
      <c r="R95" s="249"/>
      <c r="S95" s="250"/>
      <c r="T95" s="1055"/>
      <c r="U95" s="249"/>
      <c r="V95" s="250"/>
      <c r="W95" s="1055"/>
      <c r="X95" s="249"/>
      <c r="Y95" s="250"/>
      <c r="Z95" s="1055"/>
      <c r="AA95" s="249"/>
      <c r="AB95" s="250"/>
      <c r="AC95" s="878">
        <v>44064.0</v>
      </c>
      <c r="AD95" s="946"/>
      <c r="AE95" s="249"/>
      <c r="AF95" s="250"/>
    </row>
    <row r="96">
      <c r="A96" s="872" t="s">
        <v>8863</v>
      </c>
      <c r="B96" s="878">
        <v>44065.0</v>
      </c>
      <c r="C96" s="946"/>
      <c r="D96" s="250"/>
      <c r="E96" s="946"/>
      <c r="F96" s="250"/>
      <c r="G96" s="946"/>
      <c r="H96" s="249"/>
      <c r="I96" s="250"/>
      <c r="J96" s="946"/>
      <c r="K96" s="249"/>
      <c r="L96" s="250"/>
      <c r="M96" s="878">
        <v>44065.0</v>
      </c>
      <c r="N96" s="1055"/>
      <c r="O96" s="249"/>
      <c r="P96" s="250"/>
      <c r="Q96" s="1055"/>
      <c r="R96" s="249"/>
      <c r="S96" s="250"/>
      <c r="T96" s="1055"/>
      <c r="U96" s="249"/>
      <c r="V96" s="250"/>
      <c r="W96" s="1055"/>
      <c r="X96" s="249"/>
      <c r="Y96" s="250"/>
      <c r="Z96" s="1055"/>
      <c r="AA96" s="249"/>
      <c r="AB96" s="250"/>
      <c r="AC96" s="878">
        <v>44065.0</v>
      </c>
      <c r="AD96" s="946"/>
      <c r="AE96" s="249"/>
      <c r="AF96" s="250"/>
    </row>
    <row r="97">
      <c r="A97" s="872" t="s">
        <v>8865</v>
      </c>
      <c r="B97" s="878">
        <v>44066.0</v>
      </c>
      <c r="C97" s="946"/>
      <c r="D97" s="250"/>
      <c r="E97" s="946"/>
      <c r="F97" s="250"/>
      <c r="G97" s="946"/>
      <c r="H97" s="249"/>
      <c r="I97" s="250"/>
      <c r="J97" s="946"/>
      <c r="K97" s="249"/>
      <c r="L97" s="250"/>
      <c r="M97" s="878">
        <v>44066.0</v>
      </c>
      <c r="N97" s="1055"/>
      <c r="O97" s="249"/>
      <c r="P97" s="250"/>
      <c r="Q97" s="1055"/>
      <c r="R97" s="249"/>
      <c r="S97" s="250"/>
      <c r="T97" s="1055"/>
      <c r="U97" s="249"/>
      <c r="V97" s="250"/>
      <c r="W97" s="1055"/>
      <c r="X97" s="249"/>
      <c r="Y97" s="250"/>
      <c r="Z97" s="1055"/>
      <c r="AA97" s="249"/>
      <c r="AB97" s="250"/>
      <c r="AC97" s="878">
        <v>44066.0</v>
      </c>
      <c r="AD97" s="946"/>
      <c r="AE97" s="249"/>
      <c r="AF97" s="250"/>
    </row>
    <row r="98">
      <c r="A98" s="872" t="s">
        <v>8867</v>
      </c>
      <c r="B98" s="878">
        <v>44067.0</v>
      </c>
      <c r="C98" s="946"/>
      <c r="D98" s="250"/>
      <c r="E98" s="946"/>
      <c r="F98" s="250"/>
      <c r="G98" s="946"/>
      <c r="H98" s="249"/>
      <c r="I98" s="250"/>
      <c r="J98" s="946"/>
      <c r="K98" s="249"/>
      <c r="L98" s="250"/>
      <c r="M98" s="878">
        <v>44067.0</v>
      </c>
      <c r="N98" s="1054"/>
      <c r="O98" s="249"/>
      <c r="P98" s="250"/>
      <c r="Q98" s="1055"/>
      <c r="R98" s="249"/>
      <c r="S98" s="250"/>
      <c r="T98" s="1055"/>
      <c r="U98" s="249"/>
      <c r="V98" s="250"/>
      <c r="W98" s="1055"/>
      <c r="X98" s="249"/>
      <c r="Y98" s="250"/>
      <c r="Z98" s="1055"/>
      <c r="AA98" s="249"/>
      <c r="AB98" s="250"/>
      <c r="AC98" s="878">
        <v>44067.0</v>
      </c>
      <c r="AD98" s="946"/>
      <c r="AE98" s="249"/>
      <c r="AF98" s="250"/>
    </row>
    <row r="99">
      <c r="A99" s="872" t="s">
        <v>7559</v>
      </c>
      <c r="B99" s="878">
        <v>44068.0</v>
      </c>
      <c r="C99" s="946"/>
      <c r="D99" s="250"/>
      <c r="E99" s="946"/>
      <c r="F99" s="250"/>
      <c r="G99" s="946"/>
      <c r="H99" s="249"/>
      <c r="I99" s="250"/>
      <c r="J99" s="946"/>
      <c r="K99" s="249"/>
      <c r="L99" s="250"/>
      <c r="M99" s="878">
        <v>44068.0</v>
      </c>
      <c r="N99" s="1055"/>
      <c r="O99" s="249"/>
      <c r="P99" s="250"/>
      <c r="Q99" s="1055"/>
      <c r="R99" s="249"/>
      <c r="S99" s="250"/>
      <c r="T99" s="1055"/>
      <c r="U99" s="249"/>
      <c r="V99" s="250"/>
      <c r="W99" s="1055"/>
      <c r="X99" s="249"/>
      <c r="Y99" s="250"/>
      <c r="Z99" s="1055"/>
      <c r="AA99" s="249"/>
      <c r="AB99" s="250"/>
      <c r="AC99" s="878">
        <v>44068.0</v>
      </c>
      <c r="AD99" s="946"/>
      <c r="AE99" s="249"/>
      <c r="AF99" s="250"/>
    </row>
    <row r="100">
      <c r="A100" s="872" t="s">
        <v>8858</v>
      </c>
      <c r="B100" s="878">
        <v>44069.0</v>
      </c>
      <c r="C100" s="946"/>
      <c r="D100" s="250"/>
      <c r="E100" s="946"/>
      <c r="F100" s="250"/>
      <c r="G100" s="946"/>
      <c r="H100" s="249"/>
      <c r="I100" s="250"/>
      <c r="J100" s="946"/>
      <c r="K100" s="249"/>
      <c r="L100" s="250"/>
      <c r="M100" s="878">
        <v>44069.0</v>
      </c>
      <c r="N100" s="1055"/>
      <c r="O100" s="249"/>
      <c r="P100" s="250"/>
      <c r="Q100" s="1055"/>
      <c r="R100" s="249"/>
      <c r="S100" s="250"/>
      <c r="T100" s="1055"/>
      <c r="U100" s="249"/>
      <c r="V100" s="250"/>
      <c r="W100" s="1055"/>
      <c r="X100" s="249"/>
      <c r="Y100" s="250"/>
      <c r="Z100" s="1055"/>
      <c r="AA100" s="249"/>
      <c r="AB100" s="250"/>
      <c r="AC100" s="878">
        <v>44069.0</v>
      </c>
      <c r="AD100" s="946"/>
      <c r="AE100" s="249"/>
      <c r="AF100" s="250"/>
    </row>
    <row r="101">
      <c r="A101" s="872" t="s">
        <v>8861</v>
      </c>
      <c r="B101" s="878">
        <v>44070.0</v>
      </c>
      <c r="C101" s="946"/>
      <c r="D101" s="250"/>
      <c r="E101" s="946"/>
      <c r="F101" s="250"/>
      <c r="G101" s="946"/>
      <c r="H101" s="249"/>
      <c r="I101" s="250"/>
      <c r="J101" s="946"/>
      <c r="K101" s="249"/>
      <c r="L101" s="250"/>
      <c r="M101" s="878">
        <v>44070.0</v>
      </c>
      <c r="N101" s="1055"/>
      <c r="O101" s="249"/>
      <c r="P101" s="250"/>
      <c r="Q101" s="1055"/>
      <c r="R101" s="249"/>
      <c r="S101" s="250"/>
      <c r="T101" s="1055"/>
      <c r="U101" s="249"/>
      <c r="V101" s="250"/>
      <c r="W101" s="1055"/>
      <c r="X101" s="249"/>
      <c r="Y101" s="250"/>
      <c r="Z101" s="1055"/>
      <c r="AA101" s="249"/>
      <c r="AB101" s="250"/>
      <c r="AC101" s="878">
        <v>44070.0</v>
      </c>
      <c r="AD101" s="946"/>
      <c r="AE101" s="249"/>
      <c r="AF101" s="250"/>
    </row>
    <row r="102">
      <c r="A102" s="872" t="s">
        <v>8862</v>
      </c>
      <c r="B102" s="878">
        <v>44071.0</v>
      </c>
      <c r="C102" s="946"/>
      <c r="D102" s="250"/>
      <c r="E102" s="946"/>
      <c r="F102" s="250"/>
      <c r="G102" s="946"/>
      <c r="H102" s="249"/>
      <c r="I102" s="250"/>
      <c r="J102" s="946"/>
      <c r="K102" s="249"/>
      <c r="L102" s="250"/>
      <c r="M102" s="878">
        <v>44071.0</v>
      </c>
      <c r="N102" s="1055"/>
      <c r="O102" s="249"/>
      <c r="P102" s="250"/>
      <c r="Q102" s="1055"/>
      <c r="R102" s="249"/>
      <c r="S102" s="250"/>
      <c r="T102" s="1055"/>
      <c r="U102" s="249"/>
      <c r="V102" s="250"/>
      <c r="W102" s="1055"/>
      <c r="X102" s="249"/>
      <c r="Y102" s="250"/>
      <c r="Z102" s="1055"/>
      <c r="AA102" s="249"/>
      <c r="AB102" s="250"/>
      <c r="AC102" s="878">
        <v>44071.0</v>
      </c>
      <c r="AD102" s="946"/>
      <c r="AE102" s="249"/>
      <c r="AF102" s="250"/>
    </row>
    <row r="103">
      <c r="A103" s="872" t="s">
        <v>8863</v>
      </c>
      <c r="B103" s="878">
        <v>44072.0</v>
      </c>
      <c r="C103" s="946"/>
      <c r="D103" s="250"/>
      <c r="E103" s="946"/>
      <c r="F103" s="250"/>
      <c r="G103" s="946"/>
      <c r="H103" s="249"/>
      <c r="I103" s="250"/>
      <c r="J103" s="946"/>
      <c r="K103" s="249"/>
      <c r="L103" s="250"/>
      <c r="M103" s="878">
        <v>44072.0</v>
      </c>
      <c r="N103" s="1055"/>
      <c r="O103" s="249"/>
      <c r="P103" s="250"/>
      <c r="Q103" s="1055"/>
      <c r="R103" s="249"/>
      <c r="S103" s="250"/>
      <c r="T103" s="1055"/>
      <c r="U103" s="249"/>
      <c r="V103" s="250"/>
      <c r="W103" s="1055"/>
      <c r="X103" s="249"/>
      <c r="Y103" s="250"/>
      <c r="Z103" s="1055"/>
      <c r="AA103" s="249"/>
      <c r="AB103" s="250"/>
      <c r="AC103" s="878">
        <v>44072.0</v>
      </c>
      <c r="AD103" s="946"/>
      <c r="AE103" s="249"/>
      <c r="AF103" s="250"/>
    </row>
    <row r="104">
      <c r="A104" s="872" t="s">
        <v>8865</v>
      </c>
      <c r="B104" s="878">
        <v>44073.0</v>
      </c>
      <c r="C104" s="946"/>
      <c r="D104" s="250"/>
      <c r="E104" s="946"/>
      <c r="F104" s="250"/>
      <c r="G104" s="946"/>
      <c r="H104" s="249"/>
      <c r="I104" s="250"/>
      <c r="J104" s="946"/>
      <c r="K104" s="249"/>
      <c r="L104" s="250"/>
      <c r="M104" s="878">
        <v>44073.0</v>
      </c>
      <c r="N104" s="1055"/>
      <c r="O104" s="249"/>
      <c r="P104" s="250"/>
      <c r="Q104" s="1055"/>
      <c r="R104" s="249"/>
      <c r="S104" s="250"/>
      <c r="T104" s="1055"/>
      <c r="U104" s="249"/>
      <c r="V104" s="250"/>
      <c r="W104" s="1055"/>
      <c r="X104" s="249"/>
      <c r="Y104" s="250"/>
      <c r="Z104" s="1055"/>
      <c r="AA104" s="249"/>
      <c r="AB104" s="250"/>
      <c r="AC104" s="878">
        <v>44073.0</v>
      </c>
      <c r="AD104" s="946"/>
      <c r="AE104" s="249"/>
      <c r="AF104" s="250"/>
    </row>
    <row r="105">
      <c r="A105" s="872" t="s">
        <v>8867</v>
      </c>
      <c r="B105" s="878">
        <v>44074.0</v>
      </c>
      <c r="C105" s="946"/>
      <c r="D105" s="250"/>
      <c r="E105" s="946"/>
      <c r="F105" s="250"/>
      <c r="G105" s="946"/>
      <c r="H105" s="249"/>
      <c r="I105" s="250"/>
      <c r="J105" s="946"/>
      <c r="K105" s="249"/>
      <c r="L105" s="250"/>
      <c r="M105" s="878">
        <v>44074.0</v>
      </c>
      <c r="N105" s="1055"/>
      <c r="O105" s="249"/>
      <c r="P105" s="250"/>
      <c r="Q105" s="1055"/>
      <c r="R105" s="249"/>
      <c r="S105" s="250"/>
      <c r="T105" s="1055"/>
      <c r="U105" s="249"/>
      <c r="V105" s="250"/>
      <c r="W105" s="1055"/>
      <c r="X105" s="249"/>
      <c r="Y105" s="250"/>
      <c r="Z105" s="1055"/>
      <c r="AA105" s="249"/>
      <c r="AB105" s="250"/>
      <c r="AC105" s="878">
        <v>44074.0</v>
      </c>
      <c r="AD105" s="946"/>
      <c r="AE105" s="249"/>
      <c r="AF105" s="250"/>
    </row>
    <row r="106">
      <c r="A106" s="352"/>
      <c r="B106" s="352"/>
      <c r="C106" s="352"/>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row>
    <row r="107">
      <c r="A107" s="352"/>
      <c r="B107" s="352"/>
      <c r="C107" s="352"/>
      <c r="D107" s="352"/>
      <c r="E107" s="352"/>
      <c r="F107" s="352"/>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row>
    <row r="108">
      <c r="A108" s="352"/>
      <c r="B108" s="35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row>
    <row r="109">
      <c r="A109" s="352"/>
      <c r="B109" s="35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row>
    <row r="110">
      <c r="A110" s="352"/>
      <c r="B110" s="35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c r="AF110" s="352"/>
    </row>
    <row r="111">
      <c r="A111" s="352"/>
      <c r="B111" s="35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c r="AF111" s="352"/>
    </row>
    <row r="112">
      <c r="A112" s="352"/>
      <c r="B112" s="352"/>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c r="AF112" s="352"/>
    </row>
    <row r="113">
      <c r="A113" s="352"/>
      <c r="B113" s="352"/>
      <c r="C113" s="352"/>
      <c r="D113" s="352"/>
      <c r="E113" s="352"/>
      <c r="F113" s="352"/>
      <c r="G113" s="352"/>
      <c r="H113" s="352"/>
      <c r="I113" s="352"/>
      <c r="J113" s="352"/>
      <c r="K113" s="352"/>
      <c r="L113" s="352"/>
      <c r="M113" s="352"/>
      <c r="N113" s="352"/>
      <c r="O113" s="352"/>
      <c r="P113" s="352"/>
      <c r="Q113" s="352"/>
      <c r="R113" s="352"/>
      <c r="S113" s="352"/>
      <c r="T113" s="352"/>
      <c r="U113" s="352"/>
      <c r="V113" s="352"/>
      <c r="W113" s="352"/>
      <c r="X113" s="352"/>
      <c r="Y113" s="352"/>
      <c r="Z113" s="352"/>
      <c r="AA113" s="352"/>
      <c r="AB113" s="352"/>
      <c r="AC113" s="352"/>
      <c r="AD113" s="352"/>
      <c r="AE113" s="352"/>
      <c r="AF113" s="352"/>
    </row>
    <row r="114">
      <c r="A114" s="352"/>
      <c r="B114" s="352"/>
      <c r="C114" s="352"/>
      <c r="D114" s="352"/>
      <c r="E114" s="352"/>
      <c r="F114" s="352"/>
      <c r="G114" s="352"/>
      <c r="H114" s="352"/>
      <c r="I114" s="352"/>
      <c r="J114" s="352"/>
      <c r="K114" s="352"/>
      <c r="L114" s="352"/>
      <c r="M114" s="352"/>
      <c r="N114" s="352"/>
      <c r="O114" s="352"/>
      <c r="P114" s="352"/>
      <c r="Q114" s="352"/>
      <c r="R114" s="352"/>
      <c r="S114" s="352"/>
      <c r="T114" s="352"/>
      <c r="U114" s="352"/>
      <c r="V114" s="352"/>
      <c r="W114" s="352"/>
      <c r="X114" s="352"/>
      <c r="Y114" s="352"/>
      <c r="Z114" s="352"/>
      <c r="AA114" s="352"/>
      <c r="AB114" s="352"/>
      <c r="AC114" s="352"/>
      <c r="AD114" s="352"/>
      <c r="AE114" s="352"/>
      <c r="AF114" s="352"/>
    </row>
    <row r="115">
      <c r="A115" s="352"/>
      <c r="B115" s="352"/>
      <c r="C115" s="352"/>
      <c r="D115" s="352"/>
      <c r="E115" s="352"/>
      <c r="F115" s="352"/>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c r="AD115" s="352"/>
      <c r="AE115" s="352"/>
      <c r="AF115" s="352"/>
    </row>
    <row r="116">
      <c r="A116" s="352"/>
      <c r="B116" s="352"/>
      <c r="C116" s="352"/>
      <c r="D116" s="352"/>
      <c r="E116" s="352"/>
      <c r="F116" s="352"/>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c r="AD116" s="352"/>
      <c r="AE116" s="352"/>
      <c r="AF116" s="352"/>
    </row>
    <row r="117">
      <c r="A117" s="352"/>
      <c r="B117" s="352"/>
      <c r="C117" s="352"/>
      <c r="D117" s="352"/>
      <c r="E117" s="352"/>
      <c r="F117" s="352"/>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c r="AD117" s="352"/>
      <c r="AE117" s="352"/>
      <c r="AF117" s="352"/>
    </row>
    <row r="118">
      <c r="A118" s="352"/>
      <c r="B118" s="352"/>
      <c r="C118" s="352"/>
      <c r="D118" s="352"/>
      <c r="E118" s="352"/>
      <c r="F118" s="352"/>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c r="AD118" s="352"/>
      <c r="AE118" s="352"/>
      <c r="AF118" s="352"/>
    </row>
    <row r="119">
      <c r="A119" s="352"/>
      <c r="B119" s="35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c r="AF119" s="352"/>
    </row>
    <row r="120">
      <c r="A120" s="352"/>
      <c r="B120" s="352"/>
      <c r="C120" s="352"/>
      <c r="D120" s="352"/>
      <c r="E120" s="352"/>
      <c r="F120" s="352"/>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c r="AD120" s="352"/>
      <c r="AE120" s="352"/>
      <c r="AF120" s="352"/>
    </row>
    <row r="121">
      <c r="A121" s="352"/>
      <c r="B121" s="352"/>
      <c r="C121" s="352"/>
      <c r="D121" s="352"/>
      <c r="E121" s="352"/>
      <c r="F121" s="352"/>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c r="AD121" s="352"/>
      <c r="AE121" s="352"/>
      <c r="AF121" s="352"/>
    </row>
    <row r="122">
      <c r="A122" s="352"/>
      <c r="B122" s="35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c r="AF122" s="352"/>
    </row>
    <row r="123">
      <c r="A123" s="352"/>
      <c r="B123" s="35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c r="AF123" s="352"/>
    </row>
    <row r="124">
      <c r="A124" s="352"/>
      <c r="B124" s="35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c r="AD124" s="352"/>
      <c r="AE124" s="352"/>
      <c r="AF124" s="352"/>
    </row>
    <row r="125">
      <c r="A125" s="352"/>
      <c r="B125" s="35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c r="AD125" s="352"/>
      <c r="AE125" s="352"/>
      <c r="AF125" s="352"/>
    </row>
    <row r="126">
      <c r="A126" s="352"/>
      <c r="B126" s="35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row>
    <row r="127">
      <c r="A127" s="352"/>
      <c r="B127" s="352"/>
      <c r="C127" s="352"/>
      <c r="D127" s="352"/>
      <c r="E127" s="352"/>
      <c r="F127" s="352"/>
      <c r="G127" s="352"/>
      <c r="H127" s="352"/>
      <c r="I127" s="352"/>
      <c r="J127" s="352"/>
      <c r="K127" s="352"/>
      <c r="L127" s="352"/>
      <c r="M127" s="352"/>
      <c r="N127" s="352"/>
      <c r="O127" s="352"/>
      <c r="P127" s="352"/>
      <c r="Q127" s="352"/>
      <c r="R127" s="352"/>
      <c r="S127" s="352"/>
      <c r="T127" s="352"/>
      <c r="U127" s="352"/>
      <c r="V127" s="352"/>
      <c r="W127" s="352"/>
      <c r="X127" s="352"/>
      <c r="Y127" s="352"/>
      <c r="Z127" s="352"/>
      <c r="AA127" s="352"/>
      <c r="AB127" s="352"/>
      <c r="AC127" s="352"/>
      <c r="AD127" s="352"/>
      <c r="AE127" s="352"/>
      <c r="AF127" s="352"/>
    </row>
    <row r="128">
      <c r="A128" s="352"/>
      <c r="B128" s="352"/>
      <c r="C128" s="352"/>
      <c r="D128" s="352"/>
      <c r="E128" s="352"/>
      <c r="F128" s="352"/>
      <c r="G128" s="352"/>
      <c r="H128" s="352"/>
      <c r="I128" s="352"/>
      <c r="J128" s="352"/>
      <c r="K128" s="352"/>
      <c r="L128" s="352"/>
      <c r="M128" s="352"/>
      <c r="N128" s="352"/>
      <c r="O128" s="352"/>
      <c r="P128" s="352"/>
      <c r="Q128" s="352"/>
      <c r="R128" s="352"/>
      <c r="S128" s="352"/>
      <c r="T128" s="352"/>
      <c r="U128" s="352"/>
      <c r="V128" s="352"/>
      <c r="W128" s="352"/>
      <c r="X128" s="352"/>
      <c r="Y128" s="352"/>
      <c r="Z128" s="352"/>
      <c r="AA128" s="352"/>
      <c r="AB128" s="352"/>
      <c r="AC128" s="352"/>
      <c r="AD128" s="352"/>
      <c r="AE128" s="352"/>
      <c r="AF128" s="352"/>
    </row>
    <row r="129">
      <c r="A129" s="352"/>
      <c r="B129" s="352"/>
      <c r="C129" s="352"/>
      <c r="D129" s="352"/>
      <c r="E129" s="352"/>
      <c r="F129" s="352"/>
      <c r="G129" s="352"/>
      <c r="H129" s="352"/>
      <c r="I129" s="352"/>
      <c r="J129" s="352"/>
      <c r="K129" s="352"/>
      <c r="L129" s="352"/>
      <c r="M129" s="352"/>
      <c r="N129" s="352"/>
      <c r="O129" s="352"/>
      <c r="P129" s="352"/>
      <c r="Q129" s="352"/>
      <c r="R129" s="352"/>
      <c r="S129" s="352"/>
      <c r="T129" s="352"/>
      <c r="U129" s="352"/>
      <c r="V129" s="352"/>
      <c r="W129" s="352"/>
      <c r="X129" s="352"/>
      <c r="Y129" s="352"/>
      <c r="Z129" s="352"/>
      <c r="AA129" s="352"/>
      <c r="AB129" s="352"/>
      <c r="AC129" s="352"/>
      <c r="AD129" s="352"/>
      <c r="AE129" s="352"/>
      <c r="AF129" s="352"/>
    </row>
    <row r="130">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2"/>
      <c r="W130" s="352"/>
      <c r="X130" s="352"/>
      <c r="Y130" s="352"/>
      <c r="Z130" s="352"/>
      <c r="AA130" s="352"/>
      <c r="AB130" s="352"/>
      <c r="AC130" s="352"/>
      <c r="AD130" s="352"/>
      <c r="AE130" s="352"/>
      <c r="AF130" s="352"/>
    </row>
    <row r="131">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2"/>
      <c r="W131" s="352"/>
      <c r="X131" s="352"/>
      <c r="Y131" s="352"/>
      <c r="Z131" s="352"/>
      <c r="AA131" s="352"/>
      <c r="AB131" s="352"/>
      <c r="AC131" s="352"/>
      <c r="AD131" s="352"/>
      <c r="AE131" s="352"/>
      <c r="AF131" s="352"/>
    </row>
    <row r="132">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c r="AA132" s="352"/>
      <c r="AB132" s="352"/>
      <c r="AC132" s="352"/>
      <c r="AD132" s="352"/>
      <c r="AE132" s="352"/>
      <c r="AF132" s="352"/>
    </row>
    <row r="133">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A133" s="352"/>
      <c r="AB133" s="352"/>
      <c r="AC133" s="352"/>
      <c r="AD133" s="352"/>
      <c r="AE133" s="352"/>
      <c r="AF133" s="352"/>
    </row>
    <row r="134">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2"/>
      <c r="W134" s="352"/>
      <c r="X134" s="352"/>
      <c r="Y134" s="352"/>
      <c r="Z134" s="352"/>
      <c r="AA134" s="352"/>
      <c r="AB134" s="352"/>
      <c r="AC134" s="352"/>
      <c r="AD134" s="352"/>
      <c r="AE134" s="352"/>
      <c r="AF134" s="352"/>
    </row>
    <row r="135">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2"/>
      <c r="W135" s="352"/>
      <c r="X135" s="352"/>
      <c r="Y135" s="352"/>
      <c r="Z135" s="352"/>
      <c r="AA135" s="352"/>
      <c r="AB135" s="352"/>
      <c r="AC135" s="352"/>
      <c r="AD135" s="352"/>
      <c r="AE135" s="352"/>
      <c r="AF135" s="352"/>
    </row>
    <row r="136">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2"/>
      <c r="W136" s="352"/>
      <c r="X136" s="352"/>
      <c r="Y136" s="352"/>
      <c r="Z136" s="352"/>
      <c r="AA136" s="352"/>
      <c r="AB136" s="352"/>
      <c r="AC136" s="352"/>
      <c r="AD136" s="352"/>
      <c r="AE136" s="352"/>
      <c r="AF136" s="352"/>
    </row>
    <row r="137">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2"/>
      <c r="W137" s="352"/>
      <c r="X137" s="352"/>
      <c r="Y137" s="352"/>
      <c r="Z137" s="352"/>
      <c r="AA137" s="352"/>
      <c r="AB137" s="352"/>
      <c r="AC137" s="352"/>
      <c r="AD137" s="352"/>
      <c r="AE137" s="352"/>
      <c r="AF137" s="352"/>
    </row>
    <row r="138">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2"/>
      <c r="W138" s="352"/>
      <c r="X138" s="352"/>
      <c r="Y138" s="352"/>
      <c r="Z138" s="352"/>
      <c r="AA138" s="352"/>
      <c r="AB138" s="352"/>
      <c r="AC138" s="352"/>
      <c r="AD138" s="352"/>
      <c r="AE138" s="352"/>
      <c r="AF138" s="352"/>
    </row>
    <row r="139">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2"/>
      <c r="W139" s="352"/>
      <c r="X139" s="352"/>
      <c r="Y139" s="352"/>
      <c r="Z139" s="352"/>
      <c r="AA139" s="352"/>
      <c r="AB139" s="352"/>
      <c r="AC139" s="352"/>
      <c r="AD139" s="352"/>
      <c r="AE139" s="352"/>
      <c r="AF139" s="352"/>
    </row>
    <row r="140">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2"/>
      <c r="W140" s="352"/>
      <c r="X140" s="352"/>
      <c r="Y140" s="352"/>
      <c r="Z140" s="352"/>
      <c r="AA140" s="352"/>
      <c r="AB140" s="352"/>
      <c r="AC140" s="352"/>
      <c r="AD140" s="352"/>
      <c r="AE140" s="352"/>
      <c r="AF140" s="352"/>
    </row>
    <row r="141">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c r="AA141" s="352"/>
      <c r="AB141" s="352"/>
      <c r="AC141" s="352"/>
      <c r="AD141" s="352"/>
      <c r="AE141" s="352"/>
      <c r="AF141" s="352"/>
    </row>
    <row r="142">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2"/>
      <c r="W142" s="352"/>
      <c r="X142" s="352"/>
      <c r="Y142" s="352"/>
      <c r="Z142" s="352"/>
      <c r="AA142" s="352"/>
      <c r="AB142" s="352"/>
      <c r="AC142" s="352"/>
      <c r="AD142" s="352"/>
      <c r="AE142" s="352"/>
      <c r="AF142" s="352"/>
    </row>
    <row r="143">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row>
    <row r="144">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row>
    <row r="145">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2"/>
      <c r="W145" s="352"/>
      <c r="X145" s="352"/>
      <c r="Y145" s="352"/>
      <c r="Z145" s="352"/>
      <c r="AA145" s="352"/>
      <c r="AB145" s="352"/>
      <c r="AC145" s="352"/>
      <c r="AD145" s="352"/>
      <c r="AE145" s="352"/>
      <c r="AF145" s="352"/>
    </row>
    <row r="146">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c r="AA146" s="352"/>
      <c r="AB146" s="352"/>
      <c r="AC146" s="352"/>
      <c r="AD146" s="352"/>
      <c r="AE146" s="352"/>
      <c r="AF146" s="352"/>
    </row>
    <row r="147">
      <c r="A147" s="352"/>
      <c r="B147" s="352"/>
      <c r="C147" s="352"/>
      <c r="D147" s="352"/>
      <c r="E147" s="352"/>
      <c r="F147" s="352"/>
      <c r="G147" s="352"/>
      <c r="H147" s="352"/>
      <c r="I147" s="352"/>
      <c r="J147" s="352"/>
      <c r="K147" s="352"/>
      <c r="L147" s="352"/>
      <c r="M147" s="352"/>
      <c r="N147" s="352"/>
      <c r="O147" s="352"/>
      <c r="P147" s="352"/>
      <c r="Q147" s="352"/>
      <c r="R147" s="352"/>
      <c r="S147" s="352"/>
      <c r="T147" s="352"/>
      <c r="U147" s="352"/>
      <c r="V147" s="352"/>
      <c r="W147" s="352"/>
      <c r="X147" s="352"/>
      <c r="Y147" s="352"/>
      <c r="Z147" s="352"/>
      <c r="AA147" s="352"/>
      <c r="AB147" s="352"/>
      <c r="AC147" s="352"/>
      <c r="AD147" s="352"/>
      <c r="AE147" s="352"/>
      <c r="AF147" s="352"/>
    </row>
    <row r="148">
      <c r="A148" s="352"/>
      <c r="B148" s="352"/>
      <c r="C148" s="352"/>
      <c r="D148" s="352"/>
      <c r="E148" s="352"/>
      <c r="F148" s="352"/>
      <c r="G148" s="352"/>
      <c r="H148" s="352"/>
      <c r="I148" s="352"/>
      <c r="J148" s="352"/>
      <c r="K148" s="352"/>
      <c r="L148" s="352"/>
      <c r="M148" s="352"/>
      <c r="N148" s="352"/>
      <c r="O148" s="352"/>
      <c r="P148" s="352"/>
      <c r="Q148" s="352"/>
      <c r="R148" s="352"/>
      <c r="S148" s="352"/>
      <c r="T148" s="352"/>
      <c r="U148" s="352"/>
      <c r="V148" s="352"/>
      <c r="W148" s="352"/>
      <c r="X148" s="352"/>
      <c r="Y148" s="352"/>
      <c r="Z148" s="352"/>
      <c r="AA148" s="352"/>
      <c r="AB148" s="352"/>
      <c r="AC148" s="352"/>
      <c r="AD148" s="352"/>
      <c r="AE148" s="352"/>
      <c r="AF148" s="352"/>
    </row>
    <row r="149">
      <c r="A149" s="352"/>
      <c r="B149" s="352"/>
      <c r="C149" s="352"/>
      <c r="D149" s="352"/>
      <c r="E149" s="352"/>
      <c r="F149" s="352"/>
      <c r="G149" s="352"/>
      <c r="H149" s="352"/>
      <c r="I149" s="352"/>
      <c r="J149" s="352"/>
      <c r="K149" s="352"/>
      <c r="L149" s="352"/>
      <c r="M149" s="352"/>
      <c r="N149" s="352"/>
      <c r="O149" s="352"/>
      <c r="P149" s="352"/>
      <c r="Q149" s="352"/>
      <c r="R149" s="352"/>
      <c r="S149" s="352"/>
      <c r="T149" s="352"/>
      <c r="U149" s="352"/>
      <c r="V149" s="352"/>
      <c r="W149" s="352"/>
      <c r="X149" s="352"/>
      <c r="Y149" s="352"/>
      <c r="Z149" s="352"/>
      <c r="AA149" s="352"/>
      <c r="AB149" s="352"/>
      <c r="AC149" s="352"/>
      <c r="AD149" s="352"/>
      <c r="AE149" s="352"/>
      <c r="AF149" s="352"/>
    </row>
    <row r="150">
      <c r="A150" s="352"/>
      <c r="B150" s="352"/>
      <c r="C150" s="352"/>
      <c r="D150" s="352"/>
      <c r="E150" s="352"/>
      <c r="F150" s="352"/>
      <c r="G150" s="352"/>
      <c r="H150" s="352"/>
      <c r="I150" s="352"/>
      <c r="J150" s="352"/>
      <c r="K150" s="352"/>
      <c r="L150" s="352"/>
      <c r="M150" s="352"/>
      <c r="N150" s="352"/>
      <c r="O150" s="352"/>
      <c r="P150" s="352"/>
      <c r="Q150" s="352"/>
      <c r="R150" s="352"/>
      <c r="S150" s="352"/>
      <c r="T150" s="352"/>
      <c r="U150" s="352"/>
      <c r="V150" s="352"/>
      <c r="W150" s="352"/>
      <c r="X150" s="352"/>
      <c r="Y150" s="352"/>
      <c r="Z150" s="352"/>
      <c r="AA150" s="352"/>
      <c r="AB150" s="352"/>
      <c r="AC150" s="352"/>
      <c r="AD150" s="352"/>
      <c r="AE150" s="352"/>
      <c r="AF150" s="352"/>
    </row>
    <row r="151">
      <c r="A151" s="352"/>
      <c r="B151" s="352"/>
      <c r="C151" s="352"/>
      <c r="D151" s="352"/>
      <c r="E151" s="352"/>
      <c r="F151" s="352"/>
      <c r="G151" s="352"/>
      <c r="H151" s="352"/>
      <c r="I151" s="352"/>
      <c r="J151" s="352"/>
      <c r="K151" s="352"/>
      <c r="L151" s="352"/>
      <c r="M151" s="352"/>
      <c r="N151" s="352"/>
      <c r="O151" s="352"/>
      <c r="P151" s="352"/>
      <c r="Q151" s="352"/>
      <c r="R151" s="352"/>
      <c r="S151" s="352"/>
      <c r="T151" s="352"/>
      <c r="U151" s="352"/>
      <c r="V151" s="352"/>
      <c r="W151" s="352"/>
      <c r="X151" s="352"/>
      <c r="Y151" s="352"/>
      <c r="Z151" s="352"/>
      <c r="AA151" s="352"/>
      <c r="AB151" s="352"/>
      <c r="AC151" s="352"/>
      <c r="AD151" s="352"/>
      <c r="AE151" s="352"/>
      <c r="AF151" s="352"/>
    </row>
    <row r="152">
      <c r="A152" s="352"/>
      <c r="B152" s="352"/>
      <c r="C152" s="352"/>
      <c r="D152" s="352"/>
      <c r="E152" s="352"/>
      <c r="F152" s="352"/>
      <c r="G152" s="352"/>
      <c r="H152" s="352"/>
      <c r="I152" s="352"/>
      <c r="J152" s="352"/>
      <c r="K152" s="352"/>
      <c r="L152" s="352"/>
      <c r="M152" s="352"/>
      <c r="N152" s="352"/>
      <c r="O152" s="352"/>
      <c r="P152" s="352"/>
      <c r="Q152" s="352"/>
      <c r="R152" s="352"/>
      <c r="S152" s="352"/>
      <c r="T152" s="352"/>
      <c r="U152" s="352"/>
      <c r="V152" s="352"/>
      <c r="W152" s="352"/>
      <c r="X152" s="352"/>
      <c r="Y152" s="352"/>
      <c r="Z152" s="352"/>
      <c r="AA152" s="352"/>
      <c r="AB152" s="352"/>
      <c r="AC152" s="352"/>
      <c r="AD152" s="352"/>
      <c r="AE152" s="352"/>
      <c r="AF152" s="352"/>
    </row>
    <row r="153">
      <c r="A153" s="352"/>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2"/>
      <c r="X153" s="352"/>
      <c r="Y153" s="352"/>
      <c r="Z153" s="352"/>
      <c r="AA153" s="352"/>
      <c r="AB153" s="352"/>
      <c r="AC153" s="352"/>
      <c r="AD153" s="352"/>
      <c r="AE153" s="352"/>
      <c r="AF153" s="352"/>
    </row>
    <row r="154">
      <c r="A154" s="352"/>
      <c r="B154" s="352"/>
      <c r="C154" s="352"/>
      <c r="D154" s="352"/>
      <c r="E154" s="352"/>
      <c r="F154" s="352"/>
      <c r="G154" s="352"/>
      <c r="H154" s="352"/>
      <c r="I154" s="352"/>
      <c r="J154" s="352"/>
      <c r="K154" s="352"/>
      <c r="L154" s="352"/>
      <c r="M154" s="352"/>
      <c r="N154" s="352"/>
      <c r="O154" s="352"/>
      <c r="P154" s="352"/>
      <c r="Q154" s="352"/>
      <c r="R154" s="352"/>
      <c r="S154" s="352"/>
      <c r="T154" s="352"/>
      <c r="U154" s="352"/>
      <c r="V154" s="352"/>
      <c r="W154" s="352"/>
      <c r="X154" s="352"/>
      <c r="Y154" s="352"/>
      <c r="Z154" s="352"/>
      <c r="AA154" s="352"/>
      <c r="AB154" s="352"/>
      <c r="AC154" s="352"/>
      <c r="AD154" s="352"/>
      <c r="AE154" s="352"/>
      <c r="AF154" s="352"/>
    </row>
    <row r="155">
      <c r="A155" s="352"/>
      <c r="B155" s="352"/>
      <c r="C155" s="352"/>
      <c r="D155" s="352"/>
      <c r="E155" s="352"/>
      <c r="F155" s="352"/>
      <c r="G155" s="352"/>
      <c r="H155" s="352"/>
      <c r="I155" s="352"/>
      <c r="J155" s="352"/>
      <c r="K155" s="352"/>
      <c r="L155" s="352"/>
      <c r="M155" s="352"/>
      <c r="N155" s="352"/>
      <c r="O155" s="352"/>
      <c r="P155" s="352"/>
      <c r="Q155" s="352"/>
      <c r="R155" s="352"/>
      <c r="S155" s="352"/>
      <c r="T155" s="352"/>
      <c r="U155" s="352"/>
      <c r="V155" s="352"/>
      <c r="W155" s="352"/>
      <c r="X155" s="352"/>
      <c r="Y155" s="352"/>
      <c r="Z155" s="352"/>
      <c r="AA155" s="352"/>
      <c r="AB155" s="352"/>
      <c r="AC155" s="352"/>
      <c r="AD155" s="352"/>
      <c r="AE155" s="352"/>
      <c r="AF155" s="352"/>
    </row>
    <row r="156">
      <c r="A156" s="352"/>
      <c r="B156" s="352"/>
      <c r="C156" s="352"/>
      <c r="D156" s="352"/>
      <c r="E156" s="352"/>
      <c r="F156" s="352"/>
      <c r="G156" s="352"/>
      <c r="H156" s="352"/>
      <c r="I156" s="352"/>
      <c r="J156" s="352"/>
      <c r="K156" s="352"/>
      <c r="L156" s="352"/>
      <c r="M156" s="352"/>
      <c r="N156" s="352"/>
      <c r="O156" s="352"/>
      <c r="P156" s="352"/>
      <c r="Q156" s="352"/>
      <c r="R156" s="352"/>
      <c r="S156" s="352"/>
      <c r="T156" s="352"/>
      <c r="U156" s="352"/>
      <c r="V156" s="352"/>
      <c r="W156" s="352"/>
      <c r="X156" s="352"/>
      <c r="Y156" s="352"/>
      <c r="Z156" s="352"/>
      <c r="AA156" s="352"/>
      <c r="AB156" s="352"/>
      <c r="AC156" s="352"/>
      <c r="AD156" s="352"/>
      <c r="AE156" s="352"/>
      <c r="AF156" s="352"/>
    </row>
    <row r="157">
      <c r="A157" s="352"/>
      <c r="B157" s="352"/>
      <c r="C157" s="352"/>
      <c r="D157" s="352"/>
      <c r="E157" s="352"/>
      <c r="F157" s="352"/>
      <c r="G157" s="352"/>
      <c r="H157" s="352"/>
      <c r="I157" s="352"/>
      <c r="J157" s="352"/>
      <c r="K157" s="352"/>
      <c r="L157" s="352"/>
      <c r="M157" s="352"/>
      <c r="N157" s="352"/>
      <c r="O157" s="352"/>
      <c r="P157" s="352"/>
      <c r="Q157" s="352"/>
      <c r="R157" s="352"/>
      <c r="S157" s="352"/>
      <c r="T157" s="352"/>
      <c r="U157" s="352"/>
      <c r="V157" s="352"/>
      <c r="W157" s="352"/>
      <c r="X157" s="352"/>
      <c r="Y157" s="352"/>
      <c r="Z157" s="352"/>
      <c r="AA157" s="352"/>
      <c r="AB157" s="352"/>
      <c r="AC157" s="352"/>
      <c r="AD157" s="352"/>
      <c r="AE157" s="352"/>
      <c r="AF157" s="352"/>
    </row>
    <row r="158">
      <c r="A158" s="352"/>
      <c r="B158" s="352"/>
      <c r="C158" s="352"/>
      <c r="D158" s="352"/>
      <c r="E158" s="352"/>
      <c r="F158" s="352"/>
      <c r="G158" s="352"/>
      <c r="H158" s="352"/>
      <c r="I158" s="352"/>
      <c r="J158" s="352"/>
      <c r="K158" s="352"/>
      <c r="L158" s="352"/>
      <c r="M158" s="352"/>
      <c r="N158" s="352"/>
      <c r="O158" s="352"/>
      <c r="P158" s="352"/>
      <c r="Q158" s="352"/>
      <c r="R158" s="352"/>
      <c r="S158" s="352"/>
      <c r="T158" s="352"/>
      <c r="U158" s="352"/>
      <c r="V158" s="352"/>
      <c r="W158" s="352"/>
      <c r="X158" s="352"/>
      <c r="Y158" s="352"/>
      <c r="Z158" s="352"/>
      <c r="AA158" s="352"/>
      <c r="AB158" s="352"/>
      <c r="AC158" s="352"/>
      <c r="AD158" s="352"/>
      <c r="AE158" s="352"/>
      <c r="AF158" s="352"/>
    </row>
    <row r="159">
      <c r="A159" s="352"/>
      <c r="B159" s="352"/>
      <c r="C159" s="352"/>
      <c r="D159" s="352"/>
      <c r="E159" s="352"/>
      <c r="F159" s="352"/>
      <c r="G159" s="352"/>
      <c r="H159" s="352"/>
      <c r="I159" s="352"/>
      <c r="J159" s="352"/>
      <c r="K159" s="352"/>
      <c r="L159" s="352"/>
      <c r="M159" s="352"/>
      <c r="N159" s="352"/>
      <c r="O159" s="352"/>
      <c r="P159" s="352"/>
      <c r="Q159" s="352"/>
      <c r="R159" s="352"/>
      <c r="S159" s="352"/>
      <c r="T159" s="352"/>
      <c r="U159" s="352"/>
      <c r="V159" s="352"/>
      <c r="W159" s="352"/>
      <c r="X159" s="352"/>
      <c r="Y159" s="352"/>
      <c r="Z159" s="352"/>
      <c r="AA159" s="352"/>
      <c r="AB159" s="352"/>
      <c r="AC159" s="352"/>
      <c r="AD159" s="352"/>
      <c r="AE159" s="352"/>
      <c r="AF159" s="352"/>
    </row>
    <row r="160">
      <c r="A160" s="352"/>
      <c r="B160" s="352"/>
      <c r="C160" s="352"/>
      <c r="D160" s="352"/>
      <c r="E160" s="352"/>
      <c r="F160" s="352"/>
      <c r="G160" s="352"/>
      <c r="H160" s="352"/>
      <c r="I160" s="352"/>
      <c r="J160" s="352"/>
      <c r="K160" s="352"/>
      <c r="L160" s="352"/>
      <c r="M160" s="352"/>
      <c r="N160" s="352"/>
      <c r="O160" s="352"/>
      <c r="P160" s="352"/>
      <c r="Q160" s="352"/>
      <c r="R160" s="352"/>
      <c r="S160" s="352"/>
      <c r="T160" s="352"/>
      <c r="U160" s="352"/>
      <c r="V160" s="352"/>
      <c r="W160" s="352"/>
      <c r="X160" s="352"/>
      <c r="Y160" s="352"/>
      <c r="Z160" s="352"/>
      <c r="AA160" s="352"/>
      <c r="AB160" s="352"/>
      <c r="AC160" s="352"/>
      <c r="AD160" s="352"/>
      <c r="AE160" s="352"/>
      <c r="AF160" s="352"/>
    </row>
    <row r="161">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2"/>
      <c r="W161" s="352"/>
      <c r="X161" s="352"/>
      <c r="Y161" s="352"/>
      <c r="Z161" s="352"/>
      <c r="AA161" s="352"/>
      <c r="AB161" s="352"/>
      <c r="AC161" s="352"/>
      <c r="AD161" s="352"/>
      <c r="AE161" s="352"/>
      <c r="AF161" s="352"/>
    </row>
    <row r="162">
      <c r="A162" s="352"/>
      <c r="B162" s="352"/>
      <c r="C162" s="352"/>
      <c r="D162" s="352"/>
      <c r="E162" s="352"/>
      <c r="F162" s="352"/>
      <c r="G162" s="352"/>
      <c r="H162" s="352"/>
      <c r="I162" s="352"/>
      <c r="J162" s="352"/>
      <c r="K162" s="352"/>
      <c r="L162" s="352"/>
      <c r="M162" s="352"/>
      <c r="N162" s="352"/>
      <c r="O162" s="352"/>
      <c r="P162" s="352"/>
      <c r="Q162" s="352"/>
      <c r="R162" s="352"/>
      <c r="S162" s="352"/>
      <c r="T162" s="352"/>
      <c r="U162" s="352"/>
      <c r="V162" s="352"/>
      <c r="W162" s="352"/>
      <c r="X162" s="352"/>
      <c r="Y162" s="352"/>
      <c r="Z162" s="352"/>
      <c r="AA162" s="352"/>
      <c r="AB162" s="352"/>
      <c r="AC162" s="352"/>
      <c r="AD162" s="352"/>
      <c r="AE162" s="352"/>
      <c r="AF162" s="352"/>
    </row>
    <row r="163">
      <c r="A163" s="352"/>
      <c r="B163" s="352"/>
      <c r="C163" s="352"/>
      <c r="D163" s="352"/>
      <c r="E163" s="352"/>
      <c r="F163" s="352"/>
      <c r="G163" s="352"/>
      <c r="H163" s="352"/>
      <c r="I163" s="352"/>
      <c r="J163" s="352"/>
      <c r="K163" s="352"/>
      <c r="L163" s="352"/>
      <c r="M163" s="352"/>
      <c r="N163" s="352"/>
      <c r="O163" s="352"/>
      <c r="P163" s="352"/>
      <c r="Q163" s="352"/>
      <c r="R163" s="352"/>
      <c r="S163" s="352"/>
      <c r="T163" s="352"/>
      <c r="U163" s="352"/>
      <c r="V163" s="352"/>
      <c r="W163" s="352"/>
      <c r="X163" s="352"/>
      <c r="Y163" s="352"/>
      <c r="Z163" s="352"/>
      <c r="AA163" s="352"/>
      <c r="AB163" s="352"/>
      <c r="AC163" s="352"/>
      <c r="AD163" s="352"/>
      <c r="AE163" s="352"/>
      <c r="AF163" s="352"/>
    </row>
    <row r="164">
      <c r="A164" s="352"/>
      <c r="B164" s="352"/>
      <c r="C164" s="352"/>
      <c r="D164" s="352"/>
      <c r="E164" s="352"/>
      <c r="F164" s="352"/>
      <c r="G164" s="352"/>
      <c r="H164" s="352"/>
      <c r="I164" s="352"/>
      <c r="J164" s="352"/>
      <c r="K164" s="352"/>
      <c r="L164" s="352"/>
      <c r="M164" s="352"/>
      <c r="N164" s="352"/>
      <c r="O164" s="352"/>
      <c r="P164" s="352"/>
      <c r="Q164" s="352"/>
      <c r="R164" s="352"/>
      <c r="S164" s="352"/>
      <c r="T164" s="352"/>
      <c r="U164" s="352"/>
      <c r="V164" s="352"/>
      <c r="W164" s="352"/>
      <c r="X164" s="352"/>
      <c r="Y164" s="352"/>
      <c r="Z164" s="352"/>
      <c r="AA164" s="352"/>
      <c r="AB164" s="352"/>
      <c r="AC164" s="352"/>
      <c r="AD164" s="352"/>
      <c r="AE164" s="352"/>
      <c r="AF164" s="352"/>
    </row>
    <row r="165">
      <c r="A165" s="352"/>
      <c r="B165" s="352"/>
      <c r="C165" s="352"/>
      <c r="D165" s="352"/>
      <c r="E165" s="352"/>
      <c r="F165" s="352"/>
      <c r="G165" s="352"/>
      <c r="H165" s="352"/>
      <c r="I165" s="352"/>
      <c r="J165" s="352"/>
      <c r="K165" s="352"/>
      <c r="L165" s="352"/>
      <c r="M165" s="352"/>
      <c r="N165" s="352"/>
      <c r="O165" s="352"/>
      <c r="P165" s="352"/>
      <c r="Q165" s="352"/>
      <c r="R165" s="352"/>
      <c r="S165" s="352"/>
      <c r="T165" s="352"/>
      <c r="U165" s="352"/>
      <c r="V165" s="352"/>
      <c r="W165" s="352"/>
      <c r="X165" s="352"/>
      <c r="Y165" s="352"/>
      <c r="Z165" s="352"/>
      <c r="AA165" s="352"/>
      <c r="AB165" s="352"/>
      <c r="AC165" s="352"/>
      <c r="AD165" s="352"/>
      <c r="AE165" s="352"/>
      <c r="AF165" s="352"/>
    </row>
    <row r="166">
      <c r="A166" s="352"/>
      <c r="B166" s="352"/>
      <c r="C166" s="352"/>
      <c r="D166" s="352"/>
      <c r="E166" s="352"/>
      <c r="F166" s="352"/>
      <c r="G166" s="352"/>
      <c r="H166" s="352"/>
      <c r="I166" s="352"/>
      <c r="J166" s="352"/>
      <c r="K166" s="352"/>
      <c r="L166" s="352"/>
      <c r="M166" s="352"/>
      <c r="N166" s="352"/>
      <c r="O166" s="352"/>
      <c r="P166" s="352"/>
      <c r="Q166" s="352"/>
      <c r="R166" s="352"/>
      <c r="S166" s="352"/>
      <c r="T166" s="352"/>
      <c r="U166" s="352"/>
      <c r="V166" s="352"/>
      <c r="W166" s="352"/>
      <c r="X166" s="352"/>
      <c r="Y166" s="352"/>
      <c r="Z166" s="352"/>
      <c r="AA166" s="352"/>
      <c r="AB166" s="352"/>
      <c r="AC166" s="352"/>
      <c r="AD166" s="352"/>
      <c r="AE166" s="352"/>
      <c r="AF166" s="352"/>
    </row>
    <row r="167">
      <c r="A167" s="352"/>
      <c r="B167" s="352"/>
      <c r="C167" s="352"/>
      <c r="D167" s="352"/>
      <c r="E167" s="352"/>
      <c r="F167" s="352"/>
      <c r="G167" s="352"/>
      <c r="H167" s="352"/>
      <c r="I167" s="352"/>
      <c r="J167" s="352"/>
      <c r="K167" s="352"/>
      <c r="L167" s="352"/>
      <c r="M167" s="352"/>
      <c r="N167" s="352"/>
      <c r="O167" s="352"/>
      <c r="P167" s="352"/>
      <c r="Q167" s="352"/>
      <c r="R167" s="352"/>
      <c r="S167" s="352"/>
      <c r="T167" s="352"/>
      <c r="U167" s="352"/>
      <c r="V167" s="352"/>
      <c r="W167" s="352"/>
      <c r="X167" s="352"/>
      <c r="Y167" s="352"/>
      <c r="Z167" s="352"/>
      <c r="AA167" s="352"/>
      <c r="AB167" s="352"/>
      <c r="AC167" s="352"/>
      <c r="AD167" s="352"/>
      <c r="AE167" s="352"/>
      <c r="AF167" s="352"/>
    </row>
    <row r="168">
      <c r="A168" s="352"/>
      <c r="B168" s="352"/>
      <c r="C168" s="352"/>
      <c r="D168" s="352"/>
      <c r="E168" s="352"/>
      <c r="F168" s="352"/>
      <c r="G168" s="352"/>
      <c r="H168" s="352"/>
      <c r="I168" s="352"/>
      <c r="J168" s="352"/>
      <c r="K168" s="352"/>
      <c r="L168" s="352"/>
      <c r="M168" s="352"/>
      <c r="N168" s="352"/>
      <c r="O168" s="352"/>
      <c r="P168" s="352"/>
      <c r="Q168" s="352"/>
      <c r="R168" s="352"/>
      <c r="S168" s="352"/>
      <c r="T168" s="352"/>
      <c r="U168" s="352"/>
      <c r="V168" s="352"/>
      <c r="W168" s="352"/>
      <c r="X168" s="352"/>
      <c r="Y168" s="352"/>
      <c r="Z168" s="352"/>
      <c r="AA168" s="352"/>
      <c r="AB168" s="352"/>
      <c r="AC168" s="352"/>
      <c r="AD168" s="352"/>
      <c r="AE168" s="352"/>
      <c r="AF168" s="352"/>
    </row>
    <row r="169">
      <c r="A169" s="352"/>
      <c r="B169" s="352"/>
      <c r="C169" s="352"/>
      <c r="D169" s="352"/>
      <c r="E169" s="352"/>
      <c r="F169" s="352"/>
      <c r="G169" s="352"/>
      <c r="H169" s="352"/>
      <c r="I169" s="352"/>
      <c r="J169" s="352"/>
      <c r="K169" s="352"/>
      <c r="L169" s="352"/>
      <c r="M169" s="352"/>
      <c r="N169" s="352"/>
      <c r="O169" s="352"/>
      <c r="P169" s="352"/>
      <c r="Q169" s="352"/>
      <c r="R169" s="352"/>
      <c r="S169" s="352"/>
      <c r="T169" s="352"/>
      <c r="U169" s="352"/>
      <c r="V169" s="352"/>
      <c r="W169" s="352"/>
      <c r="X169" s="352"/>
      <c r="Y169" s="352"/>
      <c r="Z169" s="352"/>
      <c r="AA169" s="352"/>
      <c r="AB169" s="352"/>
      <c r="AC169" s="352"/>
      <c r="AD169" s="352"/>
      <c r="AE169" s="352"/>
      <c r="AF169" s="352"/>
    </row>
    <row r="170">
      <c r="A170" s="352"/>
      <c r="B170" s="352"/>
      <c r="C170" s="352"/>
      <c r="D170" s="352"/>
      <c r="E170" s="352"/>
      <c r="F170" s="352"/>
      <c r="G170" s="352"/>
      <c r="H170" s="352"/>
      <c r="I170" s="352"/>
      <c r="J170" s="352"/>
      <c r="K170" s="352"/>
      <c r="L170" s="352"/>
      <c r="M170" s="352"/>
      <c r="N170" s="352"/>
      <c r="O170" s="352"/>
      <c r="P170" s="352"/>
      <c r="Q170" s="352"/>
      <c r="R170" s="352"/>
      <c r="S170" s="352"/>
      <c r="T170" s="352"/>
      <c r="U170" s="352"/>
      <c r="V170" s="352"/>
      <c r="W170" s="352"/>
      <c r="X170" s="352"/>
      <c r="Y170" s="352"/>
      <c r="Z170" s="352"/>
      <c r="AA170" s="352"/>
      <c r="AB170" s="352"/>
      <c r="AC170" s="352"/>
      <c r="AD170" s="352"/>
      <c r="AE170" s="352"/>
      <c r="AF170" s="352"/>
    </row>
    <row r="171">
      <c r="A171" s="352"/>
      <c r="B171" s="352"/>
      <c r="C171" s="352"/>
      <c r="D171" s="352"/>
      <c r="E171" s="352"/>
      <c r="F171" s="352"/>
      <c r="G171" s="352"/>
      <c r="H171" s="352"/>
      <c r="I171" s="352"/>
      <c r="J171" s="352"/>
      <c r="K171" s="352"/>
      <c r="L171" s="352"/>
      <c r="M171" s="352"/>
      <c r="N171" s="352"/>
      <c r="O171" s="352"/>
      <c r="P171" s="352"/>
      <c r="Q171" s="352"/>
      <c r="R171" s="352"/>
      <c r="S171" s="352"/>
      <c r="T171" s="352"/>
      <c r="U171" s="352"/>
      <c r="V171" s="352"/>
      <c r="W171" s="352"/>
      <c r="X171" s="352"/>
      <c r="Y171" s="352"/>
      <c r="Z171" s="352"/>
      <c r="AA171" s="352"/>
      <c r="AB171" s="352"/>
      <c r="AC171" s="352"/>
      <c r="AD171" s="352"/>
      <c r="AE171" s="352"/>
      <c r="AF171" s="352"/>
    </row>
    <row r="172">
      <c r="A172" s="352"/>
      <c r="B172" s="352"/>
      <c r="C172" s="352"/>
      <c r="D172" s="352"/>
      <c r="E172" s="352"/>
      <c r="F172" s="352"/>
      <c r="G172" s="352"/>
      <c r="H172" s="352"/>
      <c r="I172" s="352"/>
      <c r="J172" s="352"/>
      <c r="K172" s="352"/>
      <c r="L172" s="352"/>
      <c r="M172" s="352"/>
      <c r="N172" s="352"/>
      <c r="O172" s="352"/>
      <c r="P172" s="352"/>
      <c r="Q172" s="352"/>
      <c r="R172" s="352"/>
      <c r="S172" s="352"/>
      <c r="T172" s="352"/>
      <c r="U172" s="352"/>
      <c r="V172" s="352"/>
      <c r="W172" s="352"/>
      <c r="X172" s="352"/>
      <c r="Y172" s="352"/>
      <c r="Z172" s="352"/>
      <c r="AA172" s="352"/>
      <c r="AB172" s="352"/>
      <c r="AC172" s="352"/>
      <c r="AD172" s="352"/>
      <c r="AE172" s="352"/>
      <c r="AF172" s="352"/>
    </row>
    <row r="173">
      <c r="A173" s="352"/>
      <c r="B173" s="352"/>
      <c r="C173" s="352"/>
      <c r="D173" s="352"/>
      <c r="E173" s="352"/>
      <c r="F173" s="352"/>
      <c r="G173" s="352"/>
      <c r="H173" s="352"/>
      <c r="I173" s="352"/>
      <c r="J173" s="352"/>
      <c r="K173" s="352"/>
      <c r="L173" s="352"/>
      <c r="M173" s="352"/>
      <c r="N173" s="352"/>
      <c r="O173" s="352"/>
      <c r="P173" s="352"/>
      <c r="Q173" s="352"/>
      <c r="R173" s="352"/>
      <c r="S173" s="352"/>
      <c r="T173" s="352"/>
      <c r="U173" s="352"/>
      <c r="V173" s="352"/>
      <c r="W173" s="352"/>
      <c r="X173" s="352"/>
      <c r="Y173" s="352"/>
      <c r="Z173" s="352"/>
      <c r="AA173" s="352"/>
      <c r="AB173" s="352"/>
      <c r="AC173" s="352"/>
      <c r="AD173" s="352"/>
      <c r="AE173" s="352"/>
      <c r="AF173" s="352"/>
    </row>
    <row r="174">
      <c r="A174" s="352"/>
      <c r="B174" s="352"/>
      <c r="C174" s="352"/>
      <c r="D174" s="352"/>
      <c r="E174" s="352"/>
      <c r="F174" s="352"/>
      <c r="G174" s="352"/>
      <c r="H174" s="352"/>
      <c r="I174" s="352"/>
      <c r="J174" s="352"/>
      <c r="K174" s="352"/>
      <c r="L174" s="352"/>
      <c r="M174" s="352"/>
      <c r="N174" s="352"/>
      <c r="O174" s="352"/>
      <c r="P174" s="352"/>
      <c r="Q174" s="352"/>
      <c r="R174" s="352"/>
      <c r="S174" s="352"/>
      <c r="T174" s="352"/>
      <c r="U174" s="352"/>
      <c r="V174" s="352"/>
      <c r="W174" s="352"/>
      <c r="X174" s="352"/>
      <c r="Y174" s="352"/>
      <c r="Z174" s="352"/>
      <c r="AA174" s="352"/>
      <c r="AB174" s="352"/>
      <c r="AC174" s="352"/>
      <c r="AD174" s="352"/>
      <c r="AE174" s="352"/>
      <c r="AF174" s="352"/>
    </row>
    <row r="175">
      <c r="A175" s="352"/>
      <c r="B175" s="352"/>
      <c r="C175" s="352"/>
      <c r="D175" s="352"/>
      <c r="E175" s="352"/>
      <c r="F175" s="352"/>
      <c r="G175" s="352"/>
      <c r="H175" s="352"/>
      <c r="I175" s="352"/>
      <c r="J175" s="352"/>
      <c r="K175" s="352"/>
      <c r="L175" s="352"/>
      <c r="M175" s="352"/>
      <c r="N175" s="352"/>
      <c r="O175" s="352"/>
      <c r="P175" s="352"/>
      <c r="Q175" s="352"/>
      <c r="R175" s="352"/>
      <c r="S175" s="352"/>
      <c r="T175" s="352"/>
      <c r="U175" s="352"/>
      <c r="V175" s="352"/>
      <c r="W175" s="352"/>
      <c r="X175" s="352"/>
      <c r="Y175" s="352"/>
      <c r="Z175" s="352"/>
      <c r="AA175" s="352"/>
      <c r="AB175" s="352"/>
      <c r="AC175" s="352"/>
      <c r="AD175" s="352"/>
      <c r="AE175" s="352"/>
      <c r="AF175" s="352"/>
    </row>
    <row r="176">
      <c r="A176" s="352"/>
      <c r="B176" s="352"/>
      <c r="C176" s="352"/>
      <c r="D176" s="352"/>
      <c r="E176" s="352"/>
      <c r="F176" s="352"/>
      <c r="G176" s="352"/>
      <c r="H176" s="352"/>
      <c r="I176" s="352"/>
      <c r="J176" s="352"/>
      <c r="K176" s="352"/>
      <c r="L176" s="352"/>
      <c r="M176" s="352"/>
      <c r="N176" s="352"/>
      <c r="O176" s="352"/>
      <c r="P176" s="352"/>
      <c r="Q176" s="352"/>
      <c r="R176" s="352"/>
      <c r="S176" s="352"/>
      <c r="T176" s="352"/>
      <c r="U176" s="352"/>
      <c r="V176" s="352"/>
      <c r="W176" s="352"/>
      <c r="X176" s="352"/>
      <c r="Y176" s="352"/>
      <c r="Z176" s="352"/>
      <c r="AA176" s="352"/>
      <c r="AB176" s="352"/>
      <c r="AC176" s="352"/>
      <c r="AD176" s="352"/>
      <c r="AE176" s="352"/>
      <c r="AF176" s="352"/>
    </row>
    <row r="177">
      <c r="A177" s="352"/>
      <c r="B177" s="352"/>
      <c r="C177" s="352"/>
      <c r="D177" s="352"/>
      <c r="E177" s="352"/>
      <c r="F177" s="352"/>
      <c r="G177" s="352"/>
      <c r="H177" s="352"/>
      <c r="I177" s="352"/>
      <c r="J177" s="352"/>
      <c r="K177" s="352"/>
      <c r="L177" s="352"/>
      <c r="M177" s="352"/>
      <c r="N177" s="352"/>
      <c r="O177" s="352"/>
      <c r="P177" s="352"/>
      <c r="Q177" s="352"/>
      <c r="R177" s="352"/>
      <c r="S177" s="352"/>
      <c r="T177" s="352"/>
      <c r="U177" s="352"/>
      <c r="V177" s="352"/>
      <c r="W177" s="352"/>
      <c r="X177" s="352"/>
      <c r="Y177" s="352"/>
      <c r="Z177" s="352"/>
      <c r="AA177" s="352"/>
      <c r="AB177" s="352"/>
      <c r="AC177" s="352"/>
      <c r="AD177" s="352"/>
      <c r="AE177" s="352"/>
      <c r="AF177" s="352"/>
    </row>
    <row r="178">
      <c r="A178" s="352"/>
      <c r="B178" s="352"/>
      <c r="C178" s="352"/>
      <c r="D178" s="352"/>
      <c r="E178" s="352"/>
      <c r="F178" s="352"/>
      <c r="G178" s="352"/>
      <c r="H178" s="352"/>
      <c r="I178" s="352"/>
      <c r="J178" s="352"/>
      <c r="K178" s="352"/>
      <c r="L178" s="352"/>
      <c r="M178" s="352"/>
      <c r="N178" s="352"/>
      <c r="O178" s="352"/>
      <c r="P178" s="352"/>
      <c r="Q178" s="352"/>
      <c r="R178" s="352"/>
      <c r="S178" s="352"/>
      <c r="T178" s="352"/>
      <c r="U178" s="352"/>
      <c r="V178" s="352"/>
      <c r="W178" s="352"/>
      <c r="X178" s="352"/>
      <c r="Y178" s="352"/>
      <c r="Z178" s="352"/>
      <c r="AA178" s="352"/>
      <c r="AB178" s="352"/>
      <c r="AC178" s="352"/>
      <c r="AD178" s="352"/>
      <c r="AE178" s="352"/>
      <c r="AF178" s="352"/>
    </row>
    <row r="179">
      <c r="A179" s="352"/>
      <c r="B179" s="352"/>
      <c r="C179" s="352"/>
      <c r="D179" s="352"/>
      <c r="E179" s="352"/>
      <c r="F179" s="352"/>
      <c r="G179" s="352"/>
      <c r="H179" s="352"/>
      <c r="I179" s="352"/>
      <c r="J179" s="352"/>
      <c r="K179" s="352"/>
      <c r="L179" s="352"/>
      <c r="M179" s="352"/>
      <c r="N179" s="352"/>
      <c r="O179" s="352"/>
      <c r="P179" s="352"/>
      <c r="Q179" s="352"/>
      <c r="R179" s="352"/>
      <c r="S179" s="352"/>
      <c r="T179" s="352"/>
      <c r="U179" s="352"/>
      <c r="V179" s="352"/>
      <c r="W179" s="352"/>
      <c r="X179" s="352"/>
      <c r="Y179" s="352"/>
      <c r="Z179" s="352"/>
      <c r="AA179" s="352"/>
      <c r="AB179" s="352"/>
      <c r="AC179" s="352"/>
      <c r="AD179" s="352"/>
      <c r="AE179" s="352"/>
      <c r="AF179" s="352"/>
    </row>
    <row r="180">
      <c r="A180" s="352"/>
      <c r="B180" s="352"/>
      <c r="C180" s="352"/>
      <c r="D180" s="352"/>
      <c r="E180" s="352"/>
      <c r="F180" s="352"/>
      <c r="G180" s="352"/>
      <c r="H180" s="352"/>
      <c r="I180" s="352"/>
      <c r="J180" s="352"/>
      <c r="K180" s="352"/>
      <c r="L180" s="352"/>
      <c r="M180" s="352"/>
      <c r="N180" s="352"/>
      <c r="O180" s="352"/>
      <c r="P180" s="352"/>
      <c r="Q180" s="352"/>
      <c r="R180" s="352"/>
      <c r="S180" s="352"/>
      <c r="T180" s="352"/>
      <c r="U180" s="352"/>
      <c r="V180" s="352"/>
      <c r="W180" s="352"/>
      <c r="X180" s="352"/>
      <c r="Y180" s="352"/>
      <c r="Z180" s="352"/>
      <c r="AA180" s="352"/>
      <c r="AB180" s="352"/>
      <c r="AC180" s="352"/>
      <c r="AD180" s="352"/>
      <c r="AE180" s="352"/>
      <c r="AF180" s="352"/>
    </row>
    <row r="181">
      <c r="A181" s="352"/>
      <c r="B181" s="352"/>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c r="AA181" s="352"/>
      <c r="AB181" s="352"/>
      <c r="AC181" s="352"/>
      <c r="AD181" s="352"/>
      <c r="AE181" s="352"/>
      <c r="AF181" s="352"/>
    </row>
    <row r="182">
      <c r="A182" s="352"/>
      <c r="B182" s="352"/>
      <c r="C182" s="352"/>
      <c r="D182" s="352"/>
      <c r="E182" s="352"/>
      <c r="F182" s="352"/>
      <c r="G182" s="352"/>
      <c r="H182" s="352"/>
      <c r="I182" s="352"/>
      <c r="J182" s="352"/>
      <c r="K182" s="352"/>
      <c r="L182" s="352"/>
      <c r="M182" s="352"/>
      <c r="N182" s="352"/>
      <c r="O182" s="352"/>
      <c r="P182" s="352"/>
      <c r="Q182" s="352"/>
      <c r="R182" s="352"/>
      <c r="S182" s="352"/>
      <c r="T182" s="352"/>
      <c r="U182" s="352"/>
      <c r="V182" s="352"/>
      <c r="W182" s="352"/>
      <c r="X182" s="352"/>
      <c r="Y182" s="352"/>
      <c r="Z182" s="352"/>
      <c r="AA182" s="352"/>
      <c r="AB182" s="352"/>
      <c r="AC182" s="352"/>
      <c r="AD182" s="352"/>
      <c r="AE182" s="352"/>
      <c r="AF182" s="352"/>
    </row>
    <row r="183">
      <c r="A183" s="352"/>
      <c r="B183" s="352"/>
      <c r="C183" s="352"/>
      <c r="D183" s="352"/>
      <c r="E183" s="352"/>
      <c r="F183" s="352"/>
      <c r="G183" s="352"/>
      <c r="H183" s="352"/>
      <c r="I183" s="352"/>
      <c r="J183" s="352"/>
      <c r="K183" s="352"/>
      <c r="L183" s="352"/>
      <c r="M183" s="352"/>
      <c r="N183" s="352"/>
      <c r="O183" s="352"/>
      <c r="P183" s="352"/>
      <c r="Q183" s="352"/>
      <c r="R183" s="352"/>
      <c r="S183" s="352"/>
      <c r="T183" s="352"/>
      <c r="U183" s="352"/>
      <c r="V183" s="352"/>
      <c r="W183" s="352"/>
      <c r="X183" s="352"/>
      <c r="Y183" s="352"/>
      <c r="Z183" s="352"/>
      <c r="AA183" s="352"/>
      <c r="AB183" s="352"/>
      <c r="AC183" s="352"/>
      <c r="AD183" s="352"/>
      <c r="AE183" s="352"/>
      <c r="AF183" s="352"/>
    </row>
    <row r="184">
      <c r="A184" s="352"/>
      <c r="B184" s="352"/>
      <c r="C184" s="352"/>
      <c r="D184" s="352"/>
      <c r="E184" s="352"/>
      <c r="F184" s="352"/>
      <c r="G184" s="352"/>
      <c r="H184" s="352"/>
      <c r="I184" s="352"/>
      <c r="J184" s="352"/>
      <c r="K184" s="352"/>
      <c r="L184" s="352"/>
      <c r="M184" s="352"/>
      <c r="N184" s="352"/>
      <c r="O184" s="352"/>
      <c r="P184" s="352"/>
      <c r="Q184" s="352"/>
      <c r="R184" s="352"/>
      <c r="S184" s="352"/>
      <c r="T184" s="352"/>
      <c r="U184" s="352"/>
      <c r="V184" s="352"/>
      <c r="W184" s="352"/>
      <c r="X184" s="352"/>
      <c r="Y184" s="352"/>
      <c r="Z184" s="352"/>
      <c r="AA184" s="352"/>
      <c r="AB184" s="352"/>
      <c r="AC184" s="352"/>
      <c r="AD184" s="352"/>
      <c r="AE184" s="352"/>
      <c r="AF184" s="352"/>
    </row>
    <row r="185">
      <c r="A185" s="352"/>
      <c r="B185" s="352"/>
      <c r="C185" s="352"/>
      <c r="D185" s="352"/>
      <c r="E185" s="352"/>
      <c r="F185" s="352"/>
      <c r="G185" s="352"/>
      <c r="H185" s="352"/>
      <c r="I185" s="352"/>
      <c r="J185" s="352"/>
      <c r="K185" s="352"/>
      <c r="L185" s="352"/>
      <c r="M185" s="352"/>
      <c r="N185" s="352"/>
      <c r="O185" s="352"/>
      <c r="P185" s="352"/>
      <c r="Q185" s="352"/>
      <c r="R185" s="352"/>
      <c r="S185" s="352"/>
      <c r="T185" s="352"/>
      <c r="U185" s="352"/>
      <c r="V185" s="352"/>
      <c r="W185" s="352"/>
      <c r="X185" s="352"/>
      <c r="Y185" s="352"/>
      <c r="Z185" s="352"/>
      <c r="AA185" s="352"/>
      <c r="AB185" s="352"/>
      <c r="AC185" s="352"/>
      <c r="AD185" s="352"/>
      <c r="AE185" s="352"/>
      <c r="AF185" s="352"/>
    </row>
    <row r="186">
      <c r="A186" s="352"/>
      <c r="B186" s="352"/>
      <c r="C186" s="352"/>
      <c r="D186" s="352"/>
      <c r="E186" s="352"/>
      <c r="F186" s="352"/>
      <c r="G186" s="352"/>
      <c r="H186" s="352"/>
      <c r="I186" s="352"/>
      <c r="J186" s="352"/>
      <c r="K186" s="352"/>
      <c r="L186" s="352"/>
      <c r="M186" s="352"/>
      <c r="N186" s="352"/>
      <c r="O186" s="352"/>
      <c r="P186" s="352"/>
      <c r="Q186" s="352"/>
      <c r="R186" s="352"/>
      <c r="S186" s="352"/>
      <c r="T186" s="352"/>
      <c r="U186" s="352"/>
      <c r="V186" s="352"/>
      <c r="W186" s="352"/>
      <c r="X186" s="352"/>
      <c r="Y186" s="352"/>
      <c r="Z186" s="352"/>
      <c r="AA186" s="352"/>
      <c r="AB186" s="352"/>
      <c r="AC186" s="352"/>
      <c r="AD186" s="352"/>
      <c r="AE186" s="352"/>
      <c r="AF186" s="352"/>
    </row>
    <row r="187">
      <c r="A187" s="352"/>
      <c r="B187" s="352"/>
      <c r="C187" s="352"/>
      <c r="D187" s="352"/>
      <c r="E187" s="352"/>
      <c r="F187" s="352"/>
      <c r="G187" s="352"/>
      <c r="H187" s="352"/>
      <c r="I187" s="352"/>
      <c r="J187" s="352"/>
      <c r="K187" s="352"/>
      <c r="L187" s="352"/>
      <c r="M187" s="352"/>
      <c r="N187" s="352"/>
      <c r="O187" s="352"/>
      <c r="P187" s="352"/>
      <c r="Q187" s="352"/>
      <c r="R187" s="352"/>
      <c r="S187" s="352"/>
      <c r="T187" s="352"/>
      <c r="U187" s="352"/>
      <c r="V187" s="352"/>
      <c r="W187" s="352"/>
      <c r="X187" s="352"/>
      <c r="Y187" s="352"/>
      <c r="Z187" s="352"/>
      <c r="AA187" s="352"/>
      <c r="AB187" s="352"/>
      <c r="AC187" s="352"/>
      <c r="AD187" s="352"/>
      <c r="AE187" s="352"/>
      <c r="AF187" s="352"/>
    </row>
    <row r="188">
      <c r="A188" s="352"/>
      <c r="B188" s="352"/>
      <c r="C188" s="352"/>
      <c r="D188" s="352"/>
      <c r="E188" s="352"/>
      <c r="F188" s="352"/>
      <c r="G188" s="352"/>
      <c r="H188" s="352"/>
      <c r="I188" s="352"/>
      <c r="J188" s="352"/>
      <c r="K188" s="352"/>
      <c r="L188" s="352"/>
      <c r="M188" s="352"/>
      <c r="N188" s="352"/>
      <c r="O188" s="352"/>
      <c r="P188" s="352"/>
      <c r="Q188" s="352"/>
      <c r="R188" s="352"/>
      <c r="S188" s="352"/>
      <c r="T188" s="352"/>
      <c r="U188" s="352"/>
      <c r="V188" s="352"/>
      <c r="W188" s="352"/>
      <c r="X188" s="352"/>
      <c r="Y188" s="352"/>
      <c r="Z188" s="352"/>
      <c r="AA188" s="352"/>
      <c r="AB188" s="352"/>
      <c r="AC188" s="352"/>
      <c r="AD188" s="352"/>
      <c r="AE188" s="352"/>
      <c r="AF188" s="352"/>
    </row>
    <row r="189">
      <c r="A189" s="352"/>
      <c r="B189" s="352"/>
      <c r="C189" s="352"/>
      <c r="D189" s="352"/>
      <c r="E189" s="352"/>
      <c r="F189" s="352"/>
      <c r="G189" s="352"/>
      <c r="H189" s="352"/>
      <c r="I189" s="352"/>
      <c r="J189" s="352"/>
      <c r="K189" s="352"/>
      <c r="L189" s="352"/>
      <c r="M189" s="352"/>
      <c r="N189" s="352"/>
      <c r="O189" s="352"/>
      <c r="P189" s="352"/>
      <c r="Q189" s="352"/>
      <c r="R189" s="352"/>
      <c r="S189" s="352"/>
      <c r="T189" s="352"/>
      <c r="U189" s="352"/>
      <c r="V189" s="352"/>
      <c r="W189" s="352"/>
      <c r="X189" s="352"/>
      <c r="Y189" s="352"/>
      <c r="Z189" s="352"/>
      <c r="AA189" s="352"/>
      <c r="AB189" s="352"/>
      <c r="AC189" s="352"/>
      <c r="AD189" s="352"/>
      <c r="AE189" s="352"/>
      <c r="AF189" s="352"/>
    </row>
    <row r="190">
      <c r="A190" s="352"/>
      <c r="B190" s="352"/>
      <c r="C190" s="352"/>
      <c r="D190" s="352"/>
      <c r="E190" s="352"/>
      <c r="F190" s="352"/>
      <c r="G190" s="352"/>
      <c r="H190" s="352"/>
      <c r="I190" s="352"/>
      <c r="J190" s="352"/>
      <c r="K190" s="352"/>
      <c r="L190" s="352"/>
      <c r="M190" s="352"/>
      <c r="N190" s="352"/>
      <c r="O190" s="352"/>
      <c r="P190" s="352"/>
      <c r="Q190" s="352"/>
      <c r="R190" s="352"/>
      <c r="S190" s="352"/>
      <c r="T190" s="352"/>
      <c r="U190" s="352"/>
      <c r="V190" s="352"/>
      <c r="W190" s="352"/>
      <c r="X190" s="352"/>
      <c r="Y190" s="352"/>
      <c r="Z190" s="352"/>
      <c r="AA190" s="352"/>
      <c r="AB190" s="352"/>
      <c r="AC190" s="352"/>
      <c r="AD190" s="352"/>
      <c r="AE190" s="352"/>
      <c r="AF190" s="352"/>
    </row>
    <row r="191">
      <c r="A191" s="352"/>
      <c r="B191" s="352"/>
      <c r="C191" s="352"/>
      <c r="D191" s="352"/>
      <c r="E191" s="352"/>
      <c r="F191" s="352"/>
      <c r="G191" s="352"/>
      <c r="H191" s="352"/>
      <c r="I191" s="352"/>
      <c r="J191" s="352"/>
      <c r="K191" s="352"/>
      <c r="L191" s="352"/>
      <c r="M191" s="352"/>
      <c r="N191" s="352"/>
      <c r="O191" s="352"/>
      <c r="P191" s="352"/>
      <c r="Q191" s="352"/>
      <c r="R191" s="352"/>
      <c r="S191" s="352"/>
      <c r="T191" s="352"/>
      <c r="U191" s="352"/>
      <c r="V191" s="352"/>
      <c r="W191" s="352"/>
      <c r="X191" s="352"/>
      <c r="Y191" s="352"/>
      <c r="Z191" s="352"/>
      <c r="AA191" s="352"/>
      <c r="AB191" s="352"/>
      <c r="AC191" s="352"/>
      <c r="AD191" s="352"/>
      <c r="AE191" s="352"/>
      <c r="AF191" s="352"/>
    </row>
    <row r="192">
      <c r="A192" s="352"/>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2"/>
      <c r="X192" s="352"/>
      <c r="Y192" s="352"/>
      <c r="Z192" s="352"/>
      <c r="AA192" s="352"/>
      <c r="AB192" s="352"/>
      <c r="AC192" s="352"/>
      <c r="AD192" s="352"/>
      <c r="AE192" s="352"/>
      <c r="AF192" s="352"/>
    </row>
    <row r="193">
      <c r="A193" s="352"/>
      <c r="B193" s="352"/>
      <c r="C193" s="352"/>
      <c r="D193" s="352"/>
      <c r="E193" s="352"/>
      <c r="F193" s="352"/>
      <c r="G193" s="352"/>
      <c r="H193" s="352"/>
      <c r="I193" s="352"/>
      <c r="J193" s="352"/>
      <c r="K193" s="352"/>
      <c r="L193" s="352"/>
      <c r="M193" s="352"/>
      <c r="N193" s="352"/>
      <c r="O193" s="352"/>
      <c r="P193" s="352"/>
      <c r="Q193" s="352"/>
      <c r="R193" s="352"/>
      <c r="S193" s="352"/>
      <c r="T193" s="352"/>
      <c r="U193" s="352"/>
      <c r="V193" s="352"/>
      <c r="W193" s="352"/>
      <c r="X193" s="352"/>
      <c r="Y193" s="352"/>
      <c r="Z193" s="352"/>
      <c r="AA193" s="352"/>
      <c r="AB193" s="352"/>
      <c r="AC193" s="352"/>
      <c r="AD193" s="352"/>
      <c r="AE193" s="352"/>
      <c r="AF193" s="352"/>
    </row>
    <row r="194">
      <c r="A194" s="352"/>
      <c r="B194" s="352"/>
      <c r="C194" s="352"/>
      <c r="D194" s="352"/>
      <c r="E194" s="352"/>
      <c r="F194" s="352"/>
      <c r="G194" s="352"/>
      <c r="H194" s="352"/>
      <c r="I194" s="352"/>
      <c r="J194" s="352"/>
      <c r="K194" s="352"/>
      <c r="L194" s="352"/>
      <c r="M194" s="352"/>
      <c r="N194" s="352"/>
      <c r="O194" s="352"/>
      <c r="P194" s="352"/>
      <c r="Q194" s="352"/>
      <c r="R194" s="352"/>
      <c r="S194" s="352"/>
      <c r="T194" s="352"/>
      <c r="U194" s="352"/>
      <c r="V194" s="352"/>
      <c r="W194" s="352"/>
      <c r="X194" s="352"/>
      <c r="Y194" s="352"/>
      <c r="Z194" s="352"/>
      <c r="AA194" s="352"/>
      <c r="AB194" s="352"/>
      <c r="AC194" s="352"/>
      <c r="AD194" s="352"/>
      <c r="AE194" s="352"/>
      <c r="AF194" s="352"/>
    </row>
    <row r="195">
      <c r="A195" s="352"/>
      <c r="B195" s="352"/>
      <c r="C195" s="352"/>
      <c r="D195" s="352"/>
      <c r="E195" s="352"/>
      <c r="F195" s="352"/>
      <c r="G195" s="352"/>
      <c r="H195" s="352"/>
      <c r="I195" s="352"/>
      <c r="J195" s="352"/>
      <c r="K195" s="352"/>
      <c r="L195" s="352"/>
      <c r="M195" s="352"/>
      <c r="N195" s="352"/>
      <c r="O195" s="352"/>
      <c r="P195" s="352"/>
      <c r="Q195" s="352"/>
      <c r="R195" s="352"/>
      <c r="S195" s="352"/>
      <c r="T195" s="352"/>
      <c r="U195" s="352"/>
      <c r="V195" s="352"/>
      <c r="W195" s="352"/>
      <c r="X195" s="352"/>
      <c r="Y195" s="352"/>
      <c r="Z195" s="352"/>
      <c r="AA195" s="352"/>
      <c r="AB195" s="352"/>
      <c r="AC195" s="352"/>
      <c r="AD195" s="352"/>
      <c r="AE195" s="352"/>
      <c r="AF195" s="352"/>
    </row>
    <row r="196">
      <c r="A196" s="352"/>
      <c r="B196" s="352"/>
      <c r="C196" s="352"/>
      <c r="D196" s="352"/>
      <c r="E196" s="352"/>
      <c r="F196" s="352"/>
      <c r="G196" s="352"/>
      <c r="H196" s="352"/>
      <c r="I196" s="352"/>
      <c r="J196" s="352"/>
      <c r="K196" s="352"/>
      <c r="L196" s="352"/>
      <c r="M196" s="352"/>
      <c r="N196" s="352"/>
      <c r="O196" s="352"/>
      <c r="P196" s="352"/>
      <c r="Q196" s="352"/>
      <c r="R196" s="352"/>
      <c r="S196" s="352"/>
      <c r="T196" s="352"/>
      <c r="U196" s="352"/>
      <c r="V196" s="352"/>
      <c r="W196" s="352"/>
      <c r="X196" s="352"/>
      <c r="Y196" s="352"/>
      <c r="Z196" s="352"/>
      <c r="AA196" s="352"/>
      <c r="AB196" s="352"/>
      <c r="AC196" s="352"/>
      <c r="AD196" s="352"/>
      <c r="AE196" s="352"/>
      <c r="AF196" s="352"/>
    </row>
    <row r="197">
      <c r="A197" s="352"/>
      <c r="B197" s="352"/>
      <c r="C197" s="352"/>
      <c r="D197" s="352"/>
      <c r="E197" s="352"/>
      <c r="F197" s="352"/>
      <c r="G197" s="352"/>
      <c r="H197" s="352"/>
      <c r="I197" s="352"/>
      <c r="J197" s="352"/>
      <c r="K197" s="352"/>
      <c r="L197" s="352"/>
      <c r="M197" s="352"/>
      <c r="N197" s="352"/>
      <c r="O197" s="352"/>
      <c r="P197" s="352"/>
      <c r="Q197" s="352"/>
      <c r="R197" s="352"/>
      <c r="S197" s="352"/>
      <c r="T197" s="352"/>
      <c r="U197" s="352"/>
      <c r="V197" s="352"/>
      <c r="W197" s="352"/>
      <c r="X197" s="352"/>
      <c r="Y197" s="352"/>
      <c r="Z197" s="352"/>
      <c r="AA197" s="352"/>
      <c r="AB197" s="352"/>
      <c r="AC197" s="352"/>
      <c r="AD197" s="352"/>
      <c r="AE197" s="352"/>
      <c r="AF197" s="352"/>
    </row>
    <row r="198">
      <c r="A198" s="352"/>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2"/>
      <c r="X198" s="352"/>
      <c r="Y198" s="352"/>
      <c r="Z198" s="352"/>
      <c r="AA198" s="352"/>
      <c r="AB198" s="352"/>
      <c r="AC198" s="352"/>
      <c r="AD198" s="352"/>
      <c r="AE198" s="352"/>
      <c r="AF198" s="352"/>
    </row>
    <row r="199">
      <c r="A199" s="352"/>
      <c r="B199" s="352"/>
      <c r="C199" s="352"/>
      <c r="D199" s="352"/>
      <c r="E199" s="352"/>
      <c r="F199" s="352"/>
      <c r="G199" s="352"/>
      <c r="H199" s="352"/>
      <c r="I199" s="352"/>
      <c r="J199" s="352"/>
      <c r="K199" s="352"/>
      <c r="L199" s="352"/>
      <c r="M199" s="352"/>
      <c r="N199" s="352"/>
      <c r="O199" s="352"/>
      <c r="P199" s="352"/>
      <c r="Q199" s="352"/>
      <c r="R199" s="352"/>
      <c r="S199" s="352"/>
      <c r="T199" s="352"/>
      <c r="U199" s="352"/>
      <c r="V199" s="352"/>
      <c r="W199" s="352"/>
      <c r="X199" s="352"/>
      <c r="Y199" s="352"/>
      <c r="Z199" s="352"/>
      <c r="AA199" s="352"/>
      <c r="AB199" s="352"/>
      <c r="AC199" s="352"/>
      <c r="AD199" s="352"/>
      <c r="AE199" s="352"/>
      <c r="AF199" s="352"/>
    </row>
    <row r="200">
      <c r="A200" s="352"/>
      <c r="B200" s="352"/>
      <c r="C200" s="352"/>
      <c r="D200" s="352"/>
      <c r="E200" s="352"/>
      <c r="F200" s="352"/>
      <c r="G200" s="352"/>
      <c r="H200" s="352"/>
      <c r="I200" s="352"/>
      <c r="J200" s="352"/>
      <c r="K200" s="352"/>
      <c r="L200" s="352"/>
      <c r="M200" s="352"/>
      <c r="N200" s="352"/>
      <c r="O200" s="352"/>
      <c r="P200" s="352"/>
      <c r="Q200" s="352"/>
      <c r="R200" s="352"/>
      <c r="S200" s="352"/>
      <c r="T200" s="352"/>
      <c r="U200" s="352"/>
      <c r="V200" s="352"/>
      <c r="W200" s="352"/>
      <c r="X200" s="352"/>
      <c r="Y200" s="352"/>
      <c r="Z200" s="352"/>
      <c r="AA200" s="352"/>
      <c r="AB200" s="352"/>
      <c r="AC200" s="352"/>
      <c r="AD200" s="352"/>
      <c r="AE200" s="352"/>
      <c r="AF200" s="352"/>
    </row>
    <row r="201">
      <c r="A201" s="352"/>
      <c r="B201" s="352"/>
      <c r="C201" s="352"/>
      <c r="D201" s="352"/>
      <c r="E201" s="352"/>
      <c r="F201" s="352"/>
      <c r="G201" s="352"/>
      <c r="H201" s="352"/>
      <c r="I201" s="352"/>
      <c r="J201" s="352"/>
      <c r="K201" s="352"/>
      <c r="L201" s="352"/>
      <c r="M201" s="352"/>
      <c r="N201" s="352"/>
      <c r="O201" s="352"/>
      <c r="P201" s="352"/>
      <c r="Q201" s="352"/>
      <c r="R201" s="352"/>
      <c r="S201" s="352"/>
      <c r="T201" s="352"/>
      <c r="U201" s="352"/>
      <c r="V201" s="352"/>
      <c r="W201" s="352"/>
      <c r="X201" s="352"/>
      <c r="Y201" s="352"/>
      <c r="Z201" s="352"/>
      <c r="AA201" s="352"/>
      <c r="AB201" s="352"/>
      <c r="AC201" s="352"/>
      <c r="AD201" s="352"/>
      <c r="AE201" s="352"/>
      <c r="AF201" s="352"/>
    </row>
    <row r="202">
      <c r="A202" s="352"/>
      <c r="B202" s="352"/>
      <c r="C202" s="352"/>
      <c r="D202" s="352"/>
      <c r="E202" s="352"/>
      <c r="F202" s="352"/>
      <c r="G202" s="352"/>
      <c r="H202" s="352"/>
      <c r="I202" s="352"/>
      <c r="J202" s="352"/>
      <c r="K202" s="352"/>
      <c r="L202" s="352"/>
      <c r="M202" s="352"/>
      <c r="N202" s="352"/>
      <c r="O202" s="352"/>
      <c r="P202" s="352"/>
      <c r="Q202" s="352"/>
      <c r="R202" s="352"/>
      <c r="S202" s="352"/>
      <c r="T202" s="352"/>
      <c r="U202" s="352"/>
      <c r="V202" s="352"/>
      <c r="W202" s="352"/>
      <c r="X202" s="352"/>
      <c r="Y202" s="352"/>
      <c r="Z202" s="352"/>
      <c r="AA202" s="352"/>
      <c r="AB202" s="352"/>
      <c r="AC202" s="352"/>
      <c r="AD202" s="352"/>
      <c r="AE202" s="352"/>
      <c r="AF202" s="352"/>
    </row>
    <row r="203">
      <c r="A203" s="352"/>
      <c r="B203" s="352"/>
      <c r="C203" s="352"/>
      <c r="D203" s="352"/>
      <c r="E203" s="352"/>
      <c r="F203" s="352"/>
      <c r="G203" s="352"/>
      <c r="H203" s="352"/>
      <c r="I203" s="352"/>
      <c r="J203" s="352"/>
      <c r="K203" s="352"/>
      <c r="L203" s="352"/>
      <c r="M203" s="352"/>
      <c r="N203" s="352"/>
      <c r="O203" s="352"/>
      <c r="P203" s="352"/>
      <c r="Q203" s="352"/>
      <c r="R203" s="352"/>
      <c r="S203" s="352"/>
      <c r="T203" s="352"/>
      <c r="U203" s="352"/>
      <c r="V203" s="352"/>
      <c r="W203" s="352"/>
      <c r="X203" s="352"/>
      <c r="Y203" s="352"/>
      <c r="Z203" s="352"/>
      <c r="AA203" s="352"/>
      <c r="AB203" s="352"/>
      <c r="AC203" s="352"/>
      <c r="AD203" s="352"/>
      <c r="AE203" s="352"/>
      <c r="AF203" s="352"/>
    </row>
    <row r="204">
      <c r="A204" s="352"/>
      <c r="B204" s="352"/>
      <c r="C204" s="352"/>
      <c r="D204" s="352"/>
      <c r="E204" s="352"/>
      <c r="F204" s="352"/>
      <c r="G204" s="352"/>
      <c r="H204" s="352"/>
      <c r="I204" s="352"/>
      <c r="J204" s="352"/>
      <c r="K204" s="352"/>
      <c r="L204" s="352"/>
      <c r="M204" s="352"/>
      <c r="N204" s="352"/>
      <c r="O204" s="352"/>
      <c r="P204" s="352"/>
      <c r="Q204" s="352"/>
      <c r="R204" s="352"/>
      <c r="S204" s="352"/>
      <c r="T204" s="352"/>
      <c r="U204" s="352"/>
      <c r="V204" s="352"/>
      <c r="W204" s="352"/>
      <c r="X204" s="352"/>
      <c r="Y204" s="352"/>
      <c r="Z204" s="352"/>
      <c r="AA204" s="352"/>
      <c r="AB204" s="352"/>
      <c r="AC204" s="352"/>
      <c r="AD204" s="352"/>
      <c r="AE204" s="352"/>
      <c r="AF204" s="352"/>
    </row>
    <row r="205">
      <c r="A205" s="352"/>
      <c r="B205" s="352"/>
      <c r="C205" s="352"/>
      <c r="D205" s="352"/>
      <c r="E205" s="352"/>
      <c r="F205" s="352"/>
      <c r="G205" s="352"/>
      <c r="H205" s="352"/>
      <c r="I205" s="352"/>
      <c r="J205" s="352"/>
      <c r="K205" s="352"/>
      <c r="L205" s="352"/>
      <c r="M205" s="352"/>
      <c r="N205" s="352"/>
      <c r="O205" s="352"/>
      <c r="P205" s="352"/>
      <c r="Q205" s="352"/>
      <c r="R205" s="352"/>
      <c r="S205" s="352"/>
      <c r="T205" s="352"/>
      <c r="U205" s="352"/>
      <c r="V205" s="352"/>
      <c r="W205" s="352"/>
      <c r="X205" s="352"/>
      <c r="Y205" s="352"/>
      <c r="Z205" s="352"/>
      <c r="AA205" s="352"/>
      <c r="AB205" s="352"/>
      <c r="AC205" s="352"/>
      <c r="AD205" s="352"/>
      <c r="AE205" s="352"/>
      <c r="AF205" s="352"/>
    </row>
    <row r="206">
      <c r="A206" s="352"/>
      <c r="B206" s="352"/>
      <c r="C206" s="352"/>
      <c r="D206" s="352"/>
      <c r="E206" s="352"/>
      <c r="F206" s="352"/>
      <c r="G206" s="352"/>
      <c r="H206" s="352"/>
      <c r="I206" s="352"/>
      <c r="J206" s="352"/>
      <c r="K206" s="352"/>
      <c r="L206" s="352"/>
      <c r="M206" s="352"/>
      <c r="N206" s="352"/>
      <c r="O206" s="352"/>
      <c r="P206" s="352"/>
      <c r="Q206" s="352"/>
      <c r="R206" s="352"/>
      <c r="S206" s="352"/>
      <c r="T206" s="352"/>
      <c r="U206" s="352"/>
      <c r="V206" s="352"/>
      <c r="W206" s="352"/>
      <c r="X206" s="352"/>
      <c r="Y206" s="352"/>
      <c r="Z206" s="352"/>
      <c r="AA206" s="352"/>
      <c r="AB206" s="352"/>
      <c r="AC206" s="352"/>
      <c r="AD206" s="352"/>
      <c r="AE206" s="352"/>
      <c r="AF206" s="352"/>
    </row>
    <row r="207">
      <c r="A207" s="352"/>
      <c r="B207" s="352"/>
      <c r="C207" s="352"/>
      <c r="D207" s="352"/>
      <c r="E207" s="352"/>
      <c r="F207" s="352"/>
      <c r="G207" s="352"/>
      <c r="H207" s="352"/>
      <c r="I207" s="352"/>
      <c r="J207" s="352"/>
      <c r="K207" s="352"/>
      <c r="L207" s="352"/>
      <c r="M207" s="352"/>
      <c r="N207" s="352"/>
      <c r="O207" s="352"/>
      <c r="P207" s="352"/>
      <c r="Q207" s="352"/>
      <c r="R207" s="352"/>
      <c r="S207" s="352"/>
      <c r="T207" s="352"/>
      <c r="U207" s="352"/>
      <c r="V207" s="352"/>
      <c r="W207" s="352"/>
      <c r="X207" s="352"/>
      <c r="Y207" s="352"/>
      <c r="Z207" s="352"/>
      <c r="AA207" s="352"/>
      <c r="AB207" s="352"/>
      <c r="AC207" s="352"/>
      <c r="AD207" s="352"/>
      <c r="AE207" s="352"/>
      <c r="AF207" s="352"/>
    </row>
    <row r="208">
      <c r="A208" s="352"/>
      <c r="B208" s="352"/>
      <c r="C208" s="352"/>
      <c r="D208" s="352"/>
      <c r="E208" s="352"/>
      <c r="F208" s="352"/>
      <c r="G208" s="352"/>
      <c r="H208" s="352"/>
      <c r="I208" s="352"/>
      <c r="J208" s="352"/>
      <c r="K208" s="352"/>
      <c r="L208" s="352"/>
      <c r="M208" s="352"/>
      <c r="N208" s="352"/>
      <c r="O208" s="352"/>
      <c r="P208" s="352"/>
      <c r="Q208" s="352"/>
      <c r="R208" s="352"/>
      <c r="S208" s="352"/>
      <c r="T208" s="352"/>
      <c r="U208" s="352"/>
      <c r="V208" s="352"/>
      <c r="W208" s="352"/>
      <c r="X208" s="352"/>
      <c r="Y208" s="352"/>
      <c r="Z208" s="352"/>
      <c r="AA208" s="352"/>
      <c r="AB208" s="352"/>
      <c r="AC208" s="352"/>
      <c r="AD208" s="352"/>
      <c r="AE208" s="352"/>
      <c r="AF208" s="352"/>
    </row>
    <row r="209">
      <c r="A209" s="352"/>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2"/>
      <c r="X209" s="352"/>
      <c r="Y209" s="352"/>
      <c r="Z209" s="352"/>
      <c r="AA209" s="352"/>
      <c r="AB209" s="352"/>
      <c r="AC209" s="352"/>
      <c r="AD209" s="352"/>
      <c r="AE209" s="352"/>
      <c r="AF209" s="352"/>
    </row>
    <row r="210">
      <c r="A210" s="352"/>
      <c r="B210" s="352"/>
      <c r="C210" s="352"/>
      <c r="D210" s="352"/>
      <c r="E210" s="352"/>
      <c r="F210" s="352"/>
      <c r="G210" s="352"/>
      <c r="H210" s="352"/>
      <c r="I210" s="352"/>
      <c r="J210" s="352"/>
      <c r="K210" s="352"/>
      <c r="L210" s="352"/>
      <c r="M210" s="352"/>
      <c r="N210" s="352"/>
      <c r="O210" s="352"/>
      <c r="P210" s="352"/>
      <c r="Q210" s="352"/>
      <c r="R210" s="352"/>
      <c r="S210" s="352"/>
      <c r="T210" s="352"/>
      <c r="U210" s="352"/>
      <c r="V210" s="352"/>
      <c r="W210" s="352"/>
      <c r="X210" s="352"/>
      <c r="Y210" s="352"/>
      <c r="Z210" s="352"/>
      <c r="AA210" s="352"/>
      <c r="AB210" s="352"/>
      <c r="AC210" s="352"/>
      <c r="AD210" s="352"/>
      <c r="AE210" s="352"/>
      <c r="AF210" s="352"/>
    </row>
    <row r="211">
      <c r="A211" s="352"/>
      <c r="B211" s="352"/>
      <c r="C211" s="352"/>
      <c r="D211" s="352"/>
      <c r="E211" s="352"/>
      <c r="F211" s="352"/>
      <c r="G211" s="352"/>
      <c r="H211" s="352"/>
      <c r="I211" s="352"/>
      <c r="J211" s="352"/>
      <c r="K211" s="352"/>
      <c r="L211" s="352"/>
      <c r="M211" s="352"/>
      <c r="N211" s="352"/>
      <c r="O211" s="352"/>
      <c r="P211" s="352"/>
      <c r="Q211" s="352"/>
      <c r="R211" s="352"/>
      <c r="S211" s="352"/>
      <c r="T211" s="352"/>
      <c r="U211" s="352"/>
      <c r="V211" s="352"/>
      <c r="W211" s="352"/>
      <c r="X211" s="352"/>
      <c r="Y211" s="352"/>
      <c r="Z211" s="352"/>
      <c r="AA211" s="352"/>
      <c r="AB211" s="352"/>
      <c r="AC211" s="352"/>
      <c r="AD211" s="352"/>
      <c r="AE211" s="352"/>
      <c r="AF211" s="352"/>
    </row>
    <row r="212">
      <c r="A212" s="352"/>
      <c r="B212" s="352"/>
      <c r="C212" s="352"/>
      <c r="D212" s="352"/>
      <c r="E212" s="352"/>
      <c r="F212" s="352"/>
      <c r="G212" s="352"/>
      <c r="H212" s="352"/>
      <c r="I212" s="352"/>
      <c r="J212" s="352"/>
      <c r="K212" s="352"/>
      <c r="L212" s="352"/>
      <c r="M212" s="352"/>
      <c r="N212" s="352"/>
      <c r="O212" s="352"/>
      <c r="P212" s="352"/>
      <c r="Q212" s="352"/>
      <c r="R212" s="352"/>
      <c r="S212" s="352"/>
      <c r="T212" s="352"/>
      <c r="U212" s="352"/>
      <c r="V212" s="352"/>
      <c r="W212" s="352"/>
      <c r="X212" s="352"/>
      <c r="Y212" s="352"/>
      <c r="Z212" s="352"/>
      <c r="AA212" s="352"/>
      <c r="AB212" s="352"/>
      <c r="AC212" s="352"/>
      <c r="AD212" s="352"/>
      <c r="AE212" s="352"/>
      <c r="AF212" s="352"/>
    </row>
    <row r="213">
      <c r="A213" s="352"/>
      <c r="B213" s="352"/>
      <c r="C213" s="352"/>
      <c r="D213" s="352"/>
      <c r="E213" s="352"/>
      <c r="F213" s="352"/>
      <c r="G213" s="352"/>
      <c r="H213" s="352"/>
      <c r="I213" s="352"/>
      <c r="J213" s="352"/>
      <c r="K213" s="352"/>
      <c r="L213" s="352"/>
      <c r="M213" s="352"/>
      <c r="N213" s="352"/>
      <c r="O213" s="352"/>
      <c r="P213" s="352"/>
      <c r="Q213" s="352"/>
      <c r="R213" s="352"/>
      <c r="S213" s="352"/>
      <c r="T213" s="352"/>
      <c r="U213" s="352"/>
      <c r="V213" s="352"/>
      <c r="W213" s="352"/>
      <c r="X213" s="352"/>
      <c r="Y213" s="352"/>
      <c r="Z213" s="352"/>
      <c r="AA213" s="352"/>
      <c r="AB213" s="352"/>
      <c r="AC213" s="352"/>
      <c r="AD213" s="352"/>
      <c r="AE213" s="352"/>
      <c r="AF213" s="352"/>
    </row>
    <row r="214">
      <c r="A214" s="352"/>
      <c r="B214" s="352"/>
      <c r="C214" s="352"/>
      <c r="D214" s="352"/>
      <c r="E214" s="352"/>
      <c r="F214" s="352"/>
      <c r="G214" s="352"/>
      <c r="H214" s="352"/>
      <c r="I214" s="352"/>
      <c r="J214" s="352"/>
      <c r="K214" s="352"/>
      <c r="L214" s="352"/>
      <c r="M214" s="352"/>
      <c r="N214" s="352"/>
      <c r="O214" s="352"/>
      <c r="P214" s="352"/>
      <c r="Q214" s="352"/>
      <c r="R214" s="352"/>
      <c r="S214" s="352"/>
      <c r="T214" s="352"/>
      <c r="U214" s="352"/>
      <c r="V214" s="352"/>
      <c r="W214" s="352"/>
      <c r="X214" s="352"/>
      <c r="Y214" s="352"/>
      <c r="Z214" s="352"/>
      <c r="AA214" s="352"/>
      <c r="AB214" s="352"/>
      <c r="AC214" s="352"/>
      <c r="AD214" s="352"/>
      <c r="AE214" s="352"/>
      <c r="AF214" s="352"/>
    </row>
    <row r="215">
      <c r="A215" s="352"/>
      <c r="B215" s="352"/>
      <c r="C215" s="352"/>
      <c r="D215" s="352"/>
      <c r="E215" s="352"/>
      <c r="F215" s="352"/>
      <c r="G215" s="352"/>
      <c r="H215" s="352"/>
      <c r="I215" s="352"/>
      <c r="J215" s="352"/>
      <c r="K215" s="352"/>
      <c r="L215" s="352"/>
      <c r="M215" s="352"/>
      <c r="N215" s="352"/>
      <c r="O215" s="352"/>
      <c r="P215" s="352"/>
      <c r="Q215" s="352"/>
      <c r="R215" s="352"/>
      <c r="S215" s="352"/>
      <c r="T215" s="352"/>
      <c r="U215" s="352"/>
      <c r="V215" s="352"/>
      <c r="W215" s="352"/>
      <c r="X215" s="352"/>
      <c r="Y215" s="352"/>
      <c r="Z215" s="352"/>
      <c r="AA215" s="352"/>
      <c r="AB215" s="352"/>
      <c r="AC215" s="352"/>
      <c r="AD215" s="352"/>
      <c r="AE215" s="352"/>
      <c r="AF215" s="352"/>
    </row>
    <row r="216">
      <c r="A216" s="352"/>
      <c r="B216" s="352"/>
      <c r="C216" s="352"/>
      <c r="D216" s="352"/>
      <c r="E216" s="352"/>
      <c r="F216" s="352"/>
      <c r="G216" s="352"/>
      <c r="H216" s="352"/>
      <c r="I216" s="352"/>
      <c r="J216" s="352"/>
      <c r="K216" s="352"/>
      <c r="L216" s="352"/>
      <c r="M216" s="352"/>
      <c r="N216" s="352"/>
      <c r="O216" s="352"/>
      <c r="P216" s="352"/>
      <c r="Q216" s="352"/>
      <c r="R216" s="352"/>
      <c r="S216" s="352"/>
      <c r="T216" s="352"/>
      <c r="U216" s="352"/>
      <c r="V216" s="352"/>
      <c r="W216" s="352"/>
      <c r="X216" s="352"/>
      <c r="Y216" s="352"/>
      <c r="Z216" s="352"/>
      <c r="AA216" s="352"/>
      <c r="AB216" s="352"/>
      <c r="AC216" s="352"/>
      <c r="AD216" s="352"/>
      <c r="AE216" s="352"/>
      <c r="AF216" s="352"/>
    </row>
    <row r="217">
      <c r="A217" s="352"/>
      <c r="B217" s="352"/>
      <c r="C217" s="352"/>
      <c r="D217" s="352"/>
      <c r="E217" s="352"/>
      <c r="F217" s="352"/>
      <c r="G217" s="352"/>
      <c r="H217" s="352"/>
      <c r="I217" s="352"/>
      <c r="J217" s="352"/>
      <c r="K217" s="352"/>
      <c r="L217" s="352"/>
      <c r="M217" s="352"/>
      <c r="N217" s="352"/>
      <c r="O217" s="352"/>
      <c r="P217" s="352"/>
      <c r="Q217" s="352"/>
      <c r="R217" s="352"/>
      <c r="S217" s="352"/>
      <c r="T217" s="352"/>
      <c r="U217" s="352"/>
      <c r="V217" s="352"/>
      <c r="W217" s="352"/>
      <c r="X217" s="352"/>
      <c r="Y217" s="352"/>
      <c r="Z217" s="352"/>
      <c r="AA217" s="352"/>
      <c r="AB217" s="352"/>
      <c r="AC217" s="352"/>
      <c r="AD217" s="352"/>
      <c r="AE217" s="352"/>
      <c r="AF217" s="352"/>
    </row>
    <row r="218">
      <c r="A218" s="352"/>
      <c r="B218" s="352"/>
      <c r="C218" s="352"/>
      <c r="D218" s="352"/>
      <c r="E218" s="352"/>
      <c r="F218" s="352"/>
      <c r="G218" s="352"/>
      <c r="H218" s="352"/>
      <c r="I218" s="352"/>
      <c r="J218" s="352"/>
      <c r="K218" s="352"/>
      <c r="L218" s="352"/>
      <c r="M218" s="352"/>
      <c r="N218" s="352"/>
      <c r="O218" s="352"/>
      <c r="P218" s="352"/>
      <c r="Q218" s="352"/>
      <c r="R218" s="352"/>
      <c r="S218" s="352"/>
      <c r="T218" s="352"/>
      <c r="U218" s="352"/>
      <c r="V218" s="352"/>
      <c r="W218" s="352"/>
      <c r="X218" s="352"/>
      <c r="Y218" s="352"/>
      <c r="Z218" s="352"/>
      <c r="AA218" s="352"/>
      <c r="AB218" s="352"/>
      <c r="AC218" s="352"/>
      <c r="AD218" s="352"/>
      <c r="AE218" s="352"/>
      <c r="AF218" s="352"/>
    </row>
    <row r="219">
      <c r="A219" s="352"/>
      <c r="B219" s="352"/>
      <c r="C219" s="352"/>
      <c r="D219" s="352"/>
      <c r="E219" s="352"/>
      <c r="F219" s="352"/>
      <c r="G219" s="352"/>
      <c r="H219" s="352"/>
      <c r="I219" s="352"/>
      <c r="J219" s="352"/>
      <c r="K219" s="352"/>
      <c r="L219" s="352"/>
      <c r="M219" s="352"/>
      <c r="N219" s="352"/>
      <c r="O219" s="352"/>
      <c r="P219" s="352"/>
      <c r="Q219" s="352"/>
      <c r="R219" s="352"/>
      <c r="S219" s="352"/>
      <c r="T219" s="352"/>
      <c r="U219" s="352"/>
      <c r="V219" s="352"/>
      <c r="W219" s="352"/>
      <c r="X219" s="352"/>
      <c r="Y219" s="352"/>
      <c r="Z219" s="352"/>
      <c r="AA219" s="352"/>
      <c r="AB219" s="352"/>
      <c r="AC219" s="352"/>
      <c r="AD219" s="352"/>
      <c r="AE219" s="352"/>
      <c r="AF219" s="352"/>
    </row>
    <row r="220">
      <c r="A220" s="352"/>
      <c r="B220" s="352"/>
      <c r="C220" s="352"/>
      <c r="D220" s="352"/>
      <c r="E220" s="352"/>
      <c r="F220" s="352"/>
      <c r="G220" s="352"/>
      <c r="H220" s="352"/>
      <c r="I220" s="352"/>
      <c r="J220" s="352"/>
      <c r="K220" s="352"/>
      <c r="L220" s="352"/>
      <c r="M220" s="352"/>
      <c r="N220" s="352"/>
      <c r="O220" s="352"/>
      <c r="P220" s="352"/>
      <c r="Q220" s="352"/>
      <c r="R220" s="352"/>
      <c r="S220" s="352"/>
      <c r="T220" s="352"/>
      <c r="U220" s="352"/>
      <c r="V220" s="352"/>
      <c r="W220" s="352"/>
      <c r="X220" s="352"/>
      <c r="Y220" s="352"/>
      <c r="Z220" s="352"/>
      <c r="AA220" s="352"/>
      <c r="AB220" s="352"/>
      <c r="AC220" s="352"/>
      <c r="AD220" s="352"/>
      <c r="AE220" s="352"/>
      <c r="AF220" s="352"/>
    </row>
    <row r="221">
      <c r="A221" s="352"/>
      <c r="B221" s="352"/>
      <c r="C221" s="352"/>
      <c r="D221" s="352"/>
      <c r="E221" s="352"/>
      <c r="F221" s="352"/>
      <c r="G221" s="352"/>
      <c r="H221" s="352"/>
      <c r="I221" s="352"/>
      <c r="J221" s="352"/>
      <c r="K221" s="352"/>
      <c r="L221" s="352"/>
      <c r="M221" s="352"/>
      <c r="N221" s="352"/>
      <c r="O221" s="352"/>
      <c r="P221" s="352"/>
      <c r="Q221" s="352"/>
      <c r="R221" s="352"/>
      <c r="S221" s="352"/>
      <c r="T221" s="352"/>
      <c r="U221" s="352"/>
      <c r="V221" s="352"/>
      <c r="W221" s="352"/>
      <c r="X221" s="352"/>
      <c r="Y221" s="352"/>
      <c r="Z221" s="352"/>
      <c r="AA221" s="352"/>
      <c r="AB221" s="352"/>
      <c r="AC221" s="352"/>
      <c r="AD221" s="352"/>
      <c r="AE221" s="352"/>
      <c r="AF221" s="352"/>
    </row>
    <row r="222">
      <c r="A222" s="352"/>
      <c r="B222" s="352"/>
      <c r="C222" s="352"/>
      <c r="D222" s="352"/>
      <c r="E222" s="352"/>
      <c r="F222" s="352"/>
      <c r="G222" s="352"/>
      <c r="H222" s="352"/>
      <c r="I222" s="352"/>
      <c r="J222" s="352"/>
      <c r="K222" s="352"/>
      <c r="L222" s="352"/>
      <c r="M222" s="352"/>
      <c r="N222" s="352"/>
      <c r="O222" s="352"/>
      <c r="P222" s="352"/>
      <c r="Q222" s="352"/>
      <c r="R222" s="352"/>
      <c r="S222" s="352"/>
      <c r="T222" s="352"/>
      <c r="U222" s="352"/>
      <c r="V222" s="352"/>
      <c r="W222" s="352"/>
      <c r="X222" s="352"/>
      <c r="Y222" s="352"/>
      <c r="Z222" s="352"/>
      <c r="AA222" s="352"/>
      <c r="AB222" s="352"/>
      <c r="AC222" s="352"/>
      <c r="AD222" s="352"/>
      <c r="AE222" s="352"/>
      <c r="AF222" s="352"/>
    </row>
    <row r="223">
      <c r="A223" s="352"/>
      <c r="B223" s="352"/>
      <c r="C223" s="352"/>
      <c r="D223" s="352"/>
      <c r="E223" s="352"/>
      <c r="F223" s="352"/>
      <c r="G223" s="352"/>
      <c r="H223" s="352"/>
      <c r="I223" s="352"/>
      <c r="J223" s="352"/>
      <c r="K223" s="352"/>
      <c r="L223" s="352"/>
      <c r="M223" s="352"/>
      <c r="N223" s="352"/>
      <c r="O223" s="352"/>
      <c r="P223" s="352"/>
      <c r="Q223" s="352"/>
      <c r="R223" s="352"/>
      <c r="S223" s="352"/>
      <c r="T223" s="352"/>
      <c r="U223" s="352"/>
      <c r="V223" s="352"/>
      <c r="W223" s="352"/>
      <c r="X223" s="352"/>
      <c r="Y223" s="352"/>
      <c r="Z223" s="352"/>
      <c r="AA223" s="352"/>
      <c r="AB223" s="352"/>
      <c r="AC223" s="352"/>
      <c r="AD223" s="352"/>
      <c r="AE223" s="352"/>
      <c r="AF223" s="352"/>
    </row>
    <row r="224">
      <c r="A224" s="352"/>
      <c r="B224" s="352"/>
      <c r="C224" s="352"/>
      <c r="D224" s="352"/>
      <c r="E224" s="352"/>
      <c r="F224" s="352"/>
      <c r="G224" s="352"/>
      <c r="H224" s="352"/>
      <c r="I224" s="352"/>
      <c r="J224" s="352"/>
      <c r="K224" s="352"/>
      <c r="L224" s="352"/>
      <c r="M224" s="352"/>
      <c r="N224" s="352"/>
      <c r="O224" s="352"/>
      <c r="P224" s="352"/>
      <c r="Q224" s="352"/>
      <c r="R224" s="352"/>
      <c r="S224" s="352"/>
      <c r="T224" s="352"/>
      <c r="U224" s="352"/>
      <c r="V224" s="352"/>
      <c r="W224" s="352"/>
      <c r="X224" s="352"/>
      <c r="Y224" s="352"/>
      <c r="Z224" s="352"/>
      <c r="AA224" s="352"/>
      <c r="AB224" s="352"/>
      <c r="AC224" s="352"/>
      <c r="AD224" s="352"/>
      <c r="AE224" s="352"/>
      <c r="AF224" s="352"/>
    </row>
    <row r="225">
      <c r="A225" s="352"/>
      <c r="B225" s="352"/>
      <c r="C225" s="352"/>
      <c r="D225" s="352"/>
      <c r="E225" s="352"/>
      <c r="F225" s="352"/>
      <c r="G225" s="352"/>
      <c r="H225" s="352"/>
      <c r="I225" s="352"/>
      <c r="J225" s="352"/>
      <c r="K225" s="352"/>
      <c r="L225" s="352"/>
      <c r="M225" s="352"/>
      <c r="N225" s="352"/>
      <c r="O225" s="352"/>
      <c r="P225" s="352"/>
      <c r="Q225" s="352"/>
      <c r="R225" s="352"/>
      <c r="S225" s="352"/>
      <c r="T225" s="352"/>
      <c r="U225" s="352"/>
      <c r="V225" s="352"/>
      <c r="W225" s="352"/>
      <c r="X225" s="352"/>
      <c r="Y225" s="352"/>
      <c r="Z225" s="352"/>
      <c r="AA225" s="352"/>
      <c r="AB225" s="352"/>
      <c r="AC225" s="352"/>
      <c r="AD225" s="352"/>
      <c r="AE225" s="352"/>
      <c r="AF225" s="352"/>
    </row>
    <row r="226">
      <c r="A226" s="352"/>
      <c r="B226" s="352"/>
      <c r="C226" s="352"/>
      <c r="D226" s="352"/>
      <c r="E226" s="352"/>
      <c r="F226" s="352"/>
      <c r="G226" s="352"/>
      <c r="H226" s="352"/>
      <c r="I226" s="352"/>
      <c r="J226" s="352"/>
      <c r="K226" s="352"/>
      <c r="L226" s="352"/>
      <c r="M226" s="352"/>
      <c r="N226" s="352"/>
      <c r="O226" s="352"/>
      <c r="P226" s="352"/>
      <c r="Q226" s="352"/>
      <c r="R226" s="352"/>
      <c r="S226" s="352"/>
      <c r="T226" s="352"/>
      <c r="U226" s="352"/>
      <c r="V226" s="352"/>
      <c r="W226" s="352"/>
      <c r="X226" s="352"/>
      <c r="Y226" s="352"/>
      <c r="Z226" s="352"/>
      <c r="AA226" s="352"/>
      <c r="AB226" s="352"/>
      <c r="AC226" s="352"/>
      <c r="AD226" s="352"/>
      <c r="AE226" s="352"/>
      <c r="AF226" s="352"/>
    </row>
    <row r="227">
      <c r="A227" s="352"/>
      <c r="B227" s="352"/>
      <c r="C227" s="352"/>
      <c r="D227" s="352"/>
      <c r="E227" s="352"/>
      <c r="F227" s="352"/>
      <c r="G227" s="352"/>
      <c r="H227" s="352"/>
      <c r="I227" s="352"/>
      <c r="J227" s="352"/>
      <c r="K227" s="352"/>
      <c r="L227" s="352"/>
      <c r="M227" s="352"/>
      <c r="N227" s="352"/>
      <c r="O227" s="352"/>
      <c r="P227" s="352"/>
      <c r="Q227" s="352"/>
      <c r="R227" s="352"/>
      <c r="S227" s="352"/>
      <c r="T227" s="352"/>
      <c r="U227" s="352"/>
      <c r="V227" s="352"/>
      <c r="W227" s="352"/>
      <c r="X227" s="352"/>
      <c r="Y227" s="352"/>
      <c r="Z227" s="352"/>
      <c r="AA227" s="352"/>
      <c r="AB227" s="352"/>
      <c r="AC227" s="352"/>
      <c r="AD227" s="352"/>
      <c r="AE227" s="352"/>
      <c r="AF227" s="352"/>
    </row>
    <row r="228">
      <c r="A228" s="352"/>
      <c r="B228" s="352"/>
      <c r="C228" s="352"/>
      <c r="D228" s="352"/>
      <c r="E228" s="352"/>
      <c r="F228" s="352"/>
      <c r="G228" s="352"/>
      <c r="H228" s="352"/>
      <c r="I228" s="352"/>
      <c r="J228" s="352"/>
      <c r="K228" s="352"/>
      <c r="L228" s="352"/>
      <c r="M228" s="352"/>
      <c r="N228" s="352"/>
      <c r="O228" s="352"/>
      <c r="P228" s="352"/>
      <c r="Q228" s="352"/>
      <c r="R228" s="352"/>
      <c r="S228" s="352"/>
      <c r="T228" s="352"/>
      <c r="U228" s="352"/>
      <c r="V228" s="352"/>
      <c r="W228" s="352"/>
      <c r="X228" s="352"/>
      <c r="Y228" s="352"/>
      <c r="Z228" s="352"/>
      <c r="AA228" s="352"/>
      <c r="AB228" s="352"/>
      <c r="AC228" s="352"/>
      <c r="AD228" s="352"/>
      <c r="AE228" s="352"/>
      <c r="AF228" s="352"/>
    </row>
    <row r="229">
      <c r="A229" s="352"/>
      <c r="B229" s="352"/>
      <c r="C229" s="352"/>
      <c r="D229" s="352"/>
      <c r="E229" s="352"/>
      <c r="F229" s="352"/>
      <c r="G229" s="352"/>
      <c r="H229" s="352"/>
      <c r="I229" s="352"/>
      <c r="J229" s="352"/>
      <c r="K229" s="352"/>
      <c r="L229" s="352"/>
      <c r="M229" s="352"/>
      <c r="N229" s="352"/>
      <c r="O229" s="352"/>
      <c r="P229" s="352"/>
      <c r="Q229" s="352"/>
      <c r="R229" s="352"/>
      <c r="S229" s="352"/>
      <c r="T229" s="352"/>
      <c r="U229" s="352"/>
      <c r="V229" s="352"/>
      <c r="W229" s="352"/>
      <c r="X229" s="352"/>
      <c r="Y229" s="352"/>
      <c r="Z229" s="352"/>
      <c r="AA229" s="352"/>
      <c r="AB229" s="352"/>
      <c r="AC229" s="352"/>
      <c r="AD229" s="352"/>
      <c r="AE229" s="352"/>
      <c r="AF229" s="352"/>
    </row>
    <row r="230">
      <c r="A230" s="352"/>
      <c r="B230" s="352"/>
      <c r="C230" s="352"/>
      <c r="D230" s="352"/>
      <c r="E230" s="352"/>
      <c r="F230" s="352"/>
      <c r="G230" s="352"/>
      <c r="H230" s="352"/>
      <c r="I230" s="352"/>
      <c r="J230" s="352"/>
      <c r="K230" s="352"/>
      <c r="L230" s="352"/>
      <c r="M230" s="352"/>
      <c r="N230" s="352"/>
      <c r="O230" s="352"/>
      <c r="P230" s="352"/>
      <c r="Q230" s="352"/>
      <c r="R230" s="352"/>
      <c r="S230" s="352"/>
      <c r="T230" s="352"/>
      <c r="U230" s="352"/>
      <c r="V230" s="352"/>
      <c r="W230" s="352"/>
      <c r="X230" s="352"/>
      <c r="Y230" s="352"/>
      <c r="Z230" s="352"/>
      <c r="AA230" s="352"/>
      <c r="AB230" s="352"/>
      <c r="AC230" s="352"/>
      <c r="AD230" s="352"/>
      <c r="AE230" s="352"/>
      <c r="AF230" s="352"/>
    </row>
    <row r="231">
      <c r="A231" s="352"/>
      <c r="B231" s="352"/>
      <c r="C231" s="352"/>
      <c r="D231" s="352"/>
      <c r="E231" s="352"/>
      <c r="F231" s="352"/>
      <c r="G231" s="352"/>
      <c r="H231" s="352"/>
      <c r="I231" s="352"/>
      <c r="J231" s="352"/>
      <c r="K231" s="352"/>
      <c r="L231" s="352"/>
      <c r="M231" s="352"/>
      <c r="N231" s="352"/>
      <c r="O231" s="352"/>
      <c r="P231" s="352"/>
      <c r="Q231" s="352"/>
      <c r="R231" s="352"/>
      <c r="S231" s="352"/>
      <c r="T231" s="352"/>
      <c r="U231" s="352"/>
      <c r="V231" s="352"/>
      <c r="W231" s="352"/>
      <c r="X231" s="352"/>
      <c r="Y231" s="352"/>
      <c r="Z231" s="352"/>
      <c r="AA231" s="352"/>
      <c r="AB231" s="352"/>
      <c r="AC231" s="352"/>
      <c r="AD231" s="352"/>
      <c r="AE231" s="352"/>
      <c r="AF231" s="352"/>
    </row>
    <row r="232">
      <c r="A232" s="352"/>
      <c r="B232" s="352"/>
      <c r="C232" s="352"/>
      <c r="D232" s="352"/>
      <c r="E232" s="352"/>
      <c r="F232" s="352"/>
      <c r="G232" s="352"/>
      <c r="H232" s="352"/>
      <c r="I232" s="352"/>
      <c r="J232" s="352"/>
      <c r="K232" s="352"/>
      <c r="L232" s="352"/>
      <c r="M232" s="352"/>
      <c r="N232" s="352"/>
      <c r="O232" s="352"/>
      <c r="P232" s="352"/>
      <c r="Q232" s="352"/>
      <c r="R232" s="352"/>
      <c r="S232" s="352"/>
      <c r="T232" s="352"/>
      <c r="U232" s="352"/>
      <c r="V232" s="352"/>
      <c r="W232" s="352"/>
      <c r="X232" s="352"/>
      <c r="Y232" s="352"/>
      <c r="Z232" s="352"/>
      <c r="AA232" s="352"/>
      <c r="AB232" s="352"/>
      <c r="AC232" s="352"/>
      <c r="AD232" s="352"/>
      <c r="AE232" s="352"/>
      <c r="AF232" s="352"/>
    </row>
    <row r="233">
      <c r="A233" s="352"/>
      <c r="B233" s="352"/>
      <c r="C233" s="352"/>
      <c r="D233" s="352"/>
      <c r="E233" s="352"/>
      <c r="F233" s="352"/>
      <c r="G233" s="352"/>
      <c r="H233" s="352"/>
      <c r="I233" s="352"/>
      <c r="J233" s="352"/>
      <c r="K233" s="352"/>
      <c r="L233" s="352"/>
      <c r="M233" s="352"/>
      <c r="N233" s="352"/>
      <c r="O233" s="352"/>
      <c r="P233" s="352"/>
      <c r="Q233" s="352"/>
      <c r="R233" s="352"/>
      <c r="S233" s="352"/>
      <c r="T233" s="352"/>
      <c r="U233" s="352"/>
      <c r="V233" s="352"/>
      <c r="W233" s="352"/>
      <c r="X233" s="352"/>
      <c r="Y233" s="352"/>
      <c r="Z233" s="352"/>
      <c r="AA233" s="352"/>
      <c r="AB233" s="352"/>
      <c r="AC233" s="352"/>
      <c r="AD233" s="352"/>
      <c r="AE233" s="352"/>
      <c r="AF233" s="352"/>
    </row>
    <row r="234">
      <c r="A234" s="352"/>
      <c r="B234" s="352"/>
      <c r="C234" s="352"/>
      <c r="D234" s="352"/>
      <c r="E234" s="352"/>
      <c r="F234" s="352"/>
      <c r="G234" s="352"/>
      <c r="H234" s="352"/>
      <c r="I234" s="352"/>
      <c r="J234" s="352"/>
      <c r="K234" s="352"/>
      <c r="L234" s="352"/>
      <c r="M234" s="352"/>
      <c r="N234" s="352"/>
      <c r="O234" s="352"/>
      <c r="P234" s="352"/>
      <c r="Q234" s="352"/>
      <c r="R234" s="352"/>
      <c r="S234" s="352"/>
      <c r="T234" s="352"/>
      <c r="U234" s="352"/>
      <c r="V234" s="352"/>
      <c r="W234" s="352"/>
      <c r="X234" s="352"/>
      <c r="Y234" s="352"/>
      <c r="Z234" s="352"/>
      <c r="AA234" s="352"/>
      <c r="AB234" s="352"/>
      <c r="AC234" s="352"/>
      <c r="AD234" s="352"/>
      <c r="AE234" s="352"/>
      <c r="AF234" s="352"/>
    </row>
    <row r="235">
      <c r="A235" s="352"/>
      <c r="B235" s="352"/>
      <c r="C235" s="352"/>
      <c r="D235" s="352"/>
      <c r="E235" s="352"/>
      <c r="F235" s="352"/>
      <c r="G235" s="352"/>
      <c r="H235" s="352"/>
      <c r="I235" s="352"/>
      <c r="J235" s="352"/>
      <c r="K235" s="352"/>
      <c r="L235" s="352"/>
      <c r="M235" s="352"/>
      <c r="N235" s="352"/>
      <c r="O235" s="352"/>
      <c r="P235" s="352"/>
      <c r="Q235" s="352"/>
      <c r="R235" s="352"/>
      <c r="S235" s="352"/>
      <c r="T235" s="352"/>
      <c r="U235" s="352"/>
      <c r="V235" s="352"/>
      <c r="W235" s="352"/>
      <c r="X235" s="352"/>
      <c r="Y235" s="352"/>
      <c r="Z235" s="352"/>
      <c r="AA235" s="352"/>
      <c r="AB235" s="352"/>
      <c r="AC235" s="352"/>
      <c r="AD235" s="352"/>
      <c r="AE235" s="352"/>
      <c r="AF235" s="352"/>
    </row>
    <row r="236">
      <c r="A236" s="352"/>
      <c r="B236" s="352"/>
      <c r="C236" s="352"/>
      <c r="D236" s="352"/>
      <c r="E236" s="352"/>
      <c r="F236" s="352"/>
      <c r="G236" s="352"/>
      <c r="H236" s="352"/>
      <c r="I236" s="352"/>
      <c r="J236" s="352"/>
      <c r="K236" s="352"/>
      <c r="L236" s="352"/>
      <c r="M236" s="352"/>
      <c r="N236" s="352"/>
      <c r="O236" s="352"/>
      <c r="P236" s="352"/>
      <c r="Q236" s="352"/>
      <c r="R236" s="352"/>
      <c r="S236" s="352"/>
      <c r="T236" s="352"/>
      <c r="U236" s="352"/>
      <c r="V236" s="352"/>
      <c r="W236" s="352"/>
      <c r="X236" s="352"/>
      <c r="Y236" s="352"/>
      <c r="Z236" s="352"/>
      <c r="AA236" s="352"/>
      <c r="AB236" s="352"/>
      <c r="AC236" s="352"/>
      <c r="AD236" s="352"/>
      <c r="AE236" s="352"/>
      <c r="AF236" s="352"/>
    </row>
    <row r="237">
      <c r="A237" s="352"/>
      <c r="B237" s="352"/>
      <c r="C237" s="352"/>
      <c r="D237" s="352"/>
      <c r="E237" s="352"/>
      <c r="F237" s="352"/>
      <c r="G237" s="352"/>
      <c r="H237" s="352"/>
      <c r="I237" s="352"/>
      <c r="J237" s="352"/>
      <c r="K237" s="352"/>
      <c r="L237" s="352"/>
      <c r="M237" s="352"/>
      <c r="N237" s="352"/>
      <c r="O237" s="352"/>
      <c r="P237" s="352"/>
      <c r="Q237" s="352"/>
      <c r="R237" s="352"/>
      <c r="S237" s="352"/>
      <c r="T237" s="352"/>
      <c r="U237" s="352"/>
      <c r="V237" s="352"/>
      <c r="W237" s="352"/>
      <c r="X237" s="352"/>
      <c r="Y237" s="352"/>
      <c r="Z237" s="352"/>
      <c r="AA237" s="352"/>
      <c r="AB237" s="352"/>
      <c r="AC237" s="352"/>
      <c r="AD237" s="352"/>
      <c r="AE237" s="352"/>
      <c r="AF237" s="352"/>
    </row>
    <row r="238">
      <c r="A238" s="352"/>
      <c r="B238" s="352"/>
      <c r="C238" s="352"/>
      <c r="D238" s="352"/>
      <c r="E238" s="352"/>
      <c r="F238" s="352"/>
      <c r="G238" s="352"/>
      <c r="H238" s="352"/>
      <c r="I238" s="352"/>
      <c r="J238" s="352"/>
      <c r="K238" s="352"/>
      <c r="L238" s="352"/>
      <c r="M238" s="352"/>
      <c r="N238" s="352"/>
      <c r="O238" s="352"/>
      <c r="P238" s="352"/>
      <c r="Q238" s="352"/>
      <c r="R238" s="352"/>
      <c r="S238" s="352"/>
      <c r="T238" s="352"/>
      <c r="U238" s="352"/>
      <c r="V238" s="352"/>
      <c r="W238" s="352"/>
      <c r="X238" s="352"/>
      <c r="Y238" s="352"/>
      <c r="Z238" s="352"/>
      <c r="AA238" s="352"/>
      <c r="AB238" s="352"/>
      <c r="AC238" s="352"/>
      <c r="AD238" s="352"/>
      <c r="AE238" s="352"/>
      <c r="AF238" s="352"/>
    </row>
    <row r="239">
      <c r="A239" s="352"/>
      <c r="B239" s="352"/>
      <c r="C239" s="352"/>
      <c r="D239" s="352"/>
      <c r="E239" s="352"/>
      <c r="F239" s="352"/>
      <c r="G239" s="352"/>
      <c r="H239" s="352"/>
      <c r="I239" s="352"/>
      <c r="J239" s="352"/>
      <c r="K239" s="352"/>
      <c r="L239" s="352"/>
      <c r="M239" s="352"/>
      <c r="N239" s="352"/>
      <c r="O239" s="352"/>
      <c r="P239" s="352"/>
      <c r="Q239" s="352"/>
      <c r="R239" s="352"/>
      <c r="S239" s="352"/>
      <c r="T239" s="352"/>
      <c r="U239" s="352"/>
      <c r="V239" s="352"/>
      <c r="W239" s="352"/>
      <c r="X239" s="352"/>
      <c r="Y239" s="352"/>
      <c r="Z239" s="352"/>
      <c r="AA239" s="352"/>
      <c r="AB239" s="352"/>
      <c r="AC239" s="352"/>
      <c r="AD239" s="352"/>
      <c r="AE239" s="352"/>
      <c r="AF239" s="352"/>
    </row>
    <row r="240">
      <c r="A240" s="352"/>
      <c r="B240" s="352"/>
      <c r="C240" s="352"/>
      <c r="D240" s="352"/>
      <c r="E240" s="352"/>
      <c r="F240" s="352"/>
      <c r="G240" s="352"/>
      <c r="H240" s="352"/>
      <c r="I240" s="352"/>
      <c r="J240" s="352"/>
      <c r="K240" s="352"/>
      <c r="L240" s="352"/>
      <c r="M240" s="352"/>
      <c r="N240" s="352"/>
      <c r="O240" s="352"/>
      <c r="P240" s="352"/>
      <c r="Q240" s="352"/>
      <c r="R240" s="352"/>
      <c r="S240" s="352"/>
      <c r="T240" s="352"/>
      <c r="U240" s="352"/>
      <c r="V240" s="352"/>
      <c r="W240" s="352"/>
      <c r="X240" s="352"/>
      <c r="Y240" s="352"/>
      <c r="Z240" s="352"/>
      <c r="AA240" s="352"/>
      <c r="AB240" s="352"/>
      <c r="AC240" s="352"/>
      <c r="AD240" s="352"/>
      <c r="AE240" s="352"/>
      <c r="AF240" s="352"/>
    </row>
    <row r="241">
      <c r="A241" s="352"/>
      <c r="B241" s="352"/>
      <c r="C241" s="352"/>
      <c r="D241" s="352"/>
      <c r="E241" s="352"/>
      <c r="F241" s="352"/>
      <c r="G241" s="352"/>
      <c r="H241" s="352"/>
      <c r="I241" s="352"/>
      <c r="J241" s="352"/>
      <c r="K241" s="352"/>
      <c r="L241" s="352"/>
      <c r="M241" s="352"/>
      <c r="N241" s="352"/>
      <c r="O241" s="352"/>
      <c r="P241" s="352"/>
      <c r="Q241" s="352"/>
      <c r="R241" s="352"/>
      <c r="S241" s="352"/>
      <c r="T241" s="352"/>
      <c r="U241" s="352"/>
      <c r="V241" s="352"/>
      <c r="W241" s="352"/>
      <c r="X241" s="352"/>
      <c r="Y241" s="352"/>
      <c r="Z241" s="352"/>
      <c r="AA241" s="352"/>
      <c r="AB241" s="352"/>
      <c r="AC241" s="352"/>
      <c r="AD241" s="352"/>
      <c r="AE241" s="352"/>
      <c r="AF241" s="352"/>
    </row>
    <row r="242">
      <c r="A242" s="352"/>
      <c r="B242" s="35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c r="AA242" s="352"/>
      <c r="AB242" s="352"/>
      <c r="AC242" s="352"/>
      <c r="AD242" s="352"/>
      <c r="AE242" s="352"/>
      <c r="AF242" s="352"/>
    </row>
    <row r="243">
      <c r="A243" s="352"/>
      <c r="B243" s="352"/>
      <c r="C243" s="352"/>
      <c r="D243" s="352"/>
      <c r="E243" s="352"/>
      <c r="F243" s="352"/>
      <c r="G243" s="352"/>
      <c r="H243" s="352"/>
      <c r="I243" s="352"/>
      <c r="J243" s="352"/>
      <c r="K243" s="352"/>
      <c r="L243" s="352"/>
      <c r="M243" s="352"/>
      <c r="N243" s="352"/>
      <c r="O243" s="352"/>
      <c r="P243" s="352"/>
      <c r="Q243" s="352"/>
      <c r="R243" s="352"/>
      <c r="S243" s="352"/>
      <c r="T243" s="352"/>
      <c r="U243" s="352"/>
      <c r="V243" s="352"/>
      <c r="W243" s="352"/>
      <c r="X243" s="352"/>
      <c r="Y243" s="352"/>
      <c r="Z243" s="352"/>
      <c r="AA243" s="352"/>
      <c r="AB243" s="352"/>
      <c r="AC243" s="352"/>
      <c r="AD243" s="352"/>
      <c r="AE243" s="352"/>
      <c r="AF243" s="352"/>
    </row>
    <row r="244">
      <c r="A244" s="352"/>
      <c r="B244" s="352"/>
      <c r="C244" s="352"/>
      <c r="D244" s="352"/>
      <c r="E244" s="352"/>
      <c r="F244" s="352"/>
      <c r="G244" s="352"/>
      <c r="H244" s="352"/>
      <c r="I244" s="352"/>
      <c r="J244" s="352"/>
      <c r="K244" s="352"/>
      <c r="L244" s="352"/>
      <c r="M244" s="352"/>
      <c r="N244" s="352"/>
      <c r="O244" s="352"/>
      <c r="P244" s="352"/>
      <c r="Q244" s="352"/>
      <c r="R244" s="352"/>
      <c r="S244" s="352"/>
      <c r="T244" s="352"/>
      <c r="U244" s="352"/>
      <c r="V244" s="352"/>
      <c r="W244" s="352"/>
      <c r="X244" s="352"/>
      <c r="Y244" s="352"/>
      <c r="Z244" s="352"/>
      <c r="AA244" s="352"/>
      <c r="AB244" s="352"/>
      <c r="AC244" s="352"/>
      <c r="AD244" s="352"/>
      <c r="AE244" s="352"/>
      <c r="AF244" s="352"/>
    </row>
    <row r="245">
      <c r="A245" s="352"/>
      <c r="B245" s="352"/>
      <c r="C245" s="352"/>
      <c r="D245" s="352"/>
      <c r="E245" s="352"/>
      <c r="F245" s="352"/>
      <c r="G245" s="352"/>
      <c r="H245" s="352"/>
      <c r="I245" s="352"/>
      <c r="J245" s="352"/>
      <c r="K245" s="352"/>
      <c r="L245" s="352"/>
      <c r="M245" s="352"/>
      <c r="N245" s="352"/>
      <c r="O245" s="352"/>
      <c r="P245" s="352"/>
      <c r="Q245" s="352"/>
      <c r="R245" s="352"/>
      <c r="S245" s="352"/>
      <c r="T245" s="352"/>
      <c r="U245" s="352"/>
      <c r="V245" s="352"/>
      <c r="W245" s="352"/>
      <c r="X245" s="352"/>
      <c r="Y245" s="352"/>
      <c r="Z245" s="352"/>
      <c r="AA245" s="352"/>
      <c r="AB245" s="352"/>
      <c r="AC245" s="352"/>
      <c r="AD245" s="352"/>
      <c r="AE245" s="352"/>
      <c r="AF245" s="352"/>
    </row>
    <row r="246">
      <c r="A246" s="352"/>
      <c r="B246" s="352"/>
      <c r="C246" s="352"/>
      <c r="D246" s="352"/>
      <c r="E246" s="352"/>
      <c r="F246" s="352"/>
      <c r="G246" s="352"/>
      <c r="H246" s="352"/>
      <c r="I246" s="352"/>
      <c r="J246" s="352"/>
      <c r="K246" s="352"/>
      <c r="L246" s="352"/>
      <c r="M246" s="352"/>
      <c r="N246" s="352"/>
      <c r="O246" s="352"/>
      <c r="P246" s="352"/>
      <c r="Q246" s="352"/>
      <c r="R246" s="352"/>
      <c r="S246" s="352"/>
      <c r="T246" s="352"/>
      <c r="U246" s="352"/>
      <c r="V246" s="352"/>
      <c r="W246" s="352"/>
      <c r="X246" s="352"/>
      <c r="Y246" s="352"/>
      <c r="Z246" s="352"/>
      <c r="AA246" s="352"/>
      <c r="AB246" s="352"/>
      <c r="AC246" s="352"/>
      <c r="AD246" s="352"/>
      <c r="AE246" s="352"/>
      <c r="AF246" s="352"/>
    </row>
    <row r="247">
      <c r="A247" s="352"/>
      <c r="B247" s="352"/>
      <c r="C247" s="352"/>
      <c r="D247" s="352"/>
      <c r="E247" s="352"/>
      <c r="F247" s="352"/>
      <c r="G247" s="352"/>
      <c r="H247" s="352"/>
      <c r="I247" s="352"/>
      <c r="J247" s="352"/>
      <c r="K247" s="352"/>
      <c r="L247" s="352"/>
      <c r="M247" s="352"/>
      <c r="N247" s="352"/>
      <c r="O247" s="352"/>
      <c r="P247" s="352"/>
      <c r="Q247" s="352"/>
      <c r="R247" s="352"/>
      <c r="S247" s="352"/>
      <c r="T247" s="352"/>
      <c r="U247" s="352"/>
      <c r="V247" s="352"/>
      <c r="W247" s="352"/>
      <c r="X247" s="352"/>
      <c r="Y247" s="352"/>
      <c r="Z247" s="352"/>
      <c r="AA247" s="352"/>
      <c r="AB247" s="352"/>
      <c r="AC247" s="352"/>
      <c r="AD247" s="352"/>
      <c r="AE247" s="352"/>
      <c r="AF247" s="352"/>
    </row>
    <row r="248">
      <c r="A248" s="352"/>
      <c r="B248" s="352"/>
      <c r="C248" s="352"/>
      <c r="D248" s="352"/>
      <c r="E248" s="352"/>
      <c r="F248" s="352"/>
      <c r="G248" s="352"/>
      <c r="H248" s="352"/>
      <c r="I248" s="352"/>
      <c r="J248" s="352"/>
      <c r="K248" s="352"/>
      <c r="L248" s="352"/>
      <c r="M248" s="352"/>
      <c r="N248" s="352"/>
      <c r="O248" s="352"/>
      <c r="P248" s="352"/>
      <c r="Q248" s="352"/>
      <c r="R248" s="352"/>
      <c r="S248" s="352"/>
      <c r="T248" s="352"/>
      <c r="U248" s="352"/>
      <c r="V248" s="352"/>
      <c r="W248" s="352"/>
      <c r="X248" s="352"/>
      <c r="Y248" s="352"/>
      <c r="Z248" s="352"/>
      <c r="AA248" s="352"/>
      <c r="AB248" s="352"/>
      <c r="AC248" s="352"/>
      <c r="AD248" s="352"/>
      <c r="AE248" s="352"/>
      <c r="AF248" s="352"/>
    </row>
    <row r="249">
      <c r="A249" s="352"/>
      <c r="B249" s="352"/>
      <c r="C249" s="352"/>
      <c r="D249" s="352"/>
      <c r="E249" s="352"/>
      <c r="F249" s="352"/>
      <c r="G249" s="352"/>
      <c r="H249" s="352"/>
      <c r="I249" s="352"/>
      <c r="J249" s="352"/>
      <c r="K249" s="352"/>
      <c r="L249" s="352"/>
      <c r="M249" s="352"/>
      <c r="N249" s="352"/>
      <c r="O249" s="352"/>
      <c r="P249" s="352"/>
      <c r="Q249" s="352"/>
      <c r="R249" s="352"/>
      <c r="S249" s="352"/>
      <c r="T249" s="352"/>
      <c r="U249" s="352"/>
      <c r="V249" s="352"/>
      <c r="W249" s="352"/>
      <c r="X249" s="352"/>
      <c r="Y249" s="352"/>
      <c r="Z249" s="352"/>
      <c r="AA249" s="352"/>
      <c r="AB249" s="352"/>
      <c r="AC249" s="352"/>
      <c r="AD249" s="352"/>
      <c r="AE249" s="352"/>
      <c r="AF249" s="352"/>
    </row>
    <row r="250">
      <c r="A250" s="352"/>
      <c r="B250" s="35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c r="AA250" s="352"/>
      <c r="AB250" s="352"/>
      <c r="AC250" s="352"/>
      <c r="AD250" s="352"/>
      <c r="AE250" s="352"/>
      <c r="AF250" s="352"/>
    </row>
    <row r="251">
      <c r="A251" s="352"/>
      <c r="B251" s="352"/>
      <c r="C251" s="352"/>
      <c r="D251" s="352"/>
      <c r="E251" s="352"/>
      <c r="F251" s="352"/>
      <c r="G251" s="352"/>
      <c r="H251" s="352"/>
      <c r="I251" s="352"/>
      <c r="J251" s="352"/>
      <c r="K251" s="352"/>
      <c r="L251" s="352"/>
      <c r="M251" s="352"/>
      <c r="N251" s="352"/>
      <c r="O251" s="352"/>
      <c r="P251" s="352"/>
      <c r="Q251" s="352"/>
      <c r="R251" s="352"/>
      <c r="S251" s="352"/>
      <c r="T251" s="352"/>
      <c r="U251" s="352"/>
      <c r="V251" s="352"/>
      <c r="W251" s="352"/>
      <c r="X251" s="352"/>
      <c r="Y251" s="352"/>
      <c r="Z251" s="352"/>
      <c r="AA251" s="352"/>
      <c r="AB251" s="352"/>
      <c r="AC251" s="352"/>
      <c r="AD251" s="352"/>
      <c r="AE251" s="352"/>
      <c r="AF251" s="352"/>
    </row>
    <row r="252">
      <c r="A252" s="352"/>
      <c r="B252" s="352"/>
      <c r="C252" s="352"/>
      <c r="D252" s="352"/>
      <c r="E252" s="352"/>
      <c r="F252" s="352"/>
      <c r="G252" s="352"/>
      <c r="H252" s="352"/>
      <c r="I252" s="352"/>
      <c r="J252" s="352"/>
      <c r="K252" s="352"/>
      <c r="L252" s="352"/>
      <c r="M252" s="352"/>
      <c r="N252" s="352"/>
      <c r="O252" s="352"/>
      <c r="P252" s="352"/>
      <c r="Q252" s="352"/>
      <c r="R252" s="352"/>
      <c r="S252" s="352"/>
      <c r="T252" s="352"/>
      <c r="U252" s="352"/>
      <c r="V252" s="352"/>
      <c r="W252" s="352"/>
      <c r="X252" s="352"/>
      <c r="Y252" s="352"/>
      <c r="Z252" s="352"/>
      <c r="AA252" s="352"/>
      <c r="AB252" s="352"/>
      <c r="AC252" s="352"/>
      <c r="AD252" s="352"/>
      <c r="AE252" s="352"/>
      <c r="AF252" s="352"/>
    </row>
    <row r="253">
      <c r="A253" s="352"/>
      <c r="B253" s="352"/>
      <c r="C253" s="352"/>
      <c r="D253" s="352"/>
      <c r="E253" s="352"/>
      <c r="F253" s="352"/>
      <c r="G253" s="352"/>
      <c r="H253" s="352"/>
      <c r="I253" s="352"/>
      <c r="J253" s="352"/>
      <c r="K253" s="352"/>
      <c r="L253" s="352"/>
      <c r="M253" s="352"/>
      <c r="N253" s="352"/>
      <c r="O253" s="352"/>
      <c r="P253" s="352"/>
      <c r="Q253" s="352"/>
      <c r="R253" s="352"/>
      <c r="S253" s="352"/>
      <c r="T253" s="352"/>
      <c r="U253" s="352"/>
      <c r="V253" s="352"/>
      <c r="W253" s="352"/>
      <c r="X253" s="352"/>
      <c r="Y253" s="352"/>
      <c r="Z253" s="352"/>
      <c r="AA253" s="352"/>
      <c r="AB253" s="352"/>
      <c r="AC253" s="352"/>
      <c r="AD253" s="352"/>
      <c r="AE253" s="352"/>
      <c r="AF253" s="352"/>
    </row>
    <row r="254">
      <c r="A254" s="352"/>
      <c r="B254" s="352"/>
      <c r="C254" s="352"/>
      <c r="D254" s="352"/>
      <c r="E254" s="352"/>
      <c r="F254" s="352"/>
      <c r="G254" s="352"/>
      <c r="H254" s="352"/>
      <c r="I254" s="352"/>
      <c r="J254" s="352"/>
      <c r="K254" s="352"/>
      <c r="L254" s="352"/>
      <c r="M254" s="352"/>
      <c r="N254" s="352"/>
      <c r="O254" s="352"/>
      <c r="P254" s="352"/>
      <c r="Q254" s="352"/>
      <c r="R254" s="352"/>
      <c r="S254" s="352"/>
      <c r="T254" s="352"/>
      <c r="U254" s="352"/>
      <c r="V254" s="352"/>
      <c r="W254" s="352"/>
      <c r="X254" s="352"/>
      <c r="Y254" s="352"/>
      <c r="Z254" s="352"/>
      <c r="AA254" s="352"/>
      <c r="AB254" s="352"/>
      <c r="AC254" s="352"/>
      <c r="AD254" s="352"/>
      <c r="AE254" s="352"/>
      <c r="AF254" s="352"/>
    </row>
    <row r="255">
      <c r="A255" s="352"/>
      <c r="B255" s="352"/>
      <c r="C255" s="352"/>
      <c r="D255" s="352"/>
      <c r="E255" s="352"/>
      <c r="F255" s="352"/>
      <c r="G255" s="352"/>
      <c r="H255" s="352"/>
      <c r="I255" s="352"/>
      <c r="J255" s="352"/>
      <c r="K255" s="352"/>
      <c r="L255" s="352"/>
      <c r="M255" s="352"/>
      <c r="N255" s="352"/>
      <c r="O255" s="352"/>
      <c r="P255" s="352"/>
      <c r="Q255" s="352"/>
      <c r="R255" s="352"/>
      <c r="S255" s="352"/>
      <c r="T255" s="352"/>
      <c r="U255" s="352"/>
      <c r="V255" s="352"/>
      <c r="W255" s="352"/>
      <c r="X255" s="352"/>
      <c r="Y255" s="352"/>
      <c r="Z255" s="352"/>
      <c r="AA255" s="352"/>
      <c r="AB255" s="352"/>
      <c r="AC255" s="352"/>
      <c r="AD255" s="352"/>
      <c r="AE255" s="352"/>
      <c r="AF255" s="352"/>
    </row>
    <row r="256">
      <c r="A256" s="352"/>
      <c r="B256" s="352"/>
      <c r="C256" s="352"/>
      <c r="D256" s="352"/>
      <c r="E256" s="352"/>
      <c r="F256" s="352"/>
      <c r="G256" s="352"/>
      <c r="H256" s="352"/>
      <c r="I256" s="352"/>
      <c r="J256" s="352"/>
      <c r="K256" s="352"/>
      <c r="L256" s="352"/>
      <c r="M256" s="352"/>
      <c r="N256" s="352"/>
      <c r="O256" s="352"/>
      <c r="P256" s="352"/>
      <c r="Q256" s="352"/>
      <c r="R256" s="352"/>
      <c r="S256" s="352"/>
      <c r="T256" s="352"/>
      <c r="U256" s="352"/>
      <c r="V256" s="352"/>
      <c r="W256" s="352"/>
      <c r="X256" s="352"/>
      <c r="Y256" s="352"/>
      <c r="Z256" s="352"/>
      <c r="AA256" s="352"/>
      <c r="AB256" s="352"/>
      <c r="AC256" s="352"/>
      <c r="AD256" s="352"/>
      <c r="AE256" s="352"/>
      <c r="AF256" s="352"/>
    </row>
    <row r="257">
      <c r="A257" s="352"/>
      <c r="B257" s="352"/>
      <c r="C257" s="352"/>
      <c r="D257" s="352"/>
      <c r="E257" s="352"/>
      <c r="F257" s="352"/>
      <c r="G257" s="352"/>
      <c r="H257" s="352"/>
      <c r="I257" s="352"/>
      <c r="J257" s="352"/>
      <c r="K257" s="352"/>
      <c r="L257" s="352"/>
      <c r="M257" s="352"/>
      <c r="N257" s="352"/>
      <c r="O257" s="352"/>
      <c r="P257" s="352"/>
      <c r="Q257" s="352"/>
      <c r="R257" s="352"/>
      <c r="S257" s="352"/>
      <c r="T257" s="352"/>
      <c r="U257" s="352"/>
      <c r="V257" s="352"/>
      <c r="W257" s="352"/>
      <c r="X257" s="352"/>
      <c r="Y257" s="352"/>
      <c r="Z257" s="352"/>
      <c r="AA257" s="352"/>
      <c r="AB257" s="352"/>
      <c r="AC257" s="352"/>
      <c r="AD257" s="352"/>
      <c r="AE257" s="352"/>
      <c r="AF257" s="352"/>
    </row>
    <row r="258">
      <c r="A258" s="352"/>
      <c r="B258" s="352"/>
      <c r="C258" s="352"/>
      <c r="D258" s="352"/>
      <c r="E258" s="352"/>
      <c r="F258" s="352"/>
      <c r="G258" s="352"/>
      <c r="H258" s="352"/>
      <c r="I258" s="352"/>
      <c r="J258" s="352"/>
      <c r="K258" s="352"/>
      <c r="L258" s="352"/>
      <c r="M258" s="352"/>
      <c r="N258" s="352"/>
      <c r="O258" s="352"/>
      <c r="P258" s="352"/>
      <c r="Q258" s="352"/>
      <c r="R258" s="352"/>
      <c r="S258" s="352"/>
      <c r="T258" s="352"/>
      <c r="U258" s="352"/>
      <c r="V258" s="352"/>
      <c r="W258" s="352"/>
      <c r="X258" s="352"/>
      <c r="Y258" s="352"/>
      <c r="Z258" s="352"/>
      <c r="AA258" s="352"/>
      <c r="AB258" s="352"/>
      <c r="AC258" s="352"/>
      <c r="AD258" s="352"/>
      <c r="AE258" s="352"/>
      <c r="AF258" s="352"/>
    </row>
    <row r="259">
      <c r="A259" s="352"/>
      <c r="B259" s="352"/>
      <c r="C259" s="352"/>
      <c r="D259" s="352"/>
      <c r="E259" s="352"/>
      <c r="F259" s="352"/>
      <c r="G259" s="352"/>
      <c r="H259" s="352"/>
      <c r="I259" s="352"/>
      <c r="J259" s="352"/>
      <c r="K259" s="352"/>
      <c r="L259" s="352"/>
      <c r="M259" s="352"/>
      <c r="N259" s="352"/>
      <c r="O259" s="352"/>
      <c r="P259" s="352"/>
      <c r="Q259" s="352"/>
      <c r="R259" s="352"/>
      <c r="S259" s="352"/>
      <c r="T259" s="352"/>
      <c r="U259" s="352"/>
      <c r="V259" s="352"/>
      <c r="W259" s="352"/>
      <c r="X259" s="352"/>
      <c r="Y259" s="352"/>
      <c r="Z259" s="352"/>
      <c r="AA259" s="352"/>
      <c r="AB259" s="352"/>
      <c r="AC259" s="352"/>
      <c r="AD259" s="352"/>
      <c r="AE259" s="352"/>
      <c r="AF259" s="352"/>
    </row>
    <row r="260">
      <c r="A260" s="352"/>
      <c r="B260" s="352"/>
      <c r="C260" s="352"/>
      <c r="D260" s="352"/>
      <c r="E260" s="352"/>
      <c r="F260" s="352"/>
      <c r="G260" s="352"/>
      <c r="H260" s="352"/>
      <c r="I260" s="352"/>
      <c r="J260" s="352"/>
      <c r="K260" s="352"/>
      <c r="L260" s="352"/>
      <c r="M260" s="352"/>
      <c r="N260" s="352"/>
      <c r="O260" s="352"/>
      <c r="P260" s="352"/>
      <c r="Q260" s="352"/>
      <c r="R260" s="352"/>
      <c r="S260" s="352"/>
      <c r="T260" s="352"/>
      <c r="U260" s="352"/>
      <c r="V260" s="352"/>
      <c r="W260" s="352"/>
      <c r="X260" s="352"/>
      <c r="Y260" s="352"/>
      <c r="Z260" s="352"/>
      <c r="AA260" s="352"/>
      <c r="AB260" s="352"/>
      <c r="AC260" s="352"/>
      <c r="AD260" s="352"/>
      <c r="AE260" s="352"/>
      <c r="AF260" s="352"/>
    </row>
    <row r="261">
      <c r="A261" s="352"/>
      <c r="B261" s="352"/>
      <c r="C261" s="352"/>
      <c r="D261" s="352"/>
      <c r="E261" s="352"/>
      <c r="F261" s="352"/>
      <c r="G261" s="352"/>
      <c r="H261" s="352"/>
      <c r="I261" s="352"/>
      <c r="J261" s="352"/>
      <c r="K261" s="352"/>
      <c r="L261" s="352"/>
      <c r="M261" s="352"/>
      <c r="N261" s="352"/>
      <c r="O261" s="352"/>
      <c r="P261" s="352"/>
      <c r="Q261" s="352"/>
      <c r="R261" s="352"/>
      <c r="S261" s="352"/>
      <c r="T261" s="352"/>
      <c r="U261" s="352"/>
      <c r="V261" s="352"/>
      <c r="W261" s="352"/>
      <c r="X261" s="352"/>
      <c r="Y261" s="352"/>
      <c r="Z261" s="352"/>
      <c r="AA261" s="352"/>
      <c r="AB261" s="352"/>
      <c r="AC261" s="352"/>
      <c r="AD261" s="352"/>
      <c r="AE261" s="352"/>
      <c r="AF261" s="352"/>
    </row>
    <row r="262">
      <c r="A262" s="352"/>
      <c r="B262" s="352"/>
      <c r="C262" s="352"/>
      <c r="D262" s="352"/>
      <c r="E262" s="352"/>
      <c r="F262" s="352"/>
      <c r="G262" s="352"/>
      <c r="H262" s="352"/>
      <c r="I262" s="352"/>
      <c r="J262" s="352"/>
      <c r="K262" s="352"/>
      <c r="L262" s="352"/>
      <c r="M262" s="352"/>
      <c r="N262" s="352"/>
      <c r="O262" s="352"/>
      <c r="P262" s="352"/>
      <c r="Q262" s="352"/>
      <c r="R262" s="352"/>
      <c r="S262" s="352"/>
      <c r="T262" s="352"/>
      <c r="U262" s="352"/>
      <c r="V262" s="352"/>
      <c r="W262" s="352"/>
      <c r="X262" s="352"/>
      <c r="Y262" s="352"/>
      <c r="Z262" s="352"/>
      <c r="AA262" s="352"/>
      <c r="AB262" s="352"/>
      <c r="AC262" s="352"/>
      <c r="AD262" s="352"/>
      <c r="AE262" s="352"/>
      <c r="AF262" s="352"/>
    </row>
    <row r="263">
      <c r="A263" s="352"/>
      <c r="B263" s="352"/>
      <c r="C263" s="352"/>
      <c r="D263" s="352"/>
      <c r="E263" s="352"/>
      <c r="F263" s="352"/>
      <c r="G263" s="352"/>
      <c r="H263" s="352"/>
      <c r="I263" s="352"/>
      <c r="J263" s="352"/>
      <c r="K263" s="352"/>
      <c r="L263" s="352"/>
      <c r="M263" s="352"/>
      <c r="N263" s="352"/>
      <c r="O263" s="352"/>
      <c r="P263" s="352"/>
      <c r="Q263" s="352"/>
      <c r="R263" s="352"/>
      <c r="S263" s="352"/>
      <c r="T263" s="352"/>
      <c r="U263" s="352"/>
      <c r="V263" s="352"/>
      <c r="W263" s="352"/>
      <c r="X263" s="352"/>
      <c r="Y263" s="352"/>
      <c r="Z263" s="352"/>
      <c r="AA263" s="352"/>
      <c r="AB263" s="352"/>
      <c r="AC263" s="352"/>
      <c r="AD263" s="352"/>
      <c r="AE263" s="352"/>
      <c r="AF263" s="352"/>
    </row>
    <row r="264">
      <c r="A264" s="352"/>
      <c r="B264" s="352"/>
      <c r="C264" s="352"/>
      <c r="D264" s="352"/>
      <c r="E264" s="352"/>
      <c r="F264" s="352"/>
      <c r="G264" s="352"/>
      <c r="H264" s="352"/>
      <c r="I264" s="352"/>
      <c r="J264" s="352"/>
      <c r="K264" s="352"/>
      <c r="L264" s="352"/>
      <c r="M264" s="352"/>
      <c r="N264" s="352"/>
      <c r="O264" s="352"/>
      <c r="P264" s="352"/>
      <c r="Q264" s="352"/>
      <c r="R264" s="352"/>
      <c r="S264" s="352"/>
      <c r="T264" s="352"/>
      <c r="U264" s="352"/>
      <c r="V264" s="352"/>
      <c r="W264" s="352"/>
      <c r="X264" s="352"/>
      <c r="Y264" s="352"/>
      <c r="Z264" s="352"/>
      <c r="AA264" s="352"/>
      <c r="AB264" s="352"/>
      <c r="AC264" s="352"/>
      <c r="AD264" s="352"/>
      <c r="AE264" s="352"/>
      <c r="AF264" s="352"/>
    </row>
    <row r="265">
      <c r="A265" s="352"/>
      <c r="B265" s="352"/>
      <c r="C265" s="352"/>
      <c r="D265" s="352"/>
      <c r="E265" s="352"/>
      <c r="F265" s="352"/>
      <c r="G265" s="352"/>
      <c r="H265" s="352"/>
      <c r="I265" s="352"/>
      <c r="J265" s="352"/>
      <c r="K265" s="352"/>
      <c r="L265" s="352"/>
      <c r="M265" s="352"/>
      <c r="N265" s="352"/>
      <c r="O265" s="352"/>
      <c r="P265" s="352"/>
      <c r="Q265" s="352"/>
      <c r="R265" s="352"/>
      <c r="S265" s="352"/>
      <c r="T265" s="352"/>
      <c r="U265" s="352"/>
      <c r="V265" s="352"/>
      <c r="W265" s="352"/>
      <c r="X265" s="352"/>
      <c r="Y265" s="352"/>
      <c r="Z265" s="352"/>
      <c r="AA265" s="352"/>
      <c r="AB265" s="352"/>
      <c r="AC265" s="352"/>
      <c r="AD265" s="352"/>
      <c r="AE265" s="352"/>
      <c r="AF265" s="352"/>
    </row>
    <row r="266">
      <c r="A266" s="352"/>
      <c r="B266" s="352"/>
      <c r="C266" s="352"/>
      <c r="D266" s="352"/>
      <c r="E266" s="352"/>
      <c r="F266" s="352"/>
      <c r="G266" s="352"/>
      <c r="H266" s="352"/>
      <c r="I266" s="352"/>
      <c r="J266" s="352"/>
      <c r="K266" s="352"/>
      <c r="L266" s="352"/>
      <c r="M266" s="352"/>
      <c r="N266" s="352"/>
      <c r="O266" s="352"/>
      <c r="P266" s="352"/>
      <c r="Q266" s="352"/>
      <c r="R266" s="352"/>
      <c r="S266" s="352"/>
      <c r="T266" s="352"/>
      <c r="U266" s="352"/>
      <c r="V266" s="352"/>
      <c r="W266" s="352"/>
      <c r="X266" s="352"/>
      <c r="Y266" s="352"/>
      <c r="Z266" s="352"/>
      <c r="AA266" s="352"/>
      <c r="AB266" s="352"/>
      <c r="AC266" s="352"/>
      <c r="AD266" s="352"/>
      <c r="AE266" s="352"/>
      <c r="AF266" s="352"/>
    </row>
    <row r="267">
      <c r="A267" s="352"/>
      <c r="B267" s="352"/>
      <c r="C267" s="352"/>
      <c r="D267" s="352"/>
      <c r="E267" s="352"/>
      <c r="F267" s="352"/>
      <c r="G267" s="352"/>
      <c r="H267" s="352"/>
      <c r="I267" s="352"/>
      <c r="J267" s="352"/>
      <c r="K267" s="352"/>
      <c r="L267" s="352"/>
      <c r="M267" s="352"/>
      <c r="N267" s="352"/>
      <c r="O267" s="352"/>
      <c r="P267" s="352"/>
      <c r="Q267" s="352"/>
      <c r="R267" s="352"/>
      <c r="S267" s="352"/>
      <c r="T267" s="352"/>
      <c r="U267" s="352"/>
      <c r="V267" s="352"/>
      <c r="W267" s="352"/>
      <c r="X267" s="352"/>
      <c r="Y267" s="352"/>
      <c r="Z267" s="352"/>
      <c r="AA267" s="352"/>
      <c r="AB267" s="352"/>
      <c r="AC267" s="352"/>
      <c r="AD267" s="352"/>
      <c r="AE267" s="352"/>
      <c r="AF267" s="352"/>
    </row>
    <row r="268">
      <c r="A268" s="352"/>
      <c r="B268" s="352"/>
      <c r="C268" s="352"/>
      <c r="D268" s="352"/>
      <c r="E268" s="352"/>
      <c r="F268" s="352"/>
      <c r="G268" s="352"/>
      <c r="H268" s="352"/>
      <c r="I268" s="352"/>
      <c r="J268" s="352"/>
      <c r="K268" s="352"/>
      <c r="L268" s="352"/>
      <c r="M268" s="352"/>
      <c r="N268" s="352"/>
      <c r="O268" s="352"/>
      <c r="P268" s="352"/>
      <c r="Q268" s="352"/>
      <c r="R268" s="352"/>
      <c r="S268" s="352"/>
      <c r="T268" s="352"/>
      <c r="U268" s="352"/>
      <c r="V268" s="352"/>
      <c r="W268" s="352"/>
      <c r="X268" s="352"/>
      <c r="Y268" s="352"/>
      <c r="Z268" s="352"/>
      <c r="AA268" s="352"/>
      <c r="AB268" s="352"/>
      <c r="AC268" s="352"/>
      <c r="AD268" s="352"/>
      <c r="AE268" s="352"/>
      <c r="AF268" s="352"/>
    </row>
    <row r="269">
      <c r="A269" s="352"/>
      <c r="B269" s="352"/>
      <c r="C269" s="352"/>
      <c r="D269" s="352"/>
      <c r="E269" s="352"/>
      <c r="F269" s="352"/>
      <c r="G269" s="352"/>
      <c r="H269" s="352"/>
      <c r="I269" s="352"/>
      <c r="J269" s="352"/>
      <c r="K269" s="352"/>
      <c r="L269" s="352"/>
      <c r="M269" s="352"/>
      <c r="N269" s="352"/>
      <c r="O269" s="352"/>
      <c r="P269" s="352"/>
      <c r="Q269" s="352"/>
      <c r="R269" s="352"/>
      <c r="S269" s="352"/>
      <c r="T269" s="352"/>
      <c r="U269" s="352"/>
      <c r="V269" s="352"/>
      <c r="W269" s="352"/>
      <c r="X269" s="352"/>
      <c r="Y269" s="352"/>
      <c r="Z269" s="352"/>
      <c r="AA269" s="352"/>
      <c r="AB269" s="352"/>
      <c r="AC269" s="352"/>
      <c r="AD269" s="352"/>
      <c r="AE269" s="352"/>
      <c r="AF269" s="352"/>
    </row>
    <row r="270">
      <c r="A270" s="352"/>
      <c r="B270" s="352"/>
      <c r="C270" s="352"/>
      <c r="D270" s="352"/>
      <c r="E270" s="352"/>
      <c r="F270" s="352"/>
      <c r="G270" s="352"/>
      <c r="H270" s="352"/>
      <c r="I270" s="352"/>
      <c r="J270" s="352"/>
      <c r="K270" s="352"/>
      <c r="L270" s="352"/>
      <c r="M270" s="352"/>
      <c r="N270" s="352"/>
      <c r="O270" s="352"/>
      <c r="P270" s="352"/>
      <c r="Q270" s="352"/>
      <c r="R270" s="352"/>
      <c r="S270" s="352"/>
      <c r="T270" s="352"/>
      <c r="U270" s="352"/>
      <c r="V270" s="352"/>
      <c r="W270" s="352"/>
      <c r="X270" s="352"/>
      <c r="Y270" s="352"/>
      <c r="Z270" s="352"/>
      <c r="AA270" s="352"/>
      <c r="AB270" s="352"/>
      <c r="AC270" s="352"/>
      <c r="AD270" s="352"/>
      <c r="AE270" s="352"/>
      <c r="AF270" s="352"/>
    </row>
    <row r="271">
      <c r="A271" s="352"/>
      <c r="B271" s="352"/>
      <c r="C271" s="352"/>
      <c r="D271" s="352"/>
      <c r="E271" s="352"/>
      <c r="F271" s="352"/>
      <c r="G271" s="352"/>
      <c r="H271" s="352"/>
      <c r="I271" s="352"/>
      <c r="J271" s="352"/>
      <c r="K271" s="352"/>
      <c r="L271" s="352"/>
      <c r="M271" s="352"/>
      <c r="N271" s="352"/>
      <c r="O271" s="352"/>
      <c r="P271" s="352"/>
      <c r="Q271" s="352"/>
      <c r="R271" s="352"/>
      <c r="S271" s="352"/>
      <c r="T271" s="352"/>
      <c r="U271" s="352"/>
      <c r="V271" s="352"/>
      <c r="W271" s="352"/>
      <c r="X271" s="352"/>
      <c r="Y271" s="352"/>
      <c r="Z271" s="352"/>
      <c r="AA271" s="352"/>
      <c r="AB271" s="352"/>
      <c r="AC271" s="352"/>
      <c r="AD271" s="352"/>
      <c r="AE271" s="352"/>
      <c r="AF271" s="352"/>
    </row>
    <row r="272">
      <c r="A272" s="352"/>
      <c r="B272" s="352"/>
      <c r="C272" s="352"/>
      <c r="D272" s="352"/>
      <c r="E272" s="352"/>
      <c r="F272" s="352"/>
      <c r="G272" s="352"/>
      <c r="H272" s="352"/>
      <c r="I272" s="352"/>
      <c r="J272" s="352"/>
      <c r="K272" s="352"/>
      <c r="L272" s="352"/>
      <c r="M272" s="352"/>
      <c r="N272" s="352"/>
      <c r="O272" s="352"/>
      <c r="P272" s="352"/>
      <c r="Q272" s="352"/>
      <c r="R272" s="352"/>
      <c r="S272" s="352"/>
      <c r="T272" s="352"/>
      <c r="U272" s="352"/>
      <c r="V272" s="352"/>
      <c r="W272" s="352"/>
      <c r="X272" s="352"/>
      <c r="Y272" s="352"/>
      <c r="Z272" s="352"/>
      <c r="AA272" s="352"/>
      <c r="AB272" s="352"/>
      <c r="AC272" s="352"/>
      <c r="AD272" s="352"/>
      <c r="AE272" s="352"/>
      <c r="AF272" s="352"/>
    </row>
    <row r="273">
      <c r="A273" s="352"/>
      <c r="B273" s="352"/>
      <c r="C273" s="352"/>
      <c r="D273" s="352"/>
      <c r="E273" s="352"/>
      <c r="F273" s="352"/>
      <c r="G273" s="352"/>
      <c r="H273" s="352"/>
      <c r="I273" s="352"/>
      <c r="J273" s="352"/>
      <c r="K273" s="352"/>
      <c r="L273" s="352"/>
      <c r="M273" s="352"/>
      <c r="N273" s="352"/>
      <c r="O273" s="352"/>
      <c r="P273" s="352"/>
      <c r="Q273" s="352"/>
      <c r="R273" s="352"/>
      <c r="S273" s="352"/>
      <c r="T273" s="352"/>
      <c r="U273" s="352"/>
      <c r="V273" s="352"/>
      <c r="W273" s="352"/>
      <c r="X273" s="352"/>
      <c r="Y273" s="352"/>
      <c r="Z273" s="352"/>
      <c r="AA273" s="352"/>
      <c r="AB273" s="352"/>
      <c r="AC273" s="352"/>
      <c r="AD273" s="352"/>
      <c r="AE273" s="352"/>
      <c r="AF273" s="352"/>
    </row>
    <row r="274">
      <c r="A274" s="352"/>
      <c r="B274" s="352"/>
      <c r="C274" s="352"/>
      <c r="D274" s="352"/>
      <c r="E274" s="352"/>
      <c r="F274" s="352"/>
      <c r="G274" s="352"/>
      <c r="H274" s="352"/>
      <c r="I274" s="352"/>
      <c r="J274" s="352"/>
      <c r="K274" s="352"/>
      <c r="L274" s="352"/>
      <c r="M274" s="352"/>
      <c r="N274" s="352"/>
      <c r="O274" s="352"/>
      <c r="P274" s="352"/>
      <c r="Q274" s="352"/>
      <c r="R274" s="352"/>
      <c r="S274" s="352"/>
      <c r="T274" s="352"/>
      <c r="U274" s="352"/>
      <c r="V274" s="352"/>
      <c r="W274" s="352"/>
      <c r="X274" s="352"/>
      <c r="Y274" s="352"/>
      <c r="Z274" s="352"/>
      <c r="AA274" s="352"/>
      <c r="AB274" s="352"/>
      <c r="AC274" s="352"/>
      <c r="AD274" s="352"/>
      <c r="AE274" s="352"/>
      <c r="AF274" s="352"/>
    </row>
    <row r="275">
      <c r="A275" s="352"/>
      <c r="B275" s="352"/>
      <c r="C275" s="352"/>
      <c r="D275" s="352"/>
      <c r="E275" s="352"/>
      <c r="F275" s="352"/>
      <c r="G275" s="352"/>
      <c r="H275" s="352"/>
      <c r="I275" s="352"/>
      <c r="J275" s="352"/>
      <c r="K275" s="352"/>
      <c r="L275" s="352"/>
      <c r="M275" s="352"/>
      <c r="N275" s="352"/>
      <c r="O275" s="352"/>
      <c r="P275" s="352"/>
      <c r="Q275" s="352"/>
      <c r="R275" s="352"/>
      <c r="S275" s="352"/>
      <c r="T275" s="352"/>
      <c r="U275" s="352"/>
      <c r="V275" s="352"/>
      <c r="W275" s="352"/>
      <c r="X275" s="352"/>
      <c r="Y275" s="352"/>
      <c r="Z275" s="352"/>
      <c r="AA275" s="352"/>
      <c r="AB275" s="352"/>
      <c r="AC275" s="352"/>
      <c r="AD275" s="352"/>
      <c r="AE275" s="352"/>
      <c r="AF275" s="352"/>
    </row>
    <row r="276">
      <c r="A276" s="352"/>
      <c r="B276" s="352"/>
      <c r="C276" s="352"/>
      <c r="D276" s="352"/>
      <c r="E276" s="352"/>
      <c r="F276" s="352"/>
      <c r="G276" s="352"/>
      <c r="H276" s="352"/>
      <c r="I276" s="352"/>
      <c r="J276" s="352"/>
      <c r="K276" s="352"/>
      <c r="L276" s="352"/>
      <c r="M276" s="352"/>
      <c r="N276" s="352"/>
      <c r="O276" s="352"/>
      <c r="P276" s="352"/>
      <c r="Q276" s="352"/>
      <c r="R276" s="352"/>
      <c r="S276" s="352"/>
      <c r="T276" s="352"/>
      <c r="U276" s="352"/>
      <c r="V276" s="352"/>
      <c r="W276" s="352"/>
      <c r="X276" s="352"/>
      <c r="Y276" s="352"/>
      <c r="Z276" s="352"/>
      <c r="AA276" s="352"/>
      <c r="AB276" s="352"/>
      <c r="AC276" s="352"/>
      <c r="AD276" s="352"/>
      <c r="AE276" s="352"/>
      <c r="AF276" s="352"/>
    </row>
    <row r="277">
      <c r="A277" s="352"/>
      <c r="B277" s="352"/>
      <c r="C277" s="352"/>
      <c r="D277" s="352"/>
      <c r="E277" s="352"/>
      <c r="F277" s="352"/>
      <c r="G277" s="352"/>
      <c r="H277" s="352"/>
      <c r="I277" s="352"/>
      <c r="J277" s="352"/>
      <c r="K277" s="352"/>
      <c r="L277" s="352"/>
      <c r="M277" s="352"/>
      <c r="N277" s="352"/>
      <c r="O277" s="352"/>
      <c r="P277" s="352"/>
      <c r="Q277" s="352"/>
      <c r="R277" s="352"/>
      <c r="S277" s="352"/>
      <c r="T277" s="352"/>
      <c r="U277" s="352"/>
      <c r="V277" s="352"/>
      <c r="W277" s="352"/>
      <c r="X277" s="352"/>
      <c r="Y277" s="352"/>
      <c r="Z277" s="352"/>
      <c r="AA277" s="352"/>
      <c r="AB277" s="352"/>
      <c r="AC277" s="352"/>
      <c r="AD277" s="352"/>
      <c r="AE277" s="352"/>
      <c r="AF277" s="352"/>
    </row>
    <row r="278">
      <c r="A278" s="352"/>
      <c r="B278" s="352"/>
      <c r="C278" s="352"/>
      <c r="D278" s="352"/>
      <c r="E278" s="352"/>
      <c r="F278" s="352"/>
      <c r="G278" s="352"/>
      <c r="H278" s="352"/>
      <c r="I278" s="352"/>
      <c r="J278" s="352"/>
      <c r="K278" s="352"/>
      <c r="L278" s="352"/>
      <c r="M278" s="352"/>
      <c r="N278" s="352"/>
      <c r="O278" s="352"/>
      <c r="P278" s="352"/>
      <c r="Q278" s="352"/>
      <c r="R278" s="352"/>
      <c r="S278" s="352"/>
      <c r="T278" s="352"/>
      <c r="U278" s="352"/>
      <c r="V278" s="352"/>
      <c r="W278" s="352"/>
      <c r="X278" s="352"/>
      <c r="Y278" s="352"/>
      <c r="Z278" s="352"/>
      <c r="AA278" s="352"/>
      <c r="AB278" s="352"/>
      <c r="AC278" s="352"/>
      <c r="AD278" s="352"/>
      <c r="AE278" s="352"/>
      <c r="AF278" s="352"/>
    </row>
    <row r="279">
      <c r="A279" s="352"/>
      <c r="B279" s="352"/>
      <c r="C279" s="352"/>
      <c r="D279" s="352"/>
      <c r="E279" s="352"/>
      <c r="F279" s="352"/>
      <c r="G279" s="352"/>
      <c r="H279" s="352"/>
      <c r="I279" s="352"/>
      <c r="J279" s="352"/>
      <c r="K279" s="352"/>
      <c r="L279" s="352"/>
      <c r="M279" s="352"/>
      <c r="N279" s="352"/>
      <c r="O279" s="352"/>
      <c r="P279" s="352"/>
      <c r="Q279" s="352"/>
      <c r="R279" s="352"/>
      <c r="S279" s="352"/>
      <c r="T279" s="352"/>
      <c r="U279" s="352"/>
      <c r="V279" s="352"/>
      <c r="W279" s="352"/>
      <c r="X279" s="352"/>
      <c r="Y279" s="352"/>
      <c r="Z279" s="352"/>
      <c r="AA279" s="352"/>
      <c r="AB279" s="352"/>
      <c r="AC279" s="352"/>
      <c r="AD279" s="352"/>
      <c r="AE279" s="352"/>
      <c r="AF279" s="352"/>
    </row>
    <row r="280">
      <c r="A280" s="352"/>
      <c r="B280" s="352"/>
      <c r="C280" s="352"/>
      <c r="D280" s="352"/>
      <c r="E280" s="352"/>
      <c r="F280" s="352"/>
      <c r="G280" s="352"/>
      <c r="H280" s="352"/>
      <c r="I280" s="352"/>
      <c r="J280" s="352"/>
      <c r="K280" s="352"/>
      <c r="L280" s="352"/>
      <c r="M280" s="352"/>
      <c r="N280" s="352"/>
      <c r="O280" s="352"/>
      <c r="P280" s="352"/>
      <c r="Q280" s="352"/>
      <c r="R280" s="352"/>
      <c r="S280" s="352"/>
      <c r="T280" s="352"/>
      <c r="U280" s="352"/>
      <c r="V280" s="352"/>
      <c r="W280" s="352"/>
      <c r="X280" s="352"/>
      <c r="Y280" s="352"/>
      <c r="Z280" s="352"/>
      <c r="AA280" s="352"/>
      <c r="AB280" s="352"/>
      <c r="AC280" s="352"/>
      <c r="AD280" s="352"/>
      <c r="AE280" s="352"/>
      <c r="AF280" s="352"/>
    </row>
    <row r="281">
      <c r="A281" s="352"/>
      <c r="B281" s="352"/>
      <c r="C281" s="352"/>
      <c r="D281" s="352"/>
      <c r="E281" s="352"/>
      <c r="F281" s="352"/>
      <c r="G281" s="352"/>
      <c r="H281" s="352"/>
      <c r="I281" s="352"/>
      <c r="J281" s="352"/>
      <c r="K281" s="352"/>
      <c r="L281" s="352"/>
      <c r="M281" s="352"/>
      <c r="N281" s="352"/>
      <c r="O281" s="352"/>
      <c r="P281" s="352"/>
      <c r="Q281" s="352"/>
      <c r="R281" s="352"/>
      <c r="S281" s="352"/>
      <c r="T281" s="352"/>
      <c r="U281" s="352"/>
      <c r="V281" s="352"/>
      <c r="W281" s="352"/>
      <c r="X281" s="352"/>
      <c r="Y281" s="352"/>
      <c r="Z281" s="352"/>
      <c r="AA281" s="352"/>
      <c r="AB281" s="352"/>
      <c r="AC281" s="352"/>
      <c r="AD281" s="352"/>
      <c r="AE281" s="352"/>
      <c r="AF281" s="352"/>
    </row>
    <row r="282">
      <c r="A282" s="352"/>
      <c r="B282" s="352"/>
      <c r="C282" s="352"/>
      <c r="D282" s="352"/>
      <c r="E282" s="352"/>
      <c r="F282" s="352"/>
      <c r="G282" s="352"/>
      <c r="H282" s="352"/>
      <c r="I282" s="352"/>
      <c r="J282" s="352"/>
      <c r="K282" s="352"/>
      <c r="L282" s="352"/>
      <c r="M282" s="352"/>
      <c r="N282" s="352"/>
      <c r="O282" s="352"/>
      <c r="P282" s="352"/>
      <c r="Q282" s="352"/>
      <c r="R282" s="352"/>
      <c r="S282" s="352"/>
      <c r="T282" s="352"/>
      <c r="U282" s="352"/>
      <c r="V282" s="352"/>
      <c r="W282" s="352"/>
      <c r="X282" s="352"/>
      <c r="Y282" s="352"/>
      <c r="Z282" s="352"/>
      <c r="AA282" s="352"/>
      <c r="AB282" s="352"/>
      <c r="AC282" s="352"/>
      <c r="AD282" s="352"/>
      <c r="AE282" s="352"/>
      <c r="AF282" s="352"/>
    </row>
    <row r="283">
      <c r="A283" s="352"/>
      <c r="B283" s="352"/>
      <c r="C283" s="352"/>
      <c r="D283" s="352"/>
      <c r="E283" s="352"/>
      <c r="F283" s="352"/>
      <c r="G283" s="352"/>
      <c r="H283" s="352"/>
      <c r="I283" s="352"/>
      <c r="J283" s="352"/>
      <c r="K283" s="352"/>
      <c r="L283" s="352"/>
      <c r="M283" s="352"/>
      <c r="N283" s="352"/>
      <c r="O283" s="352"/>
      <c r="P283" s="352"/>
      <c r="Q283" s="352"/>
      <c r="R283" s="352"/>
      <c r="S283" s="352"/>
      <c r="T283" s="352"/>
      <c r="U283" s="352"/>
      <c r="V283" s="352"/>
      <c r="W283" s="352"/>
      <c r="X283" s="352"/>
      <c r="Y283" s="352"/>
      <c r="Z283" s="352"/>
      <c r="AA283" s="352"/>
      <c r="AB283" s="352"/>
      <c r="AC283" s="352"/>
      <c r="AD283" s="352"/>
      <c r="AE283" s="352"/>
      <c r="AF283" s="352"/>
    </row>
    <row r="284">
      <c r="A284" s="352"/>
      <c r="B284" s="352"/>
      <c r="C284" s="352"/>
      <c r="D284" s="352"/>
      <c r="E284" s="352"/>
      <c r="F284" s="352"/>
      <c r="G284" s="352"/>
      <c r="H284" s="352"/>
      <c r="I284" s="352"/>
      <c r="J284" s="352"/>
      <c r="K284" s="352"/>
      <c r="L284" s="352"/>
      <c r="M284" s="352"/>
      <c r="N284" s="352"/>
      <c r="O284" s="352"/>
      <c r="P284" s="352"/>
      <c r="Q284" s="352"/>
      <c r="R284" s="352"/>
      <c r="S284" s="352"/>
      <c r="T284" s="352"/>
      <c r="U284" s="352"/>
      <c r="V284" s="352"/>
      <c r="W284" s="352"/>
      <c r="X284" s="352"/>
      <c r="Y284" s="352"/>
      <c r="Z284" s="352"/>
      <c r="AA284" s="352"/>
      <c r="AB284" s="352"/>
      <c r="AC284" s="352"/>
      <c r="AD284" s="352"/>
      <c r="AE284" s="352"/>
      <c r="AF284" s="352"/>
    </row>
    <row r="285">
      <c r="A285" s="352"/>
      <c r="B285" s="352"/>
      <c r="C285" s="352"/>
      <c r="D285" s="352"/>
      <c r="E285" s="352"/>
      <c r="F285" s="352"/>
      <c r="G285" s="352"/>
      <c r="H285" s="352"/>
      <c r="I285" s="352"/>
      <c r="J285" s="352"/>
      <c r="K285" s="352"/>
      <c r="L285" s="352"/>
      <c r="M285" s="352"/>
      <c r="N285" s="352"/>
      <c r="O285" s="352"/>
      <c r="P285" s="352"/>
      <c r="Q285" s="352"/>
      <c r="R285" s="352"/>
      <c r="S285" s="352"/>
      <c r="T285" s="352"/>
      <c r="U285" s="352"/>
      <c r="V285" s="352"/>
      <c r="W285" s="352"/>
      <c r="X285" s="352"/>
      <c r="Y285" s="352"/>
      <c r="Z285" s="352"/>
      <c r="AA285" s="352"/>
      <c r="AB285" s="352"/>
      <c r="AC285" s="352"/>
      <c r="AD285" s="352"/>
      <c r="AE285" s="352"/>
      <c r="AF285" s="352"/>
    </row>
    <row r="286">
      <c r="A286" s="352"/>
      <c r="B286" s="352"/>
      <c r="C286" s="352"/>
      <c r="D286" s="352"/>
      <c r="E286" s="352"/>
      <c r="F286" s="352"/>
      <c r="G286" s="352"/>
      <c r="H286" s="352"/>
      <c r="I286" s="352"/>
      <c r="J286" s="352"/>
      <c r="K286" s="352"/>
      <c r="L286" s="352"/>
      <c r="M286" s="352"/>
      <c r="N286" s="352"/>
      <c r="O286" s="352"/>
      <c r="P286" s="352"/>
      <c r="Q286" s="352"/>
      <c r="R286" s="352"/>
      <c r="S286" s="352"/>
      <c r="T286" s="352"/>
      <c r="U286" s="352"/>
      <c r="V286" s="352"/>
      <c r="W286" s="352"/>
      <c r="X286" s="352"/>
      <c r="Y286" s="352"/>
      <c r="Z286" s="352"/>
      <c r="AA286" s="352"/>
      <c r="AB286" s="352"/>
      <c r="AC286" s="352"/>
      <c r="AD286" s="352"/>
      <c r="AE286" s="352"/>
      <c r="AF286" s="352"/>
    </row>
    <row r="287">
      <c r="A287" s="352"/>
      <c r="B287" s="352"/>
      <c r="C287" s="352"/>
      <c r="D287" s="352"/>
      <c r="E287" s="352"/>
      <c r="F287" s="352"/>
      <c r="G287" s="352"/>
      <c r="H287" s="352"/>
      <c r="I287" s="352"/>
      <c r="J287" s="352"/>
      <c r="K287" s="352"/>
      <c r="L287" s="352"/>
      <c r="M287" s="352"/>
      <c r="N287" s="352"/>
      <c r="O287" s="352"/>
      <c r="P287" s="352"/>
      <c r="Q287" s="352"/>
      <c r="R287" s="352"/>
      <c r="S287" s="352"/>
      <c r="T287" s="352"/>
      <c r="U287" s="352"/>
      <c r="V287" s="352"/>
      <c r="W287" s="352"/>
      <c r="X287" s="352"/>
      <c r="Y287" s="352"/>
      <c r="Z287" s="352"/>
      <c r="AA287" s="352"/>
      <c r="AB287" s="352"/>
      <c r="AC287" s="352"/>
      <c r="AD287" s="352"/>
      <c r="AE287" s="352"/>
      <c r="AF287" s="352"/>
    </row>
    <row r="288">
      <c r="A288" s="352"/>
      <c r="B288" s="352"/>
      <c r="C288" s="352"/>
      <c r="D288" s="352"/>
      <c r="E288" s="352"/>
      <c r="F288" s="352"/>
      <c r="G288" s="352"/>
      <c r="H288" s="352"/>
      <c r="I288" s="352"/>
      <c r="J288" s="352"/>
      <c r="K288" s="352"/>
      <c r="L288" s="352"/>
      <c r="M288" s="352"/>
      <c r="N288" s="352"/>
      <c r="O288" s="352"/>
      <c r="P288" s="352"/>
      <c r="Q288" s="352"/>
      <c r="R288" s="352"/>
      <c r="S288" s="352"/>
      <c r="T288" s="352"/>
      <c r="U288" s="352"/>
      <c r="V288" s="352"/>
      <c r="W288" s="352"/>
      <c r="X288" s="352"/>
      <c r="Y288" s="352"/>
      <c r="Z288" s="352"/>
      <c r="AA288" s="352"/>
      <c r="AB288" s="352"/>
      <c r="AC288" s="352"/>
      <c r="AD288" s="352"/>
      <c r="AE288" s="352"/>
      <c r="AF288" s="352"/>
    </row>
    <row r="289">
      <c r="A289" s="352"/>
      <c r="B289" s="352"/>
      <c r="C289" s="352"/>
      <c r="D289" s="352"/>
      <c r="E289" s="352"/>
      <c r="F289" s="352"/>
      <c r="G289" s="352"/>
      <c r="H289" s="352"/>
      <c r="I289" s="352"/>
      <c r="J289" s="352"/>
      <c r="K289" s="352"/>
      <c r="L289" s="352"/>
      <c r="M289" s="352"/>
      <c r="N289" s="352"/>
      <c r="O289" s="352"/>
      <c r="P289" s="352"/>
      <c r="Q289" s="352"/>
      <c r="R289" s="352"/>
      <c r="S289" s="352"/>
      <c r="T289" s="352"/>
      <c r="U289" s="352"/>
      <c r="V289" s="352"/>
      <c r="W289" s="352"/>
      <c r="X289" s="352"/>
      <c r="Y289" s="352"/>
      <c r="Z289" s="352"/>
      <c r="AA289" s="352"/>
      <c r="AB289" s="352"/>
      <c r="AC289" s="352"/>
      <c r="AD289" s="352"/>
      <c r="AE289" s="352"/>
      <c r="AF289" s="352"/>
    </row>
    <row r="290">
      <c r="A290" s="352"/>
      <c r="B290" s="352"/>
      <c r="C290" s="352"/>
      <c r="D290" s="352"/>
      <c r="E290" s="352"/>
      <c r="F290" s="352"/>
      <c r="G290" s="352"/>
      <c r="H290" s="352"/>
      <c r="I290" s="352"/>
      <c r="J290" s="352"/>
      <c r="K290" s="352"/>
      <c r="L290" s="352"/>
      <c r="M290" s="352"/>
      <c r="N290" s="352"/>
      <c r="O290" s="352"/>
      <c r="P290" s="352"/>
      <c r="Q290" s="352"/>
      <c r="R290" s="352"/>
      <c r="S290" s="352"/>
      <c r="T290" s="352"/>
      <c r="U290" s="352"/>
      <c r="V290" s="352"/>
      <c r="W290" s="352"/>
      <c r="X290" s="352"/>
      <c r="Y290" s="352"/>
      <c r="Z290" s="352"/>
      <c r="AA290" s="352"/>
      <c r="AB290" s="352"/>
      <c r="AC290" s="352"/>
      <c r="AD290" s="352"/>
      <c r="AE290" s="352"/>
      <c r="AF290" s="352"/>
    </row>
    <row r="291">
      <c r="A291" s="352"/>
      <c r="B291" s="352"/>
      <c r="C291" s="352"/>
      <c r="D291" s="352"/>
      <c r="E291" s="352"/>
      <c r="F291" s="352"/>
      <c r="G291" s="352"/>
      <c r="H291" s="352"/>
      <c r="I291" s="352"/>
      <c r="J291" s="352"/>
      <c r="K291" s="352"/>
      <c r="L291" s="352"/>
      <c r="M291" s="352"/>
      <c r="N291" s="352"/>
      <c r="O291" s="352"/>
      <c r="P291" s="352"/>
      <c r="Q291" s="352"/>
      <c r="R291" s="352"/>
      <c r="S291" s="352"/>
      <c r="T291" s="352"/>
      <c r="U291" s="352"/>
      <c r="V291" s="352"/>
      <c r="W291" s="352"/>
      <c r="X291" s="352"/>
      <c r="Y291" s="352"/>
      <c r="Z291" s="352"/>
      <c r="AA291" s="352"/>
      <c r="AB291" s="352"/>
      <c r="AC291" s="352"/>
      <c r="AD291" s="352"/>
      <c r="AE291" s="352"/>
      <c r="AF291" s="352"/>
    </row>
    <row r="292">
      <c r="A292" s="352"/>
      <c r="B292" s="352"/>
      <c r="C292" s="352"/>
      <c r="D292" s="352"/>
      <c r="E292" s="352"/>
      <c r="F292" s="352"/>
      <c r="G292" s="352"/>
      <c r="H292" s="352"/>
      <c r="I292" s="352"/>
      <c r="J292" s="352"/>
      <c r="K292" s="352"/>
      <c r="L292" s="352"/>
      <c r="M292" s="352"/>
      <c r="N292" s="352"/>
      <c r="O292" s="352"/>
      <c r="P292" s="352"/>
      <c r="Q292" s="352"/>
      <c r="R292" s="352"/>
      <c r="S292" s="352"/>
      <c r="T292" s="352"/>
      <c r="U292" s="352"/>
      <c r="V292" s="352"/>
      <c r="W292" s="352"/>
      <c r="X292" s="352"/>
      <c r="Y292" s="352"/>
      <c r="Z292" s="352"/>
      <c r="AA292" s="352"/>
      <c r="AB292" s="352"/>
      <c r="AC292" s="352"/>
      <c r="AD292" s="352"/>
      <c r="AE292" s="352"/>
      <c r="AF292" s="352"/>
    </row>
    <row r="293">
      <c r="A293" s="352"/>
      <c r="B293" s="352"/>
      <c r="C293" s="352"/>
      <c r="D293" s="352"/>
      <c r="E293" s="352"/>
      <c r="F293" s="352"/>
      <c r="G293" s="352"/>
      <c r="H293" s="352"/>
      <c r="I293" s="352"/>
      <c r="J293" s="352"/>
      <c r="K293" s="352"/>
      <c r="L293" s="352"/>
      <c r="M293" s="352"/>
      <c r="N293" s="352"/>
      <c r="O293" s="352"/>
      <c r="P293" s="352"/>
      <c r="Q293" s="352"/>
      <c r="R293" s="352"/>
      <c r="S293" s="352"/>
      <c r="T293" s="352"/>
      <c r="U293" s="352"/>
      <c r="V293" s="352"/>
      <c r="W293" s="352"/>
      <c r="X293" s="352"/>
      <c r="Y293" s="352"/>
      <c r="Z293" s="352"/>
      <c r="AA293" s="352"/>
      <c r="AB293" s="352"/>
      <c r="AC293" s="352"/>
      <c r="AD293" s="352"/>
      <c r="AE293" s="352"/>
      <c r="AF293" s="352"/>
    </row>
    <row r="294">
      <c r="A294" s="352"/>
      <c r="B294" s="352"/>
      <c r="C294" s="352"/>
      <c r="D294" s="352"/>
      <c r="E294" s="352"/>
      <c r="F294" s="352"/>
      <c r="G294" s="352"/>
      <c r="H294" s="352"/>
      <c r="I294" s="352"/>
      <c r="J294" s="352"/>
      <c r="K294" s="352"/>
      <c r="L294" s="352"/>
      <c r="M294" s="352"/>
      <c r="N294" s="352"/>
      <c r="O294" s="352"/>
      <c r="P294" s="352"/>
      <c r="Q294" s="352"/>
      <c r="R294" s="352"/>
      <c r="S294" s="352"/>
      <c r="T294" s="352"/>
      <c r="U294" s="352"/>
      <c r="V294" s="352"/>
      <c r="W294" s="352"/>
      <c r="X294" s="352"/>
      <c r="Y294" s="352"/>
      <c r="Z294" s="352"/>
      <c r="AA294" s="352"/>
      <c r="AB294" s="352"/>
      <c r="AC294" s="352"/>
      <c r="AD294" s="352"/>
      <c r="AE294" s="352"/>
      <c r="AF294" s="352"/>
    </row>
    <row r="295">
      <c r="A295" s="352"/>
      <c r="B295" s="352"/>
      <c r="C295" s="352"/>
      <c r="D295" s="352"/>
      <c r="E295" s="352"/>
      <c r="F295" s="352"/>
      <c r="G295" s="352"/>
      <c r="H295" s="352"/>
      <c r="I295" s="352"/>
      <c r="J295" s="352"/>
      <c r="K295" s="352"/>
      <c r="L295" s="352"/>
      <c r="M295" s="352"/>
      <c r="N295" s="352"/>
      <c r="O295" s="352"/>
      <c r="P295" s="352"/>
      <c r="Q295" s="352"/>
      <c r="R295" s="352"/>
      <c r="S295" s="352"/>
      <c r="T295" s="352"/>
      <c r="U295" s="352"/>
      <c r="V295" s="352"/>
      <c r="W295" s="352"/>
      <c r="X295" s="352"/>
      <c r="Y295" s="352"/>
      <c r="Z295" s="352"/>
      <c r="AA295" s="352"/>
      <c r="AB295" s="352"/>
      <c r="AC295" s="352"/>
      <c r="AD295" s="352"/>
      <c r="AE295" s="352"/>
      <c r="AF295" s="352"/>
    </row>
    <row r="296">
      <c r="A296" s="352"/>
      <c r="B296" s="352"/>
      <c r="C296" s="352"/>
      <c r="D296" s="352"/>
      <c r="E296" s="352"/>
      <c r="F296" s="352"/>
      <c r="G296" s="352"/>
      <c r="H296" s="352"/>
      <c r="I296" s="352"/>
      <c r="J296" s="352"/>
      <c r="K296" s="352"/>
      <c r="L296" s="352"/>
      <c r="M296" s="352"/>
      <c r="N296" s="352"/>
      <c r="O296" s="352"/>
      <c r="P296" s="352"/>
      <c r="Q296" s="352"/>
      <c r="R296" s="352"/>
      <c r="S296" s="352"/>
      <c r="T296" s="352"/>
      <c r="U296" s="352"/>
      <c r="V296" s="352"/>
      <c r="W296" s="352"/>
      <c r="X296" s="352"/>
      <c r="Y296" s="352"/>
      <c r="Z296" s="352"/>
      <c r="AA296" s="352"/>
      <c r="AB296" s="352"/>
      <c r="AC296" s="352"/>
      <c r="AD296" s="352"/>
      <c r="AE296" s="352"/>
      <c r="AF296" s="352"/>
    </row>
    <row r="297">
      <c r="A297" s="352"/>
      <c r="B297" s="352"/>
      <c r="C297" s="352"/>
      <c r="D297" s="352"/>
      <c r="E297" s="352"/>
      <c r="F297" s="352"/>
      <c r="G297" s="352"/>
      <c r="H297" s="352"/>
      <c r="I297" s="352"/>
      <c r="J297" s="352"/>
      <c r="K297" s="352"/>
      <c r="L297" s="352"/>
      <c r="M297" s="352"/>
      <c r="N297" s="352"/>
      <c r="O297" s="352"/>
      <c r="P297" s="352"/>
      <c r="Q297" s="352"/>
      <c r="R297" s="352"/>
      <c r="S297" s="352"/>
      <c r="T297" s="352"/>
      <c r="U297" s="352"/>
      <c r="V297" s="352"/>
      <c r="W297" s="352"/>
      <c r="X297" s="352"/>
      <c r="Y297" s="352"/>
      <c r="Z297" s="352"/>
      <c r="AA297" s="352"/>
      <c r="AB297" s="352"/>
      <c r="AC297" s="352"/>
      <c r="AD297" s="352"/>
      <c r="AE297" s="352"/>
      <c r="AF297" s="352"/>
    </row>
    <row r="298">
      <c r="A298" s="352"/>
      <c r="B298" s="352"/>
      <c r="C298" s="352"/>
      <c r="D298" s="352"/>
      <c r="E298" s="352"/>
      <c r="F298" s="352"/>
      <c r="G298" s="352"/>
      <c r="H298" s="352"/>
      <c r="I298" s="352"/>
      <c r="J298" s="352"/>
      <c r="K298" s="352"/>
      <c r="L298" s="352"/>
      <c r="M298" s="352"/>
      <c r="N298" s="352"/>
      <c r="O298" s="352"/>
      <c r="P298" s="352"/>
      <c r="Q298" s="352"/>
      <c r="R298" s="352"/>
      <c r="S298" s="352"/>
      <c r="T298" s="352"/>
      <c r="U298" s="352"/>
      <c r="V298" s="352"/>
      <c r="W298" s="352"/>
      <c r="X298" s="352"/>
      <c r="Y298" s="352"/>
      <c r="Z298" s="352"/>
      <c r="AA298" s="352"/>
      <c r="AB298" s="352"/>
      <c r="AC298" s="352"/>
      <c r="AD298" s="352"/>
      <c r="AE298" s="352"/>
      <c r="AF298" s="352"/>
    </row>
    <row r="299">
      <c r="A299" s="352"/>
      <c r="B299" s="352"/>
      <c r="C299" s="352"/>
      <c r="D299" s="352"/>
      <c r="E299" s="352"/>
      <c r="F299" s="352"/>
      <c r="G299" s="352"/>
      <c r="H299" s="352"/>
      <c r="I299" s="352"/>
      <c r="J299" s="352"/>
      <c r="K299" s="352"/>
      <c r="L299" s="352"/>
      <c r="M299" s="352"/>
      <c r="N299" s="352"/>
      <c r="O299" s="352"/>
      <c r="P299" s="352"/>
      <c r="Q299" s="352"/>
      <c r="R299" s="352"/>
      <c r="S299" s="352"/>
      <c r="T299" s="352"/>
      <c r="U299" s="352"/>
      <c r="V299" s="352"/>
      <c r="W299" s="352"/>
      <c r="X299" s="352"/>
      <c r="Y299" s="352"/>
      <c r="Z299" s="352"/>
      <c r="AA299" s="352"/>
      <c r="AB299" s="352"/>
      <c r="AC299" s="352"/>
      <c r="AD299" s="352"/>
      <c r="AE299" s="352"/>
      <c r="AF299" s="352"/>
    </row>
    <row r="300">
      <c r="A300" s="352"/>
      <c r="B300" s="352"/>
      <c r="C300" s="352"/>
      <c r="D300" s="352"/>
      <c r="E300" s="352"/>
      <c r="F300" s="352"/>
      <c r="G300" s="352"/>
      <c r="H300" s="352"/>
      <c r="I300" s="352"/>
      <c r="J300" s="352"/>
      <c r="K300" s="352"/>
      <c r="L300" s="352"/>
      <c r="M300" s="352"/>
      <c r="N300" s="352"/>
      <c r="O300" s="352"/>
      <c r="P300" s="352"/>
      <c r="Q300" s="352"/>
      <c r="R300" s="352"/>
      <c r="S300" s="352"/>
      <c r="T300" s="352"/>
      <c r="U300" s="352"/>
      <c r="V300" s="352"/>
      <c r="W300" s="352"/>
      <c r="X300" s="352"/>
      <c r="Y300" s="352"/>
      <c r="Z300" s="352"/>
      <c r="AA300" s="352"/>
      <c r="AB300" s="352"/>
      <c r="AC300" s="352"/>
      <c r="AD300" s="352"/>
      <c r="AE300" s="352"/>
      <c r="AF300" s="352"/>
    </row>
    <row r="301">
      <c r="A301" s="352"/>
      <c r="B301" s="352"/>
      <c r="C301" s="352"/>
      <c r="D301" s="352"/>
      <c r="E301" s="352"/>
      <c r="F301" s="352"/>
      <c r="G301" s="352"/>
      <c r="H301" s="352"/>
      <c r="I301" s="352"/>
      <c r="J301" s="352"/>
      <c r="K301" s="352"/>
      <c r="L301" s="352"/>
      <c r="M301" s="352"/>
      <c r="N301" s="352"/>
      <c r="O301" s="352"/>
      <c r="P301" s="352"/>
      <c r="Q301" s="352"/>
      <c r="R301" s="352"/>
      <c r="S301" s="352"/>
      <c r="T301" s="352"/>
      <c r="U301" s="352"/>
      <c r="V301" s="352"/>
      <c r="W301" s="352"/>
      <c r="X301" s="352"/>
      <c r="Y301" s="352"/>
      <c r="Z301" s="352"/>
      <c r="AA301" s="352"/>
      <c r="AB301" s="352"/>
      <c r="AC301" s="352"/>
      <c r="AD301" s="352"/>
      <c r="AE301" s="352"/>
      <c r="AF301" s="352"/>
    </row>
    <row r="302">
      <c r="A302" s="352"/>
      <c r="B302" s="352"/>
      <c r="C302" s="352"/>
      <c r="D302" s="352"/>
      <c r="E302" s="352"/>
      <c r="F302" s="352"/>
      <c r="G302" s="352"/>
      <c r="H302" s="352"/>
      <c r="I302" s="352"/>
      <c r="J302" s="352"/>
      <c r="K302" s="352"/>
      <c r="L302" s="352"/>
      <c r="M302" s="352"/>
      <c r="N302" s="352"/>
      <c r="O302" s="352"/>
      <c r="P302" s="352"/>
      <c r="Q302" s="352"/>
      <c r="R302" s="352"/>
      <c r="S302" s="352"/>
      <c r="T302" s="352"/>
      <c r="U302" s="352"/>
      <c r="V302" s="352"/>
      <c r="W302" s="352"/>
      <c r="X302" s="352"/>
      <c r="Y302" s="352"/>
      <c r="Z302" s="352"/>
      <c r="AA302" s="352"/>
      <c r="AB302" s="352"/>
      <c r="AC302" s="352"/>
      <c r="AD302" s="352"/>
      <c r="AE302" s="352"/>
      <c r="AF302" s="352"/>
    </row>
    <row r="303">
      <c r="A303" s="352"/>
      <c r="B303" s="352"/>
      <c r="C303" s="352"/>
      <c r="D303" s="352"/>
      <c r="E303" s="352"/>
      <c r="F303" s="352"/>
      <c r="G303" s="352"/>
      <c r="H303" s="352"/>
      <c r="I303" s="352"/>
      <c r="J303" s="352"/>
      <c r="K303" s="352"/>
      <c r="L303" s="352"/>
      <c r="M303" s="352"/>
      <c r="N303" s="352"/>
      <c r="O303" s="352"/>
      <c r="P303" s="352"/>
      <c r="Q303" s="352"/>
      <c r="R303" s="352"/>
      <c r="S303" s="352"/>
      <c r="T303" s="352"/>
      <c r="U303" s="352"/>
      <c r="V303" s="352"/>
      <c r="W303" s="352"/>
      <c r="X303" s="352"/>
      <c r="Y303" s="352"/>
      <c r="Z303" s="352"/>
      <c r="AA303" s="352"/>
      <c r="AB303" s="352"/>
      <c r="AC303" s="352"/>
      <c r="AD303" s="352"/>
      <c r="AE303" s="352"/>
      <c r="AF303" s="352"/>
    </row>
    <row r="304">
      <c r="A304" s="352"/>
      <c r="B304" s="352"/>
      <c r="C304" s="352"/>
      <c r="D304" s="352"/>
      <c r="E304" s="352"/>
      <c r="F304" s="352"/>
      <c r="G304" s="352"/>
      <c r="H304" s="352"/>
      <c r="I304" s="352"/>
      <c r="J304" s="352"/>
      <c r="K304" s="352"/>
      <c r="L304" s="352"/>
      <c r="M304" s="352"/>
      <c r="N304" s="352"/>
      <c r="O304" s="352"/>
      <c r="P304" s="352"/>
      <c r="Q304" s="352"/>
      <c r="R304" s="352"/>
      <c r="S304" s="352"/>
      <c r="T304" s="352"/>
      <c r="U304" s="352"/>
      <c r="V304" s="352"/>
      <c r="W304" s="352"/>
      <c r="X304" s="352"/>
      <c r="Y304" s="352"/>
      <c r="Z304" s="352"/>
      <c r="AA304" s="352"/>
      <c r="AB304" s="352"/>
      <c r="AC304" s="352"/>
      <c r="AD304" s="352"/>
      <c r="AE304" s="352"/>
      <c r="AF304" s="352"/>
    </row>
    <row r="305">
      <c r="A305" s="352"/>
      <c r="B305" s="352"/>
      <c r="C305" s="352"/>
      <c r="D305" s="352"/>
      <c r="E305" s="352"/>
      <c r="F305" s="352"/>
      <c r="G305" s="352"/>
      <c r="H305" s="352"/>
      <c r="I305" s="352"/>
      <c r="J305" s="352"/>
      <c r="K305" s="352"/>
      <c r="L305" s="352"/>
      <c r="M305" s="352"/>
      <c r="N305" s="352"/>
      <c r="O305" s="352"/>
      <c r="P305" s="352"/>
      <c r="Q305" s="352"/>
      <c r="R305" s="352"/>
      <c r="S305" s="352"/>
      <c r="T305" s="352"/>
      <c r="U305" s="352"/>
      <c r="V305" s="352"/>
      <c r="W305" s="352"/>
      <c r="X305" s="352"/>
      <c r="Y305" s="352"/>
      <c r="Z305" s="352"/>
      <c r="AA305" s="352"/>
      <c r="AB305" s="352"/>
      <c r="AC305" s="352"/>
      <c r="AD305" s="352"/>
      <c r="AE305" s="352"/>
      <c r="AF305" s="352"/>
    </row>
    <row r="306">
      <c r="A306" s="352"/>
      <c r="B306" s="352"/>
      <c r="C306" s="352"/>
      <c r="D306" s="352"/>
      <c r="E306" s="352"/>
      <c r="F306" s="352"/>
      <c r="G306" s="352"/>
      <c r="H306" s="352"/>
      <c r="I306" s="352"/>
      <c r="J306" s="352"/>
      <c r="K306" s="352"/>
      <c r="L306" s="352"/>
      <c r="M306" s="352"/>
      <c r="N306" s="352"/>
      <c r="O306" s="352"/>
      <c r="P306" s="352"/>
      <c r="Q306" s="352"/>
      <c r="R306" s="352"/>
      <c r="S306" s="352"/>
      <c r="T306" s="352"/>
      <c r="U306" s="352"/>
      <c r="V306" s="352"/>
      <c r="W306" s="352"/>
      <c r="X306" s="352"/>
      <c r="Y306" s="352"/>
      <c r="Z306" s="352"/>
      <c r="AA306" s="352"/>
      <c r="AB306" s="352"/>
      <c r="AC306" s="352"/>
      <c r="AD306" s="352"/>
      <c r="AE306" s="352"/>
      <c r="AF306" s="352"/>
    </row>
    <row r="307">
      <c r="A307" s="352"/>
      <c r="B307" s="352"/>
      <c r="C307" s="352"/>
      <c r="D307" s="352"/>
      <c r="E307" s="352"/>
      <c r="F307" s="352"/>
      <c r="G307" s="352"/>
      <c r="H307" s="352"/>
      <c r="I307" s="352"/>
      <c r="J307" s="352"/>
      <c r="K307" s="352"/>
      <c r="L307" s="352"/>
      <c r="M307" s="352"/>
      <c r="N307" s="352"/>
      <c r="O307" s="352"/>
      <c r="P307" s="352"/>
      <c r="Q307" s="352"/>
      <c r="R307" s="352"/>
      <c r="S307" s="352"/>
      <c r="T307" s="352"/>
      <c r="U307" s="352"/>
      <c r="V307" s="352"/>
      <c r="W307" s="352"/>
      <c r="X307" s="352"/>
      <c r="Y307" s="352"/>
      <c r="Z307" s="352"/>
      <c r="AA307" s="352"/>
      <c r="AB307" s="352"/>
      <c r="AC307" s="352"/>
      <c r="AD307" s="352"/>
      <c r="AE307" s="352"/>
      <c r="AF307" s="352"/>
    </row>
    <row r="308">
      <c r="A308" s="352"/>
      <c r="B308" s="352"/>
      <c r="C308" s="352"/>
      <c r="D308" s="352"/>
      <c r="E308" s="352"/>
      <c r="F308" s="352"/>
      <c r="G308" s="352"/>
      <c r="H308" s="352"/>
      <c r="I308" s="352"/>
      <c r="J308" s="352"/>
      <c r="K308" s="352"/>
      <c r="L308" s="352"/>
      <c r="M308" s="352"/>
      <c r="N308" s="352"/>
      <c r="O308" s="352"/>
      <c r="P308" s="352"/>
      <c r="Q308" s="352"/>
      <c r="R308" s="352"/>
      <c r="S308" s="352"/>
      <c r="T308" s="352"/>
      <c r="U308" s="352"/>
      <c r="V308" s="352"/>
      <c r="W308" s="352"/>
      <c r="X308" s="352"/>
      <c r="Y308" s="352"/>
      <c r="Z308" s="352"/>
      <c r="AA308" s="352"/>
      <c r="AB308" s="352"/>
      <c r="AC308" s="352"/>
      <c r="AD308" s="352"/>
      <c r="AE308" s="352"/>
      <c r="AF308" s="352"/>
    </row>
    <row r="309">
      <c r="A309" s="352"/>
      <c r="B309" s="352"/>
      <c r="C309" s="352"/>
      <c r="D309" s="352"/>
      <c r="E309" s="352"/>
      <c r="F309" s="352"/>
      <c r="G309" s="352"/>
      <c r="H309" s="352"/>
      <c r="I309" s="352"/>
      <c r="J309" s="352"/>
      <c r="K309" s="352"/>
      <c r="L309" s="352"/>
      <c r="M309" s="352"/>
      <c r="N309" s="352"/>
      <c r="O309" s="352"/>
      <c r="P309" s="352"/>
      <c r="Q309" s="352"/>
      <c r="R309" s="352"/>
      <c r="S309" s="352"/>
      <c r="T309" s="352"/>
      <c r="U309" s="352"/>
      <c r="V309" s="352"/>
      <c r="W309" s="352"/>
      <c r="X309" s="352"/>
      <c r="Y309" s="352"/>
      <c r="Z309" s="352"/>
      <c r="AA309" s="352"/>
      <c r="AB309" s="352"/>
      <c r="AC309" s="352"/>
      <c r="AD309" s="352"/>
      <c r="AE309" s="352"/>
      <c r="AF309" s="352"/>
    </row>
    <row r="310">
      <c r="A310" s="352"/>
      <c r="B310" s="352"/>
      <c r="C310" s="352"/>
      <c r="D310" s="352"/>
      <c r="E310" s="352"/>
      <c r="F310" s="352"/>
      <c r="G310" s="352"/>
      <c r="H310" s="352"/>
      <c r="I310" s="352"/>
      <c r="J310" s="352"/>
      <c r="K310" s="352"/>
      <c r="L310" s="352"/>
      <c r="M310" s="352"/>
      <c r="N310" s="352"/>
      <c r="O310" s="352"/>
      <c r="P310" s="352"/>
      <c r="Q310" s="352"/>
      <c r="R310" s="352"/>
      <c r="S310" s="352"/>
      <c r="T310" s="352"/>
      <c r="U310" s="352"/>
      <c r="V310" s="352"/>
      <c r="W310" s="352"/>
      <c r="X310" s="352"/>
      <c r="Y310" s="352"/>
      <c r="Z310" s="352"/>
      <c r="AA310" s="352"/>
      <c r="AB310" s="352"/>
      <c r="AC310" s="352"/>
      <c r="AD310" s="352"/>
      <c r="AE310" s="352"/>
      <c r="AF310" s="352"/>
    </row>
    <row r="311">
      <c r="A311" s="352"/>
      <c r="B311" s="352"/>
      <c r="C311" s="352"/>
      <c r="D311" s="352"/>
      <c r="E311" s="352"/>
      <c r="F311" s="352"/>
      <c r="G311" s="352"/>
      <c r="H311" s="352"/>
      <c r="I311" s="352"/>
      <c r="J311" s="352"/>
      <c r="K311" s="352"/>
      <c r="L311" s="352"/>
      <c r="M311" s="352"/>
      <c r="N311" s="352"/>
      <c r="O311" s="352"/>
      <c r="P311" s="352"/>
      <c r="Q311" s="352"/>
      <c r="R311" s="352"/>
      <c r="S311" s="352"/>
      <c r="T311" s="352"/>
      <c r="U311" s="352"/>
      <c r="V311" s="352"/>
      <c r="W311" s="352"/>
      <c r="X311" s="352"/>
      <c r="Y311" s="352"/>
      <c r="Z311" s="352"/>
      <c r="AA311" s="352"/>
      <c r="AB311" s="352"/>
      <c r="AC311" s="352"/>
      <c r="AD311" s="352"/>
      <c r="AE311" s="352"/>
      <c r="AF311" s="352"/>
    </row>
    <row r="312">
      <c r="A312" s="352"/>
      <c r="B312" s="352"/>
      <c r="C312" s="352"/>
      <c r="D312" s="352"/>
      <c r="E312" s="352"/>
      <c r="F312" s="352"/>
      <c r="G312" s="352"/>
      <c r="H312" s="352"/>
      <c r="I312" s="352"/>
      <c r="J312" s="352"/>
      <c r="K312" s="352"/>
      <c r="L312" s="352"/>
      <c r="M312" s="352"/>
      <c r="N312" s="352"/>
      <c r="O312" s="352"/>
      <c r="P312" s="352"/>
      <c r="Q312" s="352"/>
      <c r="R312" s="352"/>
      <c r="S312" s="352"/>
      <c r="T312" s="352"/>
      <c r="U312" s="352"/>
      <c r="V312" s="352"/>
      <c r="W312" s="352"/>
      <c r="X312" s="352"/>
      <c r="Y312" s="352"/>
      <c r="Z312" s="352"/>
      <c r="AA312" s="352"/>
      <c r="AB312" s="352"/>
      <c r="AC312" s="352"/>
      <c r="AD312" s="352"/>
      <c r="AE312" s="352"/>
      <c r="AF312" s="352"/>
    </row>
    <row r="313">
      <c r="A313" s="352"/>
      <c r="B313" s="352"/>
      <c r="C313" s="352"/>
      <c r="D313" s="352"/>
      <c r="E313" s="352"/>
      <c r="F313" s="352"/>
      <c r="G313" s="352"/>
      <c r="H313" s="352"/>
      <c r="I313" s="352"/>
      <c r="J313" s="352"/>
      <c r="K313" s="352"/>
      <c r="L313" s="352"/>
      <c r="M313" s="352"/>
      <c r="N313" s="352"/>
      <c r="O313" s="352"/>
      <c r="P313" s="352"/>
      <c r="Q313" s="352"/>
      <c r="R313" s="352"/>
      <c r="S313" s="352"/>
      <c r="T313" s="352"/>
      <c r="U313" s="352"/>
      <c r="V313" s="352"/>
      <c r="W313" s="352"/>
      <c r="X313" s="352"/>
      <c r="Y313" s="352"/>
      <c r="Z313" s="352"/>
      <c r="AA313" s="352"/>
      <c r="AB313" s="352"/>
      <c r="AC313" s="352"/>
      <c r="AD313" s="352"/>
      <c r="AE313" s="352"/>
      <c r="AF313" s="352"/>
    </row>
    <row r="314">
      <c r="A314" s="352"/>
      <c r="B314" s="352"/>
      <c r="C314" s="352"/>
      <c r="D314" s="352"/>
      <c r="E314" s="352"/>
      <c r="F314" s="352"/>
      <c r="G314" s="352"/>
      <c r="H314" s="352"/>
      <c r="I314" s="352"/>
      <c r="J314" s="352"/>
      <c r="K314" s="352"/>
      <c r="L314" s="352"/>
      <c r="M314" s="352"/>
      <c r="N314" s="352"/>
      <c r="O314" s="352"/>
      <c r="P314" s="352"/>
      <c r="Q314" s="352"/>
      <c r="R314" s="352"/>
      <c r="S314" s="352"/>
      <c r="T314" s="352"/>
      <c r="U314" s="352"/>
      <c r="V314" s="352"/>
      <c r="W314" s="352"/>
      <c r="X314" s="352"/>
      <c r="Y314" s="352"/>
      <c r="Z314" s="352"/>
      <c r="AA314" s="352"/>
      <c r="AB314" s="352"/>
      <c r="AC314" s="352"/>
      <c r="AD314" s="352"/>
      <c r="AE314" s="352"/>
      <c r="AF314" s="352"/>
    </row>
    <row r="315">
      <c r="A315" s="352"/>
      <c r="B315" s="352"/>
      <c r="C315" s="352"/>
      <c r="D315" s="352"/>
      <c r="E315" s="352"/>
      <c r="F315" s="352"/>
      <c r="G315" s="352"/>
      <c r="H315" s="352"/>
      <c r="I315" s="352"/>
      <c r="J315" s="352"/>
      <c r="K315" s="352"/>
      <c r="L315" s="352"/>
      <c r="M315" s="352"/>
      <c r="N315" s="352"/>
      <c r="O315" s="352"/>
      <c r="P315" s="352"/>
      <c r="Q315" s="352"/>
      <c r="R315" s="352"/>
      <c r="S315" s="352"/>
      <c r="T315" s="352"/>
      <c r="U315" s="352"/>
      <c r="V315" s="352"/>
      <c r="W315" s="352"/>
      <c r="X315" s="352"/>
      <c r="Y315" s="352"/>
      <c r="Z315" s="352"/>
      <c r="AA315" s="352"/>
      <c r="AB315" s="352"/>
      <c r="AC315" s="352"/>
      <c r="AD315" s="352"/>
      <c r="AE315" s="352"/>
      <c r="AF315" s="352"/>
    </row>
    <row r="316">
      <c r="A316" s="352"/>
      <c r="B316" s="352"/>
      <c r="C316" s="352"/>
      <c r="D316" s="352"/>
      <c r="E316" s="352"/>
      <c r="F316" s="352"/>
      <c r="G316" s="352"/>
      <c r="H316" s="352"/>
      <c r="I316" s="352"/>
      <c r="J316" s="352"/>
      <c r="K316" s="352"/>
      <c r="L316" s="352"/>
      <c r="M316" s="352"/>
      <c r="N316" s="352"/>
      <c r="O316" s="352"/>
      <c r="P316" s="352"/>
      <c r="Q316" s="352"/>
      <c r="R316" s="352"/>
      <c r="S316" s="352"/>
      <c r="T316" s="352"/>
      <c r="U316" s="352"/>
      <c r="V316" s="352"/>
      <c r="W316" s="352"/>
      <c r="X316" s="352"/>
      <c r="Y316" s="352"/>
      <c r="Z316" s="352"/>
      <c r="AA316" s="352"/>
      <c r="AB316" s="352"/>
      <c r="AC316" s="352"/>
      <c r="AD316" s="352"/>
      <c r="AE316" s="352"/>
      <c r="AF316" s="352"/>
    </row>
    <row r="317">
      <c r="A317" s="352"/>
      <c r="B317" s="352"/>
      <c r="C317" s="352"/>
      <c r="D317" s="352"/>
      <c r="E317" s="352"/>
      <c r="F317" s="352"/>
      <c r="G317" s="352"/>
      <c r="H317" s="352"/>
      <c r="I317" s="352"/>
      <c r="J317" s="352"/>
      <c r="K317" s="352"/>
      <c r="L317" s="352"/>
      <c r="M317" s="352"/>
      <c r="N317" s="352"/>
      <c r="O317" s="352"/>
      <c r="P317" s="352"/>
      <c r="Q317" s="352"/>
      <c r="R317" s="352"/>
      <c r="S317" s="352"/>
      <c r="T317" s="352"/>
      <c r="U317" s="352"/>
      <c r="V317" s="352"/>
      <c r="W317" s="352"/>
      <c r="X317" s="352"/>
      <c r="Y317" s="352"/>
      <c r="Z317" s="352"/>
      <c r="AA317" s="352"/>
      <c r="AB317" s="352"/>
      <c r="AC317" s="352"/>
      <c r="AD317" s="352"/>
      <c r="AE317" s="352"/>
      <c r="AF317" s="352"/>
    </row>
    <row r="318">
      <c r="A318" s="352"/>
      <c r="B318" s="352"/>
      <c r="C318" s="352"/>
      <c r="D318" s="352"/>
      <c r="E318" s="352"/>
      <c r="F318" s="352"/>
      <c r="G318" s="352"/>
      <c r="H318" s="352"/>
      <c r="I318" s="352"/>
      <c r="J318" s="352"/>
      <c r="K318" s="352"/>
      <c r="L318" s="352"/>
      <c r="M318" s="352"/>
      <c r="N318" s="352"/>
      <c r="O318" s="352"/>
      <c r="P318" s="352"/>
      <c r="Q318" s="352"/>
      <c r="R318" s="352"/>
      <c r="S318" s="352"/>
      <c r="T318" s="352"/>
      <c r="U318" s="352"/>
      <c r="V318" s="352"/>
      <c r="W318" s="352"/>
      <c r="X318" s="352"/>
      <c r="Y318" s="352"/>
      <c r="Z318" s="352"/>
      <c r="AA318" s="352"/>
      <c r="AB318" s="352"/>
      <c r="AC318" s="352"/>
      <c r="AD318" s="352"/>
      <c r="AE318" s="352"/>
      <c r="AF318" s="352"/>
    </row>
    <row r="319">
      <c r="A319" s="352"/>
      <c r="B319" s="352"/>
      <c r="C319" s="352"/>
      <c r="D319" s="352"/>
      <c r="E319" s="352"/>
      <c r="F319" s="352"/>
      <c r="G319" s="352"/>
      <c r="H319" s="352"/>
      <c r="I319" s="352"/>
      <c r="J319" s="352"/>
      <c r="K319" s="352"/>
      <c r="L319" s="352"/>
      <c r="M319" s="352"/>
      <c r="N319" s="352"/>
      <c r="O319" s="352"/>
      <c r="P319" s="352"/>
      <c r="Q319" s="352"/>
      <c r="R319" s="352"/>
      <c r="S319" s="352"/>
      <c r="T319" s="352"/>
      <c r="U319" s="352"/>
      <c r="V319" s="352"/>
      <c r="W319" s="352"/>
      <c r="X319" s="352"/>
      <c r="Y319" s="352"/>
      <c r="Z319" s="352"/>
      <c r="AA319" s="352"/>
      <c r="AB319" s="352"/>
      <c r="AC319" s="352"/>
      <c r="AD319" s="352"/>
      <c r="AE319" s="352"/>
      <c r="AF319" s="352"/>
    </row>
    <row r="320">
      <c r="A320" s="352"/>
      <c r="B320" s="352"/>
      <c r="C320" s="352"/>
      <c r="D320" s="352"/>
      <c r="E320" s="352"/>
      <c r="F320" s="352"/>
      <c r="G320" s="352"/>
      <c r="H320" s="352"/>
      <c r="I320" s="352"/>
      <c r="J320" s="352"/>
      <c r="K320" s="352"/>
      <c r="L320" s="352"/>
      <c r="M320" s="352"/>
      <c r="N320" s="352"/>
      <c r="O320" s="352"/>
      <c r="P320" s="352"/>
      <c r="Q320" s="352"/>
      <c r="R320" s="352"/>
      <c r="S320" s="352"/>
      <c r="T320" s="352"/>
      <c r="U320" s="352"/>
      <c r="V320" s="352"/>
      <c r="W320" s="352"/>
      <c r="X320" s="352"/>
      <c r="Y320" s="352"/>
      <c r="Z320" s="352"/>
      <c r="AA320" s="352"/>
      <c r="AB320" s="352"/>
      <c r="AC320" s="352"/>
      <c r="AD320" s="352"/>
      <c r="AE320" s="352"/>
      <c r="AF320" s="352"/>
    </row>
    <row r="321">
      <c r="A321" s="352"/>
      <c r="B321" s="352"/>
      <c r="C321" s="352"/>
      <c r="D321" s="352"/>
      <c r="E321" s="352"/>
      <c r="F321" s="352"/>
      <c r="G321" s="352"/>
      <c r="H321" s="352"/>
      <c r="I321" s="352"/>
      <c r="J321" s="352"/>
      <c r="K321" s="352"/>
      <c r="L321" s="352"/>
      <c r="M321" s="352"/>
      <c r="N321" s="352"/>
      <c r="O321" s="352"/>
      <c r="P321" s="352"/>
      <c r="Q321" s="352"/>
      <c r="R321" s="352"/>
      <c r="S321" s="352"/>
      <c r="T321" s="352"/>
      <c r="U321" s="352"/>
      <c r="V321" s="352"/>
      <c r="W321" s="352"/>
      <c r="X321" s="352"/>
      <c r="Y321" s="352"/>
      <c r="Z321" s="352"/>
      <c r="AA321" s="352"/>
      <c r="AB321" s="352"/>
      <c r="AC321" s="352"/>
      <c r="AD321" s="352"/>
      <c r="AE321" s="352"/>
      <c r="AF321" s="352"/>
    </row>
    <row r="322">
      <c r="A322" s="352"/>
      <c r="B322" s="352"/>
      <c r="C322" s="352"/>
      <c r="D322" s="352"/>
      <c r="E322" s="352"/>
      <c r="F322" s="352"/>
      <c r="G322" s="352"/>
      <c r="H322" s="352"/>
      <c r="I322" s="352"/>
      <c r="J322" s="352"/>
      <c r="K322" s="352"/>
      <c r="L322" s="352"/>
      <c r="M322" s="352"/>
      <c r="N322" s="352"/>
      <c r="O322" s="352"/>
      <c r="P322" s="352"/>
      <c r="Q322" s="352"/>
      <c r="R322" s="352"/>
      <c r="S322" s="352"/>
      <c r="T322" s="352"/>
      <c r="U322" s="352"/>
      <c r="V322" s="352"/>
      <c r="W322" s="352"/>
      <c r="X322" s="352"/>
      <c r="Y322" s="352"/>
      <c r="Z322" s="352"/>
      <c r="AA322" s="352"/>
      <c r="AB322" s="352"/>
      <c r="AC322" s="352"/>
      <c r="AD322" s="352"/>
      <c r="AE322" s="352"/>
      <c r="AF322" s="352"/>
    </row>
    <row r="323">
      <c r="A323" s="352"/>
      <c r="B323" s="352"/>
      <c r="C323" s="352"/>
      <c r="D323" s="352"/>
      <c r="E323" s="352"/>
      <c r="F323" s="352"/>
      <c r="G323" s="352"/>
      <c r="H323" s="352"/>
      <c r="I323" s="352"/>
      <c r="J323" s="352"/>
      <c r="K323" s="352"/>
      <c r="L323" s="352"/>
      <c r="M323" s="352"/>
      <c r="N323" s="352"/>
      <c r="O323" s="352"/>
      <c r="P323" s="352"/>
      <c r="Q323" s="352"/>
      <c r="R323" s="352"/>
      <c r="S323" s="352"/>
      <c r="T323" s="352"/>
      <c r="U323" s="352"/>
      <c r="V323" s="352"/>
      <c r="W323" s="352"/>
      <c r="X323" s="352"/>
      <c r="Y323" s="352"/>
      <c r="Z323" s="352"/>
      <c r="AA323" s="352"/>
      <c r="AB323" s="352"/>
      <c r="AC323" s="352"/>
      <c r="AD323" s="352"/>
      <c r="AE323" s="352"/>
      <c r="AF323" s="352"/>
    </row>
    <row r="324">
      <c r="A324" s="352"/>
      <c r="B324" s="352"/>
      <c r="C324" s="352"/>
      <c r="D324" s="352"/>
      <c r="E324" s="352"/>
      <c r="F324" s="352"/>
      <c r="G324" s="352"/>
      <c r="H324" s="352"/>
      <c r="I324" s="352"/>
      <c r="J324" s="352"/>
      <c r="K324" s="352"/>
      <c r="L324" s="352"/>
      <c r="M324" s="352"/>
      <c r="N324" s="352"/>
      <c r="O324" s="352"/>
      <c r="P324" s="352"/>
      <c r="Q324" s="352"/>
      <c r="R324" s="352"/>
      <c r="S324" s="352"/>
      <c r="T324" s="352"/>
      <c r="U324" s="352"/>
      <c r="V324" s="352"/>
      <c r="W324" s="352"/>
      <c r="X324" s="352"/>
      <c r="Y324" s="352"/>
      <c r="Z324" s="352"/>
      <c r="AA324" s="352"/>
      <c r="AB324" s="352"/>
      <c r="AC324" s="352"/>
      <c r="AD324" s="352"/>
      <c r="AE324" s="352"/>
      <c r="AF324" s="352"/>
    </row>
    <row r="325">
      <c r="A325" s="352"/>
      <c r="B325" s="352"/>
      <c r="C325" s="352"/>
      <c r="D325" s="352"/>
      <c r="E325" s="352"/>
      <c r="F325" s="352"/>
      <c r="G325" s="352"/>
      <c r="H325" s="352"/>
      <c r="I325" s="352"/>
      <c r="J325" s="352"/>
      <c r="K325" s="352"/>
      <c r="L325" s="352"/>
      <c r="M325" s="352"/>
      <c r="N325" s="352"/>
      <c r="O325" s="352"/>
      <c r="P325" s="352"/>
      <c r="Q325" s="352"/>
      <c r="R325" s="352"/>
      <c r="S325" s="352"/>
      <c r="T325" s="352"/>
      <c r="U325" s="352"/>
      <c r="V325" s="352"/>
      <c r="W325" s="352"/>
      <c r="X325" s="352"/>
      <c r="Y325" s="352"/>
      <c r="Z325" s="352"/>
      <c r="AA325" s="352"/>
      <c r="AB325" s="352"/>
      <c r="AC325" s="352"/>
      <c r="AD325" s="352"/>
      <c r="AE325" s="352"/>
      <c r="AF325" s="352"/>
    </row>
    <row r="326">
      <c r="A326" s="352"/>
      <c r="B326" s="352"/>
      <c r="C326" s="352"/>
      <c r="D326" s="352"/>
      <c r="E326" s="352"/>
      <c r="F326" s="352"/>
      <c r="G326" s="352"/>
      <c r="H326" s="352"/>
      <c r="I326" s="352"/>
      <c r="J326" s="352"/>
      <c r="K326" s="352"/>
      <c r="L326" s="352"/>
      <c r="M326" s="352"/>
      <c r="N326" s="352"/>
      <c r="O326" s="352"/>
      <c r="P326" s="352"/>
      <c r="Q326" s="352"/>
      <c r="R326" s="352"/>
      <c r="S326" s="352"/>
      <c r="T326" s="352"/>
      <c r="U326" s="352"/>
      <c r="V326" s="352"/>
      <c r="W326" s="352"/>
      <c r="X326" s="352"/>
      <c r="Y326" s="352"/>
      <c r="Z326" s="352"/>
      <c r="AA326" s="352"/>
      <c r="AB326" s="352"/>
      <c r="AC326" s="352"/>
      <c r="AD326" s="352"/>
      <c r="AE326" s="352"/>
      <c r="AF326" s="352"/>
    </row>
    <row r="327">
      <c r="A327" s="352"/>
      <c r="B327" s="352"/>
      <c r="C327" s="352"/>
      <c r="D327" s="352"/>
      <c r="E327" s="352"/>
      <c r="F327" s="352"/>
      <c r="G327" s="352"/>
      <c r="H327" s="352"/>
      <c r="I327" s="352"/>
      <c r="J327" s="352"/>
      <c r="K327" s="352"/>
      <c r="L327" s="352"/>
      <c r="M327" s="352"/>
      <c r="N327" s="352"/>
      <c r="O327" s="352"/>
      <c r="P327" s="352"/>
      <c r="Q327" s="352"/>
      <c r="R327" s="352"/>
      <c r="S327" s="352"/>
      <c r="T327" s="352"/>
      <c r="U327" s="352"/>
      <c r="V327" s="352"/>
      <c r="W327" s="352"/>
      <c r="X327" s="352"/>
      <c r="Y327" s="352"/>
      <c r="Z327" s="352"/>
      <c r="AA327" s="352"/>
      <c r="AB327" s="352"/>
      <c r="AC327" s="352"/>
      <c r="AD327" s="352"/>
      <c r="AE327" s="352"/>
      <c r="AF327" s="352"/>
    </row>
    <row r="328">
      <c r="A328" s="352"/>
      <c r="B328" s="352"/>
      <c r="C328" s="352"/>
      <c r="D328" s="352"/>
      <c r="E328" s="352"/>
      <c r="F328" s="352"/>
      <c r="G328" s="352"/>
      <c r="H328" s="352"/>
      <c r="I328" s="352"/>
      <c r="J328" s="352"/>
      <c r="K328" s="352"/>
      <c r="L328" s="352"/>
      <c r="M328" s="352"/>
      <c r="N328" s="352"/>
      <c r="O328" s="352"/>
      <c r="P328" s="352"/>
      <c r="Q328" s="352"/>
      <c r="R328" s="352"/>
      <c r="S328" s="352"/>
      <c r="T328" s="352"/>
      <c r="U328" s="352"/>
      <c r="V328" s="352"/>
      <c r="W328" s="352"/>
      <c r="X328" s="352"/>
      <c r="Y328" s="352"/>
      <c r="Z328" s="352"/>
      <c r="AA328" s="352"/>
      <c r="AB328" s="352"/>
      <c r="AC328" s="352"/>
      <c r="AD328" s="352"/>
      <c r="AE328" s="352"/>
      <c r="AF328" s="352"/>
    </row>
    <row r="329">
      <c r="A329" s="352"/>
      <c r="B329" s="352"/>
      <c r="C329" s="352"/>
      <c r="D329" s="352"/>
      <c r="E329" s="352"/>
      <c r="F329" s="352"/>
      <c r="G329" s="352"/>
      <c r="H329" s="352"/>
      <c r="I329" s="352"/>
      <c r="J329" s="352"/>
      <c r="K329" s="352"/>
      <c r="L329" s="352"/>
      <c r="M329" s="352"/>
      <c r="N329" s="352"/>
      <c r="O329" s="352"/>
      <c r="P329" s="352"/>
      <c r="Q329" s="352"/>
      <c r="R329" s="352"/>
      <c r="S329" s="352"/>
      <c r="T329" s="352"/>
      <c r="U329" s="352"/>
      <c r="V329" s="352"/>
      <c r="W329" s="352"/>
      <c r="X329" s="352"/>
      <c r="Y329" s="352"/>
      <c r="Z329" s="352"/>
      <c r="AA329" s="352"/>
      <c r="AB329" s="352"/>
      <c r="AC329" s="352"/>
      <c r="AD329" s="352"/>
      <c r="AE329" s="352"/>
      <c r="AF329" s="352"/>
    </row>
    <row r="330">
      <c r="A330" s="352"/>
      <c r="B330" s="352"/>
      <c r="C330" s="352"/>
      <c r="D330" s="352"/>
      <c r="E330" s="352"/>
      <c r="F330" s="352"/>
      <c r="G330" s="352"/>
      <c r="H330" s="352"/>
      <c r="I330" s="352"/>
      <c r="J330" s="352"/>
      <c r="K330" s="352"/>
      <c r="L330" s="352"/>
      <c r="M330" s="352"/>
      <c r="N330" s="352"/>
      <c r="O330" s="352"/>
      <c r="P330" s="352"/>
      <c r="Q330" s="352"/>
      <c r="R330" s="352"/>
      <c r="S330" s="352"/>
      <c r="T330" s="352"/>
      <c r="U330" s="352"/>
      <c r="V330" s="352"/>
      <c r="W330" s="352"/>
      <c r="X330" s="352"/>
      <c r="Y330" s="352"/>
      <c r="Z330" s="352"/>
      <c r="AA330" s="352"/>
      <c r="AB330" s="352"/>
      <c r="AC330" s="352"/>
      <c r="AD330" s="352"/>
      <c r="AE330" s="352"/>
      <c r="AF330" s="352"/>
    </row>
    <row r="331">
      <c r="A331" s="352"/>
      <c r="B331" s="352"/>
      <c r="C331" s="352"/>
      <c r="D331" s="352"/>
      <c r="E331" s="352"/>
      <c r="F331" s="352"/>
      <c r="G331" s="352"/>
      <c r="H331" s="352"/>
      <c r="I331" s="352"/>
      <c r="J331" s="352"/>
      <c r="K331" s="352"/>
      <c r="L331" s="352"/>
      <c r="M331" s="352"/>
      <c r="N331" s="352"/>
      <c r="O331" s="352"/>
      <c r="P331" s="352"/>
      <c r="Q331" s="352"/>
      <c r="R331" s="352"/>
      <c r="S331" s="352"/>
      <c r="T331" s="352"/>
      <c r="U331" s="352"/>
      <c r="V331" s="352"/>
      <c r="W331" s="352"/>
      <c r="X331" s="352"/>
      <c r="Y331" s="352"/>
      <c r="Z331" s="352"/>
      <c r="AA331" s="352"/>
      <c r="AB331" s="352"/>
      <c r="AC331" s="352"/>
      <c r="AD331" s="352"/>
      <c r="AE331" s="352"/>
      <c r="AF331" s="352"/>
    </row>
    <row r="332">
      <c r="A332" s="352"/>
      <c r="B332" s="352"/>
      <c r="C332" s="352"/>
      <c r="D332" s="352"/>
      <c r="E332" s="352"/>
      <c r="F332" s="352"/>
      <c r="G332" s="352"/>
      <c r="H332" s="352"/>
      <c r="I332" s="352"/>
      <c r="J332" s="352"/>
      <c r="K332" s="352"/>
      <c r="L332" s="352"/>
      <c r="M332" s="352"/>
      <c r="N332" s="352"/>
      <c r="O332" s="352"/>
      <c r="P332" s="352"/>
      <c r="Q332" s="352"/>
      <c r="R332" s="352"/>
      <c r="S332" s="352"/>
      <c r="T332" s="352"/>
      <c r="U332" s="352"/>
      <c r="V332" s="352"/>
      <c r="W332" s="352"/>
      <c r="X332" s="352"/>
      <c r="Y332" s="352"/>
      <c r="Z332" s="352"/>
      <c r="AA332" s="352"/>
      <c r="AB332" s="352"/>
      <c r="AC332" s="352"/>
      <c r="AD332" s="352"/>
      <c r="AE332" s="352"/>
      <c r="AF332" s="352"/>
    </row>
    <row r="333">
      <c r="A333" s="352"/>
      <c r="B333" s="352"/>
      <c r="C333" s="352"/>
      <c r="D333" s="352"/>
      <c r="E333" s="352"/>
      <c r="F333" s="352"/>
      <c r="G333" s="352"/>
      <c r="H333" s="352"/>
      <c r="I333" s="352"/>
      <c r="J333" s="352"/>
      <c r="K333" s="352"/>
      <c r="L333" s="352"/>
      <c r="M333" s="352"/>
      <c r="N333" s="352"/>
      <c r="O333" s="352"/>
      <c r="P333" s="352"/>
      <c r="Q333" s="352"/>
      <c r="R333" s="352"/>
      <c r="S333" s="352"/>
      <c r="T333" s="352"/>
      <c r="U333" s="352"/>
      <c r="V333" s="352"/>
      <c r="W333" s="352"/>
      <c r="X333" s="352"/>
      <c r="Y333" s="352"/>
      <c r="Z333" s="352"/>
      <c r="AA333" s="352"/>
      <c r="AB333" s="352"/>
      <c r="AC333" s="352"/>
      <c r="AD333" s="352"/>
      <c r="AE333" s="352"/>
      <c r="AF333" s="352"/>
    </row>
    <row r="334">
      <c r="A334" s="352"/>
      <c r="B334" s="352"/>
      <c r="C334" s="352"/>
      <c r="D334" s="352"/>
      <c r="E334" s="352"/>
      <c r="F334" s="352"/>
      <c r="G334" s="352"/>
      <c r="H334" s="352"/>
      <c r="I334" s="352"/>
      <c r="J334" s="352"/>
      <c r="K334" s="352"/>
      <c r="L334" s="352"/>
      <c r="M334" s="352"/>
      <c r="N334" s="352"/>
      <c r="O334" s="352"/>
      <c r="P334" s="352"/>
      <c r="Q334" s="352"/>
      <c r="R334" s="352"/>
      <c r="S334" s="352"/>
      <c r="T334" s="352"/>
      <c r="U334" s="352"/>
      <c r="V334" s="352"/>
      <c r="W334" s="352"/>
      <c r="X334" s="352"/>
      <c r="Y334" s="352"/>
      <c r="Z334" s="352"/>
      <c r="AA334" s="352"/>
      <c r="AB334" s="352"/>
      <c r="AC334" s="352"/>
      <c r="AD334" s="352"/>
      <c r="AE334" s="352"/>
      <c r="AF334" s="352"/>
    </row>
    <row r="335">
      <c r="A335" s="352"/>
      <c r="B335" s="352"/>
      <c r="C335" s="352"/>
      <c r="D335" s="352"/>
      <c r="E335" s="352"/>
      <c r="F335" s="352"/>
      <c r="G335" s="352"/>
      <c r="H335" s="352"/>
      <c r="I335" s="352"/>
      <c r="J335" s="352"/>
      <c r="K335" s="352"/>
      <c r="L335" s="352"/>
      <c r="M335" s="352"/>
      <c r="N335" s="352"/>
      <c r="O335" s="352"/>
      <c r="P335" s="352"/>
      <c r="Q335" s="352"/>
      <c r="R335" s="352"/>
      <c r="S335" s="352"/>
      <c r="T335" s="352"/>
      <c r="U335" s="352"/>
      <c r="V335" s="352"/>
      <c r="W335" s="352"/>
      <c r="X335" s="352"/>
      <c r="Y335" s="352"/>
      <c r="Z335" s="352"/>
      <c r="AA335" s="352"/>
      <c r="AB335" s="352"/>
      <c r="AC335" s="352"/>
      <c r="AD335" s="352"/>
      <c r="AE335" s="352"/>
      <c r="AF335" s="352"/>
    </row>
    <row r="336">
      <c r="A336" s="352"/>
      <c r="B336" s="352"/>
      <c r="C336" s="352"/>
      <c r="D336" s="352"/>
      <c r="E336" s="352"/>
      <c r="F336" s="352"/>
      <c r="G336" s="352"/>
      <c r="H336" s="352"/>
      <c r="I336" s="352"/>
      <c r="J336" s="352"/>
      <c r="K336" s="352"/>
      <c r="L336" s="352"/>
      <c r="M336" s="352"/>
      <c r="N336" s="352"/>
      <c r="O336" s="352"/>
      <c r="P336" s="352"/>
      <c r="Q336" s="352"/>
      <c r="R336" s="352"/>
      <c r="S336" s="352"/>
      <c r="T336" s="352"/>
      <c r="U336" s="352"/>
      <c r="V336" s="352"/>
      <c r="W336" s="352"/>
      <c r="X336" s="352"/>
      <c r="Y336" s="352"/>
      <c r="Z336" s="352"/>
      <c r="AA336" s="352"/>
      <c r="AB336" s="352"/>
      <c r="AC336" s="352"/>
      <c r="AD336" s="352"/>
      <c r="AE336" s="352"/>
      <c r="AF336" s="352"/>
    </row>
    <row r="337">
      <c r="A337" s="352"/>
      <c r="B337" s="352"/>
      <c r="C337" s="352"/>
      <c r="D337" s="352"/>
      <c r="E337" s="352"/>
      <c r="F337" s="352"/>
      <c r="G337" s="352"/>
      <c r="H337" s="352"/>
      <c r="I337" s="352"/>
      <c r="J337" s="352"/>
      <c r="K337" s="352"/>
      <c r="L337" s="352"/>
      <c r="M337" s="352"/>
      <c r="N337" s="352"/>
      <c r="O337" s="352"/>
      <c r="P337" s="352"/>
      <c r="Q337" s="352"/>
      <c r="R337" s="352"/>
      <c r="S337" s="352"/>
      <c r="T337" s="352"/>
      <c r="U337" s="352"/>
      <c r="V337" s="352"/>
      <c r="W337" s="352"/>
      <c r="X337" s="352"/>
      <c r="Y337" s="352"/>
      <c r="Z337" s="352"/>
      <c r="AA337" s="352"/>
      <c r="AB337" s="352"/>
      <c r="AC337" s="352"/>
      <c r="AD337" s="352"/>
      <c r="AE337" s="352"/>
      <c r="AF337" s="352"/>
    </row>
    <row r="338">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2"/>
      <c r="W338" s="352"/>
      <c r="X338" s="352"/>
      <c r="Y338" s="352"/>
      <c r="Z338" s="352"/>
      <c r="AA338" s="352"/>
      <c r="AB338" s="352"/>
      <c r="AC338" s="352"/>
      <c r="AD338" s="352"/>
      <c r="AE338" s="352"/>
      <c r="AF338" s="352"/>
    </row>
    <row r="339">
      <c r="A339" s="352"/>
      <c r="B339" s="352"/>
      <c r="C339" s="352"/>
      <c r="D339" s="352"/>
      <c r="E339" s="352"/>
      <c r="F339" s="352"/>
      <c r="G339" s="352"/>
      <c r="H339" s="352"/>
      <c r="I339" s="352"/>
      <c r="J339" s="352"/>
      <c r="K339" s="352"/>
      <c r="L339" s="352"/>
      <c r="M339" s="352"/>
      <c r="N339" s="352"/>
      <c r="O339" s="352"/>
      <c r="P339" s="352"/>
      <c r="Q339" s="352"/>
      <c r="R339" s="352"/>
      <c r="S339" s="352"/>
      <c r="T339" s="352"/>
      <c r="U339" s="352"/>
      <c r="V339" s="352"/>
      <c r="W339" s="352"/>
      <c r="X339" s="352"/>
      <c r="Y339" s="352"/>
      <c r="Z339" s="352"/>
      <c r="AA339" s="352"/>
      <c r="AB339" s="352"/>
      <c r="AC339" s="352"/>
      <c r="AD339" s="352"/>
      <c r="AE339" s="352"/>
      <c r="AF339" s="352"/>
    </row>
    <row r="340">
      <c r="A340" s="352"/>
      <c r="B340" s="352"/>
      <c r="C340" s="352"/>
      <c r="D340" s="352"/>
      <c r="E340" s="352"/>
      <c r="F340" s="352"/>
      <c r="G340" s="352"/>
      <c r="H340" s="352"/>
      <c r="I340" s="352"/>
      <c r="J340" s="352"/>
      <c r="K340" s="352"/>
      <c r="L340" s="352"/>
      <c r="M340" s="352"/>
      <c r="N340" s="352"/>
      <c r="O340" s="352"/>
      <c r="P340" s="352"/>
      <c r="Q340" s="352"/>
      <c r="R340" s="352"/>
      <c r="S340" s="352"/>
      <c r="T340" s="352"/>
      <c r="U340" s="352"/>
      <c r="V340" s="352"/>
      <c r="W340" s="352"/>
      <c r="X340" s="352"/>
      <c r="Y340" s="352"/>
      <c r="Z340" s="352"/>
      <c r="AA340" s="352"/>
      <c r="AB340" s="352"/>
      <c r="AC340" s="352"/>
      <c r="AD340" s="352"/>
      <c r="AE340" s="352"/>
      <c r="AF340" s="352"/>
    </row>
    <row r="341">
      <c r="A341" s="352"/>
      <c r="B341" s="352"/>
      <c r="C341" s="352"/>
      <c r="D341" s="352"/>
      <c r="E341" s="352"/>
      <c r="F341" s="352"/>
      <c r="G341" s="352"/>
      <c r="H341" s="352"/>
      <c r="I341" s="352"/>
      <c r="J341" s="352"/>
      <c r="K341" s="352"/>
      <c r="L341" s="352"/>
      <c r="M341" s="352"/>
      <c r="N341" s="352"/>
      <c r="O341" s="352"/>
      <c r="P341" s="352"/>
      <c r="Q341" s="352"/>
      <c r="R341" s="352"/>
      <c r="S341" s="352"/>
      <c r="T341" s="352"/>
      <c r="U341" s="352"/>
      <c r="V341" s="352"/>
      <c r="W341" s="352"/>
      <c r="X341" s="352"/>
      <c r="Y341" s="352"/>
      <c r="Z341" s="352"/>
      <c r="AA341" s="352"/>
      <c r="AB341" s="352"/>
      <c r="AC341" s="352"/>
      <c r="AD341" s="352"/>
      <c r="AE341" s="352"/>
      <c r="AF341" s="352"/>
    </row>
    <row r="342">
      <c r="A342" s="352"/>
      <c r="B342" s="352"/>
      <c r="C342" s="352"/>
      <c r="D342" s="352"/>
      <c r="E342" s="352"/>
      <c r="F342" s="352"/>
      <c r="G342" s="352"/>
      <c r="H342" s="352"/>
      <c r="I342" s="352"/>
      <c r="J342" s="352"/>
      <c r="K342" s="352"/>
      <c r="L342" s="352"/>
      <c r="M342" s="352"/>
      <c r="N342" s="352"/>
      <c r="O342" s="352"/>
      <c r="P342" s="352"/>
      <c r="Q342" s="352"/>
      <c r="R342" s="352"/>
      <c r="S342" s="352"/>
      <c r="T342" s="352"/>
      <c r="U342" s="352"/>
      <c r="V342" s="352"/>
      <c r="W342" s="352"/>
      <c r="X342" s="352"/>
      <c r="Y342" s="352"/>
      <c r="Z342" s="352"/>
      <c r="AA342" s="352"/>
      <c r="AB342" s="352"/>
      <c r="AC342" s="352"/>
      <c r="AD342" s="352"/>
      <c r="AE342" s="352"/>
      <c r="AF342" s="352"/>
    </row>
    <row r="343">
      <c r="A343" s="352"/>
      <c r="B343" s="352"/>
      <c r="C343" s="352"/>
      <c r="D343" s="352"/>
      <c r="E343" s="352"/>
      <c r="F343" s="352"/>
      <c r="G343" s="352"/>
      <c r="H343" s="352"/>
      <c r="I343" s="352"/>
      <c r="J343" s="352"/>
      <c r="K343" s="352"/>
      <c r="L343" s="352"/>
      <c r="M343" s="352"/>
      <c r="N343" s="352"/>
      <c r="O343" s="352"/>
      <c r="P343" s="352"/>
      <c r="Q343" s="352"/>
      <c r="R343" s="352"/>
      <c r="S343" s="352"/>
      <c r="T343" s="352"/>
      <c r="U343" s="352"/>
      <c r="V343" s="352"/>
      <c r="W343" s="352"/>
      <c r="X343" s="352"/>
      <c r="Y343" s="352"/>
      <c r="Z343" s="352"/>
      <c r="AA343" s="352"/>
      <c r="AB343" s="352"/>
      <c r="AC343" s="352"/>
      <c r="AD343" s="352"/>
      <c r="AE343" s="352"/>
      <c r="AF343" s="352"/>
    </row>
    <row r="344">
      <c r="A344" s="352"/>
      <c r="B344" s="352"/>
      <c r="C344" s="352"/>
      <c r="D344" s="352"/>
      <c r="E344" s="352"/>
      <c r="F344" s="352"/>
      <c r="G344" s="352"/>
      <c r="H344" s="352"/>
      <c r="I344" s="352"/>
      <c r="J344" s="352"/>
      <c r="K344" s="352"/>
      <c r="L344" s="352"/>
      <c r="M344" s="352"/>
      <c r="N344" s="352"/>
      <c r="O344" s="352"/>
      <c r="P344" s="352"/>
      <c r="Q344" s="352"/>
      <c r="R344" s="352"/>
      <c r="S344" s="352"/>
      <c r="T344" s="352"/>
      <c r="U344" s="352"/>
      <c r="V344" s="352"/>
      <c r="W344" s="352"/>
      <c r="X344" s="352"/>
      <c r="Y344" s="352"/>
      <c r="Z344" s="352"/>
      <c r="AA344" s="352"/>
      <c r="AB344" s="352"/>
      <c r="AC344" s="352"/>
      <c r="AD344" s="352"/>
      <c r="AE344" s="352"/>
      <c r="AF344" s="352"/>
    </row>
    <row r="345">
      <c r="A345" s="352"/>
      <c r="B345" s="352"/>
      <c r="C345" s="352"/>
      <c r="D345" s="352"/>
      <c r="E345" s="352"/>
      <c r="F345" s="352"/>
      <c r="G345" s="352"/>
      <c r="H345" s="352"/>
      <c r="I345" s="352"/>
      <c r="J345" s="352"/>
      <c r="K345" s="352"/>
      <c r="L345" s="352"/>
      <c r="M345" s="352"/>
      <c r="N345" s="352"/>
      <c r="O345" s="352"/>
      <c r="P345" s="352"/>
      <c r="Q345" s="352"/>
      <c r="R345" s="352"/>
      <c r="S345" s="352"/>
      <c r="T345" s="352"/>
      <c r="U345" s="352"/>
      <c r="V345" s="352"/>
      <c r="W345" s="352"/>
      <c r="X345" s="352"/>
      <c r="Y345" s="352"/>
      <c r="Z345" s="352"/>
      <c r="AA345" s="352"/>
      <c r="AB345" s="352"/>
      <c r="AC345" s="352"/>
      <c r="AD345" s="352"/>
      <c r="AE345" s="352"/>
      <c r="AF345" s="352"/>
    </row>
    <row r="346">
      <c r="A346" s="352"/>
      <c r="B346" s="352"/>
      <c r="C346" s="352"/>
      <c r="D346" s="352"/>
      <c r="E346" s="352"/>
      <c r="F346" s="352"/>
      <c r="G346" s="352"/>
      <c r="H346" s="352"/>
      <c r="I346" s="352"/>
      <c r="J346" s="352"/>
      <c r="K346" s="352"/>
      <c r="L346" s="352"/>
      <c r="M346" s="352"/>
      <c r="N346" s="352"/>
      <c r="O346" s="352"/>
      <c r="P346" s="352"/>
      <c r="Q346" s="352"/>
      <c r="R346" s="352"/>
      <c r="S346" s="352"/>
      <c r="T346" s="352"/>
      <c r="U346" s="352"/>
      <c r="V346" s="352"/>
      <c r="W346" s="352"/>
      <c r="X346" s="352"/>
      <c r="Y346" s="352"/>
      <c r="Z346" s="352"/>
      <c r="AA346" s="352"/>
      <c r="AB346" s="352"/>
      <c r="AC346" s="352"/>
      <c r="AD346" s="352"/>
      <c r="AE346" s="352"/>
      <c r="AF346" s="352"/>
    </row>
    <row r="347">
      <c r="A347" s="352"/>
      <c r="B347" s="352"/>
      <c r="C347" s="352"/>
      <c r="D347" s="352"/>
      <c r="E347" s="352"/>
      <c r="F347" s="352"/>
      <c r="G347" s="352"/>
      <c r="H347" s="352"/>
      <c r="I347" s="352"/>
      <c r="J347" s="352"/>
      <c r="K347" s="352"/>
      <c r="L347" s="352"/>
      <c r="M347" s="352"/>
      <c r="N347" s="352"/>
      <c r="O347" s="352"/>
      <c r="P347" s="352"/>
      <c r="Q347" s="352"/>
      <c r="R347" s="352"/>
      <c r="S347" s="352"/>
      <c r="T347" s="352"/>
      <c r="U347" s="352"/>
      <c r="V347" s="352"/>
      <c r="W347" s="352"/>
      <c r="X347" s="352"/>
      <c r="Y347" s="352"/>
      <c r="Z347" s="352"/>
      <c r="AA347" s="352"/>
      <c r="AB347" s="352"/>
      <c r="AC347" s="352"/>
      <c r="AD347" s="352"/>
      <c r="AE347" s="352"/>
      <c r="AF347" s="352"/>
    </row>
    <row r="348">
      <c r="A348" s="352"/>
      <c r="B348" s="352"/>
      <c r="C348" s="352"/>
      <c r="D348" s="352"/>
      <c r="E348" s="352"/>
      <c r="F348" s="352"/>
      <c r="G348" s="352"/>
      <c r="H348" s="352"/>
      <c r="I348" s="352"/>
      <c r="J348" s="352"/>
      <c r="K348" s="352"/>
      <c r="L348" s="352"/>
      <c r="M348" s="352"/>
      <c r="N348" s="352"/>
      <c r="O348" s="352"/>
      <c r="P348" s="352"/>
      <c r="Q348" s="352"/>
      <c r="R348" s="352"/>
      <c r="S348" s="352"/>
      <c r="T348" s="352"/>
      <c r="U348" s="352"/>
      <c r="V348" s="352"/>
      <c r="W348" s="352"/>
      <c r="X348" s="352"/>
      <c r="Y348" s="352"/>
      <c r="Z348" s="352"/>
      <c r="AA348" s="352"/>
      <c r="AB348" s="352"/>
      <c r="AC348" s="352"/>
      <c r="AD348" s="352"/>
      <c r="AE348" s="352"/>
      <c r="AF348" s="352"/>
    </row>
    <row r="349">
      <c r="A349" s="352"/>
      <c r="B349" s="352"/>
      <c r="C349" s="352"/>
      <c r="D349" s="352"/>
      <c r="E349" s="352"/>
      <c r="F349" s="352"/>
      <c r="G349" s="352"/>
      <c r="H349" s="352"/>
      <c r="I349" s="352"/>
      <c r="J349" s="352"/>
      <c r="K349" s="352"/>
      <c r="L349" s="352"/>
      <c r="M349" s="352"/>
      <c r="N349" s="352"/>
      <c r="O349" s="352"/>
      <c r="P349" s="352"/>
      <c r="Q349" s="352"/>
      <c r="R349" s="352"/>
      <c r="S349" s="352"/>
      <c r="T349" s="352"/>
      <c r="U349" s="352"/>
      <c r="V349" s="352"/>
      <c r="W349" s="352"/>
      <c r="X349" s="352"/>
      <c r="Y349" s="352"/>
      <c r="Z349" s="352"/>
      <c r="AA349" s="352"/>
      <c r="AB349" s="352"/>
      <c r="AC349" s="352"/>
      <c r="AD349" s="352"/>
      <c r="AE349" s="352"/>
      <c r="AF349" s="352"/>
    </row>
    <row r="350">
      <c r="A350" s="352"/>
      <c r="B350" s="352"/>
      <c r="C350" s="352"/>
      <c r="D350" s="352"/>
      <c r="E350" s="352"/>
      <c r="F350" s="352"/>
      <c r="G350" s="352"/>
      <c r="H350" s="352"/>
      <c r="I350" s="352"/>
      <c r="J350" s="352"/>
      <c r="K350" s="352"/>
      <c r="L350" s="352"/>
      <c r="M350" s="352"/>
      <c r="N350" s="352"/>
      <c r="O350" s="352"/>
      <c r="P350" s="352"/>
      <c r="Q350" s="352"/>
      <c r="R350" s="352"/>
      <c r="S350" s="352"/>
      <c r="T350" s="352"/>
      <c r="U350" s="352"/>
      <c r="V350" s="352"/>
      <c r="W350" s="352"/>
      <c r="X350" s="352"/>
      <c r="Y350" s="352"/>
      <c r="Z350" s="352"/>
      <c r="AA350" s="352"/>
      <c r="AB350" s="352"/>
      <c r="AC350" s="352"/>
      <c r="AD350" s="352"/>
      <c r="AE350" s="352"/>
      <c r="AF350" s="352"/>
    </row>
    <row r="351">
      <c r="A351" s="352"/>
      <c r="B351" s="352"/>
      <c r="C351" s="352"/>
      <c r="D351" s="352"/>
      <c r="E351" s="352"/>
      <c r="F351" s="352"/>
      <c r="G351" s="352"/>
      <c r="H351" s="352"/>
      <c r="I351" s="352"/>
      <c r="J351" s="352"/>
      <c r="K351" s="352"/>
      <c r="L351" s="352"/>
      <c r="M351" s="352"/>
      <c r="N351" s="352"/>
      <c r="O351" s="352"/>
      <c r="P351" s="352"/>
      <c r="Q351" s="352"/>
      <c r="R351" s="352"/>
      <c r="S351" s="352"/>
      <c r="T351" s="352"/>
      <c r="U351" s="352"/>
      <c r="V351" s="352"/>
      <c r="W351" s="352"/>
      <c r="X351" s="352"/>
      <c r="Y351" s="352"/>
      <c r="Z351" s="352"/>
      <c r="AA351" s="352"/>
      <c r="AB351" s="352"/>
      <c r="AC351" s="352"/>
      <c r="AD351" s="352"/>
      <c r="AE351" s="352"/>
      <c r="AF351" s="352"/>
    </row>
    <row r="352">
      <c r="A352" s="352"/>
      <c r="B352" s="352"/>
      <c r="C352" s="352"/>
      <c r="D352" s="352"/>
      <c r="E352" s="352"/>
      <c r="F352" s="352"/>
      <c r="G352" s="352"/>
      <c r="H352" s="352"/>
      <c r="I352" s="352"/>
      <c r="J352" s="352"/>
      <c r="K352" s="352"/>
      <c r="L352" s="352"/>
      <c r="M352" s="352"/>
      <c r="N352" s="352"/>
      <c r="O352" s="352"/>
      <c r="P352" s="352"/>
      <c r="Q352" s="352"/>
      <c r="R352" s="352"/>
      <c r="S352" s="352"/>
      <c r="T352" s="352"/>
      <c r="U352" s="352"/>
      <c r="V352" s="352"/>
      <c r="W352" s="352"/>
      <c r="X352" s="352"/>
      <c r="Y352" s="352"/>
      <c r="Z352" s="352"/>
      <c r="AA352" s="352"/>
      <c r="AB352" s="352"/>
      <c r="AC352" s="352"/>
      <c r="AD352" s="352"/>
      <c r="AE352" s="352"/>
      <c r="AF352" s="352"/>
    </row>
    <row r="353">
      <c r="A353" s="352"/>
      <c r="B353" s="352"/>
      <c r="C353" s="352"/>
      <c r="D353" s="352"/>
      <c r="E353" s="352"/>
      <c r="F353" s="352"/>
      <c r="G353" s="352"/>
      <c r="H353" s="352"/>
      <c r="I353" s="352"/>
      <c r="J353" s="352"/>
      <c r="K353" s="352"/>
      <c r="L353" s="352"/>
      <c r="M353" s="352"/>
      <c r="N353" s="352"/>
      <c r="O353" s="352"/>
      <c r="P353" s="352"/>
      <c r="Q353" s="352"/>
      <c r="R353" s="352"/>
      <c r="S353" s="352"/>
      <c r="T353" s="352"/>
      <c r="U353" s="352"/>
      <c r="V353" s="352"/>
      <c r="W353" s="352"/>
      <c r="X353" s="352"/>
      <c r="Y353" s="352"/>
      <c r="Z353" s="352"/>
      <c r="AA353" s="352"/>
      <c r="AB353" s="352"/>
      <c r="AC353" s="352"/>
      <c r="AD353" s="352"/>
      <c r="AE353" s="352"/>
      <c r="AF353" s="352"/>
    </row>
    <row r="354">
      <c r="A354" s="352"/>
      <c r="B354" s="352"/>
      <c r="C354" s="352"/>
      <c r="D354" s="352"/>
      <c r="E354" s="352"/>
      <c r="F354" s="352"/>
      <c r="G354" s="352"/>
      <c r="H354" s="352"/>
      <c r="I354" s="352"/>
      <c r="J354" s="352"/>
      <c r="K354" s="352"/>
      <c r="L354" s="352"/>
      <c r="M354" s="352"/>
      <c r="N354" s="352"/>
      <c r="O354" s="352"/>
      <c r="P354" s="352"/>
      <c r="Q354" s="352"/>
      <c r="R354" s="352"/>
      <c r="S354" s="352"/>
      <c r="T354" s="352"/>
      <c r="U354" s="352"/>
      <c r="V354" s="352"/>
      <c r="W354" s="352"/>
      <c r="X354" s="352"/>
      <c r="Y354" s="352"/>
      <c r="Z354" s="352"/>
      <c r="AA354" s="352"/>
      <c r="AB354" s="352"/>
      <c r="AC354" s="352"/>
      <c r="AD354" s="352"/>
      <c r="AE354" s="352"/>
      <c r="AF354" s="352"/>
    </row>
    <row r="355">
      <c r="A355" s="352"/>
      <c r="B355" s="352"/>
      <c r="C355" s="352"/>
      <c r="D355" s="352"/>
      <c r="E355" s="352"/>
      <c r="F355" s="352"/>
      <c r="G355" s="352"/>
      <c r="H355" s="352"/>
      <c r="I355" s="352"/>
      <c r="J355" s="352"/>
      <c r="K355" s="352"/>
      <c r="L355" s="352"/>
      <c r="M355" s="352"/>
      <c r="N355" s="352"/>
      <c r="O355" s="352"/>
      <c r="P355" s="352"/>
      <c r="Q355" s="352"/>
      <c r="R355" s="352"/>
      <c r="S355" s="352"/>
      <c r="T355" s="352"/>
      <c r="U355" s="352"/>
      <c r="V355" s="352"/>
      <c r="W355" s="352"/>
      <c r="X355" s="352"/>
      <c r="Y355" s="352"/>
      <c r="Z355" s="352"/>
      <c r="AA355" s="352"/>
      <c r="AB355" s="352"/>
      <c r="AC355" s="352"/>
      <c r="AD355" s="352"/>
      <c r="AE355" s="352"/>
      <c r="AF355" s="352"/>
    </row>
    <row r="356">
      <c r="A356" s="352"/>
      <c r="B356" s="352"/>
      <c r="C356" s="352"/>
      <c r="D356" s="352"/>
      <c r="E356" s="352"/>
      <c r="F356" s="352"/>
      <c r="G356" s="352"/>
      <c r="H356" s="352"/>
      <c r="I356" s="352"/>
      <c r="J356" s="352"/>
      <c r="K356" s="352"/>
      <c r="L356" s="352"/>
      <c r="M356" s="352"/>
      <c r="N356" s="352"/>
      <c r="O356" s="352"/>
      <c r="P356" s="352"/>
      <c r="Q356" s="352"/>
      <c r="R356" s="352"/>
      <c r="S356" s="352"/>
      <c r="T356" s="352"/>
      <c r="U356" s="352"/>
      <c r="V356" s="352"/>
      <c r="W356" s="352"/>
      <c r="X356" s="352"/>
      <c r="Y356" s="352"/>
      <c r="Z356" s="352"/>
      <c r="AA356" s="352"/>
      <c r="AB356" s="352"/>
      <c r="AC356" s="352"/>
      <c r="AD356" s="352"/>
      <c r="AE356" s="352"/>
      <c r="AF356" s="352"/>
    </row>
    <row r="357">
      <c r="A357" s="352"/>
      <c r="B357" s="352"/>
      <c r="C357" s="352"/>
      <c r="D357" s="352"/>
      <c r="E357" s="352"/>
      <c r="F357" s="352"/>
      <c r="G357" s="352"/>
      <c r="H357" s="352"/>
      <c r="I357" s="352"/>
      <c r="J357" s="352"/>
      <c r="K357" s="352"/>
      <c r="L357" s="352"/>
      <c r="M357" s="352"/>
      <c r="N357" s="352"/>
      <c r="O357" s="352"/>
      <c r="P357" s="352"/>
      <c r="Q357" s="352"/>
      <c r="R357" s="352"/>
      <c r="S357" s="352"/>
      <c r="T357" s="352"/>
      <c r="U357" s="352"/>
      <c r="V357" s="352"/>
      <c r="W357" s="352"/>
      <c r="X357" s="352"/>
      <c r="Y357" s="352"/>
      <c r="Z357" s="352"/>
      <c r="AA357" s="352"/>
      <c r="AB357" s="352"/>
      <c r="AC357" s="352"/>
      <c r="AD357" s="352"/>
      <c r="AE357" s="352"/>
      <c r="AF357" s="352"/>
    </row>
    <row r="358">
      <c r="A358" s="352"/>
      <c r="B358" s="352"/>
      <c r="C358" s="352"/>
      <c r="D358" s="352"/>
      <c r="E358" s="352"/>
      <c r="F358" s="352"/>
      <c r="G358" s="352"/>
      <c r="H358" s="352"/>
      <c r="I358" s="352"/>
      <c r="J358" s="352"/>
      <c r="K358" s="352"/>
      <c r="L358" s="352"/>
      <c r="M358" s="352"/>
      <c r="N358" s="352"/>
      <c r="O358" s="352"/>
      <c r="P358" s="352"/>
      <c r="Q358" s="352"/>
      <c r="R358" s="352"/>
      <c r="S358" s="352"/>
      <c r="T358" s="352"/>
      <c r="U358" s="352"/>
      <c r="V358" s="352"/>
      <c r="W358" s="352"/>
      <c r="X358" s="352"/>
      <c r="Y358" s="352"/>
      <c r="Z358" s="352"/>
      <c r="AA358" s="352"/>
      <c r="AB358" s="352"/>
      <c r="AC358" s="352"/>
      <c r="AD358" s="352"/>
      <c r="AE358" s="352"/>
      <c r="AF358" s="352"/>
    </row>
    <row r="359">
      <c r="A359" s="352"/>
      <c r="B359" s="352"/>
      <c r="C359" s="352"/>
      <c r="D359" s="352"/>
      <c r="E359" s="352"/>
      <c r="F359" s="352"/>
      <c r="G359" s="352"/>
      <c r="H359" s="352"/>
      <c r="I359" s="352"/>
      <c r="J359" s="352"/>
      <c r="K359" s="352"/>
      <c r="L359" s="352"/>
      <c r="M359" s="352"/>
      <c r="N359" s="352"/>
      <c r="O359" s="352"/>
      <c r="P359" s="352"/>
      <c r="Q359" s="352"/>
      <c r="R359" s="352"/>
      <c r="S359" s="352"/>
      <c r="T359" s="352"/>
      <c r="U359" s="352"/>
      <c r="V359" s="352"/>
      <c r="W359" s="352"/>
      <c r="X359" s="352"/>
      <c r="Y359" s="352"/>
      <c r="Z359" s="352"/>
      <c r="AA359" s="352"/>
      <c r="AB359" s="352"/>
      <c r="AC359" s="352"/>
      <c r="AD359" s="352"/>
      <c r="AE359" s="352"/>
      <c r="AF359" s="352"/>
    </row>
    <row r="360">
      <c r="A360" s="352"/>
      <c r="B360" s="352"/>
      <c r="C360" s="352"/>
      <c r="D360" s="352"/>
      <c r="E360" s="352"/>
      <c r="F360" s="352"/>
      <c r="G360" s="352"/>
      <c r="H360" s="352"/>
      <c r="I360" s="352"/>
      <c r="J360" s="352"/>
      <c r="K360" s="352"/>
      <c r="L360" s="352"/>
      <c r="M360" s="352"/>
      <c r="N360" s="352"/>
      <c r="O360" s="352"/>
      <c r="P360" s="352"/>
      <c r="Q360" s="352"/>
      <c r="R360" s="352"/>
      <c r="S360" s="352"/>
      <c r="T360" s="352"/>
      <c r="U360" s="352"/>
      <c r="V360" s="352"/>
      <c r="W360" s="352"/>
      <c r="X360" s="352"/>
      <c r="Y360" s="352"/>
      <c r="Z360" s="352"/>
      <c r="AA360" s="352"/>
      <c r="AB360" s="352"/>
      <c r="AC360" s="352"/>
      <c r="AD360" s="352"/>
      <c r="AE360" s="352"/>
      <c r="AF360" s="352"/>
    </row>
    <row r="361">
      <c r="A361" s="352"/>
      <c r="B361" s="352"/>
      <c r="C361" s="352"/>
      <c r="D361" s="352"/>
      <c r="E361" s="352"/>
      <c r="F361" s="352"/>
      <c r="G361" s="352"/>
      <c r="H361" s="352"/>
      <c r="I361" s="352"/>
      <c r="J361" s="352"/>
      <c r="K361" s="352"/>
      <c r="L361" s="352"/>
      <c r="M361" s="352"/>
      <c r="N361" s="352"/>
      <c r="O361" s="352"/>
      <c r="P361" s="352"/>
      <c r="Q361" s="352"/>
      <c r="R361" s="352"/>
      <c r="S361" s="352"/>
      <c r="T361" s="352"/>
      <c r="U361" s="352"/>
      <c r="V361" s="352"/>
      <c r="W361" s="352"/>
      <c r="X361" s="352"/>
      <c r="Y361" s="352"/>
      <c r="Z361" s="352"/>
      <c r="AA361" s="352"/>
      <c r="AB361" s="352"/>
      <c r="AC361" s="352"/>
      <c r="AD361" s="352"/>
      <c r="AE361" s="352"/>
      <c r="AF361" s="352"/>
    </row>
    <row r="362">
      <c r="A362" s="352"/>
      <c r="B362" s="352"/>
      <c r="C362" s="352"/>
      <c r="D362" s="352"/>
      <c r="E362" s="352"/>
      <c r="F362" s="352"/>
      <c r="G362" s="352"/>
      <c r="H362" s="352"/>
      <c r="I362" s="352"/>
      <c r="J362" s="352"/>
      <c r="K362" s="352"/>
      <c r="L362" s="352"/>
      <c r="M362" s="352"/>
      <c r="N362" s="352"/>
      <c r="O362" s="352"/>
      <c r="P362" s="352"/>
      <c r="Q362" s="352"/>
      <c r="R362" s="352"/>
      <c r="S362" s="352"/>
      <c r="T362" s="352"/>
      <c r="U362" s="352"/>
      <c r="V362" s="352"/>
      <c r="W362" s="352"/>
      <c r="X362" s="352"/>
      <c r="Y362" s="352"/>
      <c r="Z362" s="352"/>
      <c r="AA362" s="352"/>
      <c r="AB362" s="352"/>
      <c r="AC362" s="352"/>
      <c r="AD362" s="352"/>
      <c r="AE362" s="352"/>
      <c r="AF362" s="352"/>
    </row>
    <row r="363">
      <c r="A363" s="352"/>
      <c r="B363" s="352"/>
      <c r="C363" s="352"/>
      <c r="D363" s="352"/>
      <c r="E363" s="352"/>
      <c r="F363" s="352"/>
      <c r="G363" s="352"/>
      <c r="H363" s="352"/>
      <c r="I363" s="352"/>
      <c r="J363" s="352"/>
      <c r="K363" s="352"/>
      <c r="L363" s="352"/>
      <c r="M363" s="352"/>
      <c r="N363" s="352"/>
      <c r="O363" s="352"/>
      <c r="P363" s="352"/>
      <c r="Q363" s="352"/>
      <c r="R363" s="352"/>
      <c r="S363" s="352"/>
      <c r="T363" s="352"/>
      <c r="U363" s="352"/>
      <c r="V363" s="352"/>
      <c r="W363" s="352"/>
      <c r="X363" s="352"/>
      <c r="Y363" s="352"/>
      <c r="Z363" s="352"/>
      <c r="AA363" s="352"/>
      <c r="AB363" s="352"/>
      <c r="AC363" s="352"/>
      <c r="AD363" s="352"/>
      <c r="AE363" s="352"/>
      <c r="AF363" s="352"/>
    </row>
    <row r="364">
      <c r="A364" s="352"/>
      <c r="B364" s="352"/>
      <c r="C364" s="352"/>
      <c r="D364" s="352"/>
      <c r="E364" s="352"/>
      <c r="F364" s="352"/>
      <c r="G364" s="352"/>
      <c r="H364" s="352"/>
      <c r="I364" s="352"/>
      <c r="J364" s="352"/>
      <c r="K364" s="352"/>
      <c r="L364" s="352"/>
      <c r="M364" s="352"/>
      <c r="N364" s="352"/>
      <c r="O364" s="352"/>
      <c r="P364" s="352"/>
      <c r="Q364" s="352"/>
      <c r="R364" s="352"/>
      <c r="S364" s="352"/>
      <c r="T364" s="352"/>
      <c r="U364" s="352"/>
      <c r="V364" s="352"/>
      <c r="W364" s="352"/>
      <c r="X364" s="352"/>
      <c r="Y364" s="352"/>
      <c r="Z364" s="352"/>
      <c r="AA364" s="352"/>
      <c r="AB364" s="352"/>
      <c r="AC364" s="352"/>
      <c r="AD364" s="352"/>
      <c r="AE364" s="352"/>
      <c r="AF364" s="352"/>
    </row>
    <row r="365">
      <c r="A365" s="352"/>
      <c r="B365" s="352"/>
      <c r="C365" s="352"/>
      <c r="D365" s="352"/>
      <c r="E365" s="352"/>
      <c r="F365" s="352"/>
      <c r="G365" s="352"/>
      <c r="H365" s="352"/>
      <c r="I365" s="352"/>
      <c r="J365" s="352"/>
      <c r="K365" s="352"/>
      <c r="L365" s="352"/>
      <c r="M365" s="352"/>
      <c r="N365" s="352"/>
      <c r="O365" s="352"/>
      <c r="P365" s="352"/>
      <c r="Q365" s="352"/>
      <c r="R365" s="352"/>
      <c r="S365" s="352"/>
      <c r="T365" s="352"/>
      <c r="U365" s="352"/>
      <c r="V365" s="352"/>
      <c r="W365" s="352"/>
      <c r="X365" s="352"/>
      <c r="Y365" s="352"/>
      <c r="Z365" s="352"/>
      <c r="AA365" s="352"/>
      <c r="AB365" s="352"/>
      <c r="AC365" s="352"/>
      <c r="AD365" s="352"/>
      <c r="AE365" s="352"/>
      <c r="AF365" s="352"/>
    </row>
    <row r="366">
      <c r="A366" s="352"/>
      <c r="B366" s="352"/>
      <c r="C366" s="352"/>
      <c r="D366" s="352"/>
      <c r="E366" s="352"/>
      <c r="F366" s="352"/>
      <c r="G366" s="352"/>
      <c r="H366" s="352"/>
      <c r="I366" s="352"/>
      <c r="J366" s="352"/>
      <c r="K366" s="352"/>
      <c r="L366" s="352"/>
      <c r="M366" s="352"/>
      <c r="N366" s="352"/>
      <c r="O366" s="352"/>
      <c r="P366" s="352"/>
      <c r="Q366" s="352"/>
      <c r="R366" s="352"/>
      <c r="S366" s="352"/>
      <c r="T366" s="352"/>
      <c r="U366" s="352"/>
      <c r="V366" s="352"/>
      <c r="W366" s="352"/>
      <c r="X366" s="352"/>
      <c r="Y366" s="352"/>
      <c r="Z366" s="352"/>
      <c r="AA366" s="352"/>
      <c r="AB366" s="352"/>
      <c r="AC366" s="352"/>
      <c r="AD366" s="352"/>
      <c r="AE366" s="352"/>
      <c r="AF366" s="352"/>
    </row>
    <row r="367">
      <c r="A367" s="352"/>
      <c r="B367" s="352"/>
      <c r="C367" s="352"/>
      <c r="D367" s="352"/>
      <c r="E367" s="352"/>
      <c r="F367" s="352"/>
      <c r="G367" s="352"/>
      <c r="H367" s="352"/>
      <c r="I367" s="352"/>
      <c r="J367" s="352"/>
      <c r="K367" s="352"/>
      <c r="L367" s="352"/>
      <c r="M367" s="352"/>
      <c r="N367" s="352"/>
      <c r="O367" s="352"/>
      <c r="P367" s="352"/>
      <c r="Q367" s="352"/>
      <c r="R367" s="352"/>
      <c r="S367" s="352"/>
      <c r="T367" s="352"/>
      <c r="U367" s="352"/>
      <c r="V367" s="352"/>
      <c r="W367" s="352"/>
      <c r="X367" s="352"/>
      <c r="Y367" s="352"/>
      <c r="Z367" s="352"/>
      <c r="AA367" s="352"/>
      <c r="AB367" s="352"/>
      <c r="AC367" s="352"/>
      <c r="AD367" s="352"/>
      <c r="AE367" s="352"/>
      <c r="AF367" s="352"/>
    </row>
    <row r="368">
      <c r="A368" s="352"/>
      <c r="B368" s="352"/>
      <c r="C368" s="352"/>
      <c r="D368" s="352"/>
      <c r="E368" s="352"/>
      <c r="F368" s="352"/>
      <c r="G368" s="352"/>
      <c r="H368" s="352"/>
      <c r="I368" s="352"/>
      <c r="J368" s="352"/>
      <c r="K368" s="352"/>
      <c r="L368" s="352"/>
      <c r="M368" s="352"/>
      <c r="N368" s="352"/>
      <c r="O368" s="352"/>
      <c r="P368" s="352"/>
      <c r="Q368" s="352"/>
      <c r="R368" s="352"/>
      <c r="S368" s="352"/>
      <c r="T368" s="352"/>
      <c r="U368" s="352"/>
      <c r="V368" s="352"/>
      <c r="W368" s="352"/>
      <c r="X368" s="352"/>
      <c r="Y368" s="352"/>
      <c r="Z368" s="352"/>
      <c r="AA368" s="352"/>
      <c r="AB368" s="352"/>
      <c r="AC368" s="352"/>
      <c r="AD368" s="352"/>
      <c r="AE368" s="352"/>
      <c r="AF368" s="352"/>
    </row>
    <row r="369">
      <c r="A369" s="352"/>
      <c r="B369" s="352"/>
      <c r="C369" s="352"/>
      <c r="D369" s="352"/>
      <c r="E369" s="352"/>
      <c r="F369" s="352"/>
      <c r="G369" s="352"/>
      <c r="H369" s="352"/>
      <c r="I369" s="352"/>
      <c r="J369" s="352"/>
      <c r="K369" s="352"/>
      <c r="L369" s="352"/>
      <c r="M369" s="352"/>
      <c r="N369" s="352"/>
      <c r="O369" s="352"/>
      <c r="P369" s="352"/>
      <c r="Q369" s="352"/>
      <c r="R369" s="352"/>
      <c r="S369" s="352"/>
      <c r="T369" s="352"/>
      <c r="U369" s="352"/>
      <c r="V369" s="352"/>
      <c r="W369" s="352"/>
      <c r="X369" s="352"/>
      <c r="Y369" s="352"/>
      <c r="Z369" s="352"/>
      <c r="AA369" s="352"/>
      <c r="AB369" s="352"/>
      <c r="AC369" s="352"/>
      <c r="AD369" s="352"/>
      <c r="AE369" s="352"/>
      <c r="AF369" s="352"/>
    </row>
    <row r="370">
      <c r="A370" s="352"/>
      <c r="B370" s="352"/>
      <c r="C370" s="352"/>
      <c r="D370" s="352"/>
      <c r="E370" s="352"/>
      <c r="F370" s="352"/>
      <c r="G370" s="352"/>
      <c r="H370" s="352"/>
      <c r="I370" s="352"/>
      <c r="J370" s="352"/>
      <c r="K370" s="352"/>
      <c r="L370" s="352"/>
      <c r="M370" s="352"/>
      <c r="N370" s="352"/>
      <c r="O370" s="352"/>
      <c r="P370" s="352"/>
      <c r="Q370" s="352"/>
      <c r="R370" s="352"/>
      <c r="S370" s="352"/>
      <c r="T370" s="352"/>
      <c r="U370" s="352"/>
      <c r="V370" s="352"/>
      <c r="W370" s="352"/>
      <c r="X370" s="352"/>
      <c r="Y370" s="352"/>
      <c r="Z370" s="352"/>
      <c r="AA370" s="352"/>
      <c r="AB370" s="352"/>
      <c r="AC370" s="352"/>
      <c r="AD370" s="352"/>
      <c r="AE370" s="352"/>
      <c r="AF370" s="352"/>
    </row>
    <row r="371">
      <c r="A371" s="352"/>
      <c r="B371" s="352"/>
      <c r="C371" s="352"/>
      <c r="D371" s="352"/>
      <c r="E371" s="352"/>
      <c r="F371" s="352"/>
      <c r="G371" s="352"/>
      <c r="H371" s="352"/>
      <c r="I371" s="352"/>
      <c r="J371" s="352"/>
      <c r="K371" s="352"/>
      <c r="L371" s="352"/>
      <c r="M371" s="352"/>
      <c r="N371" s="352"/>
      <c r="O371" s="352"/>
      <c r="P371" s="352"/>
      <c r="Q371" s="352"/>
      <c r="R371" s="352"/>
      <c r="S371" s="352"/>
      <c r="T371" s="352"/>
      <c r="U371" s="352"/>
      <c r="V371" s="352"/>
      <c r="W371" s="352"/>
      <c r="X371" s="352"/>
      <c r="Y371" s="352"/>
      <c r="Z371" s="352"/>
      <c r="AA371" s="352"/>
      <c r="AB371" s="352"/>
      <c r="AC371" s="352"/>
      <c r="AD371" s="352"/>
      <c r="AE371" s="352"/>
      <c r="AF371" s="352"/>
    </row>
    <row r="372">
      <c r="A372" s="352"/>
      <c r="B372" s="352"/>
      <c r="C372" s="352"/>
      <c r="D372" s="352"/>
      <c r="E372" s="352"/>
      <c r="F372" s="352"/>
      <c r="G372" s="352"/>
      <c r="H372" s="352"/>
      <c r="I372" s="352"/>
      <c r="J372" s="352"/>
      <c r="K372" s="352"/>
      <c r="L372" s="352"/>
      <c r="M372" s="352"/>
      <c r="N372" s="352"/>
      <c r="O372" s="352"/>
      <c r="P372" s="352"/>
      <c r="Q372" s="352"/>
      <c r="R372" s="352"/>
      <c r="S372" s="352"/>
      <c r="T372" s="352"/>
      <c r="U372" s="352"/>
      <c r="V372" s="352"/>
      <c r="W372" s="352"/>
      <c r="X372" s="352"/>
      <c r="Y372" s="352"/>
      <c r="Z372" s="352"/>
      <c r="AA372" s="352"/>
      <c r="AB372" s="352"/>
      <c r="AC372" s="352"/>
      <c r="AD372" s="352"/>
      <c r="AE372" s="352"/>
      <c r="AF372" s="352"/>
    </row>
    <row r="373">
      <c r="A373" s="352"/>
      <c r="B373" s="352"/>
      <c r="C373" s="352"/>
      <c r="D373" s="352"/>
      <c r="E373" s="352"/>
      <c r="F373" s="352"/>
      <c r="G373" s="352"/>
      <c r="H373" s="352"/>
      <c r="I373" s="352"/>
      <c r="J373" s="352"/>
      <c r="K373" s="352"/>
      <c r="L373" s="352"/>
      <c r="M373" s="352"/>
      <c r="N373" s="352"/>
      <c r="O373" s="352"/>
      <c r="P373" s="352"/>
      <c r="Q373" s="352"/>
      <c r="R373" s="352"/>
      <c r="S373" s="352"/>
      <c r="T373" s="352"/>
      <c r="U373" s="352"/>
      <c r="V373" s="352"/>
      <c r="W373" s="352"/>
      <c r="X373" s="352"/>
      <c r="Y373" s="352"/>
      <c r="Z373" s="352"/>
      <c r="AA373" s="352"/>
      <c r="AB373" s="352"/>
      <c r="AC373" s="352"/>
      <c r="AD373" s="352"/>
      <c r="AE373" s="352"/>
      <c r="AF373" s="352"/>
    </row>
    <row r="374">
      <c r="A374" s="352"/>
      <c r="B374" s="352"/>
      <c r="C374" s="352"/>
      <c r="D374" s="352"/>
      <c r="E374" s="352"/>
      <c r="F374" s="352"/>
      <c r="G374" s="352"/>
      <c r="H374" s="352"/>
      <c r="I374" s="352"/>
      <c r="J374" s="352"/>
      <c r="K374" s="352"/>
      <c r="L374" s="352"/>
      <c r="M374" s="352"/>
      <c r="N374" s="352"/>
      <c r="O374" s="352"/>
      <c r="P374" s="352"/>
      <c r="Q374" s="352"/>
      <c r="R374" s="352"/>
      <c r="S374" s="352"/>
      <c r="T374" s="352"/>
      <c r="U374" s="352"/>
      <c r="V374" s="352"/>
      <c r="W374" s="352"/>
      <c r="X374" s="352"/>
      <c r="Y374" s="352"/>
      <c r="Z374" s="352"/>
      <c r="AA374" s="352"/>
      <c r="AB374" s="352"/>
      <c r="AC374" s="352"/>
      <c r="AD374" s="352"/>
      <c r="AE374" s="352"/>
      <c r="AF374" s="352"/>
    </row>
    <row r="375">
      <c r="A375" s="352"/>
      <c r="B375" s="352"/>
      <c r="C375" s="352"/>
      <c r="D375" s="352"/>
      <c r="E375" s="352"/>
      <c r="F375" s="352"/>
      <c r="G375" s="352"/>
      <c r="H375" s="352"/>
      <c r="I375" s="352"/>
      <c r="J375" s="352"/>
      <c r="K375" s="352"/>
      <c r="L375" s="352"/>
      <c r="M375" s="352"/>
      <c r="N375" s="352"/>
      <c r="O375" s="352"/>
      <c r="P375" s="352"/>
      <c r="Q375" s="352"/>
      <c r="R375" s="352"/>
      <c r="S375" s="352"/>
      <c r="T375" s="352"/>
      <c r="U375" s="352"/>
      <c r="V375" s="352"/>
      <c r="W375" s="352"/>
      <c r="X375" s="352"/>
      <c r="Y375" s="352"/>
      <c r="Z375" s="352"/>
      <c r="AA375" s="352"/>
      <c r="AB375" s="352"/>
      <c r="AC375" s="352"/>
      <c r="AD375" s="352"/>
      <c r="AE375" s="352"/>
      <c r="AF375" s="352"/>
    </row>
    <row r="376">
      <c r="A376" s="352"/>
      <c r="B376" s="352"/>
      <c r="C376" s="352"/>
      <c r="D376" s="352"/>
      <c r="E376" s="352"/>
      <c r="F376" s="352"/>
      <c r="G376" s="352"/>
      <c r="H376" s="352"/>
      <c r="I376" s="352"/>
      <c r="J376" s="352"/>
      <c r="K376" s="352"/>
      <c r="L376" s="352"/>
      <c r="M376" s="352"/>
      <c r="N376" s="352"/>
      <c r="O376" s="352"/>
      <c r="P376" s="352"/>
      <c r="Q376" s="352"/>
      <c r="R376" s="352"/>
      <c r="S376" s="352"/>
      <c r="T376" s="352"/>
      <c r="U376" s="352"/>
      <c r="V376" s="352"/>
      <c r="W376" s="352"/>
      <c r="X376" s="352"/>
      <c r="Y376" s="352"/>
      <c r="Z376" s="352"/>
      <c r="AA376" s="352"/>
      <c r="AB376" s="352"/>
      <c r="AC376" s="352"/>
      <c r="AD376" s="352"/>
      <c r="AE376" s="352"/>
      <c r="AF376" s="352"/>
    </row>
    <row r="377">
      <c r="A377" s="352"/>
      <c r="B377" s="352"/>
      <c r="C377" s="352"/>
      <c r="D377" s="352"/>
      <c r="E377" s="352"/>
      <c r="F377" s="352"/>
      <c r="G377" s="352"/>
      <c r="H377" s="352"/>
      <c r="I377" s="352"/>
      <c r="J377" s="352"/>
      <c r="K377" s="352"/>
      <c r="L377" s="352"/>
      <c r="M377" s="352"/>
      <c r="N377" s="352"/>
      <c r="O377" s="352"/>
      <c r="P377" s="352"/>
      <c r="Q377" s="352"/>
      <c r="R377" s="352"/>
      <c r="S377" s="352"/>
      <c r="T377" s="352"/>
      <c r="U377" s="352"/>
      <c r="V377" s="352"/>
      <c r="W377" s="352"/>
      <c r="X377" s="352"/>
      <c r="Y377" s="352"/>
      <c r="Z377" s="352"/>
      <c r="AA377" s="352"/>
      <c r="AB377" s="352"/>
      <c r="AC377" s="352"/>
      <c r="AD377" s="352"/>
      <c r="AE377" s="352"/>
      <c r="AF377" s="352"/>
    </row>
    <row r="378">
      <c r="A378" s="352"/>
      <c r="B378" s="352"/>
      <c r="C378" s="352"/>
      <c r="D378" s="352"/>
      <c r="E378" s="352"/>
      <c r="F378" s="352"/>
      <c r="G378" s="352"/>
      <c r="H378" s="352"/>
      <c r="I378" s="352"/>
      <c r="J378" s="352"/>
      <c r="K378" s="352"/>
      <c r="L378" s="352"/>
      <c r="M378" s="352"/>
      <c r="N378" s="352"/>
      <c r="O378" s="352"/>
      <c r="P378" s="352"/>
      <c r="Q378" s="352"/>
      <c r="R378" s="352"/>
      <c r="S378" s="352"/>
      <c r="T378" s="352"/>
      <c r="U378" s="352"/>
      <c r="V378" s="352"/>
      <c r="W378" s="352"/>
      <c r="X378" s="352"/>
      <c r="Y378" s="352"/>
      <c r="Z378" s="352"/>
      <c r="AA378" s="352"/>
      <c r="AB378" s="352"/>
      <c r="AC378" s="352"/>
      <c r="AD378" s="352"/>
      <c r="AE378" s="352"/>
      <c r="AF378" s="352"/>
    </row>
    <row r="379">
      <c r="A379" s="352"/>
      <c r="B379" s="352"/>
      <c r="C379" s="352"/>
      <c r="D379" s="352"/>
      <c r="E379" s="352"/>
      <c r="F379" s="352"/>
      <c r="G379" s="352"/>
      <c r="H379" s="352"/>
      <c r="I379" s="352"/>
      <c r="J379" s="352"/>
      <c r="K379" s="352"/>
      <c r="L379" s="352"/>
      <c r="M379" s="352"/>
      <c r="N379" s="352"/>
      <c r="O379" s="352"/>
      <c r="P379" s="352"/>
      <c r="Q379" s="352"/>
      <c r="R379" s="352"/>
      <c r="S379" s="352"/>
      <c r="T379" s="352"/>
      <c r="U379" s="352"/>
      <c r="V379" s="352"/>
      <c r="W379" s="352"/>
      <c r="X379" s="352"/>
      <c r="Y379" s="352"/>
      <c r="Z379" s="352"/>
      <c r="AA379" s="352"/>
      <c r="AB379" s="352"/>
      <c r="AC379" s="352"/>
      <c r="AD379" s="352"/>
      <c r="AE379" s="352"/>
      <c r="AF379" s="352"/>
    </row>
    <row r="380">
      <c r="A380" s="352"/>
      <c r="B380" s="352"/>
      <c r="C380" s="352"/>
      <c r="D380" s="352"/>
      <c r="E380" s="352"/>
      <c r="F380" s="352"/>
      <c r="G380" s="352"/>
      <c r="H380" s="352"/>
      <c r="I380" s="352"/>
      <c r="J380" s="352"/>
      <c r="K380" s="352"/>
      <c r="L380" s="352"/>
      <c r="M380" s="352"/>
      <c r="N380" s="352"/>
      <c r="O380" s="352"/>
      <c r="P380" s="352"/>
      <c r="Q380" s="352"/>
      <c r="R380" s="352"/>
      <c r="S380" s="352"/>
      <c r="T380" s="352"/>
      <c r="U380" s="352"/>
      <c r="V380" s="352"/>
      <c r="W380" s="352"/>
      <c r="X380" s="352"/>
      <c r="Y380" s="352"/>
      <c r="Z380" s="352"/>
      <c r="AA380" s="352"/>
      <c r="AB380" s="352"/>
      <c r="AC380" s="352"/>
      <c r="AD380" s="352"/>
      <c r="AE380" s="352"/>
      <c r="AF380" s="352"/>
    </row>
    <row r="381">
      <c r="A381" s="352"/>
      <c r="B381" s="352"/>
      <c r="C381" s="352"/>
      <c r="D381" s="352"/>
      <c r="E381" s="352"/>
      <c r="F381" s="352"/>
      <c r="G381" s="352"/>
      <c r="H381" s="352"/>
      <c r="I381" s="352"/>
      <c r="J381" s="352"/>
      <c r="K381" s="352"/>
      <c r="L381" s="352"/>
      <c r="M381" s="352"/>
      <c r="N381" s="352"/>
      <c r="O381" s="352"/>
      <c r="P381" s="352"/>
      <c r="Q381" s="352"/>
      <c r="R381" s="352"/>
      <c r="S381" s="352"/>
      <c r="T381" s="352"/>
      <c r="U381" s="352"/>
      <c r="V381" s="352"/>
      <c r="W381" s="352"/>
      <c r="X381" s="352"/>
      <c r="Y381" s="352"/>
      <c r="Z381" s="352"/>
      <c r="AA381" s="352"/>
      <c r="AB381" s="352"/>
      <c r="AC381" s="352"/>
      <c r="AD381" s="352"/>
      <c r="AE381" s="352"/>
      <c r="AF381" s="352"/>
    </row>
    <row r="382">
      <c r="A382" s="352"/>
      <c r="B382" s="352"/>
      <c r="C382" s="352"/>
      <c r="D382" s="352"/>
      <c r="E382" s="352"/>
      <c r="F382" s="352"/>
      <c r="G382" s="352"/>
      <c r="H382" s="352"/>
      <c r="I382" s="352"/>
      <c r="J382" s="352"/>
      <c r="K382" s="352"/>
      <c r="L382" s="352"/>
      <c r="M382" s="352"/>
      <c r="N382" s="352"/>
      <c r="O382" s="352"/>
      <c r="P382" s="352"/>
      <c r="Q382" s="352"/>
      <c r="R382" s="352"/>
      <c r="S382" s="352"/>
      <c r="T382" s="352"/>
      <c r="U382" s="352"/>
      <c r="V382" s="352"/>
      <c r="W382" s="352"/>
      <c r="X382" s="352"/>
      <c r="Y382" s="352"/>
      <c r="Z382" s="352"/>
      <c r="AA382" s="352"/>
      <c r="AB382" s="352"/>
      <c r="AC382" s="352"/>
      <c r="AD382" s="352"/>
      <c r="AE382" s="352"/>
      <c r="AF382" s="352"/>
    </row>
    <row r="383">
      <c r="A383" s="352"/>
      <c r="B383" s="352"/>
      <c r="C383" s="352"/>
      <c r="D383" s="352"/>
      <c r="E383" s="352"/>
      <c r="F383" s="352"/>
      <c r="G383" s="352"/>
      <c r="H383" s="352"/>
      <c r="I383" s="352"/>
      <c r="J383" s="352"/>
      <c r="K383" s="352"/>
      <c r="L383" s="352"/>
      <c r="M383" s="352"/>
      <c r="N383" s="352"/>
      <c r="O383" s="352"/>
      <c r="P383" s="352"/>
      <c r="Q383" s="352"/>
      <c r="R383" s="352"/>
      <c r="S383" s="352"/>
      <c r="T383" s="352"/>
      <c r="U383" s="352"/>
      <c r="V383" s="352"/>
      <c r="W383" s="352"/>
      <c r="X383" s="352"/>
      <c r="Y383" s="352"/>
      <c r="Z383" s="352"/>
      <c r="AA383" s="352"/>
      <c r="AB383" s="352"/>
      <c r="AC383" s="352"/>
      <c r="AD383" s="352"/>
      <c r="AE383" s="352"/>
      <c r="AF383" s="352"/>
    </row>
    <row r="384">
      <c r="A384" s="352"/>
      <c r="B384" s="352"/>
      <c r="C384" s="352"/>
      <c r="D384" s="352"/>
      <c r="E384" s="352"/>
      <c r="F384" s="352"/>
      <c r="G384" s="352"/>
      <c r="H384" s="352"/>
      <c r="I384" s="352"/>
      <c r="J384" s="352"/>
      <c r="K384" s="352"/>
      <c r="L384" s="352"/>
      <c r="M384" s="352"/>
      <c r="N384" s="352"/>
      <c r="O384" s="352"/>
      <c r="P384" s="352"/>
      <c r="Q384" s="352"/>
      <c r="R384" s="352"/>
      <c r="S384" s="352"/>
      <c r="T384" s="352"/>
      <c r="U384" s="352"/>
      <c r="V384" s="352"/>
      <c r="W384" s="352"/>
      <c r="X384" s="352"/>
      <c r="Y384" s="352"/>
      <c r="Z384" s="352"/>
      <c r="AA384" s="352"/>
      <c r="AB384" s="352"/>
      <c r="AC384" s="352"/>
      <c r="AD384" s="352"/>
      <c r="AE384" s="352"/>
      <c r="AF384" s="352"/>
    </row>
    <row r="385">
      <c r="A385" s="352"/>
      <c r="B385" s="352"/>
      <c r="C385" s="352"/>
      <c r="D385" s="352"/>
      <c r="E385" s="352"/>
      <c r="F385" s="352"/>
      <c r="G385" s="352"/>
      <c r="H385" s="352"/>
      <c r="I385" s="352"/>
      <c r="J385" s="352"/>
      <c r="K385" s="352"/>
      <c r="L385" s="352"/>
      <c r="M385" s="352"/>
      <c r="N385" s="352"/>
      <c r="O385" s="352"/>
      <c r="P385" s="352"/>
      <c r="Q385" s="352"/>
      <c r="R385" s="352"/>
      <c r="S385" s="352"/>
      <c r="T385" s="352"/>
      <c r="U385" s="352"/>
      <c r="V385" s="352"/>
      <c r="W385" s="352"/>
      <c r="X385" s="352"/>
      <c r="Y385" s="352"/>
      <c r="Z385" s="352"/>
      <c r="AA385" s="352"/>
      <c r="AB385" s="352"/>
      <c r="AC385" s="352"/>
      <c r="AD385" s="352"/>
      <c r="AE385" s="352"/>
      <c r="AF385" s="352"/>
    </row>
    <row r="386">
      <c r="A386" s="352"/>
      <c r="B386" s="352"/>
      <c r="C386" s="352"/>
      <c r="D386" s="352"/>
      <c r="E386" s="352"/>
      <c r="F386" s="352"/>
      <c r="G386" s="352"/>
      <c r="H386" s="352"/>
      <c r="I386" s="352"/>
      <c r="J386" s="352"/>
      <c r="K386" s="352"/>
      <c r="L386" s="352"/>
      <c r="M386" s="352"/>
      <c r="N386" s="352"/>
      <c r="O386" s="352"/>
      <c r="P386" s="352"/>
      <c r="Q386" s="352"/>
      <c r="R386" s="352"/>
      <c r="S386" s="352"/>
      <c r="T386" s="352"/>
      <c r="U386" s="352"/>
      <c r="V386" s="352"/>
      <c r="W386" s="352"/>
      <c r="X386" s="352"/>
      <c r="Y386" s="352"/>
      <c r="Z386" s="352"/>
      <c r="AA386" s="352"/>
      <c r="AB386" s="352"/>
      <c r="AC386" s="352"/>
      <c r="AD386" s="352"/>
      <c r="AE386" s="352"/>
      <c r="AF386" s="352"/>
    </row>
    <row r="387">
      <c r="A387" s="352"/>
      <c r="B387" s="352"/>
      <c r="C387" s="352"/>
      <c r="D387" s="352"/>
      <c r="E387" s="352"/>
      <c r="F387" s="352"/>
      <c r="G387" s="352"/>
      <c r="H387" s="352"/>
      <c r="I387" s="352"/>
      <c r="J387" s="352"/>
      <c r="K387" s="352"/>
      <c r="L387" s="352"/>
      <c r="M387" s="352"/>
      <c r="N387" s="352"/>
      <c r="O387" s="352"/>
      <c r="P387" s="352"/>
      <c r="Q387" s="352"/>
      <c r="R387" s="352"/>
      <c r="S387" s="352"/>
      <c r="T387" s="352"/>
      <c r="U387" s="352"/>
      <c r="V387" s="352"/>
      <c r="W387" s="352"/>
      <c r="X387" s="352"/>
      <c r="Y387" s="352"/>
      <c r="Z387" s="352"/>
      <c r="AA387" s="352"/>
      <c r="AB387" s="352"/>
      <c r="AC387" s="352"/>
      <c r="AD387" s="352"/>
      <c r="AE387" s="352"/>
      <c r="AF387" s="352"/>
    </row>
    <row r="388">
      <c r="A388" s="352"/>
      <c r="B388" s="352"/>
      <c r="C388" s="352"/>
      <c r="D388" s="352"/>
      <c r="E388" s="352"/>
      <c r="F388" s="352"/>
      <c r="G388" s="352"/>
      <c r="H388" s="352"/>
      <c r="I388" s="352"/>
      <c r="J388" s="352"/>
      <c r="K388" s="352"/>
      <c r="L388" s="352"/>
      <c r="M388" s="352"/>
      <c r="N388" s="352"/>
      <c r="O388" s="352"/>
      <c r="P388" s="352"/>
      <c r="Q388" s="352"/>
      <c r="R388" s="352"/>
      <c r="S388" s="352"/>
      <c r="T388" s="352"/>
      <c r="U388" s="352"/>
      <c r="V388" s="352"/>
      <c r="W388" s="352"/>
      <c r="X388" s="352"/>
      <c r="Y388" s="352"/>
      <c r="Z388" s="352"/>
      <c r="AA388" s="352"/>
      <c r="AB388" s="352"/>
      <c r="AC388" s="352"/>
      <c r="AD388" s="352"/>
      <c r="AE388" s="352"/>
      <c r="AF388" s="352"/>
    </row>
    <row r="389">
      <c r="A389" s="352"/>
      <c r="B389" s="352"/>
      <c r="C389" s="352"/>
      <c r="D389" s="352"/>
      <c r="E389" s="352"/>
      <c r="F389" s="352"/>
      <c r="G389" s="352"/>
      <c r="H389" s="352"/>
      <c r="I389" s="352"/>
      <c r="J389" s="352"/>
      <c r="K389" s="352"/>
      <c r="L389" s="352"/>
      <c r="M389" s="352"/>
      <c r="N389" s="352"/>
      <c r="O389" s="352"/>
      <c r="P389" s="352"/>
      <c r="Q389" s="352"/>
      <c r="R389" s="352"/>
      <c r="S389" s="352"/>
      <c r="T389" s="352"/>
      <c r="U389" s="352"/>
      <c r="V389" s="352"/>
      <c r="W389" s="352"/>
      <c r="X389" s="352"/>
      <c r="Y389" s="352"/>
      <c r="Z389" s="352"/>
      <c r="AA389" s="352"/>
      <c r="AB389" s="352"/>
      <c r="AC389" s="352"/>
      <c r="AD389" s="352"/>
      <c r="AE389" s="352"/>
      <c r="AF389" s="352"/>
    </row>
    <row r="390">
      <c r="A390" s="352"/>
      <c r="B390" s="352"/>
      <c r="C390" s="352"/>
      <c r="D390" s="352"/>
      <c r="E390" s="352"/>
      <c r="F390" s="352"/>
      <c r="G390" s="352"/>
      <c r="H390" s="352"/>
      <c r="I390" s="352"/>
      <c r="J390" s="352"/>
      <c r="K390" s="352"/>
      <c r="L390" s="352"/>
      <c r="M390" s="352"/>
      <c r="N390" s="352"/>
      <c r="O390" s="352"/>
      <c r="P390" s="352"/>
      <c r="Q390" s="352"/>
      <c r="R390" s="352"/>
      <c r="S390" s="352"/>
      <c r="T390" s="352"/>
      <c r="U390" s="352"/>
      <c r="V390" s="352"/>
      <c r="W390" s="352"/>
      <c r="X390" s="352"/>
      <c r="Y390" s="352"/>
      <c r="Z390" s="352"/>
      <c r="AA390" s="352"/>
      <c r="AB390" s="352"/>
      <c r="AC390" s="352"/>
      <c r="AD390" s="352"/>
      <c r="AE390" s="352"/>
      <c r="AF390" s="352"/>
    </row>
    <row r="391">
      <c r="A391" s="352"/>
      <c r="B391" s="352"/>
      <c r="C391" s="352"/>
      <c r="D391" s="352"/>
      <c r="E391" s="352"/>
      <c r="F391" s="352"/>
      <c r="G391" s="352"/>
      <c r="H391" s="352"/>
      <c r="I391" s="352"/>
      <c r="J391" s="352"/>
      <c r="K391" s="352"/>
      <c r="L391" s="352"/>
      <c r="M391" s="352"/>
      <c r="N391" s="352"/>
      <c r="O391" s="352"/>
      <c r="P391" s="352"/>
      <c r="Q391" s="352"/>
      <c r="R391" s="352"/>
      <c r="S391" s="352"/>
      <c r="T391" s="352"/>
      <c r="U391" s="352"/>
      <c r="V391" s="352"/>
      <c r="W391" s="352"/>
      <c r="X391" s="352"/>
      <c r="Y391" s="352"/>
      <c r="Z391" s="352"/>
      <c r="AA391" s="352"/>
      <c r="AB391" s="352"/>
      <c r="AC391" s="352"/>
      <c r="AD391" s="352"/>
      <c r="AE391" s="352"/>
      <c r="AF391" s="352"/>
    </row>
    <row r="392">
      <c r="A392" s="352"/>
      <c r="B392" s="352"/>
      <c r="C392" s="352"/>
      <c r="D392" s="352"/>
      <c r="E392" s="352"/>
      <c r="F392" s="352"/>
      <c r="G392" s="352"/>
      <c r="H392" s="352"/>
      <c r="I392" s="352"/>
      <c r="J392" s="352"/>
      <c r="K392" s="352"/>
      <c r="L392" s="352"/>
      <c r="M392" s="352"/>
      <c r="N392" s="352"/>
      <c r="O392" s="352"/>
      <c r="P392" s="352"/>
      <c r="Q392" s="352"/>
      <c r="R392" s="352"/>
      <c r="S392" s="352"/>
      <c r="T392" s="352"/>
      <c r="U392" s="352"/>
      <c r="V392" s="352"/>
      <c r="W392" s="352"/>
      <c r="X392" s="352"/>
      <c r="Y392" s="352"/>
      <c r="Z392" s="352"/>
      <c r="AA392" s="352"/>
      <c r="AB392" s="352"/>
      <c r="AC392" s="352"/>
      <c r="AD392" s="352"/>
      <c r="AE392" s="352"/>
      <c r="AF392" s="352"/>
    </row>
    <row r="393">
      <c r="A393" s="352"/>
      <c r="B393" s="352"/>
      <c r="C393" s="352"/>
      <c r="D393" s="352"/>
      <c r="E393" s="352"/>
      <c r="F393" s="352"/>
      <c r="G393" s="352"/>
      <c r="H393" s="352"/>
      <c r="I393" s="352"/>
      <c r="J393" s="352"/>
      <c r="K393" s="352"/>
      <c r="L393" s="352"/>
      <c r="M393" s="352"/>
      <c r="N393" s="352"/>
      <c r="O393" s="352"/>
      <c r="P393" s="352"/>
      <c r="Q393" s="352"/>
      <c r="R393" s="352"/>
      <c r="S393" s="352"/>
      <c r="T393" s="352"/>
      <c r="U393" s="352"/>
      <c r="V393" s="352"/>
      <c r="W393" s="352"/>
      <c r="X393" s="352"/>
      <c r="Y393" s="352"/>
      <c r="Z393" s="352"/>
      <c r="AA393" s="352"/>
      <c r="AB393" s="352"/>
      <c r="AC393" s="352"/>
      <c r="AD393" s="352"/>
      <c r="AE393" s="352"/>
      <c r="AF393" s="352"/>
    </row>
    <row r="394">
      <c r="A394" s="352"/>
      <c r="B394" s="352"/>
      <c r="C394" s="352"/>
      <c r="D394" s="352"/>
      <c r="E394" s="352"/>
      <c r="F394" s="352"/>
      <c r="G394" s="352"/>
      <c r="H394" s="352"/>
      <c r="I394" s="352"/>
      <c r="J394" s="352"/>
      <c r="K394" s="352"/>
      <c r="L394" s="352"/>
      <c r="M394" s="352"/>
      <c r="N394" s="352"/>
      <c r="O394" s="352"/>
      <c r="P394" s="352"/>
      <c r="Q394" s="352"/>
      <c r="R394" s="352"/>
      <c r="S394" s="352"/>
      <c r="T394" s="352"/>
      <c r="U394" s="352"/>
      <c r="V394" s="352"/>
      <c r="W394" s="352"/>
      <c r="X394" s="352"/>
      <c r="Y394" s="352"/>
      <c r="Z394" s="352"/>
      <c r="AA394" s="352"/>
      <c r="AB394" s="352"/>
      <c r="AC394" s="352"/>
      <c r="AD394" s="352"/>
      <c r="AE394" s="352"/>
      <c r="AF394" s="352"/>
    </row>
    <row r="395">
      <c r="A395" s="352"/>
      <c r="B395" s="352"/>
      <c r="C395" s="352"/>
      <c r="D395" s="352"/>
      <c r="E395" s="352"/>
      <c r="F395" s="352"/>
      <c r="G395" s="352"/>
      <c r="H395" s="352"/>
      <c r="I395" s="352"/>
      <c r="J395" s="352"/>
      <c r="K395" s="352"/>
      <c r="L395" s="352"/>
      <c r="M395" s="352"/>
      <c r="N395" s="352"/>
      <c r="O395" s="352"/>
      <c r="P395" s="352"/>
      <c r="Q395" s="352"/>
      <c r="R395" s="352"/>
      <c r="S395" s="352"/>
      <c r="T395" s="352"/>
      <c r="U395" s="352"/>
      <c r="V395" s="352"/>
      <c r="W395" s="352"/>
      <c r="X395" s="352"/>
      <c r="Y395" s="352"/>
      <c r="Z395" s="352"/>
      <c r="AA395" s="352"/>
      <c r="AB395" s="352"/>
      <c r="AC395" s="352"/>
      <c r="AD395" s="352"/>
      <c r="AE395" s="352"/>
      <c r="AF395" s="352"/>
    </row>
    <row r="396">
      <c r="A396" s="352"/>
      <c r="B396" s="352"/>
      <c r="C396" s="352"/>
      <c r="D396" s="352"/>
      <c r="E396" s="352"/>
      <c r="F396" s="352"/>
      <c r="G396" s="352"/>
      <c r="H396" s="352"/>
      <c r="I396" s="352"/>
      <c r="J396" s="352"/>
      <c r="K396" s="352"/>
      <c r="L396" s="352"/>
      <c r="M396" s="352"/>
      <c r="N396" s="352"/>
      <c r="O396" s="352"/>
      <c r="P396" s="352"/>
      <c r="Q396" s="352"/>
      <c r="R396" s="352"/>
      <c r="S396" s="352"/>
      <c r="T396" s="352"/>
      <c r="U396" s="352"/>
      <c r="V396" s="352"/>
      <c r="W396" s="352"/>
      <c r="X396" s="352"/>
      <c r="Y396" s="352"/>
      <c r="Z396" s="352"/>
      <c r="AA396" s="352"/>
      <c r="AB396" s="352"/>
      <c r="AC396" s="352"/>
      <c r="AD396" s="352"/>
      <c r="AE396" s="352"/>
      <c r="AF396" s="352"/>
    </row>
    <row r="397">
      <c r="A397" s="352"/>
      <c r="B397" s="352"/>
      <c r="C397" s="352"/>
      <c r="D397" s="352"/>
      <c r="E397" s="352"/>
      <c r="F397" s="352"/>
      <c r="G397" s="352"/>
      <c r="H397" s="352"/>
      <c r="I397" s="352"/>
      <c r="J397" s="352"/>
      <c r="K397" s="352"/>
      <c r="L397" s="352"/>
      <c r="M397" s="352"/>
      <c r="N397" s="352"/>
      <c r="O397" s="352"/>
      <c r="P397" s="352"/>
      <c r="Q397" s="352"/>
      <c r="R397" s="352"/>
      <c r="S397" s="352"/>
      <c r="T397" s="352"/>
      <c r="U397" s="352"/>
      <c r="V397" s="352"/>
      <c r="W397" s="352"/>
      <c r="X397" s="352"/>
      <c r="Y397" s="352"/>
      <c r="Z397" s="352"/>
      <c r="AA397" s="352"/>
      <c r="AB397" s="352"/>
      <c r="AC397" s="352"/>
      <c r="AD397" s="352"/>
      <c r="AE397" s="352"/>
      <c r="AF397" s="352"/>
    </row>
    <row r="398">
      <c r="A398" s="352"/>
      <c r="B398" s="352"/>
      <c r="C398" s="352"/>
      <c r="D398" s="352"/>
      <c r="E398" s="352"/>
      <c r="F398" s="352"/>
      <c r="G398" s="352"/>
      <c r="H398" s="352"/>
      <c r="I398" s="352"/>
      <c r="J398" s="352"/>
      <c r="K398" s="352"/>
      <c r="L398" s="352"/>
      <c r="M398" s="352"/>
      <c r="N398" s="352"/>
      <c r="O398" s="352"/>
      <c r="P398" s="352"/>
      <c r="Q398" s="352"/>
      <c r="R398" s="352"/>
      <c r="S398" s="352"/>
      <c r="T398" s="352"/>
      <c r="U398" s="352"/>
      <c r="V398" s="352"/>
      <c r="W398" s="352"/>
      <c r="X398" s="352"/>
      <c r="Y398" s="352"/>
      <c r="Z398" s="352"/>
      <c r="AA398" s="352"/>
      <c r="AB398" s="352"/>
      <c r="AC398" s="352"/>
      <c r="AD398" s="352"/>
      <c r="AE398" s="352"/>
      <c r="AF398" s="352"/>
    </row>
    <row r="399">
      <c r="A399" s="352"/>
      <c r="B399" s="352"/>
      <c r="C399" s="352"/>
      <c r="D399" s="352"/>
      <c r="E399" s="352"/>
      <c r="F399" s="352"/>
      <c r="G399" s="352"/>
      <c r="H399" s="352"/>
      <c r="I399" s="352"/>
      <c r="J399" s="352"/>
      <c r="K399" s="352"/>
      <c r="L399" s="352"/>
      <c r="M399" s="352"/>
      <c r="N399" s="352"/>
      <c r="O399" s="352"/>
      <c r="P399" s="352"/>
      <c r="Q399" s="352"/>
      <c r="R399" s="352"/>
      <c r="S399" s="352"/>
      <c r="T399" s="352"/>
      <c r="U399" s="352"/>
      <c r="V399" s="352"/>
      <c r="W399" s="352"/>
      <c r="X399" s="352"/>
      <c r="Y399" s="352"/>
      <c r="Z399" s="352"/>
      <c r="AA399" s="352"/>
      <c r="AB399" s="352"/>
      <c r="AC399" s="352"/>
      <c r="AD399" s="352"/>
      <c r="AE399" s="352"/>
      <c r="AF399" s="352"/>
    </row>
    <row r="400">
      <c r="A400" s="352"/>
      <c r="B400" s="352"/>
      <c r="C400" s="352"/>
      <c r="D400" s="352"/>
      <c r="E400" s="352"/>
      <c r="F400" s="352"/>
      <c r="G400" s="352"/>
      <c r="H400" s="352"/>
      <c r="I400" s="352"/>
      <c r="J400" s="352"/>
      <c r="K400" s="352"/>
      <c r="L400" s="352"/>
      <c r="M400" s="352"/>
      <c r="N400" s="352"/>
      <c r="O400" s="352"/>
      <c r="P400" s="352"/>
      <c r="Q400" s="352"/>
      <c r="R400" s="352"/>
      <c r="S400" s="352"/>
      <c r="T400" s="352"/>
      <c r="U400" s="352"/>
      <c r="V400" s="352"/>
      <c r="W400" s="352"/>
      <c r="X400" s="352"/>
      <c r="Y400" s="352"/>
      <c r="Z400" s="352"/>
      <c r="AA400" s="352"/>
      <c r="AB400" s="352"/>
      <c r="AC400" s="352"/>
      <c r="AD400" s="352"/>
      <c r="AE400" s="352"/>
      <c r="AF400" s="352"/>
    </row>
    <row r="401">
      <c r="A401" s="352"/>
      <c r="B401" s="352"/>
      <c r="C401" s="352"/>
      <c r="D401" s="352"/>
      <c r="E401" s="352"/>
      <c r="F401" s="352"/>
      <c r="G401" s="352"/>
      <c r="H401" s="352"/>
      <c r="I401" s="352"/>
      <c r="J401" s="352"/>
      <c r="K401" s="352"/>
      <c r="L401" s="352"/>
      <c r="M401" s="352"/>
      <c r="N401" s="352"/>
      <c r="O401" s="352"/>
      <c r="P401" s="352"/>
      <c r="Q401" s="352"/>
      <c r="R401" s="352"/>
      <c r="S401" s="352"/>
      <c r="T401" s="352"/>
      <c r="U401" s="352"/>
      <c r="V401" s="352"/>
      <c r="W401" s="352"/>
      <c r="X401" s="352"/>
      <c r="Y401" s="352"/>
      <c r="Z401" s="352"/>
      <c r="AA401" s="352"/>
      <c r="AB401" s="352"/>
      <c r="AC401" s="352"/>
      <c r="AD401" s="352"/>
      <c r="AE401" s="352"/>
      <c r="AF401" s="352"/>
    </row>
    <row r="402">
      <c r="A402" s="352"/>
      <c r="B402" s="352"/>
      <c r="C402" s="352"/>
      <c r="D402" s="352"/>
      <c r="E402" s="352"/>
      <c r="F402" s="352"/>
      <c r="G402" s="352"/>
      <c r="H402" s="352"/>
      <c r="I402" s="352"/>
      <c r="J402" s="352"/>
      <c r="K402" s="352"/>
      <c r="L402" s="352"/>
      <c r="M402" s="352"/>
      <c r="N402" s="352"/>
      <c r="O402" s="352"/>
      <c r="P402" s="352"/>
      <c r="Q402" s="352"/>
      <c r="R402" s="352"/>
      <c r="S402" s="352"/>
      <c r="T402" s="352"/>
      <c r="U402" s="352"/>
      <c r="V402" s="352"/>
      <c r="W402" s="352"/>
      <c r="X402" s="352"/>
      <c r="Y402" s="352"/>
      <c r="Z402" s="352"/>
      <c r="AA402" s="352"/>
      <c r="AB402" s="352"/>
      <c r="AC402" s="352"/>
      <c r="AD402" s="352"/>
      <c r="AE402" s="352"/>
      <c r="AF402" s="352"/>
    </row>
    <row r="403">
      <c r="A403" s="352"/>
      <c r="B403" s="352"/>
      <c r="C403" s="352"/>
      <c r="D403" s="352"/>
      <c r="E403" s="352"/>
      <c r="F403" s="352"/>
      <c r="G403" s="352"/>
      <c r="H403" s="352"/>
      <c r="I403" s="352"/>
      <c r="J403" s="352"/>
      <c r="K403" s="352"/>
      <c r="L403" s="352"/>
      <c r="M403" s="352"/>
      <c r="N403" s="352"/>
      <c r="O403" s="352"/>
      <c r="P403" s="352"/>
      <c r="Q403" s="352"/>
      <c r="R403" s="352"/>
      <c r="S403" s="352"/>
      <c r="T403" s="352"/>
      <c r="U403" s="352"/>
      <c r="V403" s="352"/>
      <c r="W403" s="352"/>
      <c r="X403" s="352"/>
      <c r="Y403" s="352"/>
      <c r="Z403" s="352"/>
      <c r="AA403" s="352"/>
      <c r="AB403" s="352"/>
      <c r="AC403" s="352"/>
      <c r="AD403" s="352"/>
      <c r="AE403" s="352"/>
      <c r="AF403" s="352"/>
    </row>
    <row r="404">
      <c r="A404" s="352"/>
      <c r="B404" s="352"/>
      <c r="C404" s="352"/>
      <c r="D404" s="352"/>
      <c r="E404" s="352"/>
      <c r="F404" s="352"/>
      <c r="G404" s="352"/>
      <c r="H404" s="352"/>
      <c r="I404" s="352"/>
      <c r="J404" s="352"/>
      <c r="K404" s="352"/>
      <c r="L404" s="352"/>
      <c r="M404" s="352"/>
      <c r="N404" s="352"/>
      <c r="O404" s="352"/>
      <c r="P404" s="352"/>
      <c r="Q404" s="352"/>
      <c r="R404" s="352"/>
      <c r="S404" s="352"/>
      <c r="T404" s="352"/>
      <c r="U404" s="352"/>
      <c r="V404" s="352"/>
      <c r="W404" s="352"/>
      <c r="X404" s="352"/>
      <c r="Y404" s="352"/>
      <c r="Z404" s="352"/>
      <c r="AA404" s="352"/>
      <c r="AB404" s="352"/>
      <c r="AC404" s="352"/>
      <c r="AD404" s="352"/>
      <c r="AE404" s="352"/>
      <c r="AF404" s="352"/>
    </row>
    <row r="405">
      <c r="A405" s="352"/>
      <c r="B405" s="352"/>
      <c r="C405" s="352"/>
      <c r="D405" s="352"/>
      <c r="E405" s="352"/>
      <c r="F405" s="352"/>
      <c r="G405" s="352"/>
      <c r="H405" s="352"/>
      <c r="I405" s="352"/>
      <c r="J405" s="352"/>
      <c r="K405" s="352"/>
      <c r="L405" s="352"/>
      <c r="M405" s="352"/>
      <c r="N405" s="352"/>
      <c r="O405" s="352"/>
      <c r="P405" s="352"/>
      <c r="Q405" s="352"/>
      <c r="R405" s="352"/>
      <c r="S405" s="352"/>
      <c r="T405" s="352"/>
      <c r="U405" s="352"/>
      <c r="V405" s="352"/>
      <c r="W405" s="352"/>
      <c r="X405" s="352"/>
      <c r="Y405" s="352"/>
      <c r="Z405" s="352"/>
      <c r="AA405" s="352"/>
      <c r="AB405" s="352"/>
      <c r="AC405" s="352"/>
      <c r="AD405" s="352"/>
      <c r="AE405" s="352"/>
      <c r="AF405" s="352"/>
    </row>
    <row r="406">
      <c r="A406" s="352"/>
      <c r="B406" s="352"/>
      <c r="C406" s="352"/>
      <c r="D406" s="352"/>
      <c r="E406" s="352"/>
      <c r="F406" s="352"/>
      <c r="G406" s="352"/>
      <c r="H406" s="352"/>
      <c r="I406" s="352"/>
      <c r="J406" s="352"/>
      <c r="K406" s="352"/>
      <c r="L406" s="352"/>
      <c r="M406" s="352"/>
      <c r="N406" s="352"/>
      <c r="O406" s="352"/>
      <c r="P406" s="352"/>
      <c r="Q406" s="352"/>
      <c r="R406" s="352"/>
      <c r="S406" s="352"/>
      <c r="T406" s="352"/>
      <c r="U406" s="352"/>
      <c r="V406" s="352"/>
      <c r="W406" s="352"/>
      <c r="X406" s="352"/>
      <c r="Y406" s="352"/>
      <c r="Z406" s="352"/>
      <c r="AA406" s="352"/>
      <c r="AB406" s="352"/>
      <c r="AC406" s="352"/>
      <c r="AD406" s="352"/>
      <c r="AE406" s="352"/>
      <c r="AF406" s="352"/>
    </row>
    <row r="407">
      <c r="A407" s="352"/>
      <c r="B407" s="352"/>
      <c r="C407" s="352"/>
      <c r="D407" s="352"/>
      <c r="E407" s="352"/>
      <c r="F407" s="352"/>
      <c r="G407" s="352"/>
      <c r="H407" s="352"/>
      <c r="I407" s="352"/>
      <c r="J407" s="352"/>
      <c r="K407" s="352"/>
      <c r="L407" s="352"/>
      <c r="M407" s="352"/>
      <c r="N407" s="352"/>
      <c r="O407" s="352"/>
      <c r="P407" s="352"/>
      <c r="Q407" s="352"/>
      <c r="R407" s="352"/>
      <c r="S407" s="352"/>
      <c r="T407" s="352"/>
      <c r="U407" s="352"/>
      <c r="V407" s="352"/>
      <c r="W407" s="352"/>
      <c r="X407" s="352"/>
      <c r="Y407" s="352"/>
      <c r="Z407" s="352"/>
      <c r="AA407" s="352"/>
      <c r="AB407" s="352"/>
      <c r="AC407" s="352"/>
      <c r="AD407" s="352"/>
      <c r="AE407" s="352"/>
      <c r="AF407" s="352"/>
    </row>
    <row r="408">
      <c r="A408" s="352"/>
      <c r="B408" s="352"/>
      <c r="C408" s="352"/>
      <c r="D408" s="352"/>
      <c r="E408" s="352"/>
      <c r="F408" s="352"/>
      <c r="G408" s="352"/>
      <c r="H408" s="352"/>
      <c r="I408" s="352"/>
      <c r="J408" s="352"/>
      <c r="K408" s="352"/>
      <c r="L408" s="352"/>
      <c r="M408" s="352"/>
      <c r="N408" s="352"/>
      <c r="O408" s="352"/>
      <c r="P408" s="352"/>
      <c r="Q408" s="352"/>
      <c r="R408" s="352"/>
      <c r="S408" s="352"/>
      <c r="T408" s="352"/>
      <c r="U408" s="352"/>
      <c r="V408" s="352"/>
      <c r="W408" s="352"/>
      <c r="X408" s="352"/>
      <c r="Y408" s="352"/>
      <c r="Z408" s="352"/>
      <c r="AA408" s="352"/>
      <c r="AB408" s="352"/>
      <c r="AC408" s="352"/>
      <c r="AD408" s="352"/>
      <c r="AE408" s="352"/>
      <c r="AF408" s="352"/>
    </row>
    <row r="409">
      <c r="A409" s="352"/>
      <c r="B409" s="352"/>
      <c r="C409" s="352"/>
      <c r="D409" s="352"/>
      <c r="E409" s="352"/>
      <c r="F409" s="352"/>
      <c r="G409" s="352"/>
      <c r="H409" s="352"/>
      <c r="I409" s="352"/>
      <c r="J409" s="352"/>
      <c r="K409" s="352"/>
      <c r="L409" s="352"/>
      <c r="M409" s="352"/>
      <c r="N409" s="352"/>
      <c r="O409" s="352"/>
      <c r="P409" s="352"/>
      <c r="Q409" s="352"/>
      <c r="R409" s="352"/>
      <c r="S409" s="352"/>
      <c r="T409" s="352"/>
      <c r="U409" s="352"/>
      <c r="V409" s="352"/>
      <c r="W409" s="352"/>
      <c r="X409" s="352"/>
      <c r="Y409" s="352"/>
      <c r="Z409" s="352"/>
      <c r="AA409" s="352"/>
      <c r="AB409" s="352"/>
      <c r="AC409" s="352"/>
      <c r="AD409" s="352"/>
      <c r="AE409" s="352"/>
      <c r="AF409" s="352"/>
    </row>
    <row r="410">
      <c r="A410" s="352"/>
      <c r="B410" s="352"/>
      <c r="C410" s="352"/>
      <c r="D410" s="352"/>
      <c r="E410" s="352"/>
      <c r="F410" s="352"/>
      <c r="G410" s="352"/>
      <c r="H410" s="352"/>
      <c r="I410" s="352"/>
      <c r="J410" s="352"/>
      <c r="K410" s="352"/>
      <c r="L410" s="352"/>
      <c r="M410" s="352"/>
      <c r="N410" s="352"/>
      <c r="O410" s="352"/>
      <c r="P410" s="352"/>
      <c r="Q410" s="352"/>
      <c r="R410" s="352"/>
      <c r="S410" s="352"/>
      <c r="T410" s="352"/>
      <c r="U410" s="352"/>
      <c r="V410" s="352"/>
      <c r="W410" s="352"/>
      <c r="X410" s="352"/>
      <c r="Y410" s="352"/>
      <c r="Z410" s="352"/>
      <c r="AA410" s="352"/>
      <c r="AB410" s="352"/>
      <c r="AC410" s="352"/>
      <c r="AD410" s="352"/>
      <c r="AE410" s="352"/>
      <c r="AF410" s="352"/>
    </row>
    <row r="411">
      <c r="A411" s="352"/>
      <c r="B411" s="352"/>
      <c r="C411" s="352"/>
      <c r="D411" s="352"/>
      <c r="E411" s="352"/>
      <c r="F411" s="352"/>
      <c r="G411" s="352"/>
      <c r="H411" s="352"/>
      <c r="I411" s="352"/>
      <c r="J411" s="352"/>
      <c r="K411" s="352"/>
      <c r="L411" s="352"/>
      <c r="M411" s="352"/>
      <c r="N411" s="352"/>
      <c r="O411" s="352"/>
      <c r="P411" s="352"/>
      <c r="Q411" s="352"/>
      <c r="R411" s="352"/>
      <c r="S411" s="352"/>
      <c r="T411" s="352"/>
      <c r="U411" s="352"/>
      <c r="V411" s="352"/>
      <c r="W411" s="352"/>
      <c r="X411" s="352"/>
      <c r="Y411" s="352"/>
      <c r="Z411" s="352"/>
      <c r="AA411" s="352"/>
      <c r="AB411" s="352"/>
      <c r="AC411" s="352"/>
      <c r="AD411" s="352"/>
      <c r="AE411" s="352"/>
      <c r="AF411" s="352"/>
    </row>
    <row r="412">
      <c r="A412" s="352"/>
      <c r="B412" s="352"/>
      <c r="C412" s="352"/>
      <c r="D412" s="352"/>
      <c r="E412" s="352"/>
      <c r="F412" s="352"/>
      <c r="G412" s="352"/>
      <c r="H412" s="352"/>
      <c r="I412" s="352"/>
      <c r="J412" s="352"/>
      <c r="K412" s="352"/>
      <c r="L412" s="352"/>
      <c r="M412" s="352"/>
      <c r="N412" s="352"/>
      <c r="O412" s="352"/>
      <c r="P412" s="352"/>
      <c r="Q412" s="352"/>
      <c r="R412" s="352"/>
      <c r="S412" s="352"/>
      <c r="T412" s="352"/>
      <c r="U412" s="352"/>
      <c r="V412" s="352"/>
      <c r="W412" s="352"/>
      <c r="X412" s="352"/>
      <c r="Y412" s="352"/>
      <c r="Z412" s="352"/>
      <c r="AA412" s="352"/>
      <c r="AB412" s="352"/>
      <c r="AC412" s="352"/>
      <c r="AD412" s="352"/>
      <c r="AE412" s="352"/>
      <c r="AF412" s="352"/>
    </row>
    <row r="413">
      <c r="A413" s="352"/>
      <c r="B413" s="352"/>
      <c r="C413" s="352"/>
      <c r="D413" s="352"/>
      <c r="E413" s="352"/>
      <c r="F413" s="352"/>
      <c r="G413" s="352"/>
      <c r="H413" s="352"/>
      <c r="I413" s="352"/>
      <c r="J413" s="352"/>
      <c r="K413" s="352"/>
      <c r="L413" s="352"/>
      <c r="M413" s="352"/>
      <c r="N413" s="352"/>
      <c r="O413" s="352"/>
      <c r="P413" s="352"/>
      <c r="Q413" s="352"/>
      <c r="R413" s="352"/>
      <c r="S413" s="352"/>
      <c r="T413" s="352"/>
      <c r="U413" s="352"/>
      <c r="V413" s="352"/>
      <c r="W413" s="352"/>
      <c r="X413" s="352"/>
      <c r="Y413" s="352"/>
      <c r="Z413" s="352"/>
      <c r="AA413" s="352"/>
      <c r="AB413" s="352"/>
      <c r="AC413" s="352"/>
      <c r="AD413" s="352"/>
      <c r="AE413" s="352"/>
      <c r="AF413" s="352"/>
    </row>
    <row r="414">
      <c r="A414" s="352"/>
      <c r="B414" s="352"/>
      <c r="C414" s="352"/>
      <c r="D414" s="352"/>
      <c r="E414" s="352"/>
      <c r="F414" s="352"/>
      <c r="G414" s="352"/>
      <c r="H414" s="352"/>
      <c r="I414" s="352"/>
      <c r="J414" s="352"/>
      <c r="K414" s="352"/>
      <c r="L414" s="352"/>
      <c r="M414" s="352"/>
      <c r="N414" s="352"/>
      <c r="O414" s="352"/>
      <c r="P414" s="352"/>
      <c r="Q414" s="352"/>
      <c r="R414" s="352"/>
      <c r="S414" s="352"/>
      <c r="T414" s="352"/>
      <c r="U414" s="352"/>
      <c r="V414" s="352"/>
      <c r="W414" s="352"/>
      <c r="X414" s="352"/>
      <c r="Y414" s="352"/>
      <c r="Z414" s="352"/>
      <c r="AA414" s="352"/>
      <c r="AB414" s="352"/>
      <c r="AC414" s="352"/>
      <c r="AD414" s="352"/>
      <c r="AE414" s="352"/>
      <c r="AF414" s="352"/>
    </row>
    <row r="415">
      <c r="A415" s="352"/>
      <c r="B415" s="352"/>
      <c r="C415" s="352"/>
      <c r="D415" s="352"/>
      <c r="E415" s="352"/>
      <c r="F415" s="352"/>
      <c r="G415" s="352"/>
      <c r="H415" s="352"/>
      <c r="I415" s="352"/>
      <c r="J415" s="352"/>
      <c r="K415" s="352"/>
      <c r="L415" s="352"/>
      <c r="M415" s="352"/>
      <c r="N415" s="352"/>
      <c r="O415" s="352"/>
      <c r="P415" s="352"/>
      <c r="Q415" s="352"/>
      <c r="R415" s="352"/>
      <c r="S415" s="352"/>
      <c r="T415" s="352"/>
      <c r="U415" s="352"/>
      <c r="V415" s="352"/>
      <c r="W415" s="352"/>
      <c r="X415" s="352"/>
      <c r="Y415" s="352"/>
      <c r="Z415" s="352"/>
      <c r="AA415" s="352"/>
      <c r="AB415" s="352"/>
      <c r="AC415" s="352"/>
      <c r="AD415" s="352"/>
      <c r="AE415" s="352"/>
      <c r="AF415" s="352"/>
    </row>
    <row r="416">
      <c r="A416" s="352"/>
      <c r="B416" s="352"/>
      <c r="C416" s="352"/>
      <c r="D416" s="352"/>
      <c r="E416" s="352"/>
      <c r="F416" s="352"/>
      <c r="G416" s="352"/>
      <c r="H416" s="352"/>
      <c r="I416" s="352"/>
      <c r="J416" s="352"/>
      <c r="K416" s="352"/>
      <c r="L416" s="352"/>
      <c r="M416" s="352"/>
      <c r="N416" s="352"/>
      <c r="O416" s="352"/>
      <c r="P416" s="352"/>
      <c r="Q416" s="352"/>
      <c r="R416" s="352"/>
      <c r="S416" s="352"/>
      <c r="T416" s="352"/>
      <c r="U416" s="352"/>
      <c r="V416" s="352"/>
      <c r="W416" s="352"/>
      <c r="X416" s="352"/>
      <c r="Y416" s="352"/>
      <c r="Z416" s="352"/>
      <c r="AA416" s="352"/>
      <c r="AB416" s="352"/>
      <c r="AC416" s="352"/>
      <c r="AD416" s="352"/>
      <c r="AE416" s="352"/>
      <c r="AF416" s="352"/>
    </row>
    <row r="417">
      <c r="A417" s="352"/>
      <c r="B417" s="352"/>
      <c r="C417" s="352"/>
      <c r="D417" s="352"/>
      <c r="E417" s="352"/>
      <c r="F417" s="352"/>
      <c r="G417" s="352"/>
      <c r="H417" s="352"/>
      <c r="I417" s="352"/>
      <c r="J417" s="352"/>
      <c r="K417" s="352"/>
      <c r="L417" s="352"/>
      <c r="M417" s="352"/>
      <c r="N417" s="352"/>
      <c r="O417" s="352"/>
      <c r="P417" s="352"/>
      <c r="Q417" s="352"/>
      <c r="R417" s="352"/>
      <c r="S417" s="352"/>
      <c r="T417" s="352"/>
      <c r="U417" s="352"/>
      <c r="V417" s="352"/>
      <c r="W417" s="352"/>
      <c r="X417" s="352"/>
      <c r="Y417" s="352"/>
      <c r="Z417" s="352"/>
      <c r="AA417" s="352"/>
      <c r="AB417" s="352"/>
      <c r="AC417" s="352"/>
      <c r="AD417" s="352"/>
      <c r="AE417" s="352"/>
      <c r="AF417" s="352"/>
    </row>
    <row r="418">
      <c r="A418" s="352"/>
      <c r="B418" s="352"/>
      <c r="C418" s="352"/>
      <c r="D418" s="352"/>
      <c r="E418" s="352"/>
      <c r="F418" s="352"/>
      <c r="G418" s="352"/>
      <c r="H418" s="352"/>
      <c r="I418" s="352"/>
      <c r="J418" s="352"/>
      <c r="K418" s="352"/>
      <c r="L418" s="352"/>
      <c r="M418" s="352"/>
      <c r="N418" s="352"/>
      <c r="O418" s="352"/>
      <c r="P418" s="352"/>
      <c r="Q418" s="352"/>
      <c r="R418" s="352"/>
      <c r="S418" s="352"/>
      <c r="T418" s="352"/>
      <c r="U418" s="352"/>
      <c r="V418" s="352"/>
      <c r="W418" s="352"/>
      <c r="X418" s="352"/>
      <c r="Y418" s="352"/>
      <c r="Z418" s="352"/>
      <c r="AA418" s="352"/>
      <c r="AB418" s="352"/>
      <c r="AC418" s="352"/>
      <c r="AD418" s="352"/>
      <c r="AE418" s="352"/>
      <c r="AF418" s="352"/>
    </row>
    <row r="419">
      <c r="A419" s="352"/>
      <c r="B419" s="352"/>
      <c r="C419" s="352"/>
      <c r="D419" s="352"/>
      <c r="E419" s="352"/>
      <c r="F419" s="352"/>
      <c r="G419" s="352"/>
      <c r="H419" s="352"/>
      <c r="I419" s="352"/>
      <c r="J419" s="352"/>
      <c r="K419" s="352"/>
      <c r="L419" s="352"/>
      <c r="M419" s="352"/>
      <c r="N419" s="352"/>
      <c r="O419" s="352"/>
      <c r="P419" s="352"/>
      <c r="Q419" s="352"/>
      <c r="R419" s="352"/>
      <c r="S419" s="352"/>
      <c r="T419" s="352"/>
      <c r="U419" s="352"/>
      <c r="V419" s="352"/>
      <c r="W419" s="352"/>
      <c r="X419" s="352"/>
      <c r="Y419" s="352"/>
      <c r="Z419" s="352"/>
      <c r="AA419" s="352"/>
      <c r="AB419" s="352"/>
      <c r="AC419" s="352"/>
      <c r="AD419" s="352"/>
      <c r="AE419" s="352"/>
      <c r="AF419" s="352"/>
    </row>
    <row r="420">
      <c r="A420" s="352"/>
      <c r="B420" s="352"/>
      <c r="C420" s="352"/>
      <c r="D420" s="352"/>
      <c r="E420" s="352"/>
      <c r="F420" s="352"/>
      <c r="G420" s="352"/>
      <c r="H420" s="352"/>
      <c r="I420" s="352"/>
      <c r="J420" s="352"/>
      <c r="K420" s="352"/>
      <c r="L420" s="352"/>
      <c r="M420" s="352"/>
      <c r="N420" s="352"/>
      <c r="O420" s="352"/>
      <c r="P420" s="352"/>
      <c r="Q420" s="352"/>
      <c r="R420" s="352"/>
      <c r="S420" s="352"/>
      <c r="T420" s="352"/>
      <c r="U420" s="352"/>
      <c r="V420" s="352"/>
      <c r="W420" s="352"/>
      <c r="X420" s="352"/>
      <c r="Y420" s="352"/>
      <c r="Z420" s="352"/>
      <c r="AA420" s="352"/>
      <c r="AB420" s="352"/>
      <c r="AC420" s="352"/>
      <c r="AD420" s="352"/>
      <c r="AE420" s="352"/>
      <c r="AF420" s="352"/>
    </row>
    <row r="421">
      <c r="A421" s="352"/>
      <c r="B421" s="352"/>
      <c r="C421" s="352"/>
      <c r="D421" s="352"/>
      <c r="E421" s="352"/>
      <c r="F421" s="352"/>
      <c r="G421" s="352"/>
      <c r="H421" s="352"/>
      <c r="I421" s="352"/>
      <c r="J421" s="352"/>
      <c r="K421" s="352"/>
      <c r="L421" s="352"/>
      <c r="M421" s="352"/>
      <c r="N421" s="352"/>
      <c r="O421" s="352"/>
      <c r="P421" s="352"/>
      <c r="Q421" s="352"/>
      <c r="R421" s="352"/>
      <c r="S421" s="352"/>
      <c r="T421" s="352"/>
      <c r="U421" s="352"/>
      <c r="V421" s="352"/>
      <c r="W421" s="352"/>
      <c r="X421" s="352"/>
      <c r="Y421" s="352"/>
      <c r="Z421" s="352"/>
      <c r="AA421" s="352"/>
      <c r="AB421" s="352"/>
      <c r="AC421" s="352"/>
      <c r="AD421" s="352"/>
      <c r="AE421" s="352"/>
      <c r="AF421" s="352"/>
    </row>
    <row r="422">
      <c r="A422" s="352"/>
      <c r="B422" s="352"/>
      <c r="C422" s="352"/>
      <c r="D422" s="352"/>
      <c r="E422" s="352"/>
      <c r="F422" s="352"/>
      <c r="G422" s="352"/>
      <c r="H422" s="352"/>
      <c r="I422" s="352"/>
      <c r="J422" s="352"/>
      <c r="K422" s="352"/>
      <c r="L422" s="352"/>
      <c r="M422" s="352"/>
      <c r="N422" s="352"/>
      <c r="O422" s="352"/>
      <c r="P422" s="352"/>
      <c r="Q422" s="352"/>
      <c r="R422" s="352"/>
      <c r="S422" s="352"/>
      <c r="T422" s="352"/>
      <c r="U422" s="352"/>
      <c r="V422" s="352"/>
      <c r="W422" s="352"/>
      <c r="X422" s="352"/>
      <c r="Y422" s="352"/>
      <c r="Z422" s="352"/>
      <c r="AA422" s="352"/>
      <c r="AB422" s="352"/>
      <c r="AC422" s="352"/>
      <c r="AD422" s="352"/>
      <c r="AE422" s="352"/>
      <c r="AF422" s="352"/>
    </row>
    <row r="423">
      <c r="A423" s="352"/>
      <c r="B423" s="352"/>
      <c r="C423" s="352"/>
      <c r="D423" s="352"/>
      <c r="E423" s="352"/>
      <c r="F423" s="352"/>
      <c r="G423" s="352"/>
      <c r="H423" s="352"/>
      <c r="I423" s="352"/>
      <c r="J423" s="352"/>
      <c r="K423" s="352"/>
      <c r="L423" s="352"/>
      <c r="M423" s="352"/>
      <c r="N423" s="352"/>
      <c r="O423" s="352"/>
      <c r="P423" s="352"/>
      <c r="Q423" s="352"/>
      <c r="R423" s="352"/>
      <c r="S423" s="352"/>
      <c r="T423" s="352"/>
      <c r="U423" s="352"/>
      <c r="V423" s="352"/>
      <c r="W423" s="352"/>
      <c r="X423" s="352"/>
      <c r="Y423" s="352"/>
      <c r="Z423" s="352"/>
      <c r="AA423" s="352"/>
      <c r="AB423" s="352"/>
      <c r="AC423" s="352"/>
      <c r="AD423" s="352"/>
      <c r="AE423" s="352"/>
      <c r="AF423" s="352"/>
    </row>
    <row r="424">
      <c r="A424" s="352"/>
      <c r="B424" s="352"/>
      <c r="C424" s="352"/>
      <c r="D424" s="352"/>
      <c r="E424" s="352"/>
      <c r="F424" s="352"/>
      <c r="G424" s="352"/>
      <c r="H424" s="352"/>
      <c r="I424" s="352"/>
      <c r="J424" s="352"/>
      <c r="K424" s="352"/>
      <c r="L424" s="352"/>
      <c r="M424" s="352"/>
      <c r="N424" s="352"/>
      <c r="O424" s="352"/>
      <c r="P424" s="352"/>
      <c r="Q424" s="352"/>
      <c r="R424" s="352"/>
      <c r="S424" s="352"/>
      <c r="T424" s="352"/>
      <c r="U424" s="352"/>
      <c r="V424" s="352"/>
      <c r="W424" s="352"/>
      <c r="X424" s="352"/>
      <c r="Y424" s="352"/>
      <c r="Z424" s="352"/>
      <c r="AA424" s="352"/>
      <c r="AB424" s="352"/>
      <c r="AC424" s="352"/>
      <c r="AD424" s="352"/>
      <c r="AE424" s="352"/>
      <c r="AF424" s="352"/>
    </row>
    <row r="425">
      <c r="A425" s="352"/>
      <c r="B425" s="352"/>
      <c r="C425" s="352"/>
      <c r="D425" s="352"/>
      <c r="E425" s="352"/>
      <c r="F425" s="352"/>
      <c r="G425" s="352"/>
      <c r="H425" s="352"/>
      <c r="I425" s="352"/>
      <c r="J425" s="352"/>
      <c r="K425" s="352"/>
      <c r="L425" s="352"/>
      <c r="M425" s="352"/>
      <c r="N425" s="352"/>
      <c r="O425" s="352"/>
      <c r="P425" s="352"/>
      <c r="Q425" s="352"/>
      <c r="R425" s="352"/>
      <c r="S425" s="352"/>
      <c r="T425" s="352"/>
      <c r="U425" s="352"/>
      <c r="V425" s="352"/>
      <c r="W425" s="352"/>
      <c r="X425" s="352"/>
      <c r="Y425" s="352"/>
      <c r="Z425" s="352"/>
      <c r="AA425" s="352"/>
      <c r="AB425" s="352"/>
      <c r="AC425" s="352"/>
      <c r="AD425" s="352"/>
      <c r="AE425" s="352"/>
      <c r="AF425" s="352"/>
    </row>
    <row r="426">
      <c r="A426" s="352"/>
      <c r="B426" s="352"/>
      <c r="C426" s="352"/>
      <c r="D426" s="352"/>
      <c r="E426" s="352"/>
      <c r="F426" s="352"/>
      <c r="G426" s="352"/>
      <c r="H426" s="352"/>
      <c r="I426" s="352"/>
      <c r="J426" s="352"/>
      <c r="K426" s="352"/>
      <c r="L426" s="352"/>
      <c r="M426" s="352"/>
      <c r="N426" s="352"/>
      <c r="O426" s="352"/>
      <c r="P426" s="352"/>
      <c r="Q426" s="352"/>
      <c r="R426" s="352"/>
      <c r="S426" s="352"/>
      <c r="T426" s="352"/>
      <c r="U426" s="352"/>
      <c r="V426" s="352"/>
      <c r="W426" s="352"/>
      <c r="X426" s="352"/>
      <c r="Y426" s="352"/>
      <c r="Z426" s="352"/>
      <c r="AA426" s="352"/>
      <c r="AB426" s="352"/>
      <c r="AC426" s="352"/>
      <c r="AD426" s="352"/>
      <c r="AE426" s="352"/>
      <c r="AF426" s="352"/>
    </row>
    <row r="427">
      <c r="A427" s="352"/>
      <c r="B427" s="352"/>
      <c r="C427" s="352"/>
      <c r="D427" s="352"/>
      <c r="E427" s="352"/>
      <c r="F427" s="352"/>
      <c r="G427" s="352"/>
      <c r="H427" s="352"/>
      <c r="I427" s="352"/>
      <c r="J427" s="352"/>
      <c r="K427" s="352"/>
      <c r="L427" s="352"/>
      <c r="M427" s="352"/>
      <c r="N427" s="352"/>
      <c r="O427" s="352"/>
      <c r="P427" s="352"/>
      <c r="Q427" s="352"/>
      <c r="R427" s="352"/>
      <c r="S427" s="352"/>
      <c r="T427" s="352"/>
      <c r="U427" s="352"/>
      <c r="V427" s="352"/>
      <c r="W427" s="352"/>
      <c r="X427" s="352"/>
      <c r="Y427" s="352"/>
      <c r="Z427" s="352"/>
      <c r="AA427" s="352"/>
      <c r="AB427" s="352"/>
      <c r="AC427" s="352"/>
      <c r="AD427" s="352"/>
      <c r="AE427" s="352"/>
      <c r="AF427" s="352"/>
    </row>
    <row r="428">
      <c r="A428" s="352"/>
      <c r="B428" s="352"/>
      <c r="C428" s="352"/>
      <c r="D428" s="352"/>
      <c r="E428" s="352"/>
      <c r="F428" s="352"/>
      <c r="G428" s="352"/>
      <c r="H428" s="352"/>
      <c r="I428" s="352"/>
      <c r="J428" s="352"/>
      <c r="K428" s="352"/>
      <c r="L428" s="352"/>
      <c r="M428" s="352"/>
      <c r="N428" s="352"/>
      <c r="O428" s="352"/>
      <c r="P428" s="352"/>
      <c r="Q428" s="352"/>
      <c r="R428" s="352"/>
      <c r="S428" s="352"/>
      <c r="T428" s="352"/>
      <c r="U428" s="352"/>
      <c r="V428" s="352"/>
      <c r="W428" s="352"/>
      <c r="X428" s="352"/>
      <c r="Y428" s="352"/>
      <c r="Z428" s="352"/>
      <c r="AA428" s="352"/>
      <c r="AB428" s="352"/>
      <c r="AC428" s="352"/>
      <c r="AD428" s="352"/>
      <c r="AE428" s="352"/>
      <c r="AF428" s="352"/>
    </row>
    <row r="429">
      <c r="A429" s="352"/>
      <c r="B429" s="352"/>
      <c r="C429" s="352"/>
      <c r="D429" s="352"/>
      <c r="E429" s="352"/>
      <c r="F429" s="352"/>
      <c r="G429" s="352"/>
      <c r="H429" s="352"/>
      <c r="I429" s="352"/>
      <c r="J429" s="352"/>
      <c r="K429" s="352"/>
      <c r="L429" s="352"/>
      <c r="M429" s="352"/>
      <c r="N429" s="352"/>
      <c r="O429" s="352"/>
      <c r="P429" s="352"/>
      <c r="Q429" s="352"/>
      <c r="R429" s="352"/>
      <c r="S429" s="352"/>
      <c r="T429" s="352"/>
      <c r="U429" s="352"/>
      <c r="V429" s="352"/>
      <c r="W429" s="352"/>
      <c r="X429" s="352"/>
      <c r="Y429" s="352"/>
      <c r="Z429" s="352"/>
      <c r="AA429" s="352"/>
      <c r="AB429" s="352"/>
      <c r="AC429" s="352"/>
      <c r="AD429" s="352"/>
      <c r="AE429" s="352"/>
      <c r="AF429" s="352"/>
    </row>
    <row r="430">
      <c r="A430" s="352"/>
      <c r="B430" s="352"/>
      <c r="C430" s="352"/>
      <c r="D430" s="352"/>
      <c r="E430" s="352"/>
      <c r="F430" s="352"/>
      <c r="G430" s="352"/>
      <c r="H430" s="352"/>
      <c r="I430" s="352"/>
      <c r="J430" s="352"/>
      <c r="K430" s="352"/>
      <c r="L430" s="352"/>
      <c r="M430" s="352"/>
      <c r="N430" s="352"/>
      <c r="O430" s="352"/>
      <c r="P430" s="352"/>
      <c r="Q430" s="352"/>
      <c r="R430" s="352"/>
      <c r="S430" s="352"/>
      <c r="T430" s="352"/>
      <c r="U430" s="352"/>
      <c r="V430" s="352"/>
      <c r="W430" s="352"/>
      <c r="X430" s="352"/>
      <c r="Y430" s="352"/>
      <c r="Z430" s="352"/>
      <c r="AA430" s="352"/>
      <c r="AB430" s="352"/>
      <c r="AC430" s="352"/>
      <c r="AD430" s="352"/>
      <c r="AE430" s="352"/>
      <c r="AF430" s="352"/>
    </row>
    <row r="431">
      <c r="A431" s="352"/>
      <c r="B431" s="352"/>
      <c r="C431" s="352"/>
      <c r="D431" s="352"/>
      <c r="E431" s="352"/>
      <c r="F431" s="352"/>
      <c r="G431" s="352"/>
      <c r="H431" s="352"/>
      <c r="I431" s="352"/>
      <c r="J431" s="352"/>
      <c r="K431" s="352"/>
      <c r="L431" s="352"/>
      <c r="M431" s="352"/>
      <c r="N431" s="352"/>
      <c r="O431" s="352"/>
      <c r="P431" s="352"/>
      <c r="Q431" s="352"/>
      <c r="R431" s="352"/>
      <c r="S431" s="352"/>
      <c r="T431" s="352"/>
      <c r="U431" s="352"/>
      <c r="V431" s="352"/>
      <c r="W431" s="352"/>
      <c r="X431" s="352"/>
      <c r="Y431" s="352"/>
      <c r="Z431" s="352"/>
      <c r="AA431" s="352"/>
      <c r="AB431" s="352"/>
      <c r="AC431" s="352"/>
      <c r="AD431" s="352"/>
      <c r="AE431" s="352"/>
      <c r="AF431" s="352"/>
    </row>
    <row r="432">
      <c r="A432" s="352"/>
      <c r="B432" s="352"/>
      <c r="C432" s="352"/>
      <c r="D432" s="352"/>
      <c r="E432" s="352"/>
      <c r="F432" s="352"/>
      <c r="G432" s="352"/>
      <c r="H432" s="352"/>
      <c r="I432" s="352"/>
      <c r="J432" s="352"/>
      <c r="K432" s="352"/>
      <c r="L432" s="352"/>
      <c r="M432" s="352"/>
      <c r="N432" s="352"/>
      <c r="O432" s="352"/>
      <c r="P432" s="352"/>
      <c r="Q432" s="352"/>
      <c r="R432" s="352"/>
      <c r="S432" s="352"/>
      <c r="T432" s="352"/>
      <c r="U432" s="352"/>
      <c r="V432" s="352"/>
      <c r="W432" s="352"/>
      <c r="X432" s="352"/>
      <c r="Y432" s="352"/>
      <c r="Z432" s="352"/>
      <c r="AA432" s="352"/>
      <c r="AB432" s="352"/>
      <c r="AC432" s="352"/>
      <c r="AD432" s="352"/>
      <c r="AE432" s="352"/>
      <c r="AF432" s="352"/>
    </row>
    <row r="433">
      <c r="A433" s="352"/>
      <c r="B433" s="352"/>
      <c r="C433" s="352"/>
      <c r="D433" s="352"/>
      <c r="E433" s="352"/>
      <c r="F433" s="352"/>
      <c r="G433" s="352"/>
      <c r="H433" s="352"/>
      <c r="I433" s="352"/>
      <c r="J433" s="352"/>
      <c r="K433" s="352"/>
      <c r="L433" s="352"/>
      <c r="M433" s="352"/>
      <c r="N433" s="352"/>
      <c r="O433" s="352"/>
      <c r="P433" s="352"/>
      <c r="Q433" s="352"/>
      <c r="R433" s="352"/>
      <c r="S433" s="352"/>
      <c r="T433" s="352"/>
      <c r="U433" s="352"/>
      <c r="V433" s="352"/>
      <c r="W433" s="352"/>
      <c r="X433" s="352"/>
      <c r="Y433" s="352"/>
      <c r="Z433" s="352"/>
      <c r="AA433" s="352"/>
      <c r="AB433" s="352"/>
      <c r="AC433" s="352"/>
      <c r="AD433" s="352"/>
      <c r="AE433" s="352"/>
      <c r="AF433" s="352"/>
    </row>
    <row r="434">
      <c r="A434" s="352"/>
      <c r="B434" s="352"/>
      <c r="C434" s="352"/>
      <c r="D434" s="352"/>
      <c r="E434" s="352"/>
      <c r="F434" s="352"/>
      <c r="G434" s="352"/>
      <c r="H434" s="352"/>
      <c r="I434" s="352"/>
      <c r="J434" s="352"/>
      <c r="K434" s="352"/>
      <c r="L434" s="352"/>
      <c r="M434" s="352"/>
      <c r="N434" s="352"/>
      <c r="O434" s="352"/>
      <c r="P434" s="352"/>
      <c r="Q434" s="352"/>
      <c r="R434" s="352"/>
      <c r="S434" s="352"/>
      <c r="T434" s="352"/>
      <c r="U434" s="352"/>
      <c r="V434" s="352"/>
      <c r="W434" s="352"/>
      <c r="X434" s="352"/>
      <c r="Y434" s="352"/>
      <c r="Z434" s="352"/>
      <c r="AA434" s="352"/>
      <c r="AB434" s="352"/>
      <c r="AC434" s="352"/>
      <c r="AD434" s="352"/>
      <c r="AE434" s="352"/>
      <c r="AF434" s="352"/>
    </row>
    <row r="435">
      <c r="A435" s="352"/>
      <c r="B435" s="352"/>
      <c r="C435" s="352"/>
      <c r="D435" s="352"/>
      <c r="E435" s="352"/>
      <c r="F435" s="352"/>
      <c r="G435" s="352"/>
      <c r="H435" s="352"/>
      <c r="I435" s="352"/>
      <c r="J435" s="352"/>
      <c r="K435" s="352"/>
      <c r="L435" s="352"/>
      <c r="M435" s="352"/>
      <c r="N435" s="352"/>
      <c r="O435" s="352"/>
      <c r="P435" s="352"/>
      <c r="Q435" s="352"/>
      <c r="R435" s="352"/>
      <c r="S435" s="352"/>
      <c r="T435" s="352"/>
      <c r="U435" s="352"/>
      <c r="V435" s="352"/>
      <c r="W435" s="352"/>
      <c r="X435" s="352"/>
      <c r="Y435" s="352"/>
      <c r="Z435" s="352"/>
      <c r="AA435" s="352"/>
      <c r="AB435" s="352"/>
      <c r="AC435" s="352"/>
      <c r="AD435" s="352"/>
      <c r="AE435" s="352"/>
      <c r="AF435" s="352"/>
    </row>
    <row r="436">
      <c r="A436" s="352"/>
      <c r="B436" s="352"/>
      <c r="C436" s="352"/>
      <c r="D436" s="352"/>
      <c r="E436" s="352"/>
      <c r="F436" s="352"/>
      <c r="G436" s="352"/>
      <c r="H436" s="352"/>
      <c r="I436" s="352"/>
      <c r="J436" s="352"/>
      <c r="K436" s="352"/>
      <c r="L436" s="352"/>
      <c r="M436" s="352"/>
      <c r="N436" s="352"/>
      <c r="O436" s="352"/>
      <c r="P436" s="352"/>
      <c r="Q436" s="352"/>
      <c r="R436" s="352"/>
      <c r="S436" s="352"/>
      <c r="T436" s="352"/>
      <c r="U436" s="352"/>
      <c r="V436" s="352"/>
      <c r="W436" s="352"/>
      <c r="X436" s="352"/>
      <c r="Y436" s="352"/>
      <c r="Z436" s="352"/>
      <c r="AA436" s="352"/>
      <c r="AB436" s="352"/>
      <c r="AC436" s="352"/>
      <c r="AD436" s="352"/>
      <c r="AE436" s="352"/>
      <c r="AF436" s="352"/>
    </row>
    <row r="437">
      <c r="A437" s="352"/>
      <c r="B437" s="352"/>
      <c r="C437" s="352"/>
      <c r="D437" s="352"/>
      <c r="E437" s="352"/>
      <c r="F437" s="352"/>
      <c r="G437" s="352"/>
      <c r="H437" s="352"/>
      <c r="I437" s="352"/>
      <c r="J437" s="352"/>
      <c r="K437" s="352"/>
      <c r="L437" s="352"/>
      <c r="M437" s="352"/>
      <c r="N437" s="352"/>
      <c r="O437" s="352"/>
      <c r="P437" s="352"/>
      <c r="Q437" s="352"/>
      <c r="R437" s="352"/>
      <c r="S437" s="352"/>
      <c r="T437" s="352"/>
      <c r="U437" s="352"/>
      <c r="V437" s="352"/>
      <c r="W437" s="352"/>
      <c r="X437" s="352"/>
      <c r="Y437" s="352"/>
      <c r="Z437" s="352"/>
      <c r="AA437" s="352"/>
      <c r="AB437" s="352"/>
      <c r="AC437" s="352"/>
      <c r="AD437" s="352"/>
      <c r="AE437" s="352"/>
      <c r="AF437" s="352"/>
    </row>
    <row r="438">
      <c r="A438" s="352"/>
      <c r="B438" s="352"/>
      <c r="C438" s="352"/>
      <c r="D438" s="352"/>
      <c r="E438" s="352"/>
      <c r="F438" s="352"/>
      <c r="G438" s="352"/>
      <c r="H438" s="352"/>
      <c r="I438" s="352"/>
      <c r="J438" s="352"/>
      <c r="K438" s="352"/>
      <c r="L438" s="352"/>
      <c r="M438" s="352"/>
      <c r="N438" s="352"/>
      <c r="O438" s="352"/>
      <c r="P438" s="352"/>
      <c r="Q438" s="352"/>
      <c r="R438" s="352"/>
      <c r="S438" s="352"/>
      <c r="T438" s="352"/>
      <c r="U438" s="352"/>
      <c r="V438" s="352"/>
      <c r="W438" s="352"/>
      <c r="X438" s="352"/>
      <c r="Y438" s="352"/>
      <c r="Z438" s="352"/>
      <c r="AA438" s="352"/>
      <c r="AB438" s="352"/>
      <c r="AC438" s="352"/>
      <c r="AD438" s="352"/>
      <c r="AE438" s="352"/>
      <c r="AF438" s="352"/>
    </row>
    <row r="439">
      <c r="A439" s="352"/>
      <c r="B439" s="352"/>
      <c r="C439" s="352"/>
      <c r="D439" s="352"/>
      <c r="E439" s="352"/>
      <c r="F439" s="352"/>
      <c r="G439" s="352"/>
      <c r="H439" s="352"/>
      <c r="I439" s="352"/>
      <c r="J439" s="352"/>
      <c r="K439" s="352"/>
      <c r="L439" s="352"/>
      <c r="M439" s="352"/>
      <c r="N439" s="352"/>
      <c r="O439" s="352"/>
      <c r="P439" s="352"/>
      <c r="Q439" s="352"/>
      <c r="R439" s="352"/>
      <c r="S439" s="352"/>
      <c r="T439" s="352"/>
      <c r="U439" s="352"/>
      <c r="V439" s="352"/>
      <c r="W439" s="352"/>
      <c r="X439" s="352"/>
      <c r="Y439" s="352"/>
      <c r="Z439" s="352"/>
      <c r="AA439" s="352"/>
      <c r="AB439" s="352"/>
      <c r="AC439" s="352"/>
      <c r="AD439" s="352"/>
      <c r="AE439" s="352"/>
      <c r="AF439" s="352"/>
    </row>
    <row r="440">
      <c r="A440" s="352"/>
      <c r="B440" s="352"/>
      <c r="C440" s="352"/>
      <c r="D440" s="352"/>
      <c r="E440" s="352"/>
      <c r="F440" s="352"/>
      <c r="G440" s="352"/>
      <c r="H440" s="352"/>
      <c r="I440" s="352"/>
      <c r="J440" s="352"/>
      <c r="K440" s="352"/>
      <c r="L440" s="352"/>
      <c r="M440" s="352"/>
      <c r="N440" s="352"/>
      <c r="O440" s="352"/>
      <c r="P440" s="352"/>
      <c r="Q440" s="352"/>
      <c r="R440" s="352"/>
      <c r="S440" s="352"/>
      <c r="T440" s="352"/>
      <c r="U440" s="352"/>
      <c r="V440" s="352"/>
      <c r="W440" s="352"/>
      <c r="X440" s="352"/>
      <c r="Y440" s="352"/>
      <c r="Z440" s="352"/>
      <c r="AA440" s="352"/>
      <c r="AB440" s="352"/>
      <c r="AC440" s="352"/>
      <c r="AD440" s="352"/>
      <c r="AE440" s="352"/>
      <c r="AF440" s="352"/>
    </row>
    <row r="441">
      <c r="A441" s="352"/>
      <c r="B441" s="352"/>
      <c r="C441" s="352"/>
      <c r="D441" s="352"/>
      <c r="E441" s="352"/>
      <c r="F441" s="352"/>
      <c r="G441" s="352"/>
      <c r="H441" s="352"/>
      <c r="I441" s="352"/>
      <c r="J441" s="352"/>
      <c r="K441" s="352"/>
      <c r="L441" s="352"/>
      <c r="M441" s="352"/>
      <c r="N441" s="352"/>
      <c r="O441" s="352"/>
      <c r="P441" s="352"/>
      <c r="Q441" s="352"/>
      <c r="R441" s="352"/>
      <c r="S441" s="352"/>
      <c r="T441" s="352"/>
      <c r="U441" s="352"/>
      <c r="V441" s="352"/>
      <c r="W441" s="352"/>
      <c r="X441" s="352"/>
      <c r="Y441" s="352"/>
      <c r="Z441" s="352"/>
      <c r="AA441" s="352"/>
      <c r="AB441" s="352"/>
      <c r="AC441" s="352"/>
      <c r="AD441" s="352"/>
      <c r="AE441" s="352"/>
      <c r="AF441" s="352"/>
    </row>
    <row r="442">
      <c r="A442" s="352"/>
      <c r="B442" s="352"/>
      <c r="C442" s="352"/>
      <c r="D442" s="352"/>
      <c r="E442" s="352"/>
      <c r="F442" s="352"/>
      <c r="G442" s="352"/>
      <c r="H442" s="352"/>
      <c r="I442" s="352"/>
      <c r="J442" s="352"/>
      <c r="K442" s="352"/>
      <c r="L442" s="352"/>
      <c r="M442" s="352"/>
      <c r="N442" s="352"/>
      <c r="O442" s="352"/>
      <c r="P442" s="352"/>
      <c r="Q442" s="352"/>
      <c r="R442" s="352"/>
      <c r="S442" s="352"/>
      <c r="T442" s="352"/>
      <c r="U442" s="352"/>
      <c r="V442" s="352"/>
      <c r="W442" s="352"/>
      <c r="X442" s="352"/>
      <c r="Y442" s="352"/>
      <c r="Z442" s="352"/>
      <c r="AA442" s="352"/>
      <c r="AB442" s="352"/>
      <c r="AC442" s="352"/>
      <c r="AD442" s="352"/>
      <c r="AE442" s="352"/>
      <c r="AF442" s="352"/>
    </row>
    <row r="443">
      <c r="A443" s="352"/>
      <c r="B443" s="352"/>
      <c r="C443" s="352"/>
      <c r="D443" s="352"/>
      <c r="E443" s="352"/>
      <c r="F443" s="352"/>
      <c r="G443" s="352"/>
      <c r="H443" s="352"/>
      <c r="I443" s="352"/>
      <c r="J443" s="352"/>
      <c r="K443" s="352"/>
      <c r="L443" s="352"/>
      <c r="M443" s="352"/>
      <c r="N443" s="352"/>
      <c r="O443" s="352"/>
      <c r="P443" s="352"/>
      <c r="Q443" s="352"/>
      <c r="R443" s="352"/>
      <c r="S443" s="352"/>
      <c r="T443" s="352"/>
      <c r="U443" s="352"/>
      <c r="V443" s="352"/>
      <c r="W443" s="352"/>
      <c r="X443" s="352"/>
      <c r="Y443" s="352"/>
      <c r="Z443" s="352"/>
      <c r="AA443" s="352"/>
      <c r="AB443" s="352"/>
      <c r="AC443" s="352"/>
      <c r="AD443" s="352"/>
      <c r="AE443" s="352"/>
      <c r="AF443" s="352"/>
    </row>
    <row r="444">
      <c r="A444" s="352"/>
      <c r="B444" s="352"/>
      <c r="C444" s="352"/>
      <c r="D444" s="352"/>
      <c r="E444" s="352"/>
      <c r="F444" s="352"/>
      <c r="G444" s="352"/>
      <c r="H444" s="352"/>
      <c r="I444" s="352"/>
      <c r="J444" s="352"/>
      <c r="K444" s="352"/>
      <c r="L444" s="352"/>
      <c r="M444" s="352"/>
      <c r="N444" s="352"/>
      <c r="O444" s="352"/>
      <c r="P444" s="352"/>
      <c r="Q444" s="352"/>
      <c r="R444" s="352"/>
      <c r="S444" s="352"/>
      <c r="T444" s="352"/>
      <c r="U444" s="352"/>
      <c r="V444" s="352"/>
      <c r="W444" s="352"/>
      <c r="X444" s="352"/>
      <c r="Y444" s="352"/>
      <c r="Z444" s="352"/>
      <c r="AA444" s="352"/>
      <c r="AB444" s="352"/>
      <c r="AC444" s="352"/>
      <c r="AD444" s="352"/>
      <c r="AE444" s="352"/>
      <c r="AF444" s="352"/>
    </row>
    <row r="445">
      <c r="A445" s="352"/>
      <c r="B445" s="352"/>
      <c r="C445" s="352"/>
      <c r="D445" s="352"/>
      <c r="E445" s="352"/>
      <c r="F445" s="352"/>
      <c r="G445" s="352"/>
      <c r="H445" s="352"/>
      <c r="I445" s="352"/>
      <c r="J445" s="352"/>
      <c r="K445" s="352"/>
      <c r="L445" s="352"/>
      <c r="M445" s="352"/>
      <c r="N445" s="352"/>
      <c r="O445" s="352"/>
      <c r="P445" s="352"/>
      <c r="Q445" s="352"/>
      <c r="R445" s="352"/>
      <c r="S445" s="352"/>
      <c r="T445" s="352"/>
      <c r="U445" s="352"/>
      <c r="V445" s="352"/>
      <c r="W445" s="352"/>
      <c r="X445" s="352"/>
      <c r="Y445" s="352"/>
      <c r="Z445" s="352"/>
      <c r="AA445" s="352"/>
      <c r="AB445" s="352"/>
      <c r="AC445" s="352"/>
      <c r="AD445" s="352"/>
      <c r="AE445" s="352"/>
      <c r="AF445" s="352"/>
    </row>
    <row r="446">
      <c r="A446" s="352"/>
      <c r="B446" s="352"/>
      <c r="C446" s="352"/>
      <c r="D446" s="352"/>
      <c r="E446" s="352"/>
      <c r="F446" s="352"/>
      <c r="G446" s="352"/>
      <c r="H446" s="352"/>
      <c r="I446" s="352"/>
      <c r="J446" s="352"/>
      <c r="K446" s="352"/>
      <c r="L446" s="352"/>
      <c r="M446" s="352"/>
      <c r="N446" s="352"/>
      <c r="O446" s="352"/>
      <c r="P446" s="352"/>
      <c r="Q446" s="352"/>
      <c r="R446" s="352"/>
      <c r="S446" s="352"/>
      <c r="T446" s="352"/>
      <c r="U446" s="352"/>
      <c r="V446" s="352"/>
      <c r="W446" s="352"/>
      <c r="X446" s="352"/>
      <c r="Y446" s="352"/>
      <c r="Z446" s="352"/>
      <c r="AA446" s="352"/>
      <c r="AB446" s="352"/>
      <c r="AC446" s="352"/>
      <c r="AD446" s="352"/>
      <c r="AE446" s="352"/>
      <c r="AF446" s="352"/>
    </row>
    <row r="447">
      <c r="A447" s="352"/>
      <c r="B447" s="352"/>
      <c r="C447" s="352"/>
      <c r="D447" s="352"/>
      <c r="E447" s="352"/>
      <c r="F447" s="352"/>
      <c r="G447" s="352"/>
      <c r="H447" s="352"/>
      <c r="I447" s="352"/>
      <c r="J447" s="352"/>
      <c r="K447" s="352"/>
      <c r="L447" s="352"/>
      <c r="M447" s="352"/>
      <c r="N447" s="352"/>
      <c r="O447" s="352"/>
      <c r="P447" s="352"/>
      <c r="Q447" s="352"/>
      <c r="R447" s="352"/>
      <c r="S447" s="352"/>
      <c r="T447" s="352"/>
      <c r="U447" s="352"/>
      <c r="V447" s="352"/>
      <c r="W447" s="352"/>
      <c r="X447" s="352"/>
      <c r="Y447" s="352"/>
      <c r="Z447" s="352"/>
      <c r="AA447" s="352"/>
      <c r="AB447" s="352"/>
      <c r="AC447" s="352"/>
      <c r="AD447" s="352"/>
      <c r="AE447" s="352"/>
      <c r="AF447" s="352"/>
    </row>
    <row r="448">
      <c r="A448" s="352"/>
      <c r="B448" s="352"/>
      <c r="C448" s="352"/>
      <c r="D448" s="352"/>
      <c r="E448" s="352"/>
      <c r="F448" s="352"/>
      <c r="G448" s="352"/>
      <c r="H448" s="352"/>
      <c r="I448" s="352"/>
      <c r="J448" s="352"/>
      <c r="K448" s="352"/>
      <c r="L448" s="352"/>
      <c r="M448" s="352"/>
      <c r="N448" s="352"/>
      <c r="O448" s="352"/>
      <c r="P448" s="352"/>
      <c r="Q448" s="352"/>
      <c r="R448" s="352"/>
      <c r="S448" s="352"/>
      <c r="T448" s="352"/>
      <c r="U448" s="352"/>
      <c r="V448" s="352"/>
      <c r="W448" s="352"/>
      <c r="X448" s="352"/>
      <c r="Y448" s="352"/>
      <c r="Z448" s="352"/>
      <c r="AA448" s="352"/>
      <c r="AB448" s="352"/>
      <c r="AC448" s="352"/>
      <c r="AD448" s="352"/>
      <c r="AE448" s="352"/>
      <c r="AF448" s="352"/>
    </row>
    <row r="449">
      <c r="A449" s="352"/>
      <c r="B449" s="352"/>
      <c r="C449" s="352"/>
      <c r="D449" s="352"/>
      <c r="E449" s="352"/>
      <c r="F449" s="352"/>
      <c r="G449" s="352"/>
      <c r="H449" s="352"/>
      <c r="I449" s="352"/>
      <c r="J449" s="352"/>
      <c r="K449" s="352"/>
      <c r="L449" s="352"/>
      <c r="M449" s="352"/>
      <c r="N449" s="352"/>
      <c r="O449" s="352"/>
      <c r="P449" s="352"/>
      <c r="Q449" s="352"/>
      <c r="R449" s="352"/>
      <c r="S449" s="352"/>
      <c r="T449" s="352"/>
      <c r="U449" s="352"/>
      <c r="V449" s="352"/>
      <c r="W449" s="352"/>
      <c r="X449" s="352"/>
      <c r="Y449" s="352"/>
      <c r="Z449" s="352"/>
      <c r="AA449" s="352"/>
      <c r="AB449" s="352"/>
      <c r="AC449" s="352"/>
      <c r="AD449" s="352"/>
      <c r="AE449" s="352"/>
      <c r="AF449" s="352"/>
    </row>
    <row r="450">
      <c r="A450" s="352"/>
      <c r="B450" s="352"/>
      <c r="C450" s="352"/>
      <c r="D450" s="352"/>
      <c r="E450" s="352"/>
      <c r="F450" s="352"/>
      <c r="G450" s="352"/>
      <c r="H450" s="352"/>
      <c r="I450" s="352"/>
      <c r="J450" s="352"/>
      <c r="K450" s="352"/>
      <c r="L450" s="352"/>
      <c r="M450" s="352"/>
      <c r="N450" s="352"/>
      <c r="O450" s="352"/>
      <c r="P450" s="352"/>
      <c r="Q450" s="352"/>
      <c r="R450" s="352"/>
      <c r="S450" s="352"/>
      <c r="T450" s="352"/>
      <c r="U450" s="352"/>
      <c r="V450" s="352"/>
      <c r="W450" s="352"/>
      <c r="X450" s="352"/>
      <c r="Y450" s="352"/>
      <c r="Z450" s="352"/>
      <c r="AA450" s="352"/>
      <c r="AB450" s="352"/>
      <c r="AC450" s="352"/>
      <c r="AD450" s="352"/>
      <c r="AE450" s="352"/>
      <c r="AF450" s="352"/>
    </row>
    <row r="451">
      <c r="A451" s="352"/>
      <c r="B451" s="352"/>
      <c r="C451" s="352"/>
      <c r="D451" s="352"/>
      <c r="E451" s="352"/>
      <c r="F451" s="352"/>
      <c r="G451" s="352"/>
      <c r="H451" s="352"/>
      <c r="I451" s="352"/>
      <c r="J451" s="352"/>
      <c r="K451" s="352"/>
      <c r="L451" s="352"/>
      <c r="M451" s="352"/>
      <c r="N451" s="352"/>
      <c r="O451" s="352"/>
      <c r="P451" s="352"/>
      <c r="Q451" s="352"/>
      <c r="R451" s="352"/>
      <c r="S451" s="352"/>
      <c r="T451" s="352"/>
      <c r="U451" s="352"/>
      <c r="V451" s="352"/>
      <c r="W451" s="352"/>
      <c r="X451" s="352"/>
      <c r="Y451" s="352"/>
      <c r="Z451" s="352"/>
      <c r="AA451" s="352"/>
      <c r="AB451" s="352"/>
      <c r="AC451" s="352"/>
      <c r="AD451" s="352"/>
      <c r="AE451" s="352"/>
      <c r="AF451" s="352"/>
    </row>
    <row r="452">
      <c r="A452" s="352"/>
      <c r="B452" s="352"/>
      <c r="C452" s="352"/>
      <c r="D452" s="352"/>
      <c r="E452" s="352"/>
      <c r="F452" s="352"/>
      <c r="G452" s="352"/>
      <c r="H452" s="352"/>
      <c r="I452" s="352"/>
      <c r="J452" s="352"/>
      <c r="K452" s="352"/>
      <c r="L452" s="352"/>
      <c r="M452" s="352"/>
      <c r="N452" s="352"/>
      <c r="O452" s="352"/>
      <c r="P452" s="352"/>
      <c r="Q452" s="352"/>
      <c r="R452" s="352"/>
      <c r="S452" s="352"/>
      <c r="T452" s="352"/>
      <c r="U452" s="352"/>
      <c r="V452" s="352"/>
      <c r="W452" s="352"/>
      <c r="X452" s="352"/>
      <c r="Y452" s="352"/>
      <c r="Z452" s="352"/>
      <c r="AA452" s="352"/>
      <c r="AB452" s="352"/>
      <c r="AC452" s="352"/>
      <c r="AD452" s="352"/>
      <c r="AE452" s="352"/>
      <c r="AF452" s="352"/>
    </row>
    <row r="453">
      <c r="A453" s="352"/>
      <c r="B453" s="352"/>
      <c r="C453" s="352"/>
      <c r="D453" s="352"/>
      <c r="E453" s="352"/>
      <c r="F453" s="352"/>
      <c r="G453" s="352"/>
      <c r="H453" s="352"/>
      <c r="I453" s="352"/>
      <c r="J453" s="352"/>
      <c r="K453" s="352"/>
      <c r="L453" s="352"/>
      <c r="M453" s="352"/>
      <c r="N453" s="352"/>
      <c r="O453" s="352"/>
      <c r="P453" s="352"/>
      <c r="Q453" s="352"/>
      <c r="R453" s="352"/>
      <c r="S453" s="352"/>
      <c r="T453" s="352"/>
      <c r="U453" s="352"/>
      <c r="V453" s="352"/>
      <c r="W453" s="352"/>
      <c r="X453" s="352"/>
      <c r="Y453" s="352"/>
      <c r="Z453" s="352"/>
      <c r="AA453" s="352"/>
      <c r="AB453" s="352"/>
      <c r="AC453" s="352"/>
      <c r="AD453" s="352"/>
      <c r="AE453" s="352"/>
      <c r="AF453" s="352"/>
    </row>
    <row r="454">
      <c r="A454" s="352"/>
      <c r="B454" s="352"/>
      <c r="C454" s="352"/>
      <c r="D454" s="352"/>
      <c r="E454" s="352"/>
      <c r="F454" s="352"/>
      <c r="G454" s="352"/>
      <c r="H454" s="352"/>
      <c r="I454" s="352"/>
      <c r="J454" s="352"/>
      <c r="K454" s="352"/>
      <c r="L454" s="352"/>
      <c r="M454" s="352"/>
      <c r="N454" s="352"/>
      <c r="O454" s="352"/>
      <c r="P454" s="352"/>
      <c r="Q454" s="352"/>
      <c r="R454" s="352"/>
      <c r="S454" s="352"/>
      <c r="T454" s="352"/>
      <c r="U454" s="352"/>
      <c r="V454" s="352"/>
      <c r="W454" s="352"/>
      <c r="X454" s="352"/>
      <c r="Y454" s="352"/>
      <c r="Z454" s="352"/>
      <c r="AA454" s="352"/>
      <c r="AB454" s="352"/>
      <c r="AC454" s="352"/>
      <c r="AD454" s="352"/>
      <c r="AE454" s="352"/>
      <c r="AF454" s="352"/>
    </row>
    <row r="455">
      <c r="A455" s="352"/>
      <c r="B455" s="352"/>
      <c r="C455" s="352"/>
      <c r="D455" s="352"/>
      <c r="E455" s="352"/>
      <c r="F455" s="352"/>
      <c r="G455" s="352"/>
      <c r="H455" s="352"/>
      <c r="I455" s="352"/>
      <c r="J455" s="352"/>
      <c r="K455" s="352"/>
      <c r="L455" s="352"/>
      <c r="M455" s="352"/>
      <c r="N455" s="352"/>
      <c r="O455" s="352"/>
      <c r="P455" s="352"/>
      <c r="Q455" s="352"/>
      <c r="R455" s="352"/>
      <c r="S455" s="352"/>
      <c r="T455" s="352"/>
      <c r="U455" s="352"/>
      <c r="V455" s="352"/>
      <c r="W455" s="352"/>
      <c r="X455" s="352"/>
      <c r="Y455" s="352"/>
      <c r="Z455" s="352"/>
      <c r="AA455" s="352"/>
      <c r="AB455" s="352"/>
      <c r="AC455" s="352"/>
      <c r="AD455" s="352"/>
      <c r="AE455" s="352"/>
      <c r="AF455" s="352"/>
    </row>
    <row r="456">
      <c r="A456" s="352"/>
      <c r="B456" s="352"/>
      <c r="C456" s="352"/>
      <c r="D456" s="352"/>
      <c r="E456" s="352"/>
      <c r="F456" s="352"/>
      <c r="G456" s="352"/>
      <c r="H456" s="352"/>
      <c r="I456" s="352"/>
      <c r="J456" s="352"/>
      <c r="K456" s="352"/>
      <c r="L456" s="352"/>
      <c r="M456" s="352"/>
      <c r="N456" s="352"/>
      <c r="O456" s="352"/>
      <c r="P456" s="352"/>
      <c r="Q456" s="352"/>
      <c r="R456" s="352"/>
      <c r="S456" s="352"/>
      <c r="T456" s="352"/>
      <c r="U456" s="352"/>
      <c r="V456" s="352"/>
      <c r="W456" s="352"/>
      <c r="X456" s="352"/>
      <c r="Y456" s="352"/>
      <c r="Z456" s="352"/>
      <c r="AA456" s="352"/>
      <c r="AB456" s="352"/>
      <c r="AC456" s="352"/>
      <c r="AD456" s="352"/>
      <c r="AE456" s="352"/>
      <c r="AF456" s="352"/>
    </row>
    <row r="457">
      <c r="A457" s="352"/>
      <c r="B457" s="352"/>
      <c r="C457" s="352"/>
      <c r="D457" s="352"/>
      <c r="E457" s="352"/>
      <c r="F457" s="352"/>
      <c r="G457" s="352"/>
      <c r="H457" s="352"/>
      <c r="I457" s="352"/>
      <c r="J457" s="352"/>
      <c r="K457" s="352"/>
      <c r="L457" s="352"/>
      <c r="M457" s="352"/>
      <c r="N457" s="352"/>
      <c r="O457" s="352"/>
      <c r="P457" s="352"/>
      <c r="Q457" s="352"/>
      <c r="R457" s="352"/>
      <c r="S457" s="352"/>
      <c r="T457" s="352"/>
      <c r="U457" s="352"/>
      <c r="V457" s="352"/>
      <c r="W457" s="352"/>
      <c r="X457" s="352"/>
      <c r="Y457" s="352"/>
      <c r="Z457" s="352"/>
      <c r="AA457" s="352"/>
      <c r="AB457" s="352"/>
      <c r="AC457" s="352"/>
      <c r="AD457" s="352"/>
      <c r="AE457" s="352"/>
      <c r="AF457" s="352"/>
    </row>
    <row r="458">
      <c r="A458" s="352"/>
      <c r="B458" s="352"/>
      <c r="C458" s="352"/>
      <c r="D458" s="352"/>
      <c r="E458" s="352"/>
      <c r="F458" s="352"/>
      <c r="G458" s="352"/>
      <c r="H458" s="352"/>
      <c r="I458" s="352"/>
      <c r="J458" s="352"/>
      <c r="K458" s="352"/>
      <c r="L458" s="352"/>
      <c r="M458" s="352"/>
      <c r="N458" s="352"/>
      <c r="O458" s="352"/>
      <c r="P458" s="352"/>
      <c r="Q458" s="352"/>
      <c r="R458" s="352"/>
      <c r="S458" s="352"/>
      <c r="T458" s="352"/>
      <c r="U458" s="352"/>
      <c r="V458" s="352"/>
      <c r="W458" s="352"/>
      <c r="X458" s="352"/>
      <c r="Y458" s="352"/>
      <c r="Z458" s="352"/>
      <c r="AA458" s="352"/>
      <c r="AB458" s="352"/>
      <c r="AC458" s="352"/>
      <c r="AD458" s="352"/>
      <c r="AE458" s="352"/>
      <c r="AF458" s="352"/>
    </row>
    <row r="459">
      <c r="A459" s="352"/>
      <c r="B459" s="352"/>
      <c r="C459" s="352"/>
      <c r="D459" s="352"/>
      <c r="E459" s="352"/>
      <c r="F459" s="352"/>
      <c r="G459" s="352"/>
      <c r="H459" s="352"/>
      <c r="I459" s="352"/>
      <c r="J459" s="352"/>
      <c r="K459" s="352"/>
      <c r="L459" s="352"/>
      <c r="M459" s="352"/>
      <c r="N459" s="352"/>
      <c r="O459" s="352"/>
      <c r="P459" s="352"/>
      <c r="Q459" s="352"/>
      <c r="R459" s="352"/>
      <c r="S459" s="352"/>
      <c r="T459" s="352"/>
      <c r="U459" s="352"/>
      <c r="V459" s="352"/>
      <c r="W459" s="352"/>
      <c r="X459" s="352"/>
      <c r="Y459" s="352"/>
      <c r="Z459" s="352"/>
      <c r="AA459" s="352"/>
      <c r="AB459" s="352"/>
      <c r="AC459" s="352"/>
      <c r="AD459" s="352"/>
      <c r="AE459" s="352"/>
      <c r="AF459" s="352"/>
    </row>
    <row r="460">
      <c r="A460" s="352"/>
      <c r="B460" s="352"/>
      <c r="C460" s="352"/>
      <c r="D460" s="352"/>
      <c r="E460" s="352"/>
      <c r="F460" s="352"/>
      <c r="G460" s="352"/>
      <c r="H460" s="352"/>
      <c r="I460" s="352"/>
      <c r="J460" s="352"/>
      <c r="K460" s="352"/>
      <c r="L460" s="352"/>
      <c r="M460" s="352"/>
      <c r="N460" s="352"/>
      <c r="O460" s="352"/>
      <c r="P460" s="352"/>
      <c r="Q460" s="352"/>
      <c r="R460" s="352"/>
      <c r="S460" s="352"/>
      <c r="T460" s="352"/>
      <c r="U460" s="352"/>
      <c r="V460" s="352"/>
      <c r="W460" s="352"/>
      <c r="X460" s="352"/>
      <c r="Y460" s="352"/>
      <c r="Z460" s="352"/>
      <c r="AA460" s="352"/>
      <c r="AB460" s="352"/>
      <c r="AC460" s="352"/>
      <c r="AD460" s="352"/>
      <c r="AE460" s="352"/>
      <c r="AF460" s="352"/>
    </row>
    <row r="461">
      <c r="A461" s="352"/>
      <c r="B461" s="352"/>
      <c r="C461" s="352"/>
      <c r="D461" s="352"/>
      <c r="E461" s="352"/>
      <c r="F461" s="352"/>
      <c r="G461" s="352"/>
      <c r="H461" s="352"/>
      <c r="I461" s="352"/>
      <c r="J461" s="352"/>
      <c r="K461" s="352"/>
      <c r="L461" s="352"/>
      <c r="M461" s="352"/>
      <c r="N461" s="352"/>
      <c r="O461" s="352"/>
      <c r="P461" s="352"/>
      <c r="Q461" s="352"/>
      <c r="R461" s="352"/>
      <c r="S461" s="352"/>
      <c r="T461" s="352"/>
      <c r="U461" s="352"/>
      <c r="V461" s="352"/>
      <c r="W461" s="352"/>
      <c r="X461" s="352"/>
      <c r="Y461" s="352"/>
      <c r="Z461" s="352"/>
      <c r="AA461" s="352"/>
      <c r="AB461" s="352"/>
      <c r="AC461" s="352"/>
      <c r="AD461" s="352"/>
      <c r="AE461" s="352"/>
      <c r="AF461" s="352"/>
    </row>
    <row r="462">
      <c r="A462" s="352"/>
      <c r="B462" s="352"/>
      <c r="C462" s="352"/>
      <c r="D462" s="352"/>
      <c r="E462" s="352"/>
      <c r="F462" s="352"/>
      <c r="G462" s="352"/>
      <c r="H462" s="352"/>
      <c r="I462" s="352"/>
      <c r="J462" s="352"/>
      <c r="K462" s="352"/>
      <c r="L462" s="352"/>
      <c r="M462" s="352"/>
      <c r="N462" s="352"/>
      <c r="O462" s="352"/>
      <c r="P462" s="352"/>
      <c r="Q462" s="352"/>
      <c r="R462" s="352"/>
      <c r="S462" s="352"/>
      <c r="T462" s="352"/>
      <c r="U462" s="352"/>
      <c r="V462" s="352"/>
      <c r="W462" s="352"/>
      <c r="X462" s="352"/>
      <c r="Y462" s="352"/>
      <c r="Z462" s="352"/>
      <c r="AA462" s="352"/>
      <c r="AB462" s="352"/>
      <c r="AC462" s="352"/>
      <c r="AD462" s="352"/>
      <c r="AE462" s="352"/>
      <c r="AF462" s="352"/>
    </row>
    <row r="463">
      <c r="A463" s="352"/>
      <c r="B463" s="352"/>
      <c r="C463" s="352"/>
      <c r="D463" s="352"/>
      <c r="E463" s="352"/>
      <c r="F463" s="352"/>
      <c r="G463" s="352"/>
      <c r="H463" s="352"/>
      <c r="I463" s="352"/>
      <c r="J463" s="352"/>
      <c r="K463" s="352"/>
      <c r="L463" s="352"/>
      <c r="M463" s="352"/>
      <c r="N463" s="352"/>
      <c r="O463" s="352"/>
      <c r="P463" s="352"/>
      <c r="Q463" s="352"/>
      <c r="R463" s="352"/>
      <c r="S463" s="352"/>
      <c r="T463" s="352"/>
      <c r="U463" s="352"/>
      <c r="V463" s="352"/>
      <c r="W463" s="352"/>
      <c r="X463" s="352"/>
      <c r="Y463" s="352"/>
      <c r="Z463" s="352"/>
      <c r="AA463" s="352"/>
      <c r="AB463" s="352"/>
      <c r="AC463" s="352"/>
      <c r="AD463" s="352"/>
      <c r="AE463" s="352"/>
      <c r="AF463" s="352"/>
    </row>
    <row r="464">
      <c r="A464" s="352"/>
      <c r="B464" s="352"/>
      <c r="C464" s="352"/>
      <c r="D464" s="352"/>
      <c r="E464" s="352"/>
      <c r="F464" s="352"/>
      <c r="G464" s="352"/>
      <c r="H464" s="352"/>
      <c r="I464" s="352"/>
      <c r="J464" s="352"/>
      <c r="K464" s="352"/>
      <c r="L464" s="352"/>
      <c r="M464" s="352"/>
      <c r="N464" s="352"/>
      <c r="O464" s="352"/>
      <c r="P464" s="352"/>
      <c r="Q464" s="352"/>
      <c r="R464" s="352"/>
      <c r="S464" s="352"/>
      <c r="T464" s="352"/>
      <c r="U464" s="352"/>
      <c r="V464" s="352"/>
      <c r="W464" s="352"/>
      <c r="X464" s="352"/>
      <c r="Y464" s="352"/>
      <c r="Z464" s="352"/>
      <c r="AA464" s="352"/>
      <c r="AB464" s="352"/>
      <c r="AC464" s="352"/>
      <c r="AD464" s="352"/>
      <c r="AE464" s="352"/>
      <c r="AF464" s="352"/>
    </row>
    <row r="465">
      <c r="A465" s="352"/>
      <c r="B465" s="352"/>
      <c r="C465" s="352"/>
      <c r="D465" s="352"/>
      <c r="E465" s="352"/>
      <c r="F465" s="352"/>
      <c r="G465" s="352"/>
      <c r="H465" s="352"/>
      <c r="I465" s="352"/>
      <c r="J465" s="352"/>
      <c r="K465" s="352"/>
      <c r="L465" s="352"/>
      <c r="M465" s="352"/>
      <c r="N465" s="352"/>
      <c r="O465" s="352"/>
      <c r="P465" s="352"/>
      <c r="Q465" s="352"/>
      <c r="R465" s="352"/>
      <c r="S465" s="352"/>
      <c r="T465" s="352"/>
      <c r="U465" s="352"/>
      <c r="V465" s="352"/>
      <c r="W465" s="352"/>
      <c r="X465" s="352"/>
      <c r="Y465" s="352"/>
      <c r="Z465" s="352"/>
      <c r="AA465" s="352"/>
      <c r="AB465" s="352"/>
      <c r="AC465" s="352"/>
      <c r="AD465" s="352"/>
      <c r="AE465" s="352"/>
      <c r="AF465" s="352"/>
    </row>
    <row r="466">
      <c r="A466" s="352"/>
      <c r="B466" s="352"/>
      <c r="C466" s="352"/>
      <c r="D466" s="352"/>
      <c r="E466" s="352"/>
      <c r="F466" s="352"/>
      <c r="G466" s="352"/>
      <c r="H466" s="352"/>
      <c r="I466" s="352"/>
      <c r="J466" s="352"/>
      <c r="K466" s="352"/>
      <c r="L466" s="352"/>
      <c r="M466" s="352"/>
      <c r="N466" s="352"/>
      <c r="O466" s="352"/>
      <c r="P466" s="352"/>
      <c r="Q466" s="352"/>
      <c r="R466" s="352"/>
      <c r="S466" s="352"/>
      <c r="T466" s="352"/>
      <c r="U466" s="352"/>
      <c r="V466" s="352"/>
      <c r="W466" s="352"/>
      <c r="X466" s="352"/>
      <c r="Y466" s="352"/>
      <c r="Z466" s="352"/>
      <c r="AA466" s="352"/>
      <c r="AB466" s="352"/>
      <c r="AC466" s="352"/>
      <c r="AD466" s="352"/>
      <c r="AE466" s="352"/>
      <c r="AF466" s="352"/>
    </row>
    <row r="467">
      <c r="A467" s="352"/>
      <c r="B467" s="352"/>
      <c r="C467" s="352"/>
      <c r="D467" s="352"/>
      <c r="E467" s="352"/>
      <c r="F467" s="352"/>
      <c r="G467" s="352"/>
      <c r="H467" s="352"/>
      <c r="I467" s="352"/>
      <c r="J467" s="352"/>
      <c r="K467" s="352"/>
      <c r="L467" s="352"/>
      <c r="M467" s="352"/>
      <c r="N467" s="352"/>
      <c r="O467" s="352"/>
      <c r="P467" s="352"/>
      <c r="Q467" s="352"/>
      <c r="R467" s="352"/>
      <c r="S467" s="352"/>
      <c r="T467" s="352"/>
      <c r="U467" s="352"/>
      <c r="V467" s="352"/>
      <c r="W467" s="352"/>
      <c r="X467" s="352"/>
      <c r="Y467" s="352"/>
      <c r="Z467" s="352"/>
      <c r="AA467" s="352"/>
      <c r="AB467" s="352"/>
      <c r="AC467" s="352"/>
      <c r="AD467" s="352"/>
      <c r="AE467" s="352"/>
      <c r="AF467" s="352"/>
    </row>
    <row r="468">
      <c r="A468" s="352"/>
      <c r="B468" s="352"/>
      <c r="C468" s="352"/>
      <c r="D468" s="352"/>
      <c r="E468" s="352"/>
      <c r="F468" s="352"/>
      <c r="G468" s="352"/>
      <c r="H468" s="352"/>
      <c r="I468" s="352"/>
      <c r="J468" s="352"/>
      <c r="K468" s="352"/>
      <c r="L468" s="352"/>
      <c r="M468" s="352"/>
      <c r="N468" s="352"/>
      <c r="O468" s="352"/>
      <c r="P468" s="352"/>
      <c r="Q468" s="352"/>
      <c r="R468" s="352"/>
      <c r="S468" s="352"/>
      <c r="T468" s="352"/>
      <c r="U468" s="352"/>
      <c r="V468" s="352"/>
      <c r="W468" s="352"/>
      <c r="X468" s="352"/>
      <c r="Y468" s="352"/>
      <c r="Z468" s="352"/>
      <c r="AA468" s="352"/>
      <c r="AB468" s="352"/>
      <c r="AC468" s="352"/>
      <c r="AD468" s="352"/>
      <c r="AE468" s="352"/>
      <c r="AF468" s="352"/>
    </row>
    <row r="469">
      <c r="A469" s="352"/>
      <c r="B469" s="352"/>
      <c r="C469" s="352"/>
      <c r="D469" s="352"/>
      <c r="E469" s="352"/>
      <c r="F469" s="352"/>
      <c r="G469" s="352"/>
      <c r="H469" s="352"/>
      <c r="I469" s="352"/>
      <c r="J469" s="352"/>
      <c r="K469" s="352"/>
      <c r="L469" s="352"/>
      <c r="M469" s="352"/>
      <c r="N469" s="352"/>
      <c r="O469" s="352"/>
      <c r="P469" s="352"/>
      <c r="Q469" s="352"/>
      <c r="R469" s="352"/>
      <c r="S469" s="352"/>
      <c r="T469" s="352"/>
      <c r="U469" s="352"/>
      <c r="V469" s="352"/>
      <c r="W469" s="352"/>
      <c r="X469" s="352"/>
      <c r="Y469" s="352"/>
      <c r="Z469" s="352"/>
      <c r="AA469" s="352"/>
      <c r="AB469" s="352"/>
      <c r="AC469" s="352"/>
      <c r="AD469" s="352"/>
      <c r="AE469" s="352"/>
      <c r="AF469" s="352"/>
    </row>
    <row r="470">
      <c r="A470" s="352"/>
      <c r="B470" s="352"/>
      <c r="C470" s="352"/>
      <c r="D470" s="352"/>
      <c r="E470" s="352"/>
      <c r="F470" s="352"/>
      <c r="G470" s="352"/>
      <c r="H470" s="352"/>
      <c r="I470" s="352"/>
      <c r="J470" s="352"/>
      <c r="K470" s="352"/>
      <c r="L470" s="352"/>
      <c r="M470" s="352"/>
      <c r="N470" s="352"/>
      <c r="O470" s="352"/>
      <c r="P470" s="352"/>
      <c r="Q470" s="352"/>
      <c r="R470" s="352"/>
      <c r="S470" s="352"/>
      <c r="T470" s="352"/>
      <c r="U470" s="352"/>
      <c r="V470" s="352"/>
      <c r="W470" s="352"/>
      <c r="X470" s="352"/>
      <c r="Y470" s="352"/>
      <c r="Z470" s="352"/>
      <c r="AA470" s="352"/>
      <c r="AB470" s="352"/>
      <c r="AC470" s="352"/>
      <c r="AD470" s="352"/>
      <c r="AE470" s="352"/>
      <c r="AF470" s="352"/>
    </row>
    <row r="471">
      <c r="A471" s="352"/>
      <c r="B471" s="352"/>
      <c r="C471" s="352"/>
      <c r="D471" s="352"/>
      <c r="E471" s="352"/>
      <c r="F471" s="352"/>
      <c r="G471" s="352"/>
      <c r="H471" s="352"/>
      <c r="I471" s="352"/>
      <c r="J471" s="352"/>
      <c r="K471" s="352"/>
      <c r="L471" s="352"/>
      <c r="M471" s="352"/>
      <c r="N471" s="352"/>
      <c r="O471" s="352"/>
      <c r="P471" s="352"/>
      <c r="Q471" s="352"/>
      <c r="R471" s="352"/>
      <c r="S471" s="352"/>
      <c r="T471" s="352"/>
      <c r="U471" s="352"/>
      <c r="V471" s="352"/>
      <c r="W471" s="352"/>
      <c r="X471" s="352"/>
      <c r="Y471" s="352"/>
      <c r="Z471" s="352"/>
      <c r="AA471" s="352"/>
      <c r="AB471" s="352"/>
      <c r="AC471" s="352"/>
      <c r="AD471" s="352"/>
      <c r="AE471" s="352"/>
      <c r="AF471" s="352"/>
    </row>
    <row r="472">
      <c r="A472" s="352"/>
      <c r="B472" s="352"/>
      <c r="C472" s="352"/>
      <c r="D472" s="352"/>
      <c r="E472" s="352"/>
      <c r="F472" s="352"/>
      <c r="G472" s="352"/>
      <c r="H472" s="352"/>
      <c r="I472" s="352"/>
      <c r="J472" s="352"/>
      <c r="K472" s="352"/>
      <c r="L472" s="352"/>
      <c r="M472" s="352"/>
      <c r="N472" s="352"/>
      <c r="O472" s="352"/>
      <c r="P472" s="352"/>
      <c r="Q472" s="352"/>
      <c r="R472" s="352"/>
      <c r="S472" s="352"/>
      <c r="T472" s="352"/>
      <c r="U472" s="352"/>
      <c r="V472" s="352"/>
      <c r="W472" s="352"/>
      <c r="X472" s="352"/>
      <c r="Y472" s="352"/>
      <c r="Z472" s="352"/>
      <c r="AA472" s="352"/>
      <c r="AB472" s="352"/>
      <c r="AC472" s="352"/>
      <c r="AD472" s="352"/>
      <c r="AE472" s="352"/>
      <c r="AF472" s="352"/>
    </row>
    <row r="473">
      <c r="A473" s="352"/>
      <c r="B473" s="352"/>
      <c r="C473" s="352"/>
      <c r="D473" s="352"/>
      <c r="E473" s="352"/>
      <c r="F473" s="352"/>
      <c r="G473" s="352"/>
      <c r="H473" s="352"/>
      <c r="I473" s="352"/>
      <c r="J473" s="352"/>
      <c r="K473" s="352"/>
      <c r="L473" s="352"/>
      <c r="M473" s="352"/>
      <c r="N473" s="352"/>
      <c r="O473" s="352"/>
      <c r="P473" s="352"/>
      <c r="Q473" s="352"/>
      <c r="R473" s="352"/>
      <c r="S473" s="352"/>
      <c r="T473" s="352"/>
      <c r="U473" s="352"/>
      <c r="V473" s="352"/>
      <c r="W473" s="352"/>
      <c r="X473" s="352"/>
      <c r="Y473" s="352"/>
      <c r="Z473" s="352"/>
      <c r="AA473" s="352"/>
      <c r="AB473" s="352"/>
      <c r="AC473" s="352"/>
      <c r="AD473" s="352"/>
      <c r="AE473" s="352"/>
      <c r="AF473" s="352"/>
    </row>
    <row r="474">
      <c r="A474" s="352"/>
      <c r="B474" s="352"/>
      <c r="C474" s="352"/>
      <c r="D474" s="352"/>
      <c r="E474" s="352"/>
      <c r="F474" s="352"/>
      <c r="G474" s="352"/>
      <c r="H474" s="352"/>
      <c r="I474" s="352"/>
      <c r="J474" s="352"/>
      <c r="K474" s="352"/>
      <c r="L474" s="352"/>
      <c r="M474" s="352"/>
      <c r="N474" s="352"/>
      <c r="O474" s="352"/>
      <c r="P474" s="352"/>
      <c r="Q474" s="352"/>
      <c r="R474" s="352"/>
      <c r="S474" s="352"/>
      <c r="T474" s="352"/>
      <c r="U474" s="352"/>
      <c r="V474" s="352"/>
      <c r="W474" s="352"/>
      <c r="X474" s="352"/>
      <c r="Y474" s="352"/>
      <c r="Z474" s="352"/>
      <c r="AA474" s="352"/>
      <c r="AB474" s="352"/>
      <c r="AC474" s="352"/>
      <c r="AD474" s="352"/>
      <c r="AE474" s="352"/>
      <c r="AF474" s="352"/>
    </row>
    <row r="475">
      <c r="A475" s="352"/>
      <c r="B475" s="352"/>
      <c r="C475" s="352"/>
      <c r="D475" s="352"/>
      <c r="E475" s="352"/>
      <c r="F475" s="352"/>
      <c r="G475" s="352"/>
      <c r="H475" s="352"/>
      <c r="I475" s="352"/>
      <c r="J475" s="352"/>
      <c r="K475" s="352"/>
      <c r="L475" s="352"/>
      <c r="M475" s="352"/>
      <c r="N475" s="352"/>
      <c r="O475" s="352"/>
      <c r="P475" s="352"/>
      <c r="Q475" s="352"/>
      <c r="R475" s="352"/>
      <c r="S475" s="352"/>
      <c r="T475" s="352"/>
      <c r="U475" s="352"/>
      <c r="V475" s="352"/>
      <c r="W475" s="352"/>
      <c r="X475" s="352"/>
      <c r="Y475" s="352"/>
      <c r="Z475" s="352"/>
      <c r="AA475" s="352"/>
      <c r="AB475" s="352"/>
      <c r="AC475" s="352"/>
      <c r="AD475" s="352"/>
      <c r="AE475" s="352"/>
      <c r="AF475" s="352"/>
    </row>
    <row r="476">
      <c r="A476" s="352"/>
      <c r="B476" s="352"/>
      <c r="C476" s="352"/>
      <c r="D476" s="352"/>
      <c r="E476" s="352"/>
      <c r="F476" s="352"/>
      <c r="G476" s="352"/>
      <c r="H476" s="352"/>
      <c r="I476" s="352"/>
      <c r="J476" s="352"/>
      <c r="K476" s="352"/>
      <c r="L476" s="352"/>
      <c r="M476" s="352"/>
      <c r="N476" s="352"/>
      <c r="O476" s="352"/>
      <c r="P476" s="352"/>
      <c r="Q476" s="352"/>
      <c r="R476" s="352"/>
      <c r="S476" s="352"/>
      <c r="T476" s="352"/>
      <c r="U476" s="352"/>
      <c r="V476" s="352"/>
      <c r="W476" s="352"/>
      <c r="X476" s="352"/>
      <c r="Y476" s="352"/>
      <c r="Z476" s="352"/>
      <c r="AA476" s="352"/>
      <c r="AB476" s="352"/>
      <c r="AC476" s="352"/>
      <c r="AD476" s="352"/>
      <c r="AE476" s="352"/>
      <c r="AF476" s="352"/>
    </row>
    <row r="477">
      <c r="A477" s="352"/>
      <c r="B477" s="352"/>
      <c r="C477" s="352"/>
      <c r="D477" s="352"/>
      <c r="E477" s="352"/>
      <c r="F477" s="352"/>
      <c r="G477" s="352"/>
      <c r="H477" s="352"/>
      <c r="I477" s="352"/>
      <c r="J477" s="352"/>
      <c r="K477" s="352"/>
      <c r="L477" s="352"/>
      <c r="M477" s="352"/>
      <c r="N477" s="352"/>
      <c r="O477" s="352"/>
      <c r="P477" s="352"/>
      <c r="Q477" s="352"/>
      <c r="R477" s="352"/>
      <c r="S477" s="352"/>
      <c r="T477" s="352"/>
      <c r="U477" s="352"/>
      <c r="V477" s="352"/>
      <c r="W477" s="352"/>
      <c r="X477" s="352"/>
      <c r="Y477" s="352"/>
      <c r="Z477" s="352"/>
      <c r="AA477" s="352"/>
      <c r="AB477" s="352"/>
      <c r="AC477" s="352"/>
      <c r="AD477" s="352"/>
      <c r="AE477" s="352"/>
      <c r="AF477" s="352"/>
    </row>
    <row r="478">
      <c r="A478" s="352"/>
      <c r="B478" s="352"/>
      <c r="C478" s="352"/>
      <c r="D478" s="352"/>
      <c r="E478" s="352"/>
      <c r="F478" s="352"/>
      <c r="G478" s="352"/>
      <c r="H478" s="352"/>
      <c r="I478" s="352"/>
      <c r="J478" s="352"/>
      <c r="K478" s="352"/>
      <c r="L478" s="352"/>
      <c r="M478" s="352"/>
      <c r="N478" s="352"/>
      <c r="O478" s="352"/>
      <c r="P478" s="352"/>
      <c r="Q478" s="352"/>
      <c r="R478" s="352"/>
      <c r="S478" s="352"/>
      <c r="T478" s="352"/>
      <c r="U478" s="352"/>
      <c r="V478" s="352"/>
      <c r="W478" s="352"/>
      <c r="X478" s="352"/>
      <c r="Y478" s="352"/>
      <c r="Z478" s="352"/>
      <c r="AA478" s="352"/>
      <c r="AB478" s="352"/>
      <c r="AC478" s="352"/>
      <c r="AD478" s="352"/>
      <c r="AE478" s="352"/>
      <c r="AF478" s="352"/>
    </row>
    <row r="479">
      <c r="A479" s="352"/>
      <c r="B479" s="352"/>
      <c r="C479" s="352"/>
      <c r="D479" s="352"/>
      <c r="E479" s="352"/>
      <c r="F479" s="352"/>
      <c r="G479" s="352"/>
      <c r="H479" s="352"/>
      <c r="I479" s="352"/>
      <c r="J479" s="352"/>
      <c r="K479" s="352"/>
      <c r="L479" s="352"/>
      <c r="M479" s="352"/>
      <c r="N479" s="352"/>
      <c r="O479" s="352"/>
      <c r="P479" s="352"/>
      <c r="Q479" s="352"/>
      <c r="R479" s="352"/>
      <c r="S479" s="352"/>
      <c r="T479" s="352"/>
      <c r="U479" s="352"/>
      <c r="V479" s="352"/>
      <c r="W479" s="352"/>
      <c r="X479" s="352"/>
      <c r="Y479" s="352"/>
      <c r="Z479" s="352"/>
      <c r="AA479" s="352"/>
      <c r="AB479" s="352"/>
      <c r="AC479" s="352"/>
      <c r="AD479" s="352"/>
      <c r="AE479" s="352"/>
      <c r="AF479" s="352"/>
    </row>
    <row r="480">
      <c r="A480" s="352"/>
      <c r="B480" s="352"/>
      <c r="C480" s="352"/>
      <c r="D480" s="352"/>
      <c r="E480" s="352"/>
      <c r="F480" s="352"/>
      <c r="G480" s="352"/>
      <c r="H480" s="352"/>
      <c r="I480" s="352"/>
      <c r="J480" s="352"/>
      <c r="K480" s="352"/>
      <c r="L480" s="352"/>
      <c r="M480" s="352"/>
      <c r="N480" s="352"/>
      <c r="O480" s="352"/>
      <c r="P480" s="352"/>
      <c r="Q480" s="352"/>
      <c r="R480" s="352"/>
      <c r="S480" s="352"/>
      <c r="T480" s="352"/>
      <c r="U480" s="352"/>
      <c r="V480" s="352"/>
      <c r="W480" s="352"/>
      <c r="X480" s="352"/>
      <c r="Y480" s="352"/>
      <c r="Z480" s="352"/>
      <c r="AA480" s="352"/>
      <c r="AB480" s="352"/>
      <c r="AC480" s="352"/>
      <c r="AD480" s="352"/>
      <c r="AE480" s="352"/>
      <c r="AF480" s="352"/>
    </row>
    <row r="481">
      <c r="A481" s="352"/>
      <c r="B481" s="352"/>
      <c r="C481" s="352"/>
      <c r="D481" s="352"/>
      <c r="E481" s="352"/>
      <c r="F481" s="352"/>
      <c r="G481" s="352"/>
      <c r="H481" s="352"/>
      <c r="I481" s="352"/>
      <c r="J481" s="352"/>
      <c r="K481" s="352"/>
      <c r="L481" s="352"/>
      <c r="M481" s="352"/>
      <c r="N481" s="352"/>
      <c r="O481" s="352"/>
      <c r="P481" s="352"/>
      <c r="Q481" s="352"/>
      <c r="R481" s="352"/>
      <c r="S481" s="352"/>
      <c r="T481" s="352"/>
      <c r="U481" s="352"/>
      <c r="V481" s="352"/>
      <c r="W481" s="352"/>
      <c r="X481" s="352"/>
      <c r="Y481" s="352"/>
      <c r="Z481" s="352"/>
      <c r="AA481" s="352"/>
      <c r="AB481" s="352"/>
      <c r="AC481" s="352"/>
      <c r="AD481" s="352"/>
      <c r="AE481" s="352"/>
      <c r="AF481" s="352"/>
    </row>
    <row r="482">
      <c r="A482" s="352"/>
      <c r="B482" s="352"/>
      <c r="C482" s="352"/>
      <c r="D482" s="352"/>
      <c r="E482" s="352"/>
      <c r="F482" s="352"/>
      <c r="G482" s="352"/>
      <c r="H482" s="352"/>
      <c r="I482" s="352"/>
      <c r="J482" s="352"/>
      <c r="K482" s="352"/>
      <c r="L482" s="352"/>
      <c r="M482" s="352"/>
      <c r="N482" s="352"/>
      <c r="O482" s="352"/>
      <c r="P482" s="352"/>
      <c r="Q482" s="352"/>
      <c r="R482" s="352"/>
      <c r="S482" s="352"/>
      <c r="T482" s="352"/>
      <c r="U482" s="352"/>
      <c r="V482" s="352"/>
      <c r="W482" s="352"/>
      <c r="X482" s="352"/>
      <c r="Y482" s="352"/>
      <c r="Z482" s="352"/>
      <c r="AA482" s="352"/>
      <c r="AB482" s="352"/>
      <c r="AC482" s="352"/>
      <c r="AD482" s="352"/>
      <c r="AE482" s="352"/>
      <c r="AF482" s="352"/>
    </row>
    <row r="483">
      <c r="A483" s="352"/>
      <c r="B483" s="352"/>
      <c r="C483" s="352"/>
      <c r="D483" s="352"/>
      <c r="E483" s="352"/>
      <c r="F483" s="352"/>
      <c r="G483" s="352"/>
      <c r="H483" s="352"/>
      <c r="I483" s="352"/>
      <c r="J483" s="352"/>
      <c r="K483" s="352"/>
      <c r="L483" s="352"/>
      <c r="M483" s="352"/>
      <c r="N483" s="352"/>
      <c r="O483" s="352"/>
      <c r="P483" s="352"/>
      <c r="Q483" s="352"/>
      <c r="R483" s="352"/>
      <c r="S483" s="352"/>
      <c r="T483" s="352"/>
      <c r="U483" s="352"/>
      <c r="V483" s="352"/>
      <c r="W483" s="352"/>
      <c r="X483" s="352"/>
      <c r="Y483" s="352"/>
      <c r="Z483" s="352"/>
      <c r="AA483" s="352"/>
      <c r="AB483" s="352"/>
      <c r="AC483" s="352"/>
      <c r="AD483" s="352"/>
      <c r="AE483" s="352"/>
      <c r="AF483" s="352"/>
    </row>
    <row r="484">
      <c r="A484" s="352"/>
      <c r="B484" s="352"/>
      <c r="C484" s="352"/>
      <c r="D484" s="352"/>
      <c r="E484" s="352"/>
      <c r="F484" s="352"/>
      <c r="G484" s="352"/>
      <c r="H484" s="352"/>
      <c r="I484" s="352"/>
      <c r="J484" s="352"/>
      <c r="K484" s="352"/>
      <c r="L484" s="352"/>
      <c r="M484" s="352"/>
      <c r="N484" s="352"/>
      <c r="O484" s="352"/>
      <c r="P484" s="352"/>
      <c r="Q484" s="352"/>
      <c r="R484" s="352"/>
      <c r="S484" s="352"/>
      <c r="T484" s="352"/>
      <c r="U484" s="352"/>
      <c r="V484" s="352"/>
      <c r="W484" s="352"/>
      <c r="X484" s="352"/>
      <c r="Y484" s="352"/>
      <c r="Z484" s="352"/>
      <c r="AA484" s="352"/>
      <c r="AB484" s="352"/>
      <c r="AC484" s="352"/>
      <c r="AD484" s="352"/>
      <c r="AE484" s="352"/>
      <c r="AF484" s="352"/>
    </row>
    <row r="485">
      <c r="A485" s="352"/>
      <c r="B485" s="352"/>
      <c r="C485" s="352"/>
      <c r="D485" s="352"/>
      <c r="E485" s="352"/>
      <c r="F485" s="352"/>
      <c r="G485" s="352"/>
      <c r="H485" s="352"/>
      <c r="I485" s="352"/>
      <c r="J485" s="352"/>
      <c r="K485" s="352"/>
      <c r="L485" s="352"/>
      <c r="M485" s="352"/>
      <c r="N485" s="352"/>
      <c r="O485" s="352"/>
      <c r="P485" s="352"/>
      <c r="Q485" s="352"/>
      <c r="R485" s="352"/>
      <c r="S485" s="352"/>
      <c r="T485" s="352"/>
      <c r="U485" s="352"/>
      <c r="V485" s="352"/>
      <c r="W485" s="352"/>
      <c r="X485" s="352"/>
      <c r="Y485" s="352"/>
      <c r="Z485" s="352"/>
      <c r="AA485" s="352"/>
      <c r="AB485" s="352"/>
      <c r="AC485" s="352"/>
      <c r="AD485" s="352"/>
      <c r="AE485" s="352"/>
      <c r="AF485" s="352"/>
    </row>
    <row r="486">
      <c r="A486" s="352"/>
      <c r="B486" s="352"/>
      <c r="C486" s="352"/>
      <c r="D486" s="352"/>
      <c r="E486" s="352"/>
      <c r="F486" s="352"/>
      <c r="G486" s="352"/>
      <c r="H486" s="352"/>
      <c r="I486" s="352"/>
      <c r="J486" s="352"/>
      <c r="K486" s="352"/>
      <c r="L486" s="352"/>
      <c r="M486" s="352"/>
      <c r="N486" s="352"/>
      <c r="O486" s="352"/>
      <c r="P486" s="352"/>
      <c r="Q486" s="352"/>
      <c r="R486" s="352"/>
      <c r="S486" s="352"/>
      <c r="T486" s="352"/>
      <c r="U486" s="352"/>
      <c r="V486" s="352"/>
      <c r="W486" s="352"/>
      <c r="X486" s="352"/>
      <c r="Y486" s="352"/>
      <c r="Z486" s="352"/>
      <c r="AA486" s="352"/>
      <c r="AB486" s="352"/>
      <c r="AC486" s="352"/>
      <c r="AD486" s="352"/>
      <c r="AE486" s="352"/>
      <c r="AF486" s="352"/>
    </row>
    <row r="487">
      <c r="A487" s="352"/>
      <c r="B487" s="352"/>
      <c r="C487" s="352"/>
      <c r="D487" s="352"/>
      <c r="E487" s="352"/>
      <c r="F487" s="352"/>
      <c r="G487" s="352"/>
      <c r="H487" s="352"/>
      <c r="I487" s="352"/>
      <c r="J487" s="352"/>
      <c r="K487" s="352"/>
      <c r="L487" s="352"/>
      <c r="M487" s="352"/>
      <c r="N487" s="352"/>
      <c r="O487" s="352"/>
      <c r="P487" s="352"/>
      <c r="Q487" s="352"/>
      <c r="R487" s="352"/>
      <c r="S487" s="352"/>
      <c r="T487" s="352"/>
      <c r="U487" s="352"/>
      <c r="V487" s="352"/>
      <c r="W487" s="352"/>
      <c r="X487" s="352"/>
      <c r="Y487" s="352"/>
      <c r="Z487" s="352"/>
      <c r="AA487" s="352"/>
      <c r="AB487" s="352"/>
      <c r="AC487" s="352"/>
      <c r="AD487" s="352"/>
      <c r="AE487" s="352"/>
      <c r="AF487" s="352"/>
    </row>
    <row r="488">
      <c r="A488" s="352"/>
      <c r="B488" s="352"/>
      <c r="C488" s="352"/>
      <c r="D488" s="352"/>
      <c r="E488" s="352"/>
      <c r="F488" s="352"/>
      <c r="G488" s="352"/>
      <c r="H488" s="352"/>
      <c r="I488" s="352"/>
      <c r="J488" s="352"/>
      <c r="K488" s="352"/>
      <c r="L488" s="352"/>
      <c r="M488" s="352"/>
      <c r="N488" s="352"/>
      <c r="O488" s="352"/>
      <c r="P488" s="352"/>
      <c r="Q488" s="352"/>
      <c r="R488" s="352"/>
      <c r="S488" s="352"/>
      <c r="T488" s="352"/>
      <c r="U488" s="352"/>
      <c r="V488" s="352"/>
      <c r="W488" s="352"/>
      <c r="X488" s="352"/>
      <c r="Y488" s="352"/>
      <c r="Z488" s="352"/>
      <c r="AA488" s="352"/>
      <c r="AB488" s="352"/>
      <c r="AC488" s="352"/>
      <c r="AD488" s="352"/>
      <c r="AE488" s="352"/>
      <c r="AF488" s="352"/>
    </row>
    <row r="489">
      <c r="A489" s="352"/>
      <c r="B489" s="352"/>
      <c r="C489" s="352"/>
      <c r="D489" s="352"/>
      <c r="E489" s="352"/>
      <c r="F489" s="352"/>
      <c r="G489" s="352"/>
      <c r="H489" s="352"/>
      <c r="I489" s="352"/>
      <c r="J489" s="352"/>
      <c r="K489" s="352"/>
      <c r="L489" s="352"/>
      <c r="M489" s="352"/>
      <c r="N489" s="352"/>
      <c r="O489" s="352"/>
      <c r="P489" s="352"/>
      <c r="Q489" s="352"/>
      <c r="R489" s="352"/>
      <c r="S489" s="352"/>
      <c r="T489" s="352"/>
      <c r="U489" s="352"/>
      <c r="V489" s="352"/>
      <c r="W489" s="352"/>
      <c r="X489" s="352"/>
      <c r="Y489" s="352"/>
      <c r="Z489" s="352"/>
      <c r="AA489" s="352"/>
      <c r="AB489" s="352"/>
      <c r="AC489" s="352"/>
      <c r="AD489" s="352"/>
      <c r="AE489" s="352"/>
      <c r="AF489" s="352"/>
    </row>
    <row r="490">
      <c r="A490" s="352"/>
      <c r="B490" s="352"/>
      <c r="C490" s="352"/>
      <c r="D490" s="352"/>
      <c r="E490" s="352"/>
      <c r="F490" s="352"/>
      <c r="G490" s="352"/>
      <c r="H490" s="352"/>
      <c r="I490" s="352"/>
      <c r="J490" s="352"/>
      <c r="K490" s="352"/>
      <c r="L490" s="352"/>
      <c r="M490" s="352"/>
      <c r="N490" s="352"/>
      <c r="O490" s="352"/>
      <c r="P490" s="352"/>
      <c r="Q490" s="352"/>
      <c r="R490" s="352"/>
      <c r="S490" s="352"/>
      <c r="T490" s="352"/>
      <c r="U490" s="352"/>
      <c r="V490" s="352"/>
      <c r="W490" s="352"/>
      <c r="X490" s="352"/>
      <c r="Y490" s="352"/>
      <c r="Z490" s="352"/>
      <c r="AA490" s="352"/>
      <c r="AB490" s="352"/>
      <c r="AC490" s="352"/>
      <c r="AD490" s="352"/>
      <c r="AE490" s="352"/>
      <c r="AF490" s="352"/>
    </row>
    <row r="491">
      <c r="A491" s="352"/>
      <c r="B491" s="352"/>
      <c r="C491" s="352"/>
      <c r="D491" s="352"/>
      <c r="E491" s="352"/>
      <c r="F491" s="352"/>
      <c r="G491" s="352"/>
      <c r="H491" s="352"/>
      <c r="I491" s="352"/>
      <c r="J491" s="352"/>
      <c r="K491" s="352"/>
      <c r="L491" s="352"/>
      <c r="M491" s="352"/>
      <c r="N491" s="352"/>
      <c r="O491" s="352"/>
      <c r="P491" s="352"/>
      <c r="Q491" s="352"/>
      <c r="R491" s="352"/>
      <c r="S491" s="352"/>
      <c r="T491" s="352"/>
      <c r="U491" s="352"/>
      <c r="V491" s="352"/>
      <c r="W491" s="352"/>
      <c r="X491" s="352"/>
      <c r="Y491" s="352"/>
      <c r="Z491" s="352"/>
      <c r="AA491" s="352"/>
      <c r="AB491" s="352"/>
      <c r="AC491" s="352"/>
      <c r="AD491" s="352"/>
      <c r="AE491" s="352"/>
      <c r="AF491" s="352"/>
    </row>
    <row r="492">
      <c r="A492" s="352"/>
      <c r="B492" s="352"/>
      <c r="C492" s="352"/>
      <c r="D492" s="352"/>
      <c r="E492" s="352"/>
      <c r="F492" s="352"/>
      <c r="G492" s="352"/>
      <c r="H492" s="352"/>
      <c r="I492" s="352"/>
      <c r="J492" s="352"/>
      <c r="K492" s="352"/>
      <c r="L492" s="352"/>
      <c r="M492" s="352"/>
      <c r="N492" s="352"/>
      <c r="O492" s="352"/>
      <c r="P492" s="352"/>
      <c r="Q492" s="352"/>
      <c r="R492" s="352"/>
      <c r="S492" s="352"/>
      <c r="T492" s="352"/>
      <c r="U492" s="352"/>
      <c r="V492" s="352"/>
      <c r="W492" s="352"/>
      <c r="X492" s="352"/>
      <c r="Y492" s="352"/>
      <c r="Z492" s="352"/>
      <c r="AA492" s="352"/>
      <c r="AB492" s="352"/>
      <c r="AC492" s="352"/>
      <c r="AD492" s="352"/>
      <c r="AE492" s="352"/>
      <c r="AF492" s="352"/>
    </row>
    <row r="493">
      <c r="A493" s="352"/>
      <c r="B493" s="352"/>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c r="AA493" s="352"/>
      <c r="AB493" s="352"/>
      <c r="AC493" s="352"/>
      <c r="AD493" s="352"/>
      <c r="AE493" s="352"/>
      <c r="AF493" s="352"/>
    </row>
    <row r="494">
      <c r="A494" s="352"/>
      <c r="B494" s="352"/>
      <c r="C494" s="352"/>
      <c r="D494" s="352"/>
      <c r="E494" s="352"/>
      <c r="F494" s="352"/>
      <c r="G494" s="352"/>
      <c r="H494" s="352"/>
      <c r="I494" s="352"/>
      <c r="J494" s="352"/>
      <c r="K494" s="352"/>
      <c r="L494" s="352"/>
      <c r="M494" s="352"/>
      <c r="N494" s="352"/>
      <c r="O494" s="352"/>
      <c r="P494" s="352"/>
      <c r="Q494" s="352"/>
      <c r="R494" s="352"/>
      <c r="S494" s="352"/>
      <c r="T494" s="352"/>
      <c r="U494" s="352"/>
      <c r="V494" s="352"/>
      <c r="W494" s="352"/>
      <c r="X494" s="352"/>
      <c r="Y494" s="352"/>
      <c r="Z494" s="352"/>
      <c r="AA494" s="352"/>
      <c r="AB494" s="352"/>
      <c r="AC494" s="352"/>
      <c r="AD494" s="352"/>
      <c r="AE494" s="352"/>
      <c r="AF494" s="352"/>
    </row>
    <row r="495">
      <c r="A495" s="352"/>
      <c r="B495" s="352"/>
      <c r="C495" s="352"/>
      <c r="D495" s="352"/>
      <c r="E495" s="352"/>
      <c r="F495" s="352"/>
      <c r="G495" s="352"/>
      <c r="H495" s="352"/>
      <c r="I495" s="352"/>
      <c r="J495" s="352"/>
      <c r="K495" s="352"/>
      <c r="L495" s="352"/>
      <c r="M495" s="352"/>
      <c r="N495" s="352"/>
      <c r="O495" s="352"/>
      <c r="P495" s="352"/>
      <c r="Q495" s="352"/>
      <c r="R495" s="352"/>
      <c r="S495" s="352"/>
      <c r="T495" s="352"/>
      <c r="U495" s="352"/>
      <c r="V495" s="352"/>
      <c r="W495" s="352"/>
      <c r="X495" s="352"/>
      <c r="Y495" s="352"/>
      <c r="Z495" s="352"/>
      <c r="AA495" s="352"/>
      <c r="AB495" s="352"/>
      <c r="AC495" s="352"/>
      <c r="AD495" s="352"/>
      <c r="AE495" s="352"/>
      <c r="AF495" s="352"/>
    </row>
    <row r="496">
      <c r="A496" s="352"/>
      <c r="B496" s="352"/>
      <c r="C496" s="352"/>
      <c r="D496" s="352"/>
      <c r="E496" s="352"/>
      <c r="F496" s="352"/>
      <c r="G496" s="352"/>
      <c r="H496" s="352"/>
      <c r="I496" s="352"/>
      <c r="J496" s="352"/>
      <c r="K496" s="352"/>
      <c r="L496" s="352"/>
      <c r="M496" s="352"/>
      <c r="N496" s="352"/>
      <c r="O496" s="352"/>
      <c r="P496" s="352"/>
      <c r="Q496" s="352"/>
      <c r="R496" s="352"/>
      <c r="S496" s="352"/>
      <c r="T496" s="352"/>
      <c r="U496" s="352"/>
      <c r="V496" s="352"/>
      <c r="W496" s="352"/>
      <c r="X496" s="352"/>
      <c r="Y496" s="352"/>
      <c r="Z496" s="352"/>
      <c r="AA496" s="352"/>
      <c r="AB496" s="352"/>
      <c r="AC496" s="352"/>
      <c r="AD496" s="352"/>
      <c r="AE496" s="352"/>
      <c r="AF496" s="352"/>
    </row>
    <row r="497">
      <c r="A497" s="352"/>
      <c r="B497" s="352"/>
      <c r="C497" s="352"/>
      <c r="D497" s="352"/>
      <c r="E497" s="352"/>
      <c r="F497" s="352"/>
      <c r="G497" s="352"/>
      <c r="H497" s="352"/>
      <c r="I497" s="352"/>
      <c r="J497" s="352"/>
      <c r="K497" s="352"/>
      <c r="L497" s="352"/>
      <c r="M497" s="352"/>
      <c r="N497" s="352"/>
      <c r="O497" s="352"/>
      <c r="P497" s="352"/>
      <c r="Q497" s="352"/>
      <c r="R497" s="352"/>
      <c r="S497" s="352"/>
      <c r="T497" s="352"/>
      <c r="U497" s="352"/>
      <c r="V497" s="352"/>
      <c r="W497" s="352"/>
      <c r="X497" s="352"/>
      <c r="Y497" s="352"/>
      <c r="Z497" s="352"/>
      <c r="AA497" s="352"/>
      <c r="AB497" s="352"/>
      <c r="AC497" s="352"/>
      <c r="AD497" s="352"/>
      <c r="AE497" s="352"/>
      <c r="AF497" s="352"/>
    </row>
    <row r="498">
      <c r="A498" s="352"/>
      <c r="B498" s="352"/>
      <c r="C498" s="352"/>
      <c r="D498" s="352"/>
      <c r="E498" s="352"/>
      <c r="F498" s="352"/>
      <c r="G498" s="352"/>
      <c r="H498" s="352"/>
      <c r="I498" s="352"/>
      <c r="J498" s="352"/>
      <c r="K498" s="352"/>
      <c r="L498" s="352"/>
      <c r="M498" s="352"/>
      <c r="N498" s="352"/>
      <c r="O498" s="352"/>
      <c r="P498" s="352"/>
      <c r="Q498" s="352"/>
      <c r="R498" s="352"/>
      <c r="S498" s="352"/>
      <c r="T498" s="352"/>
      <c r="U498" s="352"/>
      <c r="V498" s="352"/>
      <c r="W498" s="352"/>
      <c r="X498" s="352"/>
      <c r="Y498" s="352"/>
      <c r="Z498" s="352"/>
      <c r="AA498" s="352"/>
      <c r="AB498" s="352"/>
      <c r="AC498" s="352"/>
      <c r="AD498" s="352"/>
      <c r="AE498" s="352"/>
      <c r="AF498" s="352"/>
    </row>
    <row r="499">
      <c r="A499" s="352"/>
      <c r="B499" s="352"/>
      <c r="C499" s="352"/>
      <c r="D499" s="352"/>
      <c r="E499" s="352"/>
      <c r="F499" s="352"/>
      <c r="G499" s="352"/>
      <c r="H499" s="352"/>
      <c r="I499" s="352"/>
      <c r="J499" s="352"/>
      <c r="K499" s="352"/>
      <c r="L499" s="352"/>
      <c r="M499" s="352"/>
      <c r="N499" s="352"/>
      <c r="O499" s="352"/>
      <c r="P499" s="352"/>
      <c r="Q499" s="352"/>
      <c r="R499" s="352"/>
      <c r="S499" s="352"/>
      <c r="T499" s="352"/>
      <c r="U499" s="352"/>
      <c r="V499" s="352"/>
      <c r="W499" s="352"/>
      <c r="X499" s="352"/>
      <c r="Y499" s="352"/>
      <c r="Z499" s="352"/>
      <c r="AA499" s="352"/>
      <c r="AB499" s="352"/>
      <c r="AC499" s="352"/>
      <c r="AD499" s="352"/>
      <c r="AE499" s="352"/>
      <c r="AF499" s="352"/>
    </row>
    <row r="500">
      <c r="A500" s="352"/>
      <c r="B500" s="352"/>
      <c r="C500" s="352"/>
      <c r="D500" s="352"/>
      <c r="E500" s="352"/>
      <c r="F500" s="352"/>
      <c r="G500" s="352"/>
      <c r="H500" s="352"/>
      <c r="I500" s="352"/>
      <c r="J500" s="352"/>
      <c r="K500" s="352"/>
      <c r="L500" s="352"/>
      <c r="M500" s="352"/>
      <c r="N500" s="352"/>
      <c r="O500" s="352"/>
      <c r="P500" s="352"/>
      <c r="Q500" s="352"/>
      <c r="R500" s="352"/>
      <c r="S500" s="352"/>
      <c r="T500" s="352"/>
      <c r="U500" s="352"/>
      <c r="V500" s="352"/>
      <c r="W500" s="352"/>
      <c r="X500" s="352"/>
      <c r="Y500" s="352"/>
      <c r="Z500" s="352"/>
      <c r="AA500" s="352"/>
      <c r="AB500" s="352"/>
      <c r="AC500" s="352"/>
      <c r="AD500" s="352"/>
      <c r="AE500" s="352"/>
      <c r="AF500" s="352"/>
    </row>
    <row r="501">
      <c r="A501" s="352"/>
      <c r="B501" s="352"/>
      <c r="C501" s="352"/>
      <c r="D501" s="352"/>
      <c r="E501" s="352"/>
      <c r="F501" s="352"/>
      <c r="G501" s="352"/>
      <c r="H501" s="352"/>
      <c r="I501" s="352"/>
      <c r="J501" s="352"/>
      <c r="K501" s="352"/>
      <c r="L501" s="352"/>
      <c r="M501" s="352"/>
      <c r="N501" s="352"/>
      <c r="O501" s="352"/>
      <c r="P501" s="352"/>
      <c r="Q501" s="352"/>
      <c r="R501" s="352"/>
      <c r="S501" s="352"/>
      <c r="T501" s="352"/>
      <c r="U501" s="352"/>
      <c r="V501" s="352"/>
      <c r="W501" s="352"/>
      <c r="X501" s="352"/>
      <c r="Y501" s="352"/>
      <c r="Z501" s="352"/>
      <c r="AA501" s="352"/>
      <c r="AB501" s="352"/>
      <c r="AC501" s="352"/>
      <c r="AD501" s="352"/>
      <c r="AE501" s="352"/>
      <c r="AF501" s="352"/>
    </row>
    <row r="502">
      <c r="A502" s="352"/>
      <c r="B502" s="352"/>
      <c r="C502" s="352"/>
      <c r="D502" s="352"/>
      <c r="E502" s="352"/>
      <c r="F502" s="352"/>
      <c r="G502" s="352"/>
      <c r="H502" s="352"/>
      <c r="I502" s="352"/>
      <c r="J502" s="352"/>
      <c r="K502" s="352"/>
      <c r="L502" s="352"/>
      <c r="M502" s="352"/>
      <c r="N502" s="352"/>
      <c r="O502" s="352"/>
      <c r="P502" s="352"/>
      <c r="Q502" s="352"/>
      <c r="R502" s="352"/>
      <c r="S502" s="352"/>
      <c r="T502" s="352"/>
      <c r="U502" s="352"/>
      <c r="V502" s="352"/>
      <c r="W502" s="352"/>
      <c r="X502" s="352"/>
      <c r="Y502" s="352"/>
      <c r="Z502" s="352"/>
      <c r="AA502" s="352"/>
      <c r="AB502" s="352"/>
      <c r="AC502" s="352"/>
      <c r="AD502" s="352"/>
      <c r="AE502" s="352"/>
      <c r="AF502" s="352"/>
    </row>
    <row r="503">
      <c r="A503" s="352"/>
      <c r="B503" s="352"/>
      <c r="C503" s="352"/>
      <c r="D503" s="352"/>
      <c r="E503" s="352"/>
      <c r="F503" s="352"/>
      <c r="G503" s="352"/>
      <c r="H503" s="352"/>
      <c r="I503" s="352"/>
      <c r="J503" s="352"/>
      <c r="K503" s="352"/>
      <c r="L503" s="352"/>
      <c r="M503" s="352"/>
      <c r="N503" s="352"/>
      <c r="O503" s="352"/>
      <c r="P503" s="352"/>
      <c r="Q503" s="352"/>
      <c r="R503" s="352"/>
      <c r="S503" s="352"/>
      <c r="T503" s="352"/>
      <c r="U503" s="352"/>
      <c r="V503" s="352"/>
      <c r="W503" s="352"/>
      <c r="X503" s="352"/>
      <c r="Y503" s="352"/>
      <c r="Z503" s="352"/>
      <c r="AA503" s="352"/>
      <c r="AB503" s="352"/>
      <c r="AC503" s="352"/>
      <c r="AD503" s="352"/>
      <c r="AE503" s="352"/>
      <c r="AF503" s="352"/>
    </row>
    <row r="504">
      <c r="A504" s="352"/>
      <c r="B504" s="352"/>
      <c r="C504" s="352"/>
      <c r="D504" s="352"/>
      <c r="E504" s="352"/>
      <c r="F504" s="352"/>
      <c r="G504" s="352"/>
      <c r="H504" s="352"/>
      <c r="I504" s="352"/>
      <c r="J504" s="352"/>
      <c r="K504" s="352"/>
      <c r="L504" s="352"/>
      <c r="M504" s="352"/>
      <c r="N504" s="352"/>
      <c r="O504" s="352"/>
      <c r="P504" s="352"/>
      <c r="Q504" s="352"/>
      <c r="R504" s="352"/>
      <c r="S504" s="352"/>
      <c r="T504" s="352"/>
      <c r="U504" s="352"/>
      <c r="V504" s="352"/>
      <c r="W504" s="352"/>
      <c r="X504" s="352"/>
      <c r="Y504" s="352"/>
      <c r="Z504" s="352"/>
      <c r="AA504" s="352"/>
      <c r="AB504" s="352"/>
      <c r="AC504" s="352"/>
      <c r="AD504" s="352"/>
      <c r="AE504" s="352"/>
      <c r="AF504" s="352"/>
    </row>
    <row r="505">
      <c r="A505" s="352"/>
      <c r="B505" s="352"/>
      <c r="C505" s="352"/>
      <c r="D505" s="352"/>
      <c r="E505" s="352"/>
      <c r="F505" s="352"/>
      <c r="G505" s="352"/>
      <c r="H505" s="352"/>
      <c r="I505" s="352"/>
      <c r="J505" s="352"/>
      <c r="K505" s="352"/>
      <c r="L505" s="352"/>
      <c r="M505" s="352"/>
      <c r="N505" s="352"/>
      <c r="O505" s="352"/>
      <c r="P505" s="352"/>
      <c r="Q505" s="352"/>
      <c r="R505" s="352"/>
      <c r="S505" s="352"/>
      <c r="T505" s="352"/>
      <c r="U505" s="352"/>
      <c r="V505" s="352"/>
      <c r="W505" s="352"/>
      <c r="X505" s="352"/>
      <c r="Y505" s="352"/>
      <c r="Z505" s="352"/>
      <c r="AA505" s="352"/>
      <c r="AB505" s="352"/>
      <c r="AC505" s="352"/>
      <c r="AD505" s="352"/>
      <c r="AE505" s="352"/>
      <c r="AF505" s="352"/>
    </row>
    <row r="506">
      <c r="A506" s="352"/>
      <c r="B506" s="352"/>
      <c r="C506" s="352"/>
      <c r="D506" s="352"/>
      <c r="E506" s="352"/>
      <c r="F506" s="352"/>
      <c r="G506" s="352"/>
      <c r="H506" s="352"/>
      <c r="I506" s="352"/>
      <c r="J506" s="352"/>
      <c r="K506" s="352"/>
      <c r="L506" s="352"/>
      <c r="M506" s="352"/>
      <c r="N506" s="352"/>
      <c r="O506" s="352"/>
      <c r="P506" s="352"/>
      <c r="Q506" s="352"/>
      <c r="R506" s="352"/>
      <c r="S506" s="352"/>
      <c r="T506" s="352"/>
      <c r="U506" s="352"/>
      <c r="V506" s="352"/>
      <c r="W506" s="352"/>
      <c r="X506" s="352"/>
      <c r="Y506" s="352"/>
      <c r="Z506" s="352"/>
      <c r="AA506" s="352"/>
      <c r="AB506" s="352"/>
      <c r="AC506" s="352"/>
      <c r="AD506" s="352"/>
      <c r="AE506" s="352"/>
      <c r="AF506" s="352"/>
    </row>
    <row r="507">
      <c r="A507" s="352"/>
      <c r="B507" s="352"/>
      <c r="C507" s="352"/>
      <c r="D507" s="352"/>
      <c r="E507" s="352"/>
      <c r="F507" s="352"/>
      <c r="G507" s="352"/>
      <c r="H507" s="352"/>
      <c r="I507" s="352"/>
      <c r="J507" s="352"/>
      <c r="K507" s="352"/>
      <c r="L507" s="352"/>
      <c r="M507" s="352"/>
      <c r="N507" s="352"/>
      <c r="O507" s="352"/>
      <c r="P507" s="352"/>
      <c r="Q507" s="352"/>
      <c r="R507" s="352"/>
      <c r="S507" s="352"/>
      <c r="T507" s="352"/>
      <c r="U507" s="352"/>
      <c r="V507" s="352"/>
      <c r="W507" s="352"/>
      <c r="X507" s="352"/>
      <c r="Y507" s="352"/>
      <c r="Z507" s="352"/>
      <c r="AA507" s="352"/>
      <c r="AB507" s="352"/>
      <c r="AC507" s="352"/>
      <c r="AD507" s="352"/>
      <c r="AE507" s="352"/>
      <c r="AF507" s="352"/>
    </row>
    <row r="508">
      <c r="A508" s="352"/>
      <c r="B508" s="352"/>
      <c r="C508" s="352"/>
      <c r="D508" s="352"/>
      <c r="E508" s="352"/>
      <c r="F508" s="352"/>
      <c r="G508" s="352"/>
      <c r="H508" s="352"/>
      <c r="I508" s="352"/>
      <c r="J508" s="352"/>
      <c r="K508" s="352"/>
      <c r="L508" s="352"/>
      <c r="M508" s="352"/>
      <c r="N508" s="352"/>
      <c r="O508" s="352"/>
      <c r="P508" s="352"/>
      <c r="Q508" s="352"/>
      <c r="R508" s="352"/>
      <c r="S508" s="352"/>
      <c r="T508" s="352"/>
      <c r="U508" s="352"/>
      <c r="V508" s="352"/>
      <c r="W508" s="352"/>
      <c r="X508" s="352"/>
      <c r="Y508" s="352"/>
      <c r="Z508" s="352"/>
      <c r="AA508" s="352"/>
      <c r="AB508" s="352"/>
      <c r="AC508" s="352"/>
      <c r="AD508" s="352"/>
      <c r="AE508" s="352"/>
      <c r="AF508" s="352"/>
    </row>
    <row r="509">
      <c r="A509" s="352"/>
      <c r="B509" s="352"/>
      <c r="C509" s="352"/>
      <c r="D509" s="352"/>
      <c r="E509" s="352"/>
      <c r="F509" s="352"/>
      <c r="G509" s="352"/>
      <c r="H509" s="352"/>
      <c r="I509" s="352"/>
      <c r="J509" s="352"/>
      <c r="K509" s="352"/>
      <c r="L509" s="352"/>
      <c r="M509" s="352"/>
      <c r="N509" s="352"/>
      <c r="O509" s="352"/>
      <c r="P509" s="352"/>
      <c r="Q509" s="352"/>
      <c r="R509" s="352"/>
      <c r="S509" s="352"/>
      <c r="T509" s="352"/>
      <c r="U509" s="352"/>
      <c r="V509" s="352"/>
      <c r="W509" s="352"/>
      <c r="X509" s="352"/>
      <c r="Y509" s="352"/>
      <c r="Z509" s="352"/>
      <c r="AA509" s="352"/>
      <c r="AB509" s="352"/>
      <c r="AC509" s="352"/>
      <c r="AD509" s="352"/>
      <c r="AE509" s="352"/>
      <c r="AF509" s="352"/>
    </row>
    <row r="510">
      <c r="A510" s="352"/>
      <c r="B510" s="352"/>
      <c r="C510" s="352"/>
      <c r="D510" s="352"/>
      <c r="E510" s="352"/>
      <c r="F510" s="352"/>
      <c r="G510" s="352"/>
      <c r="H510" s="352"/>
      <c r="I510" s="352"/>
      <c r="J510" s="352"/>
      <c r="K510" s="352"/>
      <c r="L510" s="352"/>
      <c r="M510" s="352"/>
      <c r="N510" s="352"/>
      <c r="O510" s="352"/>
      <c r="P510" s="352"/>
      <c r="Q510" s="352"/>
      <c r="R510" s="352"/>
      <c r="S510" s="352"/>
      <c r="T510" s="352"/>
      <c r="U510" s="352"/>
      <c r="V510" s="352"/>
      <c r="W510" s="352"/>
      <c r="X510" s="352"/>
      <c r="Y510" s="352"/>
      <c r="Z510" s="352"/>
      <c r="AA510" s="352"/>
      <c r="AB510" s="352"/>
      <c r="AC510" s="352"/>
      <c r="AD510" s="352"/>
      <c r="AE510" s="352"/>
      <c r="AF510" s="352"/>
    </row>
    <row r="511">
      <c r="A511" s="352"/>
      <c r="B511" s="352"/>
      <c r="C511" s="352"/>
      <c r="D511" s="352"/>
      <c r="E511" s="352"/>
      <c r="F511" s="352"/>
      <c r="G511" s="352"/>
      <c r="H511" s="352"/>
      <c r="I511" s="352"/>
      <c r="J511" s="352"/>
      <c r="K511" s="352"/>
      <c r="L511" s="352"/>
      <c r="M511" s="352"/>
      <c r="N511" s="352"/>
      <c r="O511" s="352"/>
      <c r="P511" s="352"/>
      <c r="Q511" s="352"/>
      <c r="R511" s="352"/>
      <c r="S511" s="352"/>
      <c r="T511" s="352"/>
      <c r="U511" s="352"/>
      <c r="V511" s="352"/>
      <c r="W511" s="352"/>
      <c r="X511" s="352"/>
      <c r="Y511" s="352"/>
      <c r="Z511" s="352"/>
      <c r="AA511" s="352"/>
      <c r="AB511" s="352"/>
      <c r="AC511" s="352"/>
      <c r="AD511" s="352"/>
      <c r="AE511" s="352"/>
      <c r="AF511" s="352"/>
    </row>
    <row r="512">
      <c r="A512" s="352"/>
      <c r="B512" s="352"/>
      <c r="C512" s="352"/>
      <c r="D512" s="352"/>
      <c r="E512" s="352"/>
      <c r="F512" s="352"/>
      <c r="G512" s="352"/>
      <c r="H512" s="352"/>
      <c r="I512" s="352"/>
      <c r="J512" s="352"/>
      <c r="K512" s="352"/>
      <c r="L512" s="352"/>
      <c r="M512" s="352"/>
      <c r="N512" s="352"/>
      <c r="O512" s="352"/>
      <c r="P512" s="352"/>
      <c r="Q512" s="352"/>
      <c r="R512" s="352"/>
      <c r="S512" s="352"/>
      <c r="T512" s="352"/>
      <c r="U512" s="352"/>
      <c r="V512" s="352"/>
      <c r="W512" s="352"/>
      <c r="X512" s="352"/>
      <c r="Y512" s="352"/>
      <c r="Z512" s="352"/>
      <c r="AA512" s="352"/>
      <c r="AB512" s="352"/>
      <c r="AC512" s="352"/>
      <c r="AD512" s="352"/>
      <c r="AE512" s="352"/>
      <c r="AF512" s="352"/>
    </row>
    <row r="513">
      <c r="A513" s="352"/>
      <c r="B513" s="352"/>
      <c r="C513" s="352"/>
      <c r="D513" s="352"/>
      <c r="E513" s="352"/>
      <c r="F513" s="352"/>
      <c r="G513" s="352"/>
      <c r="H513" s="352"/>
      <c r="I513" s="352"/>
      <c r="J513" s="352"/>
      <c r="K513" s="352"/>
      <c r="L513" s="352"/>
      <c r="M513" s="352"/>
      <c r="N513" s="352"/>
      <c r="O513" s="352"/>
      <c r="P513" s="352"/>
      <c r="Q513" s="352"/>
      <c r="R513" s="352"/>
      <c r="S513" s="352"/>
      <c r="T513" s="352"/>
      <c r="U513" s="352"/>
      <c r="V513" s="352"/>
      <c r="W513" s="352"/>
      <c r="X513" s="352"/>
      <c r="Y513" s="352"/>
      <c r="Z513" s="352"/>
      <c r="AA513" s="352"/>
      <c r="AB513" s="352"/>
      <c r="AC513" s="352"/>
      <c r="AD513" s="352"/>
      <c r="AE513" s="352"/>
      <c r="AF513" s="352"/>
    </row>
    <row r="514">
      <c r="A514" s="352"/>
      <c r="B514" s="352"/>
      <c r="C514" s="352"/>
      <c r="D514" s="352"/>
      <c r="E514" s="352"/>
      <c r="F514" s="352"/>
      <c r="G514" s="352"/>
      <c r="H514" s="352"/>
      <c r="I514" s="352"/>
      <c r="J514" s="352"/>
      <c r="K514" s="352"/>
      <c r="L514" s="352"/>
      <c r="M514" s="352"/>
      <c r="N514" s="352"/>
      <c r="O514" s="352"/>
      <c r="P514" s="352"/>
      <c r="Q514" s="352"/>
      <c r="R514" s="352"/>
      <c r="S514" s="352"/>
      <c r="T514" s="352"/>
      <c r="U514" s="352"/>
      <c r="V514" s="352"/>
      <c r="W514" s="352"/>
      <c r="X514" s="352"/>
      <c r="Y514" s="352"/>
      <c r="Z514" s="352"/>
      <c r="AA514" s="352"/>
      <c r="AB514" s="352"/>
      <c r="AC514" s="352"/>
      <c r="AD514" s="352"/>
      <c r="AE514" s="352"/>
      <c r="AF514" s="352"/>
    </row>
    <row r="515">
      <c r="A515" s="352"/>
      <c r="B515" s="352"/>
      <c r="C515" s="352"/>
      <c r="D515" s="352"/>
      <c r="E515" s="352"/>
      <c r="F515" s="352"/>
      <c r="G515" s="352"/>
      <c r="H515" s="352"/>
      <c r="I515" s="352"/>
      <c r="J515" s="352"/>
      <c r="K515" s="352"/>
      <c r="L515" s="352"/>
      <c r="M515" s="352"/>
      <c r="N515" s="352"/>
      <c r="O515" s="352"/>
      <c r="P515" s="352"/>
      <c r="Q515" s="352"/>
      <c r="R515" s="352"/>
      <c r="S515" s="352"/>
      <c r="T515" s="352"/>
      <c r="U515" s="352"/>
      <c r="V515" s="352"/>
      <c r="W515" s="352"/>
      <c r="X515" s="352"/>
      <c r="Y515" s="352"/>
      <c r="Z515" s="352"/>
      <c r="AA515" s="352"/>
      <c r="AB515" s="352"/>
      <c r="AC515" s="352"/>
      <c r="AD515" s="352"/>
      <c r="AE515" s="352"/>
      <c r="AF515" s="352"/>
    </row>
    <row r="516">
      <c r="A516" s="352"/>
      <c r="B516" s="352"/>
      <c r="C516" s="352"/>
      <c r="D516" s="352"/>
      <c r="E516" s="352"/>
      <c r="F516" s="352"/>
      <c r="G516" s="352"/>
      <c r="H516" s="352"/>
      <c r="I516" s="352"/>
      <c r="J516" s="352"/>
      <c r="K516" s="352"/>
      <c r="L516" s="352"/>
      <c r="M516" s="352"/>
      <c r="N516" s="352"/>
      <c r="O516" s="352"/>
      <c r="P516" s="352"/>
      <c r="Q516" s="352"/>
      <c r="R516" s="352"/>
      <c r="S516" s="352"/>
      <c r="T516" s="352"/>
      <c r="U516" s="352"/>
      <c r="V516" s="352"/>
      <c r="W516" s="352"/>
      <c r="X516" s="352"/>
      <c r="Y516" s="352"/>
      <c r="Z516" s="352"/>
      <c r="AA516" s="352"/>
      <c r="AB516" s="352"/>
      <c r="AC516" s="352"/>
      <c r="AD516" s="352"/>
      <c r="AE516" s="352"/>
      <c r="AF516" s="352"/>
    </row>
    <row r="517">
      <c r="A517" s="352"/>
      <c r="B517" s="352"/>
      <c r="C517" s="352"/>
      <c r="D517" s="352"/>
      <c r="E517" s="352"/>
      <c r="F517" s="352"/>
      <c r="G517" s="352"/>
      <c r="H517" s="352"/>
      <c r="I517" s="352"/>
      <c r="J517" s="352"/>
      <c r="K517" s="352"/>
      <c r="L517" s="352"/>
      <c r="M517" s="352"/>
      <c r="N517" s="352"/>
      <c r="O517" s="352"/>
      <c r="P517" s="352"/>
      <c r="Q517" s="352"/>
      <c r="R517" s="352"/>
      <c r="S517" s="352"/>
      <c r="T517" s="352"/>
      <c r="U517" s="352"/>
      <c r="V517" s="352"/>
      <c r="W517" s="352"/>
      <c r="X517" s="352"/>
      <c r="Y517" s="352"/>
      <c r="Z517" s="352"/>
      <c r="AA517" s="352"/>
      <c r="AB517" s="352"/>
      <c r="AC517" s="352"/>
      <c r="AD517" s="352"/>
      <c r="AE517" s="352"/>
      <c r="AF517" s="352"/>
    </row>
    <row r="518">
      <c r="A518" s="352"/>
      <c r="B518" s="35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c r="AA518" s="352"/>
      <c r="AB518" s="352"/>
      <c r="AC518" s="352"/>
      <c r="AD518" s="352"/>
      <c r="AE518" s="352"/>
      <c r="AF518" s="352"/>
    </row>
    <row r="519">
      <c r="A519" s="352"/>
      <c r="B519" s="352"/>
      <c r="C519" s="352"/>
      <c r="D519" s="352"/>
      <c r="E519" s="352"/>
      <c r="F519" s="352"/>
      <c r="G519" s="352"/>
      <c r="H519" s="352"/>
      <c r="I519" s="352"/>
      <c r="J519" s="352"/>
      <c r="K519" s="352"/>
      <c r="L519" s="352"/>
      <c r="M519" s="352"/>
      <c r="N519" s="352"/>
      <c r="O519" s="352"/>
      <c r="P519" s="352"/>
      <c r="Q519" s="352"/>
      <c r="R519" s="352"/>
      <c r="S519" s="352"/>
      <c r="T519" s="352"/>
      <c r="U519" s="352"/>
      <c r="V519" s="352"/>
      <c r="W519" s="352"/>
      <c r="X519" s="352"/>
      <c r="Y519" s="352"/>
      <c r="Z519" s="352"/>
      <c r="AA519" s="352"/>
      <c r="AB519" s="352"/>
      <c r="AC519" s="352"/>
      <c r="AD519" s="352"/>
      <c r="AE519" s="352"/>
      <c r="AF519" s="352"/>
    </row>
    <row r="520">
      <c r="A520" s="352"/>
      <c r="B520" s="352"/>
      <c r="C520" s="352"/>
      <c r="D520" s="352"/>
      <c r="E520" s="352"/>
      <c r="F520" s="352"/>
      <c r="G520" s="352"/>
      <c r="H520" s="352"/>
      <c r="I520" s="352"/>
      <c r="J520" s="352"/>
      <c r="K520" s="352"/>
      <c r="L520" s="352"/>
      <c r="M520" s="352"/>
      <c r="N520" s="352"/>
      <c r="O520" s="352"/>
      <c r="P520" s="352"/>
      <c r="Q520" s="352"/>
      <c r="R520" s="352"/>
      <c r="S520" s="352"/>
      <c r="T520" s="352"/>
      <c r="U520" s="352"/>
      <c r="V520" s="352"/>
      <c r="W520" s="352"/>
      <c r="X520" s="352"/>
      <c r="Y520" s="352"/>
      <c r="Z520" s="352"/>
      <c r="AA520" s="352"/>
      <c r="AB520" s="352"/>
      <c r="AC520" s="352"/>
      <c r="AD520" s="352"/>
      <c r="AE520" s="352"/>
      <c r="AF520" s="352"/>
    </row>
    <row r="521">
      <c r="A521" s="352"/>
      <c r="B521" s="352"/>
      <c r="C521" s="352"/>
      <c r="D521" s="352"/>
      <c r="E521" s="352"/>
      <c r="F521" s="352"/>
      <c r="G521" s="352"/>
      <c r="H521" s="352"/>
      <c r="I521" s="352"/>
      <c r="J521" s="352"/>
      <c r="K521" s="352"/>
      <c r="L521" s="352"/>
      <c r="M521" s="352"/>
      <c r="N521" s="352"/>
      <c r="O521" s="352"/>
      <c r="P521" s="352"/>
      <c r="Q521" s="352"/>
      <c r="R521" s="352"/>
      <c r="S521" s="352"/>
      <c r="T521" s="352"/>
      <c r="U521" s="352"/>
      <c r="V521" s="352"/>
      <c r="W521" s="352"/>
      <c r="X521" s="352"/>
      <c r="Y521" s="352"/>
      <c r="Z521" s="352"/>
      <c r="AA521" s="352"/>
      <c r="AB521" s="352"/>
      <c r="AC521" s="352"/>
      <c r="AD521" s="352"/>
      <c r="AE521" s="352"/>
      <c r="AF521" s="352"/>
    </row>
    <row r="522">
      <c r="A522" s="352"/>
      <c r="B522" s="352"/>
      <c r="C522" s="352"/>
      <c r="D522" s="352"/>
      <c r="E522" s="352"/>
      <c r="F522" s="352"/>
      <c r="G522" s="352"/>
      <c r="H522" s="352"/>
      <c r="I522" s="352"/>
      <c r="J522" s="352"/>
      <c r="K522" s="352"/>
      <c r="L522" s="352"/>
      <c r="M522" s="352"/>
      <c r="N522" s="352"/>
      <c r="O522" s="352"/>
      <c r="P522" s="352"/>
      <c r="Q522" s="352"/>
      <c r="R522" s="352"/>
      <c r="S522" s="352"/>
      <c r="T522" s="352"/>
      <c r="U522" s="352"/>
      <c r="V522" s="352"/>
      <c r="W522" s="352"/>
      <c r="X522" s="352"/>
      <c r="Y522" s="352"/>
      <c r="Z522" s="352"/>
      <c r="AA522" s="352"/>
      <c r="AB522" s="352"/>
      <c r="AC522" s="352"/>
      <c r="AD522" s="352"/>
      <c r="AE522" s="352"/>
      <c r="AF522" s="352"/>
    </row>
    <row r="523">
      <c r="A523" s="352"/>
      <c r="B523" s="352"/>
      <c r="C523" s="352"/>
      <c r="D523" s="352"/>
      <c r="E523" s="352"/>
      <c r="F523" s="352"/>
      <c r="G523" s="352"/>
      <c r="H523" s="352"/>
      <c r="I523" s="352"/>
      <c r="J523" s="352"/>
      <c r="K523" s="352"/>
      <c r="L523" s="352"/>
      <c r="M523" s="352"/>
      <c r="N523" s="352"/>
      <c r="O523" s="352"/>
      <c r="P523" s="352"/>
      <c r="Q523" s="352"/>
      <c r="R523" s="352"/>
      <c r="S523" s="352"/>
      <c r="T523" s="352"/>
      <c r="U523" s="352"/>
      <c r="V523" s="352"/>
      <c r="W523" s="352"/>
      <c r="X523" s="352"/>
      <c r="Y523" s="352"/>
      <c r="Z523" s="352"/>
      <c r="AA523" s="352"/>
      <c r="AB523" s="352"/>
      <c r="AC523" s="352"/>
      <c r="AD523" s="352"/>
      <c r="AE523" s="352"/>
      <c r="AF523" s="352"/>
    </row>
    <row r="524">
      <c r="A524" s="352"/>
      <c r="B524" s="352"/>
      <c r="C524" s="352"/>
      <c r="D524" s="352"/>
      <c r="E524" s="352"/>
      <c r="F524" s="352"/>
      <c r="G524" s="352"/>
      <c r="H524" s="352"/>
      <c r="I524" s="352"/>
      <c r="J524" s="352"/>
      <c r="K524" s="352"/>
      <c r="L524" s="352"/>
      <c r="M524" s="352"/>
      <c r="N524" s="352"/>
      <c r="O524" s="352"/>
      <c r="P524" s="352"/>
      <c r="Q524" s="352"/>
      <c r="R524" s="352"/>
      <c r="S524" s="352"/>
      <c r="T524" s="352"/>
      <c r="U524" s="352"/>
      <c r="V524" s="352"/>
      <c r="W524" s="352"/>
      <c r="X524" s="352"/>
      <c r="Y524" s="352"/>
      <c r="Z524" s="352"/>
      <c r="AA524" s="352"/>
      <c r="AB524" s="352"/>
      <c r="AC524" s="352"/>
      <c r="AD524" s="352"/>
      <c r="AE524" s="352"/>
      <c r="AF524" s="352"/>
    </row>
    <row r="525">
      <c r="A525" s="352"/>
      <c r="B525" s="352"/>
      <c r="C525" s="352"/>
      <c r="D525" s="352"/>
      <c r="E525" s="352"/>
      <c r="F525" s="352"/>
      <c r="G525" s="352"/>
      <c r="H525" s="352"/>
      <c r="I525" s="352"/>
      <c r="J525" s="352"/>
      <c r="K525" s="352"/>
      <c r="L525" s="352"/>
      <c r="M525" s="352"/>
      <c r="N525" s="352"/>
      <c r="O525" s="352"/>
      <c r="P525" s="352"/>
      <c r="Q525" s="352"/>
      <c r="R525" s="352"/>
      <c r="S525" s="352"/>
      <c r="T525" s="352"/>
      <c r="U525" s="352"/>
      <c r="V525" s="352"/>
      <c r="W525" s="352"/>
      <c r="X525" s="352"/>
      <c r="Y525" s="352"/>
      <c r="Z525" s="352"/>
      <c r="AA525" s="352"/>
      <c r="AB525" s="352"/>
      <c r="AC525" s="352"/>
      <c r="AD525" s="352"/>
      <c r="AE525" s="352"/>
      <c r="AF525" s="352"/>
    </row>
    <row r="526">
      <c r="A526" s="352"/>
      <c r="B526" s="352"/>
      <c r="C526" s="352"/>
      <c r="D526" s="352"/>
      <c r="E526" s="352"/>
      <c r="F526" s="352"/>
      <c r="G526" s="352"/>
      <c r="H526" s="352"/>
      <c r="I526" s="352"/>
      <c r="J526" s="352"/>
      <c r="K526" s="352"/>
      <c r="L526" s="352"/>
      <c r="M526" s="352"/>
      <c r="N526" s="352"/>
      <c r="O526" s="352"/>
      <c r="P526" s="352"/>
      <c r="Q526" s="352"/>
      <c r="R526" s="352"/>
      <c r="S526" s="352"/>
      <c r="T526" s="352"/>
      <c r="U526" s="352"/>
      <c r="V526" s="352"/>
      <c r="W526" s="352"/>
      <c r="X526" s="352"/>
      <c r="Y526" s="352"/>
      <c r="Z526" s="352"/>
      <c r="AA526" s="352"/>
      <c r="AB526" s="352"/>
      <c r="AC526" s="352"/>
      <c r="AD526" s="352"/>
      <c r="AE526" s="352"/>
      <c r="AF526" s="352"/>
    </row>
    <row r="527">
      <c r="A527" s="352"/>
      <c r="B527" s="352"/>
      <c r="C527" s="352"/>
      <c r="D527" s="352"/>
      <c r="E527" s="352"/>
      <c r="F527" s="352"/>
      <c r="G527" s="352"/>
      <c r="H527" s="352"/>
      <c r="I527" s="352"/>
      <c r="J527" s="352"/>
      <c r="K527" s="352"/>
      <c r="L527" s="352"/>
      <c r="M527" s="352"/>
      <c r="N527" s="352"/>
      <c r="O527" s="352"/>
      <c r="P527" s="352"/>
      <c r="Q527" s="352"/>
      <c r="R527" s="352"/>
      <c r="S527" s="352"/>
      <c r="T527" s="352"/>
      <c r="U527" s="352"/>
      <c r="V527" s="352"/>
      <c r="W527" s="352"/>
      <c r="X527" s="352"/>
      <c r="Y527" s="352"/>
      <c r="Z527" s="352"/>
      <c r="AA527" s="352"/>
      <c r="AB527" s="352"/>
      <c r="AC527" s="352"/>
      <c r="AD527" s="352"/>
      <c r="AE527" s="352"/>
      <c r="AF527" s="352"/>
    </row>
    <row r="528">
      <c r="A528" s="352"/>
      <c r="B528" s="352"/>
      <c r="C528" s="352"/>
      <c r="D528" s="352"/>
      <c r="E528" s="352"/>
      <c r="F528" s="352"/>
      <c r="G528" s="352"/>
      <c r="H528" s="352"/>
      <c r="I528" s="352"/>
      <c r="J528" s="352"/>
      <c r="K528" s="352"/>
      <c r="L528" s="352"/>
      <c r="M528" s="352"/>
      <c r="N528" s="352"/>
      <c r="O528" s="352"/>
      <c r="P528" s="352"/>
      <c r="Q528" s="352"/>
      <c r="R528" s="352"/>
      <c r="S528" s="352"/>
      <c r="T528" s="352"/>
      <c r="U528" s="352"/>
      <c r="V528" s="352"/>
      <c r="W528" s="352"/>
      <c r="X528" s="352"/>
      <c r="Y528" s="352"/>
      <c r="Z528" s="352"/>
      <c r="AA528" s="352"/>
      <c r="AB528" s="352"/>
      <c r="AC528" s="352"/>
      <c r="AD528" s="352"/>
      <c r="AE528" s="352"/>
      <c r="AF528" s="352"/>
    </row>
    <row r="529">
      <c r="A529" s="352"/>
      <c r="B529" s="352"/>
      <c r="C529" s="352"/>
      <c r="D529" s="352"/>
      <c r="E529" s="352"/>
      <c r="F529" s="352"/>
      <c r="G529" s="352"/>
      <c r="H529" s="352"/>
      <c r="I529" s="352"/>
      <c r="J529" s="352"/>
      <c r="K529" s="352"/>
      <c r="L529" s="352"/>
      <c r="M529" s="352"/>
      <c r="N529" s="352"/>
      <c r="O529" s="352"/>
      <c r="P529" s="352"/>
      <c r="Q529" s="352"/>
      <c r="R529" s="352"/>
      <c r="S529" s="352"/>
      <c r="T529" s="352"/>
      <c r="U529" s="352"/>
      <c r="V529" s="352"/>
      <c r="W529" s="352"/>
      <c r="X529" s="352"/>
      <c r="Y529" s="352"/>
      <c r="Z529" s="352"/>
      <c r="AA529" s="352"/>
      <c r="AB529" s="352"/>
      <c r="AC529" s="352"/>
      <c r="AD529" s="352"/>
      <c r="AE529" s="352"/>
      <c r="AF529" s="352"/>
    </row>
    <row r="530">
      <c r="A530" s="352"/>
      <c r="B530" s="352"/>
      <c r="C530" s="352"/>
      <c r="D530" s="352"/>
      <c r="E530" s="352"/>
      <c r="F530" s="352"/>
      <c r="G530" s="352"/>
      <c r="H530" s="352"/>
      <c r="I530" s="352"/>
      <c r="J530" s="352"/>
      <c r="K530" s="352"/>
      <c r="L530" s="352"/>
      <c r="M530" s="352"/>
      <c r="N530" s="352"/>
      <c r="O530" s="352"/>
      <c r="P530" s="352"/>
      <c r="Q530" s="352"/>
      <c r="R530" s="352"/>
      <c r="S530" s="352"/>
      <c r="T530" s="352"/>
      <c r="U530" s="352"/>
      <c r="V530" s="352"/>
      <c r="W530" s="352"/>
      <c r="X530" s="352"/>
      <c r="Y530" s="352"/>
      <c r="Z530" s="352"/>
      <c r="AA530" s="352"/>
      <c r="AB530" s="352"/>
      <c r="AC530" s="352"/>
      <c r="AD530" s="352"/>
      <c r="AE530" s="352"/>
      <c r="AF530" s="352"/>
    </row>
    <row r="531">
      <c r="A531" s="352"/>
      <c r="B531" s="352"/>
      <c r="C531" s="352"/>
      <c r="D531" s="352"/>
      <c r="E531" s="352"/>
      <c r="F531" s="352"/>
      <c r="G531" s="352"/>
      <c r="H531" s="352"/>
      <c r="I531" s="352"/>
      <c r="J531" s="352"/>
      <c r="K531" s="352"/>
      <c r="L531" s="352"/>
      <c r="M531" s="352"/>
      <c r="N531" s="352"/>
      <c r="O531" s="352"/>
      <c r="P531" s="352"/>
      <c r="Q531" s="352"/>
      <c r="R531" s="352"/>
      <c r="S531" s="352"/>
      <c r="T531" s="352"/>
      <c r="U531" s="352"/>
      <c r="V531" s="352"/>
      <c r="W531" s="352"/>
      <c r="X531" s="352"/>
      <c r="Y531" s="352"/>
      <c r="Z531" s="352"/>
      <c r="AA531" s="352"/>
      <c r="AB531" s="352"/>
      <c r="AC531" s="352"/>
      <c r="AD531" s="352"/>
      <c r="AE531" s="352"/>
      <c r="AF531" s="352"/>
    </row>
    <row r="532">
      <c r="A532" s="352"/>
      <c r="B532" s="352"/>
      <c r="C532" s="352"/>
      <c r="D532" s="352"/>
      <c r="E532" s="352"/>
      <c r="F532" s="352"/>
      <c r="G532" s="352"/>
      <c r="H532" s="352"/>
      <c r="I532" s="352"/>
      <c r="J532" s="352"/>
      <c r="K532" s="352"/>
      <c r="L532" s="352"/>
      <c r="M532" s="352"/>
      <c r="N532" s="352"/>
      <c r="O532" s="352"/>
      <c r="P532" s="352"/>
      <c r="Q532" s="352"/>
      <c r="R532" s="352"/>
      <c r="S532" s="352"/>
      <c r="T532" s="352"/>
      <c r="U532" s="352"/>
      <c r="V532" s="352"/>
      <c r="W532" s="352"/>
      <c r="X532" s="352"/>
      <c r="Y532" s="352"/>
      <c r="Z532" s="352"/>
      <c r="AA532" s="352"/>
      <c r="AB532" s="352"/>
      <c r="AC532" s="352"/>
      <c r="AD532" s="352"/>
      <c r="AE532" s="352"/>
      <c r="AF532" s="352"/>
    </row>
    <row r="533">
      <c r="A533" s="352"/>
      <c r="B533" s="352"/>
      <c r="C533" s="352"/>
      <c r="D533" s="352"/>
      <c r="E533" s="352"/>
      <c r="F533" s="352"/>
      <c r="G533" s="352"/>
      <c r="H533" s="352"/>
      <c r="I533" s="352"/>
      <c r="J533" s="352"/>
      <c r="K533" s="352"/>
      <c r="L533" s="352"/>
      <c r="M533" s="352"/>
      <c r="N533" s="352"/>
      <c r="O533" s="352"/>
      <c r="P533" s="352"/>
      <c r="Q533" s="352"/>
      <c r="R533" s="352"/>
      <c r="S533" s="352"/>
      <c r="T533" s="352"/>
      <c r="U533" s="352"/>
      <c r="V533" s="352"/>
      <c r="W533" s="352"/>
      <c r="X533" s="352"/>
      <c r="Y533" s="352"/>
      <c r="Z533" s="352"/>
      <c r="AA533" s="352"/>
      <c r="AB533" s="352"/>
      <c r="AC533" s="352"/>
      <c r="AD533" s="352"/>
      <c r="AE533" s="352"/>
      <c r="AF533" s="352"/>
    </row>
    <row r="534">
      <c r="A534" s="352"/>
      <c r="B534" s="352"/>
      <c r="C534" s="352"/>
      <c r="D534" s="352"/>
      <c r="E534" s="352"/>
      <c r="F534" s="352"/>
      <c r="G534" s="352"/>
      <c r="H534" s="352"/>
      <c r="I534" s="352"/>
      <c r="J534" s="352"/>
      <c r="K534" s="352"/>
      <c r="L534" s="352"/>
      <c r="M534" s="352"/>
      <c r="N534" s="352"/>
      <c r="O534" s="352"/>
      <c r="P534" s="352"/>
      <c r="Q534" s="352"/>
      <c r="R534" s="352"/>
      <c r="S534" s="352"/>
      <c r="T534" s="352"/>
      <c r="U534" s="352"/>
      <c r="V534" s="352"/>
      <c r="W534" s="352"/>
      <c r="X534" s="352"/>
      <c r="Y534" s="352"/>
      <c r="Z534" s="352"/>
      <c r="AA534" s="352"/>
      <c r="AB534" s="352"/>
      <c r="AC534" s="352"/>
      <c r="AD534" s="352"/>
      <c r="AE534" s="352"/>
      <c r="AF534" s="352"/>
    </row>
    <row r="535">
      <c r="A535" s="352"/>
      <c r="B535" s="352"/>
      <c r="C535" s="352"/>
      <c r="D535" s="352"/>
      <c r="E535" s="352"/>
      <c r="F535" s="352"/>
      <c r="G535" s="352"/>
      <c r="H535" s="352"/>
      <c r="I535" s="352"/>
      <c r="J535" s="352"/>
      <c r="K535" s="352"/>
      <c r="L535" s="352"/>
      <c r="M535" s="352"/>
      <c r="N535" s="352"/>
      <c r="O535" s="352"/>
      <c r="P535" s="352"/>
      <c r="Q535" s="352"/>
      <c r="R535" s="352"/>
      <c r="S535" s="352"/>
      <c r="T535" s="352"/>
      <c r="U535" s="352"/>
      <c r="V535" s="352"/>
      <c r="W535" s="352"/>
      <c r="X535" s="352"/>
      <c r="Y535" s="352"/>
      <c r="Z535" s="352"/>
      <c r="AA535" s="352"/>
      <c r="AB535" s="352"/>
      <c r="AC535" s="352"/>
      <c r="AD535" s="352"/>
      <c r="AE535" s="352"/>
      <c r="AF535" s="352"/>
    </row>
    <row r="536">
      <c r="A536" s="352"/>
      <c r="B536" s="352"/>
      <c r="C536" s="352"/>
      <c r="D536" s="352"/>
      <c r="E536" s="352"/>
      <c r="F536" s="352"/>
      <c r="G536" s="352"/>
      <c r="H536" s="352"/>
      <c r="I536" s="352"/>
      <c r="J536" s="352"/>
      <c r="K536" s="352"/>
      <c r="L536" s="352"/>
      <c r="M536" s="352"/>
      <c r="N536" s="352"/>
      <c r="O536" s="352"/>
      <c r="P536" s="352"/>
      <c r="Q536" s="352"/>
      <c r="R536" s="352"/>
      <c r="S536" s="352"/>
      <c r="T536" s="352"/>
      <c r="U536" s="352"/>
      <c r="V536" s="352"/>
      <c r="W536" s="352"/>
      <c r="X536" s="352"/>
      <c r="Y536" s="352"/>
      <c r="Z536" s="352"/>
      <c r="AA536" s="352"/>
      <c r="AB536" s="352"/>
      <c r="AC536" s="352"/>
      <c r="AD536" s="352"/>
      <c r="AE536" s="352"/>
      <c r="AF536" s="352"/>
    </row>
    <row r="537">
      <c r="A537" s="352"/>
      <c r="B537" s="352"/>
      <c r="C537" s="352"/>
      <c r="D537" s="352"/>
      <c r="E537" s="352"/>
      <c r="F537" s="352"/>
      <c r="G537" s="352"/>
      <c r="H537" s="352"/>
      <c r="I537" s="352"/>
      <c r="J537" s="352"/>
      <c r="K537" s="352"/>
      <c r="L537" s="352"/>
      <c r="M537" s="352"/>
      <c r="N537" s="352"/>
      <c r="O537" s="352"/>
      <c r="P537" s="352"/>
      <c r="Q537" s="352"/>
      <c r="R537" s="352"/>
      <c r="S537" s="352"/>
      <c r="T537" s="352"/>
      <c r="U537" s="352"/>
      <c r="V537" s="352"/>
      <c r="W537" s="352"/>
      <c r="X537" s="352"/>
      <c r="Y537" s="352"/>
      <c r="Z537" s="352"/>
      <c r="AA537" s="352"/>
      <c r="AB537" s="352"/>
      <c r="AC537" s="352"/>
      <c r="AD537" s="352"/>
      <c r="AE537" s="352"/>
      <c r="AF537" s="352"/>
    </row>
    <row r="538">
      <c r="A538" s="352"/>
      <c r="B538" s="352"/>
      <c r="C538" s="352"/>
      <c r="D538" s="352"/>
      <c r="E538" s="352"/>
      <c r="F538" s="352"/>
      <c r="G538" s="352"/>
      <c r="H538" s="352"/>
      <c r="I538" s="352"/>
      <c r="J538" s="352"/>
      <c r="K538" s="352"/>
      <c r="L538" s="352"/>
      <c r="M538" s="352"/>
      <c r="N538" s="352"/>
      <c r="O538" s="352"/>
      <c r="P538" s="352"/>
      <c r="Q538" s="352"/>
      <c r="R538" s="352"/>
      <c r="S538" s="352"/>
      <c r="T538" s="352"/>
      <c r="U538" s="352"/>
      <c r="V538" s="352"/>
      <c r="W538" s="352"/>
      <c r="X538" s="352"/>
      <c r="Y538" s="352"/>
      <c r="Z538" s="352"/>
      <c r="AA538" s="352"/>
      <c r="AB538" s="352"/>
      <c r="AC538" s="352"/>
      <c r="AD538" s="352"/>
      <c r="AE538" s="352"/>
      <c r="AF538" s="352"/>
    </row>
    <row r="539">
      <c r="A539" s="352"/>
      <c r="B539" s="352"/>
      <c r="C539" s="352"/>
      <c r="D539" s="352"/>
      <c r="E539" s="352"/>
      <c r="F539" s="352"/>
      <c r="G539" s="352"/>
      <c r="H539" s="352"/>
      <c r="I539" s="352"/>
      <c r="J539" s="352"/>
      <c r="K539" s="352"/>
      <c r="L539" s="352"/>
      <c r="M539" s="352"/>
      <c r="N539" s="352"/>
      <c r="O539" s="352"/>
      <c r="P539" s="352"/>
      <c r="Q539" s="352"/>
      <c r="R539" s="352"/>
      <c r="S539" s="352"/>
      <c r="T539" s="352"/>
      <c r="U539" s="352"/>
      <c r="V539" s="352"/>
      <c r="W539" s="352"/>
      <c r="X539" s="352"/>
      <c r="Y539" s="352"/>
      <c r="Z539" s="352"/>
      <c r="AA539" s="352"/>
      <c r="AB539" s="352"/>
      <c r="AC539" s="352"/>
      <c r="AD539" s="352"/>
      <c r="AE539" s="352"/>
      <c r="AF539" s="352"/>
    </row>
    <row r="540">
      <c r="A540" s="352"/>
      <c r="B540" s="352"/>
      <c r="C540" s="352"/>
      <c r="D540" s="352"/>
      <c r="E540" s="352"/>
      <c r="F540" s="352"/>
      <c r="G540" s="352"/>
      <c r="H540" s="352"/>
      <c r="I540" s="352"/>
      <c r="J540" s="352"/>
      <c r="K540" s="352"/>
      <c r="L540" s="352"/>
      <c r="M540" s="352"/>
      <c r="N540" s="352"/>
      <c r="O540" s="352"/>
      <c r="P540" s="352"/>
      <c r="Q540" s="352"/>
      <c r="R540" s="352"/>
      <c r="S540" s="352"/>
      <c r="T540" s="352"/>
      <c r="U540" s="352"/>
      <c r="V540" s="352"/>
      <c r="W540" s="352"/>
      <c r="X540" s="352"/>
      <c r="Y540" s="352"/>
      <c r="Z540" s="352"/>
      <c r="AA540" s="352"/>
      <c r="AB540" s="352"/>
      <c r="AC540" s="352"/>
      <c r="AD540" s="352"/>
      <c r="AE540" s="352"/>
      <c r="AF540" s="352"/>
    </row>
    <row r="541">
      <c r="A541" s="352"/>
      <c r="B541" s="352"/>
      <c r="C541" s="352"/>
      <c r="D541" s="352"/>
      <c r="E541" s="352"/>
      <c r="F541" s="352"/>
      <c r="G541" s="352"/>
      <c r="H541" s="352"/>
      <c r="I541" s="352"/>
      <c r="J541" s="352"/>
      <c r="K541" s="352"/>
      <c r="L541" s="352"/>
      <c r="M541" s="352"/>
      <c r="N541" s="352"/>
      <c r="O541" s="352"/>
      <c r="P541" s="352"/>
      <c r="Q541" s="352"/>
      <c r="R541" s="352"/>
      <c r="S541" s="352"/>
      <c r="T541" s="352"/>
      <c r="U541" s="352"/>
      <c r="V541" s="352"/>
      <c r="W541" s="352"/>
      <c r="X541" s="352"/>
      <c r="Y541" s="352"/>
      <c r="Z541" s="352"/>
      <c r="AA541" s="352"/>
      <c r="AB541" s="352"/>
      <c r="AC541" s="352"/>
      <c r="AD541" s="352"/>
      <c r="AE541" s="352"/>
      <c r="AF541" s="352"/>
    </row>
    <row r="542">
      <c r="A542" s="352"/>
      <c r="B542" s="352"/>
      <c r="C542" s="352"/>
      <c r="D542" s="352"/>
      <c r="E542" s="352"/>
      <c r="F542" s="352"/>
      <c r="G542" s="352"/>
      <c r="H542" s="352"/>
      <c r="I542" s="352"/>
      <c r="J542" s="352"/>
      <c r="K542" s="352"/>
      <c r="L542" s="352"/>
      <c r="M542" s="352"/>
      <c r="N542" s="352"/>
      <c r="O542" s="352"/>
      <c r="P542" s="352"/>
      <c r="Q542" s="352"/>
      <c r="R542" s="352"/>
      <c r="S542" s="352"/>
      <c r="T542" s="352"/>
      <c r="U542" s="352"/>
      <c r="V542" s="352"/>
      <c r="W542" s="352"/>
      <c r="X542" s="352"/>
      <c r="Y542" s="352"/>
      <c r="Z542" s="352"/>
      <c r="AA542" s="352"/>
      <c r="AB542" s="352"/>
      <c r="AC542" s="352"/>
      <c r="AD542" s="352"/>
      <c r="AE542" s="352"/>
      <c r="AF542" s="352"/>
    </row>
    <row r="543">
      <c r="A543" s="352"/>
      <c r="B543" s="352"/>
      <c r="C543" s="352"/>
      <c r="D543" s="352"/>
      <c r="E543" s="352"/>
      <c r="F543" s="352"/>
      <c r="G543" s="352"/>
      <c r="H543" s="352"/>
      <c r="I543" s="352"/>
      <c r="J543" s="352"/>
      <c r="K543" s="352"/>
      <c r="L543" s="352"/>
      <c r="M543" s="352"/>
      <c r="N543" s="352"/>
      <c r="O543" s="352"/>
      <c r="P543" s="352"/>
      <c r="Q543" s="352"/>
      <c r="R543" s="352"/>
      <c r="S543" s="352"/>
      <c r="T543" s="352"/>
      <c r="U543" s="352"/>
      <c r="V543" s="352"/>
      <c r="W543" s="352"/>
      <c r="X543" s="352"/>
      <c r="Y543" s="352"/>
      <c r="Z543" s="352"/>
      <c r="AA543" s="352"/>
      <c r="AB543" s="352"/>
      <c r="AC543" s="352"/>
      <c r="AD543" s="352"/>
      <c r="AE543" s="352"/>
      <c r="AF543" s="352"/>
    </row>
    <row r="544">
      <c r="A544" s="352"/>
      <c r="B544" s="352"/>
      <c r="C544" s="352"/>
      <c r="D544" s="352"/>
      <c r="E544" s="352"/>
      <c r="F544" s="352"/>
      <c r="G544" s="352"/>
      <c r="H544" s="352"/>
      <c r="I544" s="352"/>
      <c r="J544" s="352"/>
      <c r="K544" s="352"/>
      <c r="L544" s="352"/>
      <c r="M544" s="352"/>
      <c r="N544" s="352"/>
      <c r="O544" s="352"/>
      <c r="P544" s="352"/>
      <c r="Q544" s="352"/>
      <c r="R544" s="352"/>
      <c r="S544" s="352"/>
      <c r="T544" s="352"/>
      <c r="U544" s="352"/>
      <c r="V544" s="352"/>
      <c r="W544" s="352"/>
      <c r="X544" s="352"/>
      <c r="Y544" s="352"/>
      <c r="Z544" s="352"/>
      <c r="AA544" s="352"/>
      <c r="AB544" s="352"/>
      <c r="AC544" s="352"/>
      <c r="AD544" s="352"/>
      <c r="AE544" s="352"/>
      <c r="AF544" s="352"/>
    </row>
    <row r="545">
      <c r="A545" s="352"/>
      <c r="B545" s="352"/>
      <c r="C545" s="352"/>
      <c r="D545" s="352"/>
      <c r="E545" s="352"/>
      <c r="F545" s="352"/>
      <c r="G545" s="352"/>
      <c r="H545" s="352"/>
      <c r="I545" s="352"/>
      <c r="J545" s="352"/>
      <c r="K545" s="352"/>
      <c r="L545" s="352"/>
      <c r="M545" s="352"/>
      <c r="N545" s="352"/>
      <c r="O545" s="352"/>
      <c r="P545" s="352"/>
      <c r="Q545" s="352"/>
      <c r="R545" s="352"/>
      <c r="S545" s="352"/>
      <c r="T545" s="352"/>
      <c r="U545" s="352"/>
      <c r="V545" s="352"/>
      <c r="W545" s="352"/>
      <c r="X545" s="352"/>
      <c r="Y545" s="352"/>
      <c r="Z545" s="352"/>
      <c r="AA545" s="352"/>
      <c r="AB545" s="352"/>
      <c r="AC545" s="352"/>
      <c r="AD545" s="352"/>
      <c r="AE545" s="352"/>
      <c r="AF545" s="352"/>
    </row>
    <row r="546">
      <c r="A546" s="352"/>
      <c r="B546" s="352"/>
      <c r="C546" s="352"/>
      <c r="D546" s="352"/>
      <c r="E546" s="352"/>
      <c r="F546" s="352"/>
      <c r="G546" s="352"/>
      <c r="H546" s="352"/>
      <c r="I546" s="352"/>
      <c r="J546" s="352"/>
      <c r="K546" s="352"/>
      <c r="L546" s="352"/>
      <c r="M546" s="352"/>
      <c r="N546" s="352"/>
      <c r="O546" s="352"/>
      <c r="P546" s="352"/>
      <c r="Q546" s="352"/>
      <c r="R546" s="352"/>
      <c r="S546" s="352"/>
      <c r="T546" s="352"/>
      <c r="U546" s="352"/>
      <c r="V546" s="352"/>
      <c r="W546" s="352"/>
      <c r="X546" s="352"/>
      <c r="Y546" s="352"/>
      <c r="Z546" s="352"/>
      <c r="AA546" s="352"/>
      <c r="AB546" s="352"/>
      <c r="AC546" s="352"/>
      <c r="AD546" s="352"/>
      <c r="AE546" s="352"/>
      <c r="AF546" s="352"/>
    </row>
    <row r="547">
      <c r="A547" s="352"/>
      <c r="B547" s="352"/>
      <c r="C547" s="352"/>
      <c r="D547" s="352"/>
      <c r="E547" s="352"/>
      <c r="F547" s="352"/>
      <c r="G547" s="352"/>
      <c r="H547" s="352"/>
      <c r="I547" s="352"/>
      <c r="J547" s="352"/>
      <c r="K547" s="352"/>
      <c r="L547" s="352"/>
      <c r="M547" s="352"/>
      <c r="N547" s="352"/>
      <c r="O547" s="352"/>
      <c r="P547" s="352"/>
      <c r="Q547" s="352"/>
      <c r="R547" s="352"/>
      <c r="S547" s="352"/>
      <c r="T547" s="352"/>
      <c r="U547" s="352"/>
      <c r="V547" s="352"/>
      <c r="W547" s="352"/>
      <c r="X547" s="352"/>
      <c r="Y547" s="352"/>
      <c r="Z547" s="352"/>
      <c r="AA547" s="352"/>
      <c r="AB547" s="352"/>
      <c r="AC547" s="352"/>
      <c r="AD547" s="352"/>
      <c r="AE547" s="352"/>
      <c r="AF547" s="352"/>
    </row>
    <row r="548">
      <c r="A548" s="352"/>
      <c r="B548" s="352"/>
      <c r="C548" s="352"/>
      <c r="D548" s="352"/>
      <c r="E548" s="352"/>
      <c r="F548" s="352"/>
      <c r="G548" s="352"/>
      <c r="H548" s="352"/>
      <c r="I548" s="352"/>
      <c r="J548" s="352"/>
      <c r="K548" s="352"/>
      <c r="L548" s="352"/>
      <c r="M548" s="352"/>
      <c r="N548" s="352"/>
      <c r="O548" s="352"/>
      <c r="P548" s="352"/>
      <c r="Q548" s="352"/>
      <c r="R548" s="352"/>
      <c r="S548" s="352"/>
      <c r="T548" s="352"/>
      <c r="U548" s="352"/>
      <c r="V548" s="352"/>
      <c r="W548" s="352"/>
      <c r="X548" s="352"/>
      <c r="Y548" s="352"/>
      <c r="Z548" s="352"/>
      <c r="AA548" s="352"/>
      <c r="AB548" s="352"/>
      <c r="AC548" s="352"/>
      <c r="AD548" s="352"/>
      <c r="AE548" s="352"/>
      <c r="AF548" s="352"/>
    </row>
    <row r="549">
      <c r="A549" s="352"/>
      <c r="B549" s="352"/>
      <c r="C549" s="352"/>
      <c r="D549" s="352"/>
      <c r="E549" s="352"/>
      <c r="F549" s="352"/>
      <c r="G549" s="352"/>
      <c r="H549" s="352"/>
      <c r="I549" s="352"/>
      <c r="J549" s="352"/>
      <c r="K549" s="352"/>
      <c r="L549" s="352"/>
      <c r="M549" s="352"/>
      <c r="N549" s="352"/>
      <c r="O549" s="352"/>
      <c r="P549" s="352"/>
      <c r="Q549" s="352"/>
      <c r="R549" s="352"/>
      <c r="S549" s="352"/>
      <c r="T549" s="352"/>
      <c r="U549" s="352"/>
      <c r="V549" s="352"/>
      <c r="W549" s="352"/>
      <c r="X549" s="352"/>
      <c r="Y549" s="352"/>
      <c r="Z549" s="352"/>
      <c r="AA549" s="352"/>
      <c r="AB549" s="352"/>
      <c r="AC549" s="352"/>
      <c r="AD549" s="352"/>
      <c r="AE549" s="352"/>
      <c r="AF549" s="352"/>
    </row>
    <row r="550">
      <c r="A550" s="352"/>
      <c r="B550" s="352"/>
      <c r="C550" s="352"/>
      <c r="D550" s="352"/>
      <c r="E550" s="352"/>
      <c r="F550" s="352"/>
      <c r="G550" s="352"/>
      <c r="H550" s="352"/>
      <c r="I550" s="352"/>
      <c r="J550" s="352"/>
      <c r="K550" s="352"/>
      <c r="L550" s="352"/>
      <c r="M550" s="352"/>
      <c r="N550" s="352"/>
      <c r="O550" s="352"/>
      <c r="P550" s="352"/>
      <c r="Q550" s="352"/>
      <c r="R550" s="352"/>
      <c r="S550" s="352"/>
      <c r="T550" s="352"/>
      <c r="U550" s="352"/>
      <c r="V550" s="352"/>
      <c r="W550" s="352"/>
      <c r="X550" s="352"/>
      <c r="Y550" s="352"/>
      <c r="Z550" s="352"/>
      <c r="AA550" s="352"/>
      <c r="AB550" s="352"/>
      <c r="AC550" s="352"/>
      <c r="AD550" s="352"/>
      <c r="AE550" s="352"/>
      <c r="AF550" s="352"/>
    </row>
    <row r="551">
      <c r="A551" s="352"/>
      <c r="B551" s="352"/>
      <c r="C551" s="352"/>
      <c r="D551" s="352"/>
      <c r="E551" s="352"/>
      <c r="F551" s="352"/>
      <c r="G551" s="352"/>
      <c r="H551" s="352"/>
      <c r="I551" s="352"/>
      <c r="J551" s="352"/>
      <c r="K551" s="352"/>
      <c r="L551" s="352"/>
      <c r="M551" s="352"/>
      <c r="N551" s="352"/>
      <c r="O551" s="352"/>
      <c r="P551" s="352"/>
      <c r="Q551" s="352"/>
      <c r="R551" s="352"/>
      <c r="S551" s="352"/>
      <c r="T551" s="352"/>
      <c r="U551" s="352"/>
      <c r="V551" s="352"/>
      <c r="W551" s="352"/>
      <c r="X551" s="352"/>
      <c r="Y551" s="352"/>
      <c r="Z551" s="352"/>
      <c r="AA551" s="352"/>
      <c r="AB551" s="352"/>
      <c r="AC551" s="352"/>
      <c r="AD551" s="352"/>
      <c r="AE551" s="352"/>
      <c r="AF551" s="352"/>
    </row>
    <row r="552">
      <c r="A552" s="352"/>
      <c r="B552" s="352"/>
      <c r="C552" s="352"/>
      <c r="D552" s="352"/>
      <c r="E552" s="352"/>
      <c r="F552" s="352"/>
      <c r="G552" s="352"/>
      <c r="H552" s="352"/>
      <c r="I552" s="352"/>
      <c r="J552" s="352"/>
      <c r="K552" s="352"/>
      <c r="L552" s="352"/>
      <c r="M552" s="352"/>
      <c r="N552" s="352"/>
      <c r="O552" s="352"/>
      <c r="P552" s="352"/>
      <c r="Q552" s="352"/>
      <c r="R552" s="352"/>
      <c r="S552" s="352"/>
      <c r="T552" s="352"/>
      <c r="U552" s="352"/>
      <c r="V552" s="352"/>
      <c r="W552" s="352"/>
      <c r="X552" s="352"/>
      <c r="Y552" s="352"/>
      <c r="Z552" s="352"/>
      <c r="AA552" s="352"/>
      <c r="AB552" s="352"/>
      <c r="AC552" s="352"/>
      <c r="AD552" s="352"/>
      <c r="AE552" s="352"/>
      <c r="AF552" s="352"/>
    </row>
    <row r="553">
      <c r="A553" s="352"/>
      <c r="B553" s="352"/>
      <c r="C553" s="352"/>
      <c r="D553" s="352"/>
      <c r="E553" s="352"/>
      <c r="F553" s="352"/>
      <c r="G553" s="352"/>
      <c r="H553" s="352"/>
      <c r="I553" s="352"/>
      <c r="J553" s="352"/>
      <c r="K553" s="352"/>
      <c r="L553" s="352"/>
      <c r="M553" s="352"/>
      <c r="N553" s="352"/>
      <c r="O553" s="352"/>
      <c r="P553" s="352"/>
      <c r="Q553" s="352"/>
      <c r="R553" s="352"/>
      <c r="S553" s="352"/>
      <c r="T553" s="352"/>
      <c r="U553" s="352"/>
      <c r="V553" s="352"/>
      <c r="W553" s="352"/>
      <c r="X553" s="352"/>
      <c r="Y553" s="352"/>
      <c r="Z553" s="352"/>
      <c r="AA553" s="352"/>
      <c r="AB553" s="352"/>
      <c r="AC553" s="352"/>
      <c r="AD553" s="352"/>
      <c r="AE553" s="352"/>
      <c r="AF553" s="352"/>
    </row>
    <row r="554">
      <c r="A554" s="352"/>
      <c r="B554" s="352"/>
      <c r="C554" s="352"/>
      <c r="D554" s="352"/>
      <c r="E554" s="352"/>
      <c r="F554" s="352"/>
      <c r="G554" s="352"/>
      <c r="H554" s="352"/>
      <c r="I554" s="352"/>
      <c r="J554" s="352"/>
      <c r="K554" s="352"/>
      <c r="L554" s="352"/>
      <c r="M554" s="352"/>
      <c r="N554" s="352"/>
      <c r="O554" s="352"/>
      <c r="P554" s="352"/>
      <c r="Q554" s="352"/>
      <c r="R554" s="352"/>
      <c r="S554" s="352"/>
      <c r="T554" s="352"/>
      <c r="U554" s="352"/>
      <c r="V554" s="352"/>
      <c r="W554" s="352"/>
      <c r="X554" s="352"/>
      <c r="Y554" s="352"/>
      <c r="Z554" s="352"/>
      <c r="AA554" s="352"/>
      <c r="AB554" s="352"/>
      <c r="AC554" s="352"/>
      <c r="AD554" s="352"/>
      <c r="AE554" s="352"/>
      <c r="AF554" s="352"/>
    </row>
    <row r="555">
      <c r="A555" s="352"/>
      <c r="B555" s="352"/>
      <c r="C555" s="352"/>
      <c r="D555" s="352"/>
      <c r="E555" s="352"/>
      <c r="F555" s="352"/>
      <c r="G555" s="352"/>
      <c r="H555" s="352"/>
      <c r="I555" s="352"/>
      <c r="J555" s="352"/>
      <c r="K555" s="352"/>
      <c r="L555" s="352"/>
      <c r="M555" s="352"/>
      <c r="N555" s="352"/>
      <c r="O555" s="352"/>
      <c r="P555" s="352"/>
      <c r="Q555" s="352"/>
      <c r="R555" s="352"/>
      <c r="S555" s="352"/>
      <c r="T555" s="352"/>
      <c r="U555" s="352"/>
      <c r="V555" s="352"/>
      <c r="W555" s="352"/>
      <c r="X555" s="352"/>
      <c r="Y555" s="352"/>
      <c r="Z555" s="352"/>
      <c r="AA555" s="352"/>
      <c r="AB555" s="352"/>
      <c r="AC555" s="352"/>
      <c r="AD555" s="352"/>
      <c r="AE555" s="352"/>
      <c r="AF555" s="352"/>
    </row>
    <row r="556">
      <c r="A556" s="352"/>
      <c r="B556" s="352"/>
      <c r="C556" s="352"/>
      <c r="D556" s="352"/>
      <c r="E556" s="352"/>
      <c r="F556" s="352"/>
      <c r="G556" s="352"/>
      <c r="H556" s="352"/>
      <c r="I556" s="352"/>
      <c r="J556" s="352"/>
      <c r="K556" s="352"/>
      <c r="L556" s="352"/>
      <c r="M556" s="352"/>
      <c r="N556" s="352"/>
      <c r="O556" s="352"/>
      <c r="P556" s="352"/>
      <c r="Q556" s="352"/>
      <c r="R556" s="352"/>
      <c r="S556" s="352"/>
      <c r="T556" s="352"/>
      <c r="U556" s="352"/>
      <c r="V556" s="352"/>
      <c r="W556" s="352"/>
      <c r="X556" s="352"/>
      <c r="Y556" s="352"/>
      <c r="Z556" s="352"/>
      <c r="AA556" s="352"/>
      <c r="AB556" s="352"/>
      <c r="AC556" s="352"/>
      <c r="AD556" s="352"/>
      <c r="AE556" s="352"/>
      <c r="AF556" s="352"/>
    </row>
    <row r="557">
      <c r="A557" s="352"/>
      <c r="B557" s="352"/>
      <c r="C557" s="352"/>
      <c r="D557" s="352"/>
      <c r="E557" s="352"/>
      <c r="F557" s="352"/>
      <c r="G557" s="352"/>
      <c r="H557" s="352"/>
      <c r="I557" s="352"/>
      <c r="J557" s="352"/>
      <c r="K557" s="352"/>
      <c r="L557" s="352"/>
      <c r="M557" s="352"/>
      <c r="N557" s="352"/>
      <c r="O557" s="352"/>
      <c r="P557" s="352"/>
      <c r="Q557" s="352"/>
      <c r="R557" s="352"/>
      <c r="S557" s="352"/>
      <c r="T557" s="352"/>
      <c r="U557" s="352"/>
      <c r="V557" s="352"/>
      <c r="W557" s="352"/>
      <c r="X557" s="352"/>
      <c r="Y557" s="352"/>
      <c r="Z557" s="352"/>
      <c r="AA557" s="352"/>
      <c r="AB557" s="352"/>
      <c r="AC557" s="352"/>
      <c r="AD557" s="352"/>
      <c r="AE557" s="352"/>
      <c r="AF557" s="352"/>
    </row>
    <row r="558">
      <c r="A558" s="352"/>
      <c r="B558" s="352"/>
      <c r="C558" s="352"/>
      <c r="D558" s="352"/>
      <c r="E558" s="352"/>
      <c r="F558" s="352"/>
      <c r="G558" s="352"/>
      <c r="H558" s="352"/>
      <c r="I558" s="352"/>
      <c r="J558" s="352"/>
      <c r="K558" s="352"/>
      <c r="L558" s="352"/>
      <c r="M558" s="352"/>
      <c r="N558" s="352"/>
      <c r="O558" s="352"/>
      <c r="P558" s="352"/>
      <c r="Q558" s="352"/>
      <c r="R558" s="352"/>
      <c r="S558" s="352"/>
      <c r="T558" s="352"/>
      <c r="U558" s="352"/>
      <c r="V558" s="352"/>
      <c r="W558" s="352"/>
      <c r="X558" s="352"/>
      <c r="Y558" s="352"/>
      <c r="Z558" s="352"/>
      <c r="AA558" s="352"/>
      <c r="AB558" s="352"/>
      <c r="AC558" s="352"/>
      <c r="AD558" s="352"/>
      <c r="AE558" s="352"/>
      <c r="AF558" s="352"/>
    </row>
    <row r="559">
      <c r="A559" s="352"/>
      <c r="B559" s="352"/>
      <c r="C559" s="352"/>
      <c r="D559" s="352"/>
      <c r="E559" s="352"/>
      <c r="F559" s="352"/>
      <c r="G559" s="352"/>
      <c r="H559" s="352"/>
      <c r="I559" s="352"/>
      <c r="J559" s="352"/>
      <c r="K559" s="352"/>
      <c r="L559" s="352"/>
      <c r="M559" s="352"/>
      <c r="N559" s="352"/>
      <c r="O559" s="352"/>
      <c r="P559" s="352"/>
      <c r="Q559" s="352"/>
      <c r="R559" s="352"/>
      <c r="S559" s="352"/>
      <c r="T559" s="352"/>
      <c r="U559" s="352"/>
      <c r="V559" s="352"/>
      <c r="W559" s="352"/>
      <c r="X559" s="352"/>
      <c r="Y559" s="352"/>
      <c r="Z559" s="352"/>
      <c r="AA559" s="352"/>
      <c r="AB559" s="352"/>
      <c r="AC559" s="352"/>
      <c r="AD559" s="352"/>
      <c r="AE559" s="352"/>
      <c r="AF559" s="352"/>
    </row>
    <row r="560">
      <c r="A560" s="352"/>
      <c r="B560" s="352"/>
      <c r="C560" s="352"/>
      <c r="D560" s="352"/>
      <c r="E560" s="352"/>
      <c r="F560" s="352"/>
      <c r="G560" s="352"/>
      <c r="H560" s="352"/>
      <c r="I560" s="352"/>
      <c r="J560" s="352"/>
      <c r="K560" s="352"/>
      <c r="L560" s="352"/>
      <c r="M560" s="352"/>
      <c r="N560" s="352"/>
      <c r="O560" s="352"/>
      <c r="P560" s="352"/>
      <c r="Q560" s="352"/>
      <c r="R560" s="352"/>
      <c r="S560" s="352"/>
      <c r="T560" s="352"/>
      <c r="U560" s="352"/>
      <c r="V560" s="352"/>
      <c r="W560" s="352"/>
      <c r="X560" s="352"/>
      <c r="Y560" s="352"/>
      <c r="Z560" s="352"/>
      <c r="AA560" s="352"/>
      <c r="AB560" s="352"/>
      <c r="AC560" s="352"/>
      <c r="AD560" s="352"/>
      <c r="AE560" s="352"/>
      <c r="AF560" s="352"/>
    </row>
    <row r="561">
      <c r="A561" s="352"/>
      <c r="B561" s="352"/>
      <c r="C561" s="352"/>
      <c r="D561" s="352"/>
      <c r="E561" s="352"/>
      <c r="F561" s="352"/>
      <c r="G561" s="352"/>
      <c r="H561" s="352"/>
      <c r="I561" s="352"/>
      <c r="J561" s="352"/>
      <c r="K561" s="352"/>
      <c r="L561" s="352"/>
      <c r="M561" s="352"/>
      <c r="N561" s="352"/>
      <c r="O561" s="352"/>
      <c r="P561" s="352"/>
      <c r="Q561" s="352"/>
      <c r="R561" s="352"/>
      <c r="S561" s="352"/>
      <c r="T561" s="352"/>
      <c r="U561" s="352"/>
      <c r="V561" s="352"/>
      <c r="W561" s="352"/>
      <c r="X561" s="352"/>
      <c r="Y561" s="352"/>
      <c r="Z561" s="352"/>
      <c r="AA561" s="352"/>
      <c r="AB561" s="352"/>
      <c r="AC561" s="352"/>
      <c r="AD561" s="352"/>
      <c r="AE561" s="352"/>
      <c r="AF561" s="352"/>
    </row>
    <row r="562">
      <c r="A562" s="352"/>
      <c r="B562" s="352"/>
      <c r="C562" s="352"/>
      <c r="D562" s="352"/>
      <c r="E562" s="352"/>
      <c r="F562" s="352"/>
      <c r="G562" s="352"/>
      <c r="H562" s="352"/>
      <c r="I562" s="352"/>
      <c r="J562" s="352"/>
      <c r="K562" s="352"/>
      <c r="L562" s="352"/>
      <c r="M562" s="352"/>
      <c r="N562" s="352"/>
      <c r="O562" s="352"/>
      <c r="P562" s="352"/>
      <c r="Q562" s="352"/>
      <c r="R562" s="352"/>
      <c r="S562" s="352"/>
      <c r="T562" s="352"/>
      <c r="U562" s="352"/>
      <c r="V562" s="352"/>
      <c r="W562" s="352"/>
      <c r="X562" s="352"/>
      <c r="Y562" s="352"/>
      <c r="Z562" s="352"/>
      <c r="AA562" s="352"/>
      <c r="AB562" s="352"/>
      <c r="AC562" s="352"/>
      <c r="AD562" s="352"/>
      <c r="AE562" s="352"/>
      <c r="AF562" s="352"/>
    </row>
    <row r="563">
      <c r="A563" s="352"/>
      <c r="B563" s="352"/>
      <c r="C563" s="352"/>
      <c r="D563" s="352"/>
      <c r="E563" s="352"/>
      <c r="F563" s="352"/>
      <c r="G563" s="352"/>
      <c r="H563" s="352"/>
      <c r="I563" s="352"/>
      <c r="J563" s="352"/>
      <c r="K563" s="352"/>
      <c r="L563" s="352"/>
      <c r="M563" s="352"/>
      <c r="N563" s="352"/>
      <c r="O563" s="352"/>
      <c r="P563" s="352"/>
      <c r="Q563" s="352"/>
      <c r="R563" s="352"/>
      <c r="S563" s="352"/>
      <c r="T563" s="352"/>
      <c r="U563" s="352"/>
      <c r="V563" s="352"/>
      <c r="W563" s="352"/>
      <c r="X563" s="352"/>
      <c r="Y563" s="352"/>
      <c r="Z563" s="352"/>
      <c r="AA563" s="352"/>
      <c r="AB563" s="352"/>
      <c r="AC563" s="352"/>
      <c r="AD563" s="352"/>
      <c r="AE563" s="352"/>
      <c r="AF563" s="352"/>
    </row>
    <row r="564">
      <c r="A564" s="352"/>
      <c r="B564" s="352"/>
      <c r="C564" s="352"/>
      <c r="D564" s="352"/>
      <c r="E564" s="352"/>
      <c r="F564" s="352"/>
      <c r="G564" s="352"/>
      <c r="H564" s="352"/>
      <c r="I564" s="352"/>
      <c r="J564" s="352"/>
      <c r="K564" s="352"/>
      <c r="L564" s="352"/>
      <c r="M564" s="352"/>
      <c r="N564" s="352"/>
      <c r="O564" s="352"/>
      <c r="P564" s="352"/>
      <c r="Q564" s="352"/>
      <c r="R564" s="352"/>
      <c r="S564" s="352"/>
      <c r="T564" s="352"/>
      <c r="U564" s="352"/>
      <c r="V564" s="352"/>
      <c r="W564" s="352"/>
      <c r="X564" s="352"/>
      <c r="Y564" s="352"/>
      <c r="Z564" s="352"/>
      <c r="AA564" s="352"/>
      <c r="AB564" s="352"/>
      <c r="AC564" s="352"/>
      <c r="AD564" s="352"/>
      <c r="AE564" s="352"/>
      <c r="AF564" s="352"/>
    </row>
    <row r="565">
      <c r="A565" s="352"/>
      <c r="B565" s="352"/>
      <c r="C565" s="352"/>
      <c r="D565" s="352"/>
      <c r="E565" s="352"/>
      <c r="F565" s="352"/>
      <c r="G565" s="352"/>
      <c r="H565" s="352"/>
      <c r="I565" s="352"/>
      <c r="J565" s="352"/>
      <c r="K565" s="352"/>
      <c r="L565" s="352"/>
      <c r="M565" s="352"/>
      <c r="N565" s="352"/>
      <c r="O565" s="352"/>
      <c r="P565" s="352"/>
      <c r="Q565" s="352"/>
      <c r="R565" s="352"/>
      <c r="S565" s="352"/>
      <c r="T565" s="352"/>
      <c r="U565" s="352"/>
      <c r="V565" s="352"/>
      <c r="W565" s="352"/>
      <c r="X565" s="352"/>
      <c r="Y565" s="352"/>
      <c r="Z565" s="352"/>
      <c r="AA565" s="352"/>
      <c r="AB565" s="352"/>
      <c r="AC565" s="352"/>
      <c r="AD565" s="352"/>
      <c r="AE565" s="352"/>
      <c r="AF565" s="352"/>
    </row>
    <row r="566">
      <c r="A566" s="352"/>
      <c r="B566" s="352"/>
      <c r="C566" s="352"/>
      <c r="D566" s="352"/>
      <c r="E566" s="352"/>
      <c r="F566" s="352"/>
      <c r="G566" s="352"/>
      <c r="H566" s="352"/>
      <c r="I566" s="352"/>
      <c r="J566" s="352"/>
      <c r="K566" s="352"/>
      <c r="L566" s="352"/>
      <c r="M566" s="352"/>
      <c r="N566" s="352"/>
      <c r="O566" s="352"/>
      <c r="P566" s="352"/>
      <c r="Q566" s="352"/>
      <c r="R566" s="352"/>
      <c r="S566" s="352"/>
      <c r="T566" s="352"/>
      <c r="U566" s="352"/>
      <c r="V566" s="352"/>
      <c r="W566" s="352"/>
      <c r="X566" s="352"/>
      <c r="Y566" s="352"/>
      <c r="Z566" s="352"/>
      <c r="AA566" s="352"/>
      <c r="AB566" s="352"/>
      <c r="AC566" s="352"/>
      <c r="AD566" s="352"/>
      <c r="AE566" s="352"/>
      <c r="AF566" s="352"/>
    </row>
    <row r="567">
      <c r="A567" s="352"/>
      <c r="B567" s="352"/>
      <c r="C567" s="352"/>
      <c r="D567" s="352"/>
      <c r="E567" s="352"/>
      <c r="F567" s="352"/>
      <c r="G567" s="352"/>
      <c r="H567" s="352"/>
      <c r="I567" s="352"/>
      <c r="J567" s="352"/>
      <c r="K567" s="352"/>
      <c r="L567" s="352"/>
      <c r="M567" s="352"/>
      <c r="N567" s="352"/>
      <c r="O567" s="352"/>
      <c r="P567" s="352"/>
      <c r="Q567" s="352"/>
      <c r="R567" s="352"/>
      <c r="S567" s="352"/>
      <c r="T567" s="352"/>
      <c r="U567" s="352"/>
      <c r="V567" s="352"/>
      <c r="W567" s="352"/>
      <c r="X567" s="352"/>
      <c r="Y567" s="352"/>
      <c r="Z567" s="352"/>
      <c r="AA567" s="352"/>
      <c r="AB567" s="352"/>
      <c r="AC567" s="352"/>
      <c r="AD567" s="352"/>
      <c r="AE567" s="352"/>
      <c r="AF567" s="352"/>
    </row>
    <row r="568">
      <c r="A568" s="352"/>
      <c r="B568" s="352"/>
      <c r="C568" s="352"/>
      <c r="D568" s="352"/>
      <c r="E568" s="352"/>
      <c r="F568" s="352"/>
      <c r="G568" s="352"/>
      <c r="H568" s="352"/>
      <c r="I568" s="352"/>
      <c r="J568" s="352"/>
      <c r="K568" s="352"/>
      <c r="L568" s="352"/>
      <c r="M568" s="352"/>
      <c r="N568" s="352"/>
      <c r="O568" s="352"/>
      <c r="P568" s="352"/>
      <c r="Q568" s="352"/>
      <c r="R568" s="352"/>
      <c r="S568" s="352"/>
      <c r="T568" s="352"/>
      <c r="U568" s="352"/>
      <c r="V568" s="352"/>
      <c r="W568" s="352"/>
      <c r="X568" s="352"/>
      <c r="Y568" s="352"/>
      <c r="Z568" s="352"/>
      <c r="AA568" s="352"/>
      <c r="AB568" s="352"/>
      <c r="AC568" s="352"/>
      <c r="AD568" s="352"/>
      <c r="AE568" s="352"/>
      <c r="AF568" s="352"/>
    </row>
    <row r="569">
      <c r="A569" s="352"/>
      <c r="B569" s="352"/>
      <c r="C569" s="352"/>
      <c r="D569" s="352"/>
      <c r="E569" s="352"/>
      <c r="F569" s="352"/>
      <c r="G569" s="352"/>
      <c r="H569" s="352"/>
      <c r="I569" s="352"/>
      <c r="J569" s="352"/>
      <c r="K569" s="352"/>
      <c r="L569" s="352"/>
      <c r="M569" s="352"/>
      <c r="N569" s="352"/>
      <c r="O569" s="352"/>
      <c r="P569" s="352"/>
      <c r="Q569" s="352"/>
      <c r="R569" s="352"/>
      <c r="S569" s="352"/>
      <c r="T569" s="352"/>
      <c r="U569" s="352"/>
      <c r="V569" s="352"/>
      <c r="W569" s="352"/>
      <c r="X569" s="352"/>
      <c r="Y569" s="352"/>
      <c r="Z569" s="352"/>
      <c r="AA569" s="352"/>
      <c r="AB569" s="352"/>
      <c r="AC569" s="352"/>
      <c r="AD569" s="352"/>
      <c r="AE569" s="352"/>
      <c r="AF569" s="352"/>
    </row>
    <row r="570">
      <c r="A570" s="352"/>
      <c r="B570" s="352"/>
      <c r="C570" s="352"/>
      <c r="D570" s="352"/>
      <c r="E570" s="352"/>
      <c r="F570" s="352"/>
      <c r="G570" s="352"/>
      <c r="H570" s="352"/>
      <c r="I570" s="352"/>
      <c r="J570" s="352"/>
      <c r="K570" s="352"/>
      <c r="L570" s="352"/>
      <c r="M570" s="352"/>
      <c r="N570" s="352"/>
      <c r="O570" s="352"/>
      <c r="P570" s="352"/>
      <c r="Q570" s="352"/>
      <c r="R570" s="352"/>
      <c r="S570" s="352"/>
      <c r="T570" s="352"/>
      <c r="U570" s="352"/>
      <c r="V570" s="352"/>
      <c r="W570" s="352"/>
      <c r="X570" s="352"/>
      <c r="Y570" s="352"/>
      <c r="Z570" s="352"/>
      <c r="AA570" s="352"/>
      <c r="AB570" s="352"/>
      <c r="AC570" s="352"/>
      <c r="AD570" s="352"/>
      <c r="AE570" s="352"/>
      <c r="AF570" s="352"/>
    </row>
    <row r="571">
      <c r="A571" s="352"/>
      <c r="B571" s="352"/>
      <c r="C571" s="352"/>
      <c r="D571" s="352"/>
      <c r="E571" s="352"/>
      <c r="F571" s="352"/>
      <c r="G571" s="352"/>
      <c r="H571" s="352"/>
      <c r="I571" s="352"/>
      <c r="J571" s="352"/>
      <c r="K571" s="352"/>
      <c r="L571" s="352"/>
      <c r="M571" s="352"/>
      <c r="N571" s="352"/>
      <c r="O571" s="352"/>
      <c r="P571" s="352"/>
      <c r="Q571" s="352"/>
      <c r="R571" s="352"/>
      <c r="S571" s="352"/>
      <c r="T571" s="352"/>
      <c r="U571" s="352"/>
      <c r="V571" s="352"/>
      <c r="W571" s="352"/>
      <c r="X571" s="352"/>
      <c r="Y571" s="352"/>
      <c r="Z571" s="352"/>
      <c r="AA571" s="352"/>
      <c r="AB571" s="352"/>
      <c r="AC571" s="352"/>
      <c r="AD571" s="352"/>
      <c r="AE571" s="352"/>
      <c r="AF571" s="352"/>
    </row>
    <row r="572">
      <c r="A572" s="352"/>
      <c r="B572" s="352"/>
      <c r="C572" s="352"/>
      <c r="D572" s="352"/>
      <c r="E572" s="352"/>
      <c r="F572" s="352"/>
      <c r="G572" s="352"/>
      <c r="H572" s="352"/>
      <c r="I572" s="352"/>
      <c r="J572" s="352"/>
      <c r="K572" s="352"/>
      <c r="L572" s="352"/>
      <c r="M572" s="352"/>
      <c r="N572" s="352"/>
      <c r="O572" s="352"/>
      <c r="P572" s="352"/>
      <c r="Q572" s="352"/>
      <c r="R572" s="352"/>
      <c r="S572" s="352"/>
      <c r="T572" s="352"/>
      <c r="U572" s="352"/>
      <c r="V572" s="352"/>
      <c r="W572" s="352"/>
      <c r="X572" s="352"/>
      <c r="Y572" s="352"/>
      <c r="Z572" s="352"/>
      <c r="AA572" s="352"/>
      <c r="AB572" s="352"/>
      <c r="AC572" s="352"/>
      <c r="AD572" s="352"/>
      <c r="AE572" s="352"/>
      <c r="AF572" s="352"/>
    </row>
    <row r="573">
      <c r="A573" s="352"/>
      <c r="B573" s="352"/>
      <c r="C573" s="352"/>
      <c r="D573" s="352"/>
      <c r="E573" s="352"/>
      <c r="F573" s="352"/>
      <c r="G573" s="352"/>
      <c r="H573" s="352"/>
      <c r="I573" s="352"/>
      <c r="J573" s="352"/>
      <c r="K573" s="352"/>
      <c r="L573" s="352"/>
      <c r="M573" s="352"/>
      <c r="N573" s="352"/>
      <c r="O573" s="352"/>
      <c r="P573" s="352"/>
      <c r="Q573" s="352"/>
      <c r="R573" s="352"/>
      <c r="S573" s="352"/>
      <c r="T573" s="352"/>
      <c r="U573" s="352"/>
      <c r="V573" s="352"/>
      <c r="W573" s="352"/>
      <c r="X573" s="352"/>
      <c r="Y573" s="352"/>
      <c r="Z573" s="352"/>
      <c r="AA573" s="352"/>
      <c r="AB573" s="352"/>
      <c r="AC573" s="352"/>
      <c r="AD573" s="352"/>
      <c r="AE573" s="352"/>
      <c r="AF573" s="352"/>
    </row>
    <row r="574">
      <c r="A574" s="352"/>
      <c r="B574" s="352"/>
      <c r="C574" s="352"/>
      <c r="D574" s="352"/>
      <c r="E574" s="352"/>
      <c r="F574" s="352"/>
      <c r="G574" s="352"/>
      <c r="H574" s="352"/>
      <c r="I574" s="352"/>
      <c r="J574" s="352"/>
      <c r="K574" s="352"/>
      <c r="L574" s="352"/>
      <c r="M574" s="352"/>
      <c r="N574" s="352"/>
      <c r="O574" s="352"/>
      <c r="P574" s="352"/>
      <c r="Q574" s="352"/>
      <c r="R574" s="352"/>
      <c r="S574" s="352"/>
      <c r="T574" s="352"/>
      <c r="U574" s="352"/>
      <c r="V574" s="352"/>
      <c r="W574" s="352"/>
      <c r="X574" s="352"/>
      <c r="Y574" s="352"/>
      <c r="Z574" s="352"/>
      <c r="AA574" s="352"/>
      <c r="AB574" s="352"/>
      <c r="AC574" s="352"/>
      <c r="AD574" s="352"/>
      <c r="AE574" s="352"/>
      <c r="AF574" s="352"/>
    </row>
    <row r="575">
      <c r="A575" s="352"/>
      <c r="B575" s="352"/>
      <c r="C575" s="352"/>
      <c r="D575" s="352"/>
      <c r="E575" s="352"/>
      <c r="F575" s="352"/>
      <c r="G575" s="352"/>
      <c r="H575" s="352"/>
      <c r="I575" s="352"/>
      <c r="J575" s="352"/>
      <c r="K575" s="352"/>
      <c r="L575" s="352"/>
      <c r="M575" s="352"/>
      <c r="N575" s="352"/>
      <c r="O575" s="352"/>
      <c r="P575" s="352"/>
      <c r="Q575" s="352"/>
      <c r="R575" s="352"/>
      <c r="S575" s="352"/>
      <c r="T575" s="352"/>
      <c r="U575" s="352"/>
      <c r="V575" s="352"/>
      <c r="W575" s="352"/>
      <c r="X575" s="352"/>
      <c r="Y575" s="352"/>
      <c r="Z575" s="352"/>
      <c r="AA575" s="352"/>
      <c r="AB575" s="352"/>
      <c r="AC575" s="352"/>
      <c r="AD575" s="352"/>
      <c r="AE575" s="352"/>
      <c r="AF575" s="352"/>
    </row>
    <row r="576">
      <c r="A576" s="352"/>
      <c r="B576" s="352"/>
      <c r="C576" s="352"/>
      <c r="D576" s="352"/>
      <c r="E576" s="352"/>
      <c r="F576" s="352"/>
      <c r="G576" s="352"/>
      <c r="H576" s="352"/>
      <c r="I576" s="352"/>
      <c r="J576" s="352"/>
      <c r="K576" s="352"/>
      <c r="L576" s="352"/>
      <c r="M576" s="352"/>
      <c r="N576" s="352"/>
      <c r="O576" s="352"/>
      <c r="P576" s="352"/>
      <c r="Q576" s="352"/>
      <c r="R576" s="352"/>
      <c r="S576" s="352"/>
      <c r="T576" s="352"/>
      <c r="U576" s="352"/>
      <c r="V576" s="352"/>
      <c r="W576" s="352"/>
      <c r="X576" s="352"/>
      <c r="Y576" s="352"/>
      <c r="Z576" s="352"/>
      <c r="AA576" s="352"/>
      <c r="AB576" s="352"/>
      <c r="AC576" s="352"/>
      <c r="AD576" s="352"/>
      <c r="AE576" s="352"/>
      <c r="AF576" s="352"/>
    </row>
    <row r="577">
      <c r="A577" s="352"/>
      <c r="B577" s="352"/>
      <c r="C577" s="352"/>
      <c r="D577" s="352"/>
      <c r="E577" s="352"/>
      <c r="F577" s="352"/>
      <c r="G577" s="352"/>
      <c r="H577" s="352"/>
      <c r="I577" s="352"/>
      <c r="J577" s="352"/>
      <c r="K577" s="352"/>
      <c r="L577" s="352"/>
      <c r="M577" s="352"/>
      <c r="N577" s="352"/>
      <c r="O577" s="352"/>
      <c r="P577" s="352"/>
      <c r="Q577" s="352"/>
      <c r="R577" s="352"/>
      <c r="S577" s="352"/>
      <c r="T577" s="352"/>
      <c r="U577" s="352"/>
      <c r="V577" s="352"/>
      <c r="W577" s="352"/>
      <c r="X577" s="352"/>
      <c r="Y577" s="352"/>
      <c r="Z577" s="352"/>
      <c r="AA577" s="352"/>
      <c r="AB577" s="352"/>
      <c r="AC577" s="352"/>
      <c r="AD577" s="352"/>
      <c r="AE577" s="352"/>
      <c r="AF577" s="352"/>
    </row>
    <row r="578">
      <c r="A578" s="352"/>
      <c r="B578" s="352"/>
      <c r="C578" s="352"/>
      <c r="D578" s="352"/>
      <c r="E578" s="352"/>
      <c r="F578" s="352"/>
      <c r="G578" s="352"/>
      <c r="H578" s="352"/>
      <c r="I578" s="352"/>
      <c r="J578" s="352"/>
      <c r="K578" s="352"/>
      <c r="L578" s="352"/>
      <c r="M578" s="352"/>
      <c r="N578" s="352"/>
      <c r="O578" s="352"/>
      <c r="P578" s="352"/>
      <c r="Q578" s="352"/>
      <c r="R578" s="352"/>
      <c r="S578" s="352"/>
      <c r="T578" s="352"/>
      <c r="U578" s="352"/>
      <c r="V578" s="352"/>
      <c r="W578" s="352"/>
      <c r="X578" s="352"/>
      <c r="Y578" s="352"/>
      <c r="Z578" s="352"/>
      <c r="AA578" s="352"/>
      <c r="AB578" s="352"/>
      <c r="AC578" s="352"/>
      <c r="AD578" s="352"/>
      <c r="AE578" s="352"/>
      <c r="AF578" s="352"/>
    </row>
    <row r="579">
      <c r="A579" s="352"/>
      <c r="B579" s="352"/>
      <c r="C579" s="352"/>
      <c r="D579" s="352"/>
      <c r="E579" s="352"/>
      <c r="F579" s="352"/>
      <c r="G579" s="352"/>
      <c r="H579" s="352"/>
      <c r="I579" s="352"/>
      <c r="J579" s="352"/>
      <c r="K579" s="352"/>
      <c r="L579" s="352"/>
      <c r="M579" s="352"/>
      <c r="N579" s="352"/>
      <c r="O579" s="352"/>
      <c r="P579" s="352"/>
      <c r="Q579" s="352"/>
      <c r="R579" s="352"/>
      <c r="S579" s="352"/>
      <c r="T579" s="352"/>
      <c r="U579" s="352"/>
      <c r="V579" s="352"/>
      <c r="W579" s="352"/>
      <c r="X579" s="352"/>
      <c r="Y579" s="352"/>
      <c r="Z579" s="352"/>
      <c r="AA579" s="352"/>
      <c r="AB579" s="352"/>
      <c r="AC579" s="352"/>
      <c r="AD579" s="352"/>
      <c r="AE579" s="352"/>
      <c r="AF579" s="352"/>
    </row>
    <row r="580">
      <c r="A580" s="352"/>
      <c r="B580" s="352"/>
      <c r="C580" s="352"/>
      <c r="D580" s="352"/>
      <c r="E580" s="352"/>
      <c r="F580" s="352"/>
      <c r="G580" s="352"/>
      <c r="H580" s="352"/>
      <c r="I580" s="352"/>
      <c r="J580" s="352"/>
      <c r="K580" s="352"/>
      <c r="L580" s="352"/>
      <c r="M580" s="352"/>
      <c r="N580" s="352"/>
      <c r="O580" s="352"/>
      <c r="P580" s="352"/>
      <c r="Q580" s="352"/>
      <c r="R580" s="352"/>
      <c r="S580" s="352"/>
      <c r="T580" s="352"/>
      <c r="U580" s="352"/>
      <c r="V580" s="352"/>
      <c r="W580" s="352"/>
      <c r="X580" s="352"/>
      <c r="Y580" s="352"/>
      <c r="Z580" s="352"/>
      <c r="AA580" s="352"/>
      <c r="AB580" s="352"/>
      <c r="AC580" s="352"/>
      <c r="AD580" s="352"/>
      <c r="AE580" s="352"/>
      <c r="AF580" s="352"/>
    </row>
    <row r="581">
      <c r="A581" s="352"/>
      <c r="B581" s="352"/>
      <c r="C581" s="352"/>
      <c r="D581" s="352"/>
      <c r="E581" s="352"/>
      <c r="F581" s="352"/>
      <c r="G581" s="352"/>
      <c r="H581" s="352"/>
      <c r="I581" s="352"/>
      <c r="J581" s="352"/>
      <c r="K581" s="352"/>
      <c r="L581" s="352"/>
      <c r="M581" s="352"/>
      <c r="N581" s="352"/>
      <c r="O581" s="352"/>
      <c r="P581" s="352"/>
      <c r="Q581" s="352"/>
      <c r="R581" s="352"/>
      <c r="S581" s="352"/>
      <c r="T581" s="352"/>
      <c r="U581" s="352"/>
      <c r="V581" s="352"/>
      <c r="W581" s="352"/>
      <c r="X581" s="352"/>
      <c r="Y581" s="352"/>
      <c r="Z581" s="352"/>
      <c r="AA581" s="352"/>
      <c r="AB581" s="352"/>
      <c r="AC581" s="352"/>
      <c r="AD581" s="352"/>
      <c r="AE581" s="352"/>
      <c r="AF581" s="352"/>
    </row>
    <row r="582">
      <c r="A582" s="352"/>
      <c r="B582" s="352"/>
      <c r="C582" s="352"/>
      <c r="D582" s="352"/>
      <c r="E582" s="352"/>
      <c r="F582" s="352"/>
      <c r="G582" s="352"/>
      <c r="H582" s="352"/>
      <c r="I582" s="352"/>
      <c r="J582" s="352"/>
      <c r="K582" s="352"/>
      <c r="L582" s="352"/>
      <c r="M582" s="352"/>
      <c r="N582" s="352"/>
      <c r="O582" s="352"/>
      <c r="P582" s="352"/>
      <c r="Q582" s="352"/>
      <c r="R582" s="352"/>
      <c r="S582" s="352"/>
      <c r="T582" s="352"/>
      <c r="U582" s="352"/>
      <c r="V582" s="352"/>
      <c r="W582" s="352"/>
      <c r="X582" s="352"/>
      <c r="Y582" s="352"/>
      <c r="Z582" s="352"/>
      <c r="AA582" s="352"/>
      <c r="AB582" s="352"/>
      <c r="AC582" s="352"/>
      <c r="AD582" s="352"/>
      <c r="AE582" s="352"/>
      <c r="AF582" s="352"/>
    </row>
    <row r="583">
      <c r="A583" s="352"/>
      <c r="B583" s="352"/>
      <c r="C583" s="352"/>
      <c r="D583" s="352"/>
      <c r="E583" s="352"/>
      <c r="F583" s="352"/>
      <c r="G583" s="352"/>
      <c r="H583" s="352"/>
      <c r="I583" s="352"/>
      <c r="J583" s="352"/>
      <c r="K583" s="352"/>
      <c r="L583" s="352"/>
      <c r="M583" s="352"/>
      <c r="N583" s="352"/>
      <c r="O583" s="352"/>
      <c r="P583" s="352"/>
      <c r="Q583" s="352"/>
      <c r="R583" s="352"/>
      <c r="S583" s="352"/>
      <c r="T583" s="352"/>
      <c r="U583" s="352"/>
      <c r="V583" s="352"/>
      <c r="W583" s="352"/>
      <c r="X583" s="352"/>
      <c r="Y583" s="352"/>
      <c r="Z583" s="352"/>
      <c r="AA583" s="352"/>
      <c r="AB583" s="352"/>
      <c r="AC583" s="352"/>
      <c r="AD583" s="352"/>
      <c r="AE583" s="352"/>
      <c r="AF583" s="352"/>
    </row>
    <row r="584">
      <c r="A584" s="352"/>
      <c r="B584" s="352"/>
      <c r="C584" s="352"/>
      <c r="D584" s="352"/>
      <c r="E584" s="352"/>
      <c r="F584" s="352"/>
      <c r="G584" s="352"/>
      <c r="H584" s="352"/>
      <c r="I584" s="352"/>
      <c r="J584" s="352"/>
      <c r="K584" s="352"/>
      <c r="L584" s="352"/>
      <c r="M584" s="352"/>
      <c r="N584" s="352"/>
      <c r="O584" s="352"/>
      <c r="P584" s="352"/>
      <c r="Q584" s="352"/>
      <c r="R584" s="352"/>
      <c r="S584" s="352"/>
      <c r="T584" s="352"/>
      <c r="U584" s="352"/>
      <c r="V584" s="352"/>
      <c r="W584" s="352"/>
      <c r="X584" s="352"/>
      <c r="Y584" s="352"/>
      <c r="Z584" s="352"/>
      <c r="AA584" s="352"/>
      <c r="AB584" s="352"/>
      <c r="AC584" s="352"/>
      <c r="AD584" s="352"/>
      <c r="AE584" s="352"/>
      <c r="AF584" s="352"/>
    </row>
    <row r="585">
      <c r="A585" s="352"/>
      <c r="B585" s="352"/>
      <c r="C585" s="352"/>
      <c r="D585" s="352"/>
      <c r="E585" s="352"/>
      <c r="F585" s="352"/>
      <c r="G585" s="352"/>
      <c r="H585" s="352"/>
      <c r="I585" s="352"/>
      <c r="J585" s="352"/>
      <c r="K585" s="352"/>
      <c r="L585" s="352"/>
      <c r="M585" s="352"/>
      <c r="N585" s="352"/>
      <c r="O585" s="352"/>
      <c r="P585" s="352"/>
      <c r="Q585" s="352"/>
      <c r="R585" s="352"/>
      <c r="S585" s="352"/>
      <c r="T585" s="352"/>
      <c r="U585" s="352"/>
      <c r="V585" s="352"/>
      <c r="W585" s="352"/>
      <c r="X585" s="352"/>
      <c r="Y585" s="352"/>
      <c r="Z585" s="352"/>
      <c r="AA585" s="352"/>
      <c r="AB585" s="352"/>
      <c r="AC585" s="352"/>
      <c r="AD585" s="352"/>
      <c r="AE585" s="352"/>
      <c r="AF585" s="352"/>
    </row>
    <row r="586">
      <c r="A586" s="352"/>
      <c r="B586" s="352"/>
      <c r="C586" s="352"/>
      <c r="D586" s="352"/>
      <c r="E586" s="352"/>
      <c r="F586" s="352"/>
      <c r="G586" s="352"/>
      <c r="H586" s="352"/>
      <c r="I586" s="352"/>
      <c r="J586" s="352"/>
      <c r="K586" s="352"/>
      <c r="L586" s="352"/>
      <c r="M586" s="352"/>
      <c r="N586" s="352"/>
      <c r="O586" s="352"/>
      <c r="P586" s="352"/>
      <c r="Q586" s="352"/>
      <c r="R586" s="352"/>
      <c r="S586" s="352"/>
      <c r="T586" s="352"/>
      <c r="U586" s="352"/>
      <c r="V586" s="352"/>
      <c r="W586" s="352"/>
      <c r="X586" s="352"/>
      <c r="Y586" s="352"/>
      <c r="Z586" s="352"/>
      <c r="AA586" s="352"/>
      <c r="AB586" s="352"/>
      <c r="AC586" s="352"/>
      <c r="AD586" s="352"/>
      <c r="AE586" s="352"/>
      <c r="AF586" s="352"/>
    </row>
    <row r="587">
      <c r="A587" s="352"/>
      <c r="B587" s="352"/>
      <c r="C587" s="352"/>
      <c r="D587" s="352"/>
      <c r="E587" s="352"/>
      <c r="F587" s="352"/>
      <c r="G587" s="352"/>
      <c r="H587" s="352"/>
      <c r="I587" s="352"/>
      <c r="J587" s="352"/>
      <c r="K587" s="352"/>
      <c r="L587" s="352"/>
      <c r="M587" s="352"/>
      <c r="N587" s="352"/>
      <c r="O587" s="352"/>
      <c r="P587" s="352"/>
      <c r="Q587" s="352"/>
      <c r="R587" s="352"/>
      <c r="S587" s="352"/>
      <c r="T587" s="352"/>
      <c r="U587" s="352"/>
      <c r="V587" s="352"/>
      <c r="W587" s="352"/>
      <c r="X587" s="352"/>
      <c r="Y587" s="352"/>
      <c r="Z587" s="352"/>
      <c r="AA587" s="352"/>
      <c r="AB587" s="352"/>
      <c r="AC587" s="352"/>
      <c r="AD587" s="352"/>
      <c r="AE587" s="352"/>
      <c r="AF587" s="352"/>
    </row>
    <row r="588">
      <c r="A588" s="352"/>
      <c r="B588" s="352"/>
      <c r="C588" s="352"/>
      <c r="D588" s="352"/>
      <c r="E588" s="352"/>
      <c r="F588" s="352"/>
      <c r="G588" s="352"/>
      <c r="H588" s="352"/>
      <c r="I588" s="352"/>
      <c r="J588" s="352"/>
      <c r="K588" s="352"/>
      <c r="L588" s="352"/>
      <c r="M588" s="352"/>
      <c r="N588" s="352"/>
      <c r="O588" s="352"/>
      <c r="P588" s="352"/>
      <c r="Q588" s="352"/>
      <c r="R588" s="352"/>
      <c r="S588" s="352"/>
      <c r="T588" s="352"/>
      <c r="U588" s="352"/>
      <c r="V588" s="352"/>
      <c r="W588" s="352"/>
      <c r="X588" s="352"/>
      <c r="Y588" s="352"/>
      <c r="Z588" s="352"/>
      <c r="AA588" s="352"/>
      <c r="AB588" s="352"/>
      <c r="AC588" s="352"/>
      <c r="AD588" s="352"/>
      <c r="AE588" s="352"/>
      <c r="AF588" s="352"/>
    </row>
    <row r="589">
      <c r="A589" s="352"/>
      <c r="B589" s="352"/>
      <c r="C589" s="352"/>
      <c r="D589" s="352"/>
      <c r="E589" s="352"/>
      <c r="F589" s="352"/>
      <c r="G589" s="352"/>
      <c r="H589" s="352"/>
      <c r="I589" s="352"/>
      <c r="J589" s="352"/>
      <c r="K589" s="352"/>
      <c r="L589" s="352"/>
      <c r="M589" s="352"/>
      <c r="N589" s="352"/>
      <c r="O589" s="352"/>
      <c r="P589" s="352"/>
      <c r="Q589" s="352"/>
      <c r="R589" s="352"/>
      <c r="S589" s="352"/>
      <c r="T589" s="352"/>
      <c r="U589" s="352"/>
      <c r="V589" s="352"/>
      <c r="W589" s="352"/>
      <c r="X589" s="352"/>
      <c r="Y589" s="352"/>
      <c r="Z589" s="352"/>
      <c r="AA589" s="352"/>
      <c r="AB589" s="352"/>
      <c r="AC589" s="352"/>
      <c r="AD589" s="352"/>
      <c r="AE589" s="352"/>
      <c r="AF589" s="352"/>
    </row>
    <row r="590">
      <c r="A590" s="352"/>
      <c r="B590" s="352"/>
      <c r="C590" s="352"/>
      <c r="D590" s="352"/>
      <c r="E590" s="352"/>
      <c r="F590" s="352"/>
      <c r="G590" s="352"/>
      <c r="H590" s="352"/>
      <c r="I590" s="352"/>
      <c r="J590" s="352"/>
      <c r="K590" s="352"/>
      <c r="L590" s="352"/>
      <c r="M590" s="352"/>
      <c r="N590" s="352"/>
      <c r="O590" s="352"/>
      <c r="P590" s="352"/>
      <c r="Q590" s="352"/>
      <c r="R590" s="352"/>
      <c r="S590" s="352"/>
      <c r="T590" s="352"/>
      <c r="U590" s="352"/>
      <c r="V590" s="352"/>
      <c r="W590" s="352"/>
      <c r="X590" s="352"/>
      <c r="Y590" s="352"/>
      <c r="Z590" s="352"/>
      <c r="AA590" s="352"/>
      <c r="AB590" s="352"/>
      <c r="AC590" s="352"/>
      <c r="AD590" s="352"/>
      <c r="AE590" s="352"/>
      <c r="AF590" s="352"/>
    </row>
    <row r="591">
      <c r="A591" s="352"/>
      <c r="B591" s="352"/>
      <c r="C591" s="352"/>
      <c r="D591" s="352"/>
      <c r="E591" s="352"/>
      <c r="F591" s="352"/>
      <c r="G591" s="352"/>
      <c r="H591" s="352"/>
      <c r="I591" s="352"/>
      <c r="J591" s="352"/>
      <c r="K591" s="352"/>
      <c r="L591" s="352"/>
      <c r="M591" s="352"/>
      <c r="N591" s="352"/>
      <c r="O591" s="352"/>
      <c r="P591" s="352"/>
      <c r="Q591" s="352"/>
      <c r="R591" s="352"/>
      <c r="S591" s="352"/>
      <c r="T591" s="352"/>
      <c r="U591" s="352"/>
      <c r="V591" s="352"/>
      <c r="W591" s="352"/>
      <c r="X591" s="352"/>
      <c r="Y591" s="352"/>
      <c r="Z591" s="352"/>
      <c r="AA591" s="352"/>
      <c r="AB591" s="352"/>
      <c r="AC591" s="352"/>
      <c r="AD591" s="352"/>
      <c r="AE591" s="352"/>
      <c r="AF591" s="352"/>
    </row>
    <row r="592">
      <c r="A592" s="352"/>
      <c r="B592" s="352"/>
      <c r="C592" s="352"/>
      <c r="D592" s="352"/>
      <c r="E592" s="352"/>
      <c r="F592" s="352"/>
      <c r="G592" s="352"/>
      <c r="H592" s="352"/>
      <c r="I592" s="352"/>
      <c r="J592" s="352"/>
      <c r="K592" s="352"/>
      <c r="L592" s="352"/>
      <c r="M592" s="352"/>
      <c r="N592" s="352"/>
      <c r="O592" s="352"/>
      <c r="P592" s="352"/>
      <c r="Q592" s="352"/>
      <c r="R592" s="352"/>
      <c r="S592" s="352"/>
      <c r="T592" s="352"/>
      <c r="U592" s="352"/>
      <c r="V592" s="352"/>
      <c r="W592" s="352"/>
      <c r="X592" s="352"/>
      <c r="Y592" s="352"/>
      <c r="Z592" s="352"/>
      <c r="AA592" s="352"/>
      <c r="AB592" s="352"/>
      <c r="AC592" s="352"/>
      <c r="AD592" s="352"/>
      <c r="AE592" s="352"/>
      <c r="AF592" s="352"/>
    </row>
    <row r="593">
      <c r="A593" s="352"/>
      <c r="B593" s="352"/>
      <c r="C593" s="352"/>
      <c r="D593" s="352"/>
      <c r="E593" s="352"/>
      <c r="F593" s="352"/>
      <c r="G593" s="352"/>
      <c r="H593" s="352"/>
      <c r="I593" s="352"/>
      <c r="J593" s="352"/>
      <c r="K593" s="352"/>
      <c r="L593" s="352"/>
      <c r="M593" s="352"/>
      <c r="N593" s="352"/>
      <c r="O593" s="352"/>
      <c r="P593" s="352"/>
      <c r="Q593" s="352"/>
      <c r="R593" s="352"/>
      <c r="S593" s="352"/>
      <c r="T593" s="352"/>
      <c r="U593" s="352"/>
      <c r="V593" s="352"/>
      <c r="W593" s="352"/>
      <c r="X593" s="352"/>
      <c r="Y593" s="352"/>
      <c r="Z593" s="352"/>
      <c r="AA593" s="352"/>
      <c r="AB593" s="352"/>
      <c r="AC593" s="352"/>
      <c r="AD593" s="352"/>
      <c r="AE593" s="352"/>
      <c r="AF593" s="352"/>
    </row>
    <row r="594">
      <c r="A594" s="352"/>
      <c r="B594" s="352"/>
      <c r="C594" s="352"/>
      <c r="D594" s="352"/>
      <c r="E594" s="352"/>
      <c r="F594" s="352"/>
      <c r="G594" s="352"/>
      <c r="H594" s="352"/>
      <c r="I594" s="352"/>
      <c r="J594" s="352"/>
      <c r="K594" s="352"/>
      <c r="L594" s="352"/>
      <c r="M594" s="352"/>
      <c r="N594" s="352"/>
      <c r="O594" s="352"/>
      <c r="P594" s="352"/>
      <c r="Q594" s="352"/>
      <c r="R594" s="352"/>
      <c r="S594" s="352"/>
      <c r="T594" s="352"/>
      <c r="U594" s="352"/>
      <c r="V594" s="352"/>
      <c r="W594" s="352"/>
      <c r="X594" s="352"/>
      <c r="Y594" s="352"/>
      <c r="Z594" s="352"/>
      <c r="AA594" s="352"/>
      <c r="AB594" s="352"/>
      <c r="AC594" s="352"/>
      <c r="AD594" s="352"/>
      <c r="AE594" s="352"/>
      <c r="AF594" s="352"/>
    </row>
    <row r="595">
      <c r="A595" s="352"/>
      <c r="B595" s="352"/>
      <c r="C595" s="352"/>
      <c r="D595" s="352"/>
      <c r="E595" s="352"/>
      <c r="F595" s="352"/>
      <c r="G595" s="352"/>
      <c r="H595" s="352"/>
      <c r="I595" s="352"/>
      <c r="J595" s="352"/>
      <c r="K595" s="352"/>
      <c r="L595" s="352"/>
      <c r="M595" s="352"/>
      <c r="N595" s="352"/>
      <c r="O595" s="352"/>
      <c r="P595" s="352"/>
      <c r="Q595" s="352"/>
      <c r="R595" s="352"/>
      <c r="S595" s="352"/>
      <c r="T595" s="352"/>
      <c r="U595" s="352"/>
      <c r="V595" s="352"/>
      <c r="W595" s="352"/>
      <c r="X595" s="352"/>
      <c r="Y595" s="352"/>
      <c r="Z595" s="352"/>
      <c r="AA595" s="352"/>
      <c r="AB595" s="352"/>
      <c r="AC595" s="352"/>
      <c r="AD595" s="352"/>
      <c r="AE595" s="352"/>
      <c r="AF595" s="352"/>
    </row>
    <row r="596">
      <c r="A596" s="352"/>
      <c r="B596" s="352"/>
      <c r="C596" s="352"/>
      <c r="D596" s="352"/>
      <c r="E596" s="352"/>
      <c r="F596" s="352"/>
      <c r="G596" s="352"/>
      <c r="H596" s="352"/>
      <c r="I596" s="352"/>
      <c r="J596" s="352"/>
      <c r="K596" s="352"/>
      <c r="L596" s="352"/>
      <c r="M596" s="352"/>
      <c r="N596" s="352"/>
      <c r="O596" s="352"/>
      <c r="P596" s="352"/>
      <c r="Q596" s="352"/>
      <c r="R596" s="352"/>
      <c r="S596" s="352"/>
      <c r="T596" s="352"/>
      <c r="U596" s="352"/>
      <c r="V596" s="352"/>
      <c r="W596" s="352"/>
      <c r="X596" s="352"/>
      <c r="Y596" s="352"/>
      <c r="Z596" s="352"/>
      <c r="AA596" s="352"/>
      <c r="AB596" s="352"/>
      <c r="AC596" s="352"/>
      <c r="AD596" s="352"/>
      <c r="AE596" s="352"/>
      <c r="AF596" s="352"/>
    </row>
    <row r="597">
      <c r="A597" s="352"/>
      <c r="B597" s="352"/>
      <c r="C597" s="352"/>
      <c r="D597" s="352"/>
      <c r="E597" s="352"/>
      <c r="F597" s="352"/>
      <c r="G597" s="352"/>
      <c r="H597" s="352"/>
      <c r="I597" s="352"/>
      <c r="J597" s="352"/>
      <c r="K597" s="352"/>
      <c r="L597" s="352"/>
      <c r="M597" s="352"/>
      <c r="N597" s="352"/>
      <c r="O597" s="352"/>
      <c r="P597" s="352"/>
      <c r="Q597" s="352"/>
      <c r="R597" s="352"/>
      <c r="S597" s="352"/>
      <c r="T597" s="352"/>
      <c r="U597" s="352"/>
      <c r="V597" s="352"/>
      <c r="W597" s="352"/>
      <c r="X597" s="352"/>
      <c r="Y597" s="352"/>
      <c r="Z597" s="352"/>
      <c r="AA597" s="352"/>
      <c r="AB597" s="352"/>
      <c r="AC597" s="352"/>
      <c r="AD597" s="352"/>
      <c r="AE597" s="352"/>
      <c r="AF597" s="352"/>
    </row>
    <row r="598">
      <c r="A598" s="352"/>
      <c r="B598" s="352"/>
      <c r="C598" s="352"/>
      <c r="D598" s="352"/>
      <c r="E598" s="352"/>
      <c r="F598" s="352"/>
      <c r="G598" s="352"/>
      <c r="H598" s="352"/>
      <c r="I598" s="352"/>
      <c r="J598" s="352"/>
      <c r="K598" s="352"/>
      <c r="L598" s="352"/>
      <c r="M598" s="352"/>
      <c r="N598" s="352"/>
      <c r="O598" s="352"/>
      <c r="P598" s="352"/>
      <c r="Q598" s="352"/>
      <c r="R598" s="352"/>
      <c r="S598" s="352"/>
      <c r="T598" s="352"/>
      <c r="U598" s="352"/>
      <c r="V598" s="352"/>
      <c r="W598" s="352"/>
      <c r="X598" s="352"/>
      <c r="Y598" s="352"/>
      <c r="Z598" s="352"/>
      <c r="AA598" s="352"/>
      <c r="AB598" s="352"/>
      <c r="AC598" s="352"/>
      <c r="AD598" s="352"/>
      <c r="AE598" s="352"/>
      <c r="AF598" s="352"/>
    </row>
    <row r="599">
      <c r="A599" s="352"/>
      <c r="B599" s="352"/>
      <c r="C599" s="352"/>
      <c r="D599" s="352"/>
      <c r="E599" s="352"/>
      <c r="F599" s="352"/>
      <c r="G599" s="352"/>
      <c r="H599" s="352"/>
      <c r="I599" s="352"/>
      <c r="J599" s="352"/>
      <c r="K599" s="352"/>
      <c r="L599" s="352"/>
      <c r="M599" s="352"/>
      <c r="N599" s="352"/>
      <c r="O599" s="352"/>
      <c r="P599" s="352"/>
      <c r="Q599" s="352"/>
      <c r="R599" s="352"/>
      <c r="S599" s="352"/>
      <c r="T599" s="352"/>
      <c r="U599" s="352"/>
      <c r="V599" s="352"/>
      <c r="W599" s="352"/>
      <c r="X599" s="352"/>
      <c r="Y599" s="352"/>
      <c r="Z599" s="352"/>
      <c r="AA599" s="352"/>
      <c r="AB599" s="352"/>
      <c r="AC599" s="352"/>
      <c r="AD599" s="352"/>
      <c r="AE599" s="352"/>
      <c r="AF599" s="352"/>
    </row>
    <row r="600">
      <c r="A600" s="352"/>
      <c r="B600" s="352"/>
      <c r="C600" s="352"/>
      <c r="D600" s="352"/>
      <c r="E600" s="352"/>
      <c r="F600" s="352"/>
      <c r="G600" s="352"/>
      <c r="H600" s="352"/>
      <c r="I600" s="352"/>
      <c r="J600" s="352"/>
      <c r="K600" s="352"/>
      <c r="L600" s="352"/>
      <c r="M600" s="352"/>
      <c r="N600" s="352"/>
      <c r="O600" s="352"/>
      <c r="P600" s="352"/>
      <c r="Q600" s="352"/>
      <c r="R600" s="352"/>
      <c r="S600" s="352"/>
      <c r="T600" s="352"/>
      <c r="U600" s="352"/>
      <c r="V600" s="352"/>
      <c r="W600" s="352"/>
      <c r="X600" s="352"/>
      <c r="Y600" s="352"/>
      <c r="Z600" s="352"/>
      <c r="AA600" s="352"/>
      <c r="AB600" s="352"/>
      <c r="AC600" s="352"/>
      <c r="AD600" s="352"/>
      <c r="AE600" s="352"/>
      <c r="AF600" s="352"/>
    </row>
    <row r="601">
      <c r="A601" s="352"/>
      <c r="B601" s="352"/>
      <c r="C601" s="352"/>
      <c r="D601" s="352"/>
      <c r="E601" s="352"/>
      <c r="F601" s="352"/>
      <c r="G601" s="352"/>
      <c r="H601" s="352"/>
      <c r="I601" s="352"/>
      <c r="J601" s="352"/>
      <c r="K601" s="352"/>
      <c r="L601" s="352"/>
      <c r="M601" s="352"/>
      <c r="N601" s="352"/>
      <c r="O601" s="352"/>
      <c r="P601" s="352"/>
      <c r="Q601" s="352"/>
      <c r="R601" s="352"/>
      <c r="S601" s="352"/>
      <c r="T601" s="352"/>
      <c r="U601" s="352"/>
      <c r="V601" s="352"/>
      <c r="W601" s="352"/>
      <c r="X601" s="352"/>
      <c r="Y601" s="352"/>
      <c r="Z601" s="352"/>
      <c r="AA601" s="352"/>
      <c r="AB601" s="352"/>
      <c r="AC601" s="352"/>
      <c r="AD601" s="352"/>
      <c r="AE601" s="352"/>
      <c r="AF601" s="352"/>
    </row>
    <row r="602">
      <c r="A602" s="352"/>
      <c r="B602" s="352"/>
      <c r="C602" s="352"/>
      <c r="D602" s="352"/>
      <c r="E602" s="352"/>
      <c r="F602" s="352"/>
      <c r="G602" s="352"/>
      <c r="H602" s="352"/>
      <c r="I602" s="352"/>
      <c r="J602" s="352"/>
      <c r="K602" s="352"/>
      <c r="L602" s="352"/>
      <c r="M602" s="352"/>
      <c r="N602" s="352"/>
      <c r="O602" s="352"/>
      <c r="P602" s="352"/>
      <c r="Q602" s="352"/>
      <c r="R602" s="352"/>
      <c r="S602" s="352"/>
      <c r="T602" s="352"/>
      <c r="U602" s="352"/>
      <c r="V602" s="352"/>
      <c r="W602" s="352"/>
      <c r="X602" s="352"/>
      <c r="Y602" s="352"/>
      <c r="Z602" s="352"/>
      <c r="AA602" s="352"/>
      <c r="AB602" s="352"/>
      <c r="AC602" s="352"/>
      <c r="AD602" s="352"/>
      <c r="AE602" s="352"/>
      <c r="AF602" s="352"/>
    </row>
    <row r="603">
      <c r="A603" s="352"/>
      <c r="B603" s="352"/>
      <c r="C603" s="352"/>
      <c r="D603" s="352"/>
      <c r="E603" s="352"/>
      <c r="F603" s="352"/>
      <c r="G603" s="352"/>
      <c r="H603" s="352"/>
      <c r="I603" s="352"/>
      <c r="J603" s="352"/>
      <c r="K603" s="352"/>
      <c r="L603" s="352"/>
      <c r="M603" s="352"/>
      <c r="N603" s="352"/>
      <c r="O603" s="352"/>
      <c r="P603" s="352"/>
      <c r="Q603" s="352"/>
      <c r="R603" s="352"/>
      <c r="S603" s="352"/>
      <c r="T603" s="352"/>
      <c r="U603" s="352"/>
      <c r="V603" s="352"/>
      <c r="W603" s="352"/>
      <c r="X603" s="352"/>
      <c r="Y603" s="352"/>
      <c r="Z603" s="352"/>
      <c r="AA603" s="352"/>
      <c r="AB603" s="352"/>
      <c r="AC603" s="352"/>
      <c r="AD603" s="352"/>
      <c r="AE603" s="352"/>
      <c r="AF603" s="352"/>
    </row>
    <row r="604">
      <c r="A604" s="352"/>
      <c r="B604" s="352"/>
      <c r="C604" s="352"/>
      <c r="D604" s="352"/>
      <c r="E604" s="352"/>
      <c r="F604" s="352"/>
      <c r="G604" s="352"/>
      <c r="H604" s="352"/>
      <c r="I604" s="352"/>
      <c r="J604" s="352"/>
      <c r="K604" s="352"/>
      <c r="L604" s="352"/>
      <c r="M604" s="352"/>
      <c r="N604" s="352"/>
      <c r="O604" s="352"/>
      <c r="P604" s="352"/>
      <c r="Q604" s="352"/>
      <c r="R604" s="352"/>
      <c r="S604" s="352"/>
      <c r="T604" s="352"/>
      <c r="U604" s="352"/>
      <c r="V604" s="352"/>
      <c r="W604" s="352"/>
      <c r="X604" s="352"/>
      <c r="Y604" s="352"/>
      <c r="Z604" s="352"/>
      <c r="AA604" s="352"/>
      <c r="AB604" s="352"/>
      <c r="AC604" s="352"/>
      <c r="AD604" s="352"/>
      <c r="AE604" s="352"/>
      <c r="AF604" s="352"/>
    </row>
    <row r="605">
      <c r="A605" s="352"/>
      <c r="B605" s="352"/>
      <c r="C605" s="352"/>
      <c r="D605" s="352"/>
      <c r="E605" s="352"/>
      <c r="F605" s="352"/>
      <c r="G605" s="352"/>
      <c r="H605" s="352"/>
      <c r="I605" s="352"/>
      <c r="J605" s="352"/>
      <c r="K605" s="352"/>
      <c r="L605" s="352"/>
      <c r="M605" s="352"/>
      <c r="N605" s="352"/>
      <c r="O605" s="352"/>
      <c r="P605" s="352"/>
      <c r="Q605" s="352"/>
      <c r="R605" s="352"/>
      <c r="S605" s="352"/>
      <c r="T605" s="352"/>
      <c r="U605" s="352"/>
      <c r="V605" s="352"/>
      <c r="W605" s="352"/>
      <c r="X605" s="352"/>
      <c r="Y605" s="352"/>
      <c r="Z605" s="352"/>
      <c r="AA605" s="352"/>
      <c r="AB605" s="352"/>
      <c r="AC605" s="352"/>
      <c r="AD605" s="352"/>
      <c r="AE605" s="352"/>
      <c r="AF605" s="352"/>
    </row>
    <row r="606">
      <c r="A606" s="352"/>
      <c r="B606" s="352"/>
      <c r="C606" s="352"/>
      <c r="D606" s="352"/>
      <c r="E606" s="352"/>
      <c r="F606" s="352"/>
      <c r="G606" s="352"/>
      <c r="H606" s="352"/>
      <c r="I606" s="352"/>
      <c r="J606" s="352"/>
      <c r="K606" s="352"/>
      <c r="L606" s="352"/>
      <c r="M606" s="352"/>
      <c r="N606" s="352"/>
      <c r="O606" s="352"/>
      <c r="P606" s="352"/>
      <c r="Q606" s="352"/>
      <c r="R606" s="352"/>
      <c r="S606" s="352"/>
      <c r="T606" s="352"/>
      <c r="U606" s="352"/>
      <c r="V606" s="352"/>
      <c r="W606" s="352"/>
      <c r="X606" s="352"/>
      <c r="Y606" s="352"/>
      <c r="Z606" s="352"/>
      <c r="AA606" s="352"/>
      <c r="AB606" s="352"/>
      <c r="AC606" s="352"/>
      <c r="AD606" s="352"/>
      <c r="AE606" s="352"/>
      <c r="AF606" s="352"/>
    </row>
    <row r="607">
      <c r="A607" s="352"/>
      <c r="B607" s="352"/>
      <c r="C607" s="352"/>
      <c r="D607" s="352"/>
      <c r="E607" s="352"/>
      <c r="F607" s="352"/>
      <c r="G607" s="352"/>
      <c r="H607" s="352"/>
      <c r="I607" s="352"/>
      <c r="J607" s="352"/>
      <c r="K607" s="352"/>
      <c r="L607" s="352"/>
      <c r="M607" s="352"/>
      <c r="N607" s="352"/>
      <c r="O607" s="352"/>
      <c r="P607" s="352"/>
      <c r="Q607" s="352"/>
      <c r="R607" s="352"/>
      <c r="S607" s="352"/>
      <c r="T607" s="352"/>
      <c r="U607" s="352"/>
      <c r="V607" s="352"/>
      <c r="W607" s="352"/>
      <c r="X607" s="352"/>
      <c r="Y607" s="352"/>
      <c r="Z607" s="352"/>
      <c r="AA607" s="352"/>
      <c r="AB607" s="352"/>
      <c r="AC607" s="352"/>
      <c r="AD607" s="352"/>
      <c r="AE607" s="352"/>
      <c r="AF607" s="352"/>
    </row>
    <row r="608">
      <c r="A608" s="352"/>
      <c r="B608" s="352"/>
      <c r="C608" s="352"/>
      <c r="D608" s="352"/>
      <c r="E608" s="352"/>
      <c r="F608" s="352"/>
      <c r="G608" s="352"/>
      <c r="H608" s="352"/>
      <c r="I608" s="352"/>
      <c r="J608" s="352"/>
      <c r="K608" s="352"/>
      <c r="L608" s="352"/>
      <c r="M608" s="352"/>
      <c r="N608" s="352"/>
      <c r="O608" s="352"/>
      <c r="P608" s="352"/>
      <c r="Q608" s="352"/>
      <c r="R608" s="352"/>
      <c r="S608" s="352"/>
      <c r="T608" s="352"/>
      <c r="U608" s="352"/>
      <c r="V608" s="352"/>
      <c r="W608" s="352"/>
      <c r="X608" s="352"/>
      <c r="Y608" s="352"/>
      <c r="Z608" s="352"/>
      <c r="AA608" s="352"/>
      <c r="AB608" s="352"/>
      <c r="AC608" s="352"/>
      <c r="AD608" s="352"/>
      <c r="AE608" s="352"/>
      <c r="AF608" s="352"/>
    </row>
    <row r="609">
      <c r="A609" s="352"/>
      <c r="B609" s="352"/>
      <c r="C609" s="352"/>
      <c r="D609" s="352"/>
      <c r="E609" s="352"/>
      <c r="F609" s="352"/>
      <c r="G609" s="352"/>
      <c r="H609" s="352"/>
      <c r="I609" s="352"/>
      <c r="J609" s="352"/>
      <c r="K609" s="352"/>
      <c r="L609" s="352"/>
      <c r="M609" s="352"/>
      <c r="N609" s="352"/>
      <c r="O609" s="352"/>
      <c r="P609" s="352"/>
      <c r="Q609" s="352"/>
      <c r="R609" s="352"/>
      <c r="S609" s="352"/>
      <c r="T609" s="352"/>
      <c r="U609" s="352"/>
      <c r="V609" s="352"/>
      <c r="W609" s="352"/>
      <c r="X609" s="352"/>
      <c r="Y609" s="352"/>
      <c r="Z609" s="352"/>
      <c r="AA609" s="352"/>
      <c r="AB609" s="352"/>
      <c r="AC609" s="352"/>
      <c r="AD609" s="352"/>
      <c r="AE609" s="352"/>
      <c r="AF609" s="352"/>
    </row>
    <row r="610">
      <c r="A610" s="352"/>
      <c r="B610" s="352"/>
      <c r="C610" s="352"/>
      <c r="D610" s="352"/>
      <c r="E610" s="352"/>
      <c r="F610" s="352"/>
      <c r="G610" s="352"/>
      <c r="H610" s="352"/>
      <c r="I610" s="352"/>
      <c r="J610" s="352"/>
      <c r="K610" s="352"/>
      <c r="L610" s="352"/>
      <c r="M610" s="352"/>
      <c r="N610" s="352"/>
      <c r="O610" s="352"/>
      <c r="P610" s="352"/>
      <c r="Q610" s="352"/>
      <c r="R610" s="352"/>
      <c r="S610" s="352"/>
      <c r="T610" s="352"/>
      <c r="U610" s="352"/>
      <c r="V610" s="352"/>
      <c r="W610" s="352"/>
      <c r="X610" s="352"/>
      <c r="Y610" s="352"/>
      <c r="Z610" s="352"/>
      <c r="AA610" s="352"/>
      <c r="AB610" s="352"/>
      <c r="AC610" s="352"/>
      <c r="AD610" s="352"/>
      <c r="AE610" s="352"/>
      <c r="AF610" s="352"/>
    </row>
    <row r="611">
      <c r="A611" s="352"/>
      <c r="B611" s="352"/>
      <c r="C611" s="352"/>
      <c r="D611" s="352"/>
      <c r="E611" s="352"/>
      <c r="F611" s="352"/>
      <c r="G611" s="352"/>
      <c r="H611" s="352"/>
      <c r="I611" s="352"/>
      <c r="J611" s="352"/>
      <c r="K611" s="352"/>
      <c r="L611" s="352"/>
      <c r="M611" s="352"/>
      <c r="N611" s="352"/>
      <c r="O611" s="352"/>
      <c r="P611" s="352"/>
      <c r="Q611" s="352"/>
      <c r="R611" s="352"/>
      <c r="S611" s="352"/>
      <c r="T611" s="352"/>
      <c r="U611" s="352"/>
      <c r="V611" s="352"/>
      <c r="W611" s="352"/>
      <c r="X611" s="352"/>
      <c r="Y611" s="352"/>
      <c r="Z611" s="352"/>
      <c r="AA611" s="352"/>
      <c r="AB611" s="352"/>
      <c r="AC611" s="352"/>
      <c r="AD611" s="352"/>
      <c r="AE611" s="352"/>
      <c r="AF611" s="352"/>
    </row>
    <row r="612">
      <c r="A612" s="352"/>
      <c r="B612" s="352"/>
      <c r="C612" s="352"/>
      <c r="D612" s="352"/>
      <c r="E612" s="352"/>
      <c r="F612" s="352"/>
      <c r="G612" s="352"/>
      <c r="H612" s="352"/>
      <c r="I612" s="352"/>
      <c r="J612" s="352"/>
      <c r="K612" s="352"/>
      <c r="L612" s="352"/>
      <c r="M612" s="352"/>
      <c r="N612" s="352"/>
      <c r="O612" s="352"/>
      <c r="P612" s="352"/>
      <c r="Q612" s="352"/>
      <c r="R612" s="352"/>
      <c r="S612" s="352"/>
      <c r="T612" s="352"/>
      <c r="U612" s="352"/>
      <c r="V612" s="352"/>
      <c r="W612" s="352"/>
      <c r="X612" s="352"/>
      <c r="Y612" s="352"/>
      <c r="Z612" s="352"/>
      <c r="AA612" s="352"/>
      <c r="AB612" s="352"/>
      <c r="AC612" s="352"/>
      <c r="AD612" s="352"/>
      <c r="AE612" s="352"/>
      <c r="AF612" s="352"/>
    </row>
    <row r="613">
      <c r="A613" s="352"/>
      <c r="B613" s="352"/>
      <c r="C613" s="352"/>
      <c r="D613" s="352"/>
      <c r="E613" s="352"/>
      <c r="F613" s="352"/>
      <c r="G613" s="352"/>
      <c r="H613" s="352"/>
      <c r="I613" s="352"/>
      <c r="J613" s="352"/>
      <c r="K613" s="352"/>
      <c r="L613" s="352"/>
      <c r="M613" s="352"/>
      <c r="N613" s="352"/>
      <c r="O613" s="352"/>
      <c r="P613" s="352"/>
      <c r="Q613" s="352"/>
      <c r="R613" s="352"/>
      <c r="S613" s="352"/>
      <c r="T613" s="352"/>
      <c r="U613" s="352"/>
      <c r="V613" s="352"/>
      <c r="W613" s="352"/>
      <c r="X613" s="352"/>
      <c r="Y613" s="352"/>
      <c r="Z613" s="352"/>
      <c r="AA613" s="352"/>
      <c r="AB613" s="352"/>
      <c r="AC613" s="352"/>
      <c r="AD613" s="352"/>
      <c r="AE613" s="352"/>
      <c r="AF613" s="352"/>
    </row>
    <row r="614">
      <c r="A614" s="352"/>
      <c r="B614" s="352"/>
      <c r="C614" s="352"/>
      <c r="D614" s="352"/>
      <c r="E614" s="352"/>
      <c r="F614" s="352"/>
      <c r="G614" s="352"/>
      <c r="H614" s="352"/>
      <c r="I614" s="352"/>
      <c r="J614" s="352"/>
      <c r="K614" s="352"/>
      <c r="L614" s="352"/>
      <c r="M614" s="352"/>
      <c r="N614" s="352"/>
      <c r="O614" s="352"/>
      <c r="P614" s="352"/>
      <c r="Q614" s="352"/>
      <c r="R614" s="352"/>
      <c r="S614" s="352"/>
      <c r="T614" s="352"/>
      <c r="U614" s="352"/>
      <c r="V614" s="352"/>
      <c r="W614" s="352"/>
      <c r="X614" s="352"/>
      <c r="Y614" s="352"/>
      <c r="Z614" s="352"/>
      <c r="AA614" s="352"/>
      <c r="AB614" s="352"/>
      <c r="AC614" s="352"/>
      <c r="AD614" s="352"/>
      <c r="AE614" s="352"/>
      <c r="AF614" s="352"/>
    </row>
    <row r="615">
      <c r="A615" s="352"/>
      <c r="B615" s="352"/>
      <c r="C615" s="352"/>
      <c r="D615" s="352"/>
      <c r="E615" s="352"/>
      <c r="F615" s="352"/>
      <c r="G615" s="352"/>
      <c r="H615" s="352"/>
      <c r="I615" s="352"/>
      <c r="J615" s="352"/>
      <c r="K615" s="352"/>
      <c r="L615" s="352"/>
      <c r="M615" s="352"/>
      <c r="N615" s="352"/>
      <c r="O615" s="352"/>
      <c r="P615" s="352"/>
      <c r="Q615" s="352"/>
      <c r="R615" s="352"/>
      <c r="S615" s="352"/>
      <c r="T615" s="352"/>
      <c r="U615" s="352"/>
      <c r="V615" s="352"/>
      <c r="W615" s="352"/>
      <c r="X615" s="352"/>
      <c r="Y615" s="352"/>
      <c r="Z615" s="352"/>
      <c r="AA615" s="352"/>
      <c r="AB615" s="352"/>
      <c r="AC615" s="352"/>
      <c r="AD615" s="352"/>
      <c r="AE615" s="352"/>
      <c r="AF615" s="352"/>
    </row>
    <row r="616">
      <c r="A616" s="352"/>
      <c r="B616" s="352"/>
      <c r="C616" s="352"/>
      <c r="D616" s="352"/>
      <c r="E616" s="352"/>
      <c r="F616" s="352"/>
      <c r="G616" s="352"/>
      <c r="H616" s="352"/>
      <c r="I616" s="352"/>
      <c r="J616" s="352"/>
      <c r="K616" s="352"/>
      <c r="L616" s="352"/>
      <c r="M616" s="352"/>
      <c r="N616" s="352"/>
      <c r="O616" s="352"/>
      <c r="P616" s="352"/>
      <c r="Q616" s="352"/>
      <c r="R616" s="352"/>
      <c r="S616" s="352"/>
      <c r="T616" s="352"/>
      <c r="U616" s="352"/>
      <c r="V616" s="352"/>
      <c r="W616" s="352"/>
      <c r="X616" s="352"/>
      <c r="Y616" s="352"/>
      <c r="Z616" s="352"/>
      <c r="AA616" s="352"/>
      <c r="AB616" s="352"/>
      <c r="AC616" s="352"/>
      <c r="AD616" s="352"/>
      <c r="AE616" s="352"/>
      <c r="AF616" s="352"/>
    </row>
    <row r="617">
      <c r="A617" s="352"/>
      <c r="B617" s="352"/>
      <c r="C617" s="352"/>
      <c r="D617" s="352"/>
      <c r="E617" s="352"/>
      <c r="F617" s="352"/>
      <c r="G617" s="352"/>
      <c r="H617" s="352"/>
      <c r="I617" s="352"/>
      <c r="J617" s="352"/>
      <c r="K617" s="352"/>
      <c r="L617" s="352"/>
      <c r="M617" s="352"/>
      <c r="N617" s="352"/>
      <c r="O617" s="352"/>
      <c r="P617" s="352"/>
      <c r="Q617" s="352"/>
      <c r="R617" s="352"/>
      <c r="S617" s="352"/>
      <c r="T617" s="352"/>
      <c r="U617" s="352"/>
      <c r="V617" s="352"/>
      <c r="W617" s="352"/>
      <c r="X617" s="352"/>
      <c r="Y617" s="352"/>
      <c r="Z617" s="352"/>
      <c r="AA617" s="352"/>
      <c r="AB617" s="352"/>
      <c r="AC617" s="352"/>
      <c r="AD617" s="352"/>
      <c r="AE617" s="352"/>
      <c r="AF617" s="352"/>
    </row>
    <row r="618">
      <c r="A618" s="352"/>
      <c r="B618" s="352"/>
      <c r="C618" s="352"/>
      <c r="D618" s="352"/>
      <c r="E618" s="352"/>
      <c r="F618" s="352"/>
      <c r="G618" s="352"/>
      <c r="H618" s="352"/>
      <c r="I618" s="352"/>
      <c r="J618" s="352"/>
      <c r="K618" s="352"/>
      <c r="L618" s="352"/>
      <c r="M618" s="352"/>
      <c r="N618" s="352"/>
      <c r="O618" s="352"/>
      <c r="P618" s="352"/>
      <c r="Q618" s="352"/>
      <c r="R618" s="352"/>
      <c r="S618" s="352"/>
      <c r="T618" s="352"/>
      <c r="U618" s="352"/>
      <c r="V618" s="352"/>
      <c r="W618" s="352"/>
      <c r="X618" s="352"/>
      <c r="Y618" s="352"/>
      <c r="Z618" s="352"/>
      <c r="AA618" s="352"/>
      <c r="AB618" s="352"/>
      <c r="AC618" s="352"/>
      <c r="AD618" s="352"/>
      <c r="AE618" s="352"/>
      <c r="AF618" s="352"/>
    </row>
    <row r="619">
      <c r="A619" s="352"/>
      <c r="B619" s="352"/>
      <c r="C619" s="352"/>
      <c r="D619" s="352"/>
      <c r="E619" s="352"/>
      <c r="F619" s="352"/>
      <c r="G619" s="352"/>
      <c r="H619" s="352"/>
      <c r="I619" s="352"/>
      <c r="J619" s="352"/>
      <c r="K619" s="352"/>
      <c r="L619" s="352"/>
      <c r="M619" s="352"/>
      <c r="N619" s="352"/>
      <c r="O619" s="352"/>
      <c r="P619" s="352"/>
      <c r="Q619" s="352"/>
      <c r="R619" s="352"/>
      <c r="S619" s="352"/>
      <c r="T619" s="352"/>
      <c r="U619" s="352"/>
      <c r="V619" s="352"/>
      <c r="W619" s="352"/>
      <c r="X619" s="352"/>
      <c r="Y619" s="352"/>
      <c r="Z619" s="352"/>
      <c r="AA619" s="352"/>
      <c r="AB619" s="352"/>
      <c r="AC619" s="352"/>
      <c r="AD619" s="352"/>
      <c r="AE619" s="352"/>
      <c r="AF619" s="352"/>
    </row>
    <row r="620">
      <c r="A620" s="352"/>
      <c r="B620" s="352"/>
      <c r="C620" s="352"/>
      <c r="D620" s="352"/>
      <c r="E620" s="352"/>
      <c r="F620" s="352"/>
      <c r="G620" s="352"/>
      <c r="H620" s="352"/>
      <c r="I620" s="352"/>
      <c r="J620" s="352"/>
      <c r="K620" s="352"/>
      <c r="L620" s="352"/>
      <c r="M620" s="352"/>
      <c r="N620" s="352"/>
      <c r="O620" s="352"/>
      <c r="P620" s="352"/>
      <c r="Q620" s="352"/>
      <c r="R620" s="352"/>
      <c r="S620" s="352"/>
      <c r="T620" s="352"/>
      <c r="U620" s="352"/>
      <c r="V620" s="352"/>
      <c r="W620" s="352"/>
      <c r="X620" s="352"/>
      <c r="Y620" s="352"/>
      <c r="Z620" s="352"/>
      <c r="AA620" s="352"/>
      <c r="AB620" s="352"/>
      <c r="AC620" s="352"/>
      <c r="AD620" s="352"/>
      <c r="AE620" s="352"/>
      <c r="AF620" s="352"/>
    </row>
    <row r="621">
      <c r="A621" s="352"/>
      <c r="B621" s="352"/>
      <c r="C621" s="352"/>
      <c r="D621" s="352"/>
      <c r="E621" s="352"/>
      <c r="F621" s="352"/>
      <c r="G621" s="352"/>
      <c r="H621" s="352"/>
      <c r="I621" s="352"/>
      <c r="J621" s="352"/>
      <c r="K621" s="352"/>
      <c r="L621" s="352"/>
      <c r="M621" s="352"/>
      <c r="N621" s="352"/>
      <c r="O621" s="352"/>
      <c r="P621" s="352"/>
      <c r="Q621" s="352"/>
      <c r="R621" s="352"/>
      <c r="S621" s="352"/>
      <c r="T621" s="352"/>
      <c r="U621" s="352"/>
      <c r="V621" s="352"/>
      <c r="W621" s="352"/>
      <c r="X621" s="352"/>
      <c r="Y621" s="352"/>
      <c r="Z621" s="352"/>
      <c r="AA621" s="352"/>
      <c r="AB621" s="352"/>
      <c r="AC621" s="352"/>
      <c r="AD621" s="352"/>
      <c r="AE621" s="352"/>
      <c r="AF621" s="352"/>
    </row>
    <row r="622">
      <c r="A622" s="352"/>
      <c r="B622" s="352"/>
      <c r="C622" s="352"/>
      <c r="D622" s="352"/>
      <c r="E622" s="352"/>
      <c r="F622" s="352"/>
      <c r="G622" s="352"/>
      <c r="H622" s="352"/>
      <c r="I622" s="352"/>
      <c r="J622" s="352"/>
      <c r="K622" s="352"/>
      <c r="L622" s="352"/>
      <c r="M622" s="352"/>
      <c r="N622" s="352"/>
      <c r="O622" s="352"/>
      <c r="P622" s="352"/>
      <c r="Q622" s="352"/>
      <c r="R622" s="352"/>
      <c r="S622" s="352"/>
      <c r="T622" s="352"/>
      <c r="U622" s="352"/>
      <c r="V622" s="352"/>
      <c r="W622" s="352"/>
      <c r="X622" s="352"/>
      <c r="Y622" s="352"/>
      <c r="Z622" s="352"/>
      <c r="AA622" s="352"/>
      <c r="AB622" s="352"/>
      <c r="AC622" s="352"/>
      <c r="AD622" s="352"/>
      <c r="AE622" s="352"/>
      <c r="AF622" s="352"/>
    </row>
    <row r="623">
      <c r="A623" s="352"/>
      <c r="B623" s="352"/>
      <c r="C623" s="352"/>
      <c r="D623" s="352"/>
      <c r="E623" s="352"/>
      <c r="F623" s="352"/>
      <c r="G623" s="352"/>
      <c r="H623" s="352"/>
      <c r="I623" s="352"/>
      <c r="J623" s="352"/>
      <c r="K623" s="352"/>
      <c r="L623" s="352"/>
      <c r="M623" s="352"/>
      <c r="N623" s="352"/>
      <c r="O623" s="352"/>
      <c r="P623" s="352"/>
      <c r="Q623" s="352"/>
      <c r="R623" s="352"/>
      <c r="S623" s="352"/>
      <c r="T623" s="352"/>
      <c r="U623" s="352"/>
      <c r="V623" s="352"/>
      <c r="W623" s="352"/>
      <c r="X623" s="352"/>
      <c r="Y623" s="352"/>
      <c r="Z623" s="352"/>
      <c r="AA623" s="352"/>
      <c r="AB623" s="352"/>
      <c r="AC623" s="352"/>
      <c r="AD623" s="352"/>
      <c r="AE623" s="352"/>
      <c r="AF623" s="352"/>
    </row>
    <row r="624">
      <c r="A624" s="352"/>
      <c r="B624" s="352"/>
      <c r="C624" s="352"/>
      <c r="D624" s="352"/>
      <c r="E624" s="352"/>
      <c r="F624" s="352"/>
      <c r="G624" s="352"/>
      <c r="H624" s="352"/>
      <c r="I624" s="352"/>
      <c r="J624" s="352"/>
      <c r="K624" s="352"/>
      <c r="L624" s="352"/>
      <c r="M624" s="352"/>
      <c r="N624" s="352"/>
      <c r="O624" s="352"/>
      <c r="P624" s="352"/>
      <c r="Q624" s="352"/>
      <c r="R624" s="352"/>
      <c r="S624" s="352"/>
      <c r="T624" s="352"/>
      <c r="U624" s="352"/>
      <c r="V624" s="352"/>
      <c r="W624" s="352"/>
      <c r="X624" s="352"/>
      <c r="Y624" s="352"/>
      <c r="Z624" s="352"/>
      <c r="AA624" s="352"/>
      <c r="AB624" s="352"/>
      <c r="AC624" s="352"/>
      <c r="AD624" s="352"/>
      <c r="AE624" s="352"/>
      <c r="AF624" s="352"/>
    </row>
    <row r="625">
      <c r="A625" s="352"/>
      <c r="B625" s="352"/>
      <c r="C625" s="352"/>
      <c r="D625" s="352"/>
      <c r="E625" s="352"/>
      <c r="F625" s="352"/>
      <c r="G625" s="352"/>
      <c r="H625" s="352"/>
      <c r="I625" s="352"/>
      <c r="J625" s="352"/>
      <c r="K625" s="352"/>
      <c r="L625" s="352"/>
      <c r="M625" s="352"/>
      <c r="N625" s="352"/>
      <c r="O625" s="352"/>
      <c r="P625" s="352"/>
      <c r="Q625" s="352"/>
      <c r="R625" s="352"/>
      <c r="S625" s="352"/>
      <c r="T625" s="352"/>
      <c r="U625" s="352"/>
      <c r="V625" s="352"/>
      <c r="W625" s="352"/>
      <c r="X625" s="352"/>
      <c r="Y625" s="352"/>
      <c r="Z625" s="352"/>
      <c r="AA625" s="352"/>
      <c r="AB625" s="352"/>
      <c r="AC625" s="352"/>
      <c r="AD625" s="352"/>
      <c r="AE625" s="352"/>
      <c r="AF625" s="352"/>
    </row>
    <row r="626">
      <c r="A626" s="352"/>
      <c r="B626" s="352"/>
      <c r="C626" s="352"/>
      <c r="D626" s="352"/>
      <c r="E626" s="352"/>
      <c r="F626" s="352"/>
      <c r="G626" s="352"/>
      <c r="H626" s="352"/>
      <c r="I626" s="352"/>
      <c r="J626" s="352"/>
      <c r="K626" s="352"/>
      <c r="L626" s="352"/>
      <c r="M626" s="352"/>
      <c r="N626" s="352"/>
      <c r="O626" s="352"/>
      <c r="P626" s="352"/>
      <c r="Q626" s="352"/>
      <c r="R626" s="352"/>
      <c r="S626" s="352"/>
      <c r="T626" s="352"/>
      <c r="U626" s="352"/>
      <c r="V626" s="352"/>
      <c r="W626" s="352"/>
      <c r="X626" s="352"/>
      <c r="Y626" s="352"/>
      <c r="Z626" s="352"/>
      <c r="AA626" s="352"/>
      <c r="AB626" s="352"/>
      <c r="AC626" s="352"/>
      <c r="AD626" s="352"/>
      <c r="AE626" s="352"/>
      <c r="AF626" s="352"/>
    </row>
    <row r="627">
      <c r="A627" s="352"/>
      <c r="B627" s="352"/>
      <c r="C627" s="352"/>
      <c r="D627" s="352"/>
      <c r="E627" s="352"/>
      <c r="F627" s="352"/>
      <c r="G627" s="352"/>
      <c r="H627" s="352"/>
      <c r="I627" s="352"/>
      <c r="J627" s="352"/>
      <c r="K627" s="352"/>
      <c r="L627" s="352"/>
      <c r="M627" s="352"/>
      <c r="N627" s="352"/>
      <c r="O627" s="352"/>
      <c r="P627" s="352"/>
      <c r="Q627" s="352"/>
      <c r="R627" s="352"/>
      <c r="S627" s="352"/>
      <c r="T627" s="352"/>
      <c r="U627" s="352"/>
      <c r="V627" s="352"/>
      <c r="W627" s="352"/>
      <c r="X627" s="352"/>
      <c r="Y627" s="352"/>
      <c r="Z627" s="352"/>
      <c r="AA627" s="352"/>
      <c r="AB627" s="352"/>
      <c r="AC627" s="352"/>
      <c r="AD627" s="352"/>
      <c r="AE627" s="352"/>
      <c r="AF627" s="352"/>
    </row>
    <row r="628">
      <c r="A628" s="352"/>
      <c r="B628" s="352"/>
      <c r="C628" s="352"/>
      <c r="D628" s="352"/>
      <c r="E628" s="352"/>
      <c r="F628" s="352"/>
      <c r="G628" s="352"/>
      <c r="H628" s="352"/>
      <c r="I628" s="352"/>
      <c r="J628" s="352"/>
      <c r="K628" s="352"/>
      <c r="L628" s="352"/>
      <c r="M628" s="352"/>
      <c r="N628" s="352"/>
      <c r="O628" s="352"/>
      <c r="P628" s="352"/>
      <c r="Q628" s="352"/>
      <c r="R628" s="352"/>
      <c r="S628" s="352"/>
      <c r="T628" s="352"/>
      <c r="U628" s="352"/>
      <c r="V628" s="352"/>
      <c r="W628" s="352"/>
      <c r="X628" s="352"/>
      <c r="Y628" s="352"/>
      <c r="Z628" s="352"/>
      <c r="AA628" s="352"/>
      <c r="AB628" s="352"/>
      <c r="AC628" s="352"/>
      <c r="AD628" s="352"/>
      <c r="AE628" s="352"/>
      <c r="AF628" s="352"/>
    </row>
    <row r="629">
      <c r="A629" s="352"/>
      <c r="B629" s="352"/>
      <c r="C629" s="352"/>
      <c r="D629" s="352"/>
      <c r="E629" s="352"/>
      <c r="F629" s="352"/>
      <c r="G629" s="352"/>
      <c r="H629" s="352"/>
      <c r="I629" s="352"/>
      <c r="J629" s="352"/>
      <c r="K629" s="352"/>
      <c r="L629" s="352"/>
      <c r="M629" s="352"/>
      <c r="N629" s="352"/>
      <c r="O629" s="352"/>
      <c r="P629" s="352"/>
      <c r="Q629" s="352"/>
      <c r="R629" s="352"/>
      <c r="S629" s="352"/>
      <c r="T629" s="352"/>
      <c r="U629" s="352"/>
      <c r="V629" s="352"/>
      <c r="W629" s="352"/>
      <c r="X629" s="352"/>
      <c r="Y629" s="352"/>
      <c r="Z629" s="352"/>
      <c r="AA629" s="352"/>
      <c r="AB629" s="352"/>
      <c r="AC629" s="352"/>
      <c r="AD629" s="352"/>
      <c r="AE629" s="352"/>
      <c r="AF629" s="352"/>
    </row>
    <row r="630">
      <c r="A630" s="352"/>
      <c r="B630" s="352"/>
      <c r="C630" s="352"/>
      <c r="D630" s="352"/>
      <c r="E630" s="352"/>
      <c r="F630" s="352"/>
      <c r="G630" s="352"/>
      <c r="H630" s="352"/>
      <c r="I630" s="352"/>
      <c r="J630" s="352"/>
      <c r="K630" s="352"/>
      <c r="L630" s="352"/>
      <c r="M630" s="352"/>
      <c r="N630" s="352"/>
      <c r="O630" s="352"/>
      <c r="P630" s="352"/>
      <c r="Q630" s="352"/>
      <c r="R630" s="352"/>
      <c r="S630" s="352"/>
      <c r="T630" s="352"/>
      <c r="U630" s="352"/>
      <c r="V630" s="352"/>
      <c r="W630" s="352"/>
      <c r="X630" s="352"/>
      <c r="Y630" s="352"/>
      <c r="Z630" s="352"/>
      <c r="AA630" s="352"/>
      <c r="AB630" s="352"/>
      <c r="AC630" s="352"/>
      <c r="AD630" s="352"/>
      <c r="AE630" s="352"/>
      <c r="AF630" s="352"/>
    </row>
    <row r="631">
      <c r="A631" s="352"/>
      <c r="B631" s="352"/>
      <c r="C631" s="352"/>
      <c r="D631" s="352"/>
      <c r="E631" s="352"/>
      <c r="F631" s="352"/>
      <c r="G631" s="352"/>
      <c r="H631" s="352"/>
      <c r="I631" s="352"/>
      <c r="J631" s="352"/>
      <c r="K631" s="352"/>
      <c r="L631" s="352"/>
      <c r="M631" s="352"/>
      <c r="N631" s="352"/>
      <c r="O631" s="352"/>
      <c r="P631" s="352"/>
      <c r="Q631" s="352"/>
      <c r="R631" s="352"/>
      <c r="S631" s="352"/>
      <c r="T631" s="352"/>
      <c r="U631" s="352"/>
      <c r="V631" s="352"/>
      <c r="W631" s="352"/>
      <c r="X631" s="352"/>
      <c r="Y631" s="352"/>
      <c r="Z631" s="352"/>
      <c r="AA631" s="352"/>
      <c r="AB631" s="352"/>
      <c r="AC631" s="352"/>
      <c r="AD631" s="352"/>
      <c r="AE631" s="352"/>
      <c r="AF631" s="352"/>
    </row>
    <row r="632">
      <c r="A632" s="352"/>
      <c r="B632" s="352"/>
      <c r="C632" s="352"/>
      <c r="D632" s="352"/>
      <c r="E632" s="352"/>
      <c r="F632" s="352"/>
      <c r="G632" s="352"/>
      <c r="H632" s="352"/>
      <c r="I632" s="352"/>
      <c r="J632" s="352"/>
      <c r="K632" s="352"/>
      <c r="L632" s="352"/>
      <c r="M632" s="352"/>
      <c r="N632" s="352"/>
      <c r="O632" s="352"/>
      <c r="P632" s="352"/>
      <c r="Q632" s="352"/>
      <c r="R632" s="352"/>
      <c r="S632" s="352"/>
      <c r="T632" s="352"/>
      <c r="U632" s="352"/>
      <c r="V632" s="352"/>
      <c r="W632" s="352"/>
      <c r="X632" s="352"/>
      <c r="Y632" s="352"/>
      <c r="Z632" s="352"/>
      <c r="AA632" s="352"/>
      <c r="AB632" s="352"/>
      <c r="AC632" s="352"/>
      <c r="AD632" s="352"/>
      <c r="AE632" s="352"/>
      <c r="AF632" s="352"/>
    </row>
    <row r="633">
      <c r="A633" s="352"/>
      <c r="B633" s="352"/>
      <c r="C633" s="352"/>
      <c r="D633" s="352"/>
      <c r="E633" s="352"/>
      <c r="F633" s="352"/>
      <c r="G633" s="352"/>
      <c r="H633" s="352"/>
      <c r="I633" s="352"/>
      <c r="J633" s="352"/>
      <c r="K633" s="352"/>
      <c r="L633" s="352"/>
      <c r="M633" s="352"/>
      <c r="N633" s="352"/>
      <c r="O633" s="352"/>
      <c r="P633" s="352"/>
      <c r="Q633" s="352"/>
      <c r="R633" s="352"/>
      <c r="S633" s="352"/>
      <c r="T633" s="352"/>
      <c r="U633" s="352"/>
      <c r="V633" s="352"/>
      <c r="W633" s="352"/>
      <c r="X633" s="352"/>
      <c r="Y633" s="352"/>
      <c r="Z633" s="352"/>
      <c r="AA633" s="352"/>
      <c r="AB633" s="352"/>
      <c r="AC633" s="352"/>
      <c r="AD633" s="352"/>
      <c r="AE633" s="352"/>
      <c r="AF633" s="352"/>
    </row>
    <row r="634">
      <c r="A634" s="352"/>
      <c r="B634" s="352"/>
      <c r="C634" s="352"/>
      <c r="D634" s="352"/>
      <c r="E634" s="352"/>
      <c r="F634" s="352"/>
      <c r="G634" s="352"/>
      <c r="H634" s="352"/>
      <c r="I634" s="352"/>
      <c r="J634" s="352"/>
      <c r="K634" s="352"/>
      <c r="L634" s="352"/>
      <c r="M634" s="352"/>
      <c r="N634" s="352"/>
      <c r="O634" s="352"/>
      <c r="P634" s="352"/>
      <c r="Q634" s="352"/>
      <c r="R634" s="352"/>
      <c r="S634" s="352"/>
      <c r="T634" s="352"/>
      <c r="U634" s="352"/>
      <c r="V634" s="352"/>
      <c r="W634" s="352"/>
      <c r="X634" s="352"/>
      <c r="Y634" s="352"/>
      <c r="Z634" s="352"/>
      <c r="AA634" s="352"/>
      <c r="AB634" s="352"/>
      <c r="AC634" s="352"/>
      <c r="AD634" s="352"/>
      <c r="AE634" s="352"/>
      <c r="AF634" s="352"/>
    </row>
    <row r="635">
      <c r="A635" s="352"/>
      <c r="B635" s="352"/>
      <c r="C635" s="352"/>
      <c r="D635" s="352"/>
      <c r="E635" s="352"/>
      <c r="F635" s="352"/>
      <c r="G635" s="352"/>
      <c r="H635" s="352"/>
      <c r="I635" s="352"/>
      <c r="J635" s="352"/>
      <c r="K635" s="352"/>
      <c r="L635" s="352"/>
      <c r="M635" s="352"/>
      <c r="N635" s="352"/>
      <c r="O635" s="352"/>
      <c r="P635" s="352"/>
      <c r="Q635" s="352"/>
      <c r="R635" s="352"/>
      <c r="S635" s="352"/>
      <c r="T635" s="352"/>
      <c r="U635" s="352"/>
      <c r="V635" s="352"/>
      <c r="W635" s="352"/>
      <c r="X635" s="352"/>
      <c r="Y635" s="352"/>
      <c r="Z635" s="352"/>
      <c r="AA635" s="352"/>
      <c r="AB635" s="352"/>
      <c r="AC635" s="352"/>
      <c r="AD635" s="352"/>
      <c r="AE635" s="352"/>
      <c r="AF635" s="352"/>
    </row>
    <row r="636">
      <c r="A636" s="352"/>
      <c r="B636" s="352"/>
      <c r="C636" s="352"/>
      <c r="D636" s="352"/>
      <c r="E636" s="352"/>
      <c r="F636" s="352"/>
      <c r="G636" s="352"/>
      <c r="H636" s="352"/>
      <c r="I636" s="352"/>
      <c r="J636" s="352"/>
      <c r="K636" s="352"/>
      <c r="L636" s="352"/>
      <c r="M636" s="352"/>
      <c r="N636" s="352"/>
      <c r="O636" s="352"/>
      <c r="P636" s="352"/>
      <c r="Q636" s="352"/>
      <c r="R636" s="352"/>
      <c r="S636" s="352"/>
      <c r="T636" s="352"/>
      <c r="U636" s="352"/>
      <c r="V636" s="352"/>
      <c r="W636" s="352"/>
      <c r="X636" s="352"/>
      <c r="Y636" s="352"/>
      <c r="Z636" s="352"/>
      <c r="AA636" s="352"/>
      <c r="AB636" s="352"/>
      <c r="AC636" s="352"/>
      <c r="AD636" s="352"/>
      <c r="AE636" s="352"/>
      <c r="AF636" s="352"/>
    </row>
    <row r="637">
      <c r="A637" s="352"/>
      <c r="B637" s="352"/>
      <c r="C637" s="352"/>
      <c r="D637" s="352"/>
      <c r="E637" s="352"/>
      <c r="F637" s="352"/>
      <c r="G637" s="352"/>
      <c r="H637" s="352"/>
      <c r="I637" s="352"/>
      <c r="J637" s="352"/>
      <c r="K637" s="352"/>
      <c r="L637" s="352"/>
      <c r="M637" s="352"/>
      <c r="N637" s="352"/>
      <c r="O637" s="352"/>
      <c r="P637" s="352"/>
      <c r="Q637" s="352"/>
      <c r="R637" s="352"/>
      <c r="S637" s="352"/>
      <c r="T637" s="352"/>
      <c r="U637" s="352"/>
      <c r="V637" s="352"/>
      <c r="W637" s="352"/>
      <c r="X637" s="352"/>
      <c r="Y637" s="352"/>
      <c r="Z637" s="352"/>
      <c r="AA637" s="352"/>
      <c r="AB637" s="352"/>
      <c r="AC637" s="352"/>
      <c r="AD637" s="352"/>
      <c r="AE637" s="352"/>
      <c r="AF637" s="352"/>
    </row>
    <row r="638">
      <c r="A638" s="352"/>
      <c r="B638" s="352"/>
      <c r="C638" s="352"/>
      <c r="D638" s="352"/>
      <c r="E638" s="352"/>
      <c r="F638" s="352"/>
      <c r="G638" s="352"/>
      <c r="H638" s="352"/>
      <c r="I638" s="352"/>
      <c r="J638" s="352"/>
      <c r="K638" s="352"/>
      <c r="L638" s="352"/>
      <c r="M638" s="352"/>
      <c r="N638" s="352"/>
      <c r="O638" s="352"/>
      <c r="P638" s="352"/>
      <c r="Q638" s="352"/>
      <c r="R638" s="352"/>
      <c r="S638" s="352"/>
      <c r="T638" s="352"/>
      <c r="U638" s="352"/>
      <c r="V638" s="352"/>
      <c r="W638" s="352"/>
      <c r="X638" s="352"/>
      <c r="Y638" s="352"/>
      <c r="Z638" s="352"/>
      <c r="AA638" s="352"/>
      <c r="AB638" s="352"/>
      <c r="AC638" s="352"/>
      <c r="AD638" s="352"/>
      <c r="AE638" s="352"/>
      <c r="AF638" s="352"/>
    </row>
    <row r="639">
      <c r="A639" s="352"/>
      <c r="B639" s="352"/>
      <c r="C639" s="352"/>
      <c r="D639" s="352"/>
      <c r="E639" s="352"/>
      <c r="F639" s="352"/>
      <c r="G639" s="352"/>
      <c r="H639" s="352"/>
      <c r="I639" s="352"/>
      <c r="J639" s="352"/>
      <c r="K639" s="352"/>
      <c r="L639" s="352"/>
      <c r="M639" s="352"/>
      <c r="N639" s="352"/>
      <c r="O639" s="352"/>
      <c r="P639" s="352"/>
      <c r="Q639" s="352"/>
      <c r="R639" s="352"/>
      <c r="S639" s="352"/>
      <c r="T639" s="352"/>
      <c r="U639" s="352"/>
      <c r="V639" s="352"/>
      <c r="W639" s="352"/>
      <c r="X639" s="352"/>
      <c r="Y639" s="352"/>
      <c r="Z639" s="352"/>
      <c r="AA639" s="352"/>
      <c r="AB639" s="352"/>
      <c r="AC639" s="352"/>
      <c r="AD639" s="352"/>
      <c r="AE639" s="352"/>
      <c r="AF639" s="352"/>
    </row>
    <row r="640">
      <c r="A640" s="352"/>
      <c r="B640" s="352"/>
      <c r="C640" s="352"/>
      <c r="D640" s="352"/>
      <c r="E640" s="352"/>
      <c r="F640" s="352"/>
      <c r="G640" s="352"/>
      <c r="H640" s="352"/>
      <c r="I640" s="352"/>
      <c r="J640" s="352"/>
      <c r="K640" s="352"/>
      <c r="L640" s="352"/>
      <c r="M640" s="352"/>
      <c r="N640" s="352"/>
      <c r="O640" s="352"/>
      <c r="P640" s="352"/>
      <c r="Q640" s="352"/>
      <c r="R640" s="352"/>
      <c r="S640" s="352"/>
      <c r="T640" s="352"/>
      <c r="U640" s="352"/>
      <c r="V640" s="352"/>
      <c r="W640" s="352"/>
      <c r="X640" s="352"/>
      <c r="Y640" s="352"/>
      <c r="Z640" s="352"/>
      <c r="AA640" s="352"/>
      <c r="AB640" s="352"/>
      <c r="AC640" s="352"/>
      <c r="AD640" s="352"/>
      <c r="AE640" s="352"/>
      <c r="AF640" s="352"/>
    </row>
    <row r="641">
      <c r="A641" s="352"/>
      <c r="B641" s="352"/>
      <c r="C641" s="352"/>
      <c r="D641" s="352"/>
      <c r="E641" s="352"/>
      <c r="F641" s="352"/>
      <c r="G641" s="352"/>
      <c r="H641" s="352"/>
      <c r="I641" s="352"/>
      <c r="J641" s="352"/>
      <c r="K641" s="352"/>
      <c r="L641" s="352"/>
      <c r="M641" s="352"/>
      <c r="N641" s="352"/>
      <c r="O641" s="352"/>
      <c r="P641" s="352"/>
      <c r="Q641" s="352"/>
      <c r="R641" s="352"/>
      <c r="S641" s="352"/>
      <c r="T641" s="352"/>
      <c r="U641" s="352"/>
      <c r="V641" s="352"/>
      <c r="W641" s="352"/>
      <c r="X641" s="352"/>
      <c r="Y641" s="352"/>
      <c r="Z641" s="352"/>
      <c r="AA641" s="352"/>
      <c r="AB641" s="352"/>
      <c r="AC641" s="352"/>
      <c r="AD641" s="352"/>
      <c r="AE641" s="352"/>
      <c r="AF641" s="352"/>
    </row>
    <row r="642">
      <c r="A642" s="352"/>
      <c r="B642" s="352"/>
      <c r="C642" s="352"/>
      <c r="D642" s="352"/>
      <c r="E642" s="352"/>
      <c r="F642" s="352"/>
      <c r="G642" s="352"/>
      <c r="H642" s="352"/>
      <c r="I642" s="352"/>
      <c r="J642" s="352"/>
      <c r="K642" s="352"/>
      <c r="L642" s="352"/>
      <c r="M642" s="352"/>
      <c r="N642" s="352"/>
      <c r="O642" s="352"/>
      <c r="P642" s="352"/>
      <c r="Q642" s="352"/>
      <c r="R642" s="352"/>
      <c r="S642" s="352"/>
      <c r="T642" s="352"/>
      <c r="U642" s="352"/>
      <c r="V642" s="352"/>
      <c r="W642" s="352"/>
      <c r="X642" s="352"/>
      <c r="Y642" s="352"/>
      <c r="Z642" s="352"/>
      <c r="AA642" s="352"/>
      <c r="AB642" s="352"/>
      <c r="AC642" s="352"/>
      <c r="AD642" s="352"/>
      <c r="AE642" s="352"/>
      <c r="AF642" s="352"/>
    </row>
    <row r="643">
      <c r="A643" s="352"/>
      <c r="B643" s="352"/>
      <c r="C643" s="352"/>
      <c r="D643" s="352"/>
      <c r="E643" s="352"/>
      <c r="F643" s="352"/>
      <c r="G643" s="352"/>
      <c r="H643" s="352"/>
      <c r="I643" s="352"/>
      <c r="J643" s="352"/>
      <c r="K643" s="352"/>
      <c r="L643" s="352"/>
      <c r="M643" s="352"/>
      <c r="N643" s="352"/>
      <c r="O643" s="352"/>
      <c r="P643" s="352"/>
      <c r="Q643" s="352"/>
      <c r="R643" s="352"/>
      <c r="S643" s="352"/>
      <c r="T643" s="352"/>
      <c r="U643" s="352"/>
      <c r="V643" s="352"/>
      <c r="W643" s="352"/>
      <c r="X643" s="352"/>
      <c r="Y643" s="352"/>
      <c r="Z643" s="352"/>
      <c r="AA643" s="352"/>
      <c r="AB643" s="352"/>
      <c r="AC643" s="352"/>
      <c r="AD643" s="352"/>
      <c r="AE643" s="352"/>
      <c r="AF643" s="352"/>
    </row>
    <row r="644">
      <c r="A644" s="352"/>
      <c r="B644" s="352"/>
      <c r="C644" s="352"/>
      <c r="D644" s="352"/>
      <c r="E644" s="352"/>
      <c r="F644" s="352"/>
      <c r="G644" s="352"/>
      <c r="H644" s="352"/>
      <c r="I644" s="352"/>
      <c r="J644" s="352"/>
      <c r="K644" s="352"/>
      <c r="L644" s="352"/>
      <c r="M644" s="352"/>
      <c r="N644" s="352"/>
      <c r="O644" s="352"/>
      <c r="P644" s="352"/>
      <c r="Q644" s="352"/>
      <c r="R644" s="352"/>
      <c r="S644" s="352"/>
      <c r="T644" s="352"/>
      <c r="U644" s="352"/>
      <c r="V644" s="352"/>
      <c r="W644" s="352"/>
      <c r="X644" s="352"/>
      <c r="Y644" s="352"/>
      <c r="Z644" s="352"/>
      <c r="AA644" s="352"/>
      <c r="AB644" s="352"/>
      <c r="AC644" s="352"/>
      <c r="AD644" s="352"/>
      <c r="AE644" s="352"/>
      <c r="AF644" s="352"/>
    </row>
    <row r="645">
      <c r="A645" s="352"/>
      <c r="B645" s="352"/>
      <c r="C645" s="352"/>
      <c r="D645" s="352"/>
      <c r="E645" s="352"/>
      <c r="F645" s="352"/>
      <c r="G645" s="352"/>
      <c r="H645" s="352"/>
      <c r="I645" s="352"/>
      <c r="J645" s="352"/>
      <c r="K645" s="352"/>
      <c r="L645" s="352"/>
      <c r="M645" s="352"/>
      <c r="N645" s="352"/>
      <c r="O645" s="352"/>
      <c r="P645" s="352"/>
      <c r="Q645" s="352"/>
      <c r="R645" s="352"/>
      <c r="S645" s="352"/>
      <c r="T645" s="352"/>
      <c r="U645" s="352"/>
      <c r="V645" s="352"/>
      <c r="W645" s="352"/>
      <c r="X645" s="352"/>
      <c r="Y645" s="352"/>
      <c r="Z645" s="352"/>
      <c r="AA645" s="352"/>
      <c r="AB645" s="352"/>
      <c r="AC645" s="352"/>
      <c r="AD645" s="352"/>
      <c r="AE645" s="352"/>
      <c r="AF645" s="352"/>
    </row>
    <row r="646">
      <c r="A646" s="352"/>
      <c r="B646" s="352"/>
      <c r="C646" s="352"/>
      <c r="D646" s="352"/>
      <c r="E646" s="352"/>
      <c r="F646" s="352"/>
      <c r="G646" s="352"/>
      <c r="H646" s="352"/>
      <c r="I646" s="352"/>
      <c r="J646" s="352"/>
      <c r="K646" s="352"/>
      <c r="L646" s="352"/>
      <c r="M646" s="352"/>
      <c r="N646" s="352"/>
      <c r="O646" s="352"/>
      <c r="P646" s="352"/>
      <c r="Q646" s="352"/>
      <c r="R646" s="352"/>
      <c r="S646" s="352"/>
      <c r="T646" s="352"/>
      <c r="U646" s="352"/>
      <c r="V646" s="352"/>
      <c r="W646" s="352"/>
      <c r="X646" s="352"/>
      <c r="Y646" s="352"/>
      <c r="Z646" s="352"/>
      <c r="AA646" s="352"/>
      <c r="AB646" s="352"/>
      <c r="AC646" s="352"/>
      <c r="AD646" s="352"/>
      <c r="AE646" s="352"/>
      <c r="AF646" s="352"/>
    </row>
    <row r="647">
      <c r="A647" s="352"/>
      <c r="B647" s="352"/>
      <c r="C647" s="352"/>
      <c r="D647" s="352"/>
      <c r="E647" s="352"/>
      <c r="F647" s="352"/>
      <c r="G647" s="352"/>
      <c r="H647" s="352"/>
      <c r="I647" s="352"/>
      <c r="J647" s="352"/>
      <c r="K647" s="352"/>
      <c r="L647" s="352"/>
      <c r="M647" s="352"/>
      <c r="N647" s="352"/>
      <c r="O647" s="352"/>
      <c r="P647" s="352"/>
      <c r="Q647" s="352"/>
      <c r="R647" s="352"/>
      <c r="S647" s="352"/>
      <c r="T647" s="352"/>
      <c r="U647" s="352"/>
      <c r="V647" s="352"/>
      <c r="W647" s="352"/>
      <c r="X647" s="352"/>
      <c r="Y647" s="352"/>
      <c r="Z647" s="352"/>
      <c r="AA647" s="352"/>
      <c r="AB647" s="352"/>
      <c r="AC647" s="352"/>
      <c r="AD647" s="352"/>
      <c r="AE647" s="352"/>
      <c r="AF647" s="352"/>
    </row>
    <row r="648">
      <c r="A648" s="352"/>
      <c r="B648" s="352"/>
      <c r="C648" s="352"/>
      <c r="D648" s="352"/>
      <c r="E648" s="352"/>
      <c r="F648" s="352"/>
      <c r="G648" s="352"/>
      <c r="H648" s="352"/>
      <c r="I648" s="352"/>
      <c r="J648" s="352"/>
      <c r="K648" s="352"/>
      <c r="L648" s="352"/>
      <c r="M648" s="352"/>
      <c r="N648" s="352"/>
      <c r="O648" s="352"/>
      <c r="P648" s="352"/>
      <c r="Q648" s="352"/>
      <c r="R648" s="352"/>
      <c r="S648" s="352"/>
      <c r="T648" s="352"/>
      <c r="U648" s="352"/>
      <c r="V648" s="352"/>
      <c r="W648" s="352"/>
      <c r="X648" s="352"/>
      <c r="Y648" s="352"/>
      <c r="Z648" s="352"/>
      <c r="AA648" s="352"/>
      <c r="AB648" s="352"/>
      <c r="AC648" s="352"/>
      <c r="AD648" s="352"/>
      <c r="AE648" s="352"/>
      <c r="AF648" s="352"/>
    </row>
    <row r="649">
      <c r="A649" s="352"/>
      <c r="B649" s="352"/>
      <c r="C649" s="352"/>
      <c r="D649" s="352"/>
      <c r="E649" s="352"/>
      <c r="F649" s="352"/>
      <c r="G649" s="352"/>
      <c r="H649" s="352"/>
      <c r="I649" s="352"/>
      <c r="J649" s="352"/>
      <c r="K649" s="352"/>
      <c r="L649" s="352"/>
      <c r="M649" s="352"/>
      <c r="N649" s="352"/>
      <c r="O649" s="352"/>
      <c r="P649" s="352"/>
      <c r="Q649" s="352"/>
      <c r="R649" s="352"/>
      <c r="S649" s="352"/>
      <c r="T649" s="352"/>
      <c r="U649" s="352"/>
      <c r="V649" s="352"/>
      <c r="W649" s="352"/>
      <c r="X649" s="352"/>
      <c r="Y649" s="352"/>
      <c r="Z649" s="352"/>
      <c r="AA649" s="352"/>
      <c r="AB649" s="352"/>
      <c r="AC649" s="352"/>
      <c r="AD649" s="352"/>
      <c r="AE649" s="352"/>
      <c r="AF649" s="352"/>
    </row>
    <row r="650">
      <c r="A650" s="352"/>
      <c r="B650" s="352"/>
      <c r="C650" s="352"/>
      <c r="D650" s="352"/>
      <c r="E650" s="352"/>
      <c r="F650" s="352"/>
      <c r="G650" s="352"/>
      <c r="H650" s="352"/>
      <c r="I650" s="352"/>
      <c r="J650" s="352"/>
      <c r="K650" s="352"/>
      <c r="L650" s="352"/>
      <c r="M650" s="352"/>
      <c r="N650" s="352"/>
      <c r="O650" s="352"/>
      <c r="P650" s="352"/>
      <c r="Q650" s="352"/>
      <c r="R650" s="352"/>
      <c r="S650" s="352"/>
      <c r="T650" s="352"/>
      <c r="U650" s="352"/>
      <c r="V650" s="352"/>
      <c r="W650" s="352"/>
      <c r="X650" s="352"/>
      <c r="Y650" s="352"/>
      <c r="Z650" s="352"/>
      <c r="AA650" s="352"/>
      <c r="AB650" s="352"/>
      <c r="AC650" s="352"/>
      <c r="AD650" s="352"/>
      <c r="AE650" s="352"/>
      <c r="AF650" s="352"/>
    </row>
    <row r="651">
      <c r="A651" s="352"/>
      <c r="B651" s="352"/>
      <c r="C651" s="352"/>
      <c r="D651" s="352"/>
      <c r="E651" s="352"/>
      <c r="F651" s="352"/>
      <c r="G651" s="352"/>
      <c r="H651" s="352"/>
      <c r="I651" s="352"/>
      <c r="J651" s="352"/>
      <c r="K651" s="352"/>
      <c r="L651" s="352"/>
      <c r="M651" s="352"/>
      <c r="N651" s="352"/>
      <c r="O651" s="352"/>
      <c r="P651" s="352"/>
      <c r="Q651" s="352"/>
      <c r="R651" s="352"/>
      <c r="S651" s="352"/>
      <c r="T651" s="352"/>
      <c r="U651" s="352"/>
      <c r="V651" s="352"/>
      <c r="W651" s="352"/>
      <c r="X651" s="352"/>
      <c r="Y651" s="352"/>
      <c r="Z651" s="352"/>
      <c r="AA651" s="352"/>
      <c r="AB651" s="352"/>
      <c r="AC651" s="352"/>
      <c r="AD651" s="352"/>
      <c r="AE651" s="352"/>
      <c r="AF651" s="352"/>
    </row>
    <row r="652">
      <c r="A652" s="352"/>
      <c r="B652" s="352"/>
      <c r="C652" s="352"/>
      <c r="D652" s="352"/>
      <c r="E652" s="352"/>
      <c r="F652" s="352"/>
      <c r="G652" s="352"/>
      <c r="H652" s="352"/>
      <c r="I652" s="352"/>
      <c r="J652" s="352"/>
      <c r="K652" s="352"/>
      <c r="L652" s="352"/>
      <c r="M652" s="352"/>
      <c r="N652" s="352"/>
      <c r="O652" s="352"/>
      <c r="P652" s="352"/>
      <c r="Q652" s="352"/>
      <c r="R652" s="352"/>
      <c r="S652" s="352"/>
      <c r="T652" s="352"/>
      <c r="U652" s="352"/>
      <c r="V652" s="352"/>
      <c r="W652" s="352"/>
      <c r="X652" s="352"/>
      <c r="Y652" s="352"/>
      <c r="Z652" s="352"/>
      <c r="AA652" s="352"/>
      <c r="AB652" s="352"/>
      <c r="AC652" s="352"/>
      <c r="AD652" s="352"/>
      <c r="AE652" s="352"/>
      <c r="AF652" s="352"/>
    </row>
    <row r="653">
      <c r="A653" s="352"/>
      <c r="B653" s="352"/>
      <c r="C653" s="352"/>
      <c r="D653" s="352"/>
      <c r="E653" s="352"/>
      <c r="F653" s="352"/>
      <c r="G653" s="352"/>
      <c r="H653" s="352"/>
      <c r="I653" s="352"/>
      <c r="J653" s="352"/>
      <c r="K653" s="352"/>
      <c r="L653" s="352"/>
      <c r="M653" s="352"/>
      <c r="N653" s="352"/>
      <c r="O653" s="352"/>
      <c r="P653" s="352"/>
      <c r="Q653" s="352"/>
      <c r="R653" s="352"/>
      <c r="S653" s="352"/>
      <c r="T653" s="352"/>
      <c r="U653" s="352"/>
      <c r="V653" s="352"/>
      <c r="W653" s="352"/>
      <c r="X653" s="352"/>
      <c r="Y653" s="352"/>
      <c r="Z653" s="352"/>
      <c r="AA653" s="352"/>
      <c r="AB653" s="352"/>
      <c r="AC653" s="352"/>
      <c r="AD653" s="352"/>
      <c r="AE653" s="352"/>
      <c r="AF653" s="352"/>
    </row>
    <row r="654">
      <c r="A654" s="352"/>
      <c r="B654" s="352"/>
      <c r="C654" s="352"/>
      <c r="D654" s="352"/>
      <c r="E654" s="352"/>
      <c r="F654" s="352"/>
      <c r="G654" s="352"/>
      <c r="H654" s="352"/>
      <c r="I654" s="352"/>
      <c r="J654" s="352"/>
      <c r="K654" s="352"/>
      <c r="L654" s="352"/>
      <c r="M654" s="352"/>
      <c r="N654" s="352"/>
      <c r="O654" s="352"/>
      <c r="P654" s="352"/>
      <c r="Q654" s="352"/>
      <c r="R654" s="352"/>
      <c r="S654" s="352"/>
      <c r="T654" s="352"/>
      <c r="U654" s="352"/>
      <c r="V654" s="352"/>
      <c r="W654" s="352"/>
      <c r="X654" s="352"/>
      <c r="Y654" s="352"/>
      <c r="Z654" s="352"/>
      <c r="AA654" s="352"/>
      <c r="AB654" s="352"/>
      <c r="AC654" s="352"/>
      <c r="AD654" s="352"/>
      <c r="AE654" s="352"/>
      <c r="AF654" s="352"/>
    </row>
    <row r="655">
      <c r="A655" s="352"/>
      <c r="B655" s="352"/>
      <c r="C655" s="352"/>
      <c r="D655" s="352"/>
      <c r="E655" s="352"/>
      <c r="F655" s="352"/>
      <c r="G655" s="352"/>
      <c r="H655" s="352"/>
      <c r="I655" s="352"/>
      <c r="J655" s="352"/>
      <c r="K655" s="352"/>
      <c r="L655" s="352"/>
      <c r="M655" s="352"/>
      <c r="N655" s="352"/>
      <c r="O655" s="352"/>
      <c r="P655" s="352"/>
      <c r="Q655" s="352"/>
      <c r="R655" s="352"/>
      <c r="S655" s="352"/>
      <c r="T655" s="352"/>
      <c r="U655" s="352"/>
      <c r="V655" s="352"/>
      <c r="W655" s="352"/>
      <c r="X655" s="352"/>
      <c r="Y655" s="352"/>
      <c r="Z655" s="352"/>
      <c r="AA655" s="352"/>
      <c r="AB655" s="352"/>
      <c r="AC655" s="352"/>
      <c r="AD655" s="352"/>
      <c r="AE655" s="352"/>
      <c r="AF655" s="352"/>
    </row>
    <row r="656">
      <c r="A656" s="352"/>
      <c r="B656" s="352"/>
      <c r="C656" s="352"/>
      <c r="D656" s="352"/>
      <c r="E656" s="352"/>
      <c r="F656" s="352"/>
      <c r="G656" s="352"/>
      <c r="H656" s="352"/>
      <c r="I656" s="352"/>
      <c r="J656" s="352"/>
      <c r="K656" s="352"/>
      <c r="L656" s="352"/>
      <c r="M656" s="352"/>
      <c r="N656" s="352"/>
      <c r="O656" s="352"/>
      <c r="P656" s="352"/>
      <c r="Q656" s="352"/>
      <c r="R656" s="352"/>
      <c r="S656" s="352"/>
      <c r="T656" s="352"/>
      <c r="U656" s="352"/>
      <c r="V656" s="352"/>
      <c r="W656" s="352"/>
      <c r="X656" s="352"/>
      <c r="Y656" s="352"/>
      <c r="Z656" s="352"/>
      <c r="AA656" s="352"/>
      <c r="AB656" s="352"/>
      <c r="AC656" s="352"/>
      <c r="AD656" s="352"/>
      <c r="AE656" s="352"/>
      <c r="AF656" s="352"/>
    </row>
    <row r="657">
      <c r="A657" s="352"/>
      <c r="B657" s="352"/>
      <c r="C657" s="352"/>
      <c r="D657" s="352"/>
      <c r="E657" s="352"/>
      <c r="F657" s="352"/>
      <c r="G657" s="352"/>
      <c r="H657" s="352"/>
      <c r="I657" s="352"/>
      <c r="J657" s="352"/>
      <c r="K657" s="352"/>
      <c r="L657" s="352"/>
      <c r="M657" s="352"/>
      <c r="N657" s="352"/>
      <c r="O657" s="352"/>
      <c r="P657" s="352"/>
      <c r="Q657" s="352"/>
      <c r="R657" s="352"/>
      <c r="S657" s="352"/>
      <c r="T657" s="352"/>
      <c r="U657" s="352"/>
      <c r="V657" s="352"/>
      <c r="W657" s="352"/>
      <c r="X657" s="352"/>
      <c r="Y657" s="352"/>
      <c r="Z657" s="352"/>
      <c r="AA657" s="352"/>
      <c r="AB657" s="352"/>
      <c r="AC657" s="352"/>
      <c r="AD657" s="352"/>
      <c r="AE657" s="352"/>
      <c r="AF657" s="352"/>
    </row>
    <row r="658">
      <c r="A658" s="352"/>
      <c r="B658" s="352"/>
      <c r="C658" s="352"/>
      <c r="D658" s="352"/>
      <c r="E658" s="352"/>
      <c r="F658" s="352"/>
      <c r="G658" s="352"/>
      <c r="H658" s="352"/>
      <c r="I658" s="352"/>
      <c r="J658" s="352"/>
      <c r="K658" s="352"/>
      <c r="L658" s="352"/>
      <c r="M658" s="352"/>
      <c r="N658" s="352"/>
      <c r="O658" s="352"/>
      <c r="P658" s="352"/>
      <c r="Q658" s="352"/>
      <c r="R658" s="352"/>
      <c r="S658" s="352"/>
      <c r="T658" s="352"/>
      <c r="U658" s="352"/>
      <c r="V658" s="352"/>
      <c r="W658" s="352"/>
      <c r="X658" s="352"/>
      <c r="Y658" s="352"/>
      <c r="Z658" s="352"/>
      <c r="AA658" s="352"/>
      <c r="AB658" s="352"/>
      <c r="AC658" s="352"/>
      <c r="AD658" s="352"/>
      <c r="AE658" s="352"/>
      <c r="AF658" s="352"/>
    </row>
    <row r="659">
      <c r="A659" s="352"/>
      <c r="B659" s="352"/>
      <c r="C659" s="352"/>
      <c r="D659" s="352"/>
      <c r="E659" s="352"/>
      <c r="F659" s="352"/>
      <c r="G659" s="352"/>
      <c r="H659" s="352"/>
      <c r="I659" s="352"/>
      <c r="J659" s="352"/>
      <c r="K659" s="352"/>
      <c r="L659" s="352"/>
      <c r="M659" s="352"/>
      <c r="N659" s="352"/>
      <c r="O659" s="352"/>
      <c r="P659" s="352"/>
      <c r="Q659" s="352"/>
      <c r="R659" s="352"/>
      <c r="S659" s="352"/>
      <c r="T659" s="352"/>
      <c r="U659" s="352"/>
      <c r="V659" s="352"/>
      <c r="W659" s="352"/>
      <c r="X659" s="352"/>
      <c r="Y659" s="352"/>
      <c r="Z659" s="352"/>
      <c r="AA659" s="352"/>
      <c r="AB659" s="352"/>
      <c r="AC659" s="352"/>
      <c r="AD659" s="352"/>
      <c r="AE659" s="352"/>
      <c r="AF659" s="352"/>
    </row>
    <row r="660">
      <c r="A660" s="352"/>
      <c r="B660" s="352"/>
      <c r="C660" s="352"/>
      <c r="D660" s="352"/>
      <c r="E660" s="352"/>
      <c r="F660" s="352"/>
      <c r="G660" s="352"/>
      <c r="H660" s="352"/>
      <c r="I660" s="352"/>
      <c r="J660" s="352"/>
      <c r="K660" s="352"/>
      <c r="L660" s="352"/>
      <c r="M660" s="352"/>
      <c r="N660" s="352"/>
      <c r="O660" s="352"/>
      <c r="P660" s="352"/>
      <c r="Q660" s="352"/>
      <c r="R660" s="352"/>
      <c r="S660" s="352"/>
      <c r="T660" s="352"/>
      <c r="U660" s="352"/>
      <c r="V660" s="352"/>
      <c r="W660" s="352"/>
      <c r="X660" s="352"/>
      <c r="Y660" s="352"/>
      <c r="Z660" s="352"/>
      <c r="AA660" s="352"/>
      <c r="AB660" s="352"/>
      <c r="AC660" s="352"/>
      <c r="AD660" s="352"/>
      <c r="AE660" s="352"/>
      <c r="AF660" s="352"/>
    </row>
    <row r="661">
      <c r="A661" s="352"/>
      <c r="B661" s="352"/>
      <c r="C661" s="352"/>
      <c r="D661" s="352"/>
      <c r="E661" s="352"/>
      <c r="F661" s="352"/>
      <c r="G661" s="352"/>
      <c r="H661" s="352"/>
      <c r="I661" s="352"/>
      <c r="J661" s="352"/>
      <c r="K661" s="352"/>
      <c r="L661" s="352"/>
      <c r="M661" s="352"/>
      <c r="N661" s="352"/>
      <c r="O661" s="352"/>
      <c r="P661" s="352"/>
      <c r="Q661" s="352"/>
      <c r="R661" s="352"/>
      <c r="S661" s="352"/>
      <c r="T661" s="352"/>
      <c r="U661" s="352"/>
      <c r="V661" s="352"/>
      <c r="W661" s="352"/>
      <c r="X661" s="352"/>
      <c r="Y661" s="352"/>
      <c r="Z661" s="352"/>
      <c r="AA661" s="352"/>
      <c r="AB661" s="352"/>
      <c r="AC661" s="352"/>
      <c r="AD661" s="352"/>
      <c r="AE661" s="352"/>
      <c r="AF661" s="352"/>
    </row>
    <row r="662">
      <c r="A662" s="352"/>
      <c r="B662" s="352"/>
      <c r="C662" s="352"/>
      <c r="D662" s="352"/>
      <c r="E662" s="352"/>
      <c r="F662" s="352"/>
      <c r="G662" s="352"/>
      <c r="H662" s="352"/>
      <c r="I662" s="352"/>
      <c r="J662" s="352"/>
      <c r="K662" s="352"/>
      <c r="L662" s="352"/>
      <c r="M662" s="352"/>
      <c r="N662" s="352"/>
      <c r="O662" s="352"/>
      <c r="P662" s="352"/>
      <c r="Q662" s="352"/>
      <c r="R662" s="352"/>
      <c r="S662" s="352"/>
      <c r="T662" s="352"/>
      <c r="U662" s="352"/>
      <c r="V662" s="352"/>
      <c r="W662" s="352"/>
      <c r="X662" s="352"/>
      <c r="Y662" s="352"/>
      <c r="Z662" s="352"/>
      <c r="AA662" s="352"/>
      <c r="AB662" s="352"/>
      <c r="AC662" s="352"/>
      <c r="AD662" s="352"/>
      <c r="AE662" s="352"/>
      <c r="AF662" s="352"/>
    </row>
    <row r="663">
      <c r="A663" s="352"/>
      <c r="B663" s="352"/>
      <c r="C663" s="352"/>
      <c r="D663" s="352"/>
      <c r="E663" s="352"/>
      <c r="F663" s="352"/>
      <c r="G663" s="352"/>
      <c r="H663" s="352"/>
      <c r="I663" s="352"/>
      <c r="J663" s="352"/>
      <c r="K663" s="352"/>
      <c r="L663" s="352"/>
      <c r="M663" s="352"/>
      <c r="N663" s="352"/>
      <c r="O663" s="352"/>
      <c r="P663" s="352"/>
      <c r="Q663" s="352"/>
      <c r="R663" s="352"/>
      <c r="S663" s="352"/>
      <c r="T663" s="352"/>
      <c r="U663" s="352"/>
      <c r="V663" s="352"/>
      <c r="W663" s="352"/>
      <c r="X663" s="352"/>
      <c r="Y663" s="352"/>
      <c r="Z663" s="352"/>
      <c r="AA663" s="352"/>
      <c r="AB663" s="352"/>
      <c r="AC663" s="352"/>
      <c r="AD663" s="352"/>
      <c r="AE663" s="352"/>
      <c r="AF663" s="352"/>
    </row>
    <row r="664">
      <c r="A664" s="352"/>
      <c r="B664" s="352"/>
      <c r="C664" s="352"/>
      <c r="D664" s="352"/>
      <c r="E664" s="352"/>
      <c r="F664" s="352"/>
      <c r="G664" s="352"/>
      <c r="H664" s="352"/>
      <c r="I664" s="352"/>
      <c r="J664" s="352"/>
      <c r="K664" s="352"/>
      <c r="L664" s="352"/>
      <c r="M664" s="352"/>
      <c r="N664" s="352"/>
      <c r="O664" s="352"/>
      <c r="P664" s="352"/>
      <c r="Q664" s="352"/>
      <c r="R664" s="352"/>
      <c r="S664" s="352"/>
      <c r="T664" s="352"/>
      <c r="U664" s="352"/>
      <c r="V664" s="352"/>
      <c r="W664" s="352"/>
      <c r="X664" s="352"/>
      <c r="Y664" s="352"/>
      <c r="Z664" s="352"/>
      <c r="AA664" s="352"/>
      <c r="AB664" s="352"/>
      <c r="AC664" s="352"/>
      <c r="AD664" s="352"/>
      <c r="AE664" s="352"/>
      <c r="AF664" s="352"/>
    </row>
    <row r="665">
      <c r="A665" s="352"/>
      <c r="B665" s="352"/>
      <c r="C665" s="352"/>
      <c r="D665" s="352"/>
      <c r="E665" s="352"/>
      <c r="F665" s="352"/>
      <c r="G665" s="352"/>
      <c r="H665" s="352"/>
      <c r="I665" s="352"/>
      <c r="J665" s="352"/>
      <c r="K665" s="352"/>
      <c r="L665" s="352"/>
      <c r="M665" s="352"/>
      <c r="N665" s="352"/>
      <c r="O665" s="352"/>
      <c r="P665" s="352"/>
      <c r="Q665" s="352"/>
      <c r="R665" s="352"/>
      <c r="S665" s="352"/>
      <c r="T665" s="352"/>
      <c r="U665" s="352"/>
      <c r="V665" s="352"/>
      <c r="W665" s="352"/>
      <c r="X665" s="352"/>
      <c r="Y665" s="352"/>
      <c r="Z665" s="352"/>
      <c r="AA665" s="352"/>
      <c r="AB665" s="352"/>
      <c r="AC665" s="352"/>
      <c r="AD665" s="352"/>
      <c r="AE665" s="352"/>
      <c r="AF665" s="352"/>
    </row>
    <row r="666">
      <c r="A666" s="352"/>
      <c r="B666" s="352"/>
      <c r="C666" s="352"/>
      <c r="D666" s="352"/>
      <c r="E666" s="352"/>
      <c r="F666" s="352"/>
      <c r="G666" s="352"/>
      <c r="H666" s="352"/>
      <c r="I666" s="352"/>
      <c r="J666" s="352"/>
      <c r="K666" s="352"/>
      <c r="L666" s="352"/>
      <c r="M666" s="352"/>
      <c r="N666" s="352"/>
      <c r="O666" s="352"/>
      <c r="P666" s="352"/>
      <c r="Q666" s="352"/>
      <c r="R666" s="352"/>
      <c r="S666" s="352"/>
      <c r="T666" s="352"/>
      <c r="U666" s="352"/>
      <c r="V666" s="352"/>
      <c r="W666" s="352"/>
      <c r="X666" s="352"/>
      <c r="Y666" s="352"/>
      <c r="Z666" s="352"/>
      <c r="AA666" s="352"/>
      <c r="AB666" s="352"/>
      <c r="AC666" s="352"/>
      <c r="AD666" s="352"/>
      <c r="AE666" s="352"/>
      <c r="AF666" s="352"/>
    </row>
    <row r="667">
      <c r="A667" s="352"/>
      <c r="B667" s="352"/>
      <c r="C667" s="352"/>
      <c r="D667" s="352"/>
      <c r="E667" s="352"/>
      <c r="F667" s="352"/>
      <c r="G667" s="352"/>
      <c r="H667" s="352"/>
      <c r="I667" s="352"/>
      <c r="J667" s="352"/>
      <c r="K667" s="352"/>
      <c r="L667" s="352"/>
      <c r="M667" s="352"/>
      <c r="N667" s="352"/>
      <c r="O667" s="352"/>
      <c r="P667" s="352"/>
      <c r="Q667" s="352"/>
      <c r="R667" s="352"/>
      <c r="S667" s="352"/>
      <c r="T667" s="352"/>
      <c r="U667" s="352"/>
      <c r="V667" s="352"/>
      <c r="W667" s="352"/>
      <c r="X667" s="352"/>
      <c r="Y667" s="352"/>
      <c r="Z667" s="352"/>
      <c r="AA667" s="352"/>
      <c r="AB667" s="352"/>
      <c r="AC667" s="352"/>
      <c r="AD667" s="352"/>
      <c r="AE667" s="352"/>
      <c r="AF667" s="352"/>
    </row>
    <row r="668">
      <c r="A668" s="352"/>
      <c r="B668" s="352"/>
      <c r="C668" s="352"/>
      <c r="D668" s="352"/>
      <c r="E668" s="352"/>
      <c r="F668" s="352"/>
      <c r="G668" s="352"/>
      <c r="H668" s="352"/>
      <c r="I668" s="352"/>
      <c r="J668" s="352"/>
      <c r="K668" s="352"/>
      <c r="L668" s="352"/>
      <c r="M668" s="352"/>
      <c r="N668" s="352"/>
      <c r="O668" s="352"/>
      <c r="P668" s="352"/>
      <c r="Q668" s="352"/>
      <c r="R668" s="352"/>
      <c r="S668" s="352"/>
      <c r="T668" s="352"/>
      <c r="U668" s="352"/>
      <c r="V668" s="352"/>
      <c r="W668" s="352"/>
      <c r="X668" s="352"/>
      <c r="Y668" s="352"/>
      <c r="Z668" s="352"/>
      <c r="AA668" s="352"/>
      <c r="AB668" s="352"/>
      <c r="AC668" s="352"/>
      <c r="AD668" s="352"/>
      <c r="AE668" s="352"/>
      <c r="AF668" s="352"/>
    </row>
    <row r="669">
      <c r="A669" s="352"/>
      <c r="B669" s="352"/>
      <c r="C669" s="352"/>
      <c r="D669" s="352"/>
      <c r="E669" s="352"/>
      <c r="F669" s="352"/>
      <c r="G669" s="352"/>
      <c r="H669" s="352"/>
      <c r="I669" s="352"/>
      <c r="J669" s="352"/>
      <c r="K669" s="352"/>
      <c r="L669" s="352"/>
      <c r="M669" s="352"/>
      <c r="N669" s="352"/>
      <c r="O669" s="352"/>
      <c r="P669" s="352"/>
      <c r="Q669" s="352"/>
      <c r="R669" s="352"/>
      <c r="S669" s="352"/>
      <c r="T669" s="352"/>
      <c r="U669" s="352"/>
      <c r="V669" s="352"/>
      <c r="W669" s="352"/>
      <c r="X669" s="352"/>
      <c r="Y669" s="352"/>
      <c r="Z669" s="352"/>
      <c r="AA669" s="352"/>
      <c r="AB669" s="352"/>
      <c r="AC669" s="352"/>
      <c r="AD669" s="352"/>
      <c r="AE669" s="352"/>
      <c r="AF669" s="352"/>
    </row>
    <row r="670">
      <c r="A670" s="352"/>
      <c r="B670" s="352"/>
      <c r="C670" s="352"/>
      <c r="D670" s="352"/>
      <c r="E670" s="352"/>
      <c r="F670" s="352"/>
      <c r="G670" s="352"/>
      <c r="H670" s="352"/>
      <c r="I670" s="352"/>
      <c r="J670" s="352"/>
      <c r="K670" s="352"/>
      <c r="L670" s="352"/>
      <c r="M670" s="352"/>
      <c r="N670" s="352"/>
      <c r="O670" s="352"/>
      <c r="P670" s="352"/>
      <c r="Q670" s="352"/>
      <c r="R670" s="352"/>
      <c r="S670" s="352"/>
      <c r="T670" s="352"/>
      <c r="U670" s="352"/>
      <c r="V670" s="352"/>
      <c r="W670" s="352"/>
      <c r="X670" s="352"/>
      <c r="Y670" s="352"/>
      <c r="Z670" s="352"/>
      <c r="AA670" s="352"/>
      <c r="AB670" s="352"/>
      <c r="AC670" s="352"/>
      <c r="AD670" s="352"/>
      <c r="AE670" s="352"/>
      <c r="AF670" s="352"/>
    </row>
    <row r="671">
      <c r="A671" s="352"/>
      <c r="B671" s="352"/>
      <c r="C671" s="352"/>
      <c r="D671" s="352"/>
      <c r="E671" s="352"/>
      <c r="F671" s="352"/>
      <c r="G671" s="352"/>
      <c r="H671" s="352"/>
      <c r="I671" s="352"/>
      <c r="J671" s="352"/>
      <c r="K671" s="352"/>
      <c r="L671" s="352"/>
      <c r="M671" s="352"/>
      <c r="N671" s="352"/>
      <c r="O671" s="352"/>
      <c r="P671" s="352"/>
      <c r="Q671" s="352"/>
      <c r="R671" s="352"/>
      <c r="S671" s="352"/>
      <c r="T671" s="352"/>
      <c r="U671" s="352"/>
      <c r="V671" s="352"/>
      <c r="W671" s="352"/>
      <c r="X671" s="352"/>
      <c r="Y671" s="352"/>
      <c r="Z671" s="352"/>
      <c r="AA671" s="352"/>
      <c r="AB671" s="352"/>
      <c r="AC671" s="352"/>
      <c r="AD671" s="352"/>
      <c r="AE671" s="352"/>
      <c r="AF671" s="352"/>
    </row>
    <row r="672">
      <c r="A672" s="352"/>
      <c r="B672" s="352"/>
      <c r="C672" s="352"/>
      <c r="D672" s="352"/>
      <c r="E672" s="352"/>
      <c r="F672" s="352"/>
      <c r="G672" s="352"/>
      <c r="H672" s="352"/>
      <c r="I672" s="352"/>
      <c r="J672" s="352"/>
      <c r="K672" s="352"/>
      <c r="L672" s="352"/>
      <c r="M672" s="352"/>
      <c r="N672" s="352"/>
      <c r="O672" s="352"/>
      <c r="P672" s="352"/>
      <c r="Q672" s="352"/>
      <c r="R672" s="352"/>
      <c r="S672" s="352"/>
      <c r="T672" s="352"/>
      <c r="U672" s="352"/>
      <c r="V672" s="352"/>
      <c r="W672" s="352"/>
      <c r="X672" s="352"/>
      <c r="Y672" s="352"/>
      <c r="Z672" s="352"/>
      <c r="AA672" s="352"/>
      <c r="AB672" s="352"/>
      <c r="AC672" s="352"/>
      <c r="AD672" s="352"/>
      <c r="AE672" s="352"/>
      <c r="AF672" s="352"/>
    </row>
    <row r="673">
      <c r="A673" s="352"/>
      <c r="B673" s="352"/>
      <c r="C673" s="352"/>
      <c r="D673" s="352"/>
      <c r="E673" s="352"/>
      <c r="F673" s="352"/>
      <c r="G673" s="352"/>
      <c r="H673" s="352"/>
      <c r="I673" s="352"/>
      <c r="J673" s="352"/>
      <c r="K673" s="352"/>
      <c r="L673" s="352"/>
      <c r="M673" s="352"/>
      <c r="N673" s="352"/>
      <c r="O673" s="352"/>
      <c r="P673" s="352"/>
      <c r="Q673" s="352"/>
      <c r="R673" s="352"/>
      <c r="S673" s="352"/>
      <c r="T673" s="352"/>
      <c r="U673" s="352"/>
      <c r="V673" s="352"/>
      <c r="W673" s="352"/>
      <c r="X673" s="352"/>
      <c r="Y673" s="352"/>
      <c r="Z673" s="352"/>
      <c r="AA673" s="352"/>
      <c r="AB673" s="352"/>
      <c r="AC673" s="352"/>
      <c r="AD673" s="352"/>
      <c r="AE673" s="352"/>
      <c r="AF673" s="352"/>
    </row>
    <row r="674">
      <c r="A674" s="352"/>
      <c r="B674" s="352"/>
      <c r="C674" s="352"/>
      <c r="D674" s="352"/>
      <c r="E674" s="352"/>
      <c r="F674" s="352"/>
      <c r="G674" s="352"/>
      <c r="H674" s="352"/>
      <c r="I674" s="352"/>
      <c r="J674" s="352"/>
      <c r="K674" s="352"/>
      <c r="L674" s="352"/>
      <c r="M674" s="352"/>
      <c r="N674" s="352"/>
      <c r="O674" s="352"/>
      <c r="P674" s="352"/>
      <c r="Q674" s="352"/>
      <c r="R674" s="352"/>
      <c r="S674" s="352"/>
      <c r="T674" s="352"/>
      <c r="U674" s="352"/>
      <c r="V674" s="352"/>
      <c r="W674" s="352"/>
      <c r="X674" s="352"/>
      <c r="Y674" s="352"/>
      <c r="Z674" s="352"/>
      <c r="AA674" s="352"/>
      <c r="AB674" s="352"/>
      <c r="AC674" s="352"/>
      <c r="AD674" s="352"/>
      <c r="AE674" s="352"/>
      <c r="AF674" s="352"/>
    </row>
    <row r="675">
      <c r="A675" s="352"/>
      <c r="B675" s="352"/>
      <c r="C675" s="352"/>
      <c r="D675" s="352"/>
      <c r="E675" s="352"/>
      <c r="F675" s="352"/>
      <c r="G675" s="352"/>
      <c r="H675" s="352"/>
      <c r="I675" s="352"/>
      <c r="J675" s="352"/>
      <c r="K675" s="352"/>
      <c r="L675" s="352"/>
      <c r="M675" s="352"/>
      <c r="N675" s="352"/>
      <c r="O675" s="352"/>
      <c r="P675" s="352"/>
      <c r="Q675" s="352"/>
      <c r="R675" s="352"/>
      <c r="S675" s="352"/>
      <c r="T675" s="352"/>
      <c r="U675" s="352"/>
      <c r="V675" s="352"/>
      <c r="W675" s="352"/>
      <c r="X675" s="352"/>
      <c r="Y675" s="352"/>
      <c r="Z675" s="352"/>
      <c r="AA675" s="352"/>
      <c r="AB675" s="352"/>
      <c r="AC675" s="352"/>
      <c r="AD675" s="352"/>
      <c r="AE675" s="352"/>
      <c r="AF675" s="352"/>
    </row>
    <row r="676">
      <c r="A676" s="352"/>
      <c r="B676" s="352"/>
      <c r="C676" s="352"/>
      <c r="D676" s="352"/>
      <c r="E676" s="352"/>
      <c r="F676" s="352"/>
      <c r="G676" s="352"/>
      <c r="H676" s="352"/>
      <c r="I676" s="352"/>
      <c r="J676" s="352"/>
      <c r="K676" s="352"/>
      <c r="L676" s="352"/>
      <c r="M676" s="352"/>
      <c r="N676" s="352"/>
      <c r="O676" s="352"/>
      <c r="P676" s="352"/>
      <c r="Q676" s="352"/>
      <c r="R676" s="352"/>
      <c r="S676" s="352"/>
      <c r="T676" s="352"/>
      <c r="U676" s="352"/>
      <c r="V676" s="352"/>
      <c r="W676" s="352"/>
      <c r="X676" s="352"/>
      <c r="Y676" s="352"/>
      <c r="Z676" s="352"/>
      <c r="AA676" s="352"/>
      <c r="AB676" s="352"/>
      <c r="AC676" s="352"/>
      <c r="AD676" s="352"/>
      <c r="AE676" s="352"/>
      <c r="AF676" s="352"/>
    </row>
    <row r="677">
      <c r="A677" s="352"/>
      <c r="B677" s="352"/>
      <c r="C677" s="352"/>
      <c r="D677" s="352"/>
      <c r="E677" s="352"/>
      <c r="F677" s="352"/>
      <c r="G677" s="352"/>
      <c r="H677" s="352"/>
      <c r="I677" s="352"/>
      <c r="J677" s="352"/>
      <c r="K677" s="352"/>
      <c r="L677" s="352"/>
      <c r="M677" s="352"/>
      <c r="N677" s="352"/>
      <c r="O677" s="352"/>
      <c r="P677" s="352"/>
      <c r="Q677" s="352"/>
      <c r="R677" s="352"/>
      <c r="S677" s="352"/>
      <c r="T677" s="352"/>
      <c r="U677" s="352"/>
      <c r="V677" s="352"/>
      <c r="W677" s="352"/>
      <c r="X677" s="352"/>
      <c r="Y677" s="352"/>
      <c r="Z677" s="352"/>
      <c r="AA677" s="352"/>
      <c r="AB677" s="352"/>
      <c r="AC677" s="352"/>
      <c r="AD677" s="352"/>
      <c r="AE677" s="352"/>
      <c r="AF677" s="352"/>
    </row>
    <row r="678">
      <c r="A678" s="352"/>
      <c r="B678" s="352"/>
      <c r="C678" s="352"/>
      <c r="D678" s="352"/>
      <c r="E678" s="352"/>
      <c r="F678" s="352"/>
      <c r="G678" s="352"/>
      <c r="H678" s="352"/>
      <c r="I678" s="352"/>
      <c r="J678" s="352"/>
      <c r="K678" s="352"/>
      <c r="L678" s="352"/>
      <c r="M678" s="352"/>
      <c r="N678" s="352"/>
      <c r="O678" s="352"/>
      <c r="P678" s="352"/>
      <c r="Q678" s="352"/>
      <c r="R678" s="352"/>
      <c r="S678" s="352"/>
      <c r="T678" s="352"/>
      <c r="U678" s="352"/>
      <c r="V678" s="352"/>
      <c r="W678" s="352"/>
      <c r="X678" s="352"/>
      <c r="Y678" s="352"/>
      <c r="Z678" s="352"/>
      <c r="AA678" s="352"/>
      <c r="AB678" s="352"/>
      <c r="AC678" s="352"/>
      <c r="AD678" s="352"/>
      <c r="AE678" s="352"/>
      <c r="AF678" s="352"/>
    </row>
    <row r="679">
      <c r="A679" s="352"/>
      <c r="B679" s="352"/>
      <c r="C679" s="352"/>
      <c r="D679" s="352"/>
      <c r="E679" s="352"/>
      <c r="F679" s="352"/>
      <c r="G679" s="352"/>
      <c r="H679" s="352"/>
      <c r="I679" s="352"/>
      <c r="J679" s="352"/>
      <c r="K679" s="352"/>
      <c r="L679" s="352"/>
      <c r="M679" s="352"/>
      <c r="N679" s="352"/>
      <c r="O679" s="352"/>
      <c r="P679" s="352"/>
      <c r="Q679" s="352"/>
      <c r="R679" s="352"/>
      <c r="S679" s="352"/>
      <c r="T679" s="352"/>
      <c r="U679" s="352"/>
      <c r="V679" s="352"/>
      <c r="W679" s="352"/>
      <c r="X679" s="352"/>
      <c r="Y679" s="352"/>
      <c r="Z679" s="352"/>
      <c r="AA679" s="352"/>
      <c r="AB679" s="352"/>
      <c r="AC679" s="352"/>
      <c r="AD679" s="352"/>
      <c r="AE679" s="352"/>
      <c r="AF679" s="352"/>
    </row>
    <row r="680">
      <c r="A680" s="352"/>
      <c r="B680" s="352"/>
      <c r="C680" s="352"/>
      <c r="D680" s="352"/>
      <c r="E680" s="352"/>
      <c r="F680" s="352"/>
      <c r="G680" s="352"/>
      <c r="H680" s="352"/>
      <c r="I680" s="352"/>
      <c r="J680" s="352"/>
      <c r="K680" s="352"/>
      <c r="L680" s="352"/>
      <c r="M680" s="352"/>
      <c r="N680" s="352"/>
      <c r="O680" s="352"/>
      <c r="P680" s="352"/>
      <c r="Q680" s="352"/>
      <c r="R680" s="352"/>
      <c r="S680" s="352"/>
      <c r="T680" s="352"/>
      <c r="U680" s="352"/>
      <c r="V680" s="352"/>
      <c r="W680" s="352"/>
      <c r="X680" s="352"/>
      <c r="Y680" s="352"/>
      <c r="Z680" s="352"/>
      <c r="AA680" s="352"/>
      <c r="AB680" s="352"/>
      <c r="AC680" s="352"/>
      <c r="AD680" s="352"/>
      <c r="AE680" s="352"/>
      <c r="AF680" s="352"/>
    </row>
    <row r="681">
      <c r="A681" s="352"/>
      <c r="B681" s="352"/>
      <c r="C681" s="352"/>
      <c r="D681" s="352"/>
      <c r="E681" s="352"/>
      <c r="F681" s="352"/>
      <c r="G681" s="352"/>
      <c r="H681" s="352"/>
      <c r="I681" s="352"/>
      <c r="J681" s="352"/>
      <c r="K681" s="352"/>
      <c r="L681" s="352"/>
      <c r="M681" s="352"/>
      <c r="N681" s="352"/>
      <c r="O681" s="352"/>
      <c r="P681" s="352"/>
      <c r="Q681" s="352"/>
      <c r="R681" s="352"/>
      <c r="S681" s="352"/>
      <c r="T681" s="352"/>
      <c r="U681" s="352"/>
      <c r="V681" s="352"/>
      <c r="W681" s="352"/>
      <c r="X681" s="352"/>
      <c r="Y681" s="352"/>
      <c r="Z681" s="352"/>
      <c r="AA681" s="352"/>
      <c r="AB681" s="352"/>
      <c r="AC681" s="352"/>
      <c r="AD681" s="352"/>
      <c r="AE681" s="352"/>
      <c r="AF681" s="352"/>
    </row>
    <row r="682">
      <c r="A682" s="352"/>
      <c r="B682" s="352"/>
      <c r="C682" s="352"/>
      <c r="D682" s="352"/>
      <c r="E682" s="352"/>
      <c r="F682" s="352"/>
      <c r="G682" s="352"/>
      <c r="H682" s="352"/>
      <c r="I682" s="352"/>
      <c r="J682" s="352"/>
      <c r="K682" s="352"/>
      <c r="L682" s="352"/>
      <c r="M682" s="352"/>
      <c r="N682" s="352"/>
      <c r="O682" s="352"/>
      <c r="P682" s="352"/>
      <c r="Q682" s="352"/>
      <c r="R682" s="352"/>
      <c r="S682" s="352"/>
      <c r="T682" s="352"/>
      <c r="U682" s="352"/>
      <c r="V682" s="352"/>
      <c r="W682" s="352"/>
      <c r="X682" s="352"/>
      <c r="Y682" s="352"/>
      <c r="Z682" s="352"/>
      <c r="AA682" s="352"/>
      <c r="AB682" s="352"/>
      <c r="AC682" s="352"/>
      <c r="AD682" s="352"/>
      <c r="AE682" s="352"/>
      <c r="AF682" s="352"/>
    </row>
    <row r="683">
      <c r="A683" s="352"/>
      <c r="B683" s="352"/>
      <c r="C683" s="352"/>
      <c r="D683" s="352"/>
      <c r="E683" s="352"/>
      <c r="F683" s="352"/>
      <c r="G683" s="352"/>
      <c r="H683" s="352"/>
      <c r="I683" s="352"/>
      <c r="J683" s="352"/>
      <c r="K683" s="352"/>
      <c r="L683" s="352"/>
      <c r="M683" s="352"/>
      <c r="N683" s="352"/>
      <c r="O683" s="352"/>
      <c r="P683" s="352"/>
      <c r="Q683" s="352"/>
      <c r="R683" s="352"/>
      <c r="S683" s="352"/>
      <c r="T683" s="352"/>
      <c r="U683" s="352"/>
      <c r="V683" s="352"/>
      <c r="W683" s="352"/>
      <c r="X683" s="352"/>
      <c r="Y683" s="352"/>
      <c r="Z683" s="352"/>
      <c r="AA683" s="352"/>
      <c r="AB683" s="352"/>
      <c r="AC683" s="352"/>
      <c r="AD683" s="352"/>
      <c r="AE683" s="352"/>
      <c r="AF683" s="352"/>
    </row>
    <row r="684">
      <c r="A684" s="352"/>
      <c r="B684" s="352"/>
      <c r="C684" s="352"/>
      <c r="D684" s="352"/>
      <c r="E684" s="352"/>
      <c r="F684" s="352"/>
      <c r="G684" s="352"/>
      <c r="H684" s="352"/>
      <c r="I684" s="352"/>
      <c r="J684" s="352"/>
      <c r="K684" s="352"/>
      <c r="L684" s="352"/>
      <c r="M684" s="352"/>
      <c r="N684" s="352"/>
      <c r="O684" s="352"/>
      <c r="P684" s="352"/>
      <c r="Q684" s="352"/>
      <c r="R684" s="352"/>
      <c r="S684" s="352"/>
      <c r="T684" s="352"/>
      <c r="U684" s="352"/>
      <c r="V684" s="352"/>
      <c r="W684" s="352"/>
      <c r="X684" s="352"/>
      <c r="Y684" s="352"/>
      <c r="Z684" s="352"/>
      <c r="AA684" s="352"/>
      <c r="AB684" s="352"/>
      <c r="AC684" s="352"/>
      <c r="AD684" s="352"/>
      <c r="AE684" s="352"/>
      <c r="AF684" s="352"/>
    </row>
    <row r="685">
      <c r="A685" s="352"/>
      <c r="B685" s="352"/>
      <c r="C685" s="352"/>
      <c r="D685" s="352"/>
      <c r="E685" s="352"/>
      <c r="F685" s="352"/>
      <c r="G685" s="352"/>
      <c r="H685" s="352"/>
      <c r="I685" s="352"/>
      <c r="J685" s="352"/>
      <c r="K685" s="352"/>
      <c r="L685" s="352"/>
      <c r="M685" s="352"/>
      <c r="N685" s="352"/>
      <c r="O685" s="352"/>
      <c r="P685" s="352"/>
      <c r="Q685" s="352"/>
      <c r="R685" s="352"/>
      <c r="S685" s="352"/>
      <c r="T685" s="352"/>
      <c r="U685" s="352"/>
      <c r="V685" s="352"/>
      <c r="W685" s="352"/>
      <c r="X685" s="352"/>
      <c r="Y685" s="352"/>
      <c r="Z685" s="352"/>
      <c r="AA685" s="352"/>
      <c r="AB685" s="352"/>
      <c r="AC685" s="352"/>
      <c r="AD685" s="352"/>
      <c r="AE685" s="352"/>
      <c r="AF685" s="352"/>
    </row>
    <row r="686">
      <c r="A686" s="352"/>
      <c r="B686" s="352"/>
      <c r="C686" s="352"/>
      <c r="D686" s="352"/>
      <c r="E686" s="352"/>
      <c r="F686" s="352"/>
      <c r="G686" s="352"/>
      <c r="H686" s="352"/>
      <c r="I686" s="352"/>
      <c r="J686" s="352"/>
      <c r="K686" s="352"/>
      <c r="L686" s="352"/>
      <c r="M686" s="352"/>
      <c r="N686" s="352"/>
      <c r="O686" s="352"/>
      <c r="P686" s="352"/>
      <c r="Q686" s="352"/>
      <c r="R686" s="352"/>
      <c r="S686" s="352"/>
      <c r="T686" s="352"/>
      <c r="U686" s="352"/>
      <c r="V686" s="352"/>
      <c r="W686" s="352"/>
      <c r="X686" s="352"/>
      <c r="Y686" s="352"/>
      <c r="Z686" s="352"/>
      <c r="AA686" s="352"/>
      <c r="AB686" s="352"/>
      <c r="AC686" s="352"/>
      <c r="AD686" s="352"/>
      <c r="AE686" s="352"/>
      <c r="AF686" s="352"/>
    </row>
    <row r="687">
      <c r="A687" s="352"/>
      <c r="B687" s="352"/>
      <c r="C687" s="352"/>
      <c r="D687" s="352"/>
      <c r="E687" s="352"/>
      <c r="F687" s="352"/>
      <c r="G687" s="352"/>
      <c r="H687" s="352"/>
      <c r="I687" s="352"/>
      <c r="J687" s="352"/>
      <c r="K687" s="352"/>
      <c r="L687" s="352"/>
      <c r="M687" s="352"/>
      <c r="N687" s="352"/>
      <c r="O687" s="352"/>
      <c r="P687" s="352"/>
      <c r="Q687" s="352"/>
      <c r="R687" s="352"/>
      <c r="S687" s="352"/>
      <c r="T687" s="352"/>
      <c r="U687" s="352"/>
      <c r="V687" s="352"/>
      <c r="W687" s="352"/>
      <c r="X687" s="352"/>
      <c r="Y687" s="352"/>
      <c r="Z687" s="352"/>
      <c r="AA687" s="352"/>
      <c r="AB687" s="352"/>
      <c r="AC687" s="352"/>
      <c r="AD687" s="352"/>
      <c r="AE687" s="352"/>
      <c r="AF687" s="352"/>
    </row>
    <row r="688">
      <c r="A688" s="352"/>
      <c r="B688" s="352"/>
      <c r="C688" s="352"/>
      <c r="D688" s="352"/>
      <c r="E688" s="352"/>
      <c r="F688" s="352"/>
      <c r="G688" s="352"/>
      <c r="H688" s="352"/>
      <c r="I688" s="352"/>
      <c r="J688" s="352"/>
      <c r="K688" s="352"/>
      <c r="L688" s="352"/>
      <c r="M688" s="352"/>
      <c r="N688" s="352"/>
      <c r="O688" s="352"/>
      <c r="P688" s="352"/>
      <c r="Q688" s="352"/>
      <c r="R688" s="352"/>
      <c r="S688" s="352"/>
      <c r="T688" s="352"/>
      <c r="U688" s="352"/>
      <c r="V688" s="352"/>
      <c r="W688" s="352"/>
      <c r="X688" s="352"/>
      <c r="Y688" s="352"/>
      <c r="Z688" s="352"/>
      <c r="AA688" s="352"/>
      <c r="AB688" s="352"/>
      <c r="AC688" s="352"/>
      <c r="AD688" s="352"/>
      <c r="AE688" s="352"/>
      <c r="AF688" s="352"/>
    </row>
    <row r="689">
      <c r="A689" s="352"/>
      <c r="B689" s="352"/>
      <c r="C689" s="352"/>
      <c r="D689" s="352"/>
      <c r="E689" s="352"/>
      <c r="F689" s="352"/>
      <c r="G689" s="352"/>
      <c r="H689" s="352"/>
      <c r="I689" s="352"/>
      <c r="J689" s="352"/>
      <c r="K689" s="352"/>
      <c r="L689" s="352"/>
      <c r="M689" s="352"/>
      <c r="N689" s="352"/>
      <c r="O689" s="352"/>
      <c r="P689" s="352"/>
      <c r="Q689" s="352"/>
      <c r="R689" s="352"/>
      <c r="S689" s="352"/>
      <c r="T689" s="352"/>
      <c r="U689" s="352"/>
      <c r="V689" s="352"/>
      <c r="W689" s="352"/>
      <c r="X689" s="352"/>
      <c r="Y689" s="352"/>
      <c r="Z689" s="352"/>
      <c r="AA689" s="352"/>
      <c r="AB689" s="352"/>
      <c r="AC689" s="352"/>
      <c r="AD689" s="352"/>
      <c r="AE689" s="352"/>
      <c r="AF689" s="352"/>
    </row>
    <row r="690">
      <c r="A690" s="352"/>
      <c r="B690" s="352"/>
      <c r="C690" s="352"/>
      <c r="D690" s="352"/>
      <c r="E690" s="352"/>
      <c r="F690" s="352"/>
      <c r="G690" s="352"/>
      <c r="H690" s="352"/>
      <c r="I690" s="352"/>
      <c r="J690" s="352"/>
      <c r="K690" s="352"/>
      <c r="L690" s="352"/>
      <c r="M690" s="352"/>
      <c r="N690" s="352"/>
      <c r="O690" s="352"/>
      <c r="P690" s="352"/>
      <c r="Q690" s="352"/>
      <c r="R690" s="352"/>
      <c r="S690" s="352"/>
      <c r="T690" s="352"/>
      <c r="U690" s="352"/>
      <c r="V690" s="352"/>
      <c r="W690" s="352"/>
      <c r="X690" s="352"/>
      <c r="Y690" s="352"/>
      <c r="Z690" s="352"/>
      <c r="AA690" s="352"/>
      <c r="AB690" s="352"/>
      <c r="AC690" s="352"/>
      <c r="AD690" s="352"/>
      <c r="AE690" s="352"/>
      <c r="AF690" s="352"/>
    </row>
    <row r="691">
      <c r="A691" s="352"/>
      <c r="B691" s="352"/>
      <c r="C691" s="352"/>
      <c r="D691" s="352"/>
      <c r="E691" s="352"/>
      <c r="F691" s="352"/>
      <c r="G691" s="352"/>
      <c r="H691" s="352"/>
      <c r="I691" s="352"/>
      <c r="J691" s="352"/>
      <c r="K691" s="352"/>
      <c r="L691" s="352"/>
      <c r="M691" s="352"/>
      <c r="N691" s="352"/>
      <c r="O691" s="352"/>
      <c r="P691" s="352"/>
      <c r="Q691" s="352"/>
      <c r="R691" s="352"/>
      <c r="S691" s="352"/>
      <c r="T691" s="352"/>
      <c r="U691" s="352"/>
      <c r="V691" s="352"/>
      <c r="W691" s="352"/>
      <c r="X691" s="352"/>
      <c r="Y691" s="352"/>
      <c r="Z691" s="352"/>
      <c r="AA691" s="352"/>
      <c r="AB691" s="352"/>
      <c r="AC691" s="352"/>
      <c r="AD691" s="352"/>
      <c r="AE691" s="352"/>
      <c r="AF691" s="352"/>
    </row>
    <row r="692">
      <c r="A692" s="352"/>
      <c r="B692" s="352"/>
      <c r="C692" s="352"/>
      <c r="D692" s="352"/>
      <c r="E692" s="352"/>
      <c r="F692" s="352"/>
      <c r="G692" s="352"/>
      <c r="H692" s="352"/>
      <c r="I692" s="352"/>
      <c r="J692" s="352"/>
      <c r="K692" s="352"/>
      <c r="L692" s="352"/>
      <c r="M692" s="352"/>
      <c r="N692" s="352"/>
      <c r="O692" s="352"/>
      <c r="P692" s="352"/>
      <c r="Q692" s="352"/>
      <c r="R692" s="352"/>
      <c r="S692" s="352"/>
      <c r="T692" s="352"/>
      <c r="U692" s="352"/>
      <c r="V692" s="352"/>
      <c r="W692" s="352"/>
      <c r="X692" s="352"/>
      <c r="Y692" s="352"/>
      <c r="Z692" s="352"/>
      <c r="AA692" s="352"/>
      <c r="AB692" s="352"/>
      <c r="AC692" s="352"/>
      <c r="AD692" s="352"/>
      <c r="AE692" s="352"/>
      <c r="AF692" s="352"/>
    </row>
    <row r="693">
      <c r="A693" s="352"/>
      <c r="B693" s="352"/>
      <c r="C693" s="352"/>
      <c r="D693" s="352"/>
      <c r="E693" s="352"/>
      <c r="F693" s="352"/>
      <c r="G693" s="352"/>
      <c r="H693" s="352"/>
      <c r="I693" s="352"/>
      <c r="J693" s="352"/>
      <c r="K693" s="352"/>
      <c r="L693" s="352"/>
      <c r="M693" s="352"/>
      <c r="N693" s="352"/>
      <c r="O693" s="352"/>
      <c r="P693" s="352"/>
      <c r="Q693" s="352"/>
      <c r="R693" s="352"/>
      <c r="S693" s="352"/>
      <c r="T693" s="352"/>
      <c r="U693" s="352"/>
      <c r="V693" s="352"/>
      <c r="W693" s="352"/>
      <c r="X693" s="352"/>
      <c r="Y693" s="352"/>
      <c r="Z693" s="352"/>
      <c r="AA693" s="352"/>
      <c r="AB693" s="352"/>
      <c r="AC693" s="352"/>
      <c r="AD693" s="352"/>
      <c r="AE693" s="352"/>
      <c r="AF693" s="352"/>
    </row>
    <row r="694">
      <c r="A694" s="352"/>
      <c r="B694" s="352"/>
      <c r="C694" s="352"/>
      <c r="D694" s="352"/>
      <c r="E694" s="352"/>
      <c r="F694" s="352"/>
      <c r="G694" s="352"/>
      <c r="H694" s="352"/>
      <c r="I694" s="352"/>
      <c r="J694" s="352"/>
      <c r="K694" s="352"/>
      <c r="L694" s="352"/>
      <c r="M694" s="352"/>
      <c r="N694" s="352"/>
      <c r="O694" s="352"/>
      <c r="P694" s="352"/>
      <c r="Q694" s="352"/>
      <c r="R694" s="352"/>
      <c r="S694" s="352"/>
      <c r="T694" s="352"/>
      <c r="U694" s="352"/>
      <c r="V694" s="352"/>
      <c r="W694" s="352"/>
      <c r="X694" s="352"/>
      <c r="Y694" s="352"/>
      <c r="Z694" s="352"/>
      <c r="AA694" s="352"/>
      <c r="AB694" s="352"/>
      <c r="AC694" s="352"/>
      <c r="AD694" s="352"/>
      <c r="AE694" s="352"/>
      <c r="AF694" s="352"/>
    </row>
    <row r="695">
      <c r="A695" s="352"/>
      <c r="B695" s="352"/>
      <c r="C695" s="352"/>
      <c r="D695" s="352"/>
      <c r="E695" s="352"/>
      <c r="F695" s="352"/>
      <c r="G695" s="352"/>
      <c r="H695" s="352"/>
      <c r="I695" s="352"/>
      <c r="J695" s="352"/>
      <c r="K695" s="352"/>
      <c r="L695" s="352"/>
      <c r="M695" s="352"/>
      <c r="N695" s="352"/>
      <c r="O695" s="352"/>
      <c r="P695" s="352"/>
      <c r="Q695" s="352"/>
      <c r="R695" s="352"/>
      <c r="S695" s="352"/>
      <c r="T695" s="352"/>
      <c r="U695" s="352"/>
      <c r="V695" s="352"/>
      <c r="W695" s="352"/>
      <c r="X695" s="352"/>
      <c r="Y695" s="352"/>
      <c r="Z695" s="352"/>
      <c r="AA695" s="352"/>
      <c r="AB695" s="352"/>
      <c r="AC695" s="352"/>
      <c r="AD695" s="352"/>
      <c r="AE695" s="352"/>
      <c r="AF695" s="352"/>
    </row>
    <row r="696">
      <c r="A696" s="352"/>
      <c r="B696" s="352"/>
      <c r="C696" s="352"/>
      <c r="D696" s="352"/>
      <c r="E696" s="352"/>
      <c r="F696" s="352"/>
      <c r="G696" s="352"/>
      <c r="H696" s="352"/>
      <c r="I696" s="352"/>
      <c r="J696" s="352"/>
      <c r="K696" s="352"/>
      <c r="L696" s="352"/>
      <c r="M696" s="352"/>
      <c r="N696" s="352"/>
      <c r="O696" s="352"/>
      <c r="P696" s="352"/>
      <c r="Q696" s="352"/>
      <c r="R696" s="352"/>
      <c r="S696" s="352"/>
      <c r="T696" s="352"/>
      <c r="U696" s="352"/>
      <c r="V696" s="352"/>
      <c r="W696" s="352"/>
      <c r="X696" s="352"/>
      <c r="Y696" s="352"/>
      <c r="Z696" s="352"/>
      <c r="AA696" s="352"/>
      <c r="AB696" s="352"/>
      <c r="AC696" s="352"/>
      <c r="AD696" s="352"/>
      <c r="AE696" s="352"/>
      <c r="AF696" s="352"/>
    </row>
    <row r="697">
      <c r="A697" s="352"/>
      <c r="B697" s="352"/>
      <c r="C697" s="352"/>
      <c r="D697" s="352"/>
      <c r="E697" s="352"/>
      <c r="F697" s="352"/>
      <c r="G697" s="352"/>
      <c r="H697" s="352"/>
      <c r="I697" s="352"/>
      <c r="J697" s="352"/>
      <c r="K697" s="352"/>
      <c r="L697" s="352"/>
      <c r="M697" s="352"/>
      <c r="N697" s="352"/>
      <c r="O697" s="352"/>
      <c r="P697" s="352"/>
      <c r="Q697" s="352"/>
      <c r="R697" s="352"/>
      <c r="S697" s="352"/>
      <c r="T697" s="352"/>
      <c r="U697" s="352"/>
      <c r="V697" s="352"/>
      <c r="W697" s="352"/>
      <c r="X697" s="352"/>
      <c r="Y697" s="352"/>
      <c r="Z697" s="352"/>
      <c r="AA697" s="352"/>
      <c r="AB697" s="352"/>
      <c r="AC697" s="352"/>
      <c r="AD697" s="352"/>
      <c r="AE697" s="352"/>
      <c r="AF697" s="352"/>
    </row>
    <row r="698">
      <c r="A698" s="352"/>
      <c r="B698" s="352"/>
      <c r="C698" s="352"/>
      <c r="D698" s="352"/>
      <c r="E698" s="352"/>
      <c r="F698" s="352"/>
      <c r="G698" s="352"/>
      <c r="H698" s="352"/>
      <c r="I698" s="352"/>
      <c r="J698" s="352"/>
      <c r="K698" s="352"/>
      <c r="L698" s="352"/>
      <c r="M698" s="352"/>
      <c r="N698" s="352"/>
      <c r="O698" s="352"/>
      <c r="P698" s="352"/>
      <c r="Q698" s="352"/>
      <c r="R698" s="352"/>
      <c r="S698" s="352"/>
      <c r="T698" s="352"/>
      <c r="U698" s="352"/>
      <c r="V698" s="352"/>
      <c r="W698" s="352"/>
      <c r="X698" s="352"/>
      <c r="Y698" s="352"/>
      <c r="Z698" s="352"/>
      <c r="AA698" s="352"/>
      <c r="AB698" s="352"/>
      <c r="AC698" s="352"/>
      <c r="AD698" s="352"/>
      <c r="AE698" s="352"/>
      <c r="AF698" s="352"/>
    </row>
    <row r="699">
      <c r="A699" s="352"/>
      <c r="B699" s="352"/>
      <c r="C699" s="352"/>
      <c r="D699" s="352"/>
      <c r="E699" s="352"/>
      <c r="F699" s="352"/>
      <c r="G699" s="352"/>
      <c r="H699" s="352"/>
      <c r="I699" s="352"/>
      <c r="J699" s="352"/>
      <c r="K699" s="352"/>
      <c r="L699" s="352"/>
      <c r="M699" s="352"/>
      <c r="N699" s="352"/>
      <c r="O699" s="352"/>
      <c r="P699" s="352"/>
      <c r="Q699" s="352"/>
      <c r="R699" s="352"/>
      <c r="S699" s="352"/>
      <c r="T699" s="352"/>
      <c r="U699" s="352"/>
      <c r="V699" s="352"/>
      <c r="W699" s="352"/>
      <c r="X699" s="352"/>
      <c r="Y699" s="352"/>
      <c r="Z699" s="352"/>
      <c r="AA699" s="352"/>
      <c r="AB699" s="352"/>
      <c r="AC699" s="352"/>
      <c r="AD699" s="352"/>
      <c r="AE699" s="352"/>
      <c r="AF699" s="352"/>
    </row>
    <row r="700">
      <c r="A700" s="352"/>
      <c r="B700" s="352"/>
      <c r="C700" s="352"/>
      <c r="D700" s="352"/>
      <c r="E700" s="352"/>
      <c r="F700" s="352"/>
      <c r="G700" s="352"/>
      <c r="H700" s="352"/>
      <c r="I700" s="352"/>
      <c r="J700" s="352"/>
      <c r="K700" s="352"/>
      <c r="L700" s="352"/>
      <c r="M700" s="352"/>
      <c r="N700" s="352"/>
      <c r="O700" s="352"/>
      <c r="P700" s="352"/>
      <c r="Q700" s="352"/>
      <c r="R700" s="352"/>
      <c r="S700" s="352"/>
      <c r="T700" s="352"/>
      <c r="U700" s="352"/>
      <c r="V700" s="352"/>
      <c r="W700" s="352"/>
      <c r="X700" s="352"/>
      <c r="Y700" s="352"/>
      <c r="Z700" s="352"/>
      <c r="AA700" s="352"/>
      <c r="AB700" s="352"/>
      <c r="AC700" s="352"/>
      <c r="AD700" s="352"/>
      <c r="AE700" s="352"/>
      <c r="AF700" s="352"/>
    </row>
    <row r="701">
      <c r="A701" s="352"/>
      <c r="B701" s="352"/>
      <c r="C701" s="352"/>
      <c r="D701" s="352"/>
      <c r="E701" s="352"/>
      <c r="F701" s="352"/>
      <c r="G701" s="352"/>
      <c r="H701" s="352"/>
      <c r="I701" s="352"/>
      <c r="J701" s="352"/>
      <c r="K701" s="352"/>
      <c r="L701" s="352"/>
      <c r="M701" s="352"/>
      <c r="N701" s="352"/>
      <c r="O701" s="352"/>
      <c r="P701" s="352"/>
      <c r="Q701" s="352"/>
      <c r="R701" s="352"/>
      <c r="S701" s="352"/>
      <c r="T701" s="352"/>
      <c r="U701" s="352"/>
      <c r="V701" s="352"/>
      <c r="W701" s="352"/>
      <c r="X701" s="352"/>
      <c r="Y701" s="352"/>
      <c r="Z701" s="352"/>
      <c r="AA701" s="352"/>
      <c r="AB701" s="352"/>
      <c r="AC701" s="352"/>
      <c r="AD701" s="352"/>
      <c r="AE701" s="352"/>
      <c r="AF701" s="352"/>
    </row>
    <row r="702">
      <c r="A702" s="352"/>
      <c r="B702" s="352"/>
      <c r="C702" s="352"/>
      <c r="D702" s="352"/>
      <c r="E702" s="352"/>
      <c r="F702" s="352"/>
      <c r="G702" s="352"/>
      <c r="H702" s="352"/>
      <c r="I702" s="352"/>
      <c r="J702" s="352"/>
      <c r="K702" s="352"/>
      <c r="L702" s="352"/>
      <c r="M702" s="352"/>
      <c r="N702" s="352"/>
      <c r="O702" s="352"/>
      <c r="P702" s="352"/>
      <c r="Q702" s="352"/>
      <c r="R702" s="352"/>
      <c r="S702" s="352"/>
      <c r="T702" s="352"/>
      <c r="U702" s="352"/>
      <c r="V702" s="352"/>
      <c r="W702" s="352"/>
      <c r="X702" s="352"/>
      <c r="Y702" s="352"/>
      <c r="Z702" s="352"/>
      <c r="AA702" s="352"/>
      <c r="AB702" s="352"/>
      <c r="AC702" s="352"/>
      <c r="AD702" s="352"/>
      <c r="AE702" s="352"/>
      <c r="AF702" s="352"/>
    </row>
    <row r="703">
      <c r="A703" s="352"/>
      <c r="B703" s="352"/>
      <c r="C703" s="352"/>
      <c r="D703" s="352"/>
      <c r="E703" s="352"/>
      <c r="F703" s="352"/>
      <c r="G703" s="352"/>
      <c r="H703" s="352"/>
      <c r="I703" s="352"/>
      <c r="J703" s="352"/>
      <c r="K703" s="352"/>
      <c r="L703" s="352"/>
      <c r="M703" s="352"/>
      <c r="N703" s="352"/>
      <c r="O703" s="352"/>
      <c r="P703" s="352"/>
      <c r="Q703" s="352"/>
      <c r="R703" s="352"/>
      <c r="S703" s="352"/>
      <c r="T703" s="352"/>
      <c r="U703" s="352"/>
      <c r="V703" s="352"/>
      <c r="W703" s="352"/>
      <c r="X703" s="352"/>
      <c r="Y703" s="352"/>
      <c r="Z703" s="352"/>
      <c r="AA703" s="352"/>
      <c r="AB703" s="352"/>
      <c r="AC703" s="352"/>
      <c r="AD703" s="352"/>
      <c r="AE703" s="352"/>
      <c r="AF703" s="352"/>
    </row>
    <row r="704">
      <c r="A704" s="352"/>
      <c r="B704" s="352"/>
      <c r="C704" s="352"/>
      <c r="D704" s="352"/>
      <c r="E704" s="352"/>
      <c r="F704" s="352"/>
      <c r="G704" s="352"/>
      <c r="H704" s="352"/>
      <c r="I704" s="352"/>
      <c r="J704" s="352"/>
      <c r="K704" s="352"/>
      <c r="L704" s="352"/>
      <c r="M704" s="352"/>
      <c r="N704" s="352"/>
      <c r="O704" s="352"/>
      <c r="P704" s="352"/>
      <c r="Q704" s="352"/>
      <c r="R704" s="352"/>
      <c r="S704" s="352"/>
      <c r="T704" s="352"/>
      <c r="U704" s="352"/>
      <c r="V704" s="352"/>
      <c r="W704" s="352"/>
      <c r="X704" s="352"/>
      <c r="Y704" s="352"/>
      <c r="Z704" s="352"/>
      <c r="AA704" s="352"/>
      <c r="AB704" s="352"/>
      <c r="AC704" s="352"/>
      <c r="AD704" s="352"/>
      <c r="AE704" s="352"/>
      <c r="AF704" s="352"/>
    </row>
  </sheetData>
  <mergeCells count="1043">
    <mergeCell ref="W55:Y55"/>
    <mergeCell ref="AD55:AF55"/>
    <mergeCell ref="C55:D55"/>
    <mergeCell ref="E55:F55"/>
    <mergeCell ref="G55:I55"/>
    <mergeCell ref="J55:L55"/>
    <mergeCell ref="N55:P55"/>
    <mergeCell ref="Q55:S55"/>
    <mergeCell ref="T55:V55"/>
    <mergeCell ref="W56:Y56"/>
    <mergeCell ref="AD56:AF56"/>
    <mergeCell ref="C56:D56"/>
    <mergeCell ref="E56:F56"/>
    <mergeCell ref="G56:I56"/>
    <mergeCell ref="J56:L56"/>
    <mergeCell ref="N56:P56"/>
    <mergeCell ref="Q56:S56"/>
    <mergeCell ref="T56:V56"/>
    <mergeCell ref="W57:Y57"/>
    <mergeCell ref="AD57:AF57"/>
    <mergeCell ref="C57:D57"/>
    <mergeCell ref="E57:F57"/>
    <mergeCell ref="G57:I57"/>
    <mergeCell ref="J57:L57"/>
    <mergeCell ref="N57:P57"/>
    <mergeCell ref="Q57:S57"/>
    <mergeCell ref="T57:V57"/>
    <mergeCell ref="W58:Y58"/>
    <mergeCell ref="Z58:AB58"/>
    <mergeCell ref="AD58:AF58"/>
    <mergeCell ref="C58:D58"/>
    <mergeCell ref="E58:F58"/>
    <mergeCell ref="G58:I58"/>
    <mergeCell ref="J58:L58"/>
    <mergeCell ref="N58:P58"/>
    <mergeCell ref="Q58:S58"/>
    <mergeCell ref="T58:V58"/>
    <mergeCell ref="W59:Y59"/>
    <mergeCell ref="Z59:AB59"/>
    <mergeCell ref="AD59:AF59"/>
    <mergeCell ref="C59:D59"/>
    <mergeCell ref="E59:F59"/>
    <mergeCell ref="G59:I59"/>
    <mergeCell ref="J59:L59"/>
    <mergeCell ref="N59:P59"/>
    <mergeCell ref="Q59:S59"/>
    <mergeCell ref="T59:V59"/>
    <mergeCell ref="W60:Y60"/>
    <mergeCell ref="Z60:AB60"/>
    <mergeCell ref="AD60:AF60"/>
    <mergeCell ref="C60:D60"/>
    <mergeCell ref="E60:F60"/>
    <mergeCell ref="G60:I60"/>
    <mergeCell ref="J60:L60"/>
    <mergeCell ref="N60:P60"/>
    <mergeCell ref="Q60:S60"/>
    <mergeCell ref="T60:V60"/>
    <mergeCell ref="W61:Y61"/>
    <mergeCell ref="Z61:AB61"/>
    <mergeCell ref="AD61:AF61"/>
    <mergeCell ref="C61:D61"/>
    <mergeCell ref="E61:F61"/>
    <mergeCell ref="G61:I61"/>
    <mergeCell ref="J61:L61"/>
    <mergeCell ref="N61:P61"/>
    <mergeCell ref="Q61:S61"/>
    <mergeCell ref="T61:V61"/>
    <mergeCell ref="W62:Y62"/>
    <mergeCell ref="Z62:AB62"/>
    <mergeCell ref="AD62:AF62"/>
    <mergeCell ref="C62:D62"/>
    <mergeCell ref="E62:F62"/>
    <mergeCell ref="G62:I62"/>
    <mergeCell ref="J62:L62"/>
    <mergeCell ref="N62:P62"/>
    <mergeCell ref="Q62:S62"/>
    <mergeCell ref="T62:V62"/>
    <mergeCell ref="W63:Y63"/>
    <mergeCell ref="Z63:AB63"/>
    <mergeCell ref="AD63:AF63"/>
    <mergeCell ref="C63:D63"/>
    <mergeCell ref="E63:F63"/>
    <mergeCell ref="G63:I63"/>
    <mergeCell ref="J63:L63"/>
    <mergeCell ref="N63:P63"/>
    <mergeCell ref="Q63:S63"/>
    <mergeCell ref="T63:V63"/>
    <mergeCell ref="W64:Y64"/>
    <mergeCell ref="Z64:AB64"/>
    <mergeCell ref="AD64:AF64"/>
    <mergeCell ref="C64:D64"/>
    <mergeCell ref="E64:F64"/>
    <mergeCell ref="G64:I64"/>
    <mergeCell ref="J64:L64"/>
    <mergeCell ref="N64:P64"/>
    <mergeCell ref="Q64:S64"/>
    <mergeCell ref="T64:V64"/>
    <mergeCell ref="W65:Y65"/>
    <mergeCell ref="Z65:AB65"/>
    <mergeCell ref="AD65:AF65"/>
    <mergeCell ref="C65:D65"/>
    <mergeCell ref="E65:F65"/>
    <mergeCell ref="G65:I65"/>
    <mergeCell ref="J65:L65"/>
    <mergeCell ref="N65:P65"/>
    <mergeCell ref="Q65:S65"/>
    <mergeCell ref="T65:V65"/>
    <mergeCell ref="W66:Y66"/>
    <mergeCell ref="Z66:AB66"/>
    <mergeCell ref="AD66:AF66"/>
    <mergeCell ref="C66:D66"/>
    <mergeCell ref="E66:F66"/>
    <mergeCell ref="G66:I66"/>
    <mergeCell ref="J66:L66"/>
    <mergeCell ref="N66:P66"/>
    <mergeCell ref="Q66:S66"/>
    <mergeCell ref="T66:V66"/>
    <mergeCell ref="W67:Y67"/>
    <mergeCell ref="Z67:AB67"/>
    <mergeCell ref="AD67:AF67"/>
    <mergeCell ref="C67:D67"/>
    <mergeCell ref="E67:F67"/>
    <mergeCell ref="G67:I67"/>
    <mergeCell ref="J67:L67"/>
    <mergeCell ref="N67:P67"/>
    <mergeCell ref="Q67:S67"/>
    <mergeCell ref="T67:V67"/>
    <mergeCell ref="W68:Y68"/>
    <mergeCell ref="Z68:AB68"/>
    <mergeCell ref="AD68:AF68"/>
    <mergeCell ref="C68:D68"/>
    <mergeCell ref="E68:F68"/>
    <mergeCell ref="G68:I68"/>
    <mergeCell ref="J68:L68"/>
    <mergeCell ref="N68:P68"/>
    <mergeCell ref="Q68:S68"/>
    <mergeCell ref="T68:V68"/>
    <mergeCell ref="W69:Y69"/>
    <mergeCell ref="Z69:AB69"/>
    <mergeCell ref="AD69:AF69"/>
    <mergeCell ref="C69:D69"/>
    <mergeCell ref="E69:F69"/>
    <mergeCell ref="G69:I69"/>
    <mergeCell ref="J69:L69"/>
    <mergeCell ref="N69:P69"/>
    <mergeCell ref="Q69:S69"/>
    <mergeCell ref="T69:V69"/>
    <mergeCell ref="W70:Y70"/>
    <mergeCell ref="Z70:AB70"/>
    <mergeCell ref="AD70:AF70"/>
    <mergeCell ref="C70:D70"/>
    <mergeCell ref="E70:F70"/>
    <mergeCell ref="G70:I70"/>
    <mergeCell ref="J70:L70"/>
    <mergeCell ref="N70:P70"/>
    <mergeCell ref="Q70:S70"/>
    <mergeCell ref="T70:V70"/>
    <mergeCell ref="W71:Y71"/>
    <mergeCell ref="Z71:AB71"/>
    <mergeCell ref="AD71:AF71"/>
    <mergeCell ref="C71:D71"/>
    <mergeCell ref="E71:F71"/>
    <mergeCell ref="G71:I71"/>
    <mergeCell ref="J71:L71"/>
    <mergeCell ref="N71:P71"/>
    <mergeCell ref="Q71:S71"/>
    <mergeCell ref="T71:V71"/>
    <mergeCell ref="W72:Y72"/>
    <mergeCell ref="Z72:AB72"/>
    <mergeCell ref="AD72:AF72"/>
    <mergeCell ref="C72:D72"/>
    <mergeCell ref="E72:F72"/>
    <mergeCell ref="G72:I72"/>
    <mergeCell ref="J72:L72"/>
    <mergeCell ref="N72:P72"/>
    <mergeCell ref="Q72:S72"/>
    <mergeCell ref="T72:V72"/>
    <mergeCell ref="W73:Y73"/>
    <mergeCell ref="Z73:AB73"/>
    <mergeCell ref="AD73:AF73"/>
    <mergeCell ref="C73:D73"/>
    <mergeCell ref="E73:F73"/>
    <mergeCell ref="G73:I73"/>
    <mergeCell ref="J73:L73"/>
    <mergeCell ref="N73:P73"/>
    <mergeCell ref="Q73:S73"/>
    <mergeCell ref="T73:V73"/>
    <mergeCell ref="W74:Y74"/>
    <mergeCell ref="Z74:AB74"/>
    <mergeCell ref="AD74:AF74"/>
    <mergeCell ref="C74:D74"/>
    <mergeCell ref="E74:F74"/>
    <mergeCell ref="G74:I74"/>
    <mergeCell ref="J74:L74"/>
    <mergeCell ref="N74:P74"/>
    <mergeCell ref="Q74:S74"/>
    <mergeCell ref="T74:V74"/>
    <mergeCell ref="W75:Y75"/>
    <mergeCell ref="Z75:AB75"/>
    <mergeCell ref="AD75:AF75"/>
    <mergeCell ref="C75:D75"/>
    <mergeCell ref="E75:F75"/>
    <mergeCell ref="G75:I75"/>
    <mergeCell ref="J75:L75"/>
    <mergeCell ref="N75:P75"/>
    <mergeCell ref="Q75:S75"/>
    <mergeCell ref="T75:V75"/>
    <mergeCell ref="W76:Y76"/>
    <mergeCell ref="Z76:AB76"/>
    <mergeCell ref="AD76:AF76"/>
    <mergeCell ref="C76:D76"/>
    <mergeCell ref="E76:F76"/>
    <mergeCell ref="G76:I76"/>
    <mergeCell ref="J76:L76"/>
    <mergeCell ref="N76:P76"/>
    <mergeCell ref="Q76:S76"/>
    <mergeCell ref="T76:V76"/>
    <mergeCell ref="W77:Y77"/>
    <mergeCell ref="Z77:AB77"/>
    <mergeCell ref="AD77:AF77"/>
    <mergeCell ref="C77:D77"/>
    <mergeCell ref="E77:F77"/>
    <mergeCell ref="G77:I77"/>
    <mergeCell ref="J77:L77"/>
    <mergeCell ref="N77:P77"/>
    <mergeCell ref="Q77:S77"/>
    <mergeCell ref="T77:V77"/>
    <mergeCell ref="W78:Y78"/>
    <mergeCell ref="Z78:AB78"/>
    <mergeCell ref="AD78:AF78"/>
    <mergeCell ref="C78:D78"/>
    <mergeCell ref="E78:F78"/>
    <mergeCell ref="G78:I78"/>
    <mergeCell ref="J78:L78"/>
    <mergeCell ref="N78:P78"/>
    <mergeCell ref="Q78:S78"/>
    <mergeCell ref="T78:V78"/>
    <mergeCell ref="W79:Y79"/>
    <mergeCell ref="Z79:AB79"/>
    <mergeCell ref="AD79:AF79"/>
    <mergeCell ref="C79:D79"/>
    <mergeCell ref="E79:F79"/>
    <mergeCell ref="G79:I79"/>
    <mergeCell ref="J79:L79"/>
    <mergeCell ref="N79:P79"/>
    <mergeCell ref="Q79:S79"/>
    <mergeCell ref="T79:V79"/>
    <mergeCell ref="W80:Y80"/>
    <mergeCell ref="Z80:AB80"/>
    <mergeCell ref="AD80:AF80"/>
    <mergeCell ref="C80:D80"/>
    <mergeCell ref="E80:F80"/>
    <mergeCell ref="G80:I80"/>
    <mergeCell ref="J80:L80"/>
    <mergeCell ref="N80:P80"/>
    <mergeCell ref="Q80:S80"/>
    <mergeCell ref="T80:V80"/>
    <mergeCell ref="W81:Y81"/>
    <mergeCell ref="Z81:AB81"/>
    <mergeCell ref="AD81:AF81"/>
    <mergeCell ref="C81:D81"/>
    <mergeCell ref="E81:F81"/>
    <mergeCell ref="G81:I81"/>
    <mergeCell ref="J81:L81"/>
    <mergeCell ref="N81:P81"/>
    <mergeCell ref="Q81:S81"/>
    <mergeCell ref="T81:V81"/>
    <mergeCell ref="W82:Y82"/>
    <mergeCell ref="Z82:AB82"/>
    <mergeCell ref="AD82:AF82"/>
    <mergeCell ref="C82:D82"/>
    <mergeCell ref="E82:F82"/>
    <mergeCell ref="G82:I82"/>
    <mergeCell ref="J82:L82"/>
    <mergeCell ref="N82:P82"/>
    <mergeCell ref="Q82:S82"/>
    <mergeCell ref="T82:V82"/>
    <mergeCell ref="W83:Y83"/>
    <mergeCell ref="Z83:AB83"/>
    <mergeCell ref="AD83:AF83"/>
    <mergeCell ref="C83:D83"/>
    <mergeCell ref="E83:F83"/>
    <mergeCell ref="G83:I83"/>
    <mergeCell ref="J83:L83"/>
    <mergeCell ref="N83:P83"/>
    <mergeCell ref="Q83:S83"/>
    <mergeCell ref="T83:V83"/>
    <mergeCell ref="W84:Y84"/>
    <mergeCell ref="Z84:AB84"/>
    <mergeCell ref="AD84:AF84"/>
    <mergeCell ref="C84:D84"/>
    <mergeCell ref="E84:F84"/>
    <mergeCell ref="G84:I84"/>
    <mergeCell ref="J84:L84"/>
    <mergeCell ref="N84:P84"/>
    <mergeCell ref="Q84:S84"/>
    <mergeCell ref="T84:V84"/>
    <mergeCell ref="W85:Y85"/>
    <mergeCell ref="Z85:AB85"/>
    <mergeCell ref="AD85:AF85"/>
    <mergeCell ref="C85:D85"/>
    <mergeCell ref="E85:F85"/>
    <mergeCell ref="G85:I85"/>
    <mergeCell ref="J85:L85"/>
    <mergeCell ref="N85:P85"/>
    <mergeCell ref="Q85:S85"/>
    <mergeCell ref="T85:V85"/>
    <mergeCell ref="W86:Y86"/>
    <mergeCell ref="Z86:AB86"/>
    <mergeCell ref="AD86:AF86"/>
    <mergeCell ref="C86:D86"/>
    <mergeCell ref="E86:F86"/>
    <mergeCell ref="G86:I86"/>
    <mergeCell ref="J86:L86"/>
    <mergeCell ref="N86:P86"/>
    <mergeCell ref="Q86:S86"/>
    <mergeCell ref="T86:V86"/>
    <mergeCell ref="W87:Y87"/>
    <mergeCell ref="Z87:AB87"/>
    <mergeCell ref="AD87:AF87"/>
    <mergeCell ref="C87:D87"/>
    <mergeCell ref="E87:F87"/>
    <mergeCell ref="G87:I87"/>
    <mergeCell ref="J87:L87"/>
    <mergeCell ref="N87:P87"/>
    <mergeCell ref="Q87:S87"/>
    <mergeCell ref="T87:V87"/>
    <mergeCell ref="W88:Y88"/>
    <mergeCell ref="Z88:AB88"/>
    <mergeCell ref="AD88:AF88"/>
    <mergeCell ref="C88:D88"/>
    <mergeCell ref="E88:F88"/>
    <mergeCell ref="G88:I88"/>
    <mergeCell ref="J88:L88"/>
    <mergeCell ref="N88:P88"/>
    <mergeCell ref="Q88:S88"/>
    <mergeCell ref="T88:V88"/>
    <mergeCell ref="W89:Y89"/>
    <mergeCell ref="Z89:AB89"/>
    <mergeCell ref="AD89:AF89"/>
    <mergeCell ref="C89:D89"/>
    <mergeCell ref="E89:F89"/>
    <mergeCell ref="G89:I89"/>
    <mergeCell ref="J89:L89"/>
    <mergeCell ref="N89:P89"/>
    <mergeCell ref="Q89:S89"/>
    <mergeCell ref="T89:V89"/>
    <mergeCell ref="W90:Y90"/>
    <mergeCell ref="Z90:AB90"/>
    <mergeCell ref="AD90:AF90"/>
    <mergeCell ref="C90:D90"/>
    <mergeCell ref="E90:F90"/>
    <mergeCell ref="G90:I90"/>
    <mergeCell ref="J90:L90"/>
    <mergeCell ref="N90:P90"/>
    <mergeCell ref="Q90:S90"/>
    <mergeCell ref="T90:V90"/>
    <mergeCell ref="W91:Y91"/>
    <mergeCell ref="Z91:AB91"/>
    <mergeCell ref="AD91:AF91"/>
    <mergeCell ref="C91:D91"/>
    <mergeCell ref="E91:F91"/>
    <mergeCell ref="G91:I91"/>
    <mergeCell ref="J91:L91"/>
    <mergeCell ref="N91:P91"/>
    <mergeCell ref="Q91:S91"/>
    <mergeCell ref="T91:V91"/>
    <mergeCell ref="W92:Y92"/>
    <mergeCell ref="Z92:AB92"/>
    <mergeCell ref="AD92:AF92"/>
    <mergeCell ref="C92:D92"/>
    <mergeCell ref="E92:F92"/>
    <mergeCell ref="G92:I92"/>
    <mergeCell ref="J92:L92"/>
    <mergeCell ref="N92:P92"/>
    <mergeCell ref="Q92:S92"/>
    <mergeCell ref="T92:V92"/>
    <mergeCell ref="W93:Y93"/>
    <mergeCell ref="Z93:AB93"/>
    <mergeCell ref="AD93:AF93"/>
    <mergeCell ref="C93:D93"/>
    <mergeCell ref="E93:F93"/>
    <mergeCell ref="G93:I93"/>
    <mergeCell ref="J93:L93"/>
    <mergeCell ref="N93:P93"/>
    <mergeCell ref="Q93:S93"/>
    <mergeCell ref="T93:V93"/>
    <mergeCell ref="W94:Y94"/>
    <mergeCell ref="Z94:AB94"/>
    <mergeCell ref="AD94:AF94"/>
    <mergeCell ref="C94:D94"/>
    <mergeCell ref="E94:F94"/>
    <mergeCell ref="G94:I94"/>
    <mergeCell ref="J94:L94"/>
    <mergeCell ref="N94:P94"/>
    <mergeCell ref="Q94:S94"/>
    <mergeCell ref="T94:V94"/>
    <mergeCell ref="W95:Y95"/>
    <mergeCell ref="Z95:AB95"/>
    <mergeCell ref="AD95:AF95"/>
    <mergeCell ref="C95:D95"/>
    <mergeCell ref="E95:F95"/>
    <mergeCell ref="G95:I95"/>
    <mergeCell ref="J95:L95"/>
    <mergeCell ref="N95:P95"/>
    <mergeCell ref="Q95:S95"/>
    <mergeCell ref="T95:V95"/>
    <mergeCell ref="W96:Y96"/>
    <mergeCell ref="Z96:AB96"/>
    <mergeCell ref="AD96:AF96"/>
    <mergeCell ref="C96:D96"/>
    <mergeCell ref="E96:F96"/>
    <mergeCell ref="G96:I96"/>
    <mergeCell ref="J96:L96"/>
    <mergeCell ref="N96:P96"/>
    <mergeCell ref="Q96:S96"/>
    <mergeCell ref="T96:V96"/>
    <mergeCell ref="E4:F4"/>
    <mergeCell ref="G4:I4"/>
    <mergeCell ref="N4:P4"/>
    <mergeCell ref="Q4:S4"/>
    <mergeCell ref="T4:V4"/>
    <mergeCell ref="W4:Y4"/>
    <mergeCell ref="Z4:AB4"/>
    <mergeCell ref="AD4:AF4"/>
    <mergeCell ref="C4:D4"/>
    <mergeCell ref="C5:D5"/>
    <mergeCell ref="E5:F5"/>
    <mergeCell ref="G5:I5"/>
    <mergeCell ref="J5:L5"/>
    <mergeCell ref="N5:P5"/>
    <mergeCell ref="Q5:S5"/>
    <mergeCell ref="W104:Y104"/>
    <mergeCell ref="Z104:AB104"/>
    <mergeCell ref="AD104:AF104"/>
    <mergeCell ref="C104:D104"/>
    <mergeCell ref="E104:F104"/>
    <mergeCell ref="G104:I104"/>
    <mergeCell ref="J104:L104"/>
    <mergeCell ref="N104:P104"/>
    <mergeCell ref="Q104:S104"/>
    <mergeCell ref="T104:V104"/>
    <mergeCell ref="J2:L2"/>
    <mergeCell ref="N2:P2"/>
    <mergeCell ref="N3:P3"/>
    <mergeCell ref="Q2:S2"/>
    <mergeCell ref="T2:V2"/>
    <mergeCell ref="Q3:S3"/>
    <mergeCell ref="T3:V3"/>
    <mergeCell ref="W2:Y2"/>
    <mergeCell ref="Z2:AB2"/>
    <mergeCell ref="W3:Y3"/>
    <mergeCell ref="Z3:AB3"/>
    <mergeCell ref="AD3:AF3"/>
    <mergeCell ref="C1:D1"/>
    <mergeCell ref="E1:F1"/>
    <mergeCell ref="G1:I1"/>
    <mergeCell ref="J1:L1"/>
    <mergeCell ref="N1:AB1"/>
    <mergeCell ref="AD1:AF1"/>
    <mergeCell ref="C2:D2"/>
    <mergeCell ref="AD2:AF2"/>
    <mergeCell ref="E2:F2"/>
    <mergeCell ref="G2:I2"/>
    <mergeCell ref="C3:D3"/>
    <mergeCell ref="E3:F3"/>
    <mergeCell ref="G3:I3"/>
    <mergeCell ref="J3:L3"/>
    <mergeCell ref="J4:L4"/>
    <mergeCell ref="T5:V5"/>
    <mergeCell ref="W5:Y5"/>
    <mergeCell ref="Z5:AB5"/>
    <mergeCell ref="AD5:AF5"/>
    <mergeCell ref="W105:Y105"/>
    <mergeCell ref="Z105:AB105"/>
    <mergeCell ref="AD105:AF105"/>
    <mergeCell ref="C105:D105"/>
    <mergeCell ref="E105:F105"/>
    <mergeCell ref="G105:I105"/>
    <mergeCell ref="J105:L105"/>
    <mergeCell ref="N105:P105"/>
    <mergeCell ref="Q105:S105"/>
    <mergeCell ref="T105:V105"/>
    <mergeCell ref="W97:Y97"/>
    <mergeCell ref="Z97:AB97"/>
    <mergeCell ref="AD97:AF97"/>
    <mergeCell ref="C97:D97"/>
    <mergeCell ref="E97:F97"/>
    <mergeCell ref="G97:I97"/>
    <mergeCell ref="J97:L97"/>
    <mergeCell ref="N97:P97"/>
    <mergeCell ref="Q97:S97"/>
    <mergeCell ref="T97:V97"/>
    <mergeCell ref="W98:Y98"/>
    <mergeCell ref="Z98:AB98"/>
    <mergeCell ref="AD98:AF98"/>
    <mergeCell ref="C98:D98"/>
    <mergeCell ref="E98:F98"/>
    <mergeCell ref="G98:I98"/>
    <mergeCell ref="J98:L98"/>
    <mergeCell ref="N98:P98"/>
    <mergeCell ref="Q98:S98"/>
    <mergeCell ref="T98:V98"/>
    <mergeCell ref="W99:Y99"/>
    <mergeCell ref="Z99:AB99"/>
    <mergeCell ref="AD99:AF99"/>
    <mergeCell ref="C99:D99"/>
    <mergeCell ref="E99:F99"/>
    <mergeCell ref="G99:I99"/>
    <mergeCell ref="J99:L99"/>
    <mergeCell ref="N99:P99"/>
    <mergeCell ref="Q99:S99"/>
    <mergeCell ref="T99:V99"/>
    <mergeCell ref="W100:Y100"/>
    <mergeCell ref="Z100:AB100"/>
    <mergeCell ref="AD100:AF100"/>
    <mergeCell ref="C100:D100"/>
    <mergeCell ref="E100:F100"/>
    <mergeCell ref="G100:I100"/>
    <mergeCell ref="J100:L100"/>
    <mergeCell ref="N100:P100"/>
    <mergeCell ref="Q100:S100"/>
    <mergeCell ref="T100:V100"/>
    <mergeCell ref="W101:Y101"/>
    <mergeCell ref="Z101:AB101"/>
    <mergeCell ref="AD101:AF101"/>
    <mergeCell ref="C101:D101"/>
    <mergeCell ref="E101:F101"/>
    <mergeCell ref="G101:I101"/>
    <mergeCell ref="J101:L101"/>
    <mergeCell ref="N101:P101"/>
    <mergeCell ref="Q101:S101"/>
    <mergeCell ref="T101:V101"/>
    <mergeCell ref="W102:Y102"/>
    <mergeCell ref="Z102:AB102"/>
    <mergeCell ref="AD102:AF102"/>
    <mergeCell ref="C102:D102"/>
    <mergeCell ref="E102:F102"/>
    <mergeCell ref="G102:I102"/>
    <mergeCell ref="J102:L102"/>
    <mergeCell ref="N102:P102"/>
    <mergeCell ref="Q102:S102"/>
    <mergeCell ref="T102:V102"/>
    <mergeCell ref="W103:Y103"/>
    <mergeCell ref="Z103:AB103"/>
    <mergeCell ref="AD103:AF103"/>
    <mergeCell ref="C103:D103"/>
    <mergeCell ref="E103:F103"/>
    <mergeCell ref="G103:I103"/>
    <mergeCell ref="J103:L103"/>
    <mergeCell ref="N103:P103"/>
    <mergeCell ref="Q103:S103"/>
    <mergeCell ref="T103:V103"/>
    <mergeCell ref="W6:Y6"/>
    <mergeCell ref="Z6:AB6"/>
    <mergeCell ref="AD6:AF6"/>
    <mergeCell ref="C6:D6"/>
    <mergeCell ref="E6:F6"/>
    <mergeCell ref="G6:I6"/>
    <mergeCell ref="J6:L6"/>
    <mergeCell ref="N6:P6"/>
    <mergeCell ref="Q6:S6"/>
    <mergeCell ref="T6:V6"/>
    <mergeCell ref="W7:Y7"/>
    <mergeCell ref="Z7:AB7"/>
    <mergeCell ref="AD7:AF7"/>
    <mergeCell ref="C7:D7"/>
    <mergeCell ref="E7:F7"/>
    <mergeCell ref="G7:I7"/>
    <mergeCell ref="J7:L7"/>
    <mergeCell ref="N7:P7"/>
    <mergeCell ref="Q7:S7"/>
    <mergeCell ref="T7:V7"/>
    <mergeCell ref="W8:Y8"/>
    <mergeCell ref="Z8:AB8"/>
    <mergeCell ref="AD8:AF8"/>
    <mergeCell ref="C8:D8"/>
    <mergeCell ref="E8:F8"/>
    <mergeCell ref="G8:I8"/>
    <mergeCell ref="J8:L8"/>
    <mergeCell ref="N8:P8"/>
    <mergeCell ref="Q8:S8"/>
    <mergeCell ref="T8:V8"/>
    <mergeCell ref="W9:Y9"/>
    <mergeCell ref="Z9:AB9"/>
    <mergeCell ref="AD9:AF9"/>
    <mergeCell ref="C9:D9"/>
    <mergeCell ref="E9:F9"/>
    <mergeCell ref="G9:I9"/>
    <mergeCell ref="J9:L9"/>
    <mergeCell ref="N9:P9"/>
    <mergeCell ref="Q9:S9"/>
    <mergeCell ref="T9:V9"/>
    <mergeCell ref="W10:Y10"/>
    <mergeCell ref="Z10:AB10"/>
    <mergeCell ref="AD10:AF10"/>
    <mergeCell ref="C10:D10"/>
    <mergeCell ref="E10:F10"/>
    <mergeCell ref="G10:I10"/>
    <mergeCell ref="J10:L10"/>
    <mergeCell ref="N10:P10"/>
    <mergeCell ref="Q10:S10"/>
    <mergeCell ref="T10:V10"/>
    <mergeCell ref="W11:Y11"/>
    <mergeCell ref="Z11:AB11"/>
    <mergeCell ref="AD11:AF11"/>
    <mergeCell ref="C11:D11"/>
    <mergeCell ref="E11:F11"/>
    <mergeCell ref="G11:I11"/>
    <mergeCell ref="J11:L11"/>
    <mergeCell ref="N11:P11"/>
    <mergeCell ref="Q11:S11"/>
    <mergeCell ref="T11:V11"/>
    <mergeCell ref="W12:Y12"/>
    <mergeCell ref="Z12:AB12"/>
    <mergeCell ref="AD12:AF12"/>
    <mergeCell ref="C12:D12"/>
    <mergeCell ref="E12:F12"/>
    <mergeCell ref="G12:I12"/>
    <mergeCell ref="J12:L12"/>
    <mergeCell ref="N12:P12"/>
    <mergeCell ref="Q12:S12"/>
    <mergeCell ref="T12:V12"/>
    <mergeCell ref="W13:Y13"/>
    <mergeCell ref="Z13:AB13"/>
    <mergeCell ref="AD13:AF13"/>
    <mergeCell ref="C13:D13"/>
    <mergeCell ref="E13:F13"/>
    <mergeCell ref="G13:I13"/>
    <mergeCell ref="J13:L13"/>
    <mergeCell ref="N13:P13"/>
    <mergeCell ref="Q13:S13"/>
    <mergeCell ref="T13:V13"/>
    <mergeCell ref="W14:Y14"/>
    <mergeCell ref="Z14:AB14"/>
    <mergeCell ref="AD14:AF14"/>
    <mergeCell ref="C14:D14"/>
    <mergeCell ref="E14:F14"/>
    <mergeCell ref="G14:I14"/>
    <mergeCell ref="J14:L14"/>
    <mergeCell ref="N14:P14"/>
    <mergeCell ref="Q14:S14"/>
    <mergeCell ref="T14:V14"/>
    <mergeCell ref="W15:Y15"/>
    <mergeCell ref="Z15:AB15"/>
    <mergeCell ref="AD15:AF15"/>
    <mergeCell ref="C15:D15"/>
    <mergeCell ref="E15:F15"/>
    <mergeCell ref="G15:I15"/>
    <mergeCell ref="J15:L15"/>
    <mergeCell ref="N15:P15"/>
    <mergeCell ref="Q15:S15"/>
    <mergeCell ref="T15:V15"/>
    <mergeCell ref="W16:Y16"/>
    <mergeCell ref="Z16:AB16"/>
    <mergeCell ref="AD16:AF16"/>
    <mergeCell ref="C16:D16"/>
    <mergeCell ref="E16:F16"/>
    <mergeCell ref="G16:I16"/>
    <mergeCell ref="J16:L16"/>
    <mergeCell ref="N16:P16"/>
    <mergeCell ref="Q16:S16"/>
    <mergeCell ref="T16:V16"/>
    <mergeCell ref="W17:Y17"/>
    <mergeCell ref="Z17:AB17"/>
    <mergeCell ref="AD17:AF17"/>
    <mergeCell ref="C17:D17"/>
    <mergeCell ref="E17:F17"/>
    <mergeCell ref="G17:I17"/>
    <mergeCell ref="J17:L17"/>
    <mergeCell ref="N17:P17"/>
    <mergeCell ref="Q17:S17"/>
    <mergeCell ref="T17:V17"/>
    <mergeCell ref="W18:Y18"/>
    <mergeCell ref="Z18:AB18"/>
    <mergeCell ref="AD18:AF18"/>
    <mergeCell ref="C18:D18"/>
    <mergeCell ref="E18:F18"/>
    <mergeCell ref="G18:I18"/>
    <mergeCell ref="J18:L18"/>
    <mergeCell ref="N18:P18"/>
    <mergeCell ref="Q18:S18"/>
    <mergeCell ref="T18:V18"/>
    <mergeCell ref="W19:Y19"/>
    <mergeCell ref="Z19:AB19"/>
    <mergeCell ref="AD19:AF19"/>
    <mergeCell ref="C19:D19"/>
    <mergeCell ref="E19:F19"/>
    <mergeCell ref="G19:I19"/>
    <mergeCell ref="J19:L19"/>
    <mergeCell ref="N19:P19"/>
    <mergeCell ref="Q19:S19"/>
    <mergeCell ref="T19:V19"/>
    <mergeCell ref="W20:Y20"/>
    <mergeCell ref="Z20:AB20"/>
    <mergeCell ref="AD20:AF20"/>
    <mergeCell ref="C20:D20"/>
    <mergeCell ref="E20:F20"/>
    <mergeCell ref="G20:I20"/>
    <mergeCell ref="J20:L20"/>
    <mergeCell ref="N20:P20"/>
    <mergeCell ref="Q20:S20"/>
    <mergeCell ref="T20:V20"/>
    <mergeCell ref="W21:Y21"/>
    <mergeCell ref="Z21:AB21"/>
    <mergeCell ref="AD21:AF21"/>
    <mergeCell ref="C21:D21"/>
    <mergeCell ref="E21:F21"/>
    <mergeCell ref="G21:I21"/>
    <mergeCell ref="J21:L21"/>
    <mergeCell ref="N21:P21"/>
    <mergeCell ref="Q21:S21"/>
    <mergeCell ref="T21:V21"/>
    <mergeCell ref="W22:Y22"/>
    <mergeCell ref="Z22:AB22"/>
    <mergeCell ref="AD22:AF22"/>
    <mergeCell ref="C22:D22"/>
    <mergeCell ref="E22:F22"/>
    <mergeCell ref="G22:I22"/>
    <mergeCell ref="J22:L22"/>
    <mergeCell ref="N22:P22"/>
    <mergeCell ref="Q22:S22"/>
    <mergeCell ref="T22:V22"/>
    <mergeCell ref="W23:Y23"/>
    <mergeCell ref="Z23:AB23"/>
    <mergeCell ref="AD23:AF23"/>
    <mergeCell ref="C23:D23"/>
    <mergeCell ref="E23:F23"/>
    <mergeCell ref="G23:I23"/>
    <mergeCell ref="J23:L23"/>
    <mergeCell ref="N23:P23"/>
    <mergeCell ref="Q23:S23"/>
    <mergeCell ref="T23:V23"/>
    <mergeCell ref="W24:Y24"/>
    <mergeCell ref="Z24:AB24"/>
    <mergeCell ref="AD24:AF24"/>
    <mergeCell ref="C24:D24"/>
    <mergeCell ref="E24:F24"/>
    <mergeCell ref="G24:I24"/>
    <mergeCell ref="J24:L24"/>
    <mergeCell ref="N24:P24"/>
    <mergeCell ref="Q24:S24"/>
    <mergeCell ref="T24:V24"/>
    <mergeCell ref="W25:Y25"/>
    <mergeCell ref="Z25:AB25"/>
    <mergeCell ref="AD25:AF25"/>
    <mergeCell ref="C25:D25"/>
    <mergeCell ref="E25:F25"/>
    <mergeCell ref="G25:I25"/>
    <mergeCell ref="J25:L25"/>
    <mergeCell ref="N25:P25"/>
    <mergeCell ref="Q25:S25"/>
    <mergeCell ref="T25:V25"/>
    <mergeCell ref="W26:Y26"/>
    <mergeCell ref="Z26:AB26"/>
    <mergeCell ref="AD26:AF26"/>
    <mergeCell ref="C26:D26"/>
    <mergeCell ref="E26:F26"/>
    <mergeCell ref="G26:I26"/>
    <mergeCell ref="J26:L26"/>
    <mergeCell ref="N26:P26"/>
    <mergeCell ref="Q26:S26"/>
    <mergeCell ref="T26:V26"/>
    <mergeCell ref="W27:Y27"/>
    <mergeCell ref="Z27:AB27"/>
    <mergeCell ref="AD27:AF27"/>
    <mergeCell ref="C27:D27"/>
    <mergeCell ref="E27:F27"/>
    <mergeCell ref="G27:I27"/>
    <mergeCell ref="J27:L27"/>
    <mergeCell ref="N27:P27"/>
    <mergeCell ref="Q27:S27"/>
    <mergeCell ref="T27:V27"/>
    <mergeCell ref="W28:Y28"/>
    <mergeCell ref="Z28:AB28"/>
    <mergeCell ref="AD28:AF28"/>
    <mergeCell ref="C28:D28"/>
    <mergeCell ref="E28:F28"/>
    <mergeCell ref="G28:I28"/>
    <mergeCell ref="J28:L28"/>
    <mergeCell ref="N28:P28"/>
    <mergeCell ref="Q28:S28"/>
    <mergeCell ref="T28:V28"/>
    <mergeCell ref="W29:Y29"/>
    <mergeCell ref="Z29:AB29"/>
    <mergeCell ref="AD29:AF29"/>
    <mergeCell ref="C29:D29"/>
    <mergeCell ref="E29:F29"/>
    <mergeCell ref="G29:I29"/>
    <mergeCell ref="J29:L29"/>
    <mergeCell ref="N29:P29"/>
    <mergeCell ref="Q29:S29"/>
    <mergeCell ref="T29:V29"/>
    <mergeCell ref="W30:Y30"/>
    <mergeCell ref="Z30:AB30"/>
    <mergeCell ref="AD30:AF30"/>
    <mergeCell ref="C30:D30"/>
    <mergeCell ref="E30:F30"/>
    <mergeCell ref="G30:I30"/>
    <mergeCell ref="J30:L30"/>
    <mergeCell ref="N30:P30"/>
    <mergeCell ref="Q30:S30"/>
    <mergeCell ref="T30:V30"/>
    <mergeCell ref="W31:Y31"/>
    <mergeCell ref="Z31:AB31"/>
    <mergeCell ref="AD31:AF31"/>
    <mergeCell ref="C31:D31"/>
    <mergeCell ref="E31:F31"/>
    <mergeCell ref="G31:I31"/>
    <mergeCell ref="J31:L31"/>
    <mergeCell ref="N31:P31"/>
    <mergeCell ref="Q31:S31"/>
    <mergeCell ref="T31:V31"/>
    <mergeCell ref="W32:Y32"/>
    <mergeCell ref="Z32:AB32"/>
    <mergeCell ref="AD32:AF32"/>
    <mergeCell ref="C32:D32"/>
    <mergeCell ref="E32:F32"/>
    <mergeCell ref="G32:I32"/>
    <mergeCell ref="J32:L32"/>
    <mergeCell ref="N32:P32"/>
    <mergeCell ref="Q32:S32"/>
    <mergeCell ref="T32:V32"/>
    <mergeCell ref="W33:Y33"/>
    <mergeCell ref="Z33:AB33"/>
    <mergeCell ref="AD33:AF33"/>
    <mergeCell ref="C33:D33"/>
    <mergeCell ref="E33:F33"/>
    <mergeCell ref="G33:I33"/>
    <mergeCell ref="J33:L33"/>
    <mergeCell ref="N33:P33"/>
    <mergeCell ref="Q33:S33"/>
    <mergeCell ref="T33:V33"/>
    <mergeCell ref="W34:Y34"/>
    <mergeCell ref="Z34:AB34"/>
    <mergeCell ref="AD34:AF34"/>
    <mergeCell ref="C34:D34"/>
    <mergeCell ref="E34:F34"/>
    <mergeCell ref="G34:I34"/>
    <mergeCell ref="J34:L34"/>
    <mergeCell ref="N34:P34"/>
    <mergeCell ref="Q34:S34"/>
    <mergeCell ref="T34:V34"/>
    <mergeCell ref="W35:Y35"/>
    <mergeCell ref="Z35:AB35"/>
    <mergeCell ref="AD35:AF35"/>
    <mergeCell ref="C35:D35"/>
    <mergeCell ref="E35:F35"/>
    <mergeCell ref="G35:I35"/>
    <mergeCell ref="J35:L35"/>
    <mergeCell ref="N35:P35"/>
    <mergeCell ref="Q35:S35"/>
    <mergeCell ref="T35:V35"/>
    <mergeCell ref="W36:Y36"/>
    <mergeCell ref="Z36:AB36"/>
    <mergeCell ref="AD36:AF36"/>
    <mergeCell ref="C36:D36"/>
    <mergeCell ref="E36:F36"/>
    <mergeCell ref="G36:I36"/>
    <mergeCell ref="J36:L36"/>
    <mergeCell ref="N36:P36"/>
    <mergeCell ref="Q36:S36"/>
    <mergeCell ref="T36:V36"/>
    <mergeCell ref="W37:Y37"/>
    <mergeCell ref="Z37:AB37"/>
    <mergeCell ref="AD37:AF37"/>
    <mergeCell ref="C37:D37"/>
    <mergeCell ref="E37:F37"/>
    <mergeCell ref="G37:I37"/>
    <mergeCell ref="J37:L37"/>
    <mergeCell ref="N37:P37"/>
    <mergeCell ref="Q37:S37"/>
    <mergeCell ref="T37:V37"/>
    <mergeCell ref="W38:Y38"/>
    <mergeCell ref="Z38:AB38"/>
    <mergeCell ref="AD38:AF38"/>
    <mergeCell ref="C38:D38"/>
    <mergeCell ref="E38:F38"/>
    <mergeCell ref="G38:I38"/>
    <mergeCell ref="J38:L38"/>
    <mergeCell ref="N38:P38"/>
    <mergeCell ref="Q38:S38"/>
    <mergeCell ref="T38:V38"/>
    <mergeCell ref="W39:Y39"/>
    <mergeCell ref="Z39:AB39"/>
    <mergeCell ref="AD39:AF39"/>
    <mergeCell ref="C39:D39"/>
    <mergeCell ref="E39:F39"/>
    <mergeCell ref="G39:I39"/>
    <mergeCell ref="J39:L39"/>
    <mergeCell ref="N39:P39"/>
    <mergeCell ref="Q39:S39"/>
    <mergeCell ref="T39:V39"/>
    <mergeCell ref="W40:Y40"/>
    <mergeCell ref="Z40:AB40"/>
    <mergeCell ref="AD40:AF40"/>
    <mergeCell ref="C40:D40"/>
    <mergeCell ref="E40:F40"/>
    <mergeCell ref="G40:I40"/>
    <mergeCell ref="J40:L40"/>
    <mergeCell ref="N40:P40"/>
    <mergeCell ref="Q40:S40"/>
    <mergeCell ref="T40:V40"/>
    <mergeCell ref="W41:Y41"/>
    <mergeCell ref="Z41:AB41"/>
    <mergeCell ref="AD41:AF41"/>
    <mergeCell ref="C41:D41"/>
    <mergeCell ref="E41:F41"/>
    <mergeCell ref="G41:I41"/>
    <mergeCell ref="J41:L41"/>
    <mergeCell ref="N41:P41"/>
    <mergeCell ref="Q41:S41"/>
    <mergeCell ref="T41:V41"/>
    <mergeCell ref="W42:Y42"/>
    <mergeCell ref="Z42:AB42"/>
    <mergeCell ref="AD42:AF42"/>
    <mergeCell ref="C42:D42"/>
    <mergeCell ref="E42:F42"/>
    <mergeCell ref="G42:H42"/>
    <mergeCell ref="J42:L42"/>
    <mergeCell ref="N42:P42"/>
    <mergeCell ref="Q42:S42"/>
    <mergeCell ref="T42:V42"/>
    <mergeCell ref="W43:Y43"/>
    <mergeCell ref="Z43:AB43"/>
    <mergeCell ref="AD43:AF43"/>
    <mergeCell ref="C43:D43"/>
    <mergeCell ref="E43:F43"/>
    <mergeCell ref="G43:H43"/>
    <mergeCell ref="J43:L43"/>
    <mergeCell ref="N43:P43"/>
    <mergeCell ref="Q43:S43"/>
    <mergeCell ref="T43:V43"/>
    <mergeCell ref="W44:Y44"/>
    <mergeCell ref="Z44:AB44"/>
    <mergeCell ref="AD44:AF44"/>
    <mergeCell ref="C44:D44"/>
    <mergeCell ref="E44:F44"/>
    <mergeCell ref="G44:H44"/>
    <mergeCell ref="J44:L44"/>
    <mergeCell ref="N44:P44"/>
    <mergeCell ref="Q44:S44"/>
    <mergeCell ref="T44:V44"/>
    <mergeCell ref="W45:Y45"/>
    <mergeCell ref="Z45:AB45"/>
    <mergeCell ref="AD45:AF45"/>
    <mergeCell ref="C45:D45"/>
    <mergeCell ref="E45:F45"/>
    <mergeCell ref="G45:H45"/>
    <mergeCell ref="J45:L45"/>
    <mergeCell ref="N45:P45"/>
    <mergeCell ref="Q45:S45"/>
    <mergeCell ref="T45:V45"/>
    <mergeCell ref="W46:Y46"/>
    <mergeCell ref="Z46:AB46"/>
    <mergeCell ref="AD46:AF46"/>
    <mergeCell ref="C46:D46"/>
    <mergeCell ref="E46:F46"/>
    <mergeCell ref="G46:I46"/>
    <mergeCell ref="J46:L46"/>
    <mergeCell ref="N46:P46"/>
    <mergeCell ref="Q46:S46"/>
    <mergeCell ref="T46:V46"/>
    <mergeCell ref="W47:Y47"/>
    <mergeCell ref="Z47:AB47"/>
    <mergeCell ref="AD47:AF47"/>
    <mergeCell ref="C47:D47"/>
    <mergeCell ref="E47:F47"/>
    <mergeCell ref="G47:I47"/>
    <mergeCell ref="J47:L47"/>
    <mergeCell ref="N47:P47"/>
    <mergeCell ref="Q47:S47"/>
    <mergeCell ref="T47:V47"/>
    <mergeCell ref="W48:Y48"/>
    <mergeCell ref="Z48:AB48"/>
    <mergeCell ref="AD48:AF48"/>
    <mergeCell ref="C48:D48"/>
    <mergeCell ref="E48:F48"/>
    <mergeCell ref="G48:I48"/>
    <mergeCell ref="J48:L48"/>
    <mergeCell ref="N48:P48"/>
    <mergeCell ref="Q48:S48"/>
    <mergeCell ref="T48:V48"/>
    <mergeCell ref="W49:Y49"/>
    <mergeCell ref="Z49:AB49"/>
    <mergeCell ref="AD49:AF49"/>
    <mergeCell ref="C49:D49"/>
    <mergeCell ref="E49:F49"/>
    <mergeCell ref="G49:I49"/>
    <mergeCell ref="J49:L49"/>
    <mergeCell ref="N49:P49"/>
    <mergeCell ref="Q49:S49"/>
    <mergeCell ref="T49:V49"/>
    <mergeCell ref="W50:Y50"/>
    <mergeCell ref="Z50:AB50"/>
    <mergeCell ref="AD50:AF50"/>
    <mergeCell ref="C50:D50"/>
    <mergeCell ref="E50:F50"/>
    <mergeCell ref="G50:I50"/>
    <mergeCell ref="J50:L50"/>
    <mergeCell ref="N50:P50"/>
    <mergeCell ref="Q50:S50"/>
    <mergeCell ref="T50:V50"/>
    <mergeCell ref="W51:Y51"/>
    <mergeCell ref="Z51:AB51"/>
    <mergeCell ref="AD51:AF51"/>
    <mergeCell ref="C51:D51"/>
    <mergeCell ref="E51:F51"/>
    <mergeCell ref="G51:I51"/>
    <mergeCell ref="J51:L51"/>
    <mergeCell ref="N51:P51"/>
    <mergeCell ref="Q51:S51"/>
    <mergeCell ref="T51:V51"/>
    <mergeCell ref="W52:Y52"/>
    <mergeCell ref="Z52:AB52"/>
    <mergeCell ref="AD52:AF52"/>
    <mergeCell ref="C52:D52"/>
    <mergeCell ref="E52:F52"/>
    <mergeCell ref="G52:I52"/>
    <mergeCell ref="J52:L52"/>
    <mergeCell ref="N52:P52"/>
    <mergeCell ref="Q52:S52"/>
    <mergeCell ref="T52:V52"/>
    <mergeCell ref="W53:Y53"/>
    <mergeCell ref="Z53:AB53"/>
    <mergeCell ref="AD53:AF53"/>
    <mergeCell ref="C53:D53"/>
    <mergeCell ref="E53:F53"/>
    <mergeCell ref="G53:I53"/>
    <mergeCell ref="J53:L53"/>
    <mergeCell ref="N53:P53"/>
    <mergeCell ref="Q53:S53"/>
    <mergeCell ref="T53:V53"/>
    <mergeCell ref="W54:Y54"/>
    <mergeCell ref="Z54:AB54"/>
    <mergeCell ref="AD54:AF54"/>
    <mergeCell ref="C54:D54"/>
    <mergeCell ref="E54:F54"/>
    <mergeCell ref="G54:I54"/>
    <mergeCell ref="J54:L54"/>
    <mergeCell ref="N54:P54"/>
    <mergeCell ref="Q54:S54"/>
    <mergeCell ref="T54:V54"/>
  </mergeCells>
  <printOptions gridLines="1" horizontalCentered="1"/>
  <pageMargins bottom="0.75" footer="0.0" header="0.0" left="0.7" right="0.7"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8.5"/>
    <col customWidth="1" min="2" max="2" width="7.13"/>
    <col customWidth="1" min="3" max="3" width="24.25"/>
    <col customWidth="1" min="5" max="5" width="18.38"/>
    <col customWidth="1" min="6" max="6" width="7.13"/>
    <col customWidth="1" min="7" max="7" width="52.13"/>
    <col customWidth="1" min="8" max="8" width="31.0"/>
    <col customWidth="1" min="9" max="9" width="56.88"/>
    <col customWidth="1" min="10" max="10" width="41.38"/>
    <col customWidth="1" min="11" max="11" width="27.0"/>
    <col customWidth="1" min="12" max="12" width="63.38"/>
    <col customWidth="1" min="13" max="14" width="5.38"/>
  </cols>
  <sheetData>
    <row r="1" ht="10.5" customHeight="1">
      <c r="A1" s="1080"/>
      <c r="B1" s="1080"/>
      <c r="C1" s="1080" t="s">
        <v>8115</v>
      </c>
      <c r="G1" s="1081"/>
      <c r="H1" s="980" t="s">
        <v>9061</v>
      </c>
      <c r="I1" s="249"/>
      <c r="J1" s="249"/>
      <c r="K1" s="250"/>
      <c r="S1" s="1080"/>
      <c r="T1" s="1080"/>
      <c r="U1" s="1080"/>
      <c r="V1" s="1080"/>
      <c r="W1" s="1080"/>
      <c r="X1" s="1080"/>
      <c r="Y1" s="1080"/>
      <c r="Z1" s="1080"/>
      <c r="AA1" s="1080"/>
      <c r="AB1" s="1080"/>
      <c r="AC1" s="1082"/>
      <c r="AD1" s="1082"/>
      <c r="AE1" s="1082"/>
      <c r="AF1" s="1082"/>
    </row>
    <row r="2" ht="10.5" customHeight="1">
      <c r="A2" s="1083"/>
      <c r="B2" s="1083"/>
      <c r="G2" s="391"/>
      <c r="H2" s="1084">
        <v>1.0</v>
      </c>
      <c r="I2" s="1085" t="s">
        <v>9063</v>
      </c>
      <c r="J2" s="1086" t="s">
        <v>1470</v>
      </c>
      <c r="K2" s="1086" t="s">
        <v>1395</v>
      </c>
      <c r="S2" s="1087"/>
      <c r="T2" s="1087"/>
      <c r="U2" s="1087"/>
      <c r="V2" s="1087"/>
      <c r="W2" s="1087"/>
      <c r="X2" s="1087"/>
      <c r="Y2" s="1087"/>
      <c r="Z2" s="1087"/>
      <c r="AA2" s="1087"/>
      <c r="AB2" s="1087"/>
      <c r="AC2" s="1087"/>
      <c r="AD2" s="1087"/>
      <c r="AE2" s="1087"/>
      <c r="AF2" s="1087"/>
    </row>
    <row r="3" ht="10.5" customHeight="1">
      <c r="A3" s="1083"/>
      <c r="B3" s="1083"/>
      <c r="G3" s="391"/>
      <c r="H3" s="1084">
        <v>2.0</v>
      </c>
      <c r="I3" s="1085" t="s">
        <v>5410</v>
      </c>
      <c r="J3" s="1086" t="s">
        <v>1430</v>
      </c>
      <c r="K3" s="1086" t="s">
        <v>7422</v>
      </c>
      <c r="S3" s="1087"/>
      <c r="T3" s="1087"/>
      <c r="U3" s="1087"/>
      <c r="V3" s="1087"/>
      <c r="W3" s="1087"/>
      <c r="X3" s="1087"/>
      <c r="Y3" s="1087"/>
      <c r="Z3" s="1087"/>
      <c r="AA3" s="1087"/>
      <c r="AB3" s="1087"/>
      <c r="AC3" s="1087"/>
      <c r="AD3" s="1087"/>
      <c r="AE3" s="1087"/>
      <c r="AF3" s="1087"/>
    </row>
    <row r="4" ht="10.5" customHeight="1">
      <c r="A4" s="1088" t="s">
        <v>1430</v>
      </c>
      <c r="B4" s="1088">
        <f t="shared" ref="B4:B6" si="1">COUNTIF(B$11:B754,A4)</f>
        <v>47</v>
      </c>
      <c r="G4" s="391"/>
      <c r="H4" s="1084">
        <v>3.0</v>
      </c>
      <c r="I4" s="1085" t="s">
        <v>4751</v>
      </c>
      <c r="J4" s="1086" t="s">
        <v>1395</v>
      </c>
      <c r="K4" s="1086" t="s">
        <v>1430</v>
      </c>
      <c r="S4" s="1087"/>
      <c r="T4" s="1087"/>
      <c r="U4" s="1087"/>
      <c r="V4" s="1087"/>
      <c r="W4" s="1087"/>
      <c r="X4" s="1087"/>
      <c r="Y4" s="1087"/>
      <c r="Z4" s="1087"/>
      <c r="AA4" s="1087"/>
      <c r="AB4" s="1087"/>
      <c r="AC4" s="1087"/>
      <c r="AD4" s="1087"/>
      <c r="AE4" s="1087"/>
      <c r="AF4" s="1087"/>
    </row>
    <row r="5" ht="10.5" customHeight="1">
      <c r="A5" s="1088" t="s">
        <v>1470</v>
      </c>
      <c r="B5" s="1088">
        <f t="shared" si="1"/>
        <v>53</v>
      </c>
      <c r="G5" s="391"/>
      <c r="H5" s="1084">
        <v>4.0</v>
      </c>
      <c r="I5" s="1085" t="s">
        <v>9067</v>
      </c>
      <c r="J5" s="1086" t="s">
        <v>1470</v>
      </c>
      <c r="K5" s="1086" t="s">
        <v>1395</v>
      </c>
      <c r="S5" s="1087"/>
      <c r="T5" s="1087"/>
      <c r="U5" s="1087"/>
      <c r="V5" s="1087"/>
      <c r="W5" s="1087"/>
      <c r="X5" s="1087"/>
      <c r="Y5" s="1087"/>
      <c r="Z5" s="1087"/>
      <c r="AA5" s="1087"/>
      <c r="AB5" s="1087"/>
      <c r="AC5" s="1087"/>
      <c r="AD5" s="1087"/>
      <c r="AE5" s="1087"/>
      <c r="AF5" s="1087"/>
    </row>
    <row r="6" ht="10.5" customHeight="1">
      <c r="A6" s="1088" t="s">
        <v>1395</v>
      </c>
      <c r="B6" s="1088">
        <f t="shared" si="1"/>
        <v>48</v>
      </c>
      <c r="G6" s="391"/>
      <c r="H6" s="1084">
        <v>5.0</v>
      </c>
      <c r="I6" s="1085" t="s">
        <v>9069</v>
      </c>
      <c r="J6" s="1086" t="s">
        <v>1430</v>
      </c>
      <c r="K6" s="1086" t="s">
        <v>7422</v>
      </c>
      <c r="S6" s="1087"/>
      <c r="T6" s="1087"/>
      <c r="U6" s="1087"/>
      <c r="V6" s="1087"/>
      <c r="W6" s="1087"/>
      <c r="X6" s="1087"/>
      <c r="Y6" s="1087"/>
      <c r="Z6" s="1087"/>
      <c r="AA6" s="1087"/>
      <c r="AB6" s="1087"/>
      <c r="AC6" s="1087"/>
      <c r="AD6" s="1087"/>
      <c r="AE6" s="1087"/>
      <c r="AF6" s="1087"/>
    </row>
    <row r="7" ht="10.5" customHeight="1">
      <c r="A7" s="1083"/>
      <c r="B7" s="1083"/>
      <c r="G7" s="391"/>
      <c r="H7" s="1084">
        <v>6.0</v>
      </c>
      <c r="I7" s="1085" t="s">
        <v>9071</v>
      </c>
      <c r="J7" s="1086" t="s">
        <v>1395</v>
      </c>
      <c r="K7" s="1086" t="s">
        <v>7422</v>
      </c>
      <c r="S7" s="1087"/>
      <c r="T7" s="1087"/>
      <c r="U7" s="1087"/>
      <c r="V7" s="1087"/>
      <c r="W7" s="1087"/>
      <c r="X7" s="1087"/>
      <c r="Y7" s="1087"/>
      <c r="Z7" s="1087"/>
      <c r="AA7" s="1087"/>
      <c r="AB7" s="1087"/>
      <c r="AC7" s="1087"/>
      <c r="AD7" s="1087"/>
      <c r="AE7" s="1087"/>
      <c r="AF7" s="1087"/>
    </row>
    <row r="8" ht="10.5" customHeight="1">
      <c r="A8" s="1083"/>
      <c r="B8" s="1083"/>
      <c r="G8" s="391"/>
      <c r="H8" s="1089">
        <v>7.0</v>
      </c>
      <c r="I8" s="1085" t="s">
        <v>9073</v>
      </c>
      <c r="J8" s="1086" t="s">
        <v>1470</v>
      </c>
      <c r="K8" s="1086" t="s">
        <v>7422</v>
      </c>
      <c r="S8" s="1087"/>
      <c r="T8" s="1087"/>
      <c r="U8" s="1087"/>
      <c r="V8" s="1087"/>
      <c r="W8" s="1087"/>
      <c r="X8" s="1087"/>
      <c r="Y8" s="1087"/>
      <c r="Z8" s="1087"/>
      <c r="AA8" s="1087"/>
      <c r="AB8" s="1087"/>
      <c r="AC8" s="1087"/>
      <c r="AD8" s="1087"/>
      <c r="AE8" s="1087"/>
      <c r="AF8" s="1087"/>
    </row>
    <row r="9" ht="10.5" customHeight="1">
      <c r="A9" s="1083"/>
      <c r="B9" s="1083"/>
      <c r="G9" s="391"/>
      <c r="H9" s="1089">
        <v>8.0</v>
      </c>
      <c r="I9" s="1085" t="s">
        <v>9075</v>
      </c>
      <c r="J9" s="1086" t="s">
        <v>7422</v>
      </c>
      <c r="K9" s="1086" t="s">
        <v>7422</v>
      </c>
      <c r="S9" s="1087"/>
      <c r="T9" s="1087"/>
      <c r="U9" s="1087"/>
      <c r="V9" s="1087"/>
      <c r="W9" s="1087"/>
      <c r="X9" s="1087"/>
      <c r="Y9" s="1087"/>
      <c r="Z9" s="1087"/>
      <c r="AA9" s="1087"/>
      <c r="AB9" s="1087"/>
      <c r="AC9" s="1087"/>
      <c r="AD9" s="1087"/>
      <c r="AE9" s="1087"/>
      <c r="AF9" s="1087"/>
    </row>
    <row r="10" ht="12.75" customHeight="1">
      <c r="A10" s="1090" t="s">
        <v>5</v>
      </c>
      <c r="B10" s="1090" t="s">
        <v>9388</v>
      </c>
      <c r="C10" s="1090" t="s">
        <v>22</v>
      </c>
      <c r="D10" s="1090" t="s">
        <v>9389</v>
      </c>
      <c r="E10" s="1090" t="s">
        <v>7658</v>
      </c>
      <c r="F10" s="1090" t="s">
        <v>20</v>
      </c>
      <c r="G10" s="1090" t="s">
        <v>9390</v>
      </c>
      <c r="H10" s="1090" t="s">
        <v>9391</v>
      </c>
      <c r="I10" s="1090" t="s">
        <v>24</v>
      </c>
      <c r="J10" s="1090" t="s">
        <v>9392</v>
      </c>
      <c r="K10" s="1090" t="s">
        <v>9393</v>
      </c>
      <c r="L10" s="1090" t="s">
        <v>9394</v>
      </c>
      <c r="S10" s="1087"/>
      <c r="T10" s="1087"/>
      <c r="U10" s="1087"/>
      <c r="V10" s="1087"/>
      <c r="W10" s="1087"/>
      <c r="X10" s="1087"/>
      <c r="Y10" s="1087"/>
      <c r="Z10" s="1087"/>
      <c r="AA10" s="1087"/>
      <c r="AB10" s="1087"/>
      <c r="AC10" s="1087"/>
      <c r="AD10" s="1087"/>
      <c r="AE10" s="1087"/>
      <c r="AF10" s="1087"/>
    </row>
    <row r="11">
      <c r="A11" s="1091">
        <v>1.0</v>
      </c>
      <c r="B11" s="1091" t="s">
        <v>1430</v>
      </c>
      <c r="C11" s="1091" t="s">
        <v>1120</v>
      </c>
      <c r="D11" s="1091" t="s">
        <v>9069</v>
      </c>
      <c r="E11" s="1091" t="s">
        <v>1973</v>
      </c>
      <c r="F11" s="1091" t="s">
        <v>43</v>
      </c>
      <c r="G11" s="1091" t="s">
        <v>9395</v>
      </c>
      <c r="H11" s="1091" t="s">
        <v>9396</v>
      </c>
      <c r="I11" s="1091" t="s">
        <v>9397</v>
      </c>
      <c r="J11" s="1092" t="s">
        <v>9398</v>
      </c>
      <c r="K11" s="1093" t="s">
        <v>9399</v>
      </c>
      <c r="L11" s="1093" t="s">
        <v>9400</v>
      </c>
      <c r="O11" s="1082"/>
      <c r="P11" s="1082"/>
      <c r="Q11" s="1082"/>
      <c r="R11" s="1082"/>
      <c r="S11" s="1082"/>
      <c r="T11" s="1082"/>
      <c r="U11" s="1082"/>
      <c r="V11" s="1082"/>
      <c r="W11" s="1082"/>
      <c r="X11" s="1082"/>
      <c r="Y11" s="1082"/>
      <c r="Z11" s="1082"/>
      <c r="AA11" s="1082"/>
      <c r="AB11" s="1082"/>
      <c r="AC11" s="1082"/>
      <c r="AD11" s="1082"/>
      <c r="AE11" s="1082"/>
      <c r="AF11" s="1082"/>
    </row>
    <row r="12">
      <c r="A12" s="1094">
        <v>1.0</v>
      </c>
      <c r="B12" s="1094" t="s">
        <v>1470</v>
      </c>
      <c r="C12" s="1094" t="s">
        <v>9401</v>
      </c>
      <c r="D12" s="1094" t="s">
        <v>9063</v>
      </c>
      <c r="E12" s="1094" t="s">
        <v>3780</v>
      </c>
      <c r="F12" s="1094" t="s">
        <v>52</v>
      </c>
      <c r="G12" s="1094" t="s">
        <v>9402</v>
      </c>
      <c r="H12" s="1094" t="s">
        <v>9403</v>
      </c>
      <c r="I12" s="1094" t="s">
        <v>9404</v>
      </c>
      <c r="J12" s="1095" t="s">
        <v>9405</v>
      </c>
      <c r="K12" s="1096" t="s">
        <v>400</v>
      </c>
      <c r="L12" s="1096" t="s">
        <v>9406</v>
      </c>
      <c r="O12" s="1082"/>
      <c r="P12" s="1082"/>
      <c r="Q12" s="1082"/>
      <c r="R12" s="1082"/>
      <c r="S12" s="1082"/>
      <c r="T12" s="1082"/>
      <c r="U12" s="1082"/>
      <c r="V12" s="1082"/>
      <c r="W12" s="1082"/>
      <c r="X12" s="1082"/>
      <c r="Y12" s="1082"/>
      <c r="Z12" s="1082"/>
      <c r="AA12" s="1082"/>
      <c r="AB12" s="1082"/>
      <c r="AC12" s="1082"/>
      <c r="AD12" s="1082"/>
      <c r="AE12" s="1082"/>
      <c r="AF12" s="1082"/>
    </row>
    <row r="13">
      <c r="A13" s="1091">
        <v>1.0</v>
      </c>
      <c r="B13" s="1091" t="s">
        <v>1470</v>
      </c>
      <c r="C13" s="1091" t="s">
        <v>8032</v>
      </c>
      <c r="D13" s="1091" t="s">
        <v>9067</v>
      </c>
      <c r="E13" s="1091" t="s">
        <v>9407</v>
      </c>
      <c r="F13" s="1091" t="s">
        <v>240</v>
      </c>
      <c r="G13" s="1091" t="s">
        <v>9408</v>
      </c>
      <c r="H13" s="1091" t="s">
        <v>9409</v>
      </c>
      <c r="I13" s="1091" t="s">
        <v>9410</v>
      </c>
      <c r="J13" s="1092" t="s">
        <v>9411</v>
      </c>
      <c r="K13" s="1093" t="s">
        <v>400</v>
      </c>
      <c r="L13" s="1093" t="s">
        <v>9412</v>
      </c>
      <c r="O13" s="1082"/>
      <c r="P13" s="1082"/>
      <c r="Q13" s="1082"/>
      <c r="R13" s="1082"/>
      <c r="S13" s="1082"/>
      <c r="T13" s="1082"/>
      <c r="U13" s="1082"/>
      <c r="V13" s="1082"/>
      <c r="W13" s="1082"/>
      <c r="X13" s="1082"/>
      <c r="Y13" s="1082"/>
      <c r="Z13" s="1082"/>
      <c r="AA13" s="1082"/>
      <c r="AB13" s="1082"/>
      <c r="AC13" s="1082"/>
      <c r="AD13" s="1082"/>
      <c r="AE13" s="1082"/>
      <c r="AF13" s="1082"/>
    </row>
    <row r="14">
      <c r="A14" s="1094">
        <v>1.0</v>
      </c>
      <c r="B14" s="1094" t="s">
        <v>1395</v>
      </c>
      <c r="C14" s="1094" t="s">
        <v>4421</v>
      </c>
      <c r="D14" s="1094" t="s">
        <v>4751</v>
      </c>
      <c r="E14" s="1094" t="s">
        <v>9413</v>
      </c>
      <c r="F14" s="1094" t="s">
        <v>180</v>
      </c>
      <c r="G14" s="1094" t="s">
        <v>9414</v>
      </c>
      <c r="H14" s="1094" t="s">
        <v>9415</v>
      </c>
      <c r="I14" s="1094" t="s">
        <v>9416</v>
      </c>
      <c r="J14" s="1095" t="s">
        <v>9417</v>
      </c>
      <c r="K14" s="1096" t="s">
        <v>9418</v>
      </c>
      <c r="L14" s="1096" t="s">
        <v>9419</v>
      </c>
      <c r="O14" s="1082"/>
      <c r="P14" s="1082"/>
      <c r="Q14" s="1082"/>
      <c r="R14" s="1082"/>
      <c r="S14" s="1082"/>
      <c r="T14" s="1082"/>
      <c r="U14" s="1082"/>
      <c r="V14" s="1082"/>
      <c r="W14" s="1082"/>
      <c r="X14" s="1082"/>
      <c r="Y14" s="1082"/>
      <c r="Z14" s="1082"/>
      <c r="AA14" s="1082"/>
      <c r="AB14" s="1082"/>
      <c r="AC14" s="1082"/>
      <c r="AD14" s="1082"/>
      <c r="AE14" s="1082"/>
      <c r="AF14" s="1082"/>
    </row>
    <row r="15">
      <c r="A15" s="1091">
        <v>1.0</v>
      </c>
      <c r="B15" s="1091" t="s">
        <v>1395</v>
      </c>
      <c r="C15" s="1091" t="s">
        <v>2989</v>
      </c>
      <c r="D15" s="1091" t="s">
        <v>9071</v>
      </c>
      <c r="E15" s="1091" t="s">
        <v>9420</v>
      </c>
      <c r="F15" s="1091" t="s">
        <v>85</v>
      </c>
      <c r="G15" s="1091" t="s">
        <v>9421</v>
      </c>
      <c r="H15" s="1091"/>
      <c r="I15" s="1091"/>
      <c r="J15" s="1092" t="s">
        <v>9422</v>
      </c>
      <c r="K15" s="1093" t="s">
        <v>9423</v>
      </c>
      <c r="L15" s="1093" t="s">
        <v>9424</v>
      </c>
      <c r="O15" s="1082"/>
      <c r="P15" s="1082"/>
      <c r="Q15" s="1082"/>
      <c r="R15" s="1082"/>
      <c r="S15" s="1082"/>
      <c r="T15" s="1082"/>
      <c r="U15" s="1082"/>
      <c r="V15" s="1082"/>
      <c r="W15" s="1082"/>
      <c r="X15" s="1082"/>
      <c r="Y15" s="1082"/>
      <c r="Z15" s="1082"/>
      <c r="AA15" s="1082"/>
      <c r="AB15" s="1082"/>
      <c r="AC15" s="1082"/>
      <c r="AD15" s="1082"/>
      <c r="AE15" s="1082"/>
      <c r="AF15" s="1082"/>
    </row>
    <row r="16">
      <c r="A16" s="1094">
        <v>1.0</v>
      </c>
      <c r="B16" s="1094" t="s">
        <v>1470</v>
      </c>
      <c r="C16" s="1094" t="s">
        <v>3690</v>
      </c>
      <c r="D16" s="1094" t="s">
        <v>9067</v>
      </c>
      <c r="E16" s="1094" t="s">
        <v>9425</v>
      </c>
      <c r="F16" s="1094" t="s">
        <v>255</v>
      </c>
      <c r="G16" s="1094" t="s">
        <v>9426</v>
      </c>
      <c r="H16" s="1094" t="s">
        <v>9427</v>
      </c>
      <c r="I16" s="1094" t="s">
        <v>9428</v>
      </c>
      <c r="J16" s="1095" t="s">
        <v>9429</v>
      </c>
      <c r="K16" s="1096" t="s">
        <v>400</v>
      </c>
      <c r="L16" s="1096" t="s">
        <v>9430</v>
      </c>
      <c r="O16" s="1082"/>
      <c r="P16" s="1082"/>
      <c r="Q16" s="1082"/>
      <c r="R16" s="1082"/>
      <c r="S16" s="1082"/>
      <c r="T16" s="1082"/>
      <c r="U16" s="1082"/>
      <c r="V16" s="1082"/>
      <c r="W16" s="1082"/>
      <c r="X16" s="1082"/>
      <c r="Y16" s="1082"/>
      <c r="Z16" s="1082"/>
      <c r="AA16" s="1082"/>
      <c r="AB16" s="1082"/>
      <c r="AC16" s="1082"/>
      <c r="AD16" s="1082"/>
      <c r="AE16" s="1082"/>
      <c r="AF16" s="1082"/>
    </row>
    <row r="17">
      <c r="A17" s="1091">
        <v>1.0</v>
      </c>
      <c r="B17" s="1091" t="s">
        <v>1430</v>
      </c>
      <c r="C17" s="1091" t="s">
        <v>9431</v>
      </c>
      <c r="D17" s="1091" t="s">
        <v>9075</v>
      </c>
      <c r="E17" s="1091" t="s">
        <v>9432</v>
      </c>
      <c r="F17" s="1091" t="s">
        <v>307</v>
      </c>
      <c r="G17" s="1091" t="s">
        <v>9433</v>
      </c>
      <c r="H17" s="1091" t="s">
        <v>9434</v>
      </c>
      <c r="I17" s="1091" t="s">
        <v>9435</v>
      </c>
      <c r="J17" s="1092" t="s">
        <v>9436</v>
      </c>
      <c r="K17" s="1093" t="s">
        <v>400</v>
      </c>
      <c r="L17" s="1093" t="s">
        <v>9437</v>
      </c>
      <c r="O17" s="1082"/>
      <c r="P17" s="1082"/>
      <c r="Q17" s="1082"/>
      <c r="R17" s="1082"/>
      <c r="S17" s="1082"/>
      <c r="T17" s="1082"/>
      <c r="U17" s="1082"/>
      <c r="V17" s="1082"/>
      <c r="W17" s="1082"/>
      <c r="X17" s="1082"/>
      <c r="Y17" s="1082"/>
      <c r="Z17" s="1082"/>
      <c r="AA17" s="1082"/>
      <c r="AB17" s="1082"/>
      <c r="AC17" s="1082"/>
      <c r="AD17" s="1082"/>
      <c r="AE17" s="1082"/>
      <c r="AF17" s="1082"/>
    </row>
    <row r="18">
      <c r="A18" s="1094">
        <v>1.0</v>
      </c>
      <c r="B18" s="1094" t="s">
        <v>1470</v>
      </c>
      <c r="C18" s="1094" t="s">
        <v>2432</v>
      </c>
      <c r="D18" s="1094" t="s">
        <v>9063</v>
      </c>
      <c r="E18" s="1094" t="s">
        <v>9438</v>
      </c>
      <c r="F18" s="1094" t="s">
        <v>52</v>
      </c>
      <c r="G18" s="1094" t="s">
        <v>9439</v>
      </c>
      <c r="H18" s="1094" t="s">
        <v>9440</v>
      </c>
      <c r="I18" s="1094" t="s">
        <v>9441</v>
      </c>
      <c r="J18" s="1095" t="s">
        <v>9442</v>
      </c>
      <c r="K18" s="1096" t="s">
        <v>400</v>
      </c>
      <c r="L18" s="1096" t="s">
        <v>9443</v>
      </c>
      <c r="O18" s="1082"/>
      <c r="P18" s="1082"/>
      <c r="Q18" s="1082"/>
      <c r="R18" s="1082"/>
      <c r="S18" s="1082"/>
      <c r="T18" s="1082"/>
      <c r="U18" s="1082"/>
      <c r="V18" s="1082"/>
      <c r="W18" s="1082"/>
      <c r="X18" s="1082"/>
      <c r="Y18" s="1082"/>
      <c r="Z18" s="1082"/>
      <c r="AA18" s="1082"/>
      <c r="AB18" s="1082"/>
      <c r="AC18" s="1082"/>
      <c r="AD18" s="1082"/>
      <c r="AE18" s="1082"/>
      <c r="AF18" s="1082"/>
    </row>
    <row r="19">
      <c r="A19" s="1091">
        <v>1.0</v>
      </c>
      <c r="B19" s="1091" t="s">
        <v>1395</v>
      </c>
      <c r="C19" s="1091" t="s">
        <v>3338</v>
      </c>
      <c r="D19" s="1091" t="s">
        <v>9444</v>
      </c>
      <c r="E19" s="1091" t="s">
        <v>9445</v>
      </c>
      <c r="F19" s="1091" t="s">
        <v>125</v>
      </c>
      <c r="G19" s="1091" t="s">
        <v>9446</v>
      </c>
      <c r="H19" s="1091" t="s">
        <v>9447</v>
      </c>
      <c r="I19" s="1091" t="s">
        <v>9448</v>
      </c>
      <c r="J19" s="1092" t="s">
        <v>9449</v>
      </c>
      <c r="K19" s="1093" t="s">
        <v>400</v>
      </c>
      <c r="L19" s="1093" t="s">
        <v>9450</v>
      </c>
      <c r="M19" s="1082"/>
      <c r="N19" s="1082"/>
      <c r="O19" s="1082"/>
      <c r="P19" s="1082"/>
      <c r="Q19" s="1082"/>
      <c r="R19" s="1082"/>
      <c r="S19" s="1082"/>
      <c r="T19" s="1082"/>
      <c r="U19" s="1082"/>
      <c r="V19" s="1082"/>
      <c r="W19" s="1082"/>
      <c r="X19" s="1082"/>
      <c r="Y19" s="1082"/>
      <c r="Z19" s="1082"/>
      <c r="AA19" s="1082"/>
      <c r="AB19" s="1082"/>
      <c r="AC19" s="1082"/>
      <c r="AD19" s="1082"/>
      <c r="AE19" s="1082"/>
      <c r="AF19" s="1082"/>
    </row>
    <row r="20">
      <c r="A20" s="1094">
        <v>1.0</v>
      </c>
      <c r="B20" s="1094" t="s">
        <v>1430</v>
      </c>
      <c r="C20" s="1094" t="s">
        <v>1125</v>
      </c>
      <c r="D20" s="1094" t="s">
        <v>5410</v>
      </c>
      <c r="E20" s="1094" t="s">
        <v>3036</v>
      </c>
      <c r="F20" s="1094" t="s">
        <v>66</v>
      </c>
      <c r="G20" s="1097" t="s">
        <v>9451</v>
      </c>
      <c r="H20" s="1094">
        <v>9.546585319E9</v>
      </c>
      <c r="I20" s="1094" t="s">
        <v>9452</v>
      </c>
      <c r="J20" s="1095" t="s">
        <v>9453</v>
      </c>
      <c r="K20" s="1096" t="s">
        <v>9454</v>
      </c>
      <c r="L20" s="1096" t="s">
        <v>9455</v>
      </c>
      <c r="M20" s="1082"/>
      <c r="N20" s="1082"/>
      <c r="O20" s="1082"/>
      <c r="P20" s="1082"/>
      <c r="Q20" s="1082"/>
      <c r="R20" s="1082"/>
      <c r="S20" s="1082"/>
      <c r="T20" s="1082"/>
      <c r="U20" s="1082"/>
      <c r="V20" s="1082"/>
      <c r="W20" s="1082"/>
      <c r="X20" s="1082"/>
      <c r="Y20" s="1082"/>
      <c r="Z20" s="1082"/>
      <c r="AA20" s="1082"/>
      <c r="AB20" s="1082"/>
      <c r="AC20" s="1082"/>
      <c r="AD20" s="1082"/>
      <c r="AE20" s="1082"/>
      <c r="AF20" s="1082"/>
    </row>
    <row r="21">
      <c r="A21" s="1091">
        <v>1.0</v>
      </c>
      <c r="B21" s="1091" t="s">
        <v>1430</v>
      </c>
      <c r="C21" s="1091" t="s">
        <v>9456</v>
      </c>
      <c r="D21" s="1091" t="s">
        <v>9075</v>
      </c>
      <c r="E21" s="1091" t="s">
        <v>9457</v>
      </c>
      <c r="F21" s="1091" t="s">
        <v>307</v>
      </c>
      <c r="G21" s="1091" t="s">
        <v>9458</v>
      </c>
      <c r="H21" s="1091" t="s">
        <v>9459</v>
      </c>
      <c r="I21" s="1091" t="s">
        <v>9460</v>
      </c>
      <c r="J21" s="1092" t="s">
        <v>9461</v>
      </c>
      <c r="K21" s="1093" t="s">
        <v>400</v>
      </c>
      <c r="L21" s="1093" t="s">
        <v>9462</v>
      </c>
      <c r="M21" s="1082"/>
      <c r="N21" s="1082"/>
      <c r="O21" s="1082"/>
      <c r="P21" s="1082"/>
      <c r="Q21" s="1082"/>
      <c r="R21" s="1082"/>
      <c r="S21" s="1082"/>
      <c r="T21" s="1082"/>
      <c r="U21" s="1082"/>
      <c r="V21" s="1082"/>
      <c r="W21" s="1082"/>
      <c r="X21" s="1082"/>
      <c r="Y21" s="1082"/>
      <c r="Z21" s="1082"/>
      <c r="AA21" s="1082"/>
      <c r="AB21" s="1082"/>
      <c r="AC21" s="1082"/>
      <c r="AD21" s="1082"/>
      <c r="AE21" s="1082"/>
      <c r="AF21" s="1082"/>
    </row>
    <row r="22">
      <c r="A22" s="1094">
        <v>1.0</v>
      </c>
      <c r="B22" s="1094" t="s">
        <v>1395</v>
      </c>
      <c r="C22" s="1094" t="s">
        <v>344</v>
      </c>
      <c r="D22" s="1094" t="s">
        <v>9071</v>
      </c>
      <c r="E22" s="1094" t="s">
        <v>9463</v>
      </c>
      <c r="F22" s="1094" t="s">
        <v>160</v>
      </c>
      <c r="G22" s="1094" t="s">
        <v>9464</v>
      </c>
      <c r="H22" s="1094" t="s">
        <v>9465</v>
      </c>
      <c r="I22" s="1094" t="s">
        <v>9466</v>
      </c>
      <c r="J22" s="1095" t="s">
        <v>9467</v>
      </c>
      <c r="K22" s="1096" t="s">
        <v>400</v>
      </c>
      <c r="L22" s="1096" t="s">
        <v>9468</v>
      </c>
      <c r="M22" s="1082"/>
      <c r="N22" s="1082"/>
      <c r="O22" s="1082"/>
      <c r="P22" s="1082"/>
      <c r="Q22" s="1082"/>
      <c r="R22" s="1082"/>
      <c r="S22" s="1082"/>
      <c r="T22" s="1082"/>
      <c r="U22" s="1082"/>
      <c r="V22" s="1082"/>
      <c r="W22" s="1082"/>
      <c r="X22" s="1082"/>
      <c r="Y22" s="1082"/>
      <c r="Z22" s="1082"/>
      <c r="AA22" s="1082"/>
      <c r="AB22" s="1082"/>
      <c r="AC22" s="1082"/>
      <c r="AD22" s="1082"/>
      <c r="AE22" s="1082"/>
      <c r="AF22" s="1082"/>
    </row>
    <row r="23">
      <c r="A23" s="1091">
        <v>1.0</v>
      </c>
      <c r="B23" s="1091" t="s">
        <v>1395</v>
      </c>
      <c r="C23" s="1091" t="s">
        <v>4480</v>
      </c>
      <c r="D23" s="1091" t="s">
        <v>4751</v>
      </c>
      <c r="E23" s="1091" t="s">
        <v>3096</v>
      </c>
      <c r="F23" s="1091" t="s">
        <v>180</v>
      </c>
      <c r="G23" s="1091" t="s">
        <v>9469</v>
      </c>
      <c r="H23" s="1091">
        <v>2.14678315E8</v>
      </c>
      <c r="I23" s="1091" t="s">
        <v>9470</v>
      </c>
      <c r="J23" s="1092" t="s">
        <v>9471</v>
      </c>
      <c r="K23" s="1093" t="s">
        <v>400</v>
      </c>
      <c r="L23" s="1093" t="s">
        <v>9472</v>
      </c>
      <c r="M23" s="1082"/>
      <c r="N23" s="1082"/>
      <c r="O23" s="1082"/>
      <c r="P23" s="1082"/>
      <c r="Q23" s="1082"/>
      <c r="R23" s="1082"/>
      <c r="S23" s="1082"/>
      <c r="T23" s="1082"/>
      <c r="U23" s="1082"/>
      <c r="V23" s="1082"/>
      <c r="W23" s="1082"/>
      <c r="X23" s="1082"/>
      <c r="Y23" s="1082"/>
      <c r="Z23" s="1082"/>
      <c r="AA23" s="1082"/>
      <c r="AB23" s="1082"/>
      <c r="AC23" s="1082"/>
      <c r="AD23" s="1082"/>
      <c r="AE23" s="1082"/>
      <c r="AF23" s="1082"/>
    </row>
    <row r="24">
      <c r="A24" s="1094">
        <v>1.0</v>
      </c>
      <c r="B24" s="1094" t="s">
        <v>1395</v>
      </c>
      <c r="C24" s="1094" t="s">
        <v>1766</v>
      </c>
      <c r="D24" s="1094" t="s">
        <v>9444</v>
      </c>
      <c r="E24" s="1094" t="s">
        <v>9473</v>
      </c>
      <c r="F24" s="1094" t="s">
        <v>9474</v>
      </c>
      <c r="G24" s="1094" t="s">
        <v>9475</v>
      </c>
      <c r="H24" s="1094" t="s">
        <v>9476</v>
      </c>
      <c r="I24" s="1094" t="s">
        <v>9477</v>
      </c>
      <c r="J24" s="1095" t="s">
        <v>9478</v>
      </c>
      <c r="K24" s="1096" t="s">
        <v>400</v>
      </c>
      <c r="L24" s="1096" t="s">
        <v>9479</v>
      </c>
      <c r="M24" s="1082"/>
      <c r="N24" s="1082"/>
      <c r="O24" s="1082"/>
      <c r="P24" s="1082"/>
      <c r="Q24" s="1082"/>
      <c r="R24" s="1082"/>
      <c r="S24" s="1082"/>
      <c r="T24" s="1082"/>
      <c r="U24" s="1082"/>
      <c r="V24" s="1082"/>
      <c r="W24" s="1082"/>
      <c r="X24" s="1082"/>
      <c r="Y24" s="1082"/>
      <c r="Z24" s="1082"/>
      <c r="AA24" s="1082"/>
      <c r="AB24" s="1082"/>
      <c r="AC24" s="1082"/>
      <c r="AD24" s="1082"/>
      <c r="AE24" s="1082"/>
      <c r="AF24" s="1082"/>
    </row>
    <row r="25">
      <c r="A25" s="1091">
        <v>1.0</v>
      </c>
      <c r="B25" s="1091" t="s">
        <v>1395</v>
      </c>
      <c r="C25" s="1091" t="s">
        <v>7157</v>
      </c>
      <c r="D25" s="1091" t="s">
        <v>4751</v>
      </c>
      <c r="E25" s="1091" t="s">
        <v>3096</v>
      </c>
      <c r="F25" s="1091" t="s">
        <v>180</v>
      </c>
      <c r="G25" s="1091" t="s">
        <v>9480</v>
      </c>
      <c r="H25" s="1091" t="s">
        <v>9481</v>
      </c>
      <c r="I25" s="1091" t="s">
        <v>9482</v>
      </c>
      <c r="J25" s="1092" t="s">
        <v>9483</v>
      </c>
      <c r="K25" s="1093" t="s">
        <v>9484</v>
      </c>
      <c r="L25" s="1093" t="s">
        <v>9485</v>
      </c>
      <c r="M25" s="1082"/>
      <c r="N25" s="1082"/>
      <c r="O25" s="1082"/>
      <c r="P25" s="1082"/>
      <c r="Q25" s="1082"/>
      <c r="R25" s="1082"/>
      <c r="S25" s="1082"/>
      <c r="T25" s="1082"/>
      <c r="U25" s="1082"/>
      <c r="V25" s="1082"/>
      <c r="W25" s="1082"/>
      <c r="X25" s="1082"/>
      <c r="Y25" s="1082"/>
      <c r="Z25" s="1082"/>
      <c r="AA25" s="1082"/>
      <c r="AB25" s="1082"/>
      <c r="AC25" s="1082"/>
      <c r="AD25" s="1082"/>
      <c r="AE25" s="1082"/>
      <c r="AF25" s="1082"/>
    </row>
    <row r="26">
      <c r="A26" s="1094">
        <v>1.0</v>
      </c>
      <c r="B26" s="1094" t="s">
        <v>1430</v>
      </c>
      <c r="C26" s="1094" t="s">
        <v>3829</v>
      </c>
      <c r="D26" s="1094" t="s">
        <v>9069</v>
      </c>
      <c r="E26" s="1094" t="s">
        <v>1973</v>
      </c>
      <c r="F26" s="1094" t="s">
        <v>43</v>
      </c>
      <c r="G26" s="1094" t="s">
        <v>9486</v>
      </c>
      <c r="H26" s="1094" t="s">
        <v>9487</v>
      </c>
      <c r="I26" s="1094" t="s">
        <v>9488</v>
      </c>
      <c r="J26" s="1095" t="s">
        <v>9489</v>
      </c>
      <c r="K26" s="1096" t="s">
        <v>400</v>
      </c>
      <c r="L26" s="1096" t="s">
        <v>9490</v>
      </c>
      <c r="M26" s="1082"/>
      <c r="N26" s="1082"/>
      <c r="O26" s="1082"/>
      <c r="P26" s="1082"/>
      <c r="Q26" s="1082"/>
      <c r="R26" s="1082"/>
      <c r="S26" s="1082"/>
      <c r="T26" s="1082"/>
      <c r="U26" s="1082"/>
      <c r="V26" s="1082"/>
      <c r="W26" s="1082"/>
      <c r="X26" s="1082"/>
      <c r="Y26" s="1082"/>
      <c r="Z26" s="1082"/>
      <c r="AA26" s="1082"/>
      <c r="AB26" s="1082"/>
      <c r="AC26" s="1082"/>
      <c r="AD26" s="1082"/>
      <c r="AE26" s="1082"/>
      <c r="AF26" s="1082"/>
    </row>
    <row r="27">
      <c r="A27" s="1091">
        <v>1.0</v>
      </c>
      <c r="B27" s="1091" t="s">
        <v>1395</v>
      </c>
      <c r="C27" s="1091" t="s">
        <v>5723</v>
      </c>
      <c r="D27" s="1091" t="s">
        <v>9075</v>
      </c>
      <c r="E27" s="1091" t="s">
        <v>9457</v>
      </c>
      <c r="F27" s="1091" t="s">
        <v>307</v>
      </c>
      <c r="G27" s="1091" t="s">
        <v>9491</v>
      </c>
      <c r="H27" s="1091" t="s">
        <v>9492</v>
      </c>
      <c r="I27" s="1091" t="s">
        <v>9493</v>
      </c>
      <c r="J27" s="1092" t="s">
        <v>9494</v>
      </c>
      <c r="K27" s="1093" t="s">
        <v>400</v>
      </c>
      <c r="L27" s="1093" t="s">
        <v>9495</v>
      </c>
      <c r="M27" s="1082"/>
      <c r="N27" s="1082"/>
      <c r="O27" s="1082"/>
      <c r="P27" s="1082"/>
      <c r="Q27" s="1082"/>
      <c r="R27" s="1082"/>
      <c r="S27" s="1082"/>
      <c r="T27" s="1082"/>
      <c r="U27" s="1082"/>
      <c r="V27" s="1082"/>
      <c r="W27" s="1082"/>
      <c r="X27" s="1082"/>
      <c r="Y27" s="1082"/>
      <c r="Z27" s="1082"/>
      <c r="AA27" s="1082"/>
      <c r="AB27" s="1082"/>
      <c r="AC27" s="1082"/>
      <c r="AD27" s="1082"/>
      <c r="AE27" s="1082"/>
      <c r="AF27" s="1082"/>
    </row>
    <row r="28">
      <c r="A28" s="1094">
        <v>1.0</v>
      </c>
      <c r="B28" s="1094" t="s">
        <v>1430</v>
      </c>
      <c r="C28" s="1094" t="s">
        <v>1450</v>
      </c>
      <c r="D28" s="1094" t="s">
        <v>5410</v>
      </c>
      <c r="E28" s="1094" t="s">
        <v>9496</v>
      </c>
      <c r="F28" s="1094" t="s">
        <v>66</v>
      </c>
      <c r="G28" s="1094" t="s">
        <v>9497</v>
      </c>
      <c r="H28" s="1094" t="s">
        <v>9498</v>
      </c>
      <c r="I28" s="1094" t="s">
        <v>9499</v>
      </c>
      <c r="J28" s="1095" t="s">
        <v>9500</v>
      </c>
      <c r="K28" s="1096" t="s">
        <v>400</v>
      </c>
      <c r="L28" s="1096" t="s">
        <v>9501</v>
      </c>
      <c r="M28" s="1082"/>
      <c r="N28" s="1082"/>
      <c r="O28" s="1082"/>
      <c r="P28" s="1082"/>
      <c r="Q28" s="1082"/>
      <c r="R28" s="1082"/>
      <c r="S28" s="1082"/>
      <c r="T28" s="1082"/>
      <c r="U28" s="1082"/>
      <c r="V28" s="1082"/>
      <c r="W28" s="1082"/>
      <c r="X28" s="1082"/>
      <c r="Y28" s="1082"/>
      <c r="Z28" s="1082"/>
      <c r="AA28" s="1082"/>
      <c r="AB28" s="1082"/>
      <c r="AC28" s="1082"/>
      <c r="AD28" s="1082"/>
      <c r="AE28" s="1082"/>
      <c r="AF28" s="1082"/>
    </row>
    <row r="29">
      <c r="A29" s="1091">
        <v>1.0</v>
      </c>
      <c r="B29" s="1091" t="s">
        <v>1470</v>
      </c>
      <c r="C29" s="1091" t="s">
        <v>9502</v>
      </c>
      <c r="D29" s="1091" t="s">
        <v>9063</v>
      </c>
      <c r="E29" s="1091" t="s">
        <v>3164</v>
      </c>
      <c r="F29" s="1091" t="s">
        <v>52</v>
      </c>
      <c r="G29" s="1091" t="s">
        <v>9503</v>
      </c>
      <c r="H29" s="1091" t="s">
        <v>9504</v>
      </c>
      <c r="I29" s="1091" t="s">
        <v>9505</v>
      </c>
      <c r="J29" s="1092" t="s">
        <v>9506</v>
      </c>
      <c r="K29" s="1093" t="s">
        <v>400</v>
      </c>
      <c r="L29" s="1093" t="s">
        <v>9507</v>
      </c>
      <c r="M29" s="1082"/>
      <c r="N29" s="1082"/>
      <c r="O29" s="1082"/>
      <c r="P29" s="1082"/>
      <c r="Q29" s="1082"/>
      <c r="R29" s="1082"/>
      <c r="S29" s="1082"/>
      <c r="T29" s="1082"/>
      <c r="U29" s="1082"/>
      <c r="V29" s="1082"/>
      <c r="W29" s="1082"/>
      <c r="X29" s="1082"/>
      <c r="Y29" s="1082"/>
      <c r="Z29" s="1082"/>
      <c r="AA29" s="1082"/>
      <c r="AB29" s="1082"/>
      <c r="AC29" s="1082"/>
      <c r="AD29" s="1082"/>
      <c r="AE29" s="1082"/>
      <c r="AF29" s="1082"/>
    </row>
    <row r="30">
      <c r="A30" s="1094">
        <v>1.0</v>
      </c>
      <c r="B30" s="1094" t="s">
        <v>1395</v>
      </c>
      <c r="C30" s="1094" t="s">
        <v>2874</v>
      </c>
      <c r="D30" s="1094" t="s">
        <v>9071</v>
      </c>
      <c r="E30" s="1094" t="s">
        <v>9508</v>
      </c>
      <c r="F30" s="1094" t="s">
        <v>85</v>
      </c>
      <c r="G30" s="1094" t="s">
        <v>9509</v>
      </c>
      <c r="H30" s="1094" t="s">
        <v>9510</v>
      </c>
      <c r="I30" s="1094" t="s">
        <v>9511</v>
      </c>
      <c r="J30" s="1095" t="s">
        <v>9512</v>
      </c>
      <c r="K30" s="1096" t="s">
        <v>400</v>
      </c>
      <c r="L30" s="1096" t="s">
        <v>9513</v>
      </c>
      <c r="M30" s="1082"/>
      <c r="N30" s="1082"/>
      <c r="O30" s="1082"/>
      <c r="P30" s="1082"/>
      <c r="Q30" s="1082"/>
      <c r="R30" s="1082"/>
      <c r="S30" s="1082"/>
      <c r="T30" s="1082"/>
      <c r="U30" s="1082"/>
      <c r="V30" s="1082"/>
      <c r="W30" s="1082"/>
      <c r="X30" s="1082"/>
      <c r="Y30" s="1082"/>
      <c r="Z30" s="1082"/>
      <c r="AA30" s="1082"/>
      <c r="AB30" s="1082"/>
      <c r="AC30" s="1082"/>
      <c r="AD30" s="1082"/>
      <c r="AE30" s="1082"/>
      <c r="AF30" s="1082"/>
    </row>
    <row r="31">
      <c r="A31" s="1091">
        <v>1.0</v>
      </c>
      <c r="B31" s="1091" t="s">
        <v>1395</v>
      </c>
      <c r="C31" s="1091" t="s">
        <v>2029</v>
      </c>
      <c r="D31" s="1091" t="s">
        <v>9067</v>
      </c>
      <c r="E31" s="1091" t="s">
        <v>9067</v>
      </c>
      <c r="F31" s="1091" t="s">
        <v>502</v>
      </c>
      <c r="G31" s="1091" t="s">
        <v>9514</v>
      </c>
      <c r="H31" s="1091" t="s">
        <v>9515</v>
      </c>
      <c r="I31" s="1091" t="s">
        <v>9516</v>
      </c>
      <c r="J31" s="1092" t="s">
        <v>9411</v>
      </c>
      <c r="K31" s="1093" t="s">
        <v>9517</v>
      </c>
      <c r="L31" s="1093" t="s">
        <v>9518</v>
      </c>
      <c r="M31" s="1082"/>
      <c r="N31" s="1082"/>
      <c r="O31" s="1082"/>
      <c r="P31" s="1082"/>
      <c r="Q31" s="1082"/>
      <c r="R31" s="1082"/>
      <c r="S31" s="1082"/>
      <c r="T31" s="1082"/>
      <c r="U31" s="1082"/>
      <c r="V31" s="1082"/>
      <c r="W31" s="1082"/>
      <c r="X31" s="1082"/>
      <c r="Y31" s="1082"/>
      <c r="Z31" s="1082"/>
      <c r="AA31" s="1082"/>
      <c r="AB31" s="1082"/>
      <c r="AC31" s="1082"/>
      <c r="AD31" s="1082"/>
      <c r="AE31" s="1082"/>
      <c r="AF31" s="1082"/>
    </row>
    <row r="32">
      <c r="A32" s="1094">
        <v>1.0</v>
      </c>
      <c r="B32" s="1094" t="s">
        <v>1470</v>
      </c>
      <c r="C32" s="1094" t="s">
        <v>4171</v>
      </c>
      <c r="D32" s="1094" t="s">
        <v>9444</v>
      </c>
      <c r="E32" s="1094" t="s">
        <v>9519</v>
      </c>
      <c r="F32" s="1094" t="s">
        <v>73</v>
      </c>
      <c r="G32" s="1094" t="s">
        <v>9520</v>
      </c>
      <c r="H32" s="1094" t="s">
        <v>9521</v>
      </c>
      <c r="I32" s="1094" t="s">
        <v>9522</v>
      </c>
      <c r="J32" s="1095" t="s">
        <v>9523</v>
      </c>
      <c r="K32" s="1096" t="s">
        <v>400</v>
      </c>
      <c r="L32" s="1096" t="s">
        <v>9524</v>
      </c>
      <c r="M32" s="1082"/>
      <c r="N32" s="1082"/>
      <c r="O32" s="1082"/>
      <c r="P32" s="1082"/>
      <c r="Q32" s="1082"/>
      <c r="R32" s="1082"/>
      <c r="S32" s="1082"/>
      <c r="T32" s="1082"/>
      <c r="U32" s="1082"/>
      <c r="V32" s="1082"/>
      <c r="W32" s="1082"/>
      <c r="X32" s="1082"/>
      <c r="Y32" s="1082"/>
      <c r="Z32" s="1082"/>
      <c r="AA32" s="1082"/>
      <c r="AB32" s="1082"/>
      <c r="AC32" s="1082"/>
      <c r="AD32" s="1082"/>
      <c r="AE32" s="1082"/>
      <c r="AF32" s="1082"/>
    </row>
    <row r="33">
      <c r="A33" s="1091">
        <v>1.0</v>
      </c>
      <c r="B33" s="1091" t="s">
        <v>1395</v>
      </c>
      <c r="C33" s="1091" t="s">
        <v>3377</v>
      </c>
      <c r="D33" s="1091" t="s">
        <v>9071</v>
      </c>
      <c r="E33" s="1091" t="s">
        <v>9525</v>
      </c>
      <c r="F33" s="1091" t="s">
        <v>9526</v>
      </c>
      <c r="G33" s="1091" t="s">
        <v>9527</v>
      </c>
      <c r="H33" s="1091" t="s">
        <v>9528</v>
      </c>
      <c r="I33" s="1091" t="s">
        <v>9465</v>
      </c>
      <c r="J33" s="1092" t="s">
        <v>9529</v>
      </c>
      <c r="K33" s="1093" t="s">
        <v>400</v>
      </c>
      <c r="L33" s="1093" t="s">
        <v>9495</v>
      </c>
      <c r="M33" s="1082"/>
      <c r="N33" s="1082"/>
      <c r="O33" s="1082"/>
      <c r="P33" s="1082"/>
      <c r="Q33" s="1082"/>
      <c r="R33" s="1082"/>
      <c r="S33" s="1082"/>
      <c r="T33" s="1082"/>
      <c r="U33" s="1082"/>
      <c r="V33" s="1082"/>
      <c r="W33" s="1082"/>
      <c r="X33" s="1082"/>
      <c r="Y33" s="1082"/>
      <c r="Z33" s="1082"/>
      <c r="AA33" s="1082"/>
      <c r="AB33" s="1082"/>
      <c r="AC33" s="1082"/>
      <c r="AD33" s="1082"/>
      <c r="AE33" s="1082"/>
      <c r="AF33" s="1082"/>
    </row>
    <row r="34">
      <c r="A34" s="1094">
        <v>1.0</v>
      </c>
      <c r="B34" s="1094" t="s">
        <v>1395</v>
      </c>
      <c r="C34" s="1094" t="s">
        <v>1424</v>
      </c>
      <c r="D34" s="1094" t="s">
        <v>9071</v>
      </c>
      <c r="E34" s="1094" t="s">
        <v>4781</v>
      </c>
      <c r="F34" s="1094" t="s">
        <v>85</v>
      </c>
      <c r="G34" s="1094" t="s">
        <v>9530</v>
      </c>
      <c r="H34" s="1094"/>
      <c r="I34" s="1094" t="s">
        <v>9531</v>
      </c>
      <c r="J34" s="1095" t="s">
        <v>9532</v>
      </c>
      <c r="K34" s="1096" t="s">
        <v>400</v>
      </c>
      <c r="L34" s="1096" t="s">
        <v>9533</v>
      </c>
      <c r="M34" s="1082"/>
      <c r="N34" s="1082"/>
      <c r="O34" s="1082"/>
      <c r="P34" s="1082"/>
      <c r="Q34" s="1082"/>
      <c r="R34" s="1082"/>
      <c r="S34" s="1082"/>
      <c r="T34" s="1082"/>
      <c r="U34" s="1082"/>
      <c r="V34" s="1082"/>
      <c r="W34" s="1082"/>
      <c r="X34" s="1082"/>
      <c r="Y34" s="1082"/>
      <c r="Z34" s="1082"/>
      <c r="AA34" s="1082"/>
      <c r="AB34" s="1082"/>
      <c r="AC34" s="1082"/>
      <c r="AD34" s="1082"/>
      <c r="AE34" s="1082"/>
      <c r="AF34" s="1082"/>
    </row>
    <row r="35">
      <c r="A35" s="1091">
        <v>1.0</v>
      </c>
      <c r="B35" s="1091" t="s">
        <v>1395</v>
      </c>
      <c r="C35" s="1091" t="s">
        <v>87</v>
      </c>
      <c r="D35" s="1091" t="s">
        <v>9071</v>
      </c>
      <c r="E35" s="1091" t="s">
        <v>2908</v>
      </c>
      <c r="F35" s="1091" t="s">
        <v>85</v>
      </c>
      <c r="G35" s="1091" t="s">
        <v>9534</v>
      </c>
      <c r="H35" s="1091" t="s">
        <v>9535</v>
      </c>
      <c r="I35" s="1091" t="s">
        <v>9536</v>
      </c>
      <c r="J35" s="1092" t="s">
        <v>9537</v>
      </c>
      <c r="K35" s="1093" t="s">
        <v>400</v>
      </c>
      <c r="L35" s="1093" t="s">
        <v>9538</v>
      </c>
      <c r="M35" s="1082"/>
      <c r="N35" s="1082"/>
      <c r="O35" s="1082"/>
      <c r="P35" s="1082"/>
      <c r="Q35" s="1082"/>
      <c r="R35" s="1082"/>
      <c r="S35" s="1082"/>
      <c r="T35" s="1082"/>
      <c r="U35" s="1082"/>
      <c r="V35" s="1082"/>
      <c r="W35" s="1082"/>
      <c r="X35" s="1082"/>
      <c r="Y35" s="1082"/>
      <c r="Z35" s="1082"/>
      <c r="AA35" s="1082"/>
      <c r="AB35" s="1082"/>
      <c r="AC35" s="1082"/>
      <c r="AD35" s="1082"/>
      <c r="AE35" s="1082"/>
      <c r="AF35" s="1082"/>
    </row>
    <row r="36">
      <c r="A36" s="1094">
        <v>1.0</v>
      </c>
      <c r="B36" s="1094" t="s">
        <v>1470</v>
      </c>
      <c r="C36" s="1094" t="s">
        <v>4378</v>
      </c>
      <c r="D36" s="1094" t="s">
        <v>9063</v>
      </c>
      <c r="E36" s="1094" t="s">
        <v>9539</v>
      </c>
      <c r="F36" s="1094" t="s">
        <v>52</v>
      </c>
      <c r="G36" s="1094" t="s">
        <v>9540</v>
      </c>
      <c r="H36" s="1094" t="s">
        <v>9440</v>
      </c>
      <c r="I36" s="1094" t="s">
        <v>9541</v>
      </c>
      <c r="J36" s="1095" t="s">
        <v>9542</v>
      </c>
      <c r="K36" s="1096" t="s">
        <v>400</v>
      </c>
      <c r="L36" s="1096" t="s">
        <v>9543</v>
      </c>
      <c r="M36" s="1082"/>
      <c r="N36" s="1082"/>
      <c r="O36" s="1082"/>
      <c r="P36" s="1082"/>
      <c r="Q36" s="1082"/>
      <c r="R36" s="1082"/>
      <c r="S36" s="1082"/>
      <c r="T36" s="1082"/>
      <c r="U36" s="1082"/>
      <c r="V36" s="1082"/>
      <c r="W36" s="1082"/>
      <c r="X36" s="1082"/>
      <c r="Y36" s="1082"/>
      <c r="Z36" s="1082"/>
      <c r="AA36" s="1082"/>
      <c r="AB36" s="1082"/>
      <c r="AC36" s="1082"/>
      <c r="AD36" s="1082"/>
      <c r="AE36" s="1082"/>
      <c r="AF36" s="1082"/>
    </row>
    <row r="37">
      <c r="A37" s="1091">
        <v>1.0</v>
      </c>
      <c r="B37" s="1091" t="s">
        <v>1430</v>
      </c>
      <c r="C37" s="1091" t="s">
        <v>1539</v>
      </c>
      <c r="D37" s="1091" t="s">
        <v>5410</v>
      </c>
      <c r="E37" s="1091" t="s">
        <v>9544</v>
      </c>
      <c r="F37" s="1091" t="s">
        <v>66</v>
      </c>
      <c r="G37" s="1091" t="s">
        <v>9545</v>
      </c>
      <c r="H37" s="1091" t="s">
        <v>9546</v>
      </c>
      <c r="I37" s="1091" t="s">
        <v>9547</v>
      </c>
      <c r="J37" s="1092" t="s">
        <v>9548</v>
      </c>
      <c r="K37" s="1093" t="s">
        <v>400</v>
      </c>
      <c r="L37" s="1093" t="s">
        <v>9549</v>
      </c>
      <c r="M37" s="1082"/>
      <c r="N37" s="1082"/>
      <c r="O37" s="1082"/>
      <c r="P37" s="1082"/>
      <c r="Q37" s="1082"/>
      <c r="R37" s="1082"/>
      <c r="S37" s="1082"/>
      <c r="T37" s="1082"/>
      <c r="U37" s="1082"/>
      <c r="V37" s="1082"/>
      <c r="W37" s="1082"/>
      <c r="X37" s="1082"/>
      <c r="Y37" s="1082"/>
      <c r="Z37" s="1082"/>
      <c r="AA37" s="1082"/>
      <c r="AB37" s="1082"/>
      <c r="AC37" s="1082"/>
      <c r="AD37" s="1082"/>
      <c r="AE37" s="1082"/>
      <c r="AF37" s="1082"/>
    </row>
    <row r="38">
      <c r="A38" s="1094">
        <v>1.0</v>
      </c>
      <c r="B38" s="1094" t="s">
        <v>1395</v>
      </c>
      <c r="C38" s="1094" t="s">
        <v>489</v>
      </c>
      <c r="D38" s="1094" t="s">
        <v>9444</v>
      </c>
      <c r="E38" s="1094" t="s">
        <v>3297</v>
      </c>
      <c r="F38" s="1094" t="s">
        <v>125</v>
      </c>
      <c r="G38" s="1094" t="s">
        <v>9550</v>
      </c>
      <c r="H38" s="1094" t="s">
        <v>9551</v>
      </c>
      <c r="I38" s="1094" t="s">
        <v>9552</v>
      </c>
      <c r="J38" s="1095" t="s">
        <v>9553</v>
      </c>
      <c r="K38" s="1096" t="s">
        <v>9554</v>
      </c>
      <c r="L38" s="1096" t="s">
        <v>9555</v>
      </c>
      <c r="M38" s="1082"/>
      <c r="N38" s="1082"/>
      <c r="O38" s="1082"/>
      <c r="P38" s="1082"/>
      <c r="Q38" s="1082"/>
      <c r="R38" s="1082"/>
      <c r="S38" s="1082"/>
      <c r="T38" s="1082"/>
      <c r="U38" s="1082"/>
      <c r="V38" s="1082"/>
      <c r="W38" s="1082"/>
      <c r="X38" s="1082"/>
      <c r="Y38" s="1082"/>
      <c r="Z38" s="1082"/>
      <c r="AA38" s="1082"/>
      <c r="AB38" s="1082"/>
      <c r="AC38" s="1082"/>
      <c r="AD38" s="1082"/>
      <c r="AE38" s="1082"/>
      <c r="AF38" s="1082"/>
    </row>
    <row r="39">
      <c r="A39" s="1091">
        <v>1.0</v>
      </c>
      <c r="B39" s="1091" t="s">
        <v>1395</v>
      </c>
      <c r="C39" s="1091" t="s">
        <v>3204</v>
      </c>
      <c r="D39" s="1091" t="s">
        <v>9444</v>
      </c>
      <c r="E39" s="1091" t="s">
        <v>9556</v>
      </c>
      <c r="F39" s="1091" t="s">
        <v>73</v>
      </c>
      <c r="G39" s="1091" t="s">
        <v>9557</v>
      </c>
      <c r="H39" s="1091" t="s">
        <v>9558</v>
      </c>
      <c r="I39" s="1091" t="s">
        <v>9559</v>
      </c>
      <c r="J39" s="1092" t="s">
        <v>9560</v>
      </c>
      <c r="K39" s="1093" t="s">
        <v>400</v>
      </c>
      <c r="L39" s="1093" t="s">
        <v>9561</v>
      </c>
      <c r="M39" s="1082"/>
      <c r="N39" s="1082"/>
      <c r="O39" s="1082"/>
      <c r="P39" s="1082"/>
      <c r="Q39" s="1082"/>
      <c r="R39" s="1082"/>
      <c r="S39" s="1082"/>
      <c r="T39" s="1082"/>
      <c r="U39" s="1082"/>
      <c r="V39" s="1082"/>
      <c r="W39" s="1082"/>
      <c r="X39" s="1082"/>
      <c r="Y39" s="1082"/>
      <c r="Z39" s="1082"/>
      <c r="AA39" s="1082"/>
      <c r="AB39" s="1082"/>
      <c r="AC39" s="1082"/>
      <c r="AD39" s="1082"/>
      <c r="AE39" s="1082"/>
      <c r="AF39" s="1082"/>
    </row>
    <row r="40">
      <c r="A40" s="1094">
        <v>1.0</v>
      </c>
      <c r="B40" s="1094" t="s">
        <v>1430</v>
      </c>
      <c r="C40" s="1094" t="s">
        <v>9562</v>
      </c>
      <c r="D40" s="1094" t="s">
        <v>4751</v>
      </c>
      <c r="E40" s="1094" t="s">
        <v>9563</v>
      </c>
      <c r="F40" s="1094" t="s">
        <v>180</v>
      </c>
      <c r="G40" s="1094" t="s">
        <v>9564</v>
      </c>
      <c r="H40" s="1094" t="s">
        <v>9565</v>
      </c>
      <c r="I40" s="1094" t="s">
        <v>9566</v>
      </c>
      <c r="J40" s="1095" t="s">
        <v>9567</v>
      </c>
      <c r="K40" s="1096" t="s">
        <v>400</v>
      </c>
      <c r="L40" s="1096" t="s">
        <v>9568</v>
      </c>
      <c r="M40" s="1082"/>
      <c r="N40" s="1082"/>
      <c r="O40" s="1082"/>
      <c r="P40" s="1082"/>
      <c r="Q40" s="1082"/>
      <c r="R40" s="1082"/>
      <c r="S40" s="1082"/>
      <c r="T40" s="1082"/>
      <c r="U40" s="1082"/>
      <c r="V40" s="1082"/>
      <c r="W40" s="1082"/>
      <c r="X40" s="1082"/>
      <c r="Y40" s="1082"/>
      <c r="Z40" s="1082"/>
      <c r="AA40" s="1082"/>
      <c r="AB40" s="1082"/>
      <c r="AC40" s="1082"/>
      <c r="AD40" s="1082"/>
      <c r="AE40" s="1082"/>
      <c r="AF40" s="1082"/>
    </row>
    <row r="41">
      <c r="A41" s="1091">
        <v>1.0</v>
      </c>
      <c r="B41" s="1091" t="s">
        <v>1470</v>
      </c>
      <c r="C41" s="1091" t="s">
        <v>580</v>
      </c>
      <c r="D41" s="1091" t="s">
        <v>9063</v>
      </c>
      <c r="E41" s="1091" t="s">
        <v>9569</v>
      </c>
      <c r="F41" s="1091" t="s">
        <v>174</v>
      </c>
      <c r="G41" s="1091" t="s">
        <v>9570</v>
      </c>
      <c r="H41" s="1091" t="s">
        <v>9571</v>
      </c>
      <c r="I41" s="1091" t="s">
        <v>9572</v>
      </c>
      <c r="J41" s="1092" t="s">
        <v>9573</v>
      </c>
      <c r="K41" s="1093" t="s">
        <v>400</v>
      </c>
      <c r="L41" s="1093" t="s">
        <v>9574</v>
      </c>
      <c r="M41" s="1082"/>
      <c r="N41" s="1082"/>
      <c r="O41" s="1082"/>
      <c r="P41" s="1082"/>
      <c r="Q41" s="1082"/>
      <c r="R41" s="1082"/>
      <c r="S41" s="1082"/>
      <c r="T41" s="1082"/>
      <c r="U41" s="1082"/>
      <c r="V41" s="1082"/>
      <c r="W41" s="1082"/>
      <c r="X41" s="1082"/>
      <c r="Y41" s="1082"/>
      <c r="Z41" s="1082"/>
      <c r="AA41" s="1082"/>
      <c r="AB41" s="1082"/>
      <c r="AC41" s="1082"/>
      <c r="AD41" s="1082"/>
      <c r="AE41" s="1082"/>
      <c r="AF41" s="1082"/>
    </row>
    <row r="42">
      <c r="A42" s="1094">
        <v>1.0</v>
      </c>
      <c r="B42" s="1094" t="s">
        <v>1470</v>
      </c>
      <c r="C42" s="1094" t="s">
        <v>9575</v>
      </c>
      <c r="D42" s="1094" t="s">
        <v>9444</v>
      </c>
      <c r="E42" s="1094" t="s">
        <v>9576</v>
      </c>
      <c r="F42" s="1094" t="s">
        <v>125</v>
      </c>
      <c r="G42" s="1094" t="s">
        <v>9577</v>
      </c>
      <c r="H42" s="1094" t="s">
        <v>9578</v>
      </c>
      <c r="I42" s="1094" t="s">
        <v>9579</v>
      </c>
      <c r="J42" s="1095" t="s">
        <v>9580</v>
      </c>
      <c r="K42" s="1096" t="s">
        <v>9581</v>
      </c>
      <c r="L42" s="1096" t="s">
        <v>9430</v>
      </c>
      <c r="M42" s="1082"/>
      <c r="N42" s="1082"/>
      <c r="O42" s="1082"/>
      <c r="P42" s="1082"/>
      <c r="Q42" s="1082"/>
      <c r="R42" s="1082"/>
      <c r="S42" s="1082"/>
      <c r="T42" s="1082"/>
      <c r="U42" s="1082"/>
      <c r="V42" s="1082"/>
      <c r="W42" s="1082"/>
      <c r="X42" s="1082"/>
      <c r="Y42" s="1082"/>
      <c r="Z42" s="1082"/>
      <c r="AA42" s="1082"/>
      <c r="AB42" s="1082"/>
      <c r="AC42" s="1082"/>
      <c r="AD42" s="1082"/>
      <c r="AE42" s="1082"/>
      <c r="AF42" s="1082"/>
    </row>
    <row r="43">
      <c r="A43" s="1091">
        <v>1.0</v>
      </c>
      <c r="B43" s="1091" t="s">
        <v>1470</v>
      </c>
      <c r="C43" s="1091" t="s">
        <v>1884</v>
      </c>
      <c r="D43" s="1091" t="s">
        <v>4751</v>
      </c>
      <c r="E43" s="1091" t="s">
        <v>3096</v>
      </c>
      <c r="F43" s="1091" t="s">
        <v>180</v>
      </c>
      <c r="G43" s="1091" t="s">
        <v>9582</v>
      </c>
      <c r="H43" s="1091" t="s">
        <v>9583</v>
      </c>
      <c r="I43" s="1091" t="s">
        <v>9584</v>
      </c>
      <c r="J43" s="1092" t="s">
        <v>9585</v>
      </c>
      <c r="K43" s="1093" t="s">
        <v>9586</v>
      </c>
      <c r="L43" s="1093" t="s">
        <v>9587</v>
      </c>
      <c r="M43" s="1082"/>
      <c r="N43" s="1082"/>
      <c r="O43" s="1082"/>
      <c r="P43" s="1082"/>
      <c r="Q43" s="1082"/>
      <c r="R43" s="1082"/>
      <c r="S43" s="1082"/>
      <c r="T43" s="1082"/>
      <c r="U43" s="1082"/>
      <c r="V43" s="1082"/>
      <c r="W43" s="1082"/>
      <c r="X43" s="1082"/>
      <c r="Y43" s="1082"/>
      <c r="Z43" s="1082"/>
      <c r="AA43" s="1082"/>
      <c r="AB43" s="1082"/>
      <c r="AC43" s="1082"/>
      <c r="AD43" s="1082"/>
      <c r="AE43" s="1082"/>
      <c r="AF43" s="1082"/>
    </row>
    <row r="44">
      <c r="A44" s="1094">
        <v>1.0</v>
      </c>
      <c r="B44" s="1094" t="s">
        <v>1395</v>
      </c>
      <c r="C44" s="1094" t="s">
        <v>9588</v>
      </c>
      <c r="D44" s="1094" t="s">
        <v>9067</v>
      </c>
      <c r="E44" s="1094" t="s">
        <v>9589</v>
      </c>
      <c r="F44" s="1094" t="s">
        <v>240</v>
      </c>
      <c r="G44" s="1094" t="s">
        <v>9590</v>
      </c>
      <c r="H44" s="1094" t="s">
        <v>9591</v>
      </c>
      <c r="I44" s="1094" t="s">
        <v>9592</v>
      </c>
      <c r="J44" s="1095" t="s">
        <v>9593</v>
      </c>
      <c r="K44" s="1096" t="s">
        <v>400</v>
      </c>
      <c r="L44" s="1096" t="s">
        <v>9594</v>
      </c>
      <c r="M44" s="1082"/>
      <c r="N44" s="1082"/>
      <c r="O44" s="1082"/>
      <c r="P44" s="1082"/>
      <c r="Q44" s="1082"/>
      <c r="R44" s="1082"/>
      <c r="S44" s="1082"/>
      <c r="T44" s="1082"/>
      <c r="U44" s="1082"/>
      <c r="V44" s="1082"/>
      <c r="W44" s="1082"/>
      <c r="X44" s="1082"/>
      <c r="Y44" s="1082"/>
      <c r="Z44" s="1082"/>
      <c r="AA44" s="1082"/>
      <c r="AB44" s="1082"/>
      <c r="AC44" s="1082"/>
      <c r="AD44" s="1082"/>
      <c r="AE44" s="1082"/>
      <c r="AF44" s="1082"/>
    </row>
    <row r="45">
      <c r="A45" s="1091">
        <v>1.0</v>
      </c>
      <c r="B45" s="1091" t="s">
        <v>1470</v>
      </c>
      <c r="C45" s="1091" t="s">
        <v>6570</v>
      </c>
      <c r="D45" s="1091" t="s">
        <v>9063</v>
      </c>
      <c r="E45" s="1091" t="s">
        <v>9595</v>
      </c>
      <c r="F45" s="1091" t="s">
        <v>52</v>
      </c>
      <c r="G45" s="1091" t="s">
        <v>9596</v>
      </c>
      <c r="H45" s="1091" t="s">
        <v>9597</v>
      </c>
      <c r="I45" s="1091" t="s">
        <v>9598</v>
      </c>
      <c r="J45" s="1092" t="s">
        <v>9599</v>
      </c>
      <c r="K45" s="1093" t="s">
        <v>400</v>
      </c>
      <c r="L45" s="1093" t="s">
        <v>9600</v>
      </c>
      <c r="M45" s="1082"/>
      <c r="N45" s="1082"/>
      <c r="O45" s="1082"/>
      <c r="P45" s="1082"/>
      <c r="Q45" s="1082"/>
      <c r="R45" s="1082"/>
      <c r="S45" s="1082"/>
      <c r="T45" s="1082"/>
      <c r="U45" s="1082"/>
      <c r="V45" s="1082"/>
      <c r="W45" s="1082"/>
      <c r="X45" s="1082"/>
      <c r="Y45" s="1082"/>
      <c r="Z45" s="1082"/>
      <c r="AA45" s="1082"/>
      <c r="AB45" s="1082"/>
      <c r="AC45" s="1082"/>
      <c r="AD45" s="1082"/>
      <c r="AE45" s="1082"/>
      <c r="AF45" s="1082"/>
    </row>
    <row r="46">
      <c r="A46" s="1094">
        <v>1.0</v>
      </c>
      <c r="B46" s="1094" t="s">
        <v>1430</v>
      </c>
      <c r="C46" s="1094" t="s">
        <v>3782</v>
      </c>
      <c r="D46" s="1094" t="s">
        <v>4751</v>
      </c>
      <c r="E46" s="1094" t="s">
        <v>9601</v>
      </c>
      <c r="F46" s="1094" t="s">
        <v>180</v>
      </c>
      <c r="G46" s="1094" t="s">
        <v>9602</v>
      </c>
      <c r="H46" s="1094" t="s">
        <v>9465</v>
      </c>
      <c r="I46" s="1094" t="s">
        <v>9603</v>
      </c>
      <c r="J46" s="1095" t="s">
        <v>9604</v>
      </c>
      <c r="K46" s="1096" t="s">
        <v>400</v>
      </c>
      <c r="L46" s="1096" t="s">
        <v>9605</v>
      </c>
      <c r="M46" s="1082"/>
      <c r="N46" s="1082"/>
      <c r="O46" s="1082"/>
      <c r="P46" s="1082"/>
      <c r="Q46" s="1082"/>
      <c r="R46" s="1082"/>
      <c r="S46" s="1082"/>
      <c r="T46" s="1082"/>
      <c r="U46" s="1082"/>
      <c r="V46" s="1082"/>
      <c r="W46" s="1082"/>
      <c r="X46" s="1082"/>
      <c r="Y46" s="1082"/>
      <c r="Z46" s="1082"/>
      <c r="AA46" s="1082"/>
      <c r="AB46" s="1082"/>
      <c r="AC46" s="1082"/>
      <c r="AD46" s="1082"/>
      <c r="AE46" s="1082"/>
      <c r="AF46" s="1082"/>
    </row>
    <row r="47">
      <c r="A47" s="1091">
        <v>2.0</v>
      </c>
      <c r="B47" s="1091" t="s">
        <v>1470</v>
      </c>
      <c r="C47" s="1091" t="s">
        <v>6578</v>
      </c>
      <c r="D47" s="1091" t="s">
        <v>9067</v>
      </c>
      <c r="E47" s="1091" t="s">
        <v>9606</v>
      </c>
      <c r="F47" s="1091" t="s">
        <v>502</v>
      </c>
      <c r="G47" s="1091" t="s">
        <v>9607</v>
      </c>
      <c r="H47" s="1091" t="s">
        <v>9465</v>
      </c>
      <c r="I47" s="1091" t="s">
        <v>9608</v>
      </c>
      <c r="J47" s="1092" t="s">
        <v>9609</v>
      </c>
      <c r="K47" s="1093" t="s">
        <v>9610</v>
      </c>
      <c r="L47" s="1093" t="s">
        <v>9611</v>
      </c>
      <c r="M47" s="1082"/>
      <c r="N47" s="1082"/>
      <c r="O47" s="1082"/>
      <c r="P47" s="1082"/>
      <c r="Q47" s="1082"/>
      <c r="R47" s="1082"/>
      <c r="S47" s="1082"/>
      <c r="T47" s="1082"/>
      <c r="U47" s="1082"/>
      <c r="V47" s="1082"/>
      <c r="W47" s="1082"/>
      <c r="X47" s="1082"/>
      <c r="Y47" s="1082"/>
      <c r="Z47" s="1082"/>
      <c r="AA47" s="1082"/>
      <c r="AB47" s="1082"/>
      <c r="AC47" s="1082"/>
      <c r="AD47" s="1082"/>
      <c r="AE47" s="1082"/>
      <c r="AF47" s="1082"/>
    </row>
    <row r="48">
      <c r="A48" s="1094">
        <v>2.0</v>
      </c>
      <c r="B48" s="1094" t="s">
        <v>1470</v>
      </c>
      <c r="C48" s="1094" t="s">
        <v>9612</v>
      </c>
      <c r="D48" s="1094" t="s">
        <v>9067</v>
      </c>
      <c r="E48" s="1094" t="s">
        <v>3999</v>
      </c>
      <c r="F48" s="1094" t="s">
        <v>240</v>
      </c>
      <c r="G48" s="1094" t="s">
        <v>9613</v>
      </c>
      <c r="H48" s="1094" t="s">
        <v>9614</v>
      </c>
      <c r="I48" s="1094" t="s">
        <v>9578</v>
      </c>
      <c r="J48" s="1095" t="s">
        <v>9615</v>
      </c>
      <c r="K48" s="1096" t="s">
        <v>9616</v>
      </c>
      <c r="L48" s="1096" t="s">
        <v>9617</v>
      </c>
      <c r="M48" s="1082"/>
      <c r="N48" s="1082"/>
      <c r="O48" s="1082"/>
      <c r="P48" s="1082"/>
      <c r="Q48" s="1082"/>
      <c r="R48" s="1082"/>
      <c r="S48" s="1082"/>
      <c r="T48" s="1082"/>
      <c r="U48" s="1082"/>
      <c r="V48" s="1082"/>
      <c r="W48" s="1082"/>
      <c r="X48" s="1082"/>
      <c r="Y48" s="1082"/>
      <c r="Z48" s="1082"/>
      <c r="AA48" s="1082"/>
      <c r="AB48" s="1082"/>
      <c r="AC48" s="1082"/>
      <c r="AD48" s="1082"/>
      <c r="AE48" s="1082"/>
      <c r="AF48" s="1082"/>
    </row>
    <row r="49">
      <c r="A49" s="1091">
        <v>2.0</v>
      </c>
      <c r="B49" s="1091" t="s">
        <v>1395</v>
      </c>
      <c r="C49" s="1091" t="s">
        <v>9618</v>
      </c>
      <c r="D49" s="1091" t="s">
        <v>9071</v>
      </c>
      <c r="E49" s="1091" t="s">
        <v>5149</v>
      </c>
      <c r="F49" s="1091" t="s">
        <v>160</v>
      </c>
      <c r="G49" s="1091" t="s">
        <v>9619</v>
      </c>
      <c r="H49" s="1091" t="s">
        <v>9465</v>
      </c>
      <c r="I49" s="1091" t="s">
        <v>9620</v>
      </c>
      <c r="J49" s="1092" t="s">
        <v>9621</v>
      </c>
      <c r="K49" s="1093" t="s">
        <v>400</v>
      </c>
      <c r="L49" s="1093" t="s">
        <v>9495</v>
      </c>
      <c r="M49" s="1082"/>
      <c r="N49" s="1082"/>
      <c r="O49" s="1082"/>
      <c r="P49" s="1082"/>
      <c r="Q49" s="1082"/>
      <c r="R49" s="1082"/>
      <c r="S49" s="1082"/>
      <c r="T49" s="1082"/>
      <c r="U49" s="1082"/>
      <c r="V49" s="1082"/>
      <c r="W49" s="1082"/>
      <c r="X49" s="1082"/>
      <c r="Y49" s="1082"/>
      <c r="Z49" s="1082"/>
      <c r="AA49" s="1082"/>
      <c r="AB49" s="1082"/>
      <c r="AC49" s="1082"/>
      <c r="AD49" s="1082"/>
      <c r="AE49" s="1082"/>
      <c r="AF49" s="1082"/>
    </row>
    <row r="50">
      <c r="A50" s="1094">
        <v>2.0</v>
      </c>
      <c r="B50" s="1094" t="s">
        <v>1470</v>
      </c>
      <c r="C50" s="1094" t="s">
        <v>4334</v>
      </c>
      <c r="D50" s="1094" t="s">
        <v>9067</v>
      </c>
      <c r="E50" s="1094" t="s">
        <v>9622</v>
      </c>
      <c r="F50" s="1094" t="s">
        <v>240</v>
      </c>
      <c r="G50" s="1094" t="s">
        <v>9623</v>
      </c>
      <c r="H50" s="1094" t="s">
        <v>9624</v>
      </c>
      <c r="I50" s="1094" t="s">
        <v>9625</v>
      </c>
      <c r="J50" s="1095" t="s">
        <v>9626</v>
      </c>
      <c r="K50" s="1096" t="s">
        <v>400</v>
      </c>
      <c r="L50" s="1096" t="s">
        <v>9627</v>
      </c>
      <c r="M50" s="1082"/>
      <c r="N50" s="1082"/>
      <c r="O50" s="1082"/>
      <c r="P50" s="1082"/>
      <c r="Q50" s="1082"/>
      <c r="R50" s="1082"/>
      <c r="S50" s="1082"/>
      <c r="T50" s="1082"/>
      <c r="U50" s="1082"/>
      <c r="V50" s="1082"/>
      <c r="W50" s="1082"/>
      <c r="X50" s="1082"/>
      <c r="Y50" s="1082"/>
      <c r="Z50" s="1082"/>
      <c r="AA50" s="1082"/>
      <c r="AB50" s="1082"/>
      <c r="AC50" s="1082"/>
      <c r="AD50" s="1082"/>
      <c r="AE50" s="1082"/>
      <c r="AF50" s="1082"/>
    </row>
    <row r="51">
      <c r="A51" s="1091">
        <v>2.0</v>
      </c>
      <c r="B51" s="1091" t="s">
        <v>1470</v>
      </c>
      <c r="C51" s="1091" t="s">
        <v>9628</v>
      </c>
      <c r="D51" s="1091" t="s">
        <v>9075</v>
      </c>
      <c r="E51" s="1091" t="s">
        <v>9629</v>
      </c>
      <c r="F51" s="1091" t="s">
        <v>585</v>
      </c>
      <c r="G51" s="1091" t="s">
        <v>9630</v>
      </c>
      <c r="H51" s="1091" t="s">
        <v>9631</v>
      </c>
      <c r="I51" s="1091" t="s">
        <v>9632</v>
      </c>
      <c r="J51" s="1092" t="s">
        <v>9633</v>
      </c>
      <c r="K51" s="1093" t="s">
        <v>400</v>
      </c>
      <c r="L51" s="1093" t="s">
        <v>9634</v>
      </c>
      <c r="M51" s="1082"/>
      <c r="N51" s="1082"/>
      <c r="O51" s="1082"/>
      <c r="P51" s="1082"/>
      <c r="Q51" s="1082"/>
      <c r="R51" s="1082"/>
      <c r="S51" s="1082"/>
      <c r="T51" s="1082"/>
      <c r="U51" s="1082"/>
      <c r="V51" s="1082"/>
      <c r="W51" s="1082"/>
      <c r="X51" s="1082"/>
      <c r="Y51" s="1082"/>
      <c r="Z51" s="1082"/>
      <c r="AA51" s="1082"/>
      <c r="AB51" s="1082"/>
      <c r="AC51" s="1082"/>
      <c r="AD51" s="1082"/>
      <c r="AE51" s="1082"/>
      <c r="AF51" s="1082"/>
    </row>
    <row r="52">
      <c r="A52" s="1094">
        <v>2.0</v>
      </c>
      <c r="B52" s="1094" t="s">
        <v>1395</v>
      </c>
      <c r="C52" s="1094" t="s">
        <v>9635</v>
      </c>
      <c r="D52" s="1094" t="s">
        <v>9067</v>
      </c>
      <c r="E52" s="1094" t="s">
        <v>9636</v>
      </c>
      <c r="F52" s="1094" t="s">
        <v>502</v>
      </c>
      <c r="G52" s="1094" t="s">
        <v>9637</v>
      </c>
      <c r="H52" s="1094" t="s">
        <v>9638</v>
      </c>
      <c r="I52" s="1094" t="s">
        <v>9639</v>
      </c>
      <c r="J52" s="1095" t="s">
        <v>9640</v>
      </c>
      <c r="K52" s="1096" t="s">
        <v>400</v>
      </c>
      <c r="L52" s="1096" t="s">
        <v>9641</v>
      </c>
      <c r="M52" s="1082"/>
      <c r="N52" s="1082"/>
      <c r="O52" s="1082"/>
      <c r="P52" s="1082"/>
      <c r="Q52" s="1082"/>
      <c r="R52" s="1082"/>
      <c r="S52" s="1082"/>
      <c r="T52" s="1082"/>
      <c r="U52" s="1082"/>
      <c r="V52" s="1082"/>
      <c r="W52" s="1082"/>
      <c r="X52" s="1082"/>
      <c r="Y52" s="1082"/>
      <c r="Z52" s="1082"/>
      <c r="AA52" s="1082"/>
      <c r="AB52" s="1082"/>
      <c r="AC52" s="1082"/>
      <c r="AD52" s="1082"/>
      <c r="AE52" s="1082"/>
      <c r="AF52" s="1082"/>
    </row>
    <row r="53">
      <c r="A53" s="1091">
        <v>2.0</v>
      </c>
      <c r="B53" s="1091" t="s">
        <v>1470</v>
      </c>
      <c r="C53" s="1091" t="s">
        <v>3133</v>
      </c>
      <c r="D53" s="1091" t="s">
        <v>9063</v>
      </c>
      <c r="E53" s="1091" t="s">
        <v>9642</v>
      </c>
      <c r="F53" s="1091" t="s">
        <v>52</v>
      </c>
      <c r="G53" s="1091" t="s">
        <v>9643</v>
      </c>
      <c r="H53" s="1091" t="s">
        <v>9644</v>
      </c>
      <c r="I53" s="1091" t="s">
        <v>9645</v>
      </c>
      <c r="J53" s="1092" t="s">
        <v>9646</v>
      </c>
      <c r="K53" s="1093" t="s">
        <v>9647</v>
      </c>
      <c r="L53" s="1093" t="s">
        <v>9648</v>
      </c>
      <c r="M53" s="1082"/>
      <c r="N53" s="1082"/>
      <c r="O53" s="1082"/>
      <c r="P53" s="1082"/>
      <c r="Q53" s="1082"/>
      <c r="R53" s="1082"/>
      <c r="S53" s="1082"/>
      <c r="T53" s="1082"/>
      <c r="U53" s="1082"/>
      <c r="V53" s="1082"/>
      <c r="W53" s="1082"/>
      <c r="X53" s="1082"/>
      <c r="Y53" s="1082"/>
      <c r="Z53" s="1082"/>
      <c r="AA53" s="1082"/>
      <c r="AB53" s="1082"/>
      <c r="AC53" s="1082"/>
      <c r="AD53" s="1082"/>
      <c r="AE53" s="1082"/>
      <c r="AF53" s="1082"/>
    </row>
    <row r="54">
      <c r="A54" s="1094">
        <v>2.0</v>
      </c>
      <c r="B54" s="1094" t="s">
        <v>1470</v>
      </c>
      <c r="C54" s="1094" t="s">
        <v>4162</v>
      </c>
      <c r="D54" s="1094" t="s">
        <v>9067</v>
      </c>
      <c r="E54" s="1094" t="s">
        <v>9649</v>
      </c>
      <c r="F54" s="1094" t="s">
        <v>502</v>
      </c>
      <c r="G54" s="1094" t="s">
        <v>9650</v>
      </c>
      <c r="H54" s="1094" t="s">
        <v>9651</v>
      </c>
      <c r="I54" s="1094" t="s">
        <v>9652</v>
      </c>
      <c r="J54" s="1095" t="s">
        <v>9653</v>
      </c>
      <c r="K54" s="1096" t="s">
        <v>400</v>
      </c>
      <c r="L54" s="1096" t="s">
        <v>9654</v>
      </c>
      <c r="M54" s="1082"/>
      <c r="N54" s="1082"/>
      <c r="O54" s="1082"/>
      <c r="P54" s="1082"/>
      <c r="Q54" s="1082"/>
      <c r="R54" s="1082"/>
      <c r="S54" s="1082"/>
      <c r="T54" s="1082"/>
      <c r="U54" s="1082"/>
      <c r="V54" s="1082"/>
      <c r="W54" s="1082"/>
      <c r="X54" s="1082"/>
      <c r="Y54" s="1082"/>
      <c r="Z54" s="1082"/>
      <c r="AA54" s="1082"/>
      <c r="AB54" s="1082"/>
      <c r="AC54" s="1082"/>
      <c r="AD54" s="1082"/>
      <c r="AE54" s="1082"/>
      <c r="AF54" s="1082"/>
    </row>
    <row r="55">
      <c r="A55" s="1091">
        <v>2.0</v>
      </c>
      <c r="B55" s="1091" t="s">
        <v>1470</v>
      </c>
      <c r="C55" s="1091" t="s">
        <v>9655</v>
      </c>
      <c r="D55" s="1091" t="s">
        <v>9444</v>
      </c>
      <c r="E55" s="1091" t="s">
        <v>1636</v>
      </c>
      <c r="F55" s="1091" t="s">
        <v>73</v>
      </c>
      <c r="G55" s="1091" t="s">
        <v>9656</v>
      </c>
      <c r="H55" s="1091" t="s">
        <v>9657</v>
      </c>
      <c r="I55" s="1091" t="s">
        <v>9658</v>
      </c>
      <c r="J55" s="1092" t="s">
        <v>9659</v>
      </c>
      <c r="K55" s="1093" t="s">
        <v>400</v>
      </c>
      <c r="L55" s="1093" t="s">
        <v>9660</v>
      </c>
      <c r="M55" s="1082"/>
      <c r="N55" s="1082"/>
      <c r="O55" s="1082"/>
      <c r="P55" s="1082"/>
      <c r="Q55" s="1082"/>
      <c r="R55" s="1082"/>
      <c r="S55" s="1082"/>
      <c r="T55" s="1082"/>
      <c r="U55" s="1082"/>
      <c r="V55" s="1082"/>
      <c r="W55" s="1082"/>
      <c r="X55" s="1082"/>
      <c r="Y55" s="1082"/>
      <c r="Z55" s="1082"/>
      <c r="AA55" s="1082"/>
      <c r="AB55" s="1082"/>
      <c r="AC55" s="1082"/>
      <c r="AD55" s="1082"/>
      <c r="AE55" s="1082"/>
      <c r="AF55" s="1082"/>
    </row>
    <row r="56">
      <c r="A56" s="1094">
        <v>2.0</v>
      </c>
      <c r="B56" s="1094" t="s">
        <v>1470</v>
      </c>
      <c r="C56" s="1094" t="s">
        <v>3885</v>
      </c>
      <c r="D56" s="1094" t="s">
        <v>9444</v>
      </c>
      <c r="E56" s="1094" t="s">
        <v>3393</v>
      </c>
      <c r="F56" s="1094" t="s">
        <v>73</v>
      </c>
      <c r="G56" s="1094" t="s">
        <v>9661</v>
      </c>
      <c r="H56" s="1094" t="s">
        <v>9662</v>
      </c>
      <c r="I56" s="1094" t="s">
        <v>9663</v>
      </c>
      <c r="J56" s="1095" t="s">
        <v>9429</v>
      </c>
      <c r="K56" s="1096" t="s">
        <v>400</v>
      </c>
      <c r="L56" s="1096" t="s">
        <v>9664</v>
      </c>
      <c r="M56" s="1082"/>
      <c r="N56" s="1082"/>
      <c r="O56" s="1082"/>
      <c r="P56" s="1082"/>
      <c r="Q56" s="1082"/>
      <c r="R56" s="1082"/>
      <c r="S56" s="1082"/>
      <c r="T56" s="1082"/>
      <c r="U56" s="1082"/>
      <c r="V56" s="1082"/>
      <c r="W56" s="1082"/>
      <c r="X56" s="1082"/>
      <c r="Y56" s="1082"/>
      <c r="Z56" s="1082"/>
      <c r="AA56" s="1082"/>
      <c r="AB56" s="1082"/>
      <c r="AC56" s="1082"/>
      <c r="AD56" s="1082"/>
      <c r="AE56" s="1082"/>
      <c r="AF56" s="1082"/>
    </row>
    <row r="57">
      <c r="A57" s="1091">
        <v>2.0</v>
      </c>
      <c r="B57" s="1091" t="s">
        <v>1470</v>
      </c>
      <c r="C57" s="1091" t="s">
        <v>1077</v>
      </c>
      <c r="D57" s="1091" t="s">
        <v>9063</v>
      </c>
      <c r="E57" s="1091" t="s">
        <v>2421</v>
      </c>
      <c r="F57" s="1091" t="s">
        <v>52</v>
      </c>
      <c r="G57" s="1091" t="s">
        <v>9665</v>
      </c>
      <c r="H57" s="1091" t="s">
        <v>9662</v>
      </c>
      <c r="I57" s="1091" t="s">
        <v>9666</v>
      </c>
      <c r="J57" s="1092" t="s">
        <v>9429</v>
      </c>
      <c r="K57" s="1093" t="s">
        <v>400</v>
      </c>
      <c r="L57" s="1093" t="s">
        <v>9664</v>
      </c>
      <c r="M57" s="1082"/>
      <c r="N57" s="1082"/>
      <c r="O57" s="1082"/>
      <c r="P57" s="1082"/>
      <c r="Q57" s="1082"/>
      <c r="R57" s="1082"/>
      <c r="S57" s="1082"/>
      <c r="T57" s="1082"/>
      <c r="U57" s="1082"/>
      <c r="V57" s="1082"/>
      <c r="W57" s="1082"/>
      <c r="X57" s="1082"/>
      <c r="Y57" s="1082"/>
      <c r="Z57" s="1082"/>
      <c r="AA57" s="1082"/>
      <c r="AB57" s="1082"/>
      <c r="AC57" s="1082"/>
      <c r="AD57" s="1082"/>
      <c r="AE57" s="1082"/>
      <c r="AF57" s="1082"/>
    </row>
    <row r="58">
      <c r="A58" s="1094">
        <v>2.0</v>
      </c>
      <c r="B58" s="1094" t="s">
        <v>1395</v>
      </c>
      <c r="C58" s="1094" t="s">
        <v>2888</v>
      </c>
      <c r="D58" s="1094" t="s">
        <v>9071</v>
      </c>
      <c r="E58" s="1094" t="s">
        <v>5137</v>
      </c>
      <c r="F58" s="1094" t="s">
        <v>160</v>
      </c>
      <c r="G58" s="1094" t="s">
        <v>9667</v>
      </c>
      <c r="H58" s="1094" t="s">
        <v>9668</v>
      </c>
      <c r="I58" s="1094"/>
      <c r="J58" s="1095" t="s">
        <v>9669</v>
      </c>
      <c r="K58" s="1096" t="s">
        <v>400</v>
      </c>
      <c r="L58" s="1096" t="s">
        <v>9670</v>
      </c>
      <c r="M58" s="1082"/>
      <c r="N58" s="1082"/>
      <c r="O58" s="1082"/>
      <c r="P58" s="1082"/>
      <c r="Q58" s="1082"/>
      <c r="R58" s="1082"/>
      <c r="S58" s="1082"/>
      <c r="T58" s="1082"/>
      <c r="U58" s="1082"/>
      <c r="V58" s="1082"/>
      <c r="W58" s="1082"/>
      <c r="X58" s="1082"/>
      <c r="Y58" s="1082"/>
      <c r="Z58" s="1082"/>
      <c r="AA58" s="1082"/>
      <c r="AB58" s="1082"/>
      <c r="AC58" s="1082"/>
      <c r="AD58" s="1082"/>
      <c r="AE58" s="1082"/>
      <c r="AF58" s="1082"/>
    </row>
    <row r="59">
      <c r="A59" s="1091">
        <v>2.0</v>
      </c>
      <c r="B59" s="1091" t="s">
        <v>1395</v>
      </c>
      <c r="C59" s="1091" t="s">
        <v>3066</v>
      </c>
      <c r="D59" s="1091" t="s">
        <v>9067</v>
      </c>
      <c r="E59" s="1091" t="s">
        <v>9671</v>
      </c>
      <c r="F59" s="1091" t="s">
        <v>502</v>
      </c>
      <c r="G59" s="1091" t="s">
        <v>9672</v>
      </c>
      <c r="H59" s="1098" t="s">
        <v>9673</v>
      </c>
      <c r="I59" s="1091" t="s">
        <v>9674</v>
      </c>
      <c r="J59" s="1092" t="s">
        <v>9640</v>
      </c>
      <c r="K59" s="1093" t="s">
        <v>400</v>
      </c>
      <c r="L59" s="1093" t="s">
        <v>9675</v>
      </c>
      <c r="M59" s="1082"/>
      <c r="N59" s="1082"/>
      <c r="O59" s="1082"/>
      <c r="P59" s="1082"/>
      <c r="Q59" s="1082"/>
      <c r="R59" s="1082"/>
      <c r="S59" s="1082"/>
      <c r="T59" s="1082"/>
      <c r="U59" s="1082"/>
      <c r="V59" s="1082"/>
      <c r="W59" s="1082"/>
      <c r="X59" s="1082"/>
      <c r="Y59" s="1082"/>
      <c r="Z59" s="1082"/>
      <c r="AA59" s="1082"/>
      <c r="AB59" s="1082"/>
      <c r="AC59" s="1082"/>
      <c r="AD59" s="1082"/>
      <c r="AE59" s="1082"/>
      <c r="AF59" s="1082"/>
    </row>
    <row r="60">
      <c r="A60" s="1094">
        <v>2.0</v>
      </c>
      <c r="B60" s="1094" t="s">
        <v>1395</v>
      </c>
      <c r="C60" s="1094" t="s">
        <v>9676</v>
      </c>
      <c r="D60" s="1094" t="s">
        <v>9067</v>
      </c>
      <c r="E60" s="1094" t="s">
        <v>9636</v>
      </c>
      <c r="F60" s="1094" t="s">
        <v>255</v>
      </c>
      <c r="G60" s="1094" t="s">
        <v>9677</v>
      </c>
      <c r="H60" s="1094" t="s">
        <v>9465</v>
      </c>
      <c r="I60" s="1094" t="s">
        <v>9678</v>
      </c>
      <c r="J60" s="1095" t="s">
        <v>9679</v>
      </c>
      <c r="K60" s="1096" t="s">
        <v>400</v>
      </c>
      <c r="L60" s="1096" t="s">
        <v>9495</v>
      </c>
      <c r="M60" s="1082"/>
      <c r="N60" s="1082"/>
      <c r="O60" s="1082"/>
      <c r="P60" s="1082"/>
      <c r="Q60" s="1082"/>
      <c r="R60" s="1082"/>
      <c r="S60" s="1082"/>
      <c r="T60" s="1082"/>
      <c r="U60" s="1082"/>
      <c r="V60" s="1082"/>
      <c r="W60" s="1082"/>
      <c r="X60" s="1082"/>
      <c r="Y60" s="1082"/>
      <c r="Z60" s="1082"/>
      <c r="AA60" s="1082"/>
      <c r="AB60" s="1082"/>
      <c r="AC60" s="1082"/>
      <c r="AD60" s="1082"/>
      <c r="AE60" s="1082"/>
      <c r="AF60" s="1082"/>
    </row>
    <row r="61">
      <c r="A61" s="1091">
        <v>2.0</v>
      </c>
      <c r="B61" s="1091" t="s">
        <v>1395</v>
      </c>
      <c r="C61" s="1091" t="s">
        <v>2880</v>
      </c>
      <c r="D61" s="1091" t="s">
        <v>4751</v>
      </c>
      <c r="E61" s="1091" t="s">
        <v>3096</v>
      </c>
      <c r="F61" s="1091" t="s">
        <v>180</v>
      </c>
      <c r="G61" s="1091" t="s">
        <v>9680</v>
      </c>
      <c r="H61" s="1091" t="s">
        <v>9681</v>
      </c>
      <c r="I61" s="1091" t="s">
        <v>9682</v>
      </c>
      <c r="J61" s="1092" t="s">
        <v>9683</v>
      </c>
      <c r="K61" s="1093" t="s">
        <v>400</v>
      </c>
      <c r="L61" s="1093" t="s">
        <v>9684</v>
      </c>
      <c r="M61" s="1082"/>
      <c r="N61" s="1082"/>
      <c r="O61" s="1082"/>
      <c r="P61" s="1082"/>
      <c r="Q61" s="1082"/>
      <c r="R61" s="1082"/>
      <c r="S61" s="1082"/>
      <c r="T61" s="1082"/>
      <c r="U61" s="1082"/>
      <c r="V61" s="1082"/>
      <c r="W61" s="1082"/>
      <c r="X61" s="1082"/>
      <c r="Y61" s="1082"/>
      <c r="Z61" s="1082"/>
      <c r="AA61" s="1082"/>
      <c r="AB61" s="1082"/>
      <c r="AC61" s="1082"/>
      <c r="AD61" s="1082"/>
      <c r="AE61" s="1082"/>
      <c r="AF61" s="1082"/>
    </row>
    <row r="62">
      <c r="A62" s="1094">
        <v>2.0</v>
      </c>
      <c r="B62" s="1094" t="s">
        <v>1470</v>
      </c>
      <c r="C62" s="1094" t="s">
        <v>4558</v>
      </c>
      <c r="D62" s="1094" t="s">
        <v>9067</v>
      </c>
      <c r="E62" s="1094" t="s">
        <v>9685</v>
      </c>
      <c r="F62" s="1094" t="s">
        <v>502</v>
      </c>
      <c r="G62" s="1094" t="s">
        <v>9686</v>
      </c>
      <c r="H62" s="1094" t="s">
        <v>9687</v>
      </c>
      <c r="I62" s="1094" t="s">
        <v>9688</v>
      </c>
      <c r="J62" s="1095" t="s">
        <v>9689</v>
      </c>
      <c r="K62" s="1096" t="s">
        <v>9690</v>
      </c>
      <c r="L62" s="1096" t="s">
        <v>9691</v>
      </c>
      <c r="M62" s="1082"/>
      <c r="N62" s="1082"/>
      <c r="O62" s="1082"/>
      <c r="P62" s="1082"/>
      <c r="Q62" s="1082"/>
      <c r="R62" s="1082"/>
      <c r="S62" s="1082"/>
      <c r="T62" s="1082"/>
      <c r="U62" s="1082"/>
      <c r="V62" s="1082"/>
      <c r="W62" s="1082"/>
      <c r="X62" s="1082"/>
      <c r="Y62" s="1082"/>
      <c r="Z62" s="1082"/>
      <c r="AA62" s="1082"/>
      <c r="AB62" s="1082"/>
      <c r="AC62" s="1082"/>
      <c r="AD62" s="1082"/>
      <c r="AE62" s="1082"/>
      <c r="AF62" s="1082"/>
    </row>
    <row r="63">
      <c r="A63" s="1091">
        <v>2.0</v>
      </c>
      <c r="B63" s="1091" t="s">
        <v>1395</v>
      </c>
      <c r="C63" s="1091" t="s">
        <v>2970</v>
      </c>
      <c r="D63" s="1091" t="s">
        <v>9071</v>
      </c>
      <c r="E63" s="1091" t="s">
        <v>9692</v>
      </c>
      <c r="F63" s="1091" t="s">
        <v>85</v>
      </c>
      <c r="G63" s="1091" t="s">
        <v>9693</v>
      </c>
      <c r="H63" s="1091"/>
      <c r="I63" s="1091" t="s">
        <v>9694</v>
      </c>
      <c r="J63" s="1092" t="s">
        <v>9695</v>
      </c>
      <c r="K63" s="1093" t="s">
        <v>400</v>
      </c>
      <c r="L63" s="1093" t="s">
        <v>9696</v>
      </c>
      <c r="M63" s="1082"/>
      <c r="N63" s="1082"/>
      <c r="O63" s="1082"/>
      <c r="P63" s="1082"/>
      <c r="Q63" s="1082"/>
      <c r="R63" s="1082"/>
      <c r="S63" s="1082"/>
      <c r="T63" s="1082"/>
      <c r="U63" s="1082"/>
      <c r="V63" s="1082"/>
      <c r="W63" s="1082"/>
      <c r="X63" s="1082"/>
      <c r="Y63" s="1082"/>
      <c r="Z63" s="1082"/>
      <c r="AA63" s="1082"/>
      <c r="AB63" s="1082"/>
      <c r="AC63" s="1082"/>
      <c r="AD63" s="1082"/>
      <c r="AE63" s="1082"/>
      <c r="AF63" s="1082"/>
    </row>
    <row r="64">
      <c r="A64" s="1094">
        <v>2.0</v>
      </c>
      <c r="B64" s="1094" t="s">
        <v>1395</v>
      </c>
      <c r="C64" s="1094" t="s">
        <v>9697</v>
      </c>
      <c r="D64" s="1094" t="s">
        <v>9071</v>
      </c>
      <c r="E64" s="1094" t="s">
        <v>2908</v>
      </c>
      <c r="F64" s="1094" t="s">
        <v>85</v>
      </c>
      <c r="G64" s="1094" t="s">
        <v>9698</v>
      </c>
      <c r="H64" s="1094" t="s">
        <v>9699</v>
      </c>
      <c r="I64" s="1094" t="s">
        <v>9700</v>
      </c>
      <c r="J64" s="1095" t="s">
        <v>9701</v>
      </c>
      <c r="K64" s="1096" t="s">
        <v>400</v>
      </c>
      <c r="L64" s="1096" t="s">
        <v>9702</v>
      </c>
      <c r="M64" s="1082"/>
      <c r="N64" s="1082"/>
      <c r="O64" s="1082"/>
      <c r="P64" s="1082"/>
      <c r="Q64" s="1082"/>
      <c r="R64" s="1082"/>
      <c r="S64" s="1082"/>
      <c r="T64" s="1082"/>
      <c r="U64" s="1082"/>
      <c r="V64" s="1082"/>
      <c r="W64" s="1082"/>
      <c r="X64" s="1082"/>
      <c r="Y64" s="1082"/>
      <c r="Z64" s="1082"/>
      <c r="AA64" s="1082"/>
      <c r="AB64" s="1082"/>
      <c r="AC64" s="1082"/>
      <c r="AD64" s="1082"/>
      <c r="AE64" s="1082"/>
      <c r="AF64" s="1082"/>
    </row>
    <row r="65">
      <c r="A65" s="1091">
        <v>2.0</v>
      </c>
      <c r="B65" s="1091" t="s">
        <v>1470</v>
      </c>
      <c r="C65" s="1091" t="s">
        <v>3989</v>
      </c>
      <c r="D65" s="1091" t="s">
        <v>9067</v>
      </c>
      <c r="E65" s="1091" t="s">
        <v>9703</v>
      </c>
      <c r="F65" s="1091" t="s">
        <v>195</v>
      </c>
      <c r="G65" s="1091" t="s">
        <v>9704</v>
      </c>
      <c r="H65" s="1091" t="s">
        <v>9705</v>
      </c>
      <c r="I65" s="1091" t="s">
        <v>9706</v>
      </c>
      <c r="J65" s="1092" t="s">
        <v>9707</v>
      </c>
      <c r="K65" s="1093" t="s">
        <v>400</v>
      </c>
      <c r="L65" s="1093" t="s">
        <v>9708</v>
      </c>
      <c r="M65" s="1082"/>
      <c r="N65" s="1082"/>
      <c r="O65" s="1082"/>
      <c r="P65" s="1082"/>
      <c r="Q65" s="1082"/>
      <c r="R65" s="1082"/>
      <c r="S65" s="1082"/>
      <c r="T65" s="1082"/>
      <c r="U65" s="1082"/>
      <c r="V65" s="1082"/>
      <c r="W65" s="1082"/>
      <c r="X65" s="1082"/>
      <c r="Y65" s="1082"/>
      <c r="Z65" s="1082"/>
      <c r="AA65" s="1082"/>
      <c r="AB65" s="1082"/>
      <c r="AC65" s="1082"/>
      <c r="AD65" s="1082"/>
      <c r="AE65" s="1082"/>
      <c r="AF65" s="1082"/>
    </row>
    <row r="66">
      <c r="A66" s="1094">
        <v>2.0</v>
      </c>
      <c r="B66" s="1094" t="s">
        <v>1395</v>
      </c>
      <c r="C66" s="1094" t="s">
        <v>2981</v>
      </c>
      <c r="D66" s="1094" t="s">
        <v>9071</v>
      </c>
      <c r="E66" s="1094" t="s">
        <v>4010</v>
      </c>
      <c r="F66" s="1094" t="s">
        <v>85</v>
      </c>
      <c r="G66" s="1094" t="s">
        <v>9709</v>
      </c>
      <c r="H66" s="1094" t="s">
        <v>9465</v>
      </c>
      <c r="I66" s="1094"/>
      <c r="J66" s="1095" t="s">
        <v>9710</v>
      </c>
      <c r="K66" s="1096" t="s">
        <v>400</v>
      </c>
      <c r="L66" s="1096" t="s">
        <v>9495</v>
      </c>
      <c r="M66" s="1082"/>
      <c r="N66" s="1082"/>
      <c r="O66" s="1082"/>
      <c r="P66" s="1082"/>
      <c r="Q66" s="1082"/>
      <c r="R66" s="1082"/>
      <c r="S66" s="1082"/>
      <c r="T66" s="1082"/>
      <c r="U66" s="1082"/>
      <c r="V66" s="1082"/>
      <c r="W66" s="1082"/>
      <c r="X66" s="1082"/>
      <c r="Y66" s="1082"/>
      <c r="Z66" s="1082"/>
      <c r="AA66" s="1082"/>
      <c r="AB66" s="1082"/>
      <c r="AC66" s="1082"/>
      <c r="AD66" s="1082"/>
      <c r="AE66" s="1082"/>
      <c r="AF66" s="1082"/>
    </row>
    <row r="67">
      <c r="A67" s="1091">
        <v>2.0</v>
      </c>
      <c r="B67" s="1091" t="s">
        <v>1395</v>
      </c>
      <c r="C67" s="1091" t="s">
        <v>2332</v>
      </c>
      <c r="D67" s="1091" t="s">
        <v>9067</v>
      </c>
      <c r="E67" s="1091" t="s">
        <v>9711</v>
      </c>
      <c r="F67" s="1091" t="s">
        <v>255</v>
      </c>
      <c r="G67" s="1091" t="s">
        <v>9712</v>
      </c>
      <c r="H67" s="1091" t="s">
        <v>9713</v>
      </c>
      <c r="I67" s="1091" t="s">
        <v>9714</v>
      </c>
      <c r="J67" s="1092" t="s">
        <v>9715</v>
      </c>
      <c r="K67" s="1093" t="s">
        <v>400</v>
      </c>
      <c r="L67" s="1093" t="s">
        <v>9716</v>
      </c>
      <c r="M67" s="1082"/>
      <c r="N67" s="1082"/>
      <c r="O67" s="1082"/>
      <c r="P67" s="1082"/>
      <c r="Q67" s="1082"/>
      <c r="R67" s="1082"/>
      <c r="S67" s="1082"/>
      <c r="T67" s="1082"/>
      <c r="U67" s="1082"/>
      <c r="V67" s="1082"/>
      <c r="W67" s="1082"/>
      <c r="X67" s="1082"/>
      <c r="Y67" s="1082"/>
      <c r="Z67" s="1082"/>
      <c r="AA67" s="1082"/>
      <c r="AB67" s="1082"/>
      <c r="AC67" s="1082"/>
      <c r="AD67" s="1082"/>
      <c r="AE67" s="1082"/>
      <c r="AF67" s="1082"/>
    </row>
    <row r="68">
      <c r="A68" s="1094">
        <v>2.0</v>
      </c>
      <c r="B68" s="1094" t="s">
        <v>1470</v>
      </c>
      <c r="C68" s="1094" t="s">
        <v>4094</v>
      </c>
      <c r="D68" s="1094" t="s">
        <v>9067</v>
      </c>
      <c r="E68" s="1094" t="s">
        <v>9717</v>
      </c>
      <c r="F68" s="1094" t="s">
        <v>125</v>
      </c>
      <c r="G68" s="1094" t="s">
        <v>9718</v>
      </c>
      <c r="H68" s="1094" t="s">
        <v>9719</v>
      </c>
      <c r="I68" s="1094" t="s">
        <v>9578</v>
      </c>
      <c r="J68" s="1095" t="s">
        <v>9720</v>
      </c>
      <c r="K68" s="1096" t="s">
        <v>9721</v>
      </c>
      <c r="L68" s="1096" t="s">
        <v>9722</v>
      </c>
      <c r="M68" s="1082"/>
      <c r="N68" s="1082"/>
      <c r="O68" s="1082"/>
      <c r="P68" s="1082"/>
      <c r="Q68" s="1082"/>
      <c r="R68" s="1082"/>
      <c r="S68" s="1082"/>
      <c r="T68" s="1082"/>
      <c r="U68" s="1082"/>
      <c r="V68" s="1082"/>
      <c r="W68" s="1082"/>
      <c r="X68" s="1082"/>
      <c r="Y68" s="1082"/>
      <c r="Z68" s="1082"/>
      <c r="AA68" s="1082"/>
      <c r="AB68" s="1082"/>
      <c r="AC68" s="1082"/>
      <c r="AD68" s="1082"/>
      <c r="AE68" s="1082"/>
      <c r="AF68" s="1082"/>
    </row>
    <row r="69">
      <c r="A69" s="1091">
        <v>2.0</v>
      </c>
      <c r="B69" s="1091" t="s">
        <v>1430</v>
      </c>
      <c r="C69" s="1091" t="s">
        <v>1529</v>
      </c>
      <c r="D69" s="1091" t="s">
        <v>5410</v>
      </c>
      <c r="E69" s="1091" t="s">
        <v>9723</v>
      </c>
      <c r="F69" s="1091" t="s">
        <v>66</v>
      </c>
      <c r="G69" s="1091" t="s">
        <v>9724</v>
      </c>
      <c r="H69" s="1091" t="s">
        <v>9725</v>
      </c>
      <c r="I69" s="1091" t="s">
        <v>9726</v>
      </c>
      <c r="J69" s="1092" t="s">
        <v>9727</v>
      </c>
      <c r="K69" s="1093" t="s">
        <v>9728</v>
      </c>
      <c r="L69" s="1093" t="s">
        <v>9729</v>
      </c>
      <c r="M69" s="1082"/>
      <c r="N69" s="1082"/>
      <c r="O69" s="1082"/>
      <c r="P69" s="1082"/>
      <c r="Q69" s="1082"/>
      <c r="R69" s="1082"/>
      <c r="S69" s="1082"/>
      <c r="T69" s="1082"/>
      <c r="U69" s="1082"/>
      <c r="V69" s="1082"/>
      <c r="W69" s="1082"/>
      <c r="X69" s="1082"/>
      <c r="Y69" s="1082"/>
      <c r="Z69" s="1082"/>
      <c r="AA69" s="1082"/>
      <c r="AB69" s="1082"/>
      <c r="AC69" s="1082"/>
      <c r="AD69" s="1082"/>
      <c r="AE69" s="1082"/>
      <c r="AF69" s="1082"/>
    </row>
    <row r="70">
      <c r="A70" s="1094">
        <v>2.0</v>
      </c>
      <c r="B70" s="1094" t="s">
        <v>1430</v>
      </c>
      <c r="C70" s="1094" t="s">
        <v>1642</v>
      </c>
      <c r="D70" s="1094" t="s">
        <v>5410</v>
      </c>
      <c r="E70" s="1094" t="s">
        <v>9730</v>
      </c>
      <c r="F70" s="1094" t="s">
        <v>66</v>
      </c>
      <c r="G70" s="1094" t="s">
        <v>9731</v>
      </c>
      <c r="H70" s="1094" t="s">
        <v>9732</v>
      </c>
      <c r="I70" s="1094" t="s">
        <v>9733</v>
      </c>
      <c r="J70" s="1095" t="s">
        <v>9734</v>
      </c>
      <c r="K70" s="1096" t="s">
        <v>9735</v>
      </c>
      <c r="L70" s="1096" t="s">
        <v>9736</v>
      </c>
      <c r="M70" s="1082"/>
      <c r="N70" s="1082"/>
      <c r="O70" s="1082"/>
      <c r="P70" s="1082"/>
      <c r="Q70" s="1082"/>
      <c r="R70" s="1082"/>
      <c r="S70" s="1082"/>
      <c r="T70" s="1082"/>
      <c r="U70" s="1082"/>
      <c r="V70" s="1082"/>
      <c r="W70" s="1082"/>
      <c r="X70" s="1082"/>
      <c r="Y70" s="1082"/>
      <c r="Z70" s="1082"/>
      <c r="AA70" s="1082"/>
      <c r="AB70" s="1082"/>
      <c r="AC70" s="1082"/>
      <c r="AD70" s="1082"/>
      <c r="AE70" s="1082"/>
      <c r="AF70" s="1082"/>
    </row>
    <row r="71">
      <c r="A71" s="1091">
        <v>2.0</v>
      </c>
      <c r="B71" s="1091" t="s">
        <v>1470</v>
      </c>
      <c r="C71" s="1091" t="s">
        <v>9737</v>
      </c>
      <c r="D71" s="1091" t="s">
        <v>9063</v>
      </c>
      <c r="E71" s="1091" t="s">
        <v>9738</v>
      </c>
      <c r="F71" s="1091" t="s">
        <v>52</v>
      </c>
      <c r="G71" s="1091" t="s">
        <v>9739</v>
      </c>
      <c r="H71" s="1091" t="s">
        <v>9740</v>
      </c>
      <c r="I71" s="1091" t="s">
        <v>9741</v>
      </c>
      <c r="J71" s="1092" t="s">
        <v>9742</v>
      </c>
      <c r="K71" s="1093" t="s">
        <v>400</v>
      </c>
      <c r="L71" s="1093" t="s">
        <v>9743</v>
      </c>
      <c r="M71" s="1082"/>
      <c r="N71" s="1082"/>
      <c r="O71" s="1082"/>
      <c r="P71" s="1082"/>
      <c r="Q71" s="1082"/>
      <c r="R71" s="1082"/>
      <c r="S71" s="1082"/>
      <c r="T71" s="1082"/>
      <c r="U71" s="1082"/>
      <c r="V71" s="1082"/>
      <c r="W71" s="1082"/>
      <c r="X71" s="1082"/>
      <c r="Y71" s="1082"/>
      <c r="Z71" s="1082"/>
      <c r="AA71" s="1082"/>
      <c r="AB71" s="1082"/>
      <c r="AC71" s="1082"/>
      <c r="AD71" s="1082"/>
      <c r="AE71" s="1082"/>
      <c r="AF71" s="1082"/>
    </row>
    <row r="72">
      <c r="A72" s="1094">
        <v>2.0</v>
      </c>
      <c r="B72" s="1094" t="s">
        <v>1470</v>
      </c>
      <c r="C72" s="1094" t="s">
        <v>9744</v>
      </c>
      <c r="D72" s="1094" t="s">
        <v>9067</v>
      </c>
      <c r="E72" s="1094" t="s">
        <v>5539</v>
      </c>
      <c r="F72" s="1094" t="s">
        <v>125</v>
      </c>
      <c r="G72" s="1094" t="s">
        <v>9745</v>
      </c>
      <c r="H72" s="1094" t="s">
        <v>9746</v>
      </c>
      <c r="I72" s="1094" t="s">
        <v>9747</v>
      </c>
      <c r="J72" s="1095" t="s">
        <v>9748</v>
      </c>
      <c r="K72" s="1096" t="s">
        <v>400</v>
      </c>
      <c r="L72" s="1096" t="s">
        <v>9749</v>
      </c>
      <c r="M72" s="1082"/>
      <c r="N72" s="1082"/>
      <c r="O72" s="1082"/>
      <c r="P72" s="1082"/>
      <c r="Q72" s="1082"/>
      <c r="R72" s="1082"/>
      <c r="S72" s="1082"/>
      <c r="T72" s="1082"/>
      <c r="U72" s="1082"/>
      <c r="V72" s="1082"/>
      <c r="W72" s="1082"/>
      <c r="X72" s="1082"/>
      <c r="Y72" s="1082"/>
      <c r="Z72" s="1082"/>
      <c r="AA72" s="1082"/>
      <c r="AB72" s="1082"/>
      <c r="AC72" s="1082"/>
      <c r="AD72" s="1082"/>
      <c r="AE72" s="1082"/>
      <c r="AF72" s="1082"/>
    </row>
    <row r="73">
      <c r="A73" s="1091">
        <v>2.0</v>
      </c>
      <c r="B73" s="1091" t="s">
        <v>1470</v>
      </c>
      <c r="C73" s="1091" t="s">
        <v>1317</v>
      </c>
      <c r="D73" s="1091" t="s">
        <v>9063</v>
      </c>
      <c r="E73" s="1091" t="s">
        <v>9642</v>
      </c>
      <c r="F73" s="1091" t="s">
        <v>52</v>
      </c>
      <c r="G73" s="1091" t="s">
        <v>9750</v>
      </c>
      <c r="H73" s="1091" t="s">
        <v>9751</v>
      </c>
      <c r="I73" s="1091" t="s">
        <v>9752</v>
      </c>
      <c r="J73" s="1092" t="s">
        <v>9753</v>
      </c>
      <c r="K73" s="1093" t="s">
        <v>400</v>
      </c>
      <c r="L73" s="1093" t="s">
        <v>9754</v>
      </c>
      <c r="M73" s="1082"/>
      <c r="N73" s="1082"/>
      <c r="O73" s="1082"/>
      <c r="P73" s="1082"/>
      <c r="Q73" s="1082"/>
      <c r="R73" s="1082"/>
      <c r="S73" s="1082"/>
      <c r="T73" s="1082"/>
      <c r="U73" s="1082"/>
      <c r="V73" s="1082"/>
      <c r="W73" s="1082"/>
      <c r="X73" s="1082"/>
      <c r="Y73" s="1082"/>
      <c r="Z73" s="1082"/>
      <c r="AA73" s="1082"/>
      <c r="AB73" s="1082"/>
      <c r="AC73" s="1082"/>
      <c r="AD73" s="1082"/>
      <c r="AE73" s="1082"/>
      <c r="AF73" s="1082"/>
    </row>
    <row r="74">
      <c r="A74" s="1094">
        <v>2.0</v>
      </c>
      <c r="B74" s="1094" t="s">
        <v>1395</v>
      </c>
      <c r="C74" s="1094" t="s">
        <v>9755</v>
      </c>
      <c r="D74" s="1094" t="s">
        <v>9071</v>
      </c>
      <c r="E74" s="1094" t="s">
        <v>2892</v>
      </c>
      <c r="F74" s="1094" t="s">
        <v>942</v>
      </c>
      <c r="G74" s="1094" t="s">
        <v>9756</v>
      </c>
      <c r="H74" s="1094" t="s">
        <v>9465</v>
      </c>
      <c r="I74" s="1094" t="s">
        <v>9757</v>
      </c>
      <c r="J74" s="1095" t="s">
        <v>9758</v>
      </c>
      <c r="K74" s="1096" t="s">
        <v>400</v>
      </c>
      <c r="L74" s="1096" t="s">
        <v>9759</v>
      </c>
      <c r="M74" s="1082"/>
      <c r="N74" s="1082"/>
      <c r="O74" s="1082"/>
      <c r="P74" s="1082"/>
      <c r="Q74" s="1082"/>
      <c r="R74" s="1082"/>
      <c r="S74" s="1082"/>
      <c r="T74" s="1082"/>
      <c r="U74" s="1082"/>
      <c r="V74" s="1082"/>
      <c r="W74" s="1082"/>
      <c r="X74" s="1082"/>
      <c r="Y74" s="1082"/>
      <c r="Z74" s="1082"/>
      <c r="AA74" s="1082"/>
      <c r="AB74" s="1082"/>
      <c r="AC74" s="1082"/>
      <c r="AD74" s="1082"/>
      <c r="AE74" s="1082"/>
      <c r="AF74" s="1082"/>
    </row>
    <row r="75">
      <c r="A75" s="1091">
        <v>2.0</v>
      </c>
      <c r="B75" s="1091" t="s">
        <v>1395</v>
      </c>
      <c r="C75" s="1091" t="s">
        <v>9760</v>
      </c>
      <c r="D75" s="1091" t="s">
        <v>9063</v>
      </c>
      <c r="E75" s="1091" t="s">
        <v>9761</v>
      </c>
      <c r="F75" s="1091" t="s">
        <v>52</v>
      </c>
      <c r="G75" s="1091" t="s">
        <v>9762</v>
      </c>
      <c r="H75" s="1091" t="s">
        <v>9763</v>
      </c>
      <c r="I75" s="1091" t="s">
        <v>9764</v>
      </c>
      <c r="J75" s="1092" t="s">
        <v>9765</v>
      </c>
      <c r="K75" s="1093" t="s">
        <v>400</v>
      </c>
      <c r="L75" s="1093" t="s">
        <v>9766</v>
      </c>
      <c r="M75" s="1082"/>
      <c r="N75" s="1082"/>
      <c r="O75" s="1082"/>
      <c r="P75" s="1082"/>
      <c r="Q75" s="1082"/>
      <c r="R75" s="1082"/>
      <c r="S75" s="1082"/>
      <c r="T75" s="1082"/>
      <c r="U75" s="1082"/>
      <c r="V75" s="1082"/>
      <c r="W75" s="1082"/>
      <c r="X75" s="1082"/>
      <c r="Y75" s="1082"/>
      <c r="Z75" s="1082"/>
      <c r="AA75" s="1082"/>
      <c r="AB75" s="1082"/>
      <c r="AC75" s="1082"/>
      <c r="AD75" s="1082"/>
      <c r="AE75" s="1082"/>
      <c r="AF75" s="1082"/>
    </row>
    <row r="76">
      <c r="A76" s="1094">
        <v>2.0</v>
      </c>
      <c r="B76" s="1094" t="s">
        <v>1470</v>
      </c>
      <c r="C76" s="1094" t="s">
        <v>9767</v>
      </c>
      <c r="D76" s="1094" t="s">
        <v>9063</v>
      </c>
      <c r="E76" s="1094" t="s">
        <v>3164</v>
      </c>
      <c r="F76" s="1094" t="s">
        <v>52</v>
      </c>
      <c r="G76" s="1094" t="s">
        <v>9768</v>
      </c>
      <c r="H76" s="1094" t="s">
        <v>9440</v>
      </c>
      <c r="I76" s="1094" t="s">
        <v>9769</v>
      </c>
      <c r="J76" s="1095" t="s">
        <v>9770</v>
      </c>
      <c r="K76" s="1096" t="s">
        <v>400</v>
      </c>
      <c r="L76" s="1096" t="s">
        <v>9771</v>
      </c>
      <c r="M76" s="1082"/>
      <c r="N76" s="1082"/>
      <c r="O76" s="1082"/>
      <c r="P76" s="1082"/>
      <c r="Q76" s="1082"/>
      <c r="R76" s="1082"/>
      <c r="S76" s="1082"/>
      <c r="T76" s="1082"/>
      <c r="U76" s="1082"/>
      <c r="V76" s="1082"/>
      <c r="W76" s="1082"/>
      <c r="X76" s="1082"/>
      <c r="Y76" s="1082"/>
      <c r="Z76" s="1082"/>
      <c r="AA76" s="1082"/>
      <c r="AB76" s="1082"/>
      <c r="AC76" s="1082"/>
      <c r="AD76" s="1082"/>
      <c r="AE76" s="1082"/>
      <c r="AF76" s="1082"/>
    </row>
    <row r="77">
      <c r="A77" s="1091">
        <v>2.0</v>
      </c>
      <c r="B77" s="1091" t="s">
        <v>1470</v>
      </c>
      <c r="C77" s="1091" t="s">
        <v>525</v>
      </c>
      <c r="D77" s="1091" t="s">
        <v>9063</v>
      </c>
      <c r="E77" s="1091" t="s">
        <v>3164</v>
      </c>
      <c r="F77" s="1091" t="s">
        <v>52</v>
      </c>
      <c r="G77" s="1091" t="s">
        <v>9772</v>
      </c>
      <c r="H77" s="1091" t="s">
        <v>9773</v>
      </c>
      <c r="I77" s="1091" t="s">
        <v>9774</v>
      </c>
      <c r="J77" s="1092" t="s">
        <v>9775</v>
      </c>
      <c r="K77" s="1093" t="s">
        <v>400</v>
      </c>
      <c r="L77" s="1093" t="s">
        <v>9776</v>
      </c>
      <c r="M77" s="1082"/>
      <c r="N77" s="1082"/>
      <c r="O77" s="1082"/>
      <c r="P77" s="1082"/>
      <c r="Q77" s="1082"/>
      <c r="R77" s="1082"/>
      <c r="S77" s="1082"/>
      <c r="T77" s="1082"/>
      <c r="U77" s="1082"/>
      <c r="V77" s="1082"/>
      <c r="W77" s="1082"/>
      <c r="X77" s="1082"/>
      <c r="Y77" s="1082"/>
      <c r="Z77" s="1082"/>
      <c r="AA77" s="1082"/>
      <c r="AB77" s="1082"/>
      <c r="AC77" s="1082"/>
      <c r="AD77" s="1082"/>
      <c r="AE77" s="1082"/>
      <c r="AF77" s="1082"/>
    </row>
    <row r="78">
      <c r="A78" s="1094">
        <v>2.0</v>
      </c>
      <c r="B78" s="1094" t="s">
        <v>1470</v>
      </c>
      <c r="C78" s="1094" t="s">
        <v>1599</v>
      </c>
      <c r="D78" s="1094" t="s">
        <v>9444</v>
      </c>
      <c r="E78" s="1094" t="s">
        <v>5792</v>
      </c>
      <c r="F78" s="1094" t="s">
        <v>73</v>
      </c>
      <c r="G78" s="1094" t="s">
        <v>9777</v>
      </c>
      <c r="H78" s="1094" t="s">
        <v>9705</v>
      </c>
      <c r="I78" s="1094" t="s">
        <v>9778</v>
      </c>
      <c r="J78" s="1095" t="s">
        <v>9779</v>
      </c>
      <c r="K78" s="1096" t="s">
        <v>9780</v>
      </c>
      <c r="L78" s="1096" t="s">
        <v>9781</v>
      </c>
      <c r="M78" s="1082"/>
      <c r="N78" s="1082"/>
      <c r="O78" s="1082"/>
      <c r="P78" s="1082"/>
      <c r="Q78" s="1082"/>
      <c r="R78" s="1082"/>
      <c r="S78" s="1082"/>
      <c r="T78" s="1082"/>
      <c r="U78" s="1082"/>
      <c r="V78" s="1082"/>
      <c r="W78" s="1082"/>
      <c r="X78" s="1082"/>
      <c r="Y78" s="1082"/>
      <c r="Z78" s="1082"/>
      <c r="AA78" s="1082"/>
      <c r="AB78" s="1082"/>
      <c r="AC78" s="1082"/>
      <c r="AD78" s="1082"/>
      <c r="AE78" s="1082"/>
      <c r="AF78" s="1082"/>
    </row>
    <row r="79">
      <c r="A79" s="1091">
        <v>2.0</v>
      </c>
      <c r="B79" s="1091" t="s">
        <v>1470</v>
      </c>
      <c r="C79" s="1091" t="s">
        <v>1376</v>
      </c>
      <c r="D79" s="1091" t="s">
        <v>9063</v>
      </c>
      <c r="E79" s="1091" t="s">
        <v>9438</v>
      </c>
      <c r="F79" s="1091" t="s">
        <v>52</v>
      </c>
      <c r="G79" s="1091" t="s">
        <v>9782</v>
      </c>
      <c r="H79" s="1091" t="s">
        <v>9783</v>
      </c>
      <c r="I79" s="1091" t="s">
        <v>9784</v>
      </c>
      <c r="J79" s="1092" t="s">
        <v>9785</v>
      </c>
      <c r="K79" s="1093" t="s">
        <v>400</v>
      </c>
      <c r="L79" s="1093" t="s">
        <v>9786</v>
      </c>
      <c r="M79" s="1082"/>
      <c r="N79" s="1082"/>
      <c r="O79" s="1082"/>
      <c r="P79" s="1082"/>
      <c r="Q79" s="1082"/>
      <c r="R79" s="1082"/>
      <c r="S79" s="1082"/>
      <c r="T79" s="1082"/>
      <c r="U79" s="1082"/>
      <c r="V79" s="1082"/>
      <c r="W79" s="1082"/>
      <c r="X79" s="1082"/>
      <c r="Y79" s="1082"/>
      <c r="Z79" s="1082"/>
      <c r="AA79" s="1082"/>
      <c r="AB79" s="1082"/>
      <c r="AC79" s="1082"/>
      <c r="AD79" s="1082"/>
      <c r="AE79" s="1082"/>
      <c r="AF79" s="1082"/>
    </row>
    <row r="80">
      <c r="A80" s="1094">
        <v>2.0</v>
      </c>
      <c r="B80" s="1094" t="s">
        <v>1395</v>
      </c>
      <c r="C80" s="1094" t="s">
        <v>3971</v>
      </c>
      <c r="D80" s="1094" t="s">
        <v>4751</v>
      </c>
      <c r="E80" s="1094" t="s">
        <v>472</v>
      </c>
      <c r="F80" s="1094" t="s">
        <v>180</v>
      </c>
      <c r="G80" s="1094" t="s">
        <v>9787</v>
      </c>
      <c r="H80" s="1094" t="s">
        <v>9668</v>
      </c>
      <c r="I80" s="1094" t="s">
        <v>9788</v>
      </c>
      <c r="J80" s="1095" t="s">
        <v>9789</v>
      </c>
      <c r="K80" s="1096" t="s">
        <v>400</v>
      </c>
      <c r="L80" s="1096" t="s">
        <v>9790</v>
      </c>
      <c r="M80" s="1082"/>
      <c r="N80" s="1082"/>
      <c r="O80" s="1082"/>
      <c r="P80" s="1082"/>
      <c r="Q80" s="1082"/>
      <c r="R80" s="1082"/>
      <c r="S80" s="1082"/>
      <c r="T80" s="1082"/>
      <c r="U80" s="1082"/>
      <c r="V80" s="1082"/>
      <c r="W80" s="1082"/>
      <c r="X80" s="1082"/>
      <c r="Y80" s="1082"/>
      <c r="Z80" s="1082"/>
      <c r="AA80" s="1082"/>
      <c r="AB80" s="1082"/>
      <c r="AC80" s="1082"/>
      <c r="AD80" s="1082"/>
      <c r="AE80" s="1082"/>
      <c r="AF80" s="1082"/>
    </row>
    <row r="81">
      <c r="A81" s="1091">
        <v>2.0</v>
      </c>
      <c r="B81" s="1091" t="s">
        <v>1470</v>
      </c>
      <c r="C81" s="1091" t="s">
        <v>9791</v>
      </c>
      <c r="D81" s="1091" t="s">
        <v>9444</v>
      </c>
      <c r="E81" s="1091" t="s">
        <v>3059</v>
      </c>
      <c r="F81" s="1091" t="s">
        <v>125</v>
      </c>
      <c r="G81" s="1091" t="s">
        <v>9686</v>
      </c>
      <c r="H81" s="1091" t="s">
        <v>9705</v>
      </c>
      <c r="I81" s="1091" t="s">
        <v>9792</v>
      </c>
      <c r="J81" s="1092" t="s">
        <v>9793</v>
      </c>
      <c r="K81" s="1093" t="s">
        <v>400</v>
      </c>
      <c r="L81" s="1093" t="s">
        <v>9794</v>
      </c>
      <c r="M81" s="1082"/>
      <c r="N81" s="1082"/>
      <c r="O81" s="1082"/>
      <c r="P81" s="1082"/>
      <c r="Q81" s="1082"/>
      <c r="R81" s="1082"/>
      <c r="S81" s="1082"/>
      <c r="T81" s="1082"/>
      <c r="U81" s="1082"/>
      <c r="V81" s="1082"/>
      <c r="W81" s="1082"/>
      <c r="X81" s="1082"/>
      <c r="Y81" s="1082"/>
      <c r="Z81" s="1082"/>
      <c r="AA81" s="1082"/>
      <c r="AB81" s="1082"/>
      <c r="AC81" s="1082"/>
      <c r="AD81" s="1082"/>
      <c r="AE81" s="1082"/>
      <c r="AF81" s="1082"/>
    </row>
    <row r="82">
      <c r="A82" s="1094">
        <v>2.0</v>
      </c>
      <c r="B82" s="1094" t="s">
        <v>1430</v>
      </c>
      <c r="C82" s="1094" t="s">
        <v>3038</v>
      </c>
      <c r="D82" s="1094" t="s">
        <v>5410</v>
      </c>
      <c r="E82" s="1094" t="s">
        <v>9795</v>
      </c>
      <c r="F82" s="1094" t="s">
        <v>66</v>
      </c>
      <c r="G82" s="1094" t="s">
        <v>9796</v>
      </c>
      <c r="H82" s="1094" t="s">
        <v>9797</v>
      </c>
      <c r="I82" s="1094" t="s">
        <v>9798</v>
      </c>
      <c r="J82" s="1095" t="s">
        <v>9799</v>
      </c>
      <c r="K82" s="1096" t="s">
        <v>400</v>
      </c>
      <c r="L82" s="1096" t="s">
        <v>9800</v>
      </c>
      <c r="M82" s="1082"/>
      <c r="N82" s="1082"/>
      <c r="O82" s="1082"/>
      <c r="P82" s="1082"/>
      <c r="Q82" s="1082"/>
      <c r="R82" s="1082"/>
      <c r="S82" s="1082"/>
      <c r="T82" s="1082"/>
      <c r="U82" s="1082"/>
      <c r="V82" s="1082"/>
      <c r="W82" s="1082"/>
      <c r="X82" s="1082"/>
      <c r="Y82" s="1082"/>
      <c r="Z82" s="1082"/>
      <c r="AA82" s="1082"/>
      <c r="AB82" s="1082"/>
      <c r="AC82" s="1082"/>
      <c r="AD82" s="1082"/>
      <c r="AE82" s="1082"/>
      <c r="AF82" s="1082"/>
    </row>
    <row r="83">
      <c r="A83" s="1091">
        <v>2.0</v>
      </c>
      <c r="B83" s="1091" t="s">
        <v>1470</v>
      </c>
      <c r="C83" s="1091" t="s">
        <v>9801</v>
      </c>
      <c r="D83" s="1091" t="s">
        <v>9444</v>
      </c>
      <c r="E83" s="1091" t="s">
        <v>9802</v>
      </c>
      <c r="F83" s="1091" t="s">
        <v>73</v>
      </c>
      <c r="G83" s="1091" t="s">
        <v>9803</v>
      </c>
      <c r="H83" s="1091" t="s">
        <v>9804</v>
      </c>
      <c r="I83" s="1091" t="s">
        <v>9805</v>
      </c>
      <c r="J83" s="1092" t="s">
        <v>9806</v>
      </c>
      <c r="K83" s="1093" t="s">
        <v>400</v>
      </c>
      <c r="L83" s="1093" t="s">
        <v>9807</v>
      </c>
      <c r="M83" s="1082"/>
      <c r="N83" s="1082"/>
      <c r="O83" s="1082"/>
      <c r="P83" s="1082"/>
      <c r="Q83" s="1082"/>
      <c r="R83" s="1082"/>
      <c r="S83" s="1082"/>
      <c r="T83" s="1082"/>
      <c r="U83" s="1082"/>
      <c r="V83" s="1082"/>
      <c r="W83" s="1082"/>
      <c r="X83" s="1082"/>
      <c r="Y83" s="1082"/>
      <c r="Z83" s="1082"/>
      <c r="AA83" s="1082"/>
      <c r="AB83" s="1082"/>
      <c r="AC83" s="1082"/>
      <c r="AD83" s="1082"/>
      <c r="AE83" s="1082"/>
      <c r="AF83" s="1082"/>
    </row>
    <row r="84">
      <c r="A84" s="1094">
        <v>2.0</v>
      </c>
      <c r="B84" s="1094" t="s">
        <v>1395</v>
      </c>
      <c r="C84" s="1094" t="s">
        <v>4411</v>
      </c>
      <c r="D84" s="1094" t="s">
        <v>9067</v>
      </c>
      <c r="E84" s="1094" t="s">
        <v>9808</v>
      </c>
      <c r="F84" s="1094" t="s">
        <v>195</v>
      </c>
      <c r="G84" s="1094" t="s">
        <v>9809</v>
      </c>
      <c r="H84" s="1094" t="s">
        <v>9810</v>
      </c>
      <c r="I84" s="1094" t="s">
        <v>9811</v>
      </c>
      <c r="J84" s="1095" t="s">
        <v>9812</v>
      </c>
      <c r="K84" s="1096" t="s">
        <v>400</v>
      </c>
      <c r="L84" s="1096" t="s">
        <v>9813</v>
      </c>
      <c r="M84" s="1082"/>
      <c r="N84" s="1082"/>
      <c r="O84" s="1082"/>
      <c r="P84" s="1082"/>
      <c r="Q84" s="1082"/>
      <c r="R84" s="1082"/>
      <c r="S84" s="1082"/>
      <c r="T84" s="1082"/>
      <c r="U84" s="1082"/>
      <c r="V84" s="1082"/>
      <c r="W84" s="1082"/>
      <c r="X84" s="1082"/>
      <c r="Y84" s="1082"/>
      <c r="Z84" s="1082"/>
      <c r="AA84" s="1082"/>
      <c r="AB84" s="1082"/>
      <c r="AC84" s="1082"/>
      <c r="AD84" s="1082"/>
      <c r="AE84" s="1082"/>
      <c r="AF84" s="1082"/>
    </row>
    <row r="85">
      <c r="A85" s="1091">
        <v>2.0</v>
      </c>
      <c r="B85" s="1091" t="s">
        <v>1395</v>
      </c>
      <c r="C85" s="1091" t="s">
        <v>3959</v>
      </c>
      <c r="D85" s="1091" t="s">
        <v>9067</v>
      </c>
      <c r="E85" s="1091" t="s">
        <v>9814</v>
      </c>
      <c r="F85" s="1091" t="s">
        <v>502</v>
      </c>
      <c r="G85" s="1091" t="s">
        <v>9815</v>
      </c>
      <c r="H85" s="1091" t="s">
        <v>9465</v>
      </c>
      <c r="I85" s="1091" t="s">
        <v>9816</v>
      </c>
      <c r="J85" s="1092" t="s">
        <v>9817</v>
      </c>
      <c r="K85" s="1093" t="s">
        <v>9818</v>
      </c>
      <c r="L85" s="1093" t="s">
        <v>9819</v>
      </c>
      <c r="M85" s="1082"/>
      <c r="N85" s="1082"/>
      <c r="O85" s="1082"/>
      <c r="P85" s="1082"/>
      <c r="Q85" s="1082"/>
      <c r="R85" s="1082"/>
      <c r="S85" s="1082"/>
      <c r="T85" s="1082"/>
      <c r="U85" s="1082"/>
      <c r="V85" s="1082"/>
      <c r="W85" s="1082"/>
      <c r="X85" s="1082"/>
      <c r="Y85" s="1082"/>
      <c r="Z85" s="1082"/>
      <c r="AA85" s="1082"/>
      <c r="AB85" s="1082"/>
      <c r="AC85" s="1082"/>
      <c r="AD85" s="1082"/>
      <c r="AE85" s="1082"/>
      <c r="AF85" s="1082"/>
    </row>
    <row r="86">
      <c r="A86" s="1094">
        <v>3.0</v>
      </c>
      <c r="B86" s="1094" t="s">
        <v>1430</v>
      </c>
      <c r="C86" s="1094" t="s">
        <v>6399</v>
      </c>
      <c r="D86" s="1094" t="s">
        <v>9069</v>
      </c>
      <c r="E86" s="1094" t="s">
        <v>9820</v>
      </c>
      <c r="F86" s="1094" t="s">
        <v>43</v>
      </c>
      <c r="G86" s="1094" t="s">
        <v>9821</v>
      </c>
      <c r="H86" s="1094" t="s">
        <v>9822</v>
      </c>
      <c r="I86" s="1094" t="s">
        <v>9823</v>
      </c>
      <c r="J86" s="1095" t="s">
        <v>9824</v>
      </c>
      <c r="K86" s="1096" t="s">
        <v>9825</v>
      </c>
      <c r="L86" s="1096" t="s">
        <v>9826</v>
      </c>
      <c r="M86" s="1082"/>
      <c r="N86" s="1082"/>
      <c r="O86" s="1082"/>
      <c r="P86" s="1082"/>
      <c r="Q86" s="1082"/>
      <c r="R86" s="1082"/>
      <c r="S86" s="1082"/>
      <c r="T86" s="1082"/>
      <c r="U86" s="1082"/>
      <c r="V86" s="1082"/>
      <c r="W86" s="1082"/>
      <c r="X86" s="1082"/>
      <c r="Y86" s="1082"/>
      <c r="Z86" s="1082"/>
      <c r="AA86" s="1082"/>
      <c r="AB86" s="1082"/>
      <c r="AC86" s="1082"/>
      <c r="AD86" s="1082"/>
      <c r="AE86" s="1082"/>
      <c r="AF86" s="1082"/>
    </row>
    <row r="87">
      <c r="A87" s="1091">
        <v>3.0</v>
      </c>
      <c r="B87" s="1091" t="s">
        <v>1470</v>
      </c>
      <c r="C87" s="1091" t="s">
        <v>9827</v>
      </c>
      <c r="D87" s="1091" t="s">
        <v>9063</v>
      </c>
      <c r="E87" s="1091" t="s">
        <v>9828</v>
      </c>
      <c r="F87" s="1091" t="s">
        <v>52</v>
      </c>
      <c r="G87" s="1091" t="s">
        <v>9829</v>
      </c>
      <c r="H87" s="1091" t="s">
        <v>9830</v>
      </c>
      <c r="I87" s="1091" t="s">
        <v>9831</v>
      </c>
      <c r="J87" s="1092" t="s">
        <v>9824</v>
      </c>
      <c r="K87" s="1093" t="s">
        <v>400</v>
      </c>
      <c r="L87" s="1093" t="s">
        <v>9832</v>
      </c>
      <c r="M87" s="1082"/>
      <c r="N87" s="1082"/>
      <c r="O87" s="1082"/>
      <c r="P87" s="1082"/>
      <c r="Q87" s="1082"/>
      <c r="R87" s="1082"/>
      <c r="S87" s="1082"/>
      <c r="T87" s="1082"/>
      <c r="U87" s="1082"/>
      <c r="V87" s="1082"/>
      <c r="W87" s="1082"/>
      <c r="X87" s="1082"/>
      <c r="Y87" s="1082"/>
      <c r="Z87" s="1082"/>
      <c r="AA87" s="1082"/>
      <c r="AB87" s="1082"/>
      <c r="AC87" s="1082"/>
      <c r="AD87" s="1082"/>
      <c r="AE87" s="1082"/>
      <c r="AF87" s="1082"/>
    </row>
    <row r="88">
      <c r="A88" s="1094">
        <v>3.0</v>
      </c>
      <c r="B88" s="1094" t="s">
        <v>1430</v>
      </c>
      <c r="C88" s="1094" t="s">
        <v>9833</v>
      </c>
      <c r="D88" s="1094" t="s">
        <v>4751</v>
      </c>
      <c r="E88" s="1094" t="s">
        <v>9834</v>
      </c>
      <c r="F88" s="1094" t="s">
        <v>180</v>
      </c>
      <c r="G88" s="1094" t="s">
        <v>9835</v>
      </c>
      <c r="H88" s="1094" t="s">
        <v>9830</v>
      </c>
      <c r="I88" s="1094" t="s">
        <v>9830</v>
      </c>
      <c r="J88" s="1095" t="s">
        <v>9824</v>
      </c>
      <c r="K88" s="1096" t="s">
        <v>9825</v>
      </c>
      <c r="L88" s="1096" t="s">
        <v>9836</v>
      </c>
      <c r="M88" s="1082"/>
      <c r="N88" s="1082"/>
      <c r="O88" s="1082"/>
      <c r="P88" s="1082"/>
      <c r="Q88" s="1082"/>
      <c r="R88" s="1082"/>
      <c r="S88" s="1082"/>
      <c r="T88" s="1082"/>
      <c r="U88" s="1082"/>
      <c r="V88" s="1082"/>
      <c r="W88" s="1082"/>
      <c r="X88" s="1082"/>
      <c r="Y88" s="1082"/>
      <c r="Z88" s="1082"/>
      <c r="AA88" s="1082"/>
      <c r="AB88" s="1082"/>
      <c r="AC88" s="1082"/>
      <c r="AD88" s="1082"/>
      <c r="AE88" s="1082"/>
      <c r="AF88" s="1082"/>
    </row>
    <row r="89">
      <c r="A89" s="1091">
        <v>3.0</v>
      </c>
      <c r="B89" s="1091" t="s">
        <v>1430</v>
      </c>
      <c r="C89" s="1091" t="s">
        <v>9837</v>
      </c>
      <c r="D89" s="1091" t="s">
        <v>9069</v>
      </c>
      <c r="E89" s="1091" t="s">
        <v>9838</v>
      </c>
      <c r="F89" s="1091" t="s">
        <v>43</v>
      </c>
      <c r="G89" s="1091" t="s">
        <v>9839</v>
      </c>
      <c r="H89" s="1091" t="s">
        <v>9840</v>
      </c>
      <c r="I89" s="1091" t="s">
        <v>9841</v>
      </c>
      <c r="J89" s="1092" t="s">
        <v>9842</v>
      </c>
      <c r="K89" s="1093" t="s">
        <v>400</v>
      </c>
      <c r="L89" s="1093" t="s">
        <v>9843</v>
      </c>
      <c r="M89" s="1082"/>
      <c r="N89" s="1082"/>
      <c r="O89" s="1082"/>
      <c r="P89" s="1082"/>
      <c r="Q89" s="1082"/>
      <c r="R89" s="1082"/>
      <c r="S89" s="1082"/>
      <c r="T89" s="1082"/>
      <c r="U89" s="1082"/>
      <c r="V89" s="1082"/>
      <c r="W89" s="1082"/>
      <c r="X89" s="1082"/>
      <c r="Y89" s="1082"/>
      <c r="Z89" s="1082"/>
      <c r="AA89" s="1082"/>
      <c r="AB89" s="1082"/>
      <c r="AC89" s="1082"/>
      <c r="AD89" s="1082"/>
      <c r="AE89" s="1082"/>
      <c r="AF89" s="1082"/>
    </row>
    <row r="90">
      <c r="A90" s="1094">
        <v>3.0</v>
      </c>
      <c r="B90" s="1094" t="s">
        <v>1470</v>
      </c>
      <c r="C90" s="1094" t="s">
        <v>9844</v>
      </c>
      <c r="D90" s="1094" t="s">
        <v>9075</v>
      </c>
      <c r="E90" s="1094" t="s">
        <v>9845</v>
      </c>
      <c r="F90" s="1094" t="s">
        <v>1075</v>
      </c>
      <c r="G90" s="1094" t="s">
        <v>9846</v>
      </c>
      <c r="H90" s="1094" t="s">
        <v>9847</v>
      </c>
      <c r="I90" s="1094" t="s">
        <v>9848</v>
      </c>
      <c r="J90" s="1095" t="s">
        <v>9849</v>
      </c>
      <c r="K90" s="1096" t="s">
        <v>400</v>
      </c>
      <c r="L90" s="1096" t="s">
        <v>9850</v>
      </c>
      <c r="M90" s="1082"/>
      <c r="N90" s="1082"/>
      <c r="O90" s="1082"/>
      <c r="P90" s="1082"/>
      <c r="Q90" s="1082"/>
      <c r="R90" s="1082"/>
      <c r="S90" s="1082"/>
      <c r="T90" s="1082"/>
      <c r="U90" s="1082"/>
      <c r="V90" s="1082"/>
      <c r="W90" s="1082"/>
      <c r="X90" s="1082"/>
      <c r="Y90" s="1082"/>
      <c r="Z90" s="1082"/>
      <c r="AA90" s="1082"/>
      <c r="AB90" s="1082"/>
      <c r="AC90" s="1082"/>
      <c r="AD90" s="1082"/>
      <c r="AE90" s="1082"/>
      <c r="AF90" s="1082"/>
    </row>
    <row r="91">
      <c r="A91" s="1091">
        <v>3.0</v>
      </c>
      <c r="B91" s="1091" t="s">
        <v>1395</v>
      </c>
      <c r="C91" s="1091" t="s">
        <v>9851</v>
      </c>
      <c r="D91" s="1091" t="s">
        <v>4751</v>
      </c>
      <c r="E91" s="1091" t="s">
        <v>9852</v>
      </c>
      <c r="F91" s="1091" t="s">
        <v>180</v>
      </c>
      <c r="G91" s="1091" t="s">
        <v>9853</v>
      </c>
      <c r="H91" s="1091" t="s">
        <v>9854</v>
      </c>
      <c r="I91" s="1091" t="s">
        <v>9855</v>
      </c>
      <c r="J91" s="1092" t="s">
        <v>9856</v>
      </c>
      <c r="K91" s="1093" t="s">
        <v>400</v>
      </c>
      <c r="L91" s="1093" t="s">
        <v>9857</v>
      </c>
      <c r="M91" s="1082"/>
      <c r="N91" s="1082"/>
      <c r="O91" s="1082"/>
      <c r="P91" s="1082"/>
      <c r="Q91" s="1082"/>
      <c r="R91" s="1082"/>
      <c r="S91" s="1082"/>
      <c r="T91" s="1082"/>
      <c r="U91" s="1082"/>
      <c r="V91" s="1082"/>
      <c r="W91" s="1082"/>
      <c r="X91" s="1082"/>
      <c r="Y91" s="1082"/>
      <c r="Z91" s="1082"/>
      <c r="AA91" s="1082"/>
      <c r="AB91" s="1082"/>
      <c r="AC91" s="1082"/>
      <c r="AD91" s="1082"/>
      <c r="AE91" s="1082"/>
      <c r="AF91" s="1082"/>
    </row>
    <row r="92">
      <c r="A92" s="1094">
        <v>3.0</v>
      </c>
      <c r="B92" s="1094" t="s">
        <v>1430</v>
      </c>
      <c r="C92" s="1094" t="s">
        <v>9858</v>
      </c>
      <c r="D92" s="1094" t="s">
        <v>9069</v>
      </c>
      <c r="E92" s="1094" t="s">
        <v>3031</v>
      </c>
      <c r="F92" s="1094" t="s">
        <v>43</v>
      </c>
      <c r="G92" s="1094" t="s">
        <v>9859</v>
      </c>
      <c r="H92" s="1094" t="s">
        <v>9860</v>
      </c>
      <c r="I92" s="1094" t="s">
        <v>9861</v>
      </c>
      <c r="J92" s="1095" t="s">
        <v>9862</v>
      </c>
      <c r="K92" s="1096" t="s">
        <v>400</v>
      </c>
      <c r="L92" s="1096" t="s">
        <v>9863</v>
      </c>
      <c r="M92" s="1082"/>
      <c r="N92" s="1082"/>
      <c r="O92" s="1082"/>
      <c r="P92" s="1082"/>
      <c r="Q92" s="1082"/>
      <c r="R92" s="1082"/>
      <c r="S92" s="1082"/>
      <c r="T92" s="1082"/>
      <c r="U92" s="1082"/>
      <c r="V92" s="1082"/>
      <c r="W92" s="1082"/>
      <c r="X92" s="1082"/>
      <c r="Y92" s="1082"/>
      <c r="Z92" s="1082"/>
      <c r="AA92" s="1082"/>
      <c r="AB92" s="1082"/>
      <c r="AC92" s="1082"/>
      <c r="AD92" s="1082"/>
      <c r="AE92" s="1082"/>
      <c r="AF92" s="1082"/>
    </row>
    <row r="93">
      <c r="A93" s="1091">
        <v>3.0</v>
      </c>
      <c r="B93" s="1091" t="s">
        <v>1395</v>
      </c>
      <c r="C93" s="1091" t="s">
        <v>9864</v>
      </c>
      <c r="D93" s="1091" t="s">
        <v>4751</v>
      </c>
      <c r="E93" s="1091" t="s">
        <v>9852</v>
      </c>
      <c r="F93" s="1091" t="s">
        <v>180</v>
      </c>
      <c r="G93" s="1091" t="s">
        <v>9865</v>
      </c>
      <c r="H93" s="1091" t="s">
        <v>9866</v>
      </c>
      <c r="I93" s="1091" t="s">
        <v>9867</v>
      </c>
      <c r="J93" s="1092" t="s">
        <v>9868</v>
      </c>
      <c r="K93" s="1093" t="s">
        <v>400</v>
      </c>
      <c r="L93" s="1093" t="s">
        <v>9869</v>
      </c>
      <c r="M93" s="1082"/>
      <c r="N93" s="1082"/>
      <c r="O93" s="1082"/>
      <c r="P93" s="1082"/>
      <c r="Q93" s="1082"/>
      <c r="R93" s="1082"/>
      <c r="S93" s="1082"/>
      <c r="T93" s="1082"/>
      <c r="U93" s="1082"/>
      <c r="V93" s="1082"/>
      <c r="W93" s="1082"/>
      <c r="X93" s="1082"/>
      <c r="Y93" s="1082"/>
      <c r="Z93" s="1082"/>
      <c r="AA93" s="1082"/>
      <c r="AB93" s="1082"/>
      <c r="AC93" s="1082"/>
      <c r="AD93" s="1082"/>
      <c r="AE93" s="1082"/>
      <c r="AF93" s="1082"/>
    </row>
    <row r="94">
      <c r="A94" s="1094">
        <v>3.0</v>
      </c>
      <c r="B94" s="1094" t="s">
        <v>1470</v>
      </c>
      <c r="C94" s="1094" t="s">
        <v>9870</v>
      </c>
      <c r="D94" s="1094" t="s">
        <v>9067</v>
      </c>
      <c r="E94" s="1094" t="s">
        <v>9295</v>
      </c>
      <c r="F94" s="1094" t="s">
        <v>195</v>
      </c>
      <c r="G94" s="1094" t="s">
        <v>9871</v>
      </c>
      <c r="H94" s="1094" t="s">
        <v>9465</v>
      </c>
      <c r="I94" s="1094" t="s">
        <v>9872</v>
      </c>
      <c r="J94" s="1095" t="s">
        <v>9873</v>
      </c>
      <c r="K94" s="1096" t="s">
        <v>9874</v>
      </c>
      <c r="L94" s="1096" t="s">
        <v>9875</v>
      </c>
      <c r="M94" s="1082"/>
      <c r="N94" s="1082"/>
      <c r="O94" s="1082"/>
      <c r="P94" s="1082"/>
      <c r="Q94" s="1082"/>
      <c r="R94" s="1082"/>
      <c r="S94" s="1082"/>
      <c r="T94" s="1082"/>
      <c r="U94" s="1082"/>
      <c r="V94" s="1082"/>
      <c r="W94" s="1082"/>
      <c r="X94" s="1082"/>
      <c r="Y94" s="1082"/>
      <c r="Z94" s="1082"/>
      <c r="AA94" s="1082"/>
      <c r="AB94" s="1082"/>
      <c r="AC94" s="1082"/>
      <c r="AD94" s="1082"/>
      <c r="AE94" s="1082"/>
      <c r="AF94" s="1082"/>
    </row>
    <row r="95">
      <c r="A95" s="1091">
        <v>3.0</v>
      </c>
      <c r="B95" s="1091" t="s">
        <v>1430</v>
      </c>
      <c r="C95" s="1091" t="s">
        <v>1787</v>
      </c>
      <c r="D95" s="1091" t="s">
        <v>9075</v>
      </c>
      <c r="E95" s="1091" t="s">
        <v>9432</v>
      </c>
      <c r="F95" s="1091" t="s">
        <v>307</v>
      </c>
      <c r="G95" s="1091" t="s">
        <v>9876</v>
      </c>
      <c r="H95" s="1091" t="s">
        <v>9434</v>
      </c>
      <c r="I95" s="1091" t="s">
        <v>9877</v>
      </c>
      <c r="J95" s="1092" t="s">
        <v>9878</v>
      </c>
      <c r="K95" s="1093" t="s">
        <v>400</v>
      </c>
      <c r="L95" s="1093" t="s">
        <v>9879</v>
      </c>
      <c r="M95" s="1082"/>
      <c r="N95" s="1082"/>
      <c r="O95" s="1082"/>
      <c r="P95" s="1082"/>
      <c r="Q95" s="1082"/>
      <c r="R95" s="1082"/>
      <c r="S95" s="1082"/>
      <c r="T95" s="1082"/>
      <c r="U95" s="1082"/>
      <c r="V95" s="1082"/>
      <c r="W95" s="1082"/>
      <c r="X95" s="1082"/>
      <c r="Y95" s="1082"/>
      <c r="Z95" s="1082"/>
      <c r="AA95" s="1082"/>
      <c r="AB95" s="1082"/>
      <c r="AC95" s="1082"/>
      <c r="AD95" s="1082"/>
      <c r="AE95" s="1082"/>
      <c r="AF95" s="1082"/>
    </row>
    <row r="96">
      <c r="A96" s="1094">
        <v>3.0</v>
      </c>
      <c r="B96" s="1094" t="s">
        <v>1470</v>
      </c>
      <c r="C96" s="1094" t="s">
        <v>9880</v>
      </c>
      <c r="D96" s="1094" t="s">
        <v>9063</v>
      </c>
      <c r="E96" s="1094" t="s">
        <v>9063</v>
      </c>
      <c r="F96" s="1094" t="s">
        <v>52</v>
      </c>
      <c r="G96" s="1094" t="s">
        <v>9881</v>
      </c>
      <c r="H96" s="1094" t="s">
        <v>9866</v>
      </c>
      <c r="I96" s="1094" t="s">
        <v>9882</v>
      </c>
      <c r="J96" s="1095" t="s">
        <v>9883</v>
      </c>
      <c r="K96" s="1096" t="s">
        <v>400</v>
      </c>
      <c r="L96" s="1096" t="s">
        <v>9884</v>
      </c>
      <c r="M96" s="1082"/>
      <c r="N96" s="1082"/>
      <c r="O96" s="1082"/>
      <c r="P96" s="1082"/>
      <c r="Q96" s="1082"/>
      <c r="R96" s="1082"/>
      <c r="S96" s="1082"/>
      <c r="T96" s="1082"/>
      <c r="U96" s="1082"/>
      <c r="V96" s="1082"/>
      <c r="W96" s="1082"/>
      <c r="X96" s="1082"/>
      <c r="Y96" s="1082"/>
      <c r="Z96" s="1082"/>
      <c r="AA96" s="1082"/>
      <c r="AB96" s="1082"/>
      <c r="AC96" s="1082"/>
      <c r="AD96" s="1082"/>
      <c r="AE96" s="1082"/>
      <c r="AF96" s="1082"/>
    </row>
    <row r="97">
      <c r="A97" s="1091">
        <v>3.0</v>
      </c>
      <c r="B97" s="1091" t="s">
        <v>1395</v>
      </c>
      <c r="C97" s="1091" t="s">
        <v>6190</v>
      </c>
      <c r="D97" s="1091" t="s">
        <v>4751</v>
      </c>
      <c r="E97" s="1091" t="s">
        <v>9885</v>
      </c>
      <c r="F97" s="1091" t="s">
        <v>180</v>
      </c>
      <c r="G97" s="1091" t="s">
        <v>9886</v>
      </c>
      <c r="H97" s="1091" t="s">
        <v>9705</v>
      </c>
      <c r="I97" s="1091" t="s">
        <v>9887</v>
      </c>
      <c r="J97" s="1092" t="s">
        <v>9888</v>
      </c>
      <c r="K97" s="1093" t="s">
        <v>9889</v>
      </c>
      <c r="L97" s="1093" t="s">
        <v>9890</v>
      </c>
      <c r="M97" s="1082"/>
      <c r="N97" s="1082"/>
      <c r="O97" s="1082"/>
      <c r="P97" s="1082"/>
      <c r="Q97" s="1082"/>
      <c r="R97" s="1082"/>
      <c r="S97" s="1082"/>
      <c r="T97" s="1082"/>
      <c r="U97" s="1082"/>
      <c r="V97" s="1082"/>
      <c r="W97" s="1082"/>
      <c r="X97" s="1082"/>
      <c r="Y97" s="1082"/>
      <c r="Z97" s="1082"/>
      <c r="AA97" s="1082"/>
      <c r="AB97" s="1082"/>
      <c r="AC97" s="1082"/>
      <c r="AD97" s="1082"/>
      <c r="AE97" s="1082"/>
      <c r="AF97" s="1082"/>
    </row>
    <row r="98">
      <c r="A98" s="1094">
        <v>3.0</v>
      </c>
      <c r="B98" s="1094" t="s">
        <v>1470</v>
      </c>
      <c r="C98" s="1094" t="s">
        <v>9891</v>
      </c>
      <c r="D98" s="1094" t="s">
        <v>9075</v>
      </c>
      <c r="E98" s="1094" t="s">
        <v>693</v>
      </c>
      <c r="F98" s="1094" t="s">
        <v>174</v>
      </c>
      <c r="G98" s="1094" t="s">
        <v>9892</v>
      </c>
      <c r="H98" s="1094" t="s">
        <v>9893</v>
      </c>
      <c r="I98" s="1094" t="s">
        <v>9894</v>
      </c>
      <c r="J98" s="1095" t="s">
        <v>9895</v>
      </c>
      <c r="K98" s="1096" t="s">
        <v>400</v>
      </c>
      <c r="L98" s="1096" t="s">
        <v>9896</v>
      </c>
      <c r="M98" s="1082"/>
      <c r="N98" s="1082"/>
      <c r="O98" s="1082"/>
      <c r="P98" s="1082"/>
      <c r="Q98" s="1082"/>
      <c r="R98" s="1082"/>
      <c r="S98" s="1082"/>
      <c r="T98" s="1082"/>
      <c r="U98" s="1082"/>
      <c r="V98" s="1082"/>
      <c r="W98" s="1082"/>
      <c r="X98" s="1082"/>
      <c r="Y98" s="1082"/>
      <c r="Z98" s="1082"/>
      <c r="AA98" s="1082"/>
      <c r="AB98" s="1082"/>
      <c r="AC98" s="1082"/>
      <c r="AD98" s="1082"/>
      <c r="AE98" s="1082"/>
      <c r="AF98" s="1082"/>
    </row>
    <row r="99">
      <c r="A99" s="1091">
        <v>3.0</v>
      </c>
      <c r="B99" s="1091" t="s">
        <v>1430</v>
      </c>
      <c r="C99" s="1091" t="s">
        <v>9897</v>
      </c>
      <c r="D99" s="1091" t="s">
        <v>9069</v>
      </c>
      <c r="E99" s="1091" t="s">
        <v>5662</v>
      </c>
      <c r="F99" s="1091" t="s">
        <v>43</v>
      </c>
      <c r="G99" s="1091" t="s">
        <v>9898</v>
      </c>
      <c r="H99" s="1091" t="s">
        <v>9899</v>
      </c>
      <c r="I99" s="1091" t="s">
        <v>9900</v>
      </c>
      <c r="J99" s="1092" t="s">
        <v>9901</v>
      </c>
      <c r="K99" s="1093" t="s">
        <v>400</v>
      </c>
      <c r="L99" s="1093" t="s">
        <v>9902</v>
      </c>
      <c r="M99" s="1082"/>
      <c r="N99" s="1082"/>
      <c r="O99" s="1082"/>
      <c r="P99" s="1082"/>
      <c r="Q99" s="1082"/>
      <c r="R99" s="1082"/>
      <c r="S99" s="1082"/>
      <c r="T99" s="1082"/>
      <c r="U99" s="1082"/>
      <c r="V99" s="1082"/>
      <c r="W99" s="1082"/>
      <c r="X99" s="1082"/>
      <c r="Y99" s="1082"/>
      <c r="Z99" s="1082"/>
      <c r="AA99" s="1082"/>
      <c r="AB99" s="1082"/>
      <c r="AC99" s="1082"/>
      <c r="AD99" s="1082"/>
      <c r="AE99" s="1082"/>
      <c r="AF99" s="1082"/>
    </row>
    <row r="100">
      <c r="A100" s="1094">
        <v>3.0</v>
      </c>
      <c r="B100" s="1094" t="s">
        <v>1470</v>
      </c>
      <c r="C100" s="1094" t="s">
        <v>9903</v>
      </c>
      <c r="D100" s="1094" t="s">
        <v>9067</v>
      </c>
      <c r="E100" s="1094" t="s">
        <v>9904</v>
      </c>
      <c r="F100" s="1094" t="s">
        <v>502</v>
      </c>
      <c r="G100" s="1094" t="s">
        <v>9905</v>
      </c>
      <c r="H100" s="1094" t="s">
        <v>9906</v>
      </c>
      <c r="I100" s="1094" t="s">
        <v>9907</v>
      </c>
      <c r="J100" s="1095" t="s">
        <v>9908</v>
      </c>
      <c r="K100" s="1096" t="s">
        <v>400</v>
      </c>
      <c r="L100" s="1096" t="s">
        <v>9909</v>
      </c>
      <c r="M100" s="1082"/>
      <c r="N100" s="1082"/>
      <c r="O100" s="1082"/>
      <c r="P100" s="1082"/>
      <c r="Q100" s="1082"/>
      <c r="R100" s="1082"/>
      <c r="S100" s="1082"/>
      <c r="T100" s="1082"/>
      <c r="U100" s="1082"/>
      <c r="V100" s="1082"/>
      <c r="W100" s="1082"/>
      <c r="X100" s="1082"/>
      <c r="Y100" s="1082"/>
      <c r="Z100" s="1082"/>
      <c r="AA100" s="1082"/>
      <c r="AB100" s="1082"/>
      <c r="AC100" s="1082"/>
      <c r="AD100" s="1082"/>
      <c r="AE100" s="1082"/>
      <c r="AF100" s="1082"/>
    </row>
    <row r="101">
      <c r="A101" s="1091">
        <v>3.0</v>
      </c>
      <c r="B101" s="1091" t="s">
        <v>1395</v>
      </c>
      <c r="C101" s="1091" t="s">
        <v>9910</v>
      </c>
      <c r="D101" s="1091" t="s">
        <v>4751</v>
      </c>
      <c r="E101" s="1091" t="s">
        <v>3096</v>
      </c>
      <c r="F101" s="1091" t="s">
        <v>180</v>
      </c>
      <c r="G101" s="1091" t="s">
        <v>9911</v>
      </c>
      <c r="H101" s="1091" t="s">
        <v>9912</v>
      </c>
      <c r="I101" s="1091" t="s">
        <v>9913</v>
      </c>
      <c r="J101" s="1092" t="s">
        <v>9914</v>
      </c>
      <c r="K101" s="1093" t="s">
        <v>400</v>
      </c>
      <c r="L101" s="1093" t="s">
        <v>9915</v>
      </c>
      <c r="M101" s="1082"/>
      <c r="N101" s="1082"/>
      <c r="O101" s="1082"/>
      <c r="P101" s="1082"/>
      <c r="Q101" s="1082"/>
      <c r="R101" s="1082"/>
      <c r="S101" s="1082"/>
      <c r="T101" s="1082"/>
      <c r="U101" s="1082"/>
      <c r="V101" s="1082"/>
      <c r="W101" s="1082"/>
      <c r="X101" s="1082"/>
      <c r="Y101" s="1082"/>
      <c r="Z101" s="1082"/>
      <c r="AA101" s="1082"/>
      <c r="AB101" s="1082"/>
      <c r="AC101" s="1082"/>
      <c r="AD101" s="1082"/>
      <c r="AE101" s="1082"/>
      <c r="AF101" s="1082"/>
    </row>
    <row r="102">
      <c r="A102" s="1094">
        <v>3.0</v>
      </c>
      <c r="B102" s="1094" t="s">
        <v>1395</v>
      </c>
      <c r="C102" s="1094" t="s">
        <v>657</v>
      </c>
      <c r="D102" s="1094" t="s">
        <v>4751</v>
      </c>
      <c r="E102" s="1094" t="s">
        <v>9916</v>
      </c>
      <c r="F102" s="1094" t="s">
        <v>180</v>
      </c>
      <c r="G102" s="1094" t="s">
        <v>9917</v>
      </c>
      <c r="H102" s="1094" t="s">
        <v>9918</v>
      </c>
      <c r="I102" s="1094" t="s">
        <v>9919</v>
      </c>
      <c r="J102" s="1095" t="s">
        <v>9920</v>
      </c>
      <c r="K102" s="1096" t="s">
        <v>400</v>
      </c>
      <c r="L102" s="1096" t="s">
        <v>9921</v>
      </c>
      <c r="M102" s="1082"/>
      <c r="N102" s="1082"/>
      <c r="O102" s="1082"/>
      <c r="P102" s="1082"/>
      <c r="Q102" s="1082"/>
      <c r="R102" s="1082"/>
      <c r="S102" s="1082"/>
      <c r="T102" s="1082"/>
      <c r="U102" s="1082"/>
      <c r="V102" s="1082"/>
      <c r="W102" s="1082"/>
      <c r="X102" s="1082"/>
      <c r="Y102" s="1082"/>
      <c r="Z102" s="1082"/>
      <c r="AA102" s="1082"/>
      <c r="AB102" s="1082"/>
      <c r="AC102" s="1082"/>
      <c r="AD102" s="1082"/>
      <c r="AE102" s="1082"/>
      <c r="AF102" s="1082"/>
    </row>
    <row r="103">
      <c r="A103" s="1091">
        <v>3.0</v>
      </c>
      <c r="B103" s="1091" t="s">
        <v>1430</v>
      </c>
      <c r="C103" s="1091" t="s">
        <v>9922</v>
      </c>
      <c r="D103" s="1091" t="s">
        <v>9069</v>
      </c>
      <c r="E103" s="1091" t="s">
        <v>675</v>
      </c>
      <c r="F103" s="1091" t="s">
        <v>43</v>
      </c>
      <c r="G103" s="1091" t="s">
        <v>9923</v>
      </c>
      <c r="H103" s="1091" t="s">
        <v>9924</v>
      </c>
      <c r="I103" s="1091" t="s">
        <v>9925</v>
      </c>
      <c r="J103" s="1092" t="s">
        <v>9926</v>
      </c>
      <c r="K103" s="1093" t="s">
        <v>400</v>
      </c>
      <c r="L103" s="1093" t="s">
        <v>9927</v>
      </c>
      <c r="M103" s="1082"/>
      <c r="N103" s="1082"/>
      <c r="O103" s="1082"/>
      <c r="P103" s="1082"/>
      <c r="Q103" s="1082"/>
      <c r="R103" s="1082"/>
      <c r="S103" s="1082"/>
      <c r="T103" s="1082"/>
      <c r="U103" s="1082"/>
      <c r="V103" s="1082"/>
      <c r="W103" s="1082"/>
      <c r="X103" s="1082"/>
      <c r="Y103" s="1082"/>
      <c r="Z103" s="1082"/>
      <c r="AA103" s="1082"/>
      <c r="AB103" s="1082"/>
      <c r="AC103" s="1082"/>
      <c r="AD103" s="1082"/>
      <c r="AE103" s="1082"/>
      <c r="AF103" s="1082"/>
    </row>
    <row r="104">
      <c r="A104" s="1094">
        <v>3.0</v>
      </c>
      <c r="B104" s="1094" t="s">
        <v>1470</v>
      </c>
      <c r="C104" s="1094" t="s">
        <v>9928</v>
      </c>
      <c r="D104" s="1094" t="s">
        <v>9063</v>
      </c>
      <c r="E104" s="1094" t="s">
        <v>9929</v>
      </c>
      <c r="F104" s="1094" t="s">
        <v>52</v>
      </c>
      <c r="G104" s="1094" t="s">
        <v>9930</v>
      </c>
      <c r="H104" s="1094" t="s">
        <v>9866</v>
      </c>
      <c r="I104" s="1094" t="s">
        <v>9882</v>
      </c>
      <c r="J104" s="1095" t="s">
        <v>9883</v>
      </c>
      <c r="K104" s="1096" t="s">
        <v>400</v>
      </c>
      <c r="L104" s="1096" t="s">
        <v>9931</v>
      </c>
      <c r="M104" s="1082"/>
      <c r="N104" s="1082"/>
      <c r="O104" s="1082"/>
      <c r="P104" s="1082"/>
      <c r="Q104" s="1082"/>
      <c r="R104" s="1082"/>
      <c r="S104" s="1082"/>
      <c r="T104" s="1082"/>
      <c r="U104" s="1082"/>
      <c r="V104" s="1082"/>
      <c r="W104" s="1082"/>
      <c r="X104" s="1082"/>
      <c r="Y104" s="1082"/>
      <c r="Z104" s="1082"/>
      <c r="AA104" s="1082"/>
      <c r="AB104" s="1082"/>
      <c r="AC104" s="1082"/>
      <c r="AD104" s="1082"/>
      <c r="AE104" s="1082"/>
      <c r="AF104" s="1082"/>
    </row>
    <row r="105">
      <c r="A105" s="1091">
        <v>3.0</v>
      </c>
      <c r="B105" s="1091" t="s">
        <v>1430</v>
      </c>
      <c r="C105" s="1091" t="s">
        <v>2665</v>
      </c>
      <c r="D105" s="1091" t="s">
        <v>5410</v>
      </c>
      <c r="E105" s="1091" t="s">
        <v>9932</v>
      </c>
      <c r="F105" s="1091" t="s">
        <v>66</v>
      </c>
      <c r="G105" s="1091" t="s">
        <v>9933</v>
      </c>
      <c r="H105" s="1091" t="s">
        <v>9934</v>
      </c>
      <c r="I105" s="1091" t="s">
        <v>9935</v>
      </c>
      <c r="J105" s="1092" t="s">
        <v>9936</v>
      </c>
      <c r="K105" s="1093" t="s">
        <v>400</v>
      </c>
      <c r="L105" s="1093" t="s">
        <v>9937</v>
      </c>
      <c r="M105" s="1082"/>
      <c r="N105" s="1082"/>
      <c r="O105" s="1082"/>
      <c r="P105" s="1082"/>
      <c r="Q105" s="1082"/>
      <c r="R105" s="1082"/>
      <c r="S105" s="1082"/>
      <c r="T105" s="1082"/>
      <c r="U105" s="1082"/>
      <c r="V105" s="1082"/>
      <c r="W105" s="1082"/>
      <c r="X105" s="1082"/>
      <c r="Y105" s="1082"/>
      <c r="Z105" s="1082"/>
      <c r="AA105" s="1082"/>
      <c r="AB105" s="1082"/>
      <c r="AC105" s="1082"/>
      <c r="AD105" s="1082"/>
      <c r="AE105" s="1082"/>
      <c r="AF105" s="1082"/>
    </row>
    <row r="106">
      <c r="A106" s="1094">
        <v>3.0</v>
      </c>
      <c r="B106" s="1094" t="s">
        <v>1430</v>
      </c>
      <c r="C106" s="1094" t="s">
        <v>1418</v>
      </c>
      <c r="D106" s="1094" t="s">
        <v>5410</v>
      </c>
      <c r="E106" s="1094" t="s">
        <v>9938</v>
      </c>
      <c r="F106" s="1094" t="s">
        <v>66</v>
      </c>
      <c r="G106" s="1094" t="s">
        <v>9939</v>
      </c>
      <c r="H106" s="1094" t="s">
        <v>9940</v>
      </c>
      <c r="I106" s="1094" t="s">
        <v>9941</v>
      </c>
      <c r="J106" s="1095" t="s">
        <v>9942</v>
      </c>
      <c r="K106" s="1096" t="s">
        <v>400</v>
      </c>
      <c r="L106" s="1096" t="s">
        <v>9943</v>
      </c>
      <c r="M106" s="1082"/>
      <c r="N106" s="1082"/>
      <c r="O106" s="1082"/>
      <c r="P106" s="1082"/>
      <c r="Q106" s="1082"/>
      <c r="R106" s="1082"/>
      <c r="S106" s="1082"/>
      <c r="T106" s="1082"/>
      <c r="U106" s="1082"/>
      <c r="V106" s="1082"/>
      <c r="W106" s="1082"/>
      <c r="X106" s="1082"/>
      <c r="Y106" s="1082"/>
      <c r="Z106" s="1082"/>
      <c r="AA106" s="1082"/>
      <c r="AB106" s="1082"/>
      <c r="AC106" s="1082"/>
      <c r="AD106" s="1082"/>
      <c r="AE106" s="1082"/>
      <c r="AF106" s="1082"/>
    </row>
    <row r="107">
      <c r="A107" s="1091">
        <v>3.0</v>
      </c>
      <c r="B107" s="1091" t="s">
        <v>1430</v>
      </c>
      <c r="C107" s="1091" t="s">
        <v>9944</v>
      </c>
      <c r="D107" s="1091" t="s">
        <v>9069</v>
      </c>
      <c r="E107" s="1091" t="s">
        <v>9945</v>
      </c>
      <c r="F107" s="1091" t="s">
        <v>43</v>
      </c>
      <c r="G107" s="1091" t="s">
        <v>9946</v>
      </c>
      <c r="H107" s="1091" t="s">
        <v>9947</v>
      </c>
      <c r="I107" s="1091" t="s">
        <v>9948</v>
      </c>
      <c r="J107" s="1092" t="s">
        <v>9949</v>
      </c>
      <c r="K107" s="1093" t="s">
        <v>400</v>
      </c>
      <c r="L107" s="1093" t="s">
        <v>9950</v>
      </c>
      <c r="M107" s="1082"/>
      <c r="N107" s="1082"/>
      <c r="O107" s="1082"/>
      <c r="P107" s="1082"/>
      <c r="Q107" s="1082"/>
      <c r="R107" s="1082"/>
      <c r="S107" s="1082"/>
      <c r="T107" s="1082"/>
      <c r="U107" s="1082"/>
      <c r="V107" s="1082"/>
      <c r="W107" s="1082"/>
      <c r="X107" s="1082"/>
      <c r="Y107" s="1082"/>
      <c r="Z107" s="1082"/>
      <c r="AA107" s="1082"/>
      <c r="AB107" s="1082"/>
      <c r="AC107" s="1082"/>
      <c r="AD107" s="1082"/>
      <c r="AE107" s="1082"/>
      <c r="AF107" s="1082"/>
    </row>
    <row r="108">
      <c r="A108" s="1094">
        <v>3.0</v>
      </c>
      <c r="B108" s="1094" t="s">
        <v>1430</v>
      </c>
      <c r="C108" s="1094" t="s">
        <v>6582</v>
      </c>
      <c r="D108" s="1094" t="s">
        <v>9075</v>
      </c>
      <c r="E108" s="1094" t="s">
        <v>2563</v>
      </c>
      <c r="F108" s="1094" t="s">
        <v>585</v>
      </c>
      <c r="G108" s="1094" t="s">
        <v>9951</v>
      </c>
      <c r="H108" s="1094" t="s">
        <v>9952</v>
      </c>
      <c r="I108" s="1094" t="s">
        <v>9953</v>
      </c>
      <c r="J108" s="1095" t="s">
        <v>9954</v>
      </c>
      <c r="K108" s="1096" t="s">
        <v>9955</v>
      </c>
      <c r="L108" s="1096" t="s">
        <v>9956</v>
      </c>
      <c r="M108" s="1082"/>
      <c r="N108" s="1082"/>
      <c r="O108" s="1082"/>
      <c r="P108" s="1082"/>
      <c r="Q108" s="1082"/>
      <c r="R108" s="1082"/>
      <c r="S108" s="1082"/>
      <c r="T108" s="1082"/>
      <c r="U108" s="1082"/>
      <c r="V108" s="1082"/>
      <c r="W108" s="1082"/>
      <c r="X108" s="1082"/>
      <c r="Y108" s="1082"/>
      <c r="Z108" s="1082"/>
      <c r="AA108" s="1082"/>
      <c r="AB108" s="1082"/>
      <c r="AC108" s="1082"/>
      <c r="AD108" s="1082"/>
      <c r="AE108" s="1082"/>
      <c r="AF108" s="1082"/>
    </row>
    <row r="109">
      <c r="A109" s="1091">
        <v>3.0</v>
      </c>
      <c r="B109" s="1091" t="s">
        <v>1430</v>
      </c>
      <c r="C109" s="1091" t="s">
        <v>2849</v>
      </c>
      <c r="D109" s="1091" t="s">
        <v>9075</v>
      </c>
      <c r="E109" s="1091" t="s">
        <v>9957</v>
      </c>
      <c r="F109" s="1091" t="s">
        <v>1153</v>
      </c>
      <c r="G109" s="1091" t="s">
        <v>9958</v>
      </c>
      <c r="H109" s="1091" t="s">
        <v>9959</v>
      </c>
      <c r="I109" s="1091" t="s">
        <v>9960</v>
      </c>
      <c r="J109" s="1092" t="s">
        <v>9961</v>
      </c>
      <c r="K109" s="1093" t="s">
        <v>400</v>
      </c>
      <c r="L109" s="1093" t="s">
        <v>9962</v>
      </c>
      <c r="M109" s="1082"/>
      <c r="N109" s="1082"/>
      <c r="O109" s="1082"/>
      <c r="P109" s="1082"/>
      <c r="Q109" s="1082"/>
      <c r="R109" s="1082"/>
      <c r="S109" s="1082"/>
      <c r="T109" s="1082"/>
      <c r="U109" s="1082"/>
      <c r="V109" s="1082"/>
      <c r="W109" s="1082"/>
      <c r="X109" s="1082"/>
      <c r="Y109" s="1082"/>
      <c r="Z109" s="1082"/>
      <c r="AA109" s="1082"/>
      <c r="AB109" s="1082"/>
      <c r="AC109" s="1082"/>
      <c r="AD109" s="1082"/>
      <c r="AE109" s="1082"/>
      <c r="AF109" s="1082"/>
    </row>
    <row r="110">
      <c r="A110" s="1094">
        <v>3.0</v>
      </c>
      <c r="B110" s="1094" t="s">
        <v>1395</v>
      </c>
      <c r="C110" s="1094" t="s">
        <v>1332</v>
      </c>
      <c r="D110" s="1094" t="s">
        <v>9075</v>
      </c>
      <c r="E110" s="1094" t="s">
        <v>3026</v>
      </c>
      <c r="F110" s="1094" t="s">
        <v>148</v>
      </c>
      <c r="G110" s="1094" t="s">
        <v>9439</v>
      </c>
      <c r="H110" s="1094" t="s">
        <v>9866</v>
      </c>
      <c r="I110" s="1094" t="s">
        <v>9963</v>
      </c>
      <c r="J110" s="1095" t="s">
        <v>9964</v>
      </c>
      <c r="K110" s="1096" t="s">
        <v>400</v>
      </c>
      <c r="L110" s="1096" t="s">
        <v>9965</v>
      </c>
      <c r="M110" s="1082"/>
      <c r="N110" s="1082"/>
      <c r="O110" s="1082"/>
      <c r="P110" s="1082"/>
      <c r="Q110" s="1082"/>
      <c r="R110" s="1082"/>
      <c r="S110" s="1082"/>
      <c r="T110" s="1082"/>
      <c r="U110" s="1082"/>
      <c r="V110" s="1082"/>
      <c r="W110" s="1082"/>
      <c r="X110" s="1082"/>
      <c r="Y110" s="1082"/>
      <c r="Z110" s="1082"/>
      <c r="AA110" s="1082"/>
      <c r="AB110" s="1082"/>
      <c r="AC110" s="1082"/>
      <c r="AD110" s="1082"/>
      <c r="AE110" s="1082"/>
      <c r="AF110" s="1082"/>
    </row>
    <row r="111">
      <c r="A111" s="1091">
        <v>3.0</v>
      </c>
      <c r="B111" s="1091" t="s">
        <v>1430</v>
      </c>
      <c r="C111" s="1091" t="s">
        <v>1230</v>
      </c>
      <c r="D111" s="1091" t="s">
        <v>9075</v>
      </c>
      <c r="E111" s="1091" t="s">
        <v>9966</v>
      </c>
      <c r="F111" s="1091" t="s">
        <v>1153</v>
      </c>
      <c r="G111" s="1091" t="s">
        <v>9967</v>
      </c>
      <c r="H111" s="1091" t="s">
        <v>9968</v>
      </c>
      <c r="I111" s="1091" t="s">
        <v>9969</v>
      </c>
      <c r="J111" s="1092" t="s">
        <v>9970</v>
      </c>
      <c r="K111" s="1093" t="s">
        <v>400</v>
      </c>
      <c r="L111" s="1093" t="s">
        <v>9971</v>
      </c>
      <c r="M111" s="1082"/>
      <c r="N111" s="1082"/>
      <c r="O111" s="1082"/>
      <c r="P111" s="1082"/>
      <c r="Q111" s="1082"/>
      <c r="R111" s="1082"/>
      <c r="S111" s="1082"/>
      <c r="T111" s="1082"/>
      <c r="U111" s="1082"/>
      <c r="V111" s="1082"/>
      <c r="W111" s="1082"/>
      <c r="X111" s="1082"/>
      <c r="Y111" s="1082"/>
      <c r="Z111" s="1082"/>
      <c r="AA111" s="1082"/>
      <c r="AB111" s="1082"/>
      <c r="AC111" s="1082"/>
      <c r="AD111" s="1082"/>
      <c r="AE111" s="1082"/>
      <c r="AF111" s="1082"/>
    </row>
    <row r="112">
      <c r="A112" s="1094">
        <v>3.0</v>
      </c>
      <c r="B112" s="1094" t="s">
        <v>1430</v>
      </c>
      <c r="C112" s="1094" t="s">
        <v>9972</v>
      </c>
      <c r="D112" s="1094" t="s">
        <v>4751</v>
      </c>
      <c r="E112" s="1094" t="s">
        <v>4139</v>
      </c>
      <c r="F112" s="1094" t="s">
        <v>180</v>
      </c>
      <c r="G112" s="1094" t="s">
        <v>9973</v>
      </c>
      <c r="H112" s="1094" t="s">
        <v>9974</v>
      </c>
      <c r="I112" s="1094" t="s">
        <v>9975</v>
      </c>
      <c r="J112" s="1095" t="s">
        <v>9976</v>
      </c>
      <c r="K112" s="1096" t="s">
        <v>400</v>
      </c>
      <c r="L112" s="1096" t="s">
        <v>9977</v>
      </c>
      <c r="M112" s="1082"/>
      <c r="N112" s="1082"/>
      <c r="O112" s="1082"/>
      <c r="P112" s="1082"/>
      <c r="Q112" s="1082"/>
      <c r="R112" s="1082"/>
      <c r="S112" s="1082"/>
      <c r="T112" s="1082"/>
      <c r="U112" s="1082"/>
      <c r="V112" s="1082"/>
      <c r="W112" s="1082"/>
      <c r="X112" s="1082"/>
      <c r="Y112" s="1082"/>
      <c r="Z112" s="1082"/>
      <c r="AA112" s="1082"/>
      <c r="AB112" s="1082"/>
      <c r="AC112" s="1082"/>
      <c r="AD112" s="1082"/>
      <c r="AE112" s="1082"/>
      <c r="AF112" s="1082"/>
    </row>
    <row r="113">
      <c r="A113" s="1091">
        <v>3.0</v>
      </c>
      <c r="B113" s="1091" t="s">
        <v>1430</v>
      </c>
      <c r="C113" s="1091" t="s">
        <v>263</v>
      </c>
      <c r="D113" s="1091" t="s">
        <v>9075</v>
      </c>
      <c r="E113" s="1091" t="s">
        <v>9978</v>
      </c>
      <c r="F113" s="1091" t="s">
        <v>153</v>
      </c>
      <c r="G113" s="1091" t="s">
        <v>9395</v>
      </c>
      <c r="H113" s="1091" t="s">
        <v>9860</v>
      </c>
      <c r="I113" s="1091" t="s">
        <v>9979</v>
      </c>
      <c r="J113" s="1092" t="s">
        <v>9980</v>
      </c>
      <c r="K113" s="1093" t="s">
        <v>9981</v>
      </c>
      <c r="L113" s="1093" t="s">
        <v>9982</v>
      </c>
      <c r="M113" s="1082"/>
      <c r="N113" s="1082"/>
      <c r="O113" s="1082"/>
      <c r="P113" s="1082"/>
      <c r="Q113" s="1082"/>
      <c r="R113" s="1082"/>
      <c r="S113" s="1082"/>
      <c r="T113" s="1082"/>
      <c r="U113" s="1082"/>
      <c r="V113" s="1082"/>
      <c r="W113" s="1082"/>
      <c r="X113" s="1082"/>
      <c r="Y113" s="1082"/>
      <c r="Z113" s="1082"/>
      <c r="AA113" s="1082"/>
      <c r="AB113" s="1082"/>
      <c r="AC113" s="1082"/>
      <c r="AD113" s="1082"/>
      <c r="AE113" s="1082"/>
      <c r="AF113" s="1082"/>
    </row>
    <row r="114">
      <c r="A114" s="1094">
        <v>3.0</v>
      </c>
      <c r="B114" s="1094" t="s">
        <v>1430</v>
      </c>
      <c r="C114" s="1094" t="s">
        <v>3547</v>
      </c>
      <c r="D114" s="1094" t="s">
        <v>9075</v>
      </c>
      <c r="E114" s="1094" t="s">
        <v>9983</v>
      </c>
      <c r="F114" s="1094" t="s">
        <v>153</v>
      </c>
      <c r="G114" s="1094" t="s">
        <v>9984</v>
      </c>
      <c r="H114" s="1094" t="s">
        <v>9985</v>
      </c>
      <c r="I114" s="1094" t="s">
        <v>9986</v>
      </c>
      <c r="J114" s="1095" t="s">
        <v>9987</v>
      </c>
      <c r="K114" s="1096" t="s">
        <v>9988</v>
      </c>
      <c r="L114" s="1096" t="s">
        <v>9989</v>
      </c>
      <c r="M114" s="1082"/>
      <c r="N114" s="1082"/>
      <c r="O114" s="1082"/>
      <c r="P114" s="1082"/>
      <c r="Q114" s="1082"/>
      <c r="R114" s="1082"/>
      <c r="S114" s="1082"/>
      <c r="T114" s="1082"/>
      <c r="U114" s="1082"/>
      <c r="V114" s="1082"/>
      <c r="W114" s="1082"/>
      <c r="X114" s="1082"/>
      <c r="Y114" s="1082"/>
      <c r="Z114" s="1082"/>
      <c r="AA114" s="1082"/>
      <c r="AB114" s="1082"/>
      <c r="AC114" s="1082"/>
      <c r="AD114" s="1082"/>
      <c r="AE114" s="1082"/>
      <c r="AF114" s="1082"/>
    </row>
    <row r="115">
      <c r="A115" s="1091">
        <v>3.0</v>
      </c>
      <c r="B115" s="1091" t="s">
        <v>1430</v>
      </c>
      <c r="C115" s="1091" t="s">
        <v>7225</v>
      </c>
      <c r="D115" s="1091" t="s">
        <v>9075</v>
      </c>
      <c r="E115" s="1091" t="s">
        <v>9990</v>
      </c>
      <c r="F115" s="1091" t="s">
        <v>153</v>
      </c>
      <c r="G115" s="1091" t="s">
        <v>9991</v>
      </c>
      <c r="H115" s="1091" t="s">
        <v>9992</v>
      </c>
      <c r="I115" s="1091" t="s">
        <v>9993</v>
      </c>
      <c r="J115" s="1092" t="s">
        <v>9994</v>
      </c>
      <c r="K115" s="1093" t="s">
        <v>400</v>
      </c>
      <c r="L115" s="1093" t="s">
        <v>9995</v>
      </c>
      <c r="M115" s="1082"/>
      <c r="N115" s="1082"/>
      <c r="O115" s="1082"/>
      <c r="P115" s="1082"/>
      <c r="Q115" s="1082"/>
      <c r="R115" s="1082"/>
      <c r="S115" s="1082"/>
      <c r="T115" s="1082"/>
      <c r="U115" s="1082"/>
      <c r="V115" s="1082"/>
      <c r="W115" s="1082"/>
      <c r="X115" s="1082"/>
      <c r="Y115" s="1082"/>
      <c r="Z115" s="1082"/>
      <c r="AA115" s="1082"/>
      <c r="AB115" s="1082"/>
      <c r="AC115" s="1082"/>
      <c r="AD115" s="1082"/>
      <c r="AE115" s="1082"/>
      <c r="AF115" s="1082"/>
    </row>
    <row r="116">
      <c r="A116" s="1094">
        <v>3.0</v>
      </c>
      <c r="B116" s="1094" t="s">
        <v>1430</v>
      </c>
      <c r="C116" s="1094" t="s">
        <v>9996</v>
      </c>
      <c r="D116" s="1094" t="s">
        <v>5410</v>
      </c>
      <c r="E116" s="1094" t="s">
        <v>2962</v>
      </c>
      <c r="F116" s="1094" t="s">
        <v>66</v>
      </c>
      <c r="G116" s="1094" t="s">
        <v>9997</v>
      </c>
      <c r="H116" s="1094" t="s">
        <v>9998</v>
      </c>
      <c r="I116" s="1094" t="s">
        <v>9999</v>
      </c>
      <c r="J116" s="1095" t="s">
        <v>10000</v>
      </c>
      <c r="K116" s="1096" t="s">
        <v>400</v>
      </c>
      <c r="L116" s="1096" t="s">
        <v>10001</v>
      </c>
      <c r="M116" s="1082"/>
      <c r="N116" s="1082"/>
      <c r="O116" s="1082"/>
      <c r="P116" s="1082"/>
      <c r="Q116" s="1082"/>
      <c r="R116" s="1082"/>
      <c r="S116" s="1082"/>
      <c r="T116" s="1082"/>
      <c r="U116" s="1082"/>
      <c r="V116" s="1082"/>
      <c r="W116" s="1082"/>
      <c r="X116" s="1082"/>
      <c r="Y116" s="1082"/>
      <c r="Z116" s="1082"/>
      <c r="AA116" s="1082"/>
      <c r="AB116" s="1082"/>
      <c r="AC116" s="1082"/>
      <c r="AD116" s="1082"/>
      <c r="AE116" s="1082"/>
      <c r="AF116" s="1082"/>
    </row>
    <row r="117">
      <c r="A117" s="1091">
        <v>3.0</v>
      </c>
      <c r="B117" s="1091" t="s">
        <v>1470</v>
      </c>
      <c r="C117" s="1091" t="s">
        <v>4242</v>
      </c>
      <c r="D117" s="1091" t="s">
        <v>9067</v>
      </c>
      <c r="E117" s="1091" t="s">
        <v>10002</v>
      </c>
      <c r="F117" s="1091" t="s">
        <v>240</v>
      </c>
      <c r="G117" s="1091" t="s">
        <v>10003</v>
      </c>
      <c r="H117" s="1091" t="s">
        <v>10004</v>
      </c>
      <c r="I117" s="1091" t="s">
        <v>9465</v>
      </c>
      <c r="J117" s="1092" t="s">
        <v>10005</v>
      </c>
      <c r="K117" s="1093" t="s">
        <v>400</v>
      </c>
      <c r="L117" s="1093" t="s">
        <v>10006</v>
      </c>
      <c r="M117" s="1082"/>
      <c r="N117" s="1082"/>
      <c r="O117" s="1082"/>
      <c r="P117" s="1082"/>
      <c r="Q117" s="1082"/>
      <c r="R117" s="1082"/>
      <c r="S117" s="1082"/>
      <c r="T117" s="1082"/>
      <c r="U117" s="1082"/>
      <c r="V117" s="1082"/>
      <c r="W117" s="1082"/>
      <c r="X117" s="1082"/>
      <c r="Y117" s="1082"/>
      <c r="Z117" s="1082"/>
      <c r="AA117" s="1082"/>
      <c r="AB117" s="1082"/>
      <c r="AC117" s="1082"/>
      <c r="AD117" s="1082"/>
      <c r="AE117" s="1082"/>
      <c r="AF117" s="1082"/>
    </row>
    <row r="118">
      <c r="A118" s="1094">
        <v>3.0</v>
      </c>
      <c r="B118" s="1094" t="s">
        <v>1470</v>
      </c>
      <c r="C118" s="1094" t="s">
        <v>10007</v>
      </c>
      <c r="D118" s="1094" t="s">
        <v>9063</v>
      </c>
      <c r="E118" s="1094" t="s">
        <v>10008</v>
      </c>
      <c r="F118" s="1094" t="s">
        <v>52</v>
      </c>
      <c r="G118" s="1094" t="s">
        <v>9439</v>
      </c>
      <c r="H118" s="1094" t="s">
        <v>10009</v>
      </c>
      <c r="I118" s="1094" t="s">
        <v>10010</v>
      </c>
      <c r="J118" s="1095" t="s">
        <v>10011</v>
      </c>
      <c r="K118" s="1096" t="s">
        <v>400</v>
      </c>
      <c r="L118" s="1096" t="s">
        <v>10012</v>
      </c>
      <c r="M118" s="1082"/>
      <c r="N118" s="1082"/>
      <c r="O118" s="1082"/>
      <c r="P118" s="1082"/>
      <c r="Q118" s="1082"/>
      <c r="R118" s="1082"/>
      <c r="S118" s="1082"/>
      <c r="T118" s="1082"/>
      <c r="U118" s="1082"/>
      <c r="V118" s="1082"/>
      <c r="W118" s="1082"/>
      <c r="X118" s="1082"/>
      <c r="Y118" s="1082"/>
      <c r="Z118" s="1082"/>
      <c r="AA118" s="1082"/>
      <c r="AB118" s="1082"/>
      <c r="AC118" s="1082"/>
      <c r="AD118" s="1082"/>
      <c r="AE118" s="1082"/>
      <c r="AF118" s="1082"/>
    </row>
    <row r="119">
      <c r="A119" s="1091">
        <v>3.0</v>
      </c>
      <c r="B119" s="1091" t="s">
        <v>1430</v>
      </c>
      <c r="C119" s="1091" t="s">
        <v>6419</v>
      </c>
      <c r="D119" s="1091" t="s">
        <v>4751</v>
      </c>
      <c r="E119" s="1091" t="s">
        <v>10013</v>
      </c>
      <c r="F119" s="1091" t="s">
        <v>180</v>
      </c>
      <c r="G119" s="1091" t="s">
        <v>10014</v>
      </c>
      <c r="H119" s="1091" t="s">
        <v>10015</v>
      </c>
      <c r="I119" s="1091" t="s">
        <v>10016</v>
      </c>
      <c r="J119" s="1092" t="s">
        <v>10017</v>
      </c>
      <c r="K119" s="1093" t="s">
        <v>400</v>
      </c>
      <c r="L119" s="1093" t="s">
        <v>10018</v>
      </c>
      <c r="M119" s="1082"/>
      <c r="N119" s="1082"/>
      <c r="O119" s="1082"/>
      <c r="P119" s="1082"/>
      <c r="Q119" s="1082"/>
      <c r="R119" s="1082"/>
      <c r="S119" s="1082"/>
      <c r="T119" s="1082"/>
      <c r="U119" s="1082"/>
      <c r="V119" s="1082"/>
      <c r="W119" s="1082"/>
      <c r="X119" s="1082"/>
      <c r="Y119" s="1082"/>
      <c r="Z119" s="1082"/>
      <c r="AA119" s="1082"/>
      <c r="AB119" s="1082"/>
      <c r="AC119" s="1082"/>
      <c r="AD119" s="1082"/>
      <c r="AE119" s="1082"/>
      <c r="AF119" s="1082"/>
    </row>
    <row r="120">
      <c r="A120" s="1094">
        <v>3.0</v>
      </c>
      <c r="B120" s="1094" t="s">
        <v>1430</v>
      </c>
      <c r="C120" s="1094" t="s">
        <v>809</v>
      </c>
      <c r="D120" s="1094" t="s">
        <v>4751</v>
      </c>
      <c r="E120" s="1094" t="s">
        <v>10019</v>
      </c>
      <c r="F120" s="1094" t="s">
        <v>180</v>
      </c>
      <c r="G120" s="1094" t="s">
        <v>10020</v>
      </c>
      <c r="H120" s="1094" t="s">
        <v>10021</v>
      </c>
      <c r="I120" s="1094" t="s">
        <v>10022</v>
      </c>
      <c r="J120" s="1095" t="s">
        <v>10023</v>
      </c>
      <c r="K120" s="1096" t="s">
        <v>400</v>
      </c>
      <c r="L120" s="1096" t="s">
        <v>10024</v>
      </c>
      <c r="M120" s="1082"/>
      <c r="N120" s="1082"/>
      <c r="O120" s="1082"/>
      <c r="P120" s="1082"/>
      <c r="Q120" s="1082"/>
      <c r="R120" s="1082"/>
      <c r="S120" s="1082"/>
      <c r="T120" s="1082"/>
      <c r="U120" s="1082"/>
      <c r="V120" s="1082"/>
      <c r="W120" s="1082"/>
      <c r="X120" s="1082"/>
      <c r="Y120" s="1082"/>
      <c r="Z120" s="1082"/>
      <c r="AA120" s="1082"/>
      <c r="AB120" s="1082"/>
      <c r="AC120" s="1082"/>
      <c r="AD120" s="1082"/>
      <c r="AE120" s="1082"/>
      <c r="AF120" s="1082"/>
    </row>
    <row r="121">
      <c r="A121" s="1091">
        <v>3.0</v>
      </c>
      <c r="B121" s="1091" t="s">
        <v>1430</v>
      </c>
      <c r="C121" s="1091" t="s">
        <v>10025</v>
      </c>
      <c r="D121" s="1091" t="s">
        <v>9075</v>
      </c>
      <c r="E121" s="1091" t="s">
        <v>9457</v>
      </c>
      <c r="F121" s="1091" t="s">
        <v>307</v>
      </c>
      <c r="G121" s="1091" t="s">
        <v>10026</v>
      </c>
      <c r="H121" s="1091" t="s">
        <v>10027</v>
      </c>
      <c r="I121" s="1091" t="s">
        <v>10027</v>
      </c>
      <c r="J121" s="1092" t="s">
        <v>10028</v>
      </c>
      <c r="K121" s="1093" t="s">
        <v>400</v>
      </c>
      <c r="L121" s="1093" t="s">
        <v>10029</v>
      </c>
      <c r="M121" s="1082"/>
      <c r="N121" s="1082"/>
      <c r="O121" s="1082"/>
      <c r="P121" s="1082"/>
      <c r="Q121" s="1082"/>
      <c r="R121" s="1082"/>
      <c r="S121" s="1082"/>
      <c r="T121" s="1082"/>
      <c r="U121" s="1082"/>
      <c r="V121" s="1082"/>
      <c r="W121" s="1082"/>
      <c r="X121" s="1082"/>
      <c r="Y121" s="1082"/>
      <c r="Z121" s="1082"/>
      <c r="AA121" s="1082"/>
      <c r="AB121" s="1082"/>
      <c r="AC121" s="1082"/>
      <c r="AD121" s="1082"/>
      <c r="AE121" s="1082"/>
      <c r="AF121" s="1082"/>
    </row>
    <row r="122">
      <c r="A122" s="1094">
        <v>3.0</v>
      </c>
      <c r="B122" s="1094" t="s">
        <v>1395</v>
      </c>
      <c r="C122" s="1094" t="s">
        <v>10030</v>
      </c>
      <c r="D122" s="1094" t="s">
        <v>4751</v>
      </c>
      <c r="E122" s="1094" t="s">
        <v>3096</v>
      </c>
      <c r="F122" s="1094" t="s">
        <v>180</v>
      </c>
      <c r="G122" s="1094" t="s">
        <v>10031</v>
      </c>
      <c r="H122" s="1094" t="s">
        <v>10032</v>
      </c>
      <c r="I122" s="1094" t="s">
        <v>10033</v>
      </c>
      <c r="J122" s="1095" t="s">
        <v>10034</v>
      </c>
      <c r="K122" s="1096" t="s">
        <v>400</v>
      </c>
      <c r="L122" s="1096" t="s">
        <v>10035</v>
      </c>
      <c r="M122" s="1082"/>
      <c r="N122" s="1082"/>
      <c r="O122" s="1082"/>
      <c r="P122" s="1082"/>
      <c r="Q122" s="1082"/>
      <c r="R122" s="1082"/>
      <c r="S122" s="1082"/>
      <c r="T122" s="1082"/>
      <c r="U122" s="1082"/>
      <c r="V122" s="1082"/>
      <c r="W122" s="1082"/>
      <c r="X122" s="1082"/>
      <c r="Y122" s="1082"/>
      <c r="Z122" s="1082"/>
      <c r="AA122" s="1082"/>
      <c r="AB122" s="1082"/>
      <c r="AC122" s="1082"/>
      <c r="AD122" s="1082"/>
      <c r="AE122" s="1082"/>
      <c r="AF122" s="1082"/>
    </row>
    <row r="123">
      <c r="A123" s="1091">
        <v>3.0</v>
      </c>
      <c r="B123" s="1091" t="s">
        <v>1430</v>
      </c>
      <c r="C123" s="1091" t="s">
        <v>10036</v>
      </c>
      <c r="D123" s="1091" t="s">
        <v>4751</v>
      </c>
      <c r="E123" s="1091" t="s">
        <v>4139</v>
      </c>
      <c r="F123" s="1091" t="s">
        <v>180</v>
      </c>
      <c r="G123" s="1091" t="s">
        <v>9686</v>
      </c>
      <c r="H123" s="1091" t="s">
        <v>10037</v>
      </c>
      <c r="I123" s="1091" t="s">
        <v>10038</v>
      </c>
      <c r="J123" s="1092" t="s">
        <v>10039</v>
      </c>
      <c r="K123" s="1093" t="s">
        <v>10040</v>
      </c>
      <c r="L123" s="1093" t="s">
        <v>10041</v>
      </c>
      <c r="M123" s="1082"/>
      <c r="N123" s="1082"/>
      <c r="O123" s="1082"/>
      <c r="P123" s="1082"/>
      <c r="Q123" s="1082"/>
      <c r="R123" s="1082"/>
      <c r="S123" s="1082"/>
      <c r="T123" s="1082"/>
      <c r="U123" s="1082"/>
      <c r="V123" s="1082"/>
      <c r="W123" s="1082"/>
      <c r="X123" s="1082"/>
      <c r="Y123" s="1082"/>
      <c r="Z123" s="1082"/>
      <c r="AA123" s="1082"/>
      <c r="AB123" s="1082"/>
      <c r="AC123" s="1082"/>
      <c r="AD123" s="1082"/>
      <c r="AE123" s="1082"/>
      <c r="AF123" s="1082"/>
    </row>
    <row r="124">
      <c r="A124" s="1094">
        <v>3.0</v>
      </c>
      <c r="B124" s="1094" t="s">
        <v>1395</v>
      </c>
      <c r="C124" s="1094" t="s">
        <v>10042</v>
      </c>
      <c r="D124" s="1094" t="s">
        <v>9071</v>
      </c>
      <c r="E124" s="1094" t="s">
        <v>10043</v>
      </c>
      <c r="F124" s="1094" t="s">
        <v>85</v>
      </c>
      <c r="G124" s="1094" t="s">
        <v>10044</v>
      </c>
      <c r="H124" s="1094" t="s">
        <v>9465</v>
      </c>
      <c r="I124" s="1094"/>
      <c r="J124" s="1095" t="s">
        <v>10045</v>
      </c>
      <c r="K124" s="1096" t="s">
        <v>400</v>
      </c>
      <c r="L124" s="1096" t="s">
        <v>10046</v>
      </c>
      <c r="M124" s="1082"/>
      <c r="N124" s="1082"/>
      <c r="O124" s="1082"/>
      <c r="P124" s="1082"/>
      <c r="Q124" s="1082"/>
      <c r="R124" s="1082"/>
      <c r="S124" s="1082"/>
      <c r="T124" s="1082"/>
      <c r="U124" s="1082"/>
      <c r="V124" s="1082"/>
      <c r="W124" s="1082"/>
      <c r="X124" s="1082"/>
      <c r="Y124" s="1082"/>
      <c r="Z124" s="1082"/>
      <c r="AA124" s="1082"/>
      <c r="AB124" s="1082"/>
      <c r="AC124" s="1082"/>
      <c r="AD124" s="1082"/>
      <c r="AE124" s="1082"/>
      <c r="AF124" s="1082"/>
    </row>
    <row r="125">
      <c r="A125" s="1091">
        <v>3.0</v>
      </c>
      <c r="B125" s="1091" t="s">
        <v>1430</v>
      </c>
      <c r="C125" s="1091" t="s">
        <v>10047</v>
      </c>
      <c r="D125" s="1091" t="s">
        <v>5410</v>
      </c>
      <c r="E125" s="1091" t="s">
        <v>4990</v>
      </c>
      <c r="F125" s="1091" t="s">
        <v>66</v>
      </c>
      <c r="G125" s="1091" t="s">
        <v>10048</v>
      </c>
      <c r="H125" s="1091" t="s">
        <v>10049</v>
      </c>
      <c r="I125" s="1091" t="s">
        <v>10050</v>
      </c>
      <c r="J125" s="1092" t="s">
        <v>10051</v>
      </c>
      <c r="K125" s="1093" t="s">
        <v>400</v>
      </c>
      <c r="L125" s="1093" t="s">
        <v>10052</v>
      </c>
      <c r="M125" s="1082"/>
      <c r="N125" s="1082"/>
      <c r="O125" s="1082"/>
      <c r="P125" s="1082"/>
      <c r="Q125" s="1082"/>
      <c r="R125" s="1082"/>
      <c r="S125" s="1082"/>
      <c r="T125" s="1082"/>
      <c r="U125" s="1082"/>
      <c r="V125" s="1082"/>
      <c r="W125" s="1082"/>
      <c r="X125" s="1082"/>
      <c r="Y125" s="1082"/>
      <c r="Z125" s="1082"/>
      <c r="AA125" s="1082"/>
      <c r="AB125" s="1082"/>
      <c r="AC125" s="1082"/>
      <c r="AD125" s="1082"/>
      <c r="AE125" s="1082"/>
      <c r="AF125" s="1082"/>
    </row>
    <row r="126">
      <c r="A126" s="1094">
        <v>3.0</v>
      </c>
      <c r="B126" s="1094" t="s">
        <v>1395</v>
      </c>
      <c r="C126" s="1094" t="s">
        <v>10053</v>
      </c>
      <c r="D126" s="1094" t="s">
        <v>9444</v>
      </c>
      <c r="E126" s="1094" t="s">
        <v>5792</v>
      </c>
      <c r="F126" s="1094" t="s">
        <v>73</v>
      </c>
      <c r="G126" s="1094" t="s">
        <v>10054</v>
      </c>
      <c r="H126" s="1094" t="s">
        <v>10055</v>
      </c>
      <c r="I126" s="1094" t="s">
        <v>10056</v>
      </c>
      <c r="J126" s="1095" t="s">
        <v>10057</v>
      </c>
      <c r="K126" s="1096" t="s">
        <v>10058</v>
      </c>
      <c r="L126" s="1096" t="s">
        <v>9950</v>
      </c>
      <c r="M126" s="1082"/>
      <c r="N126" s="1082"/>
      <c r="O126" s="1082"/>
      <c r="P126" s="1082"/>
      <c r="Q126" s="1082"/>
      <c r="R126" s="1082"/>
      <c r="S126" s="1082"/>
      <c r="T126" s="1082"/>
      <c r="U126" s="1082"/>
      <c r="V126" s="1082"/>
      <c r="W126" s="1082"/>
      <c r="X126" s="1082"/>
      <c r="Y126" s="1082"/>
      <c r="Z126" s="1082"/>
      <c r="AA126" s="1082"/>
      <c r="AB126" s="1082"/>
      <c r="AC126" s="1082"/>
      <c r="AD126" s="1082"/>
      <c r="AE126" s="1082"/>
      <c r="AF126" s="1082"/>
    </row>
    <row r="127">
      <c r="A127" s="1091">
        <v>3.0</v>
      </c>
      <c r="B127" s="1091" t="s">
        <v>1470</v>
      </c>
      <c r="C127" s="1091" t="s">
        <v>10059</v>
      </c>
      <c r="D127" s="1091" t="s">
        <v>9067</v>
      </c>
      <c r="E127" s="1091" t="s">
        <v>10060</v>
      </c>
      <c r="F127" s="1091" t="s">
        <v>240</v>
      </c>
      <c r="G127" s="1091" t="s">
        <v>9686</v>
      </c>
      <c r="H127" s="1091" t="s">
        <v>10061</v>
      </c>
      <c r="I127" s="1091" t="s">
        <v>10062</v>
      </c>
      <c r="J127" s="1092" t="s">
        <v>10063</v>
      </c>
      <c r="K127" s="1093" t="s">
        <v>10064</v>
      </c>
      <c r="L127" s="1093" t="s">
        <v>10065</v>
      </c>
      <c r="M127" s="1082"/>
      <c r="N127" s="1082"/>
      <c r="O127" s="1082"/>
      <c r="P127" s="1082"/>
      <c r="Q127" s="1082"/>
      <c r="R127" s="1082"/>
      <c r="S127" s="1082"/>
      <c r="T127" s="1082"/>
      <c r="U127" s="1082"/>
      <c r="V127" s="1082"/>
      <c r="W127" s="1082"/>
      <c r="X127" s="1082"/>
      <c r="Y127" s="1082"/>
      <c r="Z127" s="1082"/>
      <c r="AA127" s="1082"/>
      <c r="AB127" s="1082"/>
      <c r="AC127" s="1082"/>
      <c r="AD127" s="1082"/>
      <c r="AE127" s="1082"/>
      <c r="AF127" s="1082"/>
    </row>
    <row r="128">
      <c r="A128" s="1094">
        <v>3.0</v>
      </c>
      <c r="B128" s="1094" t="s">
        <v>1395</v>
      </c>
      <c r="C128" s="1094" t="s">
        <v>10066</v>
      </c>
      <c r="D128" s="1094" t="s">
        <v>9067</v>
      </c>
      <c r="E128" s="1094" t="s">
        <v>10067</v>
      </c>
      <c r="F128" s="1094" t="s">
        <v>240</v>
      </c>
      <c r="G128" s="1094" t="s">
        <v>10068</v>
      </c>
      <c r="H128" s="1094" t="s">
        <v>10069</v>
      </c>
      <c r="I128" s="1094" t="s">
        <v>10070</v>
      </c>
      <c r="J128" s="1095" t="s">
        <v>10071</v>
      </c>
      <c r="K128" s="1096" t="s">
        <v>10072</v>
      </c>
      <c r="L128" s="1096" t="s">
        <v>10073</v>
      </c>
      <c r="M128" s="1082"/>
      <c r="N128" s="1082"/>
      <c r="O128" s="1082"/>
      <c r="P128" s="1082"/>
      <c r="Q128" s="1082"/>
      <c r="R128" s="1082"/>
      <c r="S128" s="1082"/>
      <c r="T128" s="1082"/>
      <c r="U128" s="1082"/>
      <c r="V128" s="1082"/>
      <c r="W128" s="1082"/>
      <c r="X128" s="1082"/>
      <c r="Y128" s="1082"/>
      <c r="Z128" s="1082"/>
      <c r="AA128" s="1082"/>
      <c r="AB128" s="1082"/>
      <c r="AC128" s="1082"/>
      <c r="AD128" s="1082"/>
      <c r="AE128" s="1082"/>
      <c r="AF128" s="1082"/>
    </row>
    <row r="129">
      <c r="A129" s="1091">
        <v>3.0</v>
      </c>
      <c r="B129" s="1091" t="s">
        <v>1470</v>
      </c>
      <c r="C129" s="1091" t="s">
        <v>10074</v>
      </c>
      <c r="D129" s="1091" t="s">
        <v>9067</v>
      </c>
      <c r="E129" s="1091" t="s">
        <v>9407</v>
      </c>
      <c r="F129" s="1091" t="s">
        <v>240</v>
      </c>
      <c r="G129" s="1091" t="s">
        <v>10075</v>
      </c>
      <c r="H129" s="1091" t="s">
        <v>9465</v>
      </c>
      <c r="I129" s="1091" t="s">
        <v>10076</v>
      </c>
      <c r="J129" s="1092" t="s">
        <v>10077</v>
      </c>
      <c r="K129" s="1093" t="s">
        <v>400</v>
      </c>
      <c r="L129" s="1093" t="s">
        <v>10078</v>
      </c>
      <c r="M129" s="1082"/>
      <c r="N129" s="1082"/>
      <c r="O129" s="1082"/>
      <c r="P129" s="1082"/>
      <c r="Q129" s="1082"/>
      <c r="R129" s="1082"/>
      <c r="S129" s="1082"/>
      <c r="T129" s="1082"/>
      <c r="U129" s="1082"/>
      <c r="V129" s="1082"/>
      <c r="W129" s="1082"/>
      <c r="X129" s="1082"/>
      <c r="Y129" s="1082"/>
      <c r="Z129" s="1082"/>
      <c r="AA129" s="1082"/>
      <c r="AB129" s="1082"/>
      <c r="AC129" s="1082"/>
      <c r="AD129" s="1082"/>
      <c r="AE129" s="1082"/>
      <c r="AF129" s="1082"/>
    </row>
    <row r="130">
      <c r="A130" s="1099">
        <v>3.0</v>
      </c>
      <c r="B130" s="1100"/>
      <c r="C130" s="1100" t="s">
        <v>1632</v>
      </c>
      <c r="D130" s="1101"/>
      <c r="E130" s="1101"/>
      <c r="F130" s="1096" t="s">
        <v>66</v>
      </c>
      <c r="G130" s="1101"/>
      <c r="H130" s="1101"/>
      <c r="I130" s="1101"/>
      <c r="J130" s="1102"/>
      <c r="K130" s="1101"/>
      <c r="L130" s="1101"/>
      <c r="M130" s="1082"/>
      <c r="N130" s="1082"/>
      <c r="O130" s="1082"/>
      <c r="P130" s="1082"/>
      <c r="Q130" s="1082"/>
      <c r="R130" s="1082"/>
      <c r="S130" s="1082"/>
      <c r="T130" s="1082"/>
      <c r="U130" s="1082"/>
      <c r="V130" s="1082"/>
      <c r="W130" s="1082"/>
      <c r="X130" s="1082"/>
      <c r="Y130" s="1082"/>
      <c r="Z130" s="1082"/>
      <c r="AA130" s="1082"/>
      <c r="AB130" s="1082"/>
      <c r="AC130" s="1082"/>
      <c r="AD130" s="1082"/>
      <c r="AE130" s="1082"/>
      <c r="AF130" s="1082"/>
    </row>
    <row r="131">
      <c r="A131" s="1091">
        <v>3.0</v>
      </c>
      <c r="B131" s="1091" t="s">
        <v>1430</v>
      </c>
      <c r="C131" s="1091" t="s">
        <v>10079</v>
      </c>
      <c r="D131" s="1091" t="s">
        <v>9069</v>
      </c>
      <c r="E131" s="1091" t="s">
        <v>10080</v>
      </c>
      <c r="F131" s="1091" t="s">
        <v>43</v>
      </c>
      <c r="G131" s="1091" t="s">
        <v>10081</v>
      </c>
      <c r="H131" s="1091" t="s">
        <v>10082</v>
      </c>
      <c r="I131" s="1091" t="s">
        <v>10083</v>
      </c>
      <c r="J131" s="1092" t="s">
        <v>10084</v>
      </c>
      <c r="K131" s="1093" t="s">
        <v>400</v>
      </c>
      <c r="L131" s="1093" t="s">
        <v>10085</v>
      </c>
      <c r="M131" s="1082"/>
      <c r="N131" s="1082"/>
      <c r="O131" s="1082"/>
      <c r="P131" s="1082"/>
      <c r="Q131" s="1082"/>
      <c r="R131" s="1082"/>
      <c r="S131" s="1082"/>
      <c r="T131" s="1082"/>
      <c r="U131" s="1082"/>
      <c r="V131" s="1082"/>
      <c r="W131" s="1082"/>
      <c r="X131" s="1082"/>
      <c r="Y131" s="1082"/>
      <c r="Z131" s="1082"/>
      <c r="AA131" s="1082"/>
      <c r="AB131" s="1082"/>
      <c r="AC131" s="1082"/>
      <c r="AD131" s="1082"/>
      <c r="AE131" s="1082"/>
      <c r="AF131" s="1082"/>
    </row>
    <row r="132">
      <c r="A132" s="1094">
        <v>3.0</v>
      </c>
      <c r="B132" s="1094" t="s">
        <v>1430</v>
      </c>
      <c r="C132" s="1094" t="s">
        <v>10086</v>
      </c>
      <c r="D132" s="1094" t="s">
        <v>5410</v>
      </c>
      <c r="E132" s="1094" t="s">
        <v>10087</v>
      </c>
      <c r="F132" s="1094" t="s">
        <v>66</v>
      </c>
      <c r="G132" s="1094" t="s">
        <v>10088</v>
      </c>
      <c r="H132" s="1094" t="s">
        <v>10089</v>
      </c>
      <c r="I132" s="1094" t="s">
        <v>10090</v>
      </c>
      <c r="J132" s="1095" t="s">
        <v>10091</v>
      </c>
      <c r="K132" s="1096" t="s">
        <v>400</v>
      </c>
      <c r="L132" s="1096" t="s">
        <v>10092</v>
      </c>
      <c r="M132" s="1082"/>
      <c r="N132" s="1082"/>
      <c r="O132" s="1082"/>
      <c r="P132" s="1082"/>
      <c r="Q132" s="1082"/>
      <c r="R132" s="1082"/>
      <c r="S132" s="1082"/>
      <c r="T132" s="1082"/>
      <c r="U132" s="1082"/>
      <c r="V132" s="1082"/>
      <c r="W132" s="1082"/>
      <c r="X132" s="1082"/>
      <c r="Y132" s="1082"/>
      <c r="Z132" s="1082"/>
      <c r="AA132" s="1082"/>
      <c r="AB132" s="1082"/>
      <c r="AC132" s="1082"/>
      <c r="AD132" s="1082"/>
      <c r="AE132" s="1082"/>
      <c r="AF132" s="1082"/>
    </row>
    <row r="133">
      <c r="A133" s="1091">
        <v>3.0</v>
      </c>
      <c r="B133" s="1091" t="s">
        <v>1395</v>
      </c>
      <c r="C133" s="1091" t="s">
        <v>10093</v>
      </c>
      <c r="D133" s="1091" t="s">
        <v>9071</v>
      </c>
      <c r="E133" s="1091" t="s">
        <v>3234</v>
      </c>
      <c r="F133" s="1091" t="s">
        <v>85</v>
      </c>
      <c r="G133" s="1091" t="s">
        <v>10094</v>
      </c>
      <c r="H133" s="1091" t="s">
        <v>10095</v>
      </c>
      <c r="I133" s="1091" t="s">
        <v>10096</v>
      </c>
      <c r="J133" s="1092" t="s">
        <v>10097</v>
      </c>
      <c r="K133" s="1093" t="s">
        <v>10098</v>
      </c>
      <c r="L133" s="1093" t="s">
        <v>10099</v>
      </c>
      <c r="M133" s="1082"/>
      <c r="N133" s="1082"/>
      <c r="O133" s="1082"/>
      <c r="P133" s="1082"/>
      <c r="Q133" s="1082"/>
      <c r="R133" s="1082"/>
      <c r="S133" s="1082"/>
      <c r="T133" s="1082"/>
      <c r="U133" s="1082"/>
      <c r="V133" s="1082"/>
      <c r="W133" s="1082"/>
      <c r="X133" s="1082"/>
      <c r="Y133" s="1082"/>
      <c r="Z133" s="1082"/>
      <c r="AA133" s="1082"/>
      <c r="AB133" s="1082"/>
      <c r="AC133" s="1082"/>
      <c r="AD133" s="1082"/>
      <c r="AE133" s="1082"/>
      <c r="AF133" s="1082"/>
    </row>
    <row r="134">
      <c r="A134" s="1094">
        <v>3.0</v>
      </c>
      <c r="B134" s="1094" t="s">
        <v>1430</v>
      </c>
      <c r="C134" s="1094" t="s">
        <v>9562</v>
      </c>
      <c r="D134" s="1094" t="s">
        <v>4751</v>
      </c>
      <c r="E134" s="1094" t="s">
        <v>9563</v>
      </c>
      <c r="F134" s="1094" t="s">
        <v>180</v>
      </c>
      <c r="G134" s="1094" t="s">
        <v>10100</v>
      </c>
      <c r="H134" s="1094" t="s">
        <v>10101</v>
      </c>
      <c r="I134" s="1094" t="s">
        <v>9566</v>
      </c>
      <c r="J134" s="1095" t="s">
        <v>9567</v>
      </c>
      <c r="K134" s="1096" t="s">
        <v>400</v>
      </c>
      <c r="L134" s="1096" t="s">
        <v>10102</v>
      </c>
      <c r="M134" s="1082"/>
      <c r="N134" s="1082"/>
      <c r="O134" s="1082"/>
      <c r="P134" s="1082"/>
      <c r="Q134" s="1082"/>
      <c r="R134" s="1082"/>
      <c r="S134" s="1082"/>
      <c r="T134" s="1082"/>
      <c r="U134" s="1082"/>
      <c r="V134" s="1082"/>
      <c r="W134" s="1082"/>
      <c r="X134" s="1082"/>
      <c r="Y134" s="1082"/>
      <c r="Z134" s="1082"/>
      <c r="AA134" s="1082"/>
      <c r="AB134" s="1082"/>
      <c r="AC134" s="1082"/>
      <c r="AD134" s="1082"/>
      <c r="AE134" s="1082"/>
      <c r="AF134" s="1082"/>
    </row>
    <row r="135">
      <c r="A135" s="1091">
        <v>3.0</v>
      </c>
      <c r="B135" s="1091" t="s">
        <v>1470</v>
      </c>
      <c r="C135" s="1091" t="s">
        <v>7139</v>
      </c>
      <c r="D135" s="1091" t="s">
        <v>9063</v>
      </c>
      <c r="E135" s="1091" t="s">
        <v>5854</v>
      </c>
      <c r="F135" s="1091" t="s">
        <v>52</v>
      </c>
      <c r="G135" s="1091" t="s">
        <v>4884</v>
      </c>
      <c r="H135" s="1091" t="s">
        <v>9465</v>
      </c>
      <c r="I135" s="1091" t="s">
        <v>10103</v>
      </c>
      <c r="J135" s="1092" t="s">
        <v>10104</v>
      </c>
      <c r="K135" s="1093" t="s">
        <v>10105</v>
      </c>
      <c r="L135" s="1093" t="s">
        <v>10106</v>
      </c>
      <c r="M135" s="1082"/>
      <c r="N135" s="1082"/>
      <c r="O135" s="1082"/>
      <c r="P135" s="1082"/>
      <c r="Q135" s="1082"/>
      <c r="R135" s="1082"/>
      <c r="S135" s="1082"/>
      <c r="T135" s="1082"/>
      <c r="U135" s="1082"/>
      <c r="V135" s="1082"/>
      <c r="W135" s="1082"/>
      <c r="X135" s="1082"/>
      <c r="Y135" s="1082"/>
      <c r="Z135" s="1082"/>
      <c r="AA135" s="1082"/>
      <c r="AB135" s="1082"/>
      <c r="AC135" s="1082"/>
      <c r="AD135" s="1082"/>
      <c r="AE135" s="1082"/>
      <c r="AF135" s="1082"/>
    </row>
    <row r="136">
      <c r="A136" s="1094">
        <v>3.0</v>
      </c>
      <c r="B136" s="1094" t="s">
        <v>1430</v>
      </c>
      <c r="C136" s="1094" t="s">
        <v>10107</v>
      </c>
      <c r="D136" s="1094" t="s">
        <v>9069</v>
      </c>
      <c r="E136" s="1094" t="s">
        <v>10108</v>
      </c>
      <c r="F136" s="1094" t="s">
        <v>43</v>
      </c>
      <c r="G136" s="1094" t="s">
        <v>10109</v>
      </c>
      <c r="H136" s="1094" t="s">
        <v>10110</v>
      </c>
      <c r="I136" s="1094" t="s">
        <v>10111</v>
      </c>
      <c r="J136" s="1095" t="s">
        <v>10112</v>
      </c>
      <c r="K136" s="1096" t="s">
        <v>400</v>
      </c>
      <c r="L136" s="1096" t="s">
        <v>10113</v>
      </c>
      <c r="M136" s="1082"/>
      <c r="N136" s="1082"/>
      <c r="O136" s="1082"/>
      <c r="P136" s="1082"/>
      <c r="Q136" s="1082"/>
      <c r="R136" s="1082"/>
      <c r="S136" s="1082"/>
      <c r="T136" s="1082"/>
      <c r="U136" s="1082"/>
      <c r="V136" s="1082"/>
      <c r="W136" s="1082"/>
      <c r="X136" s="1082"/>
      <c r="Y136" s="1082"/>
      <c r="Z136" s="1082"/>
      <c r="AA136" s="1082"/>
      <c r="AB136" s="1082"/>
      <c r="AC136" s="1082"/>
      <c r="AD136" s="1082"/>
      <c r="AE136" s="1082"/>
      <c r="AF136" s="1082"/>
    </row>
    <row r="137">
      <c r="A137" s="1091">
        <v>3.0</v>
      </c>
      <c r="B137" s="1091" t="s">
        <v>1430</v>
      </c>
      <c r="C137" s="1091" t="s">
        <v>10114</v>
      </c>
      <c r="D137" s="1091" t="s">
        <v>9069</v>
      </c>
      <c r="E137" s="1091" t="s">
        <v>10115</v>
      </c>
      <c r="F137" s="1091" t="s">
        <v>43</v>
      </c>
      <c r="G137" s="1091" t="s">
        <v>10116</v>
      </c>
      <c r="H137" s="1091" t="s">
        <v>10117</v>
      </c>
      <c r="I137" s="1091" t="s">
        <v>10118</v>
      </c>
      <c r="J137" s="1092" t="s">
        <v>10119</v>
      </c>
      <c r="K137" s="1093" t="s">
        <v>400</v>
      </c>
      <c r="L137" s="1093" t="s">
        <v>10120</v>
      </c>
      <c r="M137" s="1082"/>
      <c r="N137" s="1082"/>
      <c r="O137" s="1082"/>
      <c r="P137" s="1082"/>
      <c r="Q137" s="1082"/>
      <c r="R137" s="1082"/>
      <c r="S137" s="1082"/>
      <c r="T137" s="1082"/>
      <c r="U137" s="1082"/>
      <c r="V137" s="1082"/>
      <c r="W137" s="1082"/>
      <c r="X137" s="1082"/>
      <c r="Y137" s="1082"/>
      <c r="Z137" s="1082"/>
      <c r="AA137" s="1082"/>
      <c r="AB137" s="1082"/>
      <c r="AC137" s="1082"/>
      <c r="AD137" s="1082"/>
      <c r="AE137" s="1082"/>
      <c r="AF137" s="1082"/>
    </row>
    <row r="138">
      <c r="A138" s="1094">
        <v>3.0</v>
      </c>
      <c r="B138" s="1094" t="s">
        <v>1430</v>
      </c>
      <c r="C138" s="1094" t="s">
        <v>10121</v>
      </c>
      <c r="D138" s="1094" t="s">
        <v>4751</v>
      </c>
      <c r="E138" s="1094" t="s">
        <v>3993</v>
      </c>
      <c r="F138" s="1094" t="s">
        <v>180</v>
      </c>
      <c r="G138" s="1094" t="s">
        <v>10122</v>
      </c>
      <c r="H138" s="1094" t="s">
        <v>9705</v>
      </c>
      <c r="I138" s="1094" t="s">
        <v>10123</v>
      </c>
      <c r="J138" s="1095" t="s">
        <v>10124</v>
      </c>
      <c r="K138" s="1096" t="s">
        <v>400</v>
      </c>
      <c r="L138" s="1096" t="s">
        <v>10125</v>
      </c>
      <c r="M138" s="1082"/>
      <c r="N138" s="1082"/>
      <c r="O138" s="1082"/>
      <c r="P138" s="1082"/>
      <c r="Q138" s="1082"/>
      <c r="R138" s="1082"/>
      <c r="S138" s="1082"/>
      <c r="T138" s="1082"/>
      <c r="U138" s="1082"/>
      <c r="V138" s="1082"/>
      <c r="W138" s="1082"/>
      <c r="X138" s="1082"/>
      <c r="Y138" s="1082"/>
      <c r="Z138" s="1082"/>
      <c r="AA138" s="1082"/>
      <c r="AB138" s="1082"/>
      <c r="AC138" s="1082"/>
      <c r="AD138" s="1082"/>
      <c r="AE138" s="1082"/>
      <c r="AF138" s="1082"/>
    </row>
    <row r="139">
      <c r="A139" s="1091">
        <v>3.0</v>
      </c>
      <c r="B139" s="1091" t="s">
        <v>1470</v>
      </c>
      <c r="C139" s="1091" t="s">
        <v>6782</v>
      </c>
      <c r="D139" s="1091" t="s">
        <v>9063</v>
      </c>
      <c r="E139" s="1091" t="s">
        <v>10126</v>
      </c>
      <c r="F139" s="1091" t="s">
        <v>52</v>
      </c>
      <c r="G139" s="1091" t="s">
        <v>10127</v>
      </c>
      <c r="H139" s="1091" t="s">
        <v>10128</v>
      </c>
      <c r="I139" s="1091" t="s">
        <v>10129</v>
      </c>
      <c r="J139" s="1092" t="s">
        <v>10130</v>
      </c>
      <c r="K139" s="1093" t="s">
        <v>10131</v>
      </c>
      <c r="L139" s="1093" t="s">
        <v>10132</v>
      </c>
      <c r="M139" s="1082"/>
      <c r="N139" s="1082"/>
      <c r="O139" s="1082"/>
      <c r="P139" s="1082"/>
      <c r="Q139" s="1082"/>
      <c r="R139" s="1082"/>
      <c r="S139" s="1082"/>
      <c r="T139" s="1082"/>
      <c r="U139" s="1082"/>
      <c r="V139" s="1082"/>
      <c r="W139" s="1082"/>
      <c r="X139" s="1082"/>
      <c r="Y139" s="1082"/>
      <c r="Z139" s="1082"/>
      <c r="AA139" s="1082"/>
      <c r="AB139" s="1082"/>
      <c r="AC139" s="1082"/>
      <c r="AD139" s="1082"/>
      <c r="AE139" s="1082"/>
      <c r="AF139" s="1082"/>
    </row>
    <row r="140">
      <c r="A140" s="1094">
        <v>3.0</v>
      </c>
      <c r="B140" s="1094" t="s">
        <v>1395</v>
      </c>
      <c r="C140" s="1094" t="s">
        <v>182</v>
      </c>
      <c r="D140" s="1094" t="s">
        <v>4751</v>
      </c>
      <c r="E140" s="1094" t="s">
        <v>10133</v>
      </c>
      <c r="F140" s="1094" t="s">
        <v>180</v>
      </c>
      <c r="G140" s="1094" t="s">
        <v>10134</v>
      </c>
      <c r="H140" s="1094" t="s">
        <v>10135</v>
      </c>
      <c r="I140" s="1094" t="s">
        <v>10136</v>
      </c>
      <c r="J140" s="1095" t="s">
        <v>10137</v>
      </c>
      <c r="K140" s="1096" t="s">
        <v>400</v>
      </c>
      <c r="L140" s="1096" t="s">
        <v>10138</v>
      </c>
      <c r="M140" s="1082"/>
      <c r="N140" s="1082"/>
      <c r="O140" s="1082"/>
      <c r="P140" s="1082"/>
      <c r="Q140" s="1082"/>
      <c r="R140" s="1082"/>
      <c r="S140" s="1082"/>
      <c r="T140" s="1082"/>
      <c r="U140" s="1082"/>
      <c r="V140" s="1082"/>
      <c r="W140" s="1082"/>
      <c r="X140" s="1082"/>
      <c r="Y140" s="1082"/>
      <c r="Z140" s="1082"/>
      <c r="AA140" s="1082"/>
      <c r="AB140" s="1082"/>
      <c r="AC140" s="1082"/>
      <c r="AD140" s="1082"/>
      <c r="AE140" s="1082"/>
      <c r="AF140" s="1082"/>
    </row>
    <row r="141">
      <c r="A141" s="1091">
        <v>3.0</v>
      </c>
      <c r="B141" s="1091" t="s">
        <v>1395</v>
      </c>
      <c r="C141" s="1091" t="s">
        <v>10139</v>
      </c>
      <c r="D141" s="1091" t="s">
        <v>4751</v>
      </c>
      <c r="E141" s="1091" t="s">
        <v>10140</v>
      </c>
      <c r="F141" s="1091" t="s">
        <v>180</v>
      </c>
      <c r="G141" s="1091" t="s">
        <v>10141</v>
      </c>
      <c r="H141" s="1091" t="s">
        <v>9465</v>
      </c>
      <c r="I141" s="1091" t="s">
        <v>10142</v>
      </c>
      <c r="J141" s="1092" t="s">
        <v>10143</v>
      </c>
      <c r="K141" s="1093" t="s">
        <v>400</v>
      </c>
      <c r="L141" s="1093" t="s">
        <v>10144</v>
      </c>
      <c r="M141" s="1082"/>
      <c r="N141" s="1082"/>
      <c r="O141" s="1082"/>
      <c r="P141" s="1082"/>
      <c r="Q141" s="1082"/>
      <c r="R141" s="1082"/>
      <c r="S141" s="1082"/>
      <c r="T141" s="1082"/>
      <c r="U141" s="1082"/>
      <c r="V141" s="1082"/>
      <c r="W141" s="1082"/>
      <c r="X141" s="1082"/>
      <c r="Y141" s="1082"/>
      <c r="Z141" s="1082"/>
      <c r="AA141" s="1082"/>
      <c r="AB141" s="1082"/>
      <c r="AC141" s="1082"/>
      <c r="AD141" s="1082"/>
      <c r="AE141" s="1082"/>
      <c r="AF141" s="1082"/>
    </row>
    <row r="142">
      <c r="A142" s="1094">
        <v>3.0</v>
      </c>
      <c r="B142" s="1094" t="s">
        <v>1395</v>
      </c>
      <c r="C142" s="1094" t="s">
        <v>10145</v>
      </c>
      <c r="D142" s="1094" t="s">
        <v>4751</v>
      </c>
      <c r="E142" s="1094" t="s">
        <v>10146</v>
      </c>
      <c r="F142" s="1094" t="s">
        <v>180</v>
      </c>
      <c r="G142" s="1094" t="s">
        <v>10147</v>
      </c>
      <c r="H142" s="1094" t="s">
        <v>9465</v>
      </c>
      <c r="I142" s="1094" t="s">
        <v>10148</v>
      </c>
      <c r="J142" s="1095" t="s">
        <v>10149</v>
      </c>
      <c r="K142" s="1096" t="s">
        <v>10150</v>
      </c>
      <c r="L142" s="1096" t="s">
        <v>10151</v>
      </c>
      <c r="M142" s="1082"/>
      <c r="N142" s="1082"/>
      <c r="O142" s="1082"/>
      <c r="P142" s="1082"/>
      <c r="Q142" s="1082"/>
      <c r="R142" s="1082"/>
      <c r="S142" s="1082"/>
      <c r="T142" s="1082"/>
      <c r="U142" s="1082"/>
      <c r="V142" s="1082"/>
      <c r="W142" s="1082"/>
      <c r="X142" s="1082"/>
      <c r="Y142" s="1082"/>
      <c r="Z142" s="1082"/>
      <c r="AA142" s="1082"/>
      <c r="AB142" s="1082"/>
      <c r="AC142" s="1082"/>
      <c r="AD142" s="1082"/>
      <c r="AE142" s="1082"/>
      <c r="AF142" s="1082"/>
    </row>
    <row r="143">
      <c r="A143" s="1091">
        <v>3.0</v>
      </c>
      <c r="B143" s="1091" t="s">
        <v>1395</v>
      </c>
      <c r="C143" s="1091" t="s">
        <v>2815</v>
      </c>
      <c r="D143" s="1091" t="s">
        <v>9067</v>
      </c>
      <c r="E143" s="1091" t="s">
        <v>3735</v>
      </c>
      <c r="F143" s="1091" t="s">
        <v>255</v>
      </c>
      <c r="G143" s="1091" t="s">
        <v>10152</v>
      </c>
      <c r="H143" s="1091" t="s">
        <v>10153</v>
      </c>
      <c r="I143" s="1091" t="s">
        <v>10154</v>
      </c>
      <c r="J143" s="1092" t="s">
        <v>10155</v>
      </c>
      <c r="K143" s="1093" t="s">
        <v>10156</v>
      </c>
      <c r="L143" s="1093" t="s">
        <v>10157</v>
      </c>
      <c r="M143" s="1082"/>
      <c r="N143" s="1082"/>
      <c r="O143" s="1082"/>
      <c r="P143" s="1082"/>
      <c r="Q143" s="1082"/>
      <c r="R143" s="1082"/>
      <c r="S143" s="1082"/>
      <c r="T143" s="1082"/>
      <c r="U143" s="1082"/>
      <c r="V143" s="1082"/>
      <c r="W143" s="1082"/>
      <c r="X143" s="1082"/>
      <c r="Y143" s="1082"/>
      <c r="Z143" s="1082"/>
      <c r="AA143" s="1082"/>
      <c r="AB143" s="1082"/>
      <c r="AC143" s="1082"/>
      <c r="AD143" s="1082"/>
      <c r="AE143" s="1082"/>
      <c r="AF143" s="1082"/>
    </row>
    <row r="144">
      <c r="A144" s="1094">
        <v>3.0</v>
      </c>
      <c r="B144" s="1094" t="s">
        <v>1430</v>
      </c>
      <c r="C144" s="1094" t="s">
        <v>10158</v>
      </c>
      <c r="D144" s="1094" t="s">
        <v>9075</v>
      </c>
      <c r="E144" s="1094" t="s">
        <v>9457</v>
      </c>
      <c r="F144" s="1094" t="s">
        <v>307</v>
      </c>
      <c r="G144" s="1094" t="s">
        <v>10159</v>
      </c>
      <c r="H144" s="1094" t="s">
        <v>10160</v>
      </c>
      <c r="I144" s="1094" t="s">
        <v>10161</v>
      </c>
      <c r="J144" s="1095" t="s">
        <v>10162</v>
      </c>
      <c r="K144" s="1096" t="s">
        <v>10163</v>
      </c>
      <c r="L144" s="1096" t="s">
        <v>10164</v>
      </c>
      <c r="M144" s="1082"/>
      <c r="N144" s="1082"/>
      <c r="O144" s="1082"/>
      <c r="P144" s="1082"/>
      <c r="Q144" s="1082"/>
      <c r="R144" s="1082"/>
      <c r="S144" s="1082"/>
      <c r="T144" s="1082"/>
      <c r="U144" s="1082"/>
      <c r="V144" s="1082"/>
      <c r="W144" s="1082"/>
      <c r="X144" s="1082"/>
      <c r="Y144" s="1082"/>
      <c r="Z144" s="1082"/>
      <c r="AA144" s="1082"/>
      <c r="AB144" s="1082"/>
      <c r="AC144" s="1082"/>
      <c r="AD144" s="1082"/>
      <c r="AE144" s="1082"/>
      <c r="AF144" s="1082"/>
    </row>
    <row r="145">
      <c r="A145" s="1091">
        <v>3.0</v>
      </c>
      <c r="B145" s="1091" t="s">
        <v>1430</v>
      </c>
      <c r="C145" s="1091" t="s">
        <v>10165</v>
      </c>
      <c r="D145" s="1091" t="s">
        <v>4751</v>
      </c>
      <c r="E145" s="1091" t="s">
        <v>4139</v>
      </c>
      <c r="F145" s="1091" t="s">
        <v>180</v>
      </c>
      <c r="G145" s="1091" t="s">
        <v>10166</v>
      </c>
      <c r="H145" s="1091" t="s">
        <v>10167</v>
      </c>
      <c r="I145" s="1091" t="s">
        <v>10168</v>
      </c>
      <c r="J145" s="1092" t="s">
        <v>10169</v>
      </c>
      <c r="K145" s="1093" t="s">
        <v>400</v>
      </c>
      <c r="L145" s="1093" t="s">
        <v>10170</v>
      </c>
      <c r="M145" s="1082"/>
      <c r="N145" s="1082"/>
      <c r="O145" s="1082"/>
      <c r="P145" s="1082"/>
      <c r="Q145" s="1082"/>
      <c r="R145" s="1082"/>
      <c r="S145" s="1082"/>
      <c r="T145" s="1082"/>
      <c r="U145" s="1082"/>
      <c r="V145" s="1082"/>
      <c r="W145" s="1082"/>
      <c r="X145" s="1082"/>
      <c r="Y145" s="1082"/>
      <c r="Z145" s="1082"/>
      <c r="AA145" s="1082"/>
      <c r="AB145" s="1082"/>
      <c r="AC145" s="1082"/>
      <c r="AD145" s="1082"/>
      <c r="AE145" s="1082"/>
      <c r="AF145" s="1082"/>
    </row>
    <row r="146">
      <c r="A146" s="1094">
        <v>3.0</v>
      </c>
      <c r="B146" s="1094" t="s">
        <v>1430</v>
      </c>
      <c r="C146" s="1094" t="s">
        <v>10171</v>
      </c>
      <c r="D146" s="1094" t="s">
        <v>9069</v>
      </c>
      <c r="E146" s="1094" t="s">
        <v>10172</v>
      </c>
      <c r="F146" s="1094" t="s">
        <v>43</v>
      </c>
      <c r="G146" s="1094" t="s">
        <v>10173</v>
      </c>
      <c r="H146" s="1094" t="s">
        <v>10174</v>
      </c>
      <c r="I146" s="1094" t="s">
        <v>10175</v>
      </c>
      <c r="J146" s="1095" t="s">
        <v>10176</v>
      </c>
      <c r="K146" s="1096" t="s">
        <v>400</v>
      </c>
      <c r="L146" s="1096" t="s">
        <v>10177</v>
      </c>
      <c r="M146" s="1082"/>
      <c r="N146" s="1082"/>
      <c r="O146" s="1082"/>
      <c r="P146" s="1082"/>
      <c r="Q146" s="1082"/>
      <c r="R146" s="1082"/>
      <c r="S146" s="1082"/>
      <c r="T146" s="1082"/>
      <c r="U146" s="1082"/>
      <c r="V146" s="1082"/>
      <c r="W146" s="1082"/>
      <c r="X146" s="1082"/>
      <c r="Y146" s="1082"/>
      <c r="Z146" s="1082"/>
      <c r="AA146" s="1082"/>
      <c r="AB146" s="1082"/>
      <c r="AC146" s="1082"/>
      <c r="AD146" s="1082"/>
      <c r="AE146" s="1082"/>
      <c r="AF146" s="1082"/>
    </row>
    <row r="147">
      <c r="A147" s="1091">
        <v>3.0</v>
      </c>
      <c r="B147" s="1091" t="s">
        <v>1470</v>
      </c>
      <c r="C147" s="1091" t="s">
        <v>10178</v>
      </c>
      <c r="D147" s="1091" t="s">
        <v>9063</v>
      </c>
      <c r="E147" s="1091" t="s">
        <v>10179</v>
      </c>
      <c r="F147" s="1091" t="s">
        <v>52</v>
      </c>
      <c r="G147" s="1091" t="s">
        <v>10180</v>
      </c>
      <c r="H147" s="1091" t="s">
        <v>10181</v>
      </c>
      <c r="I147" s="1091" t="s">
        <v>10182</v>
      </c>
      <c r="J147" s="1092" t="s">
        <v>10183</v>
      </c>
      <c r="K147" s="1093" t="s">
        <v>400</v>
      </c>
      <c r="L147" s="1093" t="s">
        <v>10184</v>
      </c>
      <c r="M147" s="1082"/>
      <c r="N147" s="1082"/>
      <c r="O147" s="1082"/>
      <c r="P147" s="1082"/>
      <c r="Q147" s="1082"/>
      <c r="R147" s="1082"/>
      <c r="S147" s="1082"/>
      <c r="T147" s="1082"/>
      <c r="U147" s="1082"/>
      <c r="V147" s="1082"/>
      <c r="W147" s="1082"/>
      <c r="X147" s="1082"/>
      <c r="Y147" s="1082"/>
      <c r="Z147" s="1082"/>
      <c r="AA147" s="1082"/>
      <c r="AB147" s="1082"/>
      <c r="AC147" s="1082"/>
      <c r="AD147" s="1082"/>
      <c r="AE147" s="1082"/>
      <c r="AF147" s="1082"/>
    </row>
    <row r="148">
      <c r="A148" s="1094">
        <v>3.0</v>
      </c>
      <c r="B148" s="1094" t="s">
        <v>1430</v>
      </c>
      <c r="C148" s="1094" t="s">
        <v>3782</v>
      </c>
      <c r="D148" s="1094" t="s">
        <v>4751</v>
      </c>
      <c r="E148" s="1094" t="s">
        <v>9601</v>
      </c>
      <c r="F148" s="1094" t="s">
        <v>180</v>
      </c>
      <c r="G148" s="1094" t="s">
        <v>10185</v>
      </c>
      <c r="H148" s="1094" t="s">
        <v>9465</v>
      </c>
      <c r="I148" s="1094" t="s">
        <v>10186</v>
      </c>
      <c r="J148" s="1095" t="s">
        <v>9604</v>
      </c>
      <c r="K148" s="1096" t="s">
        <v>400</v>
      </c>
      <c r="L148" s="1096" t="s">
        <v>9605</v>
      </c>
      <c r="M148" s="1082"/>
      <c r="N148" s="1082"/>
      <c r="O148" s="1082"/>
      <c r="P148" s="1082"/>
      <c r="Q148" s="1082"/>
      <c r="R148" s="1082"/>
      <c r="S148" s="1082"/>
      <c r="T148" s="1082"/>
      <c r="U148" s="1082"/>
      <c r="V148" s="1082"/>
      <c r="W148" s="1082"/>
      <c r="X148" s="1082"/>
      <c r="Y148" s="1082"/>
      <c r="Z148" s="1082"/>
      <c r="AA148" s="1082"/>
      <c r="AB148" s="1082"/>
      <c r="AC148" s="1082"/>
      <c r="AD148" s="1082"/>
      <c r="AE148" s="1082"/>
      <c r="AF148" s="1082"/>
    </row>
    <row r="149">
      <c r="A149" s="1091">
        <v>3.0</v>
      </c>
      <c r="B149" s="1091" t="s">
        <v>1470</v>
      </c>
      <c r="C149" s="1091" t="s">
        <v>10187</v>
      </c>
      <c r="D149" s="1091" t="s">
        <v>9067</v>
      </c>
      <c r="E149" s="1091" t="s">
        <v>10188</v>
      </c>
      <c r="F149" s="1091" t="s">
        <v>502</v>
      </c>
      <c r="G149" s="1091" t="s">
        <v>10189</v>
      </c>
      <c r="H149" s="1091" t="s">
        <v>10190</v>
      </c>
      <c r="I149" s="1091" t="s">
        <v>9705</v>
      </c>
      <c r="J149" s="1092" t="s">
        <v>10191</v>
      </c>
      <c r="K149" s="1093" t="s">
        <v>400</v>
      </c>
      <c r="L149" s="1093" t="s">
        <v>10192</v>
      </c>
      <c r="M149" s="1082"/>
      <c r="N149" s="1082"/>
      <c r="O149" s="1082"/>
      <c r="P149" s="1082"/>
      <c r="Q149" s="1082"/>
      <c r="R149" s="1082"/>
      <c r="S149" s="1082"/>
      <c r="T149" s="1082"/>
      <c r="U149" s="1082"/>
      <c r="V149" s="1082"/>
      <c r="W149" s="1082"/>
      <c r="X149" s="1082"/>
      <c r="Y149" s="1082"/>
      <c r="Z149" s="1082"/>
      <c r="AA149" s="1082"/>
      <c r="AB149" s="1082"/>
      <c r="AC149" s="1082"/>
      <c r="AD149" s="1082"/>
      <c r="AE149" s="1082"/>
      <c r="AF149" s="1082"/>
    </row>
    <row r="150">
      <c r="A150" s="1094">
        <v>3.0</v>
      </c>
      <c r="B150" s="1094" t="s">
        <v>1430</v>
      </c>
      <c r="C150" s="1094" t="s">
        <v>10193</v>
      </c>
      <c r="D150" s="1094" t="s">
        <v>9075</v>
      </c>
      <c r="E150" s="1094" t="s">
        <v>9457</v>
      </c>
      <c r="F150" s="1094" t="s">
        <v>307</v>
      </c>
      <c r="G150" s="1094" t="s">
        <v>10194</v>
      </c>
      <c r="H150" s="1094" t="s">
        <v>9860</v>
      </c>
      <c r="I150" s="1094" t="s">
        <v>10195</v>
      </c>
      <c r="J150" s="1095" t="s">
        <v>9817</v>
      </c>
      <c r="K150" s="1096" t="s">
        <v>10196</v>
      </c>
      <c r="L150" s="1096" t="s">
        <v>10197</v>
      </c>
      <c r="M150" s="1082"/>
      <c r="N150" s="1082"/>
      <c r="O150" s="1082"/>
      <c r="P150" s="1082"/>
      <c r="Q150" s="1082"/>
      <c r="R150" s="1082"/>
      <c r="S150" s="1082"/>
      <c r="T150" s="1082"/>
      <c r="U150" s="1082"/>
      <c r="V150" s="1082"/>
      <c r="W150" s="1082"/>
      <c r="X150" s="1082"/>
      <c r="Y150" s="1082"/>
      <c r="Z150" s="1082"/>
      <c r="AA150" s="1082"/>
      <c r="AB150" s="1082"/>
      <c r="AC150" s="1082"/>
      <c r="AD150" s="1082"/>
      <c r="AE150" s="1082"/>
      <c r="AF150" s="1082"/>
    </row>
    <row r="151">
      <c r="A151" s="1091">
        <v>3.0</v>
      </c>
      <c r="B151" s="1091" t="s">
        <v>1395</v>
      </c>
      <c r="C151" s="1091" t="s">
        <v>10198</v>
      </c>
      <c r="D151" s="1091" t="s">
        <v>4751</v>
      </c>
      <c r="E151" s="1091" t="s">
        <v>10146</v>
      </c>
      <c r="F151" s="1091" t="s">
        <v>180</v>
      </c>
      <c r="G151" s="1091" t="s">
        <v>10199</v>
      </c>
      <c r="H151" s="1091" t="s">
        <v>10200</v>
      </c>
      <c r="I151" s="1091" t="s">
        <v>10201</v>
      </c>
      <c r="J151" s="1092" t="s">
        <v>10202</v>
      </c>
      <c r="K151" s="1093" t="s">
        <v>10203</v>
      </c>
      <c r="L151" s="1093" t="s">
        <v>10204</v>
      </c>
      <c r="M151" s="1082"/>
      <c r="N151" s="1082"/>
      <c r="O151" s="1082"/>
      <c r="P151" s="1082"/>
      <c r="Q151" s="1082"/>
      <c r="R151" s="1082"/>
      <c r="S151" s="1082"/>
      <c r="T151" s="1082"/>
      <c r="U151" s="1082"/>
      <c r="V151" s="1082"/>
      <c r="W151" s="1082"/>
      <c r="X151" s="1082"/>
      <c r="Y151" s="1082"/>
      <c r="Z151" s="1082"/>
      <c r="AA151" s="1082"/>
      <c r="AB151" s="1082"/>
      <c r="AC151" s="1082"/>
      <c r="AD151" s="1082"/>
      <c r="AE151" s="1082"/>
      <c r="AF151" s="1082"/>
    </row>
    <row r="152">
      <c r="A152" s="1094">
        <v>3.0</v>
      </c>
      <c r="B152" s="1094" t="s">
        <v>1430</v>
      </c>
      <c r="C152" s="1094" t="s">
        <v>10205</v>
      </c>
      <c r="D152" s="1094" t="s">
        <v>5410</v>
      </c>
      <c r="E152" s="1094" t="s">
        <v>9544</v>
      </c>
      <c r="F152" s="1094" t="s">
        <v>66</v>
      </c>
      <c r="G152" s="1094" t="s">
        <v>10206</v>
      </c>
      <c r="H152" s="1094" t="s">
        <v>9860</v>
      </c>
      <c r="I152" s="1094" t="s">
        <v>10207</v>
      </c>
      <c r="J152" s="1095" t="s">
        <v>10208</v>
      </c>
      <c r="K152" s="1096" t="s">
        <v>10209</v>
      </c>
      <c r="L152" s="1096" t="s">
        <v>10210</v>
      </c>
      <c r="M152" s="1082"/>
      <c r="N152" s="1082"/>
      <c r="O152" s="1082"/>
      <c r="P152" s="1082"/>
      <c r="Q152" s="1082"/>
      <c r="R152" s="1082"/>
      <c r="S152" s="1082"/>
      <c r="T152" s="1082"/>
      <c r="U152" s="1082"/>
      <c r="V152" s="1082"/>
      <c r="W152" s="1082"/>
      <c r="X152" s="1082"/>
      <c r="Y152" s="1082"/>
      <c r="Z152" s="1082"/>
      <c r="AA152" s="1082"/>
      <c r="AB152" s="1082"/>
      <c r="AC152" s="1082"/>
      <c r="AD152" s="1082"/>
      <c r="AE152" s="1082"/>
      <c r="AF152" s="1082"/>
    </row>
    <row r="153">
      <c r="A153" s="1091">
        <v>4.0</v>
      </c>
      <c r="B153" s="1091" t="s">
        <v>1470</v>
      </c>
      <c r="C153" s="1093" t="s">
        <v>9827</v>
      </c>
      <c r="D153" s="1091" t="s">
        <v>9063</v>
      </c>
      <c r="E153" s="1091" t="s">
        <v>10211</v>
      </c>
      <c r="F153" s="1091" t="s">
        <v>52</v>
      </c>
      <c r="G153" s="1103"/>
      <c r="H153" s="1103"/>
      <c r="I153" s="1103"/>
      <c r="J153" s="1104"/>
      <c r="K153" s="1105"/>
      <c r="L153" s="1105"/>
      <c r="M153" s="1082"/>
      <c r="N153" s="1082"/>
      <c r="O153" s="1082"/>
      <c r="P153" s="1082"/>
      <c r="Q153" s="1082"/>
      <c r="R153" s="1082"/>
      <c r="S153" s="1082"/>
      <c r="T153" s="1082"/>
      <c r="U153" s="1082"/>
      <c r="V153" s="1082"/>
      <c r="W153" s="1082"/>
      <c r="X153" s="1082"/>
      <c r="Y153" s="1082"/>
      <c r="Z153" s="1082"/>
      <c r="AA153" s="1082"/>
      <c r="AB153" s="1082"/>
      <c r="AC153" s="1082"/>
      <c r="AD153" s="1082"/>
      <c r="AE153" s="1082"/>
      <c r="AF153" s="1082"/>
    </row>
    <row r="154">
      <c r="A154" s="1094">
        <v>4.0</v>
      </c>
      <c r="B154" s="1094" t="s">
        <v>1470</v>
      </c>
      <c r="C154" s="1096" t="s">
        <v>9928</v>
      </c>
      <c r="D154" s="1094" t="s">
        <v>9063</v>
      </c>
      <c r="E154" s="1094" t="s">
        <v>5120</v>
      </c>
      <c r="F154" s="1094" t="s">
        <v>52</v>
      </c>
      <c r="G154" s="1106"/>
      <c r="H154" s="1106"/>
      <c r="I154" s="1106"/>
      <c r="J154" s="1102"/>
      <c r="K154" s="1101"/>
      <c r="L154" s="1101"/>
      <c r="M154" s="1082"/>
      <c r="N154" s="1082"/>
      <c r="O154" s="1082"/>
      <c r="P154" s="1082"/>
      <c r="Q154" s="1082"/>
      <c r="R154" s="1082"/>
      <c r="S154" s="1082"/>
      <c r="T154" s="1082"/>
      <c r="U154" s="1082"/>
      <c r="V154" s="1082"/>
      <c r="W154" s="1082"/>
      <c r="X154" s="1082"/>
      <c r="Y154" s="1082"/>
      <c r="Z154" s="1082"/>
      <c r="AA154" s="1082"/>
      <c r="AB154" s="1082"/>
      <c r="AC154" s="1082"/>
      <c r="AD154" s="1082"/>
      <c r="AE154" s="1082"/>
      <c r="AF154" s="1082"/>
    </row>
    <row r="155">
      <c r="A155" s="1091">
        <v>4.0</v>
      </c>
      <c r="B155" s="1091" t="s">
        <v>1470</v>
      </c>
      <c r="C155" s="1093" t="s">
        <v>10007</v>
      </c>
      <c r="D155" s="1091" t="s">
        <v>9063</v>
      </c>
      <c r="E155" s="1091" t="s">
        <v>5854</v>
      </c>
      <c r="F155" s="1091" t="s">
        <v>52</v>
      </c>
      <c r="G155" s="1103"/>
      <c r="H155" s="1103"/>
      <c r="I155" s="1103"/>
      <c r="J155" s="1104"/>
      <c r="K155" s="1105"/>
      <c r="L155" s="1105"/>
      <c r="M155" s="1082"/>
      <c r="N155" s="1082"/>
      <c r="O155" s="1082"/>
      <c r="P155" s="1082"/>
      <c r="Q155" s="1082"/>
      <c r="R155" s="1082"/>
      <c r="S155" s="1082"/>
      <c r="T155" s="1082"/>
      <c r="U155" s="1082"/>
      <c r="V155" s="1082"/>
      <c r="W155" s="1082"/>
      <c r="X155" s="1082"/>
      <c r="Y155" s="1082"/>
      <c r="Z155" s="1082"/>
      <c r="AA155" s="1082"/>
      <c r="AB155" s="1082"/>
      <c r="AC155" s="1082"/>
      <c r="AD155" s="1082"/>
      <c r="AE155" s="1082"/>
      <c r="AF155" s="1082"/>
    </row>
    <row r="156">
      <c r="A156" s="1094">
        <v>4.0</v>
      </c>
      <c r="B156" s="1094" t="s">
        <v>1470</v>
      </c>
      <c r="C156" s="1096" t="s">
        <v>7139</v>
      </c>
      <c r="D156" s="1094" t="s">
        <v>9063</v>
      </c>
      <c r="E156" s="1094" t="s">
        <v>5854</v>
      </c>
      <c r="F156" s="1094" t="s">
        <v>52</v>
      </c>
      <c r="G156" s="1106"/>
      <c r="H156" s="1106"/>
      <c r="I156" s="1106"/>
      <c r="J156" s="1102"/>
      <c r="K156" s="1096"/>
      <c r="L156" s="1101"/>
      <c r="M156" s="1082"/>
      <c r="N156" s="1082"/>
      <c r="O156" s="1082"/>
      <c r="P156" s="1082"/>
      <c r="Q156" s="1082"/>
      <c r="R156" s="1082"/>
      <c r="S156" s="1082"/>
      <c r="T156" s="1082"/>
      <c r="U156" s="1082"/>
      <c r="V156" s="1082"/>
      <c r="W156" s="1082"/>
      <c r="X156" s="1082"/>
      <c r="Y156" s="1082"/>
      <c r="Z156" s="1082"/>
      <c r="AA156" s="1082"/>
      <c r="AB156" s="1082"/>
      <c r="AC156" s="1082"/>
      <c r="AD156" s="1082"/>
      <c r="AE156" s="1082"/>
      <c r="AF156" s="1082"/>
    </row>
    <row r="157">
      <c r="A157" s="1107">
        <v>4.0</v>
      </c>
      <c r="B157" s="1091" t="s">
        <v>1470</v>
      </c>
      <c r="C157" s="1108" t="s">
        <v>6782</v>
      </c>
      <c r="D157" s="1107" t="s">
        <v>9063</v>
      </c>
      <c r="E157" s="1107" t="s">
        <v>10126</v>
      </c>
      <c r="F157" s="1107" t="s">
        <v>52</v>
      </c>
      <c r="G157" s="1109"/>
      <c r="H157" s="1109"/>
      <c r="I157" s="1109"/>
      <c r="J157" s="1104"/>
      <c r="K157" s="1105"/>
      <c r="L157" s="1105"/>
      <c r="M157" s="1082"/>
      <c r="N157" s="1082"/>
      <c r="O157" s="1082"/>
      <c r="P157" s="1082"/>
      <c r="Q157" s="1082"/>
      <c r="R157" s="1082"/>
      <c r="S157" s="1082"/>
      <c r="T157" s="1082"/>
      <c r="U157" s="1082"/>
      <c r="V157" s="1082"/>
      <c r="W157" s="1082"/>
      <c r="X157" s="1082"/>
      <c r="Y157" s="1082"/>
      <c r="Z157" s="1082"/>
      <c r="AA157" s="1082"/>
      <c r="AB157" s="1082"/>
      <c r="AC157" s="1082"/>
      <c r="AD157" s="1082"/>
      <c r="AE157" s="1082"/>
      <c r="AF157" s="1082"/>
    </row>
    <row r="158">
      <c r="A158" s="1099">
        <v>4.0</v>
      </c>
      <c r="B158" s="1094" t="s">
        <v>1470</v>
      </c>
      <c r="C158" s="1110" t="s">
        <v>10178</v>
      </c>
      <c r="D158" s="1099" t="s">
        <v>9063</v>
      </c>
      <c r="E158" s="1099" t="s">
        <v>7945</v>
      </c>
      <c r="F158" s="1099" t="s">
        <v>52</v>
      </c>
      <c r="G158" s="1111"/>
      <c r="H158" s="1111"/>
      <c r="I158" s="1111"/>
      <c r="J158" s="1102"/>
      <c r="K158" s="1101"/>
      <c r="L158" s="1101"/>
      <c r="M158" s="1082"/>
      <c r="N158" s="1082"/>
      <c r="O158" s="1082"/>
      <c r="P158" s="1082"/>
      <c r="Q158" s="1082"/>
      <c r="R158" s="1082"/>
      <c r="S158" s="1082"/>
      <c r="T158" s="1082"/>
      <c r="U158" s="1082"/>
      <c r="V158" s="1082"/>
      <c r="W158" s="1082"/>
      <c r="X158" s="1082"/>
      <c r="Y158" s="1082"/>
      <c r="Z158" s="1082"/>
      <c r="AA158" s="1082"/>
      <c r="AB158" s="1082"/>
      <c r="AC158" s="1082"/>
      <c r="AD158" s="1082"/>
      <c r="AE158" s="1082"/>
      <c r="AF158" s="1082"/>
    </row>
    <row r="159">
      <c r="A159" s="1107"/>
      <c r="B159" s="1107"/>
      <c r="C159" s="1112" t="s">
        <v>5434</v>
      </c>
      <c r="D159" s="1108"/>
      <c r="E159" s="1113"/>
      <c r="F159" s="1105"/>
      <c r="G159" s="1105"/>
      <c r="H159" s="1105"/>
      <c r="I159" s="1105"/>
      <c r="J159" s="1104"/>
      <c r="K159" s="1105"/>
      <c r="L159" s="1105"/>
      <c r="M159" s="1082"/>
      <c r="N159" s="1082"/>
      <c r="O159" s="1082"/>
      <c r="P159" s="1082"/>
      <c r="Q159" s="1082"/>
      <c r="R159" s="1082"/>
      <c r="S159" s="1082"/>
      <c r="T159" s="1082"/>
      <c r="U159" s="1082"/>
      <c r="V159" s="1082"/>
      <c r="W159" s="1082"/>
      <c r="X159" s="1082"/>
      <c r="Y159" s="1082"/>
      <c r="Z159" s="1082"/>
      <c r="AA159" s="1082"/>
      <c r="AB159" s="1082"/>
      <c r="AC159" s="1082"/>
      <c r="AD159" s="1082"/>
      <c r="AE159" s="1082"/>
      <c r="AF159" s="1082"/>
    </row>
    <row r="160">
      <c r="A160" s="1099"/>
      <c r="B160" s="1099"/>
      <c r="C160" s="1100" t="s">
        <v>127</v>
      </c>
      <c r="D160" s="1096"/>
      <c r="E160" s="1101"/>
      <c r="F160" s="1101"/>
      <c r="G160" s="1101"/>
      <c r="H160" s="1101"/>
      <c r="I160" s="1101"/>
      <c r="J160" s="1102"/>
      <c r="K160" s="1101"/>
      <c r="L160" s="1101"/>
      <c r="M160" s="1082"/>
      <c r="N160" s="1082"/>
      <c r="O160" s="1082"/>
      <c r="P160" s="1082"/>
      <c r="Q160" s="1082"/>
      <c r="R160" s="1082"/>
      <c r="S160" s="1082"/>
      <c r="T160" s="1082"/>
      <c r="U160" s="1082"/>
      <c r="V160" s="1082"/>
      <c r="W160" s="1082"/>
      <c r="X160" s="1082"/>
      <c r="Y160" s="1082"/>
      <c r="Z160" s="1082"/>
      <c r="AA160" s="1082"/>
      <c r="AB160" s="1082"/>
      <c r="AC160" s="1082"/>
      <c r="AD160" s="1082"/>
      <c r="AE160" s="1082"/>
      <c r="AF160" s="1082"/>
    </row>
    <row r="161">
      <c r="A161" s="1107"/>
      <c r="B161" s="1107"/>
      <c r="C161" s="1112" t="s">
        <v>230</v>
      </c>
      <c r="D161" s="1108"/>
      <c r="E161" s="1113"/>
      <c r="F161" s="1105"/>
      <c r="G161" s="1105"/>
      <c r="H161" s="1105"/>
      <c r="I161" s="1105"/>
      <c r="J161" s="1104"/>
      <c r="K161" s="1105"/>
      <c r="L161" s="1105"/>
      <c r="M161" s="1082"/>
      <c r="N161" s="1082"/>
      <c r="O161" s="1082"/>
      <c r="P161" s="1082"/>
      <c r="Q161" s="1082"/>
      <c r="R161" s="1082"/>
      <c r="S161" s="1082"/>
      <c r="T161" s="1082"/>
      <c r="U161" s="1082"/>
      <c r="V161" s="1082"/>
      <c r="W161" s="1082"/>
      <c r="X161" s="1082"/>
      <c r="Y161" s="1082"/>
      <c r="Z161" s="1082"/>
      <c r="AA161" s="1082"/>
      <c r="AB161" s="1082"/>
      <c r="AC161" s="1082"/>
      <c r="AD161" s="1082"/>
      <c r="AE161" s="1082"/>
      <c r="AF161" s="1082"/>
    </row>
    <row r="162">
      <c r="A162" s="1099"/>
      <c r="B162" s="1099"/>
      <c r="C162" s="1100" t="s">
        <v>10212</v>
      </c>
      <c r="D162" s="1110"/>
      <c r="E162" s="1114"/>
      <c r="F162" s="1101"/>
      <c r="G162" s="1101"/>
      <c r="H162" s="1101"/>
      <c r="I162" s="1101"/>
      <c r="J162" s="1102"/>
      <c r="K162" s="1101"/>
      <c r="L162" s="1101"/>
      <c r="M162" s="1082"/>
      <c r="N162" s="1082"/>
      <c r="O162" s="1082"/>
      <c r="P162" s="1082"/>
      <c r="Q162" s="1082"/>
      <c r="R162" s="1082"/>
      <c r="S162" s="1082"/>
      <c r="T162" s="1082"/>
      <c r="U162" s="1082"/>
      <c r="V162" s="1082"/>
      <c r="W162" s="1082"/>
      <c r="X162" s="1082"/>
      <c r="Y162" s="1082"/>
      <c r="Z162" s="1082"/>
      <c r="AA162" s="1082"/>
      <c r="AB162" s="1082"/>
      <c r="AC162" s="1082"/>
      <c r="AD162" s="1082"/>
      <c r="AE162" s="1082"/>
      <c r="AF162" s="1082"/>
    </row>
    <row r="163">
      <c r="A163" s="1107"/>
      <c r="B163" s="1107"/>
      <c r="C163" s="1115" t="s">
        <v>6898</v>
      </c>
      <c r="D163" s="1108"/>
      <c r="E163" s="1113"/>
      <c r="F163" s="1105"/>
      <c r="G163" s="1105"/>
      <c r="H163" s="1105"/>
      <c r="I163" s="1105"/>
      <c r="J163" s="1104"/>
      <c r="K163" s="1105"/>
      <c r="L163" s="1105"/>
      <c r="M163" s="1082"/>
      <c r="N163" s="1082"/>
      <c r="O163" s="1082"/>
      <c r="P163" s="1082"/>
      <c r="Q163" s="1082"/>
      <c r="R163" s="1082"/>
      <c r="S163" s="1082"/>
      <c r="T163" s="1082"/>
      <c r="U163" s="1082"/>
      <c r="V163" s="1082"/>
      <c r="W163" s="1082"/>
      <c r="X163" s="1082"/>
      <c r="Y163" s="1082"/>
      <c r="Z163" s="1082"/>
      <c r="AA163" s="1082"/>
      <c r="AB163" s="1082"/>
      <c r="AC163" s="1082"/>
      <c r="AD163" s="1082"/>
      <c r="AE163" s="1082"/>
      <c r="AF163" s="1082"/>
    </row>
    <row r="164">
      <c r="A164" s="1094"/>
      <c r="B164" s="1094"/>
      <c r="C164" s="1116" t="s">
        <v>2925</v>
      </c>
      <c r="D164" s="1110"/>
      <c r="E164" s="1114"/>
      <c r="F164" s="1101"/>
      <c r="G164" s="1101"/>
      <c r="H164" s="1101"/>
      <c r="I164" s="1101"/>
      <c r="J164" s="1102"/>
      <c r="K164" s="1101"/>
      <c r="L164" s="1101"/>
      <c r="M164" s="1082"/>
      <c r="N164" s="1082"/>
      <c r="O164" s="1082"/>
      <c r="P164" s="1082"/>
      <c r="Q164" s="1082"/>
      <c r="R164" s="1082"/>
      <c r="S164" s="1082"/>
      <c r="T164" s="1082"/>
      <c r="U164" s="1082"/>
      <c r="V164" s="1082"/>
      <c r="W164" s="1082"/>
      <c r="X164" s="1082"/>
      <c r="Y164" s="1082"/>
      <c r="Z164" s="1082"/>
      <c r="AA164" s="1082"/>
      <c r="AB164" s="1082"/>
      <c r="AC164" s="1082"/>
      <c r="AD164" s="1082"/>
      <c r="AE164" s="1082"/>
      <c r="AF164" s="1082"/>
    </row>
    <row r="165">
      <c r="A165" s="1107"/>
      <c r="B165" s="1107"/>
      <c r="C165" s="1115" t="s">
        <v>6927</v>
      </c>
      <c r="D165" s="1093"/>
      <c r="E165" s="1105"/>
      <c r="F165" s="1105"/>
      <c r="G165" s="1105"/>
      <c r="H165" s="1105"/>
      <c r="I165" s="1105"/>
      <c r="J165" s="1104"/>
      <c r="K165" s="1105"/>
      <c r="L165" s="1105"/>
      <c r="M165" s="1082"/>
      <c r="N165" s="1082"/>
      <c r="O165" s="1082"/>
      <c r="P165" s="1082"/>
      <c r="Q165" s="1082"/>
      <c r="R165" s="1082"/>
      <c r="S165" s="1082"/>
      <c r="T165" s="1082"/>
      <c r="U165" s="1082"/>
      <c r="V165" s="1082"/>
      <c r="W165" s="1082"/>
      <c r="X165" s="1082"/>
      <c r="Y165" s="1082"/>
      <c r="Z165" s="1082"/>
      <c r="AA165" s="1082"/>
      <c r="AB165" s="1082"/>
      <c r="AC165" s="1082"/>
      <c r="AD165" s="1082"/>
      <c r="AE165" s="1082"/>
      <c r="AF165" s="1082"/>
    </row>
    <row r="166">
      <c r="A166" s="1099"/>
      <c r="B166" s="1099"/>
      <c r="C166" s="1100" t="s">
        <v>10213</v>
      </c>
      <c r="D166" s="1096"/>
      <c r="E166" s="1101"/>
      <c r="F166" s="1101"/>
      <c r="G166" s="1101"/>
      <c r="H166" s="1101"/>
      <c r="I166" s="1101"/>
      <c r="J166" s="1102"/>
      <c r="K166" s="1101"/>
      <c r="L166" s="1101"/>
      <c r="M166" s="1082"/>
      <c r="N166" s="1082"/>
      <c r="O166" s="1082"/>
      <c r="P166" s="1082"/>
      <c r="Q166" s="1082"/>
      <c r="R166" s="1082"/>
      <c r="S166" s="1082"/>
      <c r="T166" s="1082"/>
      <c r="U166" s="1082"/>
      <c r="V166" s="1082"/>
      <c r="W166" s="1082"/>
      <c r="X166" s="1082"/>
      <c r="Y166" s="1082"/>
      <c r="Z166" s="1082"/>
      <c r="AA166" s="1082"/>
      <c r="AB166" s="1082"/>
      <c r="AC166" s="1082"/>
      <c r="AD166" s="1082"/>
      <c r="AE166" s="1082"/>
      <c r="AF166" s="1082"/>
    </row>
    <row r="167">
      <c r="A167" s="1091"/>
      <c r="B167" s="1091"/>
      <c r="C167" s="1117" t="s">
        <v>10214</v>
      </c>
      <c r="D167" s="1108"/>
      <c r="E167" s="1113"/>
      <c r="F167" s="1105"/>
      <c r="G167" s="1105"/>
      <c r="H167" s="1105"/>
      <c r="I167" s="1105"/>
      <c r="J167" s="1104"/>
      <c r="K167" s="1105"/>
      <c r="L167" s="1105"/>
      <c r="M167" s="1082"/>
      <c r="N167" s="1082"/>
      <c r="O167" s="1082"/>
      <c r="P167" s="1082"/>
      <c r="Q167" s="1082"/>
      <c r="R167" s="1082"/>
      <c r="S167" s="1082"/>
      <c r="T167" s="1082"/>
      <c r="U167" s="1082"/>
      <c r="V167" s="1082"/>
      <c r="W167" s="1082"/>
      <c r="X167" s="1082"/>
      <c r="Y167" s="1082"/>
      <c r="Z167" s="1082"/>
      <c r="AA167" s="1082"/>
      <c r="AB167" s="1082"/>
      <c r="AC167" s="1082"/>
      <c r="AD167" s="1082"/>
      <c r="AE167" s="1082"/>
      <c r="AF167" s="1082"/>
    </row>
    <row r="168">
      <c r="A168" s="1099"/>
      <c r="B168" s="1099"/>
      <c r="C168" s="1100" t="s">
        <v>10215</v>
      </c>
      <c r="D168" s="1110"/>
      <c r="E168" s="1114"/>
      <c r="F168" s="1101"/>
      <c r="G168" s="1101"/>
      <c r="H168" s="1101"/>
      <c r="I168" s="1101"/>
      <c r="J168" s="1102"/>
      <c r="K168" s="1101"/>
      <c r="L168" s="1101"/>
      <c r="M168" s="1082"/>
      <c r="N168" s="1082"/>
      <c r="O168" s="1082"/>
      <c r="P168" s="1082"/>
      <c r="Q168" s="1082"/>
      <c r="R168" s="1082"/>
      <c r="S168" s="1082"/>
      <c r="T168" s="1082"/>
      <c r="U168" s="1082"/>
      <c r="V168" s="1082"/>
      <c r="W168" s="1082"/>
      <c r="X168" s="1082"/>
      <c r="Y168" s="1082"/>
      <c r="Z168" s="1082"/>
      <c r="AA168" s="1082"/>
      <c r="AB168" s="1082"/>
      <c r="AC168" s="1082"/>
      <c r="AD168" s="1082"/>
      <c r="AE168" s="1082"/>
      <c r="AF168" s="1082"/>
    </row>
    <row r="169">
      <c r="A169" s="1107"/>
      <c r="B169" s="1107"/>
      <c r="C169" s="1112" t="s">
        <v>4111</v>
      </c>
      <c r="D169" s="1093"/>
      <c r="E169" s="1105"/>
      <c r="F169" s="1105"/>
      <c r="G169" s="1105"/>
      <c r="H169" s="1105"/>
      <c r="I169" s="1105"/>
      <c r="J169" s="1104"/>
      <c r="K169" s="1105"/>
      <c r="L169" s="1105"/>
      <c r="M169" s="1082"/>
      <c r="N169" s="1082"/>
      <c r="O169" s="1082"/>
      <c r="P169" s="1082"/>
      <c r="Q169" s="1082"/>
      <c r="R169" s="1082"/>
      <c r="S169" s="1082"/>
      <c r="T169" s="1082"/>
      <c r="U169" s="1082"/>
      <c r="V169" s="1082"/>
      <c r="W169" s="1082"/>
      <c r="X169" s="1082"/>
      <c r="Y169" s="1082"/>
      <c r="Z169" s="1082"/>
      <c r="AA169" s="1082"/>
      <c r="AB169" s="1082"/>
      <c r="AC169" s="1082"/>
      <c r="AD169" s="1082"/>
      <c r="AE169" s="1082"/>
      <c r="AF169" s="1082"/>
    </row>
    <row r="170">
      <c r="A170" s="1099"/>
      <c r="B170" s="1099"/>
      <c r="C170" s="1100" t="s">
        <v>10216</v>
      </c>
      <c r="D170" s="1096"/>
      <c r="E170" s="1101"/>
      <c r="F170" s="1101"/>
      <c r="G170" s="1101"/>
      <c r="H170" s="1101"/>
      <c r="I170" s="1101"/>
      <c r="J170" s="1102"/>
      <c r="K170" s="1101"/>
      <c r="L170" s="1101"/>
      <c r="M170" s="1082"/>
      <c r="N170" s="1082"/>
      <c r="O170" s="1082"/>
      <c r="P170" s="1082"/>
      <c r="Q170" s="1082"/>
      <c r="R170" s="1082"/>
      <c r="S170" s="1082"/>
      <c r="T170" s="1082"/>
      <c r="U170" s="1082"/>
      <c r="V170" s="1082"/>
      <c r="W170" s="1082"/>
      <c r="X170" s="1082"/>
      <c r="Y170" s="1082"/>
      <c r="Z170" s="1082"/>
      <c r="AA170" s="1082"/>
      <c r="AB170" s="1082"/>
      <c r="AC170" s="1082"/>
      <c r="AD170" s="1082"/>
      <c r="AE170" s="1082"/>
      <c r="AF170" s="1082"/>
    </row>
    <row r="171">
      <c r="A171" s="1107"/>
      <c r="B171" s="1107"/>
      <c r="C171" s="1112" t="s">
        <v>5089</v>
      </c>
      <c r="D171" s="1093"/>
      <c r="E171" s="1105"/>
      <c r="F171" s="1105"/>
      <c r="G171" s="1105"/>
      <c r="H171" s="1105"/>
      <c r="I171" s="1105"/>
      <c r="J171" s="1104"/>
      <c r="K171" s="1105"/>
      <c r="L171" s="1105"/>
      <c r="M171" s="1082"/>
      <c r="N171" s="1082"/>
      <c r="O171" s="1082"/>
      <c r="P171" s="1082"/>
      <c r="Q171" s="1082"/>
      <c r="R171" s="1082"/>
      <c r="S171" s="1082"/>
      <c r="T171" s="1082"/>
      <c r="U171" s="1082"/>
      <c r="V171" s="1082"/>
      <c r="W171" s="1082"/>
      <c r="X171" s="1082"/>
      <c r="Y171" s="1082"/>
      <c r="Z171" s="1082"/>
      <c r="AA171" s="1082"/>
      <c r="AB171" s="1082"/>
      <c r="AC171" s="1082"/>
      <c r="AD171" s="1082"/>
      <c r="AE171" s="1082"/>
      <c r="AF171" s="1082"/>
    </row>
    <row r="172">
      <c r="A172" s="1094"/>
      <c r="B172" s="1094"/>
      <c r="C172" s="1118" t="s">
        <v>6943</v>
      </c>
      <c r="D172" s="1096"/>
      <c r="E172" s="1101"/>
      <c r="F172" s="1101"/>
      <c r="G172" s="1101"/>
      <c r="H172" s="1101"/>
      <c r="I172" s="1101"/>
      <c r="J172" s="1102"/>
      <c r="K172" s="1101"/>
      <c r="L172" s="1101"/>
      <c r="M172" s="1082"/>
      <c r="N172" s="1082"/>
      <c r="O172" s="1082"/>
      <c r="P172" s="1082"/>
      <c r="Q172" s="1082"/>
      <c r="R172" s="1082"/>
      <c r="S172" s="1082"/>
      <c r="T172" s="1082"/>
      <c r="U172" s="1082"/>
      <c r="V172" s="1082"/>
      <c r="W172" s="1082"/>
      <c r="X172" s="1082"/>
      <c r="Y172" s="1082"/>
      <c r="Z172" s="1082"/>
      <c r="AA172" s="1082"/>
      <c r="AB172" s="1082"/>
      <c r="AC172" s="1082"/>
      <c r="AD172" s="1082"/>
      <c r="AE172" s="1082"/>
      <c r="AF172" s="1082"/>
    </row>
    <row r="173">
      <c r="A173" s="1107"/>
      <c r="B173" s="1107"/>
      <c r="C173" s="1112" t="s">
        <v>6955</v>
      </c>
      <c r="D173" s="1093"/>
      <c r="E173" s="1105"/>
      <c r="F173" s="1105"/>
      <c r="G173" s="1105"/>
      <c r="H173" s="1105"/>
      <c r="I173" s="1105"/>
      <c r="J173" s="1104"/>
      <c r="K173" s="1105"/>
      <c r="L173" s="1105"/>
      <c r="M173" s="1082"/>
      <c r="N173" s="1082"/>
      <c r="O173" s="1082"/>
      <c r="P173" s="1082"/>
      <c r="Q173" s="1082"/>
      <c r="R173" s="1082"/>
      <c r="S173" s="1082"/>
      <c r="T173" s="1082"/>
      <c r="U173" s="1082"/>
      <c r="V173" s="1082"/>
      <c r="W173" s="1082"/>
      <c r="X173" s="1082"/>
      <c r="Y173" s="1082"/>
      <c r="Z173" s="1082"/>
      <c r="AA173" s="1082"/>
      <c r="AB173" s="1082"/>
      <c r="AC173" s="1082"/>
      <c r="AD173" s="1082"/>
      <c r="AE173" s="1082"/>
      <c r="AF173" s="1082"/>
    </row>
    <row r="174">
      <c r="A174" s="1094"/>
      <c r="B174" s="1094"/>
      <c r="C174" s="1116" t="s">
        <v>8097</v>
      </c>
      <c r="D174" s="1110"/>
      <c r="E174" s="1114"/>
      <c r="F174" s="1101"/>
      <c r="G174" s="1101"/>
      <c r="H174" s="1101"/>
      <c r="I174" s="1101"/>
      <c r="J174" s="1102"/>
      <c r="K174" s="1101"/>
      <c r="L174" s="1101"/>
      <c r="M174" s="1082"/>
      <c r="N174" s="1082"/>
      <c r="O174" s="1082"/>
      <c r="P174" s="1082"/>
      <c r="Q174" s="1082"/>
      <c r="R174" s="1082"/>
      <c r="S174" s="1082"/>
      <c r="T174" s="1082"/>
      <c r="U174" s="1082"/>
      <c r="V174" s="1082"/>
      <c r="W174" s="1082"/>
      <c r="X174" s="1082"/>
      <c r="Y174" s="1082"/>
      <c r="Z174" s="1082"/>
      <c r="AA174" s="1082"/>
      <c r="AB174" s="1082"/>
      <c r="AC174" s="1082"/>
      <c r="AD174" s="1082"/>
      <c r="AE174" s="1082"/>
      <c r="AF174" s="1082"/>
    </row>
    <row r="175">
      <c r="A175" s="1107"/>
      <c r="B175" s="1107"/>
      <c r="C175" s="1112" t="s">
        <v>10217</v>
      </c>
      <c r="D175" s="1093"/>
      <c r="E175" s="1105"/>
      <c r="F175" s="1105"/>
      <c r="G175" s="1105"/>
      <c r="H175" s="1105"/>
      <c r="I175" s="1105"/>
      <c r="J175" s="1104"/>
      <c r="K175" s="1105"/>
      <c r="L175" s="1105"/>
      <c r="M175" s="1082"/>
      <c r="N175" s="1082"/>
      <c r="O175" s="1082"/>
      <c r="P175" s="1082"/>
      <c r="Q175" s="1082"/>
      <c r="R175" s="1082"/>
      <c r="S175" s="1082"/>
      <c r="T175" s="1082"/>
      <c r="U175" s="1082"/>
      <c r="V175" s="1082"/>
      <c r="W175" s="1082"/>
      <c r="X175" s="1082"/>
      <c r="Y175" s="1082"/>
      <c r="Z175" s="1082"/>
      <c r="AA175" s="1082"/>
      <c r="AB175" s="1082"/>
      <c r="AC175" s="1082"/>
      <c r="AD175" s="1082"/>
      <c r="AE175" s="1082"/>
      <c r="AF175" s="1082"/>
    </row>
    <row r="176">
      <c r="A176" s="1094"/>
      <c r="B176" s="1094"/>
      <c r="C176" s="1118" t="s">
        <v>6968</v>
      </c>
      <c r="D176" s="1110"/>
      <c r="E176" s="1114"/>
      <c r="F176" s="1101"/>
      <c r="G176" s="1101"/>
      <c r="H176" s="1101"/>
      <c r="I176" s="1101"/>
      <c r="J176" s="1102"/>
      <c r="K176" s="1101"/>
      <c r="L176" s="1101"/>
      <c r="M176" s="1082"/>
      <c r="N176" s="1082"/>
      <c r="O176" s="1082"/>
      <c r="P176" s="1082"/>
      <c r="Q176" s="1082"/>
      <c r="R176" s="1082"/>
      <c r="S176" s="1082"/>
      <c r="T176" s="1082"/>
      <c r="U176" s="1082"/>
      <c r="V176" s="1082"/>
      <c r="W176" s="1082"/>
      <c r="X176" s="1082"/>
      <c r="Y176" s="1082"/>
      <c r="Z176" s="1082"/>
      <c r="AA176" s="1082"/>
      <c r="AB176" s="1082"/>
      <c r="AC176" s="1082"/>
      <c r="AD176" s="1082"/>
      <c r="AE176" s="1082"/>
      <c r="AF176" s="1082"/>
    </row>
    <row r="177">
      <c r="A177" s="1091"/>
      <c r="B177" s="1091"/>
      <c r="C177" s="1117" t="s">
        <v>269</v>
      </c>
      <c r="D177" s="1093"/>
      <c r="E177" s="1105"/>
      <c r="F177" s="1105"/>
      <c r="G177" s="1105"/>
      <c r="H177" s="1105"/>
      <c r="I177" s="1105"/>
      <c r="J177" s="1104"/>
      <c r="K177" s="1105"/>
      <c r="L177" s="1105"/>
      <c r="M177" s="1082"/>
      <c r="N177" s="1082"/>
      <c r="O177" s="1082"/>
      <c r="P177" s="1082"/>
      <c r="Q177" s="1082"/>
      <c r="R177" s="1082"/>
      <c r="S177" s="1082"/>
      <c r="T177" s="1082"/>
      <c r="U177" s="1082"/>
      <c r="V177" s="1082"/>
      <c r="W177" s="1082"/>
      <c r="X177" s="1082"/>
      <c r="Y177" s="1082"/>
      <c r="Z177" s="1082"/>
      <c r="AA177" s="1082"/>
      <c r="AB177" s="1082"/>
      <c r="AC177" s="1082"/>
      <c r="AD177" s="1082"/>
      <c r="AE177" s="1082"/>
      <c r="AF177" s="1082"/>
    </row>
    <row r="178">
      <c r="A178" s="1099"/>
      <c r="B178" s="1099"/>
      <c r="C178" s="1119" t="s">
        <v>6868</v>
      </c>
      <c r="D178" s="1110"/>
      <c r="E178" s="1114"/>
      <c r="F178" s="1101"/>
      <c r="G178" s="1101"/>
      <c r="H178" s="1101"/>
      <c r="I178" s="1101"/>
      <c r="J178" s="1102"/>
      <c r="K178" s="1101"/>
      <c r="L178" s="1101"/>
      <c r="M178" s="1082"/>
      <c r="N178" s="1082"/>
      <c r="O178" s="1082"/>
      <c r="P178" s="1082"/>
      <c r="Q178" s="1082"/>
      <c r="R178" s="1082"/>
      <c r="S178" s="1082"/>
      <c r="T178" s="1082"/>
      <c r="U178" s="1082"/>
      <c r="V178" s="1082"/>
      <c r="W178" s="1082"/>
      <c r="X178" s="1082"/>
      <c r="Y178" s="1082"/>
      <c r="Z178" s="1082"/>
      <c r="AA178" s="1082"/>
      <c r="AB178" s="1082"/>
      <c r="AC178" s="1082"/>
      <c r="AD178" s="1082"/>
      <c r="AE178" s="1082"/>
      <c r="AF178" s="1082"/>
    </row>
    <row r="179">
      <c r="A179" s="1107"/>
      <c r="B179" s="1107"/>
      <c r="C179" s="1115" t="s">
        <v>6974</v>
      </c>
      <c r="D179" s="1093"/>
      <c r="E179" s="1105"/>
      <c r="F179" s="1105"/>
      <c r="G179" s="1105"/>
      <c r="H179" s="1105"/>
      <c r="I179" s="1105"/>
      <c r="J179" s="1104"/>
      <c r="K179" s="1105"/>
      <c r="L179" s="1105"/>
      <c r="M179" s="1082"/>
      <c r="N179" s="1082"/>
      <c r="O179" s="1082"/>
      <c r="P179" s="1082"/>
      <c r="Q179" s="1082"/>
      <c r="R179" s="1082"/>
      <c r="S179" s="1082"/>
      <c r="T179" s="1082"/>
      <c r="U179" s="1082"/>
      <c r="V179" s="1082"/>
      <c r="W179" s="1082"/>
      <c r="X179" s="1082"/>
      <c r="Y179" s="1082"/>
      <c r="Z179" s="1082"/>
      <c r="AA179" s="1082"/>
      <c r="AB179" s="1082"/>
      <c r="AC179" s="1082"/>
      <c r="AD179" s="1082"/>
      <c r="AE179" s="1082"/>
      <c r="AF179" s="1082"/>
    </row>
    <row r="180">
      <c r="A180" s="1099"/>
      <c r="B180" s="1099"/>
      <c r="C180" s="1100"/>
      <c r="D180" s="1110"/>
      <c r="E180" s="1114"/>
      <c r="F180" s="1101"/>
      <c r="G180" s="1101"/>
      <c r="H180" s="1101"/>
      <c r="I180" s="1101"/>
      <c r="J180" s="1102"/>
      <c r="K180" s="1101"/>
      <c r="L180" s="1101"/>
      <c r="M180" s="1082"/>
      <c r="N180" s="1082"/>
      <c r="O180" s="1082"/>
      <c r="P180" s="1082"/>
      <c r="Q180" s="1082"/>
      <c r="R180" s="1082"/>
      <c r="S180" s="1082"/>
      <c r="T180" s="1082"/>
      <c r="U180" s="1082"/>
      <c r="V180" s="1082"/>
      <c r="W180" s="1082"/>
      <c r="X180" s="1082"/>
      <c r="Y180" s="1082"/>
      <c r="Z180" s="1082"/>
      <c r="AA180" s="1082"/>
      <c r="AB180" s="1082"/>
      <c r="AC180" s="1082"/>
      <c r="AD180" s="1082"/>
      <c r="AE180" s="1082"/>
      <c r="AF180" s="1082"/>
    </row>
    <row r="181">
      <c r="A181" s="1107"/>
      <c r="B181" s="1107"/>
      <c r="C181" s="1112" t="s">
        <v>4773</v>
      </c>
      <c r="D181" s="1108"/>
      <c r="E181" s="1113"/>
      <c r="F181" s="1105"/>
      <c r="G181" s="1105"/>
      <c r="H181" s="1105"/>
      <c r="I181" s="1105"/>
      <c r="J181" s="1104"/>
      <c r="K181" s="1105"/>
      <c r="L181" s="1105"/>
      <c r="M181" s="1082"/>
      <c r="N181" s="1082"/>
      <c r="O181" s="1082"/>
      <c r="P181" s="1082"/>
      <c r="Q181" s="1082"/>
      <c r="R181" s="1082"/>
      <c r="S181" s="1082"/>
      <c r="T181" s="1082"/>
      <c r="U181" s="1082"/>
      <c r="V181" s="1082"/>
      <c r="W181" s="1082"/>
      <c r="X181" s="1082"/>
      <c r="Y181" s="1082"/>
      <c r="Z181" s="1082"/>
      <c r="AA181" s="1082"/>
      <c r="AB181" s="1082"/>
      <c r="AC181" s="1082"/>
      <c r="AD181" s="1082"/>
      <c r="AE181" s="1082"/>
      <c r="AF181" s="1082"/>
    </row>
    <row r="182">
      <c r="A182" s="1094"/>
      <c r="B182" s="1094"/>
      <c r="C182" s="1116" t="s">
        <v>900</v>
      </c>
      <c r="D182" s="1096"/>
      <c r="E182" s="1101"/>
      <c r="F182" s="1101"/>
      <c r="G182" s="1101"/>
      <c r="H182" s="1101"/>
      <c r="I182" s="1101"/>
      <c r="J182" s="1102"/>
      <c r="K182" s="1101"/>
      <c r="L182" s="1101"/>
      <c r="M182" s="1082"/>
      <c r="N182" s="1082"/>
      <c r="O182" s="1082"/>
      <c r="P182" s="1082"/>
      <c r="Q182" s="1082"/>
      <c r="R182" s="1082"/>
      <c r="S182" s="1082"/>
      <c r="T182" s="1082"/>
      <c r="U182" s="1082"/>
      <c r="V182" s="1082"/>
      <c r="W182" s="1082"/>
      <c r="X182" s="1082"/>
      <c r="Y182" s="1082"/>
      <c r="Z182" s="1082"/>
      <c r="AA182" s="1082"/>
      <c r="AB182" s="1082"/>
      <c r="AC182" s="1082"/>
      <c r="AD182" s="1082"/>
      <c r="AE182" s="1082"/>
      <c r="AF182" s="1082"/>
    </row>
    <row r="183">
      <c r="A183" s="1107"/>
      <c r="B183" s="1107"/>
      <c r="C183" s="1112" t="s">
        <v>8180</v>
      </c>
      <c r="D183" s="1093"/>
      <c r="E183" s="1105"/>
      <c r="F183" s="1105"/>
      <c r="G183" s="1105"/>
      <c r="H183" s="1105"/>
      <c r="I183" s="1105"/>
      <c r="J183" s="1104"/>
      <c r="K183" s="1105"/>
      <c r="L183" s="1105"/>
      <c r="M183" s="1082"/>
      <c r="N183" s="1082"/>
      <c r="O183" s="1082"/>
      <c r="P183" s="1082"/>
      <c r="Q183" s="1082"/>
      <c r="R183" s="1082"/>
      <c r="S183" s="1082"/>
      <c r="T183" s="1082"/>
      <c r="U183" s="1082"/>
      <c r="V183" s="1082"/>
      <c r="W183" s="1082"/>
      <c r="X183" s="1082"/>
      <c r="Y183" s="1082"/>
      <c r="Z183" s="1082"/>
      <c r="AA183" s="1082"/>
      <c r="AB183" s="1082"/>
      <c r="AC183" s="1082"/>
      <c r="AD183" s="1082"/>
      <c r="AE183" s="1082"/>
      <c r="AF183" s="1082"/>
    </row>
    <row r="184">
      <c r="A184" s="1094"/>
      <c r="B184" s="1094"/>
      <c r="C184" s="1116" t="s">
        <v>10218</v>
      </c>
      <c r="D184" s="1096"/>
      <c r="E184" s="1101"/>
      <c r="F184" s="1101"/>
      <c r="G184" s="1101"/>
      <c r="H184" s="1101"/>
      <c r="I184" s="1101"/>
      <c r="J184" s="1102"/>
      <c r="K184" s="1101"/>
      <c r="L184" s="1101"/>
      <c r="M184" s="1082"/>
      <c r="N184" s="1082"/>
      <c r="O184" s="1082"/>
      <c r="P184" s="1082"/>
      <c r="Q184" s="1082"/>
      <c r="R184" s="1082"/>
      <c r="S184" s="1082"/>
      <c r="T184" s="1082"/>
      <c r="U184" s="1082"/>
      <c r="V184" s="1082"/>
      <c r="W184" s="1082"/>
      <c r="X184" s="1082"/>
      <c r="Y184" s="1082"/>
      <c r="Z184" s="1082"/>
      <c r="AA184" s="1082"/>
      <c r="AB184" s="1082"/>
      <c r="AC184" s="1082"/>
      <c r="AD184" s="1082"/>
      <c r="AE184" s="1082"/>
      <c r="AF184" s="1082"/>
    </row>
    <row r="185">
      <c r="A185" s="1107"/>
      <c r="B185" s="1107"/>
      <c r="C185" s="1112" t="s">
        <v>10219</v>
      </c>
      <c r="D185" s="1108"/>
      <c r="E185" s="1113"/>
      <c r="F185" s="1105"/>
      <c r="G185" s="1105"/>
      <c r="H185" s="1105"/>
      <c r="I185" s="1105"/>
      <c r="J185" s="1104"/>
      <c r="K185" s="1105"/>
      <c r="L185" s="1105"/>
      <c r="M185" s="1082"/>
      <c r="N185" s="1082"/>
      <c r="O185" s="1082"/>
      <c r="P185" s="1082"/>
      <c r="Q185" s="1082"/>
      <c r="R185" s="1082"/>
      <c r="S185" s="1082"/>
      <c r="T185" s="1082"/>
      <c r="U185" s="1082"/>
      <c r="V185" s="1082"/>
      <c r="W185" s="1082"/>
      <c r="X185" s="1082"/>
      <c r="Y185" s="1082"/>
      <c r="Z185" s="1082"/>
      <c r="AA185" s="1082"/>
      <c r="AB185" s="1082"/>
      <c r="AC185" s="1082"/>
      <c r="AD185" s="1082"/>
      <c r="AE185" s="1082"/>
      <c r="AF185" s="1082"/>
    </row>
    <row r="186">
      <c r="A186" s="1094"/>
      <c r="B186" s="1094"/>
      <c r="C186" s="1116" t="s">
        <v>10220</v>
      </c>
      <c r="D186" s="1096"/>
      <c r="E186" s="1101"/>
      <c r="F186" s="1101"/>
      <c r="G186" s="1101"/>
      <c r="H186" s="1101"/>
      <c r="I186" s="1101"/>
      <c r="J186" s="1102"/>
      <c r="K186" s="1101"/>
      <c r="L186" s="1101"/>
      <c r="M186" s="1082"/>
      <c r="N186" s="1082"/>
      <c r="O186" s="1082"/>
      <c r="P186" s="1082"/>
      <c r="Q186" s="1082"/>
      <c r="R186" s="1082"/>
      <c r="S186" s="1082"/>
      <c r="T186" s="1082"/>
      <c r="U186" s="1082"/>
      <c r="V186" s="1082"/>
      <c r="W186" s="1082"/>
      <c r="X186" s="1082"/>
      <c r="Y186" s="1082"/>
      <c r="Z186" s="1082"/>
      <c r="AA186" s="1082"/>
      <c r="AB186" s="1082"/>
      <c r="AC186" s="1082"/>
      <c r="AD186" s="1082"/>
      <c r="AE186" s="1082"/>
      <c r="AF186" s="1082"/>
    </row>
    <row r="187">
      <c r="A187" s="1091"/>
      <c r="B187" s="1091"/>
      <c r="C187" s="1117" t="s">
        <v>10221</v>
      </c>
      <c r="D187" s="1093"/>
      <c r="E187" s="1105"/>
      <c r="F187" s="1105"/>
      <c r="G187" s="1105"/>
      <c r="H187" s="1105"/>
      <c r="I187" s="1105"/>
      <c r="J187" s="1104"/>
      <c r="K187" s="1105"/>
      <c r="L187" s="1105"/>
      <c r="M187" s="1082"/>
      <c r="N187" s="1082"/>
      <c r="O187" s="1082"/>
      <c r="P187" s="1082"/>
      <c r="Q187" s="1082"/>
      <c r="R187" s="1082"/>
      <c r="S187" s="1082"/>
      <c r="T187" s="1082"/>
      <c r="U187" s="1082"/>
      <c r="V187" s="1082"/>
      <c r="W187" s="1082"/>
      <c r="X187" s="1082"/>
      <c r="Y187" s="1082"/>
      <c r="Z187" s="1082"/>
      <c r="AA187" s="1082"/>
      <c r="AB187" s="1082"/>
      <c r="AC187" s="1082"/>
      <c r="AD187" s="1082"/>
      <c r="AE187" s="1082"/>
      <c r="AF187" s="1082"/>
    </row>
    <row r="188">
      <c r="A188" s="1099"/>
      <c r="B188" s="1099"/>
      <c r="C188" s="1100" t="s">
        <v>10222</v>
      </c>
      <c r="D188" s="1110"/>
      <c r="E188" s="1114"/>
      <c r="F188" s="1101"/>
      <c r="G188" s="1101"/>
      <c r="H188" s="1101"/>
      <c r="I188" s="1101"/>
      <c r="J188" s="1102"/>
      <c r="K188" s="1101"/>
      <c r="L188" s="1101"/>
      <c r="M188" s="1082"/>
      <c r="N188" s="1082"/>
      <c r="O188" s="1082"/>
      <c r="P188" s="1082"/>
      <c r="Q188" s="1082"/>
      <c r="R188" s="1082"/>
      <c r="S188" s="1082"/>
      <c r="T188" s="1082"/>
      <c r="U188" s="1082"/>
      <c r="V188" s="1082"/>
      <c r="W188" s="1082"/>
      <c r="X188" s="1082"/>
      <c r="Y188" s="1082"/>
      <c r="Z188" s="1082"/>
      <c r="AA188" s="1082"/>
      <c r="AB188" s="1082"/>
      <c r="AC188" s="1082"/>
      <c r="AD188" s="1082"/>
      <c r="AE188" s="1082"/>
      <c r="AF188" s="1082"/>
    </row>
    <row r="189">
      <c r="A189" s="1091"/>
      <c r="B189" s="1091"/>
      <c r="C189" s="1120"/>
      <c r="D189" s="1093"/>
      <c r="E189" s="1105"/>
      <c r="F189" s="1105"/>
      <c r="G189" s="1105"/>
      <c r="H189" s="1105"/>
      <c r="I189" s="1105"/>
      <c r="J189" s="1104"/>
      <c r="K189" s="1105"/>
      <c r="L189" s="1105"/>
      <c r="M189" s="1082"/>
      <c r="N189" s="1082"/>
      <c r="O189" s="1082"/>
      <c r="P189" s="1082"/>
      <c r="Q189" s="1082"/>
      <c r="R189" s="1082"/>
      <c r="S189" s="1082"/>
      <c r="T189" s="1082"/>
      <c r="U189" s="1082"/>
      <c r="V189" s="1082"/>
      <c r="W189" s="1082"/>
      <c r="X189" s="1082"/>
      <c r="Y189" s="1082"/>
      <c r="Z189" s="1082"/>
      <c r="AA189" s="1082"/>
      <c r="AB189" s="1082"/>
      <c r="AC189" s="1082"/>
      <c r="AD189" s="1082"/>
      <c r="AE189" s="1082"/>
      <c r="AF189" s="1082"/>
    </row>
    <row r="190">
      <c r="A190" s="1099"/>
      <c r="B190" s="1099"/>
      <c r="C190" s="1100" t="s">
        <v>379</v>
      </c>
      <c r="D190" s="1110"/>
      <c r="E190" s="1114"/>
      <c r="F190" s="1096" t="s">
        <v>240</v>
      </c>
      <c r="G190" s="1101"/>
      <c r="H190" s="1101"/>
      <c r="I190" s="1101"/>
      <c r="J190" s="1102"/>
      <c r="K190" s="1101"/>
      <c r="L190" s="1101"/>
      <c r="M190" s="1082"/>
      <c r="N190" s="1082"/>
      <c r="O190" s="1082"/>
      <c r="P190" s="1082"/>
      <c r="Q190" s="1082"/>
      <c r="R190" s="1082"/>
      <c r="S190" s="1082"/>
      <c r="T190" s="1082"/>
      <c r="U190" s="1082"/>
      <c r="V190" s="1082"/>
      <c r="W190" s="1082"/>
      <c r="X190" s="1082"/>
      <c r="Y190" s="1082"/>
      <c r="Z190" s="1082"/>
      <c r="AA190" s="1082"/>
      <c r="AB190" s="1082"/>
      <c r="AC190" s="1082"/>
      <c r="AD190" s="1082"/>
      <c r="AE190" s="1082"/>
      <c r="AF190" s="1082"/>
    </row>
    <row r="191">
      <c r="A191" s="1107"/>
      <c r="B191" s="1107"/>
      <c r="C191" s="1112" t="s">
        <v>10223</v>
      </c>
      <c r="D191" s="1093"/>
      <c r="E191" s="1105"/>
      <c r="F191" s="1105"/>
      <c r="G191" s="1105"/>
      <c r="H191" s="1105"/>
      <c r="I191" s="1105"/>
      <c r="J191" s="1104"/>
      <c r="K191" s="1105"/>
      <c r="L191" s="1105"/>
      <c r="M191" s="1082"/>
      <c r="N191" s="1082"/>
      <c r="O191" s="1082"/>
      <c r="P191" s="1082"/>
      <c r="Q191" s="1082"/>
      <c r="R191" s="1082"/>
      <c r="S191" s="1082"/>
      <c r="T191" s="1082"/>
      <c r="U191" s="1082"/>
      <c r="V191" s="1082"/>
      <c r="W191" s="1082"/>
      <c r="X191" s="1082"/>
      <c r="Y191" s="1082"/>
      <c r="Z191" s="1082"/>
      <c r="AA191" s="1082"/>
      <c r="AB191" s="1082"/>
      <c r="AC191" s="1082"/>
      <c r="AD191" s="1082"/>
      <c r="AE191" s="1082"/>
      <c r="AF191" s="1082"/>
    </row>
    <row r="192">
      <c r="A192" s="1099"/>
      <c r="B192" s="1099"/>
      <c r="C192" s="1100" t="s">
        <v>733</v>
      </c>
      <c r="D192" s="1110"/>
      <c r="E192" s="1114"/>
      <c r="F192" s="1101"/>
      <c r="G192" s="1101"/>
      <c r="H192" s="1101"/>
      <c r="I192" s="1101"/>
      <c r="J192" s="1102"/>
      <c r="K192" s="1101"/>
      <c r="L192" s="1101"/>
      <c r="M192" s="1082"/>
      <c r="N192" s="1082"/>
      <c r="O192" s="1082"/>
      <c r="P192" s="1082"/>
      <c r="Q192" s="1082"/>
      <c r="R192" s="1082"/>
      <c r="S192" s="1082"/>
      <c r="T192" s="1082"/>
      <c r="U192" s="1082"/>
      <c r="V192" s="1082"/>
      <c r="W192" s="1082"/>
      <c r="X192" s="1082"/>
      <c r="Y192" s="1082"/>
      <c r="Z192" s="1082"/>
      <c r="AA192" s="1082"/>
      <c r="AB192" s="1082"/>
      <c r="AC192" s="1082"/>
      <c r="AD192" s="1082"/>
      <c r="AE192" s="1082"/>
      <c r="AF192" s="1082"/>
    </row>
    <row r="193">
      <c r="A193" s="1107"/>
      <c r="B193" s="1107"/>
      <c r="C193" s="1112" t="s">
        <v>2724</v>
      </c>
      <c r="D193" s="1108"/>
      <c r="E193" s="1113"/>
      <c r="F193" s="1105"/>
      <c r="G193" s="1105"/>
      <c r="H193" s="1105"/>
      <c r="I193" s="1105"/>
      <c r="J193" s="1104"/>
      <c r="K193" s="1105"/>
      <c r="L193" s="1105"/>
      <c r="M193" s="1082"/>
      <c r="N193" s="1082"/>
      <c r="O193" s="1082"/>
      <c r="P193" s="1082"/>
      <c r="Q193" s="1082"/>
      <c r="R193" s="1082"/>
      <c r="S193" s="1082"/>
      <c r="T193" s="1082"/>
      <c r="U193" s="1082"/>
      <c r="V193" s="1082"/>
      <c r="W193" s="1082"/>
      <c r="X193" s="1082"/>
      <c r="Y193" s="1082"/>
      <c r="Z193" s="1082"/>
      <c r="AA193" s="1082"/>
      <c r="AB193" s="1082"/>
      <c r="AC193" s="1082"/>
      <c r="AD193" s="1082"/>
      <c r="AE193" s="1082"/>
      <c r="AF193" s="1082"/>
    </row>
    <row r="194">
      <c r="A194" s="1094"/>
      <c r="B194" s="1094"/>
      <c r="C194" s="1116" t="s">
        <v>10224</v>
      </c>
      <c r="D194" s="1096"/>
      <c r="E194" s="1101"/>
      <c r="F194" s="1101"/>
      <c r="G194" s="1101"/>
      <c r="H194" s="1101"/>
      <c r="I194" s="1101"/>
      <c r="J194" s="1102"/>
      <c r="K194" s="1101"/>
      <c r="L194" s="1101"/>
      <c r="M194" s="1082"/>
      <c r="N194" s="1082"/>
      <c r="O194" s="1082"/>
      <c r="P194" s="1082"/>
      <c r="Q194" s="1082"/>
      <c r="R194" s="1082"/>
      <c r="S194" s="1082"/>
      <c r="T194" s="1082"/>
      <c r="U194" s="1082"/>
      <c r="V194" s="1082"/>
      <c r="W194" s="1082"/>
      <c r="X194" s="1082"/>
      <c r="Y194" s="1082"/>
      <c r="Z194" s="1082"/>
      <c r="AA194" s="1082"/>
      <c r="AB194" s="1082"/>
      <c r="AC194" s="1082"/>
      <c r="AD194" s="1082"/>
      <c r="AE194" s="1082"/>
      <c r="AF194" s="1082"/>
    </row>
    <row r="195">
      <c r="A195" s="1107"/>
      <c r="B195" s="1107"/>
      <c r="C195" s="1112" t="s">
        <v>10225</v>
      </c>
      <c r="D195" s="1093"/>
      <c r="E195" s="1105"/>
      <c r="F195" s="1105"/>
      <c r="G195" s="1105"/>
      <c r="H195" s="1105"/>
      <c r="I195" s="1105"/>
      <c r="J195" s="1104"/>
      <c r="K195" s="1105"/>
      <c r="L195" s="1105"/>
      <c r="M195" s="1082"/>
      <c r="N195" s="1082"/>
      <c r="O195" s="1082"/>
      <c r="P195" s="1082"/>
      <c r="Q195" s="1082"/>
      <c r="R195" s="1082"/>
      <c r="S195" s="1082"/>
      <c r="T195" s="1082"/>
      <c r="U195" s="1082"/>
      <c r="V195" s="1082"/>
      <c r="W195" s="1082"/>
      <c r="X195" s="1082"/>
      <c r="Y195" s="1082"/>
      <c r="Z195" s="1082"/>
      <c r="AA195" s="1082"/>
      <c r="AB195" s="1082"/>
      <c r="AC195" s="1082"/>
      <c r="AD195" s="1082"/>
      <c r="AE195" s="1082"/>
      <c r="AF195" s="1082"/>
    </row>
    <row r="196">
      <c r="A196" s="1099"/>
      <c r="B196" s="1099"/>
      <c r="C196" s="1100" t="s">
        <v>10226</v>
      </c>
      <c r="D196" s="1096"/>
      <c r="E196" s="1101"/>
      <c r="F196" s="1101"/>
      <c r="G196" s="1101"/>
      <c r="H196" s="1101"/>
      <c r="I196" s="1101"/>
      <c r="J196" s="1102"/>
      <c r="K196" s="1101"/>
      <c r="L196" s="1101"/>
      <c r="M196" s="1082"/>
      <c r="N196" s="1082"/>
      <c r="O196" s="1082"/>
      <c r="P196" s="1082"/>
      <c r="Q196" s="1082"/>
      <c r="R196" s="1082"/>
      <c r="S196" s="1082"/>
      <c r="T196" s="1082"/>
      <c r="U196" s="1082"/>
      <c r="V196" s="1082"/>
      <c r="W196" s="1082"/>
      <c r="X196" s="1082"/>
      <c r="Y196" s="1082"/>
      <c r="Z196" s="1082"/>
      <c r="AA196" s="1082"/>
      <c r="AB196" s="1082"/>
      <c r="AC196" s="1082"/>
      <c r="AD196" s="1082"/>
      <c r="AE196" s="1082"/>
      <c r="AF196" s="1082"/>
    </row>
    <row r="197">
      <c r="A197" s="1107"/>
      <c r="B197" s="1107"/>
      <c r="C197" s="1112" t="s">
        <v>10227</v>
      </c>
      <c r="D197" s="1108"/>
      <c r="E197" s="1113"/>
      <c r="F197" s="1105"/>
      <c r="G197" s="1105"/>
      <c r="H197" s="1105"/>
      <c r="I197" s="1105"/>
      <c r="J197" s="1104"/>
      <c r="K197" s="1105"/>
      <c r="L197" s="1105"/>
      <c r="M197" s="1082"/>
      <c r="N197" s="1082"/>
      <c r="O197" s="1082"/>
      <c r="P197" s="1082"/>
      <c r="Q197" s="1082"/>
      <c r="R197" s="1082"/>
      <c r="S197" s="1082"/>
      <c r="T197" s="1082"/>
      <c r="U197" s="1082"/>
      <c r="V197" s="1082"/>
      <c r="W197" s="1082"/>
      <c r="X197" s="1082"/>
      <c r="Y197" s="1082"/>
      <c r="Z197" s="1082"/>
      <c r="AA197" s="1082"/>
      <c r="AB197" s="1082"/>
      <c r="AC197" s="1082"/>
      <c r="AD197" s="1082"/>
      <c r="AE197" s="1082"/>
      <c r="AF197" s="1082"/>
    </row>
    <row r="198">
      <c r="A198" s="1099"/>
      <c r="B198" s="1099"/>
      <c r="C198" s="1100" t="s">
        <v>1412</v>
      </c>
      <c r="D198" s="1110"/>
      <c r="E198" s="1114"/>
      <c r="F198" s="1101"/>
      <c r="G198" s="1101"/>
      <c r="H198" s="1101"/>
      <c r="I198" s="1101"/>
      <c r="J198" s="1102"/>
      <c r="K198" s="1101"/>
      <c r="L198" s="1101"/>
      <c r="M198" s="1082"/>
      <c r="N198" s="1082"/>
      <c r="O198" s="1082"/>
      <c r="P198" s="1082"/>
      <c r="Q198" s="1082"/>
      <c r="R198" s="1082"/>
      <c r="S198" s="1082"/>
      <c r="T198" s="1082"/>
      <c r="U198" s="1082"/>
      <c r="V198" s="1082"/>
      <c r="W198" s="1082"/>
      <c r="X198" s="1082"/>
      <c r="Y198" s="1082"/>
      <c r="Z198" s="1082"/>
      <c r="AA198" s="1082"/>
      <c r="AB198" s="1082"/>
      <c r="AC198" s="1082"/>
      <c r="AD198" s="1082"/>
      <c r="AE198" s="1082"/>
      <c r="AF198" s="1082"/>
    </row>
    <row r="199">
      <c r="A199" s="1107"/>
      <c r="B199" s="1107"/>
      <c r="C199" s="1112" t="s">
        <v>10228</v>
      </c>
      <c r="D199" s="1108"/>
      <c r="E199" s="1113"/>
      <c r="F199" s="1105"/>
      <c r="G199" s="1105"/>
      <c r="H199" s="1105"/>
      <c r="I199" s="1105"/>
      <c r="J199" s="1104"/>
      <c r="K199" s="1105"/>
      <c r="L199" s="1105"/>
      <c r="M199" s="1082"/>
      <c r="N199" s="1082"/>
      <c r="O199" s="1082"/>
      <c r="P199" s="1082"/>
      <c r="Q199" s="1082"/>
      <c r="R199" s="1082"/>
      <c r="S199" s="1082"/>
      <c r="T199" s="1082"/>
      <c r="U199" s="1082"/>
      <c r="V199" s="1082"/>
      <c r="W199" s="1082"/>
      <c r="X199" s="1082"/>
      <c r="Y199" s="1082"/>
      <c r="Z199" s="1082"/>
      <c r="AA199" s="1082"/>
      <c r="AB199" s="1082"/>
      <c r="AC199" s="1082"/>
      <c r="AD199" s="1082"/>
      <c r="AE199" s="1082"/>
      <c r="AF199" s="1082"/>
    </row>
    <row r="200">
      <c r="A200" s="1099"/>
      <c r="B200" s="1099"/>
      <c r="C200" s="1100" t="s">
        <v>10229</v>
      </c>
      <c r="D200" s="1096"/>
      <c r="E200" s="1101"/>
      <c r="F200" s="1101"/>
      <c r="G200" s="1101"/>
      <c r="H200" s="1101"/>
      <c r="I200" s="1101"/>
      <c r="J200" s="1102"/>
      <c r="K200" s="1101"/>
      <c r="L200" s="1101"/>
      <c r="M200" s="1082"/>
      <c r="N200" s="1082"/>
      <c r="O200" s="1082"/>
      <c r="P200" s="1082"/>
      <c r="Q200" s="1082"/>
      <c r="R200" s="1082"/>
      <c r="S200" s="1082"/>
      <c r="T200" s="1082"/>
      <c r="U200" s="1082"/>
      <c r="V200" s="1082"/>
      <c r="W200" s="1082"/>
      <c r="X200" s="1082"/>
      <c r="Y200" s="1082"/>
      <c r="Z200" s="1082"/>
      <c r="AA200" s="1082"/>
      <c r="AB200" s="1082"/>
      <c r="AC200" s="1082"/>
      <c r="AD200" s="1082"/>
      <c r="AE200" s="1082"/>
      <c r="AF200" s="1082"/>
    </row>
    <row r="201">
      <c r="A201" s="1107"/>
      <c r="B201" s="1107"/>
      <c r="C201" s="1115" t="s">
        <v>1486</v>
      </c>
      <c r="D201" s="1093"/>
      <c r="E201" s="1105"/>
      <c r="F201" s="1105"/>
      <c r="G201" s="1105"/>
      <c r="H201" s="1105"/>
      <c r="I201" s="1105"/>
      <c r="J201" s="1104"/>
      <c r="K201" s="1105"/>
      <c r="L201" s="1105"/>
      <c r="M201" s="1082"/>
      <c r="N201" s="1082"/>
      <c r="O201" s="1082"/>
      <c r="P201" s="1082"/>
      <c r="Q201" s="1082"/>
      <c r="R201" s="1082"/>
      <c r="S201" s="1082"/>
      <c r="T201" s="1082"/>
      <c r="U201" s="1082"/>
      <c r="V201" s="1082"/>
      <c r="W201" s="1082"/>
      <c r="X201" s="1082"/>
      <c r="Y201" s="1082"/>
      <c r="Z201" s="1082"/>
      <c r="AA201" s="1082"/>
      <c r="AB201" s="1082"/>
      <c r="AC201" s="1082"/>
      <c r="AD201" s="1082"/>
      <c r="AE201" s="1082"/>
      <c r="AF201" s="1082"/>
    </row>
    <row r="202">
      <c r="A202" s="1099"/>
      <c r="B202" s="1099"/>
      <c r="C202" s="1100" t="s">
        <v>10230</v>
      </c>
      <c r="D202" s="1110"/>
      <c r="E202" s="1114"/>
      <c r="F202" s="1101"/>
      <c r="G202" s="1101"/>
      <c r="H202" s="1101"/>
      <c r="I202" s="1101"/>
      <c r="J202" s="1102"/>
      <c r="K202" s="1101"/>
      <c r="L202" s="1101"/>
      <c r="M202" s="1082"/>
      <c r="N202" s="1082"/>
      <c r="O202" s="1082"/>
      <c r="P202" s="1082"/>
      <c r="Q202" s="1082"/>
      <c r="R202" s="1082"/>
      <c r="S202" s="1082"/>
      <c r="T202" s="1082"/>
      <c r="U202" s="1082"/>
      <c r="V202" s="1082"/>
      <c r="W202" s="1082"/>
      <c r="X202" s="1082"/>
      <c r="Y202" s="1082"/>
      <c r="Z202" s="1082"/>
      <c r="AA202" s="1082"/>
      <c r="AB202" s="1082"/>
      <c r="AC202" s="1082"/>
      <c r="AD202" s="1082"/>
      <c r="AE202" s="1082"/>
      <c r="AF202" s="1082"/>
    </row>
    <row r="203">
      <c r="A203" s="1091"/>
      <c r="B203" s="1091"/>
      <c r="C203" s="1117" t="s">
        <v>298</v>
      </c>
      <c r="D203" s="1093"/>
      <c r="E203" s="1105"/>
      <c r="F203" s="1105"/>
      <c r="G203" s="1105"/>
      <c r="H203" s="1105"/>
      <c r="I203" s="1105"/>
      <c r="J203" s="1104"/>
      <c r="K203" s="1105"/>
      <c r="L203" s="1105"/>
      <c r="M203" s="1082"/>
      <c r="N203" s="1082"/>
      <c r="O203" s="1082"/>
      <c r="P203" s="1082"/>
      <c r="Q203" s="1082"/>
      <c r="R203" s="1082"/>
      <c r="S203" s="1082"/>
      <c r="T203" s="1082"/>
      <c r="U203" s="1082"/>
      <c r="V203" s="1082"/>
      <c r="W203" s="1082"/>
      <c r="X203" s="1082"/>
      <c r="Y203" s="1082"/>
      <c r="Z203" s="1082"/>
      <c r="AA203" s="1082"/>
      <c r="AB203" s="1082"/>
      <c r="AC203" s="1082"/>
      <c r="AD203" s="1082"/>
      <c r="AE203" s="1082"/>
      <c r="AF203" s="1082"/>
    </row>
    <row r="204">
      <c r="A204" s="1099"/>
      <c r="B204" s="1099"/>
      <c r="C204" s="1100" t="s">
        <v>1735</v>
      </c>
      <c r="D204" s="1110"/>
      <c r="E204" s="1114"/>
      <c r="F204" s="1101"/>
      <c r="G204" s="1101"/>
      <c r="H204" s="1101"/>
      <c r="I204" s="1101"/>
      <c r="J204" s="1102"/>
      <c r="K204" s="1101"/>
      <c r="L204" s="1101"/>
      <c r="M204" s="1082"/>
      <c r="N204" s="1082"/>
      <c r="O204" s="1082"/>
      <c r="P204" s="1082"/>
      <c r="Q204" s="1082"/>
      <c r="R204" s="1082"/>
      <c r="S204" s="1082"/>
      <c r="T204" s="1082"/>
      <c r="U204" s="1082"/>
      <c r="V204" s="1082"/>
      <c r="W204" s="1082"/>
      <c r="X204" s="1082"/>
      <c r="Y204" s="1082"/>
      <c r="Z204" s="1082"/>
      <c r="AA204" s="1082"/>
      <c r="AB204" s="1082"/>
      <c r="AC204" s="1082"/>
      <c r="AD204" s="1082"/>
      <c r="AE204" s="1082"/>
      <c r="AF204" s="1082"/>
    </row>
    <row r="205">
      <c r="A205" s="1107"/>
      <c r="B205" s="1107"/>
      <c r="C205" s="1112" t="s">
        <v>10231</v>
      </c>
      <c r="D205" s="1093"/>
      <c r="E205" s="1105"/>
      <c r="F205" s="1105"/>
      <c r="G205" s="1105"/>
      <c r="H205" s="1105"/>
      <c r="I205" s="1105"/>
      <c r="J205" s="1104"/>
      <c r="K205" s="1105"/>
      <c r="L205" s="1105"/>
      <c r="M205" s="1082"/>
      <c r="N205" s="1082"/>
      <c r="O205" s="1082"/>
      <c r="P205" s="1082"/>
      <c r="Q205" s="1082"/>
      <c r="R205" s="1082"/>
      <c r="S205" s="1082"/>
      <c r="T205" s="1082"/>
      <c r="U205" s="1082"/>
      <c r="V205" s="1082"/>
      <c r="W205" s="1082"/>
      <c r="X205" s="1082"/>
      <c r="Y205" s="1082"/>
      <c r="Z205" s="1082"/>
      <c r="AA205" s="1082"/>
      <c r="AB205" s="1082"/>
      <c r="AC205" s="1082"/>
      <c r="AD205" s="1082"/>
      <c r="AE205" s="1082"/>
      <c r="AF205" s="1082"/>
    </row>
    <row r="206">
      <c r="A206" s="1094"/>
      <c r="B206" s="1094"/>
      <c r="C206" s="1118" t="s">
        <v>2464</v>
      </c>
      <c r="D206" s="1096"/>
      <c r="E206" s="1101"/>
      <c r="F206" s="1101"/>
      <c r="G206" s="1101"/>
      <c r="H206" s="1101"/>
      <c r="I206" s="1101"/>
      <c r="J206" s="1102"/>
      <c r="K206" s="1101"/>
      <c r="L206" s="1101"/>
      <c r="M206" s="1082"/>
      <c r="N206" s="1082"/>
      <c r="O206" s="1082"/>
      <c r="P206" s="1082"/>
      <c r="Q206" s="1082"/>
      <c r="R206" s="1082"/>
      <c r="S206" s="1082"/>
      <c r="T206" s="1082"/>
      <c r="U206" s="1082"/>
      <c r="V206" s="1082"/>
      <c r="W206" s="1082"/>
      <c r="X206" s="1082"/>
      <c r="Y206" s="1082"/>
      <c r="Z206" s="1082"/>
      <c r="AA206" s="1082"/>
      <c r="AB206" s="1082"/>
      <c r="AC206" s="1082"/>
      <c r="AD206" s="1082"/>
      <c r="AE206" s="1082"/>
      <c r="AF206" s="1082"/>
    </row>
    <row r="207">
      <c r="A207" s="1107"/>
      <c r="B207" s="1107"/>
      <c r="C207" s="1112" t="s">
        <v>10232</v>
      </c>
      <c r="D207" s="1108"/>
      <c r="E207" s="1113"/>
      <c r="F207" s="1105"/>
      <c r="G207" s="1105"/>
      <c r="H207" s="1105"/>
      <c r="I207" s="1105"/>
      <c r="J207" s="1104"/>
      <c r="K207" s="1105"/>
      <c r="L207" s="1105"/>
      <c r="M207" s="1082"/>
      <c r="N207" s="1082"/>
      <c r="O207" s="1082"/>
      <c r="P207" s="1082"/>
      <c r="Q207" s="1082"/>
      <c r="R207" s="1082"/>
      <c r="S207" s="1082"/>
      <c r="T207" s="1082"/>
      <c r="U207" s="1082"/>
      <c r="V207" s="1082"/>
      <c r="W207" s="1082"/>
      <c r="X207" s="1082"/>
      <c r="Y207" s="1082"/>
      <c r="Z207" s="1082"/>
      <c r="AA207" s="1082"/>
      <c r="AB207" s="1082"/>
      <c r="AC207" s="1082"/>
      <c r="AD207" s="1082"/>
      <c r="AE207" s="1082"/>
      <c r="AF207" s="1082"/>
    </row>
    <row r="208">
      <c r="A208" s="1094"/>
      <c r="B208" s="1094"/>
      <c r="C208" s="1116" t="s">
        <v>3467</v>
      </c>
      <c r="D208" s="1110"/>
      <c r="E208" s="1114"/>
      <c r="F208" s="1101"/>
      <c r="G208" s="1101"/>
      <c r="H208" s="1101"/>
      <c r="I208" s="1101"/>
      <c r="J208" s="1102"/>
      <c r="K208" s="1101"/>
      <c r="L208" s="1101"/>
      <c r="M208" s="1082"/>
      <c r="N208" s="1082"/>
      <c r="O208" s="1082"/>
      <c r="P208" s="1082"/>
      <c r="Q208" s="1082"/>
      <c r="R208" s="1082"/>
      <c r="S208" s="1082"/>
      <c r="T208" s="1082"/>
      <c r="U208" s="1082"/>
      <c r="V208" s="1082"/>
      <c r="W208" s="1082"/>
      <c r="X208" s="1082"/>
      <c r="Y208" s="1082"/>
      <c r="Z208" s="1082"/>
      <c r="AA208" s="1082"/>
      <c r="AB208" s="1082"/>
      <c r="AC208" s="1082"/>
      <c r="AD208" s="1082"/>
      <c r="AE208" s="1082"/>
      <c r="AF208" s="1082"/>
    </row>
    <row r="209">
      <c r="A209" s="1091"/>
      <c r="B209" s="1091"/>
      <c r="C209" s="1120" t="s">
        <v>1680</v>
      </c>
      <c r="D209" s="1093"/>
      <c r="E209" s="1105"/>
      <c r="F209" s="1105"/>
      <c r="G209" s="1105"/>
      <c r="H209" s="1105"/>
      <c r="I209" s="1105"/>
      <c r="J209" s="1104"/>
      <c r="K209" s="1105"/>
      <c r="L209" s="1105"/>
      <c r="M209" s="1082"/>
      <c r="N209" s="1082"/>
      <c r="O209" s="1082"/>
      <c r="P209" s="1082"/>
      <c r="Q209" s="1082"/>
      <c r="R209" s="1082"/>
      <c r="S209" s="1082"/>
      <c r="T209" s="1082"/>
      <c r="U209" s="1082"/>
      <c r="V209" s="1082"/>
      <c r="W209" s="1082"/>
      <c r="X209" s="1082"/>
      <c r="Y209" s="1082"/>
      <c r="Z209" s="1082"/>
      <c r="AA209" s="1082"/>
      <c r="AB209" s="1082"/>
      <c r="AC209" s="1082"/>
      <c r="AD209" s="1082"/>
      <c r="AE209" s="1082"/>
      <c r="AF209" s="1082"/>
    </row>
    <row r="210">
      <c r="A210" s="1099"/>
      <c r="B210" s="1099"/>
      <c r="C210" s="1119" t="s">
        <v>7019</v>
      </c>
      <c r="D210" s="1110"/>
      <c r="E210" s="1114"/>
      <c r="F210" s="1101"/>
      <c r="G210" s="1101"/>
      <c r="H210" s="1101"/>
      <c r="I210" s="1101"/>
      <c r="J210" s="1102"/>
      <c r="K210" s="1101"/>
      <c r="L210" s="1101"/>
      <c r="M210" s="1082"/>
      <c r="N210" s="1082"/>
      <c r="O210" s="1082"/>
      <c r="P210" s="1082"/>
      <c r="Q210" s="1082"/>
      <c r="R210" s="1082"/>
      <c r="S210" s="1082"/>
      <c r="T210" s="1082"/>
      <c r="U210" s="1082"/>
      <c r="V210" s="1082"/>
      <c r="W210" s="1082"/>
      <c r="X210" s="1082"/>
      <c r="Y210" s="1082"/>
      <c r="Z210" s="1082"/>
      <c r="AA210" s="1082"/>
      <c r="AB210" s="1082"/>
      <c r="AC210" s="1082"/>
      <c r="AD210" s="1082"/>
      <c r="AE210" s="1082"/>
      <c r="AF210" s="1082"/>
    </row>
    <row r="211">
      <c r="A211" s="1107"/>
      <c r="B211" s="1107"/>
      <c r="C211" s="1112" t="s">
        <v>197</v>
      </c>
      <c r="D211" s="1108"/>
      <c r="E211" s="1113"/>
      <c r="F211" s="1105"/>
      <c r="G211" s="1105"/>
      <c r="H211" s="1105"/>
      <c r="I211" s="1105"/>
      <c r="J211" s="1104"/>
      <c r="K211" s="1105"/>
      <c r="L211" s="1105"/>
      <c r="M211" s="1082"/>
      <c r="N211" s="1082"/>
      <c r="O211" s="1082"/>
      <c r="P211" s="1082"/>
      <c r="Q211" s="1082"/>
      <c r="R211" s="1082"/>
      <c r="S211" s="1082"/>
      <c r="T211" s="1082"/>
      <c r="U211" s="1082"/>
      <c r="V211" s="1082"/>
      <c r="W211" s="1082"/>
      <c r="X211" s="1082"/>
      <c r="Y211" s="1082"/>
      <c r="Z211" s="1082"/>
      <c r="AA211" s="1082"/>
      <c r="AB211" s="1082"/>
      <c r="AC211" s="1082"/>
      <c r="AD211" s="1082"/>
      <c r="AE211" s="1082"/>
      <c r="AF211" s="1082"/>
    </row>
    <row r="212">
      <c r="A212" s="1094"/>
      <c r="B212" s="1094"/>
      <c r="C212" s="1116" t="s">
        <v>155</v>
      </c>
      <c r="D212" s="1096"/>
      <c r="E212" s="1101"/>
      <c r="F212" s="1101"/>
      <c r="G212" s="1101"/>
      <c r="H212" s="1101"/>
      <c r="I212" s="1101"/>
      <c r="J212" s="1102"/>
      <c r="K212" s="1101"/>
      <c r="L212" s="1101"/>
      <c r="M212" s="1082"/>
      <c r="N212" s="1082"/>
      <c r="O212" s="1082"/>
      <c r="P212" s="1082"/>
      <c r="Q212" s="1082"/>
      <c r="R212" s="1082"/>
      <c r="S212" s="1082"/>
      <c r="T212" s="1082"/>
      <c r="U212" s="1082"/>
      <c r="V212" s="1082"/>
      <c r="W212" s="1082"/>
      <c r="X212" s="1082"/>
      <c r="Y212" s="1082"/>
      <c r="Z212" s="1082"/>
      <c r="AA212" s="1082"/>
      <c r="AB212" s="1082"/>
      <c r="AC212" s="1082"/>
      <c r="AD212" s="1082"/>
      <c r="AE212" s="1082"/>
      <c r="AF212" s="1082"/>
    </row>
    <row r="213">
      <c r="A213" s="1107"/>
      <c r="B213" s="1107"/>
      <c r="C213" s="1112" t="s">
        <v>6617</v>
      </c>
      <c r="D213" s="1093"/>
      <c r="E213" s="1105"/>
      <c r="F213" s="1105"/>
      <c r="G213" s="1105"/>
      <c r="H213" s="1105"/>
      <c r="I213" s="1105"/>
      <c r="J213" s="1104"/>
      <c r="K213" s="1105"/>
      <c r="L213" s="1105"/>
      <c r="M213" s="1082"/>
      <c r="N213" s="1082"/>
      <c r="O213" s="1082"/>
      <c r="P213" s="1082"/>
      <c r="Q213" s="1082"/>
      <c r="R213" s="1082"/>
      <c r="S213" s="1082"/>
      <c r="T213" s="1082"/>
      <c r="U213" s="1082"/>
      <c r="V213" s="1082"/>
      <c r="W213" s="1082"/>
      <c r="X213" s="1082"/>
      <c r="Y213" s="1082"/>
      <c r="Z213" s="1082"/>
      <c r="AA213" s="1082"/>
      <c r="AB213" s="1082"/>
      <c r="AC213" s="1082"/>
      <c r="AD213" s="1082"/>
      <c r="AE213" s="1082"/>
      <c r="AF213" s="1082"/>
    </row>
    <row r="214">
      <c r="A214" s="1099"/>
      <c r="B214" s="1099"/>
      <c r="C214" s="1100" t="s">
        <v>2893</v>
      </c>
      <c r="D214" s="1096"/>
      <c r="E214" s="1101"/>
      <c r="F214" s="1101"/>
      <c r="G214" s="1101"/>
      <c r="H214" s="1101"/>
      <c r="I214" s="1101"/>
      <c r="J214" s="1102"/>
      <c r="K214" s="1101"/>
      <c r="L214" s="1101"/>
      <c r="M214" s="1082"/>
      <c r="N214" s="1082"/>
      <c r="O214" s="1082"/>
      <c r="P214" s="1082"/>
      <c r="Q214" s="1082"/>
      <c r="R214" s="1082"/>
      <c r="S214" s="1082"/>
      <c r="T214" s="1082"/>
      <c r="U214" s="1082"/>
      <c r="V214" s="1082"/>
      <c r="W214" s="1082"/>
      <c r="X214" s="1082"/>
      <c r="Y214" s="1082"/>
      <c r="Z214" s="1082"/>
      <c r="AA214" s="1082"/>
      <c r="AB214" s="1082"/>
      <c r="AC214" s="1082"/>
      <c r="AD214" s="1082"/>
      <c r="AE214" s="1082"/>
      <c r="AF214" s="1082"/>
    </row>
    <row r="215">
      <c r="A215" s="1107"/>
      <c r="B215" s="1107"/>
      <c r="C215" s="1115" t="s">
        <v>7051</v>
      </c>
      <c r="D215" s="1108"/>
      <c r="E215" s="1113"/>
      <c r="F215" s="1105"/>
      <c r="G215" s="1105"/>
      <c r="H215" s="1105"/>
      <c r="I215" s="1105"/>
      <c r="J215" s="1104"/>
      <c r="K215" s="1105"/>
      <c r="L215" s="1105"/>
      <c r="M215" s="1082"/>
      <c r="N215" s="1082"/>
      <c r="O215" s="1082"/>
      <c r="P215" s="1082"/>
      <c r="Q215" s="1082"/>
      <c r="R215" s="1082"/>
      <c r="S215" s="1082"/>
      <c r="T215" s="1082"/>
      <c r="U215" s="1082"/>
      <c r="V215" s="1082"/>
      <c r="W215" s="1082"/>
      <c r="X215" s="1082"/>
      <c r="Y215" s="1082"/>
      <c r="Z215" s="1082"/>
      <c r="AA215" s="1082"/>
      <c r="AB215" s="1082"/>
      <c r="AC215" s="1082"/>
      <c r="AD215" s="1082"/>
      <c r="AE215" s="1082"/>
      <c r="AF215" s="1082"/>
    </row>
    <row r="216">
      <c r="A216" s="1099"/>
      <c r="B216" s="1099"/>
      <c r="C216" s="1119" t="s">
        <v>7062</v>
      </c>
      <c r="D216" s="1096"/>
      <c r="E216" s="1101"/>
      <c r="F216" s="1101"/>
      <c r="G216" s="1101"/>
      <c r="H216" s="1101"/>
      <c r="I216" s="1101"/>
      <c r="J216" s="1102"/>
      <c r="K216" s="1101"/>
      <c r="L216" s="1101"/>
      <c r="M216" s="1082"/>
      <c r="N216" s="1082"/>
      <c r="O216" s="1082"/>
      <c r="P216" s="1082"/>
      <c r="Q216" s="1082"/>
      <c r="R216" s="1082"/>
      <c r="S216" s="1082"/>
      <c r="T216" s="1082"/>
      <c r="U216" s="1082"/>
      <c r="V216" s="1082"/>
      <c r="W216" s="1082"/>
      <c r="X216" s="1082"/>
      <c r="Y216" s="1082"/>
      <c r="Z216" s="1082"/>
      <c r="AA216" s="1082"/>
      <c r="AB216" s="1082"/>
      <c r="AC216" s="1082"/>
      <c r="AD216" s="1082"/>
      <c r="AE216" s="1082"/>
      <c r="AF216" s="1082"/>
    </row>
    <row r="217">
      <c r="A217" s="1107"/>
      <c r="B217" s="1107"/>
      <c r="C217" s="1115" t="s">
        <v>1820</v>
      </c>
      <c r="D217" s="1108"/>
      <c r="E217" s="1113"/>
      <c r="F217" s="1105"/>
      <c r="G217" s="1105"/>
      <c r="H217" s="1105"/>
      <c r="I217" s="1105"/>
      <c r="J217" s="1104"/>
      <c r="K217" s="1105"/>
      <c r="L217" s="1105"/>
      <c r="M217" s="1082"/>
      <c r="N217" s="1082"/>
      <c r="O217" s="1082"/>
      <c r="P217" s="1082"/>
      <c r="Q217" s="1082"/>
      <c r="R217" s="1082"/>
      <c r="S217" s="1082"/>
      <c r="T217" s="1082"/>
      <c r="U217" s="1082"/>
      <c r="V217" s="1082"/>
      <c r="W217" s="1082"/>
      <c r="X217" s="1082"/>
      <c r="Y217" s="1082"/>
      <c r="Z217" s="1082"/>
      <c r="AA217" s="1082"/>
      <c r="AB217" s="1082"/>
      <c r="AC217" s="1082"/>
      <c r="AD217" s="1082"/>
      <c r="AE217" s="1082"/>
      <c r="AF217" s="1082"/>
    </row>
    <row r="218">
      <c r="A218" s="1099"/>
      <c r="B218" s="1099"/>
      <c r="C218" s="1119" t="s">
        <v>2170</v>
      </c>
      <c r="D218" s="1110"/>
      <c r="E218" s="1114"/>
      <c r="F218" s="1101"/>
      <c r="G218" s="1101"/>
      <c r="H218" s="1101"/>
      <c r="I218" s="1101"/>
      <c r="J218" s="1102"/>
      <c r="K218" s="1101"/>
      <c r="L218" s="1101"/>
      <c r="M218" s="1082"/>
      <c r="N218" s="1082"/>
      <c r="O218" s="1082"/>
      <c r="P218" s="1082"/>
      <c r="Q218" s="1082"/>
      <c r="R218" s="1082"/>
      <c r="S218" s="1082"/>
      <c r="T218" s="1082"/>
      <c r="U218" s="1082"/>
      <c r="V218" s="1082"/>
      <c r="W218" s="1082"/>
      <c r="X218" s="1082"/>
      <c r="Y218" s="1082"/>
      <c r="Z218" s="1082"/>
      <c r="AA218" s="1082"/>
      <c r="AB218" s="1082"/>
      <c r="AC218" s="1082"/>
      <c r="AD218" s="1082"/>
      <c r="AE218" s="1082"/>
      <c r="AF218" s="1082"/>
    </row>
    <row r="219">
      <c r="A219" s="1107"/>
      <c r="B219" s="1107"/>
      <c r="C219" s="1115" t="s">
        <v>7082</v>
      </c>
      <c r="D219" s="1108"/>
      <c r="E219" s="1113"/>
      <c r="F219" s="1105"/>
      <c r="G219" s="1105"/>
      <c r="H219" s="1105"/>
      <c r="I219" s="1105"/>
      <c r="J219" s="1104"/>
      <c r="K219" s="1105"/>
      <c r="L219" s="1105"/>
      <c r="M219" s="1082"/>
      <c r="N219" s="1082"/>
      <c r="O219" s="1082"/>
      <c r="P219" s="1082"/>
      <c r="Q219" s="1082"/>
      <c r="R219" s="1082"/>
      <c r="S219" s="1082"/>
      <c r="T219" s="1082"/>
      <c r="U219" s="1082"/>
      <c r="V219" s="1082"/>
      <c r="W219" s="1082"/>
      <c r="X219" s="1082"/>
      <c r="Y219" s="1082"/>
      <c r="Z219" s="1082"/>
      <c r="AA219" s="1082"/>
      <c r="AB219" s="1082"/>
      <c r="AC219" s="1082"/>
      <c r="AD219" s="1082"/>
      <c r="AE219" s="1082"/>
      <c r="AF219" s="1082"/>
    </row>
    <row r="220">
      <c r="A220" s="1094"/>
      <c r="B220" s="1094"/>
      <c r="C220" s="1118" t="s">
        <v>7100</v>
      </c>
      <c r="D220" s="1110"/>
      <c r="E220" s="1114"/>
      <c r="F220" s="1101"/>
      <c r="G220" s="1101"/>
      <c r="H220" s="1101"/>
      <c r="I220" s="1101"/>
      <c r="J220" s="1102"/>
      <c r="K220" s="1101"/>
      <c r="L220" s="1101"/>
      <c r="M220" s="1082"/>
      <c r="N220" s="1082"/>
      <c r="O220" s="1082"/>
      <c r="P220" s="1082"/>
      <c r="Q220" s="1082"/>
      <c r="R220" s="1082"/>
      <c r="S220" s="1082"/>
      <c r="T220" s="1082"/>
      <c r="U220" s="1082"/>
      <c r="V220" s="1082"/>
      <c r="W220" s="1082"/>
      <c r="X220" s="1082"/>
      <c r="Y220" s="1082"/>
      <c r="Z220" s="1082"/>
      <c r="AA220" s="1082"/>
      <c r="AB220" s="1082"/>
      <c r="AC220" s="1082"/>
      <c r="AD220" s="1082"/>
      <c r="AE220" s="1082"/>
      <c r="AF220" s="1082"/>
    </row>
    <row r="221">
      <c r="A221" s="1107"/>
      <c r="B221" s="1107"/>
      <c r="C221" s="1112" t="s">
        <v>10233</v>
      </c>
      <c r="D221" s="1093"/>
      <c r="E221" s="1105"/>
      <c r="F221" s="1105"/>
      <c r="G221" s="1105"/>
      <c r="H221" s="1105"/>
      <c r="I221" s="1105"/>
      <c r="J221" s="1104"/>
      <c r="K221" s="1105"/>
      <c r="L221" s="1105"/>
      <c r="M221" s="1082"/>
      <c r="N221" s="1082"/>
      <c r="O221" s="1082"/>
      <c r="P221" s="1082"/>
      <c r="Q221" s="1082"/>
      <c r="R221" s="1082"/>
      <c r="S221" s="1082"/>
      <c r="T221" s="1082"/>
      <c r="U221" s="1082"/>
      <c r="V221" s="1082"/>
      <c r="W221" s="1082"/>
      <c r="X221" s="1082"/>
      <c r="Y221" s="1082"/>
      <c r="Z221" s="1082"/>
      <c r="AA221" s="1082"/>
      <c r="AB221" s="1082"/>
      <c r="AC221" s="1082"/>
      <c r="AD221" s="1082"/>
      <c r="AE221" s="1082"/>
      <c r="AF221" s="1082"/>
    </row>
    <row r="222">
      <c r="A222" s="1099"/>
      <c r="B222" s="1099"/>
      <c r="C222" s="1119" t="s">
        <v>7114</v>
      </c>
      <c r="D222" s="1110"/>
      <c r="E222" s="1114"/>
      <c r="F222" s="1101"/>
      <c r="G222" s="1101"/>
      <c r="H222" s="1101"/>
      <c r="I222" s="1101"/>
      <c r="J222" s="1102"/>
      <c r="K222" s="1101"/>
      <c r="L222" s="1101"/>
      <c r="M222" s="1082"/>
      <c r="N222" s="1082"/>
      <c r="O222" s="1082"/>
      <c r="P222" s="1082"/>
      <c r="Q222" s="1082"/>
      <c r="R222" s="1082"/>
      <c r="S222" s="1082"/>
      <c r="T222" s="1082"/>
      <c r="U222" s="1082"/>
      <c r="V222" s="1082"/>
      <c r="W222" s="1082"/>
      <c r="X222" s="1082"/>
      <c r="Y222" s="1082"/>
      <c r="Z222" s="1082"/>
      <c r="AA222" s="1082"/>
      <c r="AB222" s="1082"/>
      <c r="AC222" s="1082"/>
      <c r="AD222" s="1082"/>
      <c r="AE222" s="1082"/>
      <c r="AF222" s="1082"/>
    </row>
    <row r="223">
      <c r="A223" s="1107"/>
      <c r="B223" s="1107"/>
      <c r="C223" s="1112" t="s">
        <v>224</v>
      </c>
      <c r="D223" s="1093"/>
      <c r="E223" s="1105"/>
      <c r="F223" s="1105"/>
      <c r="G223" s="1105"/>
      <c r="H223" s="1105"/>
      <c r="I223" s="1105"/>
      <c r="J223" s="1104"/>
      <c r="K223" s="1105"/>
      <c r="L223" s="1105"/>
      <c r="M223" s="1082"/>
      <c r="N223" s="1082"/>
      <c r="O223" s="1082"/>
      <c r="P223" s="1082"/>
      <c r="Q223" s="1082"/>
      <c r="R223" s="1082"/>
      <c r="S223" s="1082"/>
      <c r="T223" s="1082"/>
      <c r="U223" s="1082"/>
      <c r="V223" s="1082"/>
      <c r="W223" s="1082"/>
      <c r="X223" s="1082"/>
      <c r="Y223" s="1082"/>
      <c r="Z223" s="1082"/>
      <c r="AA223" s="1082"/>
      <c r="AB223" s="1082"/>
      <c r="AC223" s="1082"/>
      <c r="AD223" s="1082"/>
      <c r="AE223" s="1082"/>
      <c r="AF223" s="1082"/>
    </row>
    <row r="224">
      <c r="A224" s="1099"/>
      <c r="B224" s="1099"/>
      <c r="C224" s="1100" t="s">
        <v>1691</v>
      </c>
      <c r="D224" s="1110"/>
      <c r="E224" s="1114"/>
      <c r="F224" s="1101"/>
      <c r="G224" s="1101"/>
      <c r="H224" s="1101"/>
      <c r="I224" s="1101"/>
      <c r="J224" s="1102"/>
      <c r="K224" s="1101"/>
      <c r="L224" s="1101"/>
      <c r="M224" s="1082"/>
      <c r="N224" s="1082"/>
      <c r="O224" s="1082"/>
      <c r="P224" s="1082"/>
      <c r="Q224" s="1082"/>
      <c r="R224" s="1082"/>
      <c r="S224" s="1082"/>
      <c r="T224" s="1082"/>
      <c r="U224" s="1082"/>
      <c r="V224" s="1082"/>
      <c r="W224" s="1082"/>
      <c r="X224" s="1082"/>
      <c r="Y224" s="1082"/>
      <c r="Z224" s="1082"/>
      <c r="AA224" s="1082"/>
      <c r="AB224" s="1082"/>
      <c r="AC224" s="1082"/>
      <c r="AD224" s="1082"/>
      <c r="AE224" s="1082"/>
      <c r="AF224" s="1082"/>
    </row>
    <row r="225">
      <c r="A225" s="1107"/>
      <c r="B225" s="1107"/>
      <c r="C225" s="1112" t="s">
        <v>10234</v>
      </c>
      <c r="D225" s="1108"/>
      <c r="E225" s="1113"/>
      <c r="F225" s="1105"/>
      <c r="G225" s="1105"/>
      <c r="H225" s="1105"/>
      <c r="I225" s="1105"/>
      <c r="J225" s="1104"/>
      <c r="K225" s="1105"/>
      <c r="L225" s="1105"/>
      <c r="M225" s="1082"/>
      <c r="N225" s="1082"/>
      <c r="O225" s="1082"/>
      <c r="P225" s="1082"/>
      <c r="Q225" s="1082"/>
      <c r="R225" s="1082"/>
      <c r="S225" s="1082"/>
      <c r="T225" s="1082"/>
      <c r="U225" s="1082"/>
      <c r="V225" s="1082"/>
      <c r="W225" s="1082"/>
      <c r="X225" s="1082"/>
      <c r="Y225" s="1082"/>
      <c r="Z225" s="1082"/>
      <c r="AA225" s="1082"/>
      <c r="AB225" s="1082"/>
      <c r="AC225" s="1082"/>
      <c r="AD225" s="1082"/>
      <c r="AE225" s="1082"/>
      <c r="AF225" s="1082"/>
    </row>
    <row r="226">
      <c r="A226" s="1099"/>
      <c r="B226" s="1099"/>
      <c r="C226" s="1100" t="s">
        <v>10235</v>
      </c>
      <c r="D226" s="1096"/>
      <c r="E226" s="1101"/>
      <c r="F226" s="1101"/>
      <c r="G226" s="1101"/>
      <c r="H226" s="1101"/>
      <c r="I226" s="1101"/>
      <c r="J226" s="1102"/>
      <c r="K226" s="1101"/>
      <c r="L226" s="1101"/>
      <c r="M226" s="1082"/>
      <c r="N226" s="1082"/>
      <c r="O226" s="1082"/>
      <c r="P226" s="1082"/>
      <c r="Q226" s="1082"/>
      <c r="R226" s="1082"/>
      <c r="S226" s="1082"/>
      <c r="T226" s="1082"/>
      <c r="U226" s="1082"/>
      <c r="V226" s="1082"/>
      <c r="W226" s="1082"/>
      <c r="X226" s="1082"/>
      <c r="Y226" s="1082"/>
      <c r="Z226" s="1082"/>
      <c r="AA226" s="1082"/>
      <c r="AB226" s="1082"/>
      <c r="AC226" s="1082"/>
      <c r="AD226" s="1082"/>
      <c r="AE226" s="1082"/>
      <c r="AF226" s="1082"/>
    </row>
    <row r="227">
      <c r="A227" s="1107"/>
      <c r="B227" s="1107"/>
      <c r="C227" s="1112" t="s">
        <v>1031</v>
      </c>
      <c r="D227" s="1093"/>
      <c r="E227" s="1105"/>
      <c r="F227" s="1105"/>
      <c r="G227" s="1105"/>
      <c r="H227" s="1105"/>
      <c r="I227" s="1105"/>
      <c r="J227" s="1104"/>
      <c r="K227" s="1105"/>
      <c r="L227" s="1105"/>
      <c r="M227" s="1082"/>
      <c r="N227" s="1082"/>
      <c r="O227" s="1082"/>
      <c r="P227" s="1082"/>
      <c r="Q227" s="1082"/>
      <c r="R227" s="1082"/>
      <c r="S227" s="1082"/>
      <c r="T227" s="1082"/>
      <c r="U227" s="1082"/>
      <c r="V227" s="1082"/>
      <c r="W227" s="1082"/>
      <c r="X227" s="1082"/>
      <c r="Y227" s="1082"/>
      <c r="Z227" s="1082"/>
      <c r="AA227" s="1082"/>
      <c r="AB227" s="1082"/>
      <c r="AC227" s="1082"/>
      <c r="AD227" s="1082"/>
      <c r="AE227" s="1082"/>
      <c r="AF227" s="1082"/>
    </row>
    <row r="228">
      <c r="A228" s="1099"/>
      <c r="B228" s="1099"/>
      <c r="C228" s="1100" t="s">
        <v>3653</v>
      </c>
      <c r="D228" s="1110"/>
      <c r="E228" s="1114"/>
      <c r="F228" s="1101"/>
      <c r="G228" s="1101"/>
      <c r="H228" s="1101"/>
      <c r="I228" s="1101"/>
      <c r="J228" s="1102"/>
      <c r="K228" s="1101"/>
      <c r="L228" s="1101"/>
      <c r="M228" s="1082"/>
      <c r="N228" s="1082"/>
      <c r="O228" s="1082"/>
      <c r="P228" s="1082"/>
      <c r="Q228" s="1082"/>
      <c r="R228" s="1082"/>
      <c r="S228" s="1082"/>
      <c r="T228" s="1082"/>
      <c r="U228" s="1082"/>
      <c r="V228" s="1082"/>
      <c r="W228" s="1082"/>
      <c r="X228" s="1082"/>
      <c r="Y228" s="1082"/>
      <c r="Z228" s="1082"/>
      <c r="AA228" s="1082"/>
      <c r="AB228" s="1082"/>
      <c r="AC228" s="1082"/>
      <c r="AD228" s="1082"/>
      <c r="AE228" s="1082"/>
      <c r="AF228" s="1082"/>
    </row>
    <row r="229">
      <c r="A229" s="1107"/>
      <c r="B229" s="1107"/>
      <c r="C229" s="1112" t="s">
        <v>10236</v>
      </c>
      <c r="D229" s="1108"/>
      <c r="E229" s="1113"/>
      <c r="F229" s="1105"/>
      <c r="G229" s="1105"/>
      <c r="H229" s="1105"/>
      <c r="I229" s="1105"/>
      <c r="J229" s="1104"/>
      <c r="K229" s="1105"/>
      <c r="L229" s="1105"/>
      <c r="M229" s="1082"/>
      <c r="N229" s="1082"/>
      <c r="O229" s="1082"/>
      <c r="P229" s="1082"/>
      <c r="Q229" s="1082"/>
      <c r="R229" s="1082"/>
      <c r="S229" s="1082"/>
      <c r="T229" s="1082"/>
      <c r="U229" s="1082"/>
      <c r="V229" s="1082"/>
      <c r="W229" s="1082"/>
      <c r="X229" s="1082"/>
      <c r="Y229" s="1082"/>
      <c r="Z229" s="1082"/>
      <c r="AA229" s="1082"/>
      <c r="AB229" s="1082"/>
      <c r="AC229" s="1082"/>
      <c r="AD229" s="1082"/>
      <c r="AE229" s="1082"/>
      <c r="AF229" s="1082"/>
    </row>
    <row r="230">
      <c r="A230" s="1099"/>
      <c r="B230" s="1099"/>
      <c r="C230" s="1100" t="s">
        <v>1089</v>
      </c>
      <c r="D230" s="1096"/>
      <c r="E230" s="1101"/>
      <c r="F230" s="1101"/>
      <c r="G230" s="1101"/>
      <c r="H230" s="1101"/>
      <c r="I230" s="1101"/>
      <c r="J230" s="1102"/>
      <c r="K230" s="1101"/>
      <c r="L230" s="1101"/>
      <c r="M230" s="1082"/>
      <c r="N230" s="1082"/>
      <c r="O230" s="1082"/>
      <c r="P230" s="1082"/>
      <c r="Q230" s="1082"/>
      <c r="R230" s="1082"/>
      <c r="S230" s="1082"/>
      <c r="T230" s="1082"/>
      <c r="U230" s="1082"/>
      <c r="V230" s="1082"/>
      <c r="W230" s="1082"/>
      <c r="X230" s="1082"/>
      <c r="Y230" s="1082"/>
      <c r="Z230" s="1082"/>
      <c r="AA230" s="1082"/>
      <c r="AB230" s="1082"/>
      <c r="AC230" s="1082"/>
      <c r="AD230" s="1082"/>
      <c r="AE230" s="1082"/>
      <c r="AF230" s="1082"/>
    </row>
    <row r="231">
      <c r="A231" s="1091"/>
      <c r="B231" s="1091"/>
      <c r="C231" s="1117" t="s">
        <v>10237</v>
      </c>
      <c r="D231" s="1108"/>
      <c r="E231" s="1113"/>
      <c r="F231" s="1105"/>
      <c r="G231" s="1105"/>
      <c r="H231" s="1105"/>
      <c r="I231" s="1105"/>
      <c r="J231" s="1104"/>
      <c r="K231" s="1105"/>
      <c r="L231" s="1105"/>
      <c r="M231" s="1082"/>
      <c r="N231" s="1082"/>
      <c r="O231" s="1082"/>
      <c r="P231" s="1082"/>
      <c r="Q231" s="1082"/>
      <c r="R231" s="1082"/>
      <c r="S231" s="1082"/>
      <c r="T231" s="1082"/>
      <c r="U231" s="1082"/>
      <c r="V231" s="1082"/>
      <c r="W231" s="1082"/>
      <c r="X231" s="1082"/>
      <c r="Y231" s="1082"/>
      <c r="Z231" s="1082"/>
      <c r="AA231" s="1082"/>
      <c r="AB231" s="1082"/>
      <c r="AC231" s="1082"/>
      <c r="AD231" s="1082"/>
      <c r="AE231" s="1082"/>
      <c r="AF231" s="1082"/>
    </row>
    <row r="232">
      <c r="A232" s="1094"/>
      <c r="B232" s="1094"/>
      <c r="C232" s="1118" t="s">
        <v>7121</v>
      </c>
      <c r="D232" s="1110"/>
      <c r="E232" s="1114"/>
      <c r="F232" s="1101"/>
      <c r="G232" s="1101"/>
      <c r="H232" s="1101"/>
      <c r="I232" s="1101"/>
      <c r="J232" s="1102"/>
      <c r="K232" s="1101"/>
      <c r="L232" s="1101"/>
      <c r="M232" s="1082"/>
      <c r="N232" s="1082"/>
      <c r="O232" s="1082"/>
      <c r="P232" s="1082"/>
      <c r="Q232" s="1082"/>
      <c r="R232" s="1082"/>
      <c r="S232" s="1082"/>
      <c r="T232" s="1082"/>
      <c r="U232" s="1082"/>
      <c r="V232" s="1082"/>
      <c r="W232" s="1082"/>
      <c r="X232" s="1082"/>
      <c r="Y232" s="1082"/>
      <c r="Z232" s="1082"/>
      <c r="AA232" s="1082"/>
      <c r="AB232" s="1082"/>
      <c r="AC232" s="1082"/>
      <c r="AD232" s="1082"/>
      <c r="AE232" s="1082"/>
      <c r="AF232" s="1082"/>
    </row>
    <row r="233">
      <c r="A233" s="1091"/>
      <c r="B233" s="1091"/>
      <c r="C233" s="1117" t="s">
        <v>10238</v>
      </c>
      <c r="D233" s="1108"/>
      <c r="E233" s="1113"/>
      <c r="F233" s="1105"/>
      <c r="G233" s="1105"/>
      <c r="H233" s="1105"/>
      <c r="I233" s="1105"/>
      <c r="J233" s="1104"/>
      <c r="K233" s="1105"/>
      <c r="L233" s="1105"/>
      <c r="M233" s="1082"/>
      <c r="N233" s="1082"/>
      <c r="O233" s="1082"/>
      <c r="P233" s="1082"/>
      <c r="Q233" s="1082"/>
      <c r="R233" s="1082"/>
      <c r="S233" s="1082"/>
      <c r="T233" s="1082"/>
      <c r="U233" s="1082"/>
      <c r="V233" s="1082"/>
      <c r="W233" s="1082"/>
      <c r="X233" s="1082"/>
      <c r="Y233" s="1082"/>
      <c r="Z233" s="1082"/>
      <c r="AA233" s="1082"/>
      <c r="AB233" s="1082"/>
      <c r="AC233" s="1082"/>
      <c r="AD233" s="1082"/>
      <c r="AE233" s="1082"/>
      <c r="AF233" s="1082"/>
    </row>
    <row r="234">
      <c r="A234" s="1099"/>
      <c r="B234" s="1099"/>
      <c r="C234" s="1100" t="s">
        <v>3966</v>
      </c>
      <c r="D234" s="1096"/>
      <c r="E234" s="1101"/>
      <c r="F234" s="1101"/>
      <c r="G234" s="1101"/>
      <c r="H234" s="1101"/>
      <c r="I234" s="1101"/>
      <c r="J234" s="1102"/>
      <c r="K234" s="1101"/>
      <c r="L234" s="1101"/>
      <c r="M234" s="1082"/>
      <c r="N234" s="1082"/>
      <c r="O234" s="1082"/>
      <c r="P234" s="1082"/>
      <c r="Q234" s="1082"/>
      <c r="R234" s="1082"/>
      <c r="S234" s="1082"/>
      <c r="T234" s="1082"/>
      <c r="U234" s="1082"/>
      <c r="V234" s="1082"/>
      <c r="W234" s="1082"/>
      <c r="X234" s="1082"/>
      <c r="Y234" s="1082"/>
      <c r="Z234" s="1082"/>
      <c r="AA234" s="1082"/>
      <c r="AB234" s="1082"/>
      <c r="AC234" s="1082"/>
      <c r="AD234" s="1082"/>
      <c r="AE234" s="1082"/>
      <c r="AF234" s="1082"/>
    </row>
    <row r="235">
      <c r="A235" s="1107"/>
      <c r="B235" s="1107"/>
      <c r="C235" s="1112" t="s">
        <v>10239</v>
      </c>
      <c r="D235" s="1108"/>
      <c r="E235" s="1113"/>
      <c r="F235" s="1105"/>
      <c r="G235" s="1105"/>
      <c r="H235" s="1105"/>
      <c r="I235" s="1105"/>
      <c r="J235" s="1104"/>
      <c r="K235" s="1105"/>
      <c r="L235" s="1105"/>
      <c r="M235" s="1082"/>
      <c r="N235" s="1082"/>
      <c r="O235" s="1082"/>
      <c r="P235" s="1082"/>
      <c r="Q235" s="1082"/>
      <c r="R235" s="1082"/>
      <c r="S235" s="1082"/>
      <c r="T235" s="1082"/>
      <c r="U235" s="1082"/>
      <c r="V235" s="1082"/>
      <c r="W235" s="1082"/>
      <c r="X235" s="1082"/>
      <c r="Y235" s="1082"/>
      <c r="Z235" s="1082"/>
      <c r="AA235" s="1082"/>
      <c r="AB235" s="1082"/>
      <c r="AC235" s="1082"/>
      <c r="AD235" s="1082"/>
      <c r="AE235" s="1082"/>
      <c r="AF235" s="1082"/>
    </row>
    <row r="236">
      <c r="A236" s="1099"/>
      <c r="B236" s="1099"/>
      <c r="C236" s="1100" t="s">
        <v>10240</v>
      </c>
      <c r="D236" s="1096"/>
      <c r="E236" s="1101"/>
      <c r="F236" s="1101"/>
      <c r="G236" s="1101"/>
      <c r="H236" s="1101"/>
      <c r="I236" s="1101"/>
      <c r="J236" s="1102"/>
      <c r="K236" s="1101"/>
      <c r="L236" s="1101"/>
      <c r="M236" s="1082"/>
      <c r="N236" s="1082"/>
      <c r="O236" s="1082"/>
      <c r="P236" s="1082"/>
      <c r="Q236" s="1082"/>
      <c r="R236" s="1082"/>
      <c r="S236" s="1082"/>
      <c r="T236" s="1082"/>
      <c r="U236" s="1082"/>
      <c r="V236" s="1082"/>
      <c r="W236" s="1082"/>
      <c r="X236" s="1082"/>
      <c r="Y236" s="1082"/>
      <c r="Z236" s="1082"/>
      <c r="AA236" s="1082"/>
      <c r="AB236" s="1082"/>
      <c r="AC236" s="1082"/>
      <c r="AD236" s="1082"/>
      <c r="AE236" s="1082"/>
      <c r="AF236" s="1082"/>
    </row>
    <row r="237">
      <c r="A237" s="1091"/>
      <c r="B237" s="1091"/>
      <c r="C237" s="1117" t="s">
        <v>190</v>
      </c>
      <c r="D237" s="1108"/>
      <c r="E237" s="1113"/>
      <c r="F237" s="1105"/>
      <c r="G237" s="1105"/>
      <c r="H237" s="1105"/>
      <c r="I237" s="1105"/>
      <c r="J237" s="1104"/>
      <c r="K237" s="1105"/>
      <c r="L237" s="1105"/>
      <c r="M237" s="1082"/>
      <c r="N237" s="1082"/>
      <c r="O237" s="1082"/>
      <c r="P237" s="1082"/>
      <c r="Q237" s="1082"/>
      <c r="R237" s="1082"/>
      <c r="S237" s="1082"/>
      <c r="T237" s="1082"/>
      <c r="U237" s="1082"/>
      <c r="V237" s="1082"/>
      <c r="W237" s="1082"/>
      <c r="X237" s="1082"/>
      <c r="Y237" s="1082"/>
      <c r="Z237" s="1082"/>
      <c r="AA237" s="1082"/>
      <c r="AB237" s="1082"/>
      <c r="AC237" s="1082"/>
      <c r="AD237" s="1082"/>
      <c r="AE237" s="1082"/>
      <c r="AF237" s="1082"/>
    </row>
    <row r="238">
      <c r="A238" s="1094"/>
      <c r="B238" s="1094"/>
      <c r="C238" s="1116" t="s">
        <v>10241</v>
      </c>
      <c r="D238" s="1096"/>
      <c r="E238" s="1101"/>
      <c r="F238" s="1101"/>
      <c r="G238" s="1101"/>
      <c r="H238" s="1101"/>
      <c r="I238" s="1101"/>
      <c r="J238" s="1102"/>
      <c r="K238" s="1101"/>
      <c r="L238" s="1101"/>
      <c r="M238" s="1082"/>
      <c r="N238" s="1082"/>
      <c r="O238" s="1082"/>
      <c r="P238" s="1082"/>
      <c r="Q238" s="1082"/>
      <c r="R238" s="1082"/>
      <c r="S238" s="1082"/>
      <c r="T238" s="1082"/>
      <c r="U238" s="1082"/>
      <c r="V238" s="1082"/>
      <c r="W238" s="1082"/>
      <c r="X238" s="1082"/>
      <c r="Y238" s="1082"/>
      <c r="Z238" s="1082"/>
      <c r="AA238" s="1082"/>
      <c r="AB238" s="1082"/>
      <c r="AC238" s="1082"/>
      <c r="AD238" s="1082"/>
      <c r="AE238" s="1082"/>
      <c r="AF238" s="1082"/>
    </row>
    <row r="239">
      <c r="A239" s="1107"/>
      <c r="B239" s="1107"/>
      <c r="C239" s="1112" t="s">
        <v>5832</v>
      </c>
      <c r="D239" s="1093"/>
      <c r="E239" s="1105"/>
      <c r="F239" s="1105"/>
      <c r="G239" s="1105"/>
      <c r="H239" s="1105"/>
      <c r="I239" s="1105"/>
      <c r="J239" s="1104"/>
      <c r="K239" s="1105"/>
      <c r="L239" s="1105"/>
      <c r="M239" s="1082"/>
      <c r="N239" s="1082"/>
      <c r="O239" s="1082"/>
      <c r="P239" s="1082"/>
      <c r="Q239" s="1082"/>
      <c r="R239" s="1082"/>
      <c r="S239" s="1082"/>
      <c r="T239" s="1082"/>
      <c r="U239" s="1082"/>
      <c r="V239" s="1082"/>
      <c r="W239" s="1082"/>
      <c r="X239" s="1082"/>
      <c r="Y239" s="1082"/>
      <c r="Z239" s="1082"/>
      <c r="AA239" s="1082"/>
      <c r="AB239" s="1082"/>
      <c r="AC239" s="1082"/>
      <c r="AD239" s="1082"/>
      <c r="AE239" s="1082"/>
      <c r="AF239" s="1082"/>
    </row>
    <row r="240">
      <c r="A240" s="1099"/>
      <c r="B240" s="1099"/>
      <c r="C240" s="1100" t="s">
        <v>10242</v>
      </c>
      <c r="D240" s="1110"/>
      <c r="E240" s="1114"/>
      <c r="F240" s="1101"/>
      <c r="G240" s="1101"/>
      <c r="H240" s="1101"/>
      <c r="I240" s="1101"/>
      <c r="J240" s="1102"/>
      <c r="K240" s="1101"/>
      <c r="L240" s="1101"/>
      <c r="M240" s="1082"/>
      <c r="N240" s="1082"/>
      <c r="O240" s="1082"/>
      <c r="P240" s="1082"/>
      <c r="Q240" s="1082"/>
      <c r="R240" s="1082"/>
      <c r="S240" s="1082"/>
      <c r="T240" s="1082"/>
      <c r="U240" s="1082"/>
      <c r="V240" s="1082"/>
      <c r="W240" s="1082"/>
      <c r="X240" s="1082"/>
      <c r="Y240" s="1082"/>
      <c r="Z240" s="1082"/>
      <c r="AA240" s="1082"/>
      <c r="AB240" s="1082"/>
      <c r="AC240" s="1082"/>
      <c r="AD240" s="1082"/>
      <c r="AE240" s="1082"/>
      <c r="AF240" s="1082"/>
    </row>
    <row r="241">
      <c r="A241" s="1091"/>
      <c r="B241" s="1091"/>
      <c r="C241" s="1117" t="s">
        <v>10243</v>
      </c>
      <c r="D241" s="1093"/>
      <c r="E241" s="1105"/>
      <c r="F241" s="1105"/>
      <c r="G241" s="1105"/>
      <c r="H241" s="1105"/>
      <c r="I241" s="1105"/>
      <c r="J241" s="1104"/>
      <c r="K241" s="1105"/>
      <c r="L241" s="1105"/>
      <c r="M241" s="1082"/>
      <c r="N241" s="1082"/>
      <c r="O241" s="1082"/>
      <c r="P241" s="1082"/>
      <c r="Q241" s="1082"/>
      <c r="R241" s="1082"/>
      <c r="S241" s="1082"/>
      <c r="T241" s="1082"/>
      <c r="U241" s="1082"/>
      <c r="V241" s="1082"/>
      <c r="W241" s="1082"/>
      <c r="X241" s="1082"/>
      <c r="Y241" s="1082"/>
      <c r="Z241" s="1082"/>
      <c r="AA241" s="1082"/>
      <c r="AB241" s="1082"/>
      <c r="AC241" s="1082"/>
      <c r="AD241" s="1082"/>
      <c r="AE241" s="1082"/>
      <c r="AF241" s="1082"/>
    </row>
    <row r="242">
      <c r="A242" s="1099"/>
      <c r="B242" s="1099"/>
      <c r="C242" s="1100" t="s">
        <v>3800</v>
      </c>
      <c r="D242" s="1110"/>
      <c r="E242" s="1114"/>
      <c r="F242" s="1101"/>
      <c r="G242" s="1101"/>
      <c r="H242" s="1101"/>
      <c r="I242" s="1101"/>
      <c r="J242" s="1102"/>
      <c r="K242" s="1101"/>
      <c r="L242" s="1101"/>
      <c r="M242" s="1082"/>
      <c r="N242" s="1082"/>
      <c r="O242" s="1082"/>
      <c r="P242" s="1082"/>
      <c r="Q242" s="1082"/>
      <c r="R242" s="1082"/>
      <c r="S242" s="1082"/>
      <c r="T242" s="1082"/>
      <c r="U242" s="1082"/>
      <c r="V242" s="1082"/>
      <c r="W242" s="1082"/>
      <c r="X242" s="1082"/>
      <c r="Y242" s="1082"/>
      <c r="Z242" s="1082"/>
      <c r="AA242" s="1082"/>
      <c r="AB242" s="1082"/>
      <c r="AC242" s="1082"/>
      <c r="AD242" s="1082"/>
      <c r="AE242" s="1082"/>
      <c r="AF242" s="1082"/>
    </row>
    <row r="243">
      <c r="A243" s="1091"/>
      <c r="B243" s="1091"/>
      <c r="C243" s="1117" t="s">
        <v>10244</v>
      </c>
      <c r="D243" s="1093"/>
      <c r="E243" s="1105"/>
      <c r="F243" s="1105"/>
      <c r="G243" s="1105"/>
      <c r="H243" s="1105"/>
      <c r="I243" s="1105"/>
      <c r="J243" s="1104"/>
      <c r="K243" s="1105"/>
      <c r="L243" s="1105"/>
      <c r="M243" s="1082"/>
      <c r="N243" s="1082"/>
      <c r="O243" s="1082"/>
      <c r="P243" s="1082"/>
      <c r="Q243" s="1082"/>
      <c r="R243" s="1082"/>
      <c r="S243" s="1082"/>
      <c r="T243" s="1082"/>
      <c r="U243" s="1082"/>
      <c r="V243" s="1082"/>
      <c r="W243" s="1082"/>
      <c r="X243" s="1082"/>
      <c r="Y243" s="1082"/>
      <c r="Z243" s="1082"/>
      <c r="AA243" s="1082"/>
      <c r="AB243" s="1082"/>
      <c r="AC243" s="1082"/>
      <c r="AD243" s="1082"/>
      <c r="AE243" s="1082"/>
      <c r="AF243" s="1082"/>
    </row>
    <row r="244">
      <c r="A244" s="1094"/>
      <c r="B244" s="1094"/>
      <c r="C244" s="1116" t="s">
        <v>4987</v>
      </c>
      <c r="D244" s="1110"/>
      <c r="E244" s="1114"/>
      <c r="F244" s="1101"/>
      <c r="G244" s="1101"/>
      <c r="H244" s="1101"/>
      <c r="I244" s="1101"/>
      <c r="J244" s="1102"/>
      <c r="K244" s="1101"/>
      <c r="L244" s="1101"/>
      <c r="M244" s="1082"/>
      <c r="N244" s="1082"/>
      <c r="O244" s="1082"/>
      <c r="P244" s="1082"/>
      <c r="Q244" s="1082"/>
      <c r="R244" s="1082"/>
      <c r="S244" s="1082"/>
      <c r="T244" s="1082"/>
      <c r="U244" s="1082"/>
      <c r="V244" s="1082"/>
      <c r="W244" s="1082"/>
      <c r="X244" s="1082"/>
      <c r="Y244" s="1082"/>
      <c r="Z244" s="1082"/>
      <c r="AA244" s="1082"/>
      <c r="AB244" s="1082"/>
      <c r="AC244" s="1082"/>
      <c r="AD244" s="1082"/>
      <c r="AE244" s="1082"/>
      <c r="AF244" s="1082"/>
    </row>
    <row r="245">
      <c r="A245" s="1091"/>
      <c r="B245" s="1091"/>
      <c r="C245" s="1117" t="s">
        <v>10245</v>
      </c>
      <c r="D245" s="1093"/>
      <c r="E245" s="1105"/>
      <c r="F245" s="1105"/>
      <c r="G245" s="1105"/>
      <c r="H245" s="1105"/>
      <c r="I245" s="1105"/>
      <c r="J245" s="1104"/>
      <c r="K245" s="1093"/>
      <c r="L245" s="1105"/>
      <c r="M245" s="1082"/>
      <c r="N245" s="1082"/>
      <c r="O245" s="1082"/>
      <c r="P245" s="1082"/>
      <c r="Q245" s="1082"/>
      <c r="R245" s="1082"/>
      <c r="S245" s="1082"/>
      <c r="T245" s="1082"/>
      <c r="U245" s="1082"/>
      <c r="V245" s="1082"/>
      <c r="W245" s="1082"/>
      <c r="X245" s="1082"/>
      <c r="Y245" s="1082"/>
      <c r="Z245" s="1082"/>
      <c r="AA245" s="1082"/>
      <c r="AB245" s="1082"/>
      <c r="AC245" s="1082"/>
      <c r="AD245" s="1082"/>
      <c r="AE245" s="1082"/>
      <c r="AF245" s="1082"/>
    </row>
    <row r="246">
      <c r="A246" s="1099"/>
      <c r="B246" s="1099"/>
      <c r="C246" s="1100" t="s">
        <v>5775</v>
      </c>
      <c r="D246" s="1096"/>
      <c r="E246" s="1101"/>
      <c r="F246" s="1101"/>
      <c r="G246" s="1101"/>
      <c r="H246" s="1101"/>
      <c r="I246" s="1101"/>
      <c r="J246" s="1102"/>
      <c r="K246" s="1101"/>
      <c r="L246" s="1101"/>
      <c r="M246" s="1082"/>
      <c r="N246" s="1082"/>
      <c r="O246" s="1082"/>
      <c r="P246" s="1082"/>
      <c r="Q246" s="1082"/>
      <c r="R246" s="1082"/>
      <c r="S246" s="1082"/>
      <c r="T246" s="1082"/>
      <c r="U246" s="1082"/>
      <c r="V246" s="1082"/>
      <c r="W246" s="1082"/>
      <c r="X246" s="1082"/>
      <c r="Y246" s="1082"/>
      <c r="Z246" s="1082"/>
      <c r="AA246" s="1082"/>
      <c r="AB246" s="1082"/>
      <c r="AC246" s="1082"/>
      <c r="AD246" s="1082"/>
      <c r="AE246" s="1082"/>
      <c r="AF246" s="1082"/>
    </row>
    <row r="247">
      <c r="A247" s="1107"/>
      <c r="B247" s="1107"/>
      <c r="C247" s="1112" t="s">
        <v>10246</v>
      </c>
      <c r="D247" s="1093"/>
      <c r="E247" s="1105"/>
      <c r="F247" s="1105"/>
      <c r="G247" s="1105"/>
      <c r="H247" s="1105"/>
      <c r="I247" s="1105"/>
      <c r="J247" s="1104"/>
      <c r="K247" s="1105"/>
      <c r="L247" s="1105"/>
      <c r="M247" s="1082"/>
      <c r="N247" s="1082"/>
      <c r="O247" s="1082"/>
      <c r="P247" s="1082"/>
      <c r="Q247" s="1082"/>
      <c r="R247" s="1082"/>
      <c r="S247" s="1082"/>
      <c r="T247" s="1082"/>
      <c r="U247" s="1082"/>
      <c r="V247" s="1082"/>
      <c r="W247" s="1082"/>
      <c r="X247" s="1082"/>
      <c r="Y247" s="1082"/>
      <c r="Z247" s="1082"/>
      <c r="AA247" s="1082"/>
      <c r="AB247" s="1082"/>
      <c r="AC247" s="1082"/>
      <c r="AD247" s="1082"/>
      <c r="AE247" s="1082"/>
      <c r="AF247" s="1082"/>
    </row>
    <row r="248">
      <c r="A248" s="1099"/>
      <c r="B248" s="1099"/>
      <c r="C248" s="1100" t="s">
        <v>10247</v>
      </c>
      <c r="D248" s="1096"/>
      <c r="E248" s="1101"/>
      <c r="F248" s="1101"/>
      <c r="G248" s="1101"/>
      <c r="H248" s="1101"/>
      <c r="I248" s="1101"/>
      <c r="J248" s="1102"/>
      <c r="K248" s="1101"/>
      <c r="L248" s="1101"/>
      <c r="M248" s="1082"/>
      <c r="N248" s="1082"/>
      <c r="O248" s="1082"/>
      <c r="P248" s="1082"/>
      <c r="Q248" s="1082"/>
      <c r="R248" s="1082"/>
      <c r="S248" s="1082"/>
      <c r="T248" s="1082"/>
      <c r="U248" s="1082"/>
      <c r="V248" s="1082"/>
      <c r="W248" s="1082"/>
      <c r="X248" s="1082"/>
      <c r="Y248" s="1082"/>
      <c r="Z248" s="1082"/>
      <c r="AA248" s="1082"/>
      <c r="AB248" s="1082"/>
      <c r="AC248" s="1082"/>
      <c r="AD248" s="1082"/>
      <c r="AE248" s="1082"/>
      <c r="AF248" s="1082"/>
    </row>
    <row r="249">
      <c r="A249" s="1107"/>
      <c r="B249" s="1107"/>
      <c r="C249" s="1112" t="s">
        <v>1060</v>
      </c>
      <c r="D249" s="1093"/>
      <c r="E249" s="1105"/>
      <c r="F249" s="1105"/>
      <c r="G249" s="1105"/>
      <c r="H249" s="1105"/>
      <c r="I249" s="1105"/>
      <c r="J249" s="1104"/>
      <c r="K249" s="1105"/>
      <c r="L249" s="1105"/>
      <c r="M249" s="1082"/>
      <c r="N249" s="1082"/>
      <c r="O249" s="1082"/>
      <c r="P249" s="1082"/>
      <c r="Q249" s="1082"/>
      <c r="R249" s="1082"/>
      <c r="S249" s="1082"/>
      <c r="T249" s="1082"/>
      <c r="U249" s="1082"/>
      <c r="V249" s="1082"/>
      <c r="W249" s="1082"/>
      <c r="X249" s="1082"/>
      <c r="Y249" s="1082"/>
      <c r="Z249" s="1082"/>
      <c r="AA249" s="1082"/>
      <c r="AB249" s="1082"/>
      <c r="AC249" s="1082"/>
      <c r="AD249" s="1082"/>
      <c r="AE249" s="1082"/>
      <c r="AF249" s="1082"/>
    </row>
    <row r="250">
      <c r="A250" s="1099"/>
      <c r="B250" s="1099"/>
      <c r="C250" s="1100" t="s">
        <v>475</v>
      </c>
      <c r="D250" s="1096"/>
      <c r="E250" s="1101"/>
      <c r="F250" s="1101"/>
      <c r="G250" s="1101"/>
      <c r="H250" s="1101"/>
      <c r="I250" s="1101"/>
      <c r="J250" s="1102"/>
      <c r="K250" s="1101"/>
      <c r="L250" s="1101"/>
      <c r="M250" s="1082"/>
      <c r="N250" s="1082"/>
      <c r="O250" s="1082"/>
      <c r="P250" s="1082"/>
      <c r="Q250" s="1082"/>
      <c r="R250" s="1082"/>
      <c r="S250" s="1082"/>
      <c r="T250" s="1082"/>
      <c r="U250" s="1082"/>
      <c r="V250" s="1082"/>
      <c r="W250" s="1082"/>
      <c r="X250" s="1082"/>
      <c r="Y250" s="1082"/>
      <c r="Z250" s="1082"/>
      <c r="AA250" s="1082"/>
      <c r="AB250" s="1082"/>
      <c r="AC250" s="1082"/>
      <c r="AD250" s="1082"/>
      <c r="AE250" s="1082"/>
      <c r="AF250" s="1082"/>
    </row>
    <row r="251">
      <c r="A251" s="1091"/>
      <c r="B251" s="1091"/>
      <c r="C251" s="1120" t="s">
        <v>7129</v>
      </c>
      <c r="D251" s="1108"/>
      <c r="E251" s="1113"/>
      <c r="F251" s="1105"/>
      <c r="G251" s="1105"/>
      <c r="H251" s="1105"/>
      <c r="I251" s="1105"/>
      <c r="J251" s="1104"/>
      <c r="K251" s="1105"/>
      <c r="L251" s="1105"/>
      <c r="M251" s="1082"/>
      <c r="N251" s="1082"/>
      <c r="O251" s="1082"/>
      <c r="P251" s="1082"/>
      <c r="Q251" s="1082"/>
      <c r="R251" s="1082"/>
      <c r="S251" s="1082"/>
      <c r="T251" s="1082"/>
      <c r="U251" s="1082"/>
      <c r="V251" s="1082"/>
      <c r="W251" s="1082"/>
      <c r="X251" s="1082"/>
      <c r="Y251" s="1082"/>
      <c r="Z251" s="1082"/>
      <c r="AA251" s="1082"/>
      <c r="AB251" s="1082"/>
      <c r="AC251" s="1082"/>
      <c r="AD251" s="1082"/>
      <c r="AE251" s="1082"/>
      <c r="AF251" s="1082"/>
    </row>
    <row r="252">
      <c r="A252" s="1099"/>
      <c r="B252" s="1099"/>
      <c r="C252" s="1100" t="s">
        <v>10248</v>
      </c>
      <c r="D252" s="1096"/>
      <c r="E252" s="1101"/>
      <c r="F252" s="1101"/>
      <c r="G252" s="1101"/>
      <c r="H252" s="1101"/>
      <c r="I252" s="1101"/>
      <c r="J252" s="1102"/>
      <c r="K252" s="1101"/>
      <c r="L252" s="1101"/>
      <c r="M252" s="1082"/>
      <c r="N252" s="1082"/>
      <c r="O252" s="1082"/>
      <c r="P252" s="1082"/>
      <c r="Q252" s="1082"/>
      <c r="R252" s="1082"/>
      <c r="S252" s="1082"/>
      <c r="T252" s="1082"/>
      <c r="U252" s="1082"/>
      <c r="V252" s="1082"/>
      <c r="W252" s="1082"/>
      <c r="X252" s="1082"/>
      <c r="Y252" s="1082"/>
      <c r="Z252" s="1082"/>
      <c r="AA252" s="1082"/>
      <c r="AB252" s="1082"/>
      <c r="AC252" s="1082"/>
      <c r="AD252" s="1082"/>
      <c r="AE252" s="1082"/>
      <c r="AF252" s="1082"/>
    </row>
    <row r="253">
      <c r="A253" s="1091"/>
      <c r="B253" s="1091"/>
      <c r="C253" s="1117" t="s">
        <v>10249</v>
      </c>
      <c r="D253" s="1093"/>
      <c r="E253" s="1105"/>
      <c r="F253" s="1105"/>
      <c r="G253" s="1105"/>
      <c r="H253" s="1105"/>
      <c r="I253" s="1105"/>
      <c r="J253" s="1104"/>
      <c r="K253" s="1105"/>
      <c r="L253" s="1105"/>
      <c r="M253" s="1082"/>
      <c r="N253" s="1082"/>
      <c r="O253" s="1082"/>
      <c r="P253" s="1082"/>
      <c r="Q253" s="1082"/>
      <c r="R253" s="1082"/>
      <c r="S253" s="1082"/>
      <c r="T253" s="1082"/>
      <c r="U253" s="1082"/>
      <c r="V253" s="1082"/>
      <c r="W253" s="1082"/>
      <c r="X253" s="1082"/>
      <c r="Y253" s="1082"/>
      <c r="Z253" s="1082"/>
      <c r="AA253" s="1082"/>
      <c r="AB253" s="1082"/>
      <c r="AC253" s="1082"/>
      <c r="AD253" s="1082"/>
      <c r="AE253" s="1082"/>
      <c r="AF253" s="1082"/>
    </row>
    <row r="254">
      <c r="A254" s="1099"/>
      <c r="B254" s="1099"/>
      <c r="C254" s="1119" t="s">
        <v>6087</v>
      </c>
      <c r="D254" s="1096"/>
      <c r="E254" s="1101"/>
      <c r="F254" s="1101"/>
      <c r="G254" s="1101"/>
      <c r="H254" s="1101"/>
      <c r="I254" s="1101"/>
      <c r="J254" s="1102"/>
      <c r="K254" s="1101"/>
      <c r="L254" s="1101"/>
      <c r="M254" s="1082"/>
      <c r="N254" s="1082"/>
      <c r="O254" s="1082"/>
      <c r="P254" s="1082"/>
      <c r="Q254" s="1082"/>
      <c r="R254" s="1082"/>
      <c r="S254" s="1082"/>
      <c r="T254" s="1082"/>
      <c r="U254" s="1082"/>
      <c r="V254" s="1082"/>
      <c r="W254" s="1082"/>
      <c r="X254" s="1082"/>
      <c r="Y254" s="1082"/>
      <c r="Z254" s="1082"/>
      <c r="AA254" s="1082"/>
      <c r="AB254" s="1082"/>
      <c r="AC254" s="1082"/>
      <c r="AD254" s="1082"/>
      <c r="AE254" s="1082"/>
      <c r="AF254" s="1082"/>
    </row>
    <row r="255">
      <c r="A255" s="1107"/>
      <c r="B255" s="1107"/>
      <c r="C255" s="1112" t="s">
        <v>10250</v>
      </c>
      <c r="D255" s="1093"/>
      <c r="E255" s="1105"/>
      <c r="F255" s="1105"/>
      <c r="G255" s="1105"/>
      <c r="H255" s="1105"/>
      <c r="I255" s="1105"/>
      <c r="J255" s="1104"/>
      <c r="K255" s="1105"/>
      <c r="L255" s="1105"/>
      <c r="M255" s="1082"/>
      <c r="N255" s="1082"/>
      <c r="O255" s="1082"/>
      <c r="P255" s="1082"/>
      <c r="Q255" s="1082"/>
      <c r="R255" s="1082"/>
      <c r="S255" s="1082"/>
      <c r="T255" s="1082"/>
      <c r="U255" s="1082"/>
      <c r="V255" s="1082"/>
      <c r="W255" s="1082"/>
      <c r="X255" s="1082"/>
      <c r="Y255" s="1082"/>
      <c r="Z255" s="1082"/>
      <c r="AA255" s="1082"/>
      <c r="AB255" s="1082"/>
      <c r="AC255" s="1082"/>
      <c r="AD255" s="1082"/>
      <c r="AE255" s="1082"/>
      <c r="AF255" s="1082"/>
    </row>
    <row r="256">
      <c r="A256" s="1094"/>
      <c r="B256" s="1094"/>
      <c r="C256" s="1116" t="s">
        <v>1753</v>
      </c>
      <c r="D256" s="1110"/>
      <c r="E256" s="1114"/>
      <c r="F256" s="1101"/>
      <c r="G256" s="1101"/>
      <c r="H256" s="1101"/>
      <c r="I256" s="1101"/>
      <c r="J256" s="1102"/>
      <c r="K256" s="1101"/>
      <c r="L256" s="1101"/>
      <c r="M256" s="1082"/>
      <c r="N256" s="1082"/>
      <c r="O256" s="1082"/>
      <c r="P256" s="1082"/>
      <c r="Q256" s="1082"/>
      <c r="R256" s="1082"/>
      <c r="S256" s="1082"/>
      <c r="T256" s="1082"/>
      <c r="U256" s="1082"/>
      <c r="V256" s="1082"/>
      <c r="W256" s="1082"/>
      <c r="X256" s="1082"/>
      <c r="Y256" s="1082"/>
      <c r="Z256" s="1082"/>
      <c r="AA256" s="1082"/>
      <c r="AB256" s="1082"/>
      <c r="AC256" s="1082"/>
      <c r="AD256" s="1082"/>
      <c r="AE256" s="1082"/>
      <c r="AF256" s="1082"/>
    </row>
    <row r="257">
      <c r="A257" s="1107"/>
      <c r="B257" s="1107"/>
      <c r="C257" s="1115" t="s">
        <v>7145</v>
      </c>
      <c r="D257" s="1108"/>
      <c r="E257" s="1113"/>
      <c r="F257" s="1105"/>
      <c r="G257" s="1105"/>
      <c r="H257" s="1105"/>
      <c r="I257" s="1105"/>
      <c r="J257" s="1104"/>
      <c r="K257" s="1105"/>
      <c r="L257" s="1105"/>
      <c r="M257" s="1082"/>
      <c r="N257" s="1082"/>
      <c r="O257" s="1082"/>
      <c r="P257" s="1082"/>
      <c r="Q257" s="1082"/>
      <c r="R257" s="1082"/>
      <c r="S257" s="1082"/>
      <c r="T257" s="1082"/>
      <c r="U257" s="1082"/>
      <c r="V257" s="1082"/>
      <c r="W257" s="1082"/>
      <c r="X257" s="1082"/>
      <c r="Y257" s="1082"/>
      <c r="Z257" s="1082"/>
      <c r="AA257" s="1082"/>
      <c r="AB257" s="1082"/>
      <c r="AC257" s="1082"/>
      <c r="AD257" s="1082"/>
      <c r="AE257" s="1082"/>
      <c r="AF257" s="1082"/>
    </row>
    <row r="258">
      <c r="A258" s="1099"/>
      <c r="B258" s="1099"/>
      <c r="C258" s="1100" t="s">
        <v>10251</v>
      </c>
      <c r="D258" s="1096"/>
      <c r="E258" s="1101"/>
      <c r="F258" s="1101"/>
      <c r="G258" s="1101"/>
      <c r="H258" s="1101"/>
      <c r="I258" s="1101"/>
      <c r="J258" s="1102"/>
      <c r="K258" s="1101"/>
      <c r="L258" s="1101"/>
      <c r="M258" s="1082"/>
      <c r="N258" s="1082"/>
      <c r="O258" s="1082"/>
      <c r="P258" s="1082"/>
      <c r="Q258" s="1082"/>
      <c r="R258" s="1082"/>
      <c r="S258" s="1082"/>
      <c r="T258" s="1082"/>
      <c r="U258" s="1082"/>
      <c r="V258" s="1082"/>
      <c r="W258" s="1082"/>
      <c r="X258" s="1082"/>
      <c r="Y258" s="1082"/>
      <c r="Z258" s="1082"/>
      <c r="AA258" s="1082"/>
      <c r="AB258" s="1082"/>
      <c r="AC258" s="1082"/>
      <c r="AD258" s="1082"/>
      <c r="AE258" s="1082"/>
      <c r="AF258" s="1082"/>
    </row>
    <row r="259">
      <c r="A259" s="1107"/>
      <c r="B259" s="1107"/>
      <c r="C259" s="1112" t="s">
        <v>4877</v>
      </c>
      <c r="D259" s="1108"/>
      <c r="E259" s="1113"/>
      <c r="F259" s="1105"/>
      <c r="G259" s="1105"/>
      <c r="H259" s="1105"/>
      <c r="I259" s="1105"/>
      <c r="J259" s="1104"/>
      <c r="K259" s="1093"/>
      <c r="L259" s="1105"/>
      <c r="M259" s="1082"/>
      <c r="N259" s="1082"/>
      <c r="O259" s="1082"/>
      <c r="P259" s="1082"/>
      <c r="Q259" s="1082"/>
      <c r="R259" s="1082"/>
      <c r="S259" s="1082"/>
      <c r="T259" s="1082"/>
      <c r="U259" s="1082"/>
      <c r="V259" s="1082"/>
      <c r="W259" s="1082"/>
      <c r="X259" s="1082"/>
      <c r="Y259" s="1082"/>
      <c r="Z259" s="1082"/>
      <c r="AA259" s="1082"/>
      <c r="AB259" s="1082"/>
      <c r="AC259" s="1082"/>
      <c r="AD259" s="1082"/>
      <c r="AE259" s="1082"/>
      <c r="AF259" s="1082"/>
    </row>
    <row r="260">
      <c r="A260" s="1099"/>
      <c r="B260" s="1099"/>
      <c r="C260" s="1100" t="s">
        <v>4713</v>
      </c>
      <c r="D260" s="1096"/>
      <c r="E260" s="1101"/>
      <c r="F260" s="1101"/>
      <c r="G260" s="1101"/>
      <c r="H260" s="1101"/>
      <c r="I260" s="1101"/>
      <c r="J260" s="1102"/>
      <c r="K260" s="1101"/>
      <c r="L260" s="1101"/>
      <c r="M260" s="1082"/>
      <c r="N260" s="1082"/>
      <c r="O260" s="1082"/>
      <c r="P260" s="1082"/>
      <c r="Q260" s="1082"/>
      <c r="R260" s="1082"/>
      <c r="S260" s="1082"/>
      <c r="T260" s="1082"/>
      <c r="U260" s="1082"/>
      <c r="V260" s="1082"/>
      <c r="W260" s="1082"/>
      <c r="X260" s="1082"/>
      <c r="Y260" s="1082"/>
      <c r="Z260" s="1082"/>
      <c r="AA260" s="1082"/>
      <c r="AB260" s="1082"/>
      <c r="AC260" s="1082"/>
      <c r="AD260" s="1082"/>
      <c r="AE260" s="1082"/>
      <c r="AF260" s="1082"/>
    </row>
    <row r="261">
      <c r="A261" s="1091"/>
      <c r="B261" s="1091"/>
      <c r="C261" s="1117" t="s">
        <v>10252</v>
      </c>
      <c r="D261" s="1108"/>
      <c r="E261" s="1113"/>
      <c r="F261" s="1105"/>
      <c r="G261" s="1105"/>
      <c r="H261" s="1105"/>
      <c r="I261" s="1105"/>
      <c r="J261" s="1104"/>
      <c r="K261" s="1105"/>
      <c r="L261" s="1105"/>
      <c r="M261" s="1082"/>
      <c r="N261" s="1082"/>
      <c r="O261" s="1082"/>
      <c r="P261" s="1082"/>
      <c r="Q261" s="1082"/>
      <c r="R261" s="1082"/>
      <c r="S261" s="1082"/>
      <c r="T261" s="1082"/>
      <c r="U261" s="1082"/>
      <c r="V261" s="1082"/>
      <c r="W261" s="1082"/>
      <c r="X261" s="1082"/>
      <c r="Y261" s="1082"/>
      <c r="Z261" s="1082"/>
      <c r="AA261" s="1082"/>
      <c r="AB261" s="1082"/>
      <c r="AC261" s="1082"/>
      <c r="AD261" s="1082"/>
      <c r="AE261" s="1082"/>
      <c r="AF261" s="1082"/>
    </row>
    <row r="262">
      <c r="A262" s="1094"/>
      <c r="B262" s="1094"/>
      <c r="C262" s="1116" t="s">
        <v>10253</v>
      </c>
      <c r="D262" s="1096"/>
      <c r="E262" s="1101"/>
      <c r="F262" s="1101"/>
      <c r="G262" s="1101"/>
      <c r="H262" s="1101"/>
      <c r="I262" s="1101"/>
      <c r="J262" s="1102"/>
      <c r="K262" s="1096"/>
      <c r="L262" s="1101"/>
      <c r="M262" s="1082"/>
      <c r="N262" s="1082"/>
      <c r="O262" s="1082"/>
      <c r="P262" s="1082"/>
      <c r="Q262" s="1082"/>
      <c r="R262" s="1082"/>
      <c r="S262" s="1082"/>
      <c r="T262" s="1082"/>
      <c r="U262" s="1082"/>
      <c r="V262" s="1082"/>
      <c r="W262" s="1082"/>
      <c r="X262" s="1082"/>
      <c r="Y262" s="1082"/>
      <c r="Z262" s="1082"/>
      <c r="AA262" s="1082"/>
      <c r="AB262" s="1082"/>
      <c r="AC262" s="1082"/>
      <c r="AD262" s="1082"/>
      <c r="AE262" s="1082"/>
      <c r="AF262" s="1082"/>
    </row>
    <row r="263">
      <c r="A263" s="1091"/>
      <c r="B263" s="1091"/>
      <c r="C263" s="1117" t="s">
        <v>10254</v>
      </c>
      <c r="D263" s="1093"/>
      <c r="E263" s="1105"/>
      <c r="F263" s="1105"/>
      <c r="G263" s="1105"/>
      <c r="H263" s="1105"/>
      <c r="I263" s="1105"/>
      <c r="J263" s="1104"/>
      <c r="K263" s="1105"/>
      <c r="L263" s="1105"/>
      <c r="M263" s="1082"/>
      <c r="N263" s="1082"/>
      <c r="O263" s="1082"/>
      <c r="P263" s="1082"/>
      <c r="Q263" s="1082"/>
      <c r="R263" s="1082"/>
      <c r="S263" s="1082"/>
      <c r="T263" s="1082"/>
      <c r="U263" s="1082"/>
      <c r="V263" s="1082"/>
      <c r="W263" s="1082"/>
      <c r="X263" s="1082"/>
      <c r="Y263" s="1082"/>
      <c r="Z263" s="1082"/>
      <c r="AA263" s="1082"/>
      <c r="AB263" s="1082"/>
      <c r="AC263" s="1082"/>
      <c r="AD263" s="1082"/>
      <c r="AE263" s="1082"/>
      <c r="AF263" s="1082"/>
    </row>
    <row r="264">
      <c r="A264" s="1094"/>
      <c r="B264" s="1094"/>
      <c r="C264" s="1116" t="s">
        <v>784</v>
      </c>
      <c r="D264" s="1110"/>
      <c r="E264" s="1114"/>
      <c r="F264" s="1101"/>
      <c r="G264" s="1101"/>
      <c r="H264" s="1101"/>
      <c r="I264" s="1101"/>
      <c r="J264" s="1102"/>
      <c r="K264" s="1096"/>
      <c r="L264" s="1101"/>
      <c r="M264" s="1082"/>
      <c r="N264" s="1082"/>
      <c r="O264" s="1082"/>
      <c r="P264" s="1082"/>
      <c r="Q264" s="1082"/>
      <c r="R264" s="1082"/>
      <c r="S264" s="1082"/>
      <c r="T264" s="1082"/>
      <c r="U264" s="1082"/>
      <c r="V264" s="1082"/>
      <c r="W264" s="1082"/>
      <c r="X264" s="1082"/>
      <c r="Y264" s="1082"/>
      <c r="Z264" s="1082"/>
      <c r="AA264" s="1082"/>
      <c r="AB264" s="1082"/>
      <c r="AC264" s="1082"/>
      <c r="AD264" s="1082"/>
      <c r="AE264" s="1082"/>
      <c r="AF264" s="1082"/>
    </row>
    <row r="265">
      <c r="A265" s="1091"/>
      <c r="B265" s="1091"/>
      <c r="C265" s="1117" t="s">
        <v>842</v>
      </c>
      <c r="D265" s="1108"/>
      <c r="E265" s="1113"/>
      <c r="F265" s="1105"/>
      <c r="G265" s="1105"/>
      <c r="H265" s="1105"/>
      <c r="I265" s="1105"/>
      <c r="J265" s="1104"/>
      <c r="K265" s="1105"/>
      <c r="L265" s="1105"/>
      <c r="M265" s="1082"/>
      <c r="N265" s="1082"/>
      <c r="O265" s="1082"/>
      <c r="P265" s="1082"/>
      <c r="Q265" s="1082"/>
      <c r="R265" s="1082"/>
      <c r="S265" s="1082"/>
      <c r="T265" s="1082"/>
      <c r="U265" s="1082"/>
      <c r="V265" s="1082"/>
      <c r="W265" s="1082"/>
      <c r="X265" s="1082"/>
      <c r="Y265" s="1082"/>
      <c r="Z265" s="1082"/>
      <c r="AA265" s="1082"/>
      <c r="AB265" s="1082"/>
      <c r="AC265" s="1082"/>
      <c r="AD265" s="1082"/>
      <c r="AE265" s="1082"/>
      <c r="AF265" s="1082"/>
    </row>
    <row r="266">
      <c r="A266" s="1099"/>
      <c r="B266" s="1099"/>
      <c r="C266" s="1100" t="s">
        <v>10255</v>
      </c>
      <c r="D266" s="1096"/>
      <c r="E266" s="1101"/>
      <c r="F266" s="1101"/>
      <c r="G266" s="1101"/>
      <c r="H266" s="1101"/>
      <c r="I266" s="1101"/>
      <c r="J266" s="1102"/>
      <c r="K266" s="1101"/>
      <c r="L266" s="1101"/>
      <c r="M266" s="1082"/>
      <c r="N266" s="1082"/>
      <c r="O266" s="1082"/>
      <c r="P266" s="1082"/>
      <c r="Q266" s="1082"/>
      <c r="R266" s="1082"/>
      <c r="S266" s="1082"/>
      <c r="T266" s="1082"/>
      <c r="U266" s="1082"/>
      <c r="V266" s="1082"/>
      <c r="W266" s="1082"/>
      <c r="X266" s="1082"/>
      <c r="Y266" s="1082"/>
      <c r="Z266" s="1082"/>
      <c r="AA266" s="1082"/>
      <c r="AB266" s="1082"/>
      <c r="AC266" s="1082"/>
      <c r="AD266" s="1082"/>
      <c r="AE266" s="1082"/>
      <c r="AF266" s="1082"/>
    </row>
    <row r="267">
      <c r="A267" s="1091"/>
      <c r="B267" s="1091"/>
      <c r="C267" s="1117" t="s">
        <v>10256</v>
      </c>
      <c r="D267" s="1093"/>
      <c r="E267" s="1105"/>
      <c r="F267" s="1105"/>
      <c r="G267" s="1105"/>
      <c r="H267" s="1105"/>
      <c r="I267" s="1105"/>
      <c r="J267" s="1104"/>
      <c r="K267" s="1105"/>
      <c r="L267" s="1105"/>
      <c r="M267" s="1082"/>
      <c r="N267" s="1082"/>
      <c r="O267" s="1082"/>
      <c r="P267" s="1082"/>
      <c r="Q267" s="1082"/>
      <c r="R267" s="1082"/>
      <c r="S267" s="1082"/>
      <c r="T267" s="1082"/>
      <c r="U267" s="1082"/>
      <c r="V267" s="1082"/>
      <c r="W267" s="1082"/>
      <c r="X267" s="1082"/>
      <c r="Y267" s="1082"/>
      <c r="Z267" s="1082"/>
      <c r="AA267" s="1082"/>
      <c r="AB267" s="1082"/>
      <c r="AC267" s="1082"/>
      <c r="AD267" s="1082"/>
      <c r="AE267" s="1082"/>
      <c r="AF267" s="1082"/>
    </row>
    <row r="268">
      <c r="A268" s="1094"/>
      <c r="B268" s="1094"/>
      <c r="C268" s="1116" t="s">
        <v>10257</v>
      </c>
      <c r="D268" s="1110"/>
      <c r="E268" s="1114"/>
      <c r="F268" s="1101"/>
      <c r="G268" s="1101"/>
      <c r="H268" s="1101"/>
      <c r="I268" s="1101"/>
      <c r="J268" s="1102"/>
      <c r="K268" s="1101"/>
      <c r="L268" s="1101"/>
      <c r="M268" s="1082"/>
      <c r="N268" s="1082"/>
      <c r="O268" s="1082"/>
      <c r="P268" s="1082"/>
      <c r="Q268" s="1082"/>
      <c r="R268" s="1082"/>
      <c r="S268" s="1082"/>
      <c r="T268" s="1082"/>
      <c r="U268" s="1082"/>
      <c r="V268" s="1082"/>
      <c r="W268" s="1082"/>
      <c r="X268" s="1082"/>
      <c r="Y268" s="1082"/>
      <c r="Z268" s="1082"/>
      <c r="AA268" s="1082"/>
      <c r="AB268" s="1082"/>
      <c r="AC268" s="1082"/>
      <c r="AD268" s="1082"/>
      <c r="AE268" s="1082"/>
      <c r="AF268" s="1082"/>
    </row>
    <row r="269">
      <c r="A269" s="1107"/>
      <c r="B269" s="1107"/>
      <c r="C269" s="1112" t="s">
        <v>3916</v>
      </c>
      <c r="D269" s="1093"/>
      <c r="E269" s="1105"/>
      <c r="F269" s="1105"/>
      <c r="G269" s="1105"/>
      <c r="H269" s="1105"/>
      <c r="I269" s="1105"/>
      <c r="J269" s="1104"/>
      <c r="K269" s="1105"/>
      <c r="L269" s="1105"/>
      <c r="M269" s="1082"/>
      <c r="N269" s="1082"/>
      <c r="O269" s="1082"/>
      <c r="P269" s="1082"/>
      <c r="Q269" s="1082"/>
      <c r="R269" s="1082"/>
      <c r="S269" s="1082"/>
      <c r="T269" s="1082"/>
      <c r="U269" s="1082"/>
      <c r="V269" s="1082"/>
      <c r="W269" s="1082"/>
      <c r="X269" s="1082"/>
      <c r="Y269" s="1082"/>
      <c r="Z269" s="1082"/>
      <c r="AA269" s="1082"/>
      <c r="AB269" s="1082"/>
      <c r="AC269" s="1082"/>
      <c r="AD269" s="1082"/>
      <c r="AE269" s="1082"/>
      <c r="AF269" s="1082"/>
    </row>
    <row r="270">
      <c r="A270" s="1094"/>
      <c r="B270" s="1094"/>
      <c r="C270" s="1116" t="s">
        <v>139</v>
      </c>
      <c r="D270" s="1110"/>
      <c r="E270" s="1114"/>
      <c r="F270" s="1101"/>
      <c r="G270" s="1101"/>
      <c r="H270" s="1101"/>
      <c r="I270" s="1101"/>
      <c r="J270" s="1102"/>
      <c r="K270" s="1101"/>
      <c r="L270" s="1101"/>
      <c r="M270" s="1082"/>
      <c r="N270" s="1082"/>
      <c r="O270" s="1082"/>
      <c r="P270" s="1082"/>
      <c r="Q270" s="1082"/>
      <c r="R270" s="1082"/>
      <c r="S270" s="1082"/>
      <c r="T270" s="1082"/>
      <c r="U270" s="1082"/>
      <c r="V270" s="1082"/>
      <c r="W270" s="1082"/>
      <c r="X270" s="1082"/>
      <c r="Y270" s="1082"/>
      <c r="Z270" s="1082"/>
      <c r="AA270" s="1082"/>
      <c r="AB270" s="1082"/>
      <c r="AC270" s="1082"/>
      <c r="AD270" s="1082"/>
      <c r="AE270" s="1082"/>
      <c r="AF270" s="1082"/>
    </row>
    <row r="271">
      <c r="A271" s="1107"/>
      <c r="B271" s="1107"/>
      <c r="C271" s="1115" t="s">
        <v>7168</v>
      </c>
      <c r="D271" s="1108"/>
      <c r="E271" s="1113"/>
      <c r="F271" s="1105"/>
      <c r="G271" s="1105"/>
      <c r="H271" s="1105"/>
      <c r="I271" s="1105"/>
      <c r="J271" s="1104"/>
      <c r="K271" s="1105"/>
      <c r="L271" s="1105"/>
      <c r="M271" s="1082"/>
      <c r="N271" s="1082"/>
      <c r="O271" s="1082"/>
      <c r="P271" s="1082"/>
      <c r="Q271" s="1082"/>
      <c r="R271" s="1082"/>
      <c r="S271" s="1082"/>
      <c r="T271" s="1082"/>
      <c r="U271" s="1082"/>
      <c r="V271" s="1082"/>
      <c r="W271" s="1082"/>
      <c r="X271" s="1082"/>
      <c r="Y271" s="1082"/>
      <c r="Z271" s="1082"/>
      <c r="AA271" s="1082"/>
      <c r="AB271" s="1082"/>
      <c r="AC271" s="1082"/>
      <c r="AD271" s="1082"/>
      <c r="AE271" s="1082"/>
      <c r="AF271" s="1082"/>
    </row>
    <row r="272">
      <c r="A272" s="1099"/>
      <c r="B272" s="1099"/>
      <c r="C272" s="1119" t="s">
        <v>2052</v>
      </c>
      <c r="D272" s="1096"/>
      <c r="E272" s="1101"/>
      <c r="F272" s="1101"/>
      <c r="G272" s="1101"/>
      <c r="H272" s="1101"/>
      <c r="I272" s="1101"/>
      <c r="J272" s="1102"/>
      <c r="K272" s="1101"/>
      <c r="L272" s="1101"/>
      <c r="M272" s="1082"/>
      <c r="N272" s="1082"/>
      <c r="O272" s="1082"/>
      <c r="P272" s="1082"/>
      <c r="Q272" s="1082"/>
      <c r="R272" s="1082"/>
      <c r="S272" s="1082"/>
      <c r="T272" s="1082"/>
      <c r="U272" s="1082"/>
      <c r="V272" s="1082"/>
      <c r="W272" s="1082"/>
      <c r="X272" s="1082"/>
      <c r="Y272" s="1082"/>
      <c r="Z272" s="1082"/>
      <c r="AA272" s="1082"/>
      <c r="AB272" s="1082"/>
      <c r="AC272" s="1082"/>
      <c r="AD272" s="1082"/>
      <c r="AE272" s="1082"/>
      <c r="AF272" s="1082"/>
    </row>
    <row r="273">
      <c r="A273" s="1107"/>
      <c r="B273" s="1107"/>
      <c r="C273" s="1112" t="s">
        <v>10258</v>
      </c>
      <c r="D273" s="1108"/>
      <c r="E273" s="1113"/>
      <c r="F273" s="1105"/>
      <c r="G273" s="1105"/>
      <c r="H273" s="1105"/>
      <c r="I273" s="1105"/>
      <c r="J273" s="1104"/>
      <c r="K273" s="1105"/>
      <c r="L273" s="1105"/>
      <c r="M273" s="1082"/>
      <c r="N273" s="1082"/>
      <c r="O273" s="1082"/>
      <c r="P273" s="1082"/>
      <c r="Q273" s="1082"/>
      <c r="R273" s="1082"/>
      <c r="S273" s="1082"/>
      <c r="T273" s="1082"/>
      <c r="U273" s="1082"/>
      <c r="V273" s="1082"/>
      <c r="W273" s="1082"/>
      <c r="X273" s="1082"/>
      <c r="Y273" s="1082"/>
      <c r="Z273" s="1082"/>
      <c r="AA273" s="1082"/>
      <c r="AB273" s="1082"/>
      <c r="AC273" s="1082"/>
      <c r="AD273" s="1082"/>
      <c r="AE273" s="1082"/>
      <c r="AF273" s="1082"/>
    </row>
    <row r="274">
      <c r="A274" s="1094"/>
      <c r="B274" s="1094"/>
      <c r="C274" s="1118" t="s">
        <v>7172</v>
      </c>
      <c r="D274" s="1110"/>
      <c r="E274" s="1114"/>
      <c r="F274" s="1101"/>
      <c r="G274" s="1101"/>
      <c r="H274" s="1101"/>
      <c r="I274" s="1101"/>
      <c r="J274" s="1102"/>
      <c r="K274" s="1101"/>
      <c r="L274" s="1101"/>
      <c r="M274" s="1082"/>
      <c r="N274" s="1082"/>
      <c r="O274" s="1082"/>
      <c r="P274" s="1082"/>
      <c r="Q274" s="1082"/>
      <c r="R274" s="1082"/>
      <c r="S274" s="1082"/>
      <c r="T274" s="1082"/>
      <c r="U274" s="1082"/>
      <c r="V274" s="1082"/>
      <c r="W274" s="1082"/>
      <c r="X274" s="1082"/>
      <c r="Y274" s="1082"/>
      <c r="Z274" s="1082"/>
      <c r="AA274" s="1082"/>
      <c r="AB274" s="1082"/>
      <c r="AC274" s="1082"/>
      <c r="AD274" s="1082"/>
      <c r="AE274" s="1082"/>
      <c r="AF274" s="1082"/>
    </row>
    <row r="275">
      <c r="A275" s="1107"/>
      <c r="B275" s="1107"/>
      <c r="C275" s="1112" t="s">
        <v>559</v>
      </c>
      <c r="D275" s="1093"/>
      <c r="E275" s="1105"/>
      <c r="F275" s="1105"/>
      <c r="G275" s="1105"/>
      <c r="H275" s="1105"/>
      <c r="I275" s="1105"/>
      <c r="J275" s="1104"/>
      <c r="K275" s="1105"/>
      <c r="L275" s="1105"/>
      <c r="M275" s="1082"/>
      <c r="N275" s="1082"/>
      <c r="O275" s="1082"/>
      <c r="P275" s="1082"/>
      <c r="Q275" s="1082"/>
      <c r="R275" s="1082"/>
      <c r="S275" s="1082"/>
      <c r="T275" s="1082"/>
      <c r="U275" s="1082"/>
      <c r="V275" s="1082"/>
      <c r="W275" s="1082"/>
      <c r="X275" s="1082"/>
      <c r="Y275" s="1082"/>
      <c r="Z275" s="1082"/>
      <c r="AA275" s="1082"/>
      <c r="AB275" s="1082"/>
      <c r="AC275" s="1082"/>
      <c r="AD275" s="1082"/>
      <c r="AE275" s="1082"/>
      <c r="AF275" s="1082"/>
    </row>
    <row r="276">
      <c r="A276" s="1099"/>
      <c r="B276" s="1099"/>
      <c r="C276" s="1100" t="s">
        <v>2897</v>
      </c>
      <c r="D276" s="1110"/>
      <c r="E276" s="1114"/>
      <c r="F276" s="1101"/>
      <c r="G276" s="1101"/>
      <c r="H276" s="1101"/>
      <c r="I276" s="1101"/>
      <c r="J276" s="1102"/>
      <c r="K276" s="1101"/>
      <c r="L276" s="1101"/>
      <c r="M276" s="1082"/>
      <c r="N276" s="1082"/>
      <c r="O276" s="1082"/>
      <c r="P276" s="1082"/>
      <c r="Q276" s="1082"/>
      <c r="R276" s="1082"/>
      <c r="S276" s="1082"/>
      <c r="T276" s="1082"/>
      <c r="U276" s="1082"/>
      <c r="V276" s="1082"/>
      <c r="W276" s="1082"/>
      <c r="X276" s="1082"/>
      <c r="Y276" s="1082"/>
      <c r="Z276" s="1082"/>
      <c r="AA276" s="1082"/>
      <c r="AB276" s="1082"/>
      <c r="AC276" s="1082"/>
      <c r="AD276" s="1082"/>
      <c r="AE276" s="1082"/>
      <c r="AF276" s="1082"/>
    </row>
    <row r="277">
      <c r="A277" s="1107"/>
      <c r="B277" s="1107"/>
      <c r="C277" s="1115" t="s">
        <v>7176</v>
      </c>
      <c r="D277" s="1093"/>
      <c r="E277" s="1105"/>
      <c r="F277" s="1105"/>
      <c r="G277" s="1105"/>
      <c r="H277" s="1105"/>
      <c r="I277" s="1105"/>
      <c r="J277" s="1104"/>
      <c r="K277" s="1105"/>
      <c r="L277" s="1105"/>
      <c r="M277" s="1082"/>
      <c r="N277" s="1082"/>
      <c r="O277" s="1082"/>
      <c r="P277" s="1082"/>
      <c r="Q277" s="1082"/>
      <c r="R277" s="1082"/>
      <c r="S277" s="1082"/>
      <c r="T277" s="1082"/>
      <c r="U277" s="1082"/>
      <c r="V277" s="1082"/>
      <c r="W277" s="1082"/>
      <c r="X277" s="1082"/>
      <c r="Y277" s="1082"/>
      <c r="Z277" s="1082"/>
      <c r="AA277" s="1082"/>
      <c r="AB277" s="1082"/>
      <c r="AC277" s="1082"/>
      <c r="AD277" s="1082"/>
      <c r="AE277" s="1082"/>
      <c r="AF277" s="1082"/>
    </row>
    <row r="278">
      <c r="A278" s="1094"/>
      <c r="B278" s="1094"/>
      <c r="C278" s="1116" t="s">
        <v>281</v>
      </c>
      <c r="D278" s="1110"/>
      <c r="E278" s="1114"/>
      <c r="F278" s="1101"/>
      <c r="G278" s="1101"/>
      <c r="H278" s="1101"/>
      <c r="I278" s="1101"/>
      <c r="J278" s="1102"/>
      <c r="K278" s="1101"/>
      <c r="L278" s="1101"/>
      <c r="M278" s="1082"/>
      <c r="N278" s="1082"/>
      <c r="O278" s="1082"/>
      <c r="P278" s="1082"/>
      <c r="Q278" s="1082"/>
      <c r="R278" s="1082"/>
      <c r="S278" s="1082"/>
      <c r="T278" s="1082"/>
      <c r="U278" s="1082"/>
      <c r="V278" s="1082"/>
      <c r="W278" s="1082"/>
      <c r="X278" s="1082"/>
      <c r="Y278" s="1082"/>
      <c r="Z278" s="1082"/>
      <c r="AA278" s="1082"/>
      <c r="AB278" s="1082"/>
      <c r="AC278" s="1082"/>
      <c r="AD278" s="1082"/>
      <c r="AE278" s="1082"/>
      <c r="AF278" s="1082"/>
    </row>
    <row r="279">
      <c r="A279" s="1107"/>
      <c r="B279" s="1107"/>
      <c r="C279" s="1112" t="s">
        <v>7101</v>
      </c>
      <c r="D279" s="1108"/>
      <c r="E279" s="1113"/>
      <c r="F279" s="1105"/>
      <c r="G279" s="1105"/>
      <c r="H279" s="1105"/>
      <c r="I279" s="1105"/>
      <c r="J279" s="1104"/>
      <c r="K279" s="1105"/>
      <c r="L279" s="1105"/>
      <c r="M279" s="1082"/>
      <c r="N279" s="1082"/>
      <c r="O279" s="1082"/>
      <c r="P279" s="1082"/>
      <c r="Q279" s="1082"/>
      <c r="R279" s="1082"/>
      <c r="S279" s="1082"/>
      <c r="T279" s="1082"/>
      <c r="U279" s="1082"/>
      <c r="V279" s="1082"/>
      <c r="W279" s="1082"/>
      <c r="X279" s="1082"/>
      <c r="Y279" s="1082"/>
      <c r="Z279" s="1082"/>
      <c r="AA279" s="1082"/>
      <c r="AB279" s="1082"/>
      <c r="AC279" s="1082"/>
      <c r="AD279" s="1082"/>
      <c r="AE279" s="1082"/>
      <c r="AF279" s="1082"/>
    </row>
    <row r="280">
      <c r="A280" s="1099"/>
      <c r="B280" s="1099"/>
      <c r="C280" s="1100" t="s">
        <v>242</v>
      </c>
      <c r="D280" s="1096"/>
      <c r="E280" s="1101"/>
      <c r="F280" s="1101"/>
      <c r="G280" s="1101"/>
      <c r="H280" s="1101"/>
      <c r="I280" s="1101"/>
      <c r="J280" s="1102"/>
      <c r="K280" s="1101"/>
      <c r="L280" s="1101"/>
      <c r="M280" s="1082"/>
      <c r="N280" s="1082"/>
      <c r="O280" s="1082"/>
      <c r="P280" s="1082"/>
      <c r="Q280" s="1082"/>
      <c r="R280" s="1082"/>
      <c r="S280" s="1082"/>
      <c r="T280" s="1082"/>
      <c r="U280" s="1082"/>
      <c r="V280" s="1082"/>
      <c r="W280" s="1082"/>
      <c r="X280" s="1082"/>
      <c r="Y280" s="1082"/>
      <c r="Z280" s="1082"/>
      <c r="AA280" s="1082"/>
      <c r="AB280" s="1082"/>
      <c r="AC280" s="1082"/>
      <c r="AD280" s="1082"/>
      <c r="AE280" s="1082"/>
      <c r="AF280" s="1082"/>
    </row>
    <row r="281">
      <c r="A281" s="1091"/>
      <c r="B281" s="1091"/>
      <c r="C281" s="1117" t="s">
        <v>5096</v>
      </c>
      <c r="D281" s="1093"/>
      <c r="E281" s="1105"/>
      <c r="F281" s="1105"/>
      <c r="G281" s="1105"/>
      <c r="H281" s="1105"/>
      <c r="I281" s="1105"/>
      <c r="J281" s="1104"/>
      <c r="K281" s="1105"/>
      <c r="L281" s="1105"/>
      <c r="M281" s="1082"/>
      <c r="N281" s="1082"/>
      <c r="O281" s="1082"/>
      <c r="P281" s="1082"/>
      <c r="Q281" s="1082"/>
      <c r="R281" s="1082"/>
      <c r="S281" s="1082"/>
      <c r="T281" s="1082"/>
      <c r="U281" s="1082"/>
      <c r="V281" s="1082"/>
      <c r="W281" s="1082"/>
      <c r="X281" s="1082"/>
      <c r="Y281" s="1082"/>
      <c r="Z281" s="1082"/>
      <c r="AA281" s="1082"/>
      <c r="AB281" s="1082"/>
      <c r="AC281" s="1082"/>
      <c r="AD281" s="1082"/>
      <c r="AE281" s="1082"/>
      <c r="AF281" s="1082"/>
    </row>
    <row r="282">
      <c r="A282" s="1099"/>
      <c r="B282" s="1099"/>
      <c r="C282" s="1119" t="s">
        <v>2437</v>
      </c>
      <c r="D282" s="1096"/>
      <c r="E282" s="1101"/>
      <c r="F282" s="1101"/>
      <c r="G282" s="1101"/>
      <c r="H282" s="1101"/>
      <c r="I282" s="1101"/>
      <c r="J282" s="1102"/>
      <c r="K282" s="1101"/>
      <c r="L282" s="1101"/>
      <c r="M282" s="1082"/>
      <c r="N282" s="1082"/>
      <c r="O282" s="1082"/>
      <c r="P282" s="1082"/>
      <c r="Q282" s="1082"/>
      <c r="R282" s="1082"/>
      <c r="S282" s="1082"/>
      <c r="T282" s="1082"/>
      <c r="U282" s="1082"/>
      <c r="V282" s="1082"/>
      <c r="W282" s="1082"/>
      <c r="X282" s="1082"/>
      <c r="Y282" s="1082"/>
      <c r="Z282" s="1082"/>
      <c r="AA282" s="1082"/>
      <c r="AB282" s="1082"/>
      <c r="AC282" s="1082"/>
      <c r="AD282" s="1082"/>
      <c r="AE282" s="1082"/>
      <c r="AF282" s="1082"/>
    </row>
    <row r="283">
      <c r="A283" s="1091"/>
      <c r="B283" s="1091"/>
      <c r="C283" s="1120" t="s">
        <v>7186</v>
      </c>
      <c r="D283" s="1093"/>
      <c r="E283" s="1105"/>
      <c r="F283" s="1105"/>
      <c r="G283" s="1105"/>
      <c r="H283" s="1105"/>
      <c r="I283" s="1105"/>
      <c r="J283" s="1104"/>
      <c r="K283" s="1105"/>
      <c r="L283" s="1105"/>
      <c r="M283" s="1082"/>
      <c r="N283" s="1082"/>
      <c r="O283" s="1082"/>
      <c r="P283" s="1082"/>
      <c r="Q283" s="1082"/>
      <c r="R283" s="1082"/>
      <c r="S283" s="1082"/>
      <c r="T283" s="1082"/>
      <c r="U283" s="1082"/>
      <c r="V283" s="1082"/>
      <c r="W283" s="1082"/>
      <c r="X283" s="1082"/>
      <c r="Y283" s="1082"/>
      <c r="Z283" s="1082"/>
      <c r="AA283" s="1082"/>
      <c r="AB283" s="1082"/>
      <c r="AC283" s="1082"/>
      <c r="AD283" s="1082"/>
      <c r="AE283" s="1082"/>
      <c r="AF283" s="1082"/>
    </row>
    <row r="284">
      <c r="A284" s="1099"/>
      <c r="B284" s="1099"/>
      <c r="C284" s="1100" t="s">
        <v>10259</v>
      </c>
      <c r="D284" s="1096"/>
      <c r="E284" s="1101"/>
      <c r="F284" s="1101"/>
      <c r="G284" s="1101"/>
      <c r="H284" s="1101"/>
      <c r="I284" s="1101"/>
      <c r="J284" s="1102"/>
      <c r="K284" s="1101"/>
      <c r="L284" s="1101"/>
      <c r="M284" s="1082"/>
      <c r="N284" s="1082"/>
      <c r="O284" s="1082"/>
      <c r="P284" s="1082"/>
      <c r="Q284" s="1082"/>
      <c r="R284" s="1082"/>
      <c r="S284" s="1082"/>
      <c r="T284" s="1082"/>
      <c r="U284" s="1082"/>
      <c r="V284" s="1082"/>
      <c r="W284" s="1082"/>
      <c r="X284" s="1082"/>
      <c r="Y284" s="1082"/>
      <c r="Z284" s="1082"/>
      <c r="AA284" s="1082"/>
      <c r="AB284" s="1082"/>
      <c r="AC284" s="1082"/>
      <c r="AD284" s="1082"/>
      <c r="AE284" s="1082"/>
      <c r="AF284" s="1082"/>
    </row>
    <row r="285">
      <c r="A285" s="1107"/>
      <c r="B285" s="1107"/>
      <c r="C285" s="1112" t="s">
        <v>3932</v>
      </c>
      <c r="D285" s="1093"/>
      <c r="E285" s="1105"/>
      <c r="F285" s="1105"/>
      <c r="G285" s="1105"/>
      <c r="H285" s="1105"/>
      <c r="I285" s="1105"/>
      <c r="J285" s="1104"/>
      <c r="K285" s="1105"/>
      <c r="L285" s="1105"/>
      <c r="M285" s="1082"/>
      <c r="N285" s="1082"/>
      <c r="O285" s="1082"/>
      <c r="P285" s="1082"/>
      <c r="Q285" s="1082"/>
      <c r="R285" s="1082"/>
      <c r="S285" s="1082"/>
      <c r="T285" s="1082"/>
      <c r="U285" s="1082"/>
      <c r="V285" s="1082"/>
      <c r="W285" s="1082"/>
      <c r="X285" s="1082"/>
      <c r="Y285" s="1082"/>
      <c r="Z285" s="1082"/>
      <c r="AA285" s="1082"/>
      <c r="AB285" s="1082"/>
      <c r="AC285" s="1082"/>
      <c r="AD285" s="1082"/>
      <c r="AE285" s="1082"/>
      <c r="AF285" s="1082"/>
    </row>
    <row r="286">
      <c r="A286" s="1094"/>
      <c r="B286" s="1094"/>
      <c r="C286" s="1116" t="s">
        <v>2559</v>
      </c>
      <c r="D286" s="1096"/>
      <c r="E286" s="1101"/>
      <c r="F286" s="1101"/>
      <c r="G286" s="1101"/>
      <c r="H286" s="1101"/>
      <c r="I286" s="1101"/>
      <c r="J286" s="1102"/>
      <c r="K286" s="1101"/>
      <c r="L286" s="1101"/>
      <c r="M286" s="1082"/>
      <c r="N286" s="1082"/>
      <c r="O286" s="1082"/>
      <c r="P286" s="1082"/>
      <c r="Q286" s="1082"/>
      <c r="R286" s="1082"/>
      <c r="S286" s="1082"/>
      <c r="T286" s="1082"/>
      <c r="U286" s="1082"/>
      <c r="V286" s="1082"/>
      <c r="W286" s="1082"/>
      <c r="X286" s="1082"/>
      <c r="Y286" s="1082"/>
      <c r="Z286" s="1082"/>
      <c r="AA286" s="1082"/>
      <c r="AB286" s="1082"/>
      <c r="AC286" s="1082"/>
      <c r="AD286" s="1082"/>
      <c r="AE286" s="1082"/>
      <c r="AF286" s="1082"/>
    </row>
    <row r="287">
      <c r="A287" s="1117"/>
      <c r="B287" s="1117"/>
      <c r="C287" s="1117" t="s">
        <v>7188</v>
      </c>
      <c r="D287" s="1113"/>
      <c r="E287" s="1113"/>
      <c r="F287" s="1105"/>
      <c r="G287" s="1105"/>
      <c r="H287" s="1105"/>
      <c r="I287" s="1105"/>
      <c r="J287" s="1104"/>
      <c r="K287" s="1105"/>
      <c r="L287" s="1105"/>
      <c r="M287" s="1082"/>
      <c r="N287" s="1082"/>
      <c r="O287" s="1082"/>
      <c r="P287" s="1082"/>
      <c r="Q287" s="1082"/>
      <c r="R287" s="1082"/>
      <c r="S287" s="1082"/>
      <c r="T287" s="1082"/>
      <c r="U287" s="1082"/>
      <c r="V287" s="1082"/>
      <c r="W287" s="1082"/>
      <c r="X287" s="1082"/>
      <c r="Y287" s="1082"/>
      <c r="Z287" s="1082"/>
      <c r="AA287" s="1082"/>
      <c r="AB287" s="1082"/>
      <c r="AC287" s="1082"/>
      <c r="AD287" s="1082"/>
      <c r="AE287" s="1082"/>
      <c r="AF287" s="1082"/>
    </row>
    <row r="288">
      <c r="A288" s="1116"/>
      <c r="B288" s="1116"/>
      <c r="C288" s="1116" t="s">
        <v>8077</v>
      </c>
      <c r="D288" s="1114"/>
      <c r="E288" s="1114"/>
      <c r="F288" s="1101"/>
      <c r="G288" s="1101"/>
      <c r="H288" s="1101"/>
      <c r="I288" s="1101"/>
      <c r="J288" s="1102"/>
      <c r="K288" s="1101"/>
      <c r="L288" s="1101"/>
      <c r="M288" s="1082"/>
      <c r="N288" s="1082"/>
      <c r="O288" s="1082"/>
      <c r="P288" s="1082"/>
      <c r="Q288" s="1082"/>
      <c r="R288" s="1082"/>
      <c r="S288" s="1082"/>
      <c r="T288" s="1082"/>
      <c r="U288" s="1082"/>
      <c r="V288" s="1082"/>
      <c r="W288" s="1082"/>
      <c r="X288" s="1082"/>
      <c r="Y288" s="1082"/>
      <c r="Z288" s="1082"/>
      <c r="AA288" s="1082"/>
      <c r="AB288" s="1082"/>
      <c r="AC288" s="1082"/>
      <c r="AD288" s="1082"/>
      <c r="AE288" s="1082"/>
      <c r="AF288" s="1082"/>
    </row>
    <row r="289">
      <c r="A289" s="1117"/>
      <c r="B289" s="1117"/>
      <c r="C289" s="1117" t="s">
        <v>8038</v>
      </c>
      <c r="D289" s="1113"/>
      <c r="E289" s="1113"/>
      <c r="F289" s="1105"/>
      <c r="G289" s="1105"/>
      <c r="H289" s="1105"/>
      <c r="I289" s="1105"/>
      <c r="J289" s="1104"/>
      <c r="K289" s="1105"/>
      <c r="L289" s="1105"/>
      <c r="M289" s="1082"/>
      <c r="N289" s="1082"/>
      <c r="O289" s="1082"/>
      <c r="P289" s="1082"/>
      <c r="Q289" s="1082"/>
      <c r="R289" s="1082"/>
      <c r="S289" s="1082"/>
      <c r="T289" s="1082"/>
      <c r="U289" s="1082"/>
      <c r="V289" s="1082"/>
      <c r="W289" s="1082"/>
      <c r="X289" s="1082"/>
      <c r="Y289" s="1082"/>
      <c r="Z289" s="1082"/>
      <c r="AA289" s="1082"/>
      <c r="AB289" s="1082"/>
      <c r="AC289" s="1082"/>
      <c r="AD289" s="1082"/>
      <c r="AE289" s="1082"/>
      <c r="AF289" s="1082"/>
    </row>
    <row r="290">
      <c r="A290" s="1116"/>
      <c r="B290" s="1116"/>
      <c r="C290" s="1116" t="s">
        <v>10260</v>
      </c>
      <c r="D290" s="1101"/>
      <c r="E290" s="1101"/>
      <c r="F290" s="1101"/>
      <c r="G290" s="1101"/>
      <c r="H290" s="1101"/>
      <c r="I290" s="1101"/>
      <c r="J290" s="1102"/>
      <c r="K290" s="1101"/>
      <c r="L290" s="1101"/>
      <c r="M290" s="1082"/>
      <c r="N290" s="1082"/>
      <c r="O290" s="1082"/>
      <c r="P290" s="1082"/>
      <c r="Q290" s="1082"/>
      <c r="R290" s="1082"/>
      <c r="S290" s="1082"/>
      <c r="T290" s="1082"/>
      <c r="U290" s="1082"/>
      <c r="V290" s="1082"/>
      <c r="W290" s="1082"/>
      <c r="X290" s="1082"/>
      <c r="Y290" s="1082"/>
      <c r="Z290" s="1082"/>
      <c r="AA290" s="1082"/>
      <c r="AB290" s="1082"/>
      <c r="AC290" s="1082"/>
      <c r="AD290" s="1082"/>
      <c r="AE290" s="1082"/>
      <c r="AF290" s="1082"/>
    </row>
    <row r="291">
      <c r="A291" s="1115"/>
      <c r="B291" s="1115"/>
      <c r="C291" s="1115" t="s">
        <v>7195</v>
      </c>
      <c r="D291" s="1105"/>
      <c r="E291" s="1105"/>
      <c r="F291" s="1105"/>
      <c r="G291" s="1105"/>
      <c r="H291" s="1105"/>
      <c r="I291" s="1105"/>
      <c r="J291" s="1104"/>
      <c r="K291" s="1105"/>
      <c r="L291" s="1105"/>
      <c r="M291" s="1082"/>
      <c r="N291" s="1082"/>
      <c r="O291" s="1082"/>
      <c r="P291" s="1082"/>
      <c r="Q291" s="1082"/>
      <c r="R291" s="1082"/>
      <c r="S291" s="1082"/>
      <c r="T291" s="1082"/>
      <c r="U291" s="1082"/>
      <c r="V291" s="1082"/>
      <c r="W291" s="1082"/>
      <c r="X291" s="1082"/>
      <c r="Y291" s="1082"/>
      <c r="Z291" s="1082"/>
      <c r="AA291" s="1082"/>
      <c r="AB291" s="1082"/>
      <c r="AC291" s="1082"/>
      <c r="AD291" s="1082"/>
      <c r="AE291" s="1082"/>
      <c r="AF291" s="1082"/>
    </row>
    <row r="292">
      <c r="A292" s="1116"/>
      <c r="B292" s="1116"/>
      <c r="C292" s="1116" t="s">
        <v>10261</v>
      </c>
      <c r="D292" s="1101"/>
      <c r="E292" s="1101"/>
      <c r="F292" s="1101"/>
      <c r="G292" s="1101"/>
      <c r="H292" s="1101"/>
      <c r="I292" s="1101"/>
      <c r="J292" s="1102"/>
      <c r="K292" s="1101"/>
      <c r="L292" s="1101"/>
      <c r="M292" s="1082"/>
      <c r="N292" s="1082"/>
      <c r="O292" s="1082"/>
      <c r="P292" s="1082"/>
      <c r="Q292" s="1082"/>
      <c r="R292" s="1082"/>
      <c r="S292" s="1082"/>
      <c r="T292" s="1082"/>
      <c r="U292" s="1082"/>
      <c r="V292" s="1082"/>
      <c r="W292" s="1082"/>
      <c r="X292" s="1082"/>
      <c r="Y292" s="1082"/>
      <c r="Z292" s="1082"/>
      <c r="AA292" s="1082"/>
      <c r="AB292" s="1082"/>
      <c r="AC292" s="1082"/>
      <c r="AD292" s="1082"/>
      <c r="AE292" s="1082"/>
      <c r="AF292" s="1082"/>
    </row>
    <row r="293">
      <c r="A293" s="1112"/>
      <c r="B293" s="1112"/>
      <c r="C293" s="1112" t="s">
        <v>10262</v>
      </c>
      <c r="D293" s="1105"/>
      <c r="E293" s="1105"/>
      <c r="F293" s="1105"/>
      <c r="G293" s="1105"/>
      <c r="H293" s="1105"/>
      <c r="I293" s="1105"/>
      <c r="J293" s="1104"/>
      <c r="K293" s="1105"/>
      <c r="L293" s="1105"/>
      <c r="M293" s="1082"/>
      <c r="N293" s="1082"/>
      <c r="O293" s="1082"/>
      <c r="P293" s="1082"/>
      <c r="Q293" s="1082"/>
      <c r="R293" s="1082"/>
      <c r="S293" s="1082"/>
      <c r="T293" s="1082"/>
      <c r="U293" s="1082"/>
      <c r="V293" s="1082"/>
      <c r="W293" s="1082"/>
      <c r="X293" s="1082"/>
      <c r="Y293" s="1082"/>
      <c r="Z293" s="1082"/>
      <c r="AA293" s="1082"/>
      <c r="AB293" s="1082"/>
      <c r="AC293" s="1082"/>
      <c r="AD293" s="1082"/>
      <c r="AE293" s="1082"/>
      <c r="AF293" s="1082"/>
    </row>
    <row r="294">
      <c r="A294" s="1116"/>
      <c r="B294" s="1116"/>
      <c r="C294" s="1116" t="s">
        <v>591</v>
      </c>
      <c r="D294" s="1101"/>
      <c r="E294" s="1101"/>
      <c r="F294" s="1101"/>
      <c r="G294" s="1101"/>
      <c r="H294" s="1101"/>
      <c r="I294" s="1101"/>
      <c r="J294" s="1102"/>
      <c r="K294" s="1101"/>
      <c r="L294" s="1101"/>
      <c r="M294" s="1082"/>
      <c r="N294" s="1082"/>
      <c r="O294" s="1082"/>
      <c r="P294" s="1082"/>
      <c r="Q294" s="1082"/>
      <c r="R294" s="1082"/>
      <c r="S294" s="1082"/>
      <c r="T294" s="1082"/>
      <c r="U294" s="1082"/>
      <c r="V294" s="1082"/>
      <c r="W294" s="1082"/>
      <c r="X294" s="1082"/>
      <c r="Y294" s="1082"/>
      <c r="Z294" s="1082"/>
      <c r="AA294" s="1082"/>
      <c r="AB294" s="1082"/>
      <c r="AC294" s="1082"/>
      <c r="AD294" s="1082"/>
      <c r="AE294" s="1082"/>
      <c r="AF294" s="1082"/>
    </row>
    <row r="295">
      <c r="A295" s="1112"/>
      <c r="B295" s="1112"/>
      <c r="C295" s="1112" t="s">
        <v>10263</v>
      </c>
      <c r="D295" s="1105"/>
      <c r="E295" s="1105"/>
      <c r="F295" s="1105"/>
      <c r="G295" s="1105"/>
      <c r="H295" s="1105"/>
      <c r="I295" s="1105"/>
      <c r="J295" s="1104"/>
      <c r="K295" s="1105"/>
      <c r="L295" s="1105"/>
      <c r="M295" s="1082"/>
      <c r="N295" s="1082"/>
      <c r="O295" s="1082"/>
      <c r="P295" s="1082"/>
      <c r="Q295" s="1082"/>
      <c r="R295" s="1082"/>
      <c r="S295" s="1082"/>
      <c r="T295" s="1082"/>
      <c r="U295" s="1082"/>
      <c r="V295" s="1082"/>
      <c r="W295" s="1082"/>
      <c r="X295" s="1082"/>
      <c r="Y295" s="1082"/>
      <c r="Z295" s="1082"/>
      <c r="AA295" s="1082"/>
      <c r="AB295" s="1082"/>
      <c r="AC295" s="1082"/>
      <c r="AD295" s="1082"/>
      <c r="AE295" s="1082"/>
      <c r="AF295" s="1082"/>
    </row>
    <row r="296">
      <c r="A296" s="1119"/>
      <c r="B296" s="1119"/>
      <c r="C296" s="1119" t="s">
        <v>1824</v>
      </c>
      <c r="D296" s="1114"/>
      <c r="E296" s="1114"/>
      <c r="F296" s="1101"/>
      <c r="G296" s="1101"/>
      <c r="H296" s="1101"/>
      <c r="I296" s="1101"/>
      <c r="J296" s="1102"/>
      <c r="K296" s="1101"/>
      <c r="L296" s="1101"/>
      <c r="M296" s="1082"/>
      <c r="N296" s="1082"/>
      <c r="O296" s="1082"/>
      <c r="P296" s="1082"/>
      <c r="Q296" s="1082"/>
      <c r="R296" s="1082"/>
      <c r="S296" s="1082"/>
      <c r="T296" s="1082"/>
      <c r="U296" s="1082"/>
      <c r="V296" s="1082"/>
      <c r="W296" s="1082"/>
      <c r="X296" s="1082"/>
      <c r="Y296" s="1082"/>
      <c r="Z296" s="1082"/>
      <c r="AA296" s="1082"/>
      <c r="AB296" s="1082"/>
      <c r="AC296" s="1082"/>
      <c r="AD296" s="1082"/>
      <c r="AE296" s="1082"/>
      <c r="AF296" s="1082"/>
    </row>
    <row r="297">
      <c r="A297" s="1112"/>
      <c r="B297" s="1112"/>
      <c r="C297" s="1112" t="s">
        <v>2841</v>
      </c>
      <c r="D297" s="1113"/>
      <c r="E297" s="1113"/>
      <c r="F297" s="1105"/>
      <c r="G297" s="1105"/>
      <c r="H297" s="1105"/>
      <c r="I297" s="1105"/>
      <c r="J297" s="1104"/>
      <c r="K297" s="1105"/>
      <c r="L297" s="1105"/>
      <c r="M297" s="1082"/>
      <c r="N297" s="1082"/>
      <c r="O297" s="1082"/>
      <c r="P297" s="1082"/>
      <c r="Q297" s="1082"/>
      <c r="R297" s="1082"/>
      <c r="S297" s="1082"/>
      <c r="T297" s="1082"/>
      <c r="U297" s="1082"/>
      <c r="V297" s="1082"/>
      <c r="W297" s="1082"/>
      <c r="X297" s="1082"/>
      <c r="Y297" s="1082"/>
      <c r="Z297" s="1082"/>
      <c r="AA297" s="1082"/>
      <c r="AB297" s="1082"/>
      <c r="AC297" s="1082"/>
      <c r="AD297" s="1082"/>
      <c r="AE297" s="1082"/>
      <c r="AF297" s="1082"/>
    </row>
    <row r="298">
      <c r="A298" s="1100"/>
      <c r="B298" s="1100"/>
      <c r="C298" s="1100" t="s">
        <v>10264</v>
      </c>
      <c r="D298" s="1114"/>
      <c r="E298" s="1114"/>
      <c r="F298" s="1101"/>
      <c r="G298" s="1101"/>
      <c r="H298" s="1101"/>
      <c r="I298" s="1101"/>
      <c r="J298" s="1102"/>
      <c r="K298" s="1096"/>
      <c r="L298" s="1101"/>
      <c r="M298" s="1082"/>
      <c r="N298" s="1082"/>
      <c r="O298" s="1082"/>
      <c r="P298" s="1082"/>
      <c r="Q298" s="1082"/>
      <c r="R298" s="1082"/>
      <c r="S298" s="1082"/>
      <c r="T298" s="1082"/>
      <c r="U298" s="1082"/>
      <c r="V298" s="1082"/>
      <c r="W298" s="1082"/>
      <c r="X298" s="1082"/>
      <c r="Y298" s="1082"/>
      <c r="Z298" s="1082"/>
      <c r="AA298" s="1082"/>
      <c r="AB298" s="1082"/>
      <c r="AC298" s="1082"/>
      <c r="AD298" s="1082"/>
      <c r="AE298" s="1082"/>
      <c r="AF298" s="1082"/>
    </row>
    <row r="299">
      <c r="A299" s="1112"/>
      <c r="B299" s="1112"/>
      <c r="C299" s="1112" t="s">
        <v>10265</v>
      </c>
      <c r="D299" s="1105"/>
      <c r="E299" s="1105"/>
      <c r="F299" s="1105"/>
      <c r="G299" s="1105"/>
      <c r="H299" s="1105"/>
      <c r="I299" s="1105"/>
      <c r="J299" s="1104"/>
      <c r="K299" s="1105"/>
      <c r="L299" s="1105"/>
      <c r="M299" s="1082"/>
      <c r="N299" s="1082"/>
      <c r="O299" s="1082"/>
      <c r="P299" s="1082"/>
      <c r="Q299" s="1082"/>
      <c r="R299" s="1082"/>
      <c r="S299" s="1082"/>
      <c r="T299" s="1082"/>
      <c r="U299" s="1082"/>
      <c r="V299" s="1082"/>
      <c r="W299" s="1082"/>
      <c r="X299" s="1082"/>
      <c r="Y299" s="1082"/>
      <c r="Z299" s="1082"/>
      <c r="AA299" s="1082"/>
      <c r="AB299" s="1082"/>
      <c r="AC299" s="1082"/>
      <c r="AD299" s="1082"/>
      <c r="AE299" s="1082"/>
      <c r="AF299" s="1082"/>
    </row>
    <row r="300">
      <c r="A300" s="1116"/>
      <c r="B300" s="1116"/>
      <c r="C300" s="1116" t="s">
        <v>10266</v>
      </c>
      <c r="D300" s="1114"/>
      <c r="E300" s="1114"/>
      <c r="F300" s="1101"/>
      <c r="G300" s="1101"/>
      <c r="H300" s="1101"/>
      <c r="I300" s="1101"/>
      <c r="J300" s="1102"/>
      <c r="K300" s="1101"/>
      <c r="L300" s="1101"/>
      <c r="M300" s="1082"/>
      <c r="N300" s="1082"/>
      <c r="O300" s="1082"/>
      <c r="P300" s="1082"/>
      <c r="Q300" s="1082"/>
      <c r="R300" s="1082"/>
      <c r="S300" s="1082"/>
      <c r="T300" s="1082"/>
      <c r="U300" s="1082"/>
      <c r="V300" s="1082"/>
      <c r="W300" s="1082"/>
      <c r="X300" s="1082"/>
      <c r="Y300" s="1082"/>
      <c r="Z300" s="1082"/>
      <c r="AA300" s="1082"/>
      <c r="AB300" s="1082"/>
      <c r="AC300" s="1082"/>
      <c r="AD300" s="1082"/>
      <c r="AE300" s="1082"/>
      <c r="AF300" s="1082"/>
    </row>
    <row r="301">
      <c r="A301" s="1117"/>
      <c r="B301" s="1117"/>
      <c r="C301" s="1117" t="s">
        <v>1088</v>
      </c>
      <c r="D301" s="1105"/>
      <c r="E301" s="1105"/>
      <c r="F301" s="1105"/>
      <c r="G301" s="1105"/>
      <c r="H301" s="1105"/>
      <c r="I301" s="1105"/>
      <c r="J301" s="1104"/>
      <c r="K301" s="1105"/>
      <c r="L301" s="1105"/>
      <c r="M301" s="1082"/>
      <c r="N301" s="1082"/>
      <c r="O301" s="1082"/>
      <c r="P301" s="1082"/>
      <c r="Q301" s="1082"/>
      <c r="R301" s="1082"/>
      <c r="S301" s="1082"/>
      <c r="T301" s="1082"/>
      <c r="U301" s="1082"/>
      <c r="V301" s="1082"/>
      <c r="W301" s="1082"/>
      <c r="X301" s="1082"/>
      <c r="Y301" s="1082"/>
      <c r="Z301" s="1082"/>
      <c r="AA301" s="1082"/>
      <c r="AB301" s="1082"/>
      <c r="AC301" s="1082"/>
      <c r="AD301" s="1082"/>
      <c r="AE301" s="1082"/>
      <c r="AF301" s="1082"/>
    </row>
    <row r="302">
      <c r="A302" s="1119"/>
      <c r="B302" s="1119"/>
      <c r="C302" s="1119" t="s">
        <v>7203</v>
      </c>
      <c r="D302" s="1114"/>
      <c r="E302" s="1114"/>
      <c r="F302" s="1101"/>
      <c r="G302" s="1101"/>
      <c r="H302" s="1101"/>
      <c r="I302" s="1101"/>
      <c r="J302" s="1102"/>
      <c r="K302" s="1101"/>
      <c r="L302" s="1101"/>
      <c r="M302" s="1082"/>
      <c r="N302" s="1082"/>
      <c r="O302" s="1082"/>
      <c r="P302" s="1082"/>
      <c r="Q302" s="1082"/>
      <c r="R302" s="1082"/>
      <c r="S302" s="1082"/>
      <c r="T302" s="1082"/>
      <c r="U302" s="1082"/>
      <c r="V302" s="1082"/>
      <c r="W302" s="1082"/>
      <c r="X302" s="1082"/>
      <c r="Y302" s="1082"/>
      <c r="Z302" s="1082"/>
      <c r="AA302" s="1082"/>
      <c r="AB302" s="1082"/>
      <c r="AC302" s="1082"/>
      <c r="AD302" s="1082"/>
      <c r="AE302" s="1082"/>
      <c r="AF302" s="1082"/>
    </row>
    <row r="303">
      <c r="A303" s="1112"/>
      <c r="B303" s="1112"/>
      <c r="C303" s="1112" t="s">
        <v>1350</v>
      </c>
      <c r="D303" s="1105"/>
      <c r="E303" s="1105"/>
      <c r="F303" s="1105"/>
      <c r="G303" s="1105"/>
      <c r="H303" s="1105"/>
      <c r="I303" s="1105"/>
      <c r="J303" s="1104"/>
      <c r="K303" s="1105"/>
      <c r="L303" s="1105"/>
      <c r="M303" s="1082"/>
      <c r="N303" s="1082"/>
      <c r="O303" s="1082"/>
      <c r="P303" s="1082"/>
      <c r="Q303" s="1082"/>
      <c r="R303" s="1082"/>
      <c r="S303" s="1082"/>
      <c r="T303" s="1082"/>
      <c r="U303" s="1082"/>
      <c r="V303" s="1082"/>
      <c r="W303" s="1082"/>
      <c r="X303" s="1082"/>
      <c r="Y303" s="1082"/>
      <c r="Z303" s="1082"/>
      <c r="AA303" s="1082"/>
      <c r="AB303" s="1082"/>
      <c r="AC303" s="1082"/>
      <c r="AD303" s="1082"/>
      <c r="AE303" s="1082"/>
      <c r="AF303" s="1082"/>
    </row>
    <row r="304">
      <c r="A304" s="1116"/>
      <c r="B304" s="1116"/>
      <c r="C304" s="1116" t="s">
        <v>10267</v>
      </c>
      <c r="D304" s="1101"/>
      <c r="E304" s="1101"/>
      <c r="F304" s="1101"/>
      <c r="G304" s="1101"/>
      <c r="H304" s="1101"/>
      <c r="I304" s="1101"/>
      <c r="J304" s="1102"/>
      <c r="K304" s="1101"/>
      <c r="L304" s="1101"/>
      <c r="M304" s="1082"/>
      <c r="N304" s="1082"/>
      <c r="O304" s="1082"/>
      <c r="P304" s="1082"/>
      <c r="Q304" s="1082"/>
      <c r="R304" s="1082"/>
      <c r="S304" s="1082"/>
      <c r="T304" s="1082"/>
      <c r="U304" s="1082"/>
      <c r="V304" s="1082"/>
      <c r="W304" s="1082"/>
      <c r="X304" s="1082"/>
      <c r="Y304" s="1082"/>
      <c r="Z304" s="1082"/>
      <c r="AA304" s="1082"/>
      <c r="AB304" s="1082"/>
      <c r="AC304" s="1082"/>
      <c r="AD304" s="1082"/>
      <c r="AE304" s="1082"/>
      <c r="AF304" s="1082"/>
    </row>
    <row r="305">
      <c r="A305" s="1117"/>
      <c r="B305" s="1117"/>
      <c r="C305" s="1117" t="s">
        <v>1675</v>
      </c>
      <c r="D305" s="1105"/>
      <c r="E305" s="1105"/>
      <c r="F305" s="1105"/>
      <c r="G305" s="1105"/>
      <c r="H305" s="1105"/>
      <c r="I305" s="1105"/>
      <c r="J305" s="1104"/>
      <c r="K305" s="1105"/>
      <c r="L305" s="1105"/>
      <c r="M305" s="1082"/>
      <c r="N305" s="1082"/>
      <c r="O305" s="1082"/>
      <c r="P305" s="1082"/>
      <c r="Q305" s="1082"/>
      <c r="R305" s="1082"/>
      <c r="S305" s="1082"/>
      <c r="T305" s="1082"/>
      <c r="U305" s="1082"/>
      <c r="V305" s="1082"/>
      <c r="W305" s="1082"/>
      <c r="X305" s="1082"/>
      <c r="Y305" s="1082"/>
      <c r="Z305" s="1082"/>
      <c r="AA305" s="1082"/>
      <c r="AB305" s="1082"/>
      <c r="AC305" s="1082"/>
      <c r="AD305" s="1082"/>
      <c r="AE305" s="1082"/>
      <c r="AF305" s="1082"/>
    </row>
    <row r="306">
      <c r="A306" s="1100"/>
      <c r="B306" s="1100"/>
      <c r="C306" s="1100" t="s">
        <v>1155</v>
      </c>
      <c r="D306" s="1101"/>
      <c r="E306" s="1101"/>
      <c r="F306" s="1101"/>
      <c r="G306" s="1101"/>
      <c r="H306" s="1101"/>
      <c r="I306" s="1101"/>
      <c r="J306" s="1102"/>
      <c r="K306" s="1101"/>
      <c r="L306" s="1101"/>
      <c r="M306" s="1082"/>
      <c r="N306" s="1082"/>
      <c r="O306" s="1082"/>
      <c r="P306" s="1082"/>
      <c r="Q306" s="1082"/>
      <c r="R306" s="1082"/>
      <c r="S306" s="1082"/>
      <c r="T306" s="1082"/>
      <c r="U306" s="1082"/>
      <c r="V306" s="1082"/>
      <c r="W306" s="1082"/>
      <c r="X306" s="1082"/>
      <c r="Y306" s="1082"/>
      <c r="Z306" s="1082"/>
      <c r="AA306" s="1082"/>
      <c r="AB306" s="1082"/>
      <c r="AC306" s="1082"/>
      <c r="AD306" s="1082"/>
      <c r="AE306" s="1082"/>
      <c r="AF306" s="1082"/>
    </row>
    <row r="307">
      <c r="A307" s="1120"/>
      <c r="B307" s="1120"/>
      <c r="C307" s="1120" t="s">
        <v>7212</v>
      </c>
      <c r="D307" s="1113"/>
      <c r="E307" s="1113"/>
      <c r="F307" s="1105"/>
      <c r="G307" s="1105"/>
      <c r="H307" s="1105"/>
      <c r="I307" s="1105"/>
      <c r="J307" s="1104"/>
      <c r="K307" s="1105"/>
      <c r="L307" s="1105"/>
      <c r="M307" s="1082"/>
      <c r="N307" s="1082"/>
      <c r="O307" s="1082"/>
      <c r="P307" s="1082"/>
      <c r="Q307" s="1082"/>
      <c r="R307" s="1082"/>
      <c r="S307" s="1082"/>
      <c r="T307" s="1082"/>
      <c r="U307" s="1082"/>
      <c r="V307" s="1082"/>
      <c r="W307" s="1082"/>
      <c r="X307" s="1082"/>
      <c r="Y307" s="1082"/>
      <c r="Z307" s="1082"/>
      <c r="AA307" s="1082"/>
      <c r="AB307" s="1082"/>
      <c r="AC307" s="1082"/>
      <c r="AD307" s="1082"/>
      <c r="AE307" s="1082"/>
      <c r="AF307" s="1082"/>
    </row>
    <row r="308">
      <c r="A308" s="1119"/>
      <c r="B308" s="1119"/>
      <c r="C308" s="1119" t="s">
        <v>7215</v>
      </c>
      <c r="D308" s="1114"/>
      <c r="E308" s="1114"/>
      <c r="F308" s="1101"/>
      <c r="G308" s="1101"/>
      <c r="H308" s="1101"/>
      <c r="I308" s="1101"/>
      <c r="J308" s="1102"/>
      <c r="K308" s="1096"/>
      <c r="L308" s="1101"/>
      <c r="M308" s="1082"/>
      <c r="N308" s="1082"/>
      <c r="O308" s="1082"/>
      <c r="P308" s="1082"/>
      <c r="Q308" s="1082"/>
      <c r="R308" s="1082"/>
      <c r="S308" s="1082"/>
      <c r="T308" s="1082"/>
      <c r="U308" s="1082"/>
      <c r="V308" s="1082"/>
      <c r="W308" s="1082"/>
      <c r="X308" s="1082"/>
      <c r="Y308" s="1082"/>
      <c r="Z308" s="1082"/>
      <c r="AA308" s="1082"/>
      <c r="AB308" s="1082"/>
      <c r="AC308" s="1082"/>
      <c r="AD308" s="1082"/>
      <c r="AE308" s="1082"/>
      <c r="AF308" s="1082"/>
    </row>
    <row r="309">
      <c r="A309" s="1117"/>
      <c r="B309" s="1117"/>
      <c r="C309" s="1117" t="s">
        <v>10268</v>
      </c>
      <c r="D309" s="1105"/>
      <c r="E309" s="1105"/>
      <c r="F309" s="1105"/>
      <c r="G309" s="1105"/>
      <c r="H309" s="1105"/>
      <c r="I309" s="1105"/>
      <c r="J309" s="1104"/>
      <c r="K309" s="1105"/>
      <c r="L309" s="1105"/>
      <c r="M309" s="1082"/>
      <c r="N309" s="1082"/>
      <c r="O309" s="1082"/>
      <c r="P309" s="1082"/>
      <c r="Q309" s="1082"/>
      <c r="R309" s="1082"/>
      <c r="S309" s="1082"/>
      <c r="T309" s="1082"/>
      <c r="U309" s="1082"/>
      <c r="V309" s="1082"/>
      <c r="W309" s="1082"/>
      <c r="X309" s="1082"/>
      <c r="Y309" s="1082"/>
      <c r="Z309" s="1082"/>
      <c r="AA309" s="1082"/>
      <c r="AB309" s="1082"/>
      <c r="AC309" s="1082"/>
      <c r="AD309" s="1082"/>
      <c r="AE309" s="1082"/>
      <c r="AF309" s="1082"/>
    </row>
    <row r="310">
      <c r="A310" s="1116"/>
      <c r="B310" s="1116"/>
      <c r="C310" s="1116" t="s">
        <v>5981</v>
      </c>
      <c r="D310" s="1114"/>
      <c r="E310" s="1114"/>
      <c r="F310" s="1101"/>
      <c r="G310" s="1101"/>
      <c r="H310" s="1101"/>
      <c r="I310" s="1101"/>
      <c r="J310" s="1102"/>
      <c r="K310" s="1101"/>
      <c r="L310" s="1101"/>
      <c r="M310" s="1082"/>
      <c r="N310" s="1082"/>
      <c r="O310" s="1082"/>
      <c r="P310" s="1082"/>
      <c r="Q310" s="1082"/>
      <c r="R310" s="1082"/>
      <c r="S310" s="1082"/>
      <c r="T310" s="1082"/>
      <c r="U310" s="1082"/>
      <c r="V310" s="1082"/>
      <c r="W310" s="1082"/>
      <c r="X310" s="1082"/>
      <c r="Y310" s="1082"/>
      <c r="Z310" s="1082"/>
      <c r="AA310" s="1082"/>
      <c r="AB310" s="1082"/>
      <c r="AC310" s="1082"/>
      <c r="AD310" s="1082"/>
      <c r="AE310" s="1082"/>
      <c r="AF310" s="1082"/>
    </row>
    <row r="311">
      <c r="A311" s="1115"/>
      <c r="B311" s="1115"/>
      <c r="C311" s="1115" t="s">
        <v>7218</v>
      </c>
      <c r="D311" s="1105"/>
      <c r="E311" s="1105"/>
      <c r="F311" s="1105"/>
      <c r="G311" s="1105"/>
      <c r="H311" s="1105"/>
      <c r="I311" s="1105"/>
      <c r="J311" s="1104"/>
      <c r="K311" s="1105"/>
      <c r="L311" s="1105"/>
      <c r="M311" s="1082"/>
      <c r="N311" s="1082"/>
      <c r="O311" s="1082"/>
      <c r="P311" s="1082"/>
      <c r="Q311" s="1082"/>
      <c r="R311" s="1082"/>
      <c r="S311" s="1082"/>
      <c r="T311" s="1082"/>
      <c r="U311" s="1082"/>
      <c r="V311" s="1082"/>
      <c r="W311" s="1082"/>
      <c r="X311" s="1082"/>
      <c r="Y311" s="1082"/>
      <c r="Z311" s="1082"/>
      <c r="AA311" s="1082"/>
      <c r="AB311" s="1082"/>
      <c r="AC311" s="1082"/>
      <c r="AD311" s="1082"/>
      <c r="AE311" s="1082"/>
      <c r="AF311" s="1082"/>
    </row>
    <row r="312">
      <c r="A312" s="1100"/>
      <c r="B312" s="1100"/>
      <c r="C312" s="1100" t="s">
        <v>8081</v>
      </c>
      <c r="D312" s="1114"/>
      <c r="E312" s="1114"/>
      <c r="F312" s="1101"/>
      <c r="G312" s="1101"/>
      <c r="H312" s="1101"/>
      <c r="I312" s="1101"/>
      <c r="J312" s="1102"/>
      <c r="K312" s="1101"/>
      <c r="L312" s="1101"/>
      <c r="M312" s="1082"/>
      <c r="N312" s="1082"/>
      <c r="O312" s="1082"/>
      <c r="P312" s="1082"/>
      <c r="Q312" s="1082"/>
      <c r="R312" s="1082"/>
      <c r="S312" s="1082"/>
      <c r="T312" s="1082"/>
      <c r="U312" s="1082"/>
      <c r="V312" s="1082"/>
      <c r="W312" s="1082"/>
      <c r="X312" s="1082"/>
      <c r="Y312" s="1082"/>
      <c r="Z312" s="1082"/>
      <c r="AA312" s="1082"/>
      <c r="AB312" s="1082"/>
      <c r="AC312" s="1082"/>
      <c r="AD312" s="1082"/>
      <c r="AE312" s="1082"/>
      <c r="AF312" s="1082"/>
    </row>
    <row r="313">
      <c r="A313" s="1117"/>
      <c r="B313" s="1117"/>
      <c r="C313" s="1117" t="s">
        <v>2776</v>
      </c>
      <c r="D313" s="1105"/>
      <c r="E313" s="1105"/>
      <c r="F313" s="1105"/>
      <c r="G313" s="1105"/>
      <c r="H313" s="1105"/>
      <c r="I313" s="1105"/>
      <c r="J313" s="1104"/>
      <c r="K313" s="1093"/>
      <c r="L313" s="1105"/>
      <c r="M313" s="1082"/>
      <c r="N313" s="1082"/>
      <c r="O313" s="1082"/>
      <c r="P313" s="1082"/>
      <c r="Q313" s="1082"/>
      <c r="R313" s="1082"/>
      <c r="S313" s="1082"/>
      <c r="T313" s="1082"/>
      <c r="U313" s="1082"/>
      <c r="V313" s="1082"/>
      <c r="W313" s="1082"/>
      <c r="X313" s="1082"/>
      <c r="Y313" s="1082"/>
      <c r="Z313" s="1082"/>
      <c r="AA313" s="1082"/>
      <c r="AB313" s="1082"/>
      <c r="AC313" s="1082"/>
      <c r="AD313" s="1082"/>
      <c r="AE313" s="1082"/>
      <c r="AF313" s="1082"/>
    </row>
    <row r="314">
      <c r="A314" s="1100"/>
      <c r="B314" s="1100"/>
      <c r="C314" s="1100" t="s">
        <v>10269</v>
      </c>
      <c r="D314" s="1114"/>
      <c r="E314" s="1114"/>
      <c r="F314" s="1101"/>
      <c r="G314" s="1101"/>
      <c r="H314" s="1101"/>
      <c r="I314" s="1101"/>
      <c r="J314" s="1102"/>
      <c r="K314" s="1101"/>
      <c r="L314" s="1101"/>
      <c r="M314" s="1082"/>
      <c r="N314" s="1082"/>
      <c r="O314" s="1082"/>
      <c r="P314" s="1082"/>
      <c r="Q314" s="1082"/>
      <c r="R314" s="1082"/>
      <c r="S314" s="1082"/>
      <c r="T314" s="1082"/>
      <c r="U314" s="1082"/>
      <c r="V314" s="1082"/>
      <c r="W314" s="1082"/>
      <c r="X314" s="1082"/>
      <c r="Y314" s="1082"/>
      <c r="Z314" s="1082"/>
      <c r="AA314" s="1082"/>
      <c r="AB314" s="1082"/>
      <c r="AC314" s="1082"/>
      <c r="AD314" s="1082"/>
      <c r="AE314" s="1082"/>
      <c r="AF314" s="1082"/>
    </row>
    <row r="315">
      <c r="A315" s="1112"/>
      <c r="B315" s="1112"/>
      <c r="C315" s="1112" t="s">
        <v>10270</v>
      </c>
      <c r="D315" s="1105"/>
      <c r="E315" s="1105"/>
      <c r="F315" s="1105"/>
      <c r="G315" s="1105"/>
      <c r="H315" s="1105"/>
      <c r="I315" s="1105"/>
      <c r="J315" s="1104"/>
      <c r="K315" s="1105"/>
      <c r="L315" s="1105"/>
      <c r="M315" s="1082"/>
      <c r="N315" s="1082"/>
      <c r="O315" s="1082"/>
      <c r="P315" s="1082"/>
      <c r="Q315" s="1082"/>
      <c r="R315" s="1082"/>
      <c r="S315" s="1082"/>
      <c r="T315" s="1082"/>
      <c r="U315" s="1082"/>
      <c r="V315" s="1082"/>
      <c r="W315" s="1082"/>
      <c r="X315" s="1082"/>
      <c r="Y315" s="1082"/>
      <c r="Z315" s="1082"/>
      <c r="AA315" s="1082"/>
      <c r="AB315" s="1082"/>
      <c r="AC315" s="1082"/>
      <c r="AD315" s="1082"/>
      <c r="AE315" s="1082"/>
      <c r="AF315" s="1082"/>
    </row>
    <row r="316">
      <c r="A316" s="1100"/>
      <c r="B316" s="1100"/>
      <c r="C316" s="1100" t="s">
        <v>10271</v>
      </c>
      <c r="D316" s="1101"/>
      <c r="E316" s="1101"/>
      <c r="F316" s="1101"/>
      <c r="G316" s="1101"/>
      <c r="H316" s="1101"/>
      <c r="I316" s="1101"/>
      <c r="J316" s="1102"/>
      <c r="K316" s="1101"/>
      <c r="L316" s="1101"/>
      <c r="M316" s="1082"/>
      <c r="N316" s="1082"/>
      <c r="O316" s="1082"/>
      <c r="P316" s="1082"/>
      <c r="Q316" s="1082"/>
      <c r="R316" s="1082"/>
      <c r="S316" s="1082"/>
      <c r="T316" s="1082"/>
      <c r="U316" s="1082"/>
      <c r="V316" s="1082"/>
      <c r="W316" s="1082"/>
      <c r="X316" s="1082"/>
      <c r="Y316" s="1082"/>
      <c r="Z316" s="1082"/>
      <c r="AA316" s="1082"/>
      <c r="AB316" s="1082"/>
      <c r="AC316" s="1082"/>
      <c r="AD316" s="1082"/>
      <c r="AE316" s="1082"/>
      <c r="AF316" s="1082"/>
    </row>
    <row r="317">
      <c r="A317" s="1117"/>
      <c r="B317" s="1117"/>
      <c r="C317" s="1117" t="s">
        <v>10272</v>
      </c>
      <c r="D317" s="1105"/>
      <c r="E317" s="1105"/>
      <c r="F317" s="1105"/>
      <c r="G317" s="1105"/>
      <c r="H317" s="1105"/>
      <c r="I317" s="1105"/>
      <c r="J317" s="1104"/>
      <c r="K317" s="1105"/>
      <c r="L317" s="1105"/>
      <c r="M317" s="1082"/>
      <c r="N317" s="1082"/>
      <c r="O317" s="1082"/>
      <c r="P317" s="1082"/>
      <c r="Q317" s="1082"/>
      <c r="R317" s="1082"/>
      <c r="S317" s="1082"/>
      <c r="T317" s="1082"/>
      <c r="U317" s="1082"/>
      <c r="V317" s="1082"/>
      <c r="W317" s="1082"/>
      <c r="X317" s="1082"/>
      <c r="Y317" s="1082"/>
      <c r="Z317" s="1082"/>
      <c r="AA317" s="1082"/>
      <c r="AB317" s="1082"/>
      <c r="AC317" s="1082"/>
      <c r="AD317" s="1082"/>
      <c r="AE317" s="1082"/>
      <c r="AF317" s="1082"/>
    </row>
    <row r="318">
      <c r="A318" s="1100"/>
      <c r="B318" s="1100"/>
      <c r="C318" s="1100" t="s">
        <v>405</v>
      </c>
      <c r="D318" s="1114"/>
      <c r="E318" s="1114"/>
      <c r="F318" s="1101"/>
      <c r="G318" s="1101"/>
      <c r="H318" s="1101"/>
      <c r="I318" s="1101"/>
      <c r="J318" s="1102"/>
      <c r="K318" s="1101"/>
      <c r="L318" s="1101"/>
      <c r="M318" s="1082"/>
      <c r="N318" s="1082"/>
      <c r="O318" s="1082"/>
      <c r="P318" s="1082"/>
      <c r="Q318" s="1082"/>
      <c r="R318" s="1082"/>
      <c r="S318" s="1082"/>
      <c r="T318" s="1082"/>
      <c r="U318" s="1082"/>
      <c r="V318" s="1082"/>
      <c r="W318" s="1082"/>
      <c r="X318" s="1082"/>
      <c r="Y318" s="1082"/>
      <c r="Z318" s="1082"/>
      <c r="AA318" s="1082"/>
      <c r="AB318" s="1082"/>
      <c r="AC318" s="1082"/>
      <c r="AD318" s="1082"/>
      <c r="AE318" s="1082"/>
      <c r="AF318" s="1082"/>
    </row>
    <row r="319">
      <c r="A319" s="1115"/>
      <c r="B319" s="1115"/>
      <c r="C319" s="1115" t="s">
        <v>1817</v>
      </c>
      <c r="D319" s="1105"/>
      <c r="E319" s="1105"/>
      <c r="F319" s="1105"/>
      <c r="G319" s="1105"/>
      <c r="H319" s="1105"/>
      <c r="I319" s="1105"/>
      <c r="J319" s="1104"/>
      <c r="K319" s="1105"/>
      <c r="L319" s="1105"/>
      <c r="M319" s="1082"/>
      <c r="N319" s="1082"/>
      <c r="O319" s="1082"/>
      <c r="P319" s="1082"/>
      <c r="Q319" s="1082"/>
      <c r="R319" s="1082"/>
      <c r="S319" s="1082"/>
      <c r="T319" s="1082"/>
      <c r="U319" s="1082"/>
      <c r="V319" s="1082"/>
      <c r="W319" s="1082"/>
      <c r="X319" s="1082"/>
      <c r="Y319" s="1082"/>
      <c r="Z319" s="1082"/>
      <c r="AA319" s="1082"/>
      <c r="AB319" s="1082"/>
      <c r="AC319" s="1082"/>
      <c r="AD319" s="1082"/>
      <c r="AE319" s="1082"/>
      <c r="AF319" s="1082"/>
    </row>
    <row r="320">
      <c r="A320" s="1119"/>
      <c r="B320" s="1119"/>
      <c r="C320" s="1119" t="s">
        <v>7229</v>
      </c>
      <c r="D320" s="1114"/>
      <c r="E320" s="1114"/>
      <c r="F320" s="1101"/>
      <c r="G320" s="1101"/>
      <c r="H320" s="1101"/>
      <c r="I320" s="1101"/>
      <c r="J320" s="1102"/>
      <c r="K320" s="1101"/>
      <c r="L320" s="1101"/>
      <c r="M320" s="1082"/>
      <c r="N320" s="1082"/>
      <c r="O320" s="1082"/>
      <c r="P320" s="1082"/>
      <c r="Q320" s="1082"/>
      <c r="R320" s="1082"/>
      <c r="S320" s="1082"/>
      <c r="T320" s="1082"/>
      <c r="U320" s="1082"/>
      <c r="V320" s="1082"/>
      <c r="W320" s="1082"/>
      <c r="X320" s="1082"/>
      <c r="Y320" s="1082"/>
      <c r="Z320" s="1082"/>
      <c r="AA320" s="1082"/>
      <c r="AB320" s="1082"/>
      <c r="AC320" s="1082"/>
      <c r="AD320" s="1082"/>
      <c r="AE320" s="1082"/>
      <c r="AF320" s="1082"/>
    </row>
    <row r="321">
      <c r="A321" s="1117"/>
      <c r="B321" s="1117"/>
      <c r="C321" s="1117" t="s">
        <v>10273</v>
      </c>
      <c r="D321" s="1105"/>
      <c r="E321" s="1105"/>
      <c r="F321" s="1105"/>
      <c r="G321" s="1105"/>
      <c r="H321" s="1105"/>
      <c r="I321" s="1105"/>
      <c r="J321" s="1104"/>
      <c r="K321" s="1105"/>
      <c r="L321" s="1105"/>
      <c r="M321" s="1082"/>
      <c r="N321" s="1082"/>
      <c r="O321" s="1082"/>
      <c r="P321" s="1082"/>
      <c r="Q321" s="1082"/>
      <c r="R321" s="1082"/>
      <c r="S321" s="1082"/>
      <c r="T321" s="1082"/>
      <c r="U321" s="1082"/>
      <c r="V321" s="1082"/>
      <c r="W321" s="1082"/>
      <c r="X321" s="1082"/>
      <c r="Y321" s="1082"/>
      <c r="Z321" s="1082"/>
      <c r="AA321" s="1082"/>
      <c r="AB321" s="1082"/>
      <c r="AC321" s="1082"/>
      <c r="AD321" s="1082"/>
      <c r="AE321" s="1082"/>
      <c r="AF321" s="1082"/>
    </row>
    <row r="322">
      <c r="A322" s="1118"/>
      <c r="B322" s="1118"/>
      <c r="C322" s="1118" t="s">
        <v>1603</v>
      </c>
      <c r="D322" s="1101"/>
      <c r="E322" s="1101"/>
      <c r="F322" s="1101"/>
      <c r="G322" s="1101"/>
      <c r="H322" s="1101"/>
      <c r="I322" s="1101"/>
      <c r="J322" s="1102"/>
      <c r="K322" s="1101"/>
      <c r="L322" s="1101"/>
      <c r="M322" s="1082"/>
      <c r="N322" s="1082"/>
      <c r="O322" s="1082"/>
      <c r="P322" s="1082"/>
      <c r="Q322" s="1082"/>
      <c r="R322" s="1082"/>
      <c r="S322" s="1082"/>
      <c r="T322" s="1082"/>
      <c r="U322" s="1082"/>
      <c r="V322" s="1082"/>
      <c r="W322" s="1082"/>
      <c r="X322" s="1082"/>
      <c r="Y322" s="1082"/>
      <c r="Z322" s="1082"/>
      <c r="AA322" s="1082"/>
      <c r="AB322" s="1082"/>
      <c r="AC322" s="1082"/>
      <c r="AD322" s="1082"/>
      <c r="AE322" s="1082"/>
      <c r="AF322" s="1082"/>
    </row>
    <row r="323">
      <c r="A323" s="1112"/>
      <c r="B323" s="1112"/>
      <c r="C323" s="1112" t="s">
        <v>10274</v>
      </c>
      <c r="D323" s="1105"/>
      <c r="E323" s="1105"/>
      <c r="F323" s="1105"/>
      <c r="G323" s="1105"/>
      <c r="H323" s="1105"/>
      <c r="I323" s="1105"/>
      <c r="J323" s="1104"/>
      <c r="K323" s="1105"/>
      <c r="L323" s="1105"/>
      <c r="M323" s="1082"/>
      <c r="N323" s="1082"/>
      <c r="O323" s="1082"/>
      <c r="P323" s="1082"/>
      <c r="Q323" s="1082"/>
      <c r="R323" s="1082"/>
      <c r="S323" s="1082"/>
      <c r="T323" s="1082"/>
      <c r="U323" s="1082"/>
      <c r="V323" s="1082"/>
      <c r="W323" s="1082"/>
      <c r="X323" s="1082"/>
      <c r="Y323" s="1082"/>
      <c r="Z323" s="1082"/>
      <c r="AA323" s="1082"/>
      <c r="AB323" s="1082"/>
      <c r="AC323" s="1082"/>
      <c r="AD323" s="1082"/>
      <c r="AE323" s="1082"/>
      <c r="AF323" s="1082"/>
    </row>
    <row r="324">
      <c r="A324" s="1100"/>
      <c r="B324" s="1100"/>
      <c r="C324" s="1100" t="s">
        <v>10275</v>
      </c>
      <c r="D324" s="1114"/>
      <c r="E324" s="1114"/>
      <c r="F324" s="1101"/>
      <c r="G324" s="1101"/>
      <c r="H324" s="1101"/>
      <c r="I324" s="1101"/>
      <c r="J324" s="1102"/>
      <c r="K324" s="1101"/>
      <c r="L324" s="1101"/>
      <c r="M324" s="1082"/>
      <c r="N324" s="1082"/>
      <c r="O324" s="1082"/>
      <c r="P324" s="1082"/>
      <c r="Q324" s="1082"/>
      <c r="R324" s="1082"/>
      <c r="S324" s="1082"/>
      <c r="T324" s="1082"/>
      <c r="U324" s="1082"/>
      <c r="V324" s="1082"/>
      <c r="W324" s="1082"/>
      <c r="X324" s="1082"/>
      <c r="Y324" s="1082"/>
      <c r="Z324" s="1082"/>
      <c r="AA324" s="1082"/>
      <c r="AB324" s="1082"/>
      <c r="AC324" s="1082"/>
      <c r="AD324" s="1082"/>
      <c r="AE324" s="1082"/>
      <c r="AF324" s="1082"/>
    </row>
    <row r="325">
      <c r="A325" s="1112"/>
      <c r="B325" s="1112"/>
      <c r="C325" s="1112" t="s">
        <v>10276</v>
      </c>
      <c r="D325" s="1105"/>
      <c r="E325" s="1105"/>
      <c r="F325" s="1105"/>
      <c r="G325" s="1105"/>
      <c r="H325" s="1105"/>
      <c r="I325" s="1105"/>
      <c r="J325" s="1104"/>
      <c r="K325" s="1105"/>
      <c r="L325" s="1105"/>
      <c r="M325" s="1082"/>
      <c r="N325" s="1082"/>
      <c r="O325" s="1082"/>
      <c r="P325" s="1082"/>
      <c r="Q325" s="1082"/>
      <c r="R325" s="1082"/>
      <c r="S325" s="1082"/>
      <c r="T325" s="1082"/>
      <c r="U325" s="1082"/>
      <c r="V325" s="1082"/>
      <c r="W325" s="1082"/>
      <c r="X325" s="1082"/>
      <c r="Y325" s="1082"/>
      <c r="Z325" s="1082"/>
      <c r="AA325" s="1082"/>
      <c r="AB325" s="1082"/>
      <c r="AC325" s="1082"/>
      <c r="AD325" s="1082"/>
      <c r="AE325" s="1082"/>
      <c r="AF325" s="1082"/>
    </row>
    <row r="326">
      <c r="A326" s="1100"/>
      <c r="B326" s="1100"/>
      <c r="C326" s="1100" t="s">
        <v>10277</v>
      </c>
      <c r="D326" s="1101"/>
      <c r="E326" s="1101"/>
      <c r="F326" s="1101"/>
      <c r="G326" s="1101"/>
      <c r="H326" s="1101"/>
      <c r="I326" s="1101"/>
      <c r="J326" s="1102"/>
      <c r="K326" s="1101"/>
      <c r="L326" s="1101"/>
      <c r="M326" s="1082"/>
      <c r="N326" s="1082"/>
      <c r="O326" s="1082"/>
      <c r="P326" s="1082"/>
      <c r="Q326" s="1082"/>
      <c r="R326" s="1082"/>
      <c r="S326" s="1082"/>
      <c r="T326" s="1082"/>
      <c r="U326" s="1082"/>
      <c r="V326" s="1082"/>
      <c r="W326" s="1082"/>
      <c r="X326" s="1082"/>
      <c r="Y326" s="1082"/>
      <c r="Z326" s="1082"/>
      <c r="AA326" s="1082"/>
      <c r="AB326" s="1082"/>
      <c r="AC326" s="1082"/>
      <c r="AD326" s="1082"/>
      <c r="AE326" s="1082"/>
      <c r="AF326" s="1082"/>
    </row>
    <row r="327">
      <c r="A327" s="1112"/>
      <c r="B327" s="1112"/>
      <c r="C327" s="1112" t="s">
        <v>10278</v>
      </c>
      <c r="D327" s="1105"/>
      <c r="E327" s="1105"/>
      <c r="F327" s="1105"/>
      <c r="G327" s="1105"/>
      <c r="H327" s="1105"/>
      <c r="I327" s="1105"/>
      <c r="J327" s="1104"/>
      <c r="K327" s="1105"/>
      <c r="L327" s="1105"/>
      <c r="M327" s="1082"/>
      <c r="N327" s="1082"/>
      <c r="O327" s="1082"/>
      <c r="P327" s="1082"/>
      <c r="Q327" s="1082"/>
      <c r="R327" s="1082"/>
      <c r="S327" s="1082"/>
      <c r="T327" s="1082"/>
      <c r="U327" s="1082"/>
      <c r="V327" s="1082"/>
      <c r="W327" s="1082"/>
      <c r="X327" s="1082"/>
      <c r="Y327" s="1082"/>
      <c r="Z327" s="1082"/>
      <c r="AA327" s="1082"/>
      <c r="AB327" s="1082"/>
      <c r="AC327" s="1082"/>
      <c r="AD327" s="1082"/>
      <c r="AE327" s="1082"/>
      <c r="AF327" s="1082"/>
    </row>
    <row r="328">
      <c r="A328" s="1116"/>
      <c r="B328" s="1116"/>
      <c r="C328" s="1116" t="s">
        <v>10279</v>
      </c>
      <c r="D328" s="1101"/>
      <c r="E328" s="1101"/>
      <c r="F328" s="1101"/>
      <c r="G328" s="1101"/>
      <c r="H328" s="1101"/>
      <c r="I328" s="1101"/>
      <c r="J328" s="1102"/>
      <c r="K328" s="1101"/>
      <c r="L328" s="1101"/>
      <c r="M328" s="1082"/>
      <c r="N328" s="1082"/>
      <c r="O328" s="1082"/>
      <c r="P328" s="1082"/>
      <c r="Q328" s="1082"/>
      <c r="R328" s="1082"/>
      <c r="S328" s="1082"/>
      <c r="T328" s="1082"/>
      <c r="U328" s="1082"/>
      <c r="V328" s="1082"/>
      <c r="W328" s="1082"/>
      <c r="X328" s="1082"/>
      <c r="Y328" s="1082"/>
      <c r="Z328" s="1082"/>
      <c r="AA328" s="1082"/>
      <c r="AB328" s="1082"/>
      <c r="AC328" s="1082"/>
      <c r="AD328" s="1082"/>
      <c r="AE328" s="1082"/>
      <c r="AF328" s="1082"/>
    </row>
    <row r="329">
      <c r="A329" s="1112"/>
      <c r="B329" s="1112"/>
      <c r="C329" s="1112" t="s">
        <v>632</v>
      </c>
      <c r="D329" s="1113"/>
      <c r="E329" s="1113"/>
      <c r="F329" s="1105"/>
      <c r="G329" s="1105"/>
      <c r="H329" s="1105"/>
      <c r="I329" s="1105"/>
      <c r="J329" s="1104"/>
      <c r="K329" s="1105"/>
      <c r="L329" s="1105"/>
      <c r="M329" s="1082"/>
      <c r="N329" s="1082"/>
      <c r="O329" s="1082"/>
      <c r="P329" s="1082"/>
      <c r="Q329" s="1082"/>
      <c r="R329" s="1082"/>
      <c r="S329" s="1082"/>
      <c r="T329" s="1082"/>
      <c r="U329" s="1082"/>
      <c r="V329" s="1082"/>
      <c r="W329" s="1082"/>
      <c r="X329" s="1082"/>
      <c r="Y329" s="1082"/>
      <c r="Z329" s="1082"/>
      <c r="AA329" s="1082"/>
      <c r="AB329" s="1082"/>
      <c r="AC329" s="1082"/>
      <c r="AD329" s="1082"/>
      <c r="AE329" s="1082"/>
      <c r="AF329" s="1082"/>
    </row>
    <row r="330">
      <c r="A330" s="1100"/>
      <c r="B330" s="1100"/>
      <c r="C330" s="1100" t="s">
        <v>10280</v>
      </c>
      <c r="D330" s="1101"/>
      <c r="E330" s="1101"/>
      <c r="F330" s="1101"/>
      <c r="G330" s="1101"/>
      <c r="H330" s="1101"/>
      <c r="I330" s="1101"/>
      <c r="J330" s="1102"/>
      <c r="K330" s="1101"/>
      <c r="L330" s="1101"/>
      <c r="M330" s="1082"/>
      <c r="N330" s="1082"/>
      <c r="O330" s="1082"/>
      <c r="P330" s="1082"/>
      <c r="Q330" s="1082"/>
      <c r="R330" s="1082"/>
      <c r="S330" s="1082"/>
      <c r="T330" s="1082"/>
      <c r="U330" s="1082"/>
      <c r="V330" s="1082"/>
      <c r="W330" s="1082"/>
      <c r="X330" s="1082"/>
      <c r="Y330" s="1082"/>
      <c r="Z330" s="1082"/>
      <c r="AA330" s="1082"/>
      <c r="AB330" s="1082"/>
      <c r="AC330" s="1082"/>
      <c r="AD330" s="1082"/>
      <c r="AE330" s="1082"/>
      <c r="AF330" s="1082"/>
    </row>
    <row r="331">
      <c r="A331" s="1117"/>
      <c r="B331" s="1117"/>
      <c r="C331" s="1117" t="s">
        <v>10281</v>
      </c>
      <c r="D331" s="1105"/>
      <c r="E331" s="1105"/>
      <c r="F331" s="1105"/>
      <c r="G331" s="1105"/>
      <c r="H331" s="1105"/>
      <c r="I331" s="1105"/>
      <c r="J331" s="1104"/>
      <c r="K331" s="1105"/>
      <c r="L331" s="1105"/>
      <c r="M331" s="1082"/>
      <c r="N331" s="1082"/>
      <c r="O331" s="1082"/>
      <c r="P331" s="1082"/>
      <c r="Q331" s="1082"/>
      <c r="R331" s="1082"/>
      <c r="S331" s="1082"/>
      <c r="T331" s="1082"/>
      <c r="U331" s="1082"/>
      <c r="V331" s="1082"/>
      <c r="W331" s="1082"/>
      <c r="X331" s="1082"/>
      <c r="Y331" s="1082"/>
      <c r="Z331" s="1082"/>
      <c r="AA331" s="1082"/>
      <c r="AB331" s="1082"/>
      <c r="AC331" s="1082"/>
      <c r="AD331" s="1082"/>
      <c r="AE331" s="1082"/>
      <c r="AF331" s="1082"/>
    </row>
    <row r="332">
      <c r="A332" s="1116"/>
      <c r="B332" s="1116"/>
      <c r="C332" s="1116" t="s">
        <v>10282</v>
      </c>
      <c r="D332" s="1101"/>
      <c r="E332" s="1101"/>
      <c r="F332" s="1101"/>
      <c r="G332" s="1101"/>
      <c r="H332" s="1101"/>
      <c r="I332" s="1101"/>
      <c r="J332" s="1102"/>
      <c r="K332" s="1101"/>
      <c r="L332" s="1101"/>
      <c r="M332" s="1082"/>
      <c r="N332" s="1082"/>
      <c r="O332" s="1082"/>
      <c r="P332" s="1082"/>
      <c r="Q332" s="1082"/>
      <c r="R332" s="1082"/>
      <c r="S332" s="1082"/>
      <c r="T332" s="1082"/>
      <c r="U332" s="1082"/>
      <c r="V332" s="1082"/>
      <c r="W332" s="1082"/>
      <c r="X332" s="1082"/>
      <c r="Y332" s="1082"/>
      <c r="Z332" s="1082"/>
      <c r="AA332" s="1082"/>
      <c r="AB332" s="1082"/>
      <c r="AC332" s="1082"/>
      <c r="AD332" s="1082"/>
      <c r="AE332" s="1082"/>
      <c r="AF332" s="1082"/>
    </row>
    <row r="333">
      <c r="A333" s="1112"/>
      <c r="B333" s="1112"/>
      <c r="C333" s="1112" t="s">
        <v>332</v>
      </c>
      <c r="D333" s="1105"/>
      <c r="E333" s="1105"/>
      <c r="F333" s="1105"/>
      <c r="G333" s="1105"/>
      <c r="H333" s="1105"/>
      <c r="I333" s="1105"/>
      <c r="J333" s="1104"/>
      <c r="K333" s="1105"/>
      <c r="L333" s="1105"/>
      <c r="M333" s="1082"/>
      <c r="N333" s="1082"/>
      <c r="O333" s="1082"/>
      <c r="P333" s="1082"/>
      <c r="Q333" s="1082"/>
      <c r="R333" s="1082"/>
      <c r="S333" s="1082"/>
      <c r="T333" s="1082"/>
      <c r="U333" s="1082"/>
      <c r="V333" s="1082"/>
      <c r="W333" s="1082"/>
      <c r="X333" s="1082"/>
      <c r="Y333" s="1082"/>
      <c r="Z333" s="1082"/>
      <c r="AA333" s="1082"/>
      <c r="AB333" s="1082"/>
      <c r="AC333" s="1082"/>
      <c r="AD333" s="1082"/>
      <c r="AE333" s="1082"/>
      <c r="AF333" s="1082"/>
    </row>
    <row r="334">
      <c r="A334" s="1119"/>
      <c r="B334" s="1119"/>
      <c r="C334" s="1119" t="s">
        <v>1200</v>
      </c>
      <c r="D334" s="1114"/>
      <c r="E334" s="1114"/>
      <c r="F334" s="1101"/>
      <c r="G334" s="1101"/>
      <c r="H334" s="1101"/>
      <c r="I334" s="1101"/>
      <c r="J334" s="1102"/>
      <c r="K334" s="1101"/>
      <c r="L334" s="1101"/>
      <c r="M334" s="1082"/>
      <c r="N334" s="1082"/>
      <c r="O334" s="1082"/>
      <c r="P334" s="1082"/>
      <c r="Q334" s="1082"/>
      <c r="R334" s="1082"/>
      <c r="S334" s="1082"/>
      <c r="T334" s="1082"/>
      <c r="U334" s="1082"/>
      <c r="V334" s="1082"/>
      <c r="W334" s="1082"/>
      <c r="X334" s="1082"/>
      <c r="Y334" s="1082"/>
      <c r="Z334" s="1082"/>
      <c r="AA334" s="1082"/>
      <c r="AB334" s="1082"/>
      <c r="AC334" s="1082"/>
      <c r="AD334" s="1082"/>
      <c r="AE334" s="1082"/>
      <c r="AF334" s="1082"/>
    </row>
    <row r="335">
      <c r="A335" s="1112"/>
      <c r="B335" s="1112"/>
      <c r="C335" s="1112" t="s">
        <v>1613</v>
      </c>
      <c r="D335" s="1113"/>
      <c r="E335" s="1113"/>
      <c r="F335" s="1105"/>
      <c r="G335" s="1105"/>
      <c r="H335" s="1105"/>
      <c r="I335" s="1105"/>
      <c r="J335" s="1104"/>
      <c r="K335" s="1105"/>
      <c r="L335" s="1105"/>
      <c r="M335" s="1082"/>
      <c r="N335" s="1082"/>
      <c r="O335" s="1082"/>
      <c r="P335" s="1082"/>
      <c r="Q335" s="1082"/>
      <c r="R335" s="1082"/>
      <c r="S335" s="1082"/>
      <c r="T335" s="1082"/>
      <c r="U335" s="1082"/>
      <c r="V335" s="1082"/>
      <c r="W335" s="1082"/>
      <c r="X335" s="1082"/>
      <c r="Y335" s="1082"/>
      <c r="Z335" s="1082"/>
      <c r="AA335" s="1082"/>
      <c r="AB335" s="1082"/>
      <c r="AC335" s="1082"/>
      <c r="AD335" s="1082"/>
      <c r="AE335" s="1082"/>
      <c r="AF335" s="1082"/>
    </row>
    <row r="336">
      <c r="A336" s="1116"/>
      <c r="B336" s="1116"/>
      <c r="C336" s="1116" t="s">
        <v>10283</v>
      </c>
      <c r="D336" s="1101"/>
      <c r="E336" s="1101"/>
      <c r="F336" s="1101"/>
      <c r="G336" s="1101"/>
      <c r="H336" s="1101"/>
      <c r="I336" s="1101"/>
      <c r="J336" s="1102"/>
      <c r="K336" s="1101"/>
      <c r="L336" s="1101"/>
      <c r="M336" s="1082"/>
      <c r="N336" s="1082"/>
      <c r="O336" s="1082"/>
      <c r="P336" s="1082"/>
      <c r="Q336" s="1082"/>
      <c r="R336" s="1082"/>
      <c r="S336" s="1082"/>
      <c r="T336" s="1082"/>
      <c r="U336" s="1082"/>
      <c r="V336" s="1082"/>
      <c r="W336" s="1082"/>
      <c r="X336" s="1082"/>
      <c r="Y336" s="1082"/>
      <c r="Z336" s="1082"/>
      <c r="AA336" s="1082"/>
      <c r="AB336" s="1082"/>
      <c r="AC336" s="1082"/>
      <c r="AD336" s="1082"/>
      <c r="AE336" s="1082"/>
      <c r="AF336" s="1082"/>
    </row>
    <row r="337">
      <c r="A337" s="1112"/>
      <c r="B337" s="1112"/>
      <c r="C337" s="1112" t="s">
        <v>10284</v>
      </c>
      <c r="D337" s="1105"/>
      <c r="E337" s="1105"/>
      <c r="F337" s="1105"/>
      <c r="G337" s="1105"/>
      <c r="H337" s="1105"/>
      <c r="I337" s="1105"/>
      <c r="J337" s="1104"/>
      <c r="K337" s="1105"/>
      <c r="L337" s="1105"/>
      <c r="M337" s="1082"/>
      <c r="N337" s="1082"/>
      <c r="O337" s="1082"/>
      <c r="P337" s="1082"/>
      <c r="Q337" s="1082"/>
      <c r="R337" s="1082"/>
      <c r="S337" s="1082"/>
      <c r="T337" s="1082"/>
      <c r="U337" s="1082"/>
      <c r="V337" s="1082"/>
      <c r="W337" s="1082"/>
      <c r="X337" s="1082"/>
      <c r="Y337" s="1082"/>
      <c r="Z337" s="1082"/>
      <c r="AA337" s="1082"/>
      <c r="AB337" s="1082"/>
      <c r="AC337" s="1082"/>
      <c r="AD337" s="1082"/>
      <c r="AE337" s="1082"/>
      <c r="AF337" s="1082"/>
    </row>
    <row r="338">
      <c r="A338" s="1100"/>
      <c r="B338" s="1100"/>
      <c r="C338" s="1100" t="s">
        <v>10285</v>
      </c>
      <c r="D338" s="1101"/>
      <c r="E338" s="1101"/>
      <c r="F338" s="1101"/>
      <c r="G338" s="1101"/>
      <c r="H338" s="1101"/>
      <c r="I338" s="1101"/>
      <c r="J338" s="1102"/>
      <c r="K338" s="1101"/>
      <c r="L338" s="1101"/>
      <c r="M338" s="1082"/>
      <c r="N338" s="1082"/>
      <c r="O338" s="1082"/>
      <c r="P338" s="1082"/>
      <c r="Q338" s="1082"/>
      <c r="R338" s="1082"/>
      <c r="S338" s="1082"/>
      <c r="T338" s="1082"/>
      <c r="U338" s="1082"/>
      <c r="V338" s="1082"/>
      <c r="W338" s="1082"/>
      <c r="X338" s="1082"/>
      <c r="Y338" s="1082"/>
      <c r="Z338" s="1082"/>
      <c r="AA338" s="1082"/>
      <c r="AB338" s="1082"/>
      <c r="AC338" s="1082"/>
      <c r="AD338" s="1082"/>
      <c r="AE338" s="1082"/>
      <c r="AF338" s="1082"/>
    </row>
    <row r="339">
      <c r="A339" s="1112"/>
      <c r="B339" s="1112"/>
      <c r="C339" s="1112" t="s">
        <v>2763</v>
      </c>
      <c r="D339" s="1105"/>
      <c r="E339" s="1105"/>
      <c r="F339" s="1105"/>
      <c r="G339" s="1105"/>
      <c r="H339" s="1105"/>
      <c r="I339" s="1105"/>
      <c r="J339" s="1104"/>
      <c r="K339" s="1105"/>
      <c r="L339" s="1105"/>
      <c r="M339" s="1082"/>
      <c r="N339" s="1082"/>
      <c r="O339" s="1082"/>
      <c r="P339" s="1082"/>
      <c r="Q339" s="1082"/>
      <c r="R339" s="1082"/>
      <c r="S339" s="1082"/>
      <c r="T339" s="1082"/>
      <c r="U339" s="1082"/>
      <c r="V339" s="1082"/>
      <c r="W339" s="1082"/>
      <c r="X339" s="1082"/>
      <c r="Y339" s="1082"/>
      <c r="Z339" s="1082"/>
      <c r="AA339" s="1082"/>
      <c r="AB339" s="1082"/>
      <c r="AC339" s="1082"/>
      <c r="AD339" s="1082"/>
      <c r="AE339" s="1082"/>
      <c r="AF339" s="1082"/>
    </row>
    <row r="340">
      <c r="A340" s="1119"/>
      <c r="B340" s="1119"/>
      <c r="C340" s="1119" t="s">
        <v>7240</v>
      </c>
      <c r="D340" s="1101"/>
      <c r="E340" s="1101"/>
      <c r="F340" s="1101"/>
      <c r="G340" s="1101"/>
      <c r="H340" s="1101"/>
      <c r="I340" s="1101"/>
      <c r="J340" s="1102"/>
      <c r="K340" s="1101"/>
      <c r="L340" s="1101"/>
      <c r="M340" s="1082"/>
      <c r="N340" s="1082"/>
      <c r="O340" s="1082"/>
      <c r="P340" s="1082"/>
      <c r="Q340" s="1082"/>
      <c r="R340" s="1082"/>
      <c r="S340" s="1082"/>
      <c r="T340" s="1082"/>
      <c r="U340" s="1082"/>
      <c r="V340" s="1082"/>
      <c r="W340" s="1082"/>
      <c r="X340" s="1082"/>
      <c r="Y340" s="1082"/>
      <c r="Z340" s="1082"/>
      <c r="AA340" s="1082"/>
      <c r="AB340" s="1082"/>
      <c r="AC340" s="1082"/>
      <c r="AD340" s="1082"/>
      <c r="AE340" s="1082"/>
      <c r="AF340" s="1082"/>
    </row>
    <row r="341">
      <c r="A341" s="1115"/>
      <c r="B341" s="1115"/>
      <c r="C341" s="1115" t="s">
        <v>2621</v>
      </c>
      <c r="D341" s="1105"/>
      <c r="E341" s="1105"/>
      <c r="F341" s="1105"/>
      <c r="G341" s="1105"/>
      <c r="H341" s="1105"/>
      <c r="I341" s="1105"/>
      <c r="J341" s="1104"/>
      <c r="K341" s="1093"/>
      <c r="L341" s="1105"/>
      <c r="M341" s="1082"/>
      <c r="N341" s="1082"/>
      <c r="O341" s="1082"/>
      <c r="P341" s="1082"/>
      <c r="Q341" s="1082"/>
      <c r="R341" s="1082"/>
      <c r="S341" s="1082"/>
      <c r="T341" s="1082"/>
      <c r="U341" s="1082"/>
      <c r="V341" s="1082"/>
      <c r="W341" s="1082"/>
      <c r="X341" s="1082"/>
      <c r="Y341" s="1082"/>
      <c r="Z341" s="1082"/>
      <c r="AA341" s="1082"/>
      <c r="AB341" s="1082"/>
      <c r="AC341" s="1082"/>
      <c r="AD341" s="1082"/>
      <c r="AE341" s="1082"/>
      <c r="AF341" s="1082"/>
    </row>
    <row r="342">
      <c r="A342" s="1100"/>
      <c r="B342" s="1100"/>
      <c r="C342" s="1100" t="s">
        <v>6323</v>
      </c>
      <c r="D342" s="1101"/>
      <c r="E342" s="1101"/>
      <c r="F342" s="1101"/>
      <c r="G342" s="1101"/>
      <c r="H342" s="1101"/>
      <c r="I342" s="1101"/>
      <c r="J342" s="1102"/>
      <c r="K342" s="1101"/>
      <c r="L342" s="1101"/>
      <c r="M342" s="1082"/>
      <c r="N342" s="1082"/>
      <c r="O342" s="1082"/>
      <c r="P342" s="1082"/>
      <c r="Q342" s="1082"/>
      <c r="R342" s="1082"/>
      <c r="S342" s="1082"/>
      <c r="T342" s="1082"/>
      <c r="U342" s="1082"/>
      <c r="V342" s="1082"/>
      <c r="W342" s="1082"/>
      <c r="X342" s="1082"/>
      <c r="Y342" s="1082"/>
      <c r="Z342" s="1082"/>
      <c r="AA342" s="1082"/>
      <c r="AB342" s="1082"/>
      <c r="AC342" s="1082"/>
      <c r="AD342" s="1082"/>
      <c r="AE342" s="1082"/>
      <c r="AF342" s="1082"/>
    </row>
    <row r="343">
      <c r="A343" s="1115"/>
      <c r="B343" s="1115"/>
      <c r="C343" s="1115" t="s">
        <v>7247</v>
      </c>
      <c r="D343" s="1105"/>
      <c r="E343" s="1105"/>
      <c r="F343" s="1105"/>
      <c r="G343" s="1105"/>
      <c r="H343" s="1105"/>
      <c r="I343" s="1105"/>
      <c r="J343" s="1104"/>
      <c r="K343" s="1105"/>
      <c r="L343" s="1105"/>
      <c r="M343" s="1082"/>
      <c r="N343" s="1082"/>
      <c r="O343" s="1082"/>
      <c r="P343" s="1082"/>
      <c r="Q343" s="1082"/>
      <c r="R343" s="1082"/>
      <c r="S343" s="1082"/>
      <c r="T343" s="1082"/>
      <c r="U343" s="1082"/>
      <c r="V343" s="1082"/>
      <c r="W343" s="1082"/>
      <c r="X343" s="1082"/>
      <c r="Y343" s="1082"/>
      <c r="Z343" s="1082"/>
      <c r="AA343" s="1082"/>
      <c r="AB343" s="1082"/>
      <c r="AC343" s="1082"/>
      <c r="AD343" s="1082"/>
      <c r="AE343" s="1082"/>
      <c r="AF343" s="1082"/>
    </row>
    <row r="344">
      <c r="A344" s="1100"/>
      <c r="B344" s="1100"/>
      <c r="C344" s="1100" t="s">
        <v>10286</v>
      </c>
      <c r="D344" s="1101"/>
      <c r="E344" s="1101"/>
      <c r="F344" s="1101"/>
      <c r="G344" s="1101"/>
      <c r="H344" s="1101"/>
      <c r="I344" s="1101"/>
      <c r="J344" s="1102"/>
      <c r="K344" s="1101"/>
      <c r="L344" s="1101"/>
      <c r="M344" s="1082"/>
      <c r="N344" s="1082"/>
      <c r="O344" s="1082"/>
      <c r="P344" s="1082"/>
      <c r="Q344" s="1082"/>
      <c r="R344" s="1082"/>
      <c r="S344" s="1082"/>
      <c r="T344" s="1082"/>
      <c r="U344" s="1082"/>
      <c r="V344" s="1082"/>
      <c r="W344" s="1082"/>
      <c r="X344" s="1082"/>
      <c r="Y344" s="1082"/>
      <c r="Z344" s="1082"/>
      <c r="AA344" s="1082"/>
      <c r="AB344" s="1082"/>
      <c r="AC344" s="1082"/>
      <c r="AD344" s="1082"/>
      <c r="AE344" s="1082"/>
      <c r="AF344" s="1082"/>
    </row>
    <row r="345">
      <c r="A345" s="1112"/>
      <c r="B345" s="1112"/>
      <c r="C345" s="1112" t="s">
        <v>10287</v>
      </c>
      <c r="D345" s="1105"/>
      <c r="E345" s="1105"/>
      <c r="F345" s="1105"/>
      <c r="G345" s="1105"/>
      <c r="H345" s="1105"/>
      <c r="I345" s="1105"/>
      <c r="J345" s="1104"/>
      <c r="K345" s="1105"/>
      <c r="L345" s="1105"/>
      <c r="M345" s="1082"/>
      <c r="N345" s="1082"/>
      <c r="O345" s="1082"/>
      <c r="P345" s="1082"/>
      <c r="Q345" s="1082"/>
      <c r="R345" s="1082"/>
      <c r="S345" s="1082"/>
      <c r="T345" s="1082"/>
      <c r="U345" s="1082"/>
      <c r="V345" s="1082"/>
      <c r="W345" s="1082"/>
      <c r="X345" s="1082"/>
      <c r="Y345" s="1082"/>
      <c r="Z345" s="1082"/>
      <c r="AA345" s="1082"/>
      <c r="AB345" s="1082"/>
      <c r="AC345" s="1082"/>
      <c r="AD345" s="1082"/>
      <c r="AE345" s="1082"/>
      <c r="AF345" s="1082"/>
    </row>
    <row r="346">
      <c r="A346" s="1100"/>
      <c r="B346" s="1100"/>
      <c r="C346" s="1100" t="s">
        <v>10288</v>
      </c>
      <c r="D346" s="1101"/>
      <c r="E346" s="1101"/>
      <c r="F346" s="1101"/>
      <c r="G346" s="1101"/>
      <c r="H346" s="1101"/>
      <c r="I346" s="1101"/>
      <c r="J346" s="1102"/>
      <c r="K346" s="1101"/>
      <c r="L346" s="1101"/>
      <c r="M346" s="1082"/>
      <c r="N346" s="1082"/>
      <c r="O346" s="1082"/>
      <c r="P346" s="1082"/>
      <c r="Q346" s="1082"/>
      <c r="R346" s="1082"/>
      <c r="S346" s="1082"/>
      <c r="T346" s="1082"/>
      <c r="U346" s="1082"/>
      <c r="V346" s="1082"/>
      <c r="W346" s="1082"/>
      <c r="X346" s="1082"/>
      <c r="Y346" s="1082"/>
      <c r="Z346" s="1082"/>
      <c r="AA346" s="1082"/>
      <c r="AB346" s="1082"/>
      <c r="AC346" s="1082"/>
      <c r="AD346" s="1082"/>
      <c r="AE346" s="1082"/>
      <c r="AF346" s="1082"/>
    </row>
    <row r="347">
      <c r="A347" s="1112"/>
      <c r="B347" s="1112"/>
      <c r="C347" s="1112" t="s">
        <v>10289</v>
      </c>
      <c r="D347" s="1105"/>
      <c r="E347" s="1105"/>
      <c r="F347" s="1105"/>
      <c r="G347" s="1105"/>
      <c r="H347" s="1105"/>
      <c r="I347" s="1105"/>
      <c r="J347" s="1104"/>
      <c r="K347" s="1105"/>
      <c r="L347" s="1105"/>
      <c r="M347" s="1082"/>
      <c r="N347" s="1082"/>
      <c r="O347" s="1082"/>
      <c r="P347" s="1082"/>
      <c r="Q347" s="1082"/>
      <c r="R347" s="1082"/>
      <c r="S347" s="1082"/>
      <c r="T347" s="1082"/>
      <c r="U347" s="1082"/>
      <c r="V347" s="1082"/>
      <c r="W347" s="1082"/>
      <c r="X347" s="1082"/>
      <c r="Y347" s="1082"/>
      <c r="Z347" s="1082"/>
      <c r="AA347" s="1082"/>
      <c r="AB347" s="1082"/>
      <c r="AC347" s="1082"/>
      <c r="AD347" s="1082"/>
      <c r="AE347" s="1082"/>
      <c r="AF347" s="1082"/>
    </row>
    <row r="348">
      <c r="A348" s="1100"/>
      <c r="B348" s="1100"/>
      <c r="C348" s="1100" t="s">
        <v>5518</v>
      </c>
      <c r="D348" s="1101"/>
      <c r="E348" s="1101"/>
      <c r="F348" s="1101"/>
      <c r="G348" s="1101"/>
      <c r="H348" s="1101"/>
      <c r="I348" s="1101"/>
      <c r="J348" s="1102"/>
      <c r="K348" s="1101"/>
      <c r="L348" s="1101"/>
      <c r="M348" s="1082"/>
      <c r="N348" s="1082"/>
      <c r="O348" s="1082"/>
      <c r="P348" s="1082"/>
      <c r="Q348" s="1082"/>
      <c r="R348" s="1082"/>
      <c r="S348" s="1082"/>
      <c r="T348" s="1082"/>
      <c r="U348" s="1082"/>
      <c r="V348" s="1082"/>
      <c r="W348" s="1082"/>
      <c r="X348" s="1082"/>
      <c r="Y348" s="1082"/>
      <c r="Z348" s="1082"/>
      <c r="AA348" s="1082"/>
      <c r="AB348" s="1082"/>
      <c r="AC348" s="1082"/>
      <c r="AD348" s="1082"/>
      <c r="AE348" s="1082"/>
      <c r="AF348" s="1082"/>
    </row>
    <row r="349">
      <c r="A349" s="1112"/>
      <c r="B349" s="1112"/>
      <c r="C349" s="1112" t="s">
        <v>2866</v>
      </c>
      <c r="D349" s="1105"/>
      <c r="E349" s="1105"/>
      <c r="F349" s="1105"/>
      <c r="G349" s="1105"/>
      <c r="H349" s="1105"/>
      <c r="I349" s="1105"/>
      <c r="J349" s="1104"/>
      <c r="K349" s="1105"/>
      <c r="L349" s="1105"/>
      <c r="M349" s="1082"/>
      <c r="N349" s="1082"/>
      <c r="O349" s="1082"/>
      <c r="P349" s="1082"/>
      <c r="Q349" s="1082"/>
      <c r="R349" s="1082"/>
      <c r="S349" s="1082"/>
      <c r="T349" s="1082"/>
      <c r="U349" s="1082"/>
      <c r="V349" s="1082"/>
      <c r="W349" s="1082"/>
      <c r="X349" s="1082"/>
      <c r="Y349" s="1082"/>
      <c r="Z349" s="1082"/>
      <c r="AA349" s="1082"/>
      <c r="AB349" s="1082"/>
      <c r="AC349" s="1082"/>
      <c r="AD349" s="1082"/>
      <c r="AE349" s="1082"/>
      <c r="AF349" s="1082"/>
    </row>
    <row r="350">
      <c r="A350" s="1119"/>
      <c r="B350" s="1119"/>
      <c r="C350" s="1119" t="s">
        <v>7251</v>
      </c>
      <c r="D350" s="1101"/>
      <c r="E350" s="1101"/>
      <c r="F350" s="1101"/>
      <c r="G350" s="1101"/>
      <c r="H350" s="1101"/>
      <c r="I350" s="1101"/>
      <c r="J350" s="1102"/>
      <c r="K350" s="1101"/>
      <c r="L350" s="1101"/>
      <c r="M350" s="1082"/>
      <c r="N350" s="1082"/>
      <c r="O350" s="1082"/>
      <c r="P350" s="1082"/>
      <c r="Q350" s="1082"/>
      <c r="R350" s="1082"/>
      <c r="S350" s="1082"/>
      <c r="T350" s="1082"/>
      <c r="U350" s="1082"/>
      <c r="V350" s="1082"/>
      <c r="W350" s="1082"/>
      <c r="X350" s="1082"/>
      <c r="Y350" s="1082"/>
      <c r="Z350" s="1082"/>
      <c r="AA350" s="1082"/>
      <c r="AB350" s="1082"/>
      <c r="AC350" s="1082"/>
      <c r="AD350" s="1082"/>
      <c r="AE350" s="1082"/>
      <c r="AF350" s="1082"/>
    </row>
    <row r="351">
      <c r="A351" s="1112"/>
      <c r="B351" s="1112"/>
      <c r="C351" s="1112" t="s">
        <v>10290</v>
      </c>
      <c r="D351" s="1105"/>
      <c r="E351" s="1105"/>
      <c r="F351" s="1105"/>
      <c r="G351" s="1105"/>
      <c r="H351" s="1105"/>
      <c r="I351" s="1105"/>
      <c r="J351" s="1104"/>
      <c r="K351" s="1121"/>
      <c r="L351" s="1105"/>
      <c r="M351" s="1082"/>
      <c r="N351" s="1082"/>
      <c r="O351" s="1082"/>
      <c r="P351" s="1082"/>
      <c r="Q351" s="1082"/>
      <c r="R351" s="1082"/>
      <c r="S351" s="1082"/>
      <c r="T351" s="1082"/>
      <c r="U351" s="1082"/>
      <c r="V351" s="1082"/>
      <c r="W351" s="1082"/>
      <c r="X351" s="1082"/>
      <c r="Y351" s="1082"/>
      <c r="Z351" s="1082"/>
      <c r="AA351" s="1082"/>
      <c r="AB351" s="1082"/>
      <c r="AC351" s="1082"/>
      <c r="AD351" s="1082"/>
      <c r="AE351" s="1082"/>
      <c r="AF351" s="1082"/>
    </row>
    <row r="352">
      <c r="A352" s="1100"/>
      <c r="B352" s="1100"/>
      <c r="C352" s="1100" t="s">
        <v>10291</v>
      </c>
      <c r="D352" s="1101"/>
      <c r="E352" s="1101"/>
      <c r="F352" s="1101"/>
      <c r="G352" s="1101"/>
      <c r="H352" s="1101"/>
      <c r="I352" s="1101"/>
      <c r="J352" s="1102"/>
      <c r="K352" s="1101"/>
      <c r="L352" s="1101"/>
      <c r="M352" s="1082"/>
      <c r="N352" s="1082"/>
      <c r="O352" s="1082"/>
      <c r="P352" s="1082"/>
      <c r="Q352" s="1082"/>
      <c r="R352" s="1082"/>
      <c r="S352" s="1082"/>
      <c r="T352" s="1082"/>
      <c r="U352" s="1082"/>
      <c r="V352" s="1082"/>
      <c r="W352" s="1082"/>
      <c r="X352" s="1082"/>
      <c r="Y352" s="1082"/>
      <c r="Z352" s="1082"/>
      <c r="AA352" s="1082"/>
      <c r="AB352" s="1082"/>
      <c r="AC352" s="1082"/>
      <c r="AD352" s="1082"/>
      <c r="AE352" s="1082"/>
      <c r="AF352" s="1082"/>
    </row>
    <row r="353">
      <c r="A353" s="1112"/>
      <c r="B353" s="1112"/>
      <c r="C353" s="1112" t="s">
        <v>4503</v>
      </c>
      <c r="D353" s="1105"/>
      <c r="E353" s="1105"/>
      <c r="F353" s="1105"/>
      <c r="G353" s="1105"/>
      <c r="H353" s="1105"/>
      <c r="I353" s="1105"/>
      <c r="J353" s="1104"/>
      <c r="K353" s="1105"/>
      <c r="L353" s="1105"/>
      <c r="M353" s="1082"/>
      <c r="N353" s="1082"/>
      <c r="O353" s="1082"/>
      <c r="P353" s="1082"/>
      <c r="Q353" s="1082"/>
      <c r="R353" s="1082"/>
      <c r="S353" s="1082"/>
      <c r="T353" s="1082"/>
      <c r="U353" s="1082"/>
      <c r="V353" s="1082"/>
      <c r="W353" s="1082"/>
      <c r="X353" s="1082"/>
      <c r="Y353" s="1082"/>
      <c r="Z353" s="1082"/>
      <c r="AA353" s="1082"/>
      <c r="AB353" s="1082"/>
      <c r="AC353" s="1082"/>
      <c r="AD353" s="1082"/>
      <c r="AE353" s="1082"/>
      <c r="AF353" s="1082"/>
    </row>
    <row r="354">
      <c r="A354" s="1119"/>
      <c r="B354" s="1119"/>
      <c r="C354" s="1119" t="s">
        <v>2156</v>
      </c>
      <c r="D354" s="1101"/>
      <c r="E354" s="1101"/>
      <c r="F354" s="1101"/>
      <c r="G354" s="1101"/>
      <c r="H354" s="1101"/>
      <c r="I354" s="1101"/>
      <c r="J354" s="1102"/>
      <c r="K354" s="1101"/>
      <c r="L354" s="1101"/>
      <c r="M354" s="1082"/>
      <c r="N354" s="1082"/>
      <c r="O354" s="1082"/>
      <c r="P354" s="1082"/>
      <c r="Q354" s="1082"/>
      <c r="R354" s="1082"/>
      <c r="S354" s="1082"/>
      <c r="T354" s="1082"/>
      <c r="U354" s="1082"/>
      <c r="V354" s="1082"/>
      <c r="W354" s="1082"/>
      <c r="X354" s="1082"/>
      <c r="Y354" s="1082"/>
      <c r="Z354" s="1082"/>
      <c r="AA354" s="1082"/>
      <c r="AB354" s="1082"/>
      <c r="AC354" s="1082"/>
      <c r="AD354" s="1082"/>
      <c r="AE354" s="1082"/>
      <c r="AF354" s="1082"/>
    </row>
    <row r="355">
      <c r="A355" s="1115"/>
      <c r="B355" s="1115"/>
      <c r="C355" s="1115" t="s">
        <v>1683</v>
      </c>
      <c r="D355" s="1113"/>
      <c r="E355" s="1113"/>
      <c r="F355" s="1105"/>
      <c r="G355" s="1105"/>
      <c r="H355" s="1105"/>
      <c r="I355" s="1105"/>
      <c r="J355" s="1104"/>
      <c r="K355" s="1105"/>
      <c r="L355" s="1105"/>
      <c r="M355" s="1082"/>
      <c r="N355" s="1082"/>
      <c r="O355" s="1082"/>
      <c r="P355" s="1082"/>
      <c r="Q355" s="1082"/>
      <c r="R355" s="1082"/>
      <c r="S355" s="1082"/>
      <c r="T355" s="1082"/>
      <c r="U355" s="1082"/>
      <c r="V355" s="1082"/>
      <c r="W355" s="1082"/>
      <c r="X355" s="1082"/>
      <c r="Y355" s="1082"/>
      <c r="Z355" s="1082"/>
      <c r="AA355" s="1082"/>
      <c r="AB355" s="1082"/>
      <c r="AC355" s="1082"/>
      <c r="AD355" s="1082"/>
      <c r="AE355" s="1082"/>
      <c r="AF355" s="1082"/>
    </row>
    <row r="356">
      <c r="A356" s="1119"/>
      <c r="B356" s="1119"/>
      <c r="C356" s="1119" t="s">
        <v>7257</v>
      </c>
      <c r="D356" s="1101"/>
      <c r="E356" s="1101"/>
      <c r="F356" s="1101"/>
      <c r="G356" s="1101"/>
      <c r="H356" s="1101"/>
      <c r="I356" s="1101"/>
      <c r="J356" s="1102"/>
      <c r="K356" s="1101"/>
      <c r="L356" s="1101"/>
      <c r="M356" s="1082"/>
      <c r="N356" s="1082"/>
      <c r="O356" s="1082"/>
      <c r="P356" s="1082"/>
      <c r="Q356" s="1082"/>
      <c r="R356" s="1082"/>
      <c r="S356" s="1082"/>
      <c r="T356" s="1082"/>
      <c r="U356" s="1082"/>
      <c r="V356" s="1082"/>
      <c r="W356" s="1082"/>
      <c r="X356" s="1082"/>
      <c r="Y356" s="1082"/>
      <c r="Z356" s="1082"/>
      <c r="AA356" s="1082"/>
      <c r="AB356" s="1082"/>
      <c r="AC356" s="1082"/>
      <c r="AD356" s="1082"/>
      <c r="AE356" s="1082"/>
      <c r="AF356" s="1082"/>
    </row>
    <row r="357">
      <c r="A357" s="1115"/>
      <c r="B357" s="1115"/>
      <c r="C357" s="1115" t="s">
        <v>7259</v>
      </c>
      <c r="D357" s="1105"/>
      <c r="E357" s="1105"/>
      <c r="F357" s="1105"/>
      <c r="G357" s="1105"/>
      <c r="H357" s="1105"/>
      <c r="I357" s="1105"/>
      <c r="J357" s="1104"/>
      <c r="K357" s="1105"/>
      <c r="L357" s="1105"/>
      <c r="M357" s="1082"/>
      <c r="N357" s="1082"/>
      <c r="O357" s="1082"/>
      <c r="P357" s="1082"/>
      <c r="Q357" s="1082"/>
      <c r="R357" s="1082"/>
      <c r="S357" s="1082"/>
      <c r="T357" s="1082"/>
      <c r="U357" s="1082"/>
      <c r="V357" s="1082"/>
      <c r="W357" s="1082"/>
      <c r="X357" s="1082"/>
      <c r="Y357" s="1082"/>
      <c r="Z357" s="1082"/>
      <c r="AA357" s="1082"/>
      <c r="AB357" s="1082"/>
      <c r="AC357" s="1082"/>
      <c r="AD357" s="1082"/>
      <c r="AE357" s="1082"/>
      <c r="AF357" s="1082"/>
    </row>
    <row r="358">
      <c r="A358" s="1116"/>
      <c r="B358" s="1116"/>
      <c r="C358" s="1116" t="s">
        <v>10292</v>
      </c>
      <c r="D358" s="1101"/>
      <c r="E358" s="1101"/>
      <c r="F358" s="1101"/>
      <c r="G358" s="1101"/>
      <c r="H358" s="1101"/>
      <c r="I358" s="1101"/>
      <c r="J358" s="1102"/>
      <c r="K358" s="1101"/>
      <c r="L358" s="1101"/>
      <c r="M358" s="1082"/>
      <c r="N358" s="1082"/>
      <c r="O358" s="1082"/>
      <c r="P358" s="1082"/>
      <c r="Q358" s="1082"/>
      <c r="R358" s="1082"/>
      <c r="S358" s="1082"/>
      <c r="T358" s="1082"/>
      <c r="U358" s="1082"/>
      <c r="V358" s="1082"/>
      <c r="W358" s="1082"/>
      <c r="X358" s="1082"/>
      <c r="Y358" s="1082"/>
      <c r="Z358" s="1082"/>
      <c r="AA358" s="1082"/>
      <c r="AB358" s="1082"/>
      <c r="AC358" s="1082"/>
      <c r="AD358" s="1082"/>
      <c r="AE358" s="1082"/>
      <c r="AF358" s="1082"/>
    </row>
    <row r="359">
      <c r="A359" s="1115"/>
      <c r="B359" s="1115"/>
      <c r="C359" s="1115" t="s">
        <v>7263</v>
      </c>
      <c r="D359" s="1105"/>
      <c r="E359" s="1105"/>
      <c r="F359" s="1105"/>
      <c r="G359" s="1105"/>
      <c r="H359" s="1105"/>
      <c r="I359" s="1105"/>
      <c r="J359" s="1104"/>
      <c r="K359" s="1105"/>
      <c r="L359" s="1105"/>
      <c r="M359" s="1082"/>
      <c r="N359" s="1082"/>
      <c r="O359" s="1082"/>
      <c r="P359" s="1082"/>
      <c r="Q359" s="1082"/>
      <c r="R359" s="1082"/>
      <c r="S359" s="1082"/>
      <c r="T359" s="1082"/>
      <c r="U359" s="1082"/>
      <c r="V359" s="1082"/>
      <c r="W359" s="1082"/>
      <c r="X359" s="1082"/>
      <c r="Y359" s="1082"/>
      <c r="Z359" s="1082"/>
      <c r="AA359" s="1082"/>
      <c r="AB359" s="1082"/>
      <c r="AC359" s="1082"/>
      <c r="AD359" s="1082"/>
      <c r="AE359" s="1082"/>
      <c r="AF359" s="1082"/>
    </row>
    <row r="360">
      <c r="A360" s="1100"/>
      <c r="B360" s="1100"/>
      <c r="C360" s="1100" t="s">
        <v>275</v>
      </c>
      <c r="D360" s="1114"/>
      <c r="E360" s="1114"/>
      <c r="F360" s="1101"/>
      <c r="G360" s="1101"/>
      <c r="H360" s="1101"/>
      <c r="I360" s="1101"/>
      <c r="J360" s="1102"/>
      <c r="K360" s="1101"/>
      <c r="L360" s="1101"/>
      <c r="M360" s="1082"/>
      <c r="N360" s="1082"/>
      <c r="O360" s="1082"/>
      <c r="P360" s="1082"/>
      <c r="Q360" s="1082"/>
      <c r="R360" s="1082"/>
      <c r="S360" s="1082"/>
      <c r="T360" s="1082"/>
      <c r="U360" s="1082"/>
      <c r="V360" s="1082"/>
      <c r="W360" s="1082"/>
      <c r="X360" s="1082"/>
      <c r="Y360" s="1082"/>
      <c r="Z360" s="1082"/>
      <c r="AA360" s="1082"/>
      <c r="AB360" s="1082"/>
      <c r="AC360" s="1082"/>
      <c r="AD360" s="1082"/>
      <c r="AE360" s="1082"/>
      <c r="AF360" s="1082"/>
    </row>
    <row r="361">
      <c r="A361" s="1112"/>
      <c r="B361" s="1112"/>
      <c r="C361" s="1112" t="s">
        <v>2486</v>
      </c>
      <c r="D361" s="1105"/>
      <c r="E361" s="1105"/>
      <c r="F361" s="1105"/>
      <c r="G361" s="1105"/>
      <c r="H361" s="1105"/>
      <c r="I361" s="1105"/>
      <c r="J361" s="1104"/>
      <c r="K361" s="1093"/>
      <c r="L361" s="1105"/>
      <c r="M361" s="1082"/>
      <c r="N361" s="1082"/>
      <c r="O361" s="1082"/>
      <c r="P361" s="1082"/>
      <c r="Q361" s="1082"/>
      <c r="R361" s="1082"/>
      <c r="S361" s="1082"/>
      <c r="T361" s="1082"/>
      <c r="U361" s="1082"/>
      <c r="V361" s="1082"/>
      <c r="W361" s="1082"/>
      <c r="X361" s="1082"/>
      <c r="Y361" s="1082"/>
      <c r="Z361" s="1082"/>
      <c r="AA361" s="1082"/>
      <c r="AB361" s="1082"/>
      <c r="AC361" s="1082"/>
      <c r="AD361" s="1082"/>
      <c r="AE361" s="1082"/>
      <c r="AF361" s="1082"/>
    </row>
    <row r="362">
      <c r="A362" s="1119"/>
      <c r="B362" s="1119"/>
      <c r="C362" s="1119" t="s">
        <v>7265</v>
      </c>
      <c r="D362" s="1101"/>
      <c r="E362" s="1101"/>
      <c r="F362" s="1101"/>
      <c r="G362" s="1101"/>
      <c r="H362" s="1101"/>
      <c r="I362" s="1101"/>
      <c r="J362" s="1102"/>
      <c r="K362" s="1101"/>
      <c r="L362" s="1101"/>
      <c r="M362" s="1082"/>
      <c r="N362" s="1082"/>
      <c r="O362" s="1082"/>
      <c r="P362" s="1082"/>
      <c r="Q362" s="1082"/>
      <c r="R362" s="1082"/>
      <c r="S362" s="1082"/>
      <c r="T362" s="1082"/>
      <c r="U362" s="1082"/>
      <c r="V362" s="1082"/>
      <c r="W362" s="1082"/>
      <c r="X362" s="1082"/>
      <c r="Y362" s="1082"/>
      <c r="Z362" s="1082"/>
      <c r="AA362" s="1082"/>
      <c r="AB362" s="1082"/>
      <c r="AC362" s="1082"/>
      <c r="AD362" s="1082"/>
      <c r="AE362" s="1082"/>
      <c r="AF362" s="1082"/>
    </row>
    <row r="363">
      <c r="A363" s="1112"/>
      <c r="B363" s="1112"/>
      <c r="C363" s="1112" t="s">
        <v>10293</v>
      </c>
      <c r="D363" s="1113"/>
      <c r="E363" s="1113"/>
      <c r="F363" s="1105"/>
      <c r="G363" s="1105"/>
      <c r="H363" s="1105"/>
      <c r="I363" s="1105"/>
      <c r="J363" s="1104"/>
      <c r="K363" s="1105"/>
      <c r="L363" s="1105"/>
      <c r="M363" s="1082"/>
      <c r="N363" s="1082"/>
      <c r="O363" s="1082"/>
      <c r="P363" s="1082"/>
      <c r="Q363" s="1082"/>
      <c r="R363" s="1082"/>
      <c r="S363" s="1082"/>
      <c r="T363" s="1082"/>
      <c r="U363" s="1082"/>
      <c r="V363" s="1082"/>
      <c r="W363" s="1082"/>
      <c r="X363" s="1082"/>
      <c r="Y363" s="1082"/>
      <c r="Z363" s="1082"/>
      <c r="AA363" s="1082"/>
      <c r="AB363" s="1082"/>
      <c r="AC363" s="1082"/>
      <c r="AD363" s="1082"/>
      <c r="AE363" s="1082"/>
      <c r="AF363" s="1082"/>
    </row>
    <row r="364">
      <c r="A364" s="1118"/>
      <c r="B364" s="1118"/>
      <c r="C364" s="1118" t="s">
        <v>7267</v>
      </c>
      <c r="D364" s="1114"/>
      <c r="E364" s="1114"/>
      <c r="F364" s="1101"/>
      <c r="G364" s="1101"/>
      <c r="H364" s="1101"/>
      <c r="I364" s="1101"/>
      <c r="J364" s="1102"/>
      <c r="K364" s="1101"/>
      <c r="L364" s="1101"/>
      <c r="M364" s="1082"/>
      <c r="N364" s="1082"/>
      <c r="O364" s="1082"/>
      <c r="P364" s="1082"/>
      <c r="Q364" s="1082"/>
      <c r="R364" s="1082"/>
      <c r="S364" s="1082"/>
      <c r="T364" s="1082"/>
      <c r="U364" s="1082"/>
      <c r="V364" s="1082"/>
      <c r="W364" s="1082"/>
      <c r="X364" s="1082"/>
      <c r="Y364" s="1082"/>
      <c r="Z364" s="1082"/>
      <c r="AA364" s="1082"/>
      <c r="AB364" s="1082"/>
      <c r="AC364" s="1082"/>
      <c r="AD364" s="1082"/>
      <c r="AE364" s="1082"/>
      <c r="AF364" s="1082"/>
    </row>
    <row r="365">
      <c r="A365" s="1120"/>
      <c r="B365" s="1120"/>
      <c r="C365" s="1120" t="s">
        <v>7269</v>
      </c>
      <c r="D365" s="1105"/>
      <c r="E365" s="1105"/>
      <c r="F365" s="1105"/>
      <c r="G365" s="1105"/>
      <c r="H365" s="1105"/>
      <c r="I365" s="1105"/>
      <c r="J365" s="1104"/>
      <c r="K365" s="1105"/>
      <c r="L365" s="1105"/>
      <c r="M365" s="1082"/>
      <c r="N365" s="1082"/>
      <c r="O365" s="1082"/>
      <c r="P365" s="1082"/>
      <c r="Q365" s="1082"/>
      <c r="R365" s="1082"/>
      <c r="S365" s="1082"/>
      <c r="T365" s="1082"/>
      <c r="U365" s="1082"/>
      <c r="V365" s="1082"/>
      <c r="W365" s="1082"/>
      <c r="X365" s="1082"/>
      <c r="Y365" s="1082"/>
      <c r="Z365" s="1082"/>
      <c r="AA365" s="1082"/>
      <c r="AB365" s="1082"/>
      <c r="AC365" s="1082"/>
      <c r="AD365" s="1082"/>
      <c r="AE365" s="1082"/>
      <c r="AF365" s="1082"/>
    </row>
    <row r="366">
      <c r="A366" s="1118"/>
      <c r="B366" s="1118"/>
      <c r="C366" s="1118" t="s">
        <v>7271</v>
      </c>
      <c r="D366" s="1101"/>
      <c r="E366" s="1101"/>
      <c r="F366" s="1101"/>
      <c r="G366" s="1101"/>
      <c r="H366" s="1101"/>
      <c r="I366" s="1101"/>
      <c r="J366" s="1102"/>
      <c r="K366" s="1101"/>
      <c r="L366" s="1101"/>
      <c r="M366" s="1082"/>
      <c r="N366" s="1082"/>
      <c r="O366" s="1082"/>
      <c r="P366" s="1082"/>
      <c r="Q366" s="1082"/>
      <c r="R366" s="1082"/>
      <c r="S366" s="1082"/>
      <c r="T366" s="1082"/>
      <c r="U366" s="1082"/>
      <c r="V366" s="1082"/>
      <c r="W366" s="1082"/>
      <c r="X366" s="1082"/>
      <c r="Y366" s="1082"/>
      <c r="Z366" s="1082"/>
      <c r="AA366" s="1082"/>
      <c r="AB366" s="1082"/>
      <c r="AC366" s="1082"/>
      <c r="AD366" s="1082"/>
      <c r="AE366" s="1082"/>
      <c r="AF366" s="1082"/>
    </row>
    <row r="367">
      <c r="A367" s="1117"/>
      <c r="B367" s="1117"/>
      <c r="C367" s="1117" t="s">
        <v>10294</v>
      </c>
      <c r="D367" s="1105"/>
      <c r="E367" s="1105"/>
      <c r="F367" s="1105"/>
      <c r="G367" s="1105"/>
      <c r="H367" s="1105"/>
      <c r="I367" s="1105"/>
      <c r="J367" s="1104"/>
      <c r="K367" s="1105"/>
      <c r="L367" s="1105"/>
      <c r="M367" s="1082"/>
      <c r="N367" s="1082"/>
      <c r="O367" s="1082"/>
      <c r="P367" s="1082"/>
      <c r="Q367" s="1082"/>
      <c r="R367" s="1082"/>
      <c r="S367" s="1082"/>
      <c r="T367" s="1082"/>
      <c r="U367" s="1082"/>
      <c r="V367" s="1082"/>
      <c r="W367" s="1082"/>
      <c r="X367" s="1082"/>
      <c r="Y367" s="1082"/>
      <c r="Z367" s="1082"/>
      <c r="AA367" s="1082"/>
      <c r="AB367" s="1082"/>
      <c r="AC367" s="1082"/>
      <c r="AD367" s="1082"/>
      <c r="AE367" s="1082"/>
      <c r="AF367" s="1082"/>
    </row>
    <row r="368">
      <c r="A368" s="1116"/>
      <c r="B368" s="1116"/>
      <c r="C368" s="1116" t="s">
        <v>1190</v>
      </c>
      <c r="D368" s="1101"/>
      <c r="E368" s="1101"/>
      <c r="F368" s="1101"/>
      <c r="G368" s="1101"/>
      <c r="H368" s="1101"/>
      <c r="I368" s="1101"/>
      <c r="J368" s="1102"/>
      <c r="K368" s="1101"/>
      <c r="L368" s="1101"/>
      <c r="M368" s="1082"/>
      <c r="N368" s="1082"/>
      <c r="O368" s="1082"/>
      <c r="P368" s="1082"/>
      <c r="Q368" s="1082"/>
      <c r="R368" s="1082"/>
      <c r="S368" s="1082"/>
      <c r="T368" s="1082"/>
      <c r="U368" s="1082"/>
      <c r="V368" s="1082"/>
      <c r="W368" s="1082"/>
      <c r="X368" s="1082"/>
      <c r="Y368" s="1082"/>
      <c r="Z368" s="1082"/>
      <c r="AA368" s="1082"/>
      <c r="AB368" s="1082"/>
      <c r="AC368" s="1082"/>
      <c r="AD368" s="1082"/>
      <c r="AE368" s="1082"/>
      <c r="AF368" s="1082"/>
    </row>
    <row r="369">
      <c r="A369" s="1112"/>
      <c r="B369" s="1112"/>
      <c r="C369" s="1112" t="s">
        <v>10295</v>
      </c>
      <c r="D369" s="1105"/>
      <c r="E369" s="1105"/>
      <c r="F369" s="1105"/>
      <c r="G369" s="1105"/>
      <c r="H369" s="1105"/>
      <c r="I369" s="1105"/>
      <c r="J369" s="1104"/>
      <c r="K369" s="1105"/>
      <c r="L369" s="1105"/>
      <c r="M369" s="1082"/>
      <c r="N369" s="1082"/>
      <c r="O369" s="1082"/>
      <c r="P369" s="1082"/>
      <c r="Q369" s="1082"/>
      <c r="R369" s="1082"/>
      <c r="S369" s="1082"/>
      <c r="T369" s="1082"/>
      <c r="U369" s="1082"/>
      <c r="V369" s="1082"/>
      <c r="W369" s="1082"/>
      <c r="X369" s="1082"/>
      <c r="Y369" s="1082"/>
      <c r="Z369" s="1082"/>
      <c r="AA369" s="1082"/>
      <c r="AB369" s="1082"/>
      <c r="AC369" s="1082"/>
      <c r="AD369" s="1082"/>
      <c r="AE369" s="1082"/>
      <c r="AF369" s="1082"/>
    </row>
    <row r="370">
      <c r="A370" s="1119"/>
      <c r="B370" s="1119"/>
      <c r="C370" s="1119" t="s">
        <v>7273</v>
      </c>
      <c r="D370" s="1101"/>
      <c r="E370" s="1101"/>
      <c r="F370" s="1101"/>
      <c r="G370" s="1101"/>
      <c r="H370" s="1101"/>
      <c r="I370" s="1101"/>
      <c r="J370" s="1102"/>
      <c r="K370" s="1101"/>
      <c r="L370" s="1101"/>
      <c r="M370" s="1082"/>
      <c r="N370" s="1082"/>
      <c r="O370" s="1082"/>
      <c r="P370" s="1082"/>
      <c r="Q370" s="1082"/>
      <c r="R370" s="1082"/>
      <c r="S370" s="1082"/>
      <c r="T370" s="1082"/>
      <c r="U370" s="1082"/>
      <c r="V370" s="1082"/>
      <c r="W370" s="1082"/>
      <c r="X370" s="1082"/>
      <c r="Y370" s="1082"/>
      <c r="Z370" s="1082"/>
      <c r="AA370" s="1082"/>
      <c r="AB370" s="1082"/>
      <c r="AC370" s="1082"/>
      <c r="AD370" s="1082"/>
      <c r="AE370" s="1082"/>
      <c r="AF370" s="1082"/>
    </row>
    <row r="371">
      <c r="A371" s="1112"/>
      <c r="B371" s="1112"/>
      <c r="C371" s="1112" t="s">
        <v>10296</v>
      </c>
      <c r="D371" s="1105"/>
      <c r="E371" s="1105"/>
      <c r="F371" s="1105"/>
      <c r="G371" s="1105"/>
      <c r="H371" s="1105"/>
      <c r="I371" s="1105"/>
      <c r="J371" s="1104"/>
      <c r="K371" s="1105"/>
      <c r="L371" s="1105"/>
      <c r="M371" s="1082"/>
      <c r="N371" s="1082"/>
      <c r="O371" s="1082"/>
      <c r="P371" s="1082"/>
      <c r="Q371" s="1082"/>
      <c r="R371" s="1082"/>
      <c r="S371" s="1082"/>
      <c r="T371" s="1082"/>
      <c r="U371" s="1082"/>
      <c r="V371" s="1082"/>
      <c r="W371" s="1082"/>
      <c r="X371" s="1082"/>
      <c r="Y371" s="1082"/>
      <c r="Z371" s="1082"/>
      <c r="AA371" s="1082"/>
      <c r="AB371" s="1082"/>
      <c r="AC371" s="1082"/>
      <c r="AD371" s="1082"/>
      <c r="AE371" s="1082"/>
      <c r="AF371" s="1082"/>
    </row>
    <row r="372">
      <c r="A372" s="1116"/>
      <c r="B372" s="1116"/>
      <c r="C372" s="1116" t="s">
        <v>10297</v>
      </c>
      <c r="D372" s="1101"/>
      <c r="E372" s="1101"/>
      <c r="F372" s="1101"/>
      <c r="G372" s="1101"/>
      <c r="H372" s="1101"/>
      <c r="I372" s="1101"/>
      <c r="J372" s="1102"/>
      <c r="K372" s="1101"/>
      <c r="L372" s="1101"/>
      <c r="M372" s="1082"/>
      <c r="N372" s="1082"/>
      <c r="O372" s="1082"/>
      <c r="P372" s="1082"/>
      <c r="Q372" s="1082"/>
      <c r="R372" s="1082"/>
      <c r="S372" s="1082"/>
      <c r="T372" s="1082"/>
      <c r="U372" s="1082"/>
      <c r="V372" s="1082"/>
      <c r="W372" s="1082"/>
      <c r="X372" s="1082"/>
      <c r="Y372" s="1082"/>
      <c r="Z372" s="1082"/>
      <c r="AA372" s="1082"/>
      <c r="AB372" s="1082"/>
      <c r="AC372" s="1082"/>
      <c r="AD372" s="1082"/>
      <c r="AE372" s="1082"/>
      <c r="AF372" s="1082"/>
    </row>
    <row r="373">
      <c r="A373" s="1117"/>
      <c r="B373" s="1117"/>
      <c r="C373" s="1117" t="s">
        <v>7275</v>
      </c>
      <c r="D373" s="1105"/>
      <c r="E373" s="1105"/>
      <c r="F373" s="1105"/>
      <c r="G373" s="1105"/>
      <c r="H373" s="1105"/>
      <c r="I373" s="1105"/>
      <c r="J373" s="1104"/>
      <c r="K373" s="1105"/>
      <c r="L373" s="1105"/>
      <c r="M373" s="1082"/>
      <c r="N373" s="1082"/>
      <c r="O373" s="1082"/>
      <c r="P373" s="1082"/>
      <c r="Q373" s="1082"/>
      <c r="R373" s="1082"/>
      <c r="S373" s="1082"/>
      <c r="T373" s="1082"/>
      <c r="U373" s="1082"/>
      <c r="V373" s="1082"/>
      <c r="W373" s="1082"/>
      <c r="X373" s="1082"/>
      <c r="Y373" s="1082"/>
      <c r="Z373" s="1082"/>
      <c r="AA373" s="1082"/>
      <c r="AB373" s="1082"/>
      <c r="AC373" s="1082"/>
      <c r="AD373" s="1082"/>
      <c r="AE373" s="1082"/>
      <c r="AF373" s="1082"/>
    </row>
    <row r="374">
      <c r="A374" s="1116"/>
      <c r="B374" s="1116"/>
      <c r="C374" s="1116" t="s">
        <v>10298</v>
      </c>
      <c r="D374" s="1101"/>
      <c r="E374" s="1101"/>
      <c r="F374" s="1101"/>
      <c r="G374" s="1101"/>
      <c r="H374" s="1101"/>
      <c r="I374" s="1101"/>
      <c r="J374" s="1102"/>
      <c r="K374" s="1101"/>
      <c r="L374" s="1101"/>
      <c r="M374" s="1082"/>
      <c r="N374" s="1082"/>
      <c r="O374" s="1082"/>
      <c r="P374" s="1082"/>
      <c r="Q374" s="1082"/>
      <c r="R374" s="1082"/>
      <c r="S374" s="1082"/>
      <c r="T374" s="1082"/>
      <c r="U374" s="1082"/>
      <c r="V374" s="1082"/>
      <c r="W374" s="1082"/>
      <c r="X374" s="1082"/>
      <c r="Y374" s="1082"/>
      <c r="Z374" s="1082"/>
      <c r="AA374" s="1082"/>
      <c r="AB374" s="1082"/>
      <c r="AC374" s="1082"/>
      <c r="AD374" s="1082"/>
      <c r="AE374" s="1082"/>
      <c r="AF374" s="1082"/>
    </row>
    <row r="375">
      <c r="A375" s="1117"/>
      <c r="B375" s="1117"/>
      <c r="C375" s="1117" t="s">
        <v>10299</v>
      </c>
      <c r="D375" s="1105"/>
      <c r="E375" s="1105"/>
      <c r="F375" s="1105"/>
      <c r="G375" s="1105"/>
      <c r="H375" s="1105"/>
      <c r="I375" s="1105"/>
      <c r="J375" s="1104"/>
      <c r="K375" s="1105"/>
      <c r="L375" s="1105"/>
      <c r="M375" s="1082"/>
      <c r="N375" s="1082"/>
      <c r="O375" s="1082"/>
      <c r="P375" s="1082"/>
      <c r="Q375" s="1082"/>
      <c r="R375" s="1082"/>
      <c r="S375" s="1082"/>
      <c r="T375" s="1082"/>
      <c r="U375" s="1082"/>
      <c r="V375" s="1082"/>
      <c r="W375" s="1082"/>
      <c r="X375" s="1082"/>
      <c r="Y375" s="1082"/>
      <c r="Z375" s="1082"/>
      <c r="AA375" s="1082"/>
      <c r="AB375" s="1082"/>
      <c r="AC375" s="1082"/>
      <c r="AD375" s="1082"/>
      <c r="AE375" s="1082"/>
      <c r="AF375" s="1082"/>
    </row>
    <row r="376">
      <c r="A376" s="1116"/>
      <c r="B376" s="1116"/>
      <c r="C376" s="1116" t="s">
        <v>10300</v>
      </c>
      <c r="D376" s="1101"/>
      <c r="E376" s="1101"/>
      <c r="F376" s="1101"/>
      <c r="G376" s="1101"/>
      <c r="H376" s="1101"/>
      <c r="I376" s="1101"/>
      <c r="J376" s="1102"/>
      <c r="K376" s="1101"/>
      <c r="L376" s="1101"/>
      <c r="M376" s="1082"/>
      <c r="N376" s="1082"/>
      <c r="O376" s="1082"/>
      <c r="P376" s="1082"/>
      <c r="Q376" s="1082"/>
      <c r="R376" s="1082"/>
      <c r="S376" s="1082"/>
      <c r="T376" s="1082"/>
      <c r="U376" s="1082"/>
      <c r="V376" s="1082"/>
      <c r="W376" s="1082"/>
      <c r="X376" s="1082"/>
      <c r="Y376" s="1082"/>
      <c r="Z376" s="1082"/>
      <c r="AA376" s="1082"/>
      <c r="AB376" s="1082"/>
      <c r="AC376" s="1082"/>
      <c r="AD376" s="1082"/>
      <c r="AE376" s="1082"/>
      <c r="AF376" s="1082"/>
    </row>
    <row r="377">
      <c r="A377" s="1117"/>
      <c r="B377" s="1117"/>
      <c r="C377" s="1117" t="s">
        <v>10301</v>
      </c>
      <c r="D377" s="1105"/>
      <c r="E377" s="1105"/>
      <c r="F377" s="1105"/>
      <c r="G377" s="1105"/>
      <c r="H377" s="1105"/>
      <c r="I377" s="1105"/>
      <c r="J377" s="1104"/>
      <c r="K377" s="1105"/>
      <c r="L377" s="1105"/>
      <c r="M377" s="1082"/>
      <c r="N377" s="1082"/>
      <c r="O377" s="1082"/>
      <c r="P377" s="1082"/>
      <c r="Q377" s="1082"/>
      <c r="R377" s="1082"/>
      <c r="S377" s="1082"/>
      <c r="T377" s="1082"/>
      <c r="U377" s="1082"/>
      <c r="V377" s="1082"/>
      <c r="W377" s="1082"/>
      <c r="X377" s="1082"/>
      <c r="Y377" s="1082"/>
      <c r="Z377" s="1082"/>
      <c r="AA377" s="1082"/>
      <c r="AB377" s="1082"/>
      <c r="AC377" s="1082"/>
      <c r="AD377" s="1082"/>
      <c r="AE377" s="1082"/>
      <c r="AF377" s="1082"/>
    </row>
    <row r="378">
      <c r="A378" s="1116"/>
      <c r="B378" s="1116"/>
      <c r="C378" s="1116" t="s">
        <v>10302</v>
      </c>
      <c r="D378" s="1101"/>
      <c r="E378" s="1101"/>
      <c r="F378" s="1101"/>
      <c r="G378" s="1101"/>
      <c r="H378" s="1101"/>
      <c r="I378" s="1101"/>
      <c r="J378" s="1102"/>
      <c r="K378" s="1101"/>
      <c r="L378" s="1101"/>
      <c r="M378" s="1082"/>
      <c r="N378" s="1082"/>
      <c r="O378" s="1082"/>
      <c r="P378" s="1082"/>
      <c r="Q378" s="1082"/>
      <c r="R378" s="1082"/>
      <c r="S378" s="1082"/>
      <c r="T378" s="1082"/>
      <c r="U378" s="1082"/>
      <c r="V378" s="1082"/>
      <c r="W378" s="1082"/>
      <c r="X378" s="1082"/>
      <c r="Y378" s="1082"/>
      <c r="Z378" s="1082"/>
      <c r="AA378" s="1082"/>
      <c r="AB378" s="1082"/>
      <c r="AC378" s="1082"/>
      <c r="AD378" s="1082"/>
      <c r="AE378" s="1082"/>
      <c r="AF378" s="1082"/>
    </row>
    <row r="379">
      <c r="A379" s="1112"/>
      <c r="B379" s="1112"/>
      <c r="C379" s="1112" t="s">
        <v>4370</v>
      </c>
      <c r="D379" s="1105"/>
      <c r="E379" s="1105"/>
      <c r="F379" s="1105"/>
      <c r="G379" s="1105"/>
      <c r="H379" s="1105"/>
      <c r="I379" s="1105"/>
      <c r="J379" s="1104"/>
      <c r="K379" s="1105"/>
      <c r="L379" s="1105"/>
      <c r="M379" s="1082"/>
      <c r="N379" s="1082"/>
      <c r="O379" s="1082"/>
      <c r="P379" s="1082"/>
      <c r="Q379" s="1082"/>
      <c r="R379" s="1082"/>
      <c r="S379" s="1082"/>
      <c r="T379" s="1082"/>
      <c r="U379" s="1082"/>
      <c r="V379" s="1082"/>
      <c r="W379" s="1082"/>
      <c r="X379" s="1082"/>
      <c r="Y379" s="1082"/>
      <c r="Z379" s="1082"/>
      <c r="AA379" s="1082"/>
      <c r="AB379" s="1082"/>
      <c r="AC379" s="1082"/>
      <c r="AD379" s="1082"/>
      <c r="AE379" s="1082"/>
      <c r="AF379" s="1082"/>
    </row>
    <row r="380">
      <c r="A380" s="1100"/>
      <c r="B380" s="1100"/>
      <c r="C380" s="1100" t="s">
        <v>1400</v>
      </c>
      <c r="D380" s="1101"/>
      <c r="E380" s="1101"/>
      <c r="F380" s="1101"/>
      <c r="G380" s="1101"/>
      <c r="H380" s="1101"/>
      <c r="I380" s="1101"/>
      <c r="J380" s="1102"/>
      <c r="K380" s="1101"/>
      <c r="L380" s="1101"/>
      <c r="M380" s="1082"/>
      <c r="N380" s="1082"/>
      <c r="O380" s="1082"/>
      <c r="P380" s="1082"/>
      <c r="Q380" s="1082"/>
      <c r="R380" s="1082"/>
      <c r="S380" s="1082"/>
      <c r="T380" s="1082"/>
      <c r="U380" s="1082"/>
      <c r="V380" s="1082"/>
      <c r="W380" s="1082"/>
      <c r="X380" s="1082"/>
      <c r="Y380" s="1082"/>
      <c r="Z380" s="1082"/>
      <c r="AA380" s="1082"/>
      <c r="AB380" s="1082"/>
      <c r="AC380" s="1082"/>
      <c r="AD380" s="1082"/>
      <c r="AE380" s="1082"/>
      <c r="AF380" s="1082"/>
    </row>
    <row r="381">
      <c r="A381" s="1112"/>
      <c r="B381" s="1112"/>
      <c r="C381" s="1112" t="s">
        <v>10303</v>
      </c>
      <c r="D381" s="1105"/>
      <c r="E381" s="1105"/>
      <c r="F381" s="1105"/>
      <c r="G381" s="1105"/>
      <c r="H381" s="1105"/>
      <c r="I381" s="1105"/>
      <c r="J381" s="1104"/>
      <c r="K381" s="1105"/>
      <c r="L381" s="1105"/>
      <c r="M381" s="1082"/>
      <c r="N381" s="1082"/>
      <c r="O381" s="1082"/>
      <c r="P381" s="1082"/>
      <c r="Q381" s="1082"/>
      <c r="R381" s="1082"/>
      <c r="S381" s="1082"/>
      <c r="T381" s="1082"/>
      <c r="U381" s="1082"/>
      <c r="V381" s="1082"/>
      <c r="W381" s="1082"/>
      <c r="X381" s="1082"/>
      <c r="Y381" s="1082"/>
      <c r="Z381" s="1082"/>
      <c r="AA381" s="1082"/>
      <c r="AB381" s="1082"/>
      <c r="AC381" s="1082"/>
      <c r="AD381" s="1082"/>
      <c r="AE381" s="1082"/>
      <c r="AF381" s="1082"/>
    </row>
    <row r="382">
      <c r="A382" s="1116"/>
      <c r="B382" s="1116"/>
      <c r="C382" s="1116" t="s">
        <v>853</v>
      </c>
      <c r="D382" s="1101"/>
      <c r="E382" s="1101"/>
      <c r="F382" s="1101"/>
      <c r="G382" s="1101"/>
      <c r="H382" s="1101"/>
      <c r="I382" s="1101"/>
      <c r="J382" s="1102"/>
      <c r="K382" s="1101"/>
      <c r="L382" s="1101"/>
      <c r="M382" s="1082"/>
      <c r="N382" s="1082"/>
      <c r="O382" s="1082"/>
      <c r="P382" s="1082"/>
      <c r="Q382" s="1082"/>
      <c r="R382" s="1082"/>
      <c r="S382" s="1082"/>
      <c r="T382" s="1082"/>
      <c r="U382" s="1082"/>
      <c r="V382" s="1082"/>
      <c r="W382" s="1082"/>
      <c r="X382" s="1082"/>
      <c r="Y382" s="1082"/>
      <c r="Z382" s="1082"/>
      <c r="AA382" s="1082"/>
      <c r="AB382" s="1082"/>
      <c r="AC382" s="1082"/>
      <c r="AD382" s="1082"/>
      <c r="AE382" s="1082"/>
      <c r="AF382" s="1082"/>
    </row>
    <row r="383">
      <c r="A383" s="1117"/>
      <c r="B383" s="1117"/>
      <c r="C383" s="1117" t="s">
        <v>3709</v>
      </c>
      <c r="D383" s="1105"/>
      <c r="E383" s="1105"/>
      <c r="F383" s="1105"/>
      <c r="G383" s="1105"/>
      <c r="H383" s="1105"/>
      <c r="I383" s="1105"/>
      <c r="J383" s="1104"/>
      <c r="K383" s="1105"/>
      <c r="L383" s="1105"/>
      <c r="M383" s="1082"/>
      <c r="N383" s="1082"/>
      <c r="O383" s="1082"/>
      <c r="P383" s="1082"/>
      <c r="Q383" s="1082"/>
      <c r="R383" s="1082"/>
      <c r="S383" s="1082"/>
      <c r="T383" s="1082"/>
      <c r="U383" s="1082"/>
      <c r="V383" s="1082"/>
      <c r="W383" s="1082"/>
      <c r="X383" s="1082"/>
      <c r="Y383" s="1082"/>
      <c r="Z383" s="1082"/>
      <c r="AA383" s="1082"/>
      <c r="AB383" s="1082"/>
      <c r="AC383" s="1082"/>
      <c r="AD383" s="1082"/>
      <c r="AE383" s="1082"/>
      <c r="AF383" s="1082"/>
    </row>
    <row r="384">
      <c r="A384" s="1116"/>
      <c r="B384" s="1116"/>
      <c r="C384" s="1116" t="s">
        <v>5193</v>
      </c>
      <c r="D384" s="1101"/>
      <c r="E384" s="1101"/>
      <c r="F384" s="1101"/>
      <c r="G384" s="1101"/>
      <c r="H384" s="1101"/>
      <c r="I384" s="1101"/>
      <c r="J384" s="1102"/>
      <c r="K384" s="1101"/>
      <c r="L384" s="1101"/>
      <c r="M384" s="1082"/>
      <c r="N384" s="1082"/>
      <c r="O384" s="1082"/>
      <c r="P384" s="1082"/>
      <c r="Q384" s="1082"/>
      <c r="R384" s="1082"/>
      <c r="S384" s="1082"/>
      <c r="T384" s="1082"/>
      <c r="U384" s="1082"/>
      <c r="V384" s="1082"/>
      <c r="W384" s="1082"/>
      <c r="X384" s="1082"/>
      <c r="Y384" s="1082"/>
      <c r="Z384" s="1082"/>
      <c r="AA384" s="1082"/>
      <c r="AB384" s="1082"/>
      <c r="AC384" s="1082"/>
      <c r="AD384" s="1082"/>
      <c r="AE384" s="1082"/>
      <c r="AF384" s="1082"/>
    </row>
    <row r="385">
      <c r="A385" s="1117"/>
      <c r="B385" s="1117"/>
      <c r="C385" s="1117" t="s">
        <v>10304</v>
      </c>
      <c r="D385" s="1113"/>
      <c r="E385" s="1113"/>
      <c r="F385" s="1105"/>
      <c r="G385" s="1105"/>
      <c r="H385" s="1105"/>
      <c r="I385" s="1105"/>
      <c r="J385" s="1104"/>
      <c r="K385" s="1105"/>
      <c r="L385" s="1105"/>
      <c r="M385" s="1082"/>
      <c r="N385" s="1082"/>
      <c r="O385" s="1082"/>
      <c r="P385" s="1082"/>
      <c r="Q385" s="1082"/>
      <c r="R385" s="1082"/>
      <c r="S385" s="1082"/>
      <c r="T385" s="1082"/>
      <c r="U385" s="1082"/>
      <c r="V385" s="1082"/>
      <c r="W385" s="1082"/>
      <c r="X385" s="1082"/>
      <c r="Y385" s="1082"/>
      <c r="Z385" s="1082"/>
      <c r="AA385" s="1082"/>
      <c r="AB385" s="1082"/>
      <c r="AC385" s="1082"/>
      <c r="AD385" s="1082"/>
      <c r="AE385" s="1082"/>
      <c r="AF385" s="1082"/>
    </row>
    <row r="386">
      <c r="A386" s="1118"/>
      <c r="B386" s="1118"/>
      <c r="C386" s="1118" t="s">
        <v>7278</v>
      </c>
      <c r="D386" s="1101"/>
      <c r="E386" s="1101"/>
      <c r="F386" s="1101"/>
      <c r="G386" s="1101"/>
      <c r="H386" s="1101"/>
      <c r="I386" s="1101"/>
      <c r="J386" s="1102"/>
      <c r="K386" s="1101"/>
      <c r="L386" s="1101"/>
      <c r="M386" s="1082"/>
      <c r="N386" s="1082"/>
      <c r="O386" s="1082"/>
      <c r="P386" s="1082"/>
      <c r="Q386" s="1082"/>
      <c r="R386" s="1082"/>
      <c r="S386" s="1082"/>
      <c r="T386" s="1082"/>
      <c r="U386" s="1082"/>
      <c r="V386" s="1082"/>
      <c r="W386" s="1082"/>
      <c r="X386" s="1082"/>
      <c r="Y386" s="1082"/>
      <c r="Z386" s="1082"/>
      <c r="AA386" s="1082"/>
      <c r="AB386" s="1082"/>
      <c r="AC386" s="1082"/>
      <c r="AD386" s="1082"/>
      <c r="AE386" s="1082"/>
      <c r="AF386" s="1082"/>
    </row>
    <row r="387">
      <c r="A387" s="1117"/>
      <c r="B387" s="1117"/>
      <c r="C387" s="1117" t="s">
        <v>10305</v>
      </c>
      <c r="D387" s="1105"/>
      <c r="E387" s="1105"/>
      <c r="F387" s="1105"/>
      <c r="G387" s="1105"/>
      <c r="H387" s="1105"/>
      <c r="I387" s="1105"/>
      <c r="J387" s="1104"/>
      <c r="K387" s="1105"/>
      <c r="L387" s="1105"/>
      <c r="M387" s="1082"/>
      <c r="N387" s="1082"/>
      <c r="O387" s="1082"/>
      <c r="P387" s="1082"/>
      <c r="Q387" s="1082"/>
      <c r="R387" s="1082"/>
      <c r="S387" s="1082"/>
      <c r="T387" s="1082"/>
      <c r="U387" s="1082"/>
      <c r="V387" s="1082"/>
      <c r="W387" s="1082"/>
      <c r="X387" s="1082"/>
      <c r="Y387" s="1082"/>
      <c r="Z387" s="1082"/>
      <c r="AA387" s="1082"/>
      <c r="AB387" s="1082"/>
      <c r="AC387" s="1082"/>
      <c r="AD387" s="1082"/>
      <c r="AE387" s="1082"/>
      <c r="AF387" s="1082"/>
    </row>
    <row r="388">
      <c r="A388" s="1116"/>
      <c r="B388" s="1116"/>
      <c r="C388" s="1116" t="s">
        <v>10306</v>
      </c>
      <c r="D388" s="1101"/>
      <c r="E388" s="1101"/>
      <c r="F388" s="1101"/>
      <c r="G388" s="1101"/>
      <c r="H388" s="1101"/>
      <c r="I388" s="1101"/>
      <c r="J388" s="1102"/>
      <c r="K388" s="1101"/>
      <c r="L388" s="1101"/>
      <c r="M388" s="1082"/>
      <c r="N388" s="1082"/>
      <c r="O388" s="1082"/>
      <c r="P388" s="1082"/>
      <c r="Q388" s="1082"/>
      <c r="R388" s="1082"/>
      <c r="S388" s="1082"/>
      <c r="T388" s="1082"/>
      <c r="U388" s="1082"/>
      <c r="V388" s="1082"/>
      <c r="W388" s="1082"/>
      <c r="X388" s="1082"/>
      <c r="Y388" s="1082"/>
      <c r="Z388" s="1082"/>
      <c r="AA388" s="1082"/>
      <c r="AB388" s="1082"/>
      <c r="AC388" s="1082"/>
      <c r="AD388" s="1082"/>
      <c r="AE388" s="1082"/>
      <c r="AF388" s="1082"/>
    </row>
    <row r="389">
      <c r="A389" s="1115"/>
      <c r="B389" s="1115"/>
      <c r="C389" s="1115" t="s">
        <v>7280</v>
      </c>
      <c r="D389" s="1105"/>
      <c r="E389" s="1105"/>
      <c r="F389" s="1105"/>
      <c r="G389" s="1105"/>
      <c r="H389" s="1105"/>
      <c r="I389" s="1105"/>
      <c r="J389" s="1104"/>
      <c r="K389" s="1105"/>
      <c r="L389" s="1105"/>
      <c r="M389" s="1082"/>
      <c r="N389" s="1082"/>
      <c r="O389" s="1082"/>
      <c r="P389" s="1082"/>
      <c r="Q389" s="1082"/>
      <c r="R389" s="1082"/>
      <c r="S389" s="1082"/>
      <c r="T389" s="1082"/>
      <c r="U389" s="1082"/>
      <c r="V389" s="1082"/>
      <c r="W389" s="1082"/>
      <c r="X389" s="1082"/>
      <c r="Y389" s="1082"/>
      <c r="Z389" s="1082"/>
      <c r="AA389" s="1082"/>
      <c r="AB389" s="1082"/>
      <c r="AC389" s="1082"/>
      <c r="AD389" s="1082"/>
      <c r="AE389" s="1082"/>
      <c r="AF389" s="1082"/>
    </row>
    <row r="390">
      <c r="A390" s="1100"/>
      <c r="B390" s="1100"/>
      <c r="C390" s="1100" t="s">
        <v>10307</v>
      </c>
      <c r="D390" s="1101"/>
      <c r="E390" s="1101"/>
      <c r="F390" s="1101"/>
      <c r="G390" s="1101"/>
      <c r="H390" s="1101"/>
      <c r="I390" s="1101"/>
      <c r="J390" s="1102"/>
      <c r="K390" s="1101"/>
      <c r="L390" s="1101"/>
      <c r="M390" s="1082"/>
      <c r="N390" s="1082"/>
      <c r="O390" s="1082"/>
      <c r="P390" s="1082"/>
      <c r="Q390" s="1082"/>
      <c r="R390" s="1082"/>
      <c r="S390" s="1082"/>
      <c r="T390" s="1082"/>
      <c r="U390" s="1082"/>
      <c r="V390" s="1082"/>
      <c r="W390" s="1082"/>
      <c r="X390" s="1082"/>
      <c r="Y390" s="1082"/>
      <c r="Z390" s="1082"/>
      <c r="AA390" s="1082"/>
      <c r="AB390" s="1082"/>
      <c r="AC390" s="1082"/>
      <c r="AD390" s="1082"/>
      <c r="AE390" s="1082"/>
      <c r="AF390" s="1082"/>
    </row>
    <row r="391">
      <c r="A391" s="1112"/>
      <c r="B391" s="1112"/>
      <c r="C391" s="1112" t="s">
        <v>10308</v>
      </c>
      <c r="D391" s="1105"/>
      <c r="E391" s="1105"/>
      <c r="F391" s="1105"/>
      <c r="G391" s="1105"/>
      <c r="H391" s="1105"/>
      <c r="I391" s="1105"/>
      <c r="J391" s="1104"/>
      <c r="K391" s="1105"/>
      <c r="L391" s="1105"/>
      <c r="M391" s="1082"/>
      <c r="N391" s="1082"/>
      <c r="O391" s="1082"/>
      <c r="P391" s="1082"/>
      <c r="Q391" s="1082"/>
      <c r="R391" s="1082"/>
      <c r="S391" s="1082"/>
      <c r="T391" s="1082"/>
      <c r="U391" s="1082"/>
      <c r="V391" s="1082"/>
      <c r="W391" s="1082"/>
      <c r="X391" s="1082"/>
      <c r="Y391" s="1082"/>
      <c r="Z391" s="1082"/>
      <c r="AA391" s="1082"/>
      <c r="AB391" s="1082"/>
      <c r="AC391" s="1082"/>
      <c r="AD391" s="1082"/>
      <c r="AE391" s="1082"/>
      <c r="AF391" s="1082"/>
    </row>
    <row r="392">
      <c r="A392" s="1116"/>
      <c r="B392" s="1116"/>
      <c r="C392" s="1116" t="s">
        <v>4051</v>
      </c>
      <c r="D392" s="1101"/>
      <c r="E392" s="1101"/>
      <c r="F392" s="1101"/>
      <c r="G392" s="1101"/>
      <c r="H392" s="1101"/>
      <c r="I392" s="1101"/>
      <c r="J392" s="1102"/>
      <c r="K392" s="1101"/>
      <c r="L392" s="1101"/>
      <c r="M392" s="1082"/>
      <c r="N392" s="1082"/>
      <c r="O392" s="1082"/>
      <c r="P392" s="1082"/>
      <c r="Q392" s="1082"/>
      <c r="R392" s="1082"/>
      <c r="S392" s="1082"/>
      <c r="T392" s="1082"/>
      <c r="U392" s="1082"/>
      <c r="V392" s="1082"/>
      <c r="W392" s="1082"/>
      <c r="X392" s="1082"/>
      <c r="Y392" s="1082"/>
      <c r="Z392" s="1082"/>
      <c r="AA392" s="1082"/>
      <c r="AB392" s="1082"/>
      <c r="AC392" s="1082"/>
      <c r="AD392" s="1082"/>
      <c r="AE392" s="1082"/>
      <c r="AF392" s="1082"/>
    </row>
    <row r="393">
      <c r="A393" s="1112"/>
      <c r="B393" s="1112"/>
      <c r="C393" s="1112" t="s">
        <v>10309</v>
      </c>
      <c r="D393" s="1105"/>
      <c r="E393" s="1105"/>
      <c r="F393" s="1105"/>
      <c r="G393" s="1105"/>
      <c r="H393" s="1105"/>
      <c r="I393" s="1105"/>
      <c r="J393" s="1104"/>
      <c r="K393" s="1105"/>
      <c r="L393" s="1105"/>
      <c r="M393" s="1082"/>
      <c r="N393" s="1082"/>
      <c r="O393" s="1082"/>
      <c r="P393" s="1082"/>
      <c r="Q393" s="1082"/>
      <c r="R393" s="1082"/>
      <c r="S393" s="1082"/>
      <c r="T393" s="1082"/>
      <c r="U393" s="1082"/>
      <c r="V393" s="1082"/>
      <c r="W393" s="1082"/>
      <c r="X393" s="1082"/>
      <c r="Y393" s="1082"/>
      <c r="Z393" s="1082"/>
      <c r="AA393" s="1082"/>
      <c r="AB393" s="1082"/>
      <c r="AC393" s="1082"/>
      <c r="AD393" s="1082"/>
      <c r="AE393" s="1082"/>
      <c r="AF393" s="1082"/>
    </row>
    <row r="394">
      <c r="A394" s="1119"/>
      <c r="B394" s="1119"/>
      <c r="C394" s="1119" t="s">
        <v>7282</v>
      </c>
      <c r="D394" s="1101"/>
      <c r="E394" s="1101"/>
      <c r="F394" s="1101"/>
      <c r="G394" s="1101"/>
      <c r="H394" s="1101"/>
      <c r="I394" s="1101"/>
      <c r="J394" s="1102"/>
      <c r="K394" s="1101"/>
      <c r="L394" s="1101"/>
      <c r="M394" s="1082"/>
      <c r="N394" s="1082"/>
      <c r="O394" s="1082"/>
      <c r="P394" s="1082"/>
      <c r="Q394" s="1082"/>
      <c r="R394" s="1082"/>
      <c r="S394" s="1082"/>
      <c r="T394" s="1082"/>
      <c r="U394" s="1082"/>
      <c r="V394" s="1082"/>
      <c r="W394" s="1082"/>
      <c r="X394" s="1082"/>
      <c r="Y394" s="1082"/>
      <c r="Z394" s="1082"/>
      <c r="AA394" s="1082"/>
      <c r="AB394" s="1082"/>
      <c r="AC394" s="1082"/>
      <c r="AD394" s="1082"/>
      <c r="AE394" s="1082"/>
      <c r="AF394" s="1082"/>
    </row>
    <row r="395">
      <c r="A395" s="1112"/>
      <c r="B395" s="1112"/>
      <c r="C395" s="1112" t="s">
        <v>10310</v>
      </c>
      <c r="D395" s="1105"/>
      <c r="E395" s="1105"/>
      <c r="F395" s="1105"/>
      <c r="G395" s="1105"/>
      <c r="H395" s="1105"/>
      <c r="I395" s="1105"/>
      <c r="J395" s="1104"/>
      <c r="K395" s="1105"/>
      <c r="L395" s="1105"/>
      <c r="M395" s="1082"/>
      <c r="N395" s="1082"/>
      <c r="O395" s="1082"/>
      <c r="P395" s="1082"/>
      <c r="Q395" s="1082"/>
      <c r="R395" s="1082"/>
      <c r="S395" s="1082"/>
      <c r="T395" s="1082"/>
      <c r="U395" s="1082"/>
      <c r="V395" s="1082"/>
      <c r="W395" s="1082"/>
      <c r="X395" s="1082"/>
      <c r="Y395" s="1082"/>
      <c r="Z395" s="1082"/>
      <c r="AA395" s="1082"/>
      <c r="AB395" s="1082"/>
      <c r="AC395" s="1082"/>
      <c r="AD395" s="1082"/>
      <c r="AE395" s="1082"/>
      <c r="AF395" s="1082"/>
    </row>
    <row r="396">
      <c r="A396" s="1100"/>
      <c r="B396" s="1100"/>
      <c r="C396" s="1100" t="s">
        <v>10311</v>
      </c>
      <c r="D396" s="1101"/>
      <c r="E396" s="1101"/>
      <c r="F396" s="1101"/>
      <c r="G396" s="1101"/>
      <c r="H396" s="1101"/>
      <c r="I396" s="1101"/>
      <c r="J396" s="1102"/>
      <c r="K396" s="1101"/>
      <c r="L396" s="1101"/>
      <c r="M396" s="1082"/>
      <c r="N396" s="1082"/>
      <c r="O396" s="1082"/>
      <c r="P396" s="1082"/>
      <c r="Q396" s="1082"/>
      <c r="R396" s="1082"/>
      <c r="S396" s="1082"/>
      <c r="T396" s="1082"/>
      <c r="U396" s="1082"/>
      <c r="V396" s="1082"/>
      <c r="W396" s="1082"/>
      <c r="X396" s="1082"/>
      <c r="Y396" s="1082"/>
      <c r="Z396" s="1082"/>
      <c r="AA396" s="1082"/>
      <c r="AB396" s="1082"/>
      <c r="AC396" s="1082"/>
      <c r="AD396" s="1082"/>
      <c r="AE396" s="1082"/>
      <c r="AF396" s="1082"/>
    </row>
    <row r="397">
      <c r="A397" s="1117"/>
      <c r="B397" s="1117"/>
      <c r="C397" s="1117" t="s">
        <v>8043</v>
      </c>
      <c r="D397" s="1105"/>
      <c r="E397" s="1105"/>
      <c r="F397" s="1105"/>
      <c r="G397" s="1105"/>
      <c r="H397" s="1105"/>
      <c r="I397" s="1105"/>
      <c r="J397" s="1104"/>
      <c r="K397" s="1105"/>
      <c r="L397" s="1105"/>
      <c r="M397" s="1082"/>
      <c r="N397" s="1082"/>
      <c r="O397" s="1082"/>
      <c r="P397" s="1082"/>
      <c r="Q397" s="1082"/>
      <c r="R397" s="1082"/>
      <c r="S397" s="1082"/>
      <c r="T397" s="1082"/>
      <c r="U397" s="1082"/>
      <c r="V397" s="1082"/>
      <c r="W397" s="1082"/>
      <c r="X397" s="1082"/>
      <c r="Y397" s="1082"/>
      <c r="Z397" s="1082"/>
      <c r="AA397" s="1082"/>
      <c r="AB397" s="1082"/>
      <c r="AC397" s="1082"/>
      <c r="AD397" s="1082"/>
      <c r="AE397" s="1082"/>
      <c r="AF397" s="1082"/>
    </row>
    <row r="398">
      <c r="A398" s="1100"/>
      <c r="B398" s="1100"/>
      <c r="C398" s="1100" t="s">
        <v>538</v>
      </c>
      <c r="D398" s="1101"/>
      <c r="E398" s="1101"/>
      <c r="F398" s="1101"/>
      <c r="G398" s="1101"/>
      <c r="H398" s="1101"/>
      <c r="I398" s="1101"/>
      <c r="J398" s="1102"/>
      <c r="K398" s="1101"/>
      <c r="L398" s="1101"/>
      <c r="M398" s="1082"/>
      <c r="N398" s="1082"/>
      <c r="O398" s="1082"/>
      <c r="P398" s="1082"/>
      <c r="Q398" s="1082"/>
      <c r="R398" s="1082"/>
      <c r="S398" s="1082"/>
      <c r="T398" s="1082"/>
      <c r="U398" s="1082"/>
      <c r="V398" s="1082"/>
      <c r="W398" s="1082"/>
      <c r="X398" s="1082"/>
      <c r="Y398" s="1082"/>
      <c r="Z398" s="1082"/>
      <c r="AA398" s="1082"/>
      <c r="AB398" s="1082"/>
      <c r="AC398" s="1082"/>
      <c r="AD398" s="1082"/>
      <c r="AE398" s="1082"/>
      <c r="AF398" s="1082"/>
    </row>
    <row r="399">
      <c r="A399" s="1117"/>
      <c r="B399" s="1117"/>
      <c r="C399" s="1117" t="s">
        <v>10312</v>
      </c>
      <c r="D399" s="1113"/>
      <c r="E399" s="1113"/>
      <c r="F399" s="1105"/>
      <c r="G399" s="1105"/>
      <c r="H399" s="1105"/>
      <c r="I399" s="1105"/>
      <c r="J399" s="1104"/>
      <c r="K399" s="1105"/>
      <c r="L399" s="1105"/>
      <c r="M399" s="1082"/>
      <c r="N399" s="1082"/>
      <c r="O399" s="1082"/>
      <c r="P399" s="1082"/>
      <c r="Q399" s="1082"/>
      <c r="R399" s="1082"/>
      <c r="S399" s="1082"/>
      <c r="T399" s="1082"/>
      <c r="U399" s="1082"/>
      <c r="V399" s="1082"/>
      <c r="W399" s="1082"/>
      <c r="X399" s="1082"/>
      <c r="Y399" s="1082"/>
      <c r="Z399" s="1082"/>
      <c r="AA399" s="1082"/>
      <c r="AB399" s="1082"/>
      <c r="AC399" s="1082"/>
      <c r="AD399" s="1082"/>
      <c r="AE399" s="1082"/>
      <c r="AF399" s="1082"/>
    </row>
    <row r="400">
      <c r="A400" s="1100"/>
      <c r="B400" s="1100"/>
      <c r="C400" s="1100" t="s">
        <v>10313</v>
      </c>
      <c r="D400" s="1114"/>
      <c r="E400" s="1114"/>
      <c r="F400" s="1101"/>
      <c r="G400" s="1101"/>
      <c r="H400" s="1101"/>
      <c r="I400" s="1101"/>
      <c r="J400" s="1102"/>
      <c r="K400" s="1101"/>
      <c r="L400" s="1101"/>
      <c r="M400" s="1082"/>
      <c r="N400" s="1082"/>
      <c r="O400" s="1082"/>
      <c r="P400" s="1082"/>
      <c r="Q400" s="1082"/>
      <c r="R400" s="1082"/>
      <c r="S400" s="1082"/>
      <c r="T400" s="1082"/>
      <c r="U400" s="1082"/>
      <c r="V400" s="1082"/>
      <c r="W400" s="1082"/>
      <c r="X400" s="1082"/>
      <c r="Y400" s="1082"/>
      <c r="Z400" s="1082"/>
      <c r="AA400" s="1082"/>
      <c r="AB400" s="1082"/>
      <c r="AC400" s="1082"/>
      <c r="AD400" s="1082"/>
      <c r="AE400" s="1082"/>
      <c r="AF400" s="1082"/>
    </row>
    <row r="401">
      <c r="A401" s="1117"/>
      <c r="B401" s="1117"/>
      <c r="C401" s="1117" t="s">
        <v>10314</v>
      </c>
      <c r="D401" s="1105"/>
      <c r="E401" s="1105"/>
      <c r="F401" s="1105"/>
      <c r="G401" s="1105"/>
      <c r="H401" s="1105"/>
      <c r="I401" s="1105"/>
      <c r="J401" s="1104"/>
      <c r="K401" s="1105"/>
      <c r="L401" s="1105"/>
      <c r="M401" s="1082"/>
      <c r="N401" s="1082"/>
      <c r="O401" s="1082"/>
      <c r="P401" s="1082"/>
      <c r="Q401" s="1082"/>
      <c r="R401" s="1082"/>
      <c r="S401" s="1082"/>
      <c r="T401" s="1082"/>
      <c r="U401" s="1082"/>
      <c r="V401" s="1082"/>
      <c r="W401" s="1082"/>
      <c r="X401" s="1082"/>
      <c r="Y401" s="1082"/>
      <c r="Z401" s="1082"/>
      <c r="AA401" s="1082"/>
      <c r="AB401" s="1082"/>
      <c r="AC401" s="1082"/>
      <c r="AD401" s="1082"/>
      <c r="AE401" s="1082"/>
      <c r="AF401" s="1082"/>
    </row>
    <row r="402">
      <c r="A402" s="1100"/>
      <c r="B402" s="1100"/>
      <c r="C402" s="1100" t="s">
        <v>10315</v>
      </c>
      <c r="D402" s="1101"/>
      <c r="E402" s="1101"/>
      <c r="F402" s="1101"/>
      <c r="G402" s="1101"/>
      <c r="H402" s="1101"/>
      <c r="I402" s="1101"/>
      <c r="J402" s="1102"/>
      <c r="K402" s="1101"/>
      <c r="L402" s="1101"/>
      <c r="M402" s="1082"/>
      <c r="N402" s="1082"/>
      <c r="O402" s="1082"/>
      <c r="P402" s="1082"/>
      <c r="Q402" s="1082"/>
      <c r="R402" s="1082"/>
      <c r="S402" s="1082"/>
      <c r="T402" s="1082"/>
      <c r="U402" s="1082"/>
      <c r="V402" s="1082"/>
      <c r="W402" s="1082"/>
      <c r="X402" s="1082"/>
      <c r="Y402" s="1082"/>
      <c r="Z402" s="1082"/>
      <c r="AA402" s="1082"/>
      <c r="AB402" s="1082"/>
      <c r="AC402" s="1082"/>
      <c r="AD402" s="1082"/>
      <c r="AE402" s="1082"/>
      <c r="AF402" s="1082"/>
    </row>
    <row r="403">
      <c r="A403" s="1117"/>
      <c r="B403" s="1117"/>
      <c r="C403" s="1117" t="s">
        <v>2885</v>
      </c>
      <c r="D403" s="1105"/>
      <c r="E403" s="1105"/>
      <c r="F403" s="1105"/>
      <c r="G403" s="1105"/>
      <c r="H403" s="1105"/>
      <c r="I403" s="1105"/>
      <c r="J403" s="1104"/>
      <c r="K403" s="1105"/>
      <c r="L403" s="1105"/>
      <c r="M403" s="1082"/>
      <c r="N403" s="1082"/>
      <c r="O403" s="1082"/>
      <c r="P403" s="1082"/>
      <c r="Q403" s="1082"/>
      <c r="R403" s="1082"/>
      <c r="S403" s="1082"/>
      <c r="T403" s="1082"/>
      <c r="U403" s="1082"/>
      <c r="V403" s="1082"/>
      <c r="W403" s="1082"/>
      <c r="X403" s="1082"/>
      <c r="Y403" s="1082"/>
      <c r="Z403" s="1082"/>
      <c r="AA403" s="1082"/>
      <c r="AB403" s="1082"/>
      <c r="AC403" s="1082"/>
      <c r="AD403" s="1082"/>
      <c r="AE403" s="1082"/>
      <c r="AF403" s="1082"/>
    </row>
    <row r="404">
      <c r="A404" s="1116"/>
      <c r="B404" s="1116"/>
      <c r="C404" s="1116" t="s">
        <v>3496</v>
      </c>
      <c r="D404" s="1114"/>
      <c r="E404" s="1114"/>
      <c r="F404" s="1101"/>
      <c r="G404" s="1101"/>
      <c r="H404" s="1101"/>
      <c r="I404" s="1101"/>
      <c r="J404" s="1102"/>
      <c r="K404" s="1101"/>
      <c r="L404" s="1101"/>
      <c r="M404" s="1082"/>
      <c r="N404" s="1082"/>
      <c r="O404" s="1082"/>
      <c r="P404" s="1082"/>
      <c r="Q404" s="1082"/>
      <c r="R404" s="1082"/>
      <c r="S404" s="1082"/>
      <c r="T404" s="1082"/>
      <c r="U404" s="1082"/>
      <c r="V404" s="1082"/>
      <c r="W404" s="1082"/>
      <c r="X404" s="1082"/>
      <c r="Y404" s="1082"/>
      <c r="Z404" s="1082"/>
      <c r="AA404" s="1082"/>
      <c r="AB404" s="1082"/>
      <c r="AC404" s="1082"/>
      <c r="AD404" s="1082"/>
      <c r="AE404" s="1082"/>
      <c r="AF404" s="1082"/>
    </row>
    <row r="405">
      <c r="A405" s="1117"/>
      <c r="B405" s="1117"/>
      <c r="C405" s="1117" t="s">
        <v>5663</v>
      </c>
      <c r="D405" s="1113"/>
      <c r="E405" s="1113"/>
      <c r="F405" s="1105"/>
      <c r="G405" s="1105"/>
      <c r="H405" s="1105"/>
      <c r="I405" s="1105"/>
      <c r="J405" s="1104"/>
      <c r="K405" s="1105"/>
      <c r="L405" s="1105"/>
      <c r="M405" s="1082"/>
      <c r="N405" s="1082"/>
      <c r="O405" s="1082"/>
      <c r="P405" s="1082"/>
      <c r="Q405" s="1082"/>
      <c r="R405" s="1082"/>
      <c r="S405" s="1082"/>
      <c r="T405" s="1082"/>
      <c r="U405" s="1082"/>
      <c r="V405" s="1082"/>
      <c r="W405" s="1082"/>
      <c r="X405" s="1082"/>
      <c r="Y405" s="1082"/>
      <c r="Z405" s="1082"/>
      <c r="AA405" s="1082"/>
      <c r="AB405" s="1082"/>
      <c r="AC405" s="1082"/>
      <c r="AD405" s="1082"/>
      <c r="AE405" s="1082"/>
      <c r="AF405" s="1082"/>
    </row>
    <row r="406">
      <c r="A406" s="1100"/>
      <c r="B406" s="1100"/>
      <c r="C406" s="1100" t="s">
        <v>10316</v>
      </c>
      <c r="D406" s="1101"/>
      <c r="E406" s="1101"/>
      <c r="F406" s="1101"/>
      <c r="G406" s="1101"/>
      <c r="H406" s="1101"/>
      <c r="I406" s="1101"/>
      <c r="J406" s="1102"/>
      <c r="K406" s="1101"/>
      <c r="L406" s="1101"/>
      <c r="M406" s="1082"/>
      <c r="N406" s="1082"/>
      <c r="O406" s="1082"/>
      <c r="P406" s="1082"/>
      <c r="Q406" s="1082"/>
      <c r="R406" s="1082"/>
      <c r="S406" s="1082"/>
      <c r="T406" s="1082"/>
      <c r="U406" s="1082"/>
      <c r="V406" s="1082"/>
      <c r="W406" s="1082"/>
      <c r="X406" s="1082"/>
      <c r="Y406" s="1082"/>
      <c r="Z406" s="1082"/>
      <c r="AA406" s="1082"/>
      <c r="AB406" s="1082"/>
      <c r="AC406" s="1082"/>
      <c r="AD406" s="1082"/>
      <c r="AE406" s="1082"/>
      <c r="AF406" s="1082"/>
    </row>
    <row r="407">
      <c r="A407" s="1117"/>
      <c r="B407" s="1117"/>
      <c r="C407" s="1117" t="s">
        <v>10317</v>
      </c>
      <c r="D407" s="1113"/>
      <c r="E407" s="1113"/>
      <c r="F407" s="1105"/>
      <c r="G407" s="1105"/>
      <c r="H407" s="1105"/>
      <c r="I407" s="1105"/>
      <c r="J407" s="1104"/>
      <c r="K407" s="1105"/>
      <c r="L407" s="1105"/>
      <c r="M407" s="1082"/>
      <c r="N407" s="1082"/>
      <c r="O407" s="1082"/>
      <c r="P407" s="1082"/>
      <c r="Q407" s="1082"/>
      <c r="R407" s="1082"/>
      <c r="S407" s="1082"/>
      <c r="T407" s="1082"/>
      <c r="U407" s="1082"/>
      <c r="V407" s="1082"/>
      <c r="W407" s="1082"/>
      <c r="X407" s="1082"/>
      <c r="Y407" s="1082"/>
      <c r="Z407" s="1082"/>
      <c r="AA407" s="1082"/>
      <c r="AB407" s="1082"/>
      <c r="AC407" s="1082"/>
      <c r="AD407" s="1082"/>
      <c r="AE407" s="1082"/>
      <c r="AF407" s="1082"/>
    </row>
    <row r="408">
      <c r="A408" s="1118"/>
      <c r="B408" s="1118"/>
      <c r="C408" s="1118" t="s">
        <v>7285</v>
      </c>
      <c r="D408" s="1101"/>
      <c r="E408" s="1101"/>
      <c r="F408" s="1101"/>
      <c r="G408" s="1101"/>
      <c r="H408" s="1101"/>
      <c r="I408" s="1101"/>
      <c r="J408" s="1102"/>
      <c r="K408" s="1101"/>
      <c r="L408" s="1101"/>
      <c r="M408" s="1082"/>
      <c r="N408" s="1082"/>
      <c r="O408" s="1082"/>
      <c r="P408" s="1082"/>
      <c r="Q408" s="1082"/>
      <c r="R408" s="1082"/>
      <c r="S408" s="1082"/>
      <c r="T408" s="1082"/>
      <c r="U408" s="1082"/>
      <c r="V408" s="1082"/>
      <c r="W408" s="1082"/>
      <c r="X408" s="1082"/>
      <c r="Y408" s="1082"/>
      <c r="Z408" s="1082"/>
      <c r="AA408" s="1082"/>
      <c r="AB408" s="1082"/>
      <c r="AC408" s="1082"/>
      <c r="AD408" s="1082"/>
      <c r="AE408" s="1082"/>
      <c r="AF408" s="1082"/>
    </row>
    <row r="409">
      <c r="A409" s="1112"/>
      <c r="B409" s="1112"/>
      <c r="C409" s="1112" t="s">
        <v>10318</v>
      </c>
      <c r="D409" s="1105"/>
      <c r="E409" s="1105"/>
      <c r="F409" s="1105"/>
      <c r="G409" s="1105"/>
      <c r="H409" s="1105"/>
      <c r="I409" s="1105"/>
      <c r="J409" s="1104"/>
      <c r="K409" s="1105"/>
      <c r="L409" s="1105"/>
      <c r="M409" s="1082"/>
      <c r="N409" s="1082"/>
      <c r="O409" s="1082"/>
      <c r="P409" s="1082"/>
      <c r="Q409" s="1082"/>
      <c r="R409" s="1082"/>
      <c r="S409" s="1082"/>
      <c r="T409" s="1082"/>
      <c r="U409" s="1082"/>
      <c r="V409" s="1082"/>
      <c r="W409" s="1082"/>
      <c r="X409" s="1082"/>
      <c r="Y409" s="1082"/>
      <c r="Z409" s="1082"/>
      <c r="AA409" s="1082"/>
      <c r="AB409" s="1082"/>
      <c r="AC409" s="1082"/>
      <c r="AD409" s="1082"/>
      <c r="AE409" s="1082"/>
      <c r="AF409" s="1082"/>
    </row>
    <row r="410">
      <c r="A410" s="1100"/>
      <c r="B410" s="1100"/>
      <c r="C410" s="1100" t="s">
        <v>4064</v>
      </c>
      <c r="D410" s="1101"/>
      <c r="E410" s="1101"/>
      <c r="F410" s="1101"/>
      <c r="G410" s="1101"/>
      <c r="H410" s="1101"/>
      <c r="I410" s="1101"/>
      <c r="J410" s="1102"/>
      <c r="K410" s="1101"/>
      <c r="L410" s="1101"/>
      <c r="M410" s="1082"/>
      <c r="N410" s="1082"/>
      <c r="O410" s="1082"/>
      <c r="P410" s="1082"/>
      <c r="Q410" s="1082"/>
      <c r="R410" s="1082"/>
      <c r="S410" s="1082"/>
      <c r="T410" s="1082"/>
      <c r="U410" s="1082"/>
      <c r="V410" s="1082"/>
      <c r="W410" s="1082"/>
      <c r="X410" s="1082"/>
      <c r="Y410" s="1082"/>
      <c r="Z410" s="1082"/>
      <c r="AA410" s="1082"/>
      <c r="AB410" s="1082"/>
      <c r="AC410" s="1082"/>
      <c r="AD410" s="1082"/>
      <c r="AE410" s="1082"/>
      <c r="AF410" s="1082"/>
    </row>
    <row r="411">
      <c r="A411" s="1112"/>
      <c r="B411" s="1112"/>
      <c r="C411" s="1112" t="s">
        <v>10319</v>
      </c>
      <c r="D411" s="1105"/>
      <c r="E411" s="1105"/>
      <c r="F411" s="1105"/>
      <c r="G411" s="1105"/>
      <c r="H411" s="1105"/>
      <c r="I411" s="1105"/>
      <c r="J411" s="1104"/>
      <c r="K411" s="1105"/>
      <c r="L411" s="1105"/>
      <c r="M411" s="1082"/>
      <c r="N411" s="1082"/>
      <c r="O411" s="1082"/>
      <c r="P411" s="1082"/>
      <c r="Q411" s="1082"/>
      <c r="R411" s="1082"/>
      <c r="S411" s="1082"/>
      <c r="T411" s="1082"/>
      <c r="U411" s="1082"/>
      <c r="V411" s="1082"/>
      <c r="W411" s="1082"/>
      <c r="X411" s="1082"/>
      <c r="Y411" s="1082"/>
      <c r="Z411" s="1082"/>
      <c r="AA411" s="1082"/>
      <c r="AB411" s="1082"/>
      <c r="AC411" s="1082"/>
      <c r="AD411" s="1082"/>
      <c r="AE411" s="1082"/>
      <c r="AF411" s="1082"/>
    </row>
    <row r="412">
      <c r="A412" s="1100"/>
      <c r="B412" s="1100"/>
      <c r="C412" s="1100" t="s">
        <v>10320</v>
      </c>
      <c r="D412" s="1101"/>
      <c r="E412" s="1101"/>
      <c r="F412" s="1101"/>
      <c r="G412" s="1101"/>
      <c r="H412" s="1101"/>
      <c r="I412" s="1101"/>
      <c r="J412" s="1102"/>
      <c r="K412" s="1101"/>
      <c r="L412" s="1101"/>
      <c r="M412" s="1082"/>
      <c r="N412" s="1082"/>
      <c r="O412" s="1082"/>
      <c r="P412" s="1082"/>
      <c r="Q412" s="1082"/>
      <c r="R412" s="1082"/>
      <c r="S412" s="1082"/>
      <c r="T412" s="1082"/>
      <c r="U412" s="1082"/>
      <c r="V412" s="1082"/>
      <c r="W412" s="1082"/>
      <c r="X412" s="1082"/>
      <c r="Y412" s="1082"/>
      <c r="Z412" s="1082"/>
      <c r="AA412" s="1082"/>
      <c r="AB412" s="1082"/>
      <c r="AC412" s="1082"/>
      <c r="AD412" s="1082"/>
      <c r="AE412" s="1082"/>
      <c r="AF412" s="1082"/>
    </row>
    <row r="413">
      <c r="A413" s="1117"/>
      <c r="B413" s="1117"/>
      <c r="C413" s="1117" t="s">
        <v>10321</v>
      </c>
      <c r="D413" s="1105"/>
      <c r="E413" s="1105"/>
      <c r="F413" s="1105"/>
      <c r="G413" s="1105"/>
      <c r="H413" s="1105"/>
      <c r="I413" s="1105"/>
      <c r="J413" s="1104"/>
      <c r="K413" s="1105"/>
      <c r="L413" s="1105"/>
      <c r="M413" s="1082"/>
      <c r="N413" s="1082"/>
      <c r="O413" s="1082"/>
      <c r="P413" s="1082"/>
      <c r="Q413" s="1082"/>
      <c r="R413" s="1082"/>
      <c r="S413" s="1082"/>
      <c r="T413" s="1082"/>
      <c r="U413" s="1082"/>
      <c r="V413" s="1082"/>
      <c r="W413" s="1082"/>
      <c r="X413" s="1082"/>
      <c r="Y413" s="1082"/>
      <c r="Z413" s="1082"/>
      <c r="AA413" s="1082"/>
      <c r="AB413" s="1082"/>
      <c r="AC413" s="1082"/>
      <c r="AD413" s="1082"/>
      <c r="AE413" s="1082"/>
      <c r="AF413" s="1082"/>
    </row>
    <row r="414">
      <c r="A414" s="1100"/>
      <c r="B414" s="1100"/>
      <c r="C414" s="1100" t="s">
        <v>10322</v>
      </c>
      <c r="D414" s="1114"/>
      <c r="E414" s="1114"/>
      <c r="F414" s="1101"/>
      <c r="G414" s="1101"/>
      <c r="H414" s="1101"/>
      <c r="I414" s="1101"/>
      <c r="J414" s="1102"/>
      <c r="K414" s="1101"/>
      <c r="L414" s="1101"/>
      <c r="M414" s="1082"/>
      <c r="N414" s="1082"/>
      <c r="O414" s="1082"/>
      <c r="P414" s="1082"/>
      <c r="Q414" s="1082"/>
      <c r="R414" s="1082"/>
      <c r="S414" s="1082"/>
      <c r="T414" s="1082"/>
      <c r="U414" s="1082"/>
      <c r="V414" s="1082"/>
      <c r="W414" s="1082"/>
      <c r="X414" s="1082"/>
      <c r="Y414" s="1082"/>
      <c r="Z414" s="1082"/>
      <c r="AA414" s="1082"/>
      <c r="AB414" s="1082"/>
      <c r="AC414" s="1082"/>
      <c r="AD414" s="1082"/>
      <c r="AE414" s="1082"/>
      <c r="AF414" s="1082"/>
    </row>
    <row r="415">
      <c r="A415" s="1112"/>
      <c r="B415" s="1112"/>
      <c r="C415" s="1112" t="s">
        <v>10323</v>
      </c>
      <c r="D415" s="1105"/>
      <c r="E415" s="1105"/>
      <c r="F415" s="1105"/>
      <c r="G415" s="1105"/>
      <c r="H415" s="1105"/>
      <c r="I415" s="1105"/>
      <c r="J415" s="1104"/>
      <c r="K415" s="1105"/>
      <c r="L415" s="1105"/>
      <c r="M415" s="1082"/>
      <c r="N415" s="1082"/>
      <c r="O415" s="1082"/>
      <c r="P415" s="1082"/>
      <c r="Q415" s="1082"/>
      <c r="R415" s="1082"/>
      <c r="S415" s="1082"/>
      <c r="T415" s="1082"/>
      <c r="U415" s="1082"/>
      <c r="V415" s="1082"/>
      <c r="W415" s="1082"/>
      <c r="X415" s="1082"/>
      <c r="Y415" s="1082"/>
      <c r="Z415" s="1082"/>
      <c r="AA415" s="1082"/>
      <c r="AB415" s="1082"/>
      <c r="AC415" s="1082"/>
      <c r="AD415" s="1082"/>
      <c r="AE415" s="1082"/>
      <c r="AF415" s="1082"/>
    </row>
    <row r="416">
      <c r="A416" s="1100"/>
      <c r="B416" s="1100"/>
      <c r="C416" s="1100" t="s">
        <v>10324</v>
      </c>
      <c r="D416" s="1101"/>
      <c r="E416" s="1101"/>
      <c r="F416" s="1101"/>
      <c r="G416" s="1101"/>
      <c r="H416" s="1101"/>
      <c r="I416" s="1101"/>
      <c r="J416" s="1102"/>
      <c r="K416" s="1101"/>
      <c r="L416" s="1101"/>
      <c r="M416" s="1082"/>
      <c r="N416" s="1082"/>
      <c r="O416" s="1082"/>
      <c r="P416" s="1082"/>
      <c r="Q416" s="1082"/>
      <c r="R416" s="1082"/>
      <c r="S416" s="1082"/>
      <c r="T416" s="1082"/>
      <c r="U416" s="1082"/>
      <c r="V416" s="1082"/>
      <c r="W416" s="1082"/>
      <c r="X416" s="1082"/>
      <c r="Y416" s="1082"/>
      <c r="Z416" s="1082"/>
      <c r="AA416" s="1082"/>
      <c r="AB416" s="1082"/>
      <c r="AC416" s="1082"/>
      <c r="AD416" s="1082"/>
      <c r="AE416" s="1082"/>
      <c r="AF416" s="1082"/>
    </row>
    <row r="417">
      <c r="A417" s="1112"/>
      <c r="B417" s="1112"/>
      <c r="C417" s="1112" t="s">
        <v>7975</v>
      </c>
      <c r="D417" s="1105"/>
      <c r="E417" s="1105"/>
      <c r="F417" s="1105"/>
      <c r="G417" s="1105"/>
      <c r="H417" s="1105"/>
      <c r="I417" s="1105"/>
      <c r="J417" s="1104"/>
      <c r="K417" s="1105"/>
      <c r="L417" s="1105"/>
      <c r="M417" s="1082"/>
      <c r="N417" s="1082"/>
      <c r="O417" s="1082"/>
      <c r="P417" s="1082"/>
      <c r="Q417" s="1082"/>
      <c r="R417" s="1082"/>
      <c r="S417" s="1082"/>
      <c r="T417" s="1082"/>
      <c r="U417" s="1082"/>
      <c r="V417" s="1082"/>
      <c r="W417" s="1082"/>
      <c r="X417" s="1082"/>
      <c r="Y417" s="1082"/>
      <c r="Z417" s="1082"/>
      <c r="AA417" s="1082"/>
      <c r="AB417" s="1082"/>
      <c r="AC417" s="1082"/>
      <c r="AD417" s="1082"/>
      <c r="AE417" s="1082"/>
      <c r="AF417" s="1082"/>
    </row>
    <row r="418">
      <c r="A418" s="1119"/>
      <c r="B418" s="1119"/>
      <c r="C418" s="1119" t="s">
        <v>7287</v>
      </c>
      <c r="D418" s="1101"/>
      <c r="E418" s="1101"/>
      <c r="F418" s="1101"/>
      <c r="G418" s="1101"/>
      <c r="H418" s="1101"/>
      <c r="I418" s="1101"/>
      <c r="J418" s="1102"/>
      <c r="K418" s="1101"/>
      <c r="L418" s="1101"/>
      <c r="M418" s="1082"/>
      <c r="N418" s="1082"/>
      <c r="O418" s="1082"/>
      <c r="P418" s="1082"/>
      <c r="Q418" s="1082"/>
      <c r="R418" s="1082"/>
      <c r="S418" s="1082"/>
      <c r="T418" s="1082"/>
      <c r="U418" s="1082"/>
      <c r="V418" s="1082"/>
      <c r="W418" s="1082"/>
      <c r="X418" s="1082"/>
      <c r="Y418" s="1082"/>
      <c r="Z418" s="1082"/>
      <c r="AA418" s="1082"/>
      <c r="AB418" s="1082"/>
      <c r="AC418" s="1082"/>
      <c r="AD418" s="1082"/>
      <c r="AE418" s="1082"/>
      <c r="AF418" s="1082"/>
    </row>
    <row r="419">
      <c r="A419" s="1115"/>
      <c r="B419" s="1115"/>
      <c r="C419" s="1115" t="s">
        <v>1588</v>
      </c>
      <c r="D419" s="1105"/>
      <c r="E419" s="1105"/>
      <c r="F419" s="1105"/>
      <c r="G419" s="1105"/>
      <c r="H419" s="1105"/>
      <c r="I419" s="1105"/>
      <c r="J419" s="1104"/>
      <c r="K419" s="1105"/>
      <c r="L419" s="1105"/>
      <c r="M419" s="1082"/>
      <c r="N419" s="1082"/>
      <c r="O419" s="1082"/>
      <c r="P419" s="1082"/>
      <c r="Q419" s="1082"/>
      <c r="R419" s="1082"/>
      <c r="S419" s="1082"/>
      <c r="T419" s="1082"/>
      <c r="U419" s="1082"/>
      <c r="V419" s="1082"/>
      <c r="W419" s="1082"/>
      <c r="X419" s="1082"/>
      <c r="Y419" s="1082"/>
      <c r="Z419" s="1082"/>
      <c r="AA419" s="1082"/>
      <c r="AB419" s="1082"/>
      <c r="AC419" s="1082"/>
      <c r="AD419" s="1082"/>
      <c r="AE419" s="1082"/>
      <c r="AF419" s="1082"/>
    </row>
    <row r="420">
      <c r="A420" s="1100"/>
      <c r="B420" s="1100"/>
      <c r="C420" s="1100" t="s">
        <v>1929</v>
      </c>
      <c r="D420" s="1114"/>
      <c r="E420" s="1114"/>
      <c r="F420" s="1101"/>
      <c r="G420" s="1101"/>
      <c r="H420" s="1101"/>
      <c r="I420" s="1101"/>
      <c r="J420" s="1102"/>
      <c r="K420" s="1101"/>
      <c r="L420" s="1101"/>
      <c r="M420" s="1082"/>
      <c r="N420" s="1082"/>
      <c r="O420" s="1082"/>
      <c r="P420" s="1082"/>
      <c r="Q420" s="1082"/>
      <c r="R420" s="1082"/>
      <c r="S420" s="1082"/>
      <c r="T420" s="1082"/>
      <c r="U420" s="1082"/>
      <c r="V420" s="1082"/>
      <c r="W420" s="1082"/>
      <c r="X420" s="1082"/>
      <c r="Y420" s="1082"/>
      <c r="Z420" s="1082"/>
      <c r="AA420" s="1082"/>
      <c r="AB420" s="1082"/>
      <c r="AC420" s="1082"/>
      <c r="AD420" s="1082"/>
      <c r="AE420" s="1082"/>
      <c r="AF420" s="1082"/>
    </row>
    <row r="421">
      <c r="A421" s="1115"/>
      <c r="B421" s="1115"/>
      <c r="C421" s="1115" t="s">
        <v>3822</v>
      </c>
      <c r="D421" s="1113"/>
      <c r="E421" s="1113"/>
      <c r="F421" s="1105"/>
      <c r="G421" s="1105"/>
      <c r="H421" s="1105"/>
      <c r="I421" s="1105"/>
      <c r="J421" s="1104"/>
      <c r="K421" s="1105"/>
      <c r="L421" s="1105"/>
      <c r="M421" s="1082"/>
      <c r="N421" s="1082"/>
      <c r="O421" s="1082"/>
      <c r="P421" s="1082"/>
      <c r="Q421" s="1082"/>
      <c r="R421" s="1082"/>
      <c r="S421" s="1082"/>
      <c r="T421" s="1082"/>
      <c r="U421" s="1082"/>
      <c r="V421" s="1082"/>
      <c r="W421" s="1082"/>
      <c r="X421" s="1082"/>
      <c r="Y421" s="1082"/>
      <c r="Z421" s="1082"/>
      <c r="AA421" s="1082"/>
      <c r="AB421" s="1082"/>
      <c r="AC421" s="1082"/>
      <c r="AD421" s="1082"/>
      <c r="AE421" s="1082"/>
      <c r="AF421" s="1082"/>
    </row>
    <row r="422">
      <c r="A422" s="1100"/>
      <c r="B422" s="1100"/>
      <c r="C422" s="1100" t="s">
        <v>7290</v>
      </c>
      <c r="D422" s="1114"/>
      <c r="E422" s="1114"/>
      <c r="F422" s="1101"/>
      <c r="G422" s="1101"/>
      <c r="H422" s="1101"/>
      <c r="I422" s="1101"/>
      <c r="J422" s="1102"/>
      <c r="K422" s="1101"/>
      <c r="L422" s="1101"/>
      <c r="M422" s="1082"/>
      <c r="N422" s="1082"/>
      <c r="O422" s="1082"/>
      <c r="P422" s="1082"/>
      <c r="Q422" s="1082"/>
      <c r="R422" s="1082"/>
      <c r="S422" s="1082"/>
      <c r="T422" s="1082"/>
      <c r="U422" s="1082"/>
      <c r="V422" s="1082"/>
      <c r="W422" s="1082"/>
      <c r="X422" s="1082"/>
      <c r="Y422" s="1082"/>
      <c r="Z422" s="1082"/>
      <c r="AA422" s="1082"/>
      <c r="AB422" s="1082"/>
      <c r="AC422" s="1082"/>
      <c r="AD422" s="1082"/>
      <c r="AE422" s="1082"/>
      <c r="AF422" s="1082"/>
    </row>
    <row r="423">
      <c r="A423" s="1115"/>
      <c r="B423" s="1115"/>
      <c r="C423" s="1115" t="s">
        <v>7292</v>
      </c>
      <c r="D423" s="1105"/>
      <c r="E423" s="1105"/>
      <c r="F423" s="1105"/>
      <c r="G423" s="1105"/>
      <c r="H423" s="1105"/>
      <c r="I423" s="1105"/>
      <c r="J423" s="1104"/>
      <c r="K423" s="1105"/>
      <c r="L423" s="1105"/>
      <c r="M423" s="1082"/>
      <c r="N423" s="1082"/>
      <c r="O423" s="1082"/>
      <c r="P423" s="1082"/>
      <c r="Q423" s="1082"/>
      <c r="R423" s="1082"/>
      <c r="S423" s="1082"/>
      <c r="T423" s="1082"/>
      <c r="U423" s="1082"/>
      <c r="V423" s="1082"/>
      <c r="W423" s="1082"/>
      <c r="X423" s="1082"/>
      <c r="Y423" s="1082"/>
      <c r="Z423" s="1082"/>
      <c r="AA423" s="1082"/>
      <c r="AB423" s="1082"/>
      <c r="AC423" s="1082"/>
      <c r="AD423" s="1082"/>
      <c r="AE423" s="1082"/>
      <c r="AF423" s="1082"/>
    </row>
    <row r="424">
      <c r="A424" s="1119"/>
      <c r="B424" s="1119"/>
      <c r="C424" s="1119" t="s">
        <v>7294</v>
      </c>
      <c r="D424" s="1101"/>
      <c r="E424" s="1101"/>
      <c r="F424" s="1101"/>
      <c r="G424" s="1101"/>
      <c r="H424" s="1101"/>
      <c r="I424" s="1101"/>
      <c r="J424" s="1102"/>
      <c r="K424" s="1101"/>
      <c r="L424" s="1101"/>
      <c r="M424" s="1082"/>
      <c r="N424" s="1082"/>
      <c r="O424" s="1082"/>
      <c r="P424" s="1082"/>
      <c r="Q424" s="1082"/>
      <c r="R424" s="1082"/>
      <c r="S424" s="1082"/>
      <c r="T424" s="1082"/>
      <c r="U424" s="1082"/>
      <c r="V424" s="1082"/>
      <c r="W424" s="1082"/>
      <c r="X424" s="1082"/>
      <c r="Y424" s="1082"/>
      <c r="Z424" s="1082"/>
      <c r="AA424" s="1082"/>
      <c r="AB424" s="1082"/>
      <c r="AC424" s="1082"/>
      <c r="AD424" s="1082"/>
      <c r="AE424" s="1082"/>
      <c r="AF424" s="1082"/>
    </row>
    <row r="425">
      <c r="A425" s="1117"/>
      <c r="B425" s="1117"/>
      <c r="C425" s="1117" t="s">
        <v>5621</v>
      </c>
      <c r="D425" s="1105"/>
      <c r="E425" s="1105"/>
      <c r="F425" s="1105"/>
      <c r="G425" s="1105"/>
      <c r="H425" s="1105"/>
      <c r="I425" s="1105"/>
      <c r="J425" s="1104"/>
      <c r="K425" s="1105"/>
      <c r="L425" s="1105"/>
      <c r="M425" s="1082"/>
      <c r="N425" s="1082"/>
      <c r="O425" s="1082"/>
      <c r="P425" s="1082"/>
      <c r="Q425" s="1082"/>
      <c r="R425" s="1082"/>
      <c r="S425" s="1082"/>
      <c r="T425" s="1082"/>
      <c r="U425" s="1082"/>
      <c r="V425" s="1082"/>
      <c r="W425" s="1082"/>
      <c r="X425" s="1082"/>
      <c r="Y425" s="1082"/>
      <c r="Z425" s="1082"/>
      <c r="AA425" s="1082"/>
      <c r="AB425" s="1082"/>
      <c r="AC425" s="1082"/>
      <c r="AD425" s="1082"/>
      <c r="AE425" s="1082"/>
      <c r="AF425" s="1082"/>
    </row>
    <row r="426">
      <c r="A426" s="1116"/>
      <c r="B426" s="1116"/>
      <c r="C426" s="1116" t="s">
        <v>1008</v>
      </c>
      <c r="D426" s="1101"/>
      <c r="E426" s="1101"/>
      <c r="F426" s="1101"/>
      <c r="G426" s="1101"/>
      <c r="H426" s="1101"/>
      <c r="I426" s="1101"/>
      <c r="J426" s="1102"/>
      <c r="K426" s="1101"/>
      <c r="L426" s="1101"/>
      <c r="M426" s="1082"/>
      <c r="N426" s="1082"/>
      <c r="O426" s="1082"/>
      <c r="P426" s="1082"/>
      <c r="Q426" s="1082"/>
      <c r="R426" s="1082"/>
      <c r="S426" s="1082"/>
      <c r="T426" s="1082"/>
      <c r="U426" s="1082"/>
      <c r="V426" s="1082"/>
      <c r="W426" s="1082"/>
      <c r="X426" s="1082"/>
      <c r="Y426" s="1082"/>
      <c r="Z426" s="1082"/>
      <c r="AA426" s="1082"/>
      <c r="AB426" s="1082"/>
      <c r="AC426" s="1082"/>
      <c r="AD426" s="1082"/>
      <c r="AE426" s="1082"/>
      <c r="AF426" s="1082"/>
    </row>
    <row r="427">
      <c r="A427" s="1120"/>
      <c r="B427" s="1120"/>
      <c r="C427" s="1120" t="s">
        <v>2135</v>
      </c>
      <c r="D427" s="1105"/>
      <c r="E427" s="1105"/>
      <c r="F427" s="1105"/>
      <c r="G427" s="1105"/>
      <c r="H427" s="1105"/>
      <c r="I427" s="1105"/>
      <c r="J427" s="1104"/>
      <c r="K427" s="1105"/>
      <c r="L427" s="1105"/>
      <c r="M427" s="1082"/>
      <c r="N427" s="1082"/>
      <c r="O427" s="1082"/>
      <c r="P427" s="1082"/>
      <c r="Q427" s="1082"/>
      <c r="R427" s="1082"/>
      <c r="S427" s="1082"/>
      <c r="T427" s="1082"/>
      <c r="U427" s="1082"/>
      <c r="V427" s="1082"/>
      <c r="W427" s="1082"/>
      <c r="X427" s="1082"/>
      <c r="Y427" s="1082"/>
      <c r="Z427" s="1082"/>
      <c r="AA427" s="1082"/>
      <c r="AB427" s="1082"/>
      <c r="AC427" s="1082"/>
      <c r="AD427" s="1082"/>
      <c r="AE427" s="1082"/>
      <c r="AF427" s="1082"/>
    </row>
    <row r="428">
      <c r="A428" s="1116"/>
      <c r="B428" s="1116"/>
      <c r="C428" s="1116" t="s">
        <v>8067</v>
      </c>
      <c r="D428" s="1101"/>
      <c r="E428" s="1101"/>
      <c r="F428" s="1101"/>
      <c r="G428" s="1101"/>
      <c r="H428" s="1101"/>
      <c r="I428" s="1101"/>
      <c r="J428" s="1102"/>
      <c r="K428" s="1101"/>
      <c r="L428" s="1101"/>
      <c r="M428" s="1082"/>
      <c r="N428" s="1082"/>
      <c r="O428" s="1082"/>
      <c r="P428" s="1082"/>
      <c r="Q428" s="1082"/>
      <c r="R428" s="1082"/>
      <c r="S428" s="1082"/>
      <c r="T428" s="1082"/>
      <c r="U428" s="1082"/>
      <c r="V428" s="1082"/>
      <c r="W428" s="1082"/>
      <c r="X428" s="1082"/>
      <c r="Y428" s="1082"/>
      <c r="Z428" s="1082"/>
      <c r="AA428" s="1082"/>
      <c r="AB428" s="1082"/>
      <c r="AC428" s="1082"/>
      <c r="AD428" s="1082"/>
      <c r="AE428" s="1082"/>
      <c r="AF428" s="1082"/>
    </row>
    <row r="429">
      <c r="A429" s="1117"/>
      <c r="B429" s="1117"/>
      <c r="C429" s="1117" t="s">
        <v>10325</v>
      </c>
      <c r="D429" s="1105"/>
      <c r="E429" s="1105"/>
      <c r="F429" s="1105"/>
      <c r="G429" s="1105"/>
      <c r="H429" s="1105"/>
      <c r="I429" s="1105"/>
      <c r="J429" s="1104"/>
      <c r="K429" s="1105"/>
      <c r="L429" s="1105"/>
      <c r="M429" s="1082"/>
      <c r="N429" s="1082"/>
      <c r="O429" s="1082"/>
      <c r="P429" s="1082"/>
      <c r="Q429" s="1082"/>
      <c r="R429" s="1082"/>
      <c r="S429" s="1082"/>
      <c r="T429" s="1082"/>
      <c r="U429" s="1082"/>
      <c r="V429" s="1082"/>
      <c r="W429" s="1082"/>
      <c r="X429" s="1082"/>
      <c r="Y429" s="1082"/>
      <c r="Z429" s="1082"/>
      <c r="AA429" s="1082"/>
      <c r="AB429" s="1082"/>
      <c r="AC429" s="1082"/>
      <c r="AD429" s="1082"/>
      <c r="AE429" s="1082"/>
      <c r="AF429" s="1082"/>
    </row>
    <row r="430">
      <c r="A430" s="1100"/>
      <c r="B430" s="1100"/>
      <c r="C430" s="1100" t="s">
        <v>10326</v>
      </c>
      <c r="D430" s="1101"/>
      <c r="E430" s="1101"/>
      <c r="F430" s="1101"/>
      <c r="G430" s="1101"/>
      <c r="H430" s="1101"/>
      <c r="I430" s="1101"/>
      <c r="J430" s="1102"/>
      <c r="K430" s="1101"/>
      <c r="L430" s="1101"/>
      <c r="M430" s="1082"/>
      <c r="N430" s="1082"/>
      <c r="O430" s="1082"/>
      <c r="P430" s="1082"/>
      <c r="Q430" s="1082"/>
      <c r="R430" s="1082"/>
      <c r="S430" s="1082"/>
      <c r="T430" s="1082"/>
      <c r="U430" s="1082"/>
      <c r="V430" s="1082"/>
      <c r="W430" s="1082"/>
      <c r="X430" s="1082"/>
      <c r="Y430" s="1082"/>
      <c r="Z430" s="1082"/>
      <c r="AA430" s="1082"/>
      <c r="AB430" s="1082"/>
      <c r="AC430" s="1082"/>
      <c r="AD430" s="1082"/>
      <c r="AE430" s="1082"/>
      <c r="AF430" s="1082"/>
    </row>
    <row r="431">
      <c r="A431" s="1117"/>
      <c r="B431" s="1117"/>
      <c r="C431" s="1117" t="s">
        <v>10327</v>
      </c>
      <c r="D431" s="1105"/>
      <c r="E431" s="1105"/>
      <c r="F431" s="1105"/>
      <c r="G431" s="1105"/>
      <c r="H431" s="1105"/>
      <c r="I431" s="1105"/>
      <c r="J431" s="1104"/>
      <c r="K431" s="1105"/>
      <c r="L431" s="1105"/>
      <c r="M431" s="1082"/>
      <c r="N431" s="1082"/>
      <c r="O431" s="1082"/>
      <c r="P431" s="1082"/>
      <c r="Q431" s="1082"/>
      <c r="R431" s="1082"/>
      <c r="S431" s="1082"/>
      <c r="T431" s="1082"/>
      <c r="U431" s="1082"/>
      <c r="V431" s="1082"/>
      <c r="W431" s="1082"/>
      <c r="X431" s="1082"/>
      <c r="Y431" s="1082"/>
      <c r="Z431" s="1082"/>
      <c r="AA431" s="1082"/>
      <c r="AB431" s="1082"/>
      <c r="AC431" s="1082"/>
      <c r="AD431" s="1082"/>
      <c r="AE431" s="1082"/>
      <c r="AF431" s="1082"/>
    </row>
    <row r="432">
      <c r="A432" s="1116"/>
      <c r="B432" s="1116"/>
      <c r="C432" s="1116" t="s">
        <v>7971</v>
      </c>
      <c r="D432" s="1101"/>
      <c r="E432" s="1101"/>
      <c r="F432" s="1101"/>
      <c r="G432" s="1101"/>
      <c r="H432" s="1101"/>
      <c r="I432" s="1101"/>
      <c r="J432" s="1102"/>
      <c r="K432" s="1101"/>
      <c r="L432" s="1101"/>
      <c r="M432" s="1082"/>
      <c r="N432" s="1082"/>
      <c r="O432" s="1082"/>
      <c r="P432" s="1082"/>
      <c r="Q432" s="1082"/>
      <c r="R432" s="1082"/>
      <c r="S432" s="1082"/>
      <c r="T432" s="1082"/>
      <c r="U432" s="1082"/>
      <c r="V432" s="1082"/>
      <c r="W432" s="1082"/>
      <c r="X432" s="1082"/>
      <c r="Y432" s="1082"/>
      <c r="Z432" s="1082"/>
      <c r="AA432" s="1082"/>
      <c r="AB432" s="1082"/>
      <c r="AC432" s="1082"/>
      <c r="AD432" s="1082"/>
      <c r="AE432" s="1082"/>
      <c r="AF432" s="1082"/>
    </row>
    <row r="433">
      <c r="A433" s="1117"/>
      <c r="B433" s="1117"/>
      <c r="C433" s="1117" t="s">
        <v>10328</v>
      </c>
      <c r="D433" s="1105"/>
      <c r="E433" s="1105"/>
      <c r="F433" s="1105"/>
      <c r="G433" s="1105"/>
      <c r="H433" s="1105"/>
      <c r="I433" s="1105"/>
      <c r="J433" s="1104"/>
      <c r="K433" s="1105"/>
      <c r="L433" s="1105"/>
      <c r="M433" s="1082"/>
      <c r="N433" s="1082"/>
      <c r="O433" s="1082"/>
      <c r="P433" s="1082"/>
      <c r="Q433" s="1082"/>
      <c r="R433" s="1082"/>
      <c r="S433" s="1082"/>
      <c r="T433" s="1082"/>
      <c r="U433" s="1082"/>
      <c r="V433" s="1082"/>
      <c r="W433" s="1082"/>
      <c r="X433" s="1082"/>
      <c r="Y433" s="1082"/>
      <c r="Z433" s="1082"/>
      <c r="AA433" s="1082"/>
      <c r="AB433" s="1082"/>
      <c r="AC433" s="1082"/>
      <c r="AD433" s="1082"/>
      <c r="AE433" s="1082"/>
      <c r="AF433" s="1082"/>
    </row>
    <row r="434">
      <c r="A434" s="1116"/>
      <c r="B434" s="1116"/>
      <c r="C434" s="1116" t="s">
        <v>10329</v>
      </c>
      <c r="D434" s="1101"/>
      <c r="E434" s="1101"/>
      <c r="F434" s="1101"/>
      <c r="G434" s="1101"/>
      <c r="H434" s="1101"/>
      <c r="I434" s="1101"/>
      <c r="J434" s="1102"/>
      <c r="K434" s="1101"/>
      <c r="L434" s="1101"/>
      <c r="M434" s="1082"/>
      <c r="N434" s="1082"/>
      <c r="O434" s="1082"/>
      <c r="P434" s="1082"/>
      <c r="Q434" s="1082"/>
      <c r="R434" s="1082"/>
      <c r="S434" s="1082"/>
      <c r="T434" s="1082"/>
      <c r="U434" s="1082"/>
      <c r="V434" s="1082"/>
      <c r="W434" s="1082"/>
      <c r="X434" s="1082"/>
      <c r="Y434" s="1082"/>
      <c r="Z434" s="1082"/>
      <c r="AA434" s="1082"/>
      <c r="AB434" s="1082"/>
      <c r="AC434" s="1082"/>
      <c r="AD434" s="1082"/>
      <c r="AE434" s="1082"/>
      <c r="AF434" s="1082"/>
    </row>
    <row r="435">
      <c r="A435" s="1117"/>
      <c r="B435" s="1117"/>
      <c r="C435" s="1117" t="s">
        <v>10330</v>
      </c>
      <c r="D435" s="1105"/>
      <c r="E435" s="1105"/>
      <c r="F435" s="1105"/>
      <c r="G435" s="1105"/>
      <c r="H435" s="1105"/>
      <c r="I435" s="1105"/>
      <c r="J435" s="1104"/>
      <c r="K435" s="1105"/>
      <c r="L435" s="1105"/>
      <c r="M435" s="1082"/>
      <c r="N435" s="1082"/>
      <c r="O435" s="1082"/>
      <c r="P435" s="1082"/>
      <c r="Q435" s="1082"/>
      <c r="R435" s="1082"/>
      <c r="S435" s="1082"/>
      <c r="T435" s="1082"/>
      <c r="U435" s="1082"/>
      <c r="V435" s="1082"/>
      <c r="W435" s="1082"/>
      <c r="X435" s="1082"/>
      <c r="Y435" s="1082"/>
      <c r="Z435" s="1082"/>
      <c r="AA435" s="1082"/>
      <c r="AB435" s="1082"/>
      <c r="AC435" s="1082"/>
      <c r="AD435" s="1082"/>
      <c r="AE435" s="1082"/>
      <c r="AF435" s="1082"/>
    </row>
    <row r="436">
      <c r="A436" s="1100"/>
      <c r="B436" s="1100"/>
      <c r="C436" s="1100" t="s">
        <v>5478</v>
      </c>
      <c r="D436" s="1101"/>
      <c r="E436" s="1101"/>
      <c r="F436" s="1101"/>
      <c r="G436" s="1101"/>
      <c r="H436" s="1101"/>
      <c r="I436" s="1101"/>
      <c r="J436" s="1102"/>
      <c r="K436" s="1101"/>
      <c r="L436" s="1101"/>
      <c r="M436" s="1082"/>
      <c r="N436" s="1082"/>
      <c r="O436" s="1082"/>
      <c r="P436" s="1082"/>
      <c r="Q436" s="1082"/>
      <c r="R436" s="1082"/>
      <c r="S436" s="1082"/>
      <c r="T436" s="1082"/>
      <c r="U436" s="1082"/>
      <c r="V436" s="1082"/>
      <c r="W436" s="1082"/>
      <c r="X436" s="1082"/>
      <c r="Y436" s="1082"/>
      <c r="Z436" s="1082"/>
      <c r="AA436" s="1082"/>
      <c r="AB436" s="1082"/>
      <c r="AC436" s="1082"/>
      <c r="AD436" s="1082"/>
      <c r="AE436" s="1082"/>
      <c r="AF436" s="1082"/>
    </row>
    <row r="437">
      <c r="A437" s="1117"/>
      <c r="B437" s="1117"/>
      <c r="C437" s="1117" t="s">
        <v>3236</v>
      </c>
      <c r="D437" s="1105"/>
      <c r="E437" s="1105"/>
      <c r="F437" s="1105"/>
      <c r="G437" s="1105"/>
      <c r="H437" s="1105"/>
      <c r="I437" s="1105"/>
      <c r="J437" s="1104"/>
      <c r="K437" s="1105"/>
      <c r="L437" s="1105"/>
      <c r="M437" s="1082"/>
      <c r="N437" s="1082"/>
      <c r="O437" s="1082"/>
      <c r="P437" s="1082"/>
      <c r="Q437" s="1082"/>
      <c r="R437" s="1082"/>
      <c r="S437" s="1082"/>
      <c r="T437" s="1082"/>
      <c r="U437" s="1082"/>
      <c r="V437" s="1082"/>
      <c r="W437" s="1082"/>
      <c r="X437" s="1082"/>
      <c r="Y437" s="1082"/>
      <c r="Z437" s="1082"/>
      <c r="AA437" s="1082"/>
      <c r="AB437" s="1082"/>
      <c r="AC437" s="1082"/>
      <c r="AD437" s="1082"/>
      <c r="AE437" s="1082"/>
      <c r="AF437" s="1082"/>
    </row>
    <row r="438">
      <c r="A438" s="1116"/>
      <c r="B438" s="1116"/>
      <c r="C438" s="1116" t="s">
        <v>10331</v>
      </c>
      <c r="D438" s="1116"/>
      <c r="E438" s="1116"/>
      <c r="F438" s="1116"/>
      <c r="G438" s="1116"/>
      <c r="H438" s="1116"/>
      <c r="I438" s="1116"/>
      <c r="J438" s="1102"/>
      <c r="K438" s="1101"/>
      <c r="L438" s="1101"/>
      <c r="M438" s="1082"/>
      <c r="N438" s="1082"/>
      <c r="O438" s="1082"/>
      <c r="P438" s="1082"/>
      <c r="Q438" s="1082"/>
      <c r="R438" s="1082"/>
      <c r="S438" s="1082"/>
      <c r="T438" s="1082"/>
      <c r="U438" s="1082"/>
      <c r="V438" s="1082"/>
      <c r="W438" s="1082"/>
      <c r="X438" s="1082"/>
      <c r="Y438" s="1082"/>
      <c r="Z438" s="1082"/>
      <c r="AA438" s="1082"/>
      <c r="AB438" s="1082"/>
      <c r="AC438" s="1082"/>
      <c r="AD438" s="1082"/>
      <c r="AE438" s="1082"/>
      <c r="AF438" s="1082"/>
    </row>
    <row r="439">
      <c r="A439" s="1120"/>
      <c r="B439" s="1120"/>
      <c r="C439" s="1120" t="s">
        <v>7299</v>
      </c>
      <c r="D439" s="1117"/>
      <c r="E439" s="1117"/>
      <c r="F439" s="1117"/>
      <c r="G439" s="1117"/>
      <c r="H439" s="1117"/>
      <c r="I439" s="1117"/>
      <c r="J439" s="1104"/>
      <c r="K439" s="1105"/>
      <c r="L439" s="1105"/>
      <c r="M439" s="1082"/>
      <c r="N439" s="1082"/>
      <c r="O439" s="1082"/>
      <c r="P439" s="1082"/>
      <c r="Q439" s="1082"/>
      <c r="R439" s="1082"/>
      <c r="S439" s="1082"/>
      <c r="T439" s="1082"/>
      <c r="U439" s="1082"/>
      <c r="V439" s="1082"/>
      <c r="W439" s="1082"/>
      <c r="X439" s="1082"/>
      <c r="Y439" s="1082"/>
      <c r="Z439" s="1082"/>
      <c r="AA439" s="1082"/>
      <c r="AB439" s="1082"/>
      <c r="AC439" s="1082"/>
      <c r="AD439" s="1082"/>
      <c r="AE439" s="1082"/>
      <c r="AF439" s="1082"/>
    </row>
    <row r="440">
      <c r="A440" s="1118"/>
      <c r="B440" s="1118"/>
      <c r="C440" s="1118" t="s">
        <v>2231</v>
      </c>
      <c r="D440" s="1116"/>
      <c r="E440" s="1116"/>
      <c r="F440" s="1116"/>
      <c r="G440" s="1116"/>
      <c r="H440" s="1116"/>
      <c r="I440" s="1116"/>
      <c r="J440" s="1102"/>
      <c r="K440" s="1101"/>
      <c r="L440" s="1101"/>
      <c r="M440" s="1082"/>
      <c r="N440" s="1082"/>
      <c r="O440" s="1082"/>
      <c r="P440" s="1082"/>
      <c r="Q440" s="1082"/>
      <c r="R440" s="1082"/>
      <c r="S440" s="1082"/>
      <c r="T440" s="1082"/>
      <c r="U440" s="1082"/>
      <c r="V440" s="1082"/>
      <c r="W440" s="1082"/>
      <c r="X440" s="1082"/>
      <c r="Y440" s="1082"/>
      <c r="Z440" s="1082"/>
      <c r="AA440" s="1082"/>
      <c r="AB440" s="1082"/>
      <c r="AC440" s="1082"/>
      <c r="AD440" s="1082"/>
      <c r="AE440" s="1082"/>
      <c r="AF440" s="1082"/>
    </row>
    <row r="441">
      <c r="A441" s="1117"/>
      <c r="B441" s="1117"/>
      <c r="C441" s="1117" t="s">
        <v>5671</v>
      </c>
      <c r="D441" s="1117"/>
      <c r="E441" s="1117"/>
      <c r="F441" s="1117"/>
      <c r="G441" s="1117"/>
      <c r="H441" s="1117"/>
      <c r="I441" s="1117"/>
      <c r="J441" s="1104"/>
      <c r="K441" s="1105"/>
      <c r="L441" s="1105"/>
      <c r="M441" s="1082"/>
      <c r="N441" s="1082"/>
      <c r="O441" s="1082"/>
      <c r="P441" s="1082"/>
      <c r="Q441" s="1082"/>
      <c r="R441" s="1082"/>
      <c r="S441" s="1082"/>
      <c r="T441" s="1082"/>
      <c r="U441" s="1082"/>
      <c r="V441" s="1082"/>
      <c r="W441" s="1082"/>
      <c r="X441" s="1082"/>
      <c r="Y441" s="1082"/>
      <c r="Z441" s="1082"/>
      <c r="AA441" s="1082"/>
      <c r="AB441" s="1082"/>
      <c r="AC441" s="1082"/>
      <c r="AD441" s="1082"/>
      <c r="AE441" s="1082"/>
      <c r="AF441" s="1082"/>
    </row>
    <row r="442">
      <c r="A442" s="1100"/>
      <c r="B442" s="1100"/>
      <c r="C442" s="1100" t="s">
        <v>10332</v>
      </c>
      <c r="D442" s="1100"/>
      <c r="E442" s="1100"/>
      <c r="F442" s="1100"/>
      <c r="G442" s="1100"/>
      <c r="H442" s="1100"/>
      <c r="I442" s="1100"/>
      <c r="J442" s="1102"/>
      <c r="K442" s="1101"/>
      <c r="L442" s="1101"/>
      <c r="M442" s="1082"/>
      <c r="N442" s="1082"/>
      <c r="O442" s="1082"/>
      <c r="P442" s="1082"/>
      <c r="Q442" s="1082"/>
      <c r="R442" s="1082"/>
      <c r="S442" s="1082"/>
      <c r="T442" s="1082"/>
      <c r="U442" s="1082"/>
      <c r="V442" s="1082"/>
      <c r="W442" s="1082"/>
      <c r="X442" s="1082"/>
      <c r="Y442" s="1082"/>
      <c r="Z442" s="1082"/>
      <c r="AA442" s="1082"/>
      <c r="AB442" s="1082"/>
      <c r="AC442" s="1082"/>
      <c r="AD442" s="1082"/>
      <c r="AE442" s="1082"/>
      <c r="AF442" s="1082"/>
    </row>
    <row r="443">
      <c r="A443" s="1115"/>
      <c r="B443" s="1115"/>
      <c r="C443" s="1115" t="s">
        <v>7302</v>
      </c>
      <c r="D443" s="1112"/>
      <c r="E443" s="1112"/>
      <c r="F443" s="1112"/>
      <c r="G443" s="1112"/>
      <c r="H443" s="1112"/>
      <c r="I443" s="1112"/>
      <c r="J443" s="1104"/>
      <c r="K443" s="1105"/>
      <c r="L443" s="1105"/>
      <c r="M443" s="1082"/>
      <c r="N443" s="1082"/>
      <c r="O443" s="1082"/>
      <c r="P443" s="1082"/>
      <c r="Q443" s="1082"/>
      <c r="R443" s="1082"/>
      <c r="S443" s="1082"/>
      <c r="T443" s="1082"/>
      <c r="U443" s="1082"/>
      <c r="V443" s="1082"/>
      <c r="W443" s="1082"/>
      <c r="X443" s="1082"/>
      <c r="Y443" s="1082"/>
      <c r="Z443" s="1082"/>
      <c r="AA443" s="1082"/>
      <c r="AB443" s="1082"/>
      <c r="AC443" s="1082"/>
      <c r="AD443" s="1082"/>
      <c r="AE443" s="1082"/>
      <c r="AF443" s="1082"/>
    </row>
    <row r="444">
      <c r="A444" s="1116"/>
      <c r="B444" s="1116"/>
      <c r="C444" s="1116" t="s">
        <v>3929</v>
      </c>
      <c r="D444" s="1116"/>
      <c r="E444" s="1116"/>
      <c r="F444" s="1116"/>
      <c r="G444" s="1116"/>
      <c r="H444" s="1116"/>
      <c r="I444" s="1116"/>
      <c r="J444" s="1102"/>
      <c r="K444" s="1101"/>
      <c r="L444" s="1101"/>
      <c r="M444" s="1082"/>
      <c r="N444" s="1082"/>
      <c r="O444" s="1082"/>
      <c r="P444" s="1082"/>
      <c r="Q444" s="1082"/>
      <c r="R444" s="1082"/>
      <c r="S444" s="1082"/>
      <c r="T444" s="1082"/>
      <c r="U444" s="1082"/>
      <c r="V444" s="1082"/>
      <c r="W444" s="1082"/>
      <c r="X444" s="1082"/>
      <c r="Y444" s="1082"/>
      <c r="Z444" s="1082"/>
      <c r="AA444" s="1082"/>
      <c r="AB444" s="1082"/>
      <c r="AC444" s="1082"/>
      <c r="AD444" s="1082"/>
      <c r="AE444" s="1082"/>
      <c r="AF444" s="1082"/>
    </row>
    <row r="445">
      <c r="A445" s="1112"/>
      <c r="B445" s="1112"/>
      <c r="C445" s="1112" t="s">
        <v>10333</v>
      </c>
      <c r="D445" s="1112"/>
      <c r="E445" s="1112"/>
      <c r="F445" s="1112"/>
      <c r="G445" s="1112"/>
      <c r="H445" s="1112"/>
      <c r="I445" s="1112"/>
      <c r="J445" s="1104"/>
      <c r="K445" s="1105"/>
      <c r="L445" s="1105"/>
      <c r="M445" s="1082"/>
      <c r="N445" s="1082"/>
      <c r="O445" s="1082"/>
      <c r="P445" s="1082"/>
      <c r="Q445" s="1082"/>
      <c r="R445" s="1082"/>
      <c r="S445" s="1082"/>
      <c r="T445" s="1082"/>
      <c r="U445" s="1082"/>
      <c r="V445" s="1082"/>
      <c r="W445" s="1082"/>
      <c r="X445" s="1082"/>
      <c r="Y445" s="1082"/>
      <c r="Z445" s="1082"/>
      <c r="AA445" s="1082"/>
      <c r="AB445" s="1082"/>
      <c r="AC445" s="1082"/>
      <c r="AD445" s="1082"/>
      <c r="AE445" s="1082"/>
      <c r="AF445" s="1082"/>
    </row>
    <row r="446">
      <c r="A446" s="1116"/>
      <c r="B446" s="1116"/>
      <c r="C446" s="1116" t="s">
        <v>10334</v>
      </c>
      <c r="D446" s="1116"/>
      <c r="E446" s="1116"/>
      <c r="F446" s="1116"/>
      <c r="G446" s="1116"/>
      <c r="H446" s="1116"/>
      <c r="I446" s="1116"/>
      <c r="J446" s="1102"/>
      <c r="K446" s="1101"/>
      <c r="L446" s="1101"/>
      <c r="M446" s="1082"/>
      <c r="N446" s="1082"/>
      <c r="O446" s="1082"/>
      <c r="P446" s="1082"/>
      <c r="Q446" s="1082"/>
      <c r="R446" s="1082"/>
      <c r="S446" s="1082"/>
      <c r="T446" s="1082"/>
      <c r="U446" s="1082"/>
      <c r="V446" s="1082"/>
      <c r="W446" s="1082"/>
      <c r="X446" s="1082"/>
      <c r="Y446" s="1082"/>
      <c r="Z446" s="1082"/>
      <c r="AA446" s="1082"/>
      <c r="AB446" s="1082"/>
      <c r="AC446" s="1082"/>
      <c r="AD446" s="1082"/>
      <c r="AE446" s="1082"/>
      <c r="AF446" s="1082"/>
    </row>
    <row r="447">
      <c r="A447" s="1112"/>
      <c r="B447" s="1112"/>
      <c r="C447" s="1112" t="s">
        <v>4475</v>
      </c>
      <c r="D447" s="1112"/>
      <c r="E447" s="1112"/>
      <c r="F447" s="1112"/>
      <c r="G447" s="1112"/>
      <c r="H447" s="1112"/>
      <c r="I447" s="1112"/>
      <c r="J447" s="1104"/>
      <c r="K447" s="1105"/>
      <c r="L447" s="1105"/>
      <c r="M447" s="1082"/>
      <c r="N447" s="1082"/>
      <c r="O447" s="1082"/>
      <c r="P447" s="1082"/>
      <c r="Q447" s="1082"/>
      <c r="R447" s="1082"/>
      <c r="S447" s="1082"/>
      <c r="T447" s="1082"/>
      <c r="U447" s="1082"/>
      <c r="V447" s="1082"/>
      <c r="W447" s="1082"/>
      <c r="X447" s="1082"/>
      <c r="Y447" s="1082"/>
      <c r="Z447" s="1082"/>
      <c r="AA447" s="1082"/>
      <c r="AB447" s="1082"/>
      <c r="AC447" s="1082"/>
      <c r="AD447" s="1082"/>
      <c r="AE447" s="1082"/>
      <c r="AF447" s="1082"/>
    </row>
    <row r="448">
      <c r="A448" s="1100"/>
      <c r="B448" s="1100"/>
      <c r="C448" s="1100" t="s">
        <v>10335</v>
      </c>
      <c r="D448" s="1100"/>
      <c r="E448" s="1100"/>
      <c r="F448" s="1100"/>
      <c r="G448" s="1100"/>
      <c r="H448" s="1100"/>
      <c r="I448" s="1100"/>
      <c r="J448" s="1102"/>
      <c r="K448" s="1101"/>
      <c r="L448" s="1101"/>
      <c r="M448" s="1082"/>
      <c r="N448" s="1082"/>
      <c r="O448" s="1082"/>
      <c r="P448" s="1082"/>
      <c r="Q448" s="1082"/>
      <c r="R448" s="1082"/>
      <c r="S448" s="1082"/>
      <c r="T448" s="1082"/>
      <c r="U448" s="1082"/>
      <c r="V448" s="1082"/>
      <c r="W448" s="1082"/>
      <c r="X448" s="1082"/>
      <c r="Y448" s="1082"/>
      <c r="Z448" s="1082"/>
      <c r="AA448" s="1082"/>
      <c r="AB448" s="1082"/>
      <c r="AC448" s="1082"/>
      <c r="AD448" s="1082"/>
      <c r="AE448" s="1082"/>
      <c r="AF448" s="1082"/>
    </row>
    <row r="449">
      <c r="A449" s="1117"/>
      <c r="B449" s="1117"/>
      <c r="C449" s="1117" t="s">
        <v>10336</v>
      </c>
      <c r="D449" s="1117"/>
      <c r="E449" s="1117"/>
      <c r="F449" s="1117"/>
      <c r="G449" s="1117"/>
      <c r="H449" s="1117"/>
      <c r="I449" s="1117"/>
      <c r="J449" s="1104"/>
      <c r="K449" s="1105"/>
      <c r="L449" s="1105"/>
      <c r="M449" s="1082"/>
      <c r="N449" s="1082"/>
      <c r="O449" s="1082"/>
      <c r="P449" s="1082"/>
      <c r="Q449" s="1082"/>
      <c r="R449" s="1082"/>
      <c r="S449" s="1082"/>
      <c r="T449" s="1082"/>
      <c r="U449" s="1082"/>
      <c r="V449" s="1082"/>
      <c r="W449" s="1082"/>
      <c r="X449" s="1082"/>
      <c r="Y449" s="1082"/>
      <c r="Z449" s="1082"/>
      <c r="AA449" s="1082"/>
      <c r="AB449" s="1082"/>
      <c r="AC449" s="1082"/>
      <c r="AD449" s="1082"/>
      <c r="AE449" s="1082"/>
      <c r="AF449" s="1082"/>
    </row>
    <row r="450">
      <c r="A450" s="1100"/>
      <c r="B450" s="1100"/>
      <c r="C450" s="1100" t="s">
        <v>113</v>
      </c>
      <c r="D450" s="1100"/>
      <c r="E450" s="1100"/>
      <c r="F450" s="1100"/>
      <c r="G450" s="1100"/>
      <c r="H450" s="1100"/>
      <c r="I450" s="1100"/>
      <c r="J450" s="1102"/>
      <c r="K450" s="1101"/>
      <c r="L450" s="1101"/>
      <c r="M450" s="1082"/>
      <c r="N450" s="1082"/>
      <c r="O450" s="1082"/>
      <c r="P450" s="1082"/>
      <c r="Q450" s="1082"/>
      <c r="R450" s="1082"/>
      <c r="S450" s="1082"/>
      <c r="T450" s="1082"/>
      <c r="U450" s="1082"/>
      <c r="V450" s="1082"/>
      <c r="W450" s="1082"/>
      <c r="X450" s="1082"/>
      <c r="Y450" s="1082"/>
      <c r="Z450" s="1082"/>
      <c r="AA450" s="1082"/>
      <c r="AB450" s="1082"/>
      <c r="AC450" s="1082"/>
      <c r="AD450" s="1082"/>
      <c r="AE450" s="1082"/>
      <c r="AF450" s="1082"/>
    </row>
    <row r="451">
      <c r="A451" s="1117"/>
      <c r="B451" s="1117"/>
      <c r="C451" s="1117" t="s">
        <v>10337</v>
      </c>
      <c r="D451" s="1117"/>
      <c r="E451" s="1117"/>
      <c r="F451" s="1117"/>
      <c r="G451" s="1117"/>
      <c r="H451" s="1117"/>
      <c r="I451" s="1117"/>
      <c r="J451" s="1104"/>
      <c r="K451" s="1105"/>
      <c r="L451" s="1105"/>
      <c r="M451" s="1082"/>
      <c r="N451" s="1082"/>
      <c r="O451" s="1082"/>
      <c r="P451" s="1082"/>
      <c r="Q451" s="1082"/>
      <c r="R451" s="1082"/>
      <c r="S451" s="1082"/>
      <c r="T451" s="1082"/>
      <c r="U451" s="1082"/>
      <c r="V451" s="1082"/>
      <c r="W451" s="1082"/>
      <c r="X451" s="1082"/>
      <c r="Y451" s="1082"/>
      <c r="Z451" s="1082"/>
      <c r="AA451" s="1082"/>
      <c r="AB451" s="1082"/>
      <c r="AC451" s="1082"/>
      <c r="AD451" s="1082"/>
      <c r="AE451" s="1082"/>
      <c r="AF451" s="1082"/>
    </row>
    <row r="452">
      <c r="A452" s="1100"/>
      <c r="B452" s="1100"/>
      <c r="C452" s="1100" t="s">
        <v>10338</v>
      </c>
      <c r="D452" s="1100"/>
      <c r="E452" s="1100"/>
      <c r="F452" s="1100"/>
      <c r="G452" s="1100"/>
      <c r="H452" s="1100"/>
      <c r="I452" s="1100"/>
      <c r="J452" s="1102"/>
      <c r="K452" s="1101"/>
      <c r="L452" s="1101"/>
      <c r="M452" s="1082"/>
      <c r="N452" s="1082"/>
      <c r="O452" s="1082"/>
      <c r="P452" s="1082"/>
      <c r="Q452" s="1082"/>
      <c r="R452" s="1082"/>
      <c r="S452" s="1082"/>
      <c r="T452" s="1082"/>
      <c r="U452" s="1082"/>
      <c r="V452" s="1082"/>
      <c r="W452" s="1082"/>
      <c r="X452" s="1082"/>
      <c r="Y452" s="1082"/>
      <c r="Z452" s="1082"/>
      <c r="AA452" s="1082"/>
      <c r="AB452" s="1082"/>
      <c r="AC452" s="1082"/>
      <c r="AD452" s="1082"/>
      <c r="AE452" s="1082"/>
      <c r="AF452" s="1082"/>
    </row>
    <row r="453">
      <c r="A453" s="1112"/>
      <c r="B453" s="1112"/>
      <c r="C453" s="1112" t="s">
        <v>5323</v>
      </c>
      <c r="D453" s="1112"/>
      <c r="E453" s="1112"/>
      <c r="F453" s="1112"/>
      <c r="G453" s="1112"/>
      <c r="H453" s="1112"/>
      <c r="I453" s="1112"/>
      <c r="J453" s="1104"/>
      <c r="K453" s="1105"/>
      <c r="L453" s="1105"/>
      <c r="M453" s="1082"/>
      <c r="N453" s="1082"/>
      <c r="O453" s="1082"/>
      <c r="P453" s="1082"/>
      <c r="Q453" s="1082"/>
      <c r="R453" s="1082"/>
      <c r="S453" s="1082"/>
      <c r="T453" s="1082"/>
      <c r="U453" s="1082"/>
      <c r="V453" s="1082"/>
      <c r="W453" s="1082"/>
      <c r="X453" s="1082"/>
      <c r="Y453" s="1082"/>
      <c r="Z453" s="1082"/>
      <c r="AA453" s="1082"/>
      <c r="AB453" s="1082"/>
      <c r="AC453" s="1082"/>
      <c r="AD453" s="1082"/>
      <c r="AE453" s="1082"/>
      <c r="AF453" s="1082"/>
    </row>
    <row r="454">
      <c r="A454" s="1100"/>
      <c r="B454" s="1100"/>
      <c r="C454" s="1100" t="s">
        <v>10339</v>
      </c>
      <c r="D454" s="1100"/>
      <c r="E454" s="1100"/>
      <c r="F454" s="1100"/>
      <c r="G454" s="1100"/>
      <c r="H454" s="1100"/>
      <c r="I454" s="1100"/>
      <c r="J454" s="1102"/>
      <c r="K454" s="1101"/>
      <c r="L454" s="1101"/>
      <c r="M454" s="1082"/>
      <c r="N454" s="1082"/>
      <c r="O454" s="1082"/>
      <c r="P454" s="1082"/>
      <c r="Q454" s="1082"/>
      <c r="R454" s="1082"/>
      <c r="S454" s="1082"/>
      <c r="T454" s="1082"/>
      <c r="U454" s="1082"/>
      <c r="V454" s="1082"/>
      <c r="W454" s="1082"/>
      <c r="X454" s="1082"/>
      <c r="Y454" s="1082"/>
      <c r="Z454" s="1082"/>
      <c r="AA454" s="1082"/>
      <c r="AB454" s="1082"/>
      <c r="AC454" s="1082"/>
      <c r="AD454" s="1082"/>
      <c r="AE454" s="1082"/>
      <c r="AF454" s="1082"/>
    </row>
    <row r="455">
      <c r="A455" s="1120"/>
      <c r="B455" s="1120"/>
      <c r="C455" s="1120" t="s">
        <v>2019</v>
      </c>
      <c r="D455" s="1117"/>
      <c r="E455" s="1117"/>
      <c r="F455" s="1117"/>
      <c r="G455" s="1117"/>
      <c r="H455" s="1117"/>
      <c r="I455" s="1117"/>
      <c r="J455" s="1104"/>
      <c r="K455" s="1105"/>
      <c r="L455" s="1105"/>
      <c r="M455" s="1082"/>
      <c r="N455" s="1082"/>
      <c r="O455" s="1082"/>
      <c r="P455" s="1082"/>
      <c r="Q455" s="1082"/>
      <c r="R455" s="1082"/>
      <c r="S455" s="1082"/>
      <c r="T455" s="1082"/>
      <c r="U455" s="1082"/>
      <c r="V455" s="1082"/>
      <c r="W455" s="1082"/>
      <c r="X455" s="1082"/>
      <c r="Y455" s="1082"/>
      <c r="Z455" s="1082"/>
      <c r="AA455" s="1082"/>
      <c r="AB455" s="1082"/>
      <c r="AC455" s="1082"/>
      <c r="AD455" s="1082"/>
      <c r="AE455" s="1082"/>
      <c r="AF455" s="1082"/>
    </row>
    <row r="456">
      <c r="A456" s="1116"/>
      <c r="B456" s="1116"/>
      <c r="C456" s="1116" t="s">
        <v>4919</v>
      </c>
      <c r="D456" s="1116"/>
      <c r="E456" s="1116"/>
      <c r="F456" s="1116"/>
      <c r="G456" s="1116"/>
      <c r="H456" s="1116"/>
      <c r="I456" s="1116"/>
      <c r="J456" s="1102"/>
      <c r="K456" s="1101"/>
      <c r="L456" s="1101"/>
      <c r="M456" s="1082"/>
      <c r="N456" s="1082"/>
      <c r="O456" s="1082"/>
      <c r="P456" s="1082"/>
      <c r="Q456" s="1082"/>
      <c r="R456" s="1082"/>
      <c r="S456" s="1082"/>
      <c r="T456" s="1082"/>
      <c r="U456" s="1082"/>
      <c r="V456" s="1082"/>
      <c r="W456" s="1082"/>
      <c r="X456" s="1082"/>
      <c r="Y456" s="1082"/>
      <c r="Z456" s="1082"/>
      <c r="AA456" s="1082"/>
      <c r="AB456" s="1082"/>
      <c r="AC456" s="1082"/>
      <c r="AD456" s="1082"/>
      <c r="AE456" s="1082"/>
      <c r="AF456" s="1082"/>
    </row>
    <row r="457">
      <c r="A457" s="1120"/>
      <c r="B457" s="1120"/>
      <c r="C457" s="1120" t="s">
        <v>7305</v>
      </c>
      <c r="D457" s="1117"/>
      <c r="E457" s="1117"/>
      <c r="F457" s="1117"/>
      <c r="G457" s="1117"/>
      <c r="H457" s="1117"/>
      <c r="I457" s="1117"/>
      <c r="J457" s="1104"/>
      <c r="K457" s="1105"/>
      <c r="L457" s="1105"/>
      <c r="M457" s="1082"/>
      <c r="N457" s="1082"/>
      <c r="O457" s="1082"/>
      <c r="P457" s="1082"/>
      <c r="Q457" s="1082"/>
      <c r="R457" s="1082"/>
      <c r="S457" s="1082"/>
      <c r="T457" s="1082"/>
      <c r="U457" s="1082"/>
      <c r="V457" s="1082"/>
      <c r="W457" s="1082"/>
      <c r="X457" s="1082"/>
      <c r="Y457" s="1082"/>
      <c r="Z457" s="1082"/>
      <c r="AA457" s="1082"/>
      <c r="AB457" s="1082"/>
      <c r="AC457" s="1082"/>
      <c r="AD457" s="1082"/>
      <c r="AE457" s="1082"/>
      <c r="AF457" s="1082"/>
    </row>
    <row r="458">
      <c r="A458" s="1100"/>
      <c r="B458" s="1100"/>
      <c r="C458" s="1100" t="s">
        <v>10340</v>
      </c>
      <c r="D458" s="1100"/>
      <c r="E458" s="1100"/>
      <c r="F458" s="1100"/>
      <c r="G458" s="1100"/>
      <c r="H458" s="1100"/>
      <c r="I458" s="1100"/>
      <c r="J458" s="1102"/>
      <c r="K458" s="1101"/>
      <c r="L458" s="1101"/>
      <c r="M458" s="1082"/>
      <c r="N458" s="1082"/>
      <c r="O458" s="1082"/>
      <c r="P458" s="1082"/>
      <c r="Q458" s="1082"/>
      <c r="R458" s="1082"/>
      <c r="S458" s="1082"/>
      <c r="T458" s="1082"/>
      <c r="U458" s="1082"/>
      <c r="V458" s="1082"/>
      <c r="W458" s="1082"/>
      <c r="X458" s="1082"/>
      <c r="Y458" s="1082"/>
      <c r="Z458" s="1082"/>
      <c r="AA458" s="1082"/>
      <c r="AB458" s="1082"/>
      <c r="AC458" s="1082"/>
      <c r="AD458" s="1082"/>
      <c r="AE458" s="1082"/>
      <c r="AF458" s="1082"/>
    </row>
    <row r="459">
      <c r="A459" s="1120"/>
      <c r="B459" s="1120"/>
      <c r="C459" s="1120" t="s">
        <v>6726</v>
      </c>
      <c r="D459" s="1117"/>
      <c r="E459" s="1117"/>
      <c r="F459" s="1117"/>
      <c r="G459" s="1117"/>
      <c r="H459" s="1117"/>
      <c r="I459" s="1117"/>
      <c r="J459" s="1104"/>
      <c r="K459" s="1105"/>
      <c r="L459" s="1105"/>
      <c r="M459" s="1082"/>
      <c r="N459" s="1082"/>
      <c r="O459" s="1082"/>
      <c r="P459" s="1082"/>
      <c r="Q459" s="1082"/>
      <c r="R459" s="1082"/>
      <c r="S459" s="1082"/>
      <c r="T459" s="1082"/>
      <c r="U459" s="1082"/>
      <c r="V459" s="1082"/>
      <c r="W459" s="1082"/>
      <c r="X459" s="1082"/>
      <c r="Y459" s="1082"/>
      <c r="Z459" s="1082"/>
      <c r="AA459" s="1082"/>
      <c r="AB459" s="1082"/>
      <c r="AC459" s="1082"/>
      <c r="AD459" s="1082"/>
      <c r="AE459" s="1082"/>
      <c r="AF459" s="1082"/>
    </row>
    <row r="460">
      <c r="A460" s="1116"/>
      <c r="B460" s="1116"/>
      <c r="C460" s="1116" t="s">
        <v>819</v>
      </c>
      <c r="D460" s="1116"/>
      <c r="E460" s="1116"/>
      <c r="F460" s="1116"/>
      <c r="G460" s="1116"/>
      <c r="H460" s="1116"/>
      <c r="I460" s="1116"/>
      <c r="J460" s="1102"/>
      <c r="K460" s="1101"/>
      <c r="L460" s="1101"/>
      <c r="M460" s="1082"/>
      <c r="N460" s="1082"/>
      <c r="O460" s="1082"/>
      <c r="P460" s="1082"/>
      <c r="Q460" s="1082"/>
      <c r="R460" s="1082"/>
      <c r="S460" s="1082"/>
      <c r="T460" s="1082"/>
      <c r="U460" s="1082"/>
      <c r="V460" s="1082"/>
      <c r="W460" s="1082"/>
      <c r="X460" s="1082"/>
      <c r="Y460" s="1082"/>
      <c r="Z460" s="1082"/>
      <c r="AA460" s="1082"/>
      <c r="AB460" s="1082"/>
      <c r="AC460" s="1082"/>
      <c r="AD460" s="1082"/>
      <c r="AE460" s="1082"/>
      <c r="AF460" s="1082"/>
    </row>
    <row r="461">
      <c r="A461" s="1120"/>
      <c r="B461" s="1120"/>
      <c r="C461" s="1120" t="s">
        <v>7308</v>
      </c>
      <c r="D461" s="1117"/>
      <c r="E461" s="1117"/>
      <c r="F461" s="1117"/>
      <c r="G461" s="1117"/>
      <c r="H461" s="1117"/>
      <c r="I461" s="1117"/>
      <c r="J461" s="1104"/>
      <c r="K461" s="1105"/>
      <c r="L461" s="1105"/>
      <c r="M461" s="1082"/>
      <c r="N461" s="1082"/>
      <c r="O461" s="1082"/>
      <c r="P461" s="1082"/>
      <c r="Q461" s="1082"/>
      <c r="R461" s="1082"/>
      <c r="S461" s="1082"/>
      <c r="T461" s="1082"/>
      <c r="U461" s="1082"/>
      <c r="V461" s="1082"/>
      <c r="W461" s="1082"/>
      <c r="X461" s="1082"/>
      <c r="Y461" s="1082"/>
      <c r="Z461" s="1082"/>
      <c r="AA461" s="1082"/>
      <c r="AB461" s="1082"/>
      <c r="AC461" s="1082"/>
      <c r="AD461" s="1082"/>
      <c r="AE461" s="1082"/>
      <c r="AF461" s="1082"/>
    </row>
    <row r="462">
      <c r="A462" s="1116"/>
      <c r="B462" s="1116"/>
      <c r="C462" s="1116" t="s">
        <v>5329</v>
      </c>
      <c r="D462" s="1116"/>
      <c r="E462" s="1116"/>
      <c r="F462" s="1116"/>
      <c r="G462" s="1116"/>
      <c r="H462" s="1116"/>
      <c r="I462" s="1116"/>
      <c r="J462" s="1102"/>
      <c r="K462" s="1101"/>
      <c r="L462" s="1101"/>
      <c r="M462" s="1082"/>
      <c r="N462" s="1082"/>
      <c r="O462" s="1082"/>
      <c r="P462" s="1082"/>
      <c r="Q462" s="1082"/>
      <c r="R462" s="1082"/>
      <c r="S462" s="1082"/>
      <c r="T462" s="1082"/>
      <c r="U462" s="1082"/>
      <c r="V462" s="1082"/>
      <c r="W462" s="1082"/>
      <c r="X462" s="1082"/>
      <c r="Y462" s="1082"/>
      <c r="Z462" s="1082"/>
      <c r="AA462" s="1082"/>
      <c r="AB462" s="1082"/>
      <c r="AC462" s="1082"/>
      <c r="AD462" s="1082"/>
      <c r="AE462" s="1082"/>
      <c r="AF462" s="1082"/>
    </row>
    <row r="463">
      <c r="A463" s="1117"/>
      <c r="B463" s="1117"/>
      <c r="C463" s="1117" t="s">
        <v>2540</v>
      </c>
      <c r="D463" s="1117"/>
      <c r="E463" s="1117"/>
      <c r="F463" s="1117"/>
      <c r="G463" s="1117"/>
      <c r="H463" s="1117"/>
      <c r="I463" s="1117"/>
      <c r="J463" s="1104"/>
      <c r="K463" s="1105"/>
      <c r="L463" s="1105"/>
      <c r="M463" s="1082"/>
      <c r="N463" s="1082"/>
      <c r="O463" s="1082"/>
      <c r="P463" s="1082"/>
      <c r="Q463" s="1082"/>
      <c r="R463" s="1082"/>
      <c r="S463" s="1082"/>
      <c r="T463" s="1082"/>
      <c r="U463" s="1082"/>
      <c r="V463" s="1082"/>
      <c r="W463" s="1082"/>
      <c r="X463" s="1082"/>
      <c r="Y463" s="1082"/>
      <c r="Z463" s="1082"/>
      <c r="AA463" s="1082"/>
      <c r="AB463" s="1082"/>
      <c r="AC463" s="1082"/>
      <c r="AD463" s="1082"/>
      <c r="AE463" s="1082"/>
      <c r="AF463" s="1082"/>
    </row>
    <row r="464">
      <c r="A464" s="1116"/>
      <c r="B464" s="1116"/>
      <c r="C464" s="1116" t="s">
        <v>2225</v>
      </c>
      <c r="D464" s="1116"/>
      <c r="E464" s="1116"/>
      <c r="F464" s="1116"/>
      <c r="G464" s="1116"/>
      <c r="H464" s="1116"/>
      <c r="I464" s="1116"/>
      <c r="J464" s="1102"/>
      <c r="K464" s="1101"/>
      <c r="L464" s="1101"/>
      <c r="M464" s="1082"/>
      <c r="N464" s="1082"/>
      <c r="O464" s="1082"/>
      <c r="P464" s="1082"/>
      <c r="Q464" s="1082"/>
      <c r="R464" s="1082"/>
      <c r="S464" s="1082"/>
      <c r="T464" s="1082"/>
      <c r="U464" s="1082"/>
      <c r="V464" s="1082"/>
      <c r="W464" s="1082"/>
      <c r="X464" s="1082"/>
      <c r="Y464" s="1082"/>
      <c r="Z464" s="1082"/>
      <c r="AA464" s="1082"/>
      <c r="AB464" s="1082"/>
      <c r="AC464" s="1082"/>
      <c r="AD464" s="1082"/>
      <c r="AE464" s="1082"/>
      <c r="AF464" s="1082"/>
    </row>
    <row r="465">
      <c r="A465" s="1120"/>
      <c r="B465" s="1120"/>
      <c r="C465" s="1120" t="s">
        <v>7310</v>
      </c>
      <c r="D465" s="1117"/>
      <c r="E465" s="1117"/>
      <c r="F465" s="1117"/>
      <c r="G465" s="1117"/>
      <c r="H465" s="1117"/>
      <c r="I465" s="1117"/>
      <c r="J465" s="1104"/>
      <c r="K465" s="1105"/>
      <c r="L465" s="1105"/>
      <c r="M465" s="1082"/>
      <c r="N465" s="1082"/>
      <c r="O465" s="1082"/>
      <c r="P465" s="1082"/>
      <c r="Q465" s="1082"/>
      <c r="R465" s="1082"/>
      <c r="S465" s="1082"/>
      <c r="T465" s="1082"/>
      <c r="U465" s="1082"/>
      <c r="V465" s="1082"/>
      <c r="W465" s="1082"/>
      <c r="X465" s="1082"/>
      <c r="Y465" s="1082"/>
      <c r="Z465" s="1082"/>
      <c r="AA465" s="1082"/>
      <c r="AB465" s="1082"/>
      <c r="AC465" s="1082"/>
      <c r="AD465" s="1082"/>
      <c r="AE465" s="1082"/>
      <c r="AF465" s="1082"/>
    </row>
    <row r="466">
      <c r="A466" s="1116"/>
      <c r="B466" s="1116"/>
      <c r="C466" s="1116" t="s">
        <v>877</v>
      </c>
      <c r="D466" s="1116"/>
      <c r="E466" s="1116"/>
      <c r="F466" s="1116"/>
      <c r="G466" s="1116"/>
      <c r="H466" s="1116"/>
      <c r="I466" s="1116"/>
      <c r="J466" s="1102"/>
      <c r="K466" s="1101"/>
      <c r="L466" s="1101"/>
      <c r="M466" s="1082"/>
      <c r="N466" s="1082"/>
      <c r="O466" s="1082"/>
      <c r="P466" s="1082"/>
      <c r="Q466" s="1082"/>
      <c r="R466" s="1082"/>
      <c r="S466" s="1082"/>
      <c r="T466" s="1082"/>
      <c r="U466" s="1082"/>
      <c r="V466" s="1082"/>
      <c r="W466" s="1082"/>
      <c r="X466" s="1082"/>
      <c r="Y466" s="1082"/>
      <c r="Z466" s="1082"/>
      <c r="AA466" s="1082"/>
      <c r="AB466" s="1082"/>
      <c r="AC466" s="1082"/>
      <c r="AD466" s="1082"/>
      <c r="AE466" s="1082"/>
      <c r="AF466" s="1082"/>
    </row>
    <row r="467">
      <c r="A467" s="1112"/>
      <c r="B467" s="1112"/>
      <c r="C467" s="1112" t="s">
        <v>7312</v>
      </c>
      <c r="D467" s="1112"/>
      <c r="E467" s="1112"/>
      <c r="F467" s="1112"/>
      <c r="G467" s="1112"/>
      <c r="H467" s="1112"/>
      <c r="I467" s="1112"/>
      <c r="J467" s="1104"/>
      <c r="K467" s="1105"/>
      <c r="L467" s="1105"/>
      <c r="M467" s="1082"/>
      <c r="N467" s="1082"/>
      <c r="O467" s="1082"/>
      <c r="P467" s="1082"/>
      <c r="Q467" s="1082"/>
      <c r="R467" s="1082"/>
      <c r="S467" s="1082"/>
      <c r="T467" s="1082"/>
      <c r="U467" s="1082"/>
      <c r="V467" s="1082"/>
      <c r="W467" s="1082"/>
      <c r="X467" s="1082"/>
      <c r="Y467" s="1082"/>
      <c r="Z467" s="1082"/>
      <c r="AA467" s="1082"/>
      <c r="AB467" s="1082"/>
      <c r="AC467" s="1082"/>
      <c r="AD467" s="1082"/>
      <c r="AE467" s="1082"/>
      <c r="AF467" s="1082"/>
    </row>
    <row r="468">
      <c r="A468" s="1100"/>
      <c r="B468" s="1100"/>
      <c r="C468" s="1100" t="s">
        <v>10341</v>
      </c>
      <c r="D468" s="1100"/>
      <c r="E468" s="1100"/>
      <c r="F468" s="1100"/>
      <c r="G468" s="1100"/>
      <c r="H468" s="1100"/>
      <c r="I468" s="1100"/>
      <c r="J468" s="1102"/>
      <c r="K468" s="1101"/>
      <c r="L468" s="1101"/>
      <c r="M468" s="1082"/>
      <c r="N468" s="1082"/>
      <c r="O468" s="1082"/>
      <c r="P468" s="1082"/>
      <c r="Q468" s="1082"/>
      <c r="R468" s="1082"/>
      <c r="S468" s="1082"/>
      <c r="T468" s="1082"/>
      <c r="U468" s="1082"/>
      <c r="V468" s="1082"/>
      <c r="W468" s="1082"/>
      <c r="X468" s="1082"/>
      <c r="Y468" s="1082"/>
      <c r="Z468" s="1082"/>
      <c r="AA468" s="1082"/>
      <c r="AB468" s="1082"/>
      <c r="AC468" s="1082"/>
      <c r="AD468" s="1082"/>
      <c r="AE468" s="1082"/>
      <c r="AF468" s="1082"/>
    </row>
    <row r="469">
      <c r="A469" s="1115"/>
      <c r="B469" s="1115"/>
      <c r="C469" s="1115" t="s">
        <v>7314</v>
      </c>
      <c r="D469" s="1112"/>
      <c r="E469" s="1112"/>
      <c r="F469" s="1112"/>
      <c r="G469" s="1112"/>
      <c r="H469" s="1112"/>
      <c r="I469" s="1112"/>
      <c r="J469" s="1104"/>
      <c r="K469" s="1105"/>
      <c r="L469" s="1105"/>
      <c r="M469" s="1082"/>
      <c r="N469" s="1082"/>
      <c r="O469" s="1082"/>
      <c r="P469" s="1082"/>
      <c r="Q469" s="1082"/>
      <c r="R469" s="1082"/>
      <c r="S469" s="1082"/>
      <c r="T469" s="1082"/>
      <c r="U469" s="1082"/>
      <c r="V469" s="1082"/>
      <c r="W469" s="1082"/>
      <c r="X469" s="1082"/>
      <c r="Y469" s="1082"/>
      <c r="Z469" s="1082"/>
      <c r="AA469" s="1082"/>
      <c r="AB469" s="1082"/>
      <c r="AC469" s="1082"/>
      <c r="AD469" s="1082"/>
      <c r="AE469" s="1082"/>
      <c r="AF469" s="1082"/>
    </row>
    <row r="470">
      <c r="A470" s="1116"/>
      <c r="B470" s="1116"/>
      <c r="C470" s="1116" t="s">
        <v>133</v>
      </c>
      <c r="D470" s="1116"/>
      <c r="E470" s="1116"/>
      <c r="F470" s="1116"/>
      <c r="G470" s="1116"/>
      <c r="H470" s="1116"/>
      <c r="I470" s="1116"/>
      <c r="J470" s="1102"/>
      <c r="K470" s="1101"/>
      <c r="L470" s="1101"/>
      <c r="M470" s="1082"/>
      <c r="N470" s="1082"/>
      <c r="O470" s="1082"/>
      <c r="P470" s="1082"/>
      <c r="Q470" s="1082"/>
      <c r="R470" s="1082"/>
      <c r="S470" s="1082"/>
      <c r="T470" s="1082"/>
      <c r="U470" s="1082"/>
      <c r="V470" s="1082"/>
      <c r="W470" s="1082"/>
      <c r="X470" s="1082"/>
      <c r="Y470" s="1082"/>
      <c r="Z470" s="1082"/>
      <c r="AA470" s="1082"/>
      <c r="AB470" s="1082"/>
      <c r="AC470" s="1082"/>
      <c r="AD470" s="1082"/>
      <c r="AE470" s="1082"/>
      <c r="AF470" s="1082"/>
    </row>
    <row r="471">
      <c r="A471" s="1112"/>
      <c r="B471" s="1112"/>
      <c r="C471" s="1112" t="s">
        <v>1530</v>
      </c>
      <c r="D471" s="1112"/>
      <c r="E471" s="1112"/>
      <c r="F471" s="1112"/>
      <c r="G471" s="1112"/>
      <c r="H471" s="1112"/>
      <c r="I471" s="1112"/>
      <c r="J471" s="1104"/>
      <c r="K471" s="1105"/>
      <c r="L471" s="1105"/>
      <c r="M471" s="1082"/>
      <c r="N471" s="1082"/>
      <c r="O471" s="1082"/>
      <c r="P471" s="1082"/>
      <c r="Q471" s="1082"/>
      <c r="R471" s="1082"/>
      <c r="S471" s="1082"/>
      <c r="T471" s="1082"/>
      <c r="U471" s="1082"/>
      <c r="V471" s="1082"/>
      <c r="W471" s="1082"/>
      <c r="X471" s="1082"/>
      <c r="Y471" s="1082"/>
      <c r="Z471" s="1082"/>
      <c r="AA471" s="1082"/>
      <c r="AB471" s="1082"/>
      <c r="AC471" s="1082"/>
      <c r="AD471" s="1082"/>
      <c r="AE471" s="1082"/>
      <c r="AF471" s="1082"/>
    </row>
    <row r="472">
      <c r="A472" s="1100"/>
      <c r="B472" s="1100"/>
      <c r="C472" s="1100" t="s">
        <v>291</v>
      </c>
      <c r="D472" s="1100"/>
      <c r="E472" s="1100"/>
      <c r="F472" s="1100"/>
      <c r="G472" s="1100"/>
      <c r="H472" s="1100"/>
      <c r="I472" s="1100"/>
      <c r="J472" s="1102"/>
      <c r="K472" s="1101"/>
      <c r="L472" s="1101"/>
      <c r="M472" s="1082"/>
      <c r="N472" s="1082"/>
      <c r="O472" s="1082"/>
      <c r="P472" s="1082"/>
      <c r="Q472" s="1082"/>
      <c r="R472" s="1082"/>
      <c r="S472" s="1082"/>
      <c r="T472" s="1082"/>
      <c r="U472" s="1082"/>
      <c r="V472" s="1082"/>
      <c r="W472" s="1082"/>
      <c r="X472" s="1082"/>
      <c r="Y472" s="1082"/>
      <c r="Z472" s="1082"/>
      <c r="AA472" s="1082"/>
      <c r="AB472" s="1082"/>
      <c r="AC472" s="1082"/>
      <c r="AD472" s="1082"/>
      <c r="AE472" s="1082"/>
      <c r="AF472" s="1082"/>
    </row>
    <row r="473">
      <c r="A473" s="1117"/>
      <c r="B473" s="1117"/>
      <c r="C473" s="1117" t="s">
        <v>10342</v>
      </c>
      <c r="D473" s="1117"/>
      <c r="E473" s="1117"/>
      <c r="F473" s="1117"/>
      <c r="G473" s="1117"/>
      <c r="H473" s="1117"/>
      <c r="I473" s="1117"/>
      <c r="J473" s="1104"/>
      <c r="K473" s="1105"/>
      <c r="L473" s="1105"/>
      <c r="M473" s="1082"/>
      <c r="N473" s="1082"/>
      <c r="O473" s="1082"/>
      <c r="P473" s="1082"/>
      <c r="Q473" s="1082"/>
      <c r="R473" s="1082"/>
      <c r="S473" s="1082"/>
      <c r="T473" s="1082"/>
      <c r="U473" s="1082"/>
      <c r="V473" s="1082"/>
      <c r="W473" s="1082"/>
      <c r="X473" s="1082"/>
      <c r="Y473" s="1082"/>
      <c r="Z473" s="1082"/>
      <c r="AA473" s="1082"/>
      <c r="AB473" s="1082"/>
      <c r="AC473" s="1082"/>
      <c r="AD473" s="1082"/>
      <c r="AE473" s="1082"/>
      <c r="AF473" s="1082"/>
    </row>
    <row r="474">
      <c r="A474" s="1116"/>
      <c r="B474" s="1116"/>
      <c r="C474" s="1116" t="s">
        <v>10343</v>
      </c>
      <c r="D474" s="1116"/>
      <c r="E474" s="1116"/>
      <c r="F474" s="1116"/>
      <c r="G474" s="1116"/>
      <c r="H474" s="1116"/>
      <c r="I474" s="1116"/>
      <c r="J474" s="1102"/>
      <c r="K474" s="1101"/>
      <c r="L474" s="1101"/>
      <c r="M474" s="1082"/>
      <c r="N474" s="1082"/>
      <c r="O474" s="1082"/>
      <c r="P474" s="1082"/>
      <c r="Q474" s="1082"/>
      <c r="R474" s="1082"/>
      <c r="S474" s="1082"/>
      <c r="T474" s="1082"/>
      <c r="U474" s="1082"/>
      <c r="V474" s="1082"/>
      <c r="W474" s="1082"/>
      <c r="X474" s="1082"/>
      <c r="Y474" s="1082"/>
      <c r="Z474" s="1082"/>
      <c r="AA474" s="1082"/>
      <c r="AB474" s="1082"/>
      <c r="AC474" s="1082"/>
      <c r="AD474" s="1082"/>
      <c r="AE474" s="1082"/>
      <c r="AF474" s="1082"/>
    </row>
    <row r="475">
      <c r="A475" s="1115"/>
      <c r="B475" s="1115"/>
      <c r="C475" s="1115" t="s">
        <v>7316</v>
      </c>
      <c r="D475" s="1112"/>
      <c r="E475" s="1112"/>
      <c r="F475" s="1112"/>
      <c r="G475" s="1112"/>
      <c r="H475" s="1112"/>
      <c r="I475" s="1112"/>
      <c r="J475" s="1104"/>
      <c r="K475" s="1105"/>
      <c r="L475" s="1105"/>
      <c r="M475" s="1082"/>
      <c r="N475" s="1082"/>
      <c r="O475" s="1082"/>
      <c r="P475" s="1082"/>
      <c r="Q475" s="1082"/>
      <c r="R475" s="1082"/>
      <c r="S475" s="1082"/>
      <c r="T475" s="1082"/>
      <c r="U475" s="1082"/>
      <c r="V475" s="1082"/>
      <c r="W475" s="1082"/>
      <c r="X475" s="1082"/>
      <c r="Y475" s="1082"/>
      <c r="Z475" s="1082"/>
      <c r="AA475" s="1082"/>
      <c r="AB475" s="1082"/>
      <c r="AC475" s="1082"/>
      <c r="AD475" s="1082"/>
      <c r="AE475" s="1082"/>
      <c r="AF475" s="1082"/>
    </row>
    <row r="476">
      <c r="A476" s="1100"/>
      <c r="B476" s="1100"/>
      <c r="C476" s="1100" t="s">
        <v>10344</v>
      </c>
      <c r="D476" s="1100"/>
      <c r="E476" s="1100"/>
      <c r="F476" s="1100"/>
      <c r="G476" s="1100"/>
      <c r="H476" s="1100"/>
      <c r="I476" s="1100"/>
      <c r="J476" s="1102"/>
      <c r="K476" s="1101"/>
      <c r="L476" s="1101"/>
      <c r="M476" s="1082"/>
      <c r="N476" s="1082"/>
      <c r="O476" s="1082"/>
      <c r="P476" s="1082"/>
      <c r="Q476" s="1082"/>
      <c r="R476" s="1082"/>
      <c r="S476" s="1082"/>
      <c r="T476" s="1082"/>
      <c r="U476" s="1082"/>
      <c r="V476" s="1082"/>
      <c r="W476" s="1082"/>
      <c r="X476" s="1082"/>
      <c r="Y476" s="1082"/>
      <c r="Z476" s="1082"/>
      <c r="AA476" s="1082"/>
      <c r="AB476" s="1082"/>
      <c r="AC476" s="1082"/>
      <c r="AD476" s="1082"/>
      <c r="AE476" s="1082"/>
      <c r="AF476" s="1082"/>
    </row>
    <row r="477">
      <c r="A477" s="1115"/>
      <c r="B477" s="1115"/>
      <c r="C477" s="1115" t="s">
        <v>2097</v>
      </c>
      <c r="D477" s="1112"/>
      <c r="E477" s="1112"/>
      <c r="F477" s="1112"/>
      <c r="G477" s="1112"/>
      <c r="H477" s="1112"/>
      <c r="I477" s="1112"/>
      <c r="J477" s="1104"/>
      <c r="K477" s="1105"/>
      <c r="L477" s="1105"/>
      <c r="M477" s="1082"/>
      <c r="N477" s="1082"/>
      <c r="O477" s="1082"/>
      <c r="P477" s="1082"/>
      <c r="Q477" s="1082"/>
      <c r="R477" s="1082"/>
      <c r="S477" s="1082"/>
      <c r="T477" s="1082"/>
      <c r="U477" s="1082"/>
      <c r="V477" s="1082"/>
      <c r="W477" s="1082"/>
      <c r="X477" s="1082"/>
      <c r="Y477" s="1082"/>
      <c r="Z477" s="1082"/>
      <c r="AA477" s="1082"/>
      <c r="AB477" s="1082"/>
      <c r="AC477" s="1082"/>
      <c r="AD477" s="1082"/>
      <c r="AE477" s="1082"/>
      <c r="AF477" s="1082"/>
    </row>
    <row r="478">
      <c r="A478" s="1118"/>
      <c r="B478" s="1118"/>
      <c r="C478" s="1118" t="s">
        <v>7320</v>
      </c>
      <c r="D478" s="1116"/>
      <c r="E478" s="1116"/>
      <c r="F478" s="1116"/>
      <c r="G478" s="1116"/>
      <c r="H478" s="1116"/>
      <c r="I478" s="1116"/>
      <c r="J478" s="1102"/>
      <c r="K478" s="1101"/>
      <c r="L478" s="1101"/>
      <c r="M478" s="1082"/>
      <c r="N478" s="1082"/>
      <c r="O478" s="1082"/>
      <c r="P478" s="1082"/>
      <c r="Q478" s="1082"/>
      <c r="R478" s="1082"/>
      <c r="S478" s="1082"/>
      <c r="T478" s="1082"/>
      <c r="U478" s="1082"/>
      <c r="V478" s="1082"/>
      <c r="W478" s="1082"/>
      <c r="X478" s="1082"/>
      <c r="Y478" s="1082"/>
      <c r="Z478" s="1082"/>
      <c r="AA478" s="1082"/>
      <c r="AB478" s="1082"/>
      <c r="AC478" s="1082"/>
      <c r="AD478" s="1082"/>
      <c r="AE478" s="1082"/>
      <c r="AF478" s="1082"/>
    </row>
    <row r="479">
      <c r="A479" s="1117"/>
      <c r="B479" s="1117"/>
      <c r="C479" s="1117" t="s">
        <v>10345</v>
      </c>
      <c r="D479" s="1117"/>
      <c r="E479" s="1117"/>
      <c r="F479" s="1117"/>
      <c r="G479" s="1117"/>
      <c r="H479" s="1117"/>
      <c r="I479" s="1117"/>
      <c r="J479" s="1104"/>
      <c r="K479" s="1105"/>
      <c r="L479" s="1105"/>
      <c r="M479" s="1082"/>
      <c r="N479" s="1082"/>
      <c r="O479" s="1082"/>
      <c r="P479" s="1082"/>
      <c r="Q479" s="1082"/>
      <c r="R479" s="1082"/>
      <c r="S479" s="1082"/>
      <c r="T479" s="1082"/>
      <c r="U479" s="1082"/>
      <c r="V479" s="1082"/>
      <c r="W479" s="1082"/>
      <c r="X479" s="1082"/>
      <c r="Y479" s="1082"/>
      <c r="Z479" s="1082"/>
      <c r="AA479" s="1082"/>
      <c r="AB479" s="1082"/>
      <c r="AC479" s="1082"/>
      <c r="AD479" s="1082"/>
      <c r="AE479" s="1082"/>
      <c r="AF479" s="1082"/>
    </row>
    <row r="480">
      <c r="A480" s="1100"/>
      <c r="B480" s="1100"/>
      <c r="C480" s="1100" t="s">
        <v>5881</v>
      </c>
      <c r="D480" s="1100"/>
      <c r="E480" s="1100"/>
      <c r="F480" s="1100"/>
      <c r="G480" s="1100"/>
      <c r="H480" s="1100"/>
      <c r="I480" s="1100"/>
      <c r="J480" s="1102"/>
      <c r="K480" s="1101"/>
      <c r="L480" s="1101"/>
      <c r="M480" s="1082"/>
      <c r="N480" s="1082"/>
      <c r="O480" s="1082"/>
      <c r="P480" s="1082"/>
      <c r="Q480" s="1082"/>
      <c r="R480" s="1082"/>
      <c r="S480" s="1082"/>
      <c r="T480" s="1082"/>
      <c r="U480" s="1082"/>
      <c r="V480" s="1082"/>
      <c r="W480" s="1082"/>
      <c r="X480" s="1082"/>
      <c r="Y480" s="1082"/>
      <c r="Z480" s="1082"/>
      <c r="AA480" s="1082"/>
      <c r="AB480" s="1082"/>
      <c r="AC480" s="1082"/>
      <c r="AD480" s="1082"/>
      <c r="AE480" s="1082"/>
      <c r="AF480" s="1082"/>
    </row>
    <row r="481">
      <c r="A481" s="1117"/>
      <c r="B481" s="1117"/>
      <c r="C481" s="1117" t="s">
        <v>10346</v>
      </c>
      <c r="D481" s="1117"/>
      <c r="E481" s="1117"/>
      <c r="F481" s="1117"/>
      <c r="G481" s="1117"/>
      <c r="H481" s="1117"/>
      <c r="I481" s="1117"/>
      <c r="J481" s="1104"/>
      <c r="K481" s="1105"/>
      <c r="L481" s="1105"/>
      <c r="M481" s="1082"/>
      <c r="N481" s="1082"/>
      <c r="O481" s="1082"/>
      <c r="P481" s="1082"/>
      <c r="Q481" s="1082"/>
      <c r="R481" s="1082"/>
      <c r="S481" s="1082"/>
      <c r="T481" s="1082"/>
      <c r="U481" s="1082"/>
      <c r="V481" s="1082"/>
      <c r="W481" s="1082"/>
      <c r="X481" s="1082"/>
      <c r="Y481" s="1082"/>
      <c r="Z481" s="1082"/>
      <c r="AA481" s="1082"/>
      <c r="AB481" s="1082"/>
      <c r="AC481" s="1082"/>
      <c r="AD481" s="1082"/>
      <c r="AE481" s="1082"/>
      <c r="AF481" s="1082"/>
    </row>
    <row r="482">
      <c r="A482" s="1100"/>
      <c r="B482" s="1100"/>
      <c r="C482" s="1100" t="s">
        <v>10347</v>
      </c>
      <c r="D482" s="1100"/>
      <c r="E482" s="1100"/>
      <c r="F482" s="1100"/>
      <c r="G482" s="1100"/>
      <c r="H482" s="1100"/>
      <c r="I482" s="1100"/>
      <c r="J482" s="1102"/>
      <c r="K482" s="1101"/>
      <c r="L482" s="1101"/>
      <c r="M482" s="1082"/>
      <c r="N482" s="1082"/>
      <c r="O482" s="1082"/>
      <c r="P482" s="1082"/>
      <c r="Q482" s="1082"/>
      <c r="R482" s="1082"/>
      <c r="S482" s="1082"/>
      <c r="T482" s="1082"/>
      <c r="U482" s="1082"/>
      <c r="V482" s="1082"/>
      <c r="W482" s="1082"/>
      <c r="X482" s="1082"/>
      <c r="Y482" s="1082"/>
      <c r="Z482" s="1082"/>
      <c r="AA482" s="1082"/>
      <c r="AB482" s="1082"/>
      <c r="AC482" s="1082"/>
      <c r="AD482" s="1082"/>
      <c r="AE482" s="1082"/>
      <c r="AF482" s="1082"/>
    </row>
    <row r="483">
      <c r="A483" s="1112"/>
      <c r="B483" s="1112"/>
      <c r="C483" s="1112" t="s">
        <v>10348</v>
      </c>
      <c r="D483" s="1112"/>
      <c r="E483" s="1112"/>
      <c r="F483" s="1112"/>
      <c r="G483" s="1112"/>
      <c r="H483" s="1112"/>
      <c r="I483" s="1112"/>
      <c r="J483" s="1104"/>
      <c r="K483" s="1105"/>
      <c r="L483" s="1105"/>
      <c r="M483" s="1082"/>
      <c r="N483" s="1082"/>
      <c r="O483" s="1082"/>
      <c r="P483" s="1082"/>
      <c r="Q483" s="1082"/>
      <c r="R483" s="1082"/>
      <c r="S483" s="1082"/>
      <c r="T483" s="1082"/>
      <c r="U483" s="1082"/>
      <c r="V483" s="1082"/>
      <c r="W483" s="1082"/>
      <c r="X483" s="1082"/>
      <c r="Y483" s="1082"/>
      <c r="Z483" s="1082"/>
      <c r="AA483" s="1082"/>
      <c r="AB483" s="1082"/>
      <c r="AC483" s="1082"/>
      <c r="AD483" s="1082"/>
      <c r="AE483" s="1082"/>
      <c r="AF483" s="1082"/>
    </row>
    <row r="484">
      <c r="A484" s="1100"/>
      <c r="B484" s="1100"/>
      <c r="C484" s="1100" t="s">
        <v>2012</v>
      </c>
      <c r="D484" s="1100"/>
      <c r="E484" s="1100"/>
      <c r="F484" s="1100"/>
      <c r="G484" s="1100"/>
      <c r="H484" s="1100"/>
      <c r="I484" s="1100"/>
      <c r="J484" s="1102"/>
      <c r="K484" s="1101"/>
      <c r="L484" s="1101"/>
      <c r="M484" s="1082"/>
      <c r="N484" s="1082"/>
      <c r="O484" s="1082"/>
      <c r="P484" s="1082"/>
      <c r="Q484" s="1082"/>
      <c r="R484" s="1082"/>
      <c r="S484" s="1082"/>
      <c r="T484" s="1082"/>
      <c r="U484" s="1082"/>
      <c r="V484" s="1082"/>
      <c r="W484" s="1082"/>
      <c r="X484" s="1082"/>
      <c r="Y484" s="1082"/>
      <c r="Z484" s="1082"/>
      <c r="AA484" s="1082"/>
      <c r="AB484" s="1082"/>
      <c r="AC484" s="1082"/>
      <c r="AD484" s="1082"/>
      <c r="AE484" s="1082"/>
      <c r="AF484" s="1082"/>
    </row>
    <row r="485">
      <c r="A485" s="1117"/>
      <c r="B485" s="1117"/>
      <c r="C485" s="1117" t="s">
        <v>10349</v>
      </c>
      <c r="D485" s="1117"/>
      <c r="E485" s="1117"/>
      <c r="F485" s="1117"/>
      <c r="G485" s="1117"/>
      <c r="H485" s="1117"/>
      <c r="I485" s="1117"/>
      <c r="J485" s="1104"/>
      <c r="K485" s="1105"/>
      <c r="L485" s="1105"/>
      <c r="M485" s="1082"/>
      <c r="N485" s="1082"/>
      <c r="O485" s="1082"/>
      <c r="P485" s="1082"/>
      <c r="Q485" s="1082"/>
      <c r="R485" s="1082"/>
      <c r="S485" s="1082"/>
      <c r="T485" s="1082"/>
      <c r="U485" s="1082"/>
      <c r="V485" s="1082"/>
      <c r="W485" s="1082"/>
      <c r="X485" s="1082"/>
      <c r="Y485" s="1082"/>
      <c r="Z485" s="1082"/>
      <c r="AA485" s="1082"/>
      <c r="AB485" s="1082"/>
      <c r="AC485" s="1082"/>
      <c r="AD485" s="1082"/>
      <c r="AE485" s="1082"/>
      <c r="AF485" s="1082"/>
    </row>
    <row r="486">
      <c r="A486" s="1100"/>
      <c r="B486" s="1100"/>
      <c r="C486" s="1100" t="s">
        <v>5203</v>
      </c>
      <c r="D486" s="1100"/>
      <c r="E486" s="1100"/>
      <c r="F486" s="1100"/>
      <c r="G486" s="1100"/>
      <c r="H486" s="1100"/>
      <c r="I486" s="1100"/>
      <c r="J486" s="1102"/>
      <c r="K486" s="1101"/>
      <c r="L486" s="1101"/>
      <c r="M486" s="1082"/>
      <c r="N486" s="1082"/>
      <c r="O486" s="1082"/>
      <c r="P486" s="1082"/>
      <c r="Q486" s="1082"/>
      <c r="R486" s="1082"/>
      <c r="S486" s="1082"/>
      <c r="T486" s="1082"/>
      <c r="U486" s="1082"/>
      <c r="V486" s="1082"/>
      <c r="W486" s="1082"/>
      <c r="X486" s="1082"/>
      <c r="Y486" s="1082"/>
      <c r="Z486" s="1082"/>
      <c r="AA486" s="1082"/>
      <c r="AB486" s="1082"/>
      <c r="AC486" s="1082"/>
      <c r="AD486" s="1082"/>
      <c r="AE486" s="1082"/>
      <c r="AF486" s="1082"/>
    </row>
    <row r="487">
      <c r="A487" s="1117"/>
      <c r="B487" s="1117"/>
      <c r="C487" s="1117" t="s">
        <v>5772</v>
      </c>
      <c r="D487" s="1117"/>
      <c r="E487" s="1117"/>
      <c r="F487" s="1117"/>
      <c r="G487" s="1117"/>
      <c r="H487" s="1117"/>
      <c r="I487" s="1117"/>
      <c r="J487" s="1104"/>
      <c r="K487" s="1105"/>
      <c r="L487" s="1105"/>
      <c r="M487" s="1082"/>
      <c r="N487" s="1082"/>
      <c r="O487" s="1082"/>
      <c r="P487" s="1082"/>
      <c r="Q487" s="1082"/>
      <c r="R487" s="1082"/>
      <c r="S487" s="1082"/>
      <c r="T487" s="1082"/>
      <c r="U487" s="1082"/>
      <c r="V487" s="1082"/>
      <c r="W487" s="1082"/>
      <c r="X487" s="1082"/>
      <c r="Y487" s="1082"/>
      <c r="Z487" s="1082"/>
      <c r="AA487" s="1082"/>
      <c r="AB487" s="1082"/>
      <c r="AC487" s="1082"/>
      <c r="AD487" s="1082"/>
      <c r="AE487" s="1082"/>
      <c r="AF487" s="1082"/>
    </row>
    <row r="488">
      <c r="A488" s="1118"/>
      <c r="B488" s="1118"/>
      <c r="C488" s="1118" t="s">
        <v>5104</v>
      </c>
      <c r="D488" s="1116"/>
      <c r="E488" s="1116"/>
      <c r="F488" s="1116"/>
      <c r="G488" s="1116"/>
      <c r="H488" s="1116"/>
      <c r="I488" s="1116"/>
      <c r="J488" s="1102"/>
      <c r="K488" s="1101"/>
      <c r="L488" s="1101"/>
      <c r="M488" s="1082"/>
      <c r="N488" s="1082"/>
      <c r="O488" s="1082"/>
      <c r="P488" s="1082"/>
      <c r="Q488" s="1082"/>
      <c r="R488" s="1082"/>
      <c r="S488" s="1082"/>
      <c r="T488" s="1082"/>
      <c r="U488" s="1082"/>
      <c r="V488" s="1082"/>
      <c r="W488" s="1082"/>
      <c r="X488" s="1082"/>
      <c r="Y488" s="1082"/>
      <c r="Z488" s="1082"/>
      <c r="AA488" s="1082"/>
      <c r="AB488" s="1082"/>
      <c r="AC488" s="1082"/>
      <c r="AD488" s="1082"/>
      <c r="AE488" s="1082"/>
      <c r="AF488" s="1082"/>
    </row>
    <row r="489">
      <c r="A489" s="1115"/>
      <c r="B489" s="1115"/>
      <c r="C489" s="1115" t="s">
        <v>2983</v>
      </c>
      <c r="D489" s="1112"/>
      <c r="E489" s="1112"/>
      <c r="F489" s="1112"/>
      <c r="G489" s="1112"/>
      <c r="H489" s="1112"/>
      <c r="I489" s="1112"/>
      <c r="J489" s="1104"/>
      <c r="K489" s="1105"/>
      <c r="L489" s="1105"/>
      <c r="M489" s="1082"/>
      <c r="N489" s="1082"/>
      <c r="O489" s="1082"/>
      <c r="P489" s="1082"/>
      <c r="Q489" s="1082"/>
      <c r="R489" s="1082"/>
      <c r="S489" s="1082"/>
      <c r="T489" s="1082"/>
      <c r="U489" s="1082"/>
      <c r="V489" s="1082"/>
      <c r="W489" s="1082"/>
      <c r="X489" s="1082"/>
      <c r="Y489" s="1082"/>
      <c r="Z489" s="1082"/>
      <c r="AA489" s="1082"/>
      <c r="AB489" s="1082"/>
      <c r="AC489" s="1082"/>
      <c r="AD489" s="1082"/>
      <c r="AE489" s="1082"/>
      <c r="AF489" s="1082"/>
    </row>
    <row r="490">
      <c r="A490" s="1118"/>
      <c r="B490" s="1118"/>
      <c r="C490" s="1118" t="s">
        <v>10350</v>
      </c>
      <c r="D490" s="1116"/>
      <c r="E490" s="1116"/>
      <c r="F490" s="1116"/>
      <c r="G490" s="1116"/>
      <c r="H490" s="1116"/>
      <c r="I490" s="1116"/>
      <c r="J490" s="1102"/>
      <c r="K490" s="1101"/>
      <c r="L490" s="1101"/>
      <c r="M490" s="1082"/>
      <c r="N490" s="1082"/>
      <c r="O490" s="1082"/>
      <c r="P490" s="1082"/>
      <c r="Q490" s="1082"/>
      <c r="R490" s="1082"/>
      <c r="S490" s="1082"/>
      <c r="T490" s="1082"/>
      <c r="U490" s="1082"/>
      <c r="V490" s="1082"/>
      <c r="W490" s="1082"/>
      <c r="X490" s="1082"/>
      <c r="Y490" s="1082"/>
      <c r="Z490" s="1082"/>
      <c r="AA490" s="1082"/>
      <c r="AB490" s="1082"/>
      <c r="AC490" s="1082"/>
      <c r="AD490" s="1082"/>
      <c r="AE490" s="1082"/>
      <c r="AF490" s="1082"/>
    </row>
    <row r="491">
      <c r="A491" s="1115"/>
      <c r="B491" s="1115"/>
      <c r="C491" s="1115" t="s">
        <v>3698</v>
      </c>
      <c r="D491" s="1112"/>
      <c r="E491" s="1112"/>
      <c r="F491" s="1112"/>
      <c r="G491" s="1112"/>
      <c r="H491" s="1112"/>
      <c r="I491" s="1112"/>
      <c r="J491" s="1104"/>
      <c r="K491" s="1105"/>
      <c r="L491" s="1105"/>
      <c r="M491" s="1082"/>
      <c r="N491" s="1082"/>
      <c r="O491" s="1082"/>
      <c r="P491" s="1082"/>
      <c r="Q491" s="1082"/>
      <c r="R491" s="1082"/>
      <c r="S491" s="1082"/>
      <c r="T491" s="1082"/>
      <c r="U491" s="1082"/>
      <c r="V491" s="1082"/>
      <c r="W491" s="1082"/>
      <c r="X491" s="1082"/>
      <c r="Y491" s="1082"/>
      <c r="Z491" s="1082"/>
      <c r="AA491" s="1082"/>
      <c r="AB491" s="1082"/>
      <c r="AC491" s="1082"/>
      <c r="AD491" s="1082"/>
      <c r="AE491" s="1082"/>
      <c r="AF491" s="1082"/>
    </row>
    <row r="492">
      <c r="A492" s="1118"/>
      <c r="B492" s="1118"/>
      <c r="C492" s="1118" t="s">
        <v>10351</v>
      </c>
      <c r="D492" s="1116"/>
      <c r="E492" s="1116"/>
      <c r="F492" s="1116"/>
      <c r="G492" s="1116"/>
      <c r="H492" s="1116"/>
      <c r="I492" s="1116"/>
      <c r="J492" s="1102"/>
      <c r="K492" s="1101"/>
      <c r="L492" s="1101"/>
      <c r="M492" s="1082"/>
      <c r="N492" s="1082"/>
      <c r="O492" s="1082"/>
      <c r="P492" s="1082"/>
      <c r="Q492" s="1082"/>
      <c r="R492" s="1082"/>
      <c r="S492" s="1082"/>
      <c r="T492" s="1082"/>
      <c r="U492" s="1082"/>
      <c r="V492" s="1082"/>
      <c r="W492" s="1082"/>
      <c r="X492" s="1082"/>
      <c r="Y492" s="1082"/>
      <c r="Z492" s="1082"/>
      <c r="AA492" s="1082"/>
      <c r="AB492" s="1082"/>
      <c r="AC492" s="1082"/>
      <c r="AD492" s="1082"/>
      <c r="AE492" s="1082"/>
      <c r="AF492" s="1082"/>
    </row>
    <row r="493">
      <c r="A493" s="1120"/>
      <c r="B493" s="1120"/>
      <c r="C493" s="1120" t="s">
        <v>460</v>
      </c>
      <c r="D493" s="1117"/>
      <c r="E493" s="1117"/>
      <c r="F493" s="1117"/>
      <c r="G493" s="1117"/>
      <c r="H493" s="1117"/>
      <c r="I493" s="1117"/>
      <c r="J493" s="1104"/>
      <c r="K493" s="1105"/>
      <c r="L493" s="1105"/>
      <c r="M493" s="1082"/>
      <c r="N493" s="1082"/>
      <c r="O493" s="1082"/>
      <c r="P493" s="1082"/>
      <c r="Q493" s="1082"/>
      <c r="R493" s="1082"/>
      <c r="S493" s="1082"/>
      <c r="T493" s="1082"/>
      <c r="U493" s="1082"/>
      <c r="V493" s="1082"/>
      <c r="W493" s="1082"/>
      <c r="X493" s="1082"/>
      <c r="Y493" s="1082"/>
      <c r="Z493" s="1082"/>
      <c r="AA493" s="1082"/>
      <c r="AB493" s="1082"/>
      <c r="AC493" s="1082"/>
      <c r="AD493" s="1082"/>
      <c r="AE493" s="1082"/>
      <c r="AF493" s="1082"/>
    </row>
    <row r="494">
      <c r="A494" s="1118"/>
      <c r="B494" s="1118"/>
      <c r="C494" s="1118" t="s">
        <v>10352</v>
      </c>
      <c r="D494" s="1116"/>
      <c r="E494" s="1116"/>
      <c r="F494" s="1116"/>
      <c r="G494" s="1116"/>
      <c r="H494" s="1116"/>
      <c r="I494" s="1116"/>
      <c r="J494" s="1102"/>
      <c r="K494" s="1101"/>
      <c r="L494" s="1101"/>
      <c r="M494" s="1082"/>
      <c r="N494" s="1082"/>
      <c r="O494" s="1082"/>
      <c r="P494" s="1082"/>
      <c r="Q494" s="1082"/>
      <c r="R494" s="1082"/>
      <c r="S494" s="1082"/>
      <c r="T494" s="1082"/>
      <c r="U494" s="1082"/>
      <c r="V494" s="1082"/>
      <c r="W494" s="1082"/>
      <c r="X494" s="1082"/>
      <c r="Y494" s="1082"/>
      <c r="Z494" s="1082"/>
      <c r="AA494" s="1082"/>
      <c r="AB494" s="1082"/>
      <c r="AC494" s="1082"/>
      <c r="AD494" s="1082"/>
      <c r="AE494" s="1082"/>
      <c r="AF494" s="1082"/>
    </row>
    <row r="495">
      <c r="A495" s="1115"/>
      <c r="B495" s="1115"/>
      <c r="C495" s="1115" t="s">
        <v>10353</v>
      </c>
      <c r="D495" s="1112"/>
      <c r="E495" s="1112"/>
      <c r="F495" s="1112"/>
      <c r="G495" s="1112"/>
      <c r="H495" s="1112"/>
      <c r="I495" s="1112"/>
      <c r="J495" s="1104"/>
      <c r="K495" s="1105"/>
      <c r="L495" s="1105"/>
      <c r="M495" s="1082"/>
      <c r="N495" s="1082"/>
      <c r="O495" s="1082"/>
      <c r="P495" s="1082"/>
      <c r="Q495" s="1082"/>
      <c r="R495" s="1082"/>
      <c r="S495" s="1082"/>
      <c r="T495" s="1082"/>
      <c r="U495" s="1082"/>
      <c r="V495" s="1082"/>
      <c r="W495" s="1082"/>
      <c r="X495" s="1082"/>
      <c r="Y495" s="1082"/>
      <c r="Z495" s="1082"/>
      <c r="AA495" s="1082"/>
      <c r="AB495" s="1082"/>
      <c r="AC495" s="1082"/>
      <c r="AD495" s="1082"/>
      <c r="AE495" s="1082"/>
      <c r="AF495" s="1082"/>
    </row>
    <row r="496">
      <c r="A496" s="1119"/>
      <c r="B496" s="1119"/>
      <c r="C496" s="1119" t="s">
        <v>4274</v>
      </c>
      <c r="D496" s="1100"/>
      <c r="E496" s="1100"/>
      <c r="F496" s="1100"/>
      <c r="G496" s="1100"/>
      <c r="H496" s="1100"/>
      <c r="I496" s="1100"/>
      <c r="J496" s="1102"/>
      <c r="K496" s="1101"/>
      <c r="L496" s="1101"/>
      <c r="M496" s="1082"/>
      <c r="N496" s="1082"/>
      <c r="O496" s="1082"/>
      <c r="P496" s="1082"/>
      <c r="Q496" s="1082"/>
      <c r="R496" s="1082"/>
      <c r="S496" s="1082"/>
      <c r="T496" s="1082"/>
      <c r="U496" s="1082"/>
      <c r="V496" s="1082"/>
      <c r="W496" s="1082"/>
      <c r="X496" s="1082"/>
      <c r="Y496" s="1082"/>
      <c r="Z496" s="1082"/>
      <c r="AA496" s="1082"/>
      <c r="AB496" s="1082"/>
      <c r="AC496" s="1082"/>
      <c r="AD496" s="1082"/>
      <c r="AE496" s="1082"/>
      <c r="AF496" s="1082"/>
    </row>
    <row r="497">
      <c r="A497" s="1115"/>
      <c r="B497" s="1115"/>
      <c r="C497" s="1115" t="s">
        <v>7324</v>
      </c>
      <c r="D497" s="1112"/>
      <c r="E497" s="1112"/>
      <c r="F497" s="1112"/>
      <c r="G497" s="1112"/>
      <c r="H497" s="1112"/>
      <c r="I497" s="1112"/>
      <c r="J497" s="1104"/>
      <c r="K497" s="1105"/>
      <c r="L497" s="1105"/>
      <c r="M497" s="1082"/>
      <c r="N497" s="1082"/>
      <c r="O497" s="1082"/>
      <c r="P497" s="1082"/>
      <c r="Q497" s="1082"/>
      <c r="R497" s="1082"/>
      <c r="S497" s="1082"/>
      <c r="T497" s="1082"/>
      <c r="U497" s="1082"/>
      <c r="V497" s="1082"/>
      <c r="W497" s="1082"/>
      <c r="X497" s="1082"/>
      <c r="Y497" s="1082"/>
      <c r="Z497" s="1082"/>
      <c r="AA497" s="1082"/>
      <c r="AB497" s="1082"/>
      <c r="AC497" s="1082"/>
      <c r="AD497" s="1082"/>
      <c r="AE497" s="1082"/>
      <c r="AF497" s="1082"/>
    </row>
    <row r="498">
      <c r="A498" s="1119"/>
      <c r="B498" s="1119"/>
      <c r="C498" s="1119" t="s">
        <v>7326</v>
      </c>
      <c r="D498" s="1100"/>
      <c r="E498" s="1100"/>
      <c r="F498" s="1100"/>
      <c r="G498" s="1100"/>
      <c r="H498" s="1100"/>
      <c r="I498" s="1100"/>
      <c r="J498" s="1102"/>
      <c r="K498" s="1101"/>
      <c r="L498" s="1101"/>
      <c r="M498" s="1082"/>
      <c r="N498" s="1082"/>
      <c r="O498" s="1082"/>
      <c r="P498" s="1082"/>
      <c r="Q498" s="1082"/>
      <c r="R498" s="1082"/>
      <c r="S498" s="1082"/>
      <c r="T498" s="1082"/>
      <c r="U498" s="1082"/>
      <c r="V498" s="1082"/>
      <c r="W498" s="1082"/>
      <c r="X498" s="1082"/>
      <c r="Y498" s="1082"/>
      <c r="Z498" s="1082"/>
      <c r="AA498" s="1082"/>
      <c r="AB498" s="1082"/>
      <c r="AC498" s="1082"/>
      <c r="AD498" s="1082"/>
      <c r="AE498" s="1082"/>
      <c r="AF498" s="1082"/>
    </row>
    <row r="499">
      <c r="A499" s="1115"/>
      <c r="B499" s="1115"/>
      <c r="C499" s="1115" t="s">
        <v>7328</v>
      </c>
      <c r="D499" s="1112"/>
      <c r="E499" s="1112"/>
      <c r="F499" s="1112"/>
      <c r="G499" s="1112"/>
      <c r="H499" s="1112"/>
      <c r="I499" s="1112"/>
      <c r="J499" s="1104"/>
      <c r="K499" s="1105"/>
      <c r="L499" s="1105"/>
      <c r="M499" s="1082"/>
      <c r="N499" s="1082"/>
      <c r="O499" s="1082"/>
      <c r="P499" s="1082"/>
      <c r="Q499" s="1082"/>
      <c r="R499" s="1082"/>
      <c r="S499" s="1082"/>
      <c r="T499" s="1082"/>
      <c r="U499" s="1082"/>
      <c r="V499" s="1082"/>
      <c r="W499" s="1082"/>
      <c r="X499" s="1082"/>
      <c r="Y499" s="1082"/>
      <c r="Z499" s="1082"/>
      <c r="AA499" s="1082"/>
      <c r="AB499" s="1082"/>
      <c r="AC499" s="1082"/>
      <c r="AD499" s="1082"/>
      <c r="AE499" s="1082"/>
      <c r="AF499" s="1082"/>
    </row>
    <row r="500">
      <c r="A500" s="1119"/>
      <c r="B500" s="1119"/>
      <c r="C500" s="1119" t="s">
        <v>10354</v>
      </c>
      <c r="D500" s="1100"/>
      <c r="E500" s="1100"/>
      <c r="F500" s="1100"/>
      <c r="G500" s="1100"/>
      <c r="H500" s="1100"/>
      <c r="I500" s="1100"/>
      <c r="J500" s="1102"/>
      <c r="K500" s="1101"/>
      <c r="L500" s="1101"/>
      <c r="M500" s="1082"/>
      <c r="N500" s="1082"/>
      <c r="O500" s="1082"/>
      <c r="P500" s="1082"/>
      <c r="Q500" s="1082"/>
      <c r="R500" s="1082"/>
      <c r="S500" s="1082"/>
      <c r="T500" s="1082"/>
      <c r="U500" s="1082"/>
      <c r="V500" s="1082"/>
      <c r="W500" s="1082"/>
      <c r="X500" s="1082"/>
      <c r="Y500" s="1082"/>
      <c r="Z500" s="1082"/>
      <c r="AA500" s="1082"/>
      <c r="AB500" s="1082"/>
      <c r="AC500" s="1082"/>
      <c r="AD500" s="1082"/>
      <c r="AE500" s="1082"/>
      <c r="AF500" s="1082"/>
    </row>
    <row r="501">
      <c r="A501" s="1115"/>
      <c r="B501" s="1115"/>
      <c r="C501" s="1115" t="s">
        <v>10355</v>
      </c>
      <c r="D501" s="1112"/>
      <c r="E501" s="1112"/>
      <c r="F501" s="1112"/>
      <c r="G501" s="1112"/>
      <c r="H501" s="1112"/>
      <c r="I501" s="1112"/>
      <c r="J501" s="1104"/>
      <c r="K501" s="1105"/>
      <c r="L501" s="1105"/>
      <c r="M501" s="1082"/>
      <c r="N501" s="1082"/>
      <c r="O501" s="1082"/>
      <c r="P501" s="1082"/>
      <c r="Q501" s="1082"/>
      <c r="R501" s="1082"/>
      <c r="S501" s="1082"/>
      <c r="T501" s="1082"/>
      <c r="U501" s="1082"/>
      <c r="V501" s="1082"/>
      <c r="W501" s="1082"/>
      <c r="X501" s="1082"/>
      <c r="Y501" s="1082"/>
      <c r="Z501" s="1082"/>
      <c r="AA501" s="1082"/>
      <c r="AB501" s="1082"/>
      <c r="AC501" s="1082"/>
      <c r="AD501" s="1082"/>
      <c r="AE501" s="1082"/>
      <c r="AF501" s="1082"/>
    </row>
    <row r="502">
      <c r="A502" s="1119"/>
      <c r="B502" s="1119"/>
      <c r="C502" s="1119" t="s">
        <v>7330</v>
      </c>
      <c r="D502" s="1100"/>
      <c r="E502" s="1100"/>
      <c r="F502" s="1100"/>
      <c r="G502" s="1100"/>
      <c r="H502" s="1100"/>
      <c r="I502" s="1100"/>
      <c r="J502" s="1102"/>
      <c r="K502" s="1101"/>
      <c r="L502" s="1101"/>
      <c r="M502" s="1082"/>
      <c r="N502" s="1082"/>
      <c r="O502" s="1082"/>
      <c r="P502" s="1082"/>
      <c r="Q502" s="1082"/>
      <c r="R502" s="1082"/>
      <c r="S502" s="1082"/>
      <c r="T502" s="1082"/>
      <c r="U502" s="1082"/>
      <c r="V502" s="1082"/>
      <c r="W502" s="1082"/>
      <c r="X502" s="1082"/>
      <c r="Y502" s="1082"/>
      <c r="Z502" s="1082"/>
      <c r="AA502" s="1082"/>
      <c r="AB502" s="1082"/>
      <c r="AC502" s="1082"/>
      <c r="AD502" s="1082"/>
      <c r="AE502" s="1082"/>
      <c r="AF502" s="1082"/>
    </row>
    <row r="503">
      <c r="A503" s="1120"/>
      <c r="B503" s="1120"/>
      <c r="C503" s="1120" t="s">
        <v>10356</v>
      </c>
      <c r="D503" s="1117"/>
      <c r="E503" s="1117"/>
      <c r="F503" s="1117"/>
      <c r="G503" s="1117"/>
      <c r="H503" s="1117"/>
      <c r="I503" s="1117"/>
      <c r="J503" s="1104"/>
      <c r="K503" s="1105"/>
      <c r="L503" s="1105"/>
      <c r="M503" s="1082"/>
      <c r="N503" s="1082"/>
      <c r="O503" s="1082"/>
      <c r="P503" s="1082"/>
      <c r="Q503" s="1082"/>
      <c r="R503" s="1082"/>
      <c r="S503" s="1082"/>
      <c r="T503" s="1082"/>
      <c r="U503" s="1082"/>
      <c r="V503" s="1082"/>
      <c r="W503" s="1082"/>
      <c r="X503" s="1082"/>
      <c r="Y503" s="1082"/>
      <c r="Z503" s="1082"/>
      <c r="AA503" s="1082"/>
      <c r="AB503" s="1082"/>
      <c r="AC503" s="1082"/>
      <c r="AD503" s="1082"/>
      <c r="AE503" s="1082"/>
      <c r="AF503" s="1082"/>
    </row>
    <row r="504">
      <c r="A504" s="1119"/>
      <c r="B504" s="1119"/>
      <c r="C504" s="1119" t="s">
        <v>7336</v>
      </c>
      <c r="D504" s="1100"/>
      <c r="E504" s="1100"/>
      <c r="F504" s="1100"/>
      <c r="G504" s="1100"/>
      <c r="H504" s="1100"/>
      <c r="I504" s="1100"/>
      <c r="J504" s="1102"/>
      <c r="K504" s="1101"/>
      <c r="L504" s="1101"/>
      <c r="M504" s="1082"/>
      <c r="N504" s="1082"/>
      <c r="O504" s="1082"/>
      <c r="P504" s="1082"/>
      <c r="Q504" s="1082"/>
      <c r="R504" s="1082"/>
      <c r="S504" s="1082"/>
      <c r="T504" s="1082"/>
      <c r="U504" s="1082"/>
      <c r="V504" s="1082"/>
      <c r="W504" s="1082"/>
      <c r="X504" s="1082"/>
      <c r="Y504" s="1082"/>
      <c r="Z504" s="1082"/>
      <c r="AA504" s="1082"/>
      <c r="AB504" s="1082"/>
      <c r="AC504" s="1082"/>
      <c r="AD504" s="1082"/>
      <c r="AE504" s="1082"/>
      <c r="AF504" s="1082"/>
    </row>
    <row r="505">
      <c r="A505" s="1115"/>
      <c r="B505" s="1115"/>
      <c r="C505" s="1115" t="s">
        <v>1770</v>
      </c>
      <c r="D505" s="1112"/>
      <c r="E505" s="1112"/>
      <c r="F505" s="1112"/>
      <c r="G505" s="1112"/>
      <c r="H505" s="1112"/>
      <c r="I505" s="1112"/>
      <c r="J505" s="1104"/>
      <c r="K505" s="1105"/>
      <c r="L505" s="1105"/>
      <c r="M505" s="1082"/>
      <c r="N505" s="1082"/>
      <c r="O505" s="1082"/>
      <c r="P505" s="1082"/>
      <c r="Q505" s="1082"/>
      <c r="R505" s="1082"/>
      <c r="S505" s="1082"/>
      <c r="T505" s="1082"/>
      <c r="U505" s="1082"/>
      <c r="V505" s="1082"/>
      <c r="W505" s="1082"/>
      <c r="X505" s="1082"/>
      <c r="Y505" s="1082"/>
      <c r="Z505" s="1082"/>
      <c r="AA505" s="1082"/>
      <c r="AB505" s="1082"/>
      <c r="AC505" s="1082"/>
      <c r="AD505" s="1082"/>
      <c r="AE505" s="1082"/>
      <c r="AF505" s="1082"/>
    </row>
    <row r="506">
      <c r="A506" s="1119"/>
      <c r="B506" s="1119"/>
      <c r="C506" s="1119" t="s">
        <v>10357</v>
      </c>
      <c r="D506" s="1100"/>
      <c r="E506" s="1100"/>
      <c r="F506" s="1100"/>
      <c r="G506" s="1100"/>
      <c r="H506" s="1100"/>
      <c r="I506" s="1100"/>
      <c r="J506" s="1102"/>
      <c r="K506" s="1101"/>
      <c r="L506" s="1101"/>
      <c r="M506" s="1082"/>
      <c r="N506" s="1082"/>
      <c r="O506" s="1082"/>
      <c r="P506" s="1082"/>
      <c r="Q506" s="1082"/>
      <c r="R506" s="1082"/>
      <c r="S506" s="1082"/>
      <c r="T506" s="1082"/>
      <c r="U506" s="1082"/>
      <c r="V506" s="1082"/>
      <c r="W506" s="1082"/>
      <c r="X506" s="1082"/>
      <c r="Y506" s="1082"/>
      <c r="Z506" s="1082"/>
      <c r="AA506" s="1082"/>
      <c r="AB506" s="1082"/>
      <c r="AC506" s="1082"/>
      <c r="AD506" s="1082"/>
      <c r="AE506" s="1082"/>
      <c r="AF506" s="1082"/>
    </row>
    <row r="507">
      <c r="A507" s="1115"/>
      <c r="B507" s="1115"/>
      <c r="C507" s="1115" t="s">
        <v>7338</v>
      </c>
      <c r="D507" s="1112"/>
      <c r="E507" s="1112"/>
      <c r="F507" s="1112"/>
      <c r="G507" s="1112"/>
      <c r="H507" s="1112"/>
      <c r="I507" s="1112"/>
      <c r="J507" s="1104"/>
      <c r="K507" s="1105"/>
      <c r="L507" s="1105"/>
      <c r="M507" s="1082"/>
      <c r="N507" s="1082"/>
      <c r="O507" s="1082"/>
      <c r="P507" s="1082"/>
      <c r="Q507" s="1082"/>
      <c r="R507" s="1082"/>
      <c r="S507" s="1082"/>
      <c r="T507" s="1082"/>
      <c r="U507" s="1082"/>
      <c r="V507" s="1082"/>
      <c r="W507" s="1082"/>
      <c r="X507" s="1082"/>
      <c r="Y507" s="1082"/>
      <c r="Z507" s="1082"/>
      <c r="AA507" s="1082"/>
      <c r="AB507" s="1082"/>
      <c r="AC507" s="1082"/>
      <c r="AD507" s="1082"/>
      <c r="AE507" s="1082"/>
      <c r="AF507" s="1082"/>
    </row>
    <row r="508">
      <c r="A508" s="1119"/>
      <c r="B508" s="1119"/>
      <c r="C508" s="1119" t="s">
        <v>395</v>
      </c>
      <c r="D508" s="1100"/>
      <c r="E508" s="1100"/>
      <c r="F508" s="1100"/>
      <c r="G508" s="1100"/>
      <c r="H508" s="1100"/>
      <c r="I508" s="1100"/>
      <c r="J508" s="1102"/>
      <c r="K508" s="1101"/>
      <c r="L508" s="1101"/>
      <c r="M508" s="1082"/>
      <c r="N508" s="1082"/>
      <c r="O508" s="1082"/>
      <c r="P508" s="1082"/>
      <c r="Q508" s="1082"/>
      <c r="R508" s="1082"/>
      <c r="S508" s="1082"/>
      <c r="T508" s="1082"/>
      <c r="U508" s="1082"/>
      <c r="V508" s="1082"/>
      <c r="W508" s="1082"/>
      <c r="X508" s="1082"/>
      <c r="Y508" s="1082"/>
      <c r="Z508" s="1082"/>
      <c r="AA508" s="1082"/>
      <c r="AB508" s="1082"/>
      <c r="AC508" s="1082"/>
      <c r="AD508" s="1082"/>
      <c r="AE508" s="1082"/>
      <c r="AF508" s="1082"/>
    </row>
    <row r="509">
      <c r="A509" s="1115"/>
      <c r="B509" s="1115"/>
      <c r="C509" s="1115" t="s">
        <v>3624</v>
      </c>
      <c r="D509" s="1112"/>
      <c r="E509" s="1112"/>
      <c r="F509" s="1112"/>
      <c r="G509" s="1112"/>
      <c r="H509" s="1112"/>
      <c r="I509" s="1112"/>
      <c r="J509" s="1104"/>
      <c r="K509" s="1105"/>
      <c r="L509" s="1105"/>
      <c r="M509" s="1082"/>
      <c r="N509" s="1082"/>
      <c r="O509" s="1082"/>
      <c r="P509" s="1082"/>
      <c r="Q509" s="1082"/>
      <c r="R509" s="1082"/>
      <c r="S509" s="1082"/>
      <c r="T509" s="1082"/>
      <c r="U509" s="1082"/>
      <c r="V509" s="1082"/>
      <c r="W509" s="1082"/>
      <c r="X509" s="1082"/>
      <c r="Y509" s="1082"/>
      <c r="Z509" s="1082"/>
      <c r="AA509" s="1082"/>
      <c r="AB509" s="1082"/>
      <c r="AC509" s="1082"/>
      <c r="AD509" s="1082"/>
      <c r="AE509" s="1082"/>
      <c r="AF509" s="1082"/>
    </row>
    <row r="510">
      <c r="A510" s="1119"/>
      <c r="B510" s="1119"/>
      <c r="C510" s="1119" t="s">
        <v>7340</v>
      </c>
      <c r="D510" s="1100"/>
      <c r="E510" s="1100"/>
      <c r="F510" s="1100"/>
      <c r="G510" s="1100"/>
      <c r="H510" s="1100"/>
      <c r="I510" s="1100"/>
      <c r="J510" s="1102"/>
      <c r="K510" s="1101"/>
      <c r="L510" s="1101"/>
      <c r="M510" s="1082"/>
      <c r="N510" s="1082"/>
      <c r="O510" s="1082"/>
      <c r="P510" s="1082"/>
      <c r="Q510" s="1082"/>
      <c r="R510" s="1082"/>
      <c r="S510" s="1082"/>
      <c r="T510" s="1082"/>
      <c r="U510" s="1082"/>
      <c r="V510" s="1082"/>
      <c r="W510" s="1082"/>
      <c r="X510" s="1082"/>
      <c r="Y510" s="1082"/>
      <c r="Z510" s="1082"/>
      <c r="AA510" s="1082"/>
      <c r="AB510" s="1082"/>
      <c r="AC510" s="1082"/>
      <c r="AD510" s="1082"/>
      <c r="AE510" s="1082"/>
      <c r="AF510" s="1082"/>
    </row>
    <row r="511">
      <c r="A511" s="1115"/>
      <c r="B511" s="1115"/>
      <c r="C511" s="1115" t="s">
        <v>1493</v>
      </c>
      <c r="D511" s="1112"/>
      <c r="E511" s="1112"/>
      <c r="F511" s="1112"/>
      <c r="G511" s="1112"/>
      <c r="H511" s="1112"/>
      <c r="I511" s="1112"/>
      <c r="J511" s="1104"/>
      <c r="K511" s="1105"/>
      <c r="L511" s="1105"/>
      <c r="M511" s="1082"/>
      <c r="N511" s="1082"/>
      <c r="O511" s="1082"/>
      <c r="P511" s="1082"/>
      <c r="Q511" s="1082"/>
      <c r="R511" s="1082"/>
      <c r="S511" s="1082"/>
      <c r="T511" s="1082"/>
      <c r="U511" s="1082"/>
      <c r="V511" s="1082"/>
      <c r="W511" s="1082"/>
      <c r="X511" s="1082"/>
      <c r="Y511" s="1082"/>
      <c r="Z511" s="1082"/>
      <c r="AA511" s="1082"/>
      <c r="AB511" s="1082"/>
      <c r="AC511" s="1082"/>
      <c r="AD511" s="1082"/>
      <c r="AE511" s="1082"/>
      <c r="AF511" s="1082"/>
    </row>
    <row r="512">
      <c r="A512" s="1119"/>
      <c r="B512" s="1119"/>
      <c r="C512" s="1119" t="s">
        <v>4078</v>
      </c>
      <c r="D512" s="1100"/>
      <c r="E512" s="1100"/>
      <c r="F512" s="1100"/>
      <c r="G512" s="1100"/>
      <c r="H512" s="1100"/>
      <c r="I512" s="1100"/>
      <c r="J512" s="1102"/>
      <c r="K512" s="1101"/>
      <c r="L512" s="1101"/>
      <c r="M512" s="1082"/>
      <c r="N512" s="1082"/>
      <c r="O512" s="1082"/>
      <c r="P512" s="1082"/>
      <c r="Q512" s="1082"/>
      <c r="R512" s="1082"/>
      <c r="S512" s="1082"/>
      <c r="T512" s="1082"/>
      <c r="U512" s="1082"/>
      <c r="V512" s="1082"/>
      <c r="W512" s="1082"/>
      <c r="X512" s="1082"/>
      <c r="Y512" s="1082"/>
      <c r="Z512" s="1082"/>
      <c r="AA512" s="1082"/>
      <c r="AB512" s="1082"/>
      <c r="AC512" s="1082"/>
      <c r="AD512" s="1082"/>
      <c r="AE512" s="1082"/>
      <c r="AF512" s="1082"/>
    </row>
    <row r="513">
      <c r="A513" s="1120"/>
      <c r="B513" s="1120"/>
      <c r="C513" s="1120" t="s">
        <v>7342</v>
      </c>
      <c r="D513" s="1117"/>
      <c r="E513" s="1117"/>
      <c r="F513" s="1117"/>
      <c r="G513" s="1117"/>
      <c r="H513" s="1117"/>
      <c r="I513" s="1117"/>
      <c r="J513" s="1104"/>
      <c r="K513" s="1105"/>
      <c r="L513" s="1105"/>
      <c r="M513" s="1082"/>
      <c r="N513" s="1082"/>
      <c r="O513" s="1082"/>
      <c r="P513" s="1082"/>
      <c r="Q513" s="1082"/>
      <c r="R513" s="1082"/>
      <c r="S513" s="1082"/>
      <c r="T513" s="1082"/>
      <c r="U513" s="1082"/>
      <c r="V513" s="1082"/>
      <c r="W513" s="1082"/>
      <c r="X513" s="1082"/>
      <c r="Y513" s="1082"/>
      <c r="Z513" s="1082"/>
      <c r="AA513" s="1082"/>
      <c r="AB513" s="1082"/>
      <c r="AC513" s="1082"/>
      <c r="AD513" s="1082"/>
      <c r="AE513" s="1082"/>
      <c r="AF513" s="1082"/>
    </row>
    <row r="514">
      <c r="A514" s="1118"/>
      <c r="B514" s="1118"/>
      <c r="C514" s="1118" t="s">
        <v>10358</v>
      </c>
      <c r="D514" s="1116"/>
      <c r="E514" s="1116"/>
      <c r="F514" s="1116"/>
      <c r="G514" s="1116"/>
      <c r="H514" s="1116"/>
      <c r="I514" s="1116"/>
      <c r="J514" s="1102"/>
      <c r="K514" s="1101"/>
      <c r="L514" s="1101"/>
      <c r="M514" s="1082"/>
      <c r="N514" s="1082"/>
      <c r="O514" s="1082"/>
      <c r="P514" s="1082"/>
      <c r="Q514" s="1082"/>
      <c r="R514" s="1082"/>
      <c r="S514" s="1082"/>
      <c r="T514" s="1082"/>
      <c r="U514" s="1082"/>
      <c r="V514" s="1082"/>
      <c r="W514" s="1082"/>
      <c r="X514" s="1082"/>
      <c r="Y514" s="1082"/>
      <c r="Z514" s="1082"/>
      <c r="AA514" s="1082"/>
      <c r="AB514" s="1082"/>
      <c r="AC514" s="1082"/>
      <c r="AD514" s="1082"/>
      <c r="AE514" s="1082"/>
      <c r="AF514" s="1082"/>
    </row>
    <row r="515">
      <c r="A515" s="1120"/>
      <c r="B515" s="1120"/>
      <c r="C515" s="1120" t="s">
        <v>576</v>
      </c>
      <c r="D515" s="1117"/>
      <c r="E515" s="1117"/>
      <c r="F515" s="1117"/>
      <c r="G515" s="1117"/>
      <c r="H515" s="1117"/>
      <c r="I515" s="1117"/>
      <c r="J515" s="1104"/>
      <c r="K515" s="1105"/>
      <c r="L515" s="1105"/>
      <c r="M515" s="1082"/>
      <c r="N515" s="1082"/>
      <c r="O515" s="1082"/>
      <c r="P515" s="1082"/>
      <c r="Q515" s="1082"/>
      <c r="R515" s="1082"/>
      <c r="S515" s="1082"/>
      <c r="T515" s="1082"/>
      <c r="U515" s="1082"/>
      <c r="V515" s="1082"/>
      <c r="W515" s="1082"/>
      <c r="X515" s="1082"/>
      <c r="Y515" s="1082"/>
      <c r="Z515" s="1082"/>
      <c r="AA515" s="1082"/>
      <c r="AB515" s="1082"/>
      <c r="AC515" s="1082"/>
      <c r="AD515" s="1082"/>
      <c r="AE515" s="1082"/>
      <c r="AF515" s="1082"/>
    </row>
    <row r="516">
      <c r="A516" s="1118"/>
      <c r="B516" s="1118"/>
      <c r="C516" s="1118" t="s">
        <v>10359</v>
      </c>
      <c r="D516" s="1116"/>
      <c r="E516" s="1116"/>
      <c r="F516" s="1116"/>
      <c r="G516" s="1116"/>
      <c r="H516" s="1116"/>
      <c r="I516" s="1116"/>
      <c r="J516" s="1102"/>
      <c r="K516" s="1101"/>
      <c r="L516" s="1101"/>
      <c r="M516" s="1082"/>
      <c r="N516" s="1082"/>
      <c r="O516" s="1082"/>
      <c r="P516" s="1082"/>
      <c r="Q516" s="1082"/>
      <c r="R516" s="1082"/>
      <c r="S516" s="1082"/>
      <c r="T516" s="1082"/>
      <c r="U516" s="1082"/>
      <c r="V516" s="1082"/>
      <c r="W516" s="1082"/>
      <c r="X516" s="1082"/>
      <c r="Y516" s="1082"/>
      <c r="Z516" s="1082"/>
      <c r="AA516" s="1082"/>
      <c r="AB516" s="1082"/>
      <c r="AC516" s="1082"/>
      <c r="AD516" s="1082"/>
      <c r="AE516" s="1082"/>
      <c r="AF516" s="1082"/>
    </row>
    <row r="517">
      <c r="A517" s="1120"/>
      <c r="B517" s="1120"/>
      <c r="C517" s="1120" t="s">
        <v>2025</v>
      </c>
      <c r="D517" s="1117"/>
      <c r="E517" s="1117"/>
      <c r="F517" s="1117"/>
      <c r="G517" s="1117"/>
      <c r="H517" s="1117"/>
      <c r="I517" s="1117"/>
      <c r="J517" s="1104"/>
      <c r="K517" s="1105"/>
      <c r="L517" s="1105"/>
      <c r="M517" s="1082"/>
      <c r="N517" s="1082"/>
      <c r="O517" s="1082"/>
      <c r="P517" s="1082"/>
      <c r="Q517" s="1082"/>
      <c r="R517" s="1082"/>
      <c r="S517" s="1082"/>
      <c r="T517" s="1082"/>
      <c r="U517" s="1082"/>
      <c r="V517" s="1082"/>
      <c r="W517" s="1082"/>
      <c r="X517" s="1082"/>
      <c r="Y517" s="1082"/>
      <c r="Z517" s="1082"/>
      <c r="AA517" s="1082"/>
      <c r="AB517" s="1082"/>
      <c r="AC517" s="1082"/>
      <c r="AD517" s="1082"/>
      <c r="AE517" s="1082"/>
      <c r="AF517" s="1082"/>
    </row>
    <row r="518">
      <c r="A518" s="1118"/>
      <c r="B518" s="1118"/>
      <c r="C518" s="1118" t="s">
        <v>3704</v>
      </c>
      <c r="D518" s="1116"/>
      <c r="E518" s="1116"/>
      <c r="F518" s="1116"/>
      <c r="G518" s="1116"/>
      <c r="H518" s="1116"/>
      <c r="I518" s="1116"/>
      <c r="J518" s="1102"/>
      <c r="K518" s="1101"/>
      <c r="L518" s="1101"/>
      <c r="M518" s="1082"/>
      <c r="N518" s="1082"/>
      <c r="O518" s="1082"/>
      <c r="P518" s="1082"/>
      <c r="Q518" s="1082"/>
      <c r="R518" s="1082"/>
      <c r="S518" s="1082"/>
      <c r="T518" s="1082"/>
      <c r="U518" s="1082"/>
      <c r="V518" s="1082"/>
      <c r="W518" s="1082"/>
      <c r="X518" s="1082"/>
      <c r="Y518" s="1082"/>
      <c r="Z518" s="1082"/>
      <c r="AA518" s="1082"/>
      <c r="AB518" s="1082"/>
      <c r="AC518" s="1082"/>
      <c r="AD518" s="1082"/>
      <c r="AE518" s="1082"/>
      <c r="AF518" s="1082"/>
    </row>
    <row r="519">
      <c r="A519" s="1120"/>
      <c r="B519" s="1120"/>
      <c r="C519" s="1120" t="s">
        <v>404</v>
      </c>
      <c r="D519" s="1117"/>
      <c r="E519" s="1117"/>
      <c r="F519" s="1117"/>
      <c r="G519" s="1117"/>
      <c r="H519" s="1117"/>
      <c r="I519" s="1117"/>
      <c r="J519" s="1104"/>
      <c r="K519" s="1105"/>
      <c r="L519" s="1105"/>
      <c r="M519" s="1082"/>
      <c r="N519" s="1082"/>
      <c r="O519" s="1082"/>
      <c r="P519" s="1082"/>
      <c r="Q519" s="1082"/>
      <c r="R519" s="1082"/>
      <c r="S519" s="1082"/>
      <c r="T519" s="1082"/>
      <c r="U519" s="1082"/>
      <c r="V519" s="1082"/>
      <c r="W519" s="1082"/>
      <c r="X519" s="1082"/>
      <c r="Y519" s="1082"/>
      <c r="Z519" s="1082"/>
      <c r="AA519" s="1082"/>
      <c r="AB519" s="1082"/>
      <c r="AC519" s="1082"/>
      <c r="AD519" s="1082"/>
      <c r="AE519" s="1082"/>
      <c r="AF519" s="1082"/>
    </row>
    <row r="520">
      <c r="A520" s="1118"/>
      <c r="B520" s="1118"/>
      <c r="C520" s="1118" t="s">
        <v>229</v>
      </c>
      <c r="D520" s="1116"/>
      <c r="E520" s="1116"/>
      <c r="F520" s="1116"/>
      <c r="G520" s="1116"/>
      <c r="H520" s="1116"/>
      <c r="I520" s="1116"/>
      <c r="J520" s="1102"/>
      <c r="K520" s="1101"/>
      <c r="L520" s="1101"/>
      <c r="M520" s="1082"/>
      <c r="N520" s="1082"/>
      <c r="O520" s="1082"/>
      <c r="P520" s="1082"/>
      <c r="Q520" s="1082"/>
      <c r="R520" s="1082"/>
      <c r="S520" s="1082"/>
      <c r="T520" s="1082"/>
      <c r="U520" s="1082"/>
      <c r="V520" s="1082"/>
      <c r="W520" s="1082"/>
      <c r="X520" s="1082"/>
      <c r="Y520" s="1082"/>
      <c r="Z520" s="1082"/>
      <c r="AA520" s="1082"/>
      <c r="AB520" s="1082"/>
      <c r="AC520" s="1082"/>
      <c r="AD520" s="1082"/>
      <c r="AE520" s="1082"/>
      <c r="AF520" s="1082"/>
    </row>
    <row r="521">
      <c r="A521" s="1115"/>
      <c r="B521" s="1115"/>
      <c r="C521" s="1115" t="s">
        <v>7344</v>
      </c>
      <c r="D521" s="1112"/>
      <c r="E521" s="1112"/>
      <c r="F521" s="1112"/>
      <c r="G521" s="1112"/>
      <c r="H521" s="1112"/>
      <c r="I521" s="1112"/>
      <c r="J521" s="1104"/>
      <c r="K521" s="1105"/>
      <c r="L521" s="1105"/>
      <c r="M521" s="1082"/>
      <c r="N521" s="1082"/>
      <c r="O521" s="1082"/>
      <c r="P521" s="1082"/>
      <c r="Q521" s="1082"/>
      <c r="R521" s="1082"/>
      <c r="S521" s="1082"/>
      <c r="T521" s="1082"/>
      <c r="U521" s="1082"/>
      <c r="V521" s="1082"/>
      <c r="W521" s="1082"/>
      <c r="X521" s="1082"/>
      <c r="Y521" s="1082"/>
      <c r="Z521" s="1082"/>
      <c r="AA521" s="1082"/>
      <c r="AB521" s="1082"/>
      <c r="AC521" s="1082"/>
      <c r="AD521" s="1082"/>
      <c r="AE521" s="1082"/>
      <c r="AF521" s="1082"/>
    </row>
    <row r="522">
      <c r="A522" s="1119"/>
      <c r="B522" s="1119"/>
      <c r="C522" s="1119" t="s">
        <v>10360</v>
      </c>
      <c r="D522" s="1100"/>
      <c r="E522" s="1100"/>
      <c r="F522" s="1100"/>
      <c r="G522" s="1100"/>
      <c r="H522" s="1100"/>
      <c r="I522" s="1100"/>
      <c r="J522" s="1102"/>
      <c r="K522" s="1101"/>
      <c r="L522" s="1101"/>
      <c r="M522" s="1082"/>
      <c r="N522" s="1082"/>
      <c r="O522" s="1082"/>
      <c r="P522" s="1082"/>
      <c r="Q522" s="1082"/>
      <c r="R522" s="1082"/>
      <c r="S522" s="1082"/>
      <c r="T522" s="1082"/>
      <c r="U522" s="1082"/>
      <c r="V522" s="1082"/>
      <c r="W522" s="1082"/>
      <c r="X522" s="1082"/>
      <c r="Y522" s="1082"/>
      <c r="Z522" s="1082"/>
      <c r="AA522" s="1082"/>
      <c r="AB522" s="1082"/>
      <c r="AC522" s="1082"/>
      <c r="AD522" s="1082"/>
      <c r="AE522" s="1082"/>
      <c r="AF522" s="1082"/>
    </row>
    <row r="523">
      <c r="A523" s="1115"/>
      <c r="B523" s="1115"/>
      <c r="C523" s="1115" t="s">
        <v>7345</v>
      </c>
      <c r="D523" s="1112"/>
      <c r="E523" s="1112"/>
      <c r="F523" s="1112"/>
      <c r="G523" s="1112"/>
      <c r="H523" s="1112"/>
      <c r="I523" s="1112"/>
      <c r="J523" s="1104"/>
      <c r="K523" s="1105"/>
      <c r="L523" s="1105"/>
      <c r="M523" s="1082"/>
      <c r="N523" s="1082"/>
      <c r="O523" s="1082"/>
      <c r="P523" s="1082"/>
      <c r="Q523" s="1082"/>
      <c r="R523" s="1082"/>
      <c r="S523" s="1082"/>
      <c r="T523" s="1082"/>
      <c r="U523" s="1082"/>
      <c r="V523" s="1082"/>
      <c r="W523" s="1082"/>
      <c r="X523" s="1082"/>
      <c r="Y523" s="1082"/>
      <c r="Z523" s="1082"/>
      <c r="AA523" s="1082"/>
      <c r="AB523" s="1082"/>
      <c r="AC523" s="1082"/>
      <c r="AD523" s="1082"/>
      <c r="AE523" s="1082"/>
      <c r="AF523" s="1082"/>
    </row>
    <row r="524">
      <c r="A524" s="1119"/>
      <c r="B524" s="1119"/>
      <c r="C524" s="1119" t="s">
        <v>4178</v>
      </c>
      <c r="D524" s="1100"/>
      <c r="E524" s="1100"/>
      <c r="F524" s="1100"/>
      <c r="G524" s="1100"/>
      <c r="H524" s="1100"/>
      <c r="I524" s="1100"/>
      <c r="J524" s="1102"/>
      <c r="K524" s="1101"/>
      <c r="L524" s="1101"/>
      <c r="M524" s="1082"/>
      <c r="N524" s="1082"/>
      <c r="O524" s="1082"/>
      <c r="P524" s="1082"/>
      <c r="Q524" s="1082"/>
      <c r="R524" s="1082"/>
      <c r="S524" s="1082"/>
      <c r="T524" s="1082"/>
      <c r="U524" s="1082"/>
      <c r="V524" s="1082"/>
      <c r="W524" s="1082"/>
      <c r="X524" s="1082"/>
      <c r="Y524" s="1082"/>
      <c r="Z524" s="1082"/>
      <c r="AA524" s="1082"/>
      <c r="AB524" s="1082"/>
      <c r="AC524" s="1082"/>
      <c r="AD524" s="1082"/>
      <c r="AE524" s="1082"/>
      <c r="AF524" s="1082"/>
    </row>
    <row r="525">
      <c r="A525" s="1120"/>
      <c r="B525" s="1120"/>
      <c r="C525" s="1120" t="s">
        <v>685</v>
      </c>
      <c r="D525" s="1117"/>
      <c r="E525" s="1117"/>
      <c r="F525" s="1117"/>
      <c r="G525" s="1117"/>
      <c r="H525" s="1117"/>
      <c r="I525" s="1117"/>
      <c r="J525" s="1104"/>
      <c r="K525" s="1105"/>
      <c r="L525" s="1105"/>
      <c r="M525" s="1082"/>
      <c r="N525" s="1082"/>
      <c r="O525" s="1082"/>
      <c r="P525" s="1082"/>
      <c r="Q525" s="1082"/>
      <c r="R525" s="1082"/>
      <c r="S525" s="1082"/>
      <c r="T525" s="1082"/>
      <c r="U525" s="1082"/>
      <c r="V525" s="1082"/>
      <c r="W525" s="1082"/>
      <c r="X525" s="1082"/>
      <c r="Y525" s="1082"/>
      <c r="Z525" s="1082"/>
      <c r="AA525" s="1082"/>
      <c r="AB525" s="1082"/>
      <c r="AC525" s="1082"/>
      <c r="AD525" s="1082"/>
      <c r="AE525" s="1082"/>
      <c r="AF525" s="1082"/>
    </row>
    <row r="526">
      <c r="A526" s="1119"/>
      <c r="B526" s="1119"/>
      <c r="C526" s="1119" t="s">
        <v>7347</v>
      </c>
      <c r="D526" s="1100"/>
      <c r="E526" s="1100"/>
      <c r="F526" s="1100"/>
      <c r="G526" s="1100"/>
      <c r="H526" s="1100"/>
      <c r="I526" s="1100"/>
      <c r="J526" s="1102"/>
      <c r="K526" s="1101"/>
      <c r="L526" s="1101"/>
      <c r="M526" s="1082"/>
      <c r="N526" s="1082"/>
      <c r="O526" s="1082"/>
      <c r="P526" s="1082"/>
      <c r="Q526" s="1082"/>
      <c r="R526" s="1082"/>
      <c r="S526" s="1082"/>
      <c r="T526" s="1082"/>
      <c r="U526" s="1082"/>
      <c r="V526" s="1082"/>
      <c r="W526" s="1082"/>
      <c r="X526" s="1082"/>
      <c r="Y526" s="1082"/>
      <c r="Z526" s="1082"/>
      <c r="AA526" s="1082"/>
      <c r="AB526" s="1082"/>
      <c r="AC526" s="1082"/>
      <c r="AD526" s="1082"/>
      <c r="AE526" s="1082"/>
      <c r="AF526" s="1082"/>
    </row>
    <row r="527">
      <c r="A527" s="1115"/>
      <c r="B527" s="1115"/>
      <c r="C527" s="1115" t="s">
        <v>166</v>
      </c>
      <c r="D527" s="1112"/>
      <c r="E527" s="1112"/>
      <c r="F527" s="1112"/>
      <c r="G527" s="1112"/>
      <c r="H527" s="1112"/>
      <c r="I527" s="1112"/>
      <c r="J527" s="1104"/>
      <c r="K527" s="1105"/>
      <c r="L527" s="1105"/>
      <c r="M527" s="1082"/>
      <c r="N527" s="1082"/>
      <c r="O527" s="1082"/>
      <c r="P527" s="1082"/>
      <c r="Q527" s="1082"/>
      <c r="R527" s="1082"/>
      <c r="S527" s="1082"/>
      <c r="T527" s="1082"/>
      <c r="U527" s="1082"/>
      <c r="V527" s="1082"/>
      <c r="W527" s="1082"/>
      <c r="X527" s="1082"/>
      <c r="Y527" s="1082"/>
      <c r="Z527" s="1082"/>
      <c r="AA527" s="1082"/>
      <c r="AB527" s="1082"/>
      <c r="AC527" s="1082"/>
      <c r="AD527" s="1082"/>
      <c r="AE527" s="1082"/>
      <c r="AF527" s="1082"/>
    </row>
    <row r="528">
      <c r="A528" s="1118"/>
      <c r="B528" s="1118"/>
      <c r="C528" s="1118" t="s">
        <v>7348</v>
      </c>
      <c r="D528" s="1116"/>
      <c r="E528" s="1116"/>
      <c r="F528" s="1116"/>
      <c r="G528" s="1116"/>
      <c r="H528" s="1116"/>
      <c r="I528" s="1116"/>
      <c r="J528" s="1102"/>
      <c r="K528" s="1101"/>
      <c r="L528" s="1101"/>
      <c r="M528" s="1082"/>
      <c r="N528" s="1082"/>
      <c r="O528" s="1082"/>
      <c r="P528" s="1082"/>
      <c r="Q528" s="1082"/>
      <c r="R528" s="1082"/>
      <c r="S528" s="1082"/>
      <c r="T528" s="1082"/>
      <c r="U528" s="1082"/>
      <c r="V528" s="1082"/>
      <c r="W528" s="1082"/>
      <c r="X528" s="1082"/>
      <c r="Y528" s="1082"/>
      <c r="Z528" s="1082"/>
      <c r="AA528" s="1082"/>
      <c r="AB528" s="1082"/>
      <c r="AC528" s="1082"/>
      <c r="AD528" s="1082"/>
      <c r="AE528" s="1082"/>
      <c r="AF528" s="1082"/>
    </row>
    <row r="529">
      <c r="A529" s="1120"/>
      <c r="B529" s="1120"/>
      <c r="C529" s="1120" t="s">
        <v>7349</v>
      </c>
      <c r="D529" s="1117"/>
      <c r="E529" s="1117"/>
      <c r="F529" s="1117"/>
      <c r="G529" s="1117"/>
      <c r="H529" s="1117"/>
      <c r="I529" s="1117"/>
      <c r="J529" s="1104"/>
      <c r="K529" s="1105"/>
      <c r="L529" s="1105"/>
      <c r="M529" s="1082"/>
      <c r="N529" s="1082"/>
      <c r="O529" s="1082"/>
      <c r="P529" s="1082"/>
      <c r="Q529" s="1082"/>
      <c r="R529" s="1082"/>
      <c r="S529" s="1082"/>
      <c r="T529" s="1082"/>
      <c r="U529" s="1082"/>
      <c r="V529" s="1082"/>
      <c r="W529" s="1082"/>
      <c r="X529" s="1082"/>
      <c r="Y529" s="1082"/>
      <c r="Z529" s="1082"/>
      <c r="AA529" s="1082"/>
      <c r="AB529" s="1082"/>
      <c r="AC529" s="1082"/>
      <c r="AD529" s="1082"/>
      <c r="AE529" s="1082"/>
      <c r="AF529" s="1082"/>
    </row>
    <row r="530">
      <c r="A530" s="1118"/>
      <c r="B530" s="1118"/>
      <c r="C530" s="1118" t="s">
        <v>10361</v>
      </c>
      <c r="D530" s="1116"/>
      <c r="E530" s="1116"/>
      <c r="F530" s="1116"/>
      <c r="G530" s="1116"/>
      <c r="H530" s="1116"/>
      <c r="I530" s="1116"/>
      <c r="J530" s="1102"/>
      <c r="K530" s="1101"/>
      <c r="L530" s="1101"/>
      <c r="M530" s="1082"/>
      <c r="N530" s="1082"/>
      <c r="O530" s="1082"/>
      <c r="P530" s="1082"/>
      <c r="Q530" s="1082"/>
      <c r="R530" s="1082"/>
      <c r="S530" s="1082"/>
      <c r="T530" s="1082"/>
      <c r="U530" s="1082"/>
      <c r="V530" s="1082"/>
      <c r="W530" s="1082"/>
      <c r="X530" s="1082"/>
      <c r="Y530" s="1082"/>
      <c r="Z530" s="1082"/>
      <c r="AA530" s="1082"/>
      <c r="AB530" s="1082"/>
      <c r="AC530" s="1082"/>
      <c r="AD530" s="1082"/>
      <c r="AE530" s="1082"/>
      <c r="AF530" s="1082"/>
    </row>
    <row r="531">
      <c r="A531" s="1120"/>
      <c r="B531" s="1120"/>
      <c r="C531" s="1120" t="s">
        <v>6919</v>
      </c>
      <c r="D531" s="1117"/>
      <c r="E531" s="1117"/>
      <c r="F531" s="1117"/>
      <c r="G531" s="1117"/>
      <c r="H531" s="1117"/>
      <c r="I531" s="1117"/>
      <c r="J531" s="1104"/>
      <c r="K531" s="1105"/>
      <c r="L531" s="1105"/>
      <c r="M531" s="1082"/>
      <c r="N531" s="1082"/>
      <c r="O531" s="1082"/>
      <c r="P531" s="1082"/>
      <c r="Q531" s="1082"/>
      <c r="R531" s="1082"/>
      <c r="S531" s="1082"/>
      <c r="T531" s="1082"/>
      <c r="U531" s="1082"/>
      <c r="V531" s="1082"/>
      <c r="W531" s="1082"/>
      <c r="X531" s="1082"/>
      <c r="Y531" s="1082"/>
      <c r="Z531" s="1082"/>
      <c r="AA531" s="1082"/>
      <c r="AB531" s="1082"/>
      <c r="AC531" s="1082"/>
      <c r="AD531" s="1082"/>
      <c r="AE531" s="1082"/>
      <c r="AF531" s="1082"/>
    </row>
    <row r="532">
      <c r="A532" s="1118"/>
      <c r="B532" s="1118"/>
      <c r="C532" s="1118" t="s">
        <v>10362</v>
      </c>
      <c r="D532" s="1116"/>
      <c r="E532" s="1116"/>
      <c r="F532" s="1116"/>
      <c r="G532" s="1116"/>
      <c r="H532" s="1116"/>
      <c r="I532" s="1116"/>
      <c r="J532" s="1102"/>
      <c r="K532" s="1101"/>
      <c r="L532" s="1101"/>
      <c r="M532" s="1082"/>
      <c r="N532" s="1082"/>
      <c r="O532" s="1082"/>
      <c r="P532" s="1082"/>
      <c r="Q532" s="1082"/>
      <c r="R532" s="1082"/>
      <c r="S532" s="1082"/>
      <c r="T532" s="1082"/>
      <c r="U532" s="1082"/>
      <c r="V532" s="1082"/>
      <c r="W532" s="1082"/>
      <c r="X532" s="1082"/>
      <c r="Y532" s="1082"/>
      <c r="Z532" s="1082"/>
      <c r="AA532" s="1082"/>
      <c r="AB532" s="1082"/>
      <c r="AC532" s="1082"/>
      <c r="AD532" s="1082"/>
      <c r="AE532" s="1082"/>
      <c r="AF532" s="1082"/>
    </row>
    <row r="533">
      <c r="A533" s="1115"/>
      <c r="B533" s="1115"/>
      <c r="C533" s="1115" t="s">
        <v>10363</v>
      </c>
      <c r="D533" s="1112"/>
      <c r="E533" s="1112"/>
      <c r="F533" s="1112"/>
      <c r="G533" s="1112"/>
      <c r="H533" s="1112"/>
      <c r="I533" s="1112"/>
      <c r="J533" s="1104"/>
      <c r="K533" s="1105"/>
      <c r="L533" s="1105"/>
      <c r="M533" s="1082"/>
      <c r="N533" s="1082"/>
      <c r="O533" s="1082"/>
      <c r="P533" s="1082"/>
      <c r="Q533" s="1082"/>
      <c r="R533" s="1082"/>
      <c r="S533" s="1082"/>
      <c r="T533" s="1082"/>
      <c r="U533" s="1082"/>
      <c r="V533" s="1082"/>
      <c r="W533" s="1082"/>
      <c r="X533" s="1082"/>
      <c r="Y533" s="1082"/>
      <c r="Z533" s="1082"/>
      <c r="AA533" s="1082"/>
      <c r="AB533" s="1082"/>
      <c r="AC533" s="1082"/>
      <c r="AD533" s="1082"/>
      <c r="AE533" s="1082"/>
      <c r="AF533" s="1082"/>
    </row>
    <row r="534">
      <c r="A534" s="1119"/>
      <c r="B534" s="1119"/>
      <c r="C534" s="1119" t="s">
        <v>1637</v>
      </c>
      <c r="D534" s="1100"/>
      <c r="E534" s="1100"/>
      <c r="F534" s="1100"/>
      <c r="G534" s="1100"/>
      <c r="H534" s="1100"/>
      <c r="I534" s="1100"/>
      <c r="J534" s="1102"/>
      <c r="K534" s="1101"/>
      <c r="L534" s="1101"/>
      <c r="M534" s="1082"/>
      <c r="N534" s="1082"/>
      <c r="O534" s="1082"/>
      <c r="P534" s="1082"/>
      <c r="Q534" s="1082"/>
      <c r="R534" s="1082"/>
      <c r="S534" s="1082"/>
      <c r="T534" s="1082"/>
      <c r="U534" s="1082"/>
      <c r="V534" s="1082"/>
      <c r="W534" s="1082"/>
      <c r="X534" s="1082"/>
      <c r="Y534" s="1082"/>
      <c r="Z534" s="1082"/>
      <c r="AA534" s="1082"/>
      <c r="AB534" s="1082"/>
      <c r="AC534" s="1082"/>
      <c r="AD534" s="1082"/>
      <c r="AE534" s="1082"/>
      <c r="AF534" s="1082"/>
    </row>
    <row r="535">
      <c r="A535" s="1115"/>
      <c r="B535" s="1115"/>
      <c r="C535" s="1115" t="s">
        <v>7352</v>
      </c>
      <c r="D535" s="1112"/>
      <c r="E535" s="1112"/>
      <c r="F535" s="1112"/>
      <c r="G535" s="1112"/>
      <c r="H535" s="1112"/>
      <c r="I535" s="1112"/>
      <c r="J535" s="1104"/>
      <c r="K535" s="1105"/>
      <c r="L535" s="1105"/>
      <c r="M535" s="1082"/>
      <c r="N535" s="1082"/>
      <c r="O535" s="1082"/>
      <c r="P535" s="1082"/>
      <c r="Q535" s="1082"/>
      <c r="R535" s="1082"/>
      <c r="S535" s="1082"/>
      <c r="T535" s="1082"/>
      <c r="U535" s="1082"/>
      <c r="V535" s="1082"/>
      <c r="W535" s="1082"/>
      <c r="X535" s="1082"/>
      <c r="Y535" s="1082"/>
      <c r="Z535" s="1082"/>
      <c r="AA535" s="1082"/>
      <c r="AB535" s="1082"/>
      <c r="AC535" s="1082"/>
      <c r="AD535" s="1082"/>
      <c r="AE535" s="1082"/>
      <c r="AF535" s="1082"/>
    </row>
    <row r="536">
      <c r="A536" s="1119"/>
      <c r="B536" s="1119"/>
      <c r="C536" s="1119" t="s">
        <v>10364</v>
      </c>
      <c r="D536" s="1100"/>
      <c r="E536" s="1100"/>
      <c r="F536" s="1100"/>
      <c r="G536" s="1100"/>
      <c r="H536" s="1100"/>
      <c r="I536" s="1100"/>
      <c r="J536" s="1102"/>
      <c r="K536" s="1101"/>
      <c r="L536" s="1101"/>
      <c r="M536" s="1082"/>
      <c r="N536" s="1082"/>
      <c r="O536" s="1082"/>
      <c r="P536" s="1082"/>
      <c r="Q536" s="1082"/>
      <c r="R536" s="1082"/>
      <c r="S536" s="1082"/>
      <c r="T536" s="1082"/>
      <c r="U536" s="1082"/>
      <c r="V536" s="1082"/>
      <c r="W536" s="1082"/>
      <c r="X536" s="1082"/>
      <c r="Y536" s="1082"/>
      <c r="Z536" s="1082"/>
      <c r="AA536" s="1082"/>
      <c r="AB536" s="1082"/>
      <c r="AC536" s="1082"/>
      <c r="AD536" s="1082"/>
      <c r="AE536" s="1082"/>
      <c r="AF536" s="1082"/>
    </row>
    <row r="537">
      <c r="A537" s="1115"/>
      <c r="B537" s="1115"/>
      <c r="C537" s="1115" t="s">
        <v>4442</v>
      </c>
      <c r="D537" s="1112"/>
      <c r="E537" s="1112"/>
      <c r="F537" s="1112"/>
      <c r="G537" s="1112"/>
      <c r="H537" s="1112"/>
      <c r="I537" s="1112"/>
      <c r="J537" s="1104"/>
      <c r="K537" s="1105"/>
      <c r="L537" s="1105"/>
      <c r="M537" s="1082"/>
      <c r="N537" s="1082"/>
      <c r="O537" s="1082"/>
      <c r="P537" s="1082"/>
      <c r="Q537" s="1082"/>
      <c r="R537" s="1082"/>
      <c r="S537" s="1082"/>
      <c r="T537" s="1082"/>
      <c r="U537" s="1082"/>
      <c r="V537" s="1082"/>
      <c r="W537" s="1082"/>
      <c r="X537" s="1082"/>
      <c r="Y537" s="1082"/>
      <c r="Z537" s="1082"/>
      <c r="AA537" s="1082"/>
      <c r="AB537" s="1082"/>
      <c r="AC537" s="1082"/>
      <c r="AD537" s="1082"/>
      <c r="AE537" s="1082"/>
      <c r="AF537" s="1082"/>
    </row>
    <row r="538">
      <c r="A538" s="1118"/>
      <c r="B538" s="1118"/>
      <c r="C538" s="1118" t="s">
        <v>10365</v>
      </c>
      <c r="D538" s="1116"/>
      <c r="E538" s="1116"/>
      <c r="F538" s="1116"/>
      <c r="G538" s="1116"/>
      <c r="H538" s="1116"/>
      <c r="I538" s="1116"/>
      <c r="J538" s="1102"/>
      <c r="K538" s="1101"/>
      <c r="L538" s="1101"/>
      <c r="M538" s="1082"/>
      <c r="N538" s="1082"/>
      <c r="O538" s="1082"/>
      <c r="P538" s="1082"/>
      <c r="Q538" s="1082"/>
      <c r="R538" s="1082"/>
      <c r="S538" s="1082"/>
      <c r="T538" s="1082"/>
      <c r="U538" s="1082"/>
      <c r="V538" s="1082"/>
      <c r="W538" s="1082"/>
      <c r="X538" s="1082"/>
      <c r="Y538" s="1082"/>
      <c r="Z538" s="1082"/>
      <c r="AA538" s="1082"/>
      <c r="AB538" s="1082"/>
      <c r="AC538" s="1082"/>
      <c r="AD538" s="1082"/>
      <c r="AE538" s="1082"/>
      <c r="AF538" s="1082"/>
    </row>
    <row r="539">
      <c r="A539" s="1120"/>
      <c r="B539" s="1120"/>
      <c r="C539" s="1120" t="s">
        <v>4622</v>
      </c>
      <c r="D539" s="1117"/>
      <c r="E539" s="1117"/>
      <c r="F539" s="1117"/>
      <c r="G539" s="1117"/>
      <c r="H539" s="1117"/>
      <c r="I539" s="1117"/>
      <c r="J539" s="1104"/>
      <c r="K539" s="1105"/>
      <c r="L539" s="1105"/>
      <c r="M539" s="1082"/>
      <c r="N539" s="1082"/>
      <c r="O539" s="1082"/>
      <c r="P539" s="1082"/>
      <c r="Q539" s="1082"/>
      <c r="R539" s="1082"/>
      <c r="S539" s="1082"/>
      <c r="T539" s="1082"/>
      <c r="U539" s="1082"/>
      <c r="V539" s="1082"/>
      <c r="W539" s="1082"/>
      <c r="X539" s="1082"/>
      <c r="Y539" s="1082"/>
      <c r="Z539" s="1082"/>
      <c r="AA539" s="1082"/>
      <c r="AB539" s="1082"/>
      <c r="AC539" s="1082"/>
      <c r="AD539" s="1082"/>
      <c r="AE539" s="1082"/>
      <c r="AF539" s="1082"/>
    </row>
    <row r="540">
      <c r="A540" s="1119"/>
      <c r="B540" s="1119"/>
      <c r="C540" s="1119" t="s">
        <v>3516</v>
      </c>
      <c r="D540" s="1100"/>
      <c r="E540" s="1100"/>
      <c r="F540" s="1100"/>
      <c r="G540" s="1100"/>
      <c r="H540" s="1100"/>
      <c r="I540" s="1100"/>
      <c r="J540" s="1102"/>
      <c r="K540" s="1101"/>
      <c r="L540" s="1101"/>
      <c r="M540" s="1082"/>
      <c r="N540" s="1082"/>
      <c r="O540" s="1082"/>
      <c r="P540" s="1082"/>
      <c r="Q540" s="1082"/>
      <c r="R540" s="1082"/>
      <c r="S540" s="1082"/>
      <c r="T540" s="1082"/>
      <c r="U540" s="1082"/>
      <c r="V540" s="1082"/>
      <c r="W540" s="1082"/>
      <c r="X540" s="1082"/>
      <c r="Y540" s="1082"/>
      <c r="Z540" s="1082"/>
      <c r="AA540" s="1082"/>
      <c r="AB540" s="1082"/>
      <c r="AC540" s="1082"/>
      <c r="AD540" s="1082"/>
      <c r="AE540" s="1082"/>
      <c r="AF540" s="1082"/>
    </row>
    <row r="541">
      <c r="A541" s="1115"/>
      <c r="B541" s="1115"/>
      <c r="C541" s="1115" t="s">
        <v>10366</v>
      </c>
      <c r="D541" s="1112"/>
      <c r="E541" s="1112"/>
      <c r="F541" s="1112"/>
      <c r="G541" s="1112"/>
      <c r="H541" s="1112"/>
      <c r="I541" s="1112"/>
      <c r="J541" s="1104"/>
      <c r="K541" s="1105"/>
      <c r="L541" s="1105"/>
      <c r="M541" s="1082"/>
      <c r="N541" s="1082"/>
      <c r="O541" s="1082"/>
      <c r="P541" s="1082"/>
      <c r="Q541" s="1082"/>
      <c r="R541" s="1082"/>
      <c r="S541" s="1082"/>
      <c r="T541" s="1082"/>
      <c r="U541" s="1082"/>
      <c r="V541" s="1082"/>
      <c r="W541" s="1082"/>
      <c r="X541" s="1082"/>
      <c r="Y541" s="1082"/>
      <c r="Z541" s="1082"/>
      <c r="AA541" s="1082"/>
      <c r="AB541" s="1082"/>
      <c r="AC541" s="1082"/>
      <c r="AD541" s="1082"/>
      <c r="AE541" s="1082"/>
      <c r="AF541" s="1082"/>
    </row>
    <row r="542">
      <c r="A542" s="1119"/>
      <c r="B542" s="1119"/>
      <c r="C542" s="1119" t="s">
        <v>10367</v>
      </c>
      <c r="D542" s="1100"/>
      <c r="E542" s="1100"/>
      <c r="F542" s="1100"/>
      <c r="G542" s="1100"/>
      <c r="H542" s="1100"/>
      <c r="I542" s="1100"/>
      <c r="J542" s="1102"/>
      <c r="K542" s="1101"/>
      <c r="L542" s="1101"/>
      <c r="M542" s="1082"/>
      <c r="N542" s="1082"/>
      <c r="O542" s="1082"/>
      <c r="P542" s="1082"/>
      <c r="Q542" s="1082"/>
      <c r="R542" s="1082"/>
      <c r="S542" s="1082"/>
      <c r="T542" s="1082"/>
      <c r="U542" s="1082"/>
      <c r="V542" s="1082"/>
      <c r="W542" s="1082"/>
      <c r="X542" s="1082"/>
      <c r="Y542" s="1082"/>
      <c r="Z542" s="1082"/>
      <c r="AA542" s="1082"/>
      <c r="AB542" s="1082"/>
      <c r="AC542" s="1082"/>
      <c r="AD542" s="1082"/>
      <c r="AE542" s="1082"/>
      <c r="AF542" s="1082"/>
    </row>
    <row r="543">
      <c r="A543" s="1115"/>
      <c r="B543" s="1115"/>
      <c r="C543" s="1115" t="s">
        <v>10368</v>
      </c>
      <c r="D543" s="1112"/>
      <c r="E543" s="1112"/>
      <c r="F543" s="1112"/>
      <c r="G543" s="1112"/>
      <c r="H543" s="1112"/>
      <c r="I543" s="1112"/>
      <c r="J543" s="1104"/>
      <c r="K543" s="1105"/>
      <c r="L543" s="1105"/>
      <c r="M543" s="1082"/>
      <c r="N543" s="1082"/>
      <c r="O543" s="1082"/>
      <c r="P543" s="1082"/>
      <c r="Q543" s="1082"/>
      <c r="R543" s="1082"/>
      <c r="S543" s="1082"/>
      <c r="T543" s="1082"/>
      <c r="U543" s="1082"/>
      <c r="V543" s="1082"/>
      <c r="W543" s="1082"/>
      <c r="X543" s="1082"/>
      <c r="Y543" s="1082"/>
      <c r="Z543" s="1082"/>
      <c r="AA543" s="1082"/>
      <c r="AB543" s="1082"/>
      <c r="AC543" s="1082"/>
      <c r="AD543" s="1082"/>
      <c r="AE543" s="1082"/>
      <c r="AF543" s="1082"/>
    </row>
    <row r="544">
      <c r="A544" s="1119"/>
      <c r="B544" s="1119"/>
      <c r="C544" s="1119" t="s">
        <v>8178</v>
      </c>
      <c r="D544" s="1100"/>
      <c r="E544" s="1100"/>
      <c r="F544" s="1100"/>
      <c r="G544" s="1100"/>
      <c r="H544" s="1100"/>
      <c r="I544" s="1100"/>
      <c r="J544" s="1102"/>
      <c r="K544" s="1101"/>
      <c r="L544" s="1101"/>
      <c r="M544" s="1082"/>
      <c r="N544" s="1082"/>
      <c r="O544" s="1082"/>
      <c r="P544" s="1082"/>
      <c r="Q544" s="1082"/>
      <c r="R544" s="1082"/>
      <c r="S544" s="1082"/>
      <c r="T544" s="1082"/>
      <c r="U544" s="1082"/>
      <c r="V544" s="1082"/>
      <c r="W544" s="1082"/>
      <c r="X544" s="1082"/>
      <c r="Y544" s="1082"/>
      <c r="Z544" s="1082"/>
      <c r="AA544" s="1082"/>
      <c r="AB544" s="1082"/>
      <c r="AC544" s="1082"/>
      <c r="AD544" s="1082"/>
      <c r="AE544" s="1082"/>
      <c r="AF544" s="1082"/>
    </row>
    <row r="545">
      <c r="A545" s="1115"/>
      <c r="B545" s="1115"/>
      <c r="C545" s="1115" t="s">
        <v>7354</v>
      </c>
      <c r="D545" s="1112"/>
      <c r="E545" s="1112"/>
      <c r="F545" s="1112"/>
      <c r="G545" s="1112"/>
      <c r="H545" s="1112"/>
      <c r="I545" s="1112"/>
      <c r="J545" s="1104"/>
      <c r="K545" s="1105"/>
      <c r="L545" s="1105"/>
      <c r="M545" s="1082"/>
      <c r="N545" s="1082"/>
      <c r="O545" s="1082"/>
      <c r="P545" s="1082"/>
      <c r="Q545" s="1082"/>
      <c r="R545" s="1082"/>
      <c r="S545" s="1082"/>
      <c r="T545" s="1082"/>
      <c r="U545" s="1082"/>
      <c r="V545" s="1082"/>
      <c r="W545" s="1082"/>
      <c r="X545" s="1082"/>
      <c r="Y545" s="1082"/>
      <c r="Z545" s="1082"/>
      <c r="AA545" s="1082"/>
      <c r="AB545" s="1082"/>
      <c r="AC545" s="1082"/>
      <c r="AD545" s="1082"/>
      <c r="AE545" s="1082"/>
      <c r="AF545" s="1082"/>
    </row>
    <row r="546">
      <c r="A546" s="1119"/>
      <c r="B546" s="1119"/>
      <c r="C546" s="1119" t="s">
        <v>7355</v>
      </c>
      <c r="D546" s="1100"/>
      <c r="E546" s="1100"/>
      <c r="F546" s="1100"/>
      <c r="G546" s="1100"/>
      <c r="H546" s="1100"/>
      <c r="I546" s="1100"/>
      <c r="J546" s="1102"/>
      <c r="K546" s="1101"/>
      <c r="L546" s="1101"/>
      <c r="M546" s="1082"/>
      <c r="N546" s="1082"/>
      <c r="O546" s="1082"/>
      <c r="P546" s="1082"/>
      <c r="Q546" s="1082"/>
      <c r="R546" s="1082"/>
      <c r="S546" s="1082"/>
      <c r="T546" s="1082"/>
      <c r="U546" s="1082"/>
      <c r="V546" s="1082"/>
      <c r="W546" s="1082"/>
      <c r="X546" s="1082"/>
      <c r="Y546" s="1082"/>
      <c r="Z546" s="1082"/>
      <c r="AA546" s="1082"/>
      <c r="AB546" s="1082"/>
      <c r="AC546" s="1082"/>
      <c r="AD546" s="1082"/>
      <c r="AE546" s="1082"/>
      <c r="AF546" s="1082"/>
    </row>
    <row r="547">
      <c r="A547" s="1107">
        <v>2.0</v>
      </c>
      <c r="B547" s="1107" t="s">
        <v>1395</v>
      </c>
      <c r="C547" s="1107" t="s">
        <v>6064</v>
      </c>
      <c r="D547" s="1107" t="s">
        <v>4751</v>
      </c>
      <c r="E547" s="1107" t="s">
        <v>10369</v>
      </c>
      <c r="F547" s="1107" t="s">
        <v>180</v>
      </c>
      <c r="G547" s="1107" t="s">
        <v>10370</v>
      </c>
      <c r="H547" s="1112"/>
      <c r="I547" s="1112"/>
      <c r="J547" s="1104"/>
      <c r="K547" s="1105"/>
      <c r="L547" s="1105"/>
      <c r="M547" s="1082"/>
      <c r="N547" s="1082"/>
      <c r="O547" s="1082"/>
      <c r="P547" s="1082"/>
      <c r="Q547" s="1082"/>
      <c r="R547" s="1082"/>
      <c r="S547" s="1082"/>
      <c r="T547" s="1082"/>
      <c r="U547" s="1082"/>
      <c r="V547" s="1082"/>
      <c r="W547" s="1082"/>
      <c r="X547" s="1082"/>
      <c r="Y547" s="1082"/>
      <c r="Z547" s="1082"/>
      <c r="AA547" s="1082"/>
      <c r="AB547" s="1082"/>
      <c r="AC547" s="1082"/>
      <c r="AD547" s="1082"/>
      <c r="AE547" s="1082"/>
      <c r="AF547" s="1082"/>
    </row>
    <row r="548">
      <c r="A548" s="1094"/>
      <c r="B548" s="1094"/>
      <c r="C548" s="1096"/>
      <c r="D548" s="1094"/>
      <c r="E548" s="1094"/>
      <c r="F548" s="1094"/>
      <c r="G548" s="1097"/>
      <c r="H548" s="1094"/>
      <c r="I548" s="1094"/>
      <c r="J548" s="1122"/>
      <c r="K548" s="1102"/>
      <c r="L548" s="1102"/>
      <c r="M548" s="1082"/>
      <c r="N548" s="1082"/>
      <c r="O548" s="1082"/>
      <c r="P548" s="1082"/>
      <c r="Q548" s="1082"/>
      <c r="R548" s="1082"/>
      <c r="S548" s="1082"/>
      <c r="T548" s="1082"/>
      <c r="U548" s="1082"/>
      <c r="V548" s="1082"/>
      <c r="W548" s="1082"/>
      <c r="X548" s="1082"/>
      <c r="Y548" s="1082"/>
      <c r="Z548" s="1082"/>
      <c r="AA548" s="1082"/>
      <c r="AB548" s="1082"/>
      <c r="AC548" s="1082"/>
      <c r="AD548" s="1082"/>
      <c r="AE548" s="1082"/>
      <c r="AF548" s="1082"/>
    </row>
    <row r="549">
      <c r="A549" s="1091"/>
      <c r="B549" s="1091"/>
      <c r="C549" s="1093"/>
      <c r="D549" s="1091"/>
      <c r="E549" s="1091"/>
      <c r="F549" s="1091"/>
      <c r="G549" s="1091"/>
      <c r="H549" s="1091"/>
      <c r="I549" s="1091"/>
      <c r="J549" s="1104"/>
      <c r="K549" s="1104"/>
      <c r="L549" s="1104"/>
      <c r="M549" s="1082"/>
      <c r="N549" s="1082"/>
      <c r="O549" s="1082"/>
      <c r="P549" s="1082"/>
      <c r="Q549" s="1082"/>
      <c r="R549" s="1082"/>
      <c r="S549" s="1082"/>
      <c r="T549" s="1082"/>
      <c r="U549" s="1082"/>
      <c r="V549" s="1082"/>
      <c r="W549" s="1082"/>
      <c r="X549" s="1082"/>
      <c r="Y549" s="1082"/>
      <c r="Z549" s="1082"/>
      <c r="AA549" s="1082"/>
      <c r="AB549" s="1082"/>
      <c r="AC549" s="1082"/>
      <c r="AD549" s="1082"/>
      <c r="AE549" s="1082"/>
      <c r="AF549" s="1082"/>
    </row>
    <row r="550">
      <c r="A550" s="1094"/>
      <c r="B550" s="1094"/>
      <c r="C550" s="1096"/>
      <c r="D550" s="1094"/>
      <c r="E550" s="1094"/>
      <c r="F550" s="1094"/>
      <c r="G550" s="1106"/>
      <c r="H550" s="1106"/>
      <c r="I550" s="1106"/>
      <c r="J550" s="1102"/>
      <c r="K550" s="1102"/>
      <c r="L550" s="1102"/>
      <c r="M550" s="1082"/>
      <c r="N550" s="1082"/>
      <c r="O550" s="1082"/>
      <c r="P550" s="1082"/>
      <c r="Q550" s="1082"/>
      <c r="R550" s="1082"/>
      <c r="S550" s="1082"/>
      <c r="T550" s="1082"/>
      <c r="U550" s="1082"/>
      <c r="V550" s="1082"/>
      <c r="W550" s="1082"/>
      <c r="X550" s="1082"/>
      <c r="Y550" s="1082"/>
      <c r="Z550" s="1082"/>
      <c r="AA550" s="1082"/>
      <c r="AB550" s="1082"/>
      <c r="AC550" s="1082"/>
      <c r="AD550" s="1082"/>
      <c r="AE550" s="1082"/>
      <c r="AF550" s="1082"/>
    </row>
    <row r="551">
      <c r="A551" s="1107"/>
      <c r="B551" s="1107"/>
      <c r="C551" s="1108"/>
      <c r="D551" s="1107"/>
      <c r="E551" s="1107"/>
      <c r="F551" s="1107"/>
      <c r="G551" s="1109"/>
      <c r="H551" s="1109"/>
      <c r="I551" s="1109"/>
      <c r="J551" s="1104"/>
      <c r="K551" s="1104"/>
      <c r="L551" s="1104"/>
      <c r="M551" s="1082"/>
      <c r="N551" s="1082"/>
      <c r="O551" s="1082"/>
      <c r="P551" s="1082"/>
      <c r="Q551" s="1082"/>
      <c r="R551" s="1082"/>
      <c r="S551" s="1082"/>
      <c r="T551" s="1082"/>
      <c r="U551" s="1082"/>
      <c r="V551" s="1082"/>
      <c r="W551" s="1082"/>
      <c r="X551" s="1082"/>
      <c r="Y551" s="1082"/>
      <c r="Z551" s="1082"/>
      <c r="AA551" s="1082"/>
      <c r="AB551" s="1082"/>
      <c r="AC551" s="1082"/>
      <c r="AD551" s="1082"/>
      <c r="AE551" s="1082"/>
      <c r="AF551" s="1082"/>
    </row>
    <row r="552">
      <c r="A552" s="1099"/>
      <c r="B552" s="1099"/>
      <c r="C552" s="1110"/>
      <c r="D552" s="1099"/>
      <c r="E552" s="1099"/>
      <c r="F552" s="1099"/>
      <c r="G552" s="1111"/>
      <c r="H552" s="1111"/>
      <c r="I552" s="1111"/>
      <c r="J552" s="1102"/>
      <c r="K552" s="1102"/>
      <c r="L552" s="1102"/>
      <c r="M552" s="1082"/>
      <c r="N552" s="1082"/>
      <c r="O552" s="1082"/>
      <c r="P552" s="1082"/>
      <c r="Q552" s="1082"/>
      <c r="R552" s="1082"/>
      <c r="S552" s="1082"/>
      <c r="T552" s="1082"/>
      <c r="U552" s="1082"/>
      <c r="V552" s="1082"/>
      <c r="W552" s="1082"/>
      <c r="X552" s="1082"/>
      <c r="Y552" s="1082"/>
      <c r="Z552" s="1082"/>
      <c r="AA552" s="1082"/>
      <c r="AB552" s="1082"/>
      <c r="AC552" s="1082"/>
      <c r="AD552" s="1082"/>
      <c r="AE552" s="1082"/>
      <c r="AF552" s="1082"/>
    </row>
    <row r="553">
      <c r="A553" s="1107"/>
      <c r="B553" s="1107"/>
      <c r="C553" s="1108"/>
      <c r="D553" s="1107"/>
      <c r="E553" s="1107"/>
      <c r="F553" s="1107"/>
      <c r="G553" s="1109"/>
      <c r="H553" s="1109"/>
      <c r="I553" s="1109"/>
      <c r="J553" s="1104"/>
      <c r="K553" s="1104"/>
      <c r="L553" s="1104"/>
      <c r="M553" s="1082"/>
      <c r="N553" s="1082"/>
      <c r="O553" s="1082"/>
      <c r="P553" s="1082"/>
      <c r="Q553" s="1082"/>
      <c r="R553" s="1082"/>
      <c r="S553" s="1082"/>
      <c r="T553" s="1082"/>
      <c r="U553" s="1082"/>
      <c r="V553" s="1082"/>
      <c r="W553" s="1082"/>
      <c r="X553" s="1082"/>
      <c r="Y553" s="1082"/>
      <c r="Z553" s="1082"/>
      <c r="AA553" s="1082"/>
      <c r="AB553" s="1082"/>
      <c r="AC553" s="1082"/>
      <c r="AD553" s="1082"/>
      <c r="AE553" s="1082"/>
      <c r="AF553" s="1082"/>
    </row>
    <row r="554">
      <c r="A554" s="1099"/>
      <c r="B554" s="1099"/>
      <c r="C554" s="1110"/>
      <c r="D554" s="1099"/>
      <c r="E554" s="1099"/>
      <c r="F554" s="1099"/>
      <c r="G554" s="1111"/>
      <c r="H554" s="1111"/>
      <c r="I554" s="1111"/>
      <c r="J554" s="1102"/>
      <c r="K554" s="1102"/>
      <c r="L554" s="1102"/>
      <c r="M554" s="1082"/>
      <c r="N554" s="1082"/>
      <c r="O554" s="1082"/>
      <c r="P554" s="1082"/>
      <c r="Q554" s="1082"/>
      <c r="R554" s="1082"/>
      <c r="S554" s="1082"/>
      <c r="T554" s="1082"/>
      <c r="U554" s="1082"/>
      <c r="V554" s="1082"/>
      <c r="W554" s="1082"/>
      <c r="X554" s="1082"/>
      <c r="Y554" s="1082"/>
      <c r="Z554" s="1082"/>
      <c r="AA554" s="1082"/>
      <c r="AB554" s="1082"/>
      <c r="AC554" s="1082"/>
      <c r="AD554" s="1082"/>
      <c r="AE554" s="1082"/>
      <c r="AF554" s="1082"/>
    </row>
    <row r="555">
      <c r="A555" s="1091"/>
      <c r="B555" s="1091"/>
      <c r="C555" s="1093"/>
      <c r="D555" s="1091"/>
      <c r="E555" s="1091"/>
      <c r="F555" s="1091"/>
      <c r="G555" s="1103"/>
      <c r="H555" s="1103"/>
      <c r="I555" s="1103"/>
      <c r="J555" s="1104"/>
      <c r="K555" s="1104"/>
      <c r="L555" s="1104"/>
      <c r="M555" s="1082"/>
      <c r="N555" s="1082"/>
      <c r="O555" s="1082"/>
      <c r="P555" s="1082"/>
      <c r="Q555" s="1082"/>
      <c r="R555" s="1082"/>
      <c r="S555" s="1082"/>
      <c r="T555" s="1082"/>
      <c r="U555" s="1082"/>
      <c r="V555" s="1082"/>
      <c r="W555" s="1082"/>
      <c r="X555" s="1082"/>
      <c r="Y555" s="1082"/>
      <c r="Z555" s="1082"/>
      <c r="AA555" s="1082"/>
      <c r="AB555" s="1082"/>
      <c r="AC555" s="1082"/>
      <c r="AD555" s="1082"/>
      <c r="AE555" s="1082"/>
      <c r="AF555" s="1082"/>
    </row>
    <row r="556">
      <c r="A556" s="1094"/>
      <c r="B556" s="1094"/>
      <c r="C556" s="1096"/>
      <c r="D556" s="1094"/>
      <c r="E556" s="1094"/>
      <c r="F556" s="1094"/>
      <c r="G556" s="1106"/>
      <c r="H556" s="1106"/>
      <c r="I556" s="1106"/>
      <c r="J556" s="1102"/>
      <c r="K556" s="1101"/>
      <c r="L556" s="1101"/>
      <c r="M556" s="1082"/>
      <c r="N556" s="1082"/>
      <c r="O556" s="1082"/>
      <c r="P556" s="1082"/>
      <c r="Q556" s="1082"/>
      <c r="R556" s="1082"/>
      <c r="S556" s="1082"/>
      <c r="T556" s="1082"/>
      <c r="U556" s="1082"/>
      <c r="V556" s="1082"/>
      <c r="W556" s="1082"/>
      <c r="X556" s="1082"/>
      <c r="Y556" s="1082"/>
      <c r="Z556" s="1082"/>
      <c r="AA556" s="1082"/>
      <c r="AB556" s="1082"/>
      <c r="AC556" s="1082"/>
      <c r="AD556" s="1082"/>
      <c r="AE556" s="1082"/>
      <c r="AF556" s="1082"/>
    </row>
    <row r="557">
      <c r="A557" s="1107"/>
      <c r="B557" s="1107"/>
      <c r="C557" s="1108"/>
      <c r="D557" s="1107"/>
      <c r="E557" s="1107"/>
      <c r="F557" s="1107"/>
      <c r="G557" s="1109"/>
      <c r="H557" s="1109"/>
      <c r="I557" s="1109"/>
      <c r="J557" s="1104"/>
      <c r="K557" s="1105"/>
      <c r="L557" s="1105"/>
      <c r="M557" s="1082"/>
      <c r="N557" s="1082"/>
      <c r="O557" s="1082"/>
      <c r="P557" s="1082"/>
      <c r="Q557" s="1082"/>
      <c r="R557" s="1082"/>
      <c r="S557" s="1082"/>
      <c r="T557" s="1082"/>
      <c r="U557" s="1082"/>
      <c r="V557" s="1082"/>
      <c r="W557" s="1082"/>
      <c r="X557" s="1082"/>
      <c r="Y557" s="1082"/>
      <c r="Z557" s="1082"/>
      <c r="AA557" s="1082"/>
      <c r="AB557" s="1082"/>
      <c r="AC557" s="1082"/>
      <c r="AD557" s="1082"/>
      <c r="AE557" s="1082"/>
      <c r="AF557" s="1082"/>
    </row>
    <row r="558">
      <c r="A558" s="1099"/>
      <c r="B558" s="1099"/>
      <c r="C558" s="1110"/>
      <c r="D558" s="1099"/>
      <c r="E558" s="1099"/>
      <c r="F558" s="1099"/>
      <c r="G558" s="1111"/>
      <c r="H558" s="1111"/>
      <c r="I558" s="1111"/>
      <c r="J558" s="1102"/>
      <c r="K558" s="1101"/>
      <c r="L558" s="1101"/>
      <c r="M558" s="1082"/>
      <c r="N558" s="1082"/>
      <c r="O558" s="1082"/>
      <c r="P558" s="1082"/>
      <c r="Q558" s="1082"/>
      <c r="R558" s="1082"/>
      <c r="S558" s="1082"/>
      <c r="T558" s="1082"/>
      <c r="U558" s="1082"/>
      <c r="V558" s="1082"/>
      <c r="W558" s="1082"/>
      <c r="X558" s="1082"/>
      <c r="Y558" s="1082"/>
      <c r="Z558" s="1082"/>
      <c r="AA558" s="1082"/>
      <c r="AB558" s="1082"/>
      <c r="AC558" s="1082"/>
      <c r="AD558" s="1082"/>
      <c r="AE558" s="1082"/>
      <c r="AF558" s="1082"/>
    </row>
    <row r="559">
      <c r="A559" s="1107"/>
      <c r="B559" s="1107"/>
      <c r="C559" s="1108"/>
      <c r="D559" s="1107"/>
      <c r="E559" s="1107"/>
      <c r="F559" s="1107"/>
      <c r="G559" s="1109"/>
      <c r="H559" s="1109"/>
      <c r="I559" s="1109"/>
      <c r="J559" s="1104"/>
      <c r="K559" s="1105"/>
      <c r="L559" s="1105"/>
      <c r="M559" s="1082"/>
      <c r="N559" s="1082"/>
      <c r="O559" s="1082"/>
      <c r="P559" s="1082"/>
      <c r="Q559" s="1082"/>
      <c r="R559" s="1082"/>
      <c r="S559" s="1082"/>
      <c r="T559" s="1082"/>
      <c r="U559" s="1082"/>
      <c r="V559" s="1082"/>
      <c r="W559" s="1082"/>
      <c r="X559" s="1082"/>
      <c r="Y559" s="1082"/>
      <c r="Z559" s="1082"/>
      <c r="AA559" s="1082"/>
      <c r="AB559" s="1082"/>
      <c r="AC559" s="1082"/>
      <c r="AD559" s="1082"/>
      <c r="AE559" s="1082"/>
      <c r="AF559" s="1082"/>
    </row>
    <row r="560">
      <c r="A560" s="1099"/>
      <c r="B560" s="1099"/>
      <c r="C560" s="1110"/>
      <c r="D560" s="1099"/>
      <c r="E560" s="1099"/>
      <c r="F560" s="1099"/>
      <c r="G560" s="1111"/>
      <c r="H560" s="1111"/>
      <c r="I560" s="1111"/>
      <c r="J560" s="1102"/>
      <c r="K560" s="1101"/>
      <c r="L560" s="1101"/>
      <c r="M560" s="1082"/>
      <c r="N560" s="1082"/>
      <c r="O560" s="1082"/>
      <c r="P560" s="1082"/>
      <c r="Q560" s="1082"/>
      <c r="R560" s="1082"/>
      <c r="S560" s="1082"/>
      <c r="T560" s="1082"/>
      <c r="U560" s="1082"/>
      <c r="V560" s="1082"/>
      <c r="W560" s="1082"/>
      <c r="X560" s="1082"/>
      <c r="Y560" s="1082"/>
      <c r="Z560" s="1082"/>
      <c r="AA560" s="1082"/>
      <c r="AB560" s="1082"/>
      <c r="AC560" s="1082"/>
      <c r="AD560" s="1082"/>
      <c r="AE560" s="1082"/>
      <c r="AF560" s="1082"/>
    </row>
    <row r="561">
      <c r="A561" s="1107"/>
      <c r="B561" s="1107"/>
      <c r="C561" s="1108"/>
      <c r="D561" s="1107"/>
      <c r="E561" s="1107"/>
      <c r="F561" s="1107"/>
      <c r="G561" s="1109"/>
      <c r="H561" s="1109"/>
      <c r="I561" s="1109"/>
      <c r="J561" s="1104"/>
      <c r="K561" s="1105"/>
      <c r="L561" s="1105"/>
      <c r="M561" s="1082"/>
      <c r="N561" s="1082"/>
      <c r="O561" s="1082"/>
      <c r="P561" s="1082"/>
      <c r="Q561" s="1082"/>
      <c r="R561" s="1082"/>
      <c r="S561" s="1082"/>
      <c r="T561" s="1082"/>
      <c r="U561" s="1082"/>
      <c r="V561" s="1082"/>
      <c r="W561" s="1082"/>
      <c r="X561" s="1082"/>
      <c r="Y561" s="1082"/>
      <c r="Z561" s="1082"/>
      <c r="AA561" s="1082"/>
      <c r="AB561" s="1082"/>
      <c r="AC561" s="1082"/>
      <c r="AD561" s="1082"/>
      <c r="AE561" s="1082"/>
      <c r="AF561" s="1082"/>
    </row>
    <row r="562">
      <c r="A562" s="1094"/>
      <c r="B562" s="1094"/>
      <c r="C562" s="1096"/>
      <c r="D562" s="1094"/>
      <c r="E562" s="1094"/>
      <c r="F562" s="1094"/>
      <c r="G562" s="1106"/>
      <c r="H562" s="1106"/>
      <c r="I562" s="1106"/>
      <c r="J562" s="1102"/>
      <c r="K562" s="1101"/>
      <c r="L562" s="1101"/>
      <c r="M562" s="1082"/>
      <c r="N562" s="1082"/>
      <c r="O562" s="1082"/>
      <c r="P562" s="1082"/>
      <c r="Q562" s="1082"/>
      <c r="R562" s="1082"/>
      <c r="S562" s="1082"/>
      <c r="T562" s="1082"/>
      <c r="U562" s="1082"/>
      <c r="V562" s="1082"/>
      <c r="W562" s="1082"/>
      <c r="X562" s="1082"/>
      <c r="Y562" s="1082"/>
      <c r="Z562" s="1082"/>
      <c r="AA562" s="1082"/>
      <c r="AB562" s="1082"/>
      <c r="AC562" s="1082"/>
      <c r="AD562" s="1082"/>
      <c r="AE562" s="1082"/>
      <c r="AF562" s="1082"/>
    </row>
    <row r="563">
      <c r="A563" s="1091"/>
      <c r="B563" s="1091"/>
      <c r="C563" s="1093"/>
      <c r="D563" s="1091"/>
      <c r="E563" s="1091"/>
      <c r="F563" s="1091"/>
      <c r="G563" s="1103"/>
      <c r="H563" s="1103"/>
      <c r="I563" s="1103"/>
      <c r="J563" s="1104"/>
      <c r="K563" s="1105"/>
      <c r="L563" s="1105"/>
      <c r="M563" s="1082"/>
      <c r="N563" s="1082"/>
      <c r="O563" s="1082"/>
      <c r="P563" s="1082"/>
      <c r="Q563" s="1082"/>
      <c r="R563" s="1082"/>
      <c r="S563" s="1082"/>
      <c r="T563" s="1082"/>
      <c r="U563" s="1082"/>
      <c r="V563" s="1082"/>
      <c r="W563" s="1082"/>
      <c r="X563" s="1082"/>
      <c r="Y563" s="1082"/>
      <c r="Z563" s="1082"/>
      <c r="AA563" s="1082"/>
      <c r="AB563" s="1082"/>
      <c r="AC563" s="1082"/>
      <c r="AD563" s="1082"/>
      <c r="AE563" s="1082"/>
      <c r="AF563" s="1082"/>
    </row>
    <row r="564">
      <c r="A564" s="1094"/>
      <c r="B564" s="1094"/>
      <c r="C564" s="1096"/>
      <c r="D564" s="1094"/>
      <c r="E564" s="1094"/>
      <c r="F564" s="1094"/>
      <c r="G564" s="1106"/>
      <c r="H564" s="1106"/>
      <c r="I564" s="1106"/>
      <c r="J564" s="1102"/>
      <c r="K564" s="1101"/>
      <c r="L564" s="1101"/>
      <c r="M564" s="1082"/>
      <c r="N564" s="1082"/>
      <c r="O564" s="1082"/>
      <c r="P564" s="1082"/>
      <c r="Q564" s="1082"/>
      <c r="R564" s="1082"/>
      <c r="S564" s="1082"/>
      <c r="T564" s="1082"/>
      <c r="U564" s="1082"/>
      <c r="V564" s="1082"/>
      <c r="W564" s="1082"/>
      <c r="X564" s="1082"/>
      <c r="Y564" s="1082"/>
      <c r="Z564" s="1082"/>
      <c r="AA564" s="1082"/>
      <c r="AB564" s="1082"/>
      <c r="AC564" s="1082"/>
      <c r="AD564" s="1082"/>
      <c r="AE564" s="1082"/>
      <c r="AF564" s="1082"/>
    </row>
    <row r="565">
      <c r="A565" s="1091"/>
      <c r="B565" s="1091"/>
      <c r="C565" s="1093"/>
      <c r="D565" s="1091"/>
      <c r="E565" s="1091"/>
      <c r="F565" s="1091"/>
      <c r="G565" s="1103"/>
      <c r="H565" s="1103"/>
      <c r="I565" s="1103"/>
      <c r="J565" s="1104"/>
      <c r="K565" s="1105"/>
      <c r="L565" s="1105"/>
      <c r="M565" s="1082"/>
      <c r="N565" s="1082"/>
      <c r="O565" s="1082"/>
      <c r="P565" s="1082"/>
      <c r="Q565" s="1082"/>
      <c r="R565" s="1082"/>
      <c r="S565" s="1082"/>
      <c r="T565" s="1082"/>
      <c r="U565" s="1082"/>
      <c r="V565" s="1082"/>
      <c r="W565" s="1082"/>
      <c r="X565" s="1082"/>
      <c r="Y565" s="1082"/>
      <c r="Z565" s="1082"/>
      <c r="AA565" s="1082"/>
      <c r="AB565" s="1082"/>
      <c r="AC565" s="1082"/>
      <c r="AD565" s="1082"/>
      <c r="AE565" s="1082"/>
      <c r="AF565" s="1082"/>
    </row>
    <row r="566">
      <c r="A566" s="1094"/>
      <c r="B566" s="1094"/>
      <c r="C566" s="1096"/>
      <c r="D566" s="1094"/>
      <c r="E566" s="1094"/>
      <c r="F566" s="1094"/>
      <c r="G566" s="1106"/>
      <c r="H566" s="1106"/>
      <c r="I566" s="1106"/>
      <c r="J566" s="1102"/>
      <c r="K566" s="1101"/>
      <c r="L566" s="1101"/>
      <c r="M566" s="1082"/>
      <c r="N566" s="1082"/>
      <c r="O566" s="1082"/>
      <c r="P566" s="1082"/>
      <c r="Q566" s="1082"/>
      <c r="R566" s="1082"/>
      <c r="S566" s="1082"/>
      <c r="T566" s="1082"/>
      <c r="U566" s="1082"/>
      <c r="V566" s="1082"/>
      <c r="W566" s="1082"/>
      <c r="X566" s="1082"/>
      <c r="Y566" s="1082"/>
      <c r="Z566" s="1082"/>
      <c r="AA566" s="1082"/>
      <c r="AB566" s="1082"/>
      <c r="AC566" s="1082"/>
      <c r="AD566" s="1082"/>
      <c r="AE566" s="1082"/>
      <c r="AF566" s="1082"/>
    </row>
    <row r="567">
      <c r="A567" s="1091"/>
      <c r="B567" s="1091"/>
      <c r="C567" s="1093"/>
      <c r="D567" s="1091"/>
      <c r="E567" s="1091"/>
      <c r="F567" s="1091"/>
      <c r="G567" s="1103"/>
      <c r="H567" s="1103"/>
      <c r="I567" s="1103"/>
      <c r="J567" s="1104"/>
      <c r="K567" s="1105"/>
      <c r="L567" s="1105"/>
      <c r="M567" s="1082"/>
      <c r="N567" s="1082"/>
      <c r="O567" s="1082"/>
      <c r="P567" s="1082"/>
      <c r="Q567" s="1082"/>
      <c r="R567" s="1082"/>
      <c r="S567" s="1082"/>
      <c r="T567" s="1082"/>
      <c r="U567" s="1082"/>
      <c r="V567" s="1082"/>
      <c r="W567" s="1082"/>
      <c r="X567" s="1082"/>
      <c r="Y567" s="1082"/>
      <c r="Z567" s="1082"/>
      <c r="AA567" s="1082"/>
      <c r="AB567" s="1082"/>
      <c r="AC567" s="1082"/>
      <c r="AD567" s="1082"/>
      <c r="AE567" s="1082"/>
      <c r="AF567" s="1082"/>
    </row>
    <row r="568">
      <c r="A568" s="1094"/>
      <c r="B568" s="1094"/>
      <c r="C568" s="1096"/>
      <c r="D568" s="1094"/>
      <c r="E568" s="1094"/>
      <c r="F568" s="1094"/>
      <c r="G568" s="1106"/>
      <c r="H568" s="1106"/>
      <c r="I568" s="1106"/>
      <c r="J568" s="1102"/>
      <c r="K568" s="1101"/>
      <c r="L568" s="1101"/>
      <c r="M568" s="1082"/>
      <c r="N568" s="1082"/>
      <c r="O568" s="1082"/>
      <c r="P568" s="1082"/>
      <c r="Q568" s="1082"/>
      <c r="R568" s="1082"/>
      <c r="S568" s="1082"/>
      <c r="T568" s="1082"/>
      <c r="U568" s="1082"/>
      <c r="V568" s="1082"/>
      <c r="W568" s="1082"/>
      <c r="X568" s="1082"/>
      <c r="Y568" s="1082"/>
      <c r="Z568" s="1082"/>
      <c r="AA568" s="1082"/>
      <c r="AB568" s="1082"/>
      <c r="AC568" s="1082"/>
      <c r="AD568" s="1082"/>
      <c r="AE568" s="1082"/>
      <c r="AF568" s="1082"/>
    </row>
    <row r="569">
      <c r="A569" s="1091"/>
      <c r="B569" s="1091"/>
      <c r="C569" s="1093"/>
      <c r="D569" s="1091"/>
      <c r="E569" s="1091"/>
      <c r="F569" s="1091"/>
      <c r="G569" s="1103"/>
      <c r="H569" s="1103"/>
      <c r="I569" s="1103"/>
      <c r="J569" s="1104"/>
      <c r="K569" s="1105"/>
      <c r="L569" s="1105"/>
      <c r="M569" s="1082"/>
      <c r="N569" s="1082"/>
      <c r="O569" s="1082"/>
      <c r="P569" s="1082"/>
      <c r="Q569" s="1082"/>
      <c r="R569" s="1082"/>
      <c r="S569" s="1082"/>
      <c r="T569" s="1082"/>
      <c r="U569" s="1082"/>
      <c r="V569" s="1082"/>
      <c r="W569" s="1082"/>
      <c r="X569" s="1082"/>
      <c r="Y569" s="1082"/>
      <c r="Z569" s="1082"/>
      <c r="AA569" s="1082"/>
      <c r="AB569" s="1082"/>
      <c r="AC569" s="1082"/>
      <c r="AD569" s="1082"/>
      <c r="AE569" s="1082"/>
      <c r="AF569" s="1082"/>
    </row>
    <row r="570">
      <c r="A570" s="1094"/>
      <c r="B570" s="1094"/>
      <c r="C570" s="1096"/>
      <c r="D570" s="1094"/>
      <c r="E570" s="1094"/>
      <c r="F570" s="1094"/>
      <c r="G570" s="1106"/>
      <c r="H570" s="1106"/>
      <c r="I570" s="1106"/>
      <c r="J570" s="1102"/>
      <c r="K570" s="1101"/>
      <c r="L570" s="1101"/>
      <c r="M570" s="1082"/>
      <c r="N570" s="1082"/>
      <c r="O570" s="1082"/>
      <c r="P570" s="1082"/>
      <c r="Q570" s="1082"/>
      <c r="R570" s="1082"/>
      <c r="S570" s="1082"/>
      <c r="T570" s="1082"/>
      <c r="U570" s="1082"/>
      <c r="V570" s="1082"/>
      <c r="W570" s="1082"/>
      <c r="X570" s="1082"/>
      <c r="Y570" s="1082"/>
      <c r="Z570" s="1082"/>
      <c r="AA570" s="1082"/>
      <c r="AB570" s="1082"/>
      <c r="AC570" s="1082"/>
      <c r="AD570" s="1082"/>
      <c r="AE570" s="1082"/>
      <c r="AF570" s="1082"/>
    </row>
    <row r="571">
      <c r="A571" s="1091"/>
      <c r="B571" s="1091"/>
      <c r="C571" s="1093"/>
      <c r="D571" s="1091"/>
      <c r="E571" s="1091"/>
      <c r="F571" s="1091"/>
      <c r="G571" s="1103"/>
      <c r="H571" s="1103"/>
      <c r="I571" s="1103"/>
      <c r="J571" s="1104"/>
      <c r="K571" s="1105"/>
      <c r="L571" s="1105"/>
      <c r="M571" s="1082"/>
      <c r="N571" s="1082"/>
      <c r="O571" s="1082"/>
      <c r="P571" s="1082"/>
      <c r="Q571" s="1082"/>
      <c r="R571" s="1082"/>
      <c r="S571" s="1082"/>
      <c r="T571" s="1082"/>
      <c r="U571" s="1082"/>
      <c r="V571" s="1082"/>
      <c r="W571" s="1082"/>
      <c r="X571" s="1082"/>
      <c r="Y571" s="1082"/>
      <c r="Z571" s="1082"/>
      <c r="AA571" s="1082"/>
      <c r="AB571" s="1082"/>
      <c r="AC571" s="1082"/>
      <c r="AD571" s="1082"/>
      <c r="AE571" s="1082"/>
      <c r="AF571" s="1082"/>
    </row>
    <row r="572">
      <c r="A572" s="1094"/>
      <c r="B572" s="1099"/>
      <c r="C572" s="1096"/>
      <c r="D572" s="1094"/>
      <c r="E572" s="1094"/>
      <c r="F572" s="1094"/>
      <c r="G572" s="1106"/>
      <c r="H572" s="1106"/>
      <c r="I572" s="1106"/>
      <c r="J572" s="1102"/>
      <c r="K572" s="1101"/>
      <c r="L572" s="1101"/>
      <c r="M572" s="1082"/>
      <c r="N572" s="1082"/>
      <c r="O572" s="1082"/>
      <c r="P572" s="1082"/>
      <c r="Q572" s="1082"/>
      <c r="R572" s="1082"/>
      <c r="S572" s="1082"/>
      <c r="T572" s="1082"/>
      <c r="U572" s="1082"/>
      <c r="V572" s="1082"/>
      <c r="W572" s="1082"/>
      <c r="X572" s="1082"/>
      <c r="Y572" s="1082"/>
      <c r="Z572" s="1082"/>
      <c r="AA572" s="1082"/>
      <c r="AB572" s="1082"/>
      <c r="AC572" s="1082"/>
      <c r="AD572" s="1082"/>
      <c r="AE572" s="1082"/>
      <c r="AF572" s="1082"/>
    </row>
    <row r="573">
      <c r="A573" s="1091"/>
      <c r="B573" s="1091"/>
      <c r="C573" s="1093"/>
      <c r="D573" s="1091"/>
      <c r="E573" s="1091"/>
      <c r="F573" s="1091"/>
      <c r="G573" s="1103"/>
      <c r="H573" s="1103"/>
      <c r="I573" s="1103"/>
      <c r="J573" s="1104"/>
      <c r="K573" s="1105"/>
      <c r="L573" s="1105"/>
      <c r="M573" s="1082"/>
      <c r="N573" s="1082"/>
      <c r="O573" s="1082"/>
      <c r="P573" s="1082"/>
      <c r="Q573" s="1082"/>
      <c r="R573" s="1082"/>
      <c r="S573" s="1082"/>
      <c r="T573" s="1082"/>
      <c r="U573" s="1082"/>
      <c r="V573" s="1082"/>
      <c r="W573" s="1082"/>
      <c r="X573" s="1082"/>
      <c r="Y573" s="1082"/>
      <c r="Z573" s="1082"/>
      <c r="AA573" s="1082"/>
      <c r="AB573" s="1082"/>
      <c r="AC573" s="1082"/>
      <c r="AD573" s="1082"/>
      <c r="AE573" s="1082"/>
      <c r="AF573" s="1082"/>
    </row>
    <row r="574">
      <c r="A574" s="1094"/>
      <c r="B574" s="1094"/>
      <c r="C574" s="1096"/>
      <c r="D574" s="1094"/>
      <c r="E574" s="1094"/>
      <c r="F574" s="1094"/>
      <c r="G574" s="1106"/>
      <c r="H574" s="1106"/>
      <c r="I574" s="1106"/>
      <c r="J574" s="1102"/>
      <c r="K574" s="1101"/>
      <c r="L574" s="1101"/>
      <c r="M574" s="1082"/>
      <c r="N574" s="1082"/>
      <c r="O574" s="1082"/>
      <c r="P574" s="1082"/>
      <c r="Q574" s="1082"/>
      <c r="R574" s="1082"/>
      <c r="S574" s="1082"/>
      <c r="T574" s="1082"/>
      <c r="U574" s="1082"/>
      <c r="V574" s="1082"/>
      <c r="W574" s="1082"/>
      <c r="X574" s="1082"/>
      <c r="Y574" s="1082"/>
      <c r="Z574" s="1082"/>
      <c r="AA574" s="1082"/>
      <c r="AB574" s="1082"/>
      <c r="AC574" s="1082"/>
      <c r="AD574" s="1082"/>
      <c r="AE574" s="1082"/>
      <c r="AF574" s="1082"/>
    </row>
    <row r="575">
      <c r="A575" s="1107"/>
      <c r="B575" s="1091"/>
      <c r="C575" s="1108"/>
      <c r="D575" s="1107"/>
      <c r="E575" s="1107"/>
      <c r="F575" s="1107"/>
      <c r="G575" s="1109"/>
      <c r="H575" s="1109"/>
      <c r="I575" s="1109"/>
      <c r="J575" s="1104"/>
      <c r="K575" s="1105"/>
      <c r="L575" s="1105"/>
      <c r="M575" s="1082"/>
      <c r="N575" s="1082"/>
      <c r="O575" s="1082"/>
      <c r="P575" s="1082"/>
      <c r="Q575" s="1082"/>
      <c r="R575" s="1082"/>
      <c r="S575" s="1082"/>
      <c r="T575" s="1082"/>
      <c r="U575" s="1082"/>
      <c r="V575" s="1082"/>
      <c r="W575" s="1082"/>
      <c r="X575" s="1082"/>
      <c r="Y575" s="1082"/>
      <c r="Z575" s="1082"/>
      <c r="AA575" s="1082"/>
      <c r="AB575" s="1082"/>
      <c r="AC575" s="1082"/>
      <c r="AD575" s="1082"/>
      <c r="AE575" s="1082"/>
      <c r="AF575" s="1082"/>
    </row>
    <row r="576">
      <c r="A576" s="1099"/>
      <c r="B576" s="1094"/>
      <c r="C576" s="1110"/>
      <c r="D576" s="1099"/>
      <c r="E576" s="1099"/>
      <c r="F576" s="1099"/>
      <c r="G576" s="1111"/>
      <c r="H576" s="1111"/>
      <c r="I576" s="1111"/>
      <c r="J576" s="1102"/>
      <c r="K576" s="1101"/>
      <c r="L576" s="1101"/>
      <c r="M576" s="1082"/>
      <c r="N576" s="1082"/>
      <c r="O576" s="1082"/>
      <c r="P576" s="1082"/>
      <c r="Q576" s="1082"/>
      <c r="R576" s="1082"/>
      <c r="S576" s="1082"/>
      <c r="T576" s="1082"/>
      <c r="U576" s="1082"/>
      <c r="V576" s="1082"/>
      <c r="W576" s="1082"/>
      <c r="X576" s="1082"/>
      <c r="Y576" s="1082"/>
      <c r="Z576" s="1082"/>
      <c r="AA576" s="1082"/>
      <c r="AB576" s="1082"/>
      <c r="AC576" s="1082"/>
      <c r="AD576" s="1082"/>
      <c r="AE576" s="1082"/>
      <c r="AF576" s="1082"/>
    </row>
    <row r="577">
      <c r="A577" s="1107"/>
      <c r="B577" s="1091"/>
      <c r="C577" s="1108"/>
      <c r="D577" s="1107"/>
      <c r="E577" s="1107"/>
      <c r="F577" s="1107"/>
      <c r="G577" s="1109"/>
      <c r="H577" s="1109"/>
      <c r="I577" s="1109"/>
      <c r="J577" s="1104"/>
      <c r="K577" s="1105"/>
      <c r="L577" s="1105"/>
      <c r="M577" s="1082"/>
      <c r="N577" s="1082"/>
      <c r="O577" s="1082"/>
      <c r="P577" s="1082"/>
      <c r="Q577" s="1082"/>
      <c r="R577" s="1082"/>
      <c r="S577" s="1082"/>
      <c r="T577" s="1082"/>
      <c r="U577" s="1082"/>
      <c r="V577" s="1082"/>
      <c r="W577" s="1082"/>
      <c r="X577" s="1082"/>
      <c r="Y577" s="1082"/>
      <c r="Z577" s="1082"/>
      <c r="AA577" s="1082"/>
      <c r="AB577" s="1082"/>
      <c r="AC577" s="1082"/>
      <c r="AD577" s="1082"/>
      <c r="AE577" s="1082"/>
      <c r="AF577" s="1082"/>
    </row>
    <row r="578">
      <c r="A578" s="1099"/>
      <c r="B578" s="1094"/>
      <c r="C578" s="1110"/>
      <c r="D578" s="1099"/>
      <c r="E578" s="1099"/>
      <c r="F578" s="1099"/>
      <c r="G578" s="1111"/>
      <c r="H578" s="1111"/>
      <c r="I578" s="1111"/>
      <c r="J578" s="1102"/>
      <c r="K578" s="1101"/>
      <c r="L578" s="1101"/>
      <c r="M578" s="1082"/>
      <c r="N578" s="1082"/>
      <c r="O578" s="1082"/>
      <c r="P578" s="1082"/>
      <c r="Q578" s="1082"/>
      <c r="R578" s="1082"/>
      <c r="S578" s="1082"/>
      <c r="T578" s="1082"/>
      <c r="U578" s="1082"/>
      <c r="V578" s="1082"/>
      <c r="W578" s="1082"/>
      <c r="X578" s="1082"/>
      <c r="Y578" s="1082"/>
      <c r="Z578" s="1082"/>
      <c r="AA578" s="1082"/>
      <c r="AB578" s="1082"/>
      <c r="AC578" s="1082"/>
      <c r="AD578" s="1082"/>
      <c r="AE578" s="1082"/>
      <c r="AF578" s="1082"/>
    </row>
    <row r="579">
      <c r="A579" s="1091"/>
      <c r="B579" s="1091"/>
      <c r="C579" s="1093"/>
      <c r="D579" s="1091"/>
      <c r="E579" s="1091"/>
      <c r="F579" s="1091"/>
      <c r="G579" s="1103"/>
      <c r="H579" s="1103"/>
      <c r="I579" s="1103"/>
      <c r="J579" s="1104"/>
      <c r="K579" s="1105"/>
      <c r="L579" s="1105"/>
      <c r="M579" s="1082"/>
      <c r="N579" s="1082"/>
      <c r="O579" s="1082"/>
      <c r="P579" s="1082"/>
      <c r="Q579" s="1082"/>
      <c r="R579" s="1082"/>
      <c r="S579" s="1082"/>
      <c r="T579" s="1082"/>
      <c r="U579" s="1082"/>
      <c r="V579" s="1082"/>
      <c r="W579" s="1082"/>
      <c r="X579" s="1082"/>
      <c r="Y579" s="1082"/>
      <c r="Z579" s="1082"/>
      <c r="AA579" s="1082"/>
      <c r="AB579" s="1082"/>
      <c r="AC579" s="1082"/>
      <c r="AD579" s="1082"/>
      <c r="AE579" s="1082"/>
      <c r="AF579" s="1082"/>
    </row>
    <row r="580">
      <c r="A580" s="1094"/>
      <c r="B580" s="1094"/>
      <c r="C580" s="1096"/>
      <c r="D580" s="1094"/>
      <c r="E580" s="1094"/>
      <c r="F580" s="1094"/>
      <c r="G580" s="1106"/>
      <c r="H580" s="1106"/>
      <c r="I580" s="1106"/>
      <c r="J580" s="1102"/>
      <c r="K580" s="1101"/>
      <c r="L580" s="1101"/>
      <c r="M580" s="1082"/>
      <c r="N580" s="1082"/>
      <c r="O580" s="1082"/>
      <c r="P580" s="1082"/>
      <c r="Q580" s="1082"/>
      <c r="R580" s="1082"/>
      <c r="S580" s="1082"/>
      <c r="T580" s="1082"/>
      <c r="U580" s="1082"/>
      <c r="V580" s="1082"/>
      <c r="W580" s="1082"/>
      <c r="X580" s="1082"/>
      <c r="Y580" s="1082"/>
      <c r="Z580" s="1082"/>
      <c r="AA580" s="1082"/>
      <c r="AB580" s="1082"/>
      <c r="AC580" s="1082"/>
      <c r="AD580" s="1082"/>
      <c r="AE580" s="1082"/>
      <c r="AF580" s="1082"/>
    </row>
    <row r="581">
      <c r="A581" s="1091"/>
      <c r="B581" s="1091"/>
      <c r="C581" s="1093"/>
      <c r="D581" s="1091"/>
      <c r="E581" s="1091"/>
      <c r="F581" s="1091"/>
      <c r="G581" s="1103"/>
      <c r="H581" s="1103"/>
      <c r="I581" s="1103"/>
      <c r="J581" s="1104"/>
      <c r="K581" s="1105"/>
      <c r="L581" s="1105"/>
      <c r="M581" s="1082"/>
      <c r="N581" s="1082"/>
      <c r="O581" s="1082"/>
      <c r="P581" s="1082"/>
      <c r="Q581" s="1082"/>
      <c r="R581" s="1082"/>
      <c r="S581" s="1082"/>
      <c r="T581" s="1082"/>
      <c r="U581" s="1082"/>
      <c r="V581" s="1082"/>
      <c r="W581" s="1082"/>
      <c r="X581" s="1082"/>
      <c r="Y581" s="1082"/>
      <c r="Z581" s="1082"/>
      <c r="AA581" s="1082"/>
      <c r="AB581" s="1082"/>
      <c r="AC581" s="1082"/>
      <c r="AD581" s="1082"/>
      <c r="AE581" s="1082"/>
      <c r="AF581" s="1082"/>
    </row>
    <row r="582">
      <c r="A582" s="1094"/>
      <c r="B582" s="1094"/>
      <c r="C582" s="1096"/>
      <c r="D582" s="1094"/>
      <c r="E582" s="1094"/>
      <c r="F582" s="1094"/>
      <c r="G582" s="1106"/>
      <c r="H582" s="1106"/>
      <c r="I582" s="1106"/>
      <c r="J582" s="1102"/>
      <c r="K582" s="1101"/>
      <c r="L582" s="1101"/>
      <c r="M582" s="1082"/>
      <c r="N582" s="1082"/>
      <c r="O582" s="1082"/>
      <c r="P582" s="1082"/>
      <c r="Q582" s="1082"/>
      <c r="R582" s="1082"/>
      <c r="S582" s="1082"/>
      <c r="T582" s="1082"/>
      <c r="U582" s="1082"/>
      <c r="V582" s="1082"/>
      <c r="W582" s="1082"/>
      <c r="X582" s="1082"/>
      <c r="Y582" s="1082"/>
      <c r="Z582" s="1082"/>
      <c r="AA582" s="1082"/>
      <c r="AB582" s="1082"/>
      <c r="AC582" s="1082"/>
      <c r="AD582" s="1082"/>
      <c r="AE582" s="1082"/>
      <c r="AF582" s="1082"/>
    </row>
    <row r="583">
      <c r="A583" s="1091"/>
      <c r="B583" s="1091"/>
      <c r="C583" s="1093"/>
      <c r="D583" s="1091"/>
      <c r="E583" s="1091"/>
      <c r="F583" s="1091"/>
      <c r="G583" s="1091"/>
      <c r="H583" s="1091"/>
      <c r="I583" s="1091"/>
      <c r="J583" s="1104"/>
      <c r="K583" s="1105"/>
      <c r="L583" s="1105"/>
      <c r="M583" s="1082"/>
      <c r="N583" s="1082"/>
      <c r="O583" s="1082"/>
      <c r="P583" s="1082"/>
      <c r="Q583" s="1082"/>
      <c r="R583" s="1082"/>
      <c r="S583" s="1082"/>
      <c r="T583" s="1082"/>
      <c r="U583" s="1082"/>
      <c r="V583" s="1082"/>
      <c r="W583" s="1082"/>
      <c r="X583" s="1082"/>
      <c r="Y583" s="1082"/>
      <c r="Z583" s="1082"/>
      <c r="AA583" s="1082"/>
      <c r="AB583" s="1082"/>
      <c r="AC583" s="1082"/>
      <c r="AD583" s="1082"/>
      <c r="AE583" s="1082"/>
      <c r="AF583" s="1082"/>
    </row>
    <row r="584">
      <c r="A584" s="1099"/>
      <c r="B584" s="1094"/>
      <c r="C584" s="1110"/>
      <c r="D584" s="1099"/>
      <c r="E584" s="1099"/>
      <c r="F584" s="1099"/>
      <c r="G584" s="1111"/>
      <c r="H584" s="1111"/>
      <c r="I584" s="1111"/>
      <c r="J584" s="1102"/>
      <c r="K584" s="1101"/>
      <c r="L584" s="1101"/>
      <c r="M584" s="1082"/>
      <c r="N584" s="1082"/>
      <c r="O584" s="1082"/>
      <c r="P584" s="1082"/>
      <c r="Q584" s="1082"/>
      <c r="R584" s="1082"/>
      <c r="S584" s="1082"/>
      <c r="T584" s="1082"/>
      <c r="U584" s="1082"/>
      <c r="V584" s="1082"/>
      <c r="W584" s="1082"/>
      <c r="X584" s="1082"/>
      <c r="Y584" s="1082"/>
      <c r="Z584" s="1082"/>
      <c r="AA584" s="1082"/>
      <c r="AB584" s="1082"/>
      <c r="AC584" s="1082"/>
      <c r="AD584" s="1082"/>
      <c r="AE584" s="1082"/>
      <c r="AF584" s="1082"/>
    </row>
    <row r="585">
      <c r="A585" s="1107"/>
      <c r="B585" s="1091"/>
      <c r="C585" s="1108"/>
      <c r="D585" s="1107"/>
      <c r="E585" s="1107"/>
      <c r="F585" s="1107"/>
      <c r="G585" s="1109"/>
      <c r="H585" s="1109"/>
      <c r="I585" s="1109"/>
      <c r="J585" s="1104"/>
      <c r="K585" s="1105"/>
      <c r="L585" s="1105"/>
      <c r="M585" s="1082"/>
      <c r="N585" s="1082"/>
      <c r="O585" s="1082"/>
      <c r="P585" s="1082"/>
      <c r="Q585" s="1082"/>
      <c r="R585" s="1082"/>
      <c r="S585" s="1082"/>
      <c r="T585" s="1082"/>
      <c r="U585" s="1082"/>
      <c r="V585" s="1082"/>
      <c r="W585" s="1082"/>
      <c r="X585" s="1082"/>
      <c r="Y585" s="1082"/>
      <c r="Z585" s="1082"/>
      <c r="AA585" s="1082"/>
      <c r="AB585" s="1082"/>
      <c r="AC585" s="1082"/>
      <c r="AD585" s="1082"/>
      <c r="AE585" s="1082"/>
      <c r="AF585" s="1082"/>
    </row>
    <row r="586">
      <c r="A586" s="1099"/>
      <c r="B586" s="1094"/>
      <c r="C586" s="1110"/>
      <c r="D586" s="1099"/>
      <c r="E586" s="1099"/>
      <c r="F586" s="1099"/>
      <c r="G586" s="1111"/>
      <c r="H586" s="1111"/>
      <c r="I586" s="1111"/>
      <c r="J586" s="1102"/>
      <c r="K586" s="1101"/>
      <c r="L586" s="1101"/>
      <c r="M586" s="1082"/>
      <c r="N586" s="1082"/>
      <c r="O586" s="1082"/>
      <c r="P586" s="1082"/>
      <c r="Q586" s="1082"/>
      <c r="R586" s="1082"/>
      <c r="S586" s="1082"/>
      <c r="T586" s="1082"/>
      <c r="U586" s="1082"/>
      <c r="V586" s="1082"/>
      <c r="W586" s="1082"/>
      <c r="X586" s="1082"/>
      <c r="Y586" s="1082"/>
      <c r="Z586" s="1082"/>
      <c r="AA586" s="1082"/>
      <c r="AB586" s="1082"/>
      <c r="AC586" s="1082"/>
      <c r="AD586" s="1082"/>
      <c r="AE586" s="1082"/>
      <c r="AF586" s="1082"/>
    </row>
    <row r="587">
      <c r="A587" s="1107"/>
      <c r="B587" s="1091"/>
      <c r="C587" s="1108"/>
      <c r="D587" s="1107"/>
      <c r="E587" s="1107"/>
      <c r="F587" s="1107"/>
      <c r="G587" s="1109"/>
      <c r="H587" s="1109"/>
      <c r="I587" s="1109"/>
      <c r="J587" s="1104"/>
      <c r="K587" s="1105"/>
      <c r="L587" s="1105"/>
      <c r="M587" s="1082"/>
      <c r="N587" s="1082"/>
      <c r="O587" s="1082"/>
      <c r="P587" s="1082"/>
      <c r="Q587" s="1082"/>
      <c r="R587" s="1082"/>
      <c r="S587" s="1082"/>
      <c r="T587" s="1082"/>
      <c r="U587" s="1082"/>
      <c r="V587" s="1082"/>
      <c r="W587" s="1082"/>
      <c r="X587" s="1082"/>
      <c r="Y587" s="1082"/>
      <c r="Z587" s="1082"/>
      <c r="AA587" s="1082"/>
      <c r="AB587" s="1082"/>
      <c r="AC587" s="1082"/>
      <c r="AD587" s="1082"/>
      <c r="AE587" s="1082"/>
      <c r="AF587" s="1082"/>
    </row>
    <row r="588">
      <c r="A588" s="1099"/>
      <c r="B588" s="1094"/>
      <c r="C588" s="1110"/>
      <c r="D588" s="1099"/>
      <c r="E588" s="1099"/>
      <c r="F588" s="1099"/>
      <c r="G588" s="1111"/>
      <c r="H588" s="1111"/>
      <c r="I588" s="1111"/>
      <c r="J588" s="1102"/>
      <c r="K588" s="1101"/>
      <c r="L588" s="1101"/>
      <c r="M588" s="1082"/>
      <c r="N588" s="1082"/>
      <c r="O588" s="1082"/>
      <c r="P588" s="1082"/>
      <c r="Q588" s="1082"/>
      <c r="R588" s="1082"/>
      <c r="S588" s="1082"/>
      <c r="T588" s="1082"/>
      <c r="U588" s="1082"/>
      <c r="V588" s="1082"/>
      <c r="W588" s="1082"/>
      <c r="X588" s="1082"/>
      <c r="Y588" s="1082"/>
      <c r="Z588" s="1082"/>
      <c r="AA588" s="1082"/>
      <c r="AB588" s="1082"/>
      <c r="AC588" s="1082"/>
      <c r="AD588" s="1082"/>
      <c r="AE588" s="1082"/>
      <c r="AF588" s="1082"/>
    </row>
    <row r="589">
      <c r="A589" s="1091"/>
      <c r="B589" s="1091"/>
      <c r="C589" s="1093"/>
      <c r="D589" s="1091"/>
      <c r="E589" s="1091"/>
      <c r="F589" s="1091"/>
      <c r="G589" s="1103"/>
      <c r="H589" s="1103"/>
      <c r="I589" s="1103"/>
      <c r="J589" s="1104"/>
      <c r="K589" s="1105"/>
      <c r="L589" s="1105"/>
      <c r="M589" s="1082"/>
      <c r="N589" s="1082"/>
      <c r="O589" s="1082"/>
      <c r="P589" s="1082"/>
      <c r="Q589" s="1082"/>
      <c r="R589" s="1082"/>
      <c r="S589" s="1082"/>
      <c r="T589" s="1082"/>
      <c r="U589" s="1082"/>
      <c r="V589" s="1082"/>
      <c r="W589" s="1082"/>
      <c r="X589" s="1082"/>
      <c r="Y589" s="1082"/>
      <c r="Z589" s="1082"/>
      <c r="AA589" s="1082"/>
      <c r="AB589" s="1082"/>
      <c r="AC589" s="1082"/>
      <c r="AD589" s="1082"/>
      <c r="AE589" s="1082"/>
      <c r="AF589" s="1082"/>
    </row>
    <row r="590">
      <c r="A590" s="1094"/>
      <c r="B590" s="1094"/>
      <c r="C590" s="1096"/>
      <c r="D590" s="1094"/>
      <c r="E590" s="1094"/>
      <c r="F590" s="1094"/>
      <c r="G590" s="1106"/>
      <c r="H590" s="1106"/>
      <c r="I590" s="1106"/>
      <c r="J590" s="1102"/>
      <c r="K590" s="1101"/>
      <c r="L590" s="1101"/>
      <c r="M590" s="1082"/>
      <c r="N590" s="1082"/>
      <c r="O590" s="1082"/>
      <c r="P590" s="1082"/>
      <c r="Q590" s="1082"/>
      <c r="R590" s="1082"/>
      <c r="S590" s="1082"/>
      <c r="T590" s="1082"/>
      <c r="U590" s="1082"/>
      <c r="V590" s="1082"/>
      <c r="W590" s="1082"/>
      <c r="X590" s="1082"/>
      <c r="Y590" s="1082"/>
      <c r="Z590" s="1082"/>
      <c r="AA590" s="1082"/>
      <c r="AB590" s="1082"/>
      <c r="AC590" s="1082"/>
      <c r="AD590" s="1082"/>
      <c r="AE590" s="1082"/>
      <c r="AF590" s="1082"/>
    </row>
    <row r="591">
      <c r="A591" s="1091"/>
      <c r="B591" s="1091"/>
      <c r="C591" s="1093"/>
      <c r="D591" s="1091"/>
      <c r="E591" s="1091"/>
      <c r="F591" s="1091"/>
      <c r="G591" s="1103"/>
      <c r="H591" s="1103"/>
      <c r="I591" s="1103"/>
      <c r="J591" s="1104"/>
      <c r="K591" s="1105"/>
      <c r="L591" s="1105"/>
      <c r="M591" s="1082"/>
      <c r="N591" s="1082"/>
      <c r="O591" s="1082"/>
      <c r="P591" s="1082"/>
      <c r="Q591" s="1082"/>
      <c r="R591" s="1082"/>
      <c r="S591" s="1082"/>
      <c r="T591" s="1082"/>
      <c r="U591" s="1082"/>
      <c r="V591" s="1082"/>
      <c r="W591" s="1082"/>
      <c r="X591" s="1082"/>
      <c r="Y591" s="1082"/>
      <c r="Z591" s="1082"/>
      <c r="AA591" s="1082"/>
      <c r="AB591" s="1082"/>
      <c r="AC591" s="1082"/>
      <c r="AD591" s="1082"/>
      <c r="AE591" s="1082"/>
      <c r="AF591" s="1082"/>
    </row>
    <row r="592">
      <c r="A592" s="1094"/>
      <c r="B592" s="1094"/>
      <c r="C592" s="1096"/>
      <c r="D592" s="1094"/>
      <c r="E592" s="1094"/>
      <c r="F592" s="1094"/>
      <c r="G592" s="1106"/>
      <c r="H592" s="1106"/>
      <c r="I592" s="1106"/>
      <c r="J592" s="1102"/>
      <c r="K592" s="1101"/>
      <c r="L592" s="1101"/>
      <c r="M592" s="1082"/>
      <c r="N592" s="1082"/>
      <c r="O592" s="1082"/>
      <c r="P592" s="1082"/>
      <c r="Q592" s="1082"/>
      <c r="R592" s="1082"/>
      <c r="S592" s="1082"/>
      <c r="T592" s="1082"/>
      <c r="U592" s="1082"/>
      <c r="V592" s="1082"/>
      <c r="W592" s="1082"/>
      <c r="X592" s="1082"/>
      <c r="Y592" s="1082"/>
      <c r="Z592" s="1082"/>
      <c r="AA592" s="1082"/>
      <c r="AB592" s="1082"/>
      <c r="AC592" s="1082"/>
      <c r="AD592" s="1082"/>
      <c r="AE592" s="1082"/>
      <c r="AF592" s="1082"/>
    </row>
    <row r="593">
      <c r="A593" s="1107"/>
      <c r="B593" s="1107"/>
      <c r="C593" s="1108"/>
      <c r="D593" s="1107"/>
      <c r="E593" s="1107"/>
      <c r="F593" s="1107"/>
      <c r="G593" s="1109"/>
      <c r="H593" s="1109"/>
      <c r="I593" s="1109"/>
      <c r="J593" s="1104"/>
      <c r="K593" s="1105"/>
      <c r="L593" s="1105"/>
      <c r="M593" s="1082"/>
      <c r="N593" s="1082"/>
      <c r="O593" s="1082"/>
      <c r="P593" s="1082"/>
      <c r="Q593" s="1082"/>
      <c r="R593" s="1082"/>
      <c r="S593" s="1082"/>
      <c r="T593" s="1082"/>
      <c r="U593" s="1082"/>
      <c r="V593" s="1082"/>
      <c r="W593" s="1082"/>
      <c r="X593" s="1082"/>
      <c r="Y593" s="1082"/>
      <c r="Z593" s="1082"/>
      <c r="AA593" s="1082"/>
      <c r="AB593" s="1082"/>
      <c r="AC593" s="1082"/>
      <c r="AD593" s="1082"/>
      <c r="AE593" s="1082"/>
      <c r="AF593" s="1082"/>
    </row>
    <row r="594">
      <c r="A594" s="1099"/>
      <c r="B594" s="1099"/>
      <c r="C594" s="1110"/>
      <c r="D594" s="1099"/>
      <c r="E594" s="1099"/>
      <c r="F594" s="1099"/>
      <c r="G594" s="1111"/>
      <c r="H594" s="1111"/>
      <c r="I594" s="1111"/>
      <c r="J594" s="1102"/>
      <c r="K594" s="1101"/>
      <c r="L594" s="1101"/>
      <c r="M594" s="1082"/>
      <c r="N594" s="1082"/>
      <c r="O594" s="1082"/>
      <c r="P594" s="1082"/>
      <c r="Q594" s="1082"/>
      <c r="R594" s="1082"/>
      <c r="S594" s="1082"/>
      <c r="T594" s="1082"/>
      <c r="U594" s="1082"/>
      <c r="V594" s="1082"/>
      <c r="W594" s="1082"/>
      <c r="X594" s="1082"/>
      <c r="Y594" s="1082"/>
      <c r="Z594" s="1082"/>
      <c r="AA594" s="1082"/>
      <c r="AB594" s="1082"/>
      <c r="AC594" s="1082"/>
      <c r="AD594" s="1082"/>
      <c r="AE594" s="1082"/>
      <c r="AF594" s="1082"/>
    </row>
    <row r="595">
      <c r="A595" s="1091"/>
      <c r="B595" s="1091"/>
      <c r="C595" s="1093"/>
      <c r="D595" s="1091"/>
      <c r="E595" s="1091"/>
      <c r="F595" s="1091"/>
      <c r="G595" s="1091"/>
      <c r="H595" s="1091"/>
      <c r="I595" s="1091"/>
      <c r="J595" s="1104"/>
      <c r="K595" s="1105"/>
      <c r="L595" s="1105"/>
      <c r="M595" s="1082"/>
      <c r="N595" s="1082"/>
      <c r="O595" s="1082"/>
      <c r="P595" s="1082"/>
      <c r="Q595" s="1082"/>
      <c r="R595" s="1082"/>
      <c r="S595" s="1082"/>
      <c r="T595" s="1082"/>
      <c r="U595" s="1082"/>
      <c r="V595" s="1082"/>
      <c r="W595" s="1082"/>
      <c r="X595" s="1082"/>
      <c r="Y595" s="1082"/>
      <c r="Z595" s="1082"/>
      <c r="AA595" s="1082"/>
      <c r="AB595" s="1082"/>
      <c r="AC595" s="1082"/>
      <c r="AD595" s="1082"/>
      <c r="AE595" s="1082"/>
      <c r="AF595" s="1082"/>
    </row>
    <row r="596">
      <c r="A596" s="1094"/>
      <c r="B596" s="1094"/>
      <c r="C596" s="1096"/>
      <c r="D596" s="1094"/>
      <c r="E596" s="1094"/>
      <c r="F596" s="1094"/>
      <c r="G596" s="1106"/>
      <c r="H596" s="1106"/>
      <c r="I596" s="1106"/>
      <c r="J596" s="1102"/>
      <c r="K596" s="1101"/>
      <c r="L596" s="1101"/>
      <c r="M596" s="1082"/>
      <c r="N596" s="1082"/>
      <c r="O596" s="1082"/>
      <c r="P596" s="1082"/>
      <c r="Q596" s="1082"/>
      <c r="R596" s="1082"/>
      <c r="S596" s="1082"/>
      <c r="T596" s="1082"/>
      <c r="U596" s="1082"/>
      <c r="V596" s="1082"/>
      <c r="W596" s="1082"/>
      <c r="X596" s="1082"/>
      <c r="Y596" s="1082"/>
      <c r="Z596" s="1082"/>
      <c r="AA596" s="1082"/>
      <c r="AB596" s="1082"/>
      <c r="AC596" s="1082"/>
      <c r="AD596" s="1082"/>
      <c r="AE596" s="1082"/>
      <c r="AF596" s="1082"/>
    </row>
    <row r="597">
      <c r="A597" s="1091"/>
      <c r="B597" s="1091"/>
      <c r="C597" s="1093"/>
      <c r="D597" s="1091"/>
      <c r="E597" s="1091"/>
      <c r="F597" s="1091"/>
      <c r="G597" s="1103"/>
      <c r="H597" s="1103"/>
      <c r="I597" s="1103"/>
      <c r="J597" s="1104"/>
      <c r="K597" s="1105"/>
      <c r="L597" s="1105"/>
      <c r="M597" s="1082"/>
      <c r="N597" s="1082"/>
      <c r="O597" s="1082"/>
      <c r="P597" s="1082"/>
      <c r="Q597" s="1082"/>
      <c r="R597" s="1082"/>
      <c r="S597" s="1082"/>
      <c r="T597" s="1082"/>
      <c r="U597" s="1082"/>
      <c r="V597" s="1082"/>
      <c r="W597" s="1082"/>
      <c r="X597" s="1082"/>
      <c r="Y597" s="1082"/>
      <c r="Z597" s="1082"/>
      <c r="AA597" s="1082"/>
      <c r="AB597" s="1082"/>
      <c r="AC597" s="1082"/>
      <c r="AD597" s="1082"/>
      <c r="AE597" s="1082"/>
      <c r="AF597" s="1082"/>
    </row>
    <row r="598">
      <c r="A598" s="1099"/>
      <c r="B598" s="1099"/>
      <c r="C598" s="1110"/>
      <c r="D598" s="1099"/>
      <c r="E598" s="1099"/>
      <c r="F598" s="1099"/>
      <c r="G598" s="1111"/>
      <c r="H598" s="1111"/>
      <c r="I598" s="1111"/>
      <c r="J598" s="1102"/>
      <c r="K598" s="1096"/>
      <c r="L598" s="1101"/>
      <c r="M598" s="1082"/>
      <c r="N598" s="1082"/>
      <c r="O598" s="1082"/>
      <c r="P598" s="1082"/>
      <c r="Q598" s="1082"/>
      <c r="R598" s="1082"/>
      <c r="S598" s="1082"/>
      <c r="T598" s="1082"/>
      <c r="U598" s="1082"/>
      <c r="V598" s="1082"/>
      <c r="W598" s="1082"/>
      <c r="X598" s="1082"/>
      <c r="Y598" s="1082"/>
      <c r="Z598" s="1082"/>
      <c r="AA598" s="1082"/>
      <c r="AB598" s="1082"/>
      <c r="AC598" s="1082"/>
      <c r="AD598" s="1082"/>
      <c r="AE598" s="1082"/>
      <c r="AF598" s="1082"/>
    </row>
    <row r="599">
      <c r="A599" s="1107"/>
      <c r="B599" s="1107"/>
      <c r="C599" s="1108"/>
      <c r="D599" s="1107"/>
      <c r="E599" s="1107"/>
      <c r="F599" s="1107"/>
      <c r="G599" s="1109"/>
      <c r="H599" s="1109"/>
      <c r="I599" s="1109"/>
      <c r="J599" s="1104"/>
      <c r="K599" s="1105"/>
      <c r="L599" s="1105"/>
      <c r="M599" s="1082"/>
      <c r="N599" s="1082"/>
      <c r="O599" s="1082"/>
      <c r="P599" s="1082"/>
      <c r="Q599" s="1082"/>
      <c r="R599" s="1082"/>
      <c r="S599" s="1082"/>
      <c r="T599" s="1082"/>
      <c r="U599" s="1082"/>
      <c r="V599" s="1082"/>
      <c r="W599" s="1082"/>
      <c r="X599" s="1082"/>
      <c r="Y599" s="1082"/>
      <c r="Z599" s="1082"/>
      <c r="AA599" s="1082"/>
      <c r="AB599" s="1082"/>
      <c r="AC599" s="1082"/>
      <c r="AD599" s="1082"/>
      <c r="AE599" s="1082"/>
      <c r="AF599" s="1082"/>
    </row>
    <row r="600">
      <c r="A600" s="1099"/>
      <c r="B600" s="1099"/>
      <c r="C600" s="1110"/>
      <c r="D600" s="1099"/>
      <c r="E600" s="1099"/>
      <c r="F600" s="1099"/>
      <c r="G600" s="1111"/>
      <c r="H600" s="1111"/>
      <c r="I600" s="1111"/>
      <c r="J600" s="1102"/>
      <c r="K600" s="1101"/>
      <c r="L600" s="1101"/>
      <c r="M600" s="1082"/>
      <c r="N600" s="1082"/>
      <c r="O600" s="1082"/>
      <c r="P600" s="1082"/>
      <c r="Q600" s="1082"/>
      <c r="R600" s="1082"/>
      <c r="S600" s="1082"/>
      <c r="T600" s="1082"/>
      <c r="U600" s="1082"/>
      <c r="V600" s="1082"/>
      <c r="W600" s="1082"/>
      <c r="X600" s="1082"/>
      <c r="Y600" s="1082"/>
      <c r="Z600" s="1082"/>
      <c r="AA600" s="1082"/>
      <c r="AB600" s="1082"/>
      <c r="AC600" s="1082"/>
      <c r="AD600" s="1082"/>
      <c r="AE600" s="1082"/>
      <c r="AF600" s="1082"/>
    </row>
    <row r="601">
      <c r="A601" s="1091"/>
      <c r="B601" s="1091"/>
      <c r="C601" s="1093"/>
      <c r="D601" s="1091"/>
      <c r="E601" s="1091"/>
      <c r="F601" s="1091"/>
      <c r="G601" s="1103"/>
      <c r="H601" s="1103"/>
      <c r="I601" s="1103"/>
      <c r="J601" s="1104"/>
      <c r="K601" s="1105"/>
      <c r="L601" s="1105"/>
      <c r="M601" s="1082"/>
      <c r="N601" s="1082"/>
      <c r="O601" s="1082"/>
      <c r="P601" s="1082"/>
      <c r="Q601" s="1082"/>
      <c r="R601" s="1082"/>
      <c r="S601" s="1082"/>
      <c r="T601" s="1082"/>
      <c r="U601" s="1082"/>
      <c r="V601" s="1082"/>
      <c r="W601" s="1082"/>
      <c r="X601" s="1082"/>
      <c r="Y601" s="1082"/>
      <c r="Z601" s="1082"/>
      <c r="AA601" s="1082"/>
      <c r="AB601" s="1082"/>
      <c r="AC601" s="1082"/>
      <c r="AD601" s="1082"/>
      <c r="AE601" s="1082"/>
      <c r="AF601" s="1082"/>
    </row>
    <row r="602">
      <c r="A602" s="1094"/>
      <c r="B602" s="1094"/>
      <c r="C602" s="1096"/>
      <c r="D602" s="1094"/>
      <c r="E602" s="1094"/>
      <c r="F602" s="1094"/>
      <c r="G602" s="1106"/>
      <c r="H602" s="1106"/>
      <c r="I602" s="1106"/>
      <c r="J602" s="1102"/>
      <c r="K602" s="1101"/>
      <c r="L602" s="1101"/>
      <c r="M602" s="1082"/>
      <c r="N602" s="1082"/>
      <c r="O602" s="1082"/>
      <c r="P602" s="1082"/>
      <c r="Q602" s="1082"/>
      <c r="R602" s="1082"/>
      <c r="S602" s="1082"/>
      <c r="T602" s="1082"/>
      <c r="U602" s="1082"/>
      <c r="V602" s="1082"/>
      <c r="W602" s="1082"/>
      <c r="X602" s="1082"/>
      <c r="Y602" s="1082"/>
      <c r="Z602" s="1082"/>
      <c r="AA602" s="1082"/>
      <c r="AB602" s="1082"/>
      <c r="AC602" s="1082"/>
      <c r="AD602" s="1082"/>
      <c r="AE602" s="1082"/>
      <c r="AF602" s="1082"/>
    </row>
    <row r="603">
      <c r="A603" s="1107"/>
      <c r="B603" s="1107"/>
      <c r="C603" s="1108"/>
      <c r="D603" s="1107"/>
      <c r="E603" s="1107"/>
      <c r="F603" s="1107"/>
      <c r="G603" s="1109"/>
      <c r="H603" s="1109"/>
      <c r="I603" s="1109"/>
      <c r="J603" s="1104"/>
      <c r="K603" s="1105"/>
      <c r="L603" s="1105"/>
      <c r="M603" s="1082"/>
      <c r="N603" s="1082"/>
      <c r="O603" s="1082"/>
      <c r="P603" s="1082"/>
      <c r="Q603" s="1082"/>
      <c r="R603" s="1082"/>
      <c r="S603" s="1082"/>
      <c r="T603" s="1082"/>
      <c r="U603" s="1082"/>
      <c r="V603" s="1082"/>
      <c r="W603" s="1082"/>
      <c r="X603" s="1082"/>
      <c r="Y603" s="1082"/>
      <c r="Z603" s="1082"/>
      <c r="AA603" s="1082"/>
      <c r="AB603" s="1082"/>
      <c r="AC603" s="1082"/>
      <c r="AD603" s="1082"/>
      <c r="AE603" s="1082"/>
      <c r="AF603" s="1082"/>
    </row>
    <row r="604">
      <c r="A604" s="1099"/>
      <c r="B604" s="1099"/>
      <c r="C604" s="1110"/>
      <c r="D604" s="1099"/>
      <c r="E604" s="1099"/>
      <c r="F604" s="1099"/>
      <c r="G604" s="1111"/>
      <c r="H604" s="1111"/>
      <c r="I604" s="1111"/>
      <c r="J604" s="1102"/>
      <c r="K604" s="1101"/>
      <c r="L604" s="1101"/>
      <c r="M604" s="1082"/>
      <c r="N604" s="1082"/>
      <c r="O604" s="1082"/>
      <c r="P604" s="1082"/>
      <c r="Q604" s="1082"/>
      <c r="R604" s="1082"/>
      <c r="S604" s="1082"/>
      <c r="T604" s="1082"/>
      <c r="U604" s="1082"/>
      <c r="V604" s="1082"/>
      <c r="W604" s="1082"/>
      <c r="X604" s="1082"/>
      <c r="Y604" s="1082"/>
      <c r="Z604" s="1082"/>
      <c r="AA604" s="1082"/>
      <c r="AB604" s="1082"/>
      <c r="AC604" s="1082"/>
      <c r="AD604" s="1082"/>
      <c r="AE604" s="1082"/>
      <c r="AF604" s="1082"/>
    </row>
    <row r="605">
      <c r="A605" s="1107"/>
      <c r="B605" s="1107"/>
      <c r="C605" s="1108"/>
      <c r="D605" s="1107"/>
      <c r="E605" s="1107"/>
      <c r="F605" s="1107"/>
      <c r="G605" s="1109"/>
      <c r="H605" s="1109"/>
      <c r="I605" s="1109"/>
      <c r="J605" s="1104"/>
      <c r="K605" s="1105"/>
      <c r="L605" s="1105"/>
      <c r="M605" s="1082"/>
      <c r="N605" s="1082"/>
      <c r="O605" s="1082"/>
      <c r="P605" s="1082"/>
      <c r="Q605" s="1082"/>
      <c r="R605" s="1082"/>
      <c r="S605" s="1082"/>
      <c r="T605" s="1082"/>
      <c r="U605" s="1082"/>
      <c r="V605" s="1082"/>
      <c r="W605" s="1082"/>
      <c r="X605" s="1082"/>
      <c r="Y605" s="1082"/>
      <c r="Z605" s="1082"/>
      <c r="AA605" s="1082"/>
      <c r="AB605" s="1082"/>
      <c r="AC605" s="1082"/>
      <c r="AD605" s="1082"/>
      <c r="AE605" s="1082"/>
      <c r="AF605" s="1082"/>
    </row>
    <row r="606">
      <c r="A606" s="1094"/>
      <c r="B606" s="1099"/>
      <c r="C606" s="1096"/>
      <c r="D606" s="1094"/>
      <c r="E606" s="1094"/>
      <c r="F606" s="1094"/>
      <c r="G606" s="1106"/>
      <c r="H606" s="1106"/>
      <c r="I606" s="1106"/>
      <c r="J606" s="1102"/>
      <c r="K606" s="1101"/>
      <c r="L606" s="1101"/>
      <c r="M606" s="1082"/>
      <c r="N606" s="1082"/>
      <c r="O606" s="1082"/>
      <c r="P606" s="1082"/>
      <c r="Q606" s="1082"/>
      <c r="R606" s="1082"/>
      <c r="S606" s="1082"/>
      <c r="T606" s="1082"/>
      <c r="U606" s="1082"/>
      <c r="V606" s="1082"/>
      <c r="W606" s="1082"/>
      <c r="X606" s="1082"/>
      <c r="Y606" s="1082"/>
      <c r="Z606" s="1082"/>
      <c r="AA606" s="1082"/>
      <c r="AB606" s="1082"/>
      <c r="AC606" s="1082"/>
      <c r="AD606" s="1082"/>
      <c r="AE606" s="1082"/>
      <c r="AF606" s="1082"/>
    </row>
    <row r="607">
      <c r="A607" s="1091"/>
      <c r="B607" s="1107"/>
      <c r="C607" s="1093"/>
      <c r="D607" s="1091"/>
      <c r="E607" s="1091"/>
      <c r="F607" s="1091"/>
      <c r="G607" s="1103"/>
      <c r="H607" s="1103"/>
      <c r="I607" s="1103"/>
      <c r="J607" s="1104"/>
      <c r="K607" s="1105"/>
      <c r="L607" s="1105"/>
      <c r="M607" s="1082"/>
      <c r="N607" s="1082"/>
      <c r="O607" s="1082"/>
      <c r="P607" s="1082"/>
      <c r="Q607" s="1082"/>
      <c r="R607" s="1082"/>
      <c r="S607" s="1082"/>
      <c r="T607" s="1082"/>
      <c r="U607" s="1082"/>
      <c r="V607" s="1082"/>
      <c r="W607" s="1082"/>
      <c r="X607" s="1082"/>
      <c r="Y607" s="1082"/>
      <c r="Z607" s="1082"/>
      <c r="AA607" s="1082"/>
      <c r="AB607" s="1082"/>
      <c r="AC607" s="1082"/>
      <c r="AD607" s="1082"/>
      <c r="AE607" s="1082"/>
      <c r="AF607" s="1082"/>
    </row>
    <row r="608">
      <c r="A608" s="1099"/>
      <c r="B608" s="1099"/>
      <c r="C608" s="1110"/>
      <c r="D608" s="1099"/>
      <c r="E608" s="1099"/>
      <c r="F608" s="1099"/>
      <c r="G608" s="1111"/>
      <c r="H608" s="1111"/>
      <c r="I608" s="1111"/>
      <c r="J608" s="1102"/>
      <c r="K608" s="1101"/>
      <c r="L608" s="1101"/>
      <c r="M608" s="1082"/>
      <c r="N608" s="1082"/>
      <c r="O608" s="1082"/>
      <c r="P608" s="1082"/>
      <c r="Q608" s="1082"/>
      <c r="R608" s="1082"/>
      <c r="S608" s="1082"/>
      <c r="T608" s="1082"/>
      <c r="U608" s="1082"/>
      <c r="V608" s="1082"/>
      <c r="W608" s="1082"/>
      <c r="X608" s="1082"/>
      <c r="Y608" s="1082"/>
      <c r="Z608" s="1082"/>
      <c r="AA608" s="1082"/>
      <c r="AB608" s="1082"/>
      <c r="AC608" s="1082"/>
      <c r="AD608" s="1082"/>
      <c r="AE608" s="1082"/>
      <c r="AF608" s="1082"/>
    </row>
    <row r="609">
      <c r="A609" s="1107"/>
      <c r="B609" s="1107"/>
      <c r="C609" s="1108"/>
      <c r="D609" s="1107"/>
      <c r="E609" s="1107"/>
      <c r="F609" s="1107"/>
      <c r="G609" s="1109"/>
      <c r="H609" s="1109"/>
      <c r="I609" s="1109"/>
      <c r="J609" s="1104"/>
      <c r="K609" s="1105"/>
      <c r="L609" s="1105"/>
      <c r="M609" s="1082"/>
      <c r="N609" s="1082"/>
      <c r="O609" s="1082"/>
      <c r="P609" s="1082"/>
      <c r="Q609" s="1082"/>
      <c r="R609" s="1082"/>
      <c r="S609" s="1082"/>
      <c r="T609" s="1082"/>
      <c r="U609" s="1082"/>
      <c r="V609" s="1082"/>
      <c r="W609" s="1082"/>
      <c r="X609" s="1082"/>
      <c r="Y609" s="1082"/>
      <c r="Z609" s="1082"/>
      <c r="AA609" s="1082"/>
      <c r="AB609" s="1082"/>
      <c r="AC609" s="1082"/>
      <c r="AD609" s="1082"/>
      <c r="AE609" s="1082"/>
      <c r="AF609" s="1082"/>
    </row>
    <row r="610">
      <c r="A610" s="1094"/>
      <c r="B610" s="1099"/>
      <c r="C610" s="1096"/>
      <c r="D610" s="1094"/>
      <c r="E610" s="1094"/>
      <c r="F610" s="1094"/>
      <c r="G610" s="1106"/>
      <c r="H610" s="1106"/>
      <c r="I610" s="1106"/>
      <c r="J610" s="1102"/>
      <c r="K610" s="1101"/>
      <c r="L610" s="1101"/>
      <c r="M610" s="1082"/>
      <c r="N610" s="1082"/>
      <c r="O610" s="1082"/>
      <c r="P610" s="1082"/>
      <c r="Q610" s="1082"/>
      <c r="R610" s="1082"/>
      <c r="S610" s="1082"/>
      <c r="T610" s="1082"/>
      <c r="U610" s="1082"/>
      <c r="V610" s="1082"/>
      <c r="W610" s="1082"/>
      <c r="X610" s="1082"/>
      <c r="Y610" s="1082"/>
      <c r="Z610" s="1082"/>
      <c r="AA610" s="1082"/>
      <c r="AB610" s="1082"/>
      <c r="AC610" s="1082"/>
      <c r="AD610" s="1082"/>
      <c r="AE610" s="1082"/>
      <c r="AF610" s="1082"/>
    </row>
    <row r="611">
      <c r="A611" s="1107"/>
      <c r="B611" s="1107"/>
      <c r="C611" s="1108"/>
      <c r="D611" s="1107"/>
      <c r="E611" s="1107"/>
      <c r="F611" s="1107"/>
      <c r="G611" s="1109"/>
      <c r="H611" s="1109"/>
      <c r="I611" s="1109"/>
      <c r="J611" s="1104"/>
      <c r="K611" s="1105"/>
      <c r="L611" s="1105"/>
      <c r="M611" s="1082"/>
      <c r="N611" s="1082"/>
      <c r="O611" s="1082"/>
      <c r="P611" s="1082"/>
      <c r="Q611" s="1082"/>
      <c r="R611" s="1082"/>
      <c r="S611" s="1082"/>
      <c r="T611" s="1082"/>
      <c r="U611" s="1082"/>
      <c r="V611" s="1082"/>
      <c r="W611" s="1082"/>
      <c r="X611" s="1082"/>
      <c r="Y611" s="1082"/>
      <c r="Z611" s="1082"/>
      <c r="AA611" s="1082"/>
      <c r="AB611" s="1082"/>
      <c r="AC611" s="1082"/>
      <c r="AD611" s="1082"/>
      <c r="AE611" s="1082"/>
      <c r="AF611" s="1082"/>
    </row>
    <row r="612">
      <c r="A612" s="1099"/>
      <c r="B612" s="1099"/>
      <c r="C612" s="1110"/>
      <c r="D612" s="1099"/>
      <c r="E612" s="1099"/>
      <c r="F612" s="1099"/>
      <c r="G612" s="1111"/>
      <c r="H612" s="1111"/>
      <c r="I612" s="1111"/>
      <c r="J612" s="1102"/>
      <c r="K612" s="1101"/>
      <c r="L612" s="1101"/>
      <c r="M612" s="1082"/>
      <c r="N612" s="1082"/>
      <c r="O612" s="1082"/>
      <c r="P612" s="1082"/>
      <c r="Q612" s="1082"/>
      <c r="R612" s="1082"/>
      <c r="S612" s="1082"/>
      <c r="T612" s="1082"/>
      <c r="U612" s="1082"/>
      <c r="V612" s="1082"/>
      <c r="W612" s="1082"/>
      <c r="X612" s="1082"/>
      <c r="Y612" s="1082"/>
      <c r="Z612" s="1082"/>
      <c r="AA612" s="1082"/>
      <c r="AB612" s="1082"/>
      <c r="AC612" s="1082"/>
      <c r="AD612" s="1082"/>
      <c r="AE612" s="1082"/>
      <c r="AF612" s="1082"/>
    </row>
    <row r="613">
      <c r="A613" s="1107"/>
      <c r="B613" s="1107"/>
      <c r="C613" s="1108"/>
      <c r="D613" s="1107"/>
      <c r="E613" s="1107"/>
      <c r="F613" s="1107"/>
      <c r="G613" s="1109"/>
      <c r="H613" s="1109"/>
      <c r="I613" s="1109"/>
      <c r="J613" s="1104"/>
      <c r="K613" s="1105"/>
      <c r="L613" s="1105"/>
      <c r="M613" s="1082"/>
      <c r="N613" s="1082"/>
      <c r="O613" s="1082"/>
      <c r="P613" s="1082"/>
      <c r="Q613" s="1082"/>
      <c r="R613" s="1082"/>
      <c r="S613" s="1082"/>
      <c r="T613" s="1082"/>
      <c r="U613" s="1082"/>
      <c r="V613" s="1082"/>
      <c r="W613" s="1082"/>
      <c r="X613" s="1082"/>
      <c r="Y613" s="1082"/>
      <c r="Z613" s="1082"/>
      <c r="AA613" s="1082"/>
      <c r="AB613" s="1082"/>
      <c r="AC613" s="1082"/>
      <c r="AD613" s="1082"/>
      <c r="AE613" s="1082"/>
      <c r="AF613" s="1082"/>
    </row>
    <row r="614">
      <c r="A614" s="1094"/>
      <c r="B614" s="1094"/>
      <c r="C614" s="1096"/>
      <c r="D614" s="1094"/>
      <c r="E614" s="1094"/>
      <c r="F614" s="1094"/>
      <c r="G614" s="1106"/>
      <c r="H614" s="1106"/>
      <c r="I614" s="1106"/>
      <c r="J614" s="1102"/>
      <c r="K614" s="1101"/>
      <c r="L614" s="1101"/>
      <c r="M614" s="1082"/>
      <c r="N614" s="1082"/>
      <c r="O614" s="1082"/>
      <c r="P614" s="1082"/>
      <c r="Q614" s="1082"/>
      <c r="R614" s="1082"/>
      <c r="S614" s="1082"/>
      <c r="T614" s="1082"/>
      <c r="U614" s="1082"/>
      <c r="V614" s="1082"/>
      <c r="W614" s="1082"/>
      <c r="X614" s="1082"/>
      <c r="Y614" s="1082"/>
      <c r="Z614" s="1082"/>
      <c r="AA614" s="1082"/>
      <c r="AB614" s="1082"/>
      <c r="AC614" s="1082"/>
      <c r="AD614" s="1082"/>
      <c r="AE614" s="1082"/>
      <c r="AF614" s="1082"/>
    </row>
    <row r="615">
      <c r="A615" s="1091"/>
      <c r="B615" s="1091"/>
      <c r="C615" s="1093"/>
      <c r="D615" s="1091"/>
      <c r="E615" s="1091"/>
      <c r="F615" s="1091"/>
      <c r="G615" s="1103"/>
      <c r="H615" s="1103"/>
      <c r="I615" s="1103"/>
      <c r="J615" s="1104"/>
      <c r="K615" s="1105"/>
      <c r="L615" s="1105"/>
      <c r="M615" s="1082"/>
      <c r="N615" s="1082"/>
      <c r="O615" s="1082"/>
      <c r="P615" s="1082"/>
      <c r="Q615" s="1082"/>
      <c r="R615" s="1082"/>
      <c r="S615" s="1082"/>
      <c r="T615" s="1082"/>
      <c r="U615" s="1082"/>
      <c r="V615" s="1082"/>
      <c r="W615" s="1082"/>
      <c r="X615" s="1082"/>
      <c r="Y615" s="1082"/>
      <c r="Z615" s="1082"/>
      <c r="AA615" s="1082"/>
      <c r="AB615" s="1082"/>
      <c r="AC615" s="1082"/>
      <c r="AD615" s="1082"/>
      <c r="AE615" s="1082"/>
      <c r="AF615" s="1082"/>
    </row>
    <row r="616">
      <c r="A616" s="1094"/>
      <c r="B616" s="1094"/>
      <c r="C616" s="1096"/>
      <c r="D616" s="1094"/>
      <c r="E616" s="1094"/>
      <c r="F616" s="1094"/>
      <c r="G616" s="1106"/>
      <c r="H616" s="1106"/>
      <c r="I616" s="1106"/>
      <c r="J616" s="1102"/>
      <c r="K616" s="1101"/>
      <c r="L616" s="1101"/>
      <c r="M616" s="1082"/>
      <c r="N616" s="1082"/>
      <c r="O616" s="1082"/>
      <c r="P616" s="1082"/>
      <c r="Q616" s="1082"/>
      <c r="R616" s="1082"/>
      <c r="S616" s="1082"/>
      <c r="T616" s="1082"/>
      <c r="U616" s="1082"/>
      <c r="V616" s="1082"/>
      <c r="W616" s="1082"/>
      <c r="X616" s="1082"/>
      <c r="Y616" s="1082"/>
      <c r="Z616" s="1082"/>
      <c r="AA616" s="1082"/>
      <c r="AB616" s="1082"/>
      <c r="AC616" s="1082"/>
      <c r="AD616" s="1082"/>
      <c r="AE616" s="1082"/>
      <c r="AF616" s="1082"/>
    </row>
    <row r="617">
      <c r="A617" s="1091"/>
      <c r="B617" s="1091"/>
      <c r="C617" s="1093"/>
      <c r="D617" s="1091"/>
      <c r="E617" s="1091"/>
      <c r="F617" s="1091"/>
      <c r="G617" s="1103"/>
      <c r="H617" s="1103"/>
      <c r="I617" s="1103"/>
      <c r="J617" s="1104"/>
      <c r="K617" s="1105"/>
      <c r="L617" s="1105"/>
      <c r="M617" s="1082"/>
      <c r="N617" s="1082"/>
      <c r="O617" s="1082"/>
      <c r="P617" s="1082"/>
      <c r="Q617" s="1082"/>
      <c r="R617" s="1082"/>
      <c r="S617" s="1082"/>
      <c r="T617" s="1082"/>
      <c r="U617" s="1082"/>
      <c r="V617" s="1082"/>
      <c r="W617" s="1082"/>
      <c r="X617" s="1082"/>
      <c r="Y617" s="1082"/>
      <c r="Z617" s="1082"/>
      <c r="AA617" s="1082"/>
      <c r="AB617" s="1082"/>
      <c r="AC617" s="1082"/>
      <c r="AD617" s="1082"/>
      <c r="AE617" s="1082"/>
      <c r="AF617" s="1082"/>
    </row>
    <row r="618">
      <c r="A618" s="1094"/>
      <c r="B618" s="1094"/>
      <c r="C618" s="1096"/>
      <c r="D618" s="1094"/>
      <c r="E618" s="1094"/>
      <c r="F618" s="1094"/>
      <c r="G618" s="1094"/>
      <c r="H618" s="1094"/>
      <c r="I618" s="1094"/>
      <c r="J618" s="1102"/>
      <c r="K618" s="1101"/>
      <c r="L618" s="1101"/>
      <c r="M618" s="1082"/>
      <c r="N618" s="1082"/>
      <c r="O618" s="1082"/>
      <c r="P618" s="1082"/>
      <c r="Q618" s="1082"/>
      <c r="R618" s="1082"/>
      <c r="S618" s="1082"/>
      <c r="T618" s="1082"/>
      <c r="U618" s="1082"/>
      <c r="V618" s="1082"/>
      <c r="W618" s="1082"/>
      <c r="X618" s="1082"/>
      <c r="Y618" s="1082"/>
      <c r="Z618" s="1082"/>
      <c r="AA618" s="1082"/>
      <c r="AB618" s="1082"/>
      <c r="AC618" s="1082"/>
      <c r="AD618" s="1082"/>
      <c r="AE618" s="1082"/>
      <c r="AF618" s="1082"/>
    </row>
    <row r="619">
      <c r="A619" s="1091"/>
      <c r="B619" s="1091"/>
      <c r="C619" s="1093"/>
      <c r="D619" s="1091"/>
      <c r="E619" s="1091"/>
      <c r="F619" s="1091"/>
      <c r="G619" s="1103"/>
      <c r="H619" s="1103"/>
      <c r="I619" s="1103"/>
      <c r="J619" s="1104"/>
      <c r="K619" s="1105"/>
      <c r="L619" s="1105"/>
      <c r="M619" s="1082"/>
      <c r="N619" s="1082"/>
      <c r="O619" s="1082"/>
      <c r="P619" s="1082"/>
      <c r="Q619" s="1082"/>
      <c r="R619" s="1082"/>
      <c r="S619" s="1082"/>
      <c r="T619" s="1082"/>
      <c r="U619" s="1082"/>
      <c r="V619" s="1082"/>
      <c r="W619" s="1082"/>
      <c r="X619" s="1082"/>
      <c r="Y619" s="1082"/>
      <c r="Z619" s="1082"/>
      <c r="AA619" s="1082"/>
      <c r="AB619" s="1082"/>
      <c r="AC619" s="1082"/>
      <c r="AD619" s="1082"/>
      <c r="AE619" s="1082"/>
      <c r="AF619" s="1082"/>
    </row>
    <row r="620">
      <c r="A620" s="1094"/>
      <c r="B620" s="1094"/>
      <c r="C620" s="1096"/>
      <c r="D620" s="1094"/>
      <c r="E620" s="1094"/>
      <c r="F620" s="1094"/>
      <c r="G620" s="1106"/>
      <c r="H620" s="1106"/>
      <c r="I620" s="1106"/>
      <c r="J620" s="1102"/>
      <c r="K620" s="1101"/>
      <c r="L620" s="1101"/>
      <c r="M620" s="1082"/>
      <c r="N620" s="1082"/>
      <c r="O620" s="1082"/>
      <c r="P620" s="1082"/>
      <c r="Q620" s="1082"/>
      <c r="R620" s="1082"/>
      <c r="S620" s="1082"/>
      <c r="T620" s="1082"/>
      <c r="U620" s="1082"/>
      <c r="V620" s="1082"/>
      <c r="W620" s="1082"/>
      <c r="X620" s="1082"/>
      <c r="Y620" s="1082"/>
      <c r="Z620" s="1082"/>
      <c r="AA620" s="1082"/>
      <c r="AB620" s="1082"/>
      <c r="AC620" s="1082"/>
      <c r="AD620" s="1082"/>
      <c r="AE620" s="1082"/>
      <c r="AF620" s="1082"/>
    </row>
    <row r="621">
      <c r="A621" s="1091"/>
      <c r="B621" s="1091"/>
      <c r="C621" s="1093"/>
      <c r="D621" s="1091"/>
      <c r="E621" s="1091"/>
      <c r="F621" s="1091"/>
      <c r="G621" s="1103"/>
      <c r="H621" s="1103"/>
      <c r="I621" s="1103"/>
      <c r="J621" s="1104"/>
      <c r="K621" s="1105"/>
      <c r="L621" s="1105"/>
      <c r="M621" s="1082"/>
      <c r="N621" s="1082"/>
      <c r="O621" s="1082"/>
      <c r="P621" s="1082"/>
      <c r="Q621" s="1082"/>
      <c r="R621" s="1082"/>
      <c r="S621" s="1082"/>
      <c r="T621" s="1082"/>
      <c r="U621" s="1082"/>
      <c r="V621" s="1082"/>
      <c r="W621" s="1082"/>
      <c r="X621" s="1082"/>
      <c r="Y621" s="1082"/>
      <c r="Z621" s="1082"/>
      <c r="AA621" s="1082"/>
      <c r="AB621" s="1082"/>
      <c r="AC621" s="1082"/>
      <c r="AD621" s="1082"/>
      <c r="AE621" s="1082"/>
      <c r="AF621" s="1082"/>
    </row>
    <row r="622">
      <c r="A622" s="1094"/>
      <c r="B622" s="1099"/>
      <c r="C622" s="1096"/>
      <c r="D622" s="1094"/>
      <c r="E622" s="1094"/>
      <c r="F622" s="1094"/>
      <c r="G622" s="1106"/>
      <c r="H622" s="1106"/>
      <c r="I622" s="1106"/>
      <c r="J622" s="1102"/>
      <c r="K622" s="1101"/>
      <c r="L622" s="1101"/>
      <c r="M622" s="1082"/>
      <c r="N622" s="1082"/>
      <c r="O622" s="1082"/>
      <c r="P622" s="1082"/>
      <c r="Q622" s="1082"/>
      <c r="R622" s="1082"/>
      <c r="S622" s="1082"/>
      <c r="T622" s="1082"/>
      <c r="U622" s="1082"/>
      <c r="V622" s="1082"/>
      <c r="W622" s="1082"/>
      <c r="X622" s="1082"/>
      <c r="Y622" s="1082"/>
      <c r="Z622" s="1082"/>
      <c r="AA622" s="1082"/>
      <c r="AB622" s="1082"/>
      <c r="AC622" s="1082"/>
      <c r="AD622" s="1082"/>
      <c r="AE622" s="1082"/>
      <c r="AF622" s="1082"/>
    </row>
    <row r="623">
      <c r="A623" s="1091"/>
      <c r="B623" s="1107"/>
      <c r="C623" s="1093"/>
      <c r="D623" s="1091"/>
      <c r="E623" s="1091"/>
      <c r="F623" s="1091"/>
      <c r="G623" s="1103"/>
      <c r="H623" s="1103"/>
      <c r="I623" s="1103"/>
      <c r="J623" s="1104"/>
      <c r="K623" s="1105"/>
      <c r="L623" s="1105"/>
      <c r="M623" s="1082"/>
      <c r="N623" s="1082"/>
      <c r="O623" s="1082"/>
      <c r="P623" s="1082"/>
      <c r="Q623" s="1082"/>
      <c r="R623" s="1082"/>
      <c r="S623" s="1082"/>
      <c r="T623" s="1082"/>
      <c r="U623" s="1082"/>
      <c r="V623" s="1082"/>
      <c r="W623" s="1082"/>
      <c r="X623" s="1082"/>
      <c r="Y623" s="1082"/>
      <c r="Z623" s="1082"/>
      <c r="AA623" s="1082"/>
      <c r="AB623" s="1082"/>
      <c r="AC623" s="1082"/>
      <c r="AD623" s="1082"/>
      <c r="AE623" s="1082"/>
      <c r="AF623" s="1082"/>
    </row>
    <row r="624">
      <c r="A624" s="1094"/>
      <c r="B624" s="1099"/>
      <c r="C624" s="1096"/>
      <c r="D624" s="1094"/>
      <c r="E624" s="1094"/>
      <c r="F624" s="1094"/>
      <c r="G624" s="1106"/>
      <c r="H624" s="1106"/>
      <c r="I624" s="1106"/>
      <c r="J624" s="1102"/>
      <c r="K624" s="1101"/>
      <c r="L624" s="1101"/>
      <c r="M624" s="1082"/>
      <c r="N624" s="1082"/>
      <c r="O624" s="1082"/>
      <c r="P624" s="1082"/>
      <c r="Q624" s="1082"/>
      <c r="R624" s="1082"/>
      <c r="S624" s="1082"/>
      <c r="T624" s="1082"/>
      <c r="U624" s="1082"/>
      <c r="V624" s="1082"/>
      <c r="W624" s="1082"/>
      <c r="X624" s="1082"/>
      <c r="Y624" s="1082"/>
      <c r="Z624" s="1082"/>
      <c r="AA624" s="1082"/>
      <c r="AB624" s="1082"/>
      <c r="AC624" s="1082"/>
      <c r="AD624" s="1082"/>
      <c r="AE624" s="1082"/>
      <c r="AF624" s="1082"/>
    </row>
    <row r="625">
      <c r="A625" s="1091"/>
      <c r="B625" s="1107"/>
      <c r="C625" s="1093"/>
      <c r="D625" s="1091"/>
      <c r="E625" s="1091"/>
      <c r="F625" s="1091"/>
      <c r="G625" s="1103"/>
      <c r="H625" s="1103"/>
      <c r="I625" s="1103"/>
      <c r="J625" s="1104"/>
      <c r="K625" s="1105"/>
      <c r="L625" s="1105"/>
      <c r="M625" s="1082"/>
      <c r="N625" s="1082"/>
      <c r="O625" s="1082"/>
      <c r="P625" s="1082"/>
      <c r="Q625" s="1082"/>
      <c r="R625" s="1082"/>
      <c r="S625" s="1082"/>
      <c r="T625" s="1082"/>
      <c r="U625" s="1082"/>
      <c r="V625" s="1082"/>
      <c r="W625" s="1082"/>
      <c r="X625" s="1082"/>
      <c r="Y625" s="1082"/>
      <c r="Z625" s="1082"/>
      <c r="AA625" s="1082"/>
      <c r="AB625" s="1082"/>
      <c r="AC625" s="1082"/>
      <c r="AD625" s="1082"/>
      <c r="AE625" s="1082"/>
      <c r="AF625" s="1082"/>
    </row>
    <row r="626">
      <c r="A626" s="1094"/>
      <c r="B626" s="1099"/>
      <c r="C626" s="1096"/>
      <c r="D626" s="1094"/>
      <c r="E626" s="1094"/>
      <c r="F626" s="1094"/>
      <c r="G626" s="1106"/>
      <c r="H626" s="1106"/>
      <c r="I626" s="1106"/>
      <c r="J626" s="1102"/>
      <c r="K626" s="1101"/>
      <c r="L626" s="1101"/>
      <c r="M626" s="1082"/>
      <c r="N626" s="1082"/>
      <c r="O626" s="1082"/>
      <c r="P626" s="1082"/>
      <c r="Q626" s="1082"/>
      <c r="R626" s="1082"/>
      <c r="S626" s="1082"/>
      <c r="T626" s="1082"/>
      <c r="U626" s="1082"/>
      <c r="V626" s="1082"/>
      <c r="W626" s="1082"/>
      <c r="X626" s="1082"/>
      <c r="Y626" s="1082"/>
      <c r="Z626" s="1082"/>
      <c r="AA626" s="1082"/>
      <c r="AB626" s="1082"/>
      <c r="AC626" s="1082"/>
      <c r="AD626" s="1082"/>
      <c r="AE626" s="1082"/>
      <c r="AF626" s="1082"/>
    </row>
    <row r="627">
      <c r="A627" s="1107"/>
      <c r="B627" s="1107"/>
      <c r="C627" s="1108"/>
      <c r="D627" s="1107"/>
      <c r="E627" s="1107"/>
      <c r="F627" s="1107"/>
      <c r="G627" s="1109"/>
      <c r="H627" s="1109"/>
      <c r="I627" s="1109"/>
      <c r="J627" s="1104"/>
      <c r="K627" s="1105"/>
      <c r="L627" s="1105"/>
      <c r="M627" s="1082"/>
      <c r="N627" s="1082"/>
      <c r="O627" s="1082"/>
      <c r="P627" s="1082"/>
      <c r="Q627" s="1082"/>
      <c r="R627" s="1082"/>
      <c r="S627" s="1082"/>
      <c r="T627" s="1082"/>
      <c r="U627" s="1082"/>
      <c r="V627" s="1082"/>
      <c r="W627" s="1082"/>
      <c r="X627" s="1082"/>
      <c r="Y627" s="1082"/>
      <c r="Z627" s="1082"/>
      <c r="AA627" s="1082"/>
      <c r="AB627" s="1082"/>
      <c r="AC627" s="1082"/>
      <c r="AD627" s="1082"/>
      <c r="AE627" s="1082"/>
      <c r="AF627" s="1082"/>
    </row>
    <row r="628">
      <c r="A628" s="1094"/>
      <c r="B628" s="1094"/>
      <c r="C628" s="1096"/>
      <c r="D628" s="1094"/>
      <c r="E628" s="1094"/>
      <c r="F628" s="1094"/>
      <c r="G628" s="1106"/>
      <c r="H628" s="1106"/>
      <c r="I628" s="1106"/>
      <c r="J628" s="1102"/>
      <c r="K628" s="1101"/>
      <c r="L628" s="1101"/>
      <c r="M628" s="1082"/>
      <c r="N628" s="1082"/>
      <c r="O628" s="1082"/>
      <c r="P628" s="1082"/>
      <c r="Q628" s="1082"/>
      <c r="R628" s="1082"/>
      <c r="S628" s="1082"/>
      <c r="T628" s="1082"/>
      <c r="U628" s="1082"/>
      <c r="V628" s="1082"/>
      <c r="W628" s="1082"/>
      <c r="X628" s="1082"/>
      <c r="Y628" s="1082"/>
      <c r="Z628" s="1082"/>
      <c r="AA628" s="1082"/>
      <c r="AB628" s="1082"/>
      <c r="AC628" s="1082"/>
      <c r="AD628" s="1082"/>
      <c r="AE628" s="1082"/>
      <c r="AF628" s="1082"/>
    </row>
    <row r="629">
      <c r="A629" s="1091"/>
      <c r="B629" s="1091"/>
      <c r="C629" s="1093"/>
      <c r="D629" s="1091"/>
      <c r="E629" s="1091"/>
      <c r="F629" s="1091"/>
      <c r="G629" s="1103"/>
      <c r="H629" s="1103"/>
      <c r="I629" s="1103"/>
      <c r="J629" s="1104"/>
      <c r="K629" s="1105"/>
      <c r="L629" s="1105"/>
      <c r="M629" s="1082"/>
      <c r="N629" s="1082"/>
      <c r="O629" s="1082"/>
      <c r="P629" s="1082"/>
      <c r="Q629" s="1082"/>
      <c r="R629" s="1082"/>
      <c r="S629" s="1082"/>
      <c r="T629" s="1082"/>
      <c r="U629" s="1082"/>
      <c r="V629" s="1082"/>
      <c r="W629" s="1082"/>
      <c r="X629" s="1082"/>
      <c r="Y629" s="1082"/>
      <c r="Z629" s="1082"/>
      <c r="AA629" s="1082"/>
      <c r="AB629" s="1082"/>
      <c r="AC629" s="1082"/>
      <c r="AD629" s="1082"/>
      <c r="AE629" s="1082"/>
      <c r="AF629" s="1082"/>
    </row>
    <row r="630">
      <c r="A630" s="1094"/>
      <c r="B630" s="1094"/>
      <c r="C630" s="1096"/>
      <c r="D630" s="1094"/>
      <c r="E630" s="1094"/>
      <c r="F630" s="1094"/>
      <c r="G630" s="1106"/>
      <c r="H630" s="1106"/>
      <c r="I630" s="1106"/>
      <c r="J630" s="1102"/>
      <c r="K630" s="1101"/>
      <c r="L630" s="1101"/>
      <c r="M630" s="1082"/>
      <c r="N630" s="1082"/>
      <c r="O630" s="1082"/>
      <c r="P630" s="1082"/>
      <c r="Q630" s="1082"/>
      <c r="R630" s="1082"/>
      <c r="S630" s="1082"/>
      <c r="T630" s="1082"/>
      <c r="U630" s="1082"/>
      <c r="V630" s="1082"/>
      <c r="W630" s="1082"/>
      <c r="X630" s="1082"/>
      <c r="Y630" s="1082"/>
      <c r="Z630" s="1082"/>
      <c r="AA630" s="1082"/>
      <c r="AB630" s="1082"/>
      <c r="AC630" s="1082"/>
      <c r="AD630" s="1082"/>
      <c r="AE630" s="1082"/>
      <c r="AF630" s="1082"/>
    </row>
    <row r="631">
      <c r="A631" s="1107"/>
      <c r="B631" s="1107"/>
      <c r="C631" s="1108"/>
      <c r="D631" s="1107"/>
      <c r="E631" s="1107"/>
      <c r="F631" s="1107"/>
      <c r="G631" s="1109"/>
      <c r="H631" s="1109"/>
      <c r="I631" s="1109"/>
      <c r="J631" s="1104"/>
      <c r="K631" s="1093"/>
      <c r="L631" s="1105"/>
      <c r="M631" s="1082"/>
      <c r="N631" s="1082"/>
      <c r="O631" s="1082"/>
      <c r="P631" s="1082"/>
      <c r="Q631" s="1082"/>
      <c r="R631" s="1082"/>
      <c r="S631" s="1082"/>
      <c r="T631" s="1082"/>
      <c r="U631" s="1082"/>
      <c r="V631" s="1082"/>
      <c r="W631" s="1082"/>
      <c r="X631" s="1082"/>
      <c r="Y631" s="1082"/>
      <c r="Z631" s="1082"/>
      <c r="AA631" s="1082"/>
      <c r="AB631" s="1082"/>
      <c r="AC631" s="1082"/>
      <c r="AD631" s="1082"/>
      <c r="AE631" s="1082"/>
      <c r="AF631" s="1082"/>
    </row>
    <row r="632">
      <c r="A632" s="1094"/>
      <c r="B632" s="1094"/>
      <c r="C632" s="1096"/>
      <c r="D632" s="1094"/>
      <c r="E632" s="1094"/>
      <c r="F632" s="1094"/>
      <c r="G632" s="1106"/>
      <c r="H632" s="1106"/>
      <c r="I632" s="1106"/>
      <c r="J632" s="1102"/>
      <c r="K632" s="1101"/>
      <c r="L632" s="1101"/>
      <c r="M632" s="1082"/>
      <c r="N632" s="1082"/>
      <c r="O632" s="1082"/>
      <c r="P632" s="1082"/>
      <c r="Q632" s="1082"/>
      <c r="R632" s="1082"/>
      <c r="S632" s="1082"/>
      <c r="T632" s="1082"/>
      <c r="U632" s="1082"/>
      <c r="V632" s="1082"/>
      <c r="W632" s="1082"/>
      <c r="X632" s="1082"/>
      <c r="Y632" s="1082"/>
      <c r="Z632" s="1082"/>
      <c r="AA632" s="1082"/>
      <c r="AB632" s="1082"/>
      <c r="AC632" s="1082"/>
      <c r="AD632" s="1082"/>
      <c r="AE632" s="1082"/>
      <c r="AF632" s="1082"/>
    </row>
    <row r="633">
      <c r="A633" s="1107"/>
      <c r="B633" s="1107"/>
      <c r="C633" s="1108"/>
      <c r="D633" s="1107"/>
      <c r="E633" s="1107"/>
      <c r="F633" s="1107"/>
      <c r="G633" s="1109"/>
      <c r="H633" s="1109"/>
      <c r="I633" s="1109"/>
      <c r="J633" s="1104"/>
      <c r="K633" s="1105"/>
      <c r="L633" s="1105"/>
      <c r="M633" s="1082"/>
      <c r="N633" s="1082"/>
      <c r="O633" s="1082"/>
      <c r="P633" s="1082"/>
      <c r="Q633" s="1082"/>
      <c r="R633" s="1082"/>
      <c r="S633" s="1082"/>
      <c r="T633" s="1082"/>
      <c r="U633" s="1082"/>
      <c r="V633" s="1082"/>
      <c r="W633" s="1082"/>
      <c r="X633" s="1082"/>
      <c r="Y633" s="1082"/>
      <c r="Z633" s="1082"/>
      <c r="AA633" s="1082"/>
      <c r="AB633" s="1082"/>
      <c r="AC633" s="1082"/>
      <c r="AD633" s="1082"/>
      <c r="AE633" s="1082"/>
      <c r="AF633" s="1082"/>
    </row>
    <row r="634">
      <c r="A634" s="1099"/>
      <c r="B634" s="1099"/>
      <c r="C634" s="1110"/>
      <c r="D634" s="1099"/>
      <c r="E634" s="1099"/>
      <c r="F634" s="1099"/>
      <c r="G634" s="1111"/>
      <c r="H634" s="1111"/>
      <c r="I634" s="1111"/>
      <c r="J634" s="1102"/>
      <c r="K634" s="1101"/>
      <c r="L634" s="1101"/>
      <c r="M634" s="1082"/>
      <c r="N634" s="1082"/>
      <c r="O634" s="1082"/>
      <c r="P634" s="1082"/>
      <c r="Q634" s="1082"/>
      <c r="R634" s="1082"/>
      <c r="S634" s="1082"/>
      <c r="T634" s="1082"/>
      <c r="U634" s="1082"/>
      <c r="V634" s="1082"/>
      <c r="W634" s="1082"/>
      <c r="X634" s="1082"/>
      <c r="Y634" s="1082"/>
      <c r="Z634" s="1082"/>
      <c r="AA634" s="1082"/>
      <c r="AB634" s="1082"/>
      <c r="AC634" s="1082"/>
      <c r="AD634" s="1082"/>
      <c r="AE634" s="1082"/>
      <c r="AF634" s="1082"/>
    </row>
    <row r="635">
      <c r="A635" s="1091"/>
      <c r="B635" s="1091"/>
      <c r="C635" s="1093"/>
      <c r="D635" s="1091"/>
      <c r="E635" s="1091"/>
      <c r="F635" s="1091"/>
      <c r="G635" s="1103"/>
      <c r="H635" s="1103"/>
      <c r="I635" s="1103"/>
      <c r="J635" s="1104"/>
      <c r="K635" s="1105"/>
      <c r="L635" s="1105"/>
      <c r="M635" s="1082"/>
      <c r="N635" s="1082"/>
      <c r="O635" s="1082"/>
      <c r="P635" s="1082"/>
      <c r="Q635" s="1082"/>
      <c r="R635" s="1082"/>
      <c r="S635" s="1082"/>
      <c r="T635" s="1082"/>
      <c r="U635" s="1082"/>
      <c r="V635" s="1082"/>
      <c r="W635" s="1082"/>
      <c r="X635" s="1082"/>
      <c r="Y635" s="1082"/>
      <c r="Z635" s="1082"/>
      <c r="AA635" s="1082"/>
      <c r="AB635" s="1082"/>
      <c r="AC635" s="1082"/>
      <c r="AD635" s="1082"/>
      <c r="AE635" s="1082"/>
      <c r="AF635" s="1082"/>
    </row>
    <row r="636">
      <c r="A636" s="1094"/>
      <c r="B636" s="1094"/>
      <c r="C636" s="1096"/>
      <c r="D636" s="1094"/>
      <c r="E636" s="1094"/>
      <c r="F636" s="1094"/>
      <c r="G636" s="1106"/>
      <c r="H636" s="1106"/>
      <c r="I636" s="1106"/>
      <c r="J636" s="1102"/>
      <c r="K636" s="1101"/>
      <c r="L636" s="1101"/>
      <c r="M636" s="1082"/>
      <c r="N636" s="1082"/>
      <c r="O636" s="1082"/>
      <c r="P636" s="1082"/>
      <c r="Q636" s="1082"/>
      <c r="R636" s="1082"/>
      <c r="S636" s="1082"/>
      <c r="T636" s="1082"/>
      <c r="U636" s="1082"/>
      <c r="V636" s="1082"/>
      <c r="W636" s="1082"/>
      <c r="X636" s="1082"/>
      <c r="Y636" s="1082"/>
      <c r="Z636" s="1082"/>
      <c r="AA636" s="1082"/>
      <c r="AB636" s="1082"/>
      <c r="AC636" s="1082"/>
      <c r="AD636" s="1082"/>
      <c r="AE636" s="1082"/>
      <c r="AF636" s="1082"/>
    </row>
    <row r="637">
      <c r="A637" s="1091"/>
      <c r="B637" s="1091"/>
      <c r="C637" s="1093"/>
      <c r="D637" s="1091"/>
      <c r="E637" s="1091"/>
      <c r="F637" s="1091"/>
      <c r="G637" s="1103"/>
      <c r="H637" s="1103"/>
      <c r="I637" s="1103"/>
      <c r="J637" s="1104"/>
      <c r="K637" s="1105"/>
      <c r="L637" s="1105"/>
      <c r="M637" s="1082"/>
      <c r="N637" s="1082"/>
      <c r="O637" s="1082"/>
      <c r="P637" s="1082"/>
      <c r="Q637" s="1082"/>
      <c r="R637" s="1082"/>
      <c r="S637" s="1082"/>
      <c r="T637" s="1082"/>
      <c r="U637" s="1082"/>
      <c r="V637" s="1082"/>
      <c r="W637" s="1082"/>
      <c r="X637" s="1082"/>
      <c r="Y637" s="1082"/>
      <c r="Z637" s="1082"/>
      <c r="AA637" s="1082"/>
      <c r="AB637" s="1082"/>
      <c r="AC637" s="1082"/>
      <c r="AD637" s="1082"/>
      <c r="AE637" s="1082"/>
      <c r="AF637" s="1082"/>
    </row>
    <row r="638">
      <c r="A638" s="1094"/>
      <c r="B638" s="1094"/>
      <c r="C638" s="1096"/>
      <c r="D638" s="1094"/>
      <c r="E638" s="1094"/>
      <c r="F638" s="1094"/>
      <c r="G638" s="1106"/>
      <c r="H638" s="1106"/>
      <c r="I638" s="1106"/>
      <c r="J638" s="1102"/>
      <c r="K638" s="1101"/>
      <c r="L638" s="1101"/>
      <c r="M638" s="1082"/>
      <c r="N638" s="1082"/>
      <c r="O638" s="1082"/>
      <c r="P638" s="1082"/>
      <c r="Q638" s="1082"/>
      <c r="R638" s="1082"/>
      <c r="S638" s="1082"/>
      <c r="T638" s="1082"/>
      <c r="U638" s="1082"/>
      <c r="V638" s="1082"/>
      <c r="W638" s="1082"/>
      <c r="X638" s="1082"/>
      <c r="Y638" s="1082"/>
      <c r="Z638" s="1082"/>
      <c r="AA638" s="1082"/>
      <c r="AB638" s="1082"/>
      <c r="AC638" s="1082"/>
      <c r="AD638" s="1082"/>
      <c r="AE638" s="1082"/>
      <c r="AF638" s="1082"/>
    </row>
    <row r="639">
      <c r="A639" s="1091"/>
      <c r="B639" s="1091"/>
      <c r="C639" s="1093"/>
      <c r="D639" s="1091"/>
      <c r="E639" s="1091"/>
      <c r="F639" s="1091"/>
      <c r="G639" s="1103"/>
      <c r="H639" s="1103"/>
      <c r="I639" s="1103"/>
      <c r="J639" s="1104"/>
      <c r="K639" s="1105"/>
      <c r="L639" s="1105"/>
      <c r="M639" s="1082"/>
      <c r="N639" s="1082"/>
      <c r="O639" s="1082"/>
      <c r="P639" s="1082"/>
      <c r="Q639" s="1082"/>
      <c r="R639" s="1082"/>
      <c r="S639" s="1082"/>
      <c r="T639" s="1082"/>
      <c r="U639" s="1082"/>
      <c r="V639" s="1082"/>
      <c r="W639" s="1082"/>
      <c r="X639" s="1082"/>
      <c r="Y639" s="1082"/>
      <c r="Z639" s="1082"/>
      <c r="AA639" s="1082"/>
      <c r="AB639" s="1082"/>
      <c r="AC639" s="1082"/>
      <c r="AD639" s="1082"/>
      <c r="AE639" s="1082"/>
      <c r="AF639" s="1082"/>
    </row>
    <row r="640">
      <c r="A640" s="1099"/>
      <c r="B640" s="1094"/>
      <c r="C640" s="1110"/>
      <c r="D640" s="1099"/>
      <c r="E640" s="1099"/>
      <c r="F640" s="1099"/>
      <c r="G640" s="1111"/>
      <c r="H640" s="1111"/>
      <c r="I640" s="1111"/>
      <c r="J640" s="1102"/>
      <c r="K640" s="1101"/>
      <c r="L640" s="1101"/>
      <c r="M640" s="1082"/>
      <c r="N640" s="1082"/>
      <c r="O640" s="1082"/>
      <c r="P640" s="1082"/>
      <c r="Q640" s="1082"/>
      <c r="R640" s="1082"/>
      <c r="S640" s="1082"/>
      <c r="T640" s="1082"/>
      <c r="U640" s="1082"/>
      <c r="V640" s="1082"/>
      <c r="W640" s="1082"/>
      <c r="X640" s="1082"/>
      <c r="Y640" s="1082"/>
      <c r="Z640" s="1082"/>
      <c r="AA640" s="1082"/>
      <c r="AB640" s="1082"/>
      <c r="AC640" s="1082"/>
      <c r="AD640" s="1082"/>
      <c r="AE640" s="1082"/>
      <c r="AF640" s="1082"/>
    </row>
    <row r="641">
      <c r="A641" s="1107"/>
      <c r="B641" s="1091"/>
      <c r="C641" s="1108"/>
      <c r="D641" s="1107"/>
      <c r="E641" s="1107"/>
      <c r="F641" s="1107"/>
      <c r="G641" s="1109"/>
      <c r="H641" s="1109"/>
      <c r="I641" s="1109"/>
      <c r="J641" s="1104"/>
      <c r="K641" s="1105"/>
      <c r="L641" s="1105"/>
      <c r="M641" s="1082"/>
      <c r="N641" s="1082"/>
      <c r="O641" s="1082"/>
      <c r="P641" s="1082"/>
      <c r="Q641" s="1082"/>
      <c r="R641" s="1082"/>
      <c r="S641" s="1082"/>
      <c r="T641" s="1082"/>
      <c r="U641" s="1082"/>
      <c r="V641" s="1082"/>
      <c r="W641" s="1082"/>
      <c r="X641" s="1082"/>
      <c r="Y641" s="1082"/>
      <c r="Z641" s="1082"/>
      <c r="AA641" s="1082"/>
      <c r="AB641" s="1082"/>
      <c r="AC641" s="1082"/>
      <c r="AD641" s="1082"/>
      <c r="AE641" s="1082"/>
      <c r="AF641" s="1082"/>
    </row>
    <row r="642">
      <c r="A642" s="1094"/>
      <c r="B642" s="1094"/>
      <c r="C642" s="1096"/>
      <c r="D642" s="1094"/>
      <c r="E642" s="1094"/>
      <c r="F642" s="1094"/>
      <c r="G642" s="1106"/>
      <c r="H642" s="1106"/>
      <c r="I642" s="1106"/>
      <c r="J642" s="1102"/>
      <c r="K642" s="1096"/>
      <c r="L642" s="1101"/>
      <c r="M642" s="1082"/>
      <c r="N642" s="1082"/>
      <c r="O642" s="1082"/>
      <c r="P642" s="1082"/>
      <c r="Q642" s="1082"/>
      <c r="R642" s="1082"/>
      <c r="S642" s="1082"/>
      <c r="T642" s="1082"/>
      <c r="U642" s="1082"/>
      <c r="V642" s="1082"/>
      <c r="W642" s="1082"/>
      <c r="X642" s="1082"/>
      <c r="Y642" s="1082"/>
      <c r="Z642" s="1082"/>
      <c r="AA642" s="1082"/>
      <c r="AB642" s="1082"/>
      <c r="AC642" s="1082"/>
      <c r="AD642" s="1082"/>
      <c r="AE642" s="1082"/>
      <c r="AF642" s="1082"/>
    </row>
    <row r="643">
      <c r="A643" s="1091"/>
      <c r="B643" s="1091"/>
      <c r="C643" s="1093"/>
      <c r="D643" s="1091"/>
      <c r="E643" s="1091"/>
      <c r="F643" s="1091"/>
      <c r="G643" s="1103"/>
      <c r="H643" s="1103"/>
      <c r="I643" s="1103"/>
      <c r="J643" s="1104"/>
      <c r="K643" s="1105"/>
      <c r="L643" s="1105"/>
      <c r="M643" s="1082"/>
      <c r="N643" s="1082"/>
      <c r="O643" s="1082"/>
      <c r="P643" s="1082"/>
      <c r="Q643" s="1082"/>
      <c r="R643" s="1082"/>
      <c r="S643" s="1082"/>
      <c r="T643" s="1082"/>
      <c r="U643" s="1082"/>
      <c r="V643" s="1082"/>
      <c r="W643" s="1082"/>
      <c r="X643" s="1082"/>
      <c r="Y643" s="1082"/>
      <c r="Z643" s="1082"/>
      <c r="AA643" s="1082"/>
      <c r="AB643" s="1082"/>
      <c r="AC643" s="1082"/>
      <c r="AD643" s="1082"/>
      <c r="AE643" s="1082"/>
      <c r="AF643" s="1082"/>
    </row>
    <row r="644">
      <c r="A644" s="1094"/>
      <c r="B644" s="1094"/>
      <c r="C644" s="1096"/>
      <c r="D644" s="1094"/>
      <c r="E644" s="1094"/>
      <c r="F644" s="1094"/>
      <c r="G644" s="1106"/>
      <c r="H644" s="1106"/>
      <c r="I644" s="1106"/>
      <c r="J644" s="1102"/>
      <c r="K644" s="1101"/>
      <c r="L644" s="1101"/>
      <c r="M644" s="1082"/>
      <c r="N644" s="1082"/>
      <c r="O644" s="1082"/>
      <c r="P644" s="1082"/>
      <c r="Q644" s="1082"/>
      <c r="R644" s="1082"/>
      <c r="S644" s="1082"/>
      <c r="T644" s="1082"/>
      <c r="U644" s="1082"/>
      <c r="V644" s="1082"/>
      <c r="W644" s="1082"/>
      <c r="X644" s="1082"/>
      <c r="Y644" s="1082"/>
      <c r="Z644" s="1082"/>
      <c r="AA644" s="1082"/>
      <c r="AB644" s="1082"/>
      <c r="AC644" s="1082"/>
      <c r="AD644" s="1082"/>
      <c r="AE644" s="1082"/>
      <c r="AF644" s="1082"/>
    </row>
    <row r="645">
      <c r="A645" s="1091"/>
      <c r="B645" s="1091"/>
      <c r="C645" s="1093"/>
      <c r="D645" s="1091"/>
      <c r="E645" s="1091"/>
      <c r="F645" s="1091"/>
      <c r="G645" s="1103"/>
      <c r="H645" s="1103"/>
      <c r="I645" s="1103"/>
      <c r="J645" s="1104"/>
      <c r="K645" s="1105"/>
      <c r="L645" s="1105"/>
      <c r="M645" s="1082"/>
      <c r="N645" s="1082"/>
      <c r="O645" s="1082"/>
      <c r="P645" s="1082"/>
      <c r="Q645" s="1082"/>
      <c r="R645" s="1082"/>
      <c r="S645" s="1082"/>
      <c r="T645" s="1082"/>
      <c r="U645" s="1082"/>
      <c r="V645" s="1082"/>
      <c r="W645" s="1082"/>
      <c r="X645" s="1082"/>
      <c r="Y645" s="1082"/>
      <c r="Z645" s="1082"/>
      <c r="AA645" s="1082"/>
      <c r="AB645" s="1082"/>
      <c r="AC645" s="1082"/>
      <c r="AD645" s="1082"/>
      <c r="AE645" s="1082"/>
      <c r="AF645" s="1082"/>
    </row>
    <row r="646">
      <c r="A646" s="1094"/>
      <c r="B646" s="1094"/>
      <c r="C646" s="1096"/>
      <c r="D646" s="1094"/>
      <c r="E646" s="1094"/>
      <c r="F646" s="1094"/>
      <c r="G646" s="1106"/>
      <c r="H646" s="1106"/>
      <c r="I646" s="1106"/>
      <c r="J646" s="1102"/>
      <c r="K646" s="1101"/>
      <c r="L646" s="1101"/>
      <c r="M646" s="1082"/>
      <c r="N646" s="1082"/>
      <c r="O646" s="1082"/>
      <c r="P646" s="1082"/>
      <c r="Q646" s="1082"/>
      <c r="R646" s="1082"/>
      <c r="S646" s="1082"/>
      <c r="T646" s="1082"/>
      <c r="U646" s="1082"/>
      <c r="V646" s="1082"/>
      <c r="W646" s="1082"/>
      <c r="X646" s="1082"/>
      <c r="Y646" s="1082"/>
      <c r="Z646" s="1082"/>
      <c r="AA646" s="1082"/>
      <c r="AB646" s="1082"/>
      <c r="AC646" s="1082"/>
      <c r="AD646" s="1082"/>
      <c r="AE646" s="1082"/>
      <c r="AF646" s="1082"/>
    </row>
    <row r="647">
      <c r="A647" s="1091"/>
      <c r="B647" s="1091"/>
      <c r="C647" s="1093"/>
      <c r="D647" s="1091"/>
      <c r="E647" s="1091"/>
      <c r="F647" s="1091"/>
      <c r="G647" s="1103"/>
      <c r="H647" s="1103"/>
      <c r="I647" s="1103"/>
      <c r="J647" s="1104"/>
      <c r="K647" s="1105"/>
      <c r="L647" s="1105"/>
      <c r="M647" s="1082"/>
      <c r="N647" s="1082"/>
      <c r="O647" s="1082"/>
      <c r="P647" s="1082"/>
      <c r="Q647" s="1082"/>
      <c r="R647" s="1082"/>
      <c r="S647" s="1082"/>
      <c r="T647" s="1082"/>
      <c r="U647" s="1082"/>
      <c r="V647" s="1082"/>
      <c r="W647" s="1082"/>
      <c r="X647" s="1082"/>
      <c r="Y647" s="1082"/>
      <c r="Z647" s="1082"/>
      <c r="AA647" s="1082"/>
      <c r="AB647" s="1082"/>
      <c r="AC647" s="1082"/>
      <c r="AD647" s="1082"/>
      <c r="AE647" s="1082"/>
      <c r="AF647" s="1082"/>
    </row>
    <row r="648">
      <c r="A648" s="1094"/>
      <c r="B648" s="1094"/>
      <c r="C648" s="1096"/>
      <c r="D648" s="1094"/>
      <c r="E648" s="1094"/>
      <c r="F648" s="1094"/>
      <c r="G648" s="1106"/>
      <c r="H648" s="1106"/>
      <c r="I648" s="1106"/>
      <c r="J648" s="1102"/>
      <c r="K648" s="1101"/>
      <c r="L648" s="1101"/>
      <c r="M648" s="1082"/>
      <c r="N648" s="1082"/>
      <c r="O648" s="1082"/>
      <c r="P648" s="1082"/>
      <c r="Q648" s="1082"/>
      <c r="R648" s="1082"/>
      <c r="S648" s="1082"/>
      <c r="T648" s="1082"/>
      <c r="U648" s="1082"/>
      <c r="V648" s="1082"/>
      <c r="W648" s="1082"/>
      <c r="X648" s="1082"/>
      <c r="Y648" s="1082"/>
      <c r="Z648" s="1082"/>
      <c r="AA648" s="1082"/>
      <c r="AB648" s="1082"/>
      <c r="AC648" s="1082"/>
      <c r="AD648" s="1082"/>
      <c r="AE648" s="1082"/>
      <c r="AF648" s="1082"/>
    </row>
    <row r="649">
      <c r="A649" s="1091"/>
      <c r="B649" s="1091"/>
      <c r="C649" s="1093"/>
      <c r="D649" s="1091"/>
      <c r="E649" s="1091"/>
      <c r="F649" s="1091"/>
      <c r="G649" s="1103"/>
      <c r="H649" s="1103"/>
      <c r="I649" s="1103"/>
      <c r="J649" s="1104"/>
      <c r="K649" s="1105"/>
      <c r="L649" s="1105"/>
      <c r="M649" s="1082"/>
      <c r="N649" s="1082"/>
      <c r="O649" s="1082"/>
      <c r="P649" s="1082"/>
      <c r="Q649" s="1082"/>
      <c r="R649" s="1082"/>
      <c r="S649" s="1082"/>
      <c r="T649" s="1082"/>
      <c r="U649" s="1082"/>
      <c r="V649" s="1082"/>
      <c r="W649" s="1082"/>
      <c r="X649" s="1082"/>
      <c r="Y649" s="1082"/>
      <c r="Z649" s="1082"/>
      <c r="AA649" s="1082"/>
      <c r="AB649" s="1082"/>
      <c r="AC649" s="1082"/>
      <c r="AD649" s="1082"/>
      <c r="AE649" s="1082"/>
      <c r="AF649" s="1082"/>
    </row>
    <row r="650">
      <c r="A650" s="1094"/>
      <c r="B650" s="1094"/>
      <c r="C650" s="1096"/>
      <c r="D650" s="1094"/>
      <c r="E650" s="1094"/>
      <c r="F650" s="1094"/>
      <c r="G650" s="1106"/>
      <c r="H650" s="1106"/>
      <c r="I650" s="1106"/>
      <c r="J650" s="1102"/>
      <c r="K650" s="1101"/>
      <c r="L650" s="1101"/>
      <c r="M650" s="1082"/>
      <c r="N650" s="1082"/>
      <c r="O650" s="1082"/>
      <c r="P650" s="1082"/>
      <c r="Q650" s="1082"/>
      <c r="R650" s="1082"/>
      <c r="S650" s="1082"/>
      <c r="T650" s="1082"/>
      <c r="U650" s="1082"/>
      <c r="V650" s="1082"/>
      <c r="W650" s="1082"/>
      <c r="X650" s="1082"/>
      <c r="Y650" s="1082"/>
      <c r="Z650" s="1082"/>
      <c r="AA650" s="1082"/>
      <c r="AB650" s="1082"/>
      <c r="AC650" s="1082"/>
      <c r="AD650" s="1082"/>
      <c r="AE650" s="1082"/>
      <c r="AF650" s="1082"/>
    </row>
    <row r="651">
      <c r="A651" s="1107"/>
      <c r="B651" s="1091"/>
      <c r="C651" s="1108"/>
      <c r="D651" s="1107"/>
      <c r="E651" s="1107"/>
      <c r="F651" s="1107"/>
      <c r="G651" s="1109"/>
      <c r="H651" s="1109"/>
      <c r="I651" s="1109"/>
      <c r="J651" s="1104"/>
      <c r="K651" s="1105"/>
      <c r="L651" s="1105"/>
      <c r="M651" s="1082"/>
      <c r="N651" s="1082"/>
      <c r="O651" s="1082"/>
      <c r="P651" s="1082"/>
      <c r="Q651" s="1082"/>
      <c r="R651" s="1082"/>
      <c r="S651" s="1082"/>
      <c r="T651" s="1082"/>
      <c r="U651" s="1082"/>
      <c r="V651" s="1082"/>
      <c r="W651" s="1082"/>
      <c r="X651" s="1082"/>
      <c r="Y651" s="1082"/>
      <c r="Z651" s="1082"/>
      <c r="AA651" s="1082"/>
      <c r="AB651" s="1082"/>
      <c r="AC651" s="1082"/>
      <c r="AD651" s="1082"/>
      <c r="AE651" s="1082"/>
      <c r="AF651" s="1082"/>
    </row>
    <row r="652">
      <c r="A652" s="1099"/>
      <c r="B652" s="1099"/>
      <c r="C652" s="1110"/>
      <c r="D652" s="1099"/>
      <c r="E652" s="1099"/>
      <c r="F652" s="1099"/>
      <c r="G652" s="1111"/>
      <c r="H652" s="1111"/>
      <c r="I652" s="1111"/>
      <c r="J652" s="1102"/>
      <c r="K652" s="1101"/>
      <c r="L652" s="1101"/>
      <c r="M652" s="1082"/>
      <c r="N652" s="1082"/>
      <c r="O652" s="1082"/>
      <c r="P652" s="1082"/>
      <c r="Q652" s="1082"/>
      <c r="R652" s="1082"/>
      <c r="S652" s="1082"/>
      <c r="T652" s="1082"/>
      <c r="U652" s="1082"/>
      <c r="V652" s="1082"/>
      <c r="W652" s="1082"/>
      <c r="X652" s="1082"/>
      <c r="Y652" s="1082"/>
      <c r="Z652" s="1082"/>
      <c r="AA652" s="1082"/>
      <c r="AB652" s="1082"/>
      <c r="AC652" s="1082"/>
      <c r="AD652" s="1082"/>
      <c r="AE652" s="1082"/>
      <c r="AF652" s="1082"/>
    </row>
    <row r="653">
      <c r="A653" s="1107"/>
      <c r="B653" s="1107"/>
      <c r="C653" s="1108"/>
      <c r="D653" s="1107"/>
      <c r="E653" s="1107"/>
      <c r="F653" s="1107"/>
      <c r="G653" s="1109"/>
      <c r="H653" s="1109"/>
      <c r="I653" s="1109"/>
      <c r="J653" s="1104"/>
      <c r="K653" s="1105"/>
      <c r="L653" s="1105"/>
      <c r="M653" s="1082"/>
      <c r="N653" s="1082"/>
      <c r="O653" s="1082"/>
      <c r="P653" s="1082"/>
      <c r="Q653" s="1082"/>
      <c r="R653" s="1082"/>
      <c r="S653" s="1082"/>
      <c r="T653" s="1082"/>
      <c r="U653" s="1082"/>
      <c r="V653" s="1082"/>
      <c r="W653" s="1082"/>
      <c r="X653" s="1082"/>
      <c r="Y653" s="1082"/>
      <c r="Z653" s="1082"/>
      <c r="AA653" s="1082"/>
      <c r="AB653" s="1082"/>
      <c r="AC653" s="1082"/>
      <c r="AD653" s="1082"/>
      <c r="AE653" s="1082"/>
      <c r="AF653" s="1082"/>
    </row>
    <row r="654">
      <c r="A654" s="1099"/>
      <c r="B654" s="1099"/>
      <c r="C654" s="1110"/>
      <c r="D654" s="1099"/>
      <c r="E654" s="1099"/>
      <c r="F654" s="1099"/>
      <c r="G654" s="1111"/>
      <c r="H654" s="1111"/>
      <c r="I654" s="1111"/>
      <c r="J654" s="1102"/>
      <c r="K654" s="1101"/>
      <c r="L654" s="1101"/>
      <c r="M654" s="1082"/>
      <c r="N654" s="1082"/>
      <c r="O654" s="1082"/>
      <c r="P654" s="1082"/>
      <c r="Q654" s="1082"/>
      <c r="R654" s="1082"/>
      <c r="S654" s="1082"/>
      <c r="T654" s="1082"/>
      <c r="U654" s="1082"/>
      <c r="V654" s="1082"/>
      <c r="W654" s="1082"/>
      <c r="X654" s="1082"/>
      <c r="Y654" s="1082"/>
      <c r="Z654" s="1082"/>
      <c r="AA654" s="1082"/>
      <c r="AB654" s="1082"/>
      <c r="AC654" s="1082"/>
      <c r="AD654" s="1082"/>
      <c r="AE654" s="1082"/>
      <c r="AF654" s="1082"/>
    </row>
    <row r="655">
      <c r="A655" s="1091"/>
      <c r="B655" s="1091"/>
      <c r="C655" s="1093"/>
      <c r="D655" s="1091"/>
      <c r="E655" s="1091"/>
      <c r="F655" s="1091"/>
      <c r="G655" s="1103"/>
      <c r="H655" s="1103"/>
      <c r="I655" s="1103"/>
      <c r="J655" s="1104"/>
      <c r="K655" s="1105"/>
      <c r="L655" s="1105"/>
      <c r="M655" s="1082"/>
      <c r="N655" s="1082"/>
      <c r="O655" s="1082"/>
      <c r="P655" s="1082"/>
      <c r="Q655" s="1082"/>
      <c r="R655" s="1082"/>
      <c r="S655" s="1082"/>
      <c r="T655" s="1082"/>
      <c r="U655" s="1082"/>
      <c r="V655" s="1082"/>
      <c r="W655" s="1082"/>
      <c r="X655" s="1082"/>
      <c r="Y655" s="1082"/>
      <c r="Z655" s="1082"/>
      <c r="AA655" s="1082"/>
      <c r="AB655" s="1082"/>
      <c r="AC655" s="1082"/>
      <c r="AD655" s="1082"/>
      <c r="AE655" s="1082"/>
      <c r="AF655" s="1082"/>
    </row>
    <row r="656">
      <c r="A656" s="1094"/>
      <c r="B656" s="1094"/>
      <c r="C656" s="1096"/>
      <c r="D656" s="1094"/>
      <c r="E656" s="1094"/>
      <c r="F656" s="1094"/>
      <c r="G656" s="1106"/>
      <c r="H656" s="1106"/>
      <c r="I656" s="1106"/>
      <c r="J656" s="1102"/>
      <c r="K656" s="1101"/>
      <c r="L656" s="1101"/>
      <c r="M656" s="1082"/>
      <c r="N656" s="1082"/>
      <c r="O656" s="1082"/>
      <c r="P656" s="1082"/>
      <c r="Q656" s="1082"/>
      <c r="R656" s="1082"/>
      <c r="S656" s="1082"/>
      <c r="T656" s="1082"/>
      <c r="U656" s="1082"/>
      <c r="V656" s="1082"/>
      <c r="W656" s="1082"/>
      <c r="X656" s="1082"/>
      <c r="Y656" s="1082"/>
      <c r="Z656" s="1082"/>
      <c r="AA656" s="1082"/>
      <c r="AB656" s="1082"/>
      <c r="AC656" s="1082"/>
      <c r="AD656" s="1082"/>
      <c r="AE656" s="1082"/>
      <c r="AF656" s="1082"/>
    </row>
    <row r="657">
      <c r="A657" s="1107"/>
      <c r="B657" s="1091"/>
      <c r="C657" s="1108"/>
      <c r="D657" s="1107"/>
      <c r="E657" s="1107"/>
      <c r="F657" s="1107"/>
      <c r="G657" s="1109"/>
      <c r="H657" s="1109"/>
      <c r="I657" s="1109"/>
      <c r="J657" s="1104"/>
      <c r="K657" s="1105"/>
      <c r="L657" s="1105"/>
      <c r="M657" s="1082"/>
      <c r="N657" s="1082"/>
      <c r="O657" s="1082"/>
      <c r="P657" s="1082"/>
      <c r="Q657" s="1082"/>
      <c r="R657" s="1082"/>
      <c r="S657" s="1082"/>
      <c r="T657" s="1082"/>
      <c r="U657" s="1082"/>
      <c r="V657" s="1082"/>
      <c r="W657" s="1082"/>
      <c r="X657" s="1082"/>
      <c r="Y657" s="1082"/>
      <c r="Z657" s="1082"/>
      <c r="AA657" s="1082"/>
      <c r="AB657" s="1082"/>
      <c r="AC657" s="1082"/>
      <c r="AD657" s="1082"/>
      <c r="AE657" s="1082"/>
      <c r="AF657" s="1082"/>
    </row>
    <row r="658">
      <c r="A658" s="1099"/>
      <c r="B658" s="1094"/>
      <c r="C658" s="1110"/>
      <c r="D658" s="1099"/>
      <c r="E658" s="1099"/>
      <c r="F658" s="1099"/>
      <c r="G658" s="1111"/>
      <c r="H658" s="1111"/>
      <c r="I658" s="1111"/>
      <c r="J658" s="1102"/>
      <c r="K658" s="1101"/>
      <c r="L658" s="1101"/>
      <c r="M658" s="1082"/>
      <c r="N658" s="1082"/>
      <c r="O658" s="1082"/>
      <c r="P658" s="1082"/>
      <c r="Q658" s="1082"/>
      <c r="R658" s="1082"/>
      <c r="S658" s="1082"/>
      <c r="T658" s="1082"/>
      <c r="U658" s="1082"/>
      <c r="V658" s="1082"/>
      <c r="W658" s="1082"/>
      <c r="X658" s="1082"/>
      <c r="Y658" s="1082"/>
      <c r="Z658" s="1082"/>
      <c r="AA658" s="1082"/>
      <c r="AB658" s="1082"/>
      <c r="AC658" s="1082"/>
      <c r="AD658" s="1082"/>
      <c r="AE658" s="1082"/>
      <c r="AF658" s="1082"/>
    </row>
    <row r="659">
      <c r="A659" s="1091"/>
      <c r="B659" s="1091"/>
      <c r="C659" s="1093"/>
      <c r="D659" s="1091"/>
      <c r="E659" s="1091"/>
      <c r="F659" s="1091"/>
      <c r="G659" s="1103"/>
      <c r="H659" s="1103"/>
      <c r="I659" s="1103"/>
      <c r="J659" s="1104"/>
      <c r="K659" s="1105"/>
      <c r="L659" s="1105"/>
      <c r="M659" s="1082"/>
      <c r="N659" s="1082"/>
      <c r="O659" s="1082"/>
      <c r="P659" s="1082"/>
      <c r="Q659" s="1082"/>
      <c r="R659" s="1082"/>
      <c r="S659" s="1082"/>
      <c r="T659" s="1082"/>
      <c r="U659" s="1082"/>
      <c r="V659" s="1082"/>
      <c r="W659" s="1082"/>
      <c r="X659" s="1082"/>
      <c r="Y659" s="1082"/>
      <c r="Z659" s="1082"/>
      <c r="AA659" s="1082"/>
      <c r="AB659" s="1082"/>
      <c r="AC659" s="1082"/>
      <c r="AD659" s="1082"/>
      <c r="AE659" s="1082"/>
      <c r="AF659" s="1082"/>
    </row>
    <row r="660">
      <c r="A660" s="1094"/>
      <c r="B660" s="1094"/>
      <c r="C660" s="1096"/>
      <c r="D660" s="1094"/>
      <c r="E660" s="1094"/>
      <c r="F660" s="1094"/>
      <c r="G660" s="1106"/>
      <c r="H660" s="1106"/>
      <c r="I660" s="1106"/>
      <c r="J660" s="1102"/>
      <c r="K660" s="1101"/>
      <c r="L660" s="1101"/>
      <c r="M660" s="1082"/>
      <c r="N660" s="1082"/>
      <c r="O660" s="1082"/>
      <c r="P660" s="1082"/>
      <c r="Q660" s="1082"/>
      <c r="R660" s="1082"/>
      <c r="S660" s="1082"/>
      <c r="T660" s="1082"/>
      <c r="U660" s="1082"/>
      <c r="V660" s="1082"/>
      <c r="W660" s="1082"/>
      <c r="X660" s="1082"/>
      <c r="Y660" s="1082"/>
      <c r="Z660" s="1082"/>
      <c r="AA660" s="1082"/>
      <c r="AB660" s="1082"/>
      <c r="AC660" s="1082"/>
      <c r="AD660" s="1082"/>
      <c r="AE660" s="1082"/>
      <c r="AF660" s="1082"/>
    </row>
    <row r="661">
      <c r="A661" s="1091"/>
      <c r="B661" s="1091"/>
      <c r="C661" s="1093"/>
      <c r="D661" s="1091"/>
      <c r="E661" s="1091"/>
      <c r="F661" s="1091"/>
      <c r="G661" s="1103"/>
      <c r="H661" s="1103"/>
      <c r="I661" s="1103"/>
      <c r="J661" s="1104"/>
      <c r="K661" s="1105"/>
      <c r="L661" s="1105"/>
      <c r="M661" s="1082"/>
      <c r="N661" s="1082"/>
      <c r="O661" s="1082"/>
      <c r="P661" s="1082"/>
      <c r="Q661" s="1082"/>
      <c r="R661" s="1082"/>
      <c r="S661" s="1082"/>
      <c r="T661" s="1082"/>
      <c r="U661" s="1082"/>
      <c r="V661" s="1082"/>
      <c r="W661" s="1082"/>
      <c r="X661" s="1082"/>
      <c r="Y661" s="1082"/>
      <c r="Z661" s="1082"/>
      <c r="AA661" s="1082"/>
      <c r="AB661" s="1082"/>
      <c r="AC661" s="1082"/>
      <c r="AD661" s="1082"/>
      <c r="AE661" s="1082"/>
      <c r="AF661" s="1082"/>
    </row>
    <row r="662">
      <c r="A662" s="1099"/>
      <c r="B662" s="1099"/>
      <c r="C662" s="1110"/>
      <c r="D662" s="1099"/>
      <c r="E662" s="1099"/>
      <c r="F662" s="1099"/>
      <c r="G662" s="1111"/>
      <c r="H662" s="1111"/>
      <c r="I662" s="1111"/>
      <c r="J662" s="1102"/>
      <c r="K662" s="1101"/>
      <c r="L662" s="1101"/>
      <c r="M662" s="1082"/>
      <c r="N662" s="1082"/>
      <c r="O662" s="1082"/>
      <c r="P662" s="1082"/>
      <c r="Q662" s="1082"/>
      <c r="R662" s="1082"/>
      <c r="S662" s="1082"/>
      <c r="T662" s="1082"/>
      <c r="U662" s="1082"/>
      <c r="V662" s="1082"/>
      <c r="W662" s="1082"/>
      <c r="X662" s="1082"/>
      <c r="Y662" s="1082"/>
      <c r="Z662" s="1082"/>
      <c r="AA662" s="1082"/>
      <c r="AB662" s="1082"/>
      <c r="AC662" s="1082"/>
      <c r="AD662" s="1082"/>
      <c r="AE662" s="1082"/>
      <c r="AF662" s="1082"/>
    </row>
    <row r="663">
      <c r="A663" s="1107"/>
      <c r="B663" s="1107"/>
      <c r="C663" s="1108"/>
      <c r="D663" s="1107"/>
      <c r="E663" s="1107"/>
      <c r="F663" s="1107"/>
      <c r="G663" s="1109"/>
      <c r="H663" s="1109"/>
      <c r="I663" s="1109"/>
      <c r="J663" s="1104"/>
      <c r="K663" s="1105"/>
      <c r="L663" s="1105"/>
      <c r="M663" s="1082"/>
      <c r="N663" s="1082"/>
      <c r="O663" s="1082"/>
      <c r="P663" s="1082"/>
      <c r="Q663" s="1082"/>
      <c r="R663" s="1082"/>
      <c r="S663" s="1082"/>
      <c r="T663" s="1082"/>
      <c r="U663" s="1082"/>
      <c r="V663" s="1082"/>
      <c r="W663" s="1082"/>
      <c r="X663" s="1082"/>
      <c r="Y663" s="1082"/>
      <c r="Z663" s="1082"/>
      <c r="AA663" s="1082"/>
      <c r="AB663" s="1082"/>
      <c r="AC663" s="1082"/>
      <c r="AD663" s="1082"/>
      <c r="AE663" s="1082"/>
      <c r="AF663" s="1082"/>
    </row>
    <row r="664">
      <c r="A664" s="1099"/>
      <c r="B664" s="1099"/>
      <c r="C664" s="1110"/>
      <c r="D664" s="1099"/>
      <c r="E664" s="1099"/>
      <c r="F664" s="1099"/>
      <c r="G664" s="1111"/>
      <c r="H664" s="1111"/>
      <c r="I664" s="1111"/>
      <c r="J664" s="1102"/>
      <c r="K664" s="1101"/>
      <c r="L664" s="1101"/>
      <c r="M664" s="1082"/>
      <c r="N664" s="1082"/>
      <c r="O664" s="1082"/>
      <c r="P664" s="1082"/>
      <c r="Q664" s="1082"/>
      <c r="R664" s="1082"/>
      <c r="S664" s="1082"/>
      <c r="T664" s="1082"/>
      <c r="U664" s="1082"/>
      <c r="V664" s="1082"/>
      <c r="W664" s="1082"/>
      <c r="X664" s="1082"/>
      <c r="Y664" s="1082"/>
      <c r="Z664" s="1082"/>
      <c r="AA664" s="1082"/>
      <c r="AB664" s="1082"/>
      <c r="AC664" s="1082"/>
      <c r="AD664" s="1082"/>
      <c r="AE664" s="1082"/>
      <c r="AF664" s="1082"/>
    </row>
    <row r="665">
      <c r="A665" s="1107"/>
      <c r="B665" s="1107"/>
      <c r="C665" s="1108"/>
      <c r="D665" s="1107"/>
      <c r="E665" s="1107"/>
      <c r="F665" s="1107"/>
      <c r="G665" s="1109"/>
      <c r="H665" s="1109"/>
      <c r="I665" s="1109"/>
      <c r="J665" s="1104"/>
      <c r="K665" s="1105"/>
      <c r="L665" s="1105"/>
      <c r="M665" s="1082"/>
      <c r="N665" s="1082"/>
      <c r="O665" s="1082"/>
      <c r="P665" s="1082"/>
      <c r="Q665" s="1082"/>
      <c r="R665" s="1082"/>
      <c r="S665" s="1082"/>
      <c r="T665" s="1082"/>
      <c r="U665" s="1082"/>
      <c r="V665" s="1082"/>
      <c r="W665" s="1082"/>
      <c r="X665" s="1082"/>
      <c r="Y665" s="1082"/>
      <c r="Z665" s="1082"/>
      <c r="AA665" s="1082"/>
      <c r="AB665" s="1082"/>
      <c r="AC665" s="1082"/>
      <c r="AD665" s="1082"/>
      <c r="AE665" s="1082"/>
      <c r="AF665" s="1082"/>
    </row>
    <row r="666">
      <c r="A666" s="1099"/>
      <c r="B666" s="1099"/>
      <c r="C666" s="1110"/>
      <c r="D666" s="1099"/>
      <c r="E666" s="1099"/>
      <c r="F666" s="1099"/>
      <c r="G666" s="1111"/>
      <c r="H666" s="1111"/>
      <c r="I666" s="1111"/>
      <c r="J666" s="1102"/>
      <c r="K666" s="1101"/>
      <c r="L666" s="1101"/>
      <c r="M666" s="1082"/>
      <c r="N666" s="1082"/>
      <c r="O666" s="1082"/>
      <c r="P666" s="1082"/>
      <c r="Q666" s="1082"/>
      <c r="R666" s="1082"/>
      <c r="S666" s="1082"/>
      <c r="T666" s="1082"/>
      <c r="U666" s="1082"/>
      <c r="V666" s="1082"/>
      <c r="W666" s="1082"/>
      <c r="X666" s="1082"/>
      <c r="Y666" s="1082"/>
      <c r="Z666" s="1082"/>
      <c r="AA666" s="1082"/>
      <c r="AB666" s="1082"/>
      <c r="AC666" s="1082"/>
      <c r="AD666" s="1082"/>
      <c r="AE666" s="1082"/>
      <c r="AF666" s="1082"/>
    </row>
    <row r="667">
      <c r="A667" s="1107"/>
      <c r="B667" s="1107"/>
      <c r="C667" s="1108"/>
      <c r="D667" s="1107"/>
      <c r="E667" s="1107"/>
      <c r="F667" s="1107"/>
      <c r="G667" s="1109"/>
      <c r="H667" s="1109"/>
      <c r="I667" s="1109"/>
      <c r="J667" s="1104"/>
      <c r="K667" s="1105"/>
      <c r="L667" s="1105"/>
      <c r="M667" s="1082"/>
      <c r="N667" s="1082"/>
      <c r="O667" s="1082"/>
      <c r="P667" s="1082"/>
      <c r="Q667" s="1082"/>
      <c r="R667" s="1082"/>
      <c r="S667" s="1082"/>
      <c r="T667" s="1082"/>
      <c r="U667" s="1082"/>
      <c r="V667" s="1082"/>
      <c r="W667" s="1082"/>
      <c r="X667" s="1082"/>
      <c r="Y667" s="1082"/>
      <c r="Z667" s="1082"/>
      <c r="AA667" s="1082"/>
      <c r="AB667" s="1082"/>
      <c r="AC667" s="1082"/>
      <c r="AD667" s="1082"/>
      <c r="AE667" s="1082"/>
      <c r="AF667" s="1082"/>
    </row>
    <row r="668">
      <c r="A668" s="1099"/>
      <c r="B668" s="1099"/>
      <c r="C668" s="1110"/>
      <c r="D668" s="1099"/>
      <c r="E668" s="1099"/>
      <c r="F668" s="1099"/>
      <c r="G668" s="1111"/>
      <c r="H668" s="1111"/>
      <c r="I668" s="1111"/>
      <c r="J668" s="1102"/>
      <c r="K668" s="1101"/>
      <c r="L668" s="1101"/>
      <c r="M668" s="1082"/>
      <c r="N668" s="1082"/>
      <c r="O668" s="1082"/>
      <c r="P668" s="1082"/>
      <c r="Q668" s="1082"/>
      <c r="R668" s="1082"/>
      <c r="S668" s="1082"/>
      <c r="T668" s="1082"/>
      <c r="U668" s="1082"/>
      <c r="V668" s="1082"/>
      <c r="W668" s="1082"/>
      <c r="X668" s="1082"/>
      <c r="Y668" s="1082"/>
      <c r="Z668" s="1082"/>
      <c r="AA668" s="1082"/>
      <c r="AB668" s="1082"/>
      <c r="AC668" s="1082"/>
      <c r="AD668" s="1082"/>
      <c r="AE668" s="1082"/>
      <c r="AF668" s="1082"/>
    </row>
    <row r="669">
      <c r="A669" s="1091"/>
      <c r="B669" s="1091"/>
      <c r="C669" s="1093"/>
      <c r="D669" s="1091"/>
      <c r="E669" s="1091"/>
      <c r="F669" s="1091"/>
      <c r="G669" s="1103"/>
      <c r="H669" s="1103"/>
      <c r="I669" s="1103"/>
      <c r="J669" s="1104"/>
      <c r="K669" s="1105"/>
      <c r="L669" s="1105"/>
      <c r="M669" s="1082"/>
      <c r="N669" s="1082"/>
      <c r="O669" s="1082"/>
      <c r="P669" s="1082"/>
      <c r="Q669" s="1082"/>
      <c r="R669" s="1082"/>
      <c r="S669" s="1082"/>
      <c r="T669" s="1082"/>
      <c r="U669" s="1082"/>
      <c r="V669" s="1082"/>
      <c r="W669" s="1082"/>
      <c r="X669" s="1082"/>
      <c r="Y669" s="1082"/>
      <c r="Z669" s="1082"/>
      <c r="AA669" s="1082"/>
      <c r="AB669" s="1082"/>
      <c r="AC669" s="1082"/>
      <c r="AD669" s="1082"/>
      <c r="AE669" s="1082"/>
      <c r="AF669" s="1082"/>
    </row>
    <row r="670">
      <c r="A670" s="1099"/>
      <c r="B670" s="1099"/>
      <c r="C670" s="1110"/>
      <c r="D670" s="1099"/>
      <c r="E670" s="1099"/>
      <c r="F670" s="1099"/>
      <c r="G670" s="1111"/>
      <c r="H670" s="1111"/>
      <c r="I670" s="1111"/>
      <c r="J670" s="1102"/>
      <c r="K670" s="1101"/>
      <c r="L670" s="1101"/>
      <c r="M670" s="1082"/>
      <c r="N670" s="1082"/>
      <c r="O670" s="1082"/>
      <c r="P670" s="1082"/>
      <c r="Q670" s="1082"/>
      <c r="R670" s="1082"/>
      <c r="S670" s="1082"/>
      <c r="T670" s="1082"/>
      <c r="U670" s="1082"/>
      <c r="V670" s="1082"/>
      <c r="W670" s="1082"/>
      <c r="X670" s="1082"/>
      <c r="Y670" s="1082"/>
      <c r="Z670" s="1082"/>
      <c r="AA670" s="1082"/>
      <c r="AB670" s="1082"/>
      <c r="AC670" s="1082"/>
      <c r="AD670" s="1082"/>
      <c r="AE670" s="1082"/>
      <c r="AF670" s="1082"/>
    </row>
    <row r="671">
      <c r="A671" s="1107"/>
      <c r="B671" s="1107"/>
      <c r="C671" s="1108"/>
      <c r="D671" s="1107"/>
      <c r="E671" s="1107"/>
      <c r="F671" s="1107"/>
      <c r="G671" s="1109"/>
      <c r="H671" s="1109"/>
      <c r="I671" s="1109"/>
      <c r="J671" s="1104"/>
      <c r="K671" s="1105"/>
      <c r="L671" s="1105"/>
      <c r="M671" s="1082"/>
      <c r="N671" s="1082"/>
      <c r="O671" s="1082"/>
      <c r="P671" s="1082"/>
      <c r="Q671" s="1082"/>
      <c r="R671" s="1082"/>
      <c r="S671" s="1082"/>
      <c r="T671" s="1082"/>
      <c r="U671" s="1082"/>
      <c r="V671" s="1082"/>
      <c r="W671" s="1082"/>
      <c r="X671" s="1082"/>
      <c r="Y671" s="1082"/>
      <c r="Z671" s="1082"/>
      <c r="AA671" s="1082"/>
      <c r="AB671" s="1082"/>
      <c r="AC671" s="1082"/>
      <c r="AD671" s="1082"/>
      <c r="AE671" s="1082"/>
      <c r="AF671" s="1082"/>
    </row>
    <row r="672">
      <c r="A672" s="1094"/>
      <c r="B672" s="1094"/>
      <c r="C672" s="1096"/>
      <c r="D672" s="1094"/>
      <c r="E672" s="1094"/>
      <c r="F672" s="1094"/>
      <c r="G672" s="1106"/>
      <c r="H672" s="1106"/>
      <c r="I672" s="1106"/>
      <c r="J672" s="1102"/>
      <c r="K672" s="1101"/>
      <c r="L672" s="1101"/>
      <c r="M672" s="1082"/>
      <c r="N672" s="1082"/>
      <c r="O672" s="1082"/>
      <c r="P672" s="1082"/>
      <c r="Q672" s="1082"/>
      <c r="R672" s="1082"/>
      <c r="S672" s="1082"/>
      <c r="T672" s="1082"/>
      <c r="U672" s="1082"/>
      <c r="V672" s="1082"/>
      <c r="W672" s="1082"/>
      <c r="X672" s="1082"/>
      <c r="Y672" s="1082"/>
      <c r="Z672" s="1082"/>
      <c r="AA672" s="1082"/>
      <c r="AB672" s="1082"/>
      <c r="AC672" s="1082"/>
      <c r="AD672" s="1082"/>
      <c r="AE672" s="1082"/>
      <c r="AF672" s="1082"/>
    </row>
    <row r="673">
      <c r="A673" s="1091"/>
      <c r="B673" s="1091"/>
      <c r="C673" s="1093"/>
      <c r="D673" s="1091"/>
      <c r="E673" s="1091"/>
      <c r="F673" s="1091"/>
      <c r="G673" s="1103"/>
      <c r="H673" s="1103"/>
      <c r="I673" s="1103"/>
      <c r="J673" s="1104"/>
      <c r="K673" s="1105"/>
      <c r="L673" s="1105"/>
      <c r="M673" s="1082"/>
      <c r="N673" s="1082"/>
      <c r="O673" s="1082"/>
      <c r="P673" s="1082"/>
      <c r="Q673" s="1082"/>
      <c r="R673" s="1082"/>
      <c r="S673" s="1082"/>
      <c r="T673" s="1082"/>
      <c r="U673" s="1082"/>
      <c r="V673" s="1082"/>
      <c r="W673" s="1082"/>
      <c r="X673" s="1082"/>
      <c r="Y673" s="1082"/>
      <c r="Z673" s="1082"/>
      <c r="AA673" s="1082"/>
      <c r="AB673" s="1082"/>
      <c r="AC673" s="1082"/>
      <c r="AD673" s="1082"/>
      <c r="AE673" s="1082"/>
      <c r="AF673" s="1082"/>
    </row>
    <row r="674">
      <c r="A674" s="1094"/>
      <c r="B674" s="1094"/>
      <c r="C674" s="1096"/>
      <c r="D674" s="1094"/>
      <c r="E674" s="1094"/>
      <c r="F674" s="1094"/>
      <c r="G674" s="1106"/>
      <c r="H674" s="1106"/>
      <c r="I674" s="1106"/>
      <c r="J674" s="1102"/>
      <c r="K674" s="1101"/>
      <c r="L674" s="1101"/>
      <c r="M674" s="1082"/>
      <c r="N674" s="1082"/>
      <c r="O674" s="1082"/>
      <c r="P674" s="1082"/>
      <c r="Q674" s="1082"/>
      <c r="R674" s="1082"/>
      <c r="S674" s="1082"/>
      <c r="T674" s="1082"/>
      <c r="U674" s="1082"/>
      <c r="V674" s="1082"/>
      <c r="W674" s="1082"/>
      <c r="X674" s="1082"/>
      <c r="Y674" s="1082"/>
      <c r="Z674" s="1082"/>
      <c r="AA674" s="1082"/>
      <c r="AB674" s="1082"/>
      <c r="AC674" s="1082"/>
      <c r="AD674" s="1082"/>
      <c r="AE674" s="1082"/>
      <c r="AF674" s="1082"/>
    </row>
    <row r="675">
      <c r="A675" s="1091"/>
      <c r="B675" s="1091"/>
      <c r="C675" s="1093"/>
      <c r="D675" s="1091"/>
      <c r="E675" s="1091"/>
      <c r="F675" s="1091"/>
      <c r="G675" s="1103"/>
      <c r="H675" s="1103"/>
      <c r="I675" s="1103"/>
      <c r="J675" s="1104"/>
      <c r="K675" s="1093"/>
      <c r="L675" s="1105"/>
      <c r="M675" s="1082"/>
      <c r="N675" s="1082"/>
      <c r="O675" s="1082"/>
      <c r="P675" s="1082"/>
      <c r="Q675" s="1082"/>
      <c r="R675" s="1082"/>
      <c r="S675" s="1082"/>
      <c r="T675" s="1082"/>
      <c r="U675" s="1082"/>
      <c r="V675" s="1082"/>
      <c r="W675" s="1082"/>
      <c r="X675" s="1082"/>
      <c r="Y675" s="1082"/>
      <c r="Z675" s="1082"/>
      <c r="AA675" s="1082"/>
      <c r="AB675" s="1082"/>
      <c r="AC675" s="1082"/>
      <c r="AD675" s="1082"/>
      <c r="AE675" s="1082"/>
      <c r="AF675" s="1082"/>
    </row>
    <row r="676">
      <c r="A676" s="1094"/>
      <c r="B676" s="1094"/>
      <c r="C676" s="1096"/>
      <c r="D676" s="1094"/>
      <c r="E676" s="1094"/>
      <c r="F676" s="1094"/>
      <c r="G676" s="1106"/>
      <c r="H676" s="1106"/>
      <c r="I676" s="1106"/>
      <c r="J676" s="1102"/>
      <c r="K676" s="1101"/>
      <c r="L676" s="1101"/>
      <c r="M676" s="1082"/>
      <c r="N676" s="1082"/>
      <c r="O676" s="1082"/>
      <c r="P676" s="1082"/>
      <c r="Q676" s="1082"/>
      <c r="R676" s="1082"/>
      <c r="S676" s="1082"/>
      <c r="T676" s="1082"/>
      <c r="U676" s="1082"/>
      <c r="V676" s="1082"/>
      <c r="W676" s="1082"/>
      <c r="X676" s="1082"/>
      <c r="Y676" s="1082"/>
      <c r="Z676" s="1082"/>
      <c r="AA676" s="1082"/>
      <c r="AB676" s="1082"/>
      <c r="AC676" s="1082"/>
      <c r="AD676" s="1082"/>
      <c r="AE676" s="1082"/>
      <c r="AF676" s="1082"/>
    </row>
    <row r="677">
      <c r="A677" s="1107"/>
      <c r="B677" s="1107"/>
      <c r="C677" s="1108"/>
      <c r="D677" s="1107"/>
      <c r="E677" s="1107"/>
      <c r="F677" s="1107"/>
      <c r="G677" s="1109"/>
      <c r="H677" s="1109"/>
      <c r="I677" s="1109"/>
      <c r="J677" s="1104"/>
      <c r="K677" s="1093"/>
      <c r="L677" s="1105"/>
      <c r="M677" s="1082"/>
      <c r="N677" s="1082"/>
      <c r="O677" s="1082"/>
      <c r="P677" s="1082"/>
      <c r="Q677" s="1082"/>
      <c r="R677" s="1082"/>
      <c r="S677" s="1082"/>
      <c r="T677" s="1082"/>
      <c r="U677" s="1082"/>
      <c r="V677" s="1082"/>
      <c r="W677" s="1082"/>
      <c r="X677" s="1082"/>
      <c r="Y677" s="1082"/>
      <c r="Z677" s="1082"/>
      <c r="AA677" s="1082"/>
      <c r="AB677" s="1082"/>
      <c r="AC677" s="1082"/>
      <c r="AD677" s="1082"/>
      <c r="AE677" s="1082"/>
      <c r="AF677" s="1082"/>
    </row>
    <row r="678">
      <c r="A678" s="1094"/>
      <c r="B678" s="1094"/>
      <c r="C678" s="1096"/>
      <c r="D678" s="1094"/>
      <c r="E678" s="1094"/>
      <c r="F678" s="1094"/>
      <c r="G678" s="1106"/>
      <c r="H678" s="1106"/>
      <c r="I678" s="1106"/>
      <c r="J678" s="1102"/>
      <c r="K678" s="1101"/>
      <c r="L678" s="1101"/>
      <c r="M678" s="1082"/>
      <c r="N678" s="1082"/>
      <c r="O678" s="1082"/>
      <c r="P678" s="1082"/>
      <c r="Q678" s="1082"/>
      <c r="R678" s="1082"/>
      <c r="S678" s="1082"/>
      <c r="T678" s="1082"/>
      <c r="U678" s="1082"/>
      <c r="V678" s="1082"/>
      <c r="W678" s="1082"/>
      <c r="X678" s="1082"/>
      <c r="Y678" s="1082"/>
      <c r="Z678" s="1082"/>
      <c r="AA678" s="1082"/>
      <c r="AB678" s="1082"/>
      <c r="AC678" s="1082"/>
      <c r="AD678" s="1082"/>
      <c r="AE678" s="1082"/>
      <c r="AF678" s="1082"/>
    </row>
    <row r="679">
      <c r="A679" s="1091"/>
      <c r="B679" s="1091"/>
      <c r="C679" s="1093"/>
      <c r="D679" s="1091"/>
      <c r="E679" s="1091"/>
      <c r="F679" s="1091"/>
      <c r="G679" s="1103"/>
      <c r="H679" s="1103"/>
      <c r="I679" s="1103"/>
      <c r="J679" s="1104"/>
      <c r="K679" s="1093"/>
      <c r="L679" s="1105"/>
      <c r="M679" s="1082"/>
      <c r="N679" s="1082"/>
      <c r="O679" s="1082"/>
      <c r="P679" s="1082"/>
      <c r="Q679" s="1082"/>
      <c r="R679" s="1082"/>
      <c r="S679" s="1082"/>
      <c r="T679" s="1082"/>
      <c r="U679" s="1082"/>
      <c r="V679" s="1082"/>
      <c r="W679" s="1082"/>
      <c r="X679" s="1082"/>
      <c r="Y679" s="1082"/>
      <c r="Z679" s="1082"/>
      <c r="AA679" s="1082"/>
      <c r="AB679" s="1082"/>
      <c r="AC679" s="1082"/>
      <c r="AD679" s="1082"/>
      <c r="AE679" s="1082"/>
      <c r="AF679" s="1082"/>
    </row>
    <row r="680">
      <c r="A680" s="1094"/>
      <c r="B680" s="1094"/>
      <c r="C680" s="1096"/>
      <c r="D680" s="1094"/>
      <c r="E680" s="1094"/>
      <c r="F680" s="1094"/>
      <c r="G680" s="1106"/>
      <c r="H680" s="1106"/>
      <c r="I680" s="1106"/>
      <c r="J680" s="1102"/>
      <c r="K680" s="1101"/>
      <c r="L680" s="1101"/>
      <c r="M680" s="1082"/>
      <c r="N680" s="1082"/>
      <c r="O680" s="1082"/>
      <c r="P680" s="1082"/>
      <c r="Q680" s="1082"/>
      <c r="R680" s="1082"/>
      <c r="S680" s="1082"/>
      <c r="T680" s="1082"/>
      <c r="U680" s="1082"/>
      <c r="V680" s="1082"/>
      <c r="W680" s="1082"/>
      <c r="X680" s="1082"/>
      <c r="Y680" s="1082"/>
      <c r="Z680" s="1082"/>
      <c r="AA680" s="1082"/>
      <c r="AB680" s="1082"/>
      <c r="AC680" s="1082"/>
      <c r="AD680" s="1082"/>
      <c r="AE680" s="1082"/>
      <c r="AF680" s="1082"/>
    </row>
    <row r="681">
      <c r="A681" s="1091"/>
      <c r="B681" s="1091"/>
      <c r="C681" s="1093"/>
      <c r="D681" s="1091"/>
      <c r="E681" s="1091"/>
      <c r="F681" s="1091"/>
      <c r="G681" s="1103"/>
      <c r="H681" s="1103"/>
      <c r="I681" s="1103"/>
      <c r="J681" s="1104"/>
      <c r="K681" s="1105"/>
      <c r="L681" s="1105"/>
      <c r="M681" s="1082"/>
      <c r="N681" s="1082"/>
      <c r="O681" s="1082"/>
      <c r="P681" s="1082"/>
      <c r="Q681" s="1082"/>
      <c r="R681" s="1082"/>
      <c r="S681" s="1082"/>
      <c r="T681" s="1082"/>
      <c r="U681" s="1082"/>
      <c r="V681" s="1082"/>
      <c r="W681" s="1082"/>
      <c r="X681" s="1082"/>
      <c r="Y681" s="1082"/>
      <c r="Z681" s="1082"/>
      <c r="AA681" s="1082"/>
      <c r="AB681" s="1082"/>
      <c r="AC681" s="1082"/>
      <c r="AD681" s="1082"/>
      <c r="AE681" s="1082"/>
      <c r="AF681" s="1082"/>
    </row>
    <row r="682">
      <c r="A682" s="1094"/>
      <c r="B682" s="1094"/>
      <c r="C682" s="1096"/>
      <c r="D682" s="1094"/>
      <c r="E682" s="1094"/>
      <c r="F682" s="1094"/>
      <c r="G682" s="1106"/>
      <c r="H682" s="1106"/>
      <c r="I682" s="1106"/>
      <c r="J682" s="1102"/>
      <c r="K682" s="1101"/>
      <c r="L682" s="1101"/>
      <c r="M682" s="1082"/>
      <c r="N682" s="1082"/>
      <c r="O682" s="1082"/>
      <c r="P682" s="1082"/>
      <c r="Q682" s="1082"/>
      <c r="R682" s="1082"/>
      <c r="S682" s="1082"/>
      <c r="T682" s="1082"/>
      <c r="U682" s="1082"/>
      <c r="V682" s="1082"/>
      <c r="W682" s="1082"/>
      <c r="X682" s="1082"/>
      <c r="Y682" s="1082"/>
      <c r="Z682" s="1082"/>
      <c r="AA682" s="1082"/>
      <c r="AB682" s="1082"/>
      <c r="AC682" s="1082"/>
      <c r="AD682" s="1082"/>
      <c r="AE682" s="1082"/>
      <c r="AF682" s="1082"/>
    </row>
    <row r="683">
      <c r="A683" s="1091"/>
      <c r="B683" s="1091"/>
      <c r="C683" s="1093"/>
      <c r="D683" s="1091"/>
      <c r="E683" s="1091"/>
      <c r="F683" s="1091"/>
      <c r="G683" s="1103"/>
      <c r="H683" s="1103"/>
      <c r="I683" s="1103"/>
      <c r="J683" s="1104"/>
      <c r="K683" s="1105"/>
      <c r="L683" s="1105"/>
      <c r="M683" s="1082"/>
      <c r="N683" s="1082"/>
      <c r="O683" s="1082"/>
      <c r="P683" s="1082"/>
      <c r="Q683" s="1082"/>
      <c r="R683" s="1082"/>
      <c r="S683" s="1082"/>
      <c r="T683" s="1082"/>
      <c r="U683" s="1082"/>
      <c r="V683" s="1082"/>
      <c r="W683" s="1082"/>
      <c r="X683" s="1082"/>
      <c r="Y683" s="1082"/>
      <c r="Z683" s="1082"/>
      <c r="AA683" s="1082"/>
      <c r="AB683" s="1082"/>
      <c r="AC683" s="1082"/>
      <c r="AD683" s="1082"/>
      <c r="AE683" s="1082"/>
      <c r="AF683" s="1082"/>
    </row>
    <row r="684">
      <c r="A684" s="1094"/>
      <c r="B684" s="1094"/>
      <c r="C684" s="1096"/>
      <c r="D684" s="1094"/>
      <c r="E684" s="1094"/>
      <c r="F684" s="1094"/>
      <c r="G684" s="1106"/>
      <c r="H684" s="1106"/>
      <c r="I684" s="1106"/>
      <c r="J684" s="1102"/>
      <c r="K684" s="1101"/>
      <c r="L684" s="1101"/>
      <c r="M684" s="1082"/>
      <c r="N684" s="1082"/>
      <c r="O684" s="1082"/>
      <c r="P684" s="1082"/>
      <c r="Q684" s="1082"/>
      <c r="R684" s="1082"/>
      <c r="S684" s="1082"/>
      <c r="T684" s="1082"/>
      <c r="U684" s="1082"/>
      <c r="V684" s="1082"/>
      <c r="W684" s="1082"/>
      <c r="X684" s="1082"/>
      <c r="Y684" s="1082"/>
      <c r="Z684" s="1082"/>
      <c r="AA684" s="1082"/>
      <c r="AB684" s="1082"/>
      <c r="AC684" s="1082"/>
      <c r="AD684" s="1082"/>
      <c r="AE684" s="1082"/>
      <c r="AF684" s="1082"/>
    </row>
    <row r="685">
      <c r="A685" s="1091"/>
      <c r="B685" s="1091"/>
      <c r="C685" s="1093"/>
      <c r="D685" s="1091"/>
      <c r="E685" s="1091"/>
      <c r="F685" s="1091"/>
      <c r="G685" s="1103"/>
      <c r="H685" s="1103"/>
      <c r="I685" s="1103"/>
      <c r="J685" s="1104"/>
      <c r="K685" s="1093"/>
      <c r="L685" s="1105"/>
      <c r="M685" s="1082"/>
      <c r="N685" s="1082"/>
      <c r="O685" s="1082"/>
      <c r="P685" s="1082"/>
      <c r="Q685" s="1082"/>
      <c r="R685" s="1082"/>
      <c r="S685" s="1082"/>
      <c r="T685" s="1082"/>
      <c r="U685" s="1082"/>
      <c r="V685" s="1082"/>
      <c r="W685" s="1082"/>
      <c r="X685" s="1082"/>
      <c r="Y685" s="1082"/>
      <c r="Z685" s="1082"/>
      <c r="AA685" s="1082"/>
      <c r="AB685" s="1082"/>
      <c r="AC685" s="1082"/>
      <c r="AD685" s="1082"/>
      <c r="AE685" s="1082"/>
      <c r="AF685" s="1082"/>
    </row>
    <row r="686">
      <c r="A686" s="1094"/>
      <c r="B686" s="1094"/>
      <c r="C686" s="1096"/>
      <c r="D686" s="1094"/>
      <c r="E686" s="1094"/>
      <c r="F686" s="1094"/>
      <c r="G686" s="1106"/>
      <c r="H686" s="1106"/>
      <c r="I686" s="1106"/>
      <c r="J686" s="1102"/>
      <c r="K686" s="1101"/>
      <c r="L686" s="1101"/>
      <c r="M686" s="1082"/>
      <c r="N686" s="1082"/>
      <c r="O686" s="1082"/>
      <c r="P686" s="1082"/>
      <c r="Q686" s="1082"/>
      <c r="R686" s="1082"/>
      <c r="S686" s="1082"/>
      <c r="T686" s="1082"/>
      <c r="U686" s="1082"/>
      <c r="V686" s="1082"/>
      <c r="W686" s="1082"/>
      <c r="X686" s="1082"/>
      <c r="Y686" s="1082"/>
      <c r="Z686" s="1082"/>
      <c r="AA686" s="1082"/>
      <c r="AB686" s="1082"/>
      <c r="AC686" s="1082"/>
      <c r="AD686" s="1082"/>
      <c r="AE686" s="1082"/>
      <c r="AF686" s="1082"/>
    </row>
    <row r="687">
      <c r="A687" s="1091"/>
      <c r="B687" s="1091"/>
      <c r="C687" s="1093"/>
      <c r="D687" s="1091"/>
      <c r="E687" s="1091"/>
      <c r="F687" s="1091"/>
      <c r="G687" s="1103"/>
      <c r="H687" s="1103"/>
      <c r="I687" s="1103"/>
      <c r="J687" s="1104"/>
      <c r="K687" s="1105"/>
      <c r="L687" s="1105"/>
      <c r="M687" s="1082"/>
      <c r="N687" s="1082"/>
      <c r="O687" s="1082"/>
      <c r="P687" s="1082"/>
      <c r="Q687" s="1082"/>
      <c r="R687" s="1082"/>
      <c r="S687" s="1082"/>
      <c r="T687" s="1082"/>
      <c r="U687" s="1082"/>
      <c r="V687" s="1082"/>
      <c r="W687" s="1082"/>
      <c r="X687" s="1082"/>
      <c r="Y687" s="1082"/>
      <c r="Z687" s="1082"/>
      <c r="AA687" s="1082"/>
      <c r="AB687" s="1082"/>
      <c r="AC687" s="1082"/>
      <c r="AD687" s="1082"/>
      <c r="AE687" s="1082"/>
      <c r="AF687" s="1082"/>
    </row>
    <row r="688">
      <c r="A688" s="1094"/>
      <c r="B688" s="1094"/>
      <c r="C688" s="1096"/>
      <c r="D688" s="1094"/>
      <c r="E688" s="1094"/>
      <c r="F688" s="1094"/>
      <c r="G688" s="1106"/>
      <c r="H688" s="1106"/>
      <c r="I688" s="1106"/>
      <c r="J688" s="1102"/>
      <c r="K688" s="1101"/>
      <c r="L688" s="1101"/>
      <c r="M688" s="1082"/>
      <c r="N688" s="1082"/>
      <c r="O688" s="1082"/>
      <c r="P688" s="1082"/>
      <c r="Q688" s="1082"/>
      <c r="R688" s="1082"/>
      <c r="S688" s="1082"/>
      <c r="T688" s="1082"/>
      <c r="U688" s="1082"/>
      <c r="V688" s="1082"/>
      <c r="W688" s="1082"/>
      <c r="X688" s="1082"/>
      <c r="Y688" s="1082"/>
      <c r="Z688" s="1082"/>
      <c r="AA688" s="1082"/>
      <c r="AB688" s="1082"/>
      <c r="AC688" s="1082"/>
      <c r="AD688" s="1082"/>
      <c r="AE688" s="1082"/>
      <c r="AF688" s="1082"/>
    </row>
    <row r="689">
      <c r="A689" s="1091"/>
      <c r="B689" s="1091"/>
      <c r="C689" s="1093"/>
      <c r="D689" s="1091"/>
      <c r="E689" s="1091"/>
      <c r="F689" s="1091"/>
      <c r="G689" s="1103"/>
      <c r="H689" s="1103"/>
      <c r="I689" s="1103"/>
      <c r="J689" s="1104"/>
      <c r="K689" s="1105"/>
      <c r="L689" s="1105"/>
      <c r="M689" s="1082"/>
      <c r="N689" s="1082"/>
      <c r="O689" s="1082"/>
      <c r="P689" s="1082"/>
      <c r="Q689" s="1082"/>
      <c r="R689" s="1082"/>
      <c r="S689" s="1082"/>
      <c r="T689" s="1082"/>
      <c r="U689" s="1082"/>
      <c r="V689" s="1082"/>
      <c r="W689" s="1082"/>
      <c r="X689" s="1082"/>
      <c r="Y689" s="1082"/>
      <c r="Z689" s="1082"/>
      <c r="AA689" s="1082"/>
      <c r="AB689" s="1082"/>
      <c r="AC689" s="1082"/>
      <c r="AD689" s="1082"/>
      <c r="AE689" s="1082"/>
      <c r="AF689" s="1082"/>
    </row>
    <row r="690">
      <c r="A690" s="1094"/>
      <c r="B690" s="1094"/>
      <c r="C690" s="1096"/>
      <c r="D690" s="1094"/>
      <c r="E690" s="1094"/>
      <c r="F690" s="1094"/>
      <c r="G690" s="1106"/>
      <c r="H690" s="1106"/>
      <c r="I690" s="1106"/>
      <c r="J690" s="1102"/>
      <c r="K690" s="1101"/>
      <c r="L690" s="1101"/>
      <c r="M690" s="1082"/>
      <c r="N690" s="1082"/>
      <c r="O690" s="1082"/>
      <c r="P690" s="1082"/>
      <c r="Q690" s="1082"/>
      <c r="R690" s="1082"/>
      <c r="S690" s="1082"/>
      <c r="T690" s="1082"/>
      <c r="U690" s="1082"/>
      <c r="V690" s="1082"/>
      <c r="W690" s="1082"/>
      <c r="X690" s="1082"/>
      <c r="Y690" s="1082"/>
      <c r="Z690" s="1082"/>
      <c r="AA690" s="1082"/>
      <c r="AB690" s="1082"/>
      <c r="AC690" s="1082"/>
      <c r="AD690" s="1082"/>
      <c r="AE690" s="1082"/>
      <c r="AF690" s="1082"/>
    </row>
    <row r="691">
      <c r="A691" s="1091"/>
      <c r="B691" s="1091"/>
      <c r="C691" s="1093"/>
      <c r="D691" s="1091"/>
      <c r="E691" s="1091"/>
      <c r="F691" s="1091"/>
      <c r="G691" s="1103"/>
      <c r="H691" s="1103"/>
      <c r="I691" s="1103"/>
      <c r="J691" s="1104"/>
      <c r="K691" s="1105"/>
      <c r="L691" s="1105"/>
      <c r="M691" s="1082"/>
      <c r="N691" s="1082"/>
      <c r="O691" s="1082"/>
      <c r="P691" s="1082"/>
      <c r="Q691" s="1082"/>
      <c r="R691" s="1082"/>
      <c r="S691" s="1082"/>
      <c r="T691" s="1082"/>
      <c r="U691" s="1082"/>
      <c r="V691" s="1082"/>
      <c r="W691" s="1082"/>
      <c r="X691" s="1082"/>
      <c r="Y691" s="1082"/>
      <c r="Z691" s="1082"/>
      <c r="AA691" s="1082"/>
      <c r="AB691" s="1082"/>
      <c r="AC691" s="1082"/>
      <c r="AD691" s="1082"/>
      <c r="AE691" s="1082"/>
      <c r="AF691" s="1082"/>
    </row>
    <row r="692">
      <c r="A692" s="1094"/>
      <c r="B692" s="1094"/>
      <c r="C692" s="1096"/>
      <c r="D692" s="1094"/>
      <c r="E692" s="1094"/>
      <c r="F692" s="1094"/>
      <c r="G692" s="1106"/>
      <c r="H692" s="1106"/>
      <c r="I692" s="1106"/>
      <c r="J692" s="1102"/>
      <c r="K692" s="1101"/>
      <c r="L692" s="1101"/>
      <c r="M692" s="1082"/>
      <c r="N692" s="1082"/>
      <c r="O692" s="1082"/>
      <c r="P692" s="1082"/>
      <c r="Q692" s="1082"/>
      <c r="R692" s="1082"/>
      <c r="S692" s="1082"/>
      <c r="T692" s="1082"/>
      <c r="U692" s="1082"/>
      <c r="V692" s="1082"/>
      <c r="W692" s="1082"/>
      <c r="X692" s="1082"/>
      <c r="Y692" s="1082"/>
      <c r="Z692" s="1082"/>
      <c r="AA692" s="1082"/>
      <c r="AB692" s="1082"/>
      <c r="AC692" s="1082"/>
      <c r="AD692" s="1082"/>
      <c r="AE692" s="1082"/>
      <c r="AF692" s="1082"/>
    </row>
    <row r="693">
      <c r="A693" s="1117"/>
      <c r="B693" s="1117"/>
      <c r="C693" s="1117"/>
      <c r="D693" s="1117"/>
      <c r="E693" s="1117"/>
      <c r="F693" s="1117"/>
      <c r="G693" s="1117"/>
      <c r="H693" s="1117"/>
      <c r="I693" s="1117"/>
      <c r="J693" s="1104"/>
      <c r="K693" s="1105"/>
      <c r="L693" s="1105"/>
      <c r="M693" s="1082"/>
      <c r="N693" s="1082"/>
      <c r="O693" s="1082"/>
      <c r="P693" s="1082"/>
      <c r="Q693" s="1082"/>
      <c r="R693" s="1082"/>
      <c r="S693" s="1082"/>
      <c r="T693" s="1082"/>
      <c r="U693" s="1082"/>
      <c r="V693" s="1082"/>
      <c r="W693" s="1082"/>
      <c r="X693" s="1082"/>
      <c r="Y693" s="1082"/>
      <c r="Z693" s="1082"/>
      <c r="AA693" s="1082"/>
      <c r="AB693" s="1082"/>
      <c r="AC693" s="1082"/>
      <c r="AD693" s="1082"/>
      <c r="AE693" s="1082"/>
      <c r="AF693" s="1082"/>
    </row>
    <row r="694">
      <c r="A694" s="1116"/>
      <c r="B694" s="1116"/>
      <c r="C694" s="1116"/>
      <c r="D694" s="1116"/>
      <c r="E694" s="1116"/>
      <c r="F694" s="1116"/>
      <c r="G694" s="1116"/>
      <c r="H694" s="1116"/>
      <c r="I694" s="1116"/>
      <c r="J694" s="1102"/>
      <c r="K694" s="1101"/>
      <c r="L694" s="1101"/>
      <c r="M694" s="1082"/>
      <c r="N694" s="1082"/>
      <c r="O694" s="1082"/>
      <c r="P694" s="1082"/>
      <c r="Q694" s="1082"/>
      <c r="R694" s="1082"/>
      <c r="S694" s="1082"/>
      <c r="T694" s="1082"/>
      <c r="U694" s="1082"/>
      <c r="V694" s="1082"/>
      <c r="W694" s="1082"/>
      <c r="X694" s="1082"/>
      <c r="Y694" s="1082"/>
      <c r="Z694" s="1082"/>
      <c r="AA694" s="1082"/>
      <c r="AB694" s="1082"/>
      <c r="AC694" s="1082"/>
      <c r="AD694" s="1082"/>
      <c r="AE694" s="1082"/>
      <c r="AF694" s="1082"/>
    </row>
    <row r="695">
      <c r="A695" s="1117"/>
      <c r="B695" s="1117"/>
      <c r="C695" s="1117"/>
      <c r="D695" s="1117"/>
      <c r="E695" s="1117"/>
      <c r="F695" s="1117"/>
      <c r="G695" s="1117"/>
      <c r="H695" s="1117"/>
      <c r="I695" s="1117"/>
      <c r="J695" s="1104"/>
      <c r="K695" s="1105"/>
      <c r="L695" s="1105"/>
      <c r="M695" s="1082"/>
      <c r="N695" s="1082"/>
      <c r="O695" s="1082"/>
      <c r="P695" s="1082"/>
      <c r="Q695" s="1082"/>
      <c r="R695" s="1082"/>
      <c r="S695" s="1082"/>
      <c r="T695" s="1082"/>
      <c r="U695" s="1082"/>
      <c r="V695" s="1082"/>
      <c r="W695" s="1082"/>
      <c r="X695" s="1082"/>
      <c r="Y695" s="1082"/>
      <c r="Z695" s="1082"/>
      <c r="AA695" s="1082"/>
      <c r="AB695" s="1082"/>
      <c r="AC695" s="1082"/>
      <c r="AD695" s="1082"/>
      <c r="AE695" s="1082"/>
      <c r="AF695" s="1082"/>
    </row>
    <row r="696">
      <c r="A696" s="1116"/>
      <c r="B696" s="1116"/>
      <c r="C696" s="1116"/>
      <c r="D696" s="1116"/>
      <c r="E696" s="1116"/>
      <c r="F696" s="1116"/>
      <c r="G696" s="1116"/>
      <c r="H696" s="1116"/>
      <c r="I696" s="1116"/>
      <c r="J696" s="1102"/>
      <c r="K696" s="1101"/>
      <c r="L696" s="1101"/>
      <c r="M696" s="1082"/>
      <c r="N696" s="1082"/>
      <c r="O696" s="1082"/>
      <c r="P696" s="1082"/>
      <c r="Q696" s="1082"/>
      <c r="R696" s="1082"/>
      <c r="S696" s="1082"/>
      <c r="T696" s="1082"/>
      <c r="U696" s="1082"/>
      <c r="V696" s="1082"/>
      <c r="W696" s="1082"/>
      <c r="X696" s="1082"/>
      <c r="Y696" s="1082"/>
      <c r="Z696" s="1082"/>
      <c r="AA696" s="1082"/>
      <c r="AB696" s="1082"/>
      <c r="AC696" s="1082"/>
      <c r="AD696" s="1082"/>
      <c r="AE696" s="1082"/>
      <c r="AF696" s="1082"/>
    </row>
    <row r="697">
      <c r="A697" s="1112"/>
      <c r="B697" s="1112"/>
      <c r="C697" s="1112"/>
      <c r="D697" s="1112"/>
      <c r="E697" s="1112"/>
      <c r="F697" s="1112"/>
      <c r="G697" s="1112"/>
      <c r="H697" s="1112"/>
      <c r="I697" s="1112"/>
      <c r="J697" s="1104"/>
      <c r="K697" s="1105"/>
      <c r="L697" s="1105"/>
      <c r="M697" s="1082"/>
      <c r="N697" s="1082"/>
      <c r="O697" s="1082"/>
      <c r="P697" s="1082"/>
      <c r="Q697" s="1082"/>
      <c r="R697" s="1082"/>
      <c r="S697" s="1082"/>
      <c r="T697" s="1082"/>
      <c r="U697" s="1082"/>
      <c r="V697" s="1082"/>
      <c r="W697" s="1082"/>
      <c r="X697" s="1082"/>
      <c r="Y697" s="1082"/>
      <c r="Z697" s="1082"/>
      <c r="AA697" s="1082"/>
      <c r="AB697" s="1082"/>
      <c r="AC697" s="1082"/>
      <c r="AD697" s="1082"/>
      <c r="AE697" s="1082"/>
      <c r="AF697" s="1082"/>
    </row>
    <row r="698">
      <c r="A698" s="1100"/>
      <c r="B698" s="1100"/>
      <c r="C698" s="1100"/>
      <c r="D698" s="1100"/>
      <c r="E698" s="1100"/>
      <c r="F698" s="1100"/>
      <c r="G698" s="1100"/>
      <c r="H698" s="1100"/>
      <c r="I698" s="1100"/>
      <c r="J698" s="1102"/>
      <c r="K698" s="1101"/>
      <c r="L698" s="1101"/>
      <c r="M698" s="1082"/>
      <c r="N698" s="1082"/>
      <c r="O698" s="1082"/>
      <c r="P698" s="1082"/>
      <c r="Q698" s="1082"/>
      <c r="R698" s="1082"/>
      <c r="S698" s="1082"/>
      <c r="T698" s="1082"/>
      <c r="U698" s="1082"/>
      <c r="V698" s="1082"/>
      <c r="W698" s="1082"/>
      <c r="X698" s="1082"/>
      <c r="Y698" s="1082"/>
      <c r="Z698" s="1082"/>
      <c r="AA698" s="1082"/>
      <c r="AB698" s="1082"/>
      <c r="AC698" s="1082"/>
      <c r="AD698" s="1082"/>
      <c r="AE698" s="1082"/>
      <c r="AF698" s="1082"/>
    </row>
    <row r="699">
      <c r="A699" s="1112"/>
      <c r="B699" s="1112"/>
      <c r="C699" s="1112"/>
      <c r="D699" s="1112"/>
      <c r="E699" s="1112"/>
      <c r="F699" s="1112"/>
      <c r="G699" s="1112"/>
      <c r="H699" s="1112"/>
      <c r="I699" s="1112"/>
      <c r="J699" s="1104"/>
      <c r="K699" s="1105"/>
      <c r="L699" s="1105"/>
      <c r="M699" s="1082"/>
      <c r="N699" s="1082"/>
      <c r="O699" s="1082"/>
      <c r="P699" s="1082"/>
      <c r="Q699" s="1082"/>
      <c r="R699" s="1082"/>
      <c r="S699" s="1082"/>
      <c r="T699" s="1082"/>
      <c r="U699" s="1082"/>
      <c r="V699" s="1082"/>
      <c r="W699" s="1082"/>
      <c r="X699" s="1082"/>
      <c r="Y699" s="1082"/>
      <c r="Z699" s="1082"/>
      <c r="AA699" s="1082"/>
      <c r="AB699" s="1082"/>
      <c r="AC699" s="1082"/>
      <c r="AD699" s="1082"/>
      <c r="AE699" s="1082"/>
      <c r="AF699" s="1082"/>
    </row>
    <row r="700">
      <c r="A700" s="1099"/>
      <c r="B700" s="1099"/>
      <c r="C700" s="1099"/>
      <c r="D700" s="1111"/>
      <c r="E700" s="1111"/>
      <c r="F700" s="1111"/>
      <c r="G700" s="1111"/>
      <c r="H700" s="1111"/>
      <c r="I700" s="1111"/>
      <c r="J700" s="1102"/>
      <c r="K700" s="1101"/>
      <c r="L700" s="1101"/>
      <c r="M700" s="1082"/>
      <c r="N700" s="1082"/>
      <c r="O700" s="1082"/>
      <c r="P700" s="1082"/>
      <c r="Q700" s="1082"/>
      <c r="R700" s="1082"/>
      <c r="S700" s="1082"/>
      <c r="T700" s="1082"/>
      <c r="U700" s="1082"/>
      <c r="V700" s="1082"/>
      <c r="W700" s="1082"/>
      <c r="X700" s="1082"/>
      <c r="Y700" s="1082"/>
      <c r="Z700" s="1082"/>
      <c r="AA700" s="1082"/>
      <c r="AB700" s="1082"/>
      <c r="AC700" s="1082"/>
      <c r="AD700" s="1082"/>
      <c r="AE700" s="1082"/>
      <c r="AF700" s="1082"/>
    </row>
    <row r="701">
      <c r="A701" s="1112"/>
      <c r="B701" s="1112"/>
      <c r="C701" s="1112"/>
      <c r="D701" s="1112"/>
      <c r="E701" s="1112"/>
      <c r="F701" s="1112"/>
      <c r="G701" s="1112"/>
      <c r="H701" s="1112"/>
      <c r="I701" s="1112"/>
      <c r="J701" s="1104"/>
      <c r="K701" s="1105"/>
      <c r="L701" s="1105"/>
      <c r="M701" s="1082"/>
      <c r="N701" s="1082"/>
      <c r="O701" s="1082"/>
      <c r="P701" s="1082"/>
      <c r="Q701" s="1082"/>
      <c r="R701" s="1082"/>
      <c r="S701" s="1082"/>
      <c r="T701" s="1082"/>
      <c r="U701" s="1082"/>
      <c r="V701" s="1082"/>
      <c r="W701" s="1082"/>
      <c r="X701" s="1082"/>
      <c r="Y701" s="1082"/>
      <c r="Z701" s="1082"/>
      <c r="AA701" s="1082"/>
      <c r="AB701" s="1082"/>
      <c r="AC701" s="1082"/>
      <c r="AD701" s="1082"/>
      <c r="AE701" s="1082"/>
      <c r="AF701" s="1082"/>
    </row>
    <row r="702">
      <c r="A702" s="1100"/>
      <c r="B702" s="1100"/>
      <c r="C702" s="1100"/>
      <c r="D702" s="1100"/>
      <c r="E702" s="1100"/>
      <c r="F702" s="1100"/>
      <c r="G702" s="1100"/>
      <c r="H702" s="1100"/>
      <c r="I702" s="1100"/>
      <c r="J702" s="1102"/>
      <c r="K702" s="1101"/>
      <c r="L702" s="1101"/>
      <c r="M702" s="1082"/>
      <c r="N702" s="1082"/>
      <c r="O702" s="1082"/>
      <c r="P702" s="1082"/>
      <c r="Q702" s="1082"/>
      <c r="R702" s="1082"/>
      <c r="S702" s="1082"/>
      <c r="T702" s="1082"/>
      <c r="U702" s="1082"/>
      <c r="V702" s="1082"/>
      <c r="W702" s="1082"/>
      <c r="X702" s="1082"/>
      <c r="Y702" s="1082"/>
      <c r="Z702" s="1082"/>
      <c r="AA702" s="1082"/>
      <c r="AB702" s="1082"/>
      <c r="AC702" s="1082"/>
      <c r="AD702" s="1082"/>
      <c r="AE702" s="1082"/>
      <c r="AF702" s="1082"/>
    </row>
    <row r="703">
      <c r="A703" s="1112"/>
      <c r="B703" s="1112"/>
      <c r="C703" s="1112"/>
      <c r="D703" s="1112"/>
      <c r="E703" s="1112"/>
      <c r="F703" s="1112"/>
      <c r="G703" s="1112"/>
      <c r="H703" s="1112"/>
      <c r="I703" s="1112"/>
      <c r="J703" s="1104"/>
      <c r="K703" s="1105"/>
      <c r="L703" s="1105"/>
      <c r="M703" s="1082"/>
      <c r="N703" s="1082"/>
      <c r="O703" s="1082"/>
      <c r="P703" s="1082"/>
      <c r="Q703" s="1082"/>
      <c r="R703" s="1082"/>
      <c r="S703" s="1082"/>
      <c r="T703" s="1082"/>
      <c r="U703" s="1082"/>
      <c r="V703" s="1082"/>
      <c r="W703" s="1082"/>
      <c r="X703" s="1082"/>
      <c r="Y703" s="1082"/>
      <c r="Z703" s="1082"/>
      <c r="AA703" s="1082"/>
      <c r="AB703" s="1082"/>
      <c r="AC703" s="1082"/>
      <c r="AD703" s="1082"/>
      <c r="AE703" s="1082"/>
      <c r="AF703" s="1082"/>
    </row>
    <row r="704">
      <c r="A704" s="1100"/>
      <c r="B704" s="1100"/>
      <c r="C704" s="1100"/>
      <c r="D704" s="1100"/>
      <c r="E704" s="1100"/>
      <c r="F704" s="1100"/>
      <c r="G704" s="1100"/>
      <c r="H704" s="1100"/>
      <c r="I704" s="1100"/>
      <c r="J704" s="1102"/>
      <c r="K704" s="1101"/>
      <c r="L704" s="1101"/>
      <c r="M704" s="1082"/>
      <c r="N704" s="1082"/>
      <c r="O704" s="1082"/>
      <c r="P704" s="1082"/>
      <c r="Q704" s="1082"/>
      <c r="R704" s="1082"/>
      <c r="S704" s="1082"/>
      <c r="T704" s="1082"/>
      <c r="U704" s="1082"/>
      <c r="V704" s="1082"/>
      <c r="W704" s="1082"/>
      <c r="X704" s="1082"/>
      <c r="Y704" s="1082"/>
      <c r="Z704" s="1082"/>
      <c r="AA704" s="1082"/>
      <c r="AB704" s="1082"/>
      <c r="AC704" s="1082"/>
      <c r="AD704" s="1082"/>
      <c r="AE704" s="1082"/>
      <c r="AF704" s="1082"/>
    </row>
    <row r="705">
      <c r="A705" s="1112"/>
      <c r="B705" s="1112"/>
      <c r="C705" s="1112"/>
      <c r="D705" s="1112"/>
      <c r="E705" s="1112"/>
      <c r="F705" s="1112"/>
      <c r="G705" s="1112"/>
      <c r="H705" s="1112"/>
      <c r="I705" s="1112"/>
      <c r="J705" s="1104"/>
      <c r="K705" s="1105"/>
      <c r="L705" s="1105"/>
      <c r="M705" s="1082"/>
      <c r="N705" s="1082"/>
      <c r="O705" s="1082"/>
      <c r="P705" s="1082"/>
      <c r="Q705" s="1082"/>
      <c r="R705" s="1082"/>
      <c r="S705" s="1082"/>
      <c r="T705" s="1082"/>
      <c r="U705" s="1082"/>
      <c r="V705" s="1082"/>
      <c r="W705" s="1082"/>
      <c r="X705" s="1082"/>
      <c r="Y705" s="1082"/>
      <c r="Z705" s="1082"/>
      <c r="AA705" s="1082"/>
      <c r="AB705" s="1082"/>
      <c r="AC705" s="1082"/>
      <c r="AD705" s="1082"/>
      <c r="AE705" s="1082"/>
      <c r="AF705" s="1082"/>
    </row>
    <row r="706">
      <c r="A706" s="1100"/>
      <c r="B706" s="1100"/>
      <c r="C706" s="1100"/>
      <c r="D706" s="1100"/>
      <c r="E706" s="1100"/>
      <c r="F706" s="1100"/>
      <c r="G706" s="1100"/>
      <c r="H706" s="1100"/>
      <c r="I706" s="1100"/>
      <c r="J706" s="1102"/>
      <c r="K706" s="1101"/>
      <c r="L706" s="1101"/>
      <c r="M706" s="1082"/>
      <c r="N706" s="1082"/>
      <c r="O706" s="1082"/>
      <c r="P706" s="1082"/>
      <c r="Q706" s="1082"/>
      <c r="R706" s="1082"/>
      <c r="S706" s="1082"/>
      <c r="T706" s="1082"/>
      <c r="U706" s="1082"/>
      <c r="V706" s="1082"/>
      <c r="W706" s="1082"/>
      <c r="X706" s="1082"/>
      <c r="Y706" s="1082"/>
      <c r="Z706" s="1082"/>
      <c r="AA706" s="1082"/>
      <c r="AB706" s="1082"/>
      <c r="AC706" s="1082"/>
      <c r="AD706" s="1082"/>
      <c r="AE706" s="1082"/>
      <c r="AF706" s="1082"/>
    </row>
    <row r="707">
      <c r="A707" s="1112"/>
      <c r="B707" s="1112"/>
      <c r="C707" s="1112"/>
      <c r="D707" s="1112"/>
      <c r="E707" s="1112"/>
      <c r="F707" s="1112"/>
      <c r="G707" s="1112"/>
      <c r="H707" s="1112"/>
      <c r="I707" s="1112"/>
      <c r="J707" s="1104"/>
      <c r="K707" s="1105"/>
      <c r="L707" s="1105"/>
      <c r="M707" s="1082"/>
      <c r="N707" s="1082"/>
      <c r="O707" s="1082"/>
      <c r="P707" s="1082"/>
      <c r="Q707" s="1082"/>
      <c r="R707" s="1082"/>
      <c r="S707" s="1082"/>
      <c r="T707" s="1082"/>
      <c r="U707" s="1082"/>
      <c r="V707" s="1082"/>
      <c r="W707" s="1082"/>
      <c r="X707" s="1082"/>
      <c r="Y707" s="1082"/>
      <c r="Z707" s="1082"/>
      <c r="AA707" s="1082"/>
      <c r="AB707" s="1082"/>
      <c r="AC707" s="1082"/>
      <c r="AD707" s="1082"/>
      <c r="AE707" s="1082"/>
      <c r="AF707" s="1082"/>
    </row>
    <row r="708">
      <c r="A708" s="1100"/>
      <c r="B708" s="1100"/>
      <c r="C708" s="1100"/>
      <c r="D708" s="1100"/>
      <c r="E708" s="1100"/>
      <c r="F708" s="1100"/>
      <c r="G708" s="1100"/>
      <c r="H708" s="1100"/>
      <c r="I708" s="1100"/>
      <c r="J708" s="1102"/>
      <c r="K708" s="1101"/>
      <c r="L708" s="1101"/>
      <c r="M708" s="1082"/>
      <c r="N708" s="1082"/>
      <c r="O708" s="1082"/>
      <c r="P708" s="1082"/>
      <c r="Q708" s="1082"/>
      <c r="R708" s="1082"/>
      <c r="S708" s="1082"/>
      <c r="T708" s="1082"/>
      <c r="U708" s="1082"/>
      <c r="V708" s="1082"/>
      <c r="W708" s="1082"/>
      <c r="X708" s="1082"/>
      <c r="Y708" s="1082"/>
      <c r="Z708" s="1082"/>
      <c r="AA708" s="1082"/>
      <c r="AB708" s="1082"/>
      <c r="AC708" s="1082"/>
      <c r="AD708" s="1082"/>
      <c r="AE708" s="1082"/>
      <c r="AF708" s="1082"/>
    </row>
    <row r="709">
      <c r="A709" s="1112"/>
      <c r="B709" s="1112"/>
      <c r="C709" s="1112"/>
      <c r="D709" s="1112"/>
      <c r="E709" s="1112"/>
      <c r="F709" s="1112"/>
      <c r="G709" s="1112"/>
      <c r="H709" s="1112"/>
      <c r="I709" s="1112"/>
      <c r="J709" s="1104"/>
      <c r="K709" s="1105"/>
      <c r="L709" s="1105"/>
      <c r="M709" s="1082"/>
      <c r="N709" s="1082"/>
      <c r="O709" s="1082"/>
      <c r="P709" s="1082"/>
      <c r="Q709" s="1082"/>
      <c r="R709" s="1082"/>
      <c r="S709" s="1082"/>
      <c r="T709" s="1082"/>
      <c r="U709" s="1082"/>
      <c r="V709" s="1082"/>
      <c r="W709" s="1082"/>
      <c r="X709" s="1082"/>
      <c r="Y709" s="1082"/>
      <c r="Z709" s="1082"/>
      <c r="AA709" s="1082"/>
      <c r="AB709" s="1082"/>
      <c r="AC709" s="1082"/>
      <c r="AD709" s="1082"/>
      <c r="AE709" s="1082"/>
      <c r="AF709" s="1082"/>
    </row>
    <row r="710">
      <c r="A710" s="1100"/>
      <c r="B710" s="1100"/>
      <c r="C710" s="1100"/>
      <c r="D710" s="1100"/>
      <c r="E710" s="1100"/>
      <c r="F710" s="1100"/>
      <c r="G710" s="1100"/>
      <c r="H710" s="1100"/>
      <c r="I710" s="1100"/>
      <c r="J710" s="1102"/>
      <c r="K710" s="1101"/>
      <c r="L710" s="1101"/>
      <c r="M710" s="1082"/>
      <c r="N710" s="1082"/>
      <c r="O710" s="1082"/>
      <c r="P710" s="1082"/>
      <c r="Q710" s="1082"/>
      <c r="R710" s="1082"/>
      <c r="S710" s="1082"/>
      <c r="T710" s="1082"/>
      <c r="U710" s="1082"/>
      <c r="V710" s="1082"/>
      <c r="W710" s="1082"/>
      <c r="X710" s="1082"/>
      <c r="Y710" s="1082"/>
      <c r="Z710" s="1082"/>
      <c r="AA710" s="1082"/>
      <c r="AB710" s="1082"/>
      <c r="AC710" s="1082"/>
      <c r="AD710" s="1082"/>
      <c r="AE710" s="1082"/>
      <c r="AF710" s="1082"/>
    </row>
    <row r="711">
      <c r="A711" s="1112"/>
      <c r="B711" s="1112"/>
      <c r="C711" s="1112"/>
      <c r="D711" s="1112"/>
      <c r="E711" s="1112"/>
      <c r="F711" s="1112"/>
      <c r="G711" s="1112"/>
      <c r="H711" s="1112"/>
      <c r="I711" s="1112"/>
      <c r="J711" s="1104"/>
      <c r="K711" s="1105"/>
      <c r="L711" s="1105"/>
      <c r="M711" s="1082"/>
      <c r="N711" s="1082"/>
      <c r="O711" s="1082"/>
      <c r="P711" s="1082"/>
      <c r="Q711" s="1082"/>
      <c r="R711" s="1082"/>
      <c r="S711" s="1082"/>
      <c r="T711" s="1082"/>
      <c r="U711" s="1082"/>
      <c r="V711" s="1082"/>
      <c r="W711" s="1082"/>
      <c r="X711" s="1082"/>
      <c r="Y711" s="1082"/>
      <c r="Z711" s="1082"/>
      <c r="AA711" s="1082"/>
      <c r="AB711" s="1082"/>
      <c r="AC711" s="1082"/>
      <c r="AD711" s="1082"/>
      <c r="AE711" s="1082"/>
      <c r="AF711" s="1082"/>
    </row>
    <row r="712">
      <c r="A712" s="1100"/>
      <c r="B712" s="1100"/>
      <c r="C712" s="1100"/>
      <c r="D712" s="1100"/>
      <c r="E712" s="1100"/>
      <c r="F712" s="1100"/>
      <c r="G712" s="1100"/>
      <c r="H712" s="1100"/>
      <c r="I712" s="1100"/>
      <c r="J712" s="1102"/>
      <c r="K712" s="1101"/>
      <c r="L712" s="1101"/>
      <c r="M712" s="1082"/>
      <c r="N712" s="1082"/>
      <c r="O712" s="1082"/>
      <c r="P712" s="1082"/>
      <c r="Q712" s="1082"/>
      <c r="R712" s="1082"/>
      <c r="S712" s="1082"/>
      <c r="T712" s="1082"/>
      <c r="U712" s="1082"/>
      <c r="V712" s="1082"/>
      <c r="W712" s="1082"/>
      <c r="X712" s="1082"/>
      <c r="Y712" s="1082"/>
      <c r="Z712" s="1082"/>
      <c r="AA712" s="1082"/>
      <c r="AB712" s="1082"/>
      <c r="AC712" s="1082"/>
      <c r="AD712" s="1082"/>
      <c r="AE712" s="1082"/>
      <c r="AF712" s="1082"/>
    </row>
    <row r="713">
      <c r="A713" s="1112"/>
      <c r="B713" s="1112"/>
      <c r="C713" s="1112"/>
      <c r="D713" s="1112"/>
      <c r="E713" s="1112"/>
      <c r="F713" s="1112"/>
      <c r="G713" s="1112"/>
      <c r="H713" s="1112"/>
      <c r="I713" s="1112"/>
      <c r="J713" s="1104"/>
      <c r="K713" s="1105"/>
      <c r="L713" s="1105"/>
      <c r="M713" s="1082"/>
      <c r="N713" s="1082"/>
      <c r="O713" s="1082"/>
      <c r="P713" s="1082"/>
      <c r="Q713" s="1082"/>
      <c r="R713" s="1082"/>
      <c r="S713" s="1082"/>
      <c r="T713" s="1082"/>
      <c r="U713" s="1082"/>
      <c r="V713" s="1082"/>
      <c r="W713" s="1082"/>
      <c r="X713" s="1082"/>
      <c r="Y713" s="1082"/>
      <c r="Z713" s="1082"/>
      <c r="AA713" s="1082"/>
      <c r="AB713" s="1082"/>
      <c r="AC713" s="1082"/>
      <c r="AD713" s="1082"/>
      <c r="AE713" s="1082"/>
      <c r="AF713" s="1082"/>
    </row>
    <row r="714">
      <c r="A714" s="1100"/>
      <c r="B714" s="1100"/>
      <c r="C714" s="1100"/>
      <c r="D714" s="1100"/>
      <c r="E714" s="1100"/>
      <c r="F714" s="1100"/>
      <c r="G714" s="1100"/>
      <c r="H714" s="1100"/>
      <c r="I714" s="1100"/>
      <c r="J714" s="1102"/>
      <c r="K714" s="1101"/>
      <c r="L714" s="1101"/>
      <c r="M714" s="1082"/>
      <c r="N714" s="1082"/>
      <c r="O714" s="1082"/>
      <c r="P714" s="1082"/>
      <c r="Q714" s="1082"/>
      <c r="R714" s="1082"/>
      <c r="S714" s="1082"/>
      <c r="T714" s="1082"/>
      <c r="U714" s="1082"/>
      <c r="V714" s="1082"/>
      <c r="W714" s="1082"/>
      <c r="X714" s="1082"/>
      <c r="Y714" s="1082"/>
      <c r="Z714" s="1082"/>
      <c r="AA714" s="1082"/>
      <c r="AB714" s="1082"/>
      <c r="AC714" s="1082"/>
      <c r="AD714" s="1082"/>
      <c r="AE714" s="1082"/>
      <c r="AF714" s="1082"/>
    </row>
    <row r="715">
      <c r="A715" s="1112"/>
      <c r="B715" s="1112"/>
      <c r="C715" s="1112"/>
      <c r="D715" s="1112"/>
      <c r="E715" s="1112"/>
      <c r="F715" s="1112"/>
      <c r="G715" s="1112"/>
      <c r="H715" s="1112"/>
      <c r="I715" s="1112"/>
      <c r="J715" s="1104"/>
      <c r="K715" s="1105"/>
      <c r="L715" s="1105"/>
      <c r="M715" s="1082"/>
      <c r="N715" s="1082"/>
      <c r="O715" s="1082"/>
      <c r="P715" s="1082"/>
      <c r="Q715" s="1082"/>
      <c r="R715" s="1082"/>
      <c r="S715" s="1082"/>
      <c r="T715" s="1082"/>
      <c r="U715" s="1082"/>
      <c r="V715" s="1082"/>
      <c r="W715" s="1082"/>
      <c r="X715" s="1082"/>
      <c r="Y715" s="1082"/>
      <c r="Z715" s="1082"/>
      <c r="AA715" s="1082"/>
      <c r="AB715" s="1082"/>
      <c r="AC715" s="1082"/>
      <c r="AD715" s="1082"/>
      <c r="AE715" s="1082"/>
      <c r="AF715" s="1082"/>
    </row>
    <row r="716">
      <c r="A716" s="1100"/>
      <c r="B716" s="1100"/>
      <c r="C716" s="1100"/>
      <c r="D716" s="1100"/>
      <c r="E716" s="1100"/>
      <c r="F716" s="1100"/>
      <c r="G716" s="1100"/>
      <c r="H716" s="1100"/>
      <c r="I716" s="1100"/>
      <c r="J716" s="1102"/>
      <c r="K716" s="1101"/>
      <c r="L716" s="1101"/>
      <c r="M716" s="1082"/>
      <c r="N716" s="1082"/>
      <c r="O716" s="1082"/>
      <c r="P716" s="1082"/>
      <c r="Q716" s="1082"/>
      <c r="R716" s="1082"/>
      <c r="S716" s="1082"/>
      <c r="T716" s="1082"/>
      <c r="U716" s="1082"/>
      <c r="V716" s="1082"/>
      <c r="W716" s="1082"/>
      <c r="X716" s="1082"/>
      <c r="Y716" s="1082"/>
      <c r="Z716" s="1082"/>
      <c r="AA716" s="1082"/>
      <c r="AB716" s="1082"/>
      <c r="AC716" s="1082"/>
      <c r="AD716" s="1082"/>
      <c r="AE716" s="1082"/>
      <c r="AF716" s="1082"/>
    </row>
    <row r="717">
      <c r="A717" s="1112"/>
      <c r="B717" s="1112"/>
      <c r="C717" s="1112"/>
      <c r="D717" s="1112"/>
      <c r="E717" s="1112"/>
      <c r="F717" s="1112"/>
      <c r="G717" s="1112"/>
      <c r="H717" s="1112"/>
      <c r="I717" s="1112"/>
      <c r="J717" s="1104"/>
      <c r="K717" s="1105"/>
      <c r="L717" s="1105"/>
      <c r="M717" s="1082"/>
      <c r="N717" s="1082"/>
      <c r="O717" s="1082"/>
      <c r="P717" s="1082"/>
      <c r="Q717" s="1082"/>
      <c r="R717" s="1082"/>
      <c r="S717" s="1082"/>
      <c r="T717" s="1082"/>
      <c r="U717" s="1082"/>
      <c r="V717" s="1082"/>
      <c r="W717" s="1082"/>
      <c r="X717" s="1082"/>
      <c r="Y717" s="1082"/>
      <c r="Z717" s="1082"/>
      <c r="AA717" s="1082"/>
      <c r="AB717" s="1082"/>
      <c r="AC717" s="1082"/>
      <c r="AD717" s="1082"/>
      <c r="AE717" s="1082"/>
      <c r="AF717" s="1082"/>
    </row>
    <row r="718">
      <c r="A718" s="1100"/>
      <c r="B718" s="1100"/>
      <c r="C718" s="1100"/>
      <c r="D718" s="1100"/>
      <c r="E718" s="1100"/>
      <c r="F718" s="1100"/>
      <c r="G718" s="1100"/>
      <c r="H718" s="1100"/>
      <c r="I718" s="1100"/>
      <c r="J718" s="1102"/>
      <c r="K718" s="1101"/>
      <c r="L718" s="1101"/>
      <c r="M718" s="1082"/>
      <c r="N718" s="1082"/>
      <c r="O718" s="1082"/>
      <c r="P718" s="1082"/>
      <c r="Q718" s="1082"/>
      <c r="R718" s="1082"/>
      <c r="S718" s="1082"/>
      <c r="T718" s="1082"/>
      <c r="U718" s="1082"/>
      <c r="V718" s="1082"/>
      <c r="W718" s="1082"/>
      <c r="X718" s="1082"/>
      <c r="Y718" s="1082"/>
      <c r="Z718" s="1082"/>
      <c r="AA718" s="1082"/>
      <c r="AB718" s="1082"/>
      <c r="AC718" s="1082"/>
      <c r="AD718" s="1082"/>
      <c r="AE718" s="1082"/>
      <c r="AF718" s="1082"/>
    </row>
    <row r="719">
      <c r="A719" s="1112"/>
      <c r="B719" s="1112"/>
      <c r="C719" s="1112"/>
      <c r="D719" s="1112"/>
      <c r="E719" s="1112"/>
      <c r="F719" s="1112"/>
      <c r="G719" s="1112"/>
      <c r="H719" s="1112"/>
      <c r="I719" s="1112"/>
      <c r="J719" s="1104"/>
      <c r="K719" s="1105"/>
      <c r="L719" s="1105"/>
      <c r="M719" s="1082"/>
      <c r="N719" s="1082"/>
      <c r="O719" s="1082"/>
      <c r="P719" s="1082"/>
      <c r="Q719" s="1082"/>
      <c r="R719" s="1082"/>
      <c r="S719" s="1082"/>
      <c r="T719" s="1082"/>
      <c r="U719" s="1082"/>
      <c r="V719" s="1082"/>
      <c r="W719" s="1082"/>
      <c r="X719" s="1082"/>
      <c r="Y719" s="1082"/>
      <c r="Z719" s="1082"/>
      <c r="AA719" s="1082"/>
      <c r="AB719" s="1082"/>
      <c r="AC719" s="1082"/>
      <c r="AD719" s="1082"/>
      <c r="AE719" s="1082"/>
      <c r="AF719" s="1082"/>
    </row>
    <row r="720">
      <c r="A720" s="1100"/>
      <c r="B720" s="1100"/>
      <c r="C720" s="1100"/>
      <c r="D720" s="1100"/>
      <c r="E720" s="1100"/>
      <c r="F720" s="1100"/>
      <c r="G720" s="1100"/>
      <c r="H720" s="1100"/>
      <c r="I720" s="1100"/>
      <c r="J720" s="1102"/>
      <c r="K720" s="1101"/>
      <c r="L720" s="1101"/>
      <c r="M720" s="1082"/>
      <c r="N720" s="1082"/>
      <c r="O720" s="1082"/>
      <c r="P720" s="1082"/>
      <c r="Q720" s="1082"/>
      <c r="R720" s="1082"/>
      <c r="S720" s="1082"/>
      <c r="T720" s="1082"/>
      <c r="U720" s="1082"/>
      <c r="V720" s="1082"/>
      <c r="W720" s="1082"/>
      <c r="X720" s="1082"/>
      <c r="Y720" s="1082"/>
      <c r="Z720" s="1082"/>
      <c r="AA720" s="1082"/>
      <c r="AB720" s="1082"/>
      <c r="AC720" s="1082"/>
      <c r="AD720" s="1082"/>
      <c r="AE720" s="1082"/>
      <c r="AF720" s="1082"/>
    </row>
    <row r="721">
      <c r="A721" s="1112"/>
      <c r="B721" s="1112"/>
      <c r="C721" s="1112"/>
      <c r="D721" s="1112"/>
      <c r="E721" s="1112"/>
      <c r="F721" s="1112"/>
      <c r="G721" s="1112"/>
      <c r="H721" s="1112"/>
      <c r="I721" s="1112"/>
      <c r="J721" s="1104"/>
      <c r="K721" s="1105"/>
      <c r="L721" s="1105"/>
      <c r="M721" s="1082"/>
      <c r="N721" s="1082"/>
      <c r="O721" s="1082"/>
      <c r="P721" s="1082"/>
      <c r="Q721" s="1082"/>
      <c r="R721" s="1082"/>
      <c r="S721" s="1082"/>
      <c r="T721" s="1082"/>
      <c r="U721" s="1082"/>
      <c r="V721" s="1082"/>
      <c r="W721" s="1082"/>
      <c r="X721" s="1082"/>
      <c r="Y721" s="1082"/>
      <c r="Z721" s="1082"/>
      <c r="AA721" s="1082"/>
      <c r="AB721" s="1082"/>
      <c r="AC721" s="1082"/>
      <c r="AD721" s="1082"/>
      <c r="AE721" s="1082"/>
      <c r="AF721" s="1082"/>
    </row>
    <row r="722">
      <c r="A722" s="1100"/>
      <c r="B722" s="1100"/>
      <c r="C722" s="1100"/>
      <c r="D722" s="1100"/>
      <c r="E722" s="1100"/>
      <c r="F722" s="1100"/>
      <c r="G722" s="1100"/>
      <c r="H722" s="1100"/>
      <c r="I722" s="1100"/>
      <c r="J722" s="1102"/>
      <c r="K722" s="1101"/>
      <c r="L722" s="1101"/>
      <c r="M722" s="1082"/>
      <c r="N722" s="1082"/>
      <c r="O722" s="1082"/>
      <c r="P722" s="1082"/>
      <c r="Q722" s="1082"/>
      <c r="R722" s="1082"/>
      <c r="S722" s="1082"/>
      <c r="T722" s="1082"/>
      <c r="U722" s="1082"/>
      <c r="V722" s="1082"/>
      <c r="W722" s="1082"/>
      <c r="X722" s="1082"/>
      <c r="Y722" s="1082"/>
      <c r="Z722" s="1082"/>
      <c r="AA722" s="1082"/>
      <c r="AB722" s="1082"/>
      <c r="AC722" s="1082"/>
      <c r="AD722" s="1082"/>
      <c r="AE722" s="1082"/>
      <c r="AF722" s="1082"/>
    </row>
    <row r="723">
      <c r="A723" s="1112"/>
      <c r="B723" s="1112"/>
      <c r="C723" s="1112"/>
      <c r="D723" s="1112"/>
      <c r="E723" s="1112"/>
      <c r="F723" s="1112"/>
      <c r="G723" s="1112"/>
      <c r="H723" s="1112"/>
      <c r="I723" s="1112"/>
      <c r="J723" s="1104"/>
      <c r="K723" s="1105"/>
      <c r="L723" s="1105"/>
      <c r="M723" s="1082"/>
      <c r="N723" s="1082"/>
      <c r="O723" s="1082"/>
      <c r="P723" s="1082"/>
      <c r="Q723" s="1082"/>
      <c r="R723" s="1082"/>
      <c r="S723" s="1082"/>
      <c r="T723" s="1082"/>
      <c r="U723" s="1082"/>
      <c r="V723" s="1082"/>
      <c r="W723" s="1082"/>
      <c r="X723" s="1082"/>
      <c r="Y723" s="1082"/>
      <c r="Z723" s="1082"/>
      <c r="AA723" s="1082"/>
      <c r="AB723" s="1082"/>
      <c r="AC723" s="1082"/>
      <c r="AD723" s="1082"/>
      <c r="AE723" s="1082"/>
      <c r="AF723" s="1082"/>
    </row>
    <row r="724">
      <c r="A724" s="1100"/>
      <c r="B724" s="1100"/>
      <c r="C724" s="1100"/>
      <c r="D724" s="1100"/>
      <c r="E724" s="1100"/>
      <c r="F724" s="1100"/>
      <c r="G724" s="1100"/>
      <c r="H724" s="1100"/>
      <c r="I724" s="1100"/>
      <c r="J724" s="1102"/>
      <c r="K724" s="1101"/>
      <c r="L724" s="1101"/>
      <c r="M724" s="1082"/>
      <c r="N724" s="1082"/>
      <c r="O724" s="1082"/>
      <c r="P724" s="1082"/>
      <c r="Q724" s="1082"/>
      <c r="R724" s="1082"/>
      <c r="S724" s="1082"/>
      <c r="T724" s="1082"/>
      <c r="U724" s="1082"/>
      <c r="V724" s="1082"/>
      <c r="W724" s="1082"/>
      <c r="X724" s="1082"/>
      <c r="Y724" s="1082"/>
      <c r="Z724" s="1082"/>
      <c r="AA724" s="1082"/>
      <c r="AB724" s="1082"/>
      <c r="AC724" s="1082"/>
      <c r="AD724" s="1082"/>
      <c r="AE724" s="1082"/>
      <c r="AF724" s="1082"/>
    </row>
    <row r="725">
      <c r="A725" s="1112"/>
      <c r="B725" s="1112"/>
      <c r="C725" s="1112"/>
      <c r="D725" s="1112"/>
      <c r="E725" s="1112"/>
      <c r="F725" s="1112"/>
      <c r="G725" s="1112"/>
      <c r="H725" s="1112"/>
      <c r="I725" s="1112"/>
      <c r="J725" s="1104"/>
      <c r="K725" s="1105"/>
      <c r="L725" s="1105"/>
      <c r="M725" s="1082"/>
      <c r="N725" s="1082"/>
      <c r="O725" s="1082"/>
      <c r="P725" s="1082"/>
      <c r="Q725" s="1082"/>
      <c r="R725" s="1082"/>
      <c r="S725" s="1082"/>
      <c r="T725" s="1082"/>
      <c r="U725" s="1082"/>
      <c r="V725" s="1082"/>
      <c r="W725" s="1082"/>
      <c r="X725" s="1082"/>
      <c r="Y725" s="1082"/>
      <c r="Z725" s="1082"/>
      <c r="AA725" s="1082"/>
      <c r="AB725" s="1082"/>
      <c r="AC725" s="1082"/>
      <c r="AD725" s="1082"/>
      <c r="AE725" s="1082"/>
      <c r="AF725" s="1082"/>
    </row>
    <row r="726">
      <c r="A726" s="1100"/>
      <c r="B726" s="1100"/>
      <c r="C726" s="1100"/>
      <c r="D726" s="1100"/>
      <c r="E726" s="1100"/>
      <c r="F726" s="1100"/>
      <c r="G726" s="1100"/>
      <c r="H726" s="1100"/>
      <c r="I726" s="1100"/>
      <c r="J726" s="1102"/>
      <c r="K726" s="1101"/>
      <c r="L726" s="1101"/>
      <c r="M726" s="1082"/>
      <c r="N726" s="1082"/>
      <c r="O726" s="1082"/>
      <c r="P726" s="1082"/>
      <c r="Q726" s="1082"/>
      <c r="R726" s="1082"/>
      <c r="S726" s="1082"/>
      <c r="T726" s="1082"/>
      <c r="U726" s="1082"/>
      <c r="V726" s="1082"/>
      <c r="W726" s="1082"/>
      <c r="X726" s="1082"/>
      <c r="Y726" s="1082"/>
      <c r="Z726" s="1082"/>
      <c r="AA726" s="1082"/>
      <c r="AB726" s="1082"/>
      <c r="AC726" s="1082"/>
      <c r="AD726" s="1082"/>
      <c r="AE726" s="1082"/>
      <c r="AF726" s="1082"/>
    </row>
    <row r="727">
      <c r="A727" s="1112"/>
      <c r="B727" s="1112"/>
      <c r="C727" s="1112"/>
      <c r="D727" s="1112"/>
      <c r="E727" s="1112"/>
      <c r="F727" s="1112"/>
      <c r="G727" s="1112"/>
      <c r="H727" s="1112"/>
      <c r="I727" s="1112"/>
      <c r="J727" s="1104"/>
      <c r="K727" s="1105"/>
      <c r="L727" s="1105"/>
      <c r="M727" s="1082"/>
      <c r="N727" s="1082"/>
      <c r="O727" s="1082"/>
      <c r="P727" s="1082"/>
      <c r="Q727" s="1082"/>
      <c r="R727" s="1082"/>
      <c r="S727" s="1082"/>
      <c r="T727" s="1082"/>
      <c r="U727" s="1082"/>
      <c r="V727" s="1082"/>
      <c r="W727" s="1082"/>
      <c r="X727" s="1082"/>
      <c r="Y727" s="1082"/>
      <c r="Z727" s="1082"/>
      <c r="AA727" s="1082"/>
      <c r="AB727" s="1082"/>
      <c r="AC727" s="1082"/>
      <c r="AD727" s="1082"/>
      <c r="AE727" s="1082"/>
      <c r="AF727" s="1082"/>
    </row>
    <row r="728">
      <c r="A728" s="1100"/>
      <c r="B728" s="1100"/>
      <c r="C728" s="1100"/>
      <c r="D728" s="1100"/>
      <c r="E728" s="1100"/>
      <c r="F728" s="1100"/>
      <c r="G728" s="1100"/>
      <c r="H728" s="1100"/>
      <c r="I728" s="1100"/>
      <c r="J728" s="1102"/>
      <c r="K728" s="1101"/>
      <c r="L728" s="1101"/>
      <c r="M728" s="1082"/>
      <c r="N728" s="1082"/>
      <c r="O728" s="1082"/>
      <c r="P728" s="1082"/>
      <c r="Q728" s="1082"/>
      <c r="R728" s="1082"/>
      <c r="S728" s="1082"/>
      <c r="T728" s="1082"/>
      <c r="U728" s="1082"/>
      <c r="V728" s="1082"/>
      <c r="W728" s="1082"/>
      <c r="X728" s="1082"/>
      <c r="Y728" s="1082"/>
      <c r="Z728" s="1082"/>
      <c r="AA728" s="1082"/>
      <c r="AB728" s="1082"/>
      <c r="AC728" s="1082"/>
      <c r="AD728" s="1082"/>
      <c r="AE728" s="1082"/>
      <c r="AF728" s="1082"/>
    </row>
    <row r="729">
      <c r="A729" s="1112"/>
      <c r="B729" s="1112"/>
      <c r="C729" s="1112"/>
      <c r="D729" s="1112"/>
      <c r="E729" s="1112"/>
      <c r="F729" s="1112"/>
      <c r="G729" s="1112"/>
      <c r="H729" s="1112"/>
      <c r="I729" s="1112"/>
      <c r="J729" s="1104"/>
      <c r="K729" s="1105"/>
      <c r="L729" s="1105"/>
      <c r="M729" s="1082"/>
      <c r="N729" s="1082"/>
      <c r="O729" s="1082"/>
      <c r="P729" s="1082"/>
      <c r="Q729" s="1082"/>
      <c r="R729" s="1082"/>
      <c r="S729" s="1082"/>
      <c r="T729" s="1082"/>
      <c r="U729" s="1082"/>
      <c r="V729" s="1082"/>
      <c r="W729" s="1082"/>
      <c r="X729" s="1082"/>
      <c r="Y729" s="1082"/>
      <c r="Z729" s="1082"/>
      <c r="AA729" s="1082"/>
      <c r="AB729" s="1082"/>
      <c r="AC729" s="1082"/>
      <c r="AD729" s="1082"/>
      <c r="AE729" s="1082"/>
      <c r="AF729" s="1082"/>
    </row>
    <row r="730">
      <c r="A730" s="1100"/>
      <c r="B730" s="1100"/>
      <c r="C730" s="1100"/>
      <c r="D730" s="1100"/>
      <c r="E730" s="1100"/>
      <c r="F730" s="1100"/>
      <c r="G730" s="1100"/>
      <c r="H730" s="1100"/>
      <c r="I730" s="1100"/>
      <c r="J730" s="1102"/>
      <c r="K730" s="1101"/>
      <c r="L730" s="1101"/>
      <c r="M730" s="1082"/>
      <c r="N730" s="1082"/>
      <c r="O730" s="1082"/>
      <c r="P730" s="1082"/>
      <c r="Q730" s="1082"/>
      <c r="R730" s="1082"/>
      <c r="S730" s="1082"/>
      <c r="T730" s="1082"/>
      <c r="U730" s="1082"/>
      <c r="V730" s="1082"/>
      <c r="W730" s="1082"/>
      <c r="X730" s="1082"/>
      <c r="Y730" s="1082"/>
      <c r="Z730" s="1082"/>
      <c r="AA730" s="1082"/>
      <c r="AB730" s="1082"/>
      <c r="AC730" s="1082"/>
      <c r="AD730" s="1082"/>
      <c r="AE730" s="1082"/>
      <c r="AF730" s="1082"/>
    </row>
    <row r="731">
      <c r="A731" s="1112"/>
      <c r="B731" s="1112"/>
      <c r="C731" s="1112"/>
      <c r="D731" s="1112"/>
      <c r="E731" s="1112"/>
      <c r="F731" s="1112"/>
      <c r="G731" s="1112"/>
      <c r="H731" s="1112"/>
      <c r="I731" s="1112"/>
      <c r="J731" s="1104"/>
      <c r="K731" s="1105"/>
      <c r="L731" s="1105"/>
      <c r="M731" s="1082"/>
      <c r="N731" s="1082"/>
      <c r="O731" s="1082"/>
      <c r="P731" s="1082"/>
      <c r="Q731" s="1082"/>
      <c r="R731" s="1082"/>
      <c r="S731" s="1082"/>
      <c r="T731" s="1082"/>
      <c r="U731" s="1082"/>
      <c r="V731" s="1082"/>
      <c r="W731" s="1082"/>
      <c r="X731" s="1082"/>
      <c r="Y731" s="1082"/>
      <c r="Z731" s="1082"/>
      <c r="AA731" s="1082"/>
      <c r="AB731" s="1082"/>
      <c r="AC731" s="1082"/>
      <c r="AD731" s="1082"/>
      <c r="AE731" s="1082"/>
      <c r="AF731" s="1082"/>
    </row>
    <row r="732">
      <c r="A732" s="1100"/>
      <c r="B732" s="1100"/>
      <c r="C732" s="1100"/>
      <c r="D732" s="1100"/>
      <c r="E732" s="1100"/>
      <c r="F732" s="1100"/>
      <c r="G732" s="1100"/>
      <c r="H732" s="1100"/>
      <c r="I732" s="1100"/>
      <c r="J732" s="1102"/>
      <c r="K732" s="1101"/>
      <c r="L732" s="1101"/>
      <c r="M732" s="1082"/>
      <c r="N732" s="1082"/>
      <c r="O732" s="1082"/>
      <c r="P732" s="1082"/>
      <c r="Q732" s="1082"/>
      <c r="R732" s="1082"/>
      <c r="S732" s="1082"/>
      <c r="T732" s="1082"/>
      <c r="U732" s="1082"/>
      <c r="V732" s="1082"/>
      <c r="W732" s="1082"/>
      <c r="X732" s="1082"/>
      <c r="Y732" s="1082"/>
      <c r="Z732" s="1082"/>
      <c r="AA732" s="1082"/>
      <c r="AB732" s="1082"/>
      <c r="AC732" s="1082"/>
      <c r="AD732" s="1082"/>
      <c r="AE732" s="1082"/>
      <c r="AF732" s="1082"/>
    </row>
    <row r="733">
      <c r="A733" s="1112"/>
      <c r="B733" s="1112"/>
      <c r="C733" s="1112"/>
      <c r="D733" s="1112"/>
      <c r="E733" s="1112"/>
      <c r="F733" s="1112"/>
      <c r="G733" s="1112"/>
      <c r="H733" s="1112"/>
      <c r="I733" s="1112"/>
      <c r="J733" s="1104"/>
      <c r="K733" s="1105"/>
      <c r="L733" s="1105"/>
      <c r="M733" s="1082"/>
      <c r="N733" s="1082"/>
      <c r="O733" s="1082"/>
      <c r="P733" s="1082"/>
      <c r="Q733" s="1082"/>
      <c r="R733" s="1082"/>
      <c r="S733" s="1082"/>
      <c r="T733" s="1082"/>
      <c r="U733" s="1082"/>
      <c r="V733" s="1082"/>
      <c r="W733" s="1082"/>
      <c r="X733" s="1082"/>
      <c r="Y733" s="1082"/>
      <c r="Z733" s="1082"/>
      <c r="AA733" s="1082"/>
      <c r="AB733" s="1082"/>
      <c r="AC733" s="1082"/>
      <c r="AD733" s="1082"/>
      <c r="AE733" s="1082"/>
      <c r="AF733" s="1082"/>
    </row>
    <row r="734">
      <c r="A734" s="1100"/>
      <c r="B734" s="1100"/>
      <c r="C734" s="1100"/>
      <c r="D734" s="1100"/>
      <c r="E734" s="1100"/>
      <c r="F734" s="1100"/>
      <c r="G734" s="1100"/>
      <c r="H734" s="1100"/>
      <c r="I734" s="1100"/>
      <c r="J734" s="1102"/>
      <c r="K734" s="1101"/>
      <c r="L734" s="1101"/>
      <c r="M734" s="1082"/>
      <c r="N734" s="1082"/>
      <c r="O734" s="1082"/>
      <c r="P734" s="1082"/>
      <c r="Q734" s="1082"/>
      <c r="R734" s="1082"/>
      <c r="S734" s="1082"/>
      <c r="T734" s="1082"/>
      <c r="U734" s="1082"/>
      <c r="V734" s="1082"/>
      <c r="W734" s="1082"/>
      <c r="X734" s="1082"/>
      <c r="Y734" s="1082"/>
      <c r="Z734" s="1082"/>
      <c r="AA734" s="1082"/>
      <c r="AB734" s="1082"/>
      <c r="AC734" s="1082"/>
      <c r="AD734" s="1082"/>
      <c r="AE734" s="1082"/>
      <c r="AF734" s="1082"/>
    </row>
    <row r="735">
      <c r="A735" s="1112"/>
      <c r="B735" s="1112"/>
      <c r="C735" s="1112"/>
      <c r="D735" s="1112"/>
      <c r="E735" s="1112"/>
      <c r="F735" s="1112"/>
      <c r="G735" s="1112"/>
      <c r="H735" s="1112"/>
      <c r="I735" s="1112"/>
      <c r="J735" s="1104"/>
      <c r="K735" s="1105"/>
      <c r="L735" s="1105"/>
      <c r="M735" s="1082"/>
      <c r="N735" s="1082"/>
      <c r="O735" s="1082"/>
      <c r="P735" s="1082"/>
      <c r="Q735" s="1082"/>
      <c r="R735" s="1082"/>
      <c r="S735" s="1082"/>
      <c r="T735" s="1082"/>
      <c r="U735" s="1082"/>
      <c r="V735" s="1082"/>
      <c r="W735" s="1082"/>
      <c r="X735" s="1082"/>
      <c r="Y735" s="1082"/>
      <c r="Z735" s="1082"/>
      <c r="AA735" s="1082"/>
      <c r="AB735" s="1082"/>
      <c r="AC735" s="1082"/>
      <c r="AD735" s="1082"/>
      <c r="AE735" s="1082"/>
      <c r="AF735" s="1082"/>
    </row>
    <row r="736">
      <c r="A736" s="1100"/>
      <c r="B736" s="1100"/>
      <c r="C736" s="1100"/>
      <c r="D736" s="1100"/>
      <c r="E736" s="1100"/>
      <c r="F736" s="1100"/>
      <c r="G736" s="1100"/>
      <c r="H736" s="1100"/>
      <c r="I736" s="1100"/>
      <c r="J736" s="1102"/>
      <c r="K736" s="1101"/>
      <c r="L736" s="1101"/>
      <c r="M736" s="1082"/>
      <c r="N736" s="1082"/>
      <c r="O736" s="1082"/>
      <c r="P736" s="1082"/>
      <c r="Q736" s="1082"/>
      <c r="R736" s="1082"/>
      <c r="S736" s="1082"/>
      <c r="T736" s="1082"/>
      <c r="U736" s="1082"/>
      <c r="V736" s="1082"/>
      <c r="W736" s="1082"/>
      <c r="X736" s="1082"/>
      <c r="Y736" s="1082"/>
      <c r="Z736" s="1082"/>
      <c r="AA736" s="1082"/>
      <c r="AB736" s="1082"/>
      <c r="AC736" s="1082"/>
      <c r="AD736" s="1082"/>
      <c r="AE736" s="1082"/>
      <c r="AF736" s="1082"/>
    </row>
    <row r="737">
      <c r="A737" s="1112"/>
      <c r="B737" s="1112"/>
      <c r="C737" s="1112"/>
      <c r="D737" s="1112"/>
      <c r="E737" s="1112"/>
      <c r="F737" s="1112"/>
      <c r="G737" s="1112"/>
      <c r="H737" s="1112"/>
      <c r="I737" s="1112"/>
      <c r="J737" s="1104"/>
      <c r="K737" s="1105"/>
      <c r="L737" s="1105"/>
      <c r="M737" s="1082"/>
      <c r="N737" s="1082"/>
      <c r="O737" s="1082"/>
      <c r="P737" s="1082"/>
      <c r="Q737" s="1082"/>
      <c r="R737" s="1082"/>
      <c r="S737" s="1082"/>
      <c r="T737" s="1082"/>
      <c r="U737" s="1082"/>
      <c r="V737" s="1082"/>
      <c r="W737" s="1082"/>
      <c r="X737" s="1082"/>
      <c r="Y737" s="1082"/>
      <c r="Z737" s="1082"/>
      <c r="AA737" s="1082"/>
      <c r="AB737" s="1082"/>
      <c r="AC737" s="1082"/>
      <c r="AD737" s="1082"/>
      <c r="AE737" s="1082"/>
      <c r="AF737" s="1082"/>
    </row>
    <row r="738">
      <c r="A738" s="1100"/>
      <c r="B738" s="1100"/>
      <c r="C738" s="1100"/>
      <c r="D738" s="1100"/>
      <c r="E738" s="1100"/>
      <c r="F738" s="1100"/>
      <c r="G738" s="1100"/>
      <c r="H738" s="1100"/>
      <c r="I738" s="1100"/>
      <c r="J738" s="1102"/>
      <c r="K738" s="1101"/>
      <c r="L738" s="1101"/>
      <c r="M738" s="1082"/>
      <c r="N738" s="1082"/>
      <c r="O738" s="1082"/>
      <c r="P738" s="1082"/>
      <c r="Q738" s="1082"/>
      <c r="R738" s="1082"/>
      <c r="S738" s="1082"/>
      <c r="T738" s="1082"/>
      <c r="U738" s="1082"/>
      <c r="V738" s="1082"/>
      <c r="W738" s="1082"/>
      <c r="X738" s="1082"/>
      <c r="Y738" s="1082"/>
      <c r="Z738" s="1082"/>
      <c r="AA738" s="1082"/>
      <c r="AB738" s="1082"/>
      <c r="AC738" s="1082"/>
      <c r="AD738" s="1082"/>
      <c r="AE738" s="1082"/>
      <c r="AF738" s="1082"/>
    </row>
    <row r="739">
      <c r="A739" s="1112"/>
      <c r="B739" s="1112"/>
      <c r="C739" s="1112"/>
      <c r="D739" s="1112"/>
      <c r="E739" s="1112"/>
      <c r="F739" s="1112"/>
      <c r="G739" s="1112"/>
      <c r="H739" s="1112"/>
      <c r="I739" s="1112"/>
      <c r="J739" s="1104"/>
      <c r="K739" s="1105"/>
      <c r="L739" s="1105"/>
      <c r="M739" s="1082"/>
      <c r="N739" s="1082"/>
      <c r="O739" s="1082"/>
      <c r="P739" s="1082"/>
      <c r="Q739" s="1082"/>
      <c r="R739" s="1082"/>
      <c r="S739" s="1082"/>
      <c r="T739" s="1082"/>
      <c r="U739" s="1082"/>
      <c r="V739" s="1082"/>
      <c r="W739" s="1082"/>
      <c r="X739" s="1082"/>
      <c r="Y739" s="1082"/>
      <c r="Z739" s="1082"/>
      <c r="AA739" s="1082"/>
      <c r="AB739" s="1082"/>
      <c r="AC739" s="1082"/>
      <c r="AD739" s="1082"/>
      <c r="AE739" s="1082"/>
      <c r="AF739" s="1082"/>
    </row>
    <row r="740">
      <c r="A740" s="1100"/>
      <c r="B740" s="1100"/>
      <c r="C740" s="1100"/>
      <c r="D740" s="1100"/>
      <c r="E740" s="1100"/>
      <c r="F740" s="1100"/>
      <c r="G740" s="1100"/>
      <c r="H740" s="1100"/>
      <c r="I740" s="1100"/>
      <c r="J740" s="1102"/>
      <c r="K740" s="1101"/>
      <c r="L740" s="1101"/>
      <c r="M740" s="1082"/>
      <c r="N740" s="1082"/>
      <c r="O740" s="1082"/>
      <c r="P740" s="1082"/>
      <c r="Q740" s="1082"/>
      <c r="R740" s="1082"/>
      <c r="S740" s="1082"/>
      <c r="T740" s="1082"/>
      <c r="U740" s="1082"/>
      <c r="V740" s="1082"/>
      <c r="W740" s="1082"/>
      <c r="X740" s="1082"/>
      <c r="Y740" s="1082"/>
      <c r="Z740" s="1082"/>
      <c r="AA740" s="1082"/>
      <c r="AB740" s="1082"/>
      <c r="AC740" s="1082"/>
      <c r="AD740" s="1082"/>
      <c r="AE740" s="1082"/>
      <c r="AF740" s="1082"/>
    </row>
    <row r="741">
      <c r="A741" s="1112"/>
      <c r="B741" s="1112"/>
      <c r="C741" s="1112"/>
      <c r="D741" s="1112"/>
      <c r="E741" s="1112"/>
      <c r="F741" s="1112"/>
      <c r="G741" s="1112"/>
      <c r="H741" s="1112"/>
      <c r="I741" s="1112"/>
      <c r="J741" s="1104"/>
      <c r="K741" s="1105"/>
      <c r="L741" s="1105"/>
      <c r="M741" s="1082"/>
      <c r="N741" s="1082"/>
      <c r="O741" s="1082"/>
      <c r="P741" s="1082"/>
      <c r="Q741" s="1082"/>
      <c r="R741" s="1082"/>
      <c r="S741" s="1082"/>
      <c r="T741" s="1082"/>
      <c r="U741" s="1082"/>
      <c r="V741" s="1082"/>
      <c r="W741" s="1082"/>
      <c r="X741" s="1082"/>
      <c r="Y741" s="1082"/>
      <c r="Z741" s="1082"/>
      <c r="AA741" s="1082"/>
      <c r="AB741" s="1082"/>
      <c r="AC741" s="1082"/>
      <c r="AD741" s="1082"/>
      <c r="AE741" s="1082"/>
      <c r="AF741" s="1082"/>
    </row>
    <row r="742">
      <c r="A742" s="1100"/>
      <c r="B742" s="1100"/>
      <c r="C742" s="1100"/>
      <c r="D742" s="1100"/>
      <c r="E742" s="1100"/>
      <c r="F742" s="1100"/>
      <c r="G742" s="1100"/>
      <c r="H742" s="1100"/>
      <c r="I742" s="1100"/>
      <c r="J742" s="1102"/>
      <c r="K742" s="1101"/>
      <c r="L742" s="1101"/>
      <c r="M742" s="1082"/>
      <c r="N742" s="1082"/>
      <c r="O742" s="1082"/>
      <c r="P742" s="1082"/>
      <c r="Q742" s="1082"/>
      <c r="R742" s="1082"/>
      <c r="S742" s="1082"/>
      <c r="T742" s="1082"/>
      <c r="U742" s="1082"/>
      <c r="V742" s="1082"/>
      <c r="W742" s="1082"/>
      <c r="X742" s="1082"/>
      <c r="Y742" s="1082"/>
      <c r="Z742" s="1082"/>
      <c r="AA742" s="1082"/>
      <c r="AB742" s="1082"/>
      <c r="AC742" s="1082"/>
      <c r="AD742" s="1082"/>
      <c r="AE742" s="1082"/>
      <c r="AF742" s="1082"/>
    </row>
    <row r="743">
      <c r="A743" s="1112"/>
      <c r="B743" s="1112"/>
      <c r="C743" s="1112"/>
      <c r="D743" s="1112"/>
      <c r="E743" s="1112"/>
      <c r="F743" s="1112"/>
      <c r="G743" s="1112"/>
      <c r="H743" s="1112"/>
      <c r="I743" s="1112"/>
      <c r="J743" s="1104"/>
      <c r="K743" s="1105"/>
      <c r="L743" s="1105"/>
      <c r="M743" s="1082"/>
      <c r="N743" s="1082"/>
      <c r="O743" s="1082"/>
      <c r="P743" s="1082"/>
      <c r="Q743" s="1082"/>
      <c r="R743" s="1082"/>
      <c r="S743" s="1082"/>
      <c r="T743" s="1082"/>
      <c r="U743" s="1082"/>
      <c r="V743" s="1082"/>
      <c r="W743" s="1082"/>
      <c r="X743" s="1082"/>
      <c r="Y743" s="1082"/>
      <c r="Z743" s="1082"/>
      <c r="AA743" s="1082"/>
      <c r="AB743" s="1082"/>
      <c r="AC743" s="1082"/>
      <c r="AD743" s="1082"/>
      <c r="AE743" s="1082"/>
      <c r="AF743" s="1082"/>
    </row>
    <row r="744">
      <c r="A744" s="1100"/>
      <c r="B744" s="1100"/>
      <c r="C744" s="1100"/>
      <c r="D744" s="1100"/>
      <c r="E744" s="1100"/>
      <c r="F744" s="1100"/>
      <c r="G744" s="1100"/>
      <c r="H744" s="1100"/>
      <c r="I744" s="1100"/>
      <c r="J744" s="1102"/>
      <c r="K744" s="1101"/>
      <c r="L744" s="1101"/>
      <c r="M744" s="1082"/>
      <c r="N744" s="1082"/>
      <c r="O744" s="1082"/>
      <c r="P744" s="1082"/>
      <c r="Q744" s="1082"/>
      <c r="R744" s="1082"/>
      <c r="S744" s="1082"/>
      <c r="T744" s="1082"/>
      <c r="U744" s="1082"/>
      <c r="V744" s="1082"/>
      <c r="W744" s="1082"/>
      <c r="X744" s="1082"/>
      <c r="Y744" s="1082"/>
      <c r="Z744" s="1082"/>
      <c r="AA744" s="1082"/>
      <c r="AB744" s="1082"/>
      <c r="AC744" s="1082"/>
      <c r="AD744" s="1082"/>
      <c r="AE744" s="1082"/>
      <c r="AF744" s="1082"/>
    </row>
    <row r="745">
      <c r="A745" s="1112"/>
      <c r="B745" s="1112"/>
      <c r="C745" s="1112"/>
      <c r="D745" s="1112"/>
      <c r="E745" s="1112"/>
      <c r="F745" s="1112"/>
      <c r="G745" s="1112"/>
      <c r="H745" s="1112"/>
      <c r="I745" s="1112"/>
      <c r="J745" s="1104"/>
      <c r="K745" s="1105"/>
      <c r="L745" s="1105"/>
      <c r="M745" s="1082"/>
      <c r="N745" s="1082"/>
      <c r="O745" s="1082"/>
      <c r="P745" s="1082"/>
      <c r="Q745" s="1082"/>
      <c r="R745" s="1082"/>
      <c r="S745" s="1082"/>
      <c r="T745" s="1082"/>
      <c r="U745" s="1082"/>
      <c r="V745" s="1082"/>
      <c r="W745" s="1082"/>
      <c r="X745" s="1082"/>
      <c r="Y745" s="1082"/>
      <c r="Z745" s="1082"/>
      <c r="AA745" s="1082"/>
      <c r="AB745" s="1082"/>
      <c r="AC745" s="1082"/>
      <c r="AD745" s="1082"/>
      <c r="AE745" s="1082"/>
      <c r="AF745" s="1082"/>
    </row>
    <row r="746">
      <c r="A746" s="1100"/>
      <c r="B746" s="1100"/>
      <c r="C746" s="1100"/>
      <c r="D746" s="1100"/>
      <c r="E746" s="1100"/>
      <c r="F746" s="1100"/>
      <c r="G746" s="1100"/>
      <c r="H746" s="1100"/>
      <c r="I746" s="1100"/>
      <c r="J746" s="1102"/>
      <c r="K746" s="1101"/>
      <c r="L746" s="1101"/>
      <c r="M746" s="1082"/>
      <c r="N746" s="1082"/>
      <c r="O746" s="1082"/>
      <c r="P746" s="1082"/>
      <c r="Q746" s="1082"/>
      <c r="R746" s="1082"/>
      <c r="S746" s="1082"/>
      <c r="T746" s="1082"/>
      <c r="U746" s="1082"/>
      <c r="V746" s="1082"/>
      <c r="W746" s="1082"/>
      <c r="X746" s="1082"/>
      <c r="Y746" s="1082"/>
      <c r="Z746" s="1082"/>
      <c r="AA746" s="1082"/>
      <c r="AB746" s="1082"/>
      <c r="AC746" s="1082"/>
      <c r="AD746" s="1082"/>
      <c r="AE746" s="1082"/>
      <c r="AF746" s="1082"/>
    </row>
    <row r="747">
      <c r="A747" s="1112"/>
      <c r="B747" s="1112"/>
      <c r="C747" s="1112"/>
      <c r="D747" s="1112"/>
      <c r="E747" s="1112"/>
      <c r="F747" s="1112"/>
      <c r="G747" s="1112"/>
      <c r="H747" s="1112"/>
      <c r="I747" s="1112"/>
      <c r="J747" s="1104"/>
      <c r="K747" s="1105"/>
      <c r="L747" s="1105"/>
      <c r="M747" s="1082"/>
      <c r="N747" s="1082"/>
      <c r="O747" s="1082"/>
      <c r="P747" s="1082"/>
      <c r="Q747" s="1082"/>
      <c r="R747" s="1082"/>
      <c r="S747" s="1082"/>
      <c r="T747" s="1082"/>
      <c r="U747" s="1082"/>
      <c r="V747" s="1082"/>
      <c r="W747" s="1082"/>
      <c r="X747" s="1082"/>
      <c r="Y747" s="1082"/>
      <c r="Z747" s="1082"/>
      <c r="AA747" s="1082"/>
      <c r="AB747" s="1082"/>
      <c r="AC747" s="1082"/>
      <c r="AD747" s="1082"/>
      <c r="AE747" s="1082"/>
      <c r="AF747" s="1082"/>
    </row>
    <row r="748">
      <c r="A748" s="1116"/>
      <c r="B748" s="1116"/>
      <c r="C748" s="1116"/>
      <c r="D748" s="1101"/>
      <c r="E748" s="1101"/>
      <c r="F748" s="1101"/>
      <c r="G748" s="1101"/>
      <c r="H748" s="1101"/>
      <c r="I748" s="1101"/>
      <c r="J748" s="1102"/>
      <c r="K748" s="1101"/>
      <c r="L748" s="1101"/>
      <c r="M748" s="1082"/>
      <c r="N748" s="1082"/>
      <c r="O748" s="1082"/>
      <c r="P748" s="1082"/>
      <c r="Q748" s="1082"/>
      <c r="R748" s="1082"/>
      <c r="S748" s="1082"/>
      <c r="T748" s="1082"/>
      <c r="U748" s="1082"/>
      <c r="V748" s="1082"/>
      <c r="W748" s="1082"/>
      <c r="X748" s="1082"/>
      <c r="Y748" s="1082"/>
      <c r="Z748" s="1082"/>
      <c r="AA748" s="1082"/>
      <c r="AB748" s="1082"/>
      <c r="AC748" s="1082"/>
      <c r="AD748" s="1082"/>
      <c r="AE748" s="1082"/>
      <c r="AF748" s="1082"/>
    </row>
    <row r="749">
      <c r="A749" s="1117"/>
      <c r="B749" s="1117"/>
      <c r="C749" s="1117"/>
      <c r="D749" s="1105"/>
      <c r="E749" s="1105"/>
      <c r="F749" s="1105"/>
      <c r="G749" s="1105"/>
      <c r="H749" s="1105"/>
      <c r="I749" s="1105"/>
      <c r="J749" s="1104"/>
      <c r="K749" s="1105"/>
      <c r="L749" s="1105"/>
      <c r="M749" s="1082"/>
      <c r="N749" s="1082"/>
      <c r="O749" s="1082"/>
      <c r="P749" s="1082"/>
      <c r="Q749" s="1082"/>
      <c r="R749" s="1082"/>
      <c r="S749" s="1082"/>
      <c r="T749" s="1082"/>
      <c r="U749" s="1082"/>
      <c r="V749" s="1082"/>
      <c r="W749" s="1082"/>
      <c r="X749" s="1082"/>
      <c r="Y749" s="1082"/>
      <c r="Z749" s="1082"/>
      <c r="AA749" s="1082"/>
      <c r="AB749" s="1082"/>
      <c r="AC749" s="1082"/>
      <c r="AD749" s="1082"/>
      <c r="AE749" s="1082"/>
      <c r="AF749" s="1082"/>
    </row>
    <row r="750">
      <c r="A750" s="1116"/>
      <c r="B750" s="1116"/>
      <c r="C750" s="1116"/>
      <c r="D750" s="1101"/>
      <c r="E750" s="1101"/>
      <c r="F750" s="1101"/>
      <c r="G750" s="1101"/>
      <c r="H750" s="1101"/>
      <c r="I750" s="1101"/>
      <c r="J750" s="1102"/>
      <c r="K750" s="1101"/>
      <c r="L750" s="1101"/>
      <c r="M750" s="1082"/>
      <c r="N750" s="1082"/>
      <c r="O750" s="1082"/>
      <c r="P750" s="1082"/>
      <c r="Q750" s="1082"/>
      <c r="R750" s="1082"/>
      <c r="S750" s="1082"/>
      <c r="T750" s="1082"/>
      <c r="U750" s="1082"/>
      <c r="V750" s="1082"/>
      <c r="W750" s="1082"/>
      <c r="X750" s="1082"/>
      <c r="Y750" s="1082"/>
      <c r="Z750" s="1082"/>
      <c r="AA750" s="1082"/>
      <c r="AB750" s="1082"/>
      <c r="AC750" s="1082"/>
      <c r="AD750" s="1082"/>
      <c r="AE750" s="1082"/>
      <c r="AF750" s="1082"/>
    </row>
    <row r="751">
      <c r="A751" s="1117"/>
      <c r="B751" s="1117"/>
      <c r="C751" s="1117"/>
      <c r="D751" s="1105"/>
      <c r="E751" s="1105"/>
      <c r="F751" s="1105"/>
      <c r="G751" s="1105"/>
      <c r="H751" s="1105"/>
      <c r="I751" s="1105"/>
      <c r="J751" s="1104"/>
      <c r="K751" s="1105"/>
      <c r="L751" s="1105"/>
      <c r="M751" s="1082"/>
      <c r="N751" s="1082"/>
      <c r="O751" s="1082"/>
      <c r="P751" s="1082"/>
      <c r="Q751" s="1082"/>
      <c r="R751" s="1082"/>
      <c r="S751" s="1082"/>
      <c r="T751" s="1082"/>
      <c r="U751" s="1082"/>
      <c r="V751" s="1082"/>
      <c r="W751" s="1082"/>
      <c r="X751" s="1082"/>
      <c r="Y751" s="1082"/>
      <c r="Z751" s="1082"/>
      <c r="AA751" s="1082"/>
      <c r="AB751" s="1082"/>
      <c r="AC751" s="1082"/>
      <c r="AD751" s="1082"/>
      <c r="AE751" s="1082"/>
      <c r="AF751" s="1082"/>
    </row>
    <row r="752">
      <c r="A752" s="1116"/>
      <c r="B752" s="1116"/>
      <c r="C752" s="1116"/>
      <c r="D752" s="1101"/>
      <c r="E752" s="1101"/>
      <c r="F752" s="1101"/>
      <c r="G752" s="1101"/>
      <c r="H752" s="1101"/>
      <c r="I752" s="1101"/>
      <c r="J752" s="1102"/>
      <c r="K752" s="1101"/>
      <c r="L752" s="1101"/>
      <c r="M752" s="1082"/>
      <c r="N752" s="1082"/>
      <c r="O752" s="1082"/>
      <c r="P752" s="1082"/>
      <c r="Q752" s="1082"/>
      <c r="R752" s="1082"/>
      <c r="S752" s="1082"/>
      <c r="T752" s="1082"/>
      <c r="U752" s="1082"/>
      <c r="V752" s="1082"/>
      <c r="W752" s="1082"/>
      <c r="X752" s="1082"/>
      <c r="Y752" s="1082"/>
      <c r="Z752" s="1082"/>
      <c r="AA752" s="1082"/>
      <c r="AB752" s="1082"/>
      <c r="AC752" s="1082"/>
      <c r="AD752" s="1082"/>
      <c r="AE752" s="1082"/>
      <c r="AF752" s="1082"/>
    </row>
    <row r="753">
      <c r="A753" s="1117"/>
      <c r="B753" s="1117"/>
      <c r="C753" s="1117"/>
      <c r="D753" s="1105"/>
      <c r="E753" s="1105"/>
      <c r="F753" s="1105"/>
      <c r="G753" s="1105"/>
      <c r="H753" s="1105"/>
      <c r="I753" s="1105"/>
      <c r="J753" s="1104"/>
      <c r="K753" s="1105"/>
      <c r="L753" s="1105"/>
      <c r="M753" s="1082"/>
      <c r="N753" s="1082"/>
      <c r="O753" s="1082"/>
      <c r="P753" s="1082"/>
      <c r="Q753" s="1082"/>
      <c r="R753" s="1082"/>
      <c r="S753" s="1082"/>
      <c r="T753" s="1082"/>
      <c r="U753" s="1082"/>
      <c r="V753" s="1082"/>
      <c r="W753" s="1082"/>
      <c r="X753" s="1082"/>
      <c r="Y753" s="1082"/>
      <c r="Z753" s="1082"/>
      <c r="AA753" s="1082"/>
      <c r="AB753" s="1082"/>
      <c r="AC753" s="1082"/>
      <c r="AD753" s="1082"/>
      <c r="AE753" s="1082"/>
      <c r="AF753" s="1082"/>
    </row>
    <row r="754">
      <c r="A754" s="1116"/>
      <c r="B754" s="1116"/>
      <c r="C754" s="1116"/>
      <c r="D754" s="1101"/>
      <c r="E754" s="1101"/>
      <c r="F754" s="1101"/>
      <c r="G754" s="1101"/>
      <c r="H754" s="1101"/>
      <c r="I754" s="1101"/>
      <c r="J754" s="1102"/>
      <c r="K754" s="1101"/>
      <c r="L754" s="1101"/>
      <c r="M754" s="1082"/>
      <c r="N754" s="1082"/>
      <c r="O754" s="1082"/>
      <c r="P754" s="1082"/>
      <c r="Q754" s="1082"/>
      <c r="R754" s="1082"/>
      <c r="S754" s="1082"/>
      <c r="T754" s="1082"/>
      <c r="U754" s="1082"/>
      <c r="V754" s="1082"/>
      <c r="W754" s="1082"/>
      <c r="X754" s="1082"/>
      <c r="Y754" s="1082"/>
      <c r="Z754" s="1082"/>
      <c r="AA754" s="1082"/>
      <c r="AB754" s="1082"/>
      <c r="AC754" s="1082"/>
      <c r="AD754" s="1082"/>
      <c r="AE754" s="1082"/>
      <c r="AF754" s="1082"/>
    </row>
  </sheetData>
  <autoFilter ref="$A$10:$L$754">
    <sortState ref="A10:L754">
      <sortCondition ref="A10:A754"/>
      <sortCondition ref="C10:C754"/>
    </sortState>
  </autoFilter>
  <mergeCells count="2">
    <mergeCell ref="C1:F9"/>
    <mergeCell ref="H1:K1"/>
  </mergeCells>
  <conditionalFormatting sqref="A1:C1">
    <cfRule type="colorScale" priority="1">
      <colorScale>
        <cfvo type="formula" val="2023"/>
        <cfvo type="formula" val="2026"/>
        <color rgb="FFC9DAF8"/>
        <color rgb="FF1155CC"/>
      </colorScale>
    </cfRule>
  </conditionalFormatting>
  <printOptions gridLines="1" horizontalCentered="1"/>
  <pageMargins bottom="0.1" footer="0.0" header="0.0" left="0.25" right="0.25" top="0.1"/>
  <pageSetup fitToHeight="0"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3" width="8.63"/>
    <col customWidth="1" min="4" max="4" width="6.63"/>
    <col customWidth="1" min="5" max="5" width="13.38"/>
    <col customWidth="1" min="6" max="6" width="12.5"/>
    <col customWidth="1" min="7" max="7" width="6.0"/>
    <col customWidth="1" min="8" max="8" width="38.63"/>
    <col customWidth="1" min="9" max="9" width="8.63"/>
  </cols>
  <sheetData>
    <row r="1">
      <c r="A1" s="300" t="s">
        <v>10371</v>
      </c>
      <c r="B1" s="300" t="s">
        <v>10372</v>
      </c>
      <c r="C1" s="300" t="s">
        <v>10373</v>
      </c>
      <c r="D1" s="300" t="s">
        <v>10374</v>
      </c>
      <c r="E1" s="300" t="s">
        <v>10375</v>
      </c>
      <c r="F1" s="300" t="s">
        <v>10376</v>
      </c>
      <c r="G1" s="300" t="s">
        <v>10377</v>
      </c>
      <c r="H1" s="300" t="s">
        <v>10378</v>
      </c>
      <c r="I1" s="300" t="s">
        <v>10379</v>
      </c>
    </row>
    <row r="2">
      <c r="A2" s="300" t="s">
        <v>10380</v>
      </c>
      <c r="B2" s="1123">
        <v>46167.0</v>
      </c>
      <c r="C2" s="1123">
        <v>46175.0</v>
      </c>
      <c r="D2" s="300" t="b">
        <v>1</v>
      </c>
      <c r="H2" s="300" t="s">
        <v>10381</v>
      </c>
      <c r="I2" s="300" t="b">
        <v>0</v>
      </c>
    </row>
    <row r="3">
      <c r="A3" s="300" t="s">
        <v>10382</v>
      </c>
      <c r="B3" s="1123">
        <v>46177.0</v>
      </c>
      <c r="C3" s="1123">
        <v>46180.0</v>
      </c>
      <c r="D3" s="300" t="b">
        <v>1</v>
      </c>
      <c r="E3" s="300" t="s">
        <v>10383</v>
      </c>
      <c r="H3" s="300" t="s">
        <v>10384</v>
      </c>
      <c r="I3" s="300" t="b">
        <v>0</v>
      </c>
    </row>
    <row r="4">
      <c r="A4" s="300" t="s">
        <v>10385</v>
      </c>
      <c r="B4" s="1123">
        <v>46177.0</v>
      </c>
      <c r="C4" s="1123">
        <v>46181.0</v>
      </c>
      <c r="D4" s="300" t="b">
        <v>1</v>
      </c>
      <c r="E4" s="300" t="s">
        <v>10383</v>
      </c>
      <c r="H4" s="300" t="s">
        <v>10386</v>
      </c>
      <c r="I4" s="300" t="b">
        <v>0</v>
      </c>
    </row>
    <row r="5">
      <c r="A5" s="300" t="s">
        <v>10387</v>
      </c>
      <c r="B5" s="1123">
        <v>46177.0</v>
      </c>
      <c r="C5" s="1123">
        <v>46181.0</v>
      </c>
      <c r="D5" s="300" t="b">
        <v>1</v>
      </c>
      <c r="E5" s="300" t="s">
        <v>10383</v>
      </c>
      <c r="H5" s="300" t="s">
        <v>10388</v>
      </c>
      <c r="I5" s="300" t="b">
        <v>0</v>
      </c>
    </row>
    <row r="6">
      <c r="A6" s="300" t="s">
        <v>10389</v>
      </c>
      <c r="B6" s="1123">
        <v>46177.0</v>
      </c>
      <c r="C6" s="1123">
        <v>46180.0</v>
      </c>
      <c r="D6" s="300" t="b">
        <v>1</v>
      </c>
      <c r="E6" s="300" t="s">
        <v>10383</v>
      </c>
      <c r="H6" s="300" t="s">
        <v>10390</v>
      </c>
      <c r="I6" s="300" t="b">
        <v>0</v>
      </c>
    </row>
    <row r="7">
      <c r="A7" s="300" t="s">
        <v>10391</v>
      </c>
      <c r="B7" s="1123">
        <v>46178.0</v>
      </c>
      <c r="C7" s="1123">
        <v>46183.0</v>
      </c>
      <c r="D7" s="300" t="b">
        <v>1</v>
      </c>
      <c r="E7" s="300" t="s">
        <v>10383</v>
      </c>
      <c r="H7" s="300" t="s">
        <v>10392</v>
      </c>
      <c r="I7" s="300" t="b">
        <v>0</v>
      </c>
    </row>
    <row r="8">
      <c r="A8" s="300" t="s">
        <v>10393</v>
      </c>
      <c r="B8" s="1123">
        <v>46178.0</v>
      </c>
      <c r="C8" s="1123">
        <v>46180.0</v>
      </c>
      <c r="D8" s="300" t="b">
        <v>1</v>
      </c>
      <c r="E8" s="300" t="s">
        <v>10383</v>
      </c>
      <c r="H8" s="300" t="s">
        <v>10394</v>
      </c>
      <c r="I8" s="300" t="b">
        <v>0</v>
      </c>
    </row>
    <row r="9">
      <c r="A9" s="300" t="s">
        <v>10395</v>
      </c>
      <c r="B9" s="1123">
        <v>46178.0</v>
      </c>
      <c r="C9" s="1123">
        <v>46179.0</v>
      </c>
      <c r="D9" s="300" t="b">
        <v>1</v>
      </c>
      <c r="E9" s="300" t="s">
        <v>10383</v>
      </c>
      <c r="H9" s="300" t="s">
        <v>10396</v>
      </c>
      <c r="I9" s="300" t="b">
        <v>0</v>
      </c>
    </row>
    <row r="10">
      <c r="A10" s="300" t="s">
        <v>525</v>
      </c>
      <c r="B10" s="1123">
        <v>46180.0</v>
      </c>
      <c r="C10" s="1123">
        <v>46181.0</v>
      </c>
      <c r="D10" s="300" t="b">
        <v>1</v>
      </c>
      <c r="H10" s="300" t="s">
        <v>10397</v>
      </c>
      <c r="I10" s="300" t="b">
        <v>1</v>
      </c>
    </row>
    <row r="11">
      <c r="A11" s="300" t="s">
        <v>10398</v>
      </c>
      <c r="B11" s="1123">
        <v>46181.0</v>
      </c>
      <c r="C11" s="1123">
        <v>46185.0</v>
      </c>
      <c r="D11" s="300" t="b">
        <v>1</v>
      </c>
      <c r="E11" s="300" t="s">
        <v>10383</v>
      </c>
      <c r="H11" s="300" t="s">
        <v>10399</v>
      </c>
      <c r="I11" s="300" t="b">
        <v>0</v>
      </c>
    </row>
    <row r="12">
      <c r="A12" s="300" t="s">
        <v>8883</v>
      </c>
      <c r="B12" s="1123">
        <v>46183.0</v>
      </c>
      <c r="C12" s="1123">
        <v>46184.0</v>
      </c>
      <c r="D12" s="300" t="b">
        <v>1</v>
      </c>
      <c r="H12" s="300" t="s">
        <v>10400</v>
      </c>
      <c r="I12" s="300" t="b">
        <v>0</v>
      </c>
    </row>
    <row r="13">
      <c r="A13" s="300" t="s">
        <v>10401</v>
      </c>
      <c r="B13" s="1123">
        <v>46183.0</v>
      </c>
      <c r="C13" s="1123">
        <v>46186.0</v>
      </c>
      <c r="D13" s="300" t="b">
        <v>1</v>
      </c>
      <c r="E13" s="300">
        <v>2027.0</v>
      </c>
      <c r="H13" s="300" t="s">
        <v>10402</v>
      </c>
      <c r="I13" s="300" t="b">
        <v>0</v>
      </c>
    </row>
    <row r="14">
      <c r="A14" s="300" t="s">
        <v>10403</v>
      </c>
      <c r="B14" s="1123">
        <v>46184.0</v>
      </c>
      <c r="C14" s="1123">
        <v>46189.0</v>
      </c>
      <c r="D14" s="300" t="b">
        <v>1</v>
      </c>
      <c r="H14" s="300" t="s">
        <v>10404</v>
      </c>
      <c r="I14" s="300" t="b">
        <v>0</v>
      </c>
    </row>
    <row r="15">
      <c r="A15" s="300" t="s">
        <v>10405</v>
      </c>
      <c r="B15" s="1123">
        <v>46184.0</v>
      </c>
      <c r="C15" s="1123">
        <v>46185.0</v>
      </c>
      <c r="D15" s="300" t="b">
        <v>1</v>
      </c>
      <c r="E15" s="300" t="s">
        <v>10383</v>
      </c>
      <c r="H15" s="300" t="s">
        <v>10406</v>
      </c>
      <c r="I15" s="300" t="b">
        <v>0</v>
      </c>
    </row>
    <row r="16">
      <c r="A16" s="300" t="s">
        <v>10407</v>
      </c>
      <c r="B16" s="1123">
        <v>46184.0</v>
      </c>
      <c r="C16" s="1123">
        <v>46187.0</v>
      </c>
      <c r="D16" s="300" t="b">
        <v>1</v>
      </c>
      <c r="E16" s="300" t="s">
        <v>10383</v>
      </c>
      <c r="H16" s="300" t="s">
        <v>10408</v>
      </c>
      <c r="I16" s="300" t="b">
        <v>0</v>
      </c>
    </row>
    <row r="17">
      <c r="A17" s="300" t="s">
        <v>10409</v>
      </c>
      <c r="B17" s="1123">
        <v>46184.0</v>
      </c>
      <c r="C17" s="1123">
        <v>46187.0</v>
      </c>
      <c r="D17" s="300" t="b">
        <v>1</v>
      </c>
      <c r="E17" s="300" t="s">
        <v>10383</v>
      </c>
      <c r="H17" s="300" t="s">
        <v>10410</v>
      </c>
      <c r="I17" s="300" t="b">
        <v>0</v>
      </c>
    </row>
    <row r="18">
      <c r="A18" s="300" t="s">
        <v>10411</v>
      </c>
      <c r="B18" s="1123">
        <v>46185.0</v>
      </c>
      <c r="C18" s="1123">
        <v>46188.0</v>
      </c>
      <c r="D18" s="300" t="b">
        <v>1</v>
      </c>
      <c r="E18" s="300" t="s">
        <v>10383</v>
      </c>
      <c r="H18" s="300" t="s">
        <v>10412</v>
      </c>
      <c r="I18" s="300" t="b">
        <v>0</v>
      </c>
    </row>
    <row r="19">
      <c r="A19" s="300" t="s">
        <v>10413</v>
      </c>
      <c r="B19" s="1123">
        <v>46185.0</v>
      </c>
      <c r="C19" s="1123">
        <v>46188.0</v>
      </c>
      <c r="D19" s="300" t="b">
        <v>1</v>
      </c>
      <c r="E19" s="300" t="s">
        <v>10383</v>
      </c>
      <c r="H19" s="300" t="s">
        <v>10414</v>
      </c>
      <c r="I19" s="300" t="b">
        <v>0</v>
      </c>
    </row>
    <row r="20">
      <c r="A20" s="300" t="s">
        <v>525</v>
      </c>
      <c r="B20" s="1123">
        <v>46187.0</v>
      </c>
      <c r="C20" s="1123">
        <v>46188.0</v>
      </c>
      <c r="D20" s="300" t="b">
        <v>1</v>
      </c>
      <c r="H20" s="300" t="s">
        <v>10397</v>
      </c>
      <c r="I20" s="300" t="b">
        <v>1</v>
      </c>
    </row>
    <row r="21">
      <c r="A21" s="300" t="s">
        <v>8982</v>
      </c>
      <c r="B21" s="1123">
        <v>46188.0</v>
      </c>
      <c r="C21" s="1123">
        <v>46192.0</v>
      </c>
      <c r="D21" s="300" t="b">
        <v>1</v>
      </c>
      <c r="H21" s="300" t="s">
        <v>10415</v>
      </c>
      <c r="I21" s="300" t="b">
        <v>0</v>
      </c>
    </row>
    <row r="22">
      <c r="A22" s="300" t="s">
        <v>10416</v>
      </c>
      <c r="B22" s="1123">
        <v>46188.0</v>
      </c>
      <c r="C22" s="1123">
        <v>46191.0</v>
      </c>
      <c r="D22" s="300" t="b">
        <v>1</v>
      </c>
      <c r="E22" s="300" t="s">
        <v>10383</v>
      </c>
      <c r="H22" s="300" t="s">
        <v>10417</v>
      </c>
      <c r="I22" s="300" t="b">
        <v>0</v>
      </c>
    </row>
    <row r="23">
      <c r="A23" s="300" t="s">
        <v>10418</v>
      </c>
      <c r="B23" s="1123">
        <v>46188.0</v>
      </c>
      <c r="C23" s="1123">
        <v>46193.0</v>
      </c>
      <c r="D23" s="300" t="b">
        <v>1</v>
      </c>
      <c r="E23" s="300" t="s">
        <v>10419</v>
      </c>
      <c r="H23" s="300" t="s">
        <v>10420</v>
      </c>
      <c r="I23" s="300" t="b">
        <v>0</v>
      </c>
    </row>
    <row r="24">
      <c r="A24" s="300" t="s">
        <v>10421</v>
      </c>
      <c r="B24" s="1123">
        <v>46188.0</v>
      </c>
      <c r="C24" s="1123">
        <v>46192.0</v>
      </c>
      <c r="D24" s="300" t="b">
        <v>1</v>
      </c>
      <c r="E24" s="300" t="s">
        <v>10383</v>
      </c>
      <c r="H24" s="300" t="s">
        <v>10422</v>
      </c>
      <c r="I24" s="300" t="b">
        <v>0</v>
      </c>
    </row>
    <row r="25">
      <c r="A25" s="300" t="s">
        <v>10423</v>
      </c>
      <c r="B25" s="1123">
        <v>46189.0</v>
      </c>
      <c r="C25" s="1123">
        <v>46193.0</v>
      </c>
      <c r="D25" s="300" t="b">
        <v>1</v>
      </c>
      <c r="E25" s="300" t="s">
        <v>10424</v>
      </c>
      <c r="H25" s="300" t="s">
        <v>10425</v>
      </c>
      <c r="I25" s="300" t="b">
        <v>0</v>
      </c>
    </row>
    <row r="26">
      <c r="A26" s="300" t="s">
        <v>10426</v>
      </c>
      <c r="B26" s="1123">
        <v>46189.0</v>
      </c>
      <c r="C26" s="1123">
        <v>46190.0</v>
      </c>
      <c r="D26" s="300" t="b">
        <v>1</v>
      </c>
      <c r="E26" s="300" t="s">
        <v>10383</v>
      </c>
      <c r="H26" s="300" t="s">
        <v>10427</v>
      </c>
      <c r="I26" s="300" t="b">
        <v>0</v>
      </c>
    </row>
    <row r="27">
      <c r="A27" s="300" t="s">
        <v>10428</v>
      </c>
      <c r="B27" s="1123">
        <v>46191.0</v>
      </c>
      <c r="C27" s="1123">
        <v>46193.0</v>
      </c>
      <c r="D27" s="300" t="b">
        <v>1</v>
      </c>
      <c r="E27" s="300" t="s">
        <v>10419</v>
      </c>
      <c r="H27" s="300" t="s">
        <v>10429</v>
      </c>
      <c r="I27" s="300" t="b">
        <v>0</v>
      </c>
    </row>
    <row r="28">
      <c r="A28" s="300" t="s">
        <v>10430</v>
      </c>
      <c r="B28" s="1123">
        <v>46191.0</v>
      </c>
      <c r="C28" s="1123">
        <v>46193.0</v>
      </c>
      <c r="D28" s="300" t="b">
        <v>1</v>
      </c>
      <c r="E28" s="300" t="s">
        <v>10383</v>
      </c>
      <c r="H28" s="300" t="s">
        <v>10431</v>
      </c>
      <c r="I28" s="300" t="b">
        <v>0</v>
      </c>
    </row>
    <row r="29">
      <c r="A29" s="300" t="s">
        <v>10432</v>
      </c>
      <c r="B29" s="1123">
        <v>46191.0</v>
      </c>
      <c r="C29" s="1123">
        <v>46193.0</v>
      </c>
      <c r="D29" s="300" t="b">
        <v>1</v>
      </c>
      <c r="E29" s="300" t="s">
        <v>10383</v>
      </c>
      <c r="H29" s="300" t="s">
        <v>10433</v>
      </c>
      <c r="I29" s="300" t="b">
        <v>0</v>
      </c>
    </row>
    <row r="30">
      <c r="A30" s="300" t="s">
        <v>10434</v>
      </c>
      <c r="B30" s="1123">
        <v>46191.0</v>
      </c>
      <c r="C30" s="1123">
        <v>46193.0</v>
      </c>
      <c r="D30" s="300" t="b">
        <v>1</v>
      </c>
      <c r="E30" s="300" t="s">
        <v>10424</v>
      </c>
      <c r="H30" s="300" t="s">
        <v>10435</v>
      </c>
      <c r="I30" s="300" t="b">
        <v>0</v>
      </c>
    </row>
    <row r="31">
      <c r="A31" s="300" t="s">
        <v>10436</v>
      </c>
      <c r="B31" s="1123">
        <v>46191.0</v>
      </c>
      <c r="C31" s="1123">
        <v>46193.0</v>
      </c>
      <c r="D31" s="300" t="b">
        <v>1</v>
      </c>
      <c r="E31" s="300" t="s">
        <v>10419</v>
      </c>
      <c r="H31" s="300" t="s">
        <v>10437</v>
      </c>
      <c r="I31" s="300" t="b">
        <v>0</v>
      </c>
    </row>
    <row r="32">
      <c r="A32" s="300" t="s">
        <v>10380</v>
      </c>
      <c r="B32" s="1123">
        <v>46193.0</v>
      </c>
      <c r="C32" s="1123">
        <v>46196.0</v>
      </c>
      <c r="D32" s="300" t="b">
        <v>1</v>
      </c>
      <c r="H32" s="300" t="s">
        <v>10438</v>
      </c>
      <c r="I32" s="300" t="b">
        <v>0</v>
      </c>
    </row>
    <row r="33">
      <c r="A33" s="300" t="s">
        <v>10439</v>
      </c>
      <c r="B33" s="1123">
        <v>46196.0</v>
      </c>
      <c r="C33" s="1123">
        <v>46203.0</v>
      </c>
      <c r="D33" s="300" t="b">
        <v>1</v>
      </c>
      <c r="E33" s="300">
        <v>2027.0</v>
      </c>
      <c r="H33" s="300" t="s">
        <v>10440</v>
      </c>
      <c r="I33" s="300" t="b">
        <v>0</v>
      </c>
    </row>
    <row r="34">
      <c r="A34" s="300" t="s">
        <v>10441</v>
      </c>
      <c r="B34" s="1123">
        <v>46196.0</v>
      </c>
      <c r="C34" s="1123">
        <v>46200.0</v>
      </c>
      <c r="D34" s="300" t="b">
        <v>0</v>
      </c>
      <c r="E34" s="300" t="s">
        <v>10419</v>
      </c>
      <c r="H34" s="300" t="s">
        <v>10442</v>
      </c>
      <c r="I34" s="300" t="b">
        <v>0</v>
      </c>
    </row>
    <row r="35">
      <c r="A35" s="300" t="s">
        <v>10443</v>
      </c>
      <c r="B35" s="1123">
        <v>46196.0</v>
      </c>
      <c r="C35" s="1123">
        <v>46199.0</v>
      </c>
      <c r="D35" s="300" t="b">
        <v>1</v>
      </c>
      <c r="E35" s="300" t="s">
        <v>10424</v>
      </c>
      <c r="H35" s="300" t="s">
        <v>10444</v>
      </c>
      <c r="I35" s="300" t="b">
        <v>0</v>
      </c>
    </row>
    <row r="36">
      <c r="A36" s="300" t="s">
        <v>10445</v>
      </c>
      <c r="B36" s="1123">
        <v>46196.0</v>
      </c>
      <c r="C36" s="1123">
        <v>46198.0</v>
      </c>
      <c r="D36" s="300" t="b">
        <v>1</v>
      </c>
      <c r="E36" s="300" t="s">
        <v>10383</v>
      </c>
      <c r="H36" s="300" t="s">
        <v>10446</v>
      </c>
      <c r="I36" s="300" t="b">
        <v>0</v>
      </c>
    </row>
    <row r="37">
      <c r="A37" s="300" t="s">
        <v>10447</v>
      </c>
      <c r="B37" s="1123">
        <v>46198.0</v>
      </c>
      <c r="C37" s="1123">
        <v>46204.0</v>
      </c>
      <c r="D37" s="300" t="b">
        <v>1</v>
      </c>
      <c r="E37" s="300" t="s">
        <v>10424</v>
      </c>
      <c r="H37" s="300" t="s">
        <v>10448</v>
      </c>
      <c r="I37" s="300" t="b">
        <v>0</v>
      </c>
    </row>
    <row r="38">
      <c r="A38" s="300" t="s">
        <v>10449</v>
      </c>
      <c r="B38" s="1123">
        <v>46198.0</v>
      </c>
      <c r="C38" s="1123">
        <v>46202.0</v>
      </c>
      <c r="D38" s="300" t="b">
        <v>1</v>
      </c>
      <c r="E38" s="300" t="s">
        <v>10383</v>
      </c>
      <c r="H38" s="300" t="s">
        <v>10450</v>
      </c>
      <c r="I38" s="300" t="b">
        <v>0</v>
      </c>
    </row>
    <row r="39">
      <c r="A39" s="300" t="s">
        <v>10451</v>
      </c>
      <c r="B39" s="1123">
        <v>46198.0</v>
      </c>
      <c r="C39" s="1123">
        <v>46202.0</v>
      </c>
      <c r="D39" s="300" t="b">
        <v>1</v>
      </c>
      <c r="E39" s="300" t="s">
        <v>10383</v>
      </c>
      <c r="H39" s="300" t="s">
        <v>10452</v>
      </c>
      <c r="I39" s="300" t="b">
        <v>0</v>
      </c>
    </row>
    <row r="40">
      <c r="A40" s="300" t="s">
        <v>10453</v>
      </c>
      <c r="B40" s="1123">
        <v>46198.0</v>
      </c>
      <c r="C40" s="1123">
        <v>46202.0</v>
      </c>
      <c r="D40" s="300" t="b">
        <v>1</v>
      </c>
      <c r="E40" s="300" t="s">
        <v>10383</v>
      </c>
      <c r="H40" s="300" t="s">
        <v>10454</v>
      </c>
      <c r="I40" s="300" t="b">
        <v>0</v>
      </c>
    </row>
    <row r="41">
      <c r="A41" s="300" t="s">
        <v>10455</v>
      </c>
      <c r="B41" s="1123">
        <v>46198.0</v>
      </c>
      <c r="C41" s="1123">
        <v>46202.0</v>
      </c>
      <c r="D41" s="300" t="b">
        <v>1</v>
      </c>
      <c r="E41" s="300">
        <v>2027.0</v>
      </c>
      <c r="H41" s="300" t="s">
        <v>10456</v>
      </c>
      <c r="I41" s="300" t="b">
        <v>0</v>
      </c>
    </row>
    <row r="42">
      <c r="A42" s="300" t="s">
        <v>10457</v>
      </c>
      <c r="B42" s="1123">
        <v>46198.0</v>
      </c>
      <c r="C42" s="1123">
        <v>46201.0</v>
      </c>
      <c r="D42" s="300" t="b">
        <v>1</v>
      </c>
      <c r="E42" s="300" t="s">
        <v>10383</v>
      </c>
      <c r="H42" s="300" t="s">
        <v>10458</v>
      </c>
      <c r="I42" s="300" t="b">
        <v>0</v>
      </c>
    </row>
    <row r="43">
      <c r="A43" s="300" t="s">
        <v>10459</v>
      </c>
      <c r="B43" s="1123">
        <v>46200.0</v>
      </c>
      <c r="C43" s="1123">
        <v>46204.0</v>
      </c>
      <c r="D43" s="300" t="b">
        <v>1</v>
      </c>
      <c r="E43" s="300" t="s">
        <v>10424</v>
      </c>
      <c r="H43" s="300" t="s">
        <v>10460</v>
      </c>
      <c r="I43" s="300" t="b">
        <v>0</v>
      </c>
    </row>
    <row r="44">
      <c r="A44" s="300" t="s">
        <v>525</v>
      </c>
      <c r="B44" s="1123">
        <v>46201.0</v>
      </c>
      <c r="C44" s="1123">
        <v>46202.0</v>
      </c>
      <c r="D44" s="300" t="b">
        <v>1</v>
      </c>
      <c r="H44" s="300" t="s">
        <v>10397</v>
      </c>
      <c r="I44" s="300" t="b">
        <v>1</v>
      </c>
    </row>
    <row r="45">
      <c r="A45" s="300" t="s">
        <v>10380</v>
      </c>
      <c r="B45" s="1123">
        <v>46206.0</v>
      </c>
      <c r="C45" s="1123">
        <v>46209.0</v>
      </c>
      <c r="D45" s="300" t="b">
        <v>1</v>
      </c>
      <c r="H45" s="300" t="s">
        <v>10461</v>
      </c>
      <c r="I45" s="300" t="b">
        <v>0</v>
      </c>
    </row>
    <row r="46">
      <c r="A46" s="300" t="s">
        <v>525</v>
      </c>
      <c r="B46" s="1123">
        <v>46208.0</v>
      </c>
      <c r="C46" s="1123">
        <v>46209.0</v>
      </c>
      <c r="D46" s="300" t="b">
        <v>1</v>
      </c>
      <c r="H46" s="300" t="s">
        <v>10397</v>
      </c>
      <c r="I46" s="300" t="b">
        <v>1</v>
      </c>
    </row>
    <row r="47">
      <c r="A47" s="300" t="s">
        <v>8928</v>
      </c>
      <c r="B47" s="1123">
        <v>46209.0</v>
      </c>
      <c r="C47" s="1123">
        <v>46213.0</v>
      </c>
      <c r="D47" s="300" t="b">
        <v>1</v>
      </c>
      <c r="H47" s="300" t="s">
        <v>10462</v>
      </c>
      <c r="I47" s="300" t="b">
        <v>0</v>
      </c>
    </row>
    <row r="48">
      <c r="A48" s="300" t="s">
        <v>10463</v>
      </c>
      <c r="B48" s="1123">
        <v>46209.0</v>
      </c>
      <c r="C48" s="1123">
        <v>46216.0</v>
      </c>
      <c r="D48" s="300" t="b">
        <v>1</v>
      </c>
      <c r="E48" s="300" t="s">
        <v>10424</v>
      </c>
      <c r="H48" s="300" t="s">
        <v>10464</v>
      </c>
      <c r="I48" s="300" t="b">
        <v>0</v>
      </c>
    </row>
    <row r="49">
      <c r="A49" s="300" t="s">
        <v>10465</v>
      </c>
      <c r="B49" s="1123">
        <v>46209.0</v>
      </c>
      <c r="C49" s="1123">
        <v>46218.0</v>
      </c>
      <c r="D49" s="300" t="b">
        <v>1</v>
      </c>
      <c r="E49" s="300" t="s">
        <v>10383</v>
      </c>
      <c r="H49" s="300" t="s">
        <v>10466</v>
      </c>
      <c r="I49" s="300" t="b">
        <v>0</v>
      </c>
    </row>
    <row r="50">
      <c r="A50" s="300" t="s">
        <v>10467</v>
      </c>
      <c r="B50" s="1123">
        <v>46210.0</v>
      </c>
      <c r="C50" s="1123">
        <v>46215.0</v>
      </c>
      <c r="D50" s="300" t="b">
        <v>1</v>
      </c>
      <c r="E50" s="300">
        <v>2027.0</v>
      </c>
      <c r="H50" s="300" t="s">
        <v>10468</v>
      </c>
      <c r="I50" s="300" t="b">
        <v>0</v>
      </c>
    </row>
    <row r="51">
      <c r="A51" s="300" t="s">
        <v>10469</v>
      </c>
      <c r="B51" s="1123">
        <v>46211.0</v>
      </c>
      <c r="C51" s="1123">
        <v>46216.0</v>
      </c>
      <c r="D51" s="300" t="b">
        <v>1</v>
      </c>
      <c r="E51" s="300">
        <v>2027.0</v>
      </c>
      <c r="H51" s="300" t="s">
        <v>10470</v>
      </c>
      <c r="I51" s="300" t="b">
        <v>0</v>
      </c>
    </row>
    <row r="52">
      <c r="A52" s="300" t="s">
        <v>10471</v>
      </c>
      <c r="B52" s="1123">
        <v>46212.0</v>
      </c>
      <c r="C52" s="1123">
        <v>46216.0</v>
      </c>
      <c r="D52" s="300" t="b">
        <v>1</v>
      </c>
      <c r="E52" s="300" t="s">
        <v>10383</v>
      </c>
      <c r="H52" s="300" t="s">
        <v>10472</v>
      </c>
      <c r="I52" s="300" t="b">
        <v>0</v>
      </c>
    </row>
    <row r="53">
      <c r="A53" s="300" t="s">
        <v>10473</v>
      </c>
      <c r="B53" s="1123">
        <v>46212.0</v>
      </c>
      <c r="C53" s="1123">
        <v>46217.0</v>
      </c>
      <c r="D53" s="300" t="b">
        <v>1</v>
      </c>
      <c r="E53" s="300" t="s">
        <v>10383</v>
      </c>
      <c r="H53" s="300" t="s">
        <v>10474</v>
      </c>
      <c r="I53" s="300" t="b">
        <v>0</v>
      </c>
    </row>
    <row r="54">
      <c r="A54" s="300" t="s">
        <v>10475</v>
      </c>
      <c r="B54" s="1123">
        <v>46212.0</v>
      </c>
      <c r="C54" s="1123">
        <v>46216.0</v>
      </c>
      <c r="D54" s="300" t="b">
        <v>1</v>
      </c>
      <c r="E54" s="300" t="s">
        <v>10383</v>
      </c>
      <c r="H54" s="300" t="s">
        <v>10476</v>
      </c>
      <c r="I54" s="300" t="b">
        <v>0</v>
      </c>
    </row>
    <row r="55">
      <c r="A55" s="300" t="s">
        <v>10477</v>
      </c>
      <c r="B55" s="1123">
        <v>46214.0</v>
      </c>
      <c r="C55" s="1123">
        <v>46219.0</v>
      </c>
      <c r="D55" s="300" t="b">
        <v>1</v>
      </c>
      <c r="E55" s="300" t="s">
        <v>10424</v>
      </c>
      <c r="F55" s="300" t="s">
        <v>10478</v>
      </c>
      <c r="H55" s="300" t="s">
        <v>10479</v>
      </c>
      <c r="I55" s="300" t="b">
        <v>0</v>
      </c>
    </row>
    <row r="56">
      <c r="A56" s="300" t="s">
        <v>10480</v>
      </c>
      <c r="B56" s="1123">
        <v>46214.0</v>
      </c>
      <c r="C56" s="1123">
        <v>46218.0</v>
      </c>
      <c r="D56" s="300" t="b">
        <v>1</v>
      </c>
      <c r="E56" s="300" t="s">
        <v>10383</v>
      </c>
      <c r="H56" s="300" t="s">
        <v>10481</v>
      </c>
      <c r="I56" s="300" t="b">
        <v>0</v>
      </c>
    </row>
    <row r="57">
      <c r="A57" s="300" t="s">
        <v>525</v>
      </c>
      <c r="B57" s="1123">
        <v>46215.0</v>
      </c>
      <c r="C57" s="1123">
        <v>46216.0</v>
      </c>
      <c r="D57" s="300" t="b">
        <v>1</v>
      </c>
      <c r="H57" s="300" t="s">
        <v>10397</v>
      </c>
      <c r="I57" s="300" t="b">
        <v>1</v>
      </c>
    </row>
    <row r="58">
      <c r="A58" s="300" t="s">
        <v>10482</v>
      </c>
      <c r="B58" s="1123">
        <v>46217.0</v>
      </c>
      <c r="C58" s="1123">
        <v>46222.0</v>
      </c>
      <c r="D58" s="300" t="b">
        <v>1</v>
      </c>
      <c r="E58" s="300" t="s">
        <v>10424</v>
      </c>
      <c r="H58" s="300" t="s">
        <v>10483</v>
      </c>
      <c r="I58" s="300" t="b">
        <v>0</v>
      </c>
    </row>
    <row r="59">
      <c r="A59" s="300" t="s">
        <v>10484</v>
      </c>
      <c r="B59" s="1123">
        <v>46217.0</v>
      </c>
      <c r="C59" s="1123">
        <v>46222.0</v>
      </c>
      <c r="D59" s="300" t="b">
        <v>1</v>
      </c>
      <c r="H59" s="300" t="s">
        <v>10485</v>
      </c>
      <c r="I59" s="300" t="b">
        <v>0</v>
      </c>
    </row>
    <row r="60">
      <c r="A60" s="300" t="s">
        <v>10486</v>
      </c>
      <c r="B60" s="1123">
        <v>46218.0</v>
      </c>
      <c r="C60" s="1123">
        <v>46224.0</v>
      </c>
      <c r="D60" s="300" t="b">
        <v>1</v>
      </c>
      <c r="E60" s="300">
        <v>2027.0</v>
      </c>
      <c r="H60" s="300" t="s">
        <v>10487</v>
      </c>
      <c r="I60" s="300" t="b">
        <v>0</v>
      </c>
    </row>
    <row r="61">
      <c r="A61" s="300" t="s">
        <v>10488</v>
      </c>
      <c r="B61" s="1123">
        <v>46218.0</v>
      </c>
      <c r="C61" s="1123">
        <v>46222.0</v>
      </c>
      <c r="D61" s="300" t="b">
        <v>1</v>
      </c>
      <c r="E61" s="300" t="s">
        <v>10383</v>
      </c>
      <c r="H61" s="300" t="s">
        <v>10489</v>
      </c>
      <c r="I61" s="300" t="b">
        <v>0</v>
      </c>
    </row>
    <row r="62">
      <c r="A62" s="300" t="s">
        <v>10490</v>
      </c>
      <c r="B62" s="1123">
        <v>46218.0</v>
      </c>
      <c r="C62" s="1123">
        <v>46221.0</v>
      </c>
      <c r="D62" s="300" t="b">
        <v>1</v>
      </c>
      <c r="E62" s="300" t="s">
        <v>10383</v>
      </c>
      <c r="H62" s="300" t="s">
        <v>10491</v>
      </c>
      <c r="I62" s="300" t="b">
        <v>0</v>
      </c>
    </row>
    <row r="63">
      <c r="A63" s="300" t="s">
        <v>10492</v>
      </c>
      <c r="B63" s="1123">
        <v>46219.0</v>
      </c>
      <c r="C63" s="1123">
        <v>46223.0</v>
      </c>
      <c r="D63" s="300" t="b">
        <v>1</v>
      </c>
      <c r="E63" s="300" t="s">
        <v>10424</v>
      </c>
      <c r="H63" s="300" t="s">
        <v>10493</v>
      </c>
      <c r="I63" s="300" t="b">
        <v>0</v>
      </c>
    </row>
    <row r="64">
      <c r="A64" s="300" t="s">
        <v>10494</v>
      </c>
      <c r="B64" s="1123">
        <v>46220.0</v>
      </c>
      <c r="C64" s="1123">
        <v>46225.0</v>
      </c>
      <c r="D64" s="300" t="b">
        <v>1</v>
      </c>
      <c r="H64" s="300" t="s">
        <v>10495</v>
      </c>
      <c r="I64" s="300" t="b">
        <v>0</v>
      </c>
    </row>
    <row r="65">
      <c r="A65" s="300" t="s">
        <v>10496</v>
      </c>
      <c r="B65" s="1123">
        <v>46220.0</v>
      </c>
      <c r="C65" s="1123">
        <v>46223.0</v>
      </c>
      <c r="D65" s="300" t="b">
        <v>1</v>
      </c>
      <c r="E65" s="300" t="s">
        <v>10383</v>
      </c>
      <c r="H65" s="300" t="s">
        <v>10497</v>
      </c>
      <c r="I65" s="300" t="b">
        <v>0</v>
      </c>
    </row>
    <row r="66">
      <c r="A66" s="300" t="s">
        <v>525</v>
      </c>
      <c r="B66" s="1123">
        <v>46222.0</v>
      </c>
      <c r="C66" s="1123">
        <v>46223.0</v>
      </c>
      <c r="D66" s="300" t="b">
        <v>1</v>
      </c>
      <c r="H66" s="300" t="s">
        <v>10397</v>
      </c>
      <c r="I66" s="300" t="b">
        <v>1</v>
      </c>
    </row>
    <row r="67">
      <c r="A67" s="300" t="s">
        <v>8941</v>
      </c>
      <c r="B67" s="1123">
        <v>46223.0</v>
      </c>
      <c r="C67" s="1123">
        <v>46226.0</v>
      </c>
      <c r="D67" s="300" t="b">
        <v>1</v>
      </c>
      <c r="H67" s="300" t="s">
        <v>10498</v>
      </c>
      <c r="I67" s="300" t="b">
        <v>0</v>
      </c>
    </row>
    <row r="68">
      <c r="A68" s="300" t="s">
        <v>10499</v>
      </c>
      <c r="B68" s="1123">
        <v>46224.0</v>
      </c>
      <c r="C68" s="1123">
        <v>46227.0</v>
      </c>
      <c r="D68" s="300" t="b">
        <v>1</v>
      </c>
      <c r="E68" s="300">
        <v>2027.0</v>
      </c>
      <c r="H68" s="300" t="s">
        <v>10500</v>
      </c>
      <c r="I68" s="300" t="b">
        <v>0</v>
      </c>
    </row>
    <row r="69">
      <c r="A69" s="300" t="s">
        <v>10501</v>
      </c>
      <c r="B69" s="1123">
        <v>46225.0</v>
      </c>
      <c r="C69" s="1123">
        <v>46229.0</v>
      </c>
      <c r="D69" s="300" t="b">
        <v>1</v>
      </c>
      <c r="E69" s="300" t="s">
        <v>10424</v>
      </c>
      <c r="H69" s="300" t="s">
        <v>10502</v>
      </c>
      <c r="I69" s="300" t="b">
        <v>0</v>
      </c>
    </row>
    <row r="70">
      <c r="A70" s="300" t="s">
        <v>10503</v>
      </c>
      <c r="B70" s="1123">
        <v>46226.0</v>
      </c>
      <c r="C70" s="1123">
        <v>46230.0</v>
      </c>
      <c r="D70" s="300" t="b">
        <v>1</v>
      </c>
      <c r="E70" s="300" t="s">
        <v>10424</v>
      </c>
      <c r="H70" s="300" t="s">
        <v>10504</v>
      </c>
      <c r="I70" s="300" t="b">
        <v>0</v>
      </c>
    </row>
    <row r="71">
      <c r="A71" s="300" t="s">
        <v>10505</v>
      </c>
      <c r="B71" s="1123">
        <v>46226.0</v>
      </c>
      <c r="C71" s="1123">
        <v>46230.0</v>
      </c>
      <c r="D71" s="300" t="b">
        <v>1</v>
      </c>
      <c r="E71" s="300">
        <v>2027.0</v>
      </c>
      <c r="H71" s="300" t="s">
        <v>10506</v>
      </c>
      <c r="I71" s="300" t="b">
        <v>0</v>
      </c>
    </row>
    <row r="72">
      <c r="A72" s="300" t="s">
        <v>10507</v>
      </c>
      <c r="B72" s="1123">
        <v>46227.0</v>
      </c>
      <c r="C72" s="1123">
        <v>46230.0</v>
      </c>
      <c r="D72" s="300" t="b">
        <v>1</v>
      </c>
      <c r="E72" s="300" t="s">
        <v>10383</v>
      </c>
      <c r="H72" s="300" t="s">
        <v>10508</v>
      </c>
      <c r="I72" s="300" t="b">
        <v>0</v>
      </c>
    </row>
    <row r="73">
      <c r="A73" s="300" t="s">
        <v>525</v>
      </c>
      <c r="B73" s="1123">
        <v>46229.0</v>
      </c>
      <c r="C73" s="1123">
        <v>46230.0</v>
      </c>
      <c r="D73" s="300" t="b">
        <v>1</v>
      </c>
      <c r="H73" s="300" t="s">
        <v>10397</v>
      </c>
      <c r="I73" s="300" t="b">
        <v>1</v>
      </c>
    </row>
    <row r="74">
      <c r="A74" s="300" t="s">
        <v>8948</v>
      </c>
      <c r="B74" s="1123">
        <v>46230.0</v>
      </c>
      <c r="C74" s="1123">
        <v>46234.0</v>
      </c>
      <c r="D74" s="300" t="b">
        <v>1</v>
      </c>
      <c r="H74" s="300" t="s">
        <v>10509</v>
      </c>
      <c r="I74" s="300" t="b">
        <v>0</v>
      </c>
    </row>
    <row r="75">
      <c r="A75" s="300" t="s">
        <v>10510</v>
      </c>
      <c r="B75" s="1123">
        <v>46230.0</v>
      </c>
      <c r="C75" s="1123">
        <v>46236.0</v>
      </c>
      <c r="D75" s="300" t="b">
        <v>1</v>
      </c>
      <c r="E75" s="300" t="s">
        <v>10383</v>
      </c>
      <c r="H75" s="300" t="s">
        <v>10511</v>
      </c>
      <c r="I75" s="300" t="b">
        <v>0</v>
      </c>
    </row>
    <row r="76">
      <c r="A76" s="300" t="s">
        <v>10512</v>
      </c>
      <c r="B76" s="1123">
        <v>46232.0</v>
      </c>
      <c r="C76" s="1123">
        <v>46236.0</v>
      </c>
      <c r="D76" s="300" t="b">
        <v>1</v>
      </c>
      <c r="E76" s="300" t="s">
        <v>10383</v>
      </c>
      <c r="H76" s="300" t="s">
        <v>10513</v>
      </c>
      <c r="I76" s="300" t="b">
        <v>0</v>
      </c>
    </row>
    <row r="77">
      <c r="A77" s="300" t="s">
        <v>10514</v>
      </c>
      <c r="B77" s="1123">
        <v>46232.0</v>
      </c>
      <c r="C77" s="1123">
        <v>46236.0</v>
      </c>
      <c r="D77" s="300" t="b">
        <v>1</v>
      </c>
      <c r="E77" s="300" t="s">
        <v>10383</v>
      </c>
      <c r="H77" s="300" t="s">
        <v>10515</v>
      </c>
      <c r="I77" s="300" t="b">
        <v>0</v>
      </c>
    </row>
    <row r="78">
      <c r="A78" s="300" t="s">
        <v>10516</v>
      </c>
      <c r="B78" s="1123">
        <v>46232.0</v>
      </c>
      <c r="C78" s="1123">
        <v>46233.0</v>
      </c>
      <c r="D78" s="300" t="b">
        <v>1</v>
      </c>
      <c r="E78" s="300" t="s">
        <v>10383</v>
      </c>
      <c r="H78" s="300" t="s">
        <v>10517</v>
      </c>
      <c r="I78" s="300" t="b">
        <v>0</v>
      </c>
    </row>
    <row r="79">
      <c r="A79" s="300" t="s">
        <v>10518</v>
      </c>
      <c r="B79" s="1123">
        <v>46233.0</v>
      </c>
      <c r="C79" s="1123">
        <v>46235.0</v>
      </c>
      <c r="D79" s="300" t="b">
        <v>1</v>
      </c>
      <c r="E79" s="300" t="s">
        <v>10383</v>
      </c>
      <c r="H79" s="300" t="s">
        <v>10519</v>
      </c>
      <c r="I79" s="300" t="b">
        <v>0</v>
      </c>
    </row>
    <row r="80">
      <c r="A80" s="300" t="s">
        <v>10520</v>
      </c>
      <c r="B80" s="1123">
        <v>46234.0</v>
      </c>
      <c r="C80" s="1123">
        <v>46245.0</v>
      </c>
      <c r="D80" s="300" t="b">
        <v>1</v>
      </c>
      <c r="E80" s="300" t="s">
        <v>10419</v>
      </c>
      <c r="H80" s="300" t="s">
        <v>10521</v>
      </c>
      <c r="I80" s="300" t="b">
        <v>0</v>
      </c>
    </row>
    <row r="81">
      <c r="A81" s="300" t="s">
        <v>10522</v>
      </c>
      <c r="B81" s="1123">
        <v>46234.0</v>
      </c>
      <c r="C81" s="1123">
        <v>46236.0</v>
      </c>
      <c r="D81" s="300" t="b">
        <v>1</v>
      </c>
      <c r="E81" s="300" t="s">
        <v>10383</v>
      </c>
      <c r="H81" s="300" t="s">
        <v>10523</v>
      </c>
      <c r="I81" s="300" t="b">
        <v>0</v>
      </c>
    </row>
    <row r="82">
      <c r="A82" s="300" t="s">
        <v>525</v>
      </c>
      <c r="B82" s="1123">
        <v>46236.0</v>
      </c>
      <c r="C82" s="1123">
        <v>46237.0</v>
      </c>
      <c r="D82" s="300" t="b">
        <v>1</v>
      </c>
      <c r="H82" s="300" t="s">
        <v>10397</v>
      </c>
      <c r="I82" s="300" t="b">
        <v>1</v>
      </c>
    </row>
    <row r="83">
      <c r="A83" s="300" t="s">
        <v>8883</v>
      </c>
      <c r="B83" s="1123">
        <v>46249.0</v>
      </c>
      <c r="C83" s="1123">
        <v>46250.0</v>
      </c>
      <c r="D83" s="300" t="b">
        <v>1</v>
      </c>
      <c r="H83" s="300" t="s">
        <v>10524</v>
      </c>
      <c r="I83" s="300" t="b">
        <v>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0" t="s">
        <v>10525</v>
      </c>
      <c r="B1" s="330" t="s">
        <v>10526</v>
      </c>
    </row>
    <row r="2">
      <c r="A2" s="300" t="s">
        <v>10527</v>
      </c>
      <c r="B2" s="300" t="s">
        <v>10528</v>
      </c>
    </row>
    <row r="3">
      <c r="A3" s="300" t="s">
        <v>10529</v>
      </c>
      <c r="B3" s="300" t="s">
        <v>10530</v>
      </c>
    </row>
    <row r="4">
      <c r="A4" s="300" t="s">
        <v>10531</v>
      </c>
      <c r="B4" s="300" t="s">
        <v>10532</v>
      </c>
    </row>
    <row r="5">
      <c r="A5" s="300" t="s">
        <v>10533</v>
      </c>
      <c r="B5" s="300" t="s">
        <v>10534</v>
      </c>
    </row>
    <row r="6">
      <c r="A6" s="300" t="s">
        <v>10535</v>
      </c>
      <c r="B6" s="300" t="s">
        <v>10536</v>
      </c>
    </row>
  </sheetData>
  <drawing r:id="rId1"/>
</worksheet>
</file>